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heets/sheet1.xml" ContentType="application/vnd.openxmlformats-officedocument.spreadsheetml.chart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8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comments5.xml" ContentType="application/vnd.openxmlformats-officedocument.spreadsheetml.comments+xml"/>
  <Override PartName="/xl/drawings/drawing13.xml" ContentType="application/vnd.openxmlformats-officedocument.drawing+xml"/>
  <Override PartName="/xl/comments6.xml" ContentType="application/vnd.openxmlformats-officedocument.spreadsheetml.comments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nar\Documents\998 Personales\03 Economía\Ec Civ 2026\"/>
    </mc:Choice>
  </mc:AlternateContent>
  <bookViews>
    <workbookView xWindow="-120" yWindow="-120" windowWidth="20736" windowHeight="11160" tabRatio="825"/>
  </bookViews>
  <sheets>
    <sheet name="Datos" sheetId="9" r:id="rId1"/>
    <sheet name="Items" sheetId="8" r:id="rId2"/>
    <sheet name="AUX-NIV1" sheetId="4" r:id="rId3"/>
    <sheet name="AUX-NIV2" sheetId="13" r:id="rId4"/>
    <sheet name="AUX-NIV3" sheetId="6" r:id="rId5"/>
    <sheet name="Organig" sheetId="7" r:id="rId6"/>
    <sheet name="Histograma" sheetId="10" r:id="rId7"/>
    <sheet name="Resumen" sheetId="17413" r:id="rId8"/>
    <sheet name="Constantes" sheetId="17417" state="hidden" r:id="rId9"/>
    <sheet name="Aux_Items_1" sheetId="17414" state="hidden" r:id="rId10"/>
    <sheet name="Aux_Items_2" sheetId="17415" state="hidden" r:id="rId11"/>
    <sheet name="Aux_Items_3" sheetId="17416" state="hidden" r:id="rId12"/>
    <sheet name="Gráfico1" sheetId="17421" r:id="rId13"/>
    <sheet name="Crono" sheetId="17418" r:id="rId14"/>
    <sheet name="Precio" sheetId="17419" r:id="rId15"/>
    <sheet name="Recursos" sheetId="1" r:id="rId16"/>
    <sheet name="MOi_CE" sheetId="14" r:id="rId17"/>
    <sheet name="MOd_CE" sheetId="12" r:id="rId18"/>
    <sheet name="EQ_CE" sheetId="17412" r:id="rId19"/>
    <sheet name="CInv" sheetId="17422" r:id="rId20"/>
  </sheets>
  <externalReferences>
    <externalReference r:id="rId21"/>
    <externalReference r:id="rId22"/>
    <externalReference r:id="rId23"/>
    <externalReference r:id="rId24"/>
    <externalReference r:id="rId25"/>
  </externalReferences>
  <definedNames>
    <definedName name="__aux2">Recursos!$C$804</definedName>
    <definedName name="__equ1">Recursos!$C$798</definedName>
    <definedName name="__mat1">Recursos!$C$52</definedName>
    <definedName name="__mat2">Recursos!$C$460</definedName>
    <definedName name="__moi1">Recursos!$C$18</definedName>
    <definedName name="__sub1">Recursos!$C$616</definedName>
    <definedName name="__tra1">Recursos!$C$621</definedName>
    <definedName name="_aux2" localSheetId="19">Recursos!$C$804</definedName>
    <definedName name="_aux2">Recursos!$C$1647</definedName>
    <definedName name="_equ1" localSheetId="19">Recursos!$C$798</definedName>
    <definedName name="_equ1">Recursos!$C$1642</definedName>
    <definedName name="_xlnm._FilterDatabase" localSheetId="9" hidden="1">Aux_Items_1!$B$2:$C$118</definedName>
    <definedName name="_xlnm._FilterDatabase" localSheetId="10" hidden="1">Aux_Items_2!$B$2:$C$72</definedName>
    <definedName name="_xlnm._FilterDatabase" localSheetId="11" hidden="1">Aux_Items_3!$B$2:$C$4</definedName>
    <definedName name="_xlnm._FilterDatabase" localSheetId="2" hidden="1">'AUX-NIV1'!$B$6:$AI$1080</definedName>
    <definedName name="_xlnm._FilterDatabase" localSheetId="3" hidden="1">'AUX-NIV2'!$B$6:$X$1507</definedName>
    <definedName name="_xlnm._FilterDatabase" localSheetId="4" hidden="1">'AUX-NIV3'!$B$6:$X$482</definedName>
    <definedName name="_xlnm._FilterDatabase" localSheetId="13" hidden="1">Crono!$B$13:$O$60</definedName>
    <definedName name="_xlnm._FilterDatabase" localSheetId="18" hidden="1">EQ_CE!$B$5:$T$181</definedName>
    <definedName name="_xlnm._FilterDatabase" localSheetId="1" hidden="1">Items!$B$11:$P$56</definedName>
    <definedName name="_xlnm._FilterDatabase" localSheetId="16" hidden="1">MOi_CE!$B$5:$X$66</definedName>
    <definedName name="_xlnm._FilterDatabase" localSheetId="15" hidden="1">Recursos!$B$5:$J$1940</definedName>
    <definedName name="_mat1" localSheetId="19">Recursos!$C$52</definedName>
    <definedName name="_mat1">Recursos!$C$75</definedName>
    <definedName name="_mat2" localSheetId="19">Recursos!$C$460</definedName>
    <definedName name="_mat2">Recursos!#REF!</definedName>
    <definedName name="_moi1" localSheetId="19">Recursos!$C$18</definedName>
    <definedName name="_moi1">Recursos!$C$13</definedName>
    <definedName name="_sub1" localSheetId="19">Recursos!$C$616</definedName>
    <definedName name="_sub1">Recursos!$C$1452</definedName>
    <definedName name="_tra1" localSheetId="19">Recursos!$C$621</definedName>
    <definedName name="_tra1">Recursos!$C$1457</definedName>
    <definedName name="accidente" localSheetId="19">Datos!$K$38</definedName>
    <definedName name="accidente">Datos!$K$38</definedName>
    <definedName name="AL_F" localSheetId="19">Datos!$Q$21</definedName>
    <definedName name="AL_F">Datos!$Q$21</definedName>
    <definedName name="AL_P" localSheetId="19">Datos!$R$21</definedName>
    <definedName name="AL_P">Datos!$R$21</definedName>
    <definedName name="AO_F" localSheetId="19">Datos!$Q$13</definedName>
    <definedName name="AO_F">Datos!$Q$13</definedName>
    <definedName name="AO_P" localSheetId="19">Datos!$R$13</definedName>
    <definedName name="AO_P">Datos!$R$13</definedName>
    <definedName name="_xlnm.Print_Area" localSheetId="13">Crono!$A$1:$BN$134</definedName>
    <definedName name="_xlnm.Print_Area" localSheetId="0">Datos!$B$2:$T$42</definedName>
    <definedName name="_xlnm.Print_Area" localSheetId="1">Items!$B$2:$P$56</definedName>
    <definedName name="_xlnm.Print_Area" localSheetId="5">Organig!$B$2:$X$59</definedName>
    <definedName name="_xlnm.Print_Area" localSheetId="14">Precio!$B$62:$AK$123</definedName>
    <definedName name="_xlnm.Print_Area" localSheetId="15">Recursos!$C$2:$J$1646</definedName>
    <definedName name="aux_ini">[1]Aux_Niv_1!#REF!</definedName>
    <definedName name="aux_item" localSheetId="19">Recursos!$B$804</definedName>
    <definedName name="aux_item">Recursos!$B$1647</definedName>
    <definedName name="AV_F" localSheetId="19">Datos!$Q$27</definedName>
    <definedName name="AV_F">Datos!$Q$27</definedName>
    <definedName name="AV_P" localSheetId="19">Datos!$R$27</definedName>
    <definedName name="AV_P">Datos!$R$27</definedName>
    <definedName name="Ayu" localSheetId="19">MOd_CE!$K$49</definedName>
    <definedName name="Ayu">MOd_CE!$K$49</definedName>
    <definedName name="BC_F" localSheetId="19">Datos!$Q$35</definedName>
    <definedName name="BC_F">Datos!$Q$35</definedName>
    <definedName name="BC_P" localSheetId="19">Datos!$R$35</definedName>
    <definedName name="BC_P">Datos!$R$35</definedName>
    <definedName name="ben" localSheetId="19">Datos!$F$21</definedName>
    <definedName name="ben">Datos!$F$21</definedName>
    <definedName name="beneficios">[2]Datos!$F$20</definedName>
    <definedName name="BG_F" localSheetId="19">Datos!$Q$9</definedName>
    <definedName name="BG_F">Datos!$Q$9</definedName>
    <definedName name="BG_P" localSheetId="19">Datos!$R$9</definedName>
    <definedName name="BG_P">Datos!$R$9</definedName>
    <definedName name="BM_F" localSheetId="19">Datos!$Q$12</definedName>
    <definedName name="BM_F">Datos!$Q$12</definedName>
    <definedName name="BM_P" localSheetId="19">Datos!$R$12</definedName>
    <definedName name="BM_P">Datos!$R$12</definedName>
    <definedName name="CA_F" localSheetId="19">Datos!$Q$8</definedName>
    <definedName name="CA_F">Datos!$Q$8</definedName>
    <definedName name="CA_P" localSheetId="19">Datos!$R$8</definedName>
    <definedName name="CA_P">Datos!$R$8</definedName>
    <definedName name="cargas">[2]Datos!$F$24</definedName>
    <definedName name="Cd">Items!#REF!</definedName>
    <definedName name="CE_F" localSheetId="19">Datos!$Q$22</definedName>
    <definedName name="CE_F">Datos!$Q$22</definedName>
    <definedName name="CE_P" localSheetId="19">Datos!$R$22</definedName>
    <definedName name="CE_P">Datos!$R$22</definedName>
    <definedName name="CM_F" localSheetId="19">Datos!$Q$36</definedName>
    <definedName name="CM_F">Datos!$Q$36</definedName>
    <definedName name="CM_P" localSheetId="19">Datos!$R$36</definedName>
    <definedName name="CM_P">Datos!$R$36</definedName>
    <definedName name="COE">[2]Datos!$F$27</definedName>
    <definedName name="COF">[2]Datos!$F$28</definedName>
    <definedName name="comb" localSheetId="19">Datos!$F$14</definedName>
    <definedName name="comb">Datos!$F$14</definedName>
    <definedName name="comitente" localSheetId="19">Datos!$C$4</definedName>
    <definedName name="comitente">Datos!$C$4</definedName>
    <definedName name="CP_F" localSheetId="19">Datos!$Q$37</definedName>
    <definedName name="CP_F">Datos!$Q$37</definedName>
    <definedName name="CP_P" localSheetId="19">Datos!$R$37</definedName>
    <definedName name="CP_P">Datos!$R$37</definedName>
    <definedName name="CS_F" localSheetId="19">Datos!$Q$7</definedName>
    <definedName name="CS_F">Datos!$Q$7</definedName>
    <definedName name="CS_P" localSheetId="19">Datos!$R$7</definedName>
    <definedName name="CS_P">Datos!$R$7</definedName>
    <definedName name="DE_F" localSheetId="19">Datos!$Q$23</definedName>
    <definedName name="DE_F">Datos!$Q$23</definedName>
    <definedName name="DE_P" localSheetId="19">Datos!$R$23</definedName>
    <definedName name="DE_P">Datos!$R$23</definedName>
    <definedName name="dias_año" localSheetId="19">Datos!$L$11</definedName>
    <definedName name="dias_año">Datos!$L$11</definedName>
    <definedName name="dias_lluvia" localSheetId="19">Datos!$K$19</definedName>
    <definedName name="dias_lluvia">Datos!$K$19</definedName>
    <definedName name="domingos" localSheetId="19">Datos!$K$14</definedName>
    <definedName name="domingos">Datos!$K$14</definedName>
    <definedName name="enfermedad" localSheetId="19">Datos!$K$34</definedName>
    <definedName name="enfermedad">Datos!$K$34</definedName>
    <definedName name="eq_item" localSheetId="19">Recursos!$B$622</definedName>
    <definedName name="eq_item">Recursos!$B$1458</definedName>
    <definedName name="equ" localSheetId="19">Recursos!$C$622</definedName>
    <definedName name="equ">Recursos!$C$1458</definedName>
    <definedName name="equ_ag" localSheetId="19">EQ_CE!$B$176</definedName>
    <definedName name="equ_ag">EQ_CE!$B$186</definedName>
    <definedName name="euro" localSheetId="19">Datos!$F$11</definedName>
    <definedName name="euro">Datos!$F$11</definedName>
    <definedName name="feriados" localSheetId="19">Datos!$K$16</definedName>
    <definedName name="feriados">Datos!$K$16</definedName>
    <definedName name="fin" localSheetId="19">Datos!$F$22</definedName>
    <definedName name="fin">Datos!$F$22</definedName>
    <definedName name="final_copia">[1]Presentacion!#REF!</definedName>
    <definedName name="financiero">[2]Datos!$F$21</definedName>
    <definedName name="form_1">[1]Aux_Niv_1!#REF!</definedName>
    <definedName name="form_2">[1]Aux_Niv_1!#REF!</definedName>
    <definedName name="form1">[1]Aux_Niv_1!#REF!</definedName>
    <definedName name="GC_F" localSheetId="19">Datos!$Q$6</definedName>
    <definedName name="GC_F">Datos!$Q$6</definedName>
    <definedName name="GC_P" localSheetId="19">Datos!$R$6</definedName>
    <definedName name="GC_P">Datos!$R$6</definedName>
    <definedName name="GG">[2]Datos!$F$26</definedName>
    <definedName name="GL_F" localSheetId="19">Datos!$Q$5</definedName>
    <definedName name="GL_F">Datos!$Q$5</definedName>
    <definedName name="GL_P" localSheetId="19">Datos!$R$5</definedName>
    <definedName name="GL_P">Datos!$R$5</definedName>
    <definedName name="GO">[2]Datos!$F$13</definedName>
    <definedName name="IB">[2]Datos!$F$22</definedName>
    <definedName name="ind" localSheetId="19">Datos!$F$20</definedName>
    <definedName name="ind">Datos!$F$20</definedName>
    <definedName name="indirectos">[2]Datos!$F$19</definedName>
    <definedName name="itera" localSheetId="19">Items!$B$7</definedName>
    <definedName name="itera">Items!$B$6</definedName>
    <definedName name="itera_copia">[2]Aux_Niv_1!$N$3</definedName>
    <definedName name="itera_copia_2">[2]Aux_Niv_2!$N$3</definedName>
    <definedName name="iteracion221">[1]Aux_Niv_1!#REF!</definedName>
    <definedName name="iteracion222">[1]Aux_Niv_1!#REF!</definedName>
    <definedName name="iteracion223">[1]Aux_Niv_1!#REF!</definedName>
    <definedName name="iteracion224">[1]Aux_Niv_1!#REF!</definedName>
    <definedName name="iteracion225">[1]Aux_Niv_1!#REF!</definedName>
    <definedName name="iteracion226">[1]Aux_Niv_1!#REF!</definedName>
    <definedName name="iteracion227">[1]Aux_Niv_1!#REF!</definedName>
    <definedName name="iteracion228">[1]Aux_Niv_1!#REF!</definedName>
    <definedName name="iteracion229">[1]Aux_Niv_1!#REF!</definedName>
    <definedName name="iteracion230">[1]Aux_Niv_1!#REF!</definedName>
    <definedName name="iteracion231">[1]Aux_Niv_1!#REF!</definedName>
    <definedName name="iteracion232">[1]Aux_Niv_1!#REF!</definedName>
    <definedName name="iteracion233">[1]Aux_Niv_1!#REF!</definedName>
    <definedName name="iteracion234">[1]Aux_Niv_1!#REF!</definedName>
    <definedName name="iteracion235">[1]Aux_Niv_1!#REF!</definedName>
    <definedName name="iteracion236">[1]Aux_Niv_1!#REF!</definedName>
    <definedName name="iteracion237">[1]Aux_Niv_1!#REF!</definedName>
    <definedName name="iteracion238">[1]Aux_Niv_1!#REF!</definedName>
    <definedName name="iteracion239">[1]Aux_Niv_1!#REF!</definedName>
    <definedName name="iteracion240">[1]Aux_Niv_1!#REF!</definedName>
    <definedName name="iteracion241">[1]Aux_Niv_1!#REF!</definedName>
    <definedName name="iteracion242">[1]Aux_Niv_1!#REF!</definedName>
    <definedName name="iteracion243">[1]Aux_Niv_1!#REF!</definedName>
    <definedName name="iteracion244">[1]Aux_Niv_1!#REF!</definedName>
    <definedName name="iteracion245">[1]Aux_Niv_1!#REF!</definedName>
    <definedName name="iteracion246">[1]Aux_Niv_1!#REF!</definedName>
    <definedName name="iteracion247">[1]Aux_Niv_1!#REF!</definedName>
    <definedName name="iteracion248">[1]Aux_Niv_1!#REF!</definedName>
    <definedName name="iteracion249">[1]Aux_Niv_1!#REF!</definedName>
    <definedName name="iteracion250">[1]Aux_Niv_1!#REF!</definedName>
    <definedName name="iteracion251">[1]Aux_Niv_1!#REF!</definedName>
    <definedName name="iteracion252">[1]Aux_Niv_1!#REF!</definedName>
    <definedName name="iteracion253">[1]Aux_Niv_1!#REF!</definedName>
    <definedName name="iteracion254">[1]Aux_Niv_1!#REF!</definedName>
    <definedName name="iteracion255">[1]Aux_Niv_1!#REF!</definedName>
    <definedName name="iteracion256">[1]Aux_Niv_1!#REF!</definedName>
    <definedName name="iteracion257">[1]Aux_Niv_1!#REF!</definedName>
    <definedName name="iteracion258">[1]Aux_Niv_1!#REF!</definedName>
    <definedName name="iteracion259">[1]Aux_Niv_1!#REF!</definedName>
    <definedName name="iteracion260">[1]Aux_Niv_1!#REF!</definedName>
    <definedName name="iteracion261">[1]Aux_Niv_1!#REF!</definedName>
    <definedName name="iteracion262">[1]Aux_Niv_1!#REF!</definedName>
    <definedName name="iteracion263">[1]Aux_Niv_1!#REF!</definedName>
    <definedName name="iteracion264">[1]Aux_Niv_1!#REF!</definedName>
    <definedName name="iteracion265">[1]Aux_Niv_1!#REF!</definedName>
    <definedName name="iteracion266">[1]Aux_Niv_1!#REF!</definedName>
    <definedName name="iteracion267">[1]Aux_Niv_1!#REF!</definedName>
    <definedName name="iteracion268">[1]Aux_Niv_1!#REF!</definedName>
    <definedName name="iteracion269">[1]Aux_Niv_1!#REF!</definedName>
    <definedName name="iteracion270">[1]Aux_Niv_1!#REF!</definedName>
    <definedName name="iteracion271">[1]Aux_Niv_1!#REF!</definedName>
    <definedName name="iteracion272">[1]Aux_Niv_1!#REF!</definedName>
    <definedName name="iteracion273">[1]Aux_Niv_1!#REF!</definedName>
    <definedName name="iteracion274">[1]Aux_Niv_1!#REF!</definedName>
    <definedName name="iteracion275">[1]Aux_Niv_1!#REF!</definedName>
    <definedName name="iteracion276">[1]Aux_Niv_1!#REF!</definedName>
    <definedName name="iteracion277">[1]Aux_Niv_1!#REF!</definedName>
    <definedName name="iteracion278">[1]Aux_Niv_1!#REF!</definedName>
    <definedName name="iteracion279">[1]Aux_Niv_1!#REF!</definedName>
    <definedName name="iteracion280">[1]Aux_Niv_1!#REF!</definedName>
    <definedName name="iteracion281">[1]Aux_Niv_1!#REF!</definedName>
    <definedName name="iteracion282">[1]Aux_Niv_1!#REF!</definedName>
    <definedName name="iteracion283">[1]Aux_Niv_1!#REF!</definedName>
    <definedName name="iteracion284">[1]Aux_Niv_1!#REF!</definedName>
    <definedName name="iteracion285">[1]Aux_Niv_1!#REF!</definedName>
    <definedName name="iteracion286">[1]Aux_Niv_1!#REF!</definedName>
    <definedName name="iteracion287">[1]Aux_Niv_1!#REF!</definedName>
    <definedName name="iteracion288">[1]Aux_Niv_1!#REF!</definedName>
    <definedName name="iteracion289">[1]Aux_Niv_1!#REF!</definedName>
    <definedName name="iteracion290">[1]Aux_Niv_1!#REF!</definedName>
    <definedName name="iteracion291">[1]Aux_Niv_1!#REF!</definedName>
    <definedName name="iteracion292">[1]Aux_Niv_1!#REF!</definedName>
    <definedName name="iteracion293">[1]Aux_Niv_1!#REF!</definedName>
    <definedName name="iteracion294">[1]Aux_Niv_1!#REF!</definedName>
    <definedName name="iteracion295">[1]Aux_Niv_1!#REF!</definedName>
    <definedName name="iteracion296">[1]Aux_Niv_1!#REF!</definedName>
    <definedName name="iteracion297">[1]Aux_Niv_1!#REF!</definedName>
    <definedName name="iteracion298">[1]Aux_Niv_1!#REF!</definedName>
    <definedName name="iteracion299">[1]Aux_Niv_1!#REF!</definedName>
    <definedName name="iteracion300">[1]Aux_Niv_1!#REF!</definedName>
    <definedName name="iteracion301">[1]Aux_Niv_1!#REF!</definedName>
    <definedName name="iteracion302">[1]Aux_Niv_1!#REF!</definedName>
    <definedName name="iteracion303">[1]Aux_Niv_1!#REF!</definedName>
    <definedName name="iteracion304">[1]Aux_Niv_1!#REF!</definedName>
    <definedName name="iteracion305">[1]Aux_Niv_1!#REF!</definedName>
    <definedName name="iteracion306">[1]Aux_Niv_1!#REF!</definedName>
    <definedName name="iteracion307">[1]Aux_Niv_1!#REF!</definedName>
    <definedName name="iteracion308">[1]Aux_Niv_1!#REF!</definedName>
    <definedName name="iteracion309">[1]Aux_Niv_1!#REF!</definedName>
    <definedName name="iteracion310">[1]Aux_Niv_1!#REF!</definedName>
    <definedName name="iteracion311">[1]Aux_Niv_1!#REF!</definedName>
    <definedName name="iteracion312">[1]Aux_Niv_1!#REF!</definedName>
    <definedName name="iteracion313">[1]Aux_Niv_1!#REF!</definedName>
    <definedName name="iteracion314">[1]Aux_Niv_1!#REF!</definedName>
    <definedName name="iteracion315">[1]Aux_Niv_1!#REF!</definedName>
    <definedName name="iteracion316">[1]Aux_Niv_1!#REF!</definedName>
    <definedName name="iteracion317">[1]Aux_Niv_1!#REF!</definedName>
    <definedName name="iteracion318">[1]Aux_Niv_1!#REF!</definedName>
    <definedName name="iteracion319">[1]Aux_Niv_1!#REF!</definedName>
    <definedName name="iteracion320">[1]Aux_Niv_1!#REF!</definedName>
    <definedName name="iteracion321">[1]Aux_Niv_1!#REF!</definedName>
    <definedName name="iteracion322">[1]Aux_Niv_1!#REF!</definedName>
    <definedName name="iteracion323">[1]Aux_Niv_1!#REF!</definedName>
    <definedName name="iteracion324">[1]Aux_Niv_1!#REF!</definedName>
    <definedName name="iteracion325">[1]Aux_Niv_1!#REF!</definedName>
    <definedName name="iteracion326">[1]Aux_Niv_1!#REF!</definedName>
    <definedName name="iteracion327">[1]Aux_Niv_1!#REF!</definedName>
    <definedName name="iteracion328">[1]Aux_Niv_1!#REF!</definedName>
    <definedName name="iteracion329">[1]Aux_Niv_1!#REF!</definedName>
    <definedName name="iteracion330">[1]Aux_Niv_1!#REF!</definedName>
    <definedName name="iteracion331">[1]Aux_Niv_1!#REF!</definedName>
    <definedName name="iteracion332">[1]Aux_Niv_1!#REF!</definedName>
    <definedName name="iteracion333">[1]Aux_Niv_1!#REF!</definedName>
    <definedName name="iteracion334">[1]Aux_Niv_1!#REF!</definedName>
    <definedName name="iteracion335">[1]Aux_Niv_1!#REF!</definedName>
    <definedName name="iteracion336">[1]Aux_Niv_1!#REF!</definedName>
    <definedName name="iteracion337">[1]Aux_Niv_1!#REF!</definedName>
    <definedName name="iteracion338">[1]Aux_Niv_1!#REF!</definedName>
    <definedName name="iteracion339">[1]Aux_Niv_1!#REF!</definedName>
    <definedName name="iteracion340">[1]Aux_Niv_1!#REF!</definedName>
    <definedName name="iteracion341">[1]Aux_Niv_1!#REF!</definedName>
    <definedName name="iteracion342">[1]Aux_Niv_1!#REF!</definedName>
    <definedName name="iteracion343">[1]Aux_Niv_1!#REF!</definedName>
    <definedName name="iteracion344">[1]Aux_Niv_1!#REF!</definedName>
    <definedName name="iteracion345">[1]Aux_Niv_1!#REF!</definedName>
    <definedName name="iteracion346">[1]Aux_Niv_1!#REF!</definedName>
    <definedName name="iteracion347">[1]Aux_Niv_1!#REF!</definedName>
    <definedName name="iteracion348">[1]Aux_Niv_1!#REF!</definedName>
    <definedName name="iteracion349">[1]Aux_Niv_1!#REF!</definedName>
    <definedName name="iteracion350">[1]Aux_Niv_1!#REF!</definedName>
    <definedName name="iteracion351">[1]Aux_Niv_1!#REF!</definedName>
    <definedName name="iteracion352">[1]Aux_Niv_1!#REF!</definedName>
    <definedName name="iteracion353">[1]Aux_Niv_1!#REF!</definedName>
    <definedName name="iteracion354">[1]Aux_Niv_1!#REF!</definedName>
    <definedName name="iteracion355">[1]Aux_Niv_1!#REF!</definedName>
    <definedName name="iteracion356">[1]Aux_Niv_1!#REF!</definedName>
    <definedName name="iteracion357">[1]Aux_Niv_1!#REF!</definedName>
    <definedName name="iteracion358">[1]Aux_Niv_1!#REF!</definedName>
    <definedName name="iteracion359">[1]Aux_Niv_1!#REF!</definedName>
    <definedName name="iteracion360">[1]Aux_Niv_1!#REF!</definedName>
    <definedName name="iteracion361">[1]Aux_Niv_1!#REF!</definedName>
    <definedName name="iteracion362">[1]Aux_Niv_1!#REF!</definedName>
    <definedName name="iteracion363">[1]Aux_Niv_1!#REF!</definedName>
    <definedName name="iteracion364">[1]Aux_Niv_1!#REF!</definedName>
    <definedName name="iteracion365">[1]Aux_Niv_1!#REF!</definedName>
    <definedName name="iteracion366">[1]Aux_Niv_1!#REF!</definedName>
    <definedName name="iteracion367">[1]Aux_Niv_1!#REF!</definedName>
    <definedName name="iteracion368">[1]Aux_Niv_1!#REF!</definedName>
    <definedName name="iteracion369">[1]Aux_Niv_1!#REF!</definedName>
    <definedName name="iteracion370">[1]Aux_Niv_1!#REF!</definedName>
    <definedName name="iteracion371">[1]Aux_Niv_1!#REF!</definedName>
    <definedName name="iteracion372">[1]Aux_Niv_1!#REF!</definedName>
    <definedName name="iteracion373">[1]Aux_Niv_1!#REF!</definedName>
    <definedName name="iteracion374">[1]Aux_Niv_1!#REF!</definedName>
    <definedName name="iteracion375">[1]Aux_Niv_1!#REF!</definedName>
    <definedName name="iteracion376">[1]Aux_Niv_1!#REF!</definedName>
    <definedName name="iteracion377">[1]Aux_Niv_1!#REF!</definedName>
    <definedName name="iteracion378">[1]Aux_Niv_1!#REF!</definedName>
    <definedName name="iteracion379">[1]Aux_Niv_1!#REF!</definedName>
    <definedName name="iteracion380">[1]Aux_Niv_1!#REF!</definedName>
    <definedName name="iteracion381">[1]Aux_Niv_1!#REF!</definedName>
    <definedName name="iteracion382">[1]Aux_Niv_1!#REF!</definedName>
    <definedName name="iteracion383">[1]Aux_Niv_1!#REF!</definedName>
    <definedName name="iteracion384">[1]Aux_Niv_1!#REF!</definedName>
    <definedName name="iteracion385">[1]Aux_Niv_1!#REF!</definedName>
    <definedName name="iteracion386">[1]Aux_Niv_1!#REF!</definedName>
    <definedName name="iteracion387">[1]Aux_Niv_1!#REF!</definedName>
    <definedName name="iteracion388">[1]Aux_Niv_1!#REF!</definedName>
    <definedName name="iteracion389">[1]Aux_Niv_1!#REF!</definedName>
    <definedName name="iteracion390">[1]Aux_Niv_1!#REF!</definedName>
    <definedName name="iteracion391">[1]Aux_Niv_1!#REF!</definedName>
    <definedName name="iteracion392">[1]Aux_Niv_1!#REF!</definedName>
    <definedName name="iteracion393">[1]Aux_Niv_1!#REF!</definedName>
    <definedName name="iteracion394">[1]Aux_Niv_1!#REF!</definedName>
    <definedName name="iteracion395">[1]Aux_Niv_1!#REF!</definedName>
    <definedName name="iteracion396">[1]Aux_Niv_1!#REF!</definedName>
    <definedName name="iteracion397">[1]Aux_Niv_1!#REF!</definedName>
    <definedName name="iteracion398">[1]Aux_Niv_1!#REF!</definedName>
    <definedName name="iteracion399">[1]Aux_Niv_1!#REF!</definedName>
    <definedName name="iteracion400">[1]Aux_Niv_1!#REF!</definedName>
    <definedName name="iteracion401">[1]Aux_Niv_1!#REF!</definedName>
    <definedName name="iteracion402">[1]Aux_Niv_1!#REF!</definedName>
    <definedName name="iteracion403">[1]Aux_Niv_1!#REF!</definedName>
    <definedName name="iteracion404">[1]Aux_Niv_1!#REF!</definedName>
    <definedName name="iteracion405">[1]Aux_Niv_1!#REF!</definedName>
    <definedName name="iteracion406">[1]Aux_Niv_1!#REF!</definedName>
    <definedName name="iteracion407">[1]Aux_Niv_1!#REF!</definedName>
    <definedName name="iteracion408">[1]Aux_Niv_1!#REF!</definedName>
    <definedName name="iteracion409">[1]Aux_Niv_1!#REF!</definedName>
    <definedName name="iteracion410">[1]Aux_Niv_1!#REF!</definedName>
    <definedName name="iteracion411">[1]Aux_Niv_1!#REF!</definedName>
    <definedName name="iteracion412">[1]Aux_Niv_1!#REF!</definedName>
    <definedName name="iteracion413">[1]Aux_Niv_1!#REF!</definedName>
    <definedName name="iteracion414">[1]Aux_Niv_1!#REF!</definedName>
    <definedName name="iteracion415">[1]Aux_Niv_1!#REF!</definedName>
    <definedName name="iteracion416">[1]Aux_Niv_1!#REF!</definedName>
    <definedName name="iteracion417">[1]Aux_Niv_1!#REF!</definedName>
    <definedName name="iteracion418">[1]Aux_Niv_1!#REF!</definedName>
    <definedName name="iteracion419">[1]Aux_Niv_1!#REF!</definedName>
    <definedName name="iteracion420">[1]Aux_Niv_1!#REF!</definedName>
    <definedName name="iteracion421">[1]Aux_Niv_1!#REF!</definedName>
    <definedName name="iteracion422">[1]Aux_Niv_1!#REF!</definedName>
    <definedName name="iteracion423">[1]Aux_Niv_1!#REF!</definedName>
    <definedName name="iteracion424">[1]Aux_Niv_1!#REF!</definedName>
    <definedName name="iteracion425">[1]Aux_Niv_1!#REF!</definedName>
    <definedName name="iteracion426">[1]Aux_Niv_1!#REF!</definedName>
    <definedName name="iteracion427">[1]Aux_Niv_1!#REF!</definedName>
    <definedName name="iteracion428">[1]Aux_Niv_1!#REF!</definedName>
    <definedName name="iteracion429">[1]Aux_Niv_1!#REF!</definedName>
    <definedName name="iteracion430">[1]Aux_Niv_1!#REF!</definedName>
    <definedName name="iteracion431">[1]Aux_Niv_1!#REF!</definedName>
    <definedName name="iteracion432">[1]Aux_Niv_1!#REF!</definedName>
    <definedName name="iteracion433">[1]Aux_Niv_1!#REF!</definedName>
    <definedName name="iteracion434">[1]Aux_Niv_1!#REF!</definedName>
    <definedName name="iteracion435">[1]Aux_Niv_1!#REF!</definedName>
    <definedName name="iteracion436">[1]Aux_Niv_1!#REF!</definedName>
    <definedName name="iteracion437">[1]Aux_Niv_1!#REF!</definedName>
    <definedName name="iteracion438">[1]Aux_Niv_1!#REF!</definedName>
    <definedName name="iteracion439">[1]Aux_Niv_1!#REF!</definedName>
    <definedName name="iteracion440">[1]Aux_Niv_1!#REF!</definedName>
    <definedName name="iteracion441">[1]Aux_Niv_1!#REF!</definedName>
    <definedName name="iteracion442">[1]Aux_Niv_1!#REF!</definedName>
    <definedName name="iteracion443">[1]Aux_Niv_1!#REF!</definedName>
    <definedName name="iteracion444">[1]Aux_Niv_1!#REF!</definedName>
    <definedName name="iteracion445">[1]Aux_Niv_1!#REF!</definedName>
    <definedName name="iteracion446">[1]Aux_Niv_1!#REF!</definedName>
    <definedName name="iteracion447">[1]Aux_Niv_1!#REF!</definedName>
    <definedName name="iteracion448">[1]Aux_Niv_1!#REF!</definedName>
    <definedName name="iteracion449">[1]Aux_Niv_1!#REF!</definedName>
    <definedName name="iteracion450">[1]Aux_Niv_1!#REF!</definedName>
    <definedName name="iteracion451">[1]Aux_Niv_1!#REF!</definedName>
    <definedName name="iteracion452">[1]Aux_Niv_1!#REF!</definedName>
    <definedName name="iteracion453">[1]Aux_Niv_1!#REF!</definedName>
    <definedName name="iteracion454">[1]Aux_Niv_1!#REF!</definedName>
    <definedName name="iteracion455">[1]Aux_Niv_1!#REF!</definedName>
    <definedName name="iteracion456">[1]Aux_Niv_1!#REF!</definedName>
    <definedName name="iteracion457">[1]Aux_Niv_1!#REF!</definedName>
    <definedName name="iteracion458">[1]Aux_Niv_1!#REF!</definedName>
    <definedName name="iteracion459">[1]Aux_Niv_1!#REF!</definedName>
    <definedName name="iteracion460">[1]Aux_Niv_1!#REF!</definedName>
    <definedName name="iteracion461">[1]Aux_Niv_1!#REF!</definedName>
    <definedName name="iteracion462">[1]Aux_Niv_1!#REF!</definedName>
    <definedName name="iteracion463">[1]Aux_Niv_1!#REF!</definedName>
    <definedName name="iteracion464">[1]Aux_Niv_1!#REF!</definedName>
    <definedName name="iteracion465">[1]Aux_Niv_1!#REF!</definedName>
    <definedName name="iteracion466">[1]Aux_Niv_1!#REF!</definedName>
    <definedName name="iteracion467">[1]Aux_Niv_1!#REF!</definedName>
    <definedName name="iteracion468">[1]Aux_Niv_1!#REF!</definedName>
    <definedName name="iteracion469">[1]Aux_Niv_1!#REF!</definedName>
    <definedName name="iteracion470">[1]Aux_Niv_1!#REF!</definedName>
    <definedName name="iteracion471">[1]Aux_Niv_1!#REF!</definedName>
    <definedName name="iteracion472">[1]Aux_Niv_1!#REF!</definedName>
    <definedName name="iteracion473">[1]Aux_Niv_1!#REF!</definedName>
    <definedName name="iteracion474">[1]Aux_Niv_1!#REF!</definedName>
    <definedName name="iva" localSheetId="19">Datos!$F$24</definedName>
    <definedName name="iva">Datos!$F$24</definedName>
    <definedName name="LD_F" localSheetId="19">Datos!$Q$29</definedName>
    <definedName name="LD_F">Datos!$Q$29</definedName>
    <definedName name="LD_P" localSheetId="19">Datos!$R$29</definedName>
    <definedName name="LD_P">Datos!$R$29</definedName>
    <definedName name="licencia" localSheetId="19">Datos!$K$28</definedName>
    <definedName name="licencia">Datos!$K$28</definedName>
    <definedName name="licenciaespecial" localSheetId="19">Datos!$K$37</definedName>
    <definedName name="licenciaespecial">Datos!$K$37</definedName>
    <definedName name="licitacion" localSheetId="19">Datos!$C$7</definedName>
    <definedName name="licitacion">Datos!$C$8</definedName>
    <definedName name="LO_F" localSheetId="19">Datos!$Q$30</definedName>
    <definedName name="LO_F">Datos!$Q$30</definedName>
    <definedName name="LO_P" localSheetId="19">Datos!$R$30</definedName>
    <definedName name="LO_P">Datos!$R$30</definedName>
    <definedName name="long" localSheetId="19">Datos!$D$35</definedName>
    <definedName name="long">Datos!$D$35</definedName>
    <definedName name="LS_F" localSheetId="19">Datos!$Q$15</definedName>
    <definedName name="LS_F">Datos!$Q$15</definedName>
    <definedName name="LS_P" localSheetId="19">Datos!$R$15</definedName>
    <definedName name="LS_P">Datos!$R$15</definedName>
    <definedName name="lub" localSheetId="19">Datos!$F$16</definedName>
    <definedName name="lub">Datos!$F$16</definedName>
    <definedName name="lugar" localSheetId="19">Datos!$C$5</definedName>
    <definedName name="lugar">Datos!$C$5</definedName>
    <definedName name="mat" localSheetId="19">Recursos!$C$53</definedName>
    <definedName name="mat">Recursos!$C$76</definedName>
    <definedName name="mat_item" localSheetId="19">Recursos!$B$53</definedName>
    <definedName name="mat_item">Recursos!$B$76</definedName>
    <definedName name="MD_F" localSheetId="19">Datos!$Q$28</definedName>
    <definedName name="MD_F">Datos!$Q$28</definedName>
    <definedName name="MD_P" localSheetId="19">Datos!$R$28</definedName>
    <definedName name="MD_P">Datos!$R$28</definedName>
    <definedName name="mod" localSheetId="19">Recursos!$C$6</definedName>
    <definedName name="mod">Recursos!$C$6</definedName>
    <definedName name="mod_item" localSheetId="19">Recursos!$B$6</definedName>
    <definedName name="mod_item">Recursos!$B$6</definedName>
    <definedName name="mof" localSheetId="19">MOd_CE!$J$49</definedName>
    <definedName name="mof">MOd_CE!$J$49</definedName>
    <definedName name="moi" localSheetId="19">Recursos!$C$19</definedName>
    <definedName name="moi">Recursos!$C$14</definedName>
    <definedName name="moi_ag" localSheetId="19">MOi_CE!$B$39</definedName>
    <definedName name="moi_ag">MOi_CE!$B$67</definedName>
    <definedName name="moi_cc" localSheetId="19">MOi_CE!$B$7</definedName>
    <definedName name="moi_cc">MOi_CE!$B$7</definedName>
    <definedName name="moi_item" localSheetId="19">Recursos!$B$19</definedName>
    <definedName name="moi_item">Recursos!$B$14</definedName>
    <definedName name="netas" localSheetId="19">Datos!$M$10</definedName>
    <definedName name="netas">Datos!$M$10</definedName>
    <definedName name="obra" localSheetId="19">Datos!$C$3</definedName>
    <definedName name="obra">Datos!$C$3</definedName>
    <definedName name="of" localSheetId="19">MOd_CE!$I$49</definedName>
    <definedName name="of">MOd_CE!$I$49</definedName>
    <definedName name="ofe" localSheetId="19">MOd_CE!$H$49</definedName>
    <definedName name="ofe">MOd_CE!$H$49</definedName>
    <definedName name="oferente" localSheetId="19">Datos!$C$32</definedName>
    <definedName name="oferente">Datos!$C$32</definedName>
    <definedName name="ope" localSheetId="19">MOd_CE!$G$49</definedName>
    <definedName name="ope">MOd_CE!$G$49</definedName>
    <definedName name="otraslicencias" localSheetId="19">Datos!$K$31</definedName>
    <definedName name="otraslicencias">Datos!$K$31</definedName>
    <definedName name="PA_F" localSheetId="19">Datos!$Q$34</definedName>
    <definedName name="PA_F">Datos!$Q$34</definedName>
    <definedName name="PA_P" localSheetId="19">Datos!$R$34</definedName>
    <definedName name="PA_P">Datos!$R$34</definedName>
    <definedName name="PE_F" localSheetId="19">Datos!$Q$10</definedName>
    <definedName name="PE_F">Datos!$Q$10</definedName>
    <definedName name="PE_P" localSheetId="19">Datos!$R$10</definedName>
    <definedName name="PE_P">Datos!$R$10</definedName>
    <definedName name="per" localSheetId="19">Datos!$F$19</definedName>
    <definedName name="per">Datos!$F$19</definedName>
    <definedName name="perdidas">[2]Datos!$F$18</definedName>
    <definedName name="PI_F" localSheetId="19">Datos!$Q$11</definedName>
    <definedName name="PI_F">Datos!$Q$11</definedName>
    <definedName name="PI_P" localSheetId="19">Datos!$R$11</definedName>
    <definedName name="PI_P">Datos!$R$11</definedName>
    <definedName name="plaef" localSheetId="19">Datos!$C$7</definedName>
    <definedName name="plaef">Datos!$C$7</definedName>
    <definedName name="plazo" localSheetId="19">[3]Datos!$C$6</definedName>
    <definedName name="plazo">Datos!$C$6</definedName>
    <definedName name="po" localSheetId="19">Datos!$C$31</definedName>
    <definedName name="po">Datos!$C$31</definedName>
    <definedName name="PRECIO">[4]Datos!#REF!</definedName>
    <definedName name="presen_formal">[1]Pres_Formal!#REF!</definedName>
    <definedName name="presenta" localSheetId="19">Datos!$C$33</definedName>
    <definedName name="presenta">Datos!$C$33</definedName>
    <definedName name="query_niv1" localSheetId="19">'AUX-NIV1'!$B$6</definedName>
    <definedName name="query_niv1">'AUX-NIV1'!$B$6</definedName>
    <definedName name="query_niv2" localSheetId="19">'AUX-NIV2'!$B$6</definedName>
    <definedName name="query_niv2">'AUX-NIV2'!$B$6</definedName>
    <definedName name="query_niv3" localSheetId="19">'AUX-NIV3'!$B$6</definedName>
    <definedName name="query_niv3">'AUX-NIV3'!$B$6</definedName>
    <definedName name="RR">[2]Datos!$F$14</definedName>
    <definedName name="RS_F" localSheetId="19">Datos!$Q$16</definedName>
    <definedName name="RS_F">Datos!$Q$16</definedName>
    <definedName name="RS_P" localSheetId="19">Datos!$R$16</definedName>
    <definedName name="RS_P">Datos!$R$16</definedName>
    <definedName name="ryr" localSheetId="19">Datos!$F$15</definedName>
    <definedName name="ryr">Datos!$F$15</definedName>
    <definedName name="sabados" localSheetId="19">Datos!$K$15</definedName>
    <definedName name="sabados">Datos!$K$15</definedName>
    <definedName name="sub" localSheetId="19">Recursos!$C$461</definedName>
    <definedName name="sub">Recursos!$C$950</definedName>
    <definedName name="sub_mo" localSheetId="19">Recursos!$H$6</definedName>
    <definedName name="sub_mo" localSheetId="14">Recursos!$H$6</definedName>
    <definedName name="sub_mo">Recursos!$H$6</definedName>
    <definedName name="subc_item" localSheetId="19">Recursos!$B$461</definedName>
    <definedName name="subc_item">Recursos!$B$950</definedName>
    <definedName name="TA_F" localSheetId="19">Datos!$Q$14</definedName>
    <definedName name="TA_F">Datos!$Q$14</definedName>
    <definedName name="TA_P" localSheetId="19">Datos!$R$14</definedName>
    <definedName name="TA_P">Datos!$R$14</definedName>
    <definedName name="TIB">[2]Datos!$B$22</definedName>
    <definedName name="_xlnm.Print_Titles" localSheetId="13">Crono!$2:$11</definedName>
    <definedName name="_xlnm.Print_Titles" localSheetId="18">EQ_CE!$2:$5</definedName>
    <definedName name="_xlnm.Print_Titles" localSheetId="1">Items!$2:$9</definedName>
    <definedName name="_xlnm.Print_Titles" localSheetId="14">Precio!$2:$4</definedName>
    <definedName name="_xlnm.Print_Titles" localSheetId="15">Recursos!$5:$5</definedName>
    <definedName name="tra" localSheetId="19">Recursos!$C$617</definedName>
    <definedName name="tra">Recursos!$C$1453</definedName>
    <definedName name="transp_item" localSheetId="19">Recursos!$B$617</definedName>
    <definedName name="transp_item">Recursos!#REF!</definedName>
    <definedName name="usd" localSheetId="19">Datos!$F$12</definedName>
    <definedName name="usd">Datos!$F$12</definedName>
    <definedName name="v_red" localSheetId="19">Recursos!$BO$801</definedName>
    <definedName name="v_red">Recursos!$BO$1174</definedName>
    <definedName name="valor_final">[2]Aux_Niv_2!$N$5</definedName>
    <definedName name="valor_final_1">[2]Aux_Niv_1!$N$5</definedName>
    <definedName name="VIG">[2]Datos!$F$23</definedName>
    <definedName name="vres" localSheetId="19">Datos!$F$17</definedName>
    <definedName name="vres">Datos!$F$17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00" i="4" l="1"/>
  <c r="F883" i="1"/>
  <c r="M1004" i="4"/>
  <c r="M1011" i="4"/>
  <c r="N1011" i="4"/>
  <c r="O1011" i="4" s="1"/>
  <c r="N1401" i="13" l="1"/>
  <c r="N1399" i="13"/>
  <c r="N1398" i="13"/>
  <c r="M1497" i="13"/>
  <c r="N1498" i="13" s="1"/>
  <c r="M1474" i="13"/>
  <c r="M1459" i="13"/>
  <c r="N1497" i="13" l="1"/>
  <c r="O1084" i="4" l="1"/>
  <c r="F924" i="1"/>
  <c r="BS924" i="1"/>
  <c r="F579" i="1"/>
  <c r="AM1086" i="4"/>
  <c r="AK1086" i="4"/>
  <c r="AI1086" i="4"/>
  <c r="AG1086" i="4"/>
  <c r="AL1086" i="4" s="1"/>
  <c r="AE1086" i="4"/>
  <c r="AD1086" i="4"/>
  <c r="AC1086" i="4"/>
  <c r="AB1086" i="4"/>
  <c r="AA1086" i="4"/>
  <c r="Z1086" i="4"/>
  <c r="O1086" i="4"/>
  <c r="L1086" i="4"/>
  <c r="P1086" i="4" s="1"/>
  <c r="K1086" i="4"/>
  <c r="J1086" i="4"/>
  <c r="H1086" i="4"/>
  <c r="E1086" i="4"/>
  <c r="AM1085" i="4"/>
  <c r="AK1085" i="4"/>
  <c r="AI1085" i="4"/>
  <c r="AG1085" i="4"/>
  <c r="AL1085" i="4" s="1"/>
  <c r="AE1085" i="4"/>
  <c r="AD1085" i="4"/>
  <c r="AC1085" i="4"/>
  <c r="AB1085" i="4"/>
  <c r="AA1085" i="4"/>
  <c r="Z1085" i="4"/>
  <c r="M1085" i="4"/>
  <c r="O1085" i="4" s="1"/>
  <c r="L1085" i="4"/>
  <c r="K1085" i="4"/>
  <c r="J1085" i="4"/>
  <c r="H1085" i="4"/>
  <c r="AV1085" i="4" s="1"/>
  <c r="E1085" i="4"/>
  <c r="AV1084" i="4"/>
  <c r="AM1084" i="4"/>
  <c r="AK1084" i="4"/>
  <c r="AL1084" i="4" s="1"/>
  <c r="AI1084" i="4"/>
  <c r="AH1084" i="4"/>
  <c r="AN1084" i="4" s="1"/>
  <c r="AG1084" i="4"/>
  <c r="AF1084" i="4"/>
  <c r="AE1084" i="4"/>
  <c r="AD1084" i="4"/>
  <c r="AC1084" i="4"/>
  <c r="AB1084" i="4"/>
  <c r="AA1084" i="4"/>
  <c r="Z1084" i="4"/>
  <c r="L1084" i="4"/>
  <c r="P1084" i="4" s="1"/>
  <c r="K1084" i="4"/>
  <c r="J1084" i="4"/>
  <c r="H1084" i="4"/>
  <c r="E1084" i="4"/>
  <c r="Q1084" i="4" s="1"/>
  <c r="AM1083" i="4"/>
  <c r="AK1083" i="4"/>
  <c r="AI1083" i="4"/>
  <c r="AG1083" i="4"/>
  <c r="AL1083" i="4" s="1"/>
  <c r="AE1083" i="4"/>
  <c r="AD1083" i="4"/>
  <c r="AC1083" i="4"/>
  <c r="AB1083" i="4"/>
  <c r="AA1083" i="4"/>
  <c r="Z1083" i="4"/>
  <c r="O1083" i="4"/>
  <c r="Q1083" i="4" s="1"/>
  <c r="K1083" i="4"/>
  <c r="J1083" i="4"/>
  <c r="H1083" i="4"/>
  <c r="AV1083" i="4" s="1"/>
  <c r="E1083" i="4"/>
  <c r="AM1082" i="4"/>
  <c r="AK1082" i="4"/>
  <c r="AI1082" i="4"/>
  <c r="AG1082" i="4"/>
  <c r="AL1082" i="4" s="1"/>
  <c r="AE1082" i="4"/>
  <c r="AD1082" i="4"/>
  <c r="AC1082" i="4"/>
  <c r="AB1082" i="4"/>
  <c r="AA1082" i="4"/>
  <c r="Z1082" i="4"/>
  <c r="O1082" i="4"/>
  <c r="Q1082" i="4" s="1"/>
  <c r="K1082" i="4"/>
  <c r="J1082" i="4"/>
  <c r="H1082" i="4"/>
  <c r="E1082" i="4"/>
  <c r="AM1081" i="4"/>
  <c r="AK1081" i="4"/>
  <c r="AI1081" i="4"/>
  <c r="AG1081" i="4"/>
  <c r="AL1081" i="4" s="1"/>
  <c r="AE1081" i="4"/>
  <c r="AD1081" i="4"/>
  <c r="AC1081" i="4"/>
  <c r="AB1081" i="4"/>
  <c r="AA1081" i="4"/>
  <c r="Z1081" i="4"/>
  <c r="N1081" i="4"/>
  <c r="O1081" i="4" s="1"/>
  <c r="L1081" i="4"/>
  <c r="K1081" i="4"/>
  <c r="J1081" i="4"/>
  <c r="H1081" i="4"/>
  <c r="AV1081" i="4" s="1"/>
  <c r="E1081" i="4"/>
  <c r="F925" i="1"/>
  <c r="L1007" i="4" s="1"/>
  <c r="M1007" i="4"/>
  <c r="O1007" i="4" s="1"/>
  <c r="K1007" i="4"/>
  <c r="J1007" i="4"/>
  <c r="BS925" i="1"/>
  <c r="M1393" i="13"/>
  <c r="O32" i="4"/>
  <c r="O31" i="4"/>
  <c r="O30" i="4"/>
  <c r="O29" i="4"/>
  <c r="O28" i="4"/>
  <c r="O27" i="4"/>
  <c r="O517" i="4"/>
  <c r="N91" i="13"/>
  <c r="N88" i="13"/>
  <c r="O86" i="13"/>
  <c r="O85" i="13"/>
  <c r="O84" i="13"/>
  <c r="N85" i="13"/>
  <c r="N84" i="13"/>
  <c r="F923" i="1"/>
  <c r="F906" i="1"/>
  <c r="F896" i="1"/>
  <c r="F872" i="1"/>
  <c r="F817" i="1"/>
  <c r="F847" i="1"/>
  <c r="F812" i="1"/>
  <c r="F811" i="1"/>
  <c r="F803" i="1"/>
  <c r="F791" i="1"/>
  <c r="F790" i="1"/>
  <c r="E1389" i="13"/>
  <c r="E1388" i="13"/>
  <c r="E1387" i="13"/>
  <c r="E1386" i="13"/>
  <c r="E1385" i="13"/>
  <c r="E1384" i="13"/>
  <c r="E1383" i="13"/>
  <c r="E1382" i="13"/>
  <c r="F794" i="1"/>
  <c r="F759" i="1"/>
  <c r="L713" i="4" s="1"/>
  <c r="F545" i="1"/>
  <c r="N1037" i="4"/>
  <c r="L1038" i="4"/>
  <c r="K1038" i="4"/>
  <c r="J1038" i="4"/>
  <c r="AM1037" i="4"/>
  <c r="AK1037" i="4"/>
  <c r="AI1037" i="4"/>
  <c r="AG1037" i="4"/>
  <c r="AE1037" i="4"/>
  <c r="AD1037" i="4"/>
  <c r="AC1037" i="4"/>
  <c r="AB1037" i="4"/>
  <c r="AA1037" i="4"/>
  <c r="Z1037" i="4"/>
  <c r="O1037" i="4"/>
  <c r="L1037" i="4"/>
  <c r="K1037" i="4"/>
  <c r="J1037" i="4"/>
  <c r="H1037" i="4"/>
  <c r="AV1037" i="4" s="1"/>
  <c r="E1037" i="4"/>
  <c r="F390" i="1"/>
  <c r="F353" i="1"/>
  <c r="F352" i="1"/>
  <c r="F348" i="1"/>
  <c r="N1410" i="13"/>
  <c r="N1400" i="13"/>
  <c r="F136" i="1"/>
  <c r="F120" i="1"/>
  <c r="F106" i="1"/>
  <c r="F80" i="1"/>
  <c r="N182" i="4"/>
  <c r="N1057" i="4"/>
  <c r="E1080" i="4"/>
  <c r="E1079" i="4"/>
  <c r="E1078" i="4"/>
  <c r="E1077" i="4"/>
  <c r="J1080" i="4"/>
  <c r="O1498" i="13"/>
  <c r="O1497" i="13"/>
  <c r="N1501" i="13"/>
  <c r="E1031" i="4"/>
  <c r="N1079" i="4"/>
  <c r="O1079" i="4" s="1"/>
  <c r="O1078" i="4"/>
  <c r="O1077" i="4"/>
  <c r="Q1077" i="4" s="1"/>
  <c r="AM1080" i="4"/>
  <c r="AK1080" i="4"/>
  <c r="AI1080" i="4"/>
  <c r="AG1080" i="4"/>
  <c r="AE1080" i="4"/>
  <c r="AD1080" i="4"/>
  <c r="AC1080" i="4"/>
  <c r="AB1080" i="4"/>
  <c r="AA1080" i="4"/>
  <c r="Z1080" i="4"/>
  <c r="O1080" i="4"/>
  <c r="L1080" i="4"/>
  <c r="K1080" i="4"/>
  <c r="H1080" i="4"/>
  <c r="AK1079" i="4"/>
  <c r="AI1079" i="4"/>
  <c r="AG1079" i="4"/>
  <c r="AE1079" i="4"/>
  <c r="AD1079" i="4"/>
  <c r="AC1079" i="4"/>
  <c r="AB1079" i="4"/>
  <c r="AA1079" i="4"/>
  <c r="Z1079" i="4"/>
  <c r="L1079" i="4"/>
  <c r="K1079" i="4"/>
  <c r="J1079" i="4"/>
  <c r="H1079" i="4"/>
  <c r="AK1078" i="4"/>
  <c r="AL1078" i="4" s="1"/>
  <c r="AI1078" i="4"/>
  <c r="AG1078" i="4"/>
  <c r="AE1078" i="4"/>
  <c r="AD1078" i="4"/>
  <c r="AC1078" i="4"/>
  <c r="AB1078" i="4"/>
  <c r="AA1078" i="4"/>
  <c r="Z1078" i="4"/>
  <c r="K1078" i="4"/>
  <c r="J1078" i="4"/>
  <c r="H1078" i="4"/>
  <c r="AH1078" i="4" s="1"/>
  <c r="AN1078" i="4" s="1"/>
  <c r="AM1077" i="4"/>
  <c r="AM1078" i="4" s="1"/>
  <c r="AM1079" i="4" s="1"/>
  <c r="AK1077" i="4"/>
  <c r="AI1077" i="4"/>
  <c r="AG1077" i="4"/>
  <c r="AE1077" i="4"/>
  <c r="AD1077" i="4"/>
  <c r="AC1077" i="4"/>
  <c r="AB1077" i="4"/>
  <c r="AA1077" i="4"/>
  <c r="Z1077" i="4"/>
  <c r="K1077" i="4"/>
  <c r="J1077" i="4"/>
  <c r="H1077" i="4"/>
  <c r="AH1077" i="4" s="1"/>
  <c r="AN1077" i="4" s="1"/>
  <c r="O484" i="4"/>
  <c r="O483" i="4"/>
  <c r="O485" i="4"/>
  <c r="AM485" i="4"/>
  <c r="AK485" i="4"/>
  <c r="AI485" i="4"/>
  <c r="AG485" i="4"/>
  <c r="AE485" i="4"/>
  <c r="AD485" i="4"/>
  <c r="AC485" i="4"/>
  <c r="AB485" i="4"/>
  <c r="AA485" i="4"/>
  <c r="Z485" i="4"/>
  <c r="L485" i="4"/>
  <c r="K485" i="4"/>
  <c r="J485" i="4"/>
  <c r="H485" i="4"/>
  <c r="AV485" i="4" s="1"/>
  <c r="E485" i="4"/>
  <c r="AK484" i="4"/>
  <c r="AI484" i="4"/>
  <c r="AG484" i="4"/>
  <c r="AE484" i="4"/>
  <c r="AD484" i="4"/>
  <c r="AC484" i="4"/>
  <c r="AB484" i="4"/>
  <c r="AA484" i="4"/>
  <c r="Z484" i="4"/>
  <c r="K484" i="4"/>
  <c r="J484" i="4"/>
  <c r="H484" i="4"/>
  <c r="AV484" i="4" s="1"/>
  <c r="E484" i="4"/>
  <c r="Q484" i="4" s="1"/>
  <c r="AM483" i="4"/>
  <c r="AM484" i="4" s="1"/>
  <c r="AK483" i="4"/>
  <c r="AI483" i="4"/>
  <c r="AG483" i="4"/>
  <c r="AE483" i="4"/>
  <c r="AD483" i="4"/>
  <c r="AC483" i="4"/>
  <c r="AB483" i="4"/>
  <c r="AA483" i="4"/>
  <c r="Z483" i="4"/>
  <c r="K483" i="4"/>
  <c r="J483" i="4"/>
  <c r="H483" i="4"/>
  <c r="AF483" i="4" s="1"/>
  <c r="E483" i="4"/>
  <c r="J452" i="4"/>
  <c r="AK450" i="4"/>
  <c r="AI450" i="4"/>
  <c r="AG450" i="4"/>
  <c r="AE450" i="4"/>
  <c r="AD450" i="4"/>
  <c r="AC450" i="4"/>
  <c r="AB450" i="4"/>
  <c r="AA450" i="4"/>
  <c r="Z450" i="4"/>
  <c r="O450" i="4"/>
  <c r="K450" i="4"/>
  <c r="J450" i="4"/>
  <c r="H450" i="4"/>
  <c r="AV450" i="4" s="1"/>
  <c r="E450" i="4"/>
  <c r="AK449" i="4"/>
  <c r="AI449" i="4"/>
  <c r="AG449" i="4"/>
  <c r="AE449" i="4"/>
  <c r="AD449" i="4"/>
  <c r="AC449" i="4"/>
  <c r="AB449" i="4"/>
  <c r="AA449" i="4"/>
  <c r="Z449" i="4"/>
  <c r="O449" i="4"/>
  <c r="K449" i="4"/>
  <c r="J449" i="4"/>
  <c r="H449" i="4"/>
  <c r="AV449" i="4" s="1"/>
  <c r="E449" i="4"/>
  <c r="BN353" i="1"/>
  <c r="J453" i="4"/>
  <c r="AK454" i="4"/>
  <c r="AI454" i="4"/>
  <c r="AG454" i="4"/>
  <c r="AE454" i="4"/>
  <c r="AD454" i="4"/>
  <c r="AC454" i="4"/>
  <c r="AB454" i="4"/>
  <c r="AA454" i="4"/>
  <c r="Z454" i="4"/>
  <c r="O454" i="4"/>
  <c r="K454" i="4"/>
  <c r="J454" i="4"/>
  <c r="H454" i="4"/>
  <c r="E454" i="4"/>
  <c r="BN352" i="1"/>
  <c r="BN351" i="1"/>
  <c r="G351" i="1"/>
  <c r="F351" i="1"/>
  <c r="N1061" i="4"/>
  <c r="N1060" i="4"/>
  <c r="J1072" i="4"/>
  <c r="J1071" i="4"/>
  <c r="J1070" i="4"/>
  <c r="J1069" i="4"/>
  <c r="AM1069" i="4"/>
  <c r="AK1069" i="4"/>
  <c r="AI1069" i="4"/>
  <c r="AG1069" i="4"/>
  <c r="AE1069" i="4"/>
  <c r="AD1069" i="4"/>
  <c r="AC1069" i="4"/>
  <c r="AB1069" i="4"/>
  <c r="AA1069" i="4"/>
  <c r="Z1069" i="4"/>
  <c r="O1069" i="4"/>
  <c r="L1069" i="4"/>
  <c r="K1069" i="4"/>
  <c r="H1069" i="4"/>
  <c r="E1069" i="4"/>
  <c r="AM1070" i="4"/>
  <c r="AK1070" i="4"/>
  <c r="AI1070" i="4"/>
  <c r="AG1070" i="4"/>
  <c r="AE1070" i="4"/>
  <c r="AD1070" i="4"/>
  <c r="AC1070" i="4"/>
  <c r="AB1070" i="4"/>
  <c r="AA1070" i="4"/>
  <c r="Z1070" i="4"/>
  <c r="O1070" i="4"/>
  <c r="L1070" i="4"/>
  <c r="K1070" i="4"/>
  <c r="H1070" i="4"/>
  <c r="AV1070" i="4" s="1"/>
  <c r="E1070" i="4"/>
  <c r="AM1071" i="4"/>
  <c r="AK1071" i="4"/>
  <c r="AI1071" i="4"/>
  <c r="AG1071" i="4"/>
  <c r="AE1071" i="4"/>
  <c r="AD1071" i="4"/>
  <c r="AC1071" i="4"/>
  <c r="AB1071" i="4"/>
  <c r="AA1071" i="4"/>
  <c r="Z1071" i="4"/>
  <c r="O1071" i="4"/>
  <c r="K1071" i="4"/>
  <c r="H1071" i="4"/>
  <c r="E1071" i="4"/>
  <c r="AM1068" i="4"/>
  <c r="AK1068" i="4"/>
  <c r="AI1068" i="4"/>
  <c r="AG1068" i="4"/>
  <c r="AE1068" i="4"/>
  <c r="AD1068" i="4"/>
  <c r="AC1068" i="4"/>
  <c r="AB1068" i="4"/>
  <c r="AA1068" i="4"/>
  <c r="Z1068" i="4"/>
  <c r="O1068" i="4"/>
  <c r="L1068" i="4"/>
  <c r="K1068" i="4"/>
  <c r="J1068" i="4"/>
  <c r="H1068" i="4"/>
  <c r="AV1068" i="4" s="1"/>
  <c r="E1068" i="4"/>
  <c r="AM1072" i="4"/>
  <c r="AK1072" i="4"/>
  <c r="AI1072" i="4"/>
  <c r="AG1072" i="4"/>
  <c r="AE1072" i="4"/>
  <c r="AD1072" i="4"/>
  <c r="AC1072" i="4"/>
  <c r="AB1072" i="4"/>
  <c r="AA1072" i="4"/>
  <c r="Z1072" i="4"/>
  <c r="O1072" i="4"/>
  <c r="L1072" i="4"/>
  <c r="K1072" i="4"/>
  <c r="H1072" i="4"/>
  <c r="AV1072" i="4" s="1"/>
  <c r="E1072" i="4"/>
  <c r="L1076" i="4"/>
  <c r="L1075" i="4"/>
  <c r="AM1076" i="4"/>
  <c r="AK1076" i="4"/>
  <c r="AI1076" i="4"/>
  <c r="AG1076" i="4"/>
  <c r="AE1076" i="4"/>
  <c r="AD1076" i="4"/>
  <c r="AC1076" i="4"/>
  <c r="AB1076" i="4"/>
  <c r="AA1076" i="4"/>
  <c r="Z1076" i="4"/>
  <c r="O1076" i="4"/>
  <c r="K1076" i="4"/>
  <c r="J1076" i="4"/>
  <c r="H1076" i="4"/>
  <c r="E1076" i="4"/>
  <c r="AM1075" i="4"/>
  <c r="AK1075" i="4"/>
  <c r="AI1075" i="4"/>
  <c r="AG1075" i="4"/>
  <c r="AE1075" i="4"/>
  <c r="AD1075" i="4"/>
  <c r="AC1075" i="4"/>
  <c r="AB1075" i="4"/>
  <c r="AA1075" i="4"/>
  <c r="Z1075" i="4"/>
  <c r="O1075" i="4"/>
  <c r="K1075" i="4"/>
  <c r="J1075" i="4"/>
  <c r="H1075" i="4"/>
  <c r="AV1075" i="4" s="1"/>
  <c r="E1075" i="4"/>
  <c r="AM1074" i="4"/>
  <c r="AK1074" i="4"/>
  <c r="AI1074" i="4"/>
  <c r="AG1074" i="4"/>
  <c r="AE1074" i="4"/>
  <c r="AD1074" i="4"/>
  <c r="AC1074" i="4"/>
  <c r="AB1074" i="4"/>
  <c r="AA1074" i="4"/>
  <c r="Z1074" i="4"/>
  <c r="O1074" i="4"/>
  <c r="K1074" i="4"/>
  <c r="J1074" i="4"/>
  <c r="H1074" i="4"/>
  <c r="E1074" i="4"/>
  <c r="AM1073" i="4"/>
  <c r="AK1073" i="4"/>
  <c r="AI1073" i="4"/>
  <c r="AG1073" i="4"/>
  <c r="AE1073" i="4"/>
  <c r="AD1073" i="4"/>
  <c r="AC1073" i="4"/>
  <c r="AB1073" i="4"/>
  <c r="AA1073" i="4"/>
  <c r="Z1073" i="4"/>
  <c r="O1073" i="4"/>
  <c r="K1073" i="4"/>
  <c r="J1073" i="4"/>
  <c r="H1073" i="4"/>
  <c r="AV1073" i="4" s="1"/>
  <c r="E1073" i="4"/>
  <c r="Q1073" i="4" s="1"/>
  <c r="E1060" i="4"/>
  <c r="AM1067" i="4"/>
  <c r="AK1067" i="4"/>
  <c r="AI1067" i="4"/>
  <c r="AG1067" i="4"/>
  <c r="AE1067" i="4"/>
  <c r="AD1067" i="4"/>
  <c r="AC1067" i="4"/>
  <c r="AB1067" i="4"/>
  <c r="AA1067" i="4"/>
  <c r="Z1067" i="4"/>
  <c r="O1067" i="4"/>
  <c r="L1067" i="4"/>
  <c r="K1067" i="4"/>
  <c r="J1067" i="4"/>
  <c r="H1067" i="4"/>
  <c r="AV1067" i="4" s="1"/>
  <c r="E1067" i="4"/>
  <c r="AM1066" i="4"/>
  <c r="AK1066" i="4"/>
  <c r="AI1066" i="4"/>
  <c r="AG1066" i="4"/>
  <c r="AE1066" i="4"/>
  <c r="AD1066" i="4"/>
  <c r="AC1066" i="4"/>
  <c r="AB1066" i="4"/>
  <c r="AA1066" i="4"/>
  <c r="Z1066" i="4"/>
  <c r="O1066" i="4"/>
  <c r="L1066" i="4"/>
  <c r="K1066" i="4"/>
  <c r="J1066" i="4"/>
  <c r="H1066" i="4"/>
  <c r="E1066" i="4"/>
  <c r="AM1065" i="4"/>
  <c r="AK1065" i="4"/>
  <c r="AI1065" i="4"/>
  <c r="AG1065" i="4"/>
  <c r="AE1065" i="4"/>
  <c r="AD1065" i="4"/>
  <c r="AC1065" i="4"/>
  <c r="AB1065" i="4"/>
  <c r="AA1065" i="4"/>
  <c r="Z1065" i="4"/>
  <c r="O1065" i="4"/>
  <c r="L1065" i="4"/>
  <c r="K1065" i="4"/>
  <c r="J1065" i="4"/>
  <c r="H1065" i="4"/>
  <c r="AV1065" i="4" s="1"/>
  <c r="E1065" i="4"/>
  <c r="AM1064" i="4"/>
  <c r="AK1064" i="4"/>
  <c r="AI1064" i="4"/>
  <c r="AG1064" i="4"/>
  <c r="AE1064" i="4"/>
  <c r="AD1064" i="4"/>
  <c r="AC1064" i="4"/>
  <c r="AB1064" i="4"/>
  <c r="AA1064" i="4"/>
  <c r="Z1064" i="4"/>
  <c r="O1064" i="4"/>
  <c r="L1064" i="4"/>
  <c r="K1064" i="4"/>
  <c r="J1064" i="4"/>
  <c r="H1064" i="4"/>
  <c r="E1064" i="4"/>
  <c r="AM1063" i="4"/>
  <c r="AK1063" i="4"/>
  <c r="AI1063" i="4"/>
  <c r="AG1063" i="4"/>
  <c r="AE1063" i="4"/>
  <c r="AD1063" i="4"/>
  <c r="AC1063" i="4"/>
  <c r="AB1063" i="4"/>
  <c r="AA1063" i="4"/>
  <c r="Z1063" i="4"/>
  <c r="O1063" i="4"/>
  <c r="L1063" i="4"/>
  <c r="K1063" i="4"/>
  <c r="J1063" i="4"/>
  <c r="H1063" i="4"/>
  <c r="AV1063" i="4" s="1"/>
  <c r="E1063" i="4"/>
  <c r="AM1062" i="4"/>
  <c r="AK1062" i="4"/>
  <c r="AI1062" i="4"/>
  <c r="AG1062" i="4"/>
  <c r="AE1062" i="4"/>
  <c r="AD1062" i="4"/>
  <c r="AC1062" i="4"/>
  <c r="AB1062" i="4"/>
  <c r="AA1062" i="4"/>
  <c r="Z1062" i="4"/>
  <c r="O1062" i="4"/>
  <c r="L1062" i="4"/>
  <c r="K1062" i="4"/>
  <c r="J1062" i="4"/>
  <c r="H1062" i="4"/>
  <c r="E1062" i="4"/>
  <c r="AM1061" i="4"/>
  <c r="AK1061" i="4"/>
  <c r="AI1061" i="4"/>
  <c r="AG1061" i="4"/>
  <c r="AE1061" i="4"/>
  <c r="AD1061" i="4"/>
  <c r="AC1061" i="4"/>
  <c r="AB1061" i="4"/>
  <c r="AA1061" i="4"/>
  <c r="Z1061" i="4"/>
  <c r="O1061" i="4"/>
  <c r="K1061" i="4"/>
  <c r="J1061" i="4"/>
  <c r="H1061" i="4"/>
  <c r="AV1061" i="4" s="1"/>
  <c r="E1061" i="4"/>
  <c r="AM1060" i="4"/>
  <c r="AK1060" i="4"/>
  <c r="AI1060" i="4"/>
  <c r="AG1060" i="4"/>
  <c r="AE1060" i="4"/>
  <c r="AD1060" i="4"/>
  <c r="AC1060" i="4"/>
  <c r="AB1060" i="4"/>
  <c r="AA1060" i="4"/>
  <c r="Z1060" i="4"/>
  <c r="O1060" i="4"/>
  <c r="K1060" i="4"/>
  <c r="J1060" i="4"/>
  <c r="H1060" i="4"/>
  <c r="AK714" i="4"/>
  <c r="AI714" i="4"/>
  <c r="AG714" i="4"/>
  <c r="AE714" i="4"/>
  <c r="AD714" i="4"/>
  <c r="AC714" i="4"/>
  <c r="AB714" i="4"/>
  <c r="AA714" i="4"/>
  <c r="Z714" i="4"/>
  <c r="N714" i="4"/>
  <c r="O714" i="4" s="1"/>
  <c r="L714" i="4"/>
  <c r="K714" i="4"/>
  <c r="J714" i="4"/>
  <c r="H714" i="4"/>
  <c r="AV714" i="4" s="1"/>
  <c r="E714" i="4"/>
  <c r="AK713" i="4"/>
  <c r="AI713" i="4"/>
  <c r="AG713" i="4"/>
  <c r="AE713" i="4"/>
  <c r="AD713" i="4"/>
  <c r="AC713" i="4"/>
  <c r="AB713" i="4"/>
  <c r="AA713" i="4"/>
  <c r="Z713" i="4"/>
  <c r="O713" i="4"/>
  <c r="K713" i="4"/>
  <c r="J713" i="4"/>
  <c r="H713" i="4"/>
  <c r="AH713" i="4" s="1"/>
  <c r="AN713" i="4" s="1"/>
  <c r="E713" i="4"/>
  <c r="AK712" i="4"/>
  <c r="AI712" i="4"/>
  <c r="AG712" i="4"/>
  <c r="AE712" i="4"/>
  <c r="AD712" i="4"/>
  <c r="AC712" i="4"/>
  <c r="AB712" i="4"/>
  <c r="AA712" i="4"/>
  <c r="Z712" i="4"/>
  <c r="O712" i="4"/>
  <c r="K712" i="4"/>
  <c r="J712" i="4"/>
  <c r="H712" i="4"/>
  <c r="E712" i="4"/>
  <c r="AK711" i="4"/>
  <c r="AI711" i="4"/>
  <c r="AG711" i="4"/>
  <c r="AE711" i="4"/>
  <c r="AD711" i="4"/>
  <c r="AC711" i="4"/>
  <c r="AB711" i="4"/>
  <c r="AA711" i="4"/>
  <c r="Z711" i="4"/>
  <c r="O711" i="4"/>
  <c r="K711" i="4"/>
  <c r="J711" i="4"/>
  <c r="H711" i="4"/>
  <c r="AH711" i="4" s="1"/>
  <c r="AN711" i="4" s="1"/>
  <c r="E711" i="4"/>
  <c r="AK710" i="4"/>
  <c r="AI710" i="4"/>
  <c r="AG710" i="4"/>
  <c r="AE710" i="4"/>
  <c r="AD710" i="4"/>
  <c r="AC710" i="4"/>
  <c r="AB710" i="4"/>
  <c r="AA710" i="4"/>
  <c r="Z710" i="4"/>
  <c r="O710" i="4"/>
  <c r="K710" i="4"/>
  <c r="J710" i="4"/>
  <c r="H710" i="4"/>
  <c r="E710" i="4"/>
  <c r="AM709" i="4"/>
  <c r="AM710" i="4" s="1"/>
  <c r="AM711" i="4" s="1"/>
  <c r="AM712" i="4" s="1"/>
  <c r="AM713" i="4" s="1"/>
  <c r="AM714" i="4" s="1"/>
  <c r="AK709" i="4"/>
  <c r="AI709" i="4"/>
  <c r="AG709" i="4"/>
  <c r="AE709" i="4"/>
  <c r="AD709" i="4"/>
  <c r="AC709" i="4"/>
  <c r="AB709" i="4"/>
  <c r="AA709" i="4"/>
  <c r="Z709" i="4"/>
  <c r="O709" i="4"/>
  <c r="K709" i="4"/>
  <c r="J709" i="4"/>
  <c r="H709" i="4"/>
  <c r="AV709" i="4" s="1"/>
  <c r="E709" i="4"/>
  <c r="AK701" i="4"/>
  <c r="AI701" i="4"/>
  <c r="AG701" i="4"/>
  <c r="AE701" i="4"/>
  <c r="AD701" i="4"/>
  <c r="AC701" i="4"/>
  <c r="AB701" i="4"/>
  <c r="AA701" i="4"/>
  <c r="Z701" i="4"/>
  <c r="N701" i="4"/>
  <c r="O701" i="4" s="1"/>
  <c r="L701" i="4"/>
  <c r="K701" i="4"/>
  <c r="J701" i="4"/>
  <c r="H701" i="4"/>
  <c r="AF701" i="4" s="1"/>
  <c r="E701" i="4"/>
  <c r="AK700" i="4"/>
  <c r="AI700" i="4"/>
  <c r="AG700" i="4"/>
  <c r="AE700" i="4"/>
  <c r="AD700" i="4"/>
  <c r="AC700" i="4"/>
  <c r="AB700" i="4"/>
  <c r="AA700" i="4"/>
  <c r="Z700" i="4"/>
  <c r="O700" i="4"/>
  <c r="L700" i="4"/>
  <c r="K700" i="4"/>
  <c r="J700" i="4"/>
  <c r="H700" i="4"/>
  <c r="AV700" i="4" s="1"/>
  <c r="E700" i="4"/>
  <c r="AK699" i="4"/>
  <c r="AI699" i="4"/>
  <c r="AG699" i="4"/>
  <c r="AE699" i="4"/>
  <c r="AD699" i="4"/>
  <c r="AC699" i="4"/>
  <c r="AB699" i="4"/>
  <c r="AA699" i="4"/>
  <c r="Z699" i="4"/>
  <c r="O699" i="4"/>
  <c r="K699" i="4"/>
  <c r="J699" i="4"/>
  <c r="H699" i="4"/>
  <c r="AH699" i="4" s="1"/>
  <c r="AN699" i="4" s="1"/>
  <c r="E699" i="4"/>
  <c r="Q699" i="4" s="1"/>
  <c r="AK698" i="4"/>
  <c r="AI698" i="4"/>
  <c r="AG698" i="4"/>
  <c r="AE698" i="4"/>
  <c r="AD698" i="4"/>
  <c r="AC698" i="4"/>
  <c r="AB698" i="4"/>
  <c r="AA698" i="4"/>
  <c r="Z698" i="4"/>
  <c r="O698" i="4"/>
  <c r="K698" i="4"/>
  <c r="J698" i="4"/>
  <c r="H698" i="4"/>
  <c r="AV698" i="4" s="1"/>
  <c r="E698" i="4"/>
  <c r="AK697" i="4"/>
  <c r="AI697" i="4"/>
  <c r="AG697" i="4"/>
  <c r="AE697" i="4"/>
  <c r="AD697" i="4"/>
  <c r="AC697" i="4"/>
  <c r="AB697" i="4"/>
  <c r="AA697" i="4"/>
  <c r="Z697" i="4"/>
  <c r="O697" i="4"/>
  <c r="K697" i="4"/>
  <c r="J697" i="4"/>
  <c r="H697" i="4"/>
  <c r="AV697" i="4" s="1"/>
  <c r="E697" i="4"/>
  <c r="Q697" i="4" s="1"/>
  <c r="AM696" i="4"/>
  <c r="AM697" i="4" s="1"/>
  <c r="AM698" i="4" s="1"/>
  <c r="AM699" i="4" s="1"/>
  <c r="AM700" i="4" s="1"/>
  <c r="AM701" i="4" s="1"/>
  <c r="AK696" i="4"/>
  <c r="AI696" i="4"/>
  <c r="AG696" i="4"/>
  <c r="AE696" i="4"/>
  <c r="AD696" i="4"/>
  <c r="AC696" i="4"/>
  <c r="AB696" i="4"/>
  <c r="AA696" i="4"/>
  <c r="Z696" i="4"/>
  <c r="O696" i="4"/>
  <c r="K696" i="4"/>
  <c r="J696" i="4"/>
  <c r="H696" i="4"/>
  <c r="AV696" i="4" s="1"/>
  <c r="E696" i="4"/>
  <c r="M1438" i="13"/>
  <c r="J1438" i="13"/>
  <c r="AK1438" i="13"/>
  <c r="AI1438" i="13"/>
  <c r="AG1438" i="13"/>
  <c r="AE1438" i="13"/>
  <c r="AD1438" i="13"/>
  <c r="AC1438" i="13"/>
  <c r="AB1438" i="13"/>
  <c r="AA1438" i="13"/>
  <c r="Z1438" i="13"/>
  <c r="O1438" i="13"/>
  <c r="L1438" i="13"/>
  <c r="K1438" i="13"/>
  <c r="H1438" i="13"/>
  <c r="AF1438" i="13" s="1"/>
  <c r="M1437" i="13"/>
  <c r="M1436" i="13"/>
  <c r="M1432" i="13"/>
  <c r="N1492" i="13"/>
  <c r="O1492" i="13" s="1"/>
  <c r="N1491" i="13"/>
  <c r="O1491" i="13" s="1"/>
  <c r="N1493" i="13"/>
  <c r="O1493" i="13" s="1"/>
  <c r="AK1493" i="13"/>
  <c r="AI1493" i="13"/>
  <c r="AG1493" i="13"/>
  <c r="AE1493" i="13"/>
  <c r="AD1493" i="13"/>
  <c r="AC1493" i="13"/>
  <c r="AB1493" i="13"/>
  <c r="AA1493" i="13"/>
  <c r="Z1493" i="13"/>
  <c r="L1493" i="13"/>
  <c r="K1493" i="13"/>
  <c r="J1493" i="13"/>
  <c r="H1493" i="13"/>
  <c r="AF1493" i="13" s="1"/>
  <c r="N1393" i="13"/>
  <c r="N1394" i="13" s="1"/>
  <c r="M1013" i="4"/>
  <c r="J1013" i="4"/>
  <c r="AM1012" i="4"/>
  <c r="AK1012" i="4"/>
  <c r="AI1012" i="4"/>
  <c r="AG1012" i="4"/>
  <c r="AE1012" i="4"/>
  <c r="AD1012" i="4"/>
  <c r="AC1012" i="4"/>
  <c r="AB1012" i="4"/>
  <c r="AA1012" i="4"/>
  <c r="Z1012" i="4"/>
  <c r="O1012" i="4"/>
  <c r="K1012" i="4"/>
  <c r="J1012" i="4"/>
  <c r="H1012" i="4"/>
  <c r="E1012" i="4"/>
  <c r="N518" i="4"/>
  <c r="O518" i="4" s="1"/>
  <c r="O516" i="4"/>
  <c r="J516" i="4"/>
  <c r="AM516" i="4"/>
  <c r="AK516" i="4"/>
  <c r="AI516" i="4"/>
  <c r="AG516" i="4"/>
  <c r="AE516" i="4"/>
  <c r="AD516" i="4"/>
  <c r="AC516" i="4"/>
  <c r="AB516" i="4"/>
  <c r="AA516" i="4"/>
  <c r="Z516" i="4"/>
  <c r="H516" i="4"/>
  <c r="AF516" i="4" s="1"/>
  <c r="E516" i="4"/>
  <c r="J515" i="4"/>
  <c r="Q1086" i="4" l="1"/>
  <c r="Q1037" i="4"/>
  <c r="P1076" i="4"/>
  <c r="R1086" i="4"/>
  <c r="Q1081" i="4"/>
  <c r="R1081" i="4" s="1"/>
  <c r="P1081" i="4"/>
  <c r="Q1085" i="4"/>
  <c r="P1085" i="4"/>
  <c r="G924" i="1"/>
  <c r="H924" i="1" s="1"/>
  <c r="R1084" i="4"/>
  <c r="AL1037" i="4"/>
  <c r="O521" i="4"/>
  <c r="AF1081" i="4"/>
  <c r="AH1082" i="4"/>
  <c r="AN1082" i="4" s="1"/>
  <c r="AV1082" i="4"/>
  <c r="AF1083" i="4"/>
  <c r="AF1085" i="4"/>
  <c r="AH1086" i="4"/>
  <c r="AN1086" i="4" s="1"/>
  <c r="AV1086" i="4"/>
  <c r="AL1077" i="4"/>
  <c r="P1037" i="4"/>
  <c r="AH1081" i="4"/>
  <c r="AN1081" i="4" s="1"/>
  <c r="AF1082" i="4"/>
  <c r="AH1083" i="4"/>
  <c r="AN1083" i="4" s="1"/>
  <c r="AH1085" i="4"/>
  <c r="AN1085" i="4" s="1"/>
  <c r="AF1086" i="4"/>
  <c r="P1007" i="4"/>
  <c r="R1037" i="4"/>
  <c r="AF1078" i="4"/>
  <c r="AL1080" i="4"/>
  <c r="AF1037" i="4"/>
  <c r="AH1037" i="4"/>
  <c r="AN1037" i="4" s="1"/>
  <c r="AL1079" i="4"/>
  <c r="Q1078" i="4"/>
  <c r="AL485" i="4"/>
  <c r="P485" i="4"/>
  <c r="Q1079" i="4"/>
  <c r="R1079" i="4" s="1"/>
  <c r="Q1080" i="4"/>
  <c r="R1080" i="4" s="1"/>
  <c r="P1080" i="4"/>
  <c r="AF1079" i="4"/>
  <c r="AV1077" i="4"/>
  <c r="AV1079" i="4"/>
  <c r="Q483" i="4"/>
  <c r="AL484" i="4"/>
  <c r="AF1077" i="4"/>
  <c r="P1079" i="4"/>
  <c r="AF1080" i="4"/>
  <c r="P1438" i="13"/>
  <c r="AL1438" i="13"/>
  <c r="AL483" i="4"/>
  <c r="AF484" i="4"/>
  <c r="Q485" i="4"/>
  <c r="R485" i="4" s="1"/>
  <c r="AH485" i="4"/>
  <c r="AN485" i="4" s="1"/>
  <c r="AH1079" i="4"/>
  <c r="AN1079" i="4" s="1"/>
  <c r="AV1078" i="4"/>
  <c r="AV1080" i="4"/>
  <c r="AH1080" i="4"/>
  <c r="AN1080" i="4" s="1"/>
  <c r="G894" i="1"/>
  <c r="H894" i="1" s="1"/>
  <c r="AH483" i="4"/>
  <c r="AN483" i="4" s="1"/>
  <c r="AV483" i="4"/>
  <c r="AF485" i="4"/>
  <c r="AH484" i="4"/>
  <c r="AN484" i="4" s="1"/>
  <c r="Q450" i="4"/>
  <c r="AL450" i="4"/>
  <c r="Q449" i="4"/>
  <c r="AL449" i="4"/>
  <c r="AF450" i="4"/>
  <c r="AL1065" i="4"/>
  <c r="H351" i="1"/>
  <c r="AH450" i="4"/>
  <c r="AN450" i="4" s="1"/>
  <c r="Q454" i="4"/>
  <c r="AF449" i="4"/>
  <c r="Q1060" i="4"/>
  <c r="AL454" i="4"/>
  <c r="AH449" i="4"/>
  <c r="AN449" i="4" s="1"/>
  <c r="AF454" i="4"/>
  <c r="AL1071" i="4"/>
  <c r="AL1069" i="4"/>
  <c r="AH454" i="4"/>
  <c r="AN454" i="4" s="1"/>
  <c r="AV454" i="4"/>
  <c r="P1068" i="4"/>
  <c r="Q1063" i="4"/>
  <c r="R1063" i="4" s="1"/>
  <c r="Q1065" i="4"/>
  <c r="R1065" i="4" s="1"/>
  <c r="AH1067" i="4"/>
  <c r="AN1067" i="4" s="1"/>
  <c r="Q1070" i="4"/>
  <c r="R1070" i="4" s="1"/>
  <c r="Q1069" i="4"/>
  <c r="AL696" i="4"/>
  <c r="AL1062" i="4"/>
  <c r="AL1064" i="4"/>
  <c r="AL1076" i="4"/>
  <c r="AL1072" i="4"/>
  <c r="AH1068" i="4"/>
  <c r="AN1068" i="4" s="1"/>
  <c r="Q1071" i="4"/>
  <c r="P1070" i="4"/>
  <c r="AL1067" i="4"/>
  <c r="AH1073" i="4"/>
  <c r="AN1073" i="4" s="1"/>
  <c r="AL1074" i="4"/>
  <c r="AF1072" i="4"/>
  <c r="AL1070" i="4"/>
  <c r="Q1067" i="4"/>
  <c r="R1067" i="4" s="1"/>
  <c r="Q1072" i="4"/>
  <c r="R1072" i="4" s="1"/>
  <c r="Q1068" i="4"/>
  <c r="R1068" i="4" s="1"/>
  <c r="AL1068" i="4"/>
  <c r="P1069" i="4"/>
  <c r="R1069" i="4"/>
  <c r="P1063" i="4"/>
  <c r="AL1063" i="4"/>
  <c r="P1065" i="4"/>
  <c r="AH1065" i="4"/>
  <c r="AN1065" i="4" s="1"/>
  <c r="AL1073" i="4"/>
  <c r="AL1075" i="4"/>
  <c r="Q1076" i="4"/>
  <c r="R1076" i="4" s="1"/>
  <c r="AF1071" i="4"/>
  <c r="AH1069" i="4"/>
  <c r="AN1069" i="4" s="1"/>
  <c r="AV1069" i="4"/>
  <c r="AH1063" i="4"/>
  <c r="AN1063" i="4" s="1"/>
  <c r="Q1075" i="4"/>
  <c r="G898" i="1" s="1"/>
  <c r="H898" i="1" s="1"/>
  <c r="AF1070" i="4"/>
  <c r="AL1061" i="4"/>
  <c r="Q1066" i="4"/>
  <c r="R1066" i="4" s="1"/>
  <c r="Q1074" i="4"/>
  <c r="P1072" i="4"/>
  <c r="AH1071" i="4"/>
  <c r="AN1071" i="4" s="1"/>
  <c r="AV1071" i="4"/>
  <c r="AF1069" i="4"/>
  <c r="Q1061" i="4"/>
  <c r="AL1066" i="4"/>
  <c r="P1075" i="4"/>
  <c r="AH1072" i="4"/>
  <c r="AN1072" i="4" s="1"/>
  <c r="AF1068" i="4"/>
  <c r="AH1070" i="4"/>
  <c r="AN1070" i="4" s="1"/>
  <c r="P1067" i="4"/>
  <c r="AH1061" i="4"/>
  <c r="AN1061" i="4" s="1"/>
  <c r="AL1060" i="4"/>
  <c r="AF1073" i="4"/>
  <c r="AH1074" i="4"/>
  <c r="AN1074" i="4" s="1"/>
  <c r="AV1074" i="4"/>
  <c r="AF1075" i="4"/>
  <c r="AH1076" i="4"/>
  <c r="AN1076" i="4" s="1"/>
  <c r="AV1076" i="4"/>
  <c r="Q1062" i="4"/>
  <c r="R1062" i="4" s="1"/>
  <c r="Q1064" i="4"/>
  <c r="R1064" i="4" s="1"/>
  <c r="AF1074" i="4"/>
  <c r="AH1075" i="4"/>
  <c r="AN1075" i="4" s="1"/>
  <c r="AF1076" i="4"/>
  <c r="AF1060" i="4"/>
  <c r="AF1062" i="4"/>
  <c r="AF1064" i="4"/>
  <c r="AF1066" i="4"/>
  <c r="AL701" i="4"/>
  <c r="AL709" i="4"/>
  <c r="AV711" i="4"/>
  <c r="P713" i="4"/>
  <c r="P1062" i="4"/>
  <c r="P1064" i="4"/>
  <c r="P1066" i="4"/>
  <c r="AL1012" i="4"/>
  <c r="AL698" i="4"/>
  <c r="AV699" i="4"/>
  <c r="Q709" i="4"/>
  <c r="AL710" i="4"/>
  <c r="AL711" i="4"/>
  <c r="AH1060" i="4"/>
  <c r="AN1060" i="4" s="1"/>
  <c r="AV1060" i="4"/>
  <c r="AF1061" i="4"/>
  <c r="AH1062" i="4"/>
  <c r="AN1062" i="4" s="1"/>
  <c r="AV1062" i="4"/>
  <c r="AF1063" i="4"/>
  <c r="AH1064" i="4"/>
  <c r="AN1064" i="4" s="1"/>
  <c r="AV1064" i="4"/>
  <c r="AF1065" i="4"/>
  <c r="AH1066" i="4"/>
  <c r="AN1066" i="4" s="1"/>
  <c r="AV1066" i="4"/>
  <c r="AF1067" i="4"/>
  <c r="Q711" i="4"/>
  <c r="AV713" i="4"/>
  <c r="Q696" i="4"/>
  <c r="AL699" i="4"/>
  <c r="AL697" i="4"/>
  <c r="AH709" i="4"/>
  <c r="AN709" i="4" s="1"/>
  <c r="Q712" i="4"/>
  <c r="G811" i="1" s="1"/>
  <c r="H811" i="1" s="1"/>
  <c r="Q713" i="4"/>
  <c r="Q516" i="4"/>
  <c r="AH697" i="4"/>
  <c r="AN697" i="4" s="1"/>
  <c r="Q700" i="4"/>
  <c r="R700" i="4" s="1"/>
  <c r="R713" i="4"/>
  <c r="Q698" i="4"/>
  <c r="AL700" i="4"/>
  <c r="AL712" i="4"/>
  <c r="AL713" i="4"/>
  <c r="AL714" i="4"/>
  <c r="Q701" i="4"/>
  <c r="R701" i="4" s="1"/>
  <c r="P701" i="4"/>
  <c r="Q710" i="4"/>
  <c r="AV710" i="4"/>
  <c r="AH710" i="4"/>
  <c r="AN710" i="4" s="1"/>
  <c r="AF710" i="4"/>
  <c r="Q714" i="4"/>
  <c r="R714" i="4" s="1"/>
  <c r="P714" i="4"/>
  <c r="AF712" i="4"/>
  <c r="AF696" i="4"/>
  <c r="AF698" i="4"/>
  <c r="AF700" i="4"/>
  <c r="AF714" i="4"/>
  <c r="Q1012" i="4"/>
  <c r="P700" i="4"/>
  <c r="AH701" i="4"/>
  <c r="AN701" i="4" s="1"/>
  <c r="AV701" i="4"/>
  <c r="AF709" i="4"/>
  <c r="AF711" i="4"/>
  <c r="AH712" i="4"/>
  <c r="AN712" i="4" s="1"/>
  <c r="AV712" i="4"/>
  <c r="AF713" i="4"/>
  <c r="AH696" i="4"/>
  <c r="AN696" i="4" s="1"/>
  <c r="AF697" i="4"/>
  <c r="AH698" i="4"/>
  <c r="AN698" i="4" s="1"/>
  <c r="AF699" i="4"/>
  <c r="AH700" i="4"/>
  <c r="AN700" i="4" s="1"/>
  <c r="AH714" i="4"/>
  <c r="AN714" i="4" s="1"/>
  <c r="AH1438" i="13"/>
  <c r="AN1438" i="13" s="1"/>
  <c r="AL1493" i="13"/>
  <c r="P1493" i="13"/>
  <c r="AH1493" i="13"/>
  <c r="AN1493" i="13" s="1"/>
  <c r="AF1012" i="4"/>
  <c r="AL516" i="4"/>
  <c r="G579" i="1" l="1"/>
  <c r="H579" i="1" s="1"/>
  <c r="R1085" i="4"/>
  <c r="R1075" i="4"/>
  <c r="G896" i="1"/>
  <c r="H896" i="1" s="1"/>
  <c r="K1379" i="13" l="1"/>
  <c r="L1379" i="13"/>
  <c r="J1379" i="13"/>
  <c r="AK1379" i="13"/>
  <c r="AI1379" i="13"/>
  <c r="AG1379" i="13"/>
  <c r="AE1379" i="13"/>
  <c r="AD1379" i="13"/>
  <c r="AC1379" i="13"/>
  <c r="AB1379" i="13"/>
  <c r="AA1379" i="13"/>
  <c r="Z1379" i="13"/>
  <c r="O1379" i="13"/>
  <c r="H1379" i="13"/>
  <c r="AV1379" i="13" s="1"/>
  <c r="K1375" i="13"/>
  <c r="J1375" i="13"/>
  <c r="AK1375" i="13"/>
  <c r="AI1375" i="13"/>
  <c r="AG1375" i="13"/>
  <c r="AE1375" i="13"/>
  <c r="AD1375" i="13"/>
  <c r="AC1375" i="13"/>
  <c r="AB1375" i="13"/>
  <c r="AA1375" i="13"/>
  <c r="Z1375" i="13"/>
  <c r="O1375" i="13"/>
  <c r="H1375" i="13"/>
  <c r="O597" i="4"/>
  <c r="N598" i="4"/>
  <c r="O598" i="4" s="1"/>
  <c r="J598" i="4"/>
  <c r="J597" i="4"/>
  <c r="O1374" i="13"/>
  <c r="AK1374" i="13"/>
  <c r="AI1374" i="13"/>
  <c r="AG1374" i="13"/>
  <c r="AE1374" i="13"/>
  <c r="AD1374" i="13"/>
  <c r="AC1374" i="13"/>
  <c r="AB1374" i="13"/>
  <c r="AA1374" i="13"/>
  <c r="Z1374" i="13"/>
  <c r="K1374" i="13"/>
  <c r="J1374" i="13"/>
  <c r="H1374" i="13"/>
  <c r="AV1374" i="13" s="1"/>
  <c r="L1374" i="13"/>
  <c r="P1374" i="13" s="1"/>
  <c r="AK1381" i="13"/>
  <c r="AI1381" i="13"/>
  <c r="AG1381" i="13"/>
  <c r="AE1381" i="13"/>
  <c r="AD1381" i="13"/>
  <c r="AC1381" i="13"/>
  <c r="AB1381" i="13"/>
  <c r="AA1381" i="13"/>
  <c r="Z1381" i="13"/>
  <c r="M1381" i="13"/>
  <c r="O1381" i="13" s="1"/>
  <c r="L1381" i="13"/>
  <c r="K1381" i="13"/>
  <c r="J1381" i="13"/>
  <c r="H1381" i="13"/>
  <c r="AV1381" i="13" s="1"/>
  <c r="AK1380" i="13"/>
  <c r="AI1380" i="13"/>
  <c r="AG1380" i="13"/>
  <c r="AE1380" i="13"/>
  <c r="AD1380" i="13"/>
  <c r="AC1380" i="13"/>
  <c r="AB1380" i="13"/>
  <c r="AA1380" i="13"/>
  <c r="Z1380" i="13"/>
  <c r="O1380" i="13"/>
  <c r="L1380" i="13"/>
  <c r="K1380" i="13"/>
  <c r="J1380" i="13"/>
  <c r="H1380" i="13"/>
  <c r="AV1380" i="13" s="1"/>
  <c r="AK1378" i="13"/>
  <c r="AI1378" i="13"/>
  <c r="AG1378" i="13"/>
  <c r="AE1378" i="13"/>
  <c r="AD1378" i="13"/>
  <c r="AC1378" i="13"/>
  <c r="AB1378" i="13"/>
  <c r="AA1378" i="13"/>
  <c r="Z1378" i="13"/>
  <c r="O1378" i="13"/>
  <c r="L1378" i="13"/>
  <c r="K1378" i="13"/>
  <c r="J1378" i="13"/>
  <c r="H1378" i="13"/>
  <c r="AK1377" i="13"/>
  <c r="AI1377" i="13"/>
  <c r="AG1377" i="13"/>
  <c r="AE1377" i="13"/>
  <c r="AD1377" i="13"/>
  <c r="AC1377" i="13"/>
  <c r="AB1377" i="13"/>
  <c r="AA1377" i="13"/>
  <c r="Z1377" i="13"/>
  <c r="O1377" i="13"/>
  <c r="L1377" i="13"/>
  <c r="K1377" i="13"/>
  <c r="J1377" i="13"/>
  <c r="H1377" i="13"/>
  <c r="AK1376" i="13"/>
  <c r="AI1376" i="13"/>
  <c r="AG1376" i="13"/>
  <c r="AE1376" i="13"/>
  <c r="AD1376" i="13"/>
  <c r="AC1376" i="13"/>
  <c r="AB1376" i="13"/>
  <c r="AA1376" i="13"/>
  <c r="Z1376" i="13"/>
  <c r="O1376" i="13"/>
  <c r="L1376" i="13"/>
  <c r="K1376" i="13"/>
  <c r="J1376" i="13"/>
  <c r="H1376" i="13"/>
  <c r="AK1373" i="13"/>
  <c r="AI1373" i="13"/>
  <c r="AG1373" i="13"/>
  <c r="AE1373" i="13"/>
  <c r="AD1373" i="13"/>
  <c r="AC1373" i="13"/>
  <c r="AB1373" i="13"/>
  <c r="AA1373" i="13"/>
  <c r="Z1373" i="13"/>
  <c r="O1373" i="13"/>
  <c r="L1373" i="13"/>
  <c r="K1373" i="13"/>
  <c r="J1373" i="13"/>
  <c r="H1373" i="13"/>
  <c r="AK1372" i="13"/>
  <c r="AI1372" i="13"/>
  <c r="AG1372" i="13"/>
  <c r="AE1372" i="13"/>
  <c r="AD1372" i="13"/>
  <c r="AC1372" i="13"/>
  <c r="AB1372" i="13"/>
  <c r="AA1372" i="13"/>
  <c r="Z1372" i="13"/>
  <c r="O1372" i="13"/>
  <c r="K1372" i="13"/>
  <c r="J1372" i="13"/>
  <c r="H1372" i="13"/>
  <c r="AM1371" i="13"/>
  <c r="AM1372" i="13" s="1"/>
  <c r="AM1373" i="13" s="1"/>
  <c r="AM1376" i="13" s="1"/>
  <c r="AM1377" i="13" s="1"/>
  <c r="AM1378" i="13" s="1"/>
  <c r="AM1380" i="13" s="1"/>
  <c r="AM1381" i="13" s="1"/>
  <c r="AK1371" i="13"/>
  <c r="AI1371" i="13"/>
  <c r="AG1371" i="13"/>
  <c r="AE1371" i="13"/>
  <c r="AD1371" i="13"/>
  <c r="AC1371" i="13"/>
  <c r="AB1371" i="13"/>
  <c r="AA1371" i="13"/>
  <c r="Z1371" i="13"/>
  <c r="O1371" i="13"/>
  <c r="K1371" i="13"/>
  <c r="J1371" i="13"/>
  <c r="H1371" i="13"/>
  <c r="AV1371" i="13" s="1"/>
  <c r="AK1370" i="13"/>
  <c r="AI1370" i="13"/>
  <c r="AG1370" i="13"/>
  <c r="AE1370" i="13"/>
  <c r="AD1370" i="13"/>
  <c r="AC1370" i="13"/>
  <c r="AB1370" i="13"/>
  <c r="AA1370" i="13"/>
  <c r="Z1370" i="13"/>
  <c r="M1370" i="13"/>
  <c r="O1370" i="13" s="1"/>
  <c r="L1370" i="13"/>
  <c r="K1370" i="13"/>
  <c r="J1370" i="13"/>
  <c r="H1370" i="13"/>
  <c r="AV1370" i="13" s="1"/>
  <c r="AK1369" i="13"/>
  <c r="AI1369" i="13"/>
  <c r="AG1369" i="13"/>
  <c r="AE1369" i="13"/>
  <c r="AD1369" i="13"/>
  <c r="AC1369" i="13"/>
  <c r="AB1369" i="13"/>
  <c r="AA1369" i="13"/>
  <c r="Z1369" i="13"/>
  <c r="O1369" i="13"/>
  <c r="L1369" i="13"/>
  <c r="K1369" i="13"/>
  <c r="J1369" i="13"/>
  <c r="H1369" i="13"/>
  <c r="AV1369" i="13" s="1"/>
  <c r="AK1368" i="13"/>
  <c r="AI1368" i="13"/>
  <c r="AG1368" i="13"/>
  <c r="AL1368" i="13" s="1"/>
  <c r="AE1368" i="13"/>
  <c r="AD1368" i="13"/>
  <c r="AC1368" i="13"/>
  <c r="AB1368" i="13"/>
  <c r="AA1368" i="13"/>
  <c r="Z1368" i="13"/>
  <c r="O1368" i="13"/>
  <c r="L1368" i="13"/>
  <c r="K1368" i="13"/>
  <c r="J1368" i="13"/>
  <c r="H1368" i="13"/>
  <c r="AK1367" i="13"/>
  <c r="AI1367" i="13"/>
  <c r="AG1367" i="13"/>
  <c r="AE1367" i="13"/>
  <c r="AD1367" i="13"/>
  <c r="AC1367" i="13"/>
  <c r="AB1367" i="13"/>
  <c r="AA1367" i="13"/>
  <c r="Z1367" i="13"/>
  <c r="O1367" i="13"/>
  <c r="L1367" i="13"/>
  <c r="K1367" i="13"/>
  <c r="J1367" i="13"/>
  <c r="H1367" i="13"/>
  <c r="AV1367" i="13" s="1"/>
  <c r="AK1366" i="13"/>
  <c r="AI1366" i="13"/>
  <c r="AG1366" i="13"/>
  <c r="AE1366" i="13"/>
  <c r="AD1366" i="13"/>
  <c r="AC1366" i="13"/>
  <c r="AB1366" i="13"/>
  <c r="AA1366" i="13"/>
  <c r="Z1366" i="13"/>
  <c r="O1366" i="13"/>
  <c r="L1366" i="13"/>
  <c r="K1366" i="13"/>
  <c r="J1366" i="13"/>
  <c r="H1366" i="13"/>
  <c r="AK1365" i="13"/>
  <c r="AI1365" i="13"/>
  <c r="AG1365" i="13"/>
  <c r="AE1365" i="13"/>
  <c r="AD1365" i="13"/>
  <c r="AC1365" i="13"/>
  <c r="AB1365" i="13"/>
  <c r="AA1365" i="13"/>
  <c r="Z1365" i="13"/>
  <c r="O1365" i="13"/>
  <c r="L1365" i="13"/>
  <c r="K1365" i="13"/>
  <c r="J1365" i="13"/>
  <c r="H1365" i="13"/>
  <c r="AK1364" i="13"/>
  <c r="AI1364" i="13"/>
  <c r="AG1364" i="13"/>
  <c r="AE1364" i="13"/>
  <c r="AD1364" i="13"/>
  <c r="AC1364" i="13"/>
  <c r="AB1364" i="13"/>
  <c r="AA1364" i="13"/>
  <c r="Z1364" i="13"/>
  <c r="O1364" i="13"/>
  <c r="K1364" i="13"/>
  <c r="J1364" i="13"/>
  <c r="H1364" i="13"/>
  <c r="AV1364" i="13" s="1"/>
  <c r="AM1363" i="13"/>
  <c r="AM1364" i="13" s="1"/>
  <c r="AM1365" i="13" s="1"/>
  <c r="AK1363" i="13"/>
  <c r="AI1363" i="13"/>
  <c r="AG1363" i="13"/>
  <c r="AE1363" i="13"/>
  <c r="AD1363" i="13"/>
  <c r="AC1363" i="13"/>
  <c r="AB1363" i="13"/>
  <c r="AA1363" i="13"/>
  <c r="Z1363" i="13"/>
  <c r="O1363" i="13"/>
  <c r="K1363" i="13"/>
  <c r="J1363" i="13"/>
  <c r="H1363" i="13"/>
  <c r="AK598" i="4"/>
  <c r="AI598" i="4"/>
  <c r="AG598" i="4"/>
  <c r="AE598" i="4"/>
  <c r="AD598" i="4"/>
  <c r="AC598" i="4"/>
  <c r="AB598" i="4"/>
  <c r="AA598" i="4"/>
  <c r="Z598" i="4"/>
  <c r="K598" i="4"/>
  <c r="H598" i="4"/>
  <c r="E598" i="4"/>
  <c r="AK597" i="4"/>
  <c r="AI597" i="4"/>
  <c r="AG597" i="4"/>
  <c r="AE597" i="4"/>
  <c r="AD597" i="4"/>
  <c r="AC597" i="4"/>
  <c r="AB597" i="4"/>
  <c r="AA597" i="4"/>
  <c r="Z597" i="4"/>
  <c r="K597" i="4"/>
  <c r="H597" i="4"/>
  <c r="E597" i="4"/>
  <c r="Q597" i="4" s="1"/>
  <c r="AM597" i="4"/>
  <c r="M1008" i="4"/>
  <c r="L1009" i="4"/>
  <c r="J1009" i="4"/>
  <c r="K1009" i="4"/>
  <c r="O1008" i="4"/>
  <c r="F849" i="1"/>
  <c r="L1008" i="4" s="1"/>
  <c r="AM1013" i="4"/>
  <c r="AK1013" i="4"/>
  <c r="AI1013" i="4"/>
  <c r="AG1013" i="4"/>
  <c r="AE1013" i="4"/>
  <c r="AD1013" i="4"/>
  <c r="AC1013" i="4"/>
  <c r="AB1013" i="4"/>
  <c r="AA1013" i="4"/>
  <c r="Z1013" i="4"/>
  <c r="O1013" i="4"/>
  <c r="K1013" i="4"/>
  <c r="H1013" i="4"/>
  <c r="E1013" i="4"/>
  <c r="G1939" i="1" l="1"/>
  <c r="E1368" i="13"/>
  <c r="Q1368" i="13" s="1"/>
  <c r="R1368" i="13" s="1"/>
  <c r="E1364" i="13"/>
  <c r="Q1364" i="13" s="1"/>
  <c r="E1367" i="13"/>
  <c r="Q1367" i="13" s="1"/>
  <c r="R1367" i="13" s="1"/>
  <c r="E1363" i="13"/>
  <c r="Q1363" i="13" s="1"/>
  <c r="E1370" i="13"/>
  <c r="E1366" i="13"/>
  <c r="Q1366" i="13" s="1"/>
  <c r="R1366" i="13" s="1"/>
  <c r="E1369" i="13"/>
  <c r="Q1369" i="13" s="1"/>
  <c r="R1369" i="13" s="1"/>
  <c r="E1365" i="13"/>
  <c r="Q1365" i="13" s="1"/>
  <c r="R1365" i="13" s="1"/>
  <c r="P1376" i="13"/>
  <c r="AL1371" i="13"/>
  <c r="AL1370" i="13"/>
  <c r="AL1373" i="13"/>
  <c r="AL1364" i="13"/>
  <c r="P1379" i="13"/>
  <c r="AH1379" i="13"/>
  <c r="AN1379" i="13" s="1"/>
  <c r="AF1379" i="13"/>
  <c r="AL1367" i="13"/>
  <c r="AL1375" i="13"/>
  <c r="AL1379" i="13"/>
  <c r="AF1375" i="13"/>
  <c r="AM1379" i="13"/>
  <c r="P1368" i="13"/>
  <c r="L1375" i="13"/>
  <c r="AL1374" i="13"/>
  <c r="AH1375" i="13"/>
  <c r="AN1375" i="13" s="1"/>
  <c r="AM1375" i="13"/>
  <c r="AV1375" i="13"/>
  <c r="AL1378" i="13"/>
  <c r="AL597" i="4"/>
  <c r="AL598" i="4"/>
  <c r="P1380" i="13"/>
  <c r="AL1366" i="13"/>
  <c r="AH1371" i="13"/>
  <c r="AN1371" i="13" s="1"/>
  <c r="P1373" i="13"/>
  <c r="AL1376" i="13"/>
  <c r="P1377" i="13"/>
  <c r="P1378" i="13"/>
  <c r="AH1380" i="13"/>
  <c r="AN1380" i="13" s="1"/>
  <c r="AF1374" i="13"/>
  <c r="AL1365" i="13"/>
  <c r="AL1372" i="13"/>
  <c r="AL1377" i="13"/>
  <c r="AL1381" i="13"/>
  <c r="P1369" i="13"/>
  <c r="AL1380" i="13"/>
  <c r="AF1381" i="13"/>
  <c r="AH1374" i="13"/>
  <c r="AN1374" i="13" s="1"/>
  <c r="AM1374" i="13"/>
  <c r="P1367" i="13"/>
  <c r="AF1372" i="13"/>
  <c r="AH1373" i="13"/>
  <c r="AN1373" i="13" s="1"/>
  <c r="AV1373" i="13"/>
  <c r="AF1376" i="13"/>
  <c r="AH1377" i="13"/>
  <c r="AN1377" i="13" s="1"/>
  <c r="AV1377" i="13"/>
  <c r="AF1378" i="13"/>
  <c r="AL1363" i="13"/>
  <c r="AH1364" i="13"/>
  <c r="AN1364" i="13" s="1"/>
  <c r="P1365" i="13"/>
  <c r="P1366" i="13"/>
  <c r="AF1370" i="13"/>
  <c r="AF1371" i="13"/>
  <c r="AH1372" i="13"/>
  <c r="AN1372" i="13" s="1"/>
  <c r="AV1372" i="13"/>
  <c r="AF1373" i="13"/>
  <c r="AH1376" i="13"/>
  <c r="AN1376" i="13" s="1"/>
  <c r="AV1376" i="13"/>
  <c r="AF1377" i="13"/>
  <c r="AH1378" i="13"/>
  <c r="AN1378" i="13" s="1"/>
  <c r="AV1378" i="13"/>
  <c r="AF1380" i="13"/>
  <c r="P1381" i="13"/>
  <c r="AL1369" i="13"/>
  <c r="AH1381" i="13"/>
  <c r="AN1381" i="13" s="1"/>
  <c r="AM1366" i="13"/>
  <c r="AM1367" i="13" s="1"/>
  <c r="AM1368" i="13" s="1"/>
  <c r="AM1369" i="13" s="1"/>
  <c r="AM1370" i="13" s="1"/>
  <c r="Q1370" i="13"/>
  <c r="R1370" i="13" s="1"/>
  <c r="P1370" i="13"/>
  <c r="Q598" i="4"/>
  <c r="AH1363" i="13"/>
  <c r="AN1363" i="13" s="1"/>
  <c r="AV1363" i="13"/>
  <c r="AF1364" i="13"/>
  <c r="AH1365" i="13"/>
  <c r="AN1365" i="13" s="1"/>
  <c r="AV1365" i="13"/>
  <c r="AH1366" i="13"/>
  <c r="AN1366" i="13" s="1"/>
  <c r="AV1366" i="13"/>
  <c r="AF1367" i="13"/>
  <c r="AH1368" i="13"/>
  <c r="AN1368" i="13" s="1"/>
  <c r="AV1368" i="13"/>
  <c r="AF1369" i="13"/>
  <c r="AL1013" i="4"/>
  <c r="AH597" i="4"/>
  <c r="AF1363" i="13"/>
  <c r="AF1365" i="13"/>
  <c r="AF1366" i="13"/>
  <c r="AH1367" i="13"/>
  <c r="AN1367" i="13" s="1"/>
  <c r="AF1368" i="13"/>
  <c r="AH1369" i="13"/>
  <c r="AN1369" i="13" s="1"/>
  <c r="AH1370" i="13"/>
  <c r="AN1370" i="13" s="1"/>
  <c r="AM598" i="4"/>
  <c r="AF598" i="4"/>
  <c r="AF597" i="4"/>
  <c r="AH598" i="4"/>
  <c r="P1008" i="4"/>
  <c r="Q1013" i="4"/>
  <c r="AF1013" i="4"/>
  <c r="N1407" i="13"/>
  <c r="O1407" i="13" s="1"/>
  <c r="L1407" i="13"/>
  <c r="K1407" i="13"/>
  <c r="J1407" i="13"/>
  <c r="AK1407" i="13"/>
  <c r="AI1407" i="13"/>
  <c r="AG1407" i="13"/>
  <c r="AE1407" i="13"/>
  <c r="AD1407" i="13"/>
  <c r="AC1407" i="13"/>
  <c r="AB1407" i="13"/>
  <c r="AA1407" i="13"/>
  <c r="Z1407" i="13"/>
  <c r="H1407" i="13"/>
  <c r="AH1407" i="13" s="1"/>
  <c r="AN1407" i="13" s="1"/>
  <c r="J1014" i="4"/>
  <c r="J1011" i="4"/>
  <c r="K1011" i="4"/>
  <c r="N1406" i="13"/>
  <c r="O1406" i="13" s="1"/>
  <c r="J1396" i="13"/>
  <c r="N1397" i="13"/>
  <c r="M1404" i="13"/>
  <c r="L1406" i="13"/>
  <c r="K1406" i="13"/>
  <c r="J1406" i="13"/>
  <c r="J1010" i="4"/>
  <c r="E1011" i="4"/>
  <c r="H1011" i="4"/>
  <c r="AF1011" i="4" s="1"/>
  <c r="Z1011" i="4"/>
  <c r="AA1011" i="4"/>
  <c r="AB1011" i="4"/>
  <c r="AC1011" i="4"/>
  <c r="AD1011" i="4"/>
  <c r="AE1011" i="4"/>
  <c r="AG1011" i="4"/>
  <c r="AI1011" i="4"/>
  <c r="AK1011" i="4"/>
  <c r="AM1011" i="4"/>
  <c r="L1396" i="13"/>
  <c r="AK1413" i="13"/>
  <c r="AI1413" i="13"/>
  <c r="AG1413" i="13"/>
  <c r="AE1413" i="13"/>
  <c r="AD1413" i="13"/>
  <c r="AC1413" i="13"/>
  <c r="AB1413" i="13"/>
  <c r="AA1413" i="13"/>
  <c r="Z1413" i="13"/>
  <c r="O1413" i="13"/>
  <c r="L1413" i="13"/>
  <c r="K1413" i="13"/>
  <c r="J1413" i="13"/>
  <c r="H1413" i="13"/>
  <c r="AF1413" i="13" s="1"/>
  <c r="AK1412" i="13"/>
  <c r="AI1412" i="13"/>
  <c r="AG1412" i="13"/>
  <c r="AE1412" i="13"/>
  <c r="AD1412" i="13"/>
  <c r="AC1412" i="13"/>
  <c r="AB1412" i="13"/>
  <c r="AA1412" i="13"/>
  <c r="Z1412" i="13"/>
  <c r="L1412" i="13"/>
  <c r="K1412" i="13"/>
  <c r="J1412" i="13"/>
  <c r="H1412" i="13"/>
  <c r="AF1412" i="13" s="1"/>
  <c r="AK1411" i="13"/>
  <c r="AI1411" i="13"/>
  <c r="AG1411" i="13"/>
  <c r="AE1411" i="13"/>
  <c r="AD1411" i="13"/>
  <c r="AC1411" i="13"/>
  <c r="AB1411" i="13"/>
  <c r="AA1411" i="13"/>
  <c r="Z1411" i="13"/>
  <c r="K1411" i="13"/>
  <c r="J1411" i="13"/>
  <c r="H1411" i="13"/>
  <c r="AF1411" i="13" s="1"/>
  <c r="AK1410" i="13"/>
  <c r="AI1410" i="13"/>
  <c r="AG1410" i="13"/>
  <c r="AE1410" i="13"/>
  <c r="AD1410" i="13"/>
  <c r="AC1410" i="13"/>
  <c r="AB1410" i="13"/>
  <c r="AA1410" i="13"/>
  <c r="Z1410" i="13"/>
  <c r="K1410" i="13"/>
  <c r="J1410" i="13"/>
  <c r="H1410" i="13"/>
  <c r="AM1409" i="13"/>
  <c r="AM1410" i="13" s="1"/>
  <c r="AM1411" i="13" s="1"/>
  <c r="AM1412" i="13" s="1"/>
  <c r="AM1413" i="13" s="1"/>
  <c r="AK1409" i="13"/>
  <c r="AI1409" i="13"/>
  <c r="AG1409" i="13"/>
  <c r="AE1409" i="13"/>
  <c r="AD1409" i="13"/>
  <c r="AC1409" i="13"/>
  <c r="AB1409" i="13"/>
  <c r="AA1409" i="13"/>
  <c r="Z1409" i="13"/>
  <c r="K1409" i="13"/>
  <c r="J1409" i="13"/>
  <c r="H1409" i="13"/>
  <c r="AF1409" i="13" s="1"/>
  <c r="AM1408" i="13"/>
  <c r="AK1408" i="13"/>
  <c r="AI1408" i="13"/>
  <c r="AG1408" i="13"/>
  <c r="AE1408" i="13"/>
  <c r="AD1408" i="13"/>
  <c r="AC1408" i="13"/>
  <c r="AB1408" i="13"/>
  <c r="AA1408" i="13"/>
  <c r="Z1408" i="13"/>
  <c r="L1408" i="13"/>
  <c r="K1408" i="13"/>
  <c r="J1408" i="13"/>
  <c r="H1408" i="13"/>
  <c r="AF1408" i="13" s="1"/>
  <c r="AK1406" i="13"/>
  <c r="AI1406" i="13"/>
  <c r="AG1406" i="13"/>
  <c r="AE1406" i="13"/>
  <c r="AD1406" i="13"/>
  <c r="AC1406" i="13"/>
  <c r="AB1406" i="13"/>
  <c r="AA1406" i="13"/>
  <c r="Z1406" i="13"/>
  <c r="H1406" i="13"/>
  <c r="AH1406" i="13" s="1"/>
  <c r="AN1406" i="13" s="1"/>
  <c r="AK1405" i="13"/>
  <c r="AI1405" i="13"/>
  <c r="AG1405" i="13"/>
  <c r="AE1405" i="13"/>
  <c r="AD1405" i="13"/>
  <c r="AC1405" i="13"/>
  <c r="AB1405" i="13"/>
  <c r="AA1405" i="13"/>
  <c r="Z1405" i="13"/>
  <c r="K1405" i="13"/>
  <c r="J1405" i="13"/>
  <c r="H1405" i="13"/>
  <c r="AH1405" i="13" s="1"/>
  <c r="AN1405" i="13" s="1"/>
  <c r="AM1404" i="13"/>
  <c r="AM1405" i="13" s="1"/>
  <c r="AM1406" i="13" s="1"/>
  <c r="AM1407" i="13" s="1"/>
  <c r="AK1404" i="13"/>
  <c r="AI1404" i="13"/>
  <c r="AG1404" i="13"/>
  <c r="AE1404" i="13"/>
  <c r="AD1404" i="13"/>
  <c r="AC1404" i="13"/>
  <c r="AB1404" i="13"/>
  <c r="AA1404" i="13"/>
  <c r="Z1404" i="13"/>
  <c r="K1404" i="13"/>
  <c r="J1404" i="13"/>
  <c r="H1404" i="13"/>
  <c r="AF1404" i="13" s="1"/>
  <c r="AM1010" i="4"/>
  <c r="AK1010" i="4"/>
  <c r="AI1010" i="4"/>
  <c r="AG1010" i="4"/>
  <c r="AE1010" i="4"/>
  <c r="AD1010" i="4"/>
  <c r="AC1010" i="4"/>
  <c r="AB1010" i="4"/>
  <c r="AA1010" i="4"/>
  <c r="Z1010" i="4"/>
  <c r="O1010" i="4"/>
  <c r="K1010" i="4"/>
  <c r="H1010" i="4"/>
  <c r="E1010" i="4"/>
  <c r="M496" i="4"/>
  <c r="M497" i="4"/>
  <c r="L510" i="4"/>
  <c r="P510" i="4" s="1"/>
  <c r="J510" i="4"/>
  <c r="K510" i="4"/>
  <c r="AM510" i="4"/>
  <c r="AK510" i="4"/>
  <c r="AI510" i="4"/>
  <c r="AG510" i="4"/>
  <c r="AE510" i="4"/>
  <c r="AD510" i="4"/>
  <c r="AC510" i="4"/>
  <c r="AB510" i="4"/>
  <c r="AA510" i="4"/>
  <c r="Z510" i="4"/>
  <c r="H510" i="4"/>
  <c r="AV510" i="4" s="1"/>
  <c r="E510" i="4"/>
  <c r="Q510" i="4" s="1"/>
  <c r="N509" i="4"/>
  <c r="N510" i="4" s="1"/>
  <c r="N507" i="4"/>
  <c r="O507" i="4" s="1"/>
  <c r="J509" i="4"/>
  <c r="J508" i="4"/>
  <c r="J507" i="4"/>
  <c r="AK509" i="4"/>
  <c r="AI509" i="4"/>
  <c r="AG509" i="4"/>
  <c r="AE509" i="4"/>
  <c r="AD509" i="4"/>
  <c r="AC509" i="4"/>
  <c r="AB509" i="4"/>
  <c r="AA509" i="4"/>
  <c r="Z509" i="4"/>
  <c r="H509" i="4"/>
  <c r="E509" i="4"/>
  <c r="AK508" i="4"/>
  <c r="AI508" i="4"/>
  <c r="AG508" i="4"/>
  <c r="AE508" i="4"/>
  <c r="AD508" i="4"/>
  <c r="AC508" i="4"/>
  <c r="AB508" i="4"/>
  <c r="AA508" i="4"/>
  <c r="Z508" i="4"/>
  <c r="K508" i="4"/>
  <c r="H508" i="4"/>
  <c r="AF508" i="4" s="1"/>
  <c r="E508" i="4"/>
  <c r="AM507" i="4"/>
  <c r="AM508" i="4" s="1"/>
  <c r="AM509" i="4" s="1"/>
  <c r="AK507" i="4"/>
  <c r="AI507" i="4"/>
  <c r="AG507" i="4"/>
  <c r="AE507" i="4"/>
  <c r="AD507" i="4"/>
  <c r="AC507" i="4"/>
  <c r="AB507" i="4"/>
  <c r="AA507" i="4"/>
  <c r="Z507" i="4"/>
  <c r="K507" i="4"/>
  <c r="H507" i="4"/>
  <c r="E507" i="4"/>
  <c r="O488" i="4"/>
  <c r="O487" i="4"/>
  <c r="O486" i="4"/>
  <c r="O490" i="4"/>
  <c r="B21" i="8"/>
  <c r="B20" i="8"/>
  <c r="B19" i="8"/>
  <c r="B18" i="8"/>
  <c r="B17" i="8"/>
  <c r="B16" i="8"/>
  <c r="B15" i="8"/>
  <c r="B13" i="8"/>
  <c r="H17" i="17418"/>
  <c r="G17" i="17418"/>
  <c r="H16" i="17418"/>
  <c r="G16" i="17418"/>
  <c r="H15" i="17418"/>
  <c r="G15" i="17418"/>
  <c r="H22" i="17418"/>
  <c r="G22" i="17418"/>
  <c r="BL22" i="17418" l="1"/>
  <c r="BD22" i="17418"/>
  <c r="AV22" i="17418"/>
  <c r="AN22" i="17418"/>
  <c r="AF22" i="17418"/>
  <c r="BJ22" i="17418"/>
  <c r="BB22" i="17418"/>
  <c r="AT22" i="17418"/>
  <c r="AL22" i="17418"/>
  <c r="BI22" i="17418"/>
  <c r="BA22" i="17418"/>
  <c r="AS22" i="17418"/>
  <c r="AK22" i="17418"/>
  <c r="BH22" i="17418"/>
  <c r="AZ22" i="17418"/>
  <c r="AR22" i="17418"/>
  <c r="AJ22" i="17418"/>
  <c r="BF22" i="17418"/>
  <c r="AX22" i="17418"/>
  <c r="AP22" i="17418"/>
  <c r="AH22" i="17418"/>
  <c r="AY22" i="17418"/>
  <c r="AW22" i="17418"/>
  <c r="BE22" i="17418"/>
  <c r="AU22" i="17418"/>
  <c r="BM22" i="17418"/>
  <c r="AQ22" i="17418"/>
  <c r="BK22" i="17418"/>
  <c r="AO22" i="17418"/>
  <c r="BG22" i="17418"/>
  <c r="AM22" i="17418"/>
  <c r="AI22" i="17418"/>
  <c r="BC22" i="17418"/>
  <c r="AG22" i="17418"/>
  <c r="G1940" i="1"/>
  <c r="E1380" i="13"/>
  <c r="Q1380" i="13" s="1"/>
  <c r="R1380" i="13" s="1"/>
  <c r="E1376" i="13"/>
  <c r="Q1376" i="13" s="1"/>
  <c r="R1376" i="13" s="1"/>
  <c r="E1372" i="13"/>
  <c r="Q1372" i="13" s="1"/>
  <c r="E1379" i="13"/>
  <c r="Q1379" i="13" s="1"/>
  <c r="R1379" i="13" s="1"/>
  <c r="E1375" i="13"/>
  <c r="Q1375" i="13" s="1"/>
  <c r="R1375" i="13" s="1"/>
  <c r="E1371" i="13"/>
  <c r="Q1371" i="13" s="1"/>
  <c r="E1378" i="13"/>
  <c r="Q1378" i="13" s="1"/>
  <c r="R1378" i="13" s="1"/>
  <c r="E1374" i="13"/>
  <c r="Q1374" i="13" s="1"/>
  <c r="E1381" i="13"/>
  <c r="Q1381" i="13" s="1"/>
  <c r="R1381" i="13" s="1"/>
  <c r="E1377" i="13"/>
  <c r="Q1377" i="13" s="1"/>
  <c r="R1377" i="13" s="1"/>
  <c r="E1373" i="13"/>
  <c r="Q1373" i="13" s="1"/>
  <c r="R1373" i="13" s="1"/>
  <c r="G791" i="1"/>
  <c r="H791" i="1" s="1"/>
  <c r="P1375" i="13"/>
  <c r="P1413" i="13"/>
  <c r="AL1404" i="13"/>
  <c r="AL1411" i="13"/>
  <c r="AL1409" i="13"/>
  <c r="AL1407" i="13"/>
  <c r="AL1412" i="13"/>
  <c r="AL1011" i="4"/>
  <c r="P1407" i="13"/>
  <c r="AL1408" i="13"/>
  <c r="AH1409" i="13"/>
  <c r="AN1409" i="13" s="1"/>
  <c r="N1411" i="13"/>
  <c r="O1411" i="13" s="1"/>
  <c r="AF1407" i="13"/>
  <c r="AL1413" i="13"/>
  <c r="AL1405" i="13"/>
  <c r="AF1405" i="13"/>
  <c r="N1404" i="13"/>
  <c r="N1405" i="13" s="1"/>
  <c r="N1408" i="13"/>
  <c r="O1408" i="13" s="1"/>
  <c r="P1408" i="13" s="1"/>
  <c r="AL1406" i="13"/>
  <c r="AH1408" i="13"/>
  <c r="AN1408" i="13" s="1"/>
  <c r="AH1011" i="4"/>
  <c r="Q1011" i="4"/>
  <c r="E1411" i="13" s="1"/>
  <c r="AL1410" i="13"/>
  <c r="AH1411" i="13"/>
  <c r="AN1411" i="13" s="1"/>
  <c r="AL1010" i="4"/>
  <c r="Q1010" i="4"/>
  <c r="AL510" i="4"/>
  <c r="AL508" i="4"/>
  <c r="N508" i="4"/>
  <c r="O508" i="4" s="1"/>
  <c r="Q508" i="4" s="1"/>
  <c r="R510" i="4"/>
  <c r="AH510" i="4"/>
  <c r="AN510" i="4" s="1"/>
  <c r="O509" i="4"/>
  <c r="Q509" i="4" s="1"/>
  <c r="AF1010" i="4"/>
  <c r="AH1410" i="13"/>
  <c r="AN1410" i="13" s="1"/>
  <c r="AF1410" i="13"/>
  <c r="AF1406" i="13"/>
  <c r="E1405" i="13"/>
  <c r="N1412" i="13"/>
  <c r="O1412" i="13" s="1"/>
  <c r="O1410" i="13"/>
  <c r="AH1404" i="13"/>
  <c r="AN1404" i="13" s="1"/>
  <c r="AH1412" i="13"/>
  <c r="AN1412" i="13" s="1"/>
  <c r="AH1413" i="13"/>
  <c r="AN1413" i="13" s="1"/>
  <c r="O1405" i="13"/>
  <c r="N1409" i="13"/>
  <c r="O1409" i="13" s="1"/>
  <c r="AL507" i="4"/>
  <c r="Q507" i="4"/>
  <c r="AH508" i="4"/>
  <c r="AN508" i="4" s="1"/>
  <c r="AV508" i="4"/>
  <c r="AL509" i="4"/>
  <c r="AF510" i="4"/>
  <c r="AH507" i="4"/>
  <c r="AN507" i="4" s="1"/>
  <c r="AV507" i="4"/>
  <c r="AF509" i="4"/>
  <c r="AF507" i="4"/>
  <c r="B14" i="8"/>
  <c r="E1410" i="13" l="1"/>
  <c r="Q1410" i="13" s="1"/>
  <c r="E1404" i="13"/>
  <c r="E1409" i="13"/>
  <c r="Q1409" i="13" s="1"/>
  <c r="E1412" i="13"/>
  <c r="Q1412" i="13" s="1"/>
  <c r="R1412" i="13" s="1"/>
  <c r="R1374" i="13"/>
  <c r="G803" i="1"/>
  <c r="H803" i="1" s="1"/>
  <c r="Q1411" i="13"/>
  <c r="E1413" i="13"/>
  <c r="Q1413" i="13" s="1"/>
  <c r="R1413" i="13" s="1"/>
  <c r="E1408" i="13"/>
  <c r="Q1408" i="13" s="1"/>
  <c r="R1408" i="13" s="1"/>
  <c r="E1406" i="13"/>
  <c r="Q1406" i="13" s="1"/>
  <c r="G1938" i="1"/>
  <c r="E1407" i="13"/>
  <c r="Q1407" i="13" s="1"/>
  <c r="R1407" i="13" s="1"/>
  <c r="O1404" i="13"/>
  <c r="Q1405" i="13"/>
  <c r="P1412" i="13"/>
  <c r="C29" i="9"/>
  <c r="G948" i="1"/>
  <c r="G946" i="1"/>
  <c r="G945" i="1"/>
  <c r="G944" i="1"/>
  <c r="G943" i="1"/>
  <c r="G942" i="1"/>
  <c r="G941" i="1"/>
  <c r="G940" i="1"/>
  <c r="G939" i="1"/>
  <c r="G938" i="1"/>
  <c r="G937" i="1"/>
  <c r="G934" i="1"/>
  <c r="G932" i="1"/>
  <c r="G931" i="1"/>
  <c r="G930" i="1"/>
  <c r="G929" i="1"/>
  <c r="G928" i="1"/>
  <c r="G911" i="1"/>
  <c r="G904" i="1"/>
  <c r="G903" i="1"/>
  <c r="G902" i="1"/>
  <c r="G901" i="1"/>
  <c r="G900" i="1"/>
  <c r="G899" i="1"/>
  <c r="G897" i="1"/>
  <c r="G895" i="1"/>
  <c r="G893" i="1"/>
  <c r="G892" i="1"/>
  <c r="G891" i="1"/>
  <c r="G890" i="1"/>
  <c r="G889" i="1"/>
  <c r="G888" i="1"/>
  <c r="G887" i="1"/>
  <c r="G886" i="1"/>
  <c r="G885" i="1"/>
  <c r="G884" i="1"/>
  <c r="G883" i="1"/>
  <c r="G882" i="1"/>
  <c r="G881" i="1"/>
  <c r="G879" i="1"/>
  <c r="G878" i="1"/>
  <c r="G877" i="1"/>
  <c r="G850" i="1"/>
  <c r="G786" i="1"/>
  <c r="G781" i="1"/>
  <c r="G780" i="1"/>
  <c r="G779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58" i="1"/>
  <c r="G757" i="1"/>
  <c r="G756" i="1"/>
  <c r="G755" i="1"/>
  <c r="G754" i="1"/>
  <c r="G753" i="1"/>
  <c r="G752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4" i="1"/>
  <c r="G613" i="1"/>
  <c r="G604" i="1"/>
  <c r="G595" i="1"/>
  <c r="G594" i="1"/>
  <c r="G593" i="1"/>
  <c r="G592" i="1"/>
  <c r="G591" i="1"/>
  <c r="G590" i="1"/>
  <c r="G588" i="1"/>
  <c r="G587" i="1"/>
  <c r="G585" i="1"/>
  <c r="G583" i="1"/>
  <c r="G580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1" i="1"/>
  <c r="G557" i="1"/>
  <c r="G556" i="1"/>
  <c r="G554" i="1"/>
  <c r="G553" i="1"/>
  <c r="G551" i="1"/>
  <c r="G550" i="1"/>
  <c r="G549" i="1"/>
  <c r="G548" i="1"/>
  <c r="G544" i="1"/>
  <c r="G543" i="1"/>
  <c r="G540" i="1"/>
  <c r="G539" i="1"/>
  <c r="G538" i="1"/>
  <c r="G537" i="1"/>
  <c r="G536" i="1"/>
  <c r="G535" i="1"/>
  <c r="G534" i="1"/>
  <c r="G533" i="1"/>
  <c r="G532" i="1"/>
  <c r="G530" i="1"/>
  <c r="G529" i="1"/>
  <c r="G527" i="1"/>
  <c r="G525" i="1"/>
  <c r="G521" i="1"/>
  <c r="G519" i="1"/>
  <c r="G518" i="1"/>
  <c r="G517" i="1"/>
  <c r="G515" i="1"/>
  <c r="G514" i="1"/>
  <c r="G513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4" i="1"/>
  <c r="G443" i="1"/>
  <c r="G441" i="1"/>
  <c r="G440" i="1"/>
  <c r="G439" i="1"/>
  <c r="G438" i="1"/>
  <c r="G437" i="1"/>
  <c r="G436" i="1"/>
  <c r="G435" i="1"/>
  <c r="G433" i="1"/>
  <c r="G432" i="1"/>
  <c r="G431" i="1"/>
  <c r="G430" i="1"/>
  <c r="G429" i="1"/>
  <c r="G428" i="1"/>
  <c r="G427" i="1"/>
  <c r="G426" i="1"/>
  <c r="G425" i="1"/>
  <c r="G424" i="1"/>
  <c r="G423" i="1"/>
  <c r="G421" i="1"/>
  <c r="G420" i="1"/>
  <c r="G419" i="1"/>
  <c r="G418" i="1"/>
  <c r="G417" i="1"/>
  <c r="G415" i="1"/>
  <c r="G414" i="1"/>
  <c r="G413" i="1"/>
  <c r="G412" i="1"/>
  <c r="G411" i="1"/>
  <c r="G410" i="1"/>
  <c r="G409" i="1"/>
  <c r="G408" i="1"/>
  <c r="G407" i="1"/>
  <c r="G406" i="1"/>
  <c r="G405" i="1"/>
  <c r="G403" i="1"/>
  <c r="G402" i="1"/>
  <c r="G401" i="1"/>
  <c r="G400" i="1"/>
  <c r="G398" i="1"/>
  <c r="G395" i="1"/>
  <c r="G394" i="1"/>
  <c r="G393" i="1"/>
  <c r="G392" i="1"/>
  <c r="G391" i="1"/>
  <c r="G384" i="1"/>
  <c r="G383" i="1"/>
  <c r="G382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4" i="1"/>
  <c r="G363" i="1"/>
  <c r="G361" i="1"/>
  <c r="G360" i="1"/>
  <c r="G359" i="1"/>
  <c r="G358" i="1"/>
  <c r="G357" i="1"/>
  <c r="G356" i="1"/>
  <c r="G355" i="1"/>
  <c r="G354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H310" i="1" s="1"/>
  <c r="G309" i="1"/>
  <c r="G308" i="1"/>
  <c r="G307" i="1"/>
  <c r="G306" i="1"/>
  <c r="G305" i="1"/>
  <c r="G304" i="1"/>
  <c r="G303" i="1"/>
  <c r="G302" i="1"/>
  <c r="H302" i="1" s="1"/>
  <c r="G301" i="1"/>
  <c r="G300" i="1"/>
  <c r="G299" i="1"/>
  <c r="G298" i="1"/>
  <c r="G297" i="1"/>
  <c r="G296" i="1"/>
  <c r="G295" i="1"/>
  <c r="G293" i="1"/>
  <c r="H293" i="1" s="1"/>
  <c r="G292" i="1"/>
  <c r="G291" i="1"/>
  <c r="G289" i="1"/>
  <c r="G288" i="1"/>
  <c r="G278" i="1"/>
  <c r="G277" i="1"/>
  <c r="G276" i="1"/>
  <c r="G272" i="1"/>
  <c r="H272" i="1" s="1"/>
  <c r="G269" i="1"/>
  <c r="G268" i="1"/>
  <c r="H268" i="1" s="1"/>
  <c r="G267" i="1"/>
  <c r="G266" i="1"/>
  <c r="G265" i="1"/>
  <c r="G264" i="1"/>
  <c r="H264" i="1" s="1"/>
  <c r="G262" i="1"/>
  <c r="G261" i="1"/>
  <c r="H261" i="1" s="1"/>
  <c r="G260" i="1"/>
  <c r="G259" i="1"/>
  <c r="H259" i="1" s="1"/>
  <c r="G258" i="1"/>
  <c r="G257" i="1"/>
  <c r="G256" i="1"/>
  <c r="G255" i="1"/>
  <c r="H255" i="1" s="1"/>
  <c r="G254" i="1"/>
  <c r="G253" i="1"/>
  <c r="H253" i="1" s="1"/>
  <c r="G252" i="1"/>
  <c r="G251" i="1"/>
  <c r="H251" i="1" s="1"/>
  <c r="G250" i="1"/>
  <c r="G249" i="1"/>
  <c r="G248" i="1"/>
  <c r="G247" i="1"/>
  <c r="H247" i="1" s="1"/>
  <c r="G246" i="1"/>
  <c r="G245" i="1"/>
  <c r="H245" i="1" s="1"/>
  <c r="G244" i="1"/>
  <c r="G243" i="1"/>
  <c r="H243" i="1" s="1"/>
  <c r="G242" i="1"/>
  <c r="H242" i="1" s="1"/>
  <c r="G241" i="1"/>
  <c r="G240" i="1"/>
  <c r="G239" i="1"/>
  <c r="G238" i="1"/>
  <c r="H238" i="1" s="1"/>
  <c r="G237" i="1"/>
  <c r="G236" i="1"/>
  <c r="G235" i="1"/>
  <c r="G234" i="1"/>
  <c r="H234" i="1" s="1"/>
  <c r="G233" i="1"/>
  <c r="G232" i="1"/>
  <c r="H232" i="1" s="1"/>
  <c r="G231" i="1"/>
  <c r="H231" i="1" s="1"/>
  <c r="G230" i="1"/>
  <c r="H230" i="1" s="1"/>
  <c r="G229" i="1"/>
  <c r="H229" i="1" s="1"/>
  <c r="G226" i="1"/>
  <c r="G225" i="1"/>
  <c r="H225" i="1" s="1"/>
  <c r="G224" i="1"/>
  <c r="H224" i="1" s="1"/>
  <c r="G223" i="1"/>
  <c r="H223" i="1" s="1"/>
  <c r="G222" i="1"/>
  <c r="H222" i="1" s="1"/>
  <c r="G221" i="1"/>
  <c r="G220" i="1"/>
  <c r="H220" i="1" s="1"/>
  <c r="G218" i="1"/>
  <c r="H218" i="1" s="1"/>
  <c r="G217" i="1"/>
  <c r="H217" i="1" s="1"/>
  <c r="G216" i="1"/>
  <c r="H216" i="1" s="1"/>
  <c r="G215" i="1"/>
  <c r="H215" i="1" s="1"/>
  <c r="G214" i="1"/>
  <c r="H214" i="1" s="1"/>
  <c r="G213" i="1"/>
  <c r="H213" i="1" s="1"/>
  <c r="G212" i="1"/>
  <c r="H212" i="1" s="1"/>
  <c r="G211" i="1"/>
  <c r="H211" i="1" s="1"/>
  <c r="G209" i="1"/>
  <c r="H209" i="1" s="1"/>
  <c r="G206" i="1"/>
  <c r="H206" i="1" s="1"/>
  <c r="G205" i="1"/>
  <c r="H205" i="1" s="1"/>
  <c r="G204" i="1"/>
  <c r="H204" i="1" s="1"/>
  <c r="G203" i="1"/>
  <c r="H203" i="1" s="1"/>
  <c r="G200" i="1"/>
  <c r="H200" i="1" s="1"/>
  <c r="G197" i="1"/>
  <c r="G195" i="1"/>
  <c r="H195" i="1" s="1"/>
  <c r="G194" i="1"/>
  <c r="H194" i="1" s="1"/>
  <c r="G192" i="1"/>
  <c r="H192" i="1" s="1"/>
  <c r="G190" i="1"/>
  <c r="H190" i="1" s="1"/>
  <c r="G189" i="1"/>
  <c r="H189" i="1" s="1"/>
  <c r="G188" i="1"/>
  <c r="G187" i="1"/>
  <c r="G185" i="1"/>
  <c r="G184" i="1"/>
  <c r="G182" i="1"/>
  <c r="H182" i="1" s="1"/>
  <c r="G180" i="1"/>
  <c r="H180" i="1" s="1"/>
  <c r="G179" i="1"/>
  <c r="H179" i="1" s="1"/>
  <c r="G178" i="1"/>
  <c r="H178" i="1" s="1"/>
  <c r="G177" i="1"/>
  <c r="H177" i="1" s="1"/>
  <c r="G176" i="1"/>
  <c r="H176" i="1" s="1"/>
  <c r="G175" i="1"/>
  <c r="H175" i="1" s="1"/>
  <c r="G174" i="1"/>
  <c r="H174" i="1" s="1"/>
  <c r="G173" i="1"/>
  <c r="H173" i="1" s="1"/>
  <c r="G171" i="1"/>
  <c r="H171" i="1" s="1"/>
  <c r="G170" i="1"/>
  <c r="H170" i="1" s="1"/>
  <c r="G169" i="1"/>
  <c r="H169" i="1" s="1"/>
  <c r="G167" i="1"/>
  <c r="H167" i="1" s="1"/>
  <c r="G166" i="1"/>
  <c r="H166" i="1" s="1"/>
  <c r="G165" i="1"/>
  <c r="H165" i="1" s="1"/>
  <c r="G164" i="1"/>
  <c r="H164" i="1" s="1"/>
  <c r="G163" i="1"/>
  <c r="H163" i="1" s="1"/>
  <c r="G161" i="1"/>
  <c r="H161" i="1" s="1"/>
  <c r="G159" i="1"/>
  <c r="H159" i="1" s="1"/>
  <c r="G158" i="1"/>
  <c r="H158" i="1" s="1"/>
  <c r="G157" i="1"/>
  <c r="H157" i="1" s="1"/>
  <c r="G155" i="1"/>
  <c r="H155" i="1" s="1"/>
  <c r="G154" i="1"/>
  <c r="H154" i="1" s="1"/>
  <c r="G153" i="1"/>
  <c r="H153" i="1" s="1"/>
  <c r="G152" i="1"/>
  <c r="H152" i="1" s="1"/>
  <c r="G149" i="1"/>
  <c r="H149" i="1" s="1"/>
  <c r="G144" i="1"/>
  <c r="H144" i="1" s="1"/>
  <c r="G143" i="1"/>
  <c r="H143" i="1" s="1"/>
  <c r="G142" i="1"/>
  <c r="H142" i="1" s="1"/>
  <c r="G140" i="1"/>
  <c r="H140" i="1" s="1"/>
  <c r="G139" i="1"/>
  <c r="H139" i="1" s="1"/>
  <c r="G137" i="1"/>
  <c r="H137" i="1" s="1"/>
  <c r="G135" i="1"/>
  <c r="H135" i="1" s="1"/>
  <c r="G134" i="1"/>
  <c r="H134" i="1" s="1"/>
  <c r="G132" i="1"/>
  <c r="H132" i="1" s="1"/>
  <c r="G130" i="1"/>
  <c r="H130" i="1" s="1"/>
  <c r="G129" i="1"/>
  <c r="H129" i="1" s="1"/>
  <c r="G128" i="1"/>
  <c r="H128" i="1" s="1"/>
  <c r="G127" i="1"/>
  <c r="H127" i="1" s="1"/>
  <c r="G126" i="1"/>
  <c r="H126" i="1" s="1"/>
  <c r="G123" i="1"/>
  <c r="H123" i="1" s="1"/>
  <c r="G122" i="1"/>
  <c r="H122" i="1" s="1"/>
  <c r="G121" i="1"/>
  <c r="G119" i="1"/>
  <c r="H119" i="1" s="1"/>
  <c r="G118" i="1"/>
  <c r="H118" i="1" s="1"/>
  <c r="G117" i="1"/>
  <c r="H117" i="1" s="1"/>
  <c r="G116" i="1"/>
  <c r="G115" i="1"/>
  <c r="G114" i="1"/>
  <c r="H114" i="1" s="1"/>
  <c r="G113" i="1"/>
  <c r="H113" i="1" s="1"/>
  <c r="G111" i="1"/>
  <c r="H111" i="1" s="1"/>
  <c r="G109" i="1"/>
  <c r="H109" i="1" s="1"/>
  <c r="G108" i="1"/>
  <c r="H108" i="1" s="1"/>
  <c r="G107" i="1"/>
  <c r="H107" i="1" s="1"/>
  <c r="G103" i="1"/>
  <c r="H103" i="1" s="1"/>
  <c r="G99" i="1"/>
  <c r="G98" i="1"/>
  <c r="G97" i="1"/>
  <c r="G96" i="1"/>
  <c r="H96" i="1" s="1"/>
  <c r="G95" i="1"/>
  <c r="H95" i="1" s="1"/>
  <c r="G93" i="1"/>
  <c r="H93" i="1" s="1"/>
  <c r="G92" i="1"/>
  <c r="H92" i="1" s="1"/>
  <c r="G91" i="1"/>
  <c r="H91" i="1" s="1"/>
  <c r="G90" i="1"/>
  <c r="H90" i="1" s="1"/>
  <c r="G87" i="1"/>
  <c r="H87" i="1" s="1"/>
  <c r="G86" i="1"/>
  <c r="H86" i="1" s="1"/>
  <c r="G85" i="1"/>
  <c r="H85" i="1" s="1"/>
  <c r="G84" i="1"/>
  <c r="H84" i="1" s="1"/>
  <c r="G83" i="1"/>
  <c r="H83" i="1" s="1"/>
  <c r="G78" i="1"/>
  <c r="H78" i="1" s="1"/>
  <c r="H948" i="1"/>
  <c r="H943" i="1"/>
  <c r="H911" i="1"/>
  <c r="H904" i="1"/>
  <c r="H903" i="1"/>
  <c r="H902" i="1"/>
  <c r="H901" i="1"/>
  <c r="H900" i="1"/>
  <c r="H899" i="1"/>
  <c r="H897" i="1"/>
  <c r="H895" i="1"/>
  <c r="H893" i="1"/>
  <c r="H892" i="1"/>
  <c r="H891" i="1"/>
  <c r="H890" i="1"/>
  <c r="H889" i="1"/>
  <c r="H888" i="1"/>
  <c r="H887" i="1"/>
  <c r="H886" i="1"/>
  <c r="H885" i="1"/>
  <c r="H884" i="1"/>
  <c r="H883" i="1"/>
  <c r="H882" i="1"/>
  <c r="H881" i="1"/>
  <c r="H879" i="1"/>
  <c r="H878" i="1"/>
  <c r="H877" i="1"/>
  <c r="H850" i="1"/>
  <c r="H786" i="1"/>
  <c r="H781" i="1"/>
  <c r="H780" i="1"/>
  <c r="H779" i="1"/>
  <c r="H777" i="1"/>
  <c r="H776" i="1"/>
  <c r="H775" i="1"/>
  <c r="H774" i="1"/>
  <c r="H773" i="1"/>
  <c r="H772" i="1"/>
  <c r="H771" i="1"/>
  <c r="H770" i="1"/>
  <c r="H769" i="1"/>
  <c r="H768" i="1"/>
  <c r="H767" i="1"/>
  <c r="H766" i="1"/>
  <c r="H765" i="1"/>
  <c r="H764" i="1"/>
  <c r="H763" i="1"/>
  <c r="H762" i="1"/>
  <c r="H761" i="1"/>
  <c r="H757" i="1"/>
  <c r="H756" i="1"/>
  <c r="H755" i="1"/>
  <c r="H754" i="1"/>
  <c r="H753" i="1"/>
  <c r="H752" i="1"/>
  <c r="H735" i="1"/>
  <c r="H734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7" i="1"/>
  <c r="H686" i="1"/>
  <c r="H685" i="1"/>
  <c r="H684" i="1"/>
  <c r="H683" i="1"/>
  <c r="H682" i="1"/>
  <c r="H681" i="1"/>
  <c r="H680" i="1"/>
  <c r="H679" i="1"/>
  <c r="H678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2" i="1"/>
  <c r="H621" i="1"/>
  <c r="H619" i="1"/>
  <c r="H618" i="1"/>
  <c r="H617" i="1"/>
  <c r="H614" i="1"/>
  <c r="H613" i="1"/>
  <c r="H604" i="1"/>
  <c r="H595" i="1"/>
  <c r="H594" i="1"/>
  <c r="H593" i="1"/>
  <c r="H592" i="1"/>
  <c r="H591" i="1"/>
  <c r="H590" i="1"/>
  <c r="H588" i="1"/>
  <c r="H587" i="1"/>
  <c r="H585" i="1"/>
  <c r="H583" i="1"/>
  <c r="H580" i="1"/>
  <c r="H564" i="1"/>
  <c r="H563" i="1"/>
  <c r="H561" i="1"/>
  <c r="H557" i="1"/>
  <c r="H556" i="1"/>
  <c r="H554" i="1"/>
  <c r="H553" i="1"/>
  <c r="H551" i="1"/>
  <c r="H550" i="1"/>
  <c r="H549" i="1"/>
  <c r="H548" i="1"/>
  <c r="H544" i="1"/>
  <c r="H543" i="1"/>
  <c r="H540" i="1"/>
  <c r="H539" i="1"/>
  <c r="H538" i="1"/>
  <c r="H537" i="1"/>
  <c r="H536" i="1"/>
  <c r="H535" i="1"/>
  <c r="H534" i="1"/>
  <c r="H533" i="1"/>
  <c r="H532" i="1"/>
  <c r="H530" i="1"/>
  <c r="H529" i="1"/>
  <c r="H527" i="1"/>
  <c r="H525" i="1"/>
  <c r="H521" i="1"/>
  <c r="H519" i="1"/>
  <c r="H518" i="1"/>
  <c r="H517" i="1"/>
  <c r="H515" i="1"/>
  <c r="H514" i="1"/>
  <c r="H513" i="1"/>
  <c r="H511" i="1"/>
  <c r="H510" i="1"/>
  <c r="H509" i="1"/>
  <c r="H508" i="1"/>
  <c r="H507" i="1"/>
  <c r="H506" i="1"/>
  <c r="H504" i="1"/>
  <c r="H502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4" i="1"/>
  <c r="H443" i="1"/>
  <c r="H441" i="1"/>
  <c r="H440" i="1"/>
  <c r="H439" i="1"/>
  <c r="H438" i="1"/>
  <c r="H437" i="1"/>
  <c r="H436" i="1"/>
  <c r="H435" i="1"/>
  <c r="H433" i="1"/>
  <c r="H432" i="1"/>
  <c r="H431" i="1"/>
  <c r="H430" i="1"/>
  <c r="H429" i="1"/>
  <c r="H428" i="1"/>
  <c r="H427" i="1"/>
  <c r="H426" i="1"/>
  <c r="H425" i="1"/>
  <c r="H424" i="1"/>
  <c r="H423" i="1"/>
  <c r="H421" i="1"/>
  <c r="H420" i="1"/>
  <c r="H419" i="1"/>
  <c r="H418" i="1"/>
  <c r="H417" i="1"/>
  <c r="H414" i="1"/>
  <c r="H413" i="1"/>
  <c r="H412" i="1"/>
  <c r="H411" i="1"/>
  <c r="H410" i="1"/>
  <c r="H409" i="1"/>
  <c r="H408" i="1"/>
  <c r="H407" i="1"/>
  <c r="H406" i="1"/>
  <c r="H405" i="1"/>
  <c r="H403" i="1"/>
  <c r="H402" i="1"/>
  <c r="H401" i="1"/>
  <c r="H400" i="1"/>
  <c r="H398" i="1"/>
  <c r="H395" i="1"/>
  <c r="H394" i="1"/>
  <c r="H393" i="1"/>
  <c r="H392" i="1"/>
  <c r="H391" i="1"/>
  <c r="H384" i="1"/>
  <c r="H383" i="1"/>
  <c r="H382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4" i="1"/>
  <c r="H363" i="1"/>
  <c r="H361" i="1"/>
  <c r="H360" i="1"/>
  <c r="H359" i="1"/>
  <c r="H358" i="1"/>
  <c r="H357" i="1"/>
  <c r="H356" i="1"/>
  <c r="H355" i="1"/>
  <c r="H354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5" i="1"/>
  <c r="H323" i="1"/>
  <c r="H322" i="1"/>
  <c r="H320" i="1"/>
  <c r="H319" i="1"/>
  <c r="H318" i="1"/>
  <c r="H317" i="1"/>
  <c r="H316" i="1"/>
  <c r="H315" i="1"/>
  <c r="H314" i="1"/>
  <c r="H313" i="1"/>
  <c r="H312" i="1"/>
  <c r="H311" i="1"/>
  <c r="H309" i="1"/>
  <c r="H308" i="1"/>
  <c r="H307" i="1"/>
  <c r="H306" i="1"/>
  <c r="H305" i="1"/>
  <c r="H304" i="1"/>
  <c r="H303" i="1"/>
  <c r="H301" i="1"/>
  <c r="H300" i="1"/>
  <c r="H299" i="1"/>
  <c r="H298" i="1"/>
  <c r="H297" i="1"/>
  <c r="H296" i="1"/>
  <c r="H295" i="1"/>
  <c r="H292" i="1"/>
  <c r="H291" i="1"/>
  <c r="H289" i="1"/>
  <c r="H288" i="1"/>
  <c r="H278" i="1"/>
  <c r="H276" i="1"/>
  <c r="H269" i="1"/>
  <c r="H267" i="1"/>
  <c r="H266" i="1"/>
  <c r="H265" i="1"/>
  <c r="H262" i="1"/>
  <c r="H260" i="1"/>
  <c r="H258" i="1"/>
  <c r="H257" i="1"/>
  <c r="H256" i="1"/>
  <c r="H254" i="1"/>
  <c r="H252" i="1"/>
  <c r="H250" i="1"/>
  <c r="H249" i="1"/>
  <c r="H248" i="1"/>
  <c r="H246" i="1"/>
  <c r="H244" i="1"/>
  <c r="H241" i="1"/>
  <c r="H240" i="1"/>
  <c r="H239" i="1"/>
  <c r="H237" i="1"/>
  <c r="H236" i="1"/>
  <c r="H235" i="1"/>
  <c r="H233" i="1"/>
  <c r="H226" i="1"/>
  <c r="H221" i="1"/>
  <c r="H197" i="1"/>
  <c r="Q7" i="17418"/>
  <c r="JL10" i="17418"/>
  <c r="JM10" i="17418" s="1"/>
  <c r="JN10" i="17418" s="1"/>
  <c r="JO10" i="17418" s="1"/>
  <c r="JP10" i="17418" s="1"/>
  <c r="JQ10" i="17418" s="1"/>
  <c r="JR10" i="17418" s="1"/>
  <c r="JS10" i="17418" s="1"/>
  <c r="JT10" i="17418" s="1"/>
  <c r="JU10" i="17418" s="1"/>
  <c r="JV10" i="17418" s="1"/>
  <c r="JW10" i="17418" s="1"/>
  <c r="JX10" i="17418" s="1"/>
  <c r="JY10" i="17418" s="1"/>
  <c r="JZ10" i="17418" s="1"/>
  <c r="KA10" i="17418" s="1"/>
  <c r="KB10" i="17418" s="1"/>
  <c r="KC10" i="17418" s="1"/>
  <c r="KD10" i="17418" s="1"/>
  <c r="KE10" i="17418" s="1"/>
  <c r="KF10" i="17418" s="1"/>
  <c r="KG10" i="17418" s="1"/>
  <c r="KH10" i="17418" s="1"/>
  <c r="KI10" i="17418" s="1"/>
  <c r="KJ10" i="17418" s="1"/>
  <c r="KK10" i="17418" s="1"/>
  <c r="KL10" i="17418" s="1"/>
  <c r="KM10" i="17418" s="1"/>
  <c r="KN10" i="17418" s="1"/>
  <c r="KO10" i="17418" s="1"/>
  <c r="KP10" i="17418" s="1"/>
  <c r="KQ10" i="17418" s="1"/>
  <c r="KR10" i="17418" s="1"/>
  <c r="KS10" i="17418" s="1"/>
  <c r="KT10" i="17418" s="1"/>
  <c r="KU10" i="17418" s="1"/>
  <c r="KV10" i="17418" s="1"/>
  <c r="KW10" i="17418" s="1"/>
  <c r="KX10" i="17418" s="1"/>
  <c r="KY10" i="17418" s="1"/>
  <c r="KZ10" i="17418" s="1"/>
  <c r="LA10" i="17418" s="1"/>
  <c r="LB10" i="17418" s="1"/>
  <c r="LC10" i="17418" s="1"/>
  <c r="LD10" i="17418" s="1"/>
  <c r="LE10" i="17418" s="1"/>
  <c r="LF10" i="17418" s="1"/>
  <c r="DU10" i="17418"/>
  <c r="DV10" i="17418" s="1"/>
  <c r="DW10" i="17418" s="1"/>
  <c r="DX10" i="17418" s="1"/>
  <c r="DY10" i="17418" s="1"/>
  <c r="DZ10" i="17418" s="1"/>
  <c r="EA10" i="17418" s="1"/>
  <c r="EB10" i="17418" s="1"/>
  <c r="EC10" i="17418" s="1"/>
  <c r="ED10" i="17418" s="1"/>
  <c r="EE10" i="17418" s="1"/>
  <c r="EF10" i="17418" s="1"/>
  <c r="EG10" i="17418" s="1"/>
  <c r="EH10" i="17418" s="1"/>
  <c r="EI10" i="17418" s="1"/>
  <c r="EJ10" i="17418" s="1"/>
  <c r="EK10" i="17418" s="1"/>
  <c r="EL10" i="17418" s="1"/>
  <c r="EM10" i="17418" s="1"/>
  <c r="EN10" i="17418" s="1"/>
  <c r="EO10" i="17418" s="1"/>
  <c r="EP10" i="17418" s="1"/>
  <c r="EQ10" i="17418" s="1"/>
  <c r="ER10" i="17418" s="1"/>
  <c r="ES10" i="17418" s="1"/>
  <c r="ET10" i="17418" s="1"/>
  <c r="EU10" i="17418" s="1"/>
  <c r="EV10" i="17418" s="1"/>
  <c r="EW10" i="17418" s="1"/>
  <c r="EX10" i="17418" s="1"/>
  <c r="EY10" i="17418" s="1"/>
  <c r="EZ10" i="17418" s="1"/>
  <c r="FA10" i="17418" s="1"/>
  <c r="FB10" i="17418" s="1"/>
  <c r="FC10" i="17418" s="1"/>
  <c r="FD10" i="17418" s="1"/>
  <c r="FE10" i="17418" s="1"/>
  <c r="FF10" i="17418" s="1"/>
  <c r="FG10" i="17418" s="1"/>
  <c r="FH10" i="17418" s="1"/>
  <c r="FI10" i="17418" s="1"/>
  <c r="FJ10" i="17418" s="1"/>
  <c r="FK10" i="17418" s="1"/>
  <c r="FL10" i="17418" s="1"/>
  <c r="FM10" i="17418" s="1"/>
  <c r="FN10" i="17418" s="1"/>
  <c r="FO10" i="17418" s="1"/>
  <c r="FR10" i="17418"/>
  <c r="FS10" i="17418" s="1"/>
  <c r="BX10" i="17418"/>
  <c r="M16" i="17418"/>
  <c r="L14" i="17418"/>
  <c r="O1499" i="13"/>
  <c r="N1500" i="13"/>
  <c r="O1001" i="4"/>
  <c r="O1000" i="4"/>
  <c r="J1002" i="4"/>
  <c r="J1001" i="4"/>
  <c r="J1000" i="4"/>
  <c r="AK1002" i="4"/>
  <c r="AI1002" i="4"/>
  <c r="AG1002" i="4"/>
  <c r="AE1002" i="4"/>
  <c r="AD1002" i="4"/>
  <c r="AC1002" i="4"/>
  <c r="AB1002" i="4"/>
  <c r="AA1002" i="4"/>
  <c r="Z1002" i="4"/>
  <c r="O1002" i="4"/>
  <c r="L1002" i="4"/>
  <c r="K1002" i="4"/>
  <c r="H1002" i="4"/>
  <c r="AF1002" i="4" s="1"/>
  <c r="E1002" i="4"/>
  <c r="AM1001" i="4"/>
  <c r="AK1001" i="4"/>
  <c r="AI1001" i="4"/>
  <c r="AG1001" i="4"/>
  <c r="AE1001" i="4"/>
  <c r="AD1001" i="4"/>
  <c r="AC1001" i="4"/>
  <c r="AB1001" i="4"/>
  <c r="AA1001" i="4"/>
  <c r="Z1001" i="4"/>
  <c r="K1001" i="4"/>
  <c r="H1001" i="4"/>
  <c r="AF1001" i="4" s="1"/>
  <c r="E1001" i="4"/>
  <c r="AM1000" i="4"/>
  <c r="AM1002" i="4" s="1"/>
  <c r="AK1000" i="4"/>
  <c r="AI1000" i="4"/>
  <c r="AG1000" i="4"/>
  <c r="AE1000" i="4"/>
  <c r="AD1000" i="4"/>
  <c r="AC1000" i="4"/>
  <c r="AB1000" i="4"/>
  <c r="AA1000" i="4"/>
  <c r="Z1000" i="4"/>
  <c r="K1000" i="4"/>
  <c r="H1000" i="4"/>
  <c r="AF1000" i="4" s="1"/>
  <c r="E1000" i="4"/>
  <c r="J999" i="4"/>
  <c r="J998" i="4"/>
  <c r="J997" i="4"/>
  <c r="J996" i="4"/>
  <c r="O994" i="4"/>
  <c r="O995" i="4"/>
  <c r="AK995" i="4"/>
  <c r="AI995" i="4"/>
  <c r="AG995" i="4"/>
  <c r="AE995" i="4"/>
  <c r="AD995" i="4"/>
  <c r="AC995" i="4"/>
  <c r="AB995" i="4"/>
  <c r="AA995" i="4"/>
  <c r="Z995" i="4"/>
  <c r="K995" i="4"/>
  <c r="J995" i="4"/>
  <c r="H995" i="4"/>
  <c r="E995" i="4"/>
  <c r="AM994" i="4"/>
  <c r="AM995" i="4" s="1"/>
  <c r="AK994" i="4"/>
  <c r="AI994" i="4"/>
  <c r="AG994" i="4"/>
  <c r="AE994" i="4"/>
  <c r="AD994" i="4"/>
  <c r="AC994" i="4"/>
  <c r="AB994" i="4"/>
  <c r="AA994" i="4"/>
  <c r="Z994" i="4"/>
  <c r="K994" i="4"/>
  <c r="J994" i="4"/>
  <c r="H994" i="4"/>
  <c r="AV994" i="4" s="1"/>
  <c r="E994" i="4"/>
  <c r="Q994" i="4" s="1"/>
  <c r="AK999" i="4"/>
  <c r="AI999" i="4"/>
  <c r="AG999" i="4"/>
  <c r="AE999" i="4"/>
  <c r="AD999" i="4"/>
  <c r="AC999" i="4"/>
  <c r="AB999" i="4"/>
  <c r="AA999" i="4"/>
  <c r="Z999" i="4"/>
  <c r="O999" i="4"/>
  <c r="L999" i="4"/>
  <c r="K999" i="4"/>
  <c r="H999" i="4"/>
  <c r="AH999" i="4" s="1"/>
  <c r="AN999" i="4" s="1"/>
  <c r="E999" i="4"/>
  <c r="Q999" i="4" s="1"/>
  <c r="G947" i="1" s="1"/>
  <c r="H947" i="1" s="1"/>
  <c r="AK998" i="4"/>
  <c r="AI998" i="4"/>
  <c r="AG998" i="4"/>
  <c r="AE998" i="4"/>
  <c r="AD998" i="4"/>
  <c r="AC998" i="4"/>
  <c r="AB998" i="4"/>
  <c r="AA998" i="4"/>
  <c r="Z998" i="4"/>
  <c r="O998" i="4"/>
  <c r="K998" i="4"/>
  <c r="H998" i="4"/>
  <c r="AV998" i="4" s="1"/>
  <c r="E998" i="4"/>
  <c r="AK997" i="4"/>
  <c r="AI997" i="4"/>
  <c r="AG997" i="4"/>
  <c r="AE997" i="4"/>
  <c r="AD997" i="4"/>
  <c r="AC997" i="4"/>
  <c r="AB997" i="4"/>
  <c r="AA997" i="4"/>
  <c r="Z997" i="4"/>
  <c r="O997" i="4"/>
  <c r="K997" i="4"/>
  <c r="H997" i="4"/>
  <c r="AF997" i="4" s="1"/>
  <c r="E997" i="4"/>
  <c r="AM996" i="4"/>
  <c r="AM998" i="4" s="1"/>
  <c r="AK996" i="4"/>
  <c r="AI996" i="4"/>
  <c r="AG996" i="4"/>
  <c r="AE996" i="4"/>
  <c r="AD996" i="4"/>
  <c r="AC996" i="4"/>
  <c r="AB996" i="4"/>
  <c r="AA996" i="4"/>
  <c r="Z996" i="4"/>
  <c r="O996" i="4"/>
  <c r="K996" i="4"/>
  <c r="H996" i="4"/>
  <c r="E996" i="4"/>
  <c r="F946" i="1"/>
  <c r="H946" i="1" s="1"/>
  <c r="F945" i="1"/>
  <c r="H945" i="1" s="1"/>
  <c r="F944" i="1"/>
  <c r="H944" i="1" s="1"/>
  <c r="F942" i="1"/>
  <c r="H942" i="1" s="1"/>
  <c r="F941" i="1"/>
  <c r="H941" i="1" s="1"/>
  <c r="F940" i="1"/>
  <c r="H940" i="1" s="1"/>
  <c r="F939" i="1"/>
  <c r="H939" i="1" s="1"/>
  <c r="F938" i="1"/>
  <c r="H938" i="1" s="1"/>
  <c r="F937" i="1"/>
  <c r="H937" i="1" s="1"/>
  <c r="F936" i="1"/>
  <c r="L998" i="4" s="1"/>
  <c r="F935" i="1"/>
  <c r="L997" i="4" s="1"/>
  <c r="F934" i="1"/>
  <c r="H934" i="1" s="1"/>
  <c r="F933" i="1"/>
  <c r="L996" i="4" s="1"/>
  <c r="P996" i="4" s="1"/>
  <c r="F932" i="1"/>
  <c r="H932" i="1" s="1"/>
  <c r="F931" i="1"/>
  <c r="H931" i="1" s="1"/>
  <c r="F930" i="1"/>
  <c r="H930" i="1" s="1"/>
  <c r="F929" i="1"/>
  <c r="H929" i="1" s="1"/>
  <c r="F928" i="1"/>
  <c r="H928" i="1" s="1"/>
  <c r="H9" i="17419" l="1"/>
  <c r="Q22" i="17418"/>
  <c r="Q20" i="17418" s="1"/>
  <c r="Q17" i="17418"/>
  <c r="Q16" i="17418"/>
  <c r="AL998" i="4"/>
  <c r="Q1404" i="13"/>
  <c r="AL1002" i="4"/>
  <c r="Q1000" i="4"/>
  <c r="AL1000" i="4"/>
  <c r="Q997" i="4"/>
  <c r="G935" i="1" s="1"/>
  <c r="H935" i="1" s="1"/>
  <c r="Q1001" i="4"/>
  <c r="Q996" i="4"/>
  <c r="G933" i="1" s="1"/>
  <c r="H933" i="1" s="1"/>
  <c r="AL999" i="4"/>
  <c r="Q995" i="4"/>
  <c r="AL1001" i="4"/>
  <c r="Q1002" i="4"/>
  <c r="R1002" i="4" s="1"/>
  <c r="FT10" i="17418"/>
  <c r="FU10" i="17418" s="1"/>
  <c r="FV10" i="17418" s="1"/>
  <c r="FW10" i="17418" s="1"/>
  <c r="FX10" i="17418" s="1"/>
  <c r="FY10" i="17418" s="1"/>
  <c r="FZ10" i="17418" s="1"/>
  <c r="GA10" i="17418" s="1"/>
  <c r="GB10" i="17418" s="1"/>
  <c r="GC10" i="17418" s="1"/>
  <c r="GD10" i="17418" s="1"/>
  <c r="GE10" i="17418" s="1"/>
  <c r="GF10" i="17418" s="1"/>
  <c r="GG10" i="17418" s="1"/>
  <c r="GH10" i="17418" s="1"/>
  <c r="GI10" i="17418" s="1"/>
  <c r="GJ10" i="17418" s="1"/>
  <c r="GK10" i="17418" s="1"/>
  <c r="GL10" i="17418" s="1"/>
  <c r="GM10" i="17418" s="1"/>
  <c r="GN10" i="17418" s="1"/>
  <c r="GO10" i="17418" s="1"/>
  <c r="GP10" i="17418" s="1"/>
  <c r="GQ10" i="17418" s="1"/>
  <c r="GR10" i="17418" s="1"/>
  <c r="GS10" i="17418" s="1"/>
  <c r="GT10" i="17418" s="1"/>
  <c r="GU10" i="17418" s="1"/>
  <c r="GV10" i="17418" s="1"/>
  <c r="GW10" i="17418" s="1"/>
  <c r="GX10" i="17418" s="1"/>
  <c r="GY10" i="17418" s="1"/>
  <c r="GZ10" i="17418" s="1"/>
  <c r="HA10" i="17418" s="1"/>
  <c r="HB10" i="17418" s="1"/>
  <c r="HC10" i="17418" s="1"/>
  <c r="HD10" i="17418" s="1"/>
  <c r="HE10" i="17418" s="1"/>
  <c r="HF10" i="17418" s="1"/>
  <c r="HG10" i="17418" s="1"/>
  <c r="HH10" i="17418" s="1"/>
  <c r="HI10" i="17418" s="1"/>
  <c r="HJ10" i="17418" s="1"/>
  <c r="HK10" i="17418" s="1"/>
  <c r="HL10" i="17418" s="1"/>
  <c r="BY10" i="17418"/>
  <c r="AV999" i="4"/>
  <c r="AL994" i="4"/>
  <c r="AL995" i="4"/>
  <c r="AH1000" i="4"/>
  <c r="AN1000" i="4" s="1"/>
  <c r="AV1000" i="4"/>
  <c r="AH1001" i="4"/>
  <c r="AN1001" i="4" s="1"/>
  <c r="AV1001" i="4"/>
  <c r="P1002" i="4"/>
  <c r="AL996" i="4"/>
  <c r="AF998" i="4"/>
  <c r="R999" i="4"/>
  <c r="AH994" i="4"/>
  <c r="AN994" i="4" s="1"/>
  <c r="AH1002" i="4"/>
  <c r="AN1002" i="4" s="1"/>
  <c r="AV1002" i="4"/>
  <c r="AL997" i="4"/>
  <c r="Q998" i="4"/>
  <c r="G936" i="1" s="1"/>
  <c r="H936" i="1" s="1"/>
  <c r="P999" i="4"/>
  <c r="R996" i="4"/>
  <c r="AH996" i="4"/>
  <c r="AN996" i="4" s="1"/>
  <c r="AV996" i="4"/>
  <c r="P997" i="4"/>
  <c r="AH995" i="4"/>
  <c r="AN995" i="4" s="1"/>
  <c r="AV995" i="4"/>
  <c r="AH997" i="4"/>
  <c r="AN997" i="4" s="1"/>
  <c r="AM997" i="4"/>
  <c r="AM999" i="4" s="1"/>
  <c r="AV997" i="4"/>
  <c r="P998" i="4"/>
  <c r="AF999" i="4"/>
  <c r="AF994" i="4"/>
  <c r="AF996" i="4"/>
  <c r="AH998" i="4"/>
  <c r="AN998" i="4" s="1"/>
  <c r="AF995" i="4"/>
  <c r="R997" i="4" l="1"/>
  <c r="R998" i="4"/>
  <c r="BZ10" i="17418"/>
  <c r="CA10" i="17418" s="1"/>
  <c r="CB10" i="17418" s="1"/>
  <c r="CC10" i="17418" s="1"/>
  <c r="CD10" i="17418" s="1"/>
  <c r="CE10" i="17418" s="1"/>
  <c r="CF10" i="17418" s="1"/>
  <c r="CG10" i="17418" s="1"/>
  <c r="CH10" i="17418" s="1"/>
  <c r="CI10" i="17418" s="1"/>
  <c r="CJ10" i="17418" s="1"/>
  <c r="CK10" i="17418" s="1"/>
  <c r="CL10" i="17418" s="1"/>
  <c r="CM10" i="17418" s="1"/>
  <c r="CN10" i="17418" s="1"/>
  <c r="CO10" i="17418" s="1"/>
  <c r="CP10" i="17418" s="1"/>
  <c r="CQ10" i="17418" s="1"/>
  <c r="CR10" i="17418" s="1"/>
  <c r="CS10" i="17418" s="1"/>
  <c r="CT10" i="17418" s="1"/>
  <c r="CU10" i="17418" s="1"/>
  <c r="CV10" i="17418" s="1"/>
  <c r="CW10" i="17418" s="1"/>
  <c r="CX10" i="17418" s="1"/>
  <c r="CY10" i="17418" s="1"/>
  <c r="CZ10" i="17418" s="1"/>
  <c r="DA10" i="17418" s="1"/>
  <c r="DB10" i="17418" s="1"/>
  <c r="DC10" i="17418" s="1"/>
  <c r="DD10" i="17418" s="1"/>
  <c r="DE10" i="17418" s="1"/>
  <c r="DF10" i="17418" s="1"/>
  <c r="DG10" i="17418" s="1"/>
  <c r="DH10" i="17418" s="1"/>
  <c r="DI10" i="17418" s="1"/>
  <c r="DJ10" i="17418" s="1"/>
  <c r="DK10" i="17418" s="1"/>
  <c r="DL10" i="17418" s="1"/>
  <c r="DM10" i="17418" s="1"/>
  <c r="DN10" i="17418" s="1"/>
  <c r="DO10" i="17418" s="1"/>
  <c r="DP10" i="17418" s="1"/>
  <c r="DQ10" i="17418" s="1"/>
  <c r="DR10" i="17418" s="1"/>
  <c r="J1452" i="13"/>
  <c r="J1458" i="13"/>
  <c r="AK974" i="4"/>
  <c r="AI974" i="4"/>
  <c r="AG974" i="4"/>
  <c r="AE974" i="4"/>
  <c r="AD974" i="4"/>
  <c r="AC974" i="4"/>
  <c r="AB974" i="4"/>
  <c r="AA974" i="4"/>
  <c r="Z974" i="4"/>
  <c r="O974" i="4"/>
  <c r="K974" i="4"/>
  <c r="J974" i="4"/>
  <c r="H974" i="4"/>
  <c r="E974" i="4"/>
  <c r="AK1458" i="13"/>
  <c r="AI1458" i="13"/>
  <c r="AG1458" i="13"/>
  <c r="AE1458" i="13"/>
  <c r="AD1458" i="13"/>
  <c r="AC1458" i="13"/>
  <c r="AB1458" i="13"/>
  <c r="AA1458" i="13"/>
  <c r="Z1458" i="13"/>
  <c r="O1458" i="13"/>
  <c r="L1458" i="13"/>
  <c r="K1458" i="13"/>
  <c r="H1458" i="13"/>
  <c r="AF1458" i="13" s="1"/>
  <c r="AK1457" i="13"/>
  <c r="AI1457" i="13"/>
  <c r="AG1457" i="13"/>
  <c r="AE1457" i="13"/>
  <c r="AD1457" i="13"/>
  <c r="AC1457" i="13"/>
  <c r="AB1457" i="13"/>
  <c r="AA1457" i="13"/>
  <c r="Z1457" i="13"/>
  <c r="O1457" i="13"/>
  <c r="K1457" i="13"/>
  <c r="J1457" i="13"/>
  <c r="H1457" i="13"/>
  <c r="AF1457" i="13" s="1"/>
  <c r="AK1456" i="13"/>
  <c r="AI1456" i="13"/>
  <c r="AG1456" i="13"/>
  <c r="AL1456" i="13" s="1"/>
  <c r="AE1456" i="13"/>
  <c r="AD1456" i="13"/>
  <c r="AC1456" i="13"/>
  <c r="AB1456" i="13"/>
  <c r="AA1456" i="13"/>
  <c r="Z1456" i="13"/>
  <c r="O1456" i="13"/>
  <c r="K1456" i="13"/>
  <c r="J1456" i="13"/>
  <c r="H1456" i="13"/>
  <c r="AF1456" i="13" s="1"/>
  <c r="AM1455" i="13"/>
  <c r="AM1456" i="13" s="1"/>
  <c r="AM1457" i="13" s="1"/>
  <c r="AM1458" i="13" s="1"/>
  <c r="AK1455" i="13"/>
  <c r="AI1455" i="13"/>
  <c r="AG1455" i="13"/>
  <c r="AE1455" i="13"/>
  <c r="AD1455" i="13"/>
  <c r="AC1455" i="13"/>
  <c r="AB1455" i="13"/>
  <c r="AA1455" i="13"/>
  <c r="Z1455" i="13"/>
  <c r="O1455" i="13"/>
  <c r="K1455" i="13"/>
  <c r="J1455" i="13"/>
  <c r="H1455" i="13"/>
  <c r="AF1455" i="13" s="1"/>
  <c r="L1411" i="13"/>
  <c r="F347" i="1"/>
  <c r="L1410" i="13" s="1"/>
  <c r="F343" i="1"/>
  <c r="O451" i="4"/>
  <c r="F345" i="1"/>
  <c r="L449" i="4" s="1"/>
  <c r="F344" i="1"/>
  <c r="P449" i="4" l="1"/>
  <c r="R449" i="4"/>
  <c r="P1458" i="13"/>
  <c r="AL1457" i="13"/>
  <c r="P1410" i="13"/>
  <c r="R1410" i="13"/>
  <c r="P1411" i="13"/>
  <c r="R1411" i="13"/>
  <c r="AH1457" i="13"/>
  <c r="AN1457" i="13" s="1"/>
  <c r="Q974" i="4"/>
  <c r="AL974" i="4"/>
  <c r="AL1455" i="13"/>
  <c r="AH1456" i="13"/>
  <c r="AN1456" i="13" s="1"/>
  <c r="AH1458" i="13"/>
  <c r="AN1458" i="13" s="1"/>
  <c r="AL1458" i="13"/>
  <c r="AH1455" i="13"/>
  <c r="AN1455" i="13" s="1"/>
  <c r="AF974" i="4"/>
  <c r="O1038" i="4" l="1"/>
  <c r="AM1038" i="4"/>
  <c r="AK1038" i="4"/>
  <c r="AI1038" i="4"/>
  <c r="AG1038" i="4"/>
  <c r="AE1038" i="4"/>
  <c r="AD1038" i="4"/>
  <c r="AC1038" i="4"/>
  <c r="AB1038" i="4"/>
  <c r="AA1038" i="4"/>
  <c r="Z1038" i="4"/>
  <c r="H1038" i="4"/>
  <c r="AF1038" i="4" s="1"/>
  <c r="E1038" i="4"/>
  <c r="AM1036" i="4"/>
  <c r="AK1036" i="4"/>
  <c r="AI1036" i="4"/>
  <c r="AG1036" i="4"/>
  <c r="AE1036" i="4"/>
  <c r="AD1036" i="4"/>
  <c r="AC1036" i="4"/>
  <c r="AB1036" i="4"/>
  <c r="AA1036" i="4"/>
  <c r="Z1036" i="4"/>
  <c r="O1036" i="4"/>
  <c r="K1036" i="4"/>
  <c r="J1036" i="4"/>
  <c r="H1036" i="4"/>
  <c r="AV1036" i="4" s="1"/>
  <c r="E1036" i="4"/>
  <c r="AM1035" i="4"/>
  <c r="AK1035" i="4"/>
  <c r="AI1035" i="4"/>
  <c r="AG1035" i="4"/>
  <c r="AE1035" i="4"/>
  <c r="AD1035" i="4"/>
  <c r="AC1035" i="4"/>
  <c r="AB1035" i="4"/>
  <c r="AA1035" i="4"/>
  <c r="Z1035" i="4"/>
  <c r="O1035" i="4"/>
  <c r="K1035" i="4"/>
  <c r="J1035" i="4"/>
  <c r="H1035" i="4"/>
  <c r="AV1035" i="4" s="1"/>
  <c r="E1035" i="4"/>
  <c r="Q1035" i="4" s="1"/>
  <c r="O1033" i="4"/>
  <c r="O1032" i="4"/>
  <c r="N1034" i="4"/>
  <c r="O1034" i="4" s="1"/>
  <c r="AM1034" i="4"/>
  <c r="AK1034" i="4"/>
  <c r="AI1034" i="4"/>
  <c r="AG1034" i="4"/>
  <c r="AE1034" i="4"/>
  <c r="AD1034" i="4"/>
  <c r="AC1034" i="4"/>
  <c r="AB1034" i="4"/>
  <c r="AA1034" i="4"/>
  <c r="Z1034" i="4"/>
  <c r="L1034" i="4"/>
  <c r="K1034" i="4"/>
  <c r="J1034" i="4"/>
  <c r="H1034" i="4"/>
  <c r="E1034" i="4"/>
  <c r="AM1033" i="4"/>
  <c r="AK1033" i="4"/>
  <c r="AI1033" i="4"/>
  <c r="AG1033" i="4"/>
  <c r="AE1033" i="4"/>
  <c r="AD1033" i="4"/>
  <c r="AC1033" i="4"/>
  <c r="AB1033" i="4"/>
  <c r="AA1033" i="4"/>
  <c r="Z1033" i="4"/>
  <c r="K1033" i="4"/>
  <c r="J1033" i="4"/>
  <c r="H1033" i="4"/>
  <c r="AV1033" i="4" s="1"/>
  <c r="E1033" i="4"/>
  <c r="AM1032" i="4"/>
  <c r="AK1032" i="4"/>
  <c r="AI1032" i="4"/>
  <c r="AG1032" i="4"/>
  <c r="AE1032" i="4"/>
  <c r="AD1032" i="4"/>
  <c r="AC1032" i="4"/>
  <c r="AB1032" i="4"/>
  <c r="AA1032" i="4"/>
  <c r="Z1032" i="4"/>
  <c r="K1032" i="4"/>
  <c r="J1032" i="4"/>
  <c r="H1032" i="4"/>
  <c r="AF1032" i="4" s="1"/>
  <c r="E1032" i="4"/>
  <c r="Q1032" i="4" s="1"/>
  <c r="F846" i="1"/>
  <c r="M1049" i="4"/>
  <c r="N1050" i="4"/>
  <c r="N1049" i="4"/>
  <c r="N1051" i="4"/>
  <c r="N1052" i="4"/>
  <c r="M249" i="4"/>
  <c r="M251" i="4" s="1"/>
  <c r="E250" i="4"/>
  <c r="E251" i="4"/>
  <c r="N172" i="4"/>
  <c r="N154" i="4"/>
  <c r="N147" i="4"/>
  <c r="F809" i="1"/>
  <c r="E690" i="4"/>
  <c r="O563" i="4"/>
  <c r="AK562" i="4"/>
  <c r="AI562" i="4"/>
  <c r="AG562" i="4"/>
  <c r="AE562" i="4"/>
  <c r="AD562" i="4"/>
  <c r="AC562" i="4"/>
  <c r="AB562" i="4"/>
  <c r="AA562" i="4"/>
  <c r="Z562" i="4"/>
  <c r="O562" i="4"/>
  <c r="K562" i="4"/>
  <c r="J562" i="4"/>
  <c r="H562" i="4"/>
  <c r="AV562" i="4" s="1"/>
  <c r="E562" i="4"/>
  <c r="AM561" i="4"/>
  <c r="AM562" i="4" s="1"/>
  <c r="AK561" i="4"/>
  <c r="AI561" i="4"/>
  <c r="AG561" i="4"/>
  <c r="AE561" i="4"/>
  <c r="AD561" i="4"/>
  <c r="AC561" i="4"/>
  <c r="AB561" i="4"/>
  <c r="AA561" i="4"/>
  <c r="Z561" i="4"/>
  <c r="O561" i="4"/>
  <c r="K561" i="4"/>
  <c r="J561" i="4"/>
  <c r="H561" i="4"/>
  <c r="E561" i="4"/>
  <c r="AK563" i="4"/>
  <c r="AI563" i="4"/>
  <c r="AG563" i="4"/>
  <c r="AE563" i="4"/>
  <c r="AD563" i="4"/>
  <c r="AC563" i="4"/>
  <c r="AB563" i="4"/>
  <c r="AA563" i="4"/>
  <c r="Z563" i="4"/>
  <c r="K563" i="4"/>
  <c r="J563" i="4"/>
  <c r="H563" i="4"/>
  <c r="AV563" i="4" s="1"/>
  <c r="E563" i="4"/>
  <c r="N584" i="4"/>
  <c r="F844" i="1"/>
  <c r="O557" i="4"/>
  <c r="O558" i="4"/>
  <c r="F926" i="1"/>
  <c r="BS948" i="1"/>
  <c r="BS927" i="1"/>
  <c r="BS926" i="1"/>
  <c r="N544" i="4"/>
  <c r="N536" i="4"/>
  <c r="N528" i="4"/>
  <c r="Q563" i="4" l="1"/>
  <c r="AL561" i="4"/>
  <c r="AH1035" i="4"/>
  <c r="AN1035" i="4" s="1"/>
  <c r="Q1038" i="4"/>
  <c r="O1049" i="4"/>
  <c r="AL1035" i="4"/>
  <c r="AH1038" i="4"/>
  <c r="AN1038" i="4" s="1"/>
  <c r="AV1038" i="4"/>
  <c r="P1038" i="4"/>
  <c r="AH1033" i="4"/>
  <c r="AN1033" i="4" s="1"/>
  <c r="Q1034" i="4"/>
  <c r="G541" i="1" s="1"/>
  <c r="H541" i="1" s="1"/>
  <c r="Q1036" i="4"/>
  <c r="AL1032" i="4"/>
  <c r="AL1036" i="4"/>
  <c r="AL1038" i="4"/>
  <c r="AL1033" i="4"/>
  <c r="AF1036" i="4"/>
  <c r="AL1034" i="4"/>
  <c r="AF1035" i="4"/>
  <c r="AH1036" i="4"/>
  <c r="AN1036" i="4" s="1"/>
  <c r="Q1033" i="4"/>
  <c r="AH1032" i="4"/>
  <c r="AN1032" i="4" s="1"/>
  <c r="AV1032" i="4"/>
  <c r="P1034" i="4"/>
  <c r="AF1034" i="4"/>
  <c r="AF1033" i="4"/>
  <c r="AH1034" i="4"/>
  <c r="AN1034" i="4" s="1"/>
  <c r="AV1034" i="4"/>
  <c r="O1050" i="4"/>
  <c r="Q562" i="4"/>
  <c r="Q561" i="4"/>
  <c r="AL562" i="4"/>
  <c r="AL563" i="4"/>
  <c r="AF563" i="4"/>
  <c r="AH561" i="4"/>
  <c r="AN561" i="4" s="1"/>
  <c r="AV561" i="4"/>
  <c r="AF562" i="4"/>
  <c r="AH563" i="4"/>
  <c r="AN563" i="4" s="1"/>
  <c r="AF561" i="4"/>
  <c r="AH562" i="4"/>
  <c r="AN562" i="4" s="1"/>
  <c r="R1034" i="4" l="1"/>
  <c r="R1038" i="4"/>
  <c r="G542" i="1"/>
  <c r="H542" i="1" s="1"/>
  <c r="AK560" i="4"/>
  <c r="AI560" i="4"/>
  <c r="AG560" i="4"/>
  <c r="AE560" i="4"/>
  <c r="AD560" i="4"/>
  <c r="AC560" i="4"/>
  <c r="AB560" i="4"/>
  <c r="AA560" i="4"/>
  <c r="Z560" i="4"/>
  <c r="O560" i="4"/>
  <c r="J560" i="4"/>
  <c r="H560" i="4"/>
  <c r="AF560" i="4" s="1"/>
  <c r="E560" i="4"/>
  <c r="AK559" i="4"/>
  <c r="AI559" i="4"/>
  <c r="AG559" i="4"/>
  <c r="AE559" i="4"/>
  <c r="AD559" i="4"/>
  <c r="AC559" i="4"/>
  <c r="AB559" i="4"/>
  <c r="AA559" i="4"/>
  <c r="Z559" i="4"/>
  <c r="O559" i="4"/>
  <c r="J559" i="4"/>
  <c r="H559" i="4"/>
  <c r="E559" i="4"/>
  <c r="AK558" i="4"/>
  <c r="AI558" i="4"/>
  <c r="AG558" i="4"/>
  <c r="AE558" i="4"/>
  <c r="AD558" i="4"/>
  <c r="AC558" i="4"/>
  <c r="AB558" i="4"/>
  <c r="AA558" i="4"/>
  <c r="Z558" i="4"/>
  <c r="J558" i="4"/>
  <c r="H558" i="4"/>
  <c r="AH558" i="4" s="1"/>
  <c r="E558" i="4"/>
  <c r="AK557" i="4"/>
  <c r="AI557" i="4"/>
  <c r="AG557" i="4"/>
  <c r="AE557" i="4"/>
  <c r="AD557" i="4"/>
  <c r="AC557" i="4"/>
  <c r="AB557" i="4"/>
  <c r="AA557" i="4"/>
  <c r="Z557" i="4"/>
  <c r="J557" i="4"/>
  <c r="H557" i="4"/>
  <c r="E557" i="4"/>
  <c r="AK556" i="4"/>
  <c r="AI556" i="4"/>
  <c r="AG556" i="4"/>
  <c r="AE556" i="4"/>
  <c r="AD556" i="4"/>
  <c r="AC556" i="4"/>
  <c r="AB556" i="4"/>
  <c r="AA556" i="4"/>
  <c r="Z556" i="4"/>
  <c r="O556" i="4"/>
  <c r="L556" i="4"/>
  <c r="K556" i="4"/>
  <c r="J556" i="4"/>
  <c r="H556" i="4"/>
  <c r="AV556" i="4" s="1"/>
  <c r="E556" i="4"/>
  <c r="AK555" i="4"/>
  <c r="AI555" i="4"/>
  <c r="AG555" i="4"/>
  <c r="AE555" i="4"/>
  <c r="AD555" i="4"/>
  <c r="AC555" i="4"/>
  <c r="AB555" i="4"/>
  <c r="AA555" i="4"/>
  <c r="Z555" i="4"/>
  <c r="O555" i="4"/>
  <c r="J555" i="4"/>
  <c r="H555" i="4"/>
  <c r="E555" i="4"/>
  <c r="AK554" i="4"/>
  <c r="AI554" i="4"/>
  <c r="AG554" i="4"/>
  <c r="AE554" i="4"/>
  <c r="AD554" i="4"/>
  <c r="AC554" i="4"/>
  <c r="AB554" i="4"/>
  <c r="AA554" i="4"/>
  <c r="Z554" i="4"/>
  <c r="O554" i="4"/>
  <c r="J554" i="4"/>
  <c r="H554" i="4"/>
  <c r="E554" i="4"/>
  <c r="AM553" i="4"/>
  <c r="AM554" i="4" s="1"/>
  <c r="AM555" i="4" s="1"/>
  <c r="AM556" i="4" s="1"/>
  <c r="AM557" i="4" s="1"/>
  <c r="AM558" i="4" s="1"/>
  <c r="AM559" i="4" s="1"/>
  <c r="AM560" i="4" s="1"/>
  <c r="AM563" i="4" s="1"/>
  <c r="AK553" i="4"/>
  <c r="AI553" i="4"/>
  <c r="AG553" i="4"/>
  <c r="AE553" i="4"/>
  <c r="AD553" i="4"/>
  <c r="AC553" i="4"/>
  <c r="AB553" i="4"/>
  <c r="AA553" i="4"/>
  <c r="Z553" i="4"/>
  <c r="O553" i="4"/>
  <c r="K553" i="4"/>
  <c r="J553" i="4"/>
  <c r="H553" i="4"/>
  <c r="AV553" i="4" s="1"/>
  <c r="E553" i="4"/>
  <c r="O489" i="4"/>
  <c r="K488" i="4"/>
  <c r="J488" i="4"/>
  <c r="AK488" i="4"/>
  <c r="AI488" i="4"/>
  <c r="AG488" i="4"/>
  <c r="AE488" i="4"/>
  <c r="AD488" i="4"/>
  <c r="AC488" i="4"/>
  <c r="AB488" i="4"/>
  <c r="AA488" i="4"/>
  <c r="Z488" i="4"/>
  <c r="L488" i="4"/>
  <c r="P488" i="4" s="1"/>
  <c r="H488" i="4"/>
  <c r="E488" i="4"/>
  <c r="Q488" i="4" s="1"/>
  <c r="J486" i="4"/>
  <c r="AL555" i="4" l="1"/>
  <c r="Q554" i="4"/>
  <c r="AL558" i="4"/>
  <c r="Q556" i="4"/>
  <c r="AL553" i="4"/>
  <c r="AL557" i="4"/>
  <c r="P556" i="4"/>
  <c r="AL556" i="4"/>
  <c r="Q559" i="4"/>
  <c r="AL554" i="4"/>
  <c r="Q558" i="4"/>
  <c r="G927" i="1" s="1"/>
  <c r="H927" i="1" s="1"/>
  <c r="AL560" i="4"/>
  <c r="AH556" i="4"/>
  <c r="AN556" i="4" s="1"/>
  <c r="AL559" i="4"/>
  <c r="Q560" i="4"/>
  <c r="Q553" i="4"/>
  <c r="Q555" i="4"/>
  <c r="Q557" i="4"/>
  <c r="G926" i="1" s="1"/>
  <c r="H926" i="1" s="1"/>
  <c r="AF553" i="4"/>
  <c r="AF555" i="4"/>
  <c r="AF557" i="4"/>
  <c r="AF559" i="4"/>
  <c r="AL488" i="4"/>
  <c r="AH553" i="4"/>
  <c r="AN553" i="4" s="1"/>
  <c r="AF554" i="4"/>
  <c r="AF556" i="4"/>
  <c r="AH557" i="4"/>
  <c r="AF558" i="4"/>
  <c r="R488" i="4"/>
  <c r="AH488" i="4"/>
  <c r="AN488" i="4" s="1"/>
  <c r="AV488" i="4"/>
  <c r="AF488" i="4"/>
  <c r="N678" i="4"/>
  <c r="O1005" i="4"/>
  <c r="O1004" i="4"/>
  <c r="AM1005" i="4"/>
  <c r="AK1005" i="4"/>
  <c r="AI1005" i="4"/>
  <c r="AG1005" i="4"/>
  <c r="AE1005" i="4"/>
  <c r="AD1005" i="4"/>
  <c r="AC1005" i="4"/>
  <c r="AB1005" i="4"/>
  <c r="AA1005" i="4"/>
  <c r="Z1005" i="4"/>
  <c r="K1005" i="4"/>
  <c r="J1005" i="4"/>
  <c r="H1005" i="4"/>
  <c r="AV1005" i="4" s="1"/>
  <c r="E1005" i="4"/>
  <c r="AM1004" i="4"/>
  <c r="AK1004" i="4"/>
  <c r="AI1004" i="4"/>
  <c r="AG1004" i="4"/>
  <c r="AE1004" i="4"/>
  <c r="AD1004" i="4"/>
  <c r="AC1004" i="4"/>
  <c r="AB1004" i="4"/>
  <c r="AA1004" i="4"/>
  <c r="Z1004" i="4"/>
  <c r="K1004" i="4"/>
  <c r="J1004" i="4"/>
  <c r="H1004" i="4"/>
  <c r="AF1004" i="4" s="1"/>
  <c r="E1004" i="4"/>
  <c r="K1020" i="4"/>
  <c r="K1021" i="4"/>
  <c r="O1021" i="4"/>
  <c r="O1020" i="4"/>
  <c r="J1021" i="4"/>
  <c r="J1020" i="4"/>
  <c r="AM1021" i="4"/>
  <c r="AK1021" i="4"/>
  <c r="AI1021" i="4"/>
  <c r="AG1021" i="4"/>
  <c r="AE1021" i="4"/>
  <c r="AD1021" i="4"/>
  <c r="AC1021" i="4"/>
  <c r="AB1021" i="4"/>
  <c r="AA1021" i="4"/>
  <c r="Z1021" i="4"/>
  <c r="H1021" i="4"/>
  <c r="AF1021" i="4" s="1"/>
  <c r="E1021" i="4"/>
  <c r="AM1025" i="4"/>
  <c r="AK1025" i="4"/>
  <c r="AI1025" i="4"/>
  <c r="AG1025" i="4"/>
  <c r="AE1025" i="4"/>
  <c r="AD1025" i="4"/>
  <c r="AC1025" i="4"/>
  <c r="AB1025" i="4"/>
  <c r="AA1025" i="4"/>
  <c r="Z1025" i="4"/>
  <c r="O1025" i="4"/>
  <c r="L1025" i="4"/>
  <c r="K1025" i="4"/>
  <c r="J1025" i="4"/>
  <c r="H1025" i="4"/>
  <c r="AV1025" i="4" s="1"/>
  <c r="E1025" i="4"/>
  <c r="Q1021" i="4" l="1"/>
  <c r="R556" i="4"/>
  <c r="AL1005" i="4"/>
  <c r="AL1004" i="4"/>
  <c r="Q1004" i="4"/>
  <c r="Q1005" i="4"/>
  <c r="AF1005" i="4"/>
  <c r="AL1025" i="4"/>
  <c r="AH1004" i="4"/>
  <c r="AN1004" i="4" s="1"/>
  <c r="AV1004" i="4"/>
  <c r="Q1025" i="4"/>
  <c r="R1025" i="4" s="1"/>
  <c r="AL1021" i="4"/>
  <c r="AH1005" i="4"/>
  <c r="AN1005" i="4" s="1"/>
  <c r="AF1025" i="4"/>
  <c r="P1025" i="4"/>
  <c r="AH1025" i="4"/>
  <c r="AN1025" i="4" s="1"/>
  <c r="N1018" i="4" l="1"/>
  <c r="N1003" i="4"/>
  <c r="O253" i="4"/>
  <c r="O252" i="4"/>
  <c r="L252" i="4"/>
  <c r="K252" i="4"/>
  <c r="L253" i="4"/>
  <c r="P253" i="4" s="1"/>
  <c r="K253" i="4"/>
  <c r="J253" i="4"/>
  <c r="J252" i="4"/>
  <c r="AK253" i="4"/>
  <c r="AI253" i="4"/>
  <c r="AG253" i="4"/>
  <c r="AE253" i="4"/>
  <c r="AD253" i="4"/>
  <c r="AC253" i="4"/>
  <c r="AB253" i="4"/>
  <c r="AA253" i="4"/>
  <c r="Z253" i="4"/>
  <c r="H253" i="4"/>
  <c r="AV253" i="4" s="1"/>
  <c r="E253" i="4"/>
  <c r="Q253" i="4" s="1"/>
  <c r="AM252" i="4"/>
  <c r="AM253" i="4" s="1"/>
  <c r="AK252" i="4"/>
  <c r="AI252" i="4"/>
  <c r="AG252" i="4"/>
  <c r="AE252" i="4"/>
  <c r="AD252" i="4"/>
  <c r="AC252" i="4"/>
  <c r="AB252" i="4"/>
  <c r="AA252" i="4"/>
  <c r="Z252" i="4"/>
  <c r="H252" i="4"/>
  <c r="E252" i="4"/>
  <c r="Q252" i="4" s="1"/>
  <c r="M1481" i="13"/>
  <c r="M1466" i="13"/>
  <c r="N980" i="4"/>
  <c r="N983" i="4"/>
  <c r="M985" i="4"/>
  <c r="F805" i="1"/>
  <c r="BQ807" i="1"/>
  <c r="F793" i="1"/>
  <c r="F792" i="1"/>
  <c r="F559" i="1"/>
  <c r="BN343" i="1"/>
  <c r="AF253" i="4" l="1"/>
  <c r="R253" i="4"/>
  <c r="P252" i="4"/>
  <c r="AL252" i="4"/>
  <c r="AL253" i="4"/>
  <c r="R252" i="4"/>
  <c r="G252" i="4" s="1"/>
  <c r="AF252" i="4"/>
  <c r="AH252" i="4"/>
  <c r="AN252" i="4" s="1"/>
  <c r="AV252" i="4"/>
  <c r="AH253" i="4"/>
  <c r="AN253" i="4" s="1"/>
  <c r="F252" i="4" l="1"/>
  <c r="F253" i="4"/>
  <c r="G253" i="4"/>
  <c r="M1024" i="4"/>
  <c r="N1024" i="4" s="1"/>
  <c r="O1024" i="4" s="1"/>
  <c r="L1024" i="4"/>
  <c r="K1024" i="4"/>
  <c r="J1024" i="4"/>
  <c r="AM1024" i="4"/>
  <c r="AK1024" i="4"/>
  <c r="AI1024" i="4"/>
  <c r="AG1024" i="4"/>
  <c r="AE1024" i="4"/>
  <c r="AD1024" i="4"/>
  <c r="AC1024" i="4"/>
  <c r="AB1024" i="4"/>
  <c r="AA1024" i="4"/>
  <c r="Z1024" i="4"/>
  <c r="H1024" i="4"/>
  <c r="E1024" i="4"/>
  <c r="AK591" i="4"/>
  <c r="AI591" i="4"/>
  <c r="AG591" i="4"/>
  <c r="AE591" i="4"/>
  <c r="AD591" i="4"/>
  <c r="AC591" i="4"/>
  <c r="AB591" i="4"/>
  <c r="AA591" i="4"/>
  <c r="Z591" i="4"/>
  <c r="O591" i="4"/>
  <c r="K591" i="4"/>
  <c r="J591" i="4"/>
  <c r="H591" i="4"/>
  <c r="AV591" i="4" s="1"/>
  <c r="E591" i="4"/>
  <c r="AK583" i="4"/>
  <c r="AI583" i="4"/>
  <c r="AG583" i="4"/>
  <c r="AE583" i="4"/>
  <c r="AD583" i="4"/>
  <c r="AC583" i="4"/>
  <c r="AB583" i="4"/>
  <c r="AA583" i="4"/>
  <c r="Z583" i="4"/>
  <c r="O583" i="4"/>
  <c r="L583" i="4"/>
  <c r="K583" i="4"/>
  <c r="J583" i="4"/>
  <c r="H583" i="4"/>
  <c r="E583" i="4"/>
  <c r="L591" i="4"/>
  <c r="P591" i="4" s="1"/>
  <c r="F806" i="1"/>
  <c r="J674" i="4"/>
  <c r="AL1024" i="4" l="1"/>
  <c r="AL583" i="4"/>
  <c r="Q583" i="4"/>
  <c r="Q1024" i="4"/>
  <c r="R1024" i="4" s="1"/>
  <c r="P1024" i="4"/>
  <c r="AH1024" i="4"/>
  <c r="AN1024" i="4" s="1"/>
  <c r="AV1024" i="4"/>
  <c r="Q591" i="4"/>
  <c r="R591" i="4" s="1"/>
  <c r="AL591" i="4"/>
  <c r="AF1024" i="4"/>
  <c r="P583" i="4"/>
  <c r="AH583" i="4"/>
  <c r="AN583" i="4" s="1"/>
  <c r="AV583" i="4"/>
  <c r="AF591" i="4"/>
  <c r="AF583" i="4"/>
  <c r="AH591" i="4"/>
  <c r="AN591" i="4" s="1"/>
  <c r="R583" i="4" l="1"/>
  <c r="G793" i="1"/>
  <c r="H793" i="1" s="1"/>
  <c r="O1397" i="13"/>
  <c r="K1395" i="13"/>
  <c r="J1395" i="13"/>
  <c r="BS923" i="1"/>
  <c r="BS922" i="1"/>
  <c r="N1423" i="13"/>
  <c r="O1423" i="13" s="1"/>
  <c r="L1423" i="13"/>
  <c r="K1423" i="13"/>
  <c r="M1421" i="13"/>
  <c r="N1422" i="13" s="1"/>
  <c r="L1426" i="13"/>
  <c r="K1426" i="13"/>
  <c r="J1426" i="13"/>
  <c r="J1423" i="13"/>
  <c r="O1009" i="4"/>
  <c r="M1506" i="13"/>
  <c r="O1506" i="13" s="1"/>
  <c r="O1503" i="13"/>
  <c r="O1502" i="13"/>
  <c r="O1507" i="13"/>
  <c r="O1505" i="13"/>
  <c r="O1504" i="13"/>
  <c r="K1504" i="13"/>
  <c r="J1504" i="13"/>
  <c r="F77" i="1"/>
  <c r="L1504" i="13" s="1"/>
  <c r="L1507" i="13"/>
  <c r="L1505" i="13"/>
  <c r="K1507" i="13"/>
  <c r="K1506" i="13"/>
  <c r="K1505" i="13"/>
  <c r="J1507" i="13"/>
  <c r="J1506" i="13"/>
  <c r="J1505" i="13"/>
  <c r="J1503" i="13"/>
  <c r="J1501" i="13"/>
  <c r="J1502" i="13"/>
  <c r="AM1507" i="13"/>
  <c r="AK1507" i="13"/>
  <c r="AI1507" i="13"/>
  <c r="AG1507" i="13"/>
  <c r="AE1507" i="13"/>
  <c r="AD1507" i="13"/>
  <c r="AC1507" i="13"/>
  <c r="AB1507" i="13"/>
  <c r="AA1507" i="13"/>
  <c r="Z1507" i="13"/>
  <c r="H1507" i="13"/>
  <c r="AF1507" i="13" s="1"/>
  <c r="AM1506" i="13"/>
  <c r="AK1506" i="13"/>
  <c r="AI1506" i="13"/>
  <c r="AG1506" i="13"/>
  <c r="AE1506" i="13"/>
  <c r="AD1506" i="13"/>
  <c r="AC1506" i="13"/>
  <c r="AB1506" i="13"/>
  <c r="AA1506" i="13"/>
  <c r="Z1506" i="13"/>
  <c r="H1506" i="13"/>
  <c r="AH1506" i="13" s="1"/>
  <c r="AN1506" i="13" s="1"/>
  <c r="AM1505" i="13"/>
  <c r="AK1505" i="13"/>
  <c r="AI1505" i="13"/>
  <c r="AG1505" i="13"/>
  <c r="AE1505" i="13"/>
  <c r="AD1505" i="13"/>
  <c r="AC1505" i="13"/>
  <c r="AB1505" i="13"/>
  <c r="AA1505" i="13"/>
  <c r="Z1505" i="13"/>
  <c r="H1505" i="13"/>
  <c r="AH1505" i="13" s="1"/>
  <c r="AN1505" i="13" s="1"/>
  <c r="AM1504" i="13"/>
  <c r="AK1504" i="13"/>
  <c r="AI1504" i="13"/>
  <c r="AG1504" i="13"/>
  <c r="AE1504" i="13"/>
  <c r="AD1504" i="13"/>
  <c r="AC1504" i="13"/>
  <c r="AB1504" i="13"/>
  <c r="AA1504" i="13"/>
  <c r="Z1504" i="13"/>
  <c r="H1504" i="13"/>
  <c r="AF1504" i="13" s="1"/>
  <c r="AM1503" i="13"/>
  <c r="AK1503" i="13"/>
  <c r="AI1503" i="13"/>
  <c r="AG1503" i="13"/>
  <c r="AE1503" i="13"/>
  <c r="AD1503" i="13"/>
  <c r="AC1503" i="13"/>
  <c r="AB1503" i="13"/>
  <c r="AA1503" i="13"/>
  <c r="Z1503" i="13"/>
  <c r="K1503" i="13"/>
  <c r="H1503" i="13"/>
  <c r="AH1503" i="13" s="1"/>
  <c r="AN1503" i="13" s="1"/>
  <c r="AM1502" i="13"/>
  <c r="AK1502" i="13"/>
  <c r="AI1502" i="13"/>
  <c r="AG1502" i="13"/>
  <c r="AE1502" i="13"/>
  <c r="AD1502" i="13"/>
  <c r="AC1502" i="13"/>
  <c r="AB1502" i="13"/>
  <c r="AA1502" i="13"/>
  <c r="Z1502" i="13"/>
  <c r="K1502" i="13"/>
  <c r="H1502" i="13"/>
  <c r="AF1502" i="13" s="1"/>
  <c r="AM1009" i="4"/>
  <c r="AK1009" i="4"/>
  <c r="AI1009" i="4"/>
  <c r="AG1009" i="4"/>
  <c r="AE1009" i="4"/>
  <c r="AD1009" i="4"/>
  <c r="AC1009" i="4"/>
  <c r="AB1009" i="4"/>
  <c r="AA1009" i="4"/>
  <c r="Z1009" i="4"/>
  <c r="H1009" i="4"/>
  <c r="E1009" i="4"/>
  <c r="N1384" i="13"/>
  <c r="N1389" i="13"/>
  <c r="N1391" i="13" s="1"/>
  <c r="N1390" i="13"/>
  <c r="J1385" i="13"/>
  <c r="K1385" i="13"/>
  <c r="L1385" i="13"/>
  <c r="F922" i="1"/>
  <c r="L1346" i="13" s="1"/>
  <c r="K1346" i="13"/>
  <c r="AK1346" i="13"/>
  <c r="AI1346" i="13"/>
  <c r="AG1346" i="13"/>
  <c r="AE1346" i="13"/>
  <c r="AD1346" i="13"/>
  <c r="AC1346" i="13"/>
  <c r="AB1346" i="13"/>
  <c r="AA1346" i="13"/>
  <c r="Z1346" i="13"/>
  <c r="J1346" i="13"/>
  <c r="H1346" i="13"/>
  <c r="AH1346" i="13" s="1"/>
  <c r="AN1346" i="13" s="1"/>
  <c r="N1343" i="13"/>
  <c r="N1346" i="13" s="1"/>
  <c r="O1346" i="13" s="1"/>
  <c r="O1501" i="13"/>
  <c r="O1028" i="4"/>
  <c r="M1451" i="13"/>
  <c r="M1450" i="13"/>
  <c r="J1345" i="13"/>
  <c r="M1344" i="13"/>
  <c r="N1344" i="13" s="1"/>
  <c r="O1344" i="13" s="1"/>
  <c r="M1341" i="13"/>
  <c r="N979" i="4"/>
  <c r="O980" i="4"/>
  <c r="AK980" i="4"/>
  <c r="AI980" i="4"/>
  <c r="AG980" i="4"/>
  <c r="AE980" i="4"/>
  <c r="AD980" i="4"/>
  <c r="AC980" i="4"/>
  <c r="AB980" i="4"/>
  <c r="AA980" i="4"/>
  <c r="Z980" i="4"/>
  <c r="L980" i="4"/>
  <c r="K980" i="4"/>
  <c r="J980" i="4"/>
  <c r="H980" i="4"/>
  <c r="AV980" i="4" s="1"/>
  <c r="E980" i="4"/>
  <c r="F859" i="1"/>
  <c r="F858" i="1"/>
  <c r="F857" i="1"/>
  <c r="F843" i="1"/>
  <c r="F842" i="1"/>
  <c r="L1506" i="13" s="1"/>
  <c r="F841" i="1"/>
  <c r="F835" i="1"/>
  <c r="M976" i="4"/>
  <c r="M1053" i="4"/>
  <c r="N1054" i="4" s="1"/>
  <c r="O1054" i="4" s="1"/>
  <c r="O1051" i="4"/>
  <c r="N1058" i="4"/>
  <c r="O1058" i="4" s="1"/>
  <c r="O1057" i="4"/>
  <c r="J1057" i="4"/>
  <c r="J1059" i="4"/>
  <c r="J1058" i="4"/>
  <c r="AM1059" i="4"/>
  <c r="AK1059" i="4"/>
  <c r="AI1059" i="4"/>
  <c r="AG1059" i="4"/>
  <c r="AE1059" i="4"/>
  <c r="AD1059" i="4"/>
  <c r="AC1059" i="4"/>
  <c r="AB1059" i="4"/>
  <c r="AA1059" i="4"/>
  <c r="Z1059" i="4"/>
  <c r="O1059" i="4"/>
  <c r="L1059" i="4"/>
  <c r="K1059" i="4"/>
  <c r="H1059" i="4"/>
  <c r="AF1059" i="4" s="1"/>
  <c r="E1059" i="4"/>
  <c r="AM1058" i="4"/>
  <c r="AK1058" i="4"/>
  <c r="AI1058" i="4"/>
  <c r="AG1058" i="4"/>
  <c r="AE1058" i="4"/>
  <c r="AD1058" i="4"/>
  <c r="AC1058" i="4"/>
  <c r="AB1058" i="4"/>
  <c r="AA1058" i="4"/>
  <c r="Z1058" i="4"/>
  <c r="K1058" i="4"/>
  <c r="H1058" i="4"/>
  <c r="E1058" i="4"/>
  <c r="F921" i="1"/>
  <c r="L1055" i="4" s="1"/>
  <c r="J1056" i="4"/>
  <c r="K1055" i="4"/>
  <c r="O1055" i="4"/>
  <c r="J1054" i="4"/>
  <c r="J1053" i="4"/>
  <c r="J1055" i="4"/>
  <c r="AM1054" i="4"/>
  <c r="AK1054" i="4"/>
  <c r="AI1054" i="4"/>
  <c r="AG1054" i="4"/>
  <c r="AE1054" i="4"/>
  <c r="AD1054" i="4"/>
  <c r="AC1054" i="4"/>
  <c r="AB1054" i="4"/>
  <c r="AA1054" i="4"/>
  <c r="Z1054" i="4"/>
  <c r="K1054" i="4"/>
  <c r="H1054" i="4"/>
  <c r="AF1054" i="4" s="1"/>
  <c r="E1054" i="4"/>
  <c r="M1042" i="4"/>
  <c r="N1043" i="4" s="1"/>
  <c r="O1043" i="4" s="1"/>
  <c r="O1052" i="4"/>
  <c r="J1050" i="4"/>
  <c r="J1049" i="4"/>
  <c r="L1052" i="4"/>
  <c r="J1052" i="4"/>
  <c r="K1051" i="4"/>
  <c r="J1051" i="4"/>
  <c r="N1045" i="4"/>
  <c r="O1045" i="4" s="1"/>
  <c r="N1047" i="4"/>
  <c r="O1047" i="4" s="1"/>
  <c r="N1046" i="4"/>
  <c r="O1046" i="4" s="1"/>
  <c r="N1044" i="4"/>
  <c r="O1044" i="4" s="1"/>
  <c r="J1048" i="4"/>
  <c r="J1047" i="4"/>
  <c r="J1046" i="4"/>
  <c r="AM1048" i="4"/>
  <c r="AK1048" i="4"/>
  <c r="AI1048" i="4"/>
  <c r="AG1048" i="4"/>
  <c r="AE1048" i="4"/>
  <c r="AD1048" i="4"/>
  <c r="AC1048" i="4"/>
  <c r="AB1048" i="4"/>
  <c r="AA1048" i="4"/>
  <c r="Z1048" i="4"/>
  <c r="O1048" i="4"/>
  <c r="K1048" i="4"/>
  <c r="H1048" i="4"/>
  <c r="E1048" i="4"/>
  <c r="AM1047" i="4"/>
  <c r="AK1047" i="4"/>
  <c r="AI1047" i="4"/>
  <c r="AG1047" i="4"/>
  <c r="AE1047" i="4"/>
  <c r="AD1047" i="4"/>
  <c r="AC1047" i="4"/>
  <c r="AB1047" i="4"/>
  <c r="AA1047" i="4"/>
  <c r="Z1047" i="4"/>
  <c r="K1047" i="4"/>
  <c r="H1047" i="4"/>
  <c r="E1047" i="4"/>
  <c r="J1045" i="4"/>
  <c r="J1044" i="4"/>
  <c r="AM1046" i="4"/>
  <c r="AK1046" i="4"/>
  <c r="AI1046" i="4"/>
  <c r="AG1046" i="4"/>
  <c r="AE1046" i="4"/>
  <c r="AD1046" i="4"/>
  <c r="AC1046" i="4"/>
  <c r="AB1046" i="4"/>
  <c r="AA1046" i="4"/>
  <c r="Z1046" i="4"/>
  <c r="K1046" i="4"/>
  <c r="H1046" i="4"/>
  <c r="E1046" i="4"/>
  <c r="AM1045" i="4"/>
  <c r="AK1045" i="4"/>
  <c r="AI1045" i="4"/>
  <c r="AG1045" i="4"/>
  <c r="AE1045" i="4"/>
  <c r="AD1045" i="4"/>
  <c r="AC1045" i="4"/>
  <c r="AB1045" i="4"/>
  <c r="AA1045" i="4"/>
  <c r="Z1045" i="4"/>
  <c r="L1045" i="4"/>
  <c r="K1045" i="4"/>
  <c r="H1045" i="4"/>
  <c r="AF1045" i="4" s="1"/>
  <c r="E1045" i="4"/>
  <c r="AM1057" i="4"/>
  <c r="AK1057" i="4"/>
  <c r="AI1057" i="4"/>
  <c r="AG1057" i="4"/>
  <c r="AE1057" i="4"/>
  <c r="AD1057" i="4"/>
  <c r="AC1057" i="4"/>
  <c r="AB1057" i="4"/>
  <c r="AA1057" i="4"/>
  <c r="Z1057" i="4"/>
  <c r="K1057" i="4"/>
  <c r="H1057" i="4"/>
  <c r="E1057" i="4"/>
  <c r="AM1056" i="4"/>
  <c r="AK1056" i="4"/>
  <c r="AI1056" i="4"/>
  <c r="AG1056" i="4"/>
  <c r="AE1056" i="4"/>
  <c r="AD1056" i="4"/>
  <c r="AC1056" i="4"/>
  <c r="AB1056" i="4"/>
  <c r="AA1056" i="4"/>
  <c r="Z1056" i="4"/>
  <c r="O1056" i="4"/>
  <c r="K1056" i="4"/>
  <c r="H1056" i="4"/>
  <c r="E1056" i="4"/>
  <c r="AM1055" i="4"/>
  <c r="AK1055" i="4"/>
  <c r="AI1055" i="4"/>
  <c r="AG1055" i="4"/>
  <c r="AE1055" i="4"/>
  <c r="AD1055" i="4"/>
  <c r="AC1055" i="4"/>
  <c r="AB1055" i="4"/>
  <c r="AA1055" i="4"/>
  <c r="Z1055" i="4"/>
  <c r="H1055" i="4"/>
  <c r="E1055" i="4"/>
  <c r="AM1053" i="4"/>
  <c r="AK1053" i="4"/>
  <c r="AI1053" i="4"/>
  <c r="AG1053" i="4"/>
  <c r="AE1053" i="4"/>
  <c r="AD1053" i="4"/>
  <c r="AC1053" i="4"/>
  <c r="AB1053" i="4"/>
  <c r="AA1053" i="4"/>
  <c r="Z1053" i="4"/>
  <c r="K1053" i="4"/>
  <c r="H1053" i="4"/>
  <c r="E1053" i="4"/>
  <c r="AM1052" i="4"/>
  <c r="AK1052" i="4"/>
  <c r="AI1052" i="4"/>
  <c r="AG1052" i="4"/>
  <c r="AE1052" i="4"/>
  <c r="AD1052" i="4"/>
  <c r="AC1052" i="4"/>
  <c r="AB1052" i="4"/>
  <c r="AA1052" i="4"/>
  <c r="Z1052" i="4"/>
  <c r="K1052" i="4"/>
  <c r="H1052" i="4"/>
  <c r="E1052" i="4"/>
  <c r="AM1051" i="4"/>
  <c r="AK1051" i="4"/>
  <c r="AI1051" i="4"/>
  <c r="AG1051" i="4"/>
  <c r="AE1051" i="4"/>
  <c r="AD1051" i="4"/>
  <c r="AC1051" i="4"/>
  <c r="AB1051" i="4"/>
  <c r="AA1051" i="4"/>
  <c r="Z1051" i="4"/>
  <c r="H1051" i="4"/>
  <c r="E1051" i="4"/>
  <c r="AM1050" i="4"/>
  <c r="AK1050" i="4"/>
  <c r="AI1050" i="4"/>
  <c r="AG1050" i="4"/>
  <c r="AE1050" i="4"/>
  <c r="AD1050" i="4"/>
  <c r="AC1050" i="4"/>
  <c r="AB1050" i="4"/>
  <c r="AA1050" i="4"/>
  <c r="Z1050" i="4"/>
  <c r="K1050" i="4"/>
  <c r="H1050" i="4"/>
  <c r="E1050" i="4"/>
  <c r="Q1050" i="4" s="1"/>
  <c r="AM1049" i="4"/>
  <c r="AK1049" i="4"/>
  <c r="AI1049" i="4"/>
  <c r="AG1049" i="4"/>
  <c r="AE1049" i="4"/>
  <c r="AD1049" i="4"/>
  <c r="AC1049" i="4"/>
  <c r="AB1049" i="4"/>
  <c r="AA1049" i="4"/>
  <c r="Z1049" i="4"/>
  <c r="K1049" i="4"/>
  <c r="H1049" i="4"/>
  <c r="E1049" i="4"/>
  <c r="Q1049" i="4" s="1"/>
  <c r="J1041" i="4"/>
  <c r="N1040" i="4"/>
  <c r="O1040" i="4" s="1"/>
  <c r="N1039" i="4"/>
  <c r="O1039" i="4" s="1"/>
  <c r="J1040" i="4"/>
  <c r="J1039" i="4"/>
  <c r="AM1044" i="4"/>
  <c r="AK1044" i="4"/>
  <c r="AI1044" i="4"/>
  <c r="AG1044" i="4"/>
  <c r="AE1044" i="4"/>
  <c r="AD1044" i="4"/>
  <c r="AC1044" i="4"/>
  <c r="AB1044" i="4"/>
  <c r="AA1044" i="4"/>
  <c r="Z1044" i="4"/>
  <c r="K1044" i="4"/>
  <c r="H1044" i="4"/>
  <c r="E1044" i="4"/>
  <c r="AM1043" i="4"/>
  <c r="AK1043" i="4"/>
  <c r="AI1043" i="4"/>
  <c r="AG1043" i="4"/>
  <c r="AE1043" i="4"/>
  <c r="AD1043" i="4"/>
  <c r="AC1043" i="4"/>
  <c r="AB1043" i="4"/>
  <c r="AA1043" i="4"/>
  <c r="Z1043" i="4"/>
  <c r="K1043" i="4"/>
  <c r="J1043" i="4"/>
  <c r="H1043" i="4"/>
  <c r="AH1043" i="4" s="1"/>
  <c r="E1043" i="4"/>
  <c r="AM1042" i="4"/>
  <c r="AK1042" i="4"/>
  <c r="AI1042" i="4"/>
  <c r="AG1042" i="4"/>
  <c r="AE1042" i="4"/>
  <c r="AD1042" i="4"/>
  <c r="AC1042" i="4"/>
  <c r="AB1042" i="4"/>
  <c r="AA1042" i="4"/>
  <c r="Z1042" i="4"/>
  <c r="K1042" i="4"/>
  <c r="J1042" i="4"/>
  <c r="H1042" i="4"/>
  <c r="E1042" i="4"/>
  <c r="J1500" i="13"/>
  <c r="AM1501" i="13"/>
  <c r="AK1501" i="13"/>
  <c r="AI1501" i="13"/>
  <c r="AG1501" i="13"/>
  <c r="AE1501" i="13"/>
  <c r="AD1501" i="13"/>
  <c r="AC1501" i="13"/>
  <c r="AB1501" i="13"/>
  <c r="AA1501" i="13"/>
  <c r="Z1501" i="13"/>
  <c r="L1501" i="13"/>
  <c r="K1501" i="13"/>
  <c r="H1501" i="13"/>
  <c r="AF1501" i="13" s="1"/>
  <c r="AM1500" i="13"/>
  <c r="AK1500" i="13"/>
  <c r="AI1500" i="13"/>
  <c r="AG1500" i="13"/>
  <c r="AE1500" i="13"/>
  <c r="AD1500" i="13"/>
  <c r="AC1500" i="13"/>
  <c r="AB1500" i="13"/>
  <c r="AA1500" i="13"/>
  <c r="Z1500" i="13"/>
  <c r="L1500" i="13"/>
  <c r="K1500" i="13"/>
  <c r="H1500" i="13"/>
  <c r="AF1500" i="13" s="1"/>
  <c r="L1496" i="13"/>
  <c r="L1495" i="13"/>
  <c r="J1494" i="13"/>
  <c r="J1496" i="13"/>
  <c r="J1495" i="13"/>
  <c r="J1031" i="4"/>
  <c r="AM1041" i="4"/>
  <c r="AK1041" i="4"/>
  <c r="AI1041" i="4"/>
  <c r="AG1041" i="4"/>
  <c r="AE1041" i="4"/>
  <c r="AD1041" i="4"/>
  <c r="AC1041" i="4"/>
  <c r="AB1041" i="4"/>
  <c r="AA1041" i="4"/>
  <c r="Z1041" i="4"/>
  <c r="O1041" i="4"/>
  <c r="K1041" i="4"/>
  <c r="H1041" i="4"/>
  <c r="E1041" i="4"/>
  <c r="AM1040" i="4"/>
  <c r="AK1040" i="4"/>
  <c r="AI1040" i="4"/>
  <c r="AG1040" i="4"/>
  <c r="AE1040" i="4"/>
  <c r="AD1040" i="4"/>
  <c r="AC1040" i="4"/>
  <c r="AB1040" i="4"/>
  <c r="AA1040" i="4"/>
  <c r="Z1040" i="4"/>
  <c r="K1040" i="4"/>
  <c r="H1040" i="4"/>
  <c r="E1040" i="4"/>
  <c r="AM1039" i="4"/>
  <c r="AK1039" i="4"/>
  <c r="AI1039" i="4"/>
  <c r="AG1039" i="4"/>
  <c r="AE1039" i="4"/>
  <c r="AD1039" i="4"/>
  <c r="AC1039" i="4"/>
  <c r="AB1039" i="4"/>
  <c r="AA1039" i="4"/>
  <c r="Z1039" i="4"/>
  <c r="K1039" i="4"/>
  <c r="H1039" i="4"/>
  <c r="E1039" i="4"/>
  <c r="AM1031" i="4"/>
  <c r="AK1031" i="4"/>
  <c r="AI1031" i="4"/>
  <c r="AG1031" i="4"/>
  <c r="AE1031" i="4"/>
  <c r="AD1031" i="4"/>
  <c r="AC1031" i="4"/>
  <c r="AB1031" i="4"/>
  <c r="AA1031" i="4"/>
  <c r="Z1031" i="4"/>
  <c r="O1031" i="4"/>
  <c r="K1031" i="4"/>
  <c r="H1031" i="4"/>
  <c r="AF1031" i="4" s="1"/>
  <c r="J1030" i="4"/>
  <c r="AM1030" i="4"/>
  <c r="AK1030" i="4"/>
  <c r="AI1030" i="4"/>
  <c r="AG1030" i="4"/>
  <c r="AE1030" i="4"/>
  <c r="AD1030" i="4"/>
  <c r="AC1030" i="4"/>
  <c r="AB1030" i="4"/>
  <c r="AA1030" i="4"/>
  <c r="Z1030" i="4"/>
  <c r="O1030" i="4"/>
  <c r="K1030" i="4"/>
  <c r="H1030" i="4"/>
  <c r="E1030" i="4"/>
  <c r="AK1496" i="13"/>
  <c r="AI1496" i="13"/>
  <c r="AG1496" i="13"/>
  <c r="AE1496" i="13"/>
  <c r="AD1496" i="13"/>
  <c r="AC1496" i="13"/>
  <c r="AB1496" i="13"/>
  <c r="AA1496" i="13"/>
  <c r="Z1496" i="13"/>
  <c r="O1496" i="13"/>
  <c r="K1496" i="13"/>
  <c r="H1496" i="13"/>
  <c r="AH1496" i="13" s="1"/>
  <c r="AN1496" i="13" s="1"/>
  <c r="AM1495" i="13"/>
  <c r="AM1496" i="13" s="1"/>
  <c r="AK1495" i="13"/>
  <c r="AI1495" i="13"/>
  <c r="AG1495" i="13"/>
  <c r="AE1495" i="13"/>
  <c r="AD1495" i="13"/>
  <c r="AC1495" i="13"/>
  <c r="AB1495" i="13"/>
  <c r="AA1495" i="13"/>
  <c r="Z1495" i="13"/>
  <c r="O1495" i="13"/>
  <c r="K1495" i="13"/>
  <c r="H1495" i="13"/>
  <c r="AH1495" i="13" s="1"/>
  <c r="AN1495" i="13" s="1"/>
  <c r="AK1494" i="13"/>
  <c r="AI1494" i="13"/>
  <c r="AG1494" i="13"/>
  <c r="AE1494" i="13"/>
  <c r="AD1494" i="13"/>
  <c r="AC1494" i="13"/>
  <c r="AB1494" i="13"/>
  <c r="AA1494" i="13"/>
  <c r="Z1494" i="13"/>
  <c r="O1494" i="13"/>
  <c r="L1494" i="13"/>
  <c r="K1494" i="13"/>
  <c r="H1494" i="13"/>
  <c r="AF1494" i="13" s="1"/>
  <c r="AK1492" i="13"/>
  <c r="AI1492" i="13"/>
  <c r="AG1492" i="13"/>
  <c r="AE1492" i="13"/>
  <c r="AD1492" i="13"/>
  <c r="AC1492" i="13"/>
  <c r="AB1492" i="13"/>
  <c r="AA1492" i="13"/>
  <c r="Z1492" i="13"/>
  <c r="K1492" i="13"/>
  <c r="J1492" i="13"/>
  <c r="H1492" i="13"/>
  <c r="AF1492" i="13" s="1"/>
  <c r="AM1491" i="13"/>
  <c r="AM1492" i="13" s="1"/>
  <c r="AK1491" i="13"/>
  <c r="AI1491" i="13"/>
  <c r="AG1491" i="13"/>
  <c r="AE1491" i="13"/>
  <c r="AD1491" i="13"/>
  <c r="AC1491" i="13"/>
  <c r="AB1491" i="13"/>
  <c r="AA1491" i="13"/>
  <c r="Z1491" i="13"/>
  <c r="K1491" i="13"/>
  <c r="J1491" i="13"/>
  <c r="H1491" i="13"/>
  <c r="AF1491" i="13" s="1"/>
  <c r="J1499" i="13"/>
  <c r="J1498" i="13"/>
  <c r="J1497" i="13"/>
  <c r="O1029" i="4"/>
  <c r="O1027" i="4"/>
  <c r="O1026" i="4"/>
  <c r="L1489" i="13"/>
  <c r="L1484" i="13"/>
  <c r="L1483" i="13"/>
  <c r="L1485" i="13"/>
  <c r="L1486" i="13"/>
  <c r="L1487" i="13"/>
  <c r="J1488" i="13"/>
  <c r="J1487" i="13"/>
  <c r="J1486" i="13"/>
  <c r="AK1488" i="13"/>
  <c r="AI1488" i="13"/>
  <c r="AG1488" i="13"/>
  <c r="AE1488" i="13"/>
  <c r="AD1488" i="13"/>
  <c r="AC1488" i="13"/>
  <c r="AB1488" i="13"/>
  <c r="AA1488" i="13"/>
  <c r="Z1488" i="13"/>
  <c r="N1488" i="13"/>
  <c r="O1488" i="13" s="1"/>
  <c r="L1488" i="13"/>
  <c r="K1488" i="13"/>
  <c r="H1488" i="13"/>
  <c r="AF1488" i="13" s="1"/>
  <c r="AK1487" i="13"/>
  <c r="AI1487" i="13"/>
  <c r="AG1487" i="13"/>
  <c r="AE1487" i="13"/>
  <c r="AD1487" i="13"/>
  <c r="AC1487" i="13"/>
  <c r="AB1487" i="13"/>
  <c r="AA1487" i="13"/>
  <c r="Z1487" i="13"/>
  <c r="N1487" i="13"/>
  <c r="O1487" i="13" s="1"/>
  <c r="K1487" i="13"/>
  <c r="H1487" i="13"/>
  <c r="AF1487" i="13" s="1"/>
  <c r="AK1486" i="13"/>
  <c r="AI1486" i="13"/>
  <c r="AG1486" i="13"/>
  <c r="AE1486" i="13"/>
  <c r="AD1486" i="13"/>
  <c r="AC1486" i="13"/>
  <c r="AB1486" i="13"/>
  <c r="AA1486" i="13"/>
  <c r="Z1486" i="13"/>
  <c r="N1486" i="13"/>
  <c r="O1486" i="13" s="1"/>
  <c r="K1486" i="13"/>
  <c r="H1486" i="13"/>
  <c r="AH1486" i="13" s="1"/>
  <c r="AN1486" i="13" s="1"/>
  <c r="J1485" i="13"/>
  <c r="J1484" i="13"/>
  <c r="J1483" i="13"/>
  <c r="L1490" i="13"/>
  <c r="K1490" i="13"/>
  <c r="J1490" i="13"/>
  <c r="AM1494" i="13" l="1"/>
  <c r="AM1493" i="13"/>
  <c r="L1051" i="4"/>
  <c r="P1051" i="4" s="1"/>
  <c r="L92" i="13"/>
  <c r="AL1506" i="13"/>
  <c r="P1406" i="13"/>
  <c r="R1406" i="13"/>
  <c r="P1504" i="13"/>
  <c r="AL1502" i="13"/>
  <c r="AL1503" i="13"/>
  <c r="AL1505" i="13"/>
  <c r="N1042" i="4"/>
  <c r="O1042" i="4" s="1"/>
  <c r="L1395" i="13"/>
  <c r="AL1504" i="13"/>
  <c r="AH1507" i="13"/>
  <c r="AN1507" i="13" s="1"/>
  <c r="P1505" i="13"/>
  <c r="AH1504" i="13"/>
  <c r="AN1504" i="13" s="1"/>
  <c r="AL1507" i="13"/>
  <c r="N1421" i="13"/>
  <c r="AL1009" i="4"/>
  <c r="Q1041" i="4"/>
  <c r="G917" i="1" s="1"/>
  <c r="H917" i="1" s="1"/>
  <c r="N1053" i="4"/>
  <c r="O1053" i="4" s="1"/>
  <c r="Q980" i="4"/>
  <c r="AF1009" i="4"/>
  <c r="Q1009" i="4"/>
  <c r="AH1494" i="13"/>
  <c r="AN1494" i="13" s="1"/>
  <c r="AL1059" i="4"/>
  <c r="AH1009" i="4"/>
  <c r="AH1502" i="13"/>
  <c r="AN1502" i="13" s="1"/>
  <c r="AF1503" i="13"/>
  <c r="AF1505" i="13"/>
  <c r="Q1045" i="4"/>
  <c r="AL1054" i="4"/>
  <c r="Q1058" i="4"/>
  <c r="AL980" i="4"/>
  <c r="AL1346" i="13"/>
  <c r="AF1506" i="13"/>
  <c r="P1506" i="13"/>
  <c r="O1500" i="13"/>
  <c r="AF1346" i="13"/>
  <c r="P1507" i="13"/>
  <c r="P1346" i="13"/>
  <c r="AH1501" i="13"/>
  <c r="AN1501" i="13" s="1"/>
  <c r="AH1500" i="13"/>
  <c r="AN1500" i="13" s="1"/>
  <c r="Q1046" i="4"/>
  <c r="Q1051" i="4"/>
  <c r="AF980" i="4"/>
  <c r="AL1058" i="4"/>
  <c r="Q1059" i="4"/>
  <c r="R1059" i="4" s="1"/>
  <c r="P980" i="4"/>
  <c r="Q1052" i="4"/>
  <c r="AH980" i="4"/>
  <c r="AN980" i="4" s="1"/>
  <c r="AH1058" i="4"/>
  <c r="AN1058" i="4" s="1"/>
  <c r="AV1058" i="4"/>
  <c r="P1059" i="4"/>
  <c r="AH1059" i="4"/>
  <c r="AN1059" i="4" s="1"/>
  <c r="AV1059" i="4"/>
  <c r="AF1058" i="4"/>
  <c r="AL1044" i="4"/>
  <c r="Q1054" i="4"/>
  <c r="AH1054" i="4"/>
  <c r="AN1054" i="4" s="1"/>
  <c r="AV1054" i="4"/>
  <c r="P1045" i="4"/>
  <c r="AL1046" i="4"/>
  <c r="Q1047" i="4"/>
  <c r="AL1042" i="4"/>
  <c r="AL1043" i="4"/>
  <c r="P1052" i="4"/>
  <c r="AL1047" i="4"/>
  <c r="AL1048" i="4"/>
  <c r="Q1043" i="4"/>
  <c r="Q1042" i="4"/>
  <c r="Q1056" i="4"/>
  <c r="Q1044" i="4"/>
  <c r="G918" i="1" s="1"/>
  <c r="H918" i="1" s="1"/>
  <c r="Q1053" i="4"/>
  <c r="Q1048" i="4"/>
  <c r="AL1045" i="4"/>
  <c r="AL1049" i="4"/>
  <c r="AL1051" i="4"/>
  <c r="AL1053" i="4"/>
  <c r="AL1056" i="4"/>
  <c r="AL1501" i="13"/>
  <c r="Q1055" i="4"/>
  <c r="G921" i="1" s="1"/>
  <c r="H921" i="1" s="1"/>
  <c r="Q1057" i="4"/>
  <c r="AH1045" i="4"/>
  <c r="AN1045" i="4" s="1"/>
  <c r="AV1045" i="4"/>
  <c r="AF1046" i="4"/>
  <c r="AF1047" i="4"/>
  <c r="AL1500" i="13"/>
  <c r="AL1050" i="4"/>
  <c r="AL1052" i="4"/>
  <c r="AL1055" i="4"/>
  <c r="AL1057" i="4"/>
  <c r="AF1048" i="4"/>
  <c r="AH1042" i="4"/>
  <c r="AF1043" i="4"/>
  <c r="AH1044" i="4"/>
  <c r="Q1039" i="4"/>
  <c r="AL1031" i="4"/>
  <c r="AL1039" i="4"/>
  <c r="AF1049" i="4"/>
  <c r="AF1051" i="4"/>
  <c r="AF1053" i="4"/>
  <c r="AF1056" i="4"/>
  <c r="AF1042" i="4"/>
  <c r="AF1044" i="4"/>
  <c r="AF1050" i="4"/>
  <c r="AF1052" i="4"/>
  <c r="AF1055" i="4"/>
  <c r="AF1057" i="4"/>
  <c r="AL1040" i="4"/>
  <c r="Q1030" i="4"/>
  <c r="E1493" i="13" s="1"/>
  <c r="Q1493" i="13" s="1"/>
  <c r="R1493" i="13" s="1"/>
  <c r="AL1041" i="4"/>
  <c r="P1500" i="13"/>
  <c r="P1501" i="13"/>
  <c r="AH1492" i="13"/>
  <c r="AN1492" i="13" s="1"/>
  <c r="P1487" i="13"/>
  <c r="AH1491" i="13"/>
  <c r="AN1491" i="13" s="1"/>
  <c r="AL1492" i="13"/>
  <c r="P1494" i="13"/>
  <c r="AL1494" i="13"/>
  <c r="AL1030" i="4"/>
  <c r="Q1031" i="4"/>
  <c r="AF1039" i="4"/>
  <c r="Q1040" i="4"/>
  <c r="AF1041" i="4"/>
  <c r="AF1040" i="4"/>
  <c r="AL1491" i="13"/>
  <c r="AL1495" i="13"/>
  <c r="AL1496" i="13"/>
  <c r="AF1495" i="13"/>
  <c r="AF1496" i="13"/>
  <c r="AF1030" i="4"/>
  <c r="AL1486" i="13"/>
  <c r="AF1486" i="13"/>
  <c r="AL1487" i="13"/>
  <c r="AL1488" i="13"/>
  <c r="P1488" i="13"/>
  <c r="P1486" i="13"/>
  <c r="AH1487" i="13"/>
  <c r="AN1487" i="13" s="1"/>
  <c r="AH1488" i="13"/>
  <c r="AN1488" i="13" s="1"/>
  <c r="R1045" i="4" l="1"/>
  <c r="G919" i="1"/>
  <c r="H919" i="1" s="1"/>
  <c r="R1052" i="4"/>
  <c r="G920" i="1"/>
  <c r="H920" i="1" s="1"/>
  <c r="R980" i="4"/>
  <c r="R1051" i="4"/>
  <c r="E1502" i="13"/>
  <c r="Q1502" i="13" s="1"/>
  <c r="E1505" i="13"/>
  <c r="Q1505" i="13" s="1"/>
  <c r="R1505" i="13" s="1"/>
  <c r="E1504" i="13"/>
  <c r="Q1504" i="13" s="1"/>
  <c r="R1504" i="13" s="1"/>
  <c r="E1507" i="13"/>
  <c r="Q1507" i="13" s="1"/>
  <c r="R1507" i="13" s="1"/>
  <c r="E1506" i="13"/>
  <c r="Q1506" i="13" s="1"/>
  <c r="R1506" i="13" s="1"/>
  <c r="E1503" i="13"/>
  <c r="Q1503" i="13" s="1"/>
  <c r="E1491" i="13"/>
  <c r="Q1491" i="13" s="1"/>
  <c r="E1496" i="13"/>
  <c r="Q1496" i="13" s="1"/>
  <c r="G914" i="1" s="1"/>
  <c r="H914" i="1" s="1"/>
  <c r="E1494" i="13"/>
  <c r="Q1494" i="13" s="1"/>
  <c r="G912" i="1" s="1"/>
  <c r="H912" i="1" s="1"/>
  <c r="E1495" i="13"/>
  <c r="Q1495" i="13" s="1"/>
  <c r="G913" i="1" s="1"/>
  <c r="H913" i="1" s="1"/>
  <c r="E1492" i="13"/>
  <c r="Q1492" i="13" s="1"/>
  <c r="E1501" i="13"/>
  <c r="Q1501" i="13" s="1"/>
  <c r="R1501" i="13" s="1"/>
  <c r="E1500" i="13"/>
  <c r="Q1500" i="13" s="1"/>
  <c r="G915" i="1" s="1"/>
  <c r="H915" i="1" s="1"/>
  <c r="R1494" i="13" l="1"/>
  <c r="R1500" i="13"/>
  <c r="N1484" i="13" l="1"/>
  <c r="N1489" i="13"/>
  <c r="N1485" i="13"/>
  <c r="J1489" i="13"/>
  <c r="N1481" i="13"/>
  <c r="K1482" i="13"/>
  <c r="K1481" i="13"/>
  <c r="J1482" i="13"/>
  <c r="J1481" i="13"/>
  <c r="F853" i="1"/>
  <c r="F852" i="1"/>
  <c r="N1482" i="13" l="1"/>
  <c r="J1465" i="13"/>
  <c r="L1480" i="13"/>
  <c r="K1480" i="13"/>
  <c r="J1480" i="13"/>
  <c r="J1473" i="13"/>
  <c r="AK1473" i="13"/>
  <c r="AI1473" i="13"/>
  <c r="AG1473" i="13"/>
  <c r="AE1473" i="13"/>
  <c r="AD1473" i="13"/>
  <c r="AC1473" i="13"/>
  <c r="AB1473" i="13"/>
  <c r="AA1473" i="13"/>
  <c r="Z1473" i="13"/>
  <c r="O1473" i="13"/>
  <c r="L1473" i="13"/>
  <c r="K1473" i="13"/>
  <c r="H1473" i="13"/>
  <c r="AF1473" i="13" s="1"/>
  <c r="L1479" i="13"/>
  <c r="K1479" i="13"/>
  <c r="J1479" i="13"/>
  <c r="N1469" i="13"/>
  <c r="O1469" i="13" s="1"/>
  <c r="N1472" i="13"/>
  <c r="O1472" i="13" s="1"/>
  <c r="N1471" i="13"/>
  <c r="O1471" i="13" s="1"/>
  <c r="N1479" i="13"/>
  <c r="O1479" i="13" s="1"/>
  <c r="N1478" i="13"/>
  <c r="O1478" i="13" s="1"/>
  <c r="N1477" i="13"/>
  <c r="O1477" i="13" s="1"/>
  <c r="N1467" i="13"/>
  <c r="O1467" i="13" s="1"/>
  <c r="O1490" i="13"/>
  <c r="P1490" i="13" s="1"/>
  <c r="O1489" i="13"/>
  <c r="P1489" i="13" s="1"/>
  <c r="O1485" i="13"/>
  <c r="O1484" i="13"/>
  <c r="O1483" i="13"/>
  <c r="O1482" i="13"/>
  <c r="O1481" i="13"/>
  <c r="O1480" i="13"/>
  <c r="O1476" i="13"/>
  <c r="O1468" i="13"/>
  <c r="N1475" i="13"/>
  <c r="O1475" i="13" s="1"/>
  <c r="J1478" i="13"/>
  <c r="J1477" i="13"/>
  <c r="J1476" i="13"/>
  <c r="J1475" i="13"/>
  <c r="J1474" i="13"/>
  <c r="J1472" i="13"/>
  <c r="G1937" i="1"/>
  <c r="G1935" i="1"/>
  <c r="G1934" i="1"/>
  <c r="AK488" i="6"/>
  <c r="AI488" i="6"/>
  <c r="AG488" i="6"/>
  <c r="AE488" i="6"/>
  <c r="AD488" i="6"/>
  <c r="AC488" i="6"/>
  <c r="AB488" i="6"/>
  <c r="AA488" i="6"/>
  <c r="Z488" i="6"/>
  <c r="O488" i="6"/>
  <c r="L488" i="6"/>
  <c r="K488" i="6"/>
  <c r="J488" i="6"/>
  <c r="H488" i="6"/>
  <c r="AF488" i="6" s="1"/>
  <c r="AK487" i="6"/>
  <c r="AI487" i="6"/>
  <c r="AG487" i="6"/>
  <c r="AE487" i="6"/>
  <c r="AD487" i="6"/>
  <c r="AC487" i="6"/>
  <c r="AB487" i="6"/>
  <c r="AA487" i="6"/>
  <c r="Z487" i="6"/>
  <c r="O487" i="6"/>
  <c r="K487" i="6"/>
  <c r="J487" i="6"/>
  <c r="H487" i="6"/>
  <c r="AF487" i="6" s="1"/>
  <c r="AM486" i="6"/>
  <c r="AM487" i="6" s="1"/>
  <c r="AM488" i="6" s="1"/>
  <c r="AK486" i="6"/>
  <c r="AL486" i="6" s="1"/>
  <c r="AI486" i="6"/>
  <c r="AG486" i="6"/>
  <c r="AE486" i="6"/>
  <c r="AD486" i="6"/>
  <c r="AC486" i="6"/>
  <c r="AB486" i="6"/>
  <c r="AA486" i="6"/>
  <c r="Z486" i="6"/>
  <c r="O486" i="6"/>
  <c r="K486" i="6"/>
  <c r="J486" i="6"/>
  <c r="H486" i="6"/>
  <c r="AF486" i="6" s="1"/>
  <c r="M1470" i="13"/>
  <c r="N1465" i="13"/>
  <c r="O1465" i="13" s="1"/>
  <c r="J1471" i="13"/>
  <c r="J1470" i="13"/>
  <c r="J1469" i="13"/>
  <c r="J1468" i="13"/>
  <c r="J1467" i="13"/>
  <c r="J1466" i="13"/>
  <c r="L596" i="4"/>
  <c r="K596" i="4"/>
  <c r="J596" i="4"/>
  <c r="O485" i="6"/>
  <c r="O484" i="6"/>
  <c r="O483" i="6"/>
  <c r="L485" i="6"/>
  <c r="J485" i="6"/>
  <c r="J484" i="6"/>
  <c r="J483" i="6"/>
  <c r="AK485" i="6"/>
  <c r="AI485" i="6"/>
  <c r="AG485" i="6"/>
  <c r="AE485" i="6"/>
  <c r="AD485" i="6"/>
  <c r="AC485" i="6"/>
  <c r="AB485" i="6"/>
  <c r="AA485" i="6"/>
  <c r="Z485" i="6"/>
  <c r="K485" i="6"/>
  <c r="H485" i="6"/>
  <c r="AF485" i="6" s="1"/>
  <c r="AK484" i="6"/>
  <c r="AI484" i="6"/>
  <c r="AG484" i="6"/>
  <c r="AE484" i="6"/>
  <c r="AD484" i="6"/>
  <c r="AC484" i="6"/>
  <c r="AB484" i="6"/>
  <c r="AA484" i="6"/>
  <c r="Z484" i="6"/>
  <c r="K484" i="6"/>
  <c r="H484" i="6"/>
  <c r="AF484" i="6" s="1"/>
  <c r="AM483" i="6"/>
  <c r="AM484" i="6" s="1"/>
  <c r="AM485" i="6" s="1"/>
  <c r="AK483" i="6"/>
  <c r="AI483" i="6"/>
  <c r="AG483" i="6"/>
  <c r="AE483" i="6"/>
  <c r="AD483" i="6"/>
  <c r="AC483" i="6"/>
  <c r="AB483" i="6"/>
  <c r="AA483" i="6"/>
  <c r="Z483" i="6"/>
  <c r="K483" i="6"/>
  <c r="H483" i="6"/>
  <c r="AF483" i="6" s="1"/>
  <c r="J1464" i="13"/>
  <c r="N1464" i="13"/>
  <c r="O1464" i="13" s="1"/>
  <c r="N1463" i="13"/>
  <c r="O1463" i="13" s="1"/>
  <c r="N1462" i="13"/>
  <c r="O1462" i="13" s="1"/>
  <c r="O1461" i="13"/>
  <c r="N1460" i="13"/>
  <c r="O1460" i="13" s="1"/>
  <c r="L1463" i="13"/>
  <c r="L1462" i="13"/>
  <c r="L1461" i="13"/>
  <c r="P1461" i="13" s="1"/>
  <c r="K1463" i="13"/>
  <c r="K1464" i="13"/>
  <c r="K1462" i="13"/>
  <c r="K1461" i="13"/>
  <c r="K1460" i="13"/>
  <c r="K1459" i="13"/>
  <c r="J1463" i="13"/>
  <c r="J1462" i="13"/>
  <c r="J1461" i="13"/>
  <c r="J1460" i="13"/>
  <c r="J1459" i="13"/>
  <c r="AM1029" i="4"/>
  <c r="AK1029" i="4"/>
  <c r="AI1029" i="4"/>
  <c r="AG1029" i="4"/>
  <c r="AE1029" i="4"/>
  <c r="AD1029" i="4"/>
  <c r="AC1029" i="4"/>
  <c r="AB1029" i="4"/>
  <c r="AA1029" i="4"/>
  <c r="Z1029" i="4"/>
  <c r="K1029" i="4"/>
  <c r="J1029" i="4"/>
  <c r="H1029" i="4"/>
  <c r="E1029" i="4"/>
  <c r="AM1028" i="4"/>
  <c r="AK1028" i="4"/>
  <c r="AI1028" i="4"/>
  <c r="AG1028" i="4"/>
  <c r="AE1028" i="4"/>
  <c r="AD1028" i="4"/>
  <c r="AC1028" i="4"/>
  <c r="AB1028" i="4"/>
  <c r="AA1028" i="4"/>
  <c r="Z1028" i="4"/>
  <c r="K1028" i="4"/>
  <c r="J1028" i="4"/>
  <c r="H1028" i="4"/>
  <c r="E1028" i="4"/>
  <c r="AM1027" i="4"/>
  <c r="AK1027" i="4"/>
  <c r="AI1027" i="4"/>
  <c r="AG1027" i="4"/>
  <c r="AE1027" i="4"/>
  <c r="AD1027" i="4"/>
  <c r="AC1027" i="4"/>
  <c r="AB1027" i="4"/>
  <c r="AA1027" i="4"/>
  <c r="Z1027" i="4"/>
  <c r="K1027" i="4"/>
  <c r="J1027" i="4"/>
  <c r="H1027" i="4"/>
  <c r="E1027" i="4"/>
  <c r="AM1026" i="4"/>
  <c r="AK1026" i="4"/>
  <c r="AI1026" i="4"/>
  <c r="AG1026" i="4"/>
  <c r="AE1026" i="4"/>
  <c r="AD1026" i="4"/>
  <c r="AC1026" i="4"/>
  <c r="AB1026" i="4"/>
  <c r="AA1026" i="4"/>
  <c r="Z1026" i="4"/>
  <c r="K1026" i="4"/>
  <c r="J1026" i="4"/>
  <c r="H1026" i="4"/>
  <c r="E1026" i="4"/>
  <c r="AK1472" i="13"/>
  <c r="AI1472" i="13"/>
  <c r="AG1472" i="13"/>
  <c r="AE1472" i="13"/>
  <c r="AD1472" i="13"/>
  <c r="AC1472" i="13"/>
  <c r="AB1472" i="13"/>
  <c r="AA1472" i="13"/>
  <c r="Z1472" i="13"/>
  <c r="K1472" i="13"/>
  <c r="H1472" i="13"/>
  <c r="AF1472" i="13" s="1"/>
  <c r="AK1471" i="13"/>
  <c r="AI1471" i="13"/>
  <c r="AG1471" i="13"/>
  <c r="AE1471" i="13"/>
  <c r="AD1471" i="13"/>
  <c r="AC1471" i="13"/>
  <c r="AB1471" i="13"/>
  <c r="AA1471" i="13"/>
  <c r="Z1471" i="13"/>
  <c r="L1471" i="13"/>
  <c r="K1471" i="13"/>
  <c r="H1471" i="13"/>
  <c r="AF1471" i="13" s="1"/>
  <c r="AK1470" i="13"/>
  <c r="AI1470" i="13"/>
  <c r="AG1470" i="13"/>
  <c r="AE1470" i="13"/>
  <c r="AD1470" i="13"/>
  <c r="AC1470" i="13"/>
  <c r="AB1470" i="13"/>
  <c r="AA1470" i="13"/>
  <c r="Z1470" i="13"/>
  <c r="L1470" i="13"/>
  <c r="K1470" i="13"/>
  <c r="H1470" i="13"/>
  <c r="AF1470" i="13" s="1"/>
  <c r="AK1469" i="13"/>
  <c r="AI1469" i="13"/>
  <c r="AG1469" i="13"/>
  <c r="AE1469" i="13"/>
  <c r="AD1469" i="13"/>
  <c r="AC1469" i="13"/>
  <c r="AB1469" i="13"/>
  <c r="AA1469" i="13"/>
  <c r="Z1469" i="13"/>
  <c r="L1469" i="13"/>
  <c r="K1469" i="13"/>
  <c r="H1469" i="13"/>
  <c r="AF1469" i="13" s="1"/>
  <c r="AK1468" i="13"/>
  <c r="AI1468" i="13"/>
  <c r="AG1468" i="13"/>
  <c r="AE1468" i="13"/>
  <c r="AD1468" i="13"/>
  <c r="AC1468" i="13"/>
  <c r="AB1468" i="13"/>
  <c r="AA1468" i="13"/>
  <c r="Z1468" i="13"/>
  <c r="L1468" i="13"/>
  <c r="P1468" i="13" s="1"/>
  <c r="K1468" i="13"/>
  <c r="H1468" i="13"/>
  <c r="AF1468" i="13" s="1"/>
  <c r="AK1467" i="13"/>
  <c r="AI1467" i="13"/>
  <c r="AG1467" i="13"/>
  <c r="AE1467" i="13"/>
  <c r="AD1467" i="13"/>
  <c r="AC1467" i="13"/>
  <c r="AB1467" i="13"/>
  <c r="AA1467" i="13"/>
  <c r="Z1467" i="13"/>
  <c r="K1467" i="13"/>
  <c r="H1467" i="13"/>
  <c r="AF1467" i="13" s="1"/>
  <c r="AM1466" i="13"/>
  <c r="AM1467" i="13" s="1"/>
  <c r="AM1468" i="13" s="1"/>
  <c r="AM1469" i="13" s="1"/>
  <c r="AM1470" i="13" s="1"/>
  <c r="AM1471" i="13" s="1"/>
  <c r="AM1472" i="13" s="1"/>
  <c r="AM1473" i="13" s="1"/>
  <c r="AK1466" i="13"/>
  <c r="AI1466" i="13"/>
  <c r="AG1466" i="13"/>
  <c r="AE1466" i="13"/>
  <c r="AD1466" i="13"/>
  <c r="AC1466" i="13"/>
  <c r="AB1466" i="13"/>
  <c r="AA1466" i="13"/>
  <c r="Z1466" i="13"/>
  <c r="K1466" i="13"/>
  <c r="H1466" i="13"/>
  <c r="AF1466" i="13" s="1"/>
  <c r="AK1499" i="13"/>
  <c r="AI1499" i="13"/>
  <c r="AG1499" i="13"/>
  <c r="AE1499" i="13"/>
  <c r="AD1499" i="13"/>
  <c r="AC1499" i="13"/>
  <c r="AB1499" i="13"/>
  <c r="AA1499" i="13"/>
  <c r="Z1499" i="13"/>
  <c r="L1499" i="13"/>
  <c r="P1499" i="13" s="1"/>
  <c r="K1499" i="13"/>
  <c r="H1499" i="13"/>
  <c r="AF1499" i="13" s="1"/>
  <c r="AK1498" i="13"/>
  <c r="AI1498" i="13"/>
  <c r="AG1498" i="13"/>
  <c r="AE1498" i="13"/>
  <c r="AD1498" i="13"/>
  <c r="AC1498" i="13"/>
  <c r="AB1498" i="13"/>
  <c r="AA1498" i="13"/>
  <c r="Z1498" i="13"/>
  <c r="K1498" i="13"/>
  <c r="H1498" i="13"/>
  <c r="AF1498" i="13" s="1"/>
  <c r="AM1497" i="13"/>
  <c r="AM1498" i="13" s="1"/>
  <c r="AM1499" i="13" s="1"/>
  <c r="AK1497" i="13"/>
  <c r="AI1497" i="13"/>
  <c r="AG1497" i="13"/>
  <c r="AE1497" i="13"/>
  <c r="AD1497" i="13"/>
  <c r="AC1497" i="13"/>
  <c r="AB1497" i="13"/>
  <c r="AA1497" i="13"/>
  <c r="Z1497" i="13"/>
  <c r="K1497" i="13"/>
  <c r="H1497" i="13"/>
  <c r="AF1497" i="13" s="1"/>
  <c r="AK1490" i="13"/>
  <c r="AI1490" i="13"/>
  <c r="AG1490" i="13"/>
  <c r="AE1490" i="13"/>
  <c r="AD1490" i="13"/>
  <c r="AC1490" i="13"/>
  <c r="AB1490" i="13"/>
  <c r="AA1490" i="13"/>
  <c r="Z1490" i="13"/>
  <c r="H1490" i="13"/>
  <c r="AF1490" i="13" s="1"/>
  <c r="AK1489" i="13"/>
  <c r="AI1489" i="13"/>
  <c r="AG1489" i="13"/>
  <c r="AE1489" i="13"/>
  <c r="AD1489" i="13"/>
  <c r="AC1489" i="13"/>
  <c r="AB1489" i="13"/>
  <c r="AA1489" i="13"/>
  <c r="Z1489" i="13"/>
  <c r="K1489" i="13"/>
  <c r="H1489" i="13"/>
  <c r="AF1489" i="13" s="1"/>
  <c r="AK1485" i="13"/>
  <c r="AI1485" i="13"/>
  <c r="AG1485" i="13"/>
  <c r="AE1485" i="13"/>
  <c r="AD1485" i="13"/>
  <c r="AC1485" i="13"/>
  <c r="AB1485" i="13"/>
  <c r="AA1485" i="13"/>
  <c r="Z1485" i="13"/>
  <c r="P1485" i="13"/>
  <c r="K1485" i="13"/>
  <c r="H1485" i="13"/>
  <c r="AF1485" i="13" s="1"/>
  <c r="AK1484" i="13"/>
  <c r="AI1484" i="13"/>
  <c r="AG1484" i="13"/>
  <c r="AE1484" i="13"/>
  <c r="AD1484" i="13"/>
  <c r="AC1484" i="13"/>
  <c r="AB1484" i="13"/>
  <c r="AA1484" i="13"/>
  <c r="Z1484" i="13"/>
  <c r="P1484" i="13"/>
  <c r="K1484" i="13"/>
  <c r="H1484" i="13"/>
  <c r="AF1484" i="13" s="1"/>
  <c r="AK1483" i="13"/>
  <c r="AI1483" i="13"/>
  <c r="AG1483" i="13"/>
  <c r="AE1483" i="13"/>
  <c r="AD1483" i="13"/>
  <c r="AC1483" i="13"/>
  <c r="AB1483" i="13"/>
  <c r="AA1483" i="13"/>
  <c r="Z1483" i="13"/>
  <c r="P1483" i="13"/>
  <c r="K1483" i="13"/>
  <c r="H1483" i="13"/>
  <c r="AF1483" i="13" s="1"/>
  <c r="AK1482" i="13"/>
  <c r="AI1482" i="13"/>
  <c r="AG1482" i="13"/>
  <c r="AE1482" i="13"/>
  <c r="AD1482" i="13"/>
  <c r="AC1482" i="13"/>
  <c r="AB1482" i="13"/>
  <c r="AA1482" i="13"/>
  <c r="Z1482" i="13"/>
  <c r="H1482" i="13"/>
  <c r="AF1482" i="13" s="1"/>
  <c r="AM1481" i="13"/>
  <c r="AM1482" i="13" s="1"/>
  <c r="AK1481" i="13"/>
  <c r="AI1481" i="13"/>
  <c r="AG1481" i="13"/>
  <c r="AE1481" i="13"/>
  <c r="AD1481" i="13"/>
  <c r="AC1481" i="13"/>
  <c r="AB1481" i="13"/>
  <c r="AA1481" i="13"/>
  <c r="Z1481" i="13"/>
  <c r="H1481" i="13"/>
  <c r="AF1481" i="13" s="1"/>
  <c r="AK1480" i="13"/>
  <c r="AI1480" i="13"/>
  <c r="AG1480" i="13"/>
  <c r="AE1480" i="13"/>
  <c r="AD1480" i="13"/>
  <c r="AC1480" i="13"/>
  <c r="AB1480" i="13"/>
  <c r="AA1480" i="13"/>
  <c r="Z1480" i="13"/>
  <c r="H1480" i="13"/>
  <c r="AH1480" i="13" s="1"/>
  <c r="AN1480" i="13" s="1"/>
  <c r="AK1479" i="13"/>
  <c r="AI1479" i="13"/>
  <c r="AG1479" i="13"/>
  <c r="AE1479" i="13"/>
  <c r="AD1479" i="13"/>
  <c r="AC1479" i="13"/>
  <c r="AB1479" i="13"/>
  <c r="AA1479" i="13"/>
  <c r="Z1479" i="13"/>
  <c r="H1479" i="13"/>
  <c r="AH1479" i="13" s="1"/>
  <c r="AN1479" i="13" s="1"/>
  <c r="AK1478" i="13"/>
  <c r="AI1478" i="13"/>
  <c r="AG1478" i="13"/>
  <c r="AE1478" i="13"/>
  <c r="AD1478" i="13"/>
  <c r="AC1478" i="13"/>
  <c r="AB1478" i="13"/>
  <c r="AA1478" i="13"/>
  <c r="Z1478" i="13"/>
  <c r="K1478" i="13"/>
  <c r="H1478" i="13"/>
  <c r="AH1478" i="13" s="1"/>
  <c r="AK1477" i="13"/>
  <c r="AI1477" i="13"/>
  <c r="AG1477" i="13"/>
  <c r="AE1477" i="13"/>
  <c r="AD1477" i="13"/>
  <c r="AC1477" i="13"/>
  <c r="AB1477" i="13"/>
  <c r="AA1477" i="13"/>
  <c r="Z1477" i="13"/>
  <c r="L1477" i="13"/>
  <c r="K1477" i="13"/>
  <c r="H1477" i="13"/>
  <c r="AH1477" i="13" s="1"/>
  <c r="AN1477" i="13" s="1"/>
  <c r="AK1476" i="13"/>
  <c r="AI1476" i="13"/>
  <c r="AG1476" i="13"/>
  <c r="AE1476" i="13"/>
  <c r="AD1476" i="13"/>
  <c r="AC1476" i="13"/>
  <c r="AB1476" i="13"/>
  <c r="AA1476" i="13"/>
  <c r="Z1476" i="13"/>
  <c r="L1476" i="13"/>
  <c r="K1476" i="13"/>
  <c r="H1476" i="13"/>
  <c r="AH1476" i="13" s="1"/>
  <c r="AN1476" i="13" s="1"/>
  <c r="AK1475" i="13"/>
  <c r="AI1475" i="13"/>
  <c r="AG1475" i="13"/>
  <c r="AE1475" i="13"/>
  <c r="AD1475" i="13"/>
  <c r="AC1475" i="13"/>
  <c r="AB1475" i="13"/>
  <c r="AA1475" i="13"/>
  <c r="Z1475" i="13"/>
  <c r="K1475" i="13"/>
  <c r="H1475" i="13"/>
  <c r="AH1475" i="13" s="1"/>
  <c r="AN1475" i="13" s="1"/>
  <c r="AM1474" i="13"/>
  <c r="AM1475" i="13" s="1"/>
  <c r="AM1476" i="13" s="1"/>
  <c r="AM1477" i="13" s="1"/>
  <c r="AM1478" i="13" s="1"/>
  <c r="AM1479" i="13" s="1"/>
  <c r="AM1480" i="13" s="1"/>
  <c r="AK1474" i="13"/>
  <c r="AI1474" i="13"/>
  <c r="AG1474" i="13"/>
  <c r="AE1474" i="13"/>
  <c r="AD1474" i="13"/>
  <c r="AC1474" i="13"/>
  <c r="AB1474" i="13"/>
  <c r="AA1474" i="13"/>
  <c r="Z1474" i="13"/>
  <c r="K1474" i="13"/>
  <c r="H1474" i="13"/>
  <c r="AH1474" i="13" s="1"/>
  <c r="AN1474" i="13" s="1"/>
  <c r="AK1465" i="13"/>
  <c r="AI1465" i="13"/>
  <c r="AG1465" i="13"/>
  <c r="AE1465" i="13"/>
  <c r="AD1465" i="13"/>
  <c r="AC1465" i="13"/>
  <c r="AB1465" i="13"/>
  <c r="AA1465" i="13"/>
  <c r="Z1465" i="13"/>
  <c r="K1465" i="13"/>
  <c r="H1465" i="13"/>
  <c r="AF1465" i="13" s="1"/>
  <c r="AK1464" i="13"/>
  <c r="AI1464" i="13"/>
  <c r="AG1464" i="13"/>
  <c r="AE1464" i="13"/>
  <c r="AD1464" i="13"/>
  <c r="AC1464" i="13"/>
  <c r="AB1464" i="13"/>
  <c r="AA1464" i="13"/>
  <c r="Z1464" i="13"/>
  <c r="L1464" i="13"/>
  <c r="H1464" i="13"/>
  <c r="AF1464" i="13" s="1"/>
  <c r="AK1463" i="13"/>
  <c r="AI1463" i="13"/>
  <c r="AG1463" i="13"/>
  <c r="AE1463" i="13"/>
  <c r="AD1463" i="13"/>
  <c r="AC1463" i="13"/>
  <c r="AB1463" i="13"/>
  <c r="AA1463" i="13"/>
  <c r="Z1463" i="13"/>
  <c r="H1463" i="13"/>
  <c r="AF1463" i="13" s="1"/>
  <c r="AK1462" i="13"/>
  <c r="AI1462" i="13"/>
  <c r="AG1462" i="13"/>
  <c r="AE1462" i="13"/>
  <c r="AD1462" i="13"/>
  <c r="AC1462" i="13"/>
  <c r="AB1462" i="13"/>
  <c r="AA1462" i="13"/>
  <c r="Z1462" i="13"/>
  <c r="H1462" i="13"/>
  <c r="AF1462" i="13" s="1"/>
  <c r="AK1461" i="13"/>
  <c r="AI1461" i="13"/>
  <c r="AG1461" i="13"/>
  <c r="AE1461" i="13"/>
  <c r="AD1461" i="13"/>
  <c r="AC1461" i="13"/>
  <c r="AB1461" i="13"/>
  <c r="AA1461" i="13"/>
  <c r="Z1461" i="13"/>
  <c r="H1461" i="13"/>
  <c r="AF1461" i="13" s="1"/>
  <c r="AK1460" i="13"/>
  <c r="AI1460" i="13"/>
  <c r="AG1460" i="13"/>
  <c r="AE1460" i="13"/>
  <c r="AD1460" i="13"/>
  <c r="AC1460" i="13"/>
  <c r="AB1460" i="13"/>
  <c r="AA1460" i="13"/>
  <c r="Z1460" i="13"/>
  <c r="H1460" i="13"/>
  <c r="AF1460" i="13" s="1"/>
  <c r="AK1459" i="13"/>
  <c r="AI1459" i="13"/>
  <c r="AG1459" i="13"/>
  <c r="AE1459" i="13"/>
  <c r="AD1459" i="13"/>
  <c r="AC1459" i="13"/>
  <c r="AB1459" i="13"/>
  <c r="AA1459" i="13"/>
  <c r="Z1459" i="13"/>
  <c r="H1459" i="13"/>
  <c r="AF1459" i="13" s="1"/>
  <c r="O246" i="4"/>
  <c r="J1454" i="13"/>
  <c r="J1453" i="13"/>
  <c r="J1451" i="13"/>
  <c r="J1450" i="13"/>
  <c r="J1449" i="13"/>
  <c r="AK1454" i="13"/>
  <c r="AI1454" i="13"/>
  <c r="AG1454" i="13"/>
  <c r="AE1454" i="13"/>
  <c r="AD1454" i="13"/>
  <c r="AC1454" i="13"/>
  <c r="AB1454" i="13"/>
  <c r="AA1454" i="13"/>
  <c r="Z1454" i="13"/>
  <c r="O1454" i="13"/>
  <c r="L1454" i="13"/>
  <c r="K1454" i="13"/>
  <c r="H1454" i="13"/>
  <c r="AH1454" i="13" s="1"/>
  <c r="AN1454" i="13" s="1"/>
  <c r="AK1453" i="13"/>
  <c r="AI1453" i="13"/>
  <c r="AG1453" i="13"/>
  <c r="AE1453" i="13"/>
  <c r="AD1453" i="13"/>
  <c r="AC1453" i="13"/>
  <c r="AB1453" i="13"/>
  <c r="AA1453" i="13"/>
  <c r="Z1453" i="13"/>
  <c r="O1453" i="13"/>
  <c r="L1453" i="13"/>
  <c r="K1453" i="13"/>
  <c r="H1453" i="13"/>
  <c r="AF1453" i="13" s="1"/>
  <c r="O1448" i="13"/>
  <c r="J1441" i="13"/>
  <c r="J1440" i="13"/>
  <c r="J1439" i="13"/>
  <c r="J1428" i="13"/>
  <c r="AM1428" i="13"/>
  <c r="AK1428" i="13"/>
  <c r="AI1428" i="13"/>
  <c r="AG1428" i="13"/>
  <c r="AE1428" i="13"/>
  <c r="AD1428" i="13"/>
  <c r="AC1428" i="13"/>
  <c r="AB1428" i="13"/>
  <c r="AA1428" i="13"/>
  <c r="Z1428" i="13"/>
  <c r="O1428" i="13"/>
  <c r="K1428" i="13"/>
  <c r="H1428" i="13"/>
  <c r="AF1428" i="13" s="1"/>
  <c r="AM1439" i="13"/>
  <c r="AK1439" i="13"/>
  <c r="AI1439" i="13"/>
  <c r="AG1439" i="13"/>
  <c r="AE1439" i="13"/>
  <c r="AD1439" i="13"/>
  <c r="AC1439" i="13"/>
  <c r="AB1439" i="13"/>
  <c r="AA1439" i="13"/>
  <c r="Z1439" i="13"/>
  <c r="O1439" i="13"/>
  <c r="K1439" i="13"/>
  <c r="H1439" i="13"/>
  <c r="AH1439" i="13" s="1"/>
  <c r="AN1439" i="13" s="1"/>
  <c r="AK1448" i="13"/>
  <c r="AI1448" i="13"/>
  <c r="AG1448" i="13"/>
  <c r="AE1448" i="13"/>
  <c r="AD1448" i="13"/>
  <c r="AC1448" i="13"/>
  <c r="AB1448" i="13"/>
  <c r="AA1448" i="13"/>
  <c r="Z1448" i="13"/>
  <c r="L1448" i="13"/>
  <c r="K1448" i="13"/>
  <c r="J1448" i="13"/>
  <c r="H1448" i="13"/>
  <c r="AF1448" i="13" s="1"/>
  <c r="AK1447" i="13"/>
  <c r="AI1447" i="13"/>
  <c r="AG1447" i="13"/>
  <c r="AE1447" i="13"/>
  <c r="AD1447" i="13"/>
  <c r="AC1447" i="13"/>
  <c r="AB1447" i="13"/>
  <c r="AA1447" i="13"/>
  <c r="Z1447" i="13"/>
  <c r="L1447" i="13"/>
  <c r="K1447" i="13"/>
  <c r="J1447" i="13"/>
  <c r="H1447" i="13"/>
  <c r="AF1447" i="13" s="1"/>
  <c r="AK1446" i="13"/>
  <c r="AI1446" i="13"/>
  <c r="AG1446" i="13"/>
  <c r="AE1446" i="13"/>
  <c r="AD1446" i="13"/>
  <c r="AC1446" i="13"/>
  <c r="AB1446" i="13"/>
  <c r="AA1446" i="13"/>
  <c r="Z1446" i="13"/>
  <c r="O1446" i="13"/>
  <c r="L1446" i="13"/>
  <c r="K1446" i="13"/>
  <c r="J1446" i="13"/>
  <c r="H1446" i="13"/>
  <c r="AF1446" i="13" s="1"/>
  <c r="AK1445" i="13"/>
  <c r="AI1445" i="13"/>
  <c r="AG1445" i="13"/>
  <c r="AE1445" i="13"/>
  <c r="AD1445" i="13"/>
  <c r="AC1445" i="13"/>
  <c r="AB1445" i="13"/>
  <c r="AA1445" i="13"/>
  <c r="Z1445" i="13"/>
  <c r="O1445" i="13"/>
  <c r="L1445" i="13"/>
  <c r="K1445" i="13"/>
  <c r="J1445" i="13"/>
  <c r="H1445" i="13"/>
  <c r="AF1445" i="13" s="1"/>
  <c r="AK1444" i="13"/>
  <c r="AI1444" i="13"/>
  <c r="AG1444" i="13"/>
  <c r="AE1444" i="13"/>
  <c r="AD1444" i="13"/>
  <c r="AC1444" i="13"/>
  <c r="AB1444" i="13"/>
  <c r="AA1444" i="13"/>
  <c r="Z1444" i="13"/>
  <c r="O1444" i="13"/>
  <c r="L1444" i="13"/>
  <c r="K1444" i="13"/>
  <c r="J1444" i="13"/>
  <c r="H1444" i="13"/>
  <c r="AF1444" i="13" s="1"/>
  <c r="AK1452" i="13"/>
  <c r="AI1452" i="13"/>
  <c r="AG1452" i="13"/>
  <c r="AE1452" i="13"/>
  <c r="AD1452" i="13"/>
  <c r="AC1452" i="13"/>
  <c r="AB1452" i="13"/>
  <c r="AA1452" i="13"/>
  <c r="Z1452" i="13"/>
  <c r="O1452" i="13"/>
  <c r="L1452" i="13"/>
  <c r="K1452" i="13"/>
  <c r="H1452" i="13"/>
  <c r="AF1452" i="13" s="1"/>
  <c r="AK1451" i="13"/>
  <c r="AI1451" i="13"/>
  <c r="AG1451" i="13"/>
  <c r="AE1451" i="13"/>
  <c r="AD1451" i="13"/>
  <c r="AC1451" i="13"/>
  <c r="AB1451" i="13"/>
  <c r="AA1451" i="13"/>
  <c r="Z1451" i="13"/>
  <c r="O1451" i="13"/>
  <c r="K1451" i="13"/>
  <c r="H1451" i="13"/>
  <c r="AF1451" i="13" s="1"/>
  <c r="AK1450" i="13"/>
  <c r="AI1450" i="13"/>
  <c r="AG1450" i="13"/>
  <c r="AE1450" i="13"/>
  <c r="AD1450" i="13"/>
  <c r="AC1450" i="13"/>
  <c r="AB1450" i="13"/>
  <c r="AA1450" i="13"/>
  <c r="Z1450" i="13"/>
  <c r="O1450" i="13"/>
  <c r="K1450" i="13"/>
  <c r="H1450" i="13"/>
  <c r="AF1450" i="13" s="1"/>
  <c r="AM1449" i="13"/>
  <c r="AM1450" i="13" s="1"/>
  <c r="AM1451" i="13" s="1"/>
  <c r="AM1452" i="13" s="1"/>
  <c r="AM1453" i="13" s="1"/>
  <c r="AM1454" i="13" s="1"/>
  <c r="AM1459" i="13" s="1"/>
  <c r="AM1460" i="13" s="1"/>
  <c r="AM1461" i="13" s="1"/>
  <c r="AM1462" i="13" s="1"/>
  <c r="AM1463" i="13" s="1"/>
  <c r="AM1464" i="13" s="1"/>
  <c r="AM1465" i="13" s="1"/>
  <c r="AK1449" i="13"/>
  <c r="AI1449" i="13"/>
  <c r="AG1449" i="13"/>
  <c r="AH974" i="4" s="1"/>
  <c r="AE1449" i="13"/>
  <c r="AD1449" i="13"/>
  <c r="AC1449" i="13"/>
  <c r="AB1449" i="13"/>
  <c r="AA1449" i="13"/>
  <c r="Z1449" i="13"/>
  <c r="O1449" i="13"/>
  <c r="K1449" i="13"/>
  <c r="H1449" i="13"/>
  <c r="AF1449" i="13" s="1"/>
  <c r="AK1443" i="13"/>
  <c r="AI1443" i="13"/>
  <c r="AG1443" i="13"/>
  <c r="AE1443" i="13"/>
  <c r="AD1443" i="13"/>
  <c r="AC1443" i="13"/>
  <c r="AB1443" i="13"/>
  <c r="AA1443" i="13"/>
  <c r="Z1443" i="13"/>
  <c r="O1443" i="13"/>
  <c r="L1443" i="13"/>
  <c r="K1443" i="13"/>
  <c r="J1443" i="13"/>
  <c r="H1443" i="13"/>
  <c r="AF1443" i="13" s="1"/>
  <c r="AK1442" i="13"/>
  <c r="AI1442" i="13"/>
  <c r="AG1442" i="13"/>
  <c r="AE1442" i="13"/>
  <c r="AD1442" i="13"/>
  <c r="AC1442" i="13"/>
  <c r="AB1442" i="13"/>
  <c r="AA1442" i="13"/>
  <c r="Z1442" i="13"/>
  <c r="O1442" i="13"/>
  <c r="L1442" i="13"/>
  <c r="K1442" i="13"/>
  <c r="J1442" i="13"/>
  <c r="H1442" i="13"/>
  <c r="AF1442" i="13" s="1"/>
  <c r="AK1441" i="13"/>
  <c r="AI1441" i="13"/>
  <c r="AG1441" i="13"/>
  <c r="AE1441" i="13"/>
  <c r="AD1441" i="13"/>
  <c r="AC1441" i="13"/>
  <c r="AB1441" i="13"/>
  <c r="AA1441" i="13"/>
  <c r="Z1441" i="13"/>
  <c r="O1441" i="13"/>
  <c r="K1441" i="13"/>
  <c r="H1441" i="13"/>
  <c r="AH1441" i="13" s="1"/>
  <c r="AN1441" i="13" s="1"/>
  <c r="AM1440" i="13"/>
  <c r="AM1441" i="13" s="1"/>
  <c r="AM1442" i="13" s="1"/>
  <c r="AM1443" i="13" s="1"/>
  <c r="AM1444" i="13" s="1"/>
  <c r="AM1445" i="13" s="1"/>
  <c r="AM1446" i="13" s="1"/>
  <c r="AM1447" i="13" s="1"/>
  <c r="AM1448" i="13" s="1"/>
  <c r="AK1440" i="13"/>
  <c r="AI1440" i="13"/>
  <c r="AG1440" i="13"/>
  <c r="AE1440" i="13"/>
  <c r="AD1440" i="13"/>
  <c r="AC1440" i="13"/>
  <c r="AB1440" i="13"/>
  <c r="AA1440" i="13"/>
  <c r="Z1440" i="13"/>
  <c r="O1440" i="13"/>
  <c r="K1440" i="13"/>
  <c r="H1440" i="13"/>
  <c r="AF1440" i="13" s="1"/>
  <c r="O1437" i="13"/>
  <c r="O1436" i="13"/>
  <c r="AK975" i="4"/>
  <c r="AI975" i="4"/>
  <c r="AG975" i="4"/>
  <c r="AE975" i="4"/>
  <c r="AD975" i="4"/>
  <c r="AC975" i="4"/>
  <c r="AB975" i="4"/>
  <c r="AA975" i="4"/>
  <c r="Z975" i="4"/>
  <c r="O975" i="4"/>
  <c r="K975" i="4"/>
  <c r="J975" i="4"/>
  <c r="H975" i="4"/>
  <c r="E975" i="4"/>
  <c r="Q975" i="4" s="1"/>
  <c r="G1936" i="1" s="1"/>
  <c r="AK973" i="4"/>
  <c r="AI973" i="4"/>
  <c r="AG973" i="4"/>
  <c r="AE973" i="4"/>
  <c r="AD973" i="4"/>
  <c r="AC973" i="4"/>
  <c r="AB973" i="4"/>
  <c r="AA973" i="4"/>
  <c r="Z973" i="4"/>
  <c r="O973" i="4"/>
  <c r="K973" i="4"/>
  <c r="J973" i="4"/>
  <c r="H973" i="4"/>
  <c r="E973" i="4"/>
  <c r="AM972" i="4"/>
  <c r="AK972" i="4"/>
  <c r="AI972" i="4"/>
  <c r="AG972" i="4"/>
  <c r="AE972" i="4"/>
  <c r="AD972" i="4"/>
  <c r="AC972" i="4"/>
  <c r="AB972" i="4"/>
  <c r="AA972" i="4"/>
  <c r="Z972" i="4"/>
  <c r="O972" i="4"/>
  <c r="K972" i="4"/>
  <c r="J972" i="4"/>
  <c r="H972" i="4"/>
  <c r="E972" i="4"/>
  <c r="O1429" i="13"/>
  <c r="AM1429" i="13"/>
  <c r="AK1429" i="13"/>
  <c r="AI1429" i="13"/>
  <c r="AG1429" i="13"/>
  <c r="AE1429" i="13"/>
  <c r="AD1429" i="13"/>
  <c r="AC1429" i="13"/>
  <c r="AB1429" i="13"/>
  <c r="AA1429" i="13"/>
  <c r="Z1429" i="13"/>
  <c r="K1429" i="13"/>
  <c r="J1429" i="13"/>
  <c r="H1429" i="13"/>
  <c r="AF1429" i="13" s="1"/>
  <c r="O1435" i="13"/>
  <c r="O1434" i="13"/>
  <c r="O1433" i="13"/>
  <c r="O1432" i="13"/>
  <c r="O1431" i="13"/>
  <c r="O1427" i="13"/>
  <c r="O1430" i="13"/>
  <c r="H1430" i="13"/>
  <c r="H1431" i="13"/>
  <c r="H1432" i="13"/>
  <c r="AF1432" i="13" s="1"/>
  <c r="H1433" i="13"/>
  <c r="AH1433" i="13" s="1"/>
  <c r="AN1433" i="13" s="1"/>
  <c r="H1434" i="13"/>
  <c r="AF1434" i="13" s="1"/>
  <c r="H1435" i="13"/>
  <c r="AH1435" i="13" s="1"/>
  <c r="AN1435" i="13" s="1"/>
  <c r="H1436" i="13"/>
  <c r="AF1436" i="13" s="1"/>
  <c r="H1437" i="13"/>
  <c r="AF1437" i="13" s="1"/>
  <c r="AK1437" i="13"/>
  <c r="AI1437" i="13"/>
  <c r="AG1437" i="13"/>
  <c r="AE1437" i="13"/>
  <c r="AD1437" i="13"/>
  <c r="AC1437" i="13"/>
  <c r="AB1437" i="13"/>
  <c r="AA1437" i="13"/>
  <c r="Z1437" i="13"/>
  <c r="L1437" i="13"/>
  <c r="K1437" i="13"/>
  <c r="J1437" i="13"/>
  <c r="AK1436" i="13"/>
  <c r="AI1436" i="13"/>
  <c r="AG1436" i="13"/>
  <c r="AE1436" i="13"/>
  <c r="AD1436" i="13"/>
  <c r="AC1436" i="13"/>
  <c r="AB1436" i="13"/>
  <c r="AA1436" i="13"/>
  <c r="Z1436" i="13"/>
  <c r="L1436" i="13"/>
  <c r="K1436" i="13"/>
  <c r="J1436" i="13"/>
  <c r="AK1435" i="13"/>
  <c r="AI1435" i="13"/>
  <c r="AG1435" i="13"/>
  <c r="AE1435" i="13"/>
  <c r="AD1435" i="13"/>
  <c r="AC1435" i="13"/>
  <c r="AB1435" i="13"/>
  <c r="AA1435" i="13"/>
  <c r="Z1435" i="13"/>
  <c r="L1435" i="13"/>
  <c r="K1435" i="13"/>
  <c r="J1435" i="13"/>
  <c r="AK1434" i="13"/>
  <c r="AI1434" i="13"/>
  <c r="AG1434" i="13"/>
  <c r="AE1434" i="13"/>
  <c r="AD1434" i="13"/>
  <c r="AC1434" i="13"/>
  <c r="AB1434" i="13"/>
  <c r="AA1434" i="13"/>
  <c r="Z1434" i="13"/>
  <c r="L1434" i="13"/>
  <c r="K1434" i="13"/>
  <c r="J1434" i="13"/>
  <c r="AK1433" i="13"/>
  <c r="AI1433" i="13"/>
  <c r="AG1433" i="13"/>
  <c r="AF1433" i="13"/>
  <c r="AE1433" i="13"/>
  <c r="AD1433" i="13"/>
  <c r="AC1433" i="13"/>
  <c r="AB1433" i="13"/>
  <c r="AA1433" i="13"/>
  <c r="Z1433" i="13"/>
  <c r="L1433" i="13"/>
  <c r="K1433" i="13"/>
  <c r="J1433" i="13"/>
  <c r="AK1432" i="13"/>
  <c r="AI1432" i="13"/>
  <c r="AG1432" i="13"/>
  <c r="AE1432" i="13"/>
  <c r="AD1432" i="13"/>
  <c r="AC1432" i="13"/>
  <c r="AB1432" i="13"/>
  <c r="AA1432" i="13"/>
  <c r="Z1432" i="13"/>
  <c r="L1432" i="13"/>
  <c r="K1432" i="13"/>
  <c r="J1432" i="13"/>
  <c r="AL1473" i="13" l="1"/>
  <c r="AH1026" i="4"/>
  <c r="E1452" i="13"/>
  <c r="Q1452" i="13" s="1"/>
  <c r="R1452" i="13" s="1"/>
  <c r="E1458" i="13"/>
  <c r="Q1458" i="13" s="1"/>
  <c r="G870" i="1" s="1"/>
  <c r="H870" i="1" s="1"/>
  <c r="E1457" i="13"/>
  <c r="Q1457" i="13" s="1"/>
  <c r="E1456" i="13"/>
  <c r="Q1456" i="13" s="1"/>
  <c r="E1455" i="13"/>
  <c r="Q1455" i="13" s="1"/>
  <c r="AM973" i="4"/>
  <c r="AM975" i="4" s="1"/>
  <c r="AM974" i="4"/>
  <c r="AL485" i="6"/>
  <c r="AL488" i="6"/>
  <c r="AL483" i="6"/>
  <c r="AL484" i="6"/>
  <c r="AL487" i="6"/>
  <c r="P1442" i="13"/>
  <c r="P1445" i="13"/>
  <c r="N1470" i="13"/>
  <c r="O1470" i="13" s="1"/>
  <c r="P1470" i="13" s="1"/>
  <c r="AH1028" i="4"/>
  <c r="AH1053" i="4"/>
  <c r="AH1049" i="4"/>
  <c r="AH1047" i="4"/>
  <c r="AH1050" i="4"/>
  <c r="AH1055" i="4"/>
  <c r="AH1051" i="4"/>
  <c r="AH1046" i="4"/>
  <c r="AH1052" i="4"/>
  <c r="AH1057" i="4"/>
  <c r="AH1048" i="4"/>
  <c r="AH1056" i="4"/>
  <c r="AH1041" i="4"/>
  <c r="AH1039" i="4"/>
  <c r="AH1040" i="4"/>
  <c r="AH1031" i="4"/>
  <c r="P1463" i="13"/>
  <c r="AL1026" i="4"/>
  <c r="AL1027" i="4"/>
  <c r="P1473" i="13"/>
  <c r="AL1497" i="13"/>
  <c r="AH1030" i="4"/>
  <c r="AL1498" i="13"/>
  <c r="AL1028" i="4"/>
  <c r="AL1029" i="4"/>
  <c r="AL1479" i="13"/>
  <c r="AL1489" i="13"/>
  <c r="AH1497" i="13"/>
  <c r="AN1497" i="13" s="1"/>
  <c r="AL1465" i="13"/>
  <c r="AL1482" i="13"/>
  <c r="AL1484" i="13"/>
  <c r="AH1498" i="13"/>
  <c r="AN1498" i="13" s="1"/>
  <c r="AH975" i="4"/>
  <c r="P1454" i="13"/>
  <c r="AL1467" i="13"/>
  <c r="AL1468" i="13"/>
  <c r="AL1469" i="13"/>
  <c r="AL1470" i="13"/>
  <c r="AL1471" i="13"/>
  <c r="AM1483" i="13"/>
  <c r="AM1486" i="13"/>
  <c r="P1471" i="13"/>
  <c r="N1466" i="13"/>
  <c r="O1466" i="13" s="1"/>
  <c r="AH1482" i="13"/>
  <c r="AN1482" i="13" s="1"/>
  <c r="AH1484" i="13"/>
  <c r="AN1484" i="13" s="1"/>
  <c r="AH1489" i="13"/>
  <c r="AN1489" i="13" s="1"/>
  <c r="AL1481" i="13"/>
  <c r="AL1499" i="13"/>
  <c r="N1459" i="13"/>
  <c r="O1459" i="13" s="1"/>
  <c r="AL1474" i="13"/>
  <c r="AL1478" i="13"/>
  <c r="AL1480" i="13"/>
  <c r="AH1481" i="13"/>
  <c r="AN1481" i="13" s="1"/>
  <c r="AL1483" i="13"/>
  <c r="AL1485" i="13"/>
  <c r="AL1490" i="13"/>
  <c r="AH1499" i="13"/>
  <c r="AN1499" i="13" s="1"/>
  <c r="AL1466" i="13"/>
  <c r="AH1473" i="13"/>
  <c r="AN1473" i="13" s="1"/>
  <c r="AL1475" i="13"/>
  <c r="AL1476" i="13"/>
  <c r="AL1477" i="13"/>
  <c r="AH1483" i="13"/>
  <c r="AN1483" i="13" s="1"/>
  <c r="AH1485" i="13"/>
  <c r="AN1485" i="13" s="1"/>
  <c r="AH1490" i="13"/>
  <c r="AN1490" i="13" s="1"/>
  <c r="AH1466" i="13"/>
  <c r="AN1466" i="13" s="1"/>
  <c r="AL1472" i="13"/>
  <c r="P1469" i="13"/>
  <c r="N1474" i="13"/>
  <c r="O1474" i="13" s="1"/>
  <c r="P488" i="6"/>
  <c r="AH1468" i="13"/>
  <c r="AN1468" i="13" s="1"/>
  <c r="AH1470" i="13"/>
  <c r="AN1470" i="13" s="1"/>
  <c r="AH1467" i="13"/>
  <c r="AN1467" i="13" s="1"/>
  <c r="AH1469" i="13"/>
  <c r="AN1469" i="13" s="1"/>
  <c r="AH1471" i="13"/>
  <c r="AN1471" i="13" s="1"/>
  <c r="P485" i="6"/>
  <c r="AF1027" i="4"/>
  <c r="AF1029" i="4"/>
  <c r="AL973" i="4"/>
  <c r="AL972" i="4"/>
  <c r="AF1026" i="4"/>
  <c r="AH1027" i="4"/>
  <c r="AF1028" i="4"/>
  <c r="AH1029" i="4"/>
  <c r="AL1460" i="13"/>
  <c r="AF1474" i="13"/>
  <c r="AF1475" i="13"/>
  <c r="AF1476" i="13"/>
  <c r="AF1477" i="13"/>
  <c r="AF1478" i="13"/>
  <c r="AF1479" i="13"/>
  <c r="AF1480" i="13"/>
  <c r="AL1450" i="13"/>
  <c r="P1453" i="13"/>
  <c r="AL1459" i="13"/>
  <c r="P1476" i="13"/>
  <c r="P1477" i="13"/>
  <c r="P1479" i="13"/>
  <c r="P1480" i="13"/>
  <c r="AH1453" i="13"/>
  <c r="AN1453" i="13" s="1"/>
  <c r="AH1472" i="13"/>
  <c r="P1462" i="13"/>
  <c r="AH1460" i="13"/>
  <c r="AN1460" i="13" s="1"/>
  <c r="AL1440" i="13"/>
  <c r="AL1452" i="13"/>
  <c r="AL1463" i="13"/>
  <c r="AH1459" i="13"/>
  <c r="AN1459" i="13" s="1"/>
  <c r="AL1461" i="13"/>
  <c r="AL1462" i="13"/>
  <c r="AL1454" i="13"/>
  <c r="AL1464" i="13"/>
  <c r="P1464" i="13"/>
  <c r="AH1461" i="13"/>
  <c r="AN1461" i="13" s="1"/>
  <c r="AH1462" i="13"/>
  <c r="AN1462" i="13" s="1"/>
  <c r="AH1463" i="13"/>
  <c r="AN1463" i="13" s="1"/>
  <c r="AH1464" i="13"/>
  <c r="AN1464" i="13" s="1"/>
  <c r="AH1465" i="13"/>
  <c r="AH1442" i="13"/>
  <c r="AN1442" i="13" s="1"/>
  <c r="AL1446" i="13"/>
  <c r="AL1453" i="13"/>
  <c r="Q973" i="4"/>
  <c r="E1447" i="13" s="1"/>
  <c r="AL975" i="4"/>
  <c r="E1454" i="13"/>
  <c r="Q1454" i="13" s="1"/>
  <c r="E1450" i="13"/>
  <c r="Q1450" i="13" s="1"/>
  <c r="E1453" i="13"/>
  <c r="Q1453" i="13" s="1"/>
  <c r="E1451" i="13"/>
  <c r="Q1451" i="13" s="1"/>
  <c r="E1449" i="13"/>
  <c r="Q1449" i="13" s="1"/>
  <c r="AF1435" i="13"/>
  <c r="P1435" i="13"/>
  <c r="AL1442" i="13"/>
  <c r="AL1451" i="13"/>
  <c r="P1444" i="13"/>
  <c r="AL1444" i="13"/>
  <c r="O1447" i="13"/>
  <c r="AL1448" i="13"/>
  <c r="AF1454" i="13"/>
  <c r="AH1450" i="13"/>
  <c r="AN1450" i="13" s="1"/>
  <c r="AL1443" i="13"/>
  <c r="AL1447" i="13"/>
  <c r="P1434" i="13"/>
  <c r="AH1434" i="13"/>
  <c r="AN1434" i="13" s="1"/>
  <c r="AH1443" i="13"/>
  <c r="AN1443" i="13" s="1"/>
  <c r="AL1449" i="13"/>
  <c r="AH1451" i="13"/>
  <c r="AN1451" i="13" s="1"/>
  <c r="AH1447" i="13"/>
  <c r="AN1447" i="13" s="1"/>
  <c r="P1448" i="13"/>
  <c r="AL1441" i="13"/>
  <c r="AH1449" i="13"/>
  <c r="AN1449" i="13" s="1"/>
  <c r="AH1452" i="13"/>
  <c r="AN1452" i="13" s="1"/>
  <c r="AH1444" i="13"/>
  <c r="AN1444" i="13" s="1"/>
  <c r="AL1445" i="13"/>
  <c r="AH1448" i="13"/>
  <c r="AN1448" i="13" s="1"/>
  <c r="AH1432" i="13"/>
  <c r="AN1432" i="13" s="1"/>
  <c r="P1443" i="13"/>
  <c r="AH1445" i="13"/>
  <c r="AN1445" i="13" s="1"/>
  <c r="P1446" i="13"/>
  <c r="AL1439" i="13"/>
  <c r="AL1428" i="13"/>
  <c r="P1452" i="13"/>
  <c r="AH1446" i="13"/>
  <c r="AN1446" i="13" s="1"/>
  <c r="P1447" i="13"/>
  <c r="AF1439" i="13"/>
  <c r="AH1440" i="13"/>
  <c r="AN1440" i="13" s="1"/>
  <c r="P1433" i="13"/>
  <c r="P1437" i="13"/>
  <c r="AH1437" i="13"/>
  <c r="AN1437" i="13" s="1"/>
  <c r="AF1441" i="13"/>
  <c r="AH1428" i="13"/>
  <c r="AN1428" i="13" s="1"/>
  <c r="AH1436" i="13"/>
  <c r="AN1436" i="13" s="1"/>
  <c r="AL1432" i="13"/>
  <c r="AL1437" i="13"/>
  <c r="AL1429" i="13"/>
  <c r="Q972" i="4"/>
  <c r="AF972" i="4"/>
  <c r="AH973" i="4"/>
  <c r="AF975" i="4"/>
  <c r="AF973" i="4"/>
  <c r="AL1433" i="13"/>
  <c r="AH1429" i="13"/>
  <c r="AN1429" i="13" s="1"/>
  <c r="AL1435" i="13"/>
  <c r="AL1434" i="13"/>
  <c r="AL1436" i="13"/>
  <c r="P1432" i="13"/>
  <c r="P1436" i="13"/>
  <c r="AK1431" i="13"/>
  <c r="AI1431" i="13"/>
  <c r="AH1431" i="13"/>
  <c r="AN1431" i="13" s="1"/>
  <c r="AG1431" i="13"/>
  <c r="AF1431" i="13"/>
  <c r="AE1431" i="13"/>
  <c r="AD1431" i="13"/>
  <c r="AC1431" i="13"/>
  <c r="AB1431" i="13"/>
  <c r="AA1431" i="13"/>
  <c r="Z1431" i="13"/>
  <c r="L1431" i="13"/>
  <c r="K1431" i="13"/>
  <c r="J1431" i="13"/>
  <c r="AK1430" i="13"/>
  <c r="AI1430" i="13"/>
  <c r="AH1430" i="13"/>
  <c r="AN1430" i="13" s="1"/>
  <c r="AG1430" i="13"/>
  <c r="AF1430" i="13"/>
  <c r="AE1430" i="13"/>
  <c r="AD1430" i="13"/>
  <c r="AC1430" i="13"/>
  <c r="AB1430" i="13"/>
  <c r="AA1430" i="13"/>
  <c r="Z1430" i="13"/>
  <c r="L1430" i="13"/>
  <c r="K1430" i="13"/>
  <c r="J1430" i="13"/>
  <c r="AM1427" i="13"/>
  <c r="AM1430" i="13" s="1"/>
  <c r="AM1431" i="13" s="1"/>
  <c r="AM1432" i="13" s="1"/>
  <c r="AM1433" i="13" s="1"/>
  <c r="AM1434" i="13" s="1"/>
  <c r="AM1435" i="13" s="1"/>
  <c r="AM1436" i="13" s="1"/>
  <c r="AM1437" i="13" s="1"/>
  <c r="AM1438" i="13" s="1"/>
  <c r="AK1427" i="13"/>
  <c r="AI1427" i="13"/>
  <c r="AG1427" i="13"/>
  <c r="AH972" i="4" s="1"/>
  <c r="AE1427" i="13"/>
  <c r="AD1427" i="13"/>
  <c r="AC1427" i="13"/>
  <c r="AB1427" i="13"/>
  <c r="AA1427" i="13"/>
  <c r="Z1427" i="13"/>
  <c r="K1427" i="13"/>
  <c r="J1427" i="13"/>
  <c r="H1427" i="13"/>
  <c r="AF1427" i="13" s="1"/>
  <c r="N663" i="4"/>
  <c r="AK663" i="4"/>
  <c r="AI663" i="4"/>
  <c r="AG663" i="4"/>
  <c r="AE663" i="4"/>
  <c r="AD663" i="4"/>
  <c r="AC663" i="4"/>
  <c r="AB663" i="4"/>
  <c r="AA663" i="4"/>
  <c r="Z663" i="4"/>
  <c r="M663" i="4"/>
  <c r="L663" i="4"/>
  <c r="K663" i="4"/>
  <c r="J663" i="4"/>
  <c r="H663" i="4"/>
  <c r="AF663" i="4" s="1"/>
  <c r="E663" i="4"/>
  <c r="AK662" i="4"/>
  <c r="AI662" i="4"/>
  <c r="AG662" i="4"/>
  <c r="AE662" i="4"/>
  <c r="AD662" i="4"/>
  <c r="AC662" i="4"/>
  <c r="AB662" i="4"/>
  <c r="AA662" i="4"/>
  <c r="Z662" i="4"/>
  <c r="N662" i="4"/>
  <c r="O662" i="4" s="1"/>
  <c r="L662" i="4"/>
  <c r="K662" i="4"/>
  <c r="J662" i="4"/>
  <c r="H662" i="4"/>
  <c r="AV662" i="4" s="1"/>
  <c r="E662" i="4"/>
  <c r="AK661" i="4"/>
  <c r="AI661" i="4"/>
  <c r="AG661" i="4"/>
  <c r="AE661" i="4"/>
  <c r="AD661" i="4"/>
  <c r="AC661" i="4"/>
  <c r="AB661" i="4"/>
  <c r="AA661" i="4"/>
  <c r="Z661" i="4"/>
  <c r="N661" i="4"/>
  <c r="O661" i="4" s="1"/>
  <c r="K661" i="4"/>
  <c r="J661" i="4"/>
  <c r="H661" i="4"/>
  <c r="E661" i="4"/>
  <c r="AK660" i="4"/>
  <c r="AI660" i="4"/>
  <c r="AG660" i="4"/>
  <c r="AE660" i="4"/>
  <c r="AD660" i="4"/>
  <c r="AC660" i="4"/>
  <c r="AB660" i="4"/>
  <c r="AA660" i="4"/>
  <c r="Z660" i="4"/>
  <c r="O660" i="4"/>
  <c r="L660" i="4"/>
  <c r="K660" i="4"/>
  <c r="J660" i="4"/>
  <c r="H660" i="4"/>
  <c r="AH660" i="4" s="1"/>
  <c r="AN660" i="4" s="1"/>
  <c r="E660" i="4"/>
  <c r="AK659" i="4"/>
  <c r="AI659" i="4"/>
  <c r="AG659" i="4"/>
  <c r="AE659" i="4"/>
  <c r="AD659" i="4"/>
  <c r="AC659" i="4"/>
  <c r="AB659" i="4"/>
  <c r="AA659" i="4"/>
  <c r="Z659" i="4"/>
  <c r="O659" i="4"/>
  <c r="L659" i="4"/>
  <c r="K659" i="4"/>
  <c r="J659" i="4"/>
  <c r="H659" i="4"/>
  <c r="AV659" i="4" s="1"/>
  <c r="E659" i="4"/>
  <c r="AK658" i="4"/>
  <c r="AI658" i="4"/>
  <c r="AG658" i="4"/>
  <c r="AE658" i="4"/>
  <c r="AD658" i="4"/>
  <c r="AC658" i="4"/>
  <c r="AB658" i="4"/>
  <c r="AA658" i="4"/>
  <c r="Z658" i="4"/>
  <c r="O658" i="4"/>
  <c r="K658" i="4"/>
  <c r="J658" i="4"/>
  <c r="H658" i="4"/>
  <c r="AH658" i="4" s="1"/>
  <c r="AN658" i="4" s="1"/>
  <c r="E658" i="4"/>
  <c r="Q658" i="4" s="1"/>
  <c r="AK657" i="4"/>
  <c r="AI657" i="4"/>
  <c r="AG657" i="4"/>
  <c r="AE657" i="4"/>
  <c r="AD657" i="4"/>
  <c r="AC657" i="4"/>
  <c r="AB657" i="4"/>
  <c r="AA657" i="4"/>
  <c r="Z657" i="4"/>
  <c r="O657" i="4"/>
  <c r="K657" i="4"/>
  <c r="J657" i="4"/>
  <c r="H657" i="4"/>
  <c r="AV657" i="4" s="1"/>
  <c r="E657" i="4"/>
  <c r="AK656" i="4"/>
  <c r="AI656" i="4"/>
  <c r="AG656" i="4"/>
  <c r="AE656" i="4"/>
  <c r="AD656" i="4"/>
  <c r="AC656" i="4"/>
  <c r="AB656" i="4"/>
  <c r="AA656" i="4"/>
  <c r="Z656" i="4"/>
  <c r="O656" i="4"/>
  <c r="K656" i="4"/>
  <c r="J656" i="4"/>
  <c r="H656" i="4"/>
  <c r="AV656" i="4" s="1"/>
  <c r="E656" i="4"/>
  <c r="Q656" i="4" s="1"/>
  <c r="AM655" i="4"/>
  <c r="AM656" i="4" s="1"/>
  <c r="AM657" i="4" s="1"/>
  <c r="AM658" i="4" s="1"/>
  <c r="AM659" i="4" s="1"/>
  <c r="AM660" i="4" s="1"/>
  <c r="AM661" i="4" s="1"/>
  <c r="AM662" i="4" s="1"/>
  <c r="AM663" i="4" s="1"/>
  <c r="AK655" i="4"/>
  <c r="AI655" i="4"/>
  <c r="AG655" i="4"/>
  <c r="AE655" i="4"/>
  <c r="AD655" i="4"/>
  <c r="AC655" i="4"/>
  <c r="AB655" i="4"/>
  <c r="AA655" i="4"/>
  <c r="Z655" i="4"/>
  <c r="O655" i="4"/>
  <c r="K655" i="4"/>
  <c r="J655" i="4"/>
  <c r="H655" i="4"/>
  <c r="AV655" i="4" s="1"/>
  <c r="E655" i="4"/>
  <c r="M596" i="4"/>
  <c r="N596" i="4"/>
  <c r="AK596" i="4"/>
  <c r="AI596" i="4"/>
  <c r="AG596" i="4"/>
  <c r="AE596" i="4"/>
  <c r="AD596" i="4"/>
  <c r="AC596" i="4"/>
  <c r="AB596" i="4"/>
  <c r="AA596" i="4"/>
  <c r="Z596" i="4"/>
  <c r="H596" i="4"/>
  <c r="AV596" i="4" s="1"/>
  <c r="E596" i="4"/>
  <c r="AK595" i="4"/>
  <c r="AI595" i="4"/>
  <c r="AG595" i="4"/>
  <c r="AE595" i="4"/>
  <c r="AD595" i="4"/>
  <c r="AC595" i="4"/>
  <c r="AB595" i="4"/>
  <c r="AA595" i="4"/>
  <c r="Z595" i="4"/>
  <c r="O595" i="4"/>
  <c r="K595" i="4"/>
  <c r="J595" i="4"/>
  <c r="H595" i="4"/>
  <c r="E595" i="4"/>
  <c r="AK594" i="4"/>
  <c r="AI594" i="4"/>
  <c r="AG594" i="4"/>
  <c r="AE594" i="4"/>
  <c r="AD594" i="4"/>
  <c r="AC594" i="4"/>
  <c r="AB594" i="4"/>
  <c r="AA594" i="4"/>
  <c r="Z594" i="4"/>
  <c r="O594" i="4"/>
  <c r="L594" i="4"/>
  <c r="K594" i="4"/>
  <c r="J594" i="4"/>
  <c r="H594" i="4"/>
  <c r="AV594" i="4" s="1"/>
  <c r="E594" i="4"/>
  <c r="AK593" i="4"/>
  <c r="AI593" i="4"/>
  <c r="AG593" i="4"/>
  <c r="AE593" i="4"/>
  <c r="AD593" i="4"/>
  <c r="AC593" i="4"/>
  <c r="AB593" i="4"/>
  <c r="AA593" i="4"/>
  <c r="Z593" i="4"/>
  <c r="O593" i="4"/>
  <c r="L593" i="4"/>
  <c r="K593" i="4"/>
  <c r="J593" i="4"/>
  <c r="H593" i="4"/>
  <c r="AH593" i="4" s="1"/>
  <c r="AN593" i="4" s="1"/>
  <c r="E593" i="4"/>
  <c r="AK592" i="4"/>
  <c r="AI592" i="4"/>
  <c r="AG592" i="4"/>
  <c r="AE592" i="4"/>
  <c r="AD592" i="4"/>
  <c r="AC592" i="4"/>
  <c r="AB592" i="4"/>
  <c r="AA592" i="4"/>
  <c r="Z592" i="4"/>
  <c r="O592" i="4"/>
  <c r="K592" i="4"/>
  <c r="J592" i="4"/>
  <c r="H592" i="4"/>
  <c r="AV592" i="4" s="1"/>
  <c r="E592" i="4"/>
  <c r="AK590" i="4"/>
  <c r="AI590" i="4"/>
  <c r="AG590" i="4"/>
  <c r="AE590" i="4"/>
  <c r="AD590" i="4"/>
  <c r="AC590" i="4"/>
  <c r="AB590" i="4"/>
  <c r="AA590" i="4"/>
  <c r="Z590" i="4"/>
  <c r="O590" i="4"/>
  <c r="K590" i="4"/>
  <c r="J590" i="4"/>
  <c r="H590" i="4"/>
  <c r="AF590" i="4" s="1"/>
  <c r="E590" i="4"/>
  <c r="AK589" i="4"/>
  <c r="AI589" i="4"/>
  <c r="AG589" i="4"/>
  <c r="AE589" i="4"/>
  <c r="AD589" i="4"/>
  <c r="AC589" i="4"/>
  <c r="AB589" i="4"/>
  <c r="AA589" i="4"/>
  <c r="Z589" i="4"/>
  <c r="O589" i="4"/>
  <c r="K589" i="4"/>
  <c r="J589" i="4"/>
  <c r="H589" i="4"/>
  <c r="E589" i="4"/>
  <c r="AM588" i="4"/>
  <c r="AM589" i="4" s="1"/>
  <c r="AM590" i="4" s="1"/>
  <c r="AK588" i="4"/>
  <c r="AI588" i="4"/>
  <c r="AG588" i="4"/>
  <c r="AE588" i="4"/>
  <c r="AD588" i="4"/>
  <c r="AC588" i="4"/>
  <c r="AB588" i="4"/>
  <c r="AA588" i="4"/>
  <c r="Z588" i="4"/>
  <c r="O588" i="4"/>
  <c r="K588" i="4"/>
  <c r="J588" i="4"/>
  <c r="H588" i="4"/>
  <c r="AV588" i="4" s="1"/>
  <c r="E588" i="4"/>
  <c r="J61" i="8"/>
  <c r="N1017" i="4"/>
  <c r="O1014" i="4"/>
  <c r="O1421" i="13"/>
  <c r="AK1426" i="13"/>
  <c r="AI1426" i="13"/>
  <c r="AG1426" i="13"/>
  <c r="AE1426" i="13"/>
  <c r="AD1426" i="13"/>
  <c r="AC1426" i="13"/>
  <c r="AB1426" i="13"/>
  <c r="AA1426" i="13"/>
  <c r="Z1426" i="13"/>
  <c r="O1426" i="13"/>
  <c r="H1426" i="13"/>
  <c r="AH1426" i="13" s="1"/>
  <c r="AN1426" i="13" s="1"/>
  <c r="AK1425" i="13"/>
  <c r="AI1425" i="13"/>
  <c r="AG1425" i="13"/>
  <c r="AE1425" i="13"/>
  <c r="AD1425" i="13"/>
  <c r="AC1425" i="13"/>
  <c r="AB1425" i="13"/>
  <c r="AA1425" i="13"/>
  <c r="Z1425" i="13"/>
  <c r="O1425" i="13"/>
  <c r="L1425" i="13"/>
  <c r="K1425" i="13"/>
  <c r="J1425" i="13"/>
  <c r="H1425" i="13"/>
  <c r="AH1425" i="13" s="1"/>
  <c r="AN1425" i="13" s="1"/>
  <c r="AK1424" i="13"/>
  <c r="AI1424" i="13"/>
  <c r="AG1424" i="13"/>
  <c r="AE1424" i="13"/>
  <c r="AD1424" i="13"/>
  <c r="AC1424" i="13"/>
  <c r="AB1424" i="13"/>
  <c r="AA1424" i="13"/>
  <c r="Z1424" i="13"/>
  <c r="M1424" i="13"/>
  <c r="L1424" i="13"/>
  <c r="K1424" i="13"/>
  <c r="J1424" i="13"/>
  <c r="H1424" i="13"/>
  <c r="AH1424" i="13" s="1"/>
  <c r="AN1424" i="13" s="1"/>
  <c r="AK1423" i="13"/>
  <c r="AI1423" i="13"/>
  <c r="AG1423" i="13"/>
  <c r="AE1423" i="13"/>
  <c r="AD1423" i="13"/>
  <c r="AC1423" i="13"/>
  <c r="AB1423" i="13"/>
  <c r="AA1423" i="13"/>
  <c r="Z1423" i="13"/>
  <c r="H1423" i="13"/>
  <c r="AF1423" i="13" s="1"/>
  <c r="AK1422" i="13"/>
  <c r="AI1422" i="13"/>
  <c r="AG1422" i="13"/>
  <c r="AE1422" i="13"/>
  <c r="AD1422" i="13"/>
  <c r="AC1422" i="13"/>
  <c r="AB1422" i="13"/>
  <c r="AA1422" i="13"/>
  <c r="Z1422" i="13"/>
  <c r="K1422" i="13"/>
  <c r="J1422" i="13"/>
  <c r="H1422" i="13"/>
  <c r="AH1422" i="13" s="1"/>
  <c r="AN1422" i="13" s="1"/>
  <c r="AM1421" i="13"/>
  <c r="AM1422" i="13" s="1"/>
  <c r="AM1423" i="13" s="1"/>
  <c r="AM1424" i="13" s="1"/>
  <c r="AM1425" i="13" s="1"/>
  <c r="AM1426" i="13" s="1"/>
  <c r="AK1421" i="13"/>
  <c r="AI1421" i="13"/>
  <c r="AG1421" i="13"/>
  <c r="AE1421" i="13"/>
  <c r="AD1421" i="13"/>
  <c r="AC1421" i="13"/>
  <c r="AB1421" i="13"/>
  <c r="AA1421" i="13"/>
  <c r="Z1421" i="13"/>
  <c r="K1421" i="13"/>
  <c r="J1421" i="13"/>
  <c r="H1421" i="13"/>
  <c r="AH1421" i="13" s="1"/>
  <c r="AN1421" i="13" s="1"/>
  <c r="E1428" i="13" l="1"/>
  <c r="Q1428" i="13" s="1"/>
  <c r="E1438" i="13"/>
  <c r="Q1438" i="13" s="1"/>
  <c r="R1454" i="13"/>
  <c r="G869" i="1"/>
  <c r="H869" i="1" s="1"/>
  <c r="R1453" i="13"/>
  <c r="G868" i="1"/>
  <c r="H868" i="1" s="1"/>
  <c r="R1458" i="13"/>
  <c r="AM592" i="4"/>
  <c r="AM593" i="4" s="1"/>
  <c r="AM594" i="4" s="1"/>
  <c r="AM595" i="4" s="1"/>
  <c r="AM596" i="4" s="1"/>
  <c r="AM591" i="4"/>
  <c r="P1426" i="13"/>
  <c r="Q1447" i="13"/>
  <c r="E1443" i="13"/>
  <c r="Q1443" i="13" s="1"/>
  <c r="AM1484" i="13"/>
  <c r="AM1487" i="13"/>
  <c r="E1446" i="13"/>
  <c r="Q1446" i="13" s="1"/>
  <c r="E1444" i="13"/>
  <c r="Q1444" i="13" s="1"/>
  <c r="E1448" i="13"/>
  <c r="Q1448" i="13" s="1"/>
  <c r="E1433" i="13"/>
  <c r="Q1433" i="13" s="1"/>
  <c r="AL590" i="4"/>
  <c r="AL657" i="4"/>
  <c r="E1430" i="13"/>
  <c r="Q1430" i="13" s="1"/>
  <c r="E1435" i="13"/>
  <c r="Q1435" i="13" s="1"/>
  <c r="G857" i="1" s="1"/>
  <c r="H857" i="1" s="1"/>
  <c r="E1427" i="13"/>
  <c r="Q1427" i="13" s="1"/>
  <c r="E1437" i="13"/>
  <c r="Q1437" i="13" s="1"/>
  <c r="AL594" i="4"/>
  <c r="E1431" i="13"/>
  <c r="Q1431" i="13" s="1"/>
  <c r="E1429" i="13"/>
  <c r="Q1429" i="13" s="1"/>
  <c r="O663" i="4"/>
  <c r="AL662" i="4"/>
  <c r="AV658" i="4"/>
  <c r="Q660" i="4"/>
  <c r="R660" i="4" s="1"/>
  <c r="P660" i="4"/>
  <c r="E1439" i="13"/>
  <c r="Q1439" i="13" s="1"/>
  <c r="E1442" i="13"/>
  <c r="Q1442" i="13" s="1"/>
  <c r="G860" i="1" s="1"/>
  <c r="H860" i="1" s="1"/>
  <c r="E1440" i="13"/>
  <c r="Q1440" i="13" s="1"/>
  <c r="E1445" i="13"/>
  <c r="Q1445" i="13" s="1"/>
  <c r="E1441" i="13"/>
  <c r="Q1441" i="13" s="1"/>
  <c r="AL1421" i="13"/>
  <c r="AL1430" i="13"/>
  <c r="E1434" i="13"/>
  <c r="Q1434" i="13" s="1"/>
  <c r="G856" i="1" s="1"/>
  <c r="H856" i="1" s="1"/>
  <c r="E1432" i="13"/>
  <c r="Q1432" i="13" s="1"/>
  <c r="G854" i="1" s="1"/>
  <c r="H854" i="1" s="1"/>
  <c r="E1436" i="13"/>
  <c r="Q1436" i="13" s="1"/>
  <c r="G858" i="1" s="1"/>
  <c r="H858" i="1" s="1"/>
  <c r="O596" i="4"/>
  <c r="Q596" i="4" s="1"/>
  <c r="AL588" i="4"/>
  <c r="AL659" i="4"/>
  <c r="AV660" i="4"/>
  <c r="AL663" i="4"/>
  <c r="AL1426" i="13"/>
  <c r="AL1424" i="13"/>
  <c r="AL1423" i="13"/>
  <c r="AF1424" i="13"/>
  <c r="AL1427" i="13"/>
  <c r="AH1427" i="13"/>
  <c r="AN1427" i="13" s="1"/>
  <c r="AL1431" i="13"/>
  <c r="AL658" i="4"/>
  <c r="AL660" i="4"/>
  <c r="AF662" i="4"/>
  <c r="P1431" i="13"/>
  <c r="AL1422" i="13"/>
  <c r="AL1425" i="13"/>
  <c r="AV590" i="4"/>
  <c r="Q593" i="4"/>
  <c r="R593" i="4" s="1"/>
  <c r="AH1423" i="13"/>
  <c r="AN1423" i="13" s="1"/>
  <c r="N1424" i="13"/>
  <c r="AL589" i="4"/>
  <c r="AL593" i="4"/>
  <c r="AL656" i="4"/>
  <c r="P1430" i="13"/>
  <c r="AL592" i="4"/>
  <c r="AL595" i="4"/>
  <c r="AL655" i="4"/>
  <c r="AH656" i="4"/>
  <c r="AN656" i="4" s="1"/>
  <c r="AL661" i="4"/>
  <c r="Q663" i="4"/>
  <c r="R663" i="4" s="1"/>
  <c r="Q657" i="4"/>
  <c r="Q588" i="4"/>
  <c r="Q595" i="4"/>
  <c r="Q590" i="4"/>
  <c r="Q594" i="4"/>
  <c r="R594" i="4" s="1"/>
  <c r="Q655" i="4"/>
  <c r="Q659" i="4"/>
  <c r="R659" i="4" s="1"/>
  <c r="Q662" i="4"/>
  <c r="R662" i="4" s="1"/>
  <c r="Q661" i="4"/>
  <c r="AH661" i="4"/>
  <c r="AN661" i="4" s="1"/>
  <c r="AV661" i="4"/>
  <c r="Q589" i="4"/>
  <c r="AF655" i="4"/>
  <c r="AF657" i="4"/>
  <c r="AF659" i="4"/>
  <c r="P663" i="4"/>
  <c r="P659" i="4"/>
  <c r="AF661" i="4"/>
  <c r="P662" i="4"/>
  <c r="AH663" i="4"/>
  <c r="AN663" i="4" s="1"/>
  <c r="AV663" i="4"/>
  <c r="AV593" i="4"/>
  <c r="AH588" i="4"/>
  <c r="AN588" i="4" s="1"/>
  <c r="AH590" i="4"/>
  <c r="AN590" i="4" s="1"/>
  <c r="AL596" i="4"/>
  <c r="AH655" i="4"/>
  <c r="AN655" i="4" s="1"/>
  <c r="AF656" i="4"/>
  <c r="AH657" i="4"/>
  <c r="AN657" i="4" s="1"/>
  <c r="AF658" i="4"/>
  <c r="AH659" i="4"/>
  <c r="AN659" i="4" s="1"/>
  <c r="AF660" i="4"/>
  <c r="AH662" i="4"/>
  <c r="AN662" i="4" s="1"/>
  <c r="P593" i="4"/>
  <c r="AF588" i="4"/>
  <c r="AV589" i="4"/>
  <c r="Q592" i="4"/>
  <c r="AH592" i="4"/>
  <c r="AN592" i="4" s="1"/>
  <c r="AF595" i="4"/>
  <c r="AF589" i="4"/>
  <c r="AF592" i="4"/>
  <c r="AF594" i="4"/>
  <c r="AH595" i="4"/>
  <c r="AN595" i="4" s="1"/>
  <c r="AV595" i="4"/>
  <c r="AF596" i="4"/>
  <c r="P594" i="4"/>
  <c r="AH589" i="4"/>
  <c r="AN589" i="4" s="1"/>
  <c r="AF593" i="4"/>
  <c r="AH594" i="4"/>
  <c r="AN594" i="4" s="1"/>
  <c r="AH596" i="4"/>
  <c r="AN596" i="4" s="1"/>
  <c r="P1423" i="13"/>
  <c r="AF1425" i="13"/>
  <c r="AF1426" i="13"/>
  <c r="AF1422" i="13"/>
  <c r="P1425" i="13"/>
  <c r="O1422" i="13"/>
  <c r="AF1421" i="13"/>
  <c r="N1023" i="4"/>
  <c r="N1022" i="4"/>
  <c r="L1023" i="4"/>
  <c r="K1023" i="4"/>
  <c r="J1023" i="4"/>
  <c r="J1022" i="4"/>
  <c r="N1420" i="13"/>
  <c r="O1420" i="13" s="1"/>
  <c r="N1419" i="13"/>
  <c r="O1419" i="13" s="1"/>
  <c r="M1414" i="13"/>
  <c r="N1418" i="13" s="1"/>
  <c r="O1418" i="13" s="1"/>
  <c r="N1415" i="13"/>
  <c r="N1414" i="13"/>
  <c r="O1414" i="13" s="1"/>
  <c r="AK1420" i="13"/>
  <c r="AI1420" i="13"/>
  <c r="AG1420" i="13"/>
  <c r="AE1420" i="13"/>
  <c r="AD1420" i="13"/>
  <c r="AC1420" i="13"/>
  <c r="AB1420" i="13"/>
  <c r="AA1420" i="13"/>
  <c r="Z1420" i="13"/>
  <c r="K1420" i="13"/>
  <c r="J1420" i="13"/>
  <c r="H1420" i="13"/>
  <c r="AF1420" i="13" s="1"/>
  <c r="AK1419" i="13"/>
  <c r="AI1419" i="13"/>
  <c r="AG1419" i="13"/>
  <c r="AE1419" i="13"/>
  <c r="AD1419" i="13"/>
  <c r="AC1419" i="13"/>
  <c r="AB1419" i="13"/>
  <c r="AA1419" i="13"/>
  <c r="Z1419" i="13"/>
  <c r="K1419" i="13"/>
  <c r="J1419" i="13"/>
  <c r="H1419" i="13"/>
  <c r="AF1419" i="13" s="1"/>
  <c r="AM1418" i="13"/>
  <c r="AM1419" i="13" s="1"/>
  <c r="AM1420" i="13" s="1"/>
  <c r="AK1418" i="13"/>
  <c r="AI1418" i="13"/>
  <c r="AG1418" i="13"/>
  <c r="AE1418" i="13"/>
  <c r="AD1418" i="13"/>
  <c r="AC1418" i="13"/>
  <c r="AB1418" i="13"/>
  <c r="AA1418" i="13"/>
  <c r="Z1418" i="13"/>
  <c r="K1418" i="13"/>
  <c r="J1418" i="13"/>
  <c r="H1418" i="13"/>
  <c r="AF1418" i="13" s="1"/>
  <c r="AK1417" i="13"/>
  <c r="AI1417" i="13"/>
  <c r="AG1417" i="13"/>
  <c r="AE1417" i="13"/>
  <c r="AD1417" i="13"/>
  <c r="AC1417" i="13"/>
  <c r="AB1417" i="13"/>
  <c r="AA1417" i="13"/>
  <c r="Z1417" i="13"/>
  <c r="O1417" i="13"/>
  <c r="L1417" i="13"/>
  <c r="K1417" i="13"/>
  <c r="J1417" i="13"/>
  <c r="H1417" i="13"/>
  <c r="AF1417" i="13" s="1"/>
  <c r="AK1416" i="13"/>
  <c r="AI1416" i="13"/>
  <c r="AG1416" i="13"/>
  <c r="AE1416" i="13"/>
  <c r="AD1416" i="13"/>
  <c r="AC1416" i="13"/>
  <c r="AB1416" i="13"/>
  <c r="AA1416" i="13"/>
  <c r="Z1416" i="13"/>
  <c r="O1416" i="13"/>
  <c r="L1416" i="13"/>
  <c r="K1416" i="13"/>
  <c r="J1416" i="13"/>
  <c r="H1416" i="13"/>
  <c r="AF1416" i="13" s="1"/>
  <c r="AK1415" i="13"/>
  <c r="AI1415" i="13"/>
  <c r="AG1415" i="13"/>
  <c r="AE1415" i="13"/>
  <c r="AD1415" i="13"/>
  <c r="AC1415" i="13"/>
  <c r="AB1415" i="13"/>
  <c r="AA1415" i="13"/>
  <c r="Z1415" i="13"/>
  <c r="O1415" i="13"/>
  <c r="K1415" i="13"/>
  <c r="J1415" i="13"/>
  <c r="H1415" i="13"/>
  <c r="AF1415" i="13" s="1"/>
  <c r="AM1414" i="13"/>
  <c r="AM1415" i="13" s="1"/>
  <c r="AM1416" i="13" s="1"/>
  <c r="AM1417" i="13" s="1"/>
  <c r="AK1414" i="13"/>
  <c r="AI1414" i="13"/>
  <c r="AG1414" i="13"/>
  <c r="AE1414" i="13"/>
  <c r="AD1414" i="13"/>
  <c r="AC1414" i="13"/>
  <c r="AB1414" i="13"/>
  <c r="AA1414" i="13"/>
  <c r="Z1414" i="13"/>
  <c r="K1414" i="13"/>
  <c r="J1414" i="13"/>
  <c r="H1414" i="13"/>
  <c r="AF1414" i="13" s="1"/>
  <c r="J1018" i="4"/>
  <c r="J1019" i="4"/>
  <c r="O1395" i="13"/>
  <c r="O1396" i="13"/>
  <c r="AK1403" i="13"/>
  <c r="AI1403" i="13"/>
  <c r="AG1403" i="13"/>
  <c r="AE1403" i="13"/>
  <c r="AD1403" i="13"/>
  <c r="AC1403" i="13"/>
  <c r="AB1403" i="13"/>
  <c r="AA1403" i="13"/>
  <c r="Z1403" i="13"/>
  <c r="O1403" i="13"/>
  <c r="L1403" i="13"/>
  <c r="K1403" i="13"/>
  <c r="J1403" i="13"/>
  <c r="H1403" i="13"/>
  <c r="AF1403" i="13" s="1"/>
  <c r="AK1402" i="13"/>
  <c r="AI1402" i="13"/>
  <c r="AG1402" i="13"/>
  <c r="AE1402" i="13"/>
  <c r="AD1402" i="13"/>
  <c r="AC1402" i="13"/>
  <c r="AB1402" i="13"/>
  <c r="AA1402" i="13"/>
  <c r="Z1402" i="13"/>
  <c r="L1402" i="13"/>
  <c r="K1402" i="13"/>
  <c r="J1402" i="13"/>
  <c r="H1402" i="13"/>
  <c r="AH1402" i="13" s="1"/>
  <c r="AN1402" i="13" s="1"/>
  <c r="AK1401" i="13"/>
  <c r="AI1401" i="13"/>
  <c r="AG1401" i="13"/>
  <c r="AE1401" i="13"/>
  <c r="AD1401" i="13"/>
  <c r="AC1401" i="13"/>
  <c r="AB1401" i="13"/>
  <c r="AA1401" i="13"/>
  <c r="Z1401" i="13"/>
  <c r="O1401" i="13"/>
  <c r="K1401" i="13"/>
  <c r="J1401" i="13"/>
  <c r="H1401" i="13"/>
  <c r="AF1401" i="13" s="1"/>
  <c r="AK1400" i="13"/>
  <c r="AI1400" i="13"/>
  <c r="AG1400" i="13"/>
  <c r="AE1400" i="13"/>
  <c r="AD1400" i="13"/>
  <c r="AC1400" i="13"/>
  <c r="AB1400" i="13"/>
  <c r="AA1400" i="13"/>
  <c r="Z1400" i="13"/>
  <c r="N1402" i="13"/>
  <c r="O1402" i="13" s="1"/>
  <c r="K1400" i="13"/>
  <c r="J1400" i="13"/>
  <c r="H1400" i="13"/>
  <c r="AH1400" i="13" s="1"/>
  <c r="AN1400" i="13" s="1"/>
  <c r="AK1399" i="13"/>
  <c r="AI1399" i="13"/>
  <c r="AG1399" i="13"/>
  <c r="AE1399" i="13"/>
  <c r="AD1399" i="13"/>
  <c r="AC1399" i="13"/>
  <c r="AB1399" i="13"/>
  <c r="AA1399" i="13"/>
  <c r="Z1399" i="13"/>
  <c r="O1399" i="13"/>
  <c r="K1399" i="13"/>
  <c r="J1399" i="13"/>
  <c r="H1399" i="13"/>
  <c r="AH1399" i="13" s="1"/>
  <c r="AN1399" i="13" s="1"/>
  <c r="AM1398" i="13"/>
  <c r="AM1399" i="13" s="1"/>
  <c r="AM1400" i="13" s="1"/>
  <c r="AM1401" i="13" s="1"/>
  <c r="AM1402" i="13" s="1"/>
  <c r="AM1403" i="13" s="1"/>
  <c r="AK1398" i="13"/>
  <c r="AI1398" i="13"/>
  <c r="AG1398" i="13"/>
  <c r="AE1398" i="13"/>
  <c r="AD1398" i="13"/>
  <c r="AC1398" i="13"/>
  <c r="AB1398" i="13"/>
  <c r="AA1398" i="13"/>
  <c r="Z1398" i="13"/>
  <c r="K1398" i="13"/>
  <c r="J1398" i="13"/>
  <c r="H1398" i="13"/>
  <c r="AF1398" i="13" s="1"/>
  <c r="AK1397" i="13"/>
  <c r="AI1397" i="13"/>
  <c r="AG1397" i="13"/>
  <c r="AE1397" i="13"/>
  <c r="AD1397" i="13"/>
  <c r="AC1397" i="13"/>
  <c r="AB1397" i="13"/>
  <c r="AA1397" i="13"/>
  <c r="Z1397" i="13"/>
  <c r="L1397" i="13"/>
  <c r="K1397" i="13"/>
  <c r="J1397" i="13"/>
  <c r="H1397" i="13"/>
  <c r="AF1397" i="13" s="1"/>
  <c r="AK1396" i="13"/>
  <c r="AI1396" i="13"/>
  <c r="AG1396" i="13"/>
  <c r="AE1396" i="13"/>
  <c r="AD1396" i="13"/>
  <c r="AC1396" i="13"/>
  <c r="AB1396" i="13"/>
  <c r="AA1396" i="13"/>
  <c r="Z1396" i="13"/>
  <c r="K1396" i="13"/>
  <c r="H1396" i="13"/>
  <c r="AF1396" i="13" s="1"/>
  <c r="AK1395" i="13"/>
  <c r="AI1395" i="13"/>
  <c r="AG1395" i="13"/>
  <c r="AE1395" i="13"/>
  <c r="AD1395" i="13"/>
  <c r="AC1395" i="13"/>
  <c r="AB1395" i="13"/>
  <c r="AA1395" i="13"/>
  <c r="Z1395" i="13"/>
  <c r="H1395" i="13"/>
  <c r="AF1395" i="13" s="1"/>
  <c r="AK1394" i="13"/>
  <c r="AI1394" i="13"/>
  <c r="AG1394" i="13"/>
  <c r="AE1394" i="13"/>
  <c r="AD1394" i="13"/>
  <c r="AC1394" i="13"/>
  <c r="AB1394" i="13"/>
  <c r="AA1394" i="13"/>
  <c r="Z1394" i="13"/>
  <c r="K1394" i="13"/>
  <c r="J1394" i="13"/>
  <c r="H1394" i="13"/>
  <c r="AF1394" i="13" s="1"/>
  <c r="AM1393" i="13"/>
  <c r="AM1394" i="13" s="1"/>
  <c r="AM1395" i="13" s="1"/>
  <c r="AM1396" i="13" s="1"/>
  <c r="AM1397" i="13" s="1"/>
  <c r="AK1393" i="13"/>
  <c r="AI1393" i="13"/>
  <c r="AG1393" i="13"/>
  <c r="AH1012" i="4" s="1"/>
  <c r="AE1393" i="13"/>
  <c r="AD1393" i="13"/>
  <c r="AC1393" i="13"/>
  <c r="AB1393" i="13"/>
  <c r="AA1393" i="13"/>
  <c r="Z1393" i="13"/>
  <c r="K1393" i="13"/>
  <c r="J1393" i="13"/>
  <c r="H1393" i="13"/>
  <c r="AH1393" i="13" s="1"/>
  <c r="AN1393" i="13" s="1"/>
  <c r="AM1020" i="4"/>
  <c r="AK1020" i="4"/>
  <c r="AI1020" i="4"/>
  <c r="AG1020" i="4"/>
  <c r="AE1020" i="4"/>
  <c r="AD1020" i="4"/>
  <c r="AC1020" i="4"/>
  <c r="AB1020" i="4"/>
  <c r="AA1020" i="4"/>
  <c r="Z1020" i="4"/>
  <c r="H1020" i="4"/>
  <c r="E1020" i="4"/>
  <c r="AM1023" i="4"/>
  <c r="AK1023" i="4"/>
  <c r="AI1023" i="4"/>
  <c r="AG1023" i="4"/>
  <c r="AE1023" i="4"/>
  <c r="AD1023" i="4"/>
  <c r="AC1023" i="4"/>
  <c r="AB1023" i="4"/>
  <c r="AA1023" i="4"/>
  <c r="Z1023" i="4"/>
  <c r="H1023" i="4"/>
  <c r="E1023" i="4"/>
  <c r="AM1022" i="4"/>
  <c r="AK1022" i="4"/>
  <c r="AI1022" i="4"/>
  <c r="AG1022" i="4"/>
  <c r="AE1022" i="4"/>
  <c r="AD1022" i="4"/>
  <c r="AC1022" i="4"/>
  <c r="AB1022" i="4"/>
  <c r="AA1022" i="4"/>
  <c r="Z1022" i="4"/>
  <c r="K1022" i="4"/>
  <c r="H1022" i="4"/>
  <c r="E1022" i="4"/>
  <c r="AM1019" i="4"/>
  <c r="AK1019" i="4"/>
  <c r="AI1019" i="4"/>
  <c r="AG1019" i="4"/>
  <c r="AE1019" i="4"/>
  <c r="AD1019" i="4"/>
  <c r="AC1019" i="4"/>
  <c r="AB1019" i="4"/>
  <c r="AA1019" i="4"/>
  <c r="Z1019" i="4"/>
  <c r="K1019" i="4"/>
  <c r="H1019" i="4"/>
  <c r="E1019" i="4"/>
  <c r="AM1018" i="4"/>
  <c r="AK1018" i="4"/>
  <c r="AI1018" i="4"/>
  <c r="AG1018" i="4"/>
  <c r="AE1018" i="4"/>
  <c r="AD1018" i="4"/>
  <c r="AC1018" i="4"/>
  <c r="AB1018" i="4"/>
  <c r="AA1018" i="4"/>
  <c r="Z1018" i="4"/>
  <c r="L1018" i="4"/>
  <c r="K1018" i="4"/>
  <c r="H1018" i="4"/>
  <c r="E1018" i="4"/>
  <c r="AM1017" i="4"/>
  <c r="AK1017" i="4"/>
  <c r="AI1017" i="4"/>
  <c r="AG1017" i="4"/>
  <c r="AE1017" i="4"/>
  <c r="AD1017" i="4"/>
  <c r="AC1017" i="4"/>
  <c r="AB1017" i="4"/>
  <c r="AA1017" i="4"/>
  <c r="Z1017" i="4"/>
  <c r="O1017" i="4"/>
  <c r="L1017" i="4"/>
  <c r="K1017" i="4"/>
  <c r="J1017" i="4"/>
  <c r="H1017" i="4"/>
  <c r="AV1017" i="4" s="1"/>
  <c r="E1017" i="4"/>
  <c r="AM1016" i="4"/>
  <c r="AK1016" i="4"/>
  <c r="AI1016" i="4"/>
  <c r="AG1016" i="4"/>
  <c r="AE1016" i="4"/>
  <c r="AD1016" i="4"/>
  <c r="AC1016" i="4"/>
  <c r="AB1016" i="4"/>
  <c r="AA1016" i="4"/>
  <c r="Z1016" i="4"/>
  <c r="O1016" i="4"/>
  <c r="K1016" i="4"/>
  <c r="J1016" i="4"/>
  <c r="H1016" i="4"/>
  <c r="E1016" i="4"/>
  <c r="AM1015" i="4"/>
  <c r="AK1015" i="4"/>
  <c r="AI1015" i="4"/>
  <c r="AG1015" i="4"/>
  <c r="AE1015" i="4"/>
  <c r="AD1015" i="4"/>
  <c r="AC1015" i="4"/>
  <c r="AB1015" i="4"/>
  <c r="AA1015" i="4"/>
  <c r="Z1015" i="4"/>
  <c r="O1015" i="4"/>
  <c r="K1015" i="4"/>
  <c r="J1015" i="4"/>
  <c r="H1015" i="4"/>
  <c r="E1015" i="4"/>
  <c r="AM1014" i="4"/>
  <c r="AK1014" i="4"/>
  <c r="AI1014" i="4"/>
  <c r="AG1014" i="4"/>
  <c r="AE1014" i="4"/>
  <c r="AD1014" i="4"/>
  <c r="AC1014" i="4"/>
  <c r="AB1014" i="4"/>
  <c r="AA1014" i="4"/>
  <c r="Z1014" i="4"/>
  <c r="K1014" i="4"/>
  <c r="H1014" i="4"/>
  <c r="E1014" i="4"/>
  <c r="O1006" i="4"/>
  <c r="K1006" i="4"/>
  <c r="J1006" i="4"/>
  <c r="N1385" i="13"/>
  <c r="O1385" i="13" s="1"/>
  <c r="O1003" i="4"/>
  <c r="O1384" i="13"/>
  <c r="O1391" i="13"/>
  <c r="O1390" i="13"/>
  <c r="N1388" i="13"/>
  <c r="O1388" i="13" s="1"/>
  <c r="N1383" i="13"/>
  <c r="N1382" i="13"/>
  <c r="M1382" i="13"/>
  <c r="J1392" i="13"/>
  <c r="J1390" i="13"/>
  <c r="J1391" i="13"/>
  <c r="J1389" i="13"/>
  <c r="AK1392" i="13"/>
  <c r="AI1392" i="13"/>
  <c r="AG1392" i="13"/>
  <c r="AE1392" i="13"/>
  <c r="AD1392" i="13"/>
  <c r="AC1392" i="13"/>
  <c r="AB1392" i="13"/>
  <c r="AA1392" i="13"/>
  <c r="Z1392" i="13"/>
  <c r="O1392" i="13"/>
  <c r="L1392" i="13"/>
  <c r="K1392" i="13"/>
  <c r="H1392" i="13"/>
  <c r="AF1392" i="13" s="1"/>
  <c r="J1388" i="13"/>
  <c r="AK1391" i="13"/>
  <c r="AI1391" i="13"/>
  <c r="AG1391" i="13"/>
  <c r="AE1391" i="13"/>
  <c r="AD1391" i="13"/>
  <c r="AC1391" i="13"/>
  <c r="AB1391" i="13"/>
  <c r="AA1391" i="13"/>
  <c r="Z1391" i="13"/>
  <c r="L1391" i="13"/>
  <c r="K1391" i="13"/>
  <c r="H1391" i="13"/>
  <c r="AF1391" i="13" s="1"/>
  <c r="AK1390" i="13"/>
  <c r="AI1390" i="13"/>
  <c r="AG1390" i="13"/>
  <c r="AE1390" i="13"/>
  <c r="AD1390" i="13"/>
  <c r="AC1390" i="13"/>
  <c r="AB1390" i="13"/>
  <c r="AA1390" i="13"/>
  <c r="Z1390" i="13"/>
  <c r="K1390" i="13"/>
  <c r="H1390" i="13"/>
  <c r="AF1390" i="13" s="1"/>
  <c r="AK1389" i="13"/>
  <c r="AI1389" i="13"/>
  <c r="AG1389" i="13"/>
  <c r="AE1389" i="13"/>
  <c r="AD1389" i="13"/>
  <c r="AC1389" i="13"/>
  <c r="AB1389" i="13"/>
  <c r="AA1389" i="13"/>
  <c r="Z1389" i="13"/>
  <c r="K1389" i="13"/>
  <c r="H1389" i="13"/>
  <c r="AH1389" i="13" s="1"/>
  <c r="AN1389" i="13" s="1"/>
  <c r="AK1388" i="13"/>
  <c r="AI1388" i="13"/>
  <c r="AG1388" i="13"/>
  <c r="AE1388" i="13"/>
  <c r="AD1388" i="13"/>
  <c r="AC1388" i="13"/>
  <c r="AB1388" i="13"/>
  <c r="AA1388" i="13"/>
  <c r="Z1388" i="13"/>
  <c r="K1388" i="13"/>
  <c r="H1388" i="13"/>
  <c r="AH1388" i="13" s="1"/>
  <c r="AN1388" i="13" s="1"/>
  <c r="J1386" i="13"/>
  <c r="J1387" i="13"/>
  <c r="K1382" i="13"/>
  <c r="K1383" i="13"/>
  <c r="K1384" i="13"/>
  <c r="J1384" i="13"/>
  <c r="J1383" i="13"/>
  <c r="J1382" i="13"/>
  <c r="AK1387" i="13"/>
  <c r="AI1387" i="13"/>
  <c r="AG1387" i="13"/>
  <c r="AE1387" i="13"/>
  <c r="AD1387" i="13"/>
  <c r="AC1387" i="13"/>
  <c r="AB1387" i="13"/>
  <c r="AA1387" i="13"/>
  <c r="Z1387" i="13"/>
  <c r="O1387" i="13"/>
  <c r="K1387" i="13"/>
  <c r="H1387" i="13"/>
  <c r="AH1387" i="13" s="1"/>
  <c r="AN1387" i="13" s="1"/>
  <c r="AK1386" i="13"/>
  <c r="AI1386" i="13"/>
  <c r="AG1386" i="13"/>
  <c r="AE1386" i="13"/>
  <c r="AD1386" i="13"/>
  <c r="AC1386" i="13"/>
  <c r="AB1386" i="13"/>
  <c r="AA1386" i="13"/>
  <c r="Z1386" i="13"/>
  <c r="O1386" i="13"/>
  <c r="L1386" i="13"/>
  <c r="K1386" i="13"/>
  <c r="H1386" i="13"/>
  <c r="AH1386" i="13" s="1"/>
  <c r="AN1386" i="13" s="1"/>
  <c r="AK1385" i="13"/>
  <c r="AI1385" i="13"/>
  <c r="AG1385" i="13"/>
  <c r="AE1385" i="13"/>
  <c r="AD1385" i="13"/>
  <c r="AC1385" i="13"/>
  <c r="AB1385" i="13"/>
  <c r="AA1385" i="13"/>
  <c r="Z1385" i="13"/>
  <c r="H1385" i="13"/>
  <c r="AF1385" i="13" s="1"/>
  <c r="AK1384" i="13"/>
  <c r="AI1384" i="13"/>
  <c r="AG1384" i="13"/>
  <c r="AE1384" i="13"/>
  <c r="AD1384" i="13"/>
  <c r="AC1384" i="13"/>
  <c r="AB1384" i="13"/>
  <c r="AA1384" i="13"/>
  <c r="Z1384" i="13"/>
  <c r="L1384" i="13"/>
  <c r="H1384" i="13"/>
  <c r="AH1384" i="13" s="1"/>
  <c r="AN1384" i="13" s="1"/>
  <c r="AK1383" i="13"/>
  <c r="AI1383" i="13"/>
  <c r="AG1383" i="13"/>
  <c r="AE1383" i="13"/>
  <c r="AD1383" i="13"/>
  <c r="AC1383" i="13"/>
  <c r="AB1383" i="13"/>
  <c r="AA1383" i="13"/>
  <c r="Z1383" i="13"/>
  <c r="H1383" i="13"/>
  <c r="AM1382" i="13"/>
  <c r="AM1383" i="13" s="1"/>
  <c r="AM1384" i="13" s="1"/>
  <c r="AM1385" i="13" s="1"/>
  <c r="AM1386" i="13" s="1"/>
  <c r="AM1387" i="13" s="1"/>
  <c r="AM1388" i="13" s="1"/>
  <c r="AM1389" i="13" s="1"/>
  <c r="AM1390" i="13" s="1"/>
  <c r="AM1391" i="13" s="1"/>
  <c r="AM1392" i="13" s="1"/>
  <c r="AK1382" i="13"/>
  <c r="AI1382" i="13"/>
  <c r="AG1382" i="13"/>
  <c r="AE1382" i="13"/>
  <c r="AD1382" i="13"/>
  <c r="AC1382" i="13"/>
  <c r="AB1382" i="13"/>
  <c r="AA1382" i="13"/>
  <c r="Z1382" i="13"/>
  <c r="H1382" i="13"/>
  <c r="AF1382" i="13" s="1"/>
  <c r="J1362" i="13"/>
  <c r="J1361" i="13"/>
  <c r="N1360" i="13"/>
  <c r="K1358" i="13"/>
  <c r="K1357" i="13"/>
  <c r="N1356" i="13"/>
  <c r="O1356" i="13" s="1"/>
  <c r="N1355" i="13"/>
  <c r="O1355" i="13" s="1"/>
  <c r="N1354" i="13"/>
  <c r="O1354" i="13" s="1"/>
  <c r="L1360" i="13"/>
  <c r="K1360" i="13"/>
  <c r="K1359" i="13"/>
  <c r="J1360" i="13"/>
  <c r="J1357" i="13"/>
  <c r="J1358" i="13"/>
  <c r="J1359" i="13"/>
  <c r="L1359" i="13"/>
  <c r="AK1362" i="13"/>
  <c r="AI1362" i="13"/>
  <c r="AG1362" i="13"/>
  <c r="AE1362" i="13"/>
  <c r="AD1362" i="13"/>
  <c r="AC1362" i="13"/>
  <c r="AB1362" i="13"/>
  <c r="AA1362" i="13"/>
  <c r="Z1362" i="13"/>
  <c r="O1362" i="13"/>
  <c r="L1362" i="13"/>
  <c r="K1362" i="13"/>
  <c r="H1362" i="13"/>
  <c r="AH1362" i="13" s="1"/>
  <c r="AN1362" i="13" s="1"/>
  <c r="AK1361" i="13"/>
  <c r="AI1361" i="13"/>
  <c r="AG1361" i="13"/>
  <c r="AE1361" i="13"/>
  <c r="AD1361" i="13"/>
  <c r="AC1361" i="13"/>
  <c r="AB1361" i="13"/>
  <c r="AA1361" i="13"/>
  <c r="Z1361" i="13"/>
  <c r="O1361" i="13"/>
  <c r="K1361" i="13"/>
  <c r="H1361" i="13"/>
  <c r="AH1361" i="13" s="1"/>
  <c r="AN1361" i="13" s="1"/>
  <c r="AK1360" i="13"/>
  <c r="AI1360" i="13"/>
  <c r="AG1360" i="13"/>
  <c r="AE1360" i="13"/>
  <c r="AD1360" i="13"/>
  <c r="AC1360" i="13"/>
  <c r="AB1360" i="13"/>
  <c r="AA1360" i="13"/>
  <c r="Z1360" i="13"/>
  <c r="O1360" i="13"/>
  <c r="H1360" i="13"/>
  <c r="AF1360" i="13" s="1"/>
  <c r="AM1355" i="13"/>
  <c r="AK1355" i="13"/>
  <c r="AI1355" i="13"/>
  <c r="AG1355" i="13"/>
  <c r="AE1355" i="13"/>
  <c r="AD1355" i="13"/>
  <c r="AC1355" i="13"/>
  <c r="AB1355" i="13"/>
  <c r="AA1355" i="13"/>
  <c r="Z1355" i="13"/>
  <c r="K1355" i="13"/>
  <c r="J1355" i="13"/>
  <c r="H1355" i="13"/>
  <c r="AF1355" i="13" s="1"/>
  <c r="AK1359" i="13"/>
  <c r="AI1359" i="13"/>
  <c r="AG1359" i="13"/>
  <c r="AE1359" i="13"/>
  <c r="AD1359" i="13"/>
  <c r="AC1359" i="13"/>
  <c r="AB1359" i="13"/>
  <c r="AA1359" i="13"/>
  <c r="Z1359" i="13"/>
  <c r="O1359" i="13"/>
  <c r="H1359" i="13"/>
  <c r="AF1359" i="13" s="1"/>
  <c r="AK1358" i="13"/>
  <c r="AI1358" i="13"/>
  <c r="AG1358" i="13"/>
  <c r="AE1358" i="13"/>
  <c r="AD1358" i="13"/>
  <c r="AC1358" i="13"/>
  <c r="AB1358" i="13"/>
  <c r="AA1358" i="13"/>
  <c r="Z1358" i="13"/>
  <c r="O1358" i="13"/>
  <c r="H1358" i="13"/>
  <c r="AF1358" i="13" s="1"/>
  <c r="AK1357" i="13"/>
  <c r="AI1357" i="13"/>
  <c r="AG1357" i="13"/>
  <c r="AE1357" i="13"/>
  <c r="AD1357" i="13"/>
  <c r="AC1357" i="13"/>
  <c r="AB1357" i="13"/>
  <c r="AA1357" i="13"/>
  <c r="Z1357" i="13"/>
  <c r="O1357" i="13"/>
  <c r="H1357" i="13"/>
  <c r="AF1357" i="13" s="1"/>
  <c r="AK1356" i="13"/>
  <c r="AI1356" i="13"/>
  <c r="AG1356" i="13"/>
  <c r="AE1356" i="13"/>
  <c r="AD1356" i="13"/>
  <c r="AC1356" i="13"/>
  <c r="AB1356" i="13"/>
  <c r="AA1356" i="13"/>
  <c r="Z1356" i="13"/>
  <c r="K1356" i="13"/>
  <c r="J1356" i="13"/>
  <c r="H1356" i="13"/>
  <c r="AF1356" i="13" s="1"/>
  <c r="AM1354" i="13"/>
  <c r="AM1356" i="13" s="1"/>
  <c r="AM1357" i="13" s="1"/>
  <c r="AM1358" i="13" s="1"/>
  <c r="AM1359" i="13" s="1"/>
  <c r="AM1360" i="13" s="1"/>
  <c r="AM1361" i="13" s="1"/>
  <c r="AM1362" i="13" s="1"/>
  <c r="AK1354" i="13"/>
  <c r="AI1354" i="13"/>
  <c r="AG1354" i="13"/>
  <c r="AH1021" i="4" s="1"/>
  <c r="AE1354" i="13"/>
  <c r="AD1354" i="13"/>
  <c r="AC1354" i="13"/>
  <c r="AB1354" i="13"/>
  <c r="AA1354" i="13"/>
  <c r="Z1354" i="13"/>
  <c r="K1354" i="13"/>
  <c r="J1354" i="13"/>
  <c r="H1354" i="13"/>
  <c r="AF1354" i="13" s="1"/>
  <c r="N1351" i="13"/>
  <c r="O1351" i="13" s="1"/>
  <c r="M1348" i="13"/>
  <c r="N1349" i="13" s="1"/>
  <c r="O1349" i="13" s="1"/>
  <c r="L1353" i="13"/>
  <c r="K1353" i="13"/>
  <c r="J1353" i="13"/>
  <c r="J1350" i="13"/>
  <c r="J1349" i="13"/>
  <c r="J1348" i="13"/>
  <c r="G1926" i="1"/>
  <c r="G1925" i="1"/>
  <c r="G1924" i="1"/>
  <c r="AK1353" i="13"/>
  <c r="AI1353" i="13"/>
  <c r="AG1353" i="13"/>
  <c r="AE1353" i="13"/>
  <c r="AD1353" i="13"/>
  <c r="AC1353" i="13"/>
  <c r="AB1353" i="13"/>
  <c r="AA1353" i="13"/>
  <c r="Z1353" i="13"/>
  <c r="O1353" i="13"/>
  <c r="H1353" i="13"/>
  <c r="AF1353" i="13" s="1"/>
  <c r="AK1352" i="13"/>
  <c r="AI1352" i="13"/>
  <c r="AG1352" i="13"/>
  <c r="AE1352" i="13"/>
  <c r="AD1352" i="13"/>
  <c r="AC1352" i="13"/>
  <c r="AB1352" i="13"/>
  <c r="AA1352" i="13"/>
  <c r="Z1352" i="13"/>
  <c r="O1352" i="13"/>
  <c r="L1352" i="13"/>
  <c r="K1352" i="13"/>
  <c r="J1352" i="13"/>
  <c r="H1352" i="13"/>
  <c r="AF1352" i="13" s="1"/>
  <c r="AK1351" i="13"/>
  <c r="AI1351" i="13"/>
  <c r="AG1351" i="13"/>
  <c r="AE1351" i="13"/>
  <c r="AD1351" i="13"/>
  <c r="AC1351" i="13"/>
  <c r="AB1351" i="13"/>
  <c r="AA1351" i="13"/>
  <c r="Z1351" i="13"/>
  <c r="L1351" i="13"/>
  <c r="K1351" i="13"/>
  <c r="J1351" i="13"/>
  <c r="H1351" i="13"/>
  <c r="AF1351" i="13" s="1"/>
  <c r="AK1350" i="13"/>
  <c r="AI1350" i="13"/>
  <c r="AG1350" i="13"/>
  <c r="AE1350" i="13"/>
  <c r="AD1350" i="13"/>
  <c r="AC1350" i="13"/>
  <c r="AB1350" i="13"/>
  <c r="AA1350" i="13"/>
  <c r="Z1350" i="13"/>
  <c r="O1350" i="13"/>
  <c r="L1350" i="13"/>
  <c r="K1350" i="13"/>
  <c r="H1350" i="13"/>
  <c r="AF1350" i="13" s="1"/>
  <c r="AK1349" i="13"/>
  <c r="AI1349" i="13"/>
  <c r="AG1349" i="13"/>
  <c r="AE1349" i="13"/>
  <c r="AD1349" i="13"/>
  <c r="AC1349" i="13"/>
  <c r="AB1349" i="13"/>
  <c r="AA1349" i="13"/>
  <c r="Z1349" i="13"/>
  <c r="K1349" i="13"/>
  <c r="H1349" i="13"/>
  <c r="AH1349" i="13" s="1"/>
  <c r="AN1349" i="13" s="1"/>
  <c r="AK1348" i="13"/>
  <c r="AI1348" i="13"/>
  <c r="AG1348" i="13"/>
  <c r="AE1348" i="13"/>
  <c r="AD1348" i="13"/>
  <c r="AC1348" i="13"/>
  <c r="AB1348" i="13"/>
  <c r="AA1348" i="13"/>
  <c r="Z1348" i="13"/>
  <c r="K1348" i="13"/>
  <c r="H1348" i="13"/>
  <c r="AH1348" i="13" s="1"/>
  <c r="AN1348" i="13" s="1"/>
  <c r="AM1348" i="13"/>
  <c r="AM1349" i="13" s="1"/>
  <c r="AM1350" i="13" s="1"/>
  <c r="AM1351" i="13" s="1"/>
  <c r="AM1352" i="13" s="1"/>
  <c r="AM1353" i="13" s="1"/>
  <c r="J991" i="4"/>
  <c r="N1342" i="13"/>
  <c r="O1342" i="13" s="1"/>
  <c r="O1347" i="13"/>
  <c r="O1345" i="13"/>
  <c r="O1343" i="13"/>
  <c r="AK1347" i="13"/>
  <c r="AI1347" i="13"/>
  <c r="AG1347" i="13"/>
  <c r="AE1347" i="13"/>
  <c r="AD1347" i="13"/>
  <c r="AC1347" i="13"/>
  <c r="AB1347" i="13"/>
  <c r="AA1347" i="13"/>
  <c r="Z1347" i="13"/>
  <c r="L1347" i="13"/>
  <c r="K1347" i="13"/>
  <c r="J1347" i="13"/>
  <c r="H1347" i="13"/>
  <c r="AF1347" i="13" s="1"/>
  <c r="AK1345" i="13"/>
  <c r="AI1345" i="13"/>
  <c r="AG1345" i="13"/>
  <c r="AE1345" i="13"/>
  <c r="AD1345" i="13"/>
  <c r="AC1345" i="13"/>
  <c r="AB1345" i="13"/>
  <c r="AA1345" i="13"/>
  <c r="Z1345" i="13"/>
  <c r="L1345" i="13"/>
  <c r="K1345" i="13"/>
  <c r="H1345" i="13"/>
  <c r="AF1345" i="13" s="1"/>
  <c r="AK1344" i="13"/>
  <c r="AI1344" i="13"/>
  <c r="AG1344" i="13"/>
  <c r="AE1344" i="13"/>
  <c r="AD1344" i="13"/>
  <c r="AC1344" i="13"/>
  <c r="AB1344" i="13"/>
  <c r="AA1344" i="13"/>
  <c r="Z1344" i="13"/>
  <c r="L1344" i="13"/>
  <c r="K1344" i="13"/>
  <c r="J1344" i="13"/>
  <c r="H1344" i="13"/>
  <c r="AF1344" i="13" s="1"/>
  <c r="AK1343" i="13"/>
  <c r="AI1343" i="13"/>
  <c r="AG1343" i="13"/>
  <c r="AE1343" i="13"/>
  <c r="AD1343" i="13"/>
  <c r="AC1343" i="13"/>
  <c r="AB1343" i="13"/>
  <c r="AA1343" i="13"/>
  <c r="Z1343" i="13"/>
  <c r="L1343" i="13"/>
  <c r="K1343" i="13"/>
  <c r="J1343" i="13"/>
  <c r="H1343" i="13"/>
  <c r="AF1343" i="13" s="1"/>
  <c r="AK1342" i="13"/>
  <c r="AI1342" i="13"/>
  <c r="AG1342" i="13"/>
  <c r="AE1342" i="13"/>
  <c r="AD1342" i="13"/>
  <c r="AC1342" i="13"/>
  <c r="AB1342" i="13"/>
  <c r="AA1342" i="13"/>
  <c r="Z1342" i="13"/>
  <c r="K1342" i="13"/>
  <c r="J1342" i="13"/>
  <c r="H1342" i="13"/>
  <c r="AF1342" i="13" s="1"/>
  <c r="AM1341" i="13"/>
  <c r="AM1342" i="13" s="1"/>
  <c r="AM1343" i="13" s="1"/>
  <c r="AM1344" i="13" s="1"/>
  <c r="AM1345" i="13" s="1"/>
  <c r="AK1341" i="13"/>
  <c r="AI1341" i="13"/>
  <c r="AG1341" i="13"/>
  <c r="AE1341" i="13"/>
  <c r="AD1341" i="13"/>
  <c r="AC1341" i="13"/>
  <c r="AB1341" i="13"/>
  <c r="AA1341" i="13"/>
  <c r="Z1341" i="13"/>
  <c r="K1341" i="13"/>
  <c r="J1341" i="13"/>
  <c r="H1341" i="13"/>
  <c r="AF1341" i="13" s="1"/>
  <c r="AM1008" i="4"/>
  <c r="AK1008" i="4"/>
  <c r="AI1008" i="4"/>
  <c r="AG1008" i="4"/>
  <c r="AE1008" i="4"/>
  <c r="AD1008" i="4"/>
  <c r="AC1008" i="4"/>
  <c r="AB1008" i="4"/>
  <c r="AA1008" i="4"/>
  <c r="Z1008" i="4"/>
  <c r="K1008" i="4"/>
  <c r="J1008" i="4"/>
  <c r="H1008" i="4"/>
  <c r="AV1008" i="4" s="1"/>
  <c r="E1008" i="4"/>
  <c r="AM1007" i="4"/>
  <c r="AK1007" i="4"/>
  <c r="AI1007" i="4"/>
  <c r="AG1007" i="4"/>
  <c r="AE1007" i="4"/>
  <c r="AD1007" i="4"/>
  <c r="AC1007" i="4"/>
  <c r="AB1007" i="4"/>
  <c r="AA1007" i="4"/>
  <c r="Z1007" i="4"/>
  <c r="H1007" i="4"/>
  <c r="AF1007" i="4" s="1"/>
  <c r="E1007" i="4"/>
  <c r="Q1007" i="4" s="1"/>
  <c r="AM1006" i="4"/>
  <c r="AK1006" i="4"/>
  <c r="AI1006" i="4"/>
  <c r="AG1006" i="4"/>
  <c r="AE1006" i="4"/>
  <c r="AD1006" i="4"/>
  <c r="AC1006" i="4"/>
  <c r="AB1006" i="4"/>
  <c r="AA1006" i="4"/>
  <c r="Z1006" i="4"/>
  <c r="L1006" i="4"/>
  <c r="H1006" i="4"/>
  <c r="E1006" i="4"/>
  <c r="AM1003" i="4"/>
  <c r="AK1003" i="4"/>
  <c r="AI1003" i="4"/>
  <c r="AG1003" i="4"/>
  <c r="AE1003" i="4"/>
  <c r="AD1003" i="4"/>
  <c r="AC1003" i="4"/>
  <c r="AB1003" i="4"/>
  <c r="AA1003" i="4"/>
  <c r="Z1003" i="4"/>
  <c r="L1003" i="4"/>
  <c r="K1003" i="4"/>
  <c r="J1003" i="4"/>
  <c r="H1003" i="4"/>
  <c r="AV1003" i="4" s="1"/>
  <c r="E1003" i="4"/>
  <c r="AM993" i="4"/>
  <c r="AK993" i="4"/>
  <c r="AI993" i="4"/>
  <c r="AG993" i="4"/>
  <c r="AE993" i="4"/>
  <c r="AD993" i="4"/>
  <c r="AC993" i="4"/>
  <c r="AB993" i="4"/>
  <c r="AA993" i="4"/>
  <c r="Z993" i="4"/>
  <c r="O993" i="4"/>
  <c r="K993" i="4"/>
  <c r="J993" i="4"/>
  <c r="H993" i="4"/>
  <c r="E993" i="4"/>
  <c r="AM992" i="4"/>
  <c r="AK992" i="4"/>
  <c r="AI992" i="4"/>
  <c r="AG992" i="4"/>
  <c r="AE992" i="4"/>
  <c r="AD992" i="4"/>
  <c r="AC992" i="4"/>
  <c r="AB992" i="4"/>
  <c r="AA992" i="4"/>
  <c r="Z992" i="4"/>
  <c r="O992" i="4"/>
  <c r="K992" i="4"/>
  <c r="J992" i="4"/>
  <c r="H992" i="4"/>
  <c r="E992" i="4"/>
  <c r="AM991" i="4"/>
  <c r="AK991" i="4"/>
  <c r="AI991" i="4"/>
  <c r="AG991" i="4"/>
  <c r="AE991" i="4"/>
  <c r="AD991" i="4"/>
  <c r="AC991" i="4"/>
  <c r="AB991" i="4"/>
  <c r="AA991" i="4"/>
  <c r="Z991" i="4"/>
  <c r="O991" i="4"/>
  <c r="K991" i="4"/>
  <c r="H991" i="4"/>
  <c r="E991" i="4"/>
  <c r="O985" i="4"/>
  <c r="AM990" i="4"/>
  <c r="AK990" i="4"/>
  <c r="AI990" i="4"/>
  <c r="AG990" i="4"/>
  <c r="AE990" i="4"/>
  <c r="AD990" i="4"/>
  <c r="AC990" i="4"/>
  <c r="AB990" i="4"/>
  <c r="AA990" i="4"/>
  <c r="Z990" i="4"/>
  <c r="O990" i="4"/>
  <c r="L990" i="4"/>
  <c r="K990" i="4"/>
  <c r="J990" i="4"/>
  <c r="H990" i="4"/>
  <c r="AV990" i="4" s="1"/>
  <c r="E990" i="4"/>
  <c r="AK989" i="4"/>
  <c r="AI989" i="4"/>
  <c r="AG989" i="4"/>
  <c r="AE989" i="4"/>
  <c r="AD989" i="4"/>
  <c r="AC989" i="4"/>
  <c r="AB989" i="4"/>
  <c r="AA989" i="4"/>
  <c r="Z989" i="4"/>
  <c r="O989" i="4"/>
  <c r="L989" i="4"/>
  <c r="K989" i="4"/>
  <c r="J989" i="4"/>
  <c r="H989" i="4"/>
  <c r="AV989" i="4" s="1"/>
  <c r="E989" i="4"/>
  <c r="AK988" i="4"/>
  <c r="AI988" i="4"/>
  <c r="AG988" i="4"/>
  <c r="AE988" i="4"/>
  <c r="AD988" i="4"/>
  <c r="AC988" i="4"/>
  <c r="AB988" i="4"/>
  <c r="AA988" i="4"/>
  <c r="Z988" i="4"/>
  <c r="O988" i="4"/>
  <c r="K988" i="4"/>
  <c r="J988" i="4"/>
  <c r="H988" i="4"/>
  <c r="E988" i="4"/>
  <c r="AM988" i="4"/>
  <c r="AK987" i="4"/>
  <c r="AI987" i="4"/>
  <c r="AG987" i="4"/>
  <c r="AE987" i="4"/>
  <c r="AD987" i="4"/>
  <c r="AC987" i="4"/>
  <c r="AB987" i="4"/>
  <c r="AA987" i="4"/>
  <c r="Z987" i="4"/>
  <c r="O987" i="4"/>
  <c r="L987" i="4"/>
  <c r="K987" i="4"/>
  <c r="J987" i="4"/>
  <c r="H987" i="4"/>
  <c r="E987" i="4"/>
  <c r="AK986" i="4"/>
  <c r="AI986" i="4"/>
  <c r="AG986" i="4"/>
  <c r="AE986" i="4"/>
  <c r="AD986" i="4"/>
  <c r="AC986" i="4"/>
  <c r="AB986" i="4"/>
  <c r="AA986" i="4"/>
  <c r="Z986" i="4"/>
  <c r="O986" i="4"/>
  <c r="L986" i="4"/>
  <c r="K986" i="4"/>
  <c r="J986" i="4"/>
  <c r="H986" i="4"/>
  <c r="AF986" i="4" s="1"/>
  <c r="E986" i="4"/>
  <c r="AK985" i="4"/>
  <c r="AI985" i="4"/>
  <c r="AG985" i="4"/>
  <c r="AE985" i="4"/>
  <c r="AD985" i="4"/>
  <c r="AC985" i="4"/>
  <c r="AB985" i="4"/>
  <c r="AA985" i="4"/>
  <c r="Z985" i="4"/>
  <c r="K985" i="4"/>
  <c r="J985" i="4"/>
  <c r="H985" i="4"/>
  <c r="E985" i="4"/>
  <c r="AM985" i="4"/>
  <c r="AM986" i="4" s="1"/>
  <c r="AM987" i="4" s="1"/>
  <c r="O496" i="4"/>
  <c r="N977" i="4"/>
  <c r="O977" i="4" s="1"/>
  <c r="K984" i="4"/>
  <c r="J984" i="4"/>
  <c r="AM984" i="4"/>
  <c r="AK984" i="4"/>
  <c r="AI984" i="4"/>
  <c r="AG984" i="4"/>
  <c r="AE984" i="4"/>
  <c r="AD984" i="4"/>
  <c r="AC984" i="4"/>
  <c r="AB984" i="4"/>
  <c r="AA984" i="4"/>
  <c r="Z984" i="4"/>
  <c r="O984" i="4"/>
  <c r="H984" i="4"/>
  <c r="AV984" i="4" s="1"/>
  <c r="E984" i="4"/>
  <c r="O979" i="4"/>
  <c r="N978" i="4"/>
  <c r="O978" i="4" s="1"/>
  <c r="J982" i="4"/>
  <c r="K978" i="4"/>
  <c r="L978" i="4"/>
  <c r="J979" i="4"/>
  <c r="J981" i="4"/>
  <c r="J978" i="4"/>
  <c r="AK983" i="4"/>
  <c r="AI983" i="4"/>
  <c r="AG983" i="4"/>
  <c r="AE983" i="4"/>
  <c r="AD983" i="4"/>
  <c r="AC983" i="4"/>
  <c r="AB983" i="4"/>
  <c r="AA983" i="4"/>
  <c r="Z983" i="4"/>
  <c r="O983" i="4"/>
  <c r="L983" i="4"/>
  <c r="K983" i="4"/>
  <c r="J983" i="4"/>
  <c r="H983" i="4"/>
  <c r="E983" i="4"/>
  <c r="AK982" i="4"/>
  <c r="AI982" i="4"/>
  <c r="AG982" i="4"/>
  <c r="AE982" i="4"/>
  <c r="AD982" i="4"/>
  <c r="AC982" i="4"/>
  <c r="AB982" i="4"/>
  <c r="AA982" i="4"/>
  <c r="Z982" i="4"/>
  <c r="O982" i="4"/>
  <c r="K982" i="4"/>
  <c r="H982" i="4"/>
  <c r="AH982" i="4" s="1"/>
  <c r="AN982" i="4" s="1"/>
  <c r="E982" i="4"/>
  <c r="AK981" i="4"/>
  <c r="AI981" i="4"/>
  <c r="AG981" i="4"/>
  <c r="AE981" i="4"/>
  <c r="AD981" i="4"/>
  <c r="AC981" i="4"/>
  <c r="AB981" i="4"/>
  <c r="AA981" i="4"/>
  <c r="Z981" i="4"/>
  <c r="O981" i="4"/>
  <c r="L981" i="4"/>
  <c r="K981" i="4"/>
  <c r="H981" i="4"/>
  <c r="AH981" i="4" s="1"/>
  <c r="AN981" i="4" s="1"/>
  <c r="E981" i="4"/>
  <c r="Q981" i="4" s="1"/>
  <c r="G837" i="1" s="1"/>
  <c r="H837" i="1" s="1"/>
  <c r="AK979" i="4"/>
  <c r="AI979" i="4"/>
  <c r="AG979" i="4"/>
  <c r="AE979" i="4"/>
  <c r="AD979" i="4"/>
  <c r="AC979" i="4"/>
  <c r="AB979" i="4"/>
  <c r="AA979" i="4"/>
  <c r="Z979" i="4"/>
  <c r="L979" i="4"/>
  <c r="K979" i="4"/>
  <c r="H979" i="4"/>
  <c r="AF979" i="4" s="1"/>
  <c r="E979" i="4"/>
  <c r="AK978" i="4"/>
  <c r="AI978" i="4"/>
  <c r="AG978" i="4"/>
  <c r="AE978" i="4"/>
  <c r="AD978" i="4"/>
  <c r="AC978" i="4"/>
  <c r="AB978" i="4"/>
  <c r="AA978" i="4"/>
  <c r="Z978" i="4"/>
  <c r="H978" i="4"/>
  <c r="AF978" i="4" s="1"/>
  <c r="E978" i="4"/>
  <c r="AK977" i="4"/>
  <c r="AI977" i="4"/>
  <c r="AG977" i="4"/>
  <c r="AE977" i="4"/>
  <c r="AD977" i="4"/>
  <c r="AC977" i="4"/>
  <c r="AB977" i="4"/>
  <c r="AA977" i="4"/>
  <c r="Z977" i="4"/>
  <c r="K977" i="4"/>
  <c r="J977" i="4"/>
  <c r="H977" i="4"/>
  <c r="AV977" i="4" s="1"/>
  <c r="E977" i="4"/>
  <c r="AM976" i="4"/>
  <c r="AM977" i="4" s="1"/>
  <c r="AM978" i="4" s="1"/>
  <c r="AM979" i="4" s="1"/>
  <c r="AK976" i="4"/>
  <c r="AI976" i="4"/>
  <c r="AG976" i="4"/>
  <c r="AE976" i="4"/>
  <c r="AD976" i="4"/>
  <c r="AC976" i="4"/>
  <c r="AB976" i="4"/>
  <c r="AA976" i="4"/>
  <c r="Z976" i="4"/>
  <c r="K976" i="4"/>
  <c r="J976" i="4"/>
  <c r="H976" i="4"/>
  <c r="E976" i="4"/>
  <c r="R1007" i="4" l="1"/>
  <c r="G925" i="1"/>
  <c r="H925" i="1" s="1"/>
  <c r="G867" i="1"/>
  <c r="H867" i="1" s="1"/>
  <c r="R1438" i="13"/>
  <c r="AH1010" i="4"/>
  <c r="AH1013" i="4"/>
  <c r="R1431" i="13"/>
  <c r="G853" i="1"/>
  <c r="H853" i="1" s="1"/>
  <c r="R1433" i="13"/>
  <c r="G855" i="1"/>
  <c r="H855" i="1" s="1"/>
  <c r="R1430" i="13"/>
  <c r="G852" i="1"/>
  <c r="H852" i="1" s="1"/>
  <c r="R1448" i="13"/>
  <c r="G866" i="1"/>
  <c r="H866" i="1" s="1"/>
  <c r="R1445" i="13"/>
  <c r="G863" i="1"/>
  <c r="H863" i="1" s="1"/>
  <c r="R1437" i="13"/>
  <c r="G859" i="1"/>
  <c r="H859" i="1" s="1"/>
  <c r="R1444" i="13"/>
  <c r="G862" i="1"/>
  <c r="H862" i="1" s="1"/>
  <c r="R1443" i="13"/>
  <c r="G861" i="1"/>
  <c r="H861" i="1" s="1"/>
  <c r="R1446" i="13"/>
  <c r="G864" i="1"/>
  <c r="H864" i="1" s="1"/>
  <c r="R1447" i="13"/>
  <c r="G865" i="1"/>
  <c r="H865" i="1" s="1"/>
  <c r="O1398" i="13"/>
  <c r="O1394" i="13"/>
  <c r="P1397" i="13"/>
  <c r="R1435" i="13"/>
  <c r="O1424" i="13"/>
  <c r="P1424" i="13" s="1"/>
  <c r="AM1347" i="13"/>
  <c r="AM1346" i="13"/>
  <c r="P1344" i="13"/>
  <c r="AM981" i="4"/>
  <c r="AM982" i="4" s="1"/>
  <c r="AM983" i="4" s="1"/>
  <c r="AM980" i="4"/>
  <c r="AM1485" i="13"/>
  <c r="AM1489" i="13" s="1"/>
  <c r="AM1490" i="13" s="1"/>
  <c r="AM1488" i="13"/>
  <c r="O1018" i="4"/>
  <c r="P1018" i="4" s="1"/>
  <c r="R1442" i="13"/>
  <c r="AL1016" i="4"/>
  <c r="AH1414" i="13"/>
  <c r="AN1414" i="13" s="1"/>
  <c r="AL1401" i="13"/>
  <c r="P1416" i="13"/>
  <c r="AL1416" i="13"/>
  <c r="R1436" i="13"/>
  <c r="R1432" i="13"/>
  <c r="R1434" i="13"/>
  <c r="R596" i="4"/>
  <c r="P596" i="4"/>
  <c r="AL1418" i="13"/>
  <c r="P1353" i="13"/>
  <c r="AL1023" i="4"/>
  <c r="AL1020" i="4"/>
  <c r="AL1396" i="13"/>
  <c r="AH1401" i="13"/>
  <c r="AN1401" i="13" s="1"/>
  <c r="AL1414" i="13"/>
  <c r="AL1417" i="13"/>
  <c r="AL1420" i="13"/>
  <c r="AH1416" i="13"/>
  <c r="AN1416" i="13" s="1"/>
  <c r="AL1018" i="4"/>
  <c r="Q1003" i="4"/>
  <c r="R1003" i="4" s="1"/>
  <c r="AL1019" i="4"/>
  <c r="Q1020" i="4"/>
  <c r="AL1393" i="13"/>
  <c r="P1396" i="13"/>
  <c r="AH1418" i="13"/>
  <c r="AN1418" i="13" s="1"/>
  <c r="AL1415" i="13"/>
  <c r="O1022" i="4"/>
  <c r="Q1022" i="4" s="1"/>
  <c r="O1023" i="4"/>
  <c r="Q1023" i="4" s="1"/>
  <c r="R1023" i="4" s="1"/>
  <c r="O1019" i="4"/>
  <c r="Q1019" i="4" s="1"/>
  <c r="E1397" i="13" s="1"/>
  <c r="Q1397" i="13" s="1"/>
  <c r="R1397" i="13" s="1"/>
  <c r="AH1020" i="4"/>
  <c r="P1417" i="13"/>
  <c r="AL1389" i="13"/>
  <c r="AL1395" i="13"/>
  <c r="AL1397" i="13"/>
  <c r="AL1402" i="13"/>
  <c r="O1389" i="13"/>
  <c r="AH1022" i="4"/>
  <c r="AH1417" i="13"/>
  <c r="AN1417" i="13" s="1"/>
  <c r="AL1419" i="13"/>
  <c r="AH1420" i="13"/>
  <c r="AN1420" i="13" s="1"/>
  <c r="AH1415" i="13"/>
  <c r="AN1415" i="13" s="1"/>
  <c r="AH1419" i="13"/>
  <c r="AN1419" i="13" s="1"/>
  <c r="AL1400" i="13"/>
  <c r="E1394" i="13"/>
  <c r="E1402" i="13"/>
  <c r="Q1402" i="13" s="1"/>
  <c r="R1402" i="13" s="1"/>
  <c r="AH1394" i="13"/>
  <c r="AN1394" i="13" s="1"/>
  <c r="Q1016" i="4"/>
  <c r="AH1019" i="4"/>
  <c r="AH1395" i="13"/>
  <c r="AN1395" i="13" s="1"/>
  <c r="P1403" i="13"/>
  <c r="AL1392" i="13"/>
  <c r="AL1399" i="13"/>
  <c r="AL1403" i="13"/>
  <c r="AL1359" i="13"/>
  <c r="AL1362" i="13"/>
  <c r="AL1015" i="4"/>
  <c r="AH1016" i="4"/>
  <c r="AL1022" i="4"/>
  <c r="AL1394" i="13"/>
  <c r="AL1398" i="13"/>
  <c r="AF1399" i="13"/>
  <c r="AF1402" i="13"/>
  <c r="AL1385" i="13"/>
  <c r="AV1018" i="4"/>
  <c r="AH1018" i="4"/>
  <c r="AN1018" i="4" s="1"/>
  <c r="AF1018" i="4"/>
  <c r="AV1023" i="4"/>
  <c r="AH1023" i="4"/>
  <c r="AN1023" i="4" s="1"/>
  <c r="AF1023" i="4"/>
  <c r="AL1383" i="13"/>
  <c r="AL1384" i="13"/>
  <c r="AF1386" i="13"/>
  <c r="P1392" i="13"/>
  <c r="AL1014" i="4"/>
  <c r="P1395" i="13"/>
  <c r="AH1014" i="4"/>
  <c r="P1402" i="13"/>
  <c r="Q1015" i="4"/>
  <c r="G851" i="1" s="1"/>
  <c r="H851" i="1" s="1"/>
  <c r="AF1019" i="4"/>
  <c r="AF1022" i="4"/>
  <c r="AF1020" i="4"/>
  <c r="AF1393" i="13"/>
  <c r="AH1396" i="13"/>
  <c r="AN1396" i="13" s="1"/>
  <c r="AH1397" i="13"/>
  <c r="AN1397" i="13" s="1"/>
  <c r="AH1398" i="13"/>
  <c r="AN1398" i="13" s="1"/>
  <c r="O1400" i="13"/>
  <c r="AF1400" i="13"/>
  <c r="AH1403" i="13"/>
  <c r="AN1403" i="13" s="1"/>
  <c r="AL1017" i="4"/>
  <c r="Q1014" i="4"/>
  <c r="Q1017" i="4"/>
  <c r="R1017" i="4" s="1"/>
  <c r="P1017" i="4"/>
  <c r="AF1017" i="4"/>
  <c r="AF1015" i="4"/>
  <c r="Q1008" i="4"/>
  <c r="G849" i="1" s="1"/>
  <c r="H849" i="1" s="1"/>
  <c r="AL1008" i="4"/>
  <c r="AF1014" i="4"/>
  <c r="AH1015" i="4"/>
  <c r="AF1016" i="4"/>
  <c r="AH1017" i="4"/>
  <c r="AN1017" i="4" s="1"/>
  <c r="AL991" i="4"/>
  <c r="P1385" i="13"/>
  <c r="P1360" i="13"/>
  <c r="AL1354" i="13"/>
  <c r="AL1382" i="13"/>
  <c r="P1384" i="13"/>
  <c r="AF1384" i="13"/>
  <c r="AF1387" i="13"/>
  <c r="AL1387" i="13"/>
  <c r="AF1388" i="13"/>
  <c r="AL1388" i="13"/>
  <c r="AH1390" i="13"/>
  <c r="AN1390" i="13" s="1"/>
  <c r="O1383" i="13"/>
  <c r="P1391" i="13"/>
  <c r="AL1391" i="13"/>
  <c r="AL1352" i="13"/>
  <c r="AH1356" i="13"/>
  <c r="AN1356" i="13" s="1"/>
  <c r="AH1357" i="13"/>
  <c r="AN1357" i="13" s="1"/>
  <c r="AH1358" i="13"/>
  <c r="AN1358" i="13" s="1"/>
  <c r="AH1359" i="13"/>
  <c r="AN1359" i="13" s="1"/>
  <c r="AF1362" i="13"/>
  <c r="AL1386" i="13"/>
  <c r="AL1390" i="13"/>
  <c r="O1382" i="13"/>
  <c r="P1386" i="13"/>
  <c r="AL989" i="4"/>
  <c r="AH1382" i="13"/>
  <c r="AN1382" i="13" s="1"/>
  <c r="Q992" i="4"/>
  <c r="AL993" i="4"/>
  <c r="AH1003" i="4"/>
  <c r="AN1003" i="4" s="1"/>
  <c r="AL1341" i="13"/>
  <c r="AL1345" i="13"/>
  <c r="AL1349" i="13"/>
  <c r="AF1383" i="13"/>
  <c r="AH1383" i="13"/>
  <c r="AN1383" i="13" s="1"/>
  <c r="AH1385" i="13"/>
  <c r="AN1385" i="13" s="1"/>
  <c r="AF1389" i="13"/>
  <c r="AH1391" i="13"/>
  <c r="AN1391" i="13" s="1"/>
  <c r="AH1392" i="13"/>
  <c r="AN1392" i="13" s="1"/>
  <c r="AL1360" i="13"/>
  <c r="AL1361" i="13"/>
  <c r="P1359" i="13"/>
  <c r="AH1354" i="13"/>
  <c r="AN1354" i="13" s="1"/>
  <c r="AH1360" i="13"/>
  <c r="AN1360" i="13" s="1"/>
  <c r="AF1361" i="13"/>
  <c r="P1362" i="13"/>
  <c r="AL1355" i="13"/>
  <c r="AL1356" i="13"/>
  <c r="AL1357" i="13"/>
  <c r="AL1358" i="13"/>
  <c r="P1352" i="13"/>
  <c r="AH1355" i="13"/>
  <c r="AN1355" i="13" s="1"/>
  <c r="AL1348" i="13"/>
  <c r="AL1351" i="13"/>
  <c r="AL1353" i="13"/>
  <c r="AL1344" i="13"/>
  <c r="AL1350" i="13"/>
  <c r="AF1348" i="13"/>
  <c r="AF1349" i="13"/>
  <c r="AH1352" i="13"/>
  <c r="AN1352" i="13" s="1"/>
  <c r="AH1351" i="13"/>
  <c r="AN1351" i="13" s="1"/>
  <c r="AH1353" i="13"/>
  <c r="AN1353" i="13" s="1"/>
  <c r="P1350" i="13"/>
  <c r="P1351" i="13"/>
  <c r="AH992" i="4"/>
  <c r="N1348" i="13"/>
  <c r="O1348" i="13" s="1"/>
  <c r="N1341" i="13"/>
  <c r="O1341" i="13" s="1"/>
  <c r="AH1350" i="13"/>
  <c r="AN1350" i="13" s="1"/>
  <c r="AL1343" i="13"/>
  <c r="AL1342" i="13"/>
  <c r="AL1347" i="13"/>
  <c r="AL1003" i="4"/>
  <c r="N976" i="4"/>
  <c r="O976" i="4" s="1"/>
  <c r="Q976" i="4" s="1"/>
  <c r="AL992" i="4"/>
  <c r="AL1006" i="4"/>
  <c r="AL1007" i="4"/>
  <c r="AH1008" i="4"/>
  <c r="AN1008" i="4" s="1"/>
  <c r="P1003" i="4"/>
  <c r="AH993" i="4"/>
  <c r="Q993" i="4"/>
  <c r="AF1006" i="4"/>
  <c r="AL990" i="4"/>
  <c r="AH991" i="4"/>
  <c r="Q991" i="4"/>
  <c r="AF993" i="4"/>
  <c r="AF991" i="4"/>
  <c r="AH1007" i="4"/>
  <c r="AV1006" i="4"/>
  <c r="AH1006" i="4"/>
  <c r="AN1006" i="4" s="1"/>
  <c r="Q1006" i="4"/>
  <c r="G846" i="1" s="1"/>
  <c r="H846" i="1" s="1"/>
  <c r="P1006" i="4"/>
  <c r="P1343" i="13"/>
  <c r="P1345" i="13"/>
  <c r="P1347" i="13"/>
  <c r="AF992" i="4"/>
  <c r="AF1003" i="4"/>
  <c r="AF1008" i="4"/>
  <c r="AH1341" i="13"/>
  <c r="AN1341" i="13" s="1"/>
  <c r="AH1342" i="13"/>
  <c r="AN1342" i="13" s="1"/>
  <c r="AH1343" i="13"/>
  <c r="AN1343" i="13" s="1"/>
  <c r="AH1344" i="13"/>
  <c r="AN1344" i="13" s="1"/>
  <c r="AH1345" i="13"/>
  <c r="AN1345" i="13" s="1"/>
  <c r="AH1347" i="13"/>
  <c r="AN1347" i="13" s="1"/>
  <c r="AL987" i="4"/>
  <c r="Q990" i="4"/>
  <c r="R990" i="4" s="1"/>
  <c r="Q987" i="4"/>
  <c r="R987" i="4" s="1"/>
  <c r="Q984" i="4"/>
  <c r="AL985" i="4"/>
  <c r="Q986" i="4"/>
  <c r="R986" i="4" s="1"/>
  <c r="AF990" i="4"/>
  <c r="AL986" i="4"/>
  <c r="P990" i="4"/>
  <c r="AH990" i="4"/>
  <c r="AN990" i="4" s="1"/>
  <c r="AL988" i="4"/>
  <c r="Q989" i="4"/>
  <c r="R989" i="4" s="1"/>
  <c r="AH977" i="4"/>
  <c r="AN977" i="4" s="1"/>
  <c r="P987" i="4"/>
  <c r="Q988" i="4"/>
  <c r="Q985" i="4"/>
  <c r="AL983" i="4"/>
  <c r="AL984" i="4"/>
  <c r="AH985" i="4"/>
  <c r="AN985" i="4" s="1"/>
  <c r="AV985" i="4"/>
  <c r="P986" i="4"/>
  <c r="AH986" i="4"/>
  <c r="AN986" i="4" s="1"/>
  <c r="AV986" i="4"/>
  <c r="AV987" i="4"/>
  <c r="AH987" i="4"/>
  <c r="AN987" i="4" s="1"/>
  <c r="AF987" i="4"/>
  <c r="AF985" i="4"/>
  <c r="AM989" i="4"/>
  <c r="AV988" i="4"/>
  <c r="AH988" i="4"/>
  <c r="AN988" i="4" s="1"/>
  <c r="AF988" i="4"/>
  <c r="AF989" i="4"/>
  <c r="P989" i="4"/>
  <c r="AH989" i="4"/>
  <c r="AN989" i="4" s="1"/>
  <c r="Q977" i="4"/>
  <c r="Q983" i="4"/>
  <c r="AF984" i="4"/>
  <c r="AL976" i="4"/>
  <c r="Q978" i="4"/>
  <c r="AL978" i="4"/>
  <c r="AV981" i="4"/>
  <c r="AL977" i="4"/>
  <c r="Q982" i="4"/>
  <c r="AL982" i="4"/>
  <c r="AH984" i="4"/>
  <c r="AN984" i="4" s="1"/>
  <c r="P978" i="4"/>
  <c r="P983" i="4"/>
  <c r="AH979" i="4"/>
  <c r="AN979" i="4" s="1"/>
  <c r="AV979" i="4"/>
  <c r="R981" i="4"/>
  <c r="P981" i="4"/>
  <c r="AV982" i="4"/>
  <c r="AL979" i="4"/>
  <c r="Q979" i="4"/>
  <c r="AL981" i="4"/>
  <c r="AF983" i="4"/>
  <c r="AF976" i="4"/>
  <c r="AH978" i="4"/>
  <c r="AN978" i="4" s="1"/>
  <c r="AV978" i="4"/>
  <c r="P979" i="4"/>
  <c r="AF981" i="4"/>
  <c r="AH976" i="4"/>
  <c r="AN976" i="4" s="1"/>
  <c r="AV976" i="4"/>
  <c r="AF977" i="4"/>
  <c r="AF982" i="4"/>
  <c r="AH983" i="4"/>
  <c r="AN983" i="4" s="1"/>
  <c r="AV983" i="4"/>
  <c r="F808" i="1"/>
  <c r="F818" i="1"/>
  <c r="F816" i="1"/>
  <c r="Q1018" i="4" l="1"/>
  <c r="R1018" i="4" s="1"/>
  <c r="O1393" i="13"/>
  <c r="R978" i="4"/>
  <c r="G835" i="1"/>
  <c r="H835" i="1" s="1"/>
  <c r="R1008" i="4"/>
  <c r="G848" i="1"/>
  <c r="H848" i="1" s="1"/>
  <c r="R979" i="4"/>
  <c r="G836" i="1"/>
  <c r="H836" i="1" s="1"/>
  <c r="R983" i="4"/>
  <c r="G147" i="1"/>
  <c r="H147" i="1" s="1"/>
  <c r="R1006" i="4"/>
  <c r="E1350" i="13"/>
  <c r="Q1350" i="13" s="1"/>
  <c r="R1350" i="13" s="1"/>
  <c r="E1403" i="13"/>
  <c r="Q1403" i="13" s="1"/>
  <c r="R1403" i="13" s="1"/>
  <c r="E1396" i="13"/>
  <c r="Q1396" i="13" s="1"/>
  <c r="E1395" i="13"/>
  <c r="Q1395" i="13" s="1"/>
  <c r="E1347" i="13"/>
  <c r="E1346" i="13"/>
  <c r="Q1346" i="13" s="1"/>
  <c r="G922" i="1" s="1"/>
  <c r="H922" i="1" s="1"/>
  <c r="Q1029" i="4"/>
  <c r="Q1028" i="4"/>
  <c r="Q1027" i="4"/>
  <c r="E1473" i="13" s="1"/>
  <c r="Q1473" i="13" s="1"/>
  <c r="R1473" i="13" s="1"/>
  <c r="Q1026" i="4"/>
  <c r="E1401" i="13"/>
  <c r="Q1401" i="13" s="1"/>
  <c r="E1400" i="13"/>
  <c r="Q1400" i="13" s="1"/>
  <c r="E1398" i="13"/>
  <c r="Q1398" i="13" s="1"/>
  <c r="E1393" i="13"/>
  <c r="Q1393" i="13" s="1"/>
  <c r="G1921" i="1"/>
  <c r="E1399" i="13"/>
  <c r="Q1399" i="13" s="1"/>
  <c r="P1023" i="4"/>
  <c r="E1349" i="13"/>
  <c r="Q1349" i="13" s="1"/>
  <c r="E1352" i="13"/>
  <c r="Q1352" i="13" s="1"/>
  <c r="Q1394" i="13"/>
  <c r="E1424" i="13"/>
  <c r="Q1424" i="13" s="1"/>
  <c r="R1424" i="13" s="1"/>
  <c r="E1421" i="13"/>
  <c r="Q1421" i="13" s="1"/>
  <c r="E1425" i="13"/>
  <c r="Q1425" i="13" s="1"/>
  <c r="R1425" i="13" s="1"/>
  <c r="E1423" i="13"/>
  <c r="Q1423" i="13" s="1"/>
  <c r="R1423" i="13" s="1"/>
  <c r="E1426" i="13"/>
  <c r="Q1426" i="13" s="1"/>
  <c r="R1426" i="13" s="1"/>
  <c r="E1422" i="13"/>
  <c r="Q1422" i="13" s="1"/>
  <c r="G1923" i="1"/>
  <c r="E1417" i="13"/>
  <c r="Q1417" i="13" s="1"/>
  <c r="R1417" i="13" s="1"/>
  <c r="E1419" i="13"/>
  <c r="Q1419" i="13" s="1"/>
  <c r="E1418" i="13"/>
  <c r="Q1418" i="13" s="1"/>
  <c r="E1416" i="13"/>
  <c r="Q1416" i="13" s="1"/>
  <c r="R1416" i="13" s="1"/>
  <c r="G1922" i="1"/>
  <c r="E1420" i="13"/>
  <c r="Q1420" i="13" s="1"/>
  <c r="E1415" i="13"/>
  <c r="Q1415" i="13" s="1"/>
  <c r="E1414" i="13"/>
  <c r="Q1414" i="13" s="1"/>
  <c r="E1351" i="13"/>
  <c r="Q1351" i="13" s="1"/>
  <c r="E1353" i="13"/>
  <c r="Q1353" i="13" s="1"/>
  <c r="R1353" i="13" s="1"/>
  <c r="E1348" i="13"/>
  <c r="Q1348" i="13" s="1"/>
  <c r="Q1388" i="13"/>
  <c r="Q1386" i="13"/>
  <c r="R1386" i="13" s="1"/>
  <c r="Q1389" i="13"/>
  <c r="Q1383" i="13"/>
  <c r="E1390" i="13"/>
  <c r="Q1390" i="13" s="1"/>
  <c r="Q1387" i="13"/>
  <c r="E1392" i="13"/>
  <c r="Q1392" i="13" s="1"/>
  <c r="R1392" i="13" s="1"/>
  <c r="E1391" i="13"/>
  <c r="Q1391" i="13" s="1"/>
  <c r="R1391" i="13" s="1"/>
  <c r="Q1384" i="13"/>
  <c r="Q1382" i="13"/>
  <c r="G1920" i="1"/>
  <c r="Q1385" i="13"/>
  <c r="E1362" i="13"/>
  <c r="Q1362" i="13" s="1"/>
  <c r="R1362" i="13" s="1"/>
  <c r="E1360" i="13"/>
  <c r="Q1360" i="13" s="1"/>
  <c r="R1360" i="13" s="1"/>
  <c r="E1361" i="13"/>
  <c r="Q1361" i="13" s="1"/>
  <c r="G1919" i="1"/>
  <c r="E1355" i="13"/>
  <c r="Q1355" i="13" s="1"/>
  <c r="E1359" i="13"/>
  <c r="Q1359" i="13" s="1"/>
  <c r="E1358" i="13"/>
  <c r="Q1358" i="13" s="1"/>
  <c r="G842" i="1" s="1"/>
  <c r="H842" i="1" s="1"/>
  <c r="E1357" i="13"/>
  <c r="Q1357" i="13" s="1"/>
  <c r="E1356" i="13"/>
  <c r="Q1356" i="13" s="1"/>
  <c r="E1354" i="13"/>
  <c r="Q1354" i="13" s="1"/>
  <c r="E1345" i="13"/>
  <c r="Q1345" i="13" s="1"/>
  <c r="E1342" i="13"/>
  <c r="Q1342" i="13" s="1"/>
  <c r="Q1347" i="13"/>
  <c r="R1347" i="13" s="1"/>
  <c r="E1343" i="13"/>
  <c r="Q1343" i="13" s="1"/>
  <c r="E1344" i="13"/>
  <c r="Q1344" i="13" s="1"/>
  <c r="E1341" i="13"/>
  <c r="Q1341" i="13" s="1"/>
  <c r="O1018" i="13"/>
  <c r="R1396" i="13" l="1"/>
  <c r="G847" i="1"/>
  <c r="H847" i="1" s="1"/>
  <c r="R1384" i="13"/>
  <c r="G327" i="1"/>
  <c r="H327" i="1" s="1"/>
  <c r="R1352" i="13"/>
  <c r="G840" i="1"/>
  <c r="H840" i="1" s="1"/>
  <c r="R1385" i="13"/>
  <c r="G845" i="1"/>
  <c r="H845" i="1" s="1"/>
  <c r="R1344" i="13"/>
  <c r="G326" i="1"/>
  <c r="H326" i="1" s="1"/>
  <c r="R1345" i="13"/>
  <c r="G839" i="1"/>
  <c r="H839" i="1" s="1"/>
  <c r="R1343" i="13"/>
  <c r="G838" i="1"/>
  <c r="H838" i="1" s="1"/>
  <c r="R1359" i="13"/>
  <c r="G843" i="1"/>
  <c r="H843" i="1" s="1"/>
  <c r="R1351" i="13"/>
  <c r="G841" i="1"/>
  <c r="H841" i="1" s="1"/>
  <c r="R1395" i="13"/>
  <c r="G923" i="1"/>
  <c r="H923" i="1" s="1"/>
  <c r="R1346" i="13"/>
  <c r="G1930" i="1"/>
  <c r="E1489" i="13"/>
  <c r="Q1489" i="13" s="1"/>
  <c r="G880" i="1" s="1"/>
  <c r="H880" i="1" s="1"/>
  <c r="E1486" i="13"/>
  <c r="Q1486" i="13" s="1"/>
  <c r="G908" i="1" s="1"/>
  <c r="H908" i="1" s="1"/>
  <c r="E1487" i="13"/>
  <c r="Q1487" i="13" s="1"/>
  <c r="G909" i="1" s="1"/>
  <c r="H909" i="1" s="1"/>
  <c r="E1488" i="13"/>
  <c r="Q1488" i="13" s="1"/>
  <c r="G910" i="1" s="1"/>
  <c r="H910" i="1" s="1"/>
  <c r="E1464" i="13"/>
  <c r="Q1464" i="13" s="1"/>
  <c r="E1460" i="13"/>
  <c r="Q1460" i="13" s="1"/>
  <c r="E1465" i="13"/>
  <c r="Q1465" i="13" s="1"/>
  <c r="E1461" i="13"/>
  <c r="Q1461" i="13" s="1"/>
  <c r="E1462" i="13"/>
  <c r="Q1462" i="13" s="1"/>
  <c r="G874" i="1" s="1"/>
  <c r="H874" i="1" s="1"/>
  <c r="E1463" i="13"/>
  <c r="Q1463" i="13" s="1"/>
  <c r="G875" i="1" s="1"/>
  <c r="H875" i="1" s="1"/>
  <c r="E1459" i="13"/>
  <c r="Q1459" i="13" s="1"/>
  <c r="G1927" i="1"/>
  <c r="E1498" i="13"/>
  <c r="Q1498" i="13" s="1"/>
  <c r="G1931" i="1"/>
  <c r="E1499" i="13"/>
  <c r="Q1499" i="13" s="1"/>
  <c r="G916" i="1" s="1"/>
  <c r="H916" i="1" s="1"/>
  <c r="E1497" i="13"/>
  <c r="Q1497" i="13" s="1"/>
  <c r="E1478" i="13"/>
  <c r="Q1478" i="13" s="1"/>
  <c r="E1479" i="13"/>
  <c r="Q1479" i="13" s="1"/>
  <c r="R1479" i="13" s="1"/>
  <c r="E1475" i="13"/>
  <c r="Q1475" i="13" s="1"/>
  <c r="E1474" i="13"/>
  <c r="Q1474" i="13" s="1"/>
  <c r="G1929" i="1"/>
  <c r="E1480" i="13"/>
  <c r="Q1480" i="13" s="1"/>
  <c r="R1480" i="13" s="1"/>
  <c r="E1476" i="13"/>
  <c r="Q1476" i="13" s="1"/>
  <c r="G872" i="1" s="1"/>
  <c r="H872" i="1" s="1"/>
  <c r="E1477" i="13"/>
  <c r="Q1477" i="13" s="1"/>
  <c r="G873" i="1" s="1"/>
  <c r="H873" i="1" s="1"/>
  <c r="E1471" i="13"/>
  <c r="Q1471" i="13" s="1"/>
  <c r="R1471" i="13" s="1"/>
  <c r="E1467" i="13"/>
  <c r="Q1467" i="13" s="1"/>
  <c r="E1470" i="13"/>
  <c r="Q1470" i="13" s="1"/>
  <c r="R1470" i="13" s="1"/>
  <c r="G1928" i="1"/>
  <c r="E1469" i="13"/>
  <c r="Q1469" i="13" s="1"/>
  <c r="R1469" i="13" s="1"/>
  <c r="E1466" i="13"/>
  <c r="Q1466" i="13" s="1"/>
  <c r="E1472" i="13"/>
  <c r="Q1472" i="13" s="1"/>
  <c r="E1468" i="13"/>
  <c r="Q1468" i="13" s="1"/>
  <c r="R1468" i="13" s="1"/>
  <c r="E1490" i="13"/>
  <c r="Q1490" i="13" s="1"/>
  <c r="E1484" i="13"/>
  <c r="Q1484" i="13" s="1"/>
  <c r="G905" i="1" s="1"/>
  <c r="H905" i="1" s="1"/>
  <c r="E1482" i="13"/>
  <c r="Q1482" i="13" s="1"/>
  <c r="E1485" i="13"/>
  <c r="Q1485" i="13" s="1"/>
  <c r="G907" i="1" s="1"/>
  <c r="H907" i="1" s="1"/>
  <c r="E1483" i="13"/>
  <c r="Q1483" i="13" s="1"/>
  <c r="G906" i="1" s="1"/>
  <c r="H906" i="1" s="1"/>
  <c r="E1481" i="13"/>
  <c r="Q1481" i="13" s="1"/>
  <c r="F1187" i="1"/>
  <c r="G871" i="1" l="1"/>
  <c r="H871" i="1" s="1"/>
  <c r="G876" i="1"/>
  <c r="H876" i="1" s="1"/>
  <c r="R1499" i="13"/>
  <c r="R1488" i="13"/>
  <c r="R1487" i="13"/>
  <c r="R1486" i="13"/>
  <c r="R1490" i="13"/>
  <c r="R1483" i="13"/>
  <c r="R1485" i="13"/>
  <c r="R1484" i="13"/>
  <c r="R1489" i="13"/>
  <c r="R1476" i="13"/>
  <c r="R1477" i="13"/>
  <c r="E488" i="6"/>
  <c r="Q488" i="6" s="1"/>
  <c r="R488" i="6" s="1"/>
  <c r="E487" i="6"/>
  <c r="Q487" i="6" s="1"/>
  <c r="E486" i="6"/>
  <c r="Q486" i="6" s="1"/>
  <c r="G1933" i="1"/>
  <c r="G1932" i="1"/>
  <c r="E483" i="6"/>
  <c r="Q483" i="6" s="1"/>
  <c r="E485" i="6"/>
  <c r="Q485" i="6" s="1"/>
  <c r="R485" i="6" s="1"/>
  <c r="E484" i="6"/>
  <c r="Q484" i="6" s="1"/>
  <c r="R1463" i="13"/>
  <c r="R1462" i="13"/>
  <c r="R1461" i="13"/>
  <c r="R1464" i="13"/>
  <c r="F807" i="1"/>
  <c r="F802" i="1"/>
  <c r="L595" i="4"/>
  <c r="L657" i="4"/>
  <c r="L658" i="4"/>
  <c r="L590" i="4"/>
  <c r="P658" i="4" l="1"/>
  <c r="R658" i="4"/>
  <c r="P657" i="4"/>
  <c r="R657" i="4"/>
  <c r="R595" i="4"/>
  <c r="P595" i="4"/>
  <c r="P590" i="4"/>
  <c r="R590" i="4"/>
  <c r="L984" i="4"/>
  <c r="P984" i="4" s="1"/>
  <c r="L592" i="4"/>
  <c r="F350" i="1"/>
  <c r="L1420" i="13"/>
  <c r="L1419" i="13"/>
  <c r="F346" i="1"/>
  <c r="L982" i="4"/>
  <c r="N579" i="4"/>
  <c r="O579" i="4" s="1"/>
  <c r="N575" i="4"/>
  <c r="O575" i="4" s="1"/>
  <c r="AK579" i="4"/>
  <c r="AI579" i="4"/>
  <c r="AG579" i="4"/>
  <c r="AE579" i="4"/>
  <c r="AD579" i="4"/>
  <c r="AC579" i="4"/>
  <c r="AB579" i="4"/>
  <c r="AA579" i="4"/>
  <c r="Z579" i="4"/>
  <c r="K579" i="4"/>
  <c r="J579" i="4"/>
  <c r="H579" i="4"/>
  <c r="E579" i="4"/>
  <c r="AK578" i="4"/>
  <c r="AI578" i="4"/>
  <c r="AG578" i="4"/>
  <c r="AE578" i="4"/>
  <c r="AD578" i="4"/>
  <c r="AC578" i="4"/>
  <c r="AB578" i="4"/>
  <c r="AA578" i="4"/>
  <c r="Z578" i="4"/>
  <c r="O578" i="4"/>
  <c r="L578" i="4"/>
  <c r="K578" i="4"/>
  <c r="J578" i="4"/>
  <c r="H578" i="4"/>
  <c r="E578" i="4"/>
  <c r="AK577" i="4"/>
  <c r="AI577" i="4"/>
  <c r="AG577" i="4"/>
  <c r="AE577" i="4"/>
  <c r="AD577" i="4"/>
  <c r="AC577" i="4"/>
  <c r="AB577" i="4"/>
  <c r="AA577" i="4"/>
  <c r="Z577" i="4"/>
  <c r="O577" i="4"/>
  <c r="K577" i="4"/>
  <c r="J577" i="4"/>
  <c r="H577" i="4"/>
  <c r="AV577" i="4" s="1"/>
  <c r="E577" i="4"/>
  <c r="Q577" i="4" s="1"/>
  <c r="AM576" i="4"/>
  <c r="AM577" i="4" s="1"/>
  <c r="AM578" i="4" s="1"/>
  <c r="AM579" i="4" s="1"/>
  <c r="AK576" i="4"/>
  <c r="AI576" i="4"/>
  <c r="AG576" i="4"/>
  <c r="AE576" i="4"/>
  <c r="AD576" i="4"/>
  <c r="AC576" i="4"/>
  <c r="AB576" i="4"/>
  <c r="AA576" i="4"/>
  <c r="Z576" i="4"/>
  <c r="O576" i="4"/>
  <c r="K576" i="4"/>
  <c r="J576" i="4"/>
  <c r="H576" i="4"/>
  <c r="AF576" i="4" s="1"/>
  <c r="E576" i="4"/>
  <c r="AK575" i="4"/>
  <c r="AI575" i="4"/>
  <c r="AG575" i="4"/>
  <c r="AE575" i="4"/>
  <c r="AD575" i="4"/>
  <c r="AC575" i="4"/>
  <c r="AB575" i="4"/>
  <c r="AA575" i="4"/>
  <c r="Z575" i="4"/>
  <c r="K575" i="4"/>
  <c r="J575" i="4"/>
  <c r="H575" i="4"/>
  <c r="E575" i="4"/>
  <c r="AK574" i="4"/>
  <c r="AI574" i="4"/>
  <c r="AG574" i="4"/>
  <c r="AE574" i="4"/>
  <c r="AD574" i="4"/>
  <c r="AC574" i="4"/>
  <c r="AB574" i="4"/>
  <c r="AA574" i="4"/>
  <c r="Z574" i="4"/>
  <c r="O574" i="4"/>
  <c r="L574" i="4"/>
  <c r="K574" i="4"/>
  <c r="J574" i="4"/>
  <c r="H574" i="4"/>
  <c r="AH574" i="4" s="1"/>
  <c r="AN574" i="4" s="1"/>
  <c r="E574" i="4"/>
  <c r="AK573" i="4"/>
  <c r="AI573" i="4"/>
  <c r="AG573" i="4"/>
  <c r="AE573" i="4"/>
  <c r="AD573" i="4"/>
  <c r="AC573" i="4"/>
  <c r="AB573" i="4"/>
  <c r="AA573" i="4"/>
  <c r="Z573" i="4"/>
  <c r="O573" i="4"/>
  <c r="K573" i="4"/>
  <c r="J573" i="4"/>
  <c r="H573" i="4"/>
  <c r="E573" i="4"/>
  <c r="AM572" i="4"/>
  <c r="AM573" i="4" s="1"/>
  <c r="AM574" i="4" s="1"/>
  <c r="AM575" i="4" s="1"/>
  <c r="AK572" i="4"/>
  <c r="AI572" i="4"/>
  <c r="AG572" i="4"/>
  <c r="AE572" i="4"/>
  <c r="AD572" i="4"/>
  <c r="AC572" i="4"/>
  <c r="AB572" i="4"/>
  <c r="AA572" i="4"/>
  <c r="Z572" i="4"/>
  <c r="O572" i="4"/>
  <c r="K572" i="4"/>
  <c r="J572" i="4"/>
  <c r="H572" i="4"/>
  <c r="AV572" i="4" s="1"/>
  <c r="E572" i="4"/>
  <c r="Q572" i="4" s="1"/>
  <c r="R984" i="4" l="1"/>
  <c r="P592" i="4"/>
  <c r="R592" i="4"/>
  <c r="P1420" i="13"/>
  <c r="R1420" i="13"/>
  <c r="P1419" i="13"/>
  <c r="R1419" i="13"/>
  <c r="L1390" i="13"/>
  <c r="R1390" i="13" s="1"/>
  <c r="L1401" i="13"/>
  <c r="L1389" i="13"/>
  <c r="P1389" i="13" s="1"/>
  <c r="L1400" i="13"/>
  <c r="P982" i="4"/>
  <c r="R982" i="4"/>
  <c r="Q579" i="4"/>
  <c r="Q574" i="4"/>
  <c r="G789" i="1" s="1"/>
  <c r="H789" i="1" s="1"/>
  <c r="P574" i="4"/>
  <c r="AL576" i="4"/>
  <c r="AH577" i="4"/>
  <c r="AN577" i="4" s="1"/>
  <c r="AL578" i="4"/>
  <c r="AL573" i="4"/>
  <c r="AL579" i="4"/>
  <c r="AL574" i="4"/>
  <c r="AL575" i="4"/>
  <c r="AL572" i="4"/>
  <c r="AL577" i="4"/>
  <c r="AH572" i="4"/>
  <c r="AN572" i="4" s="1"/>
  <c r="AV574" i="4"/>
  <c r="Q575" i="4"/>
  <c r="AV576" i="4"/>
  <c r="AH576" i="4"/>
  <c r="AN576" i="4" s="1"/>
  <c r="AF575" i="4"/>
  <c r="Q576" i="4"/>
  <c r="AV573" i="4"/>
  <c r="AH573" i="4"/>
  <c r="AN573" i="4" s="1"/>
  <c r="Q573" i="4"/>
  <c r="AF573" i="4"/>
  <c r="AV578" i="4"/>
  <c r="AH578" i="4"/>
  <c r="AN578" i="4" s="1"/>
  <c r="Q578" i="4"/>
  <c r="G788" i="1" s="1"/>
  <c r="H788" i="1" s="1"/>
  <c r="AF578" i="4"/>
  <c r="P578" i="4"/>
  <c r="AF577" i="4"/>
  <c r="AF572" i="4"/>
  <c r="AF574" i="4"/>
  <c r="AF579" i="4"/>
  <c r="R1389" i="13" l="1"/>
  <c r="P1390" i="13"/>
  <c r="P1400" i="13"/>
  <c r="R1400" i="13"/>
  <c r="P1401" i="13"/>
  <c r="R1401" i="13"/>
  <c r="R574" i="4"/>
  <c r="R578" i="4"/>
  <c r="F11" i="17422"/>
  <c r="AE22" i="17422" l="1"/>
  <c r="AF22" i="17422" s="1"/>
  <c r="AG22" i="17422" s="1"/>
  <c r="AH22" i="17422" s="1"/>
  <c r="AI22" i="17422" s="1"/>
  <c r="AJ22" i="17422" s="1"/>
  <c r="AK22" i="17422" s="1"/>
  <c r="AL22" i="17422" s="1"/>
  <c r="AM22" i="17422" s="1"/>
  <c r="AN22" i="17422" s="1"/>
  <c r="AO22" i="17422" s="1"/>
  <c r="AP22" i="17422" s="1"/>
  <c r="G22" i="17422"/>
  <c r="H22" i="17422" s="1"/>
  <c r="I22" i="17422" s="1"/>
  <c r="J22" i="17422" s="1"/>
  <c r="K22" i="17422" s="1"/>
  <c r="L22" i="17422" s="1"/>
  <c r="M22" i="17422" s="1"/>
  <c r="N22" i="17422" s="1"/>
  <c r="O22" i="17422" s="1"/>
  <c r="P22" i="17422" s="1"/>
  <c r="Q22" i="17422" s="1"/>
  <c r="R22" i="17422" s="1"/>
  <c r="S22" i="17422" s="1"/>
  <c r="T22" i="17422" s="1"/>
  <c r="U22" i="17422" s="1"/>
  <c r="V22" i="17422" s="1"/>
  <c r="W22" i="17422" s="1"/>
  <c r="X22" i="17422" s="1"/>
  <c r="Y22" i="17422" s="1"/>
  <c r="Z22" i="17422" s="1"/>
  <c r="AA22" i="17422" s="1"/>
  <c r="AB22" i="17422" s="1"/>
  <c r="AC22" i="17422" s="1"/>
  <c r="E16" i="17422"/>
  <c r="D16" i="17422"/>
  <c r="C16" i="17422"/>
  <c r="B16" i="17422"/>
  <c r="E15" i="17422"/>
  <c r="D15" i="17422"/>
  <c r="C15" i="17422"/>
  <c r="B15" i="17422"/>
  <c r="E14" i="17422"/>
  <c r="D14" i="17422"/>
  <c r="C14" i="17422"/>
  <c r="B14" i="17422"/>
  <c r="E13" i="17422"/>
  <c r="D13" i="17422"/>
  <c r="C13" i="17422"/>
  <c r="B13" i="17422"/>
  <c r="E12" i="17422"/>
  <c r="D12" i="17422"/>
  <c r="C12" i="17422"/>
  <c r="B12" i="17422"/>
  <c r="E11" i="17422"/>
  <c r="D11" i="17422"/>
  <c r="C11" i="17422"/>
  <c r="B11" i="17422"/>
  <c r="E10" i="17422"/>
  <c r="D10" i="17422"/>
  <c r="B10" i="17422"/>
  <c r="E9" i="17422"/>
  <c r="D9" i="17422"/>
  <c r="B9" i="17422"/>
  <c r="B8" i="17422"/>
  <c r="E7" i="17422"/>
  <c r="D7" i="17422"/>
  <c r="C7" i="17422"/>
  <c r="B7" i="17422"/>
  <c r="E6" i="17422"/>
  <c r="D6" i="17422"/>
  <c r="C6" i="17422"/>
  <c r="B6" i="17422"/>
  <c r="E5" i="17422"/>
  <c r="B5" i="17422"/>
  <c r="E4" i="17422"/>
  <c r="D4" i="17422"/>
  <c r="C4" i="17422"/>
  <c r="B4" i="17422"/>
  <c r="E3" i="17422"/>
  <c r="D3" i="17422"/>
  <c r="C3" i="17422"/>
  <c r="B3" i="17422"/>
  <c r="F1225" i="1" l="1"/>
  <c r="F1224" i="1"/>
  <c r="F1223" i="1"/>
  <c r="F1222" i="1"/>
  <c r="F1221" i="1"/>
  <c r="F1220" i="1"/>
  <c r="F1219" i="1"/>
  <c r="F1218" i="1"/>
  <c r="F1217" i="1"/>
  <c r="L834" i="4" s="1"/>
  <c r="F1216" i="1"/>
  <c r="L833" i="4" s="1"/>
  <c r="F1215" i="1"/>
  <c r="F1214" i="1"/>
  <c r="F1213" i="1"/>
  <c r="L830" i="4" s="1"/>
  <c r="F1212" i="1"/>
  <c r="L829" i="4" s="1"/>
  <c r="F1211" i="1"/>
  <c r="L828" i="4" s="1"/>
  <c r="F1210" i="1"/>
  <c r="L827" i="4" s="1"/>
  <c r="F1209" i="1"/>
  <c r="O834" i="4"/>
  <c r="O833" i="4"/>
  <c r="O832" i="4"/>
  <c r="O831" i="4"/>
  <c r="O830" i="4"/>
  <c r="O829" i="4"/>
  <c r="O828" i="4"/>
  <c r="O827" i="4"/>
  <c r="O826" i="4"/>
  <c r="L832" i="4"/>
  <c r="AK834" i="4"/>
  <c r="AI834" i="4"/>
  <c r="AG834" i="4"/>
  <c r="AE834" i="4"/>
  <c r="AD834" i="4"/>
  <c r="AC834" i="4"/>
  <c r="AB834" i="4"/>
  <c r="AA834" i="4"/>
  <c r="Z834" i="4"/>
  <c r="K834" i="4"/>
  <c r="J834" i="4"/>
  <c r="H834" i="4"/>
  <c r="AF834" i="4" s="1"/>
  <c r="E834" i="4"/>
  <c r="AK833" i="4"/>
  <c r="AI833" i="4"/>
  <c r="AG833" i="4"/>
  <c r="AE833" i="4"/>
  <c r="AD833" i="4"/>
  <c r="AC833" i="4"/>
  <c r="AB833" i="4"/>
  <c r="AA833" i="4"/>
  <c r="Z833" i="4"/>
  <c r="K833" i="4"/>
  <c r="J833" i="4"/>
  <c r="H833" i="4"/>
  <c r="AH833" i="4" s="1"/>
  <c r="AN833" i="4" s="1"/>
  <c r="E833" i="4"/>
  <c r="Q833" i="4" s="1"/>
  <c r="G1216" i="1" s="1"/>
  <c r="AK832" i="4"/>
  <c r="AI832" i="4"/>
  <c r="AG832" i="4"/>
  <c r="AE832" i="4"/>
  <c r="AD832" i="4"/>
  <c r="AC832" i="4"/>
  <c r="AB832" i="4"/>
  <c r="AA832" i="4"/>
  <c r="Z832" i="4"/>
  <c r="K832" i="4"/>
  <c r="J832" i="4"/>
  <c r="H832" i="4"/>
  <c r="AF832" i="4" s="1"/>
  <c r="E832" i="4"/>
  <c r="AK831" i="4"/>
  <c r="AI831" i="4"/>
  <c r="AG831" i="4"/>
  <c r="AE831" i="4"/>
  <c r="AD831" i="4"/>
  <c r="AC831" i="4"/>
  <c r="AB831" i="4"/>
  <c r="AA831" i="4"/>
  <c r="Z831" i="4"/>
  <c r="L831" i="4"/>
  <c r="K831" i="4"/>
  <c r="J831" i="4"/>
  <c r="H831" i="4"/>
  <c r="AH831" i="4" s="1"/>
  <c r="AN831" i="4" s="1"/>
  <c r="E831" i="4"/>
  <c r="AK830" i="4"/>
  <c r="AI830" i="4"/>
  <c r="AG830" i="4"/>
  <c r="AE830" i="4"/>
  <c r="AD830" i="4"/>
  <c r="AC830" i="4"/>
  <c r="AB830" i="4"/>
  <c r="AA830" i="4"/>
  <c r="Z830" i="4"/>
  <c r="K830" i="4"/>
  <c r="J830" i="4"/>
  <c r="H830" i="4"/>
  <c r="E830" i="4"/>
  <c r="AK829" i="4"/>
  <c r="AI829" i="4"/>
  <c r="AG829" i="4"/>
  <c r="AE829" i="4"/>
  <c r="AD829" i="4"/>
  <c r="AC829" i="4"/>
  <c r="AB829" i="4"/>
  <c r="AA829" i="4"/>
  <c r="Z829" i="4"/>
  <c r="K829" i="4"/>
  <c r="J829" i="4"/>
  <c r="H829" i="4"/>
  <c r="AH829" i="4" s="1"/>
  <c r="AN829" i="4" s="1"/>
  <c r="E829" i="4"/>
  <c r="Q829" i="4" s="1"/>
  <c r="G1212" i="1" s="1"/>
  <c r="H1212" i="1" s="1"/>
  <c r="AK828" i="4"/>
  <c r="AI828" i="4"/>
  <c r="AG828" i="4"/>
  <c r="AE828" i="4"/>
  <c r="AD828" i="4"/>
  <c r="AC828" i="4"/>
  <c r="AB828" i="4"/>
  <c r="AA828" i="4"/>
  <c r="Z828" i="4"/>
  <c r="K828" i="4"/>
  <c r="J828" i="4"/>
  <c r="H828" i="4"/>
  <c r="E828" i="4"/>
  <c r="AK827" i="4"/>
  <c r="AI827" i="4"/>
  <c r="AG827" i="4"/>
  <c r="AE827" i="4"/>
  <c r="AD827" i="4"/>
  <c r="AC827" i="4"/>
  <c r="AB827" i="4"/>
  <c r="AA827" i="4"/>
  <c r="Z827" i="4"/>
  <c r="K827" i="4"/>
  <c r="J827" i="4"/>
  <c r="H827" i="4"/>
  <c r="AH827" i="4" s="1"/>
  <c r="AN827" i="4" s="1"/>
  <c r="E827" i="4"/>
  <c r="Q827" i="4" l="1"/>
  <c r="G1210" i="1" s="1"/>
  <c r="H1210" i="1" s="1"/>
  <c r="P827" i="4"/>
  <c r="AL832" i="4"/>
  <c r="P829" i="4"/>
  <c r="P833" i="4"/>
  <c r="AL830" i="4"/>
  <c r="AL831" i="4"/>
  <c r="H1216" i="1"/>
  <c r="AV827" i="4"/>
  <c r="AL829" i="4"/>
  <c r="AL834" i="4"/>
  <c r="AL827" i="4"/>
  <c r="Q828" i="4"/>
  <c r="G1211" i="1" s="1"/>
  <c r="H1211" i="1" s="1"/>
  <c r="AL828" i="4"/>
  <c r="AL833" i="4"/>
  <c r="Q831" i="4"/>
  <c r="G1214" i="1" s="1"/>
  <c r="H1214" i="1" s="1"/>
  <c r="P831" i="4"/>
  <c r="R829" i="4"/>
  <c r="R833" i="4"/>
  <c r="AV833" i="4"/>
  <c r="AV829" i="4"/>
  <c r="AV831" i="4"/>
  <c r="AV832" i="4"/>
  <c r="AH832" i="4"/>
  <c r="AN832" i="4" s="1"/>
  <c r="Q832" i="4"/>
  <c r="P832" i="4"/>
  <c r="AV830" i="4"/>
  <c r="AH830" i="4"/>
  <c r="AN830" i="4" s="1"/>
  <c r="Q830" i="4"/>
  <c r="P830" i="4"/>
  <c r="AV828" i="4"/>
  <c r="AH828" i="4"/>
  <c r="AN828" i="4" s="1"/>
  <c r="P828" i="4"/>
  <c r="AF828" i="4"/>
  <c r="AV834" i="4"/>
  <c r="AH834" i="4"/>
  <c r="AN834" i="4" s="1"/>
  <c r="Q834" i="4"/>
  <c r="P834" i="4"/>
  <c r="AF830" i="4"/>
  <c r="AF827" i="4"/>
  <c r="AF829" i="4"/>
  <c r="AF831" i="4"/>
  <c r="AF833" i="4"/>
  <c r="R827" i="4" l="1"/>
  <c r="R828" i="4"/>
  <c r="R831" i="4"/>
  <c r="R834" i="4"/>
  <c r="G1217" i="1"/>
  <c r="H1217" i="1" s="1"/>
  <c r="R830" i="4"/>
  <c r="G1213" i="1"/>
  <c r="H1213" i="1" s="1"/>
  <c r="R832" i="4"/>
  <c r="G1215" i="1"/>
  <c r="H1215" i="1" s="1"/>
  <c r="F434" i="1"/>
  <c r="O774" i="4" l="1"/>
  <c r="M943" i="13" l="1"/>
  <c r="O869" i="13"/>
  <c r="O1285" i="13"/>
  <c r="O399" i="4"/>
  <c r="O1017" i="13"/>
  <c r="N855" i="4"/>
  <c r="O855" i="4" s="1"/>
  <c r="AM855" i="4"/>
  <c r="AK855" i="4"/>
  <c r="AI855" i="4"/>
  <c r="AG855" i="4"/>
  <c r="AE855" i="4"/>
  <c r="AD855" i="4"/>
  <c r="AC855" i="4"/>
  <c r="AB855" i="4"/>
  <c r="AA855" i="4"/>
  <c r="Z855" i="4"/>
  <c r="L855" i="4"/>
  <c r="K855" i="4"/>
  <c r="J855" i="4"/>
  <c r="H855" i="4"/>
  <c r="AV855" i="4" s="1"/>
  <c r="E855" i="4"/>
  <c r="N859" i="4"/>
  <c r="AL855" i="4" l="1"/>
  <c r="Q855" i="4"/>
  <c r="R855" i="4" s="1"/>
  <c r="P855" i="4"/>
  <c r="AH855" i="4"/>
  <c r="AN855" i="4" s="1"/>
  <c r="AF855" i="4"/>
  <c r="AM859" i="4" l="1"/>
  <c r="AK859" i="4"/>
  <c r="AI859" i="4"/>
  <c r="AG859" i="4"/>
  <c r="AE859" i="4"/>
  <c r="AD859" i="4"/>
  <c r="AC859" i="4"/>
  <c r="AB859" i="4"/>
  <c r="AA859" i="4"/>
  <c r="Z859" i="4"/>
  <c r="O859" i="4"/>
  <c r="K859" i="4"/>
  <c r="J859" i="4"/>
  <c r="H859" i="4"/>
  <c r="E859" i="4"/>
  <c r="O867" i="4"/>
  <c r="O866" i="4"/>
  <c r="O865" i="4"/>
  <c r="AM867" i="4"/>
  <c r="AK867" i="4"/>
  <c r="AI867" i="4"/>
  <c r="AG867" i="4"/>
  <c r="AE867" i="4"/>
  <c r="AD867" i="4"/>
  <c r="AC867" i="4"/>
  <c r="AB867" i="4"/>
  <c r="AA867" i="4"/>
  <c r="Z867" i="4"/>
  <c r="K867" i="4"/>
  <c r="J867" i="4"/>
  <c r="H867" i="4"/>
  <c r="AV867" i="4" s="1"/>
  <c r="E867" i="4"/>
  <c r="Q867" i="4" s="1"/>
  <c r="AM866" i="4"/>
  <c r="AK866" i="4"/>
  <c r="AI866" i="4"/>
  <c r="AG866" i="4"/>
  <c r="AE866" i="4"/>
  <c r="AD866" i="4"/>
  <c r="AC866" i="4"/>
  <c r="AB866" i="4"/>
  <c r="AA866" i="4"/>
  <c r="Z866" i="4"/>
  <c r="K866" i="4"/>
  <c r="J866" i="4"/>
  <c r="H866" i="4"/>
  <c r="AV866" i="4" s="1"/>
  <c r="E866" i="4"/>
  <c r="O864" i="4"/>
  <c r="O863" i="4"/>
  <c r="O862" i="4"/>
  <c r="AK864" i="4"/>
  <c r="AI864" i="4"/>
  <c r="AG864" i="4"/>
  <c r="AE864" i="4"/>
  <c r="AD864" i="4"/>
  <c r="AC864" i="4"/>
  <c r="AB864" i="4"/>
  <c r="AA864" i="4"/>
  <c r="Z864" i="4"/>
  <c r="K864" i="4"/>
  <c r="J864" i="4"/>
  <c r="H864" i="4"/>
  <c r="AV864" i="4" s="1"/>
  <c r="E864" i="4"/>
  <c r="AM863" i="4"/>
  <c r="AK863" i="4"/>
  <c r="AI863" i="4"/>
  <c r="AG863" i="4"/>
  <c r="AE863" i="4"/>
  <c r="AD863" i="4"/>
  <c r="AC863" i="4"/>
  <c r="AB863" i="4"/>
  <c r="AA863" i="4"/>
  <c r="Z863" i="4"/>
  <c r="K863" i="4"/>
  <c r="J863" i="4"/>
  <c r="H863" i="4"/>
  <c r="AV863" i="4" s="1"/>
  <c r="E863" i="4"/>
  <c r="O861" i="4"/>
  <c r="O860" i="4"/>
  <c r="O857" i="4"/>
  <c r="O856" i="4"/>
  <c r="AM861" i="4"/>
  <c r="AK861" i="4"/>
  <c r="AI861" i="4"/>
  <c r="AG861" i="4"/>
  <c r="AE861" i="4"/>
  <c r="AD861" i="4"/>
  <c r="AC861" i="4"/>
  <c r="AB861" i="4"/>
  <c r="AA861" i="4"/>
  <c r="Z861" i="4"/>
  <c r="K861" i="4"/>
  <c r="J861" i="4"/>
  <c r="H861" i="4"/>
  <c r="AV861" i="4" s="1"/>
  <c r="E861" i="4"/>
  <c r="AM860" i="4"/>
  <c r="AK860" i="4"/>
  <c r="AI860" i="4"/>
  <c r="AG860" i="4"/>
  <c r="AE860" i="4"/>
  <c r="AD860" i="4"/>
  <c r="AC860" i="4"/>
  <c r="AB860" i="4"/>
  <c r="AA860" i="4"/>
  <c r="Z860" i="4"/>
  <c r="K860" i="4"/>
  <c r="J860" i="4"/>
  <c r="H860" i="4"/>
  <c r="AV860" i="4" s="1"/>
  <c r="E860" i="4"/>
  <c r="N1233" i="13"/>
  <c r="O1233" i="13" s="1"/>
  <c r="AM858" i="4"/>
  <c r="AK858" i="4"/>
  <c r="AI858" i="4"/>
  <c r="AG858" i="4"/>
  <c r="AE858" i="4"/>
  <c r="AD858" i="4"/>
  <c r="AC858" i="4"/>
  <c r="AB858" i="4"/>
  <c r="AA858" i="4"/>
  <c r="Z858" i="4"/>
  <c r="O858" i="4"/>
  <c r="K858" i="4"/>
  <c r="J858" i="4"/>
  <c r="H858" i="4"/>
  <c r="E858" i="4"/>
  <c r="AK857" i="4"/>
  <c r="AI857" i="4"/>
  <c r="AG857" i="4"/>
  <c r="AE857" i="4"/>
  <c r="AD857" i="4"/>
  <c r="AC857" i="4"/>
  <c r="AB857" i="4"/>
  <c r="AA857" i="4"/>
  <c r="Z857" i="4"/>
  <c r="K857" i="4"/>
  <c r="J857" i="4"/>
  <c r="H857" i="4"/>
  <c r="AV857" i="4" s="1"/>
  <c r="E857" i="4"/>
  <c r="AK856" i="4"/>
  <c r="AI856" i="4"/>
  <c r="AG856" i="4"/>
  <c r="AE856" i="4"/>
  <c r="AD856" i="4"/>
  <c r="AC856" i="4"/>
  <c r="AB856" i="4"/>
  <c r="AA856" i="4"/>
  <c r="Z856" i="4"/>
  <c r="K856" i="4"/>
  <c r="J856" i="4"/>
  <c r="H856" i="4"/>
  <c r="AH856" i="4" s="1"/>
  <c r="AN856" i="4" s="1"/>
  <c r="E856" i="4"/>
  <c r="Q860" i="4" l="1"/>
  <c r="AL866" i="4"/>
  <c r="AL867" i="4"/>
  <c r="AL859" i="4"/>
  <c r="Q859" i="4"/>
  <c r="AF859" i="4"/>
  <c r="AH859" i="4"/>
  <c r="AL863" i="4"/>
  <c r="Q866" i="4"/>
  <c r="AH866" i="4"/>
  <c r="AN866" i="4" s="1"/>
  <c r="AF867" i="4"/>
  <c r="AF866" i="4"/>
  <c r="AH867" i="4"/>
  <c r="AN867" i="4" s="1"/>
  <c r="AL864" i="4"/>
  <c r="Q856" i="4"/>
  <c r="Q863" i="4"/>
  <c r="Q864" i="4"/>
  <c r="AF863" i="4"/>
  <c r="AF864" i="4"/>
  <c r="AL861" i="4"/>
  <c r="AH863" i="4"/>
  <c r="AN863" i="4" s="1"/>
  <c r="AH864" i="4"/>
  <c r="AN864" i="4" s="1"/>
  <c r="AL860" i="4"/>
  <c r="Q861" i="4"/>
  <c r="AH861" i="4"/>
  <c r="AN861" i="4" s="1"/>
  <c r="AF860" i="4"/>
  <c r="AL856" i="4"/>
  <c r="AH860" i="4"/>
  <c r="AN860" i="4" s="1"/>
  <c r="AF861" i="4"/>
  <c r="Q857" i="4"/>
  <c r="AL858" i="4"/>
  <c r="AV856" i="4"/>
  <c r="AL857" i="4"/>
  <c r="Q858" i="4"/>
  <c r="AF857" i="4"/>
  <c r="AF858" i="4"/>
  <c r="AF856" i="4"/>
  <c r="AH857" i="4"/>
  <c r="AN857" i="4" s="1"/>
  <c r="L22" i="17418" l="1"/>
  <c r="L21" i="17418"/>
  <c r="H21" i="17418"/>
  <c r="G21" i="17418"/>
  <c r="O247" i="4"/>
  <c r="AK247" i="4"/>
  <c r="AI247" i="4"/>
  <c r="AG247" i="4"/>
  <c r="AE247" i="4"/>
  <c r="AD247" i="4"/>
  <c r="AC247" i="4"/>
  <c r="AB247" i="4"/>
  <c r="AA247" i="4"/>
  <c r="Z247" i="4"/>
  <c r="K247" i="4"/>
  <c r="J247" i="4"/>
  <c r="H247" i="4"/>
  <c r="AV247" i="4" s="1"/>
  <c r="J1634" i="1"/>
  <c r="I181" i="17412"/>
  <c r="H181" i="17412"/>
  <c r="F181" i="17412"/>
  <c r="Q21" i="17418" l="1"/>
  <c r="AL247" i="4"/>
  <c r="AF247" i="4"/>
  <c r="AH247" i="4"/>
  <c r="AN247" i="4" s="1"/>
  <c r="G181" i="17412"/>
  <c r="T181" i="17412" s="1"/>
  <c r="O235" i="4"/>
  <c r="AK235" i="4"/>
  <c r="AI235" i="4"/>
  <c r="AG235" i="4"/>
  <c r="AE235" i="4"/>
  <c r="AD235" i="4"/>
  <c r="AC235" i="4"/>
  <c r="AB235" i="4"/>
  <c r="AA235" i="4"/>
  <c r="Z235" i="4"/>
  <c r="L235" i="4"/>
  <c r="K235" i="4"/>
  <c r="J235" i="4"/>
  <c r="H235" i="4"/>
  <c r="AV235" i="4" s="1"/>
  <c r="O233" i="4"/>
  <c r="O232" i="4"/>
  <c r="O231" i="4"/>
  <c r="O230" i="4"/>
  <c r="O229" i="4"/>
  <c r="O228" i="4"/>
  <c r="O227" i="4"/>
  <c r="O226" i="4"/>
  <c r="O224" i="4"/>
  <c r="O492" i="4"/>
  <c r="AK492" i="4"/>
  <c r="AI492" i="4"/>
  <c r="AG492" i="4"/>
  <c r="AE492" i="4"/>
  <c r="AD492" i="4"/>
  <c r="AC492" i="4"/>
  <c r="AB492" i="4"/>
  <c r="AA492" i="4"/>
  <c r="Z492" i="4"/>
  <c r="L492" i="4"/>
  <c r="K492" i="4"/>
  <c r="J492" i="4"/>
  <c r="H492" i="4"/>
  <c r="AV492" i="4" s="1"/>
  <c r="E492" i="4"/>
  <c r="O211" i="4"/>
  <c r="O206" i="4"/>
  <c r="O202" i="4"/>
  <c r="L795" i="4"/>
  <c r="K795" i="4"/>
  <c r="J795" i="4"/>
  <c r="L794" i="4"/>
  <c r="K794" i="4"/>
  <c r="J794" i="4"/>
  <c r="L793" i="4"/>
  <c r="K793" i="4"/>
  <c r="J793" i="4"/>
  <c r="L792" i="4"/>
  <c r="K792" i="4"/>
  <c r="J792" i="4"/>
  <c r="L791" i="4"/>
  <c r="K791" i="4"/>
  <c r="J791" i="4"/>
  <c r="L790" i="4"/>
  <c r="K790" i="4"/>
  <c r="J790" i="4"/>
  <c r="L789" i="4"/>
  <c r="K789" i="4"/>
  <c r="J789" i="4"/>
  <c r="K788" i="4"/>
  <c r="J788" i="4"/>
  <c r="L787" i="4"/>
  <c r="K787" i="4"/>
  <c r="J787" i="4"/>
  <c r="E795" i="4"/>
  <c r="E794" i="4"/>
  <c r="E793" i="4"/>
  <c r="E792" i="4"/>
  <c r="E791" i="4"/>
  <c r="E790" i="4"/>
  <c r="E789" i="4"/>
  <c r="E788" i="4"/>
  <c r="E787" i="4"/>
  <c r="O406" i="4"/>
  <c r="O405" i="4"/>
  <c r="O404" i="4"/>
  <c r="O403" i="4"/>
  <c r="O402" i="4"/>
  <c r="O401" i="4"/>
  <c r="D181" i="17412" l="1"/>
  <c r="F1634" i="1" s="1"/>
  <c r="AL235" i="4"/>
  <c r="AH492" i="4"/>
  <c r="AN492" i="4" s="1"/>
  <c r="P235" i="4"/>
  <c r="AF235" i="4"/>
  <c r="AH235" i="4"/>
  <c r="AN235" i="4" s="1"/>
  <c r="AL492" i="4"/>
  <c r="P492" i="4"/>
  <c r="Q492" i="4"/>
  <c r="R492" i="4" s="1"/>
  <c r="AF492" i="4"/>
  <c r="O417" i="4"/>
  <c r="O419" i="4"/>
  <c r="O418" i="4"/>
  <c r="O422" i="4"/>
  <c r="O421" i="4"/>
  <c r="O420" i="4"/>
  <c r="O426" i="4"/>
  <c r="AK418" i="4"/>
  <c r="AI418" i="4"/>
  <c r="AG418" i="4"/>
  <c r="AE418" i="4"/>
  <c r="AD418" i="4"/>
  <c r="AC418" i="4"/>
  <c r="AB418" i="4"/>
  <c r="AA418" i="4"/>
  <c r="Z418" i="4"/>
  <c r="K418" i="4"/>
  <c r="J418" i="4"/>
  <c r="H418" i="4"/>
  <c r="AV418" i="4" s="1"/>
  <c r="E418" i="4"/>
  <c r="O491" i="4"/>
  <c r="N205" i="4"/>
  <c r="L863" i="4" l="1"/>
  <c r="P863" i="4" s="1"/>
  <c r="L866" i="4"/>
  <c r="L856" i="4"/>
  <c r="P856" i="4" s="1"/>
  <c r="L860" i="4"/>
  <c r="AL418" i="4"/>
  <c r="Q418" i="4"/>
  <c r="AH418" i="4"/>
  <c r="AN418" i="4" s="1"/>
  <c r="AF418" i="4"/>
  <c r="R863" i="4" l="1"/>
  <c r="P866" i="4"/>
  <c r="R866" i="4"/>
  <c r="R856" i="4"/>
  <c r="P860" i="4"/>
  <c r="R860" i="4"/>
  <c r="AM971" i="4"/>
  <c r="AK971" i="4"/>
  <c r="AI971" i="4"/>
  <c r="AG971" i="4"/>
  <c r="AE971" i="4"/>
  <c r="AD971" i="4"/>
  <c r="AC971" i="4"/>
  <c r="AB971" i="4"/>
  <c r="AA971" i="4"/>
  <c r="Z971" i="4"/>
  <c r="O971" i="4"/>
  <c r="L971" i="4"/>
  <c r="K971" i="4"/>
  <c r="J971" i="4"/>
  <c r="H971" i="4"/>
  <c r="AH971" i="4" s="1"/>
  <c r="AN971" i="4" s="1"/>
  <c r="E971" i="4"/>
  <c r="AM970" i="4"/>
  <c r="AK970" i="4"/>
  <c r="AI970" i="4"/>
  <c r="AG970" i="4"/>
  <c r="AE970" i="4"/>
  <c r="AD970" i="4"/>
  <c r="AC970" i="4"/>
  <c r="AB970" i="4"/>
  <c r="AA970" i="4"/>
  <c r="Z970" i="4"/>
  <c r="O970" i="4"/>
  <c r="L970" i="4"/>
  <c r="K970" i="4"/>
  <c r="J970" i="4"/>
  <c r="H970" i="4"/>
  <c r="AH970" i="4" s="1"/>
  <c r="AN970" i="4" s="1"/>
  <c r="E970" i="4"/>
  <c r="AM969" i="4"/>
  <c r="AK969" i="4"/>
  <c r="AI969" i="4"/>
  <c r="AG969" i="4"/>
  <c r="AE969" i="4"/>
  <c r="AD969" i="4"/>
  <c r="AC969" i="4"/>
  <c r="AB969" i="4"/>
  <c r="AA969" i="4"/>
  <c r="Z969" i="4"/>
  <c r="O969" i="4"/>
  <c r="L969" i="4"/>
  <c r="K969" i="4"/>
  <c r="J969" i="4"/>
  <c r="H969" i="4"/>
  <c r="AH969" i="4" s="1"/>
  <c r="AN969" i="4" s="1"/>
  <c r="E969" i="4"/>
  <c r="AM968" i="4"/>
  <c r="AK968" i="4"/>
  <c r="AI968" i="4"/>
  <c r="AG968" i="4"/>
  <c r="AE968" i="4"/>
  <c r="AD968" i="4"/>
  <c r="AC968" i="4"/>
  <c r="AB968" i="4"/>
  <c r="AA968" i="4"/>
  <c r="Z968" i="4"/>
  <c r="O968" i="4"/>
  <c r="L968" i="4"/>
  <c r="K968" i="4"/>
  <c r="J968" i="4"/>
  <c r="H968" i="4"/>
  <c r="AF968" i="4" s="1"/>
  <c r="E968" i="4"/>
  <c r="AM967" i="4"/>
  <c r="AK967" i="4"/>
  <c r="AI967" i="4"/>
  <c r="AG967" i="4"/>
  <c r="AE967" i="4"/>
  <c r="AD967" i="4"/>
  <c r="AC967" i="4"/>
  <c r="AB967" i="4"/>
  <c r="AA967" i="4"/>
  <c r="Z967" i="4"/>
  <c r="O967" i="4"/>
  <c r="L967" i="4"/>
  <c r="K967" i="4"/>
  <c r="J967" i="4"/>
  <c r="H967" i="4"/>
  <c r="AF967" i="4" s="1"/>
  <c r="E967" i="4"/>
  <c r="AM966" i="4"/>
  <c r="AK966" i="4"/>
  <c r="AI966" i="4"/>
  <c r="AG966" i="4"/>
  <c r="AE966" i="4"/>
  <c r="AD966" i="4"/>
  <c r="AC966" i="4"/>
  <c r="AB966" i="4"/>
  <c r="AA966" i="4"/>
  <c r="Z966" i="4"/>
  <c r="O966" i="4"/>
  <c r="L966" i="4"/>
  <c r="K966" i="4"/>
  <c r="J966" i="4"/>
  <c r="H966" i="4"/>
  <c r="AV966" i="4" s="1"/>
  <c r="E966" i="4"/>
  <c r="AM965" i="4"/>
  <c r="AK965" i="4"/>
  <c r="AI965" i="4"/>
  <c r="AG965" i="4"/>
  <c r="AE965" i="4"/>
  <c r="AD965" i="4"/>
  <c r="AC965" i="4"/>
  <c r="AB965" i="4"/>
  <c r="AA965" i="4"/>
  <c r="Z965" i="4"/>
  <c r="O965" i="4"/>
  <c r="L965" i="4"/>
  <c r="K965" i="4"/>
  <c r="J965" i="4"/>
  <c r="H965" i="4"/>
  <c r="AF965" i="4" s="1"/>
  <c r="E965" i="4"/>
  <c r="AM964" i="4"/>
  <c r="AK964" i="4"/>
  <c r="AI964" i="4"/>
  <c r="AG964" i="4"/>
  <c r="AE964" i="4"/>
  <c r="AD964" i="4"/>
  <c r="AC964" i="4"/>
  <c r="AB964" i="4"/>
  <c r="AA964" i="4"/>
  <c r="Z964" i="4"/>
  <c r="O964" i="4"/>
  <c r="L964" i="4"/>
  <c r="K964" i="4"/>
  <c r="J964" i="4"/>
  <c r="H964" i="4"/>
  <c r="AV964" i="4" s="1"/>
  <c r="E964" i="4"/>
  <c r="AM963" i="4"/>
  <c r="AK963" i="4"/>
  <c r="AI963" i="4"/>
  <c r="AG963" i="4"/>
  <c r="AE963" i="4"/>
  <c r="AD963" i="4"/>
  <c r="AC963" i="4"/>
  <c r="AB963" i="4"/>
  <c r="AA963" i="4"/>
  <c r="Z963" i="4"/>
  <c r="O963" i="4"/>
  <c r="L963" i="4"/>
  <c r="K963" i="4"/>
  <c r="J963" i="4"/>
  <c r="H963" i="4"/>
  <c r="AF963" i="4" s="1"/>
  <c r="E963" i="4"/>
  <c r="AM962" i="4"/>
  <c r="AK962" i="4"/>
  <c r="AI962" i="4"/>
  <c r="AG962" i="4"/>
  <c r="AE962" i="4"/>
  <c r="AD962" i="4"/>
  <c r="AC962" i="4"/>
  <c r="AB962" i="4"/>
  <c r="AA962" i="4"/>
  <c r="Z962" i="4"/>
  <c r="O962" i="4"/>
  <c r="L962" i="4"/>
  <c r="K962" i="4"/>
  <c r="J962" i="4"/>
  <c r="H962" i="4"/>
  <c r="AH962" i="4" s="1"/>
  <c r="AN962" i="4" s="1"/>
  <c r="E962" i="4"/>
  <c r="AM961" i="4"/>
  <c r="AK961" i="4"/>
  <c r="AI961" i="4"/>
  <c r="AG961" i="4"/>
  <c r="AE961" i="4"/>
  <c r="AD961" i="4"/>
  <c r="AC961" i="4"/>
  <c r="AB961" i="4"/>
  <c r="AA961" i="4"/>
  <c r="Z961" i="4"/>
  <c r="O961" i="4"/>
  <c r="L961" i="4"/>
  <c r="K961" i="4"/>
  <c r="J961" i="4"/>
  <c r="H961" i="4"/>
  <c r="AH961" i="4" s="1"/>
  <c r="AN961" i="4" s="1"/>
  <c r="E961" i="4"/>
  <c r="AM960" i="4"/>
  <c r="AK960" i="4"/>
  <c r="AI960" i="4"/>
  <c r="AG960" i="4"/>
  <c r="AE960" i="4"/>
  <c r="AD960" i="4"/>
  <c r="AC960" i="4"/>
  <c r="AB960" i="4"/>
  <c r="AA960" i="4"/>
  <c r="Z960" i="4"/>
  <c r="O960" i="4"/>
  <c r="L960" i="4"/>
  <c r="K960" i="4"/>
  <c r="J960" i="4"/>
  <c r="H960" i="4"/>
  <c r="AF960" i="4" s="1"/>
  <c r="E960" i="4"/>
  <c r="AM959" i="4"/>
  <c r="AK959" i="4"/>
  <c r="AI959" i="4"/>
  <c r="AG959" i="4"/>
  <c r="AE959" i="4"/>
  <c r="AD959" i="4"/>
  <c r="AC959" i="4"/>
  <c r="AB959" i="4"/>
  <c r="AA959" i="4"/>
  <c r="Z959" i="4"/>
  <c r="O959" i="4"/>
  <c r="L959" i="4"/>
  <c r="K959" i="4"/>
  <c r="J959" i="4"/>
  <c r="H959" i="4"/>
  <c r="AH959" i="4" s="1"/>
  <c r="AN959" i="4" s="1"/>
  <c r="E959" i="4"/>
  <c r="AM958" i="4"/>
  <c r="AK958" i="4"/>
  <c r="AI958" i="4"/>
  <c r="AG958" i="4"/>
  <c r="AE958" i="4"/>
  <c r="AD958" i="4"/>
  <c r="AC958" i="4"/>
  <c r="AB958" i="4"/>
  <c r="AA958" i="4"/>
  <c r="Z958" i="4"/>
  <c r="O958" i="4"/>
  <c r="L958" i="4"/>
  <c r="K958" i="4"/>
  <c r="J958" i="4"/>
  <c r="H958" i="4"/>
  <c r="AF958" i="4" s="1"/>
  <c r="E958" i="4"/>
  <c r="AM957" i="4"/>
  <c r="AK957" i="4"/>
  <c r="AI957" i="4"/>
  <c r="AG957" i="4"/>
  <c r="AE957" i="4"/>
  <c r="AD957" i="4"/>
  <c r="AC957" i="4"/>
  <c r="AB957" i="4"/>
  <c r="AA957" i="4"/>
  <c r="Z957" i="4"/>
  <c r="O957" i="4"/>
  <c r="L957" i="4"/>
  <c r="K957" i="4"/>
  <c r="J957" i="4"/>
  <c r="H957" i="4"/>
  <c r="AF957" i="4" s="1"/>
  <c r="E957" i="4"/>
  <c r="AM956" i="4"/>
  <c r="AK956" i="4"/>
  <c r="AI956" i="4"/>
  <c r="AG956" i="4"/>
  <c r="AE956" i="4"/>
  <c r="AD956" i="4"/>
  <c r="AC956" i="4"/>
  <c r="AB956" i="4"/>
  <c r="AA956" i="4"/>
  <c r="Z956" i="4"/>
  <c r="O956" i="4"/>
  <c r="L956" i="4"/>
  <c r="K956" i="4"/>
  <c r="J956" i="4"/>
  <c r="H956" i="4"/>
  <c r="AV956" i="4" s="1"/>
  <c r="E956" i="4"/>
  <c r="AM955" i="4"/>
  <c r="AK955" i="4"/>
  <c r="AI955" i="4"/>
  <c r="AG955" i="4"/>
  <c r="AE955" i="4"/>
  <c r="AD955" i="4"/>
  <c r="AC955" i="4"/>
  <c r="AB955" i="4"/>
  <c r="AA955" i="4"/>
  <c r="Z955" i="4"/>
  <c r="O955" i="4"/>
  <c r="L955" i="4"/>
  <c r="K955" i="4"/>
  <c r="J955" i="4"/>
  <c r="H955" i="4"/>
  <c r="AF955" i="4" s="1"/>
  <c r="E955" i="4"/>
  <c r="AM954" i="4"/>
  <c r="AK954" i="4"/>
  <c r="AI954" i="4"/>
  <c r="AG954" i="4"/>
  <c r="AE954" i="4"/>
  <c r="AD954" i="4"/>
  <c r="AC954" i="4"/>
  <c r="AB954" i="4"/>
  <c r="AA954" i="4"/>
  <c r="Z954" i="4"/>
  <c r="O954" i="4"/>
  <c r="L954" i="4"/>
  <c r="K954" i="4"/>
  <c r="J954" i="4"/>
  <c r="H954" i="4"/>
  <c r="AH954" i="4" s="1"/>
  <c r="AN954" i="4" s="1"/>
  <c r="E954" i="4"/>
  <c r="G1440" i="1"/>
  <c r="H1440" i="1" s="1"/>
  <c r="G1439" i="1"/>
  <c r="H1439" i="1" s="1"/>
  <c r="G1438" i="1"/>
  <c r="H1438" i="1" s="1"/>
  <c r="G1437" i="1"/>
  <c r="H1437" i="1" s="1"/>
  <c r="G1436" i="1"/>
  <c r="H1436" i="1" s="1"/>
  <c r="G1435" i="1"/>
  <c r="H1435" i="1" s="1"/>
  <c r="G1434" i="1"/>
  <c r="H1434" i="1" s="1"/>
  <c r="G1433" i="1"/>
  <c r="H1433" i="1" s="1"/>
  <c r="G1432" i="1"/>
  <c r="H1432" i="1" s="1"/>
  <c r="G1431" i="1"/>
  <c r="H1431" i="1" s="1"/>
  <c r="G1430" i="1"/>
  <c r="H1430" i="1" s="1"/>
  <c r="G1429" i="1"/>
  <c r="H1429" i="1" s="1"/>
  <c r="G1428" i="1"/>
  <c r="H1428" i="1" s="1"/>
  <c r="G1427" i="1"/>
  <c r="H1427" i="1" s="1"/>
  <c r="G1426" i="1"/>
  <c r="H1426" i="1" s="1"/>
  <c r="G1425" i="1"/>
  <c r="H1425" i="1" s="1"/>
  <c r="G1424" i="1"/>
  <c r="H1424" i="1" s="1"/>
  <c r="G1423" i="1"/>
  <c r="H1423" i="1" s="1"/>
  <c r="G1422" i="1"/>
  <c r="H1422" i="1" s="1"/>
  <c r="G1421" i="1"/>
  <c r="H1421" i="1" s="1"/>
  <c r="G1420" i="1"/>
  <c r="H1420" i="1" s="1"/>
  <c r="G1419" i="1"/>
  <c r="H1419" i="1" s="1"/>
  <c r="G1418" i="1"/>
  <c r="H1418" i="1" s="1"/>
  <c r="G1417" i="1"/>
  <c r="H1417" i="1" s="1"/>
  <c r="G1416" i="1"/>
  <c r="H1416" i="1" s="1"/>
  <c r="G1415" i="1"/>
  <c r="H1415" i="1" s="1"/>
  <c r="G1414" i="1"/>
  <c r="H1414" i="1" s="1"/>
  <c r="G1413" i="1"/>
  <c r="H1413" i="1" s="1"/>
  <c r="G1412" i="1"/>
  <c r="H1412" i="1" s="1"/>
  <c r="G1411" i="1"/>
  <c r="H1411" i="1" s="1"/>
  <c r="G1410" i="1"/>
  <c r="H1410" i="1" s="1"/>
  <c r="G1409" i="1"/>
  <c r="H1409" i="1" s="1"/>
  <c r="G1408" i="1"/>
  <c r="H1408" i="1" s="1"/>
  <c r="G1407" i="1"/>
  <c r="H1407" i="1" s="1"/>
  <c r="G1406" i="1"/>
  <c r="H1406" i="1" s="1"/>
  <c r="G1405" i="1"/>
  <c r="H1405" i="1" s="1"/>
  <c r="G1404" i="1"/>
  <c r="H1404" i="1" s="1"/>
  <c r="G1403" i="1"/>
  <c r="H1403" i="1" s="1"/>
  <c r="G1402" i="1"/>
  <c r="H1402" i="1" s="1"/>
  <c r="G1401" i="1"/>
  <c r="H1401" i="1" s="1"/>
  <c r="G1400" i="1"/>
  <c r="H1400" i="1" s="1"/>
  <c r="G1399" i="1"/>
  <c r="H1399" i="1" s="1"/>
  <c r="G1398" i="1"/>
  <c r="H1398" i="1" s="1"/>
  <c r="G1397" i="1"/>
  <c r="H1397" i="1" s="1"/>
  <c r="G1396" i="1"/>
  <c r="H1396" i="1" s="1"/>
  <c r="G1395" i="1"/>
  <c r="H1395" i="1" s="1"/>
  <c r="G1394" i="1"/>
  <c r="H1394" i="1" s="1"/>
  <c r="G1393" i="1"/>
  <c r="H1393" i="1" s="1"/>
  <c r="G1392" i="1"/>
  <c r="H1392" i="1" s="1"/>
  <c r="G1391" i="1"/>
  <c r="H1391" i="1" s="1"/>
  <c r="G1390" i="1"/>
  <c r="H1390" i="1" s="1"/>
  <c r="G1389" i="1"/>
  <c r="H1389" i="1" s="1"/>
  <c r="G1388" i="1"/>
  <c r="H1388" i="1" s="1"/>
  <c r="G1387" i="1"/>
  <c r="H1387" i="1" s="1"/>
  <c r="G1386" i="1"/>
  <c r="H1386" i="1" s="1"/>
  <c r="G1385" i="1"/>
  <c r="H1385" i="1" s="1"/>
  <c r="G1384" i="1"/>
  <c r="H1384" i="1" s="1"/>
  <c r="G1383" i="1"/>
  <c r="H1383" i="1" s="1"/>
  <c r="G1382" i="1"/>
  <c r="H1382" i="1" s="1"/>
  <c r="G1381" i="1"/>
  <c r="H1381" i="1" s="1"/>
  <c r="G1380" i="1"/>
  <c r="H1380" i="1" s="1"/>
  <c r="G1379" i="1"/>
  <c r="H1379" i="1" s="1"/>
  <c r="G1378" i="1"/>
  <c r="H1378" i="1" s="1"/>
  <c r="G1377" i="1"/>
  <c r="H1377" i="1" s="1"/>
  <c r="G1376" i="1"/>
  <c r="H1376" i="1" s="1"/>
  <c r="G1375" i="1"/>
  <c r="H1375" i="1" s="1"/>
  <c r="G1374" i="1"/>
  <c r="H1374" i="1" s="1"/>
  <c r="G1373" i="1"/>
  <c r="H1373" i="1" s="1"/>
  <c r="G1372" i="1"/>
  <c r="H1372" i="1" s="1"/>
  <c r="G1371" i="1"/>
  <c r="H1371" i="1" s="1"/>
  <c r="G1370" i="1"/>
  <c r="H1370" i="1" s="1"/>
  <c r="G1369" i="1"/>
  <c r="H1369" i="1" s="1"/>
  <c r="G1368" i="1"/>
  <c r="H1368" i="1" s="1"/>
  <c r="G1367" i="1"/>
  <c r="H1367" i="1" s="1"/>
  <c r="G1366" i="1"/>
  <c r="H1366" i="1" s="1"/>
  <c r="G1365" i="1"/>
  <c r="H1365" i="1" s="1"/>
  <c r="G1364" i="1"/>
  <c r="H1364" i="1" s="1"/>
  <c r="G1363" i="1"/>
  <c r="H1363" i="1" s="1"/>
  <c r="G1362" i="1"/>
  <c r="H1362" i="1" s="1"/>
  <c r="G1361" i="1"/>
  <c r="H1361" i="1" s="1"/>
  <c r="G1360" i="1"/>
  <c r="H1360" i="1" s="1"/>
  <c r="G1359" i="1"/>
  <c r="H1359" i="1" s="1"/>
  <c r="G1358" i="1"/>
  <c r="H1358" i="1" s="1"/>
  <c r="G1357" i="1"/>
  <c r="H1357" i="1" s="1"/>
  <c r="G1356" i="1"/>
  <c r="H1356" i="1" s="1"/>
  <c r="G1355" i="1"/>
  <c r="H1355" i="1" s="1"/>
  <c r="G1354" i="1"/>
  <c r="H1354" i="1" s="1"/>
  <c r="G1353" i="1"/>
  <c r="H1353" i="1" s="1"/>
  <c r="G1352" i="1"/>
  <c r="H1352" i="1" s="1"/>
  <c r="G1351" i="1"/>
  <c r="H1351" i="1" s="1"/>
  <c r="G1350" i="1"/>
  <c r="H1350" i="1" s="1"/>
  <c r="G1349" i="1"/>
  <c r="H1349" i="1" s="1"/>
  <c r="G1348" i="1"/>
  <c r="H1348" i="1" s="1"/>
  <c r="G1347" i="1"/>
  <c r="H1347" i="1" s="1"/>
  <c r="G1346" i="1"/>
  <c r="H1346" i="1" s="1"/>
  <c r="G1345" i="1"/>
  <c r="H1345" i="1" s="1"/>
  <c r="G1344" i="1"/>
  <c r="H1344" i="1" s="1"/>
  <c r="AM953" i="4"/>
  <c r="AK953" i="4"/>
  <c r="AI953" i="4"/>
  <c r="AG953" i="4"/>
  <c r="AE953" i="4"/>
  <c r="AD953" i="4"/>
  <c r="AC953" i="4"/>
  <c r="AB953" i="4"/>
  <c r="AA953" i="4"/>
  <c r="Z953" i="4"/>
  <c r="O953" i="4"/>
  <c r="L953" i="4"/>
  <c r="K953" i="4"/>
  <c r="J953" i="4"/>
  <c r="H953" i="4"/>
  <c r="E953" i="4"/>
  <c r="AM952" i="4"/>
  <c r="AK952" i="4"/>
  <c r="AI952" i="4"/>
  <c r="AG952" i="4"/>
  <c r="AE952" i="4"/>
  <c r="AD952" i="4"/>
  <c r="AC952" i="4"/>
  <c r="AB952" i="4"/>
  <c r="AA952" i="4"/>
  <c r="Z952" i="4"/>
  <c r="O952" i="4"/>
  <c r="L952" i="4"/>
  <c r="K952" i="4"/>
  <c r="J952" i="4"/>
  <c r="H952" i="4"/>
  <c r="AV952" i="4" s="1"/>
  <c r="E952" i="4"/>
  <c r="AM951" i="4"/>
  <c r="AK951" i="4"/>
  <c r="AI951" i="4"/>
  <c r="AG951" i="4"/>
  <c r="AE951" i="4"/>
  <c r="AD951" i="4"/>
  <c r="AC951" i="4"/>
  <c r="AB951" i="4"/>
  <c r="AA951" i="4"/>
  <c r="Z951" i="4"/>
  <c r="O951" i="4"/>
  <c r="L951" i="4"/>
  <c r="K951" i="4"/>
  <c r="J951" i="4"/>
  <c r="H951" i="4"/>
  <c r="E951" i="4"/>
  <c r="AM950" i="4"/>
  <c r="AK950" i="4"/>
  <c r="AI950" i="4"/>
  <c r="AG950" i="4"/>
  <c r="AE950" i="4"/>
  <c r="AD950" i="4"/>
  <c r="AC950" i="4"/>
  <c r="AB950" i="4"/>
  <c r="AA950" i="4"/>
  <c r="Z950" i="4"/>
  <c r="O950" i="4"/>
  <c r="L950" i="4"/>
  <c r="K950" i="4"/>
  <c r="J950" i="4"/>
  <c r="H950" i="4"/>
  <c r="AV950" i="4" s="1"/>
  <c r="E950" i="4"/>
  <c r="AM949" i="4"/>
  <c r="AK949" i="4"/>
  <c r="AI949" i="4"/>
  <c r="AG949" i="4"/>
  <c r="AE949" i="4"/>
  <c r="AD949" i="4"/>
  <c r="AC949" i="4"/>
  <c r="AB949" i="4"/>
  <c r="AA949" i="4"/>
  <c r="Z949" i="4"/>
  <c r="O949" i="4"/>
  <c r="L949" i="4"/>
  <c r="K949" i="4"/>
  <c r="J949" i="4"/>
  <c r="H949" i="4"/>
  <c r="AF949" i="4" s="1"/>
  <c r="E949" i="4"/>
  <c r="AM948" i="4"/>
  <c r="AK948" i="4"/>
  <c r="AI948" i="4"/>
  <c r="AG948" i="4"/>
  <c r="AE948" i="4"/>
  <c r="AD948" i="4"/>
  <c r="AC948" i="4"/>
  <c r="AB948" i="4"/>
  <c r="AA948" i="4"/>
  <c r="Z948" i="4"/>
  <c r="O948" i="4"/>
  <c r="L948" i="4"/>
  <c r="K948" i="4"/>
  <c r="J948" i="4"/>
  <c r="H948" i="4"/>
  <c r="AV948" i="4" s="1"/>
  <c r="E948" i="4"/>
  <c r="AM947" i="4"/>
  <c r="AK947" i="4"/>
  <c r="AI947" i="4"/>
  <c r="AG947" i="4"/>
  <c r="AE947" i="4"/>
  <c r="AD947" i="4"/>
  <c r="AC947" i="4"/>
  <c r="AB947" i="4"/>
  <c r="AA947" i="4"/>
  <c r="Z947" i="4"/>
  <c r="O947" i="4"/>
  <c r="L947" i="4"/>
  <c r="K947" i="4"/>
  <c r="J947" i="4"/>
  <c r="H947" i="4"/>
  <c r="AF947" i="4" s="1"/>
  <c r="E947" i="4"/>
  <c r="AM946" i="4"/>
  <c r="AK946" i="4"/>
  <c r="AI946" i="4"/>
  <c r="AG946" i="4"/>
  <c r="AE946" i="4"/>
  <c r="AD946" i="4"/>
  <c r="AC946" i="4"/>
  <c r="AB946" i="4"/>
  <c r="AA946" i="4"/>
  <c r="Z946" i="4"/>
  <c r="O946" i="4"/>
  <c r="L946" i="4"/>
  <c r="K946" i="4"/>
  <c r="J946" i="4"/>
  <c r="H946" i="4"/>
  <c r="AV946" i="4" s="1"/>
  <c r="E946" i="4"/>
  <c r="AM945" i="4"/>
  <c r="AK945" i="4"/>
  <c r="AI945" i="4"/>
  <c r="AG945" i="4"/>
  <c r="AE945" i="4"/>
  <c r="AD945" i="4"/>
  <c r="AC945" i="4"/>
  <c r="AB945" i="4"/>
  <c r="AA945" i="4"/>
  <c r="Z945" i="4"/>
  <c r="O945" i="4"/>
  <c r="L945" i="4"/>
  <c r="K945" i="4"/>
  <c r="J945" i="4"/>
  <c r="H945" i="4"/>
  <c r="AF945" i="4" s="1"/>
  <c r="E945" i="4"/>
  <c r="AM944" i="4"/>
  <c r="AK944" i="4"/>
  <c r="AI944" i="4"/>
  <c r="AG944" i="4"/>
  <c r="AE944" i="4"/>
  <c r="AD944" i="4"/>
  <c r="AC944" i="4"/>
  <c r="AB944" i="4"/>
  <c r="AA944" i="4"/>
  <c r="Z944" i="4"/>
  <c r="O944" i="4"/>
  <c r="L944" i="4"/>
  <c r="K944" i="4"/>
  <c r="J944" i="4"/>
  <c r="H944" i="4"/>
  <c r="AV944" i="4" s="1"/>
  <c r="E944" i="4"/>
  <c r="AM943" i="4"/>
  <c r="AK943" i="4"/>
  <c r="AI943" i="4"/>
  <c r="AG943" i="4"/>
  <c r="AE943" i="4"/>
  <c r="AD943" i="4"/>
  <c r="AC943" i="4"/>
  <c r="AB943" i="4"/>
  <c r="AA943" i="4"/>
  <c r="Z943" i="4"/>
  <c r="O943" i="4"/>
  <c r="L943" i="4"/>
  <c r="K943" i="4"/>
  <c r="J943" i="4"/>
  <c r="H943" i="4"/>
  <c r="E943" i="4"/>
  <c r="AM942" i="4"/>
  <c r="AK942" i="4"/>
  <c r="AI942" i="4"/>
  <c r="AG942" i="4"/>
  <c r="AE942" i="4"/>
  <c r="AD942" i="4"/>
  <c r="AC942" i="4"/>
  <c r="AB942" i="4"/>
  <c r="AA942" i="4"/>
  <c r="Z942" i="4"/>
  <c r="O942" i="4"/>
  <c r="L942" i="4"/>
  <c r="K942" i="4"/>
  <c r="J942" i="4"/>
  <c r="H942" i="4"/>
  <c r="AV942" i="4" s="1"/>
  <c r="E942" i="4"/>
  <c r="AM941" i="4"/>
  <c r="AK941" i="4"/>
  <c r="AI941" i="4"/>
  <c r="AG941" i="4"/>
  <c r="AE941" i="4"/>
  <c r="AD941" i="4"/>
  <c r="AC941" i="4"/>
  <c r="AB941" i="4"/>
  <c r="AA941" i="4"/>
  <c r="Z941" i="4"/>
  <c r="O941" i="4"/>
  <c r="L941" i="4"/>
  <c r="K941" i="4"/>
  <c r="J941" i="4"/>
  <c r="H941" i="4"/>
  <c r="AF941" i="4" s="1"/>
  <c r="E941" i="4"/>
  <c r="AM940" i="4"/>
  <c r="AK940" i="4"/>
  <c r="AI940" i="4"/>
  <c r="AG940" i="4"/>
  <c r="AE940" i="4"/>
  <c r="AD940" i="4"/>
  <c r="AC940" i="4"/>
  <c r="AB940" i="4"/>
  <c r="AA940" i="4"/>
  <c r="Z940" i="4"/>
  <c r="O940" i="4"/>
  <c r="L940" i="4"/>
  <c r="K940" i="4"/>
  <c r="J940" i="4"/>
  <c r="H940" i="4"/>
  <c r="AV940" i="4" s="1"/>
  <c r="E940" i="4"/>
  <c r="AM939" i="4"/>
  <c r="AK939" i="4"/>
  <c r="AI939" i="4"/>
  <c r="AG939" i="4"/>
  <c r="AE939" i="4"/>
  <c r="AD939" i="4"/>
  <c r="AC939" i="4"/>
  <c r="AB939" i="4"/>
  <c r="AA939" i="4"/>
  <c r="Z939" i="4"/>
  <c r="O939" i="4"/>
  <c r="L939" i="4"/>
  <c r="K939" i="4"/>
  <c r="J939" i="4"/>
  <c r="H939" i="4"/>
  <c r="AF939" i="4" s="1"/>
  <c r="E939" i="4"/>
  <c r="AM938" i="4"/>
  <c r="AK938" i="4"/>
  <c r="AI938" i="4"/>
  <c r="AG938" i="4"/>
  <c r="AE938" i="4"/>
  <c r="AD938" i="4"/>
  <c r="AC938" i="4"/>
  <c r="AB938" i="4"/>
  <c r="AA938" i="4"/>
  <c r="Z938" i="4"/>
  <c r="O938" i="4"/>
  <c r="L938" i="4"/>
  <c r="K938" i="4"/>
  <c r="J938" i="4"/>
  <c r="H938" i="4"/>
  <c r="AV938" i="4" s="1"/>
  <c r="E938" i="4"/>
  <c r="AM937" i="4"/>
  <c r="AK937" i="4"/>
  <c r="AI937" i="4"/>
  <c r="AG937" i="4"/>
  <c r="AE937" i="4"/>
  <c r="AD937" i="4"/>
  <c r="AC937" i="4"/>
  <c r="AB937" i="4"/>
  <c r="AA937" i="4"/>
  <c r="Z937" i="4"/>
  <c r="O937" i="4"/>
  <c r="L937" i="4"/>
  <c r="K937" i="4"/>
  <c r="J937" i="4"/>
  <c r="H937" i="4"/>
  <c r="AH937" i="4" s="1"/>
  <c r="AN937" i="4" s="1"/>
  <c r="E937" i="4"/>
  <c r="AM936" i="4"/>
  <c r="AK936" i="4"/>
  <c r="AI936" i="4"/>
  <c r="AG936" i="4"/>
  <c r="AE936" i="4"/>
  <c r="AD936" i="4"/>
  <c r="AC936" i="4"/>
  <c r="AB936" i="4"/>
  <c r="AA936" i="4"/>
  <c r="Z936" i="4"/>
  <c r="O936" i="4"/>
  <c r="L936" i="4"/>
  <c r="K936" i="4"/>
  <c r="J936" i="4"/>
  <c r="H936" i="4"/>
  <c r="AV936" i="4" s="1"/>
  <c r="E936" i="4"/>
  <c r="AM935" i="4"/>
  <c r="AK935" i="4"/>
  <c r="AI935" i="4"/>
  <c r="AG935" i="4"/>
  <c r="AE935" i="4"/>
  <c r="AD935" i="4"/>
  <c r="AC935" i="4"/>
  <c r="AB935" i="4"/>
  <c r="AA935" i="4"/>
  <c r="Z935" i="4"/>
  <c r="O935" i="4"/>
  <c r="L935" i="4"/>
  <c r="K935" i="4"/>
  <c r="J935" i="4"/>
  <c r="H935" i="4"/>
  <c r="E935" i="4"/>
  <c r="AM934" i="4"/>
  <c r="AK934" i="4"/>
  <c r="AI934" i="4"/>
  <c r="AG934" i="4"/>
  <c r="AE934" i="4"/>
  <c r="AD934" i="4"/>
  <c r="AC934" i="4"/>
  <c r="AB934" i="4"/>
  <c r="AA934" i="4"/>
  <c r="Z934" i="4"/>
  <c r="O934" i="4"/>
  <c r="L934" i="4"/>
  <c r="K934" i="4"/>
  <c r="J934" i="4"/>
  <c r="H934" i="4"/>
  <c r="AF934" i="4" s="1"/>
  <c r="E934" i="4"/>
  <c r="AM933" i="4"/>
  <c r="AK933" i="4"/>
  <c r="AI933" i="4"/>
  <c r="AG933" i="4"/>
  <c r="AE933" i="4"/>
  <c r="AD933" i="4"/>
  <c r="AC933" i="4"/>
  <c r="AB933" i="4"/>
  <c r="AA933" i="4"/>
  <c r="Z933" i="4"/>
  <c r="O933" i="4"/>
  <c r="L933" i="4"/>
  <c r="K933" i="4"/>
  <c r="J933" i="4"/>
  <c r="H933" i="4"/>
  <c r="AF933" i="4" s="1"/>
  <c r="E933" i="4"/>
  <c r="AM932" i="4"/>
  <c r="AK932" i="4"/>
  <c r="AI932" i="4"/>
  <c r="AG932" i="4"/>
  <c r="AE932" i="4"/>
  <c r="AD932" i="4"/>
  <c r="AC932" i="4"/>
  <c r="AB932" i="4"/>
  <c r="AA932" i="4"/>
  <c r="Z932" i="4"/>
  <c r="O932" i="4"/>
  <c r="L932" i="4"/>
  <c r="K932" i="4"/>
  <c r="J932" i="4"/>
  <c r="H932" i="4"/>
  <c r="E932" i="4"/>
  <c r="AM931" i="4"/>
  <c r="AK931" i="4"/>
  <c r="AI931" i="4"/>
  <c r="AG931" i="4"/>
  <c r="AE931" i="4"/>
  <c r="AD931" i="4"/>
  <c r="AC931" i="4"/>
  <c r="AB931" i="4"/>
  <c r="AA931" i="4"/>
  <c r="Z931" i="4"/>
  <c r="O931" i="4"/>
  <c r="L931" i="4"/>
  <c r="K931" i="4"/>
  <c r="J931" i="4"/>
  <c r="H931" i="4"/>
  <c r="AF931" i="4" s="1"/>
  <c r="E931" i="4"/>
  <c r="AM930" i="4"/>
  <c r="AK930" i="4"/>
  <c r="AI930" i="4"/>
  <c r="AG930" i="4"/>
  <c r="AE930" i="4"/>
  <c r="AD930" i="4"/>
  <c r="AC930" i="4"/>
  <c r="AB930" i="4"/>
  <c r="AA930" i="4"/>
  <c r="Z930" i="4"/>
  <c r="O930" i="4"/>
  <c r="L930" i="4"/>
  <c r="K930" i="4"/>
  <c r="J930" i="4"/>
  <c r="H930" i="4"/>
  <c r="AH930" i="4" s="1"/>
  <c r="AN930" i="4" s="1"/>
  <c r="E930" i="4"/>
  <c r="AM929" i="4"/>
  <c r="AK929" i="4"/>
  <c r="AI929" i="4"/>
  <c r="AG929" i="4"/>
  <c r="AE929" i="4"/>
  <c r="AD929" i="4"/>
  <c r="AC929" i="4"/>
  <c r="AB929" i="4"/>
  <c r="AA929" i="4"/>
  <c r="Z929" i="4"/>
  <c r="O929" i="4"/>
  <c r="L929" i="4"/>
  <c r="K929" i="4"/>
  <c r="J929" i="4"/>
  <c r="H929" i="4"/>
  <c r="AH929" i="4" s="1"/>
  <c r="AN929" i="4" s="1"/>
  <c r="E929" i="4"/>
  <c r="AM928" i="4"/>
  <c r="AK928" i="4"/>
  <c r="AI928" i="4"/>
  <c r="AG928" i="4"/>
  <c r="AE928" i="4"/>
  <c r="AD928" i="4"/>
  <c r="AC928" i="4"/>
  <c r="AB928" i="4"/>
  <c r="AA928" i="4"/>
  <c r="Z928" i="4"/>
  <c r="O928" i="4"/>
  <c r="L928" i="4"/>
  <c r="K928" i="4"/>
  <c r="J928" i="4"/>
  <c r="H928" i="4"/>
  <c r="AV928" i="4" s="1"/>
  <c r="E928" i="4"/>
  <c r="AM927" i="4"/>
  <c r="AK927" i="4"/>
  <c r="AI927" i="4"/>
  <c r="AG927" i="4"/>
  <c r="AE927" i="4"/>
  <c r="AD927" i="4"/>
  <c r="AC927" i="4"/>
  <c r="AB927" i="4"/>
  <c r="AA927" i="4"/>
  <c r="Z927" i="4"/>
  <c r="O927" i="4"/>
  <c r="L927" i="4"/>
  <c r="K927" i="4"/>
  <c r="J927" i="4"/>
  <c r="H927" i="4"/>
  <c r="AV927" i="4" s="1"/>
  <c r="E927" i="4"/>
  <c r="AM926" i="4"/>
  <c r="AK926" i="4"/>
  <c r="AI926" i="4"/>
  <c r="AG926" i="4"/>
  <c r="AE926" i="4"/>
  <c r="AD926" i="4"/>
  <c r="AC926" i="4"/>
  <c r="AB926" i="4"/>
  <c r="AA926" i="4"/>
  <c r="Z926" i="4"/>
  <c r="O926" i="4"/>
  <c r="L926" i="4"/>
  <c r="K926" i="4"/>
  <c r="J926" i="4"/>
  <c r="H926" i="4"/>
  <c r="E926" i="4"/>
  <c r="AM925" i="4"/>
  <c r="AK925" i="4"/>
  <c r="AI925" i="4"/>
  <c r="AG925" i="4"/>
  <c r="AE925" i="4"/>
  <c r="AD925" i="4"/>
  <c r="AC925" i="4"/>
  <c r="AB925" i="4"/>
  <c r="AA925" i="4"/>
  <c r="Z925" i="4"/>
  <c r="O925" i="4"/>
  <c r="L925" i="4"/>
  <c r="K925" i="4"/>
  <c r="J925" i="4"/>
  <c r="H925" i="4"/>
  <c r="AF925" i="4" s="1"/>
  <c r="E925" i="4"/>
  <c r="AM924" i="4"/>
  <c r="AK924" i="4"/>
  <c r="AI924" i="4"/>
  <c r="AG924" i="4"/>
  <c r="AE924" i="4"/>
  <c r="AD924" i="4"/>
  <c r="AC924" i="4"/>
  <c r="AB924" i="4"/>
  <c r="AA924" i="4"/>
  <c r="Z924" i="4"/>
  <c r="O924" i="4"/>
  <c r="L924" i="4"/>
  <c r="K924" i="4"/>
  <c r="J924" i="4"/>
  <c r="H924" i="4"/>
  <c r="AH924" i="4" s="1"/>
  <c r="AN924" i="4" s="1"/>
  <c r="E924" i="4"/>
  <c r="AM923" i="4"/>
  <c r="AK923" i="4"/>
  <c r="AI923" i="4"/>
  <c r="AG923" i="4"/>
  <c r="AE923" i="4"/>
  <c r="AD923" i="4"/>
  <c r="AC923" i="4"/>
  <c r="AB923" i="4"/>
  <c r="AA923" i="4"/>
  <c r="Z923" i="4"/>
  <c r="O923" i="4"/>
  <c r="L923" i="4"/>
  <c r="K923" i="4"/>
  <c r="J923" i="4"/>
  <c r="H923" i="4"/>
  <c r="AH923" i="4" s="1"/>
  <c r="AN923" i="4" s="1"/>
  <c r="E923" i="4"/>
  <c r="AM922" i="4"/>
  <c r="AK922" i="4"/>
  <c r="AI922" i="4"/>
  <c r="AG922" i="4"/>
  <c r="AE922" i="4"/>
  <c r="AD922" i="4"/>
  <c r="AC922" i="4"/>
  <c r="AB922" i="4"/>
  <c r="AA922" i="4"/>
  <c r="Z922" i="4"/>
  <c r="O922" i="4"/>
  <c r="L922" i="4"/>
  <c r="K922" i="4"/>
  <c r="J922" i="4"/>
  <c r="H922" i="4"/>
  <c r="AV922" i="4" s="1"/>
  <c r="E922" i="4"/>
  <c r="AM921" i="4"/>
  <c r="AK921" i="4"/>
  <c r="AI921" i="4"/>
  <c r="AG921" i="4"/>
  <c r="AE921" i="4"/>
  <c r="AD921" i="4"/>
  <c r="AC921" i="4"/>
  <c r="AB921" i="4"/>
  <c r="AA921" i="4"/>
  <c r="Z921" i="4"/>
  <c r="O921" i="4"/>
  <c r="L921" i="4"/>
  <c r="K921" i="4"/>
  <c r="J921" i="4"/>
  <c r="H921" i="4"/>
  <c r="AV921" i="4" s="1"/>
  <c r="E921" i="4"/>
  <c r="AM920" i="4"/>
  <c r="AK920" i="4"/>
  <c r="AI920" i="4"/>
  <c r="AG920" i="4"/>
  <c r="AE920" i="4"/>
  <c r="AD920" i="4"/>
  <c r="AC920" i="4"/>
  <c r="AB920" i="4"/>
  <c r="AA920" i="4"/>
  <c r="Z920" i="4"/>
  <c r="O920" i="4"/>
  <c r="L920" i="4"/>
  <c r="K920" i="4"/>
  <c r="J920" i="4"/>
  <c r="H920" i="4"/>
  <c r="AV920" i="4" s="1"/>
  <c r="E920" i="4"/>
  <c r="AM919" i="4"/>
  <c r="AK919" i="4"/>
  <c r="AI919" i="4"/>
  <c r="AG919" i="4"/>
  <c r="AE919" i="4"/>
  <c r="AD919" i="4"/>
  <c r="AC919" i="4"/>
  <c r="AB919" i="4"/>
  <c r="AA919" i="4"/>
  <c r="Z919" i="4"/>
  <c r="O919" i="4"/>
  <c r="L919" i="4"/>
  <c r="K919" i="4"/>
  <c r="J919" i="4"/>
  <c r="H919" i="4"/>
  <c r="AF919" i="4" s="1"/>
  <c r="E919" i="4"/>
  <c r="AM918" i="4"/>
  <c r="AK918" i="4"/>
  <c r="AI918" i="4"/>
  <c r="AG918" i="4"/>
  <c r="AE918" i="4"/>
  <c r="AD918" i="4"/>
  <c r="AC918" i="4"/>
  <c r="AB918" i="4"/>
  <c r="AA918" i="4"/>
  <c r="Z918" i="4"/>
  <c r="O918" i="4"/>
  <c r="L918" i="4"/>
  <c r="K918" i="4"/>
  <c r="J918" i="4"/>
  <c r="AM917" i="4"/>
  <c r="AK917" i="4"/>
  <c r="AI917" i="4"/>
  <c r="AG917" i="4"/>
  <c r="AE917" i="4"/>
  <c r="AD917" i="4"/>
  <c r="AC917" i="4"/>
  <c r="AB917" i="4"/>
  <c r="AA917" i="4"/>
  <c r="Z917" i="4"/>
  <c r="O917" i="4"/>
  <c r="L917" i="4"/>
  <c r="K917" i="4"/>
  <c r="J917" i="4"/>
  <c r="AM916" i="4"/>
  <c r="AK916" i="4"/>
  <c r="AI916" i="4"/>
  <c r="AG916" i="4"/>
  <c r="AE916" i="4"/>
  <c r="AD916" i="4"/>
  <c r="AC916" i="4"/>
  <c r="AB916" i="4"/>
  <c r="AA916" i="4"/>
  <c r="Z916" i="4"/>
  <c r="O916" i="4"/>
  <c r="L916" i="4"/>
  <c r="K916" i="4"/>
  <c r="J916" i="4"/>
  <c r="AM915" i="4"/>
  <c r="AK915" i="4"/>
  <c r="AI915" i="4"/>
  <c r="AG915" i="4"/>
  <c r="AE915" i="4"/>
  <c r="AD915" i="4"/>
  <c r="AC915" i="4"/>
  <c r="AB915" i="4"/>
  <c r="AA915" i="4"/>
  <c r="Z915" i="4"/>
  <c r="O915" i="4"/>
  <c r="L915" i="4"/>
  <c r="K915" i="4"/>
  <c r="J915" i="4"/>
  <c r="AM914" i="4"/>
  <c r="AK914" i="4"/>
  <c r="AI914" i="4"/>
  <c r="AG914" i="4"/>
  <c r="AE914" i="4"/>
  <c r="AD914" i="4"/>
  <c r="AC914" i="4"/>
  <c r="AB914" i="4"/>
  <c r="AA914" i="4"/>
  <c r="Z914" i="4"/>
  <c r="O914" i="4"/>
  <c r="L914" i="4"/>
  <c r="K914" i="4"/>
  <c r="J914" i="4"/>
  <c r="AM913" i="4"/>
  <c r="AK913" i="4"/>
  <c r="AI913" i="4"/>
  <c r="AG913" i="4"/>
  <c r="AE913" i="4"/>
  <c r="AD913" i="4"/>
  <c r="AC913" i="4"/>
  <c r="AB913" i="4"/>
  <c r="AA913" i="4"/>
  <c r="Z913" i="4"/>
  <c r="O913" i="4"/>
  <c r="L913" i="4"/>
  <c r="K913" i="4"/>
  <c r="J913" i="4"/>
  <c r="AM912" i="4"/>
  <c r="AK912" i="4"/>
  <c r="AI912" i="4"/>
  <c r="AG912" i="4"/>
  <c r="AE912" i="4"/>
  <c r="AD912" i="4"/>
  <c r="AC912" i="4"/>
  <c r="AB912" i="4"/>
  <c r="AA912" i="4"/>
  <c r="Z912" i="4"/>
  <c r="O912" i="4"/>
  <c r="L912" i="4"/>
  <c r="K912" i="4"/>
  <c r="J912" i="4"/>
  <c r="AM911" i="4"/>
  <c r="AK911" i="4"/>
  <c r="AI911" i="4"/>
  <c r="AG911" i="4"/>
  <c r="AE911" i="4"/>
  <c r="AD911" i="4"/>
  <c r="AC911" i="4"/>
  <c r="AB911" i="4"/>
  <c r="AA911" i="4"/>
  <c r="Z911" i="4"/>
  <c r="O911" i="4"/>
  <c r="L911" i="4"/>
  <c r="K911" i="4"/>
  <c r="J911" i="4"/>
  <c r="AM910" i="4"/>
  <c r="AK910" i="4"/>
  <c r="AI910" i="4"/>
  <c r="AG910" i="4"/>
  <c r="AE910" i="4"/>
  <c r="AD910" i="4"/>
  <c r="AC910" i="4"/>
  <c r="AB910" i="4"/>
  <c r="AA910" i="4"/>
  <c r="Z910" i="4"/>
  <c r="O910" i="4"/>
  <c r="L910" i="4"/>
  <c r="K910" i="4"/>
  <c r="J910" i="4"/>
  <c r="AM909" i="4"/>
  <c r="AK909" i="4"/>
  <c r="AI909" i="4"/>
  <c r="AG909" i="4"/>
  <c r="AE909" i="4"/>
  <c r="AD909" i="4"/>
  <c r="AC909" i="4"/>
  <c r="AB909" i="4"/>
  <c r="AA909" i="4"/>
  <c r="Z909" i="4"/>
  <c r="O909" i="4"/>
  <c r="L909" i="4"/>
  <c r="K909" i="4"/>
  <c r="J909" i="4"/>
  <c r="AM908" i="4"/>
  <c r="AK908" i="4"/>
  <c r="AI908" i="4"/>
  <c r="AG908" i="4"/>
  <c r="AE908" i="4"/>
  <c r="AD908" i="4"/>
  <c r="AC908" i="4"/>
  <c r="AB908" i="4"/>
  <c r="AA908" i="4"/>
  <c r="Z908" i="4"/>
  <c r="O908" i="4"/>
  <c r="L908" i="4"/>
  <c r="K908" i="4"/>
  <c r="J908" i="4"/>
  <c r="AM907" i="4"/>
  <c r="AK907" i="4"/>
  <c r="AI907" i="4"/>
  <c r="AG907" i="4"/>
  <c r="AE907" i="4"/>
  <c r="AD907" i="4"/>
  <c r="AC907" i="4"/>
  <c r="AB907" i="4"/>
  <c r="AA907" i="4"/>
  <c r="Z907" i="4"/>
  <c r="O907" i="4"/>
  <c r="L907" i="4"/>
  <c r="K907" i="4"/>
  <c r="J907" i="4"/>
  <c r="AM906" i="4"/>
  <c r="AK906" i="4"/>
  <c r="AI906" i="4"/>
  <c r="AG906" i="4"/>
  <c r="AE906" i="4"/>
  <c r="AD906" i="4"/>
  <c r="AC906" i="4"/>
  <c r="AB906" i="4"/>
  <c r="AA906" i="4"/>
  <c r="Z906" i="4"/>
  <c r="O906" i="4"/>
  <c r="L906" i="4"/>
  <c r="K906" i="4"/>
  <c r="J906" i="4"/>
  <c r="AM905" i="4"/>
  <c r="AK905" i="4"/>
  <c r="AI905" i="4"/>
  <c r="AG905" i="4"/>
  <c r="AE905" i="4"/>
  <c r="AD905" i="4"/>
  <c r="AC905" i="4"/>
  <c r="AB905" i="4"/>
  <c r="AA905" i="4"/>
  <c r="Z905" i="4"/>
  <c r="O905" i="4"/>
  <c r="L905" i="4"/>
  <c r="K905" i="4"/>
  <c r="J905" i="4"/>
  <c r="AM904" i="4"/>
  <c r="AK904" i="4"/>
  <c r="AI904" i="4"/>
  <c r="AG904" i="4"/>
  <c r="AE904" i="4"/>
  <c r="AD904" i="4"/>
  <c r="AC904" i="4"/>
  <c r="AB904" i="4"/>
  <c r="AA904" i="4"/>
  <c r="Z904" i="4"/>
  <c r="O904" i="4"/>
  <c r="L904" i="4"/>
  <c r="K904" i="4"/>
  <c r="J904" i="4"/>
  <c r="AM903" i="4"/>
  <c r="AK903" i="4"/>
  <c r="AI903" i="4"/>
  <c r="AG903" i="4"/>
  <c r="AE903" i="4"/>
  <c r="AD903" i="4"/>
  <c r="AC903" i="4"/>
  <c r="AB903" i="4"/>
  <c r="AA903" i="4"/>
  <c r="Z903" i="4"/>
  <c r="O903" i="4"/>
  <c r="L903" i="4"/>
  <c r="K903" i="4"/>
  <c r="J903" i="4"/>
  <c r="AM902" i="4"/>
  <c r="AK902" i="4"/>
  <c r="AI902" i="4"/>
  <c r="AG902" i="4"/>
  <c r="AE902" i="4"/>
  <c r="AD902" i="4"/>
  <c r="AC902" i="4"/>
  <c r="AB902" i="4"/>
  <c r="AA902" i="4"/>
  <c r="Z902" i="4"/>
  <c r="O902" i="4"/>
  <c r="L902" i="4"/>
  <c r="K902" i="4"/>
  <c r="J902" i="4"/>
  <c r="AM901" i="4"/>
  <c r="AK901" i="4"/>
  <c r="AI901" i="4"/>
  <c r="AG901" i="4"/>
  <c r="AE901" i="4"/>
  <c r="AD901" i="4"/>
  <c r="AC901" i="4"/>
  <c r="AB901" i="4"/>
  <c r="AA901" i="4"/>
  <c r="Z901" i="4"/>
  <c r="O901" i="4"/>
  <c r="L901" i="4"/>
  <c r="K901" i="4"/>
  <c r="J901" i="4"/>
  <c r="AM900" i="4"/>
  <c r="AK900" i="4"/>
  <c r="AI900" i="4"/>
  <c r="AG900" i="4"/>
  <c r="AE900" i="4"/>
  <c r="AD900" i="4"/>
  <c r="AC900" i="4"/>
  <c r="AB900" i="4"/>
  <c r="AA900" i="4"/>
  <c r="Z900" i="4"/>
  <c r="O900" i="4"/>
  <c r="L900" i="4"/>
  <c r="K900" i="4"/>
  <c r="J900" i="4"/>
  <c r="AM899" i="4"/>
  <c r="AK899" i="4"/>
  <c r="AI899" i="4"/>
  <c r="AG899" i="4"/>
  <c r="AE899" i="4"/>
  <c r="AD899" i="4"/>
  <c r="AC899" i="4"/>
  <c r="AB899" i="4"/>
  <c r="AA899" i="4"/>
  <c r="Z899" i="4"/>
  <c r="O899" i="4"/>
  <c r="L899" i="4"/>
  <c r="K899" i="4"/>
  <c r="J899" i="4"/>
  <c r="AM898" i="4"/>
  <c r="AK898" i="4"/>
  <c r="AI898" i="4"/>
  <c r="AG898" i="4"/>
  <c r="AE898" i="4"/>
  <c r="AD898" i="4"/>
  <c r="AC898" i="4"/>
  <c r="AB898" i="4"/>
  <c r="AA898" i="4"/>
  <c r="Z898" i="4"/>
  <c r="O898" i="4"/>
  <c r="L898" i="4"/>
  <c r="K898" i="4"/>
  <c r="J898" i="4"/>
  <c r="AM897" i="4"/>
  <c r="AK897" i="4"/>
  <c r="AI897" i="4"/>
  <c r="AG897" i="4"/>
  <c r="AE897" i="4"/>
  <c r="AD897" i="4"/>
  <c r="AC897" i="4"/>
  <c r="AB897" i="4"/>
  <c r="AA897" i="4"/>
  <c r="Z897" i="4"/>
  <c r="O897" i="4"/>
  <c r="L897" i="4"/>
  <c r="K897" i="4"/>
  <c r="J897" i="4"/>
  <c r="AM896" i="4"/>
  <c r="AK896" i="4"/>
  <c r="AI896" i="4"/>
  <c r="AG896" i="4"/>
  <c r="AE896" i="4"/>
  <c r="AD896" i="4"/>
  <c r="AC896" i="4"/>
  <c r="AB896" i="4"/>
  <c r="AA896" i="4"/>
  <c r="Z896" i="4"/>
  <c r="O896" i="4"/>
  <c r="L896" i="4"/>
  <c r="K896" i="4"/>
  <c r="J896" i="4"/>
  <c r="AM895" i="4"/>
  <c r="AK895" i="4"/>
  <c r="AI895" i="4"/>
  <c r="AG895" i="4"/>
  <c r="AE895" i="4"/>
  <c r="AD895" i="4"/>
  <c r="AC895" i="4"/>
  <c r="AB895" i="4"/>
  <c r="AA895" i="4"/>
  <c r="Z895" i="4"/>
  <c r="O895" i="4"/>
  <c r="L895" i="4"/>
  <c r="K895" i="4"/>
  <c r="J895" i="4"/>
  <c r="AM894" i="4"/>
  <c r="AK894" i="4"/>
  <c r="AI894" i="4"/>
  <c r="AG894" i="4"/>
  <c r="AE894" i="4"/>
  <c r="AD894" i="4"/>
  <c r="AC894" i="4"/>
  <c r="AB894" i="4"/>
  <c r="AA894" i="4"/>
  <c r="Z894" i="4"/>
  <c r="O894" i="4"/>
  <c r="L894" i="4"/>
  <c r="K894" i="4"/>
  <c r="J894" i="4"/>
  <c r="AM893" i="4"/>
  <c r="AK893" i="4"/>
  <c r="AI893" i="4"/>
  <c r="AG893" i="4"/>
  <c r="AE893" i="4"/>
  <c r="AD893" i="4"/>
  <c r="AC893" i="4"/>
  <c r="AB893" i="4"/>
  <c r="AA893" i="4"/>
  <c r="Z893" i="4"/>
  <c r="O893" i="4"/>
  <c r="L893" i="4"/>
  <c r="K893" i="4"/>
  <c r="J893" i="4"/>
  <c r="AM892" i="4"/>
  <c r="AK892" i="4"/>
  <c r="AI892" i="4"/>
  <c r="AG892" i="4"/>
  <c r="AE892" i="4"/>
  <c r="AD892" i="4"/>
  <c r="AC892" i="4"/>
  <c r="AB892" i="4"/>
  <c r="AA892" i="4"/>
  <c r="Z892" i="4"/>
  <c r="O892" i="4"/>
  <c r="L892" i="4"/>
  <c r="K892" i="4"/>
  <c r="J892" i="4"/>
  <c r="AM891" i="4"/>
  <c r="AK891" i="4"/>
  <c r="AI891" i="4"/>
  <c r="AG891" i="4"/>
  <c r="AE891" i="4"/>
  <c r="AD891" i="4"/>
  <c r="AC891" i="4"/>
  <c r="AB891" i="4"/>
  <c r="AA891" i="4"/>
  <c r="Z891" i="4"/>
  <c r="O891" i="4"/>
  <c r="L891" i="4"/>
  <c r="K891" i="4"/>
  <c r="J891" i="4"/>
  <c r="AM890" i="4"/>
  <c r="AK890" i="4"/>
  <c r="AI890" i="4"/>
  <c r="AG890" i="4"/>
  <c r="AE890" i="4"/>
  <c r="AD890" i="4"/>
  <c r="AC890" i="4"/>
  <c r="AB890" i="4"/>
  <c r="AA890" i="4"/>
  <c r="Z890" i="4"/>
  <c r="O890" i="4"/>
  <c r="L890" i="4"/>
  <c r="K890" i="4"/>
  <c r="J890" i="4"/>
  <c r="AM889" i="4"/>
  <c r="AK889" i="4"/>
  <c r="AI889" i="4"/>
  <c r="AG889" i="4"/>
  <c r="AE889" i="4"/>
  <c r="AD889" i="4"/>
  <c r="AC889" i="4"/>
  <c r="AB889" i="4"/>
  <c r="AA889" i="4"/>
  <c r="Z889" i="4"/>
  <c r="O889" i="4"/>
  <c r="L889" i="4"/>
  <c r="K889" i="4"/>
  <c r="J889" i="4"/>
  <c r="AM888" i="4"/>
  <c r="AK888" i="4"/>
  <c r="AI888" i="4"/>
  <c r="AG888" i="4"/>
  <c r="AE888" i="4"/>
  <c r="AD888" i="4"/>
  <c r="AC888" i="4"/>
  <c r="AB888" i="4"/>
  <c r="AA888" i="4"/>
  <c r="Z888" i="4"/>
  <c r="O888" i="4"/>
  <c r="L888" i="4"/>
  <c r="K888" i="4"/>
  <c r="J888" i="4"/>
  <c r="AM887" i="4"/>
  <c r="AK887" i="4"/>
  <c r="AI887" i="4"/>
  <c r="AG887" i="4"/>
  <c r="AE887" i="4"/>
  <c r="AD887" i="4"/>
  <c r="AC887" i="4"/>
  <c r="AB887" i="4"/>
  <c r="AA887" i="4"/>
  <c r="Z887" i="4"/>
  <c r="O887" i="4"/>
  <c r="L887" i="4"/>
  <c r="K887" i="4"/>
  <c r="J887" i="4"/>
  <c r="AM886" i="4"/>
  <c r="AK886" i="4"/>
  <c r="AI886" i="4"/>
  <c r="AG886" i="4"/>
  <c r="AE886" i="4"/>
  <c r="AD886" i="4"/>
  <c r="AC886" i="4"/>
  <c r="AB886" i="4"/>
  <c r="AA886" i="4"/>
  <c r="Z886" i="4"/>
  <c r="O886" i="4"/>
  <c r="L886" i="4"/>
  <c r="K886" i="4"/>
  <c r="J886" i="4"/>
  <c r="AM885" i="4"/>
  <c r="AK885" i="4"/>
  <c r="AI885" i="4"/>
  <c r="AG885" i="4"/>
  <c r="AE885" i="4"/>
  <c r="AD885" i="4"/>
  <c r="AC885" i="4"/>
  <c r="AB885" i="4"/>
  <c r="AA885" i="4"/>
  <c r="Z885" i="4"/>
  <c r="O885" i="4"/>
  <c r="L885" i="4"/>
  <c r="K885" i="4"/>
  <c r="J885" i="4"/>
  <c r="AM884" i="4"/>
  <c r="AK884" i="4"/>
  <c r="AI884" i="4"/>
  <c r="AG884" i="4"/>
  <c r="AE884" i="4"/>
  <c r="AD884" i="4"/>
  <c r="AC884" i="4"/>
  <c r="AB884" i="4"/>
  <c r="AA884" i="4"/>
  <c r="Z884" i="4"/>
  <c r="O884" i="4"/>
  <c r="L884" i="4"/>
  <c r="K884" i="4"/>
  <c r="J884" i="4"/>
  <c r="AM883" i="4"/>
  <c r="AK883" i="4"/>
  <c r="AI883" i="4"/>
  <c r="AG883" i="4"/>
  <c r="AE883" i="4"/>
  <c r="AD883" i="4"/>
  <c r="AC883" i="4"/>
  <c r="AB883" i="4"/>
  <c r="AA883" i="4"/>
  <c r="Z883" i="4"/>
  <c r="O883" i="4"/>
  <c r="L883" i="4"/>
  <c r="K883" i="4"/>
  <c r="J883" i="4"/>
  <c r="AM882" i="4"/>
  <c r="AK882" i="4"/>
  <c r="AI882" i="4"/>
  <c r="AG882" i="4"/>
  <c r="AE882" i="4"/>
  <c r="AD882" i="4"/>
  <c r="AC882" i="4"/>
  <c r="AB882" i="4"/>
  <c r="AA882" i="4"/>
  <c r="Z882" i="4"/>
  <c r="O882" i="4"/>
  <c r="L882" i="4"/>
  <c r="K882" i="4"/>
  <c r="J882" i="4"/>
  <c r="AM881" i="4"/>
  <c r="AK881" i="4"/>
  <c r="AI881" i="4"/>
  <c r="AG881" i="4"/>
  <c r="AE881" i="4"/>
  <c r="AD881" i="4"/>
  <c r="AC881" i="4"/>
  <c r="AB881" i="4"/>
  <c r="AA881" i="4"/>
  <c r="Z881" i="4"/>
  <c r="O881" i="4"/>
  <c r="L881" i="4"/>
  <c r="K881" i="4"/>
  <c r="J881" i="4"/>
  <c r="AM880" i="4"/>
  <c r="AK880" i="4"/>
  <c r="AI880" i="4"/>
  <c r="AG880" i="4"/>
  <c r="AE880" i="4"/>
  <c r="AD880" i="4"/>
  <c r="AC880" i="4"/>
  <c r="AB880" i="4"/>
  <c r="AA880" i="4"/>
  <c r="Z880" i="4"/>
  <c r="O880" i="4"/>
  <c r="L880" i="4"/>
  <c r="K880" i="4"/>
  <c r="J880" i="4"/>
  <c r="AM879" i="4"/>
  <c r="AK879" i="4"/>
  <c r="AI879" i="4"/>
  <c r="AG879" i="4"/>
  <c r="AE879" i="4"/>
  <c r="AD879" i="4"/>
  <c r="AC879" i="4"/>
  <c r="AB879" i="4"/>
  <c r="AA879" i="4"/>
  <c r="Z879" i="4"/>
  <c r="O879" i="4"/>
  <c r="L879" i="4"/>
  <c r="K879" i="4"/>
  <c r="J879" i="4"/>
  <c r="AM878" i="4"/>
  <c r="AK878" i="4"/>
  <c r="AI878" i="4"/>
  <c r="AG878" i="4"/>
  <c r="AE878" i="4"/>
  <c r="AD878" i="4"/>
  <c r="AC878" i="4"/>
  <c r="AB878" i="4"/>
  <c r="AA878" i="4"/>
  <c r="Z878" i="4"/>
  <c r="O878" i="4"/>
  <c r="L878" i="4"/>
  <c r="K878" i="4"/>
  <c r="J878" i="4"/>
  <c r="AM877" i="4"/>
  <c r="AK877" i="4"/>
  <c r="AI877" i="4"/>
  <c r="AG877" i="4"/>
  <c r="AE877" i="4"/>
  <c r="AD877" i="4"/>
  <c r="AC877" i="4"/>
  <c r="AB877" i="4"/>
  <c r="AA877" i="4"/>
  <c r="Z877" i="4"/>
  <c r="O877" i="4"/>
  <c r="L877" i="4"/>
  <c r="K877" i="4"/>
  <c r="J877" i="4"/>
  <c r="AM876" i="4"/>
  <c r="AK876" i="4"/>
  <c r="AI876" i="4"/>
  <c r="AG876" i="4"/>
  <c r="AE876" i="4"/>
  <c r="AD876" i="4"/>
  <c r="AC876" i="4"/>
  <c r="AB876" i="4"/>
  <c r="AA876" i="4"/>
  <c r="Z876" i="4"/>
  <c r="O876" i="4"/>
  <c r="L876" i="4"/>
  <c r="K876" i="4"/>
  <c r="J876" i="4"/>
  <c r="AM875" i="4"/>
  <c r="AK875" i="4"/>
  <c r="AI875" i="4"/>
  <c r="AG875" i="4"/>
  <c r="AE875" i="4"/>
  <c r="AD875" i="4"/>
  <c r="AC875" i="4"/>
  <c r="AB875" i="4"/>
  <c r="AA875" i="4"/>
  <c r="Z875" i="4"/>
  <c r="O875" i="4"/>
  <c r="L875" i="4"/>
  <c r="K875" i="4"/>
  <c r="J875" i="4"/>
  <c r="AM874" i="4"/>
  <c r="AK874" i="4"/>
  <c r="AI874" i="4"/>
  <c r="AG874" i="4"/>
  <c r="AE874" i="4"/>
  <c r="AD874" i="4"/>
  <c r="AC874" i="4"/>
  <c r="AB874" i="4"/>
  <c r="AA874" i="4"/>
  <c r="Z874" i="4"/>
  <c r="O874" i="4"/>
  <c r="L874" i="4"/>
  <c r="K874" i="4"/>
  <c r="J874" i="4"/>
  <c r="AM873" i="4"/>
  <c r="AK873" i="4"/>
  <c r="AI873" i="4"/>
  <c r="AG873" i="4"/>
  <c r="AE873" i="4"/>
  <c r="AD873" i="4"/>
  <c r="AC873" i="4"/>
  <c r="AB873" i="4"/>
  <c r="AA873" i="4"/>
  <c r="Z873" i="4"/>
  <c r="O873" i="4"/>
  <c r="L873" i="4"/>
  <c r="K873" i="4"/>
  <c r="J873" i="4"/>
  <c r="H918" i="4"/>
  <c r="AF918" i="4" s="1"/>
  <c r="E918" i="4"/>
  <c r="H917" i="4"/>
  <c r="E917" i="4"/>
  <c r="H916" i="4"/>
  <c r="E916" i="4"/>
  <c r="H915" i="4"/>
  <c r="AH915" i="4" s="1"/>
  <c r="AN915" i="4" s="1"/>
  <c r="E915" i="4"/>
  <c r="H914" i="4"/>
  <c r="E914" i="4"/>
  <c r="H913" i="4"/>
  <c r="E913" i="4"/>
  <c r="H912" i="4"/>
  <c r="E912" i="4"/>
  <c r="H911" i="4"/>
  <c r="AH911" i="4" s="1"/>
  <c r="AN911" i="4" s="1"/>
  <c r="E911" i="4"/>
  <c r="H910" i="4"/>
  <c r="AH910" i="4" s="1"/>
  <c r="AN910" i="4" s="1"/>
  <c r="E910" i="4"/>
  <c r="H909" i="4"/>
  <c r="E909" i="4"/>
  <c r="H908" i="4"/>
  <c r="E908" i="4"/>
  <c r="H907" i="4"/>
  <c r="E907" i="4"/>
  <c r="H906" i="4"/>
  <c r="E906" i="4"/>
  <c r="H905" i="4"/>
  <c r="E905" i="4"/>
  <c r="H904" i="4"/>
  <c r="AF904" i="4" s="1"/>
  <c r="E904" i="4"/>
  <c r="H903" i="4"/>
  <c r="E903" i="4"/>
  <c r="H902" i="4"/>
  <c r="AF902" i="4" s="1"/>
  <c r="E902" i="4"/>
  <c r="H901" i="4"/>
  <c r="AF901" i="4" s="1"/>
  <c r="E901" i="4"/>
  <c r="H900" i="4"/>
  <c r="AF900" i="4" s="1"/>
  <c r="E900" i="4"/>
  <c r="H899" i="4"/>
  <c r="AF899" i="4" s="1"/>
  <c r="E899" i="4"/>
  <c r="H898" i="4"/>
  <c r="AH898" i="4" s="1"/>
  <c r="AN898" i="4" s="1"/>
  <c r="E898" i="4"/>
  <c r="H897" i="4"/>
  <c r="AH897" i="4" s="1"/>
  <c r="AN897" i="4" s="1"/>
  <c r="E897" i="4"/>
  <c r="H896" i="4"/>
  <c r="AH896" i="4" s="1"/>
  <c r="AN896" i="4" s="1"/>
  <c r="E896" i="4"/>
  <c r="H895" i="4"/>
  <c r="AH895" i="4" s="1"/>
  <c r="AN895" i="4" s="1"/>
  <c r="E895" i="4"/>
  <c r="H894" i="4"/>
  <c r="E894" i="4"/>
  <c r="H893" i="4"/>
  <c r="E893" i="4"/>
  <c r="H892" i="4"/>
  <c r="E892" i="4"/>
  <c r="H891" i="4"/>
  <c r="E891" i="4"/>
  <c r="H890" i="4"/>
  <c r="E890" i="4"/>
  <c r="H889" i="4"/>
  <c r="E889" i="4"/>
  <c r="H888" i="4"/>
  <c r="E888" i="4"/>
  <c r="H887" i="4"/>
  <c r="E887" i="4"/>
  <c r="H886" i="4"/>
  <c r="E886" i="4"/>
  <c r="H885" i="4"/>
  <c r="E885" i="4"/>
  <c r="H884" i="4"/>
  <c r="E884" i="4"/>
  <c r="H883" i="4"/>
  <c r="E883" i="4"/>
  <c r="H882" i="4"/>
  <c r="E882" i="4"/>
  <c r="H881" i="4"/>
  <c r="E881" i="4"/>
  <c r="H880" i="4"/>
  <c r="AF880" i="4" s="1"/>
  <c r="E880" i="4"/>
  <c r="H879" i="4"/>
  <c r="E879" i="4"/>
  <c r="H878" i="4"/>
  <c r="AV878" i="4" s="1"/>
  <c r="E878" i="4"/>
  <c r="H877" i="4"/>
  <c r="E877" i="4"/>
  <c r="H876" i="4"/>
  <c r="AF876" i="4" s="1"/>
  <c r="E876" i="4"/>
  <c r="H875" i="4"/>
  <c r="E875" i="4"/>
  <c r="H874" i="4"/>
  <c r="E874" i="4"/>
  <c r="H873" i="4"/>
  <c r="E873" i="4"/>
  <c r="G1444" i="1"/>
  <c r="H1444" i="1" s="1"/>
  <c r="G1443" i="1"/>
  <c r="H1443" i="1" s="1"/>
  <c r="G1442" i="1"/>
  <c r="H1442" i="1" s="1"/>
  <c r="G1441" i="1"/>
  <c r="H1441" i="1" s="1"/>
  <c r="N776" i="4"/>
  <c r="G1445" i="1"/>
  <c r="H1445" i="1" s="1"/>
  <c r="E843" i="4"/>
  <c r="H843" i="4"/>
  <c r="AV843" i="4" s="1"/>
  <c r="J843" i="4"/>
  <c r="K843" i="4"/>
  <c r="L843" i="4"/>
  <c r="O843" i="4"/>
  <c r="Z843" i="4"/>
  <c r="AA843" i="4"/>
  <c r="AB843" i="4"/>
  <c r="AC843" i="4"/>
  <c r="AD843" i="4"/>
  <c r="AE843" i="4"/>
  <c r="AG843" i="4"/>
  <c r="AI843" i="4"/>
  <c r="AK843" i="4"/>
  <c r="AM843" i="4"/>
  <c r="E844" i="4"/>
  <c r="H844" i="4"/>
  <c r="AH844" i="4" s="1"/>
  <c r="AN844" i="4" s="1"/>
  <c r="J844" i="4"/>
  <c r="K844" i="4"/>
  <c r="L844" i="4"/>
  <c r="O844" i="4"/>
  <c r="Z844" i="4"/>
  <c r="AA844" i="4"/>
  <c r="AB844" i="4"/>
  <c r="AC844" i="4"/>
  <c r="AD844" i="4"/>
  <c r="AE844" i="4"/>
  <c r="AG844" i="4"/>
  <c r="AI844" i="4"/>
  <c r="AK844" i="4"/>
  <c r="AM844" i="4"/>
  <c r="E845" i="4"/>
  <c r="H845" i="4"/>
  <c r="J845" i="4"/>
  <c r="K845" i="4"/>
  <c r="L845" i="4"/>
  <c r="O845" i="4"/>
  <c r="Z845" i="4"/>
  <c r="AA845" i="4"/>
  <c r="AB845" i="4"/>
  <c r="AC845" i="4"/>
  <c r="AD845" i="4"/>
  <c r="AE845" i="4"/>
  <c r="AG845" i="4"/>
  <c r="AI845" i="4"/>
  <c r="AK845" i="4"/>
  <c r="AM845" i="4"/>
  <c r="E846" i="4"/>
  <c r="H846" i="4"/>
  <c r="AF846" i="4" s="1"/>
  <c r="J846" i="4"/>
  <c r="K846" i="4"/>
  <c r="L846" i="4"/>
  <c r="O846" i="4"/>
  <c r="Z846" i="4"/>
  <c r="AA846" i="4"/>
  <c r="AB846" i="4"/>
  <c r="AC846" i="4"/>
  <c r="AD846" i="4"/>
  <c r="AE846" i="4"/>
  <c r="AG846" i="4"/>
  <c r="AI846" i="4"/>
  <c r="AK846" i="4"/>
  <c r="AM846" i="4"/>
  <c r="E847" i="4"/>
  <c r="H847" i="4"/>
  <c r="AV847" i="4" s="1"/>
  <c r="J847" i="4"/>
  <c r="K847" i="4"/>
  <c r="L847" i="4"/>
  <c r="O847" i="4"/>
  <c r="Z847" i="4"/>
  <c r="AA847" i="4"/>
  <c r="AB847" i="4"/>
  <c r="AC847" i="4"/>
  <c r="AD847" i="4"/>
  <c r="AE847" i="4"/>
  <c r="AG847" i="4"/>
  <c r="AI847" i="4"/>
  <c r="AK847" i="4"/>
  <c r="AM847" i="4"/>
  <c r="E848" i="4"/>
  <c r="H848" i="4"/>
  <c r="AF848" i="4" s="1"/>
  <c r="J848" i="4"/>
  <c r="K848" i="4"/>
  <c r="O848" i="4"/>
  <c r="Z848" i="4"/>
  <c r="AA848" i="4"/>
  <c r="AB848" i="4"/>
  <c r="AC848" i="4"/>
  <c r="AD848" i="4"/>
  <c r="AE848" i="4"/>
  <c r="AG848" i="4"/>
  <c r="AI848" i="4"/>
  <c r="AK848" i="4"/>
  <c r="AM848" i="4"/>
  <c r="E849" i="4"/>
  <c r="H849" i="4"/>
  <c r="AH849" i="4" s="1"/>
  <c r="AN849" i="4" s="1"/>
  <c r="J849" i="4"/>
  <c r="K849" i="4"/>
  <c r="L849" i="4"/>
  <c r="O849" i="4"/>
  <c r="Z849" i="4"/>
  <c r="AA849" i="4"/>
  <c r="AB849" i="4"/>
  <c r="AC849" i="4"/>
  <c r="AD849" i="4"/>
  <c r="AE849" i="4"/>
  <c r="AG849" i="4"/>
  <c r="AI849" i="4"/>
  <c r="AK849" i="4"/>
  <c r="AM849" i="4"/>
  <c r="E850" i="4"/>
  <c r="H850" i="4"/>
  <c r="AH850" i="4" s="1"/>
  <c r="AN850" i="4" s="1"/>
  <c r="J850" i="4"/>
  <c r="K850" i="4"/>
  <c r="L850" i="4"/>
  <c r="O850" i="4"/>
  <c r="Z850" i="4"/>
  <c r="AA850" i="4"/>
  <c r="AB850" i="4"/>
  <c r="AC850" i="4"/>
  <c r="AD850" i="4"/>
  <c r="AE850" i="4"/>
  <c r="AG850" i="4"/>
  <c r="AI850" i="4"/>
  <c r="AK850" i="4"/>
  <c r="AM850" i="4"/>
  <c r="E851" i="4"/>
  <c r="H851" i="4"/>
  <c r="AH851" i="4" s="1"/>
  <c r="AN851" i="4" s="1"/>
  <c r="J851" i="4"/>
  <c r="K851" i="4"/>
  <c r="L851" i="4"/>
  <c r="O851" i="4"/>
  <c r="Z851" i="4"/>
  <c r="AA851" i="4"/>
  <c r="AB851" i="4"/>
  <c r="AC851" i="4"/>
  <c r="AD851" i="4"/>
  <c r="AE851" i="4"/>
  <c r="AG851" i="4"/>
  <c r="AI851" i="4"/>
  <c r="AK851" i="4"/>
  <c r="AM851" i="4"/>
  <c r="E852" i="4"/>
  <c r="H852" i="4"/>
  <c r="AH852" i="4" s="1"/>
  <c r="AN852" i="4" s="1"/>
  <c r="J852" i="4"/>
  <c r="K852" i="4"/>
  <c r="L852" i="4"/>
  <c r="O852" i="4"/>
  <c r="Z852" i="4"/>
  <c r="AA852" i="4"/>
  <c r="AB852" i="4"/>
  <c r="AC852" i="4"/>
  <c r="AD852" i="4"/>
  <c r="AE852" i="4"/>
  <c r="AG852" i="4"/>
  <c r="AI852" i="4"/>
  <c r="AK852" i="4"/>
  <c r="AM852" i="4"/>
  <c r="E853" i="4"/>
  <c r="H853" i="4"/>
  <c r="AF853" i="4" s="1"/>
  <c r="J853" i="4"/>
  <c r="K853" i="4"/>
  <c r="L853" i="4"/>
  <c r="O853" i="4"/>
  <c r="Z853" i="4"/>
  <c r="AA853" i="4"/>
  <c r="AB853" i="4"/>
  <c r="AC853" i="4"/>
  <c r="AD853" i="4"/>
  <c r="AE853" i="4"/>
  <c r="AG853" i="4"/>
  <c r="AI853" i="4"/>
  <c r="AK853" i="4"/>
  <c r="AM853" i="4"/>
  <c r="E854" i="4"/>
  <c r="H854" i="4"/>
  <c r="AF854" i="4" s="1"/>
  <c r="J854" i="4"/>
  <c r="K854" i="4"/>
  <c r="O854" i="4"/>
  <c r="Z854" i="4"/>
  <c r="AA854" i="4"/>
  <c r="AB854" i="4"/>
  <c r="AC854" i="4"/>
  <c r="AD854" i="4"/>
  <c r="AE854" i="4"/>
  <c r="AG854" i="4"/>
  <c r="AI854" i="4"/>
  <c r="AK854" i="4"/>
  <c r="AM854" i="4"/>
  <c r="AM856" i="4" s="1"/>
  <c r="AM857" i="4" s="1"/>
  <c r="E862" i="4"/>
  <c r="H862" i="4"/>
  <c r="J862" i="4"/>
  <c r="K862" i="4"/>
  <c r="Z862" i="4"/>
  <c r="AA862" i="4"/>
  <c r="AB862" i="4"/>
  <c r="AC862" i="4"/>
  <c r="AD862" i="4"/>
  <c r="AE862" i="4"/>
  <c r="AG862" i="4"/>
  <c r="AI862" i="4"/>
  <c r="AK862" i="4"/>
  <c r="AM862" i="4"/>
  <c r="AM864" i="4" s="1"/>
  <c r="E865" i="4"/>
  <c r="H865" i="4"/>
  <c r="AF865" i="4" s="1"/>
  <c r="J865" i="4"/>
  <c r="K865" i="4"/>
  <c r="Z865" i="4"/>
  <c r="AA865" i="4"/>
  <c r="AB865" i="4"/>
  <c r="AC865" i="4"/>
  <c r="AD865" i="4"/>
  <c r="AE865" i="4"/>
  <c r="AG865" i="4"/>
  <c r="AI865" i="4"/>
  <c r="AK865" i="4"/>
  <c r="AM865" i="4"/>
  <c r="E868" i="4"/>
  <c r="H868" i="4"/>
  <c r="AH868" i="4" s="1"/>
  <c r="AN868" i="4" s="1"/>
  <c r="J868" i="4"/>
  <c r="K868" i="4"/>
  <c r="L868" i="4"/>
  <c r="O868" i="4"/>
  <c r="Z868" i="4"/>
  <c r="AA868" i="4"/>
  <c r="AB868" i="4"/>
  <c r="AC868" i="4"/>
  <c r="AD868" i="4"/>
  <c r="AE868" i="4"/>
  <c r="AG868" i="4"/>
  <c r="AI868" i="4"/>
  <c r="AK868" i="4"/>
  <c r="AM868" i="4"/>
  <c r="E869" i="4"/>
  <c r="H869" i="4"/>
  <c r="AF869" i="4" s="1"/>
  <c r="J869" i="4"/>
  <c r="K869" i="4"/>
  <c r="L869" i="4"/>
  <c r="O869" i="4"/>
  <c r="Z869" i="4"/>
  <c r="AA869" i="4"/>
  <c r="AB869" i="4"/>
  <c r="AC869" i="4"/>
  <c r="AD869" i="4"/>
  <c r="AE869" i="4"/>
  <c r="AG869" i="4"/>
  <c r="AI869" i="4"/>
  <c r="AK869" i="4"/>
  <c r="AM869" i="4"/>
  <c r="E870" i="4"/>
  <c r="H870" i="4"/>
  <c r="AF870" i="4" s="1"/>
  <c r="J870" i="4"/>
  <c r="K870" i="4"/>
  <c r="L870" i="4"/>
  <c r="O870" i="4"/>
  <c r="Z870" i="4"/>
  <c r="AA870" i="4"/>
  <c r="AB870" i="4"/>
  <c r="AC870" i="4"/>
  <c r="AD870" i="4"/>
  <c r="AE870" i="4"/>
  <c r="AG870" i="4"/>
  <c r="AI870" i="4"/>
  <c r="AK870" i="4"/>
  <c r="AM870" i="4"/>
  <c r="E871" i="4"/>
  <c r="H871" i="4"/>
  <c r="AF871" i="4" s="1"/>
  <c r="J871" i="4"/>
  <c r="K871" i="4"/>
  <c r="L871" i="4"/>
  <c r="O871" i="4"/>
  <c r="Z871" i="4"/>
  <c r="AA871" i="4"/>
  <c r="AB871" i="4"/>
  <c r="AC871" i="4"/>
  <c r="AD871" i="4"/>
  <c r="AE871" i="4"/>
  <c r="AG871" i="4"/>
  <c r="AI871" i="4"/>
  <c r="AK871" i="4"/>
  <c r="AM871" i="4"/>
  <c r="E872" i="4"/>
  <c r="H872" i="4"/>
  <c r="AF872" i="4" s="1"/>
  <c r="J872" i="4"/>
  <c r="K872" i="4"/>
  <c r="L872" i="4"/>
  <c r="O872" i="4"/>
  <c r="Z872" i="4"/>
  <c r="AA872" i="4"/>
  <c r="AB872" i="4"/>
  <c r="AC872" i="4"/>
  <c r="AD872" i="4"/>
  <c r="AE872" i="4"/>
  <c r="AG872" i="4"/>
  <c r="AI872" i="4"/>
  <c r="AK872" i="4"/>
  <c r="AM872" i="4"/>
  <c r="AM842" i="4"/>
  <c r="AK842" i="4"/>
  <c r="AI842" i="4"/>
  <c r="AG842" i="4"/>
  <c r="AE842" i="4"/>
  <c r="AD842" i="4"/>
  <c r="AC842" i="4"/>
  <c r="AB842" i="4"/>
  <c r="AA842" i="4"/>
  <c r="Z842" i="4"/>
  <c r="O842" i="4"/>
  <c r="L842" i="4"/>
  <c r="K842" i="4"/>
  <c r="J842" i="4"/>
  <c r="H842" i="4"/>
  <c r="AV842" i="4" s="1"/>
  <c r="E842" i="4"/>
  <c r="AM841" i="4"/>
  <c r="AK841" i="4"/>
  <c r="AI841" i="4"/>
  <c r="AG841" i="4"/>
  <c r="AE841" i="4"/>
  <c r="AD841" i="4"/>
  <c r="AC841" i="4"/>
  <c r="AB841" i="4"/>
  <c r="AA841" i="4"/>
  <c r="Z841" i="4"/>
  <c r="O841" i="4"/>
  <c r="L841" i="4"/>
  <c r="K841" i="4"/>
  <c r="J841" i="4"/>
  <c r="H841" i="4"/>
  <c r="AV841" i="4" s="1"/>
  <c r="E841" i="4"/>
  <c r="AM840" i="4"/>
  <c r="AK840" i="4"/>
  <c r="AI840" i="4"/>
  <c r="AG840" i="4"/>
  <c r="AE840" i="4"/>
  <c r="AD840" i="4"/>
  <c r="AC840" i="4"/>
  <c r="AB840" i="4"/>
  <c r="AA840" i="4"/>
  <c r="Z840" i="4"/>
  <c r="O840" i="4"/>
  <c r="L840" i="4"/>
  <c r="K840" i="4"/>
  <c r="J840" i="4"/>
  <c r="H840" i="4"/>
  <c r="AV840" i="4" s="1"/>
  <c r="E840" i="4"/>
  <c r="AM839" i="4"/>
  <c r="AK839" i="4"/>
  <c r="AI839" i="4"/>
  <c r="AG839" i="4"/>
  <c r="AE839" i="4"/>
  <c r="AD839" i="4"/>
  <c r="AC839" i="4"/>
  <c r="AB839" i="4"/>
  <c r="AA839" i="4"/>
  <c r="Z839" i="4"/>
  <c r="O839" i="4"/>
  <c r="L839" i="4"/>
  <c r="K839" i="4"/>
  <c r="J839" i="4"/>
  <c r="H839" i="4"/>
  <c r="AV839" i="4" s="1"/>
  <c r="E839" i="4"/>
  <c r="AM838" i="4"/>
  <c r="AK838" i="4"/>
  <c r="AI838" i="4"/>
  <c r="AG838" i="4"/>
  <c r="AE838" i="4"/>
  <c r="AD838" i="4"/>
  <c r="AC838" i="4"/>
  <c r="AB838" i="4"/>
  <c r="AA838" i="4"/>
  <c r="Z838" i="4"/>
  <c r="O838" i="4"/>
  <c r="L838" i="4"/>
  <c r="K838" i="4"/>
  <c r="J838" i="4"/>
  <c r="H838" i="4"/>
  <c r="AV838" i="4" s="1"/>
  <c r="E838" i="4"/>
  <c r="AM837" i="4"/>
  <c r="AK837" i="4"/>
  <c r="AI837" i="4"/>
  <c r="AG837" i="4"/>
  <c r="AE837" i="4"/>
  <c r="AD837" i="4"/>
  <c r="AC837" i="4"/>
  <c r="AB837" i="4"/>
  <c r="AA837" i="4"/>
  <c r="Z837" i="4"/>
  <c r="O837" i="4"/>
  <c r="L837" i="4"/>
  <c r="K837" i="4"/>
  <c r="J837" i="4"/>
  <c r="H837" i="4"/>
  <c r="AV837" i="4" s="1"/>
  <c r="E837" i="4"/>
  <c r="AM836" i="4"/>
  <c r="AK836" i="4"/>
  <c r="AI836" i="4"/>
  <c r="AG836" i="4"/>
  <c r="AE836" i="4"/>
  <c r="AD836" i="4"/>
  <c r="AC836" i="4"/>
  <c r="AB836" i="4"/>
  <c r="AA836" i="4"/>
  <c r="Z836" i="4"/>
  <c r="O836" i="4"/>
  <c r="L836" i="4"/>
  <c r="K836" i="4"/>
  <c r="J836" i="4"/>
  <c r="H836" i="4"/>
  <c r="AV836" i="4" s="1"/>
  <c r="E836" i="4"/>
  <c r="AM835" i="4"/>
  <c r="AK835" i="4"/>
  <c r="AI835" i="4"/>
  <c r="AG835" i="4"/>
  <c r="AE835" i="4"/>
  <c r="AD835" i="4"/>
  <c r="AC835" i="4"/>
  <c r="AB835" i="4"/>
  <c r="AA835" i="4"/>
  <c r="Z835" i="4"/>
  <c r="O835" i="4"/>
  <c r="L835" i="4"/>
  <c r="K835" i="4"/>
  <c r="J835" i="4"/>
  <c r="H835" i="4"/>
  <c r="AV835" i="4" s="1"/>
  <c r="E835" i="4"/>
  <c r="AM826" i="4"/>
  <c r="AM827" i="4" s="1"/>
  <c r="AM828" i="4" s="1"/>
  <c r="AM829" i="4" s="1"/>
  <c r="AM830" i="4" s="1"/>
  <c r="AM831" i="4" s="1"/>
  <c r="AM832" i="4" s="1"/>
  <c r="AM833" i="4" s="1"/>
  <c r="AM834" i="4" s="1"/>
  <c r="AK826" i="4"/>
  <c r="AI826" i="4"/>
  <c r="AG826" i="4"/>
  <c r="AE826" i="4"/>
  <c r="AD826" i="4"/>
  <c r="AC826" i="4"/>
  <c r="AB826" i="4"/>
  <c r="AA826" i="4"/>
  <c r="Z826" i="4"/>
  <c r="L826" i="4"/>
  <c r="K826" i="4"/>
  <c r="J826" i="4"/>
  <c r="H826" i="4"/>
  <c r="AV826" i="4" s="1"/>
  <c r="E826" i="4"/>
  <c r="AM825" i="4"/>
  <c r="AK825" i="4"/>
  <c r="AI825" i="4"/>
  <c r="AG825" i="4"/>
  <c r="AE825" i="4"/>
  <c r="AD825" i="4"/>
  <c r="AC825" i="4"/>
  <c r="AB825" i="4"/>
  <c r="AA825" i="4"/>
  <c r="Z825" i="4"/>
  <c r="O825" i="4"/>
  <c r="L825" i="4"/>
  <c r="K825" i="4"/>
  <c r="J825" i="4"/>
  <c r="H825" i="4"/>
  <c r="AV825" i="4" s="1"/>
  <c r="E825" i="4"/>
  <c r="AM824" i="4"/>
  <c r="AK824" i="4"/>
  <c r="AI824" i="4"/>
  <c r="AG824" i="4"/>
  <c r="AE824" i="4"/>
  <c r="AD824" i="4"/>
  <c r="AC824" i="4"/>
  <c r="AB824" i="4"/>
  <c r="AA824" i="4"/>
  <c r="Z824" i="4"/>
  <c r="O824" i="4"/>
  <c r="L824" i="4"/>
  <c r="K824" i="4"/>
  <c r="J824" i="4"/>
  <c r="H824" i="4"/>
  <c r="AV824" i="4" s="1"/>
  <c r="E824" i="4"/>
  <c r="AM823" i="4"/>
  <c r="AK823" i="4"/>
  <c r="AI823" i="4"/>
  <c r="AG823" i="4"/>
  <c r="AE823" i="4"/>
  <c r="AD823" i="4"/>
  <c r="AC823" i="4"/>
  <c r="AB823" i="4"/>
  <c r="AA823" i="4"/>
  <c r="Z823" i="4"/>
  <c r="O823" i="4"/>
  <c r="L823" i="4"/>
  <c r="K823" i="4"/>
  <c r="J823" i="4"/>
  <c r="H823" i="4"/>
  <c r="AH823" i="4" s="1"/>
  <c r="AN823" i="4" s="1"/>
  <c r="E823" i="4"/>
  <c r="AM822" i="4"/>
  <c r="AK822" i="4"/>
  <c r="AI822" i="4"/>
  <c r="AG822" i="4"/>
  <c r="AE822" i="4"/>
  <c r="AD822" i="4"/>
  <c r="AC822" i="4"/>
  <c r="AB822" i="4"/>
  <c r="AA822" i="4"/>
  <c r="Z822" i="4"/>
  <c r="O822" i="4"/>
  <c r="L822" i="4"/>
  <c r="K822" i="4"/>
  <c r="J822" i="4"/>
  <c r="H822" i="4"/>
  <c r="AV822" i="4" s="1"/>
  <c r="E822" i="4"/>
  <c r="AM821" i="4"/>
  <c r="AK821" i="4"/>
  <c r="AI821" i="4"/>
  <c r="AG821" i="4"/>
  <c r="AE821" i="4"/>
  <c r="AD821" i="4"/>
  <c r="AC821" i="4"/>
  <c r="AB821" i="4"/>
  <c r="AA821" i="4"/>
  <c r="Z821" i="4"/>
  <c r="O821" i="4"/>
  <c r="L821" i="4"/>
  <c r="K821" i="4"/>
  <c r="J821" i="4"/>
  <c r="H821" i="4"/>
  <c r="AV821" i="4" s="1"/>
  <c r="E821" i="4"/>
  <c r="AM820" i="4"/>
  <c r="AK820" i="4"/>
  <c r="AI820" i="4"/>
  <c r="AG820" i="4"/>
  <c r="AE820" i="4"/>
  <c r="AD820" i="4"/>
  <c r="AC820" i="4"/>
  <c r="AB820" i="4"/>
  <c r="AA820" i="4"/>
  <c r="Z820" i="4"/>
  <c r="O820" i="4"/>
  <c r="L820" i="4"/>
  <c r="K820" i="4"/>
  <c r="J820" i="4"/>
  <c r="H820" i="4"/>
  <c r="AV820" i="4" s="1"/>
  <c r="E820" i="4"/>
  <c r="AM819" i="4"/>
  <c r="AK819" i="4"/>
  <c r="AI819" i="4"/>
  <c r="AG819" i="4"/>
  <c r="AE819" i="4"/>
  <c r="AD819" i="4"/>
  <c r="AC819" i="4"/>
  <c r="AB819" i="4"/>
  <c r="AA819" i="4"/>
  <c r="Z819" i="4"/>
  <c r="O819" i="4"/>
  <c r="L819" i="4"/>
  <c r="K819" i="4"/>
  <c r="J819" i="4"/>
  <c r="H819" i="4"/>
  <c r="AV819" i="4" s="1"/>
  <c r="E819" i="4"/>
  <c r="AM818" i="4"/>
  <c r="AK818" i="4"/>
  <c r="AI818" i="4"/>
  <c r="AG818" i="4"/>
  <c r="AE818" i="4"/>
  <c r="AD818" i="4"/>
  <c r="AC818" i="4"/>
  <c r="AB818" i="4"/>
  <c r="AA818" i="4"/>
  <c r="Z818" i="4"/>
  <c r="O818" i="4"/>
  <c r="L818" i="4"/>
  <c r="K818" i="4"/>
  <c r="J818" i="4"/>
  <c r="H818" i="4"/>
  <c r="AV818" i="4" s="1"/>
  <c r="E818" i="4"/>
  <c r="AM817" i="4"/>
  <c r="AK817" i="4"/>
  <c r="AI817" i="4"/>
  <c r="AG817" i="4"/>
  <c r="AE817" i="4"/>
  <c r="AD817" i="4"/>
  <c r="AC817" i="4"/>
  <c r="AB817" i="4"/>
  <c r="AA817" i="4"/>
  <c r="Z817" i="4"/>
  <c r="O817" i="4"/>
  <c r="L817" i="4"/>
  <c r="K817" i="4"/>
  <c r="J817" i="4"/>
  <c r="H817" i="4"/>
  <c r="AV817" i="4" s="1"/>
  <c r="E817" i="4"/>
  <c r="AM816" i="4"/>
  <c r="AK816" i="4"/>
  <c r="AI816" i="4"/>
  <c r="AG816" i="4"/>
  <c r="AE816" i="4"/>
  <c r="AD816" i="4"/>
  <c r="AC816" i="4"/>
  <c r="AB816" i="4"/>
  <c r="AA816" i="4"/>
  <c r="Z816" i="4"/>
  <c r="O816" i="4"/>
  <c r="L816" i="4"/>
  <c r="K816" i="4"/>
  <c r="J816" i="4"/>
  <c r="H816" i="4"/>
  <c r="AV816" i="4" s="1"/>
  <c r="E816" i="4"/>
  <c r="AM815" i="4"/>
  <c r="AK815" i="4"/>
  <c r="AI815" i="4"/>
  <c r="AG815" i="4"/>
  <c r="AE815" i="4"/>
  <c r="AD815" i="4"/>
  <c r="AC815" i="4"/>
  <c r="AB815" i="4"/>
  <c r="AA815" i="4"/>
  <c r="Z815" i="4"/>
  <c r="O815" i="4"/>
  <c r="L815" i="4"/>
  <c r="K815" i="4"/>
  <c r="J815" i="4"/>
  <c r="H815" i="4"/>
  <c r="AH815" i="4" s="1"/>
  <c r="AN815" i="4" s="1"/>
  <c r="E815" i="4"/>
  <c r="G1451" i="1"/>
  <c r="H1451" i="1" s="1"/>
  <c r="G1450" i="1"/>
  <c r="H1450" i="1" s="1"/>
  <c r="G1449" i="1"/>
  <c r="H1449" i="1" s="1"/>
  <c r="G1448" i="1"/>
  <c r="H1448" i="1" s="1"/>
  <c r="G1447" i="1"/>
  <c r="H1447" i="1" s="1"/>
  <c r="G1446" i="1"/>
  <c r="H1446" i="1" s="1"/>
  <c r="O806" i="4"/>
  <c r="O805" i="4"/>
  <c r="O804" i="4"/>
  <c r="F834" i="1"/>
  <c r="O802" i="4"/>
  <c r="N801" i="4"/>
  <c r="F832" i="1"/>
  <c r="F831" i="1"/>
  <c r="F830" i="1"/>
  <c r="O795" i="4"/>
  <c r="O794" i="4"/>
  <c r="O793" i="4"/>
  <c r="O792" i="4"/>
  <c r="O791" i="4"/>
  <c r="O790" i="4"/>
  <c r="P790" i="4" s="1"/>
  <c r="AK795" i="4"/>
  <c r="AI795" i="4"/>
  <c r="AG795" i="4"/>
  <c r="AE795" i="4"/>
  <c r="AD795" i="4"/>
  <c r="AC795" i="4"/>
  <c r="AB795" i="4"/>
  <c r="AA795" i="4"/>
  <c r="Z795" i="4"/>
  <c r="H795" i="4"/>
  <c r="AK794" i="4"/>
  <c r="AI794" i="4"/>
  <c r="AG794" i="4"/>
  <c r="AE794" i="4"/>
  <c r="AD794" i="4"/>
  <c r="AC794" i="4"/>
  <c r="AB794" i="4"/>
  <c r="AA794" i="4"/>
  <c r="Z794" i="4"/>
  <c r="P794" i="4"/>
  <c r="H794" i="4"/>
  <c r="AK793" i="4"/>
  <c r="AI793" i="4"/>
  <c r="AG793" i="4"/>
  <c r="AE793" i="4"/>
  <c r="AD793" i="4"/>
  <c r="AC793" i="4"/>
  <c r="AB793" i="4"/>
  <c r="AA793" i="4"/>
  <c r="Z793" i="4"/>
  <c r="H793" i="4"/>
  <c r="AK792" i="4"/>
  <c r="AI792" i="4"/>
  <c r="AG792" i="4"/>
  <c r="AE792" i="4"/>
  <c r="AD792" i="4"/>
  <c r="AC792" i="4"/>
  <c r="AB792" i="4"/>
  <c r="AA792" i="4"/>
  <c r="Z792" i="4"/>
  <c r="H792" i="4"/>
  <c r="AK791" i="4"/>
  <c r="AI791" i="4"/>
  <c r="AG791" i="4"/>
  <c r="AE791" i="4"/>
  <c r="AD791" i="4"/>
  <c r="AC791" i="4"/>
  <c r="AB791" i="4"/>
  <c r="AA791" i="4"/>
  <c r="Z791" i="4"/>
  <c r="H791" i="4"/>
  <c r="AK790" i="4"/>
  <c r="AI790" i="4"/>
  <c r="AG790" i="4"/>
  <c r="AE790" i="4"/>
  <c r="AD790" i="4"/>
  <c r="AC790" i="4"/>
  <c r="AB790" i="4"/>
  <c r="AA790" i="4"/>
  <c r="Z790" i="4"/>
  <c r="H790" i="4"/>
  <c r="AK789" i="4"/>
  <c r="AI789" i="4"/>
  <c r="AG789" i="4"/>
  <c r="AE789" i="4"/>
  <c r="AD789" i="4"/>
  <c r="AC789" i="4"/>
  <c r="AB789" i="4"/>
  <c r="AA789" i="4"/>
  <c r="Z789" i="4"/>
  <c r="O789" i="4"/>
  <c r="H789" i="4"/>
  <c r="AM789" i="4"/>
  <c r="AM790" i="4" s="1"/>
  <c r="AM791" i="4" s="1"/>
  <c r="AM792" i="4" s="1"/>
  <c r="AM793" i="4" s="1"/>
  <c r="AM794" i="4" s="1"/>
  <c r="AM795" i="4" s="1"/>
  <c r="AK788" i="4"/>
  <c r="AI788" i="4"/>
  <c r="AG788" i="4"/>
  <c r="AE788" i="4"/>
  <c r="AD788" i="4"/>
  <c r="AC788" i="4"/>
  <c r="AB788" i="4"/>
  <c r="AA788" i="4"/>
  <c r="Z788" i="4"/>
  <c r="O788" i="4"/>
  <c r="H788" i="4"/>
  <c r="AM787" i="4"/>
  <c r="AM788" i="4" s="1"/>
  <c r="AK787" i="4"/>
  <c r="AI787" i="4"/>
  <c r="AG787" i="4"/>
  <c r="AE787" i="4"/>
  <c r="AD787" i="4"/>
  <c r="AC787" i="4"/>
  <c r="AB787" i="4"/>
  <c r="AA787" i="4"/>
  <c r="Z787" i="4"/>
  <c r="O787" i="4"/>
  <c r="H787" i="4"/>
  <c r="AV869" i="4" l="1"/>
  <c r="AH869" i="4"/>
  <c r="AN869" i="4" s="1"/>
  <c r="AL958" i="4"/>
  <c r="AL961" i="4"/>
  <c r="AL962" i="4"/>
  <c r="AL968" i="4"/>
  <c r="AH848" i="4"/>
  <c r="AN848" i="4" s="1"/>
  <c r="AL966" i="4"/>
  <c r="Q931" i="4"/>
  <c r="G1303" i="1" s="1"/>
  <c r="H1303" i="1" s="1"/>
  <c r="Q932" i="4"/>
  <c r="G1304" i="1" s="1"/>
  <c r="H1304" i="1" s="1"/>
  <c r="P956" i="4"/>
  <c r="F956" i="4" s="1"/>
  <c r="Q958" i="4"/>
  <c r="R958" i="4" s="1"/>
  <c r="G958" i="4" s="1"/>
  <c r="P958" i="4"/>
  <c r="F958" i="4" s="1"/>
  <c r="Q959" i="4"/>
  <c r="G1331" i="1" s="1"/>
  <c r="H1331" i="1" s="1"/>
  <c r="P959" i="4"/>
  <c r="F959" i="4" s="1"/>
  <c r="Q964" i="4"/>
  <c r="G1336" i="1" s="1"/>
  <c r="H1336" i="1" s="1"/>
  <c r="Q954" i="4"/>
  <c r="P954" i="4"/>
  <c r="F954" i="4" s="1"/>
  <c r="AV954" i="4"/>
  <c r="P964" i="4"/>
  <c r="F964" i="4" s="1"/>
  <c r="Q966" i="4"/>
  <c r="P966" i="4"/>
  <c r="F966" i="4" s="1"/>
  <c r="Q968" i="4"/>
  <c r="R968" i="4" s="1"/>
  <c r="G968" i="4" s="1"/>
  <c r="P968" i="4"/>
  <c r="F968" i="4" s="1"/>
  <c r="Q969" i="4"/>
  <c r="G1341" i="1" s="1"/>
  <c r="H1341" i="1" s="1"/>
  <c r="P969" i="4"/>
  <c r="F969" i="4" s="1"/>
  <c r="Q970" i="4"/>
  <c r="G1342" i="1" s="1"/>
  <c r="H1342" i="1" s="1"/>
  <c r="P970" i="4"/>
  <c r="F970" i="4" s="1"/>
  <c r="Q971" i="4"/>
  <c r="G1343" i="1" s="1"/>
  <c r="H1343" i="1" s="1"/>
  <c r="P971" i="4"/>
  <c r="F971" i="4" s="1"/>
  <c r="AL954" i="4"/>
  <c r="Q936" i="4"/>
  <c r="G1308" i="1" s="1"/>
  <c r="H1308" i="1" s="1"/>
  <c r="P936" i="4"/>
  <c r="F936" i="4" s="1"/>
  <c r="Q937" i="4"/>
  <c r="G1309" i="1" s="1"/>
  <c r="H1309" i="1" s="1"/>
  <c r="Q938" i="4"/>
  <c r="G1310" i="1" s="1"/>
  <c r="H1310" i="1" s="1"/>
  <c r="P939" i="4"/>
  <c r="F939" i="4" s="1"/>
  <c r="Q940" i="4"/>
  <c r="G1312" i="1" s="1"/>
  <c r="H1312" i="1" s="1"/>
  <c r="P940" i="4"/>
  <c r="F940" i="4" s="1"/>
  <c r="Q942" i="4"/>
  <c r="G1314" i="1" s="1"/>
  <c r="H1314" i="1" s="1"/>
  <c r="P942" i="4"/>
  <c r="F942" i="4" s="1"/>
  <c r="P943" i="4"/>
  <c r="F943" i="4" s="1"/>
  <c r="Q944" i="4"/>
  <c r="G1316" i="1" s="1"/>
  <c r="H1316" i="1" s="1"/>
  <c r="P944" i="4"/>
  <c r="F944" i="4" s="1"/>
  <c r="Q946" i="4"/>
  <c r="G1318" i="1" s="1"/>
  <c r="H1318" i="1" s="1"/>
  <c r="P946" i="4"/>
  <c r="F946" i="4" s="1"/>
  <c r="P947" i="4"/>
  <c r="F947" i="4" s="1"/>
  <c r="Q948" i="4"/>
  <c r="G1320" i="1" s="1"/>
  <c r="H1320" i="1" s="1"/>
  <c r="P948" i="4"/>
  <c r="F948" i="4" s="1"/>
  <c r="AH795" i="4"/>
  <c r="AN795" i="4" s="1"/>
  <c r="AV795" i="4"/>
  <c r="G1237" i="1"/>
  <c r="H1237" i="1" s="1"/>
  <c r="Q886" i="4"/>
  <c r="G1258" i="1" s="1"/>
  <c r="H1258" i="1" s="1"/>
  <c r="Q892" i="4"/>
  <c r="G1264" i="1" s="1"/>
  <c r="H1264" i="1" s="1"/>
  <c r="Q898" i="4"/>
  <c r="R898" i="4" s="1"/>
  <c r="G898" i="4" s="1"/>
  <c r="Q904" i="4"/>
  <c r="Q910" i="4"/>
  <c r="R910" i="4" s="1"/>
  <c r="G910" i="4" s="1"/>
  <c r="Q916" i="4"/>
  <c r="R916" i="4" s="1"/>
  <c r="G916" i="4" s="1"/>
  <c r="AH931" i="4"/>
  <c r="AN931" i="4" s="1"/>
  <c r="Q960" i="4"/>
  <c r="G1332" i="1" s="1"/>
  <c r="H1332" i="1" s="1"/>
  <c r="Q963" i="4"/>
  <c r="G1335" i="1" s="1"/>
  <c r="H1335" i="1" s="1"/>
  <c r="AH787" i="4"/>
  <c r="AN787" i="4" s="1"/>
  <c r="AV787" i="4"/>
  <c r="AV788" i="4"/>
  <c r="AH788" i="4"/>
  <c r="AN788" i="4" s="1"/>
  <c r="AF788" i="4"/>
  <c r="AH790" i="4"/>
  <c r="AN790" i="4" s="1"/>
  <c r="AV790" i="4"/>
  <c r="AF789" i="4"/>
  <c r="AV789" i="4"/>
  <c r="AH789" i="4"/>
  <c r="AN789" i="4" s="1"/>
  <c r="AV792" i="4"/>
  <c r="AH792" i="4"/>
  <c r="AN792" i="4" s="1"/>
  <c r="AH794" i="4"/>
  <c r="AN794" i="4" s="1"/>
  <c r="AV794" i="4"/>
  <c r="Q884" i="4"/>
  <c r="G1256" i="1" s="1"/>
  <c r="H1256" i="1" s="1"/>
  <c r="Q890" i="4"/>
  <c r="R890" i="4" s="1"/>
  <c r="G890" i="4" s="1"/>
  <c r="Q896" i="4"/>
  <c r="R896" i="4" s="1"/>
  <c r="G896" i="4" s="1"/>
  <c r="Q902" i="4"/>
  <c r="G1274" i="1" s="1"/>
  <c r="H1274" i="1" s="1"/>
  <c r="Q908" i="4"/>
  <c r="G1280" i="1" s="1"/>
  <c r="H1280" i="1" s="1"/>
  <c r="Q914" i="4"/>
  <c r="R914" i="4" s="1"/>
  <c r="G914" i="4" s="1"/>
  <c r="AL945" i="4"/>
  <c r="AL950" i="4"/>
  <c r="Q955" i="4"/>
  <c r="G1327" i="1" s="1"/>
  <c r="H1327" i="1" s="1"/>
  <c r="Q888" i="4"/>
  <c r="G1260" i="1" s="1"/>
  <c r="H1260" i="1" s="1"/>
  <c r="Q894" i="4"/>
  <c r="G1266" i="1" s="1"/>
  <c r="H1266" i="1" s="1"/>
  <c r="Q900" i="4"/>
  <c r="R900" i="4" s="1"/>
  <c r="G900" i="4" s="1"/>
  <c r="Q906" i="4"/>
  <c r="G1278" i="1" s="1"/>
  <c r="H1278" i="1" s="1"/>
  <c r="Q912" i="4"/>
  <c r="G1284" i="1" s="1"/>
  <c r="H1284" i="1" s="1"/>
  <c r="Q918" i="4"/>
  <c r="G1290" i="1" s="1"/>
  <c r="H1290" i="1" s="1"/>
  <c r="AH791" i="4"/>
  <c r="AN791" i="4" s="1"/>
  <c r="AV791" i="4"/>
  <c r="AF793" i="4"/>
  <c r="AV793" i="4"/>
  <c r="AH793" i="4"/>
  <c r="AN793" i="4" s="1"/>
  <c r="AF849" i="4"/>
  <c r="P849" i="4"/>
  <c r="F849" i="4" s="1"/>
  <c r="Q849" i="4"/>
  <c r="G1231" i="1" s="1"/>
  <c r="H1231" i="1" s="1"/>
  <c r="P894" i="4"/>
  <c r="F894" i="4" s="1"/>
  <c r="P896" i="4"/>
  <c r="F896" i="4" s="1"/>
  <c r="P898" i="4"/>
  <c r="F898" i="4" s="1"/>
  <c r="P900" i="4"/>
  <c r="F900" i="4" s="1"/>
  <c r="P902" i="4"/>
  <c r="F902" i="4" s="1"/>
  <c r="AL903" i="4"/>
  <c r="P912" i="4"/>
  <c r="F912" i="4" s="1"/>
  <c r="P914" i="4"/>
  <c r="F914" i="4" s="1"/>
  <c r="P916" i="4"/>
  <c r="F916" i="4" s="1"/>
  <c r="P918" i="4"/>
  <c r="F918" i="4" s="1"/>
  <c r="P955" i="4"/>
  <c r="F955" i="4" s="1"/>
  <c r="Q869" i="4"/>
  <c r="G1241" i="1" s="1"/>
  <c r="H1241" i="1" s="1"/>
  <c r="Q927" i="4"/>
  <c r="G1299" i="1" s="1"/>
  <c r="H1299" i="1" s="1"/>
  <c r="AL959" i="4"/>
  <c r="AL927" i="4"/>
  <c r="AL929" i="4"/>
  <c r="AL969" i="4"/>
  <c r="AL970" i="4"/>
  <c r="AL971" i="4"/>
  <c r="AH967" i="4"/>
  <c r="AN967" i="4" s="1"/>
  <c r="P868" i="4"/>
  <c r="F868" i="4" s="1"/>
  <c r="Q868" i="4"/>
  <c r="G1240" i="1" s="1"/>
  <c r="H1240" i="1" s="1"/>
  <c r="Q897" i="4"/>
  <c r="R897" i="4" s="1"/>
  <c r="G897" i="4" s="1"/>
  <c r="Q901" i="4"/>
  <c r="R901" i="4" s="1"/>
  <c r="G901" i="4" s="1"/>
  <c r="Q915" i="4"/>
  <c r="G1287" i="1" s="1"/>
  <c r="H1287" i="1" s="1"/>
  <c r="AL955" i="4"/>
  <c r="AH956" i="4"/>
  <c r="AN956" i="4" s="1"/>
  <c r="Q957" i="4"/>
  <c r="P957" i="4"/>
  <c r="F957" i="4" s="1"/>
  <c r="AL957" i="4"/>
  <c r="P960" i="4"/>
  <c r="F960" i="4" s="1"/>
  <c r="AL960" i="4"/>
  <c r="P963" i="4"/>
  <c r="F963" i="4" s="1"/>
  <c r="AL963" i="4"/>
  <c r="AH964" i="4"/>
  <c r="AN964" i="4" s="1"/>
  <c r="Q965" i="4"/>
  <c r="G1337" i="1" s="1"/>
  <c r="H1337" i="1" s="1"/>
  <c r="P965" i="4"/>
  <c r="F965" i="4" s="1"/>
  <c r="AL965" i="4"/>
  <c r="AH968" i="4"/>
  <c r="AN968" i="4" s="1"/>
  <c r="AV968" i="4"/>
  <c r="AF868" i="4"/>
  <c r="AF851" i="4"/>
  <c r="P851" i="4"/>
  <c r="F851" i="4" s="1"/>
  <c r="Q851" i="4"/>
  <c r="G1233" i="1" s="1"/>
  <c r="H1233" i="1" s="1"/>
  <c r="Q895" i="4"/>
  <c r="R895" i="4" s="1"/>
  <c r="G895" i="4" s="1"/>
  <c r="Q899" i="4"/>
  <c r="G1271" i="1" s="1"/>
  <c r="H1271" i="1" s="1"/>
  <c r="Q913" i="4"/>
  <c r="G1285" i="1" s="1"/>
  <c r="H1285" i="1" s="1"/>
  <c r="Q917" i="4"/>
  <c r="G1289" i="1" s="1"/>
  <c r="H1289" i="1" s="1"/>
  <c r="AF862" i="4"/>
  <c r="Q862" i="4"/>
  <c r="G1238" i="1" s="1"/>
  <c r="H1238" i="1" s="1"/>
  <c r="Q854" i="4"/>
  <c r="G1236" i="1" s="1"/>
  <c r="H1236" i="1" s="1"/>
  <c r="AV849" i="4"/>
  <c r="AF843" i="4"/>
  <c r="P843" i="4"/>
  <c r="F843" i="4" s="1"/>
  <c r="Q843" i="4"/>
  <c r="G1226" i="1" s="1"/>
  <c r="H1226" i="1" s="1"/>
  <c r="P924" i="4"/>
  <c r="F924" i="4" s="1"/>
  <c r="AL924" i="4"/>
  <c r="Q925" i="4"/>
  <c r="G1297" i="1" s="1"/>
  <c r="H1297" i="1" s="1"/>
  <c r="Q928" i="4"/>
  <c r="G1300" i="1" s="1"/>
  <c r="H1300" i="1" s="1"/>
  <c r="P928" i="4"/>
  <c r="F928" i="4" s="1"/>
  <c r="P930" i="4"/>
  <c r="F930" i="4" s="1"/>
  <c r="AH948" i="4"/>
  <c r="AN948" i="4" s="1"/>
  <c r="AH957" i="4"/>
  <c r="AN957" i="4" s="1"/>
  <c r="AH965" i="4"/>
  <c r="AN965" i="4" s="1"/>
  <c r="AV851" i="4"/>
  <c r="P895" i="4"/>
  <c r="F895" i="4" s="1"/>
  <c r="P897" i="4"/>
  <c r="F897" i="4" s="1"/>
  <c r="P899" i="4"/>
  <c r="F899" i="4" s="1"/>
  <c r="P901" i="4"/>
  <c r="F901" i="4" s="1"/>
  <c r="P913" i="4"/>
  <c r="F913" i="4" s="1"/>
  <c r="P915" i="4"/>
  <c r="F915" i="4" s="1"/>
  <c r="AL915" i="4"/>
  <c r="P917" i="4"/>
  <c r="F917" i="4" s="1"/>
  <c r="AH955" i="4"/>
  <c r="AN955" i="4" s="1"/>
  <c r="Q956" i="4"/>
  <c r="G1328" i="1" s="1"/>
  <c r="H1328" i="1" s="1"/>
  <c r="AL956" i="4"/>
  <c r="AH958" i="4"/>
  <c r="AN958" i="4" s="1"/>
  <c r="AV958" i="4"/>
  <c r="Q961" i="4"/>
  <c r="P961" i="4"/>
  <c r="F961" i="4" s="1"/>
  <c r="Q962" i="4"/>
  <c r="P962" i="4"/>
  <c r="F962" i="4" s="1"/>
  <c r="AV962" i="4"/>
  <c r="AH963" i="4"/>
  <c r="AN963" i="4" s="1"/>
  <c r="AL964" i="4"/>
  <c r="AH966" i="4"/>
  <c r="AN966" i="4" s="1"/>
  <c r="Q967" i="4"/>
  <c r="P967" i="4"/>
  <c r="F967" i="4" s="1"/>
  <c r="AL967" i="4"/>
  <c r="Q815" i="4"/>
  <c r="G1198" i="1" s="1"/>
  <c r="H1198" i="1" s="1"/>
  <c r="P815" i="4"/>
  <c r="F815" i="4" s="1"/>
  <c r="Q816" i="4"/>
  <c r="G1199" i="1" s="1"/>
  <c r="H1199" i="1" s="1"/>
  <c r="P816" i="4"/>
  <c r="F816" i="4" s="1"/>
  <c r="Q817" i="4"/>
  <c r="G1200" i="1" s="1"/>
  <c r="H1200" i="1" s="1"/>
  <c r="P817" i="4"/>
  <c r="F817" i="4" s="1"/>
  <c r="Q818" i="4"/>
  <c r="G1201" i="1" s="1"/>
  <c r="H1201" i="1" s="1"/>
  <c r="P818" i="4"/>
  <c r="F818" i="4" s="1"/>
  <c r="Q819" i="4"/>
  <c r="G1202" i="1" s="1"/>
  <c r="H1202" i="1" s="1"/>
  <c r="P819" i="4"/>
  <c r="F819" i="4" s="1"/>
  <c r="Q820" i="4"/>
  <c r="R820" i="4" s="1"/>
  <c r="G820" i="4" s="1"/>
  <c r="P820" i="4"/>
  <c r="F820" i="4" s="1"/>
  <c r="Q821" i="4"/>
  <c r="G1204" i="1" s="1"/>
  <c r="H1204" i="1" s="1"/>
  <c r="P821" i="4"/>
  <c r="F821" i="4" s="1"/>
  <c r="Q822" i="4"/>
  <c r="G1205" i="1" s="1"/>
  <c r="H1205" i="1" s="1"/>
  <c r="P822" i="4"/>
  <c r="F822" i="4" s="1"/>
  <c r="Q823" i="4"/>
  <c r="G1206" i="1" s="1"/>
  <c r="H1206" i="1" s="1"/>
  <c r="P823" i="4"/>
  <c r="F823" i="4" s="1"/>
  <c r="Q824" i="4"/>
  <c r="R824" i="4" s="1"/>
  <c r="G824" i="4" s="1"/>
  <c r="P824" i="4"/>
  <c r="F824" i="4" s="1"/>
  <c r="Q825" i="4"/>
  <c r="G1208" i="1" s="1"/>
  <c r="H1208" i="1" s="1"/>
  <c r="P825" i="4"/>
  <c r="F825" i="4" s="1"/>
  <c r="Q826" i="4"/>
  <c r="G1209" i="1" s="1"/>
  <c r="H1209" i="1" s="1"/>
  <c r="P826" i="4"/>
  <c r="Q835" i="4"/>
  <c r="G1218" i="1" s="1"/>
  <c r="H1218" i="1" s="1"/>
  <c r="P835" i="4"/>
  <c r="F835" i="4" s="1"/>
  <c r="Q836" i="4"/>
  <c r="G1219" i="1" s="1"/>
  <c r="H1219" i="1" s="1"/>
  <c r="P836" i="4"/>
  <c r="F836" i="4" s="1"/>
  <c r="Q837" i="4"/>
  <c r="G1220" i="1" s="1"/>
  <c r="H1220" i="1" s="1"/>
  <c r="Q838" i="4"/>
  <c r="G1221" i="1" s="1"/>
  <c r="H1221" i="1" s="1"/>
  <c r="P838" i="4"/>
  <c r="F838" i="4" s="1"/>
  <c r="Q839" i="4"/>
  <c r="G1222" i="1" s="1"/>
  <c r="H1222" i="1" s="1"/>
  <c r="P839" i="4"/>
  <c r="F839" i="4" s="1"/>
  <c r="Q840" i="4"/>
  <c r="G1223" i="1" s="1"/>
  <c r="H1223" i="1" s="1"/>
  <c r="P840" i="4"/>
  <c r="F840" i="4" s="1"/>
  <c r="Q841" i="4"/>
  <c r="G1224" i="1" s="1"/>
  <c r="H1224" i="1" s="1"/>
  <c r="P841" i="4"/>
  <c r="F841" i="4" s="1"/>
  <c r="Q842" i="4"/>
  <c r="R842" i="4" s="1"/>
  <c r="G842" i="4" s="1"/>
  <c r="P842" i="4"/>
  <c r="F842" i="4" s="1"/>
  <c r="AV871" i="4"/>
  <c r="P871" i="4"/>
  <c r="F871" i="4" s="1"/>
  <c r="Q871" i="4"/>
  <c r="G1243" i="1" s="1"/>
  <c r="H1243" i="1" s="1"/>
  <c r="AH870" i="4"/>
  <c r="AN870" i="4" s="1"/>
  <c r="AL869" i="4"/>
  <c r="AV853" i="4"/>
  <c r="AH853" i="4"/>
  <c r="AN853" i="4" s="1"/>
  <c r="AF852" i="4"/>
  <c r="P852" i="4"/>
  <c r="F852" i="4" s="1"/>
  <c r="Q852" i="4"/>
  <c r="R852" i="4" s="1"/>
  <c r="G852" i="4" s="1"/>
  <c r="AF850" i="4"/>
  <c r="P850" i="4"/>
  <c r="F850" i="4" s="1"/>
  <c r="Q850" i="4"/>
  <c r="G1232" i="1" s="1"/>
  <c r="H1232" i="1" s="1"/>
  <c r="Q848" i="4"/>
  <c r="P847" i="4"/>
  <c r="F847" i="4" s="1"/>
  <c r="Q847" i="4"/>
  <c r="G1230" i="1" s="1"/>
  <c r="H1230" i="1" s="1"/>
  <c r="P846" i="4"/>
  <c r="F846" i="4" s="1"/>
  <c r="Q846" i="4"/>
  <c r="G1229" i="1" s="1"/>
  <c r="H1229" i="1" s="1"/>
  <c r="P845" i="4"/>
  <c r="F845" i="4" s="1"/>
  <c r="Q845" i="4"/>
  <c r="G1228" i="1" s="1"/>
  <c r="H1228" i="1" s="1"/>
  <c r="P844" i="4"/>
  <c r="F844" i="4" s="1"/>
  <c r="Q844" i="4"/>
  <c r="G1227" i="1" s="1"/>
  <c r="H1227" i="1" s="1"/>
  <c r="AH902" i="4"/>
  <c r="AN902" i="4" s="1"/>
  <c r="P904" i="4"/>
  <c r="F904" i="4" s="1"/>
  <c r="P906" i="4"/>
  <c r="F906" i="4" s="1"/>
  <c r="P908" i="4"/>
  <c r="F908" i="4" s="1"/>
  <c r="P910" i="4"/>
  <c r="F910" i="4" s="1"/>
  <c r="AH925" i="4"/>
  <c r="AN925" i="4" s="1"/>
  <c r="Q934" i="4"/>
  <c r="G1306" i="1" s="1"/>
  <c r="H1306" i="1" s="1"/>
  <c r="P934" i="4"/>
  <c r="F934" i="4" s="1"/>
  <c r="AV934" i="4"/>
  <c r="AL936" i="4"/>
  <c r="AH946" i="4"/>
  <c r="AN946" i="4" s="1"/>
  <c r="Q950" i="4"/>
  <c r="G1322" i="1" s="1"/>
  <c r="H1322" i="1" s="1"/>
  <c r="P950" i="4"/>
  <c r="F950" i="4" s="1"/>
  <c r="P951" i="4"/>
  <c r="F951" i="4" s="1"/>
  <c r="Q952" i="4"/>
  <c r="G1324" i="1" s="1"/>
  <c r="H1324" i="1" s="1"/>
  <c r="P952" i="4"/>
  <c r="F952" i="4" s="1"/>
  <c r="AL932" i="4"/>
  <c r="AH952" i="4"/>
  <c r="AN952" i="4" s="1"/>
  <c r="Q903" i="4"/>
  <c r="R903" i="4" s="1"/>
  <c r="G903" i="4" s="1"/>
  <c r="Q905" i="4"/>
  <c r="G1277" i="1" s="1"/>
  <c r="H1277" i="1" s="1"/>
  <c r="Q907" i="4"/>
  <c r="G1279" i="1" s="1"/>
  <c r="H1279" i="1" s="1"/>
  <c r="Q909" i="4"/>
  <c r="G1281" i="1" s="1"/>
  <c r="H1281" i="1" s="1"/>
  <c r="Q911" i="4"/>
  <c r="G1283" i="1" s="1"/>
  <c r="H1283" i="1" s="1"/>
  <c r="AL875" i="4"/>
  <c r="Q872" i="4"/>
  <c r="G1244" i="1" s="1"/>
  <c r="H1244" i="1" s="1"/>
  <c r="P870" i="4"/>
  <c r="F870" i="4" s="1"/>
  <c r="Q870" i="4"/>
  <c r="R870" i="4" s="1"/>
  <c r="G870" i="4" s="1"/>
  <c r="Q865" i="4"/>
  <c r="P853" i="4"/>
  <c r="F853" i="4" s="1"/>
  <c r="Q853" i="4"/>
  <c r="G1235" i="1" s="1"/>
  <c r="H1235" i="1" s="1"/>
  <c r="AH878" i="4"/>
  <c r="AN878" i="4" s="1"/>
  <c r="P903" i="4"/>
  <c r="F903" i="4" s="1"/>
  <c r="P905" i="4"/>
  <c r="F905" i="4" s="1"/>
  <c r="P907" i="4"/>
  <c r="F907" i="4" s="1"/>
  <c r="P909" i="4"/>
  <c r="F909" i="4" s="1"/>
  <c r="P911" i="4"/>
  <c r="F911" i="4" s="1"/>
  <c r="AF911" i="4"/>
  <c r="Q920" i="4"/>
  <c r="G1292" i="1" s="1"/>
  <c r="H1292" i="1" s="1"/>
  <c r="P920" i="4"/>
  <c r="F920" i="4" s="1"/>
  <c r="Q921" i="4"/>
  <c r="G1293" i="1" s="1"/>
  <c r="H1293" i="1" s="1"/>
  <c r="Q922" i="4"/>
  <c r="G1294" i="1" s="1"/>
  <c r="H1294" i="1" s="1"/>
  <c r="P922" i="4"/>
  <c r="F922" i="4" s="1"/>
  <c r="AF922" i="4"/>
  <c r="Q930" i="4"/>
  <c r="G1302" i="1" s="1"/>
  <c r="H1302" i="1" s="1"/>
  <c r="AL933" i="4"/>
  <c r="AH936" i="4"/>
  <c r="AN936" i="4" s="1"/>
  <c r="Q924" i="4"/>
  <c r="G1296" i="1" s="1"/>
  <c r="H1296" i="1" s="1"/>
  <c r="Q943" i="4"/>
  <c r="G1315" i="1" s="1"/>
  <c r="H1315" i="1" s="1"/>
  <c r="R965" i="4"/>
  <c r="G965" i="4" s="1"/>
  <c r="R946" i="4"/>
  <c r="G946" i="4" s="1"/>
  <c r="R960" i="4"/>
  <c r="G960" i="4" s="1"/>
  <c r="AL948" i="4"/>
  <c r="Q951" i="4"/>
  <c r="G1323" i="1" s="1"/>
  <c r="H1323" i="1" s="1"/>
  <c r="AL904" i="4"/>
  <c r="AL905" i="4"/>
  <c r="AL906" i="4"/>
  <c r="AL919" i="4"/>
  <c r="AL922" i="4"/>
  <c r="AL923" i="4"/>
  <c r="P938" i="4"/>
  <c r="F938" i="4" s="1"/>
  <c r="AL949" i="4"/>
  <c r="AL952" i="4"/>
  <c r="AL895" i="4"/>
  <c r="AL899" i="4"/>
  <c r="AL901" i="4"/>
  <c r="AL910" i="4"/>
  <c r="AL917" i="4"/>
  <c r="AL918" i="4"/>
  <c r="AL921" i="4"/>
  <c r="AL930" i="4"/>
  <c r="AL935" i="4"/>
  <c r="AL937" i="4"/>
  <c r="AL941" i="4"/>
  <c r="AL870" i="4"/>
  <c r="AL865" i="4"/>
  <c r="AF959" i="4"/>
  <c r="AH960" i="4"/>
  <c r="AN960" i="4" s="1"/>
  <c r="AV960" i="4"/>
  <c r="AF969" i="4"/>
  <c r="AF970" i="4"/>
  <c r="AV970" i="4"/>
  <c r="AF971" i="4"/>
  <c r="AF954" i="4"/>
  <c r="AF961" i="4"/>
  <c r="AF962" i="4"/>
  <c r="AF956" i="4"/>
  <c r="AF964" i="4"/>
  <c r="AF966" i="4"/>
  <c r="AF920" i="4"/>
  <c r="AL925" i="4"/>
  <c r="AL926" i="4"/>
  <c r="AH927" i="4"/>
  <c r="AN927" i="4" s="1"/>
  <c r="AL931" i="4"/>
  <c r="AL934" i="4"/>
  <c r="P935" i="4"/>
  <c r="F935" i="4" s="1"/>
  <c r="AH940" i="4"/>
  <c r="AN940" i="4" s="1"/>
  <c r="AH942" i="4"/>
  <c r="AN942" i="4" s="1"/>
  <c r="AH944" i="4"/>
  <c r="AN944" i="4" s="1"/>
  <c r="AL946" i="4"/>
  <c r="AL953" i="4"/>
  <c r="AL928" i="4"/>
  <c r="AF938" i="4"/>
  <c r="AL938" i="4"/>
  <c r="AH950" i="4"/>
  <c r="AN950" i="4" s="1"/>
  <c r="AL877" i="4"/>
  <c r="AL880" i="4"/>
  <c r="AL882" i="4"/>
  <c r="AL894" i="4"/>
  <c r="AL898" i="4"/>
  <c r="AL912" i="4"/>
  <c r="AL913" i="4"/>
  <c r="AH918" i="4"/>
  <c r="AN918" i="4" s="1"/>
  <c r="AL920" i="4"/>
  <c r="P921" i="4"/>
  <c r="F921" i="4" s="1"/>
  <c r="P927" i="4"/>
  <c r="F927" i="4" s="1"/>
  <c r="AH928" i="4"/>
  <c r="AN928" i="4" s="1"/>
  <c r="P932" i="4"/>
  <c r="F932" i="4" s="1"/>
  <c r="AH938" i="4"/>
  <c r="AN938" i="4" s="1"/>
  <c r="AL940" i="4"/>
  <c r="AL942" i="4"/>
  <c r="AL944" i="4"/>
  <c r="AV969" i="4"/>
  <c r="AV955" i="4"/>
  <c r="AV957" i="4"/>
  <c r="AV959" i="4"/>
  <c r="AV961" i="4"/>
  <c r="AV963" i="4"/>
  <c r="AV971" i="4"/>
  <c r="AV965" i="4"/>
  <c r="AV967" i="4"/>
  <c r="P937" i="4"/>
  <c r="F937" i="4" s="1"/>
  <c r="G1269" i="1"/>
  <c r="H1269" i="1" s="1"/>
  <c r="AH926" i="4"/>
  <c r="AN926" i="4" s="1"/>
  <c r="AF926" i="4"/>
  <c r="P926" i="4"/>
  <c r="F926" i="4" s="1"/>
  <c r="Q926" i="4"/>
  <c r="AH935" i="4"/>
  <c r="AN935" i="4" s="1"/>
  <c r="AF935" i="4"/>
  <c r="G1273" i="1"/>
  <c r="H1273" i="1" s="1"/>
  <c r="R902" i="4"/>
  <c r="G902" i="4" s="1"/>
  <c r="AV919" i="4"/>
  <c r="AH919" i="4"/>
  <c r="AN919" i="4" s="1"/>
  <c r="P919" i="4"/>
  <c r="F919" i="4" s="1"/>
  <c r="Q919" i="4"/>
  <c r="AH921" i="4"/>
  <c r="AN921" i="4" s="1"/>
  <c r="AV924" i="4"/>
  <c r="AF924" i="4"/>
  <c r="AV932" i="4"/>
  <c r="AH932" i="4"/>
  <c r="AN932" i="4" s="1"/>
  <c r="AV933" i="4"/>
  <c r="AH933" i="4"/>
  <c r="AN933" i="4" s="1"/>
  <c r="P933" i="4"/>
  <c r="F933" i="4" s="1"/>
  <c r="Q933" i="4"/>
  <c r="Q935" i="4"/>
  <c r="AV935" i="4"/>
  <c r="AL885" i="4"/>
  <c r="AL887" i="4"/>
  <c r="AL889" i="4"/>
  <c r="AL891" i="4"/>
  <c r="AL897" i="4"/>
  <c r="AL900" i="4"/>
  <c r="AL907" i="4"/>
  <c r="AL909" i="4"/>
  <c r="AL911" i="4"/>
  <c r="AF923" i="4"/>
  <c r="P923" i="4"/>
  <c r="F923" i="4" s="1"/>
  <c r="Q923" i="4"/>
  <c r="AF929" i="4"/>
  <c r="P929" i="4"/>
  <c r="F929" i="4" s="1"/>
  <c r="Q929" i="4"/>
  <c r="AV929" i="4"/>
  <c r="AL851" i="4"/>
  <c r="AL850" i="4"/>
  <c r="AL847" i="4"/>
  <c r="AL846" i="4"/>
  <c r="R904" i="4"/>
  <c r="G904" i="4" s="1"/>
  <c r="AL878" i="4"/>
  <c r="AL896" i="4"/>
  <c r="AL902" i="4"/>
  <c r="AL908" i="4"/>
  <c r="AF921" i="4"/>
  <c r="AV923" i="4"/>
  <c r="AV926" i="4"/>
  <c r="AF932" i="4"/>
  <c r="AH922" i="4"/>
  <c r="AN922" i="4" s="1"/>
  <c r="AV930" i="4"/>
  <c r="AF930" i="4"/>
  <c r="AL916" i="4"/>
  <c r="AH920" i="4"/>
  <c r="AN920" i="4" s="1"/>
  <c r="P925" i="4"/>
  <c r="F925" i="4" s="1"/>
  <c r="AV925" i="4"/>
  <c r="AF927" i="4"/>
  <c r="AF928" i="4"/>
  <c r="P931" i="4"/>
  <c r="F931" i="4" s="1"/>
  <c r="AV931" i="4"/>
  <c r="AH934" i="4"/>
  <c r="AN934" i="4" s="1"/>
  <c r="AF937" i="4"/>
  <c r="AL939" i="4"/>
  <c r="AL943" i="4"/>
  <c r="AV945" i="4"/>
  <c r="AH945" i="4"/>
  <c r="AN945" i="4" s="1"/>
  <c r="Q945" i="4"/>
  <c r="P945" i="4"/>
  <c r="F945" i="4" s="1"/>
  <c r="AL947" i="4"/>
  <c r="AL951" i="4"/>
  <c r="AV953" i="4"/>
  <c r="AH953" i="4"/>
  <c r="AN953" i="4" s="1"/>
  <c r="Q953" i="4"/>
  <c r="P953" i="4"/>
  <c r="F953" i="4" s="1"/>
  <c r="AF936" i="4"/>
  <c r="AV937" i="4"/>
  <c r="AV941" i="4"/>
  <c r="AH941" i="4"/>
  <c r="AN941" i="4" s="1"/>
  <c r="Q941" i="4"/>
  <c r="P941" i="4"/>
  <c r="F941" i="4" s="1"/>
  <c r="AV949" i="4"/>
  <c r="AH949" i="4"/>
  <c r="AN949" i="4" s="1"/>
  <c r="Q949" i="4"/>
  <c r="P949" i="4"/>
  <c r="F949" i="4" s="1"/>
  <c r="AF953" i="4"/>
  <c r="AV943" i="4"/>
  <c r="AH943" i="4"/>
  <c r="AN943" i="4" s="1"/>
  <c r="AV951" i="4"/>
  <c r="AH951" i="4"/>
  <c r="AN951" i="4" s="1"/>
  <c r="AV939" i="4"/>
  <c r="AH939" i="4"/>
  <c r="AN939" i="4" s="1"/>
  <c r="Q939" i="4"/>
  <c r="AF943" i="4"/>
  <c r="AV947" i="4"/>
  <c r="AH947" i="4"/>
  <c r="AN947" i="4" s="1"/>
  <c r="Q947" i="4"/>
  <c r="AF951" i="4"/>
  <c r="AF940" i="4"/>
  <c r="AF942" i="4"/>
  <c r="AF944" i="4"/>
  <c r="AF946" i="4"/>
  <c r="AF948" i="4"/>
  <c r="AF950" i="4"/>
  <c r="AF952" i="4"/>
  <c r="P890" i="4"/>
  <c r="AH894" i="4"/>
  <c r="AN894" i="4" s="1"/>
  <c r="AF894" i="4"/>
  <c r="AH903" i="4"/>
  <c r="AN903" i="4" s="1"/>
  <c r="AF903" i="4"/>
  <c r="AF905" i="4"/>
  <c r="AH905" i="4"/>
  <c r="AN905" i="4" s="1"/>
  <c r="AH906" i="4"/>
  <c r="AN906" i="4" s="1"/>
  <c r="AF906" i="4"/>
  <c r="AH907" i="4"/>
  <c r="AN907" i="4" s="1"/>
  <c r="AF907" i="4"/>
  <c r="AH908" i="4"/>
  <c r="AN908" i="4" s="1"/>
  <c r="AF908" i="4"/>
  <c r="AF909" i="4"/>
  <c r="AH909" i="4"/>
  <c r="AN909" i="4" s="1"/>
  <c r="AH912" i="4"/>
  <c r="AN912" i="4" s="1"/>
  <c r="AF912" i="4"/>
  <c r="AH913" i="4"/>
  <c r="AN913" i="4" s="1"/>
  <c r="AF913" i="4"/>
  <c r="AH914" i="4"/>
  <c r="AN914" i="4" s="1"/>
  <c r="AF914" i="4"/>
  <c r="AH916" i="4"/>
  <c r="AN916" i="4" s="1"/>
  <c r="AF916" i="4"/>
  <c r="AH917" i="4"/>
  <c r="AN917" i="4" s="1"/>
  <c r="AF917" i="4"/>
  <c r="AF895" i="4"/>
  <c r="AF896" i="4"/>
  <c r="AF897" i="4"/>
  <c r="AF898" i="4"/>
  <c r="AH899" i="4"/>
  <c r="AN899" i="4" s="1"/>
  <c r="AF915" i="4"/>
  <c r="AL873" i="4"/>
  <c r="AL884" i="4"/>
  <c r="AL886" i="4"/>
  <c r="AH900" i="4"/>
  <c r="AN900" i="4" s="1"/>
  <c r="AF910" i="4"/>
  <c r="AL914" i="4"/>
  <c r="AL862" i="4"/>
  <c r="AL852" i="4"/>
  <c r="G1276" i="1"/>
  <c r="H1276" i="1" s="1"/>
  <c r="P878" i="4"/>
  <c r="AL892" i="4"/>
  <c r="AH901" i="4"/>
  <c r="AN901" i="4" s="1"/>
  <c r="AH904" i="4"/>
  <c r="AN904" i="4" s="1"/>
  <c r="AL874" i="4"/>
  <c r="AL876" i="4"/>
  <c r="AL879" i="4"/>
  <c r="AL881" i="4"/>
  <c r="AL883" i="4"/>
  <c r="AL888" i="4"/>
  <c r="AL890" i="4"/>
  <c r="P886" i="4"/>
  <c r="R886" i="4"/>
  <c r="G886" i="4" s="1"/>
  <c r="G1262" i="1"/>
  <c r="H1262" i="1" s="1"/>
  <c r="P874" i="4"/>
  <c r="F874" i="4" s="1"/>
  <c r="P882" i="4"/>
  <c r="P884" i="4"/>
  <c r="P892" i="4"/>
  <c r="P888" i="4"/>
  <c r="AH875" i="4"/>
  <c r="AN875" i="4" s="1"/>
  <c r="AH879" i="4"/>
  <c r="AN879" i="4" s="1"/>
  <c r="AH883" i="4"/>
  <c r="AN883" i="4" s="1"/>
  <c r="AV883" i="4"/>
  <c r="AH887" i="4"/>
  <c r="AN887" i="4" s="1"/>
  <c r="AF887" i="4"/>
  <c r="AV887" i="4"/>
  <c r="AV893" i="4"/>
  <c r="AH893" i="4"/>
  <c r="AN893" i="4" s="1"/>
  <c r="AF893" i="4"/>
  <c r="AV894" i="4"/>
  <c r="AV895" i="4"/>
  <c r="AV896" i="4"/>
  <c r="AV897" i="4"/>
  <c r="AV898" i="4"/>
  <c r="AV899" i="4"/>
  <c r="AV900" i="4"/>
  <c r="AV901" i="4"/>
  <c r="AV902" i="4"/>
  <c r="AV903" i="4"/>
  <c r="AV904" i="4"/>
  <c r="AV905" i="4"/>
  <c r="AV906" i="4"/>
  <c r="AV907" i="4"/>
  <c r="AV908" i="4"/>
  <c r="AV909" i="4"/>
  <c r="AV910" i="4"/>
  <c r="AV911" i="4"/>
  <c r="AV912" i="4"/>
  <c r="AV913" i="4"/>
  <c r="AV914" i="4"/>
  <c r="AV915" i="4"/>
  <c r="AV916" i="4"/>
  <c r="AV917" i="4"/>
  <c r="AV918" i="4"/>
  <c r="Q873" i="4"/>
  <c r="P873" i="4"/>
  <c r="P879" i="4"/>
  <c r="Q879" i="4"/>
  <c r="AF879" i="4"/>
  <c r="AF874" i="4"/>
  <c r="AF878" i="4"/>
  <c r="AF882" i="4"/>
  <c r="AV886" i="4"/>
  <c r="AF886" i="4"/>
  <c r="AH886" i="4"/>
  <c r="AN886" i="4" s="1"/>
  <c r="AV890" i="4"/>
  <c r="AF890" i="4"/>
  <c r="AH890" i="4"/>
  <c r="AN890" i="4" s="1"/>
  <c r="AH874" i="4"/>
  <c r="AN874" i="4" s="1"/>
  <c r="AV874" i="4"/>
  <c r="P875" i="4"/>
  <c r="F875" i="4" s="1"/>
  <c r="Q875" i="4"/>
  <c r="G1247" i="1" s="1"/>
  <c r="H1247" i="1" s="1"/>
  <c r="AF875" i="4"/>
  <c r="AV879" i="4"/>
  <c r="Q880" i="4"/>
  <c r="P880" i="4"/>
  <c r="AF873" i="4"/>
  <c r="AV873" i="4"/>
  <c r="AH873" i="4"/>
  <c r="AN873" i="4" s="1"/>
  <c r="AF877" i="4"/>
  <c r="AV877" i="4"/>
  <c r="AH877" i="4"/>
  <c r="AN877" i="4" s="1"/>
  <c r="AF881" i="4"/>
  <c r="AV881" i="4"/>
  <c r="AH881" i="4"/>
  <c r="AN881" i="4" s="1"/>
  <c r="AF885" i="4"/>
  <c r="AH885" i="4"/>
  <c r="AN885" i="4" s="1"/>
  <c r="AV885" i="4"/>
  <c r="AF889" i="4"/>
  <c r="AH889" i="4"/>
  <c r="AN889" i="4" s="1"/>
  <c r="AV889" i="4"/>
  <c r="AH892" i="4"/>
  <c r="AN892" i="4" s="1"/>
  <c r="AV892" i="4"/>
  <c r="AF892" i="4"/>
  <c r="AV875" i="4"/>
  <c r="Q876" i="4"/>
  <c r="P876" i="4"/>
  <c r="AV876" i="4"/>
  <c r="AH876" i="4"/>
  <c r="AN876" i="4" s="1"/>
  <c r="AV880" i="4"/>
  <c r="AH880" i="4"/>
  <c r="AN880" i="4" s="1"/>
  <c r="AH884" i="4"/>
  <c r="AN884" i="4" s="1"/>
  <c r="AV884" i="4"/>
  <c r="AF884" i="4"/>
  <c r="AH888" i="4"/>
  <c r="AN888" i="4" s="1"/>
  <c r="AV888" i="4"/>
  <c r="AF888" i="4"/>
  <c r="AH891" i="4"/>
  <c r="AN891" i="4" s="1"/>
  <c r="AF891" i="4"/>
  <c r="AV891" i="4"/>
  <c r="AH882" i="4"/>
  <c r="AN882" i="4" s="1"/>
  <c r="AV882" i="4"/>
  <c r="P883" i="4"/>
  <c r="Q883" i="4"/>
  <c r="AF883" i="4"/>
  <c r="P885" i="4"/>
  <c r="Q885" i="4"/>
  <c r="P889" i="4"/>
  <c r="Q889" i="4"/>
  <c r="P893" i="4"/>
  <c r="Q893" i="4"/>
  <c r="AL893" i="4"/>
  <c r="P877" i="4"/>
  <c r="Q877" i="4"/>
  <c r="P881" i="4"/>
  <c r="Q881" i="4"/>
  <c r="P872" i="4"/>
  <c r="F872" i="4" s="1"/>
  <c r="Q874" i="4"/>
  <c r="Q878" i="4"/>
  <c r="Q882" i="4"/>
  <c r="P887" i="4"/>
  <c r="Q887" i="4"/>
  <c r="P891" i="4"/>
  <c r="Q891" i="4"/>
  <c r="AL849" i="4"/>
  <c r="AL853" i="4"/>
  <c r="AL871" i="4"/>
  <c r="AL845" i="4"/>
  <c r="AL815" i="4"/>
  <c r="AL816" i="4"/>
  <c r="AL820" i="4"/>
  <c r="AL826" i="4"/>
  <c r="AL835" i="4"/>
  <c r="AL836" i="4"/>
  <c r="AL839" i="4"/>
  <c r="AL848" i="4"/>
  <c r="AL872" i="4"/>
  <c r="AL843" i="4"/>
  <c r="AL868" i="4"/>
  <c r="AL854" i="4"/>
  <c r="AF847" i="4"/>
  <c r="R851" i="4"/>
  <c r="G851" i="4" s="1"/>
  <c r="AH872" i="4"/>
  <c r="AN872" i="4" s="1"/>
  <c r="P787" i="4"/>
  <c r="P869" i="4"/>
  <c r="F869" i="4" s="1"/>
  <c r="AV845" i="4"/>
  <c r="AF845" i="4"/>
  <c r="AH845" i="4"/>
  <c r="AN845" i="4" s="1"/>
  <c r="AH871" i="4"/>
  <c r="AN871" i="4" s="1"/>
  <c r="AF844" i="4"/>
  <c r="AL844" i="4"/>
  <c r="AH847" i="4"/>
  <c r="AN847" i="4" s="1"/>
  <c r="AH846" i="4"/>
  <c r="AN846" i="4" s="1"/>
  <c r="AL837" i="4"/>
  <c r="AL838" i="4"/>
  <c r="AL840" i="4"/>
  <c r="AL841" i="4"/>
  <c r="AL842" i="4"/>
  <c r="AH843" i="4"/>
  <c r="AN843" i="4" s="1"/>
  <c r="AH836" i="4"/>
  <c r="AN836" i="4" s="1"/>
  <c r="AH840" i="4"/>
  <c r="AN840" i="4" s="1"/>
  <c r="AH835" i="4"/>
  <c r="AN835" i="4" s="1"/>
  <c r="AH839" i="4"/>
  <c r="AN839" i="4" s="1"/>
  <c r="AL822" i="4"/>
  <c r="AH826" i="4"/>
  <c r="AN826" i="4" s="1"/>
  <c r="AF836" i="4"/>
  <c r="P837" i="4"/>
  <c r="F837" i="4" s="1"/>
  <c r="AH838" i="4"/>
  <c r="AN838" i="4" s="1"/>
  <c r="AF840" i="4"/>
  <c r="AH842" i="4"/>
  <c r="AN842" i="4" s="1"/>
  <c r="AF835" i="4"/>
  <c r="AH837" i="4"/>
  <c r="AN837" i="4" s="1"/>
  <c r="AF839" i="4"/>
  <c r="AH841" i="4"/>
  <c r="AN841" i="4" s="1"/>
  <c r="AF826" i="4"/>
  <c r="AF838" i="4"/>
  <c r="AF842" i="4"/>
  <c r="AF837" i="4"/>
  <c r="AF841" i="4"/>
  <c r="G1207" i="1"/>
  <c r="H1207" i="1" s="1"/>
  <c r="AV872" i="4"/>
  <c r="AV870" i="4"/>
  <c r="AV868" i="4"/>
  <c r="AV852" i="4"/>
  <c r="AV850" i="4"/>
  <c r="AV848" i="4"/>
  <c r="AV846" i="4"/>
  <c r="AV844" i="4"/>
  <c r="AL821" i="4"/>
  <c r="AH819" i="4"/>
  <c r="AN819" i="4" s="1"/>
  <c r="AH817" i="4"/>
  <c r="AN817" i="4" s="1"/>
  <c r="AL818" i="4"/>
  <c r="AH820" i="4"/>
  <c r="AN820" i="4" s="1"/>
  <c r="AH825" i="4"/>
  <c r="AN825" i="4" s="1"/>
  <c r="P792" i="4"/>
  <c r="AL817" i="4"/>
  <c r="AH818" i="4"/>
  <c r="AN818" i="4" s="1"/>
  <c r="AL819" i="4"/>
  <c r="AL823" i="4"/>
  <c r="AL824" i="4"/>
  <c r="AL825" i="4"/>
  <c r="R819" i="4"/>
  <c r="G819" i="4" s="1"/>
  <c r="AF817" i="4"/>
  <c r="AF818" i="4"/>
  <c r="AH821" i="4"/>
  <c r="AN821" i="4" s="1"/>
  <c r="AH822" i="4"/>
  <c r="AN822" i="4" s="1"/>
  <c r="AF825" i="4"/>
  <c r="AF815" i="4"/>
  <c r="AV815" i="4"/>
  <c r="AF816" i="4"/>
  <c r="AF823" i="4"/>
  <c r="AV823" i="4"/>
  <c r="AF824" i="4"/>
  <c r="AF821" i="4"/>
  <c r="AF822" i="4"/>
  <c r="AH816" i="4"/>
  <c r="AN816" i="4" s="1"/>
  <c r="AF819" i="4"/>
  <c r="AF820" i="4"/>
  <c r="AH824" i="4"/>
  <c r="AN824" i="4" s="1"/>
  <c r="AL792" i="4"/>
  <c r="AL793" i="4"/>
  <c r="AL788" i="4"/>
  <c r="AL794" i="4"/>
  <c r="AL795" i="4"/>
  <c r="AL789" i="4"/>
  <c r="AL787" i="4"/>
  <c r="Q790" i="4"/>
  <c r="R790" i="4" s="1"/>
  <c r="AL791" i="4"/>
  <c r="Q787" i="4"/>
  <c r="AL790" i="4"/>
  <c r="Q792" i="4"/>
  <c r="R792" i="4" s="1"/>
  <c r="Q794" i="4"/>
  <c r="R794" i="4" s="1"/>
  <c r="Q793" i="4"/>
  <c r="R793" i="4" s="1"/>
  <c r="P793" i="4"/>
  <c r="AF795" i="4"/>
  <c r="Q795" i="4"/>
  <c r="R795" i="4" s="1"/>
  <c r="P795" i="4"/>
  <c r="Q791" i="4"/>
  <c r="R791" i="4" s="1"/>
  <c r="P791" i="4"/>
  <c r="Q788" i="4"/>
  <c r="Q789" i="4"/>
  <c r="R789" i="4" s="1"/>
  <c r="P789" i="4"/>
  <c r="AF791" i="4"/>
  <c r="AF787" i="4"/>
  <c r="AF790" i="4"/>
  <c r="AF792" i="4"/>
  <c r="AF794" i="4"/>
  <c r="R942" i="4" l="1"/>
  <c r="G942" i="4" s="1"/>
  <c r="R948" i="4"/>
  <c r="G948" i="4" s="1"/>
  <c r="G1340" i="1"/>
  <c r="H1340" i="1" s="1"/>
  <c r="R908" i="4"/>
  <c r="G908" i="4" s="1"/>
  <c r="R915" i="4"/>
  <c r="G915" i="4" s="1"/>
  <c r="R970" i="4"/>
  <c r="G970" i="4" s="1"/>
  <c r="R853" i="4"/>
  <c r="G853" i="4" s="1"/>
  <c r="G1242" i="1"/>
  <c r="H1242" i="1" s="1"/>
  <c r="R969" i="4"/>
  <c r="G969" i="4" s="1"/>
  <c r="F826" i="4"/>
  <c r="F834" i="4"/>
  <c r="F832" i="4"/>
  <c r="F830" i="4"/>
  <c r="F828" i="4"/>
  <c r="F829" i="4"/>
  <c r="F827" i="4"/>
  <c r="F833" i="4"/>
  <c r="F831" i="4"/>
  <c r="R963" i="4"/>
  <c r="G963" i="4" s="1"/>
  <c r="G1282" i="1"/>
  <c r="H1282" i="1" s="1"/>
  <c r="R934" i="4"/>
  <c r="G934" i="4" s="1"/>
  <c r="R823" i="4"/>
  <c r="G823" i="4" s="1"/>
  <c r="G1203" i="1"/>
  <c r="H1203" i="1" s="1"/>
  <c r="G1267" i="1"/>
  <c r="H1267" i="1" s="1"/>
  <c r="R912" i="4"/>
  <c r="G912" i="4" s="1"/>
  <c r="G1330" i="1"/>
  <c r="H1330" i="1" s="1"/>
  <c r="G1234" i="1"/>
  <c r="H1234" i="1" s="1"/>
  <c r="G1225" i="1"/>
  <c r="H1225" i="1" s="1"/>
  <c r="F882" i="4"/>
  <c r="F886" i="4"/>
  <c r="F887" i="4"/>
  <c r="F877" i="4"/>
  <c r="F888" i="4"/>
  <c r="F890" i="4"/>
  <c r="F891" i="4"/>
  <c r="F881" i="4"/>
  <c r="F883" i="4"/>
  <c r="F876" i="4"/>
  <c r="F879" i="4"/>
  <c r="F884" i="4"/>
  <c r="F878" i="4"/>
  <c r="F889" i="4"/>
  <c r="F892" i="4"/>
  <c r="F893" i="4"/>
  <c r="F885" i="4"/>
  <c r="F880" i="4"/>
  <c r="R888" i="4"/>
  <c r="G888" i="4" s="1"/>
  <c r="R959" i="4"/>
  <c r="G959" i="4" s="1"/>
  <c r="R850" i="4"/>
  <c r="G850" i="4" s="1"/>
  <c r="G1272" i="1"/>
  <c r="H1272" i="1" s="1"/>
  <c r="G1270" i="1"/>
  <c r="H1270" i="1" s="1"/>
  <c r="R944" i="4"/>
  <c r="G944" i="4" s="1"/>
  <c r="R964" i="4"/>
  <c r="G964" i="4" s="1"/>
  <c r="R843" i="4"/>
  <c r="G843" i="4" s="1"/>
  <c r="R913" i="4"/>
  <c r="G913" i="4" s="1"/>
  <c r="R937" i="4"/>
  <c r="G937" i="4" s="1"/>
  <c r="R911" i="4"/>
  <c r="G911" i="4" s="1"/>
  <c r="R892" i="4"/>
  <c r="G892" i="4" s="1"/>
  <c r="R841" i="4"/>
  <c r="G841" i="4" s="1"/>
  <c r="R868" i="4"/>
  <c r="G868" i="4" s="1"/>
  <c r="R839" i="4"/>
  <c r="G839" i="4" s="1"/>
  <c r="G1268" i="1"/>
  <c r="H1268" i="1" s="1"/>
  <c r="R899" i="4"/>
  <c r="G899" i="4" s="1"/>
  <c r="R932" i="4"/>
  <c r="G932" i="4" s="1"/>
  <c r="R822" i="4"/>
  <c r="G822" i="4" s="1"/>
  <c r="R849" i="4"/>
  <c r="G849" i="4" s="1"/>
  <c r="R894" i="4"/>
  <c r="G894" i="4" s="1"/>
  <c r="R952" i="4"/>
  <c r="G952" i="4" s="1"/>
  <c r="R928" i="4"/>
  <c r="G928" i="4" s="1"/>
  <c r="R940" i="4"/>
  <c r="G940" i="4" s="1"/>
  <c r="R818" i="4"/>
  <c r="G818" i="4" s="1"/>
  <c r="G1286" i="1"/>
  <c r="H1286" i="1" s="1"/>
  <c r="R936" i="4"/>
  <c r="G936" i="4" s="1"/>
  <c r="R971" i="4"/>
  <c r="G971" i="4" s="1"/>
  <c r="R943" i="4"/>
  <c r="G943" i="4" s="1"/>
  <c r="G1275" i="1"/>
  <c r="H1275" i="1" s="1"/>
  <c r="R920" i="4"/>
  <c r="G920" i="4" s="1"/>
  <c r="R817" i="4"/>
  <c r="G817" i="4" s="1"/>
  <c r="R815" i="4"/>
  <c r="G815" i="4" s="1"/>
  <c r="R816" i="4"/>
  <c r="G816" i="4" s="1"/>
  <c r="R826" i="4"/>
  <c r="R869" i="4"/>
  <c r="G869" i="4" s="1"/>
  <c r="G1288" i="1"/>
  <c r="H1288" i="1" s="1"/>
  <c r="R884" i="4"/>
  <c r="G884" i="4" s="1"/>
  <c r="R918" i="4"/>
  <c r="G918" i="4" s="1"/>
  <c r="R917" i="4"/>
  <c r="G917" i="4" s="1"/>
  <c r="R955" i="4"/>
  <c r="G955" i="4" s="1"/>
  <c r="R821" i="4"/>
  <c r="G821" i="4" s="1"/>
  <c r="R825" i="4"/>
  <c r="G825" i="4" s="1"/>
  <c r="R836" i="4"/>
  <c r="G836" i="4" s="1"/>
  <c r="R906" i="4"/>
  <c r="G906" i="4" s="1"/>
  <c r="R938" i="4"/>
  <c r="G938" i="4" s="1"/>
  <c r="R931" i="4"/>
  <c r="G931" i="4" s="1"/>
  <c r="R925" i="4"/>
  <c r="G925" i="4" s="1"/>
  <c r="G1239" i="1"/>
  <c r="H1239" i="1" s="1"/>
  <c r="R844" i="4"/>
  <c r="G844" i="4" s="1"/>
  <c r="R872" i="4"/>
  <c r="G872" i="4" s="1"/>
  <c r="R907" i="4"/>
  <c r="G907" i="4" s="1"/>
  <c r="R954" i="4"/>
  <c r="G954" i="4" s="1"/>
  <c r="G1326" i="1"/>
  <c r="H1326" i="1" s="1"/>
  <c r="R966" i="4"/>
  <c r="G966" i="4" s="1"/>
  <c r="G1338" i="1"/>
  <c r="H1338" i="1" s="1"/>
  <c r="R787" i="4"/>
  <c r="R840" i="4"/>
  <c r="G840" i="4" s="1"/>
  <c r="R845" i="4"/>
  <c r="G845" i="4" s="1"/>
  <c r="R847" i="4"/>
  <c r="G847" i="4" s="1"/>
  <c r="R909" i="4"/>
  <c r="G909" i="4" s="1"/>
  <c r="R927" i="4"/>
  <c r="G927" i="4" s="1"/>
  <c r="R835" i="4"/>
  <c r="G835" i="4" s="1"/>
  <c r="R838" i="4"/>
  <c r="G838" i="4" s="1"/>
  <c r="R837" i="4"/>
  <c r="G837" i="4" s="1"/>
  <c r="R871" i="4"/>
  <c r="G871" i="4" s="1"/>
  <c r="R956" i="4"/>
  <c r="G956" i="4" s="1"/>
  <c r="R930" i="4"/>
  <c r="G930" i="4" s="1"/>
  <c r="R924" i="4"/>
  <c r="G924" i="4" s="1"/>
  <c r="R922" i="4"/>
  <c r="G922" i="4" s="1"/>
  <c r="R921" i="4"/>
  <c r="G921" i="4" s="1"/>
  <c r="R962" i="4"/>
  <c r="G962" i="4" s="1"/>
  <c r="G1334" i="1"/>
  <c r="H1334" i="1" s="1"/>
  <c r="R951" i="4"/>
  <c r="G951" i="4" s="1"/>
  <c r="R967" i="4"/>
  <c r="G967" i="4" s="1"/>
  <c r="G1339" i="1"/>
  <c r="H1339" i="1" s="1"/>
  <c r="R961" i="4"/>
  <c r="G961" i="4" s="1"/>
  <c r="G1333" i="1"/>
  <c r="H1333" i="1" s="1"/>
  <c r="R957" i="4"/>
  <c r="G957" i="4" s="1"/>
  <c r="G1329" i="1"/>
  <c r="H1329" i="1" s="1"/>
  <c r="R846" i="4"/>
  <c r="G846" i="4" s="1"/>
  <c r="R905" i="4"/>
  <c r="G905" i="4" s="1"/>
  <c r="R950" i="4"/>
  <c r="G950" i="4" s="1"/>
  <c r="R874" i="4"/>
  <c r="G874" i="4" s="1"/>
  <c r="G1246" i="1"/>
  <c r="H1246" i="1" s="1"/>
  <c r="R873" i="4"/>
  <c r="G873" i="4" s="1"/>
  <c r="G1245" i="1"/>
  <c r="H1245" i="1" s="1"/>
  <c r="R935" i="4"/>
  <c r="G935" i="4" s="1"/>
  <c r="G1307" i="1"/>
  <c r="H1307" i="1" s="1"/>
  <c r="R926" i="4"/>
  <c r="G926" i="4" s="1"/>
  <c r="G1298" i="1"/>
  <c r="H1298" i="1" s="1"/>
  <c r="R933" i="4"/>
  <c r="G933" i="4" s="1"/>
  <c r="G1305" i="1"/>
  <c r="H1305" i="1" s="1"/>
  <c r="R947" i="4"/>
  <c r="G947" i="4" s="1"/>
  <c r="G1319" i="1"/>
  <c r="H1319" i="1" s="1"/>
  <c r="R939" i="4"/>
  <c r="G939" i="4" s="1"/>
  <c r="G1311" i="1"/>
  <c r="H1311" i="1" s="1"/>
  <c r="R923" i="4"/>
  <c r="G923" i="4" s="1"/>
  <c r="G1295" i="1"/>
  <c r="H1295" i="1" s="1"/>
  <c r="R919" i="4"/>
  <c r="G919" i="4" s="1"/>
  <c r="G1291" i="1"/>
  <c r="H1291" i="1" s="1"/>
  <c r="R949" i="4"/>
  <c r="G949" i="4" s="1"/>
  <c r="G1321" i="1"/>
  <c r="H1321" i="1" s="1"/>
  <c r="R941" i="4"/>
  <c r="G941" i="4" s="1"/>
  <c r="G1313" i="1"/>
  <c r="H1313" i="1" s="1"/>
  <c r="R945" i="4"/>
  <c r="G945" i="4" s="1"/>
  <c r="G1317" i="1"/>
  <c r="H1317" i="1" s="1"/>
  <c r="R929" i="4"/>
  <c r="G929" i="4" s="1"/>
  <c r="G1301" i="1"/>
  <c r="H1301" i="1" s="1"/>
  <c r="R953" i="4"/>
  <c r="G953" i="4" s="1"/>
  <c r="G1325" i="1"/>
  <c r="H1325" i="1" s="1"/>
  <c r="R877" i="4"/>
  <c r="G877" i="4" s="1"/>
  <c r="G1249" i="1"/>
  <c r="H1249" i="1" s="1"/>
  <c r="R893" i="4"/>
  <c r="G893" i="4" s="1"/>
  <c r="G1265" i="1"/>
  <c r="H1265" i="1" s="1"/>
  <c r="R891" i="4"/>
  <c r="G891" i="4" s="1"/>
  <c r="G1263" i="1"/>
  <c r="H1263" i="1" s="1"/>
  <c r="R878" i="4"/>
  <c r="G878" i="4" s="1"/>
  <c r="G1250" i="1"/>
  <c r="H1250" i="1" s="1"/>
  <c r="R885" i="4"/>
  <c r="G885" i="4" s="1"/>
  <c r="G1257" i="1"/>
  <c r="H1257" i="1" s="1"/>
  <c r="R880" i="4"/>
  <c r="G880" i="4" s="1"/>
  <c r="G1252" i="1"/>
  <c r="H1252" i="1" s="1"/>
  <c r="R887" i="4"/>
  <c r="G887" i="4" s="1"/>
  <c r="G1259" i="1"/>
  <c r="H1259" i="1" s="1"/>
  <c r="R875" i="4"/>
  <c r="G875" i="4" s="1"/>
  <c r="R881" i="4"/>
  <c r="G881" i="4" s="1"/>
  <c r="G1253" i="1"/>
  <c r="H1253" i="1" s="1"/>
  <c r="R883" i="4"/>
  <c r="G883" i="4" s="1"/>
  <c r="G1255" i="1"/>
  <c r="H1255" i="1" s="1"/>
  <c r="R879" i="4"/>
  <c r="G879" i="4" s="1"/>
  <c r="G1251" i="1"/>
  <c r="H1251" i="1" s="1"/>
  <c r="R882" i="4"/>
  <c r="G882" i="4" s="1"/>
  <c r="G1254" i="1"/>
  <c r="H1254" i="1" s="1"/>
  <c r="R889" i="4"/>
  <c r="G889" i="4" s="1"/>
  <c r="G1261" i="1"/>
  <c r="H1261" i="1" s="1"/>
  <c r="R876" i="4"/>
  <c r="G876" i="4" s="1"/>
  <c r="G1248" i="1"/>
  <c r="H1248" i="1" s="1"/>
  <c r="F873" i="4"/>
  <c r="G826" i="4" l="1"/>
  <c r="G833" i="4"/>
  <c r="G831" i="4"/>
  <c r="G829" i="4"/>
  <c r="G830" i="4"/>
  <c r="G828" i="4"/>
  <c r="G827" i="4"/>
  <c r="G834" i="4"/>
  <c r="G832" i="4"/>
  <c r="N785" i="4"/>
  <c r="O785" i="4" s="1"/>
  <c r="O781" i="4"/>
  <c r="F829" i="1"/>
  <c r="L782" i="4" s="1"/>
  <c r="F828" i="1"/>
  <c r="O780" i="4"/>
  <c r="F827" i="1"/>
  <c r="AM814" i="4"/>
  <c r="AK814" i="4"/>
  <c r="AI814" i="4"/>
  <c r="AG814" i="4"/>
  <c r="AE814" i="4"/>
  <c r="AD814" i="4"/>
  <c r="AC814" i="4"/>
  <c r="AB814" i="4"/>
  <c r="AA814" i="4"/>
  <c r="Z814" i="4"/>
  <c r="O814" i="4"/>
  <c r="L814" i="4"/>
  <c r="K814" i="4"/>
  <c r="J814" i="4"/>
  <c r="H814" i="4"/>
  <c r="AV814" i="4" s="1"/>
  <c r="E814" i="4"/>
  <c r="AM813" i="4"/>
  <c r="AK813" i="4"/>
  <c r="AI813" i="4"/>
  <c r="AG813" i="4"/>
  <c r="AE813" i="4"/>
  <c r="AD813" i="4"/>
  <c r="AC813" i="4"/>
  <c r="AB813" i="4"/>
  <c r="AA813" i="4"/>
  <c r="Z813" i="4"/>
  <c r="O813" i="4"/>
  <c r="L813" i="4"/>
  <c r="K813" i="4"/>
  <c r="J813" i="4"/>
  <c r="H813" i="4"/>
  <c r="AH813" i="4" s="1"/>
  <c r="AN813" i="4" s="1"/>
  <c r="E813" i="4"/>
  <c r="AM812" i="4"/>
  <c r="AK812" i="4"/>
  <c r="AI812" i="4"/>
  <c r="AG812" i="4"/>
  <c r="AE812" i="4"/>
  <c r="AD812" i="4"/>
  <c r="AC812" i="4"/>
  <c r="AB812" i="4"/>
  <c r="AA812" i="4"/>
  <c r="Z812" i="4"/>
  <c r="O812" i="4"/>
  <c r="L812" i="4"/>
  <c r="K812" i="4"/>
  <c r="J812" i="4"/>
  <c r="H812" i="4"/>
  <c r="AV812" i="4" s="1"/>
  <c r="E812" i="4"/>
  <c r="AM811" i="4"/>
  <c r="AK811" i="4"/>
  <c r="AI811" i="4"/>
  <c r="AG811" i="4"/>
  <c r="AE811" i="4"/>
  <c r="AD811" i="4"/>
  <c r="AC811" i="4"/>
  <c r="AB811" i="4"/>
  <c r="AA811" i="4"/>
  <c r="Z811" i="4"/>
  <c r="O811" i="4"/>
  <c r="L811" i="4"/>
  <c r="K811" i="4"/>
  <c r="J811" i="4"/>
  <c r="H811" i="4"/>
  <c r="AF811" i="4" s="1"/>
  <c r="E811" i="4"/>
  <c r="AM810" i="4"/>
  <c r="AK810" i="4"/>
  <c r="AI810" i="4"/>
  <c r="AG810" i="4"/>
  <c r="AE810" i="4"/>
  <c r="AD810" i="4"/>
  <c r="AC810" i="4"/>
  <c r="AB810" i="4"/>
  <c r="AA810" i="4"/>
  <c r="Z810" i="4"/>
  <c r="O810" i="4"/>
  <c r="L810" i="4"/>
  <c r="K810" i="4"/>
  <c r="J810" i="4"/>
  <c r="H810" i="4"/>
  <c r="AV810" i="4" s="1"/>
  <c r="E810" i="4"/>
  <c r="AM809" i="4"/>
  <c r="AK809" i="4"/>
  <c r="AI809" i="4"/>
  <c r="AG809" i="4"/>
  <c r="AE809" i="4"/>
  <c r="AD809" i="4"/>
  <c r="AC809" i="4"/>
  <c r="AB809" i="4"/>
  <c r="AA809" i="4"/>
  <c r="Z809" i="4"/>
  <c r="O809" i="4"/>
  <c r="L809" i="4"/>
  <c r="K809" i="4"/>
  <c r="J809" i="4"/>
  <c r="H809" i="4"/>
  <c r="AF809" i="4" s="1"/>
  <c r="E809" i="4"/>
  <c r="AM808" i="4"/>
  <c r="AK808" i="4"/>
  <c r="AI808" i="4"/>
  <c r="AG808" i="4"/>
  <c r="AE808" i="4"/>
  <c r="AD808" i="4"/>
  <c r="AC808" i="4"/>
  <c r="AB808" i="4"/>
  <c r="AA808" i="4"/>
  <c r="Z808" i="4"/>
  <c r="O808" i="4"/>
  <c r="L808" i="4"/>
  <c r="K808" i="4"/>
  <c r="J808" i="4"/>
  <c r="H808" i="4"/>
  <c r="AV808" i="4" s="1"/>
  <c r="E808" i="4"/>
  <c r="AM807" i="4"/>
  <c r="AK807" i="4"/>
  <c r="AI807" i="4"/>
  <c r="AG807" i="4"/>
  <c r="AE807" i="4"/>
  <c r="AD807" i="4"/>
  <c r="AC807" i="4"/>
  <c r="AB807" i="4"/>
  <c r="AA807" i="4"/>
  <c r="Z807" i="4"/>
  <c r="O807" i="4"/>
  <c r="L807" i="4"/>
  <c r="K807" i="4"/>
  <c r="J807" i="4"/>
  <c r="H807" i="4"/>
  <c r="AF807" i="4" s="1"/>
  <c r="E807" i="4"/>
  <c r="AK806" i="4"/>
  <c r="AI806" i="4"/>
  <c r="AG806" i="4"/>
  <c r="AE806" i="4"/>
  <c r="AD806" i="4"/>
  <c r="AC806" i="4"/>
  <c r="AB806" i="4"/>
  <c r="AA806" i="4"/>
  <c r="Z806" i="4"/>
  <c r="K806" i="4"/>
  <c r="J806" i="4"/>
  <c r="H806" i="4"/>
  <c r="AV806" i="4" s="1"/>
  <c r="E806" i="4"/>
  <c r="Q806" i="4" s="1"/>
  <c r="AK805" i="4"/>
  <c r="AI805" i="4"/>
  <c r="AG805" i="4"/>
  <c r="AE805" i="4"/>
  <c r="AD805" i="4"/>
  <c r="AC805" i="4"/>
  <c r="AB805" i="4"/>
  <c r="AA805" i="4"/>
  <c r="Z805" i="4"/>
  <c r="L805" i="4"/>
  <c r="P805" i="4" s="1"/>
  <c r="K805" i="4"/>
  <c r="J805" i="4"/>
  <c r="H805" i="4"/>
  <c r="AH805" i="4" s="1"/>
  <c r="AN805" i="4" s="1"/>
  <c r="E805" i="4"/>
  <c r="Q805" i="4" s="1"/>
  <c r="G834" i="1" s="1"/>
  <c r="H834" i="1" s="1"/>
  <c r="AM804" i="4"/>
  <c r="AM805" i="4" s="1"/>
  <c r="AM806" i="4" s="1"/>
  <c r="AK804" i="4"/>
  <c r="AI804" i="4"/>
  <c r="AG804" i="4"/>
  <c r="AE804" i="4"/>
  <c r="AD804" i="4"/>
  <c r="AC804" i="4"/>
  <c r="AB804" i="4"/>
  <c r="AA804" i="4"/>
  <c r="Z804" i="4"/>
  <c r="L804" i="4"/>
  <c r="P804" i="4" s="1"/>
  <c r="K804" i="4"/>
  <c r="J804" i="4"/>
  <c r="H804" i="4"/>
  <c r="AV804" i="4" s="1"/>
  <c r="E804" i="4"/>
  <c r="Q804" i="4" s="1"/>
  <c r="G833" i="1" s="1"/>
  <c r="H833" i="1" s="1"/>
  <c r="AK803" i="4"/>
  <c r="AI803" i="4"/>
  <c r="AG803" i="4"/>
  <c r="AE803" i="4"/>
  <c r="AD803" i="4"/>
  <c r="AC803" i="4"/>
  <c r="AB803" i="4"/>
  <c r="AA803" i="4"/>
  <c r="Z803" i="4"/>
  <c r="O803" i="4"/>
  <c r="K803" i="4"/>
  <c r="J803" i="4"/>
  <c r="H803" i="4"/>
  <c r="AF803" i="4" s="1"/>
  <c r="E803" i="4"/>
  <c r="Q803" i="4" s="1"/>
  <c r="AK802" i="4"/>
  <c r="AI802" i="4"/>
  <c r="AG802" i="4"/>
  <c r="AE802" i="4"/>
  <c r="AD802" i="4"/>
  <c r="AC802" i="4"/>
  <c r="AB802" i="4"/>
  <c r="AA802" i="4"/>
  <c r="Z802" i="4"/>
  <c r="K802" i="4"/>
  <c r="J802" i="4"/>
  <c r="H802" i="4"/>
  <c r="AV802" i="4" s="1"/>
  <c r="E802" i="4"/>
  <c r="Q802" i="4" s="1"/>
  <c r="AK801" i="4"/>
  <c r="AI801" i="4"/>
  <c r="AG801" i="4"/>
  <c r="AE801" i="4"/>
  <c r="AD801" i="4"/>
  <c r="AC801" i="4"/>
  <c r="AB801" i="4"/>
  <c r="AA801" i="4"/>
  <c r="Z801" i="4"/>
  <c r="O801" i="4"/>
  <c r="K801" i="4"/>
  <c r="J801" i="4"/>
  <c r="H801" i="4"/>
  <c r="AH801" i="4" s="1"/>
  <c r="AN801" i="4" s="1"/>
  <c r="E801" i="4"/>
  <c r="Q801" i="4" s="1"/>
  <c r="AK800" i="4"/>
  <c r="AI800" i="4"/>
  <c r="AG800" i="4"/>
  <c r="AE800" i="4"/>
  <c r="AD800" i="4"/>
  <c r="AC800" i="4"/>
  <c r="AB800" i="4"/>
  <c r="AA800" i="4"/>
  <c r="Z800" i="4"/>
  <c r="O800" i="4"/>
  <c r="L800" i="4"/>
  <c r="K800" i="4"/>
  <c r="J800" i="4"/>
  <c r="H800" i="4"/>
  <c r="AV800" i="4" s="1"/>
  <c r="E800" i="4"/>
  <c r="AM799" i="4"/>
  <c r="AM800" i="4" s="1"/>
  <c r="AM801" i="4" s="1"/>
  <c r="AM802" i="4" s="1"/>
  <c r="AM803" i="4" s="1"/>
  <c r="AK799" i="4"/>
  <c r="AI799" i="4"/>
  <c r="AG799" i="4"/>
  <c r="AE799" i="4"/>
  <c r="AD799" i="4"/>
  <c r="AC799" i="4"/>
  <c r="AB799" i="4"/>
  <c r="AA799" i="4"/>
  <c r="Z799" i="4"/>
  <c r="O799" i="4"/>
  <c r="L799" i="4"/>
  <c r="K799" i="4"/>
  <c r="J799" i="4"/>
  <c r="H799" i="4"/>
  <c r="AF799" i="4" s="1"/>
  <c r="E799" i="4"/>
  <c r="AM798" i="4"/>
  <c r="AK798" i="4"/>
  <c r="AI798" i="4"/>
  <c r="AG798" i="4"/>
  <c r="AE798" i="4"/>
  <c r="AD798" i="4"/>
  <c r="AC798" i="4"/>
  <c r="AB798" i="4"/>
  <c r="AA798" i="4"/>
  <c r="Z798" i="4"/>
  <c r="O798" i="4"/>
  <c r="L798" i="4"/>
  <c r="K798" i="4"/>
  <c r="J798" i="4"/>
  <c r="H798" i="4"/>
  <c r="AV798" i="4" s="1"/>
  <c r="E798" i="4"/>
  <c r="AM797" i="4"/>
  <c r="AK797" i="4"/>
  <c r="AI797" i="4"/>
  <c r="AG797" i="4"/>
  <c r="AE797" i="4"/>
  <c r="AD797" i="4"/>
  <c r="AC797" i="4"/>
  <c r="AB797" i="4"/>
  <c r="AA797" i="4"/>
  <c r="Z797" i="4"/>
  <c r="O797" i="4"/>
  <c r="L797" i="4"/>
  <c r="K797" i="4"/>
  <c r="J797" i="4"/>
  <c r="H797" i="4"/>
  <c r="AH797" i="4" s="1"/>
  <c r="AN797" i="4" s="1"/>
  <c r="E797" i="4"/>
  <c r="AM796" i="4"/>
  <c r="AK796" i="4"/>
  <c r="AI796" i="4"/>
  <c r="AG796" i="4"/>
  <c r="AE796" i="4"/>
  <c r="AD796" i="4"/>
  <c r="AC796" i="4"/>
  <c r="AB796" i="4"/>
  <c r="AA796" i="4"/>
  <c r="Z796" i="4"/>
  <c r="O796" i="4"/>
  <c r="L796" i="4"/>
  <c r="K796" i="4"/>
  <c r="J796" i="4"/>
  <c r="H796" i="4"/>
  <c r="AV796" i="4" s="1"/>
  <c r="E796" i="4"/>
  <c r="AM786" i="4"/>
  <c r="AK786" i="4"/>
  <c r="AI786" i="4"/>
  <c r="AG786" i="4"/>
  <c r="AE786" i="4"/>
  <c r="AD786" i="4"/>
  <c r="AC786" i="4"/>
  <c r="AB786" i="4"/>
  <c r="AA786" i="4"/>
  <c r="Z786" i="4"/>
  <c r="O786" i="4"/>
  <c r="K786" i="4"/>
  <c r="J786" i="4"/>
  <c r="H786" i="4"/>
  <c r="AF786" i="4" s="1"/>
  <c r="E786" i="4"/>
  <c r="AK785" i="4"/>
  <c r="AI785" i="4"/>
  <c r="AG785" i="4"/>
  <c r="AE785" i="4"/>
  <c r="AD785" i="4"/>
  <c r="AC785" i="4"/>
  <c r="AB785" i="4"/>
  <c r="AA785" i="4"/>
  <c r="Z785" i="4"/>
  <c r="L785" i="4"/>
  <c r="K785" i="4"/>
  <c r="J785" i="4"/>
  <c r="H785" i="4"/>
  <c r="AV785" i="4" s="1"/>
  <c r="E785" i="4"/>
  <c r="AM784" i="4"/>
  <c r="AM785" i="4" s="1"/>
  <c r="AK784" i="4"/>
  <c r="AI784" i="4"/>
  <c r="AG784" i="4"/>
  <c r="AE784" i="4"/>
  <c r="AD784" i="4"/>
  <c r="AC784" i="4"/>
  <c r="AB784" i="4"/>
  <c r="AA784" i="4"/>
  <c r="Z784" i="4"/>
  <c r="O784" i="4"/>
  <c r="K784" i="4"/>
  <c r="J784" i="4"/>
  <c r="H784" i="4"/>
  <c r="AH784" i="4" s="1"/>
  <c r="AN784" i="4" s="1"/>
  <c r="E784" i="4"/>
  <c r="AK783" i="4"/>
  <c r="AI783" i="4"/>
  <c r="AG783" i="4"/>
  <c r="AE783" i="4"/>
  <c r="AD783" i="4"/>
  <c r="AC783" i="4"/>
  <c r="AB783" i="4"/>
  <c r="AA783" i="4"/>
  <c r="Z783" i="4"/>
  <c r="O783" i="4"/>
  <c r="K783" i="4"/>
  <c r="J783" i="4"/>
  <c r="H783" i="4"/>
  <c r="AV783" i="4" s="1"/>
  <c r="E783" i="4"/>
  <c r="Q783" i="4" s="1"/>
  <c r="AK782" i="4"/>
  <c r="AI782" i="4"/>
  <c r="AG782" i="4"/>
  <c r="AE782" i="4"/>
  <c r="AD782" i="4"/>
  <c r="AC782" i="4"/>
  <c r="AB782" i="4"/>
  <c r="AA782" i="4"/>
  <c r="Z782" i="4"/>
  <c r="O782" i="4"/>
  <c r="K782" i="4"/>
  <c r="J782" i="4"/>
  <c r="H782" i="4"/>
  <c r="AH782" i="4" s="1"/>
  <c r="AN782" i="4" s="1"/>
  <c r="E782" i="4"/>
  <c r="O380" i="4"/>
  <c r="N1216" i="13"/>
  <c r="F826" i="1"/>
  <c r="O778" i="4"/>
  <c r="F578" i="1"/>
  <c r="M777" i="4"/>
  <c r="O777" i="4" s="1"/>
  <c r="O771" i="4"/>
  <c r="N773" i="4"/>
  <c r="O773" i="4" s="1"/>
  <c r="O772" i="4" s="1"/>
  <c r="F825" i="1"/>
  <c r="L848" i="4" s="1"/>
  <c r="Q807" i="4" l="1"/>
  <c r="P807" i="4"/>
  <c r="F807" i="4" s="1"/>
  <c r="Q808" i="4"/>
  <c r="G1191" i="1" s="1"/>
  <c r="H1191" i="1" s="1"/>
  <c r="P808" i="4"/>
  <c r="F808" i="4" s="1"/>
  <c r="Q809" i="4"/>
  <c r="G1192" i="1" s="1"/>
  <c r="H1192" i="1" s="1"/>
  <c r="Q810" i="4"/>
  <c r="G1193" i="1" s="1"/>
  <c r="H1193" i="1" s="1"/>
  <c r="P810" i="4"/>
  <c r="F810" i="4" s="1"/>
  <c r="Q813" i="4"/>
  <c r="G1196" i="1" s="1"/>
  <c r="H1196" i="1" s="1"/>
  <c r="P813" i="4"/>
  <c r="F813" i="4" s="1"/>
  <c r="Q797" i="4"/>
  <c r="G831" i="1" s="1"/>
  <c r="H831" i="1" s="1"/>
  <c r="P797" i="4"/>
  <c r="F797" i="4" s="1"/>
  <c r="Q798" i="4"/>
  <c r="G832" i="1" s="1"/>
  <c r="H832" i="1" s="1"/>
  <c r="P798" i="4"/>
  <c r="F798" i="4" s="1"/>
  <c r="P848" i="4"/>
  <c r="F848" i="4" s="1"/>
  <c r="R848" i="4"/>
  <c r="G848" i="4" s="1"/>
  <c r="Q782" i="4"/>
  <c r="P782" i="4"/>
  <c r="AF785" i="4"/>
  <c r="AL813" i="4"/>
  <c r="AL801" i="4"/>
  <c r="Q814" i="4"/>
  <c r="P814" i="4"/>
  <c r="F814" i="4" s="1"/>
  <c r="AL814" i="4"/>
  <c r="AF813" i="4"/>
  <c r="AH814" i="4"/>
  <c r="AN814" i="4" s="1"/>
  <c r="AF814" i="4"/>
  <c r="Q811" i="4"/>
  <c r="G1194" i="1" s="1"/>
  <c r="H1194" i="1" s="1"/>
  <c r="P811" i="4"/>
  <c r="F811" i="4" s="1"/>
  <c r="Q812" i="4"/>
  <c r="G1195" i="1" s="1"/>
  <c r="H1195" i="1" s="1"/>
  <c r="P812" i="4"/>
  <c r="F812" i="4" s="1"/>
  <c r="AL811" i="4"/>
  <c r="AL812" i="4"/>
  <c r="AH808" i="4"/>
  <c r="AN808" i="4" s="1"/>
  <c r="AL809" i="4"/>
  <c r="AL810" i="4"/>
  <c r="AH798" i="4"/>
  <c r="AN798" i="4" s="1"/>
  <c r="AH809" i="4"/>
  <c r="AN809" i="4" s="1"/>
  <c r="AH812" i="4"/>
  <c r="AN812" i="4" s="1"/>
  <c r="AL807" i="4"/>
  <c r="AL808" i="4"/>
  <c r="AH811" i="4"/>
  <c r="AN811" i="4" s="1"/>
  <c r="AF812" i="4"/>
  <c r="R807" i="4"/>
  <c r="G807" i="4" s="1"/>
  <c r="G1190" i="1"/>
  <c r="H1190" i="1" s="1"/>
  <c r="P809" i="4"/>
  <c r="F809" i="4" s="1"/>
  <c r="R810" i="4"/>
  <c r="G810" i="4" s="1"/>
  <c r="R808" i="4"/>
  <c r="G808" i="4" s="1"/>
  <c r="AL805" i="4"/>
  <c r="AH807" i="4"/>
  <c r="AN807" i="4" s="1"/>
  <c r="R809" i="4"/>
  <c r="G809" i="4" s="1"/>
  <c r="AF810" i="4"/>
  <c r="AL806" i="4"/>
  <c r="AF808" i="4"/>
  <c r="AH810" i="4"/>
  <c r="AN810" i="4" s="1"/>
  <c r="Q800" i="4"/>
  <c r="R804" i="4"/>
  <c r="AF806" i="4"/>
  <c r="AH806" i="4"/>
  <c r="AN806" i="4" s="1"/>
  <c r="AL800" i="4"/>
  <c r="AL804" i="4"/>
  <c r="R805" i="4"/>
  <c r="AF805" i="4"/>
  <c r="AL803" i="4"/>
  <c r="AH804" i="4"/>
  <c r="AN804" i="4" s="1"/>
  <c r="AF804" i="4"/>
  <c r="AL802" i="4"/>
  <c r="Q799" i="4"/>
  <c r="P799" i="4"/>
  <c r="P800" i="4"/>
  <c r="AH800" i="4"/>
  <c r="AN800" i="4" s="1"/>
  <c r="AF802" i="4"/>
  <c r="AF801" i="4"/>
  <c r="AH803" i="4"/>
  <c r="AN803" i="4" s="1"/>
  <c r="AL797" i="4"/>
  <c r="AH802" i="4"/>
  <c r="AN802" i="4" s="1"/>
  <c r="AF800" i="4"/>
  <c r="AL799" i="4"/>
  <c r="AH799" i="4"/>
  <c r="AN799" i="4" s="1"/>
  <c r="AL798" i="4"/>
  <c r="AF798" i="4"/>
  <c r="AL796" i="4"/>
  <c r="Q796" i="4"/>
  <c r="Q786" i="4"/>
  <c r="P796" i="4"/>
  <c r="F796" i="4" s="1"/>
  <c r="AF797" i="4"/>
  <c r="AL785" i="4"/>
  <c r="AH796" i="4"/>
  <c r="AN796" i="4" s="1"/>
  <c r="AF796" i="4"/>
  <c r="P785" i="4"/>
  <c r="AH783" i="4"/>
  <c r="AN783" i="4" s="1"/>
  <c r="AL784" i="4"/>
  <c r="AL786" i="4"/>
  <c r="Q784" i="4"/>
  <c r="Q785" i="4"/>
  <c r="R785" i="4" s="1"/>
  <c r="AL783" i="4"/>
  <c r="AH785" i="4"/>
  <c r="AN785" i="4" s="1"/>
  <c r="AF784" i="4"/>
  <c r="AL782" i="4"/>
  <c r="AF783" i="4"/>
  <c r="AF782" i="4"/>
  <c r="AV801" i="4"/>
  <c r="AV807" i="4"/>
  <c r="AV803" i="4"/>
  <c r="AV809" i="4"/>
  <c r="AV782" i="4"/>
  <c r="AV797" i="4"/>
  <c r="AV811" i="4"/>
  <c r="AV784" i="4"/>
  <c r="AV799" i="4"/>
  <c r="AV805" i="4"/>
  <c r="AV813" i="4"/>
  <c r="R798" i="4" l="1"/>
  <c r="G798" i="4" s="1"/>
  <c r="R811" i="4"/>
  <c r="G811" i="4" s="1"/>
  <c r="R796" i="4"/>
  <c r="G796" i="4" s="1"/>
  <c r="G830" i="1"/>
  <c r="H830" i="1" s="1"/>
  <c r="R800" i="4"/>
  <c r="R782" i="4"/>
  <c r="G829" i="1"/>
  <c r="H829" i="1" s="1"/>
  <c r="R797" i="4"/>
  <c r="G797" i="4" s="1"/>
  <c r="R813" i="4"/>
  <c r="G813" i="4" s="1"/>
  <c r="R814" i="4"/>
  <c r="G814" i="4" s="1"/>
  <c r="G1197" i="1"/>
  <c r="H1197" i="1" s="1"/>
  <c r="R812" i="4"/>
  <c r="G812" i="4" s="1"/>
  <c r="R799" i="4"/>
  <c r="G1189" i="1"/>
  <c r="H1189" i="1" s="1"/>
  <c r="O770" i="4" l="1"/>
  <c r="L463" i="4" l="1"/>
  <c r="AM466" i="4"/>
  <c r="AK466" i="4"/>
  <c r="AI466" i="4"/>
  <c r="AG466" i="4"/>
  <c r="AE466" i="4"/>
  <c r="AD466" i="4"/>
  <c r="AC466" i="4"/>
  <c r="AB466" i="4"/>
  <c r="AA466" i="4"/>
  <c r="Z466" i="4"/>
  <c r="AK465" i="4"/>
  <c r="AI465" i="4"/>
  <c r="AG465" i="4"/>
  <c r="AE465" i="4"/>
  <c r="AD465" i="4"/>
  <c r="AC465" i="4"/>
  <c r="AB465" i="4"/>
  <c r="AA465" i="4"/>
  <c r="Z465" i="4"/>
  <c r="AM464" i="4"/>
  <c r="AK464" i="4"/>
  <c r="AI464" i="4"/>
  <c r="AG464" i="4"/>
  <c r="AE464" i="4"/>
  <c r="AD464" i="4"/>
  <c r="AC464" i="4"/>
  <c r="AB464" i="4"/>
  <c r="AA464" i="4"/>
  <c r="Z464" i="4"/>
  <c r="AM463" i="4"/>
  <c r="AM465" i="4" s="1"/>
  <c r="AK463" i="4"/>
  <c r="AI463" i="4"/>
  <c r="AG463" i="4"/>
  <c r="AE463" i="4"/>
  <c r="AD463" i="4"/>
  <c r="AC463" i="4"/>
  <c r="AB463" i="4"/>
  <c r="AA463" i="4"/>
  <c r="Z463" i="4"/>
  <c r="O465" i="4"/>
  <c r="O464" i="4"/>
  <c r="O463" i="4"/>
  <c r="K466" i="4"/>
  <c r="J466" i="4"/>
  <c r="K465" i="4"/>
  <c r="J465" i="4"/>
  <c r="K464" i="4"/>
  <c r="J464" i="4"/>
  <c r="K463" i="4"/>
  <c r="J463" i="4"/>
  <c r="H466" i="4"/>
  <c r="AV466" i="4" s="1"/>
  <c r="E466" i="4"/>
  <c r="H465" i="4"/>
  <c r="AH465" i="4" s="1"/>
  <c r="AN465" i="4" s="1"/>
  <c r="E465" i="4"/>
  <c r="H464" i="4"/>
  <c r="AV464" i="4" s="1"/>
  <c r="E464" i="4"/>
  <c r="H463" i="4"/>
  <c r="AF463" i="4" s="1"/>
  <c r="E463" i="4"/>
  <c r="Q463" i="4" s="1"/>
  <c r="G350" i="1" s="1"/>
  <c r="H350" i="1" s="1"/>
  <c r="L461" i="4"/>
  <c r="AK461" i="4"/>
  <c r="AI461" i="4"/>
  <c r="AG461" i="4"/>
  <c r="AE461" i="4"/>
  <c r="AD461" i="4"/>
  <c r="AC461" i="4"/>
  <c r="AB461" i="4"/>
  <c r="AA461" i="4"/>
  <c r="Z461" i="4"/>
  <c r="O461" i="4"/>
  <c r="K461" i="4"/>
  <c r="J461" i="4"/>
  <c r="H461" i="4"/>
  <c r="AV461" i="4" s="1"/>
  <c r="E461" i="4"/>
  <c r="AK462" i="4"/>
  <c r="AI462" i="4"/>
  <c r="AG462" i="4"/>
  <c r="AE462" i="4"/>
  <c r="AD462" i="4"/>
  <c r="AC462" i="4"/>
  <c r="AB462" i="4"/>
  <c r="AA462" i="4"/>
  <c r="Z462" i="4"/>
  <c r="O462" i="4"/>
  <c r="K462" i="4"/>
  <c r="J462" i="4"/>
  <c r="H462" i="4"/>
  <c r="AV462" i="4" s="1"/>
  <c r="E462" i="4"/>
  <c r="AK460" i="4"/>
  <c r="AI460" i="4"/>
  <c r="AG460" i="4"/>
  <c r="AE460" i="4"/>
  <c r="AD460" i="4"/>
  <c r="AC460" i="4"/>
  <c r="AB460" i="4"/>
  <c r="AA460" i="4"/>
  <c r="Z460" i="4"/>
  <c r="O460" i="4"/>
  <c r="L460" i="4"/>
  <c r="K460" i="4"/>
  <c r="J460" i="4"/>
  <c r="H460" i="4"/>
  <c r="AV460" i="4" s="1"/>
  <c r="E460" i="4"/>
  <c r="AK459" i="4"/>
  <c r="AI459" i="4"/>
  <c r="AG459" i="4"/>
  <c r="AE459" i="4"/>
  <c r="AD459" i="4"/>
  <c r="AC459" i="4"/>
  <c r="AB459" i="4"/>
  <c r="AA459" i="4"/>
  <c r="Z459" i="4"/>
  <c r="O459" i="4"/>
  <c r="L459" i="4"/>
  <c r="K459" i="4"/>
  <c r="J459" i="4"/>
  <c r="H459" i="4"/>
  <c r="AV459" i="4" s="1"/>
  <c r="E459" i="4"/>
  <c r="L456" i="4"/>
  <c r="AK458" i="4"/>
  <c r="AI458" i="4"/>
  <c r="AG458" i="4"/>
  <c r="AE458" i="4"/>
  <c r="AD458" i="4"/>
  <c r="AC458" i="4"/>
  <c r="AB458" i="4"/>
  <c r="AA458" i="4"/>
  <c r="Z458" i="4"/>
  <c r="O458" i="4"/>
  <c r="K458" i="4"/>
  <c r="J458" i="4"/>
  <c r="H458" i="4"/>
  <c r="AV458" i="4" s="1"/>
  <c r="E458" i="4"/>
  <c r="AK457" i="4"/>
  <c r="AI457" i="4"/>
  <c r="AG457" i="4"/>
  <c r="AE457" i="4"/>
  <c r="AD457" i="4"/>
  <c r="AC457" i="4"/>
  <c r="AB457" i="4"/>
  <c r="AA457" i="4"/>
  <c r="Z457" i="4"/>
  <c r="O457" i="4"/>
  <c r="L457" i="4"/>
  <c r="K457" i="4"/>
  <c r="J457" i="4"/>
  <c r="H457" i="4"/>
  <c r="AV457" i="4" s="1"/>
  <c r="E457" i="4"/>
  <c r="AM456" i="4"/>
  <c r="AM457" i="4" s="1"/>
  <c r="AM458" i="4" s="1"/>
  <c r="AM459" i="4" s="1"/>
  <c r="AM460" i="4" s="1"/>
  <c r="AM462" i="4" s="1"/>
  <c r="AK456" i="4"/>
  <c r="AI456" i="4"/>
  <c r="AG456" i="4"/>
  <c r="AE456" i="4"/>
  <c r="AD456" i="4"/>
  <c r="AC456" i="4"/>
  <c r="AB456" i="4"/>
  <c r="AA456" i="4"/>
  <c r="Z456" i="4"/>
  <c r="O456" i="4"/>
  <c r="K456" i="4"/>
  <c r="J456" i="4"/>
  <c r="H456" i="4"/>
  <c r="AV456" i="4" s="1"/>
  <c r="E456" i="4"/>
  <c r="O768" i="4"/>
  <c r="O767" i="4"/>
  <c r="O766" i="4"/>
  <c r="O765" i="4"/>
  <c r="F824" i="1"/>
  <c r="F823" i="1"/>
  <c r="F822" i="1"/>
  <c r="Q465" i="4" l="1"/>
  <c r="L464" i="4"/>
  <c r="P464" i="4" s="1"/>
  <c r="Q457" i="4"/>
  <c r="R457" i="4" s="1"/>
  <c r="P457" i="4"/>
  <c r="P463" i="4"/>
  <c r="AF465" i="4"/>
  <c r="AV465" i="4"/>
  <c r="Q464" i="4"/>
  <c r="AF466" i="4"/>
  <c r="AH466" i="4"/>
  <c r="AN466" i="4" s="1"/>
  <c r="Q460" i="4"/>
  <c r="P460" i="4"/>
  <c r="AL466" i="4"/>
  <c r="AL465" i="4"/>
  <c r="AL463" i="4"/>
  <c r="AL464" i="4"/>
  <c r="AF464" i="4"/>
  <c r="R463" i="4"/>
  <c r="AH464" i="4"/>
  <c r="AN464" i="4" s="1"/>
  <c r="AH463" i="4"/>
  <c r="AN463" i="4" s="1"/>
  <c r="AV463" i="4"/>
  <c r="Q459" i="4"/>
  <c r="G347" i="1" s="1"/>
  <c r="H347" i="1" s="1"/>
  <c r="Q461" i="4"/>
  <c r="AL461" i="4"/>
  <c r="AL460" i="4"/>
  <c r="AL462" i="4"/>
  <c r="AM461" i="4"/>
  <c r="AF461" i="4"/>
  <c r="P461" i="4"/>
  <c r="AH461" i="4"/>
  <c r="AN461" i="4" s="1"/>
  <c r="AL459" i="4"/>
  <c r="AH460" i="4"/>
  <c r="AN460" i="4" s="1"/>
  <c r="Q462" i="4"/>
  <c r="AF459" i="4"/>
  <c r="AF462" i="4"/>
  <c r="P459" i="4"/>
  <c r="AH459" i="4"/>
  <c r="AN459" i="4" s="1"/>
  <c r="AF460" i="4"/>
  <c r="AH462" i="4"/>
  <c r="AN462" i="4" s="1"/>
  <c r="AH457" i="4"/>
  <c r="AN457" i="4" s="1"/>
  <c r="Q458" i="4"/>
  <c r="AL456" i="4"/>
  <c r="AL457" i="4"/>
  <c r="Q456" i="4"/>
  <c r="G346" i="1" s="1"/>
  <c r="H346" i="1" s="1"/>
  <c r="AL458" i="4"/>
  <c r="AF456" i="4"/>
  <c r="AF458" i="4"/>
  <c r="P456" i="4"/>
  <c r="AH456" i="4"/>
  <c r="AN456" i="4" s="1"/>
  <c r="AF457" i="4"/>
  <c r="AH458" i="4"/>
  <c r="AN458" i="4" s="1"/>
  <c r="N759" i="4"/>
  <c r="O759" i="4" s="1"/>
  <c r="F821" i="1"/>
  <c r="O761" i="4"/>
  <c r="O760" i="4"/>
  <c r="N756" i="4"/>
  <c r="O756" i="4" s="1"/>
  <c r="F820" i="1"/>
  <c r="O758" i="4"/>
  <c r="O757" i="4"/>
  <c r="F782" i="1"/>
  <c r="L563" i="4" s="1"/>
  <c r="O755" i="4"/>
  <c r="O754" i="4"/>
  <c r="O753" i="4"/>
  <c r="O752" i="4"/>
  <c r="O751" i="4"/>
  <c r="O750" i="4"/>
  <c r="O749" i="4"/>
  <c r="O748" i="4"/>
  <c r="O747" i="4"/>
  <c r="O745" i="4"/>
  <c r="F210" i="1"/>
  <c r="O743" i="4"/>
  <c r="O742" i="4"/>
  <c r="F819" i="1"/>
  <c r="O740" i="4"/>
  <c r="O739" i="4"/>
  <c r="P563" i="4" l="1"/>
  <c r="R563" i="4"/>
  <c r="R464" i="4"/>
  <c r="R461" i="4"/>
  <c r="R459" i="4"/>
  <c r="R460" i="4"/>
  <c r="R456" i="4"/>
  <c r="M681" i="4"/>
  <c r="O737" i="4" l="1"/>
  <c r="O736" i="4"/>
  <c r="N735" i="4"/>
  <c r="O735" i="4" s="1"/>
  <c r="N733" i="4"/>
  <c r="O733" i="4" s="1"/>
  <c r="O734" i="4"/>
  <c r="N732" i="4"/>
  <c r="L1071" i="4"/>
  <c r="O730" i="4"/>
  <c r="O729" i="4"/>
  <c r="O728" i="4"/>
  <c r="N727" i="4"/>
  <c r="O727" i="4" s="1"/>
  <c r="N725" i="4"/>
  <c r="O725" i="4" s="1"/>
  <c r="O726" i="4"/>
  <c r="O721" i="4"/>
  <c r="O720" i="4"/>
  <c r="O724" i="4"/>
  <c r="O723" i="4"/>
  <c r="O722" i="4"/>
  <c r="F815" i="1"/>
  <c r="O719" i="4"/>
  <c r="O718" i="4"/>
  <c r="F814" i="1"/>
  <c r="F813" i="1"/>
  <c r="N708" i="4"/>
  <c r="O708" i="4" s="1"/>
  <c r="O707" i="4"/>
  <c r="O706" i="4"/>
  <c r="O705" i="4"/>
  <c r="O704" i="4"/>
  <c r="O703" i="4"/>
  <c r="N695" i="4"/>
  <c r="O695" i="4" s="1"/>
  <c r="AK695" i="4"/>
  <c r="AI695" i="4"/>
  <c r="AG695" i="4"/>
  <c r="AE695" i="4"/>
  <c r="AD695" i="4"/>
  <c r="AC695" i="4"/>
  <c r="AB695" i="4"/>
  <c r="AA695" i="4"/>
  <c r="Z695" i="4"/>
  <c r="L695" i="4"/>
  <c r="K695" i="4"/>
  <c r="J695" i="4"/>
  <c r="H695" i="4"/>
  <c r="AV695" i="4" s="1"/>
  <c r="E695" i="4"/>
  <c r="O691" i="4"/>
  <c r="O690" i="4"/>
  <c r="F810" i="1"/>
  <c r="O840" i="13"/>
  <c r="O841" i="13"/>
  <c r="J689" i="4"/>
  <c r="J688" i="4"/>
  <c r="K687" i="4"/>
  <c r="J687" i="4"/>
  <c r="K686" i="4"/>
  <c r="J686" i="4"/>
  <c r="J685" i="4"/>
  <c r="J684" i="4"/>
  <c r="K683" i="4"/>
  <c r="J683" i="4"/>
  <c r="J682" i="4"/>
  <c r="J681" i="4"/>
  <c r="J680" i="4"/>
  <c r="L679" i="4"/>
  <c r="K679" i="4"/>
  <c r="J679" i="4"/>
  <c r="E689" i="4"/>
  <c r="E688" i="4"/>
  <c r="E687" i="4"/>
  <c r="E686" i="4"/>
  <c r="E685" i="4"/>
  <c r="E684" i="4"/>
  <c r="E683" i="4"/>
  <c r="E682" i="4"/>
  <c r="E681" i="4"/>
  <c r="E680" i="4"/>
  <c r="E679" i="4"/>
  <c r="AK689" i="4"/>
  <c r="AI689" i="4"/>
  <c r="AG689" i="4"/>
  <c r="AE689" i="4"/>
  <c r="AD689" i="4"/>
  <c r="AC689" i="4"/>
  <c r="AB689" i="4"/>
  <c r="AA689" i="4"/>
  <c r="Z689" i="4"/>
  <c r="O689" i="4"/>
  <c r="H689" i="4"/>
  <c r="AF689" i="4" s="1"/>
  <c r="AK688" i="4"/>
  <c r="AI688" i="4"/>
  <c r="AG688" i="4"/>
  <c r="AE688" i="4"/>
  <c r="AD688" i="4"/>
  <c r="AC688" i="4"/>
  <c r="AB688" i="4"/>
  <c r="AA688" i="4"/>
  <c r="Z688" i="4"/>
  <c r="O688" i="4"/>
  <c r="H688" i="4"/>
  <c r="AK687" i="4"/>
  <c r="AI687" i="4"/>
  <c r="AG687" i="4"/>
  <c r="AE687" i="4"/>
  <c r="AD687" i="4"/>
  <c r="AC687" i="4"/>
  <c r="AB687" i="4"/>
  <c r="AA687" i="4"/>
  <c r="Z687" i="4"/>
  <c r="O687" i="4"/>
  <c r="H687" i="4"/>
  <c r="AH687" i="4" s="1"/>
  <c r="AN687" i="4" s="1"/>
  <c r="AK686" i="4"/>
  <c r="AI686" i="4"/>
  <c r="AG686" i="4"/>
  <c r="AE686" i="4"/>
  <c r="AD686" i="4"/>
  <c r="AC686" i="4"/>
  <c r="AB686" i="4"/>
  <c r="AA686" i="4"/>
  <c r="Z686" i="4"/>
  <c r="M686" i="4"/>
  <c r="O686" i="4" s="1"/>
  <c r="H686" i="4"/>
  <c r="AK685" i="4"/>
  <c r="AI685" i="4"/>
  <c r="AG685" i="4"/>
  <c r="AE685" i="4"/>
  <c r="AD685" i="4"/>
  <c r="AC685" i="4"/>
  <c r="AB685" i="4"/>
  <c r="AA685" i="4"/>
  <c r="Z685" i="4"/>
  <c r="H685" i="4"/>
  <c r="AK684" i="4"/>
  <c r="AI684" i="4"/>
  <c r="AG684" i="4"/>
  <c r="AE684" i="4"/>
  <c r="AD684" i="4"/>
  <c r="AC684" i="4"/>
  <c r="AB684" i="4"/>
  <c r="AA684" i="4"/>
  <c r="Z684" i="4"/>
  <c r="H684" i="4"/>
  <c r="AK683" i="4"/>
  <c r="AI683" i="4"/>
  <c r="AG683" i="4"/>
  <c r="AE683" i="4"/>
  <c r="AD683" i="4"/>
  <c r="AC683" i="4"/>
  <c r="AB683" i="4"/>
  <c r="AA683" i="4"/>
  <c r="Z683" i="4"/>
  <c r="H683" i="4"/>
  <c r="AH683" i="4" s="1"/>
  <c r="AN683" i="4" s="1"/>
  <c r="AK682" i="4"/>
  <c r="AI682" i="4"/>
  <c r="AG682" i="4"/>
  <c r="AE682" i="4"/>
  <c r="AD682" i="4"/>
  <c r="AC682" i="4"/>
  <c r="AB682" i="4"/>
  <c r="AA682" i="4"/>
  <c r="Z682" i="4"/>
  <c r="O682" i="4"/>
  <c r="H682" i="4"/>
  <c r="AF682" i="4" s="1"/>
  <c r="AK681" i="4"/>
  <c r="AI681" i="4"/>
  <c r="AG681" i="4"/>
  <c r="AE681" i="4"/>
  <c r="AD681" i="4"/>
  <c r="AC681" i="4"/>
  <c r="AB681" i="4"/>
  <c r="AA681" i="4"/>
  <c r="Z681" i="4"/>
  <c r="O681" i="4"/>
  <c r="O684" i="4"/>
  <c r="H681" i="4"/>
  <c r="AF681" i="4" s="1"/>
  <c r="AK680" i="4"/>
  <c r="AI680" i="4"/>
  <c r="AG680" i="4"/>
  <c r="AE680" i="4"/>
  <c r="AD680" i="4"/>
  <c r="AC680" i="4"/>
  <c r="AB680" i="4"/>
  <c r="AA680" i="4"/>
  <c r="Z680" i="4"/>
  <c r="O680" i="4"/>
  <c r="H680" i="4"/>
  <c r="AM679" i="4"/>
  <c r="AM680" i="4" s="1"/>
  <c r="AM681" i="4" s="1"/>
  <c r="AM682" i="4" s="1"/>
  <c r="AM683" i="4" s="1"/>
  <c r="AM684" i="4" s="1"/>
  <c r="AM685" i="4" s="1"/>
  <c r="AM686" i="4" s="1"/>
  <c r="AM687" i="4" s="1"/>
  <c r="AM688" i="4" s="1"/>
  <c r="AM689" i="4" s="1"/>
  <c r="AK679" i="4"/>
  <c r="AI679" i="4"/>
  <c r="AG679" i="4"/>
  <c r="AE679" i="4"/>
  <c r="AD679" i="4"/>
  <c r="AC679" i="4"/>
  <c r="AB679" i="4"/>
  <c r="AA679" i="4"/>
  <c r="Z679" i="4"/>
  <c r="O679" i="4"/>
  <c r="H679" i="4"/>
  <c r="AH679" i="4" s="1"/>
  <c r="AN679" i="4" s="1"/>
  <c r="P1071" i="4" l="1"/>
  <c r="R1071" i="4"/>
  <c r="L711" i="4"/>
  <c r="R711" i="4" s="1"/>
  <c r="L698" i="4"/>
  <c r="Q688" i="4"/>
  <c r="L712" i="4"/>
  <c r="L699" i="4"/>
  <c r="AV687" i="4"/>
  <c r="AV683" i="4"/>
  <c r="Q695" i="4"/>
  <c r="R695" i="4" s="1"/>
  <c r="AL695" i="4"/>
  <c r="AF695" i="4"/>
  <c r="P695" i="4"/>
  <c r="AH695" i="4"/>
  <c r="AN695" i="4" s="1"/>
  <c r="O683" i="4"/>
  <c r="Q683" i="4" s="1"/>
  <c r="AV679" i="4"/>
  <c r="Q679" i="4"/>
  <c r="P679" i="4"/>
  <c r="O685" i="4"/>
  <c r="Q681" i="4"/>
  <c r="Q680" i="4"/>
  <c r="Q686" i="4"/>
  <c r="AL686" i="4"/>
  <c r="AL683" i="4"/>
  <c r="AL680" i="4"/>
  <c r="AL681" i="4"/>
  <c r="AL682" i="4"/>
  <c r="AL684" i="4"/>
  <c r="AL687" i="4"/>
  <c r="AF683" i="4"/>
  <c r="Q685" i="4"/>
  <c r="AL688" i="4"/>
  <c r="AL679" i="4"/>
  <c r="AL685" i="4"/>
  <c r="AL689" i="4"/>
  <c r="Q687" i="4"/>
  <c r="Q682" i="4"/>
  <c r="Q684" i="4"/>
  <c r="AF684" i="4"/>
  <c r="AF685" i="4"/>
  <c r="Q689" i="4"/>
  <c r="AF680" i="4"/>
  <c r="AF687" i="4"/>
  <c r="AF679" i="4"/>
  <c r="AF686" i="4"/>
  <c r="AF688" i="4"/>
  <c r="P711" i="4" l="1"/>
  <c r="P698" i="4"/>
  <c r="R698" i="4"/>
  <c r="P699" i="4"/>
  <c r="R699" i="4"/>
  <c r="R712" i="4"/>
  <c r="P712" i="4"/>
  <c r="R679" i="4"/>
  <c r="G555" i="1"/>
  <c r="H555" i="1" s="1"/>
  <c r="L674" i="4"/>
  <c r="N646" i="4"/>
  <c r="O646" i="4" s="1"/>
  <c r="N654" i="4"/>
  <c r="O654" i="4" s="1"/>
  <c r="N671" i="4"/>
  <c r="O671" i="4" s="1"/>
  <c r="AK671" i="4"/>
  <c r="AI671" i="4"/>
  <c r="AG671" i="4"/>
  <c r="AE671" i="4"/>
  <c r="AD671" i="4"/>
  <c r="AC671" i="4"/>
  <c r="AB671" i="4"/>
  <c r="AA671" i="4"/>
  <c r="Z671" i="4"/>
  <c r="L671" i="4"/>
  <c r="K671" i="4"/>
  <c r="J671" i="4"/>
  <c r="H671" i="4"/>
  <c r="AV671" i="4" s="1"/>
  <c r="E671" i="4"/>
  <c r="AK654" i="4"/>
  <c r="AI654" i="4"/>
  <c r="AG654" i="4"/>
  <c r="AE654" i="4"/>
  <c r="AD654" i="4"/>
  <c r="AC654" i="4"/>
  <c r="AB654" i="4"/>
  <c r="AA654" i="4"/>
  <c r="Z654" i="4"/>
  <c r="L654" i="4"/>
  <c r="K654" i="4"/>
  <c r="J654" i="4"/>
  <c r="H654" i="4"/>
  <c r="AV654" i="4" s="1"/>
  <c r="E654" i="4"/>
  <c r="AK646" i="4"/>
  <c r="AI646" i="4"/>
  <c r="AG646" i="4"/>
  <c r="AE646" i="4"/>
  <c r="AD646" i="4"/>
  <c r="AC646" i="4"/>
  <c r="AB646" i="4"/>
  <c r="AA646" i="4"/>
  <c r="Z646" i="4"/>
  <c r="K646" i="4"/>
  <c r="J646" i="4"/>
  <c r="H646" i="4"/>
  <c r="AV646" i="4" s="1"/>
  <c r="E646" i="4"/>
  <c r="L676" i="4"/>
  <c r="L677" i="4"/>
  <c r="AK677" i="4"/>
  <c r="AI677" i="4"/>
  <c r="AG677" i="4"/>
  <c r="AE677" i="4"/>
  <c r="AD677" i="4"/>
  <c r="AC677" i="4"/>
  <c r="AB677" i="4"/>
  <c r="AA677" i="4"/>
  <c r="Z677" i="4"/>
  <c r="O677" i="4"/>
  <c r="K677" i="4"/>
  <c r="J677" i="4"/>
  <c r="H677" i="4"/>
  <c r="AV677" i="4" s="1"/>
  <c r="E677" i="4"/>
  <c r="AK676" i="4"/>
  <c r="AI676" i="4"/>
  <c r="AG676" i="4"/>
  <c r="AE676" i="4"/>
  <c r="AD676" i="4"/>
  <c r="AC676" i="4"/>
  <c r="AB676" i="4"/>
  <c r="AA676" i="4"/>
  <c r="Z676" i="4"/>
  <c r="O676" i="4"/>
  <c r="K676" i="4"/>
  <c r="J676" i="4"/>
  <c r="H676" i="4"/>
  <c r="AH676" i="4" s="1"/>
  <c r="AN676" i="4" s="1"/>
  <c r="E676" i="4"/>
  <c r="Q676" i="4" s="1"/>
  <c r="G806" i="1" s="1"/>
  <c r="H806" i="1" s="1"/>
  <c r="AK675" i="4"/>
  <c r="AI675" i="4"/>
  <c r="AG675" i="4"/>
  <c r="AE675" i="4"/>
  <c r="AD675" i="4"/>
  <c r="AC675" i="4"/>
  <c r="AB675" i="4"/>
  <c r="AA675" i="4"/>
  <c r="Z675" i="4"/>
  <c r="O675" i="4"/>
  <c r="L675" i="4"/>
  <c r="K675" i="4"/>
  <c r="J675" i="4"/>
  <c r="H675" i="4"/>
  <c r="E675" i="4"/>
  <c r="AK674" i="4"/>
  <c r="AI674" i="4"/>
  <c r="AG674" i="4"/>
  <c r="AE674" i="4"/>
  <c r="AD674" i="4"/>
  <c r="AC674" i="4"/>
  <c r="AB674" i="4"/>
  <c r="AA674" i="4"/>
  <c r="Z674" i="4"/>
  <c r="O674" i="4"/>
  <c r="K674" i="4"/>
  <c r="H674" i="4"/>
  <c r="E674" i="4"/>
  <c r="AK673" i="4"/>
  <c r="AI673" i="4"/>
  <c r="AG673" i="4"/>
  <c r="AE673" i="4"/>
  <c r="AD673" i="4"/>
  <c r="AC673" i="4"/>
  <c r="AB673" i="4"/>
  <c r="AA673" i="4"/>
  <c r="Z673" i="4"/>
  <c r="O673" i="4"/>
  <c r="K673" i="4"/>
  <c r="J673" i="4"/>
  <c r="H673" i="4"/>
  <c r="AV673" i="4" s="1"/>
  <c r="E673" i="4"/>
  <c r="AM672" i="4"/>
  <c r="AM673" i="4" s="1"/>
  <c r="AM674" i="4" s="1"/>
  <c r="AM675" i="4" s="1"/>
  <c r="AM676" i="4" s="1"/>
  <c r="AM677" i="4" s="1"/>
  <c r="AM678" i="4" s="1"/>
  <c r="AK672" i="4"/>
  <c r="AI672" i="4"/>
  <c r="AG672" i="4"/>
  <c r="AE672" i="4"/>
  <c r="AD672" i="4"/>
  <c r="AC672" i="4"/>
  <c r="AB672" i="4"/>
  <c r="AA672" i="4"/>
  <c r="Z672" i="4"/>
  <c r="O672" i="4"/>
  <c r="K672" i="4"/>
  <c r="J672" i="4"/>
  <c r="H672" i="4"/>
  <c r="E672" i="4"/>
  <c r="L669" i="4"/>
  <c r="N670" i="4"/>
  <c r="O670" i="4" s="1"/>
  <c r="L666" i="4"/>
  <c r="AK670" i="4"/>
  <c r="AI670" i="4"/>
  <c r="AG670" i="4"/>
  <c r="AE670" i="4"/>
  <c r="AD670" i="4"/>
  <c r="AC670" i="4"/>
  <c r="AB670" i="4"/>
  <c r="AA670" i="4"/>
  <c r="Z670" i="4"/>
  <c r="K670" i="4"/>
  <c r="J670" i="4"/>
  <c r="H670" i="4"/>
  <c r="AV670" i="4" s="1"/>
  <c r="E670" i="4"/>
  <c r="AK669" i="4"/>
  <c r="AI669" i="4"/>
  <c r="AG669" i="4"/>
  <c r="AE669" i="4"/>
  <c r="AD669" i="4"/>
  <c r="AC669" i="4"/>
  <c r="AB669" i="4"/>
  <c r="AA669" i="4"/>
  <c r="Z669" i="4"/>
  <c r="O669" i="4"/>
  <c r="K669" i="4"/>
  <c r="J669" i="4"/>
  <c r="H669" i="4"/>
  <c r="AV669" i="4" s="1"/>
  <c r="E669" i="4"/>
  <c r="AK668" i="4"/>
  <c r="AI668" i="4"/>
  <c r="AG668" i="4"/>
  <c r="AE668" i="4"/>
  <c r="AD668" i="4"/>
  <c r="AC668" i="4"/>
  <c r="AB668" i="4"/>
  <c r="AA668" i="4"/>
  <c r="Z668" i="4"/>
  <c r="O668" i="4"/>
  <c r="L668" i="4"/>
  <c r="K668" i="4"/>
  <c r="J668" i="4"/>
  <c r="H668" i="4"/>
  <c r="E668" i="4"/>
  <c r="AK667" i="4"/>
  <c r="AI667" i="4"/>
  <c r="AG667" i="4"/>
  <c r="AE667" i="4"/>
  <c r="AD667" i="4"/>
  <c r="AC667" i="4"/>
  <c r="AB667" i="4"/>
  <c r="AA667" i="4"/>
  <c r="Z667" i="4"/>
  <c r="O667" i="4"/>
  <c r="K667" i="4"/>
  <c r="J667" i="4"/>
  <c r="H667" i="4"/>
  <c r="AV667" i="4" s="1"/>
  <c r="E667" i="4"/>
  <c r="AK666" i="4"/>
  <c r="AI666" i="4"/>
  <c r="AG666" i="4"/>
  <c r="AE666" i="4"/>
  <c r="AD666" i="4"/>
  <c r="AC666" i="4"/>
  <c r="AB666" i="4"/>
  <c r="AA666" i="4"/>
  <c r="Z666" i="4"/>
  <c r="O666" i="4"/>
  <c r="K666" i="4"/>
  <c r="J666" i="4"/>
  <c r="H666" i="4"/>
  <c r="E666" i="4"/>
  <c r="AK665" i="4"/>
  <c r="AI665" i="4"/>
  <c r="AG665" i="4"/>
  <c r="AE665" i="4"/>
  <c r="AD665" i="4"/>
  <c r="AC665" i="4"/>
  <c r="AB665" i="4"/>
  <c r="AA665" i="4"/>
  <c r="Z665" i="4"/>
  <c r="O665" i="4"/>
  <c r="K665" i="4"/>
  <c r="J665" i="4"/>
  <c r="H665" i="4"/>
  <c r="AV665" i="4" s="1"/>
  <c r="E665" i="4"/>
  <c r="Q665" i="4" s="1"/>
  <c r="AM664" i="4"/>
  <c r="AM665" i="4" s="1"/>
  <c r="AM666" i="4" s="1"/>
  <c r="AM667" i="4" s="1"/>
  <c r="AM668" i="4" s="1"/>
  <c r="AM669" i="4" s="1"/>
  <c r="AM670" i="4" s="1"/>
  <c r="AM671" i="4" s="1"/>
  <c r="AK664" i="4"/>
  <c r="AI664" i="4"/>
  <c r="AG664" i="4"/>
  <c r="AE664" i="4"/>
  <c r="AD664" i="4"/>
  <c r="AC664" i="4"/>
  <c r="AB664" i="4"/>
  <c r="AA664" i="4"/>
  <c r="Z664" i="4"/>
  <c r="O664" i="4"/>
  <c r="K664" i="4"/>
  <c r="J664" i="4"/>
  <c r="H664" i="4"/>
  <c r="E664" i="4"/>
  <c r="N653" i="4"/>
  <c r="O648" i="4"/>
  <c r="O647" i="4"/>
  <c r="O651" i="4"/>
  <c r="O650" i="4"/>
  <c r="O649" i="4"/>
  <c r="AM781" i="4"/>
  <c r="AM782" i="4" s="1"/>
  <c r="AM783" i="4" s="1"/>
  <c r="AK781" i="4"/>
  <c r="AI781" i="4"/>
  <c r="AG781" i="4"/>
  <c r="AE781" i="4"/>
  <c r="AD781" i="4"/>
  <c r="AC781" i="4"/>
  <c r="AB781" i="4"/>
  <c r="AA781" i="4"/>
  <c r="Z781" i="4"/>
  <c r="L781" i="4"/>
  <c r="P781" i="4" s="1"/>
  <c r="K781" i="4"/>
  <c r="J781" i="4"/>
  <c r="H781" i="4"/>
  <c r="AV781" i="4" s="1"/>
  <c r="E781" i="4"/>
  <c r="Q781" i="4" s="1"/>
  <c r="G828" i="1" s="1"/>
  <c r="H828" i="1" s="1"/>
  <c r="AK780" i="4"/>
  <c r="AI780" i="4"/>
  <c r="AG780" i="4"/>
  <c r="AE780" i="4"/>
  <c r="AD780" i="4"/>
  <c r="AC780" i="4"/>
  <c r="AB780" i="4"/>
  <c r="AA780" i="4"/>
  <c r="Z780" i="4"/>
  <c r="K780" i="4"/>
  <c r="J780" i="4"/>
  <c r="H780" i="4"/>
  <c r="AF780" i="4" s="1"/>
  <c r="E780" i="4"/>
  <c r="Q780" i="4" s="1"/>
  <c r="AM779" i="4"/>
  <c r="AM780" i="4" s="1"/>
  <c r="AK779" i="4"/>
  <c r="AI779" i="4"/>
  <c r="AG779" i="4"/>
  <c r="AE779" i="4"/>
  <c r="AD779" i="4"/>
  <c r="AC779" i="4"/>
  <c r="AB779" i="4"/>
  <c r="AA779" i="4"/>
  <c r="Z779" i="4"/>
  <c r="O779" i="4"/>
  <c r="L779" i="4"/>
  <c r="K779" i="4"/>
  <c r="J779" i="4"/>
  <c r="H779" i="4"/>
  <c r="AV779" i="4" s="1"/>
  <c r="E779" i="4"/>
  <c r="AK778" i="4"/>
  <c r="AI778" i="4"/>
  <c r="AG778" i="4"/>
  <c r="AE778" i="4"/>
  <c r="AD778" i="4"/>
  <c r="AC778" i="4"/>
  <c r="AB778" i="4"/>
  <c r="AA778" i="4"/>
  <c r="Z778" i="4"/>
  <c r="L778" i="4"/>
  <c r="P778" i="4" s="1"/>
  <c r="K778" i="4"/>
  <c r="J778" i="4"/>
  <c r="H778" i="4"/>
  <c r="AH778" i="4" s="1"/>
  <c r="AN778" i="4" s="1"/>
  <c r="E778" i="4"/>
  <c r="Q778" i="4" s="1"/>
  <c r="G826" i="1" s="1"/>
  <c r="H826" i="1" s="1"/>
  <c r="AM777" i="4"/>
  <c r="AM778" i="4" s="1"/>
  <c r="AK777" i="4"/>
  <c r="AI777" i="4"/>
  <c r="AG777" i="4"/>
  <c r="AE777" i="4"/>
  <c r="AD777" i="4"/>
  <c r="AC777" i="4"/>
  <c r="AB777" i="4"/>
  <c r="AA777" i="4"/>
  <c r="Z777" i="4"/>
  <c r="L777" i="4"/>
  <c r="P777" i="4" s="1"/>
  <c r="K777" i="4"/>
  <c r="J777" i="4"/>
  <c r="H777" i="4"/>
  <c r="AV777" i="4" s="1"/>
  <c r="E777" i="4"/>
  <c r="Q777" i="4" s="1"/>
  <c r="G578" i="1" s="1"/>
  <c r="H578" i="1" s="1"/>
  <c r="AK776" i="4"/>
  <c r="AI776" i="4"/>
  <c r="AG776" i="4"/>
  <c r="AE776" i="4"/>
  <c r="AD776" i="4"/>
  <c r="AC776" i="4"/>
  <c r="AB776" i="4"/>
  <c r="AA776" i="4"/>
  <c r="Z776" i="4"/>
  <c r="O776" i="4"/>
  <c r="L776" i="4"/>
  <c r="K776" i="4"/>
  <c r="J776" i="4"/>
  <c r="H776" i="4"/>
  <c r="AF776" i="4" s="1"/>
  <c r="E776" i="4"/>
  <c r="AK775" i="4"/>
  <c r="AI775" i="4"/>
  <c r="AG775" i="4"/>
  <c r="AE775" i="4"/>
  <c r="AD775" i="4"/>
  <c r="AC775" i="4"/>
  <c r="AB775" i="4"/>
  <c r="AA775" i="4"/>
  <c r="Z775" i="4"/>
  <c r="O775" i="4"/>
  <c r="L775" i="4"/>
  <c r="K775" i="4"/>
  <c r="J775" i="4"/>
  <c r="H775" i="4"/>
  <c r="AV775" i="4" s="1"/>
  <c r="E775" i="4"/>
  <c r="AK774" i="4"/>
  <c r="AI774" i="4"/>
  <c r="AG774" i="4"/>
  <c r="AE774" i="4"/>
  <c r="AD774" i="4"/>
  <c r="AC774" i="4"/>
  <c r="AB774" i="4"/>
  <c r="AA774" i="4"/>
  <c r="Z774" i="4"/>
  <c r="L774" i="4"/>
  <c r="K774" i="4"/>
  <c r="J774" i="4"/>
  <c r="H774" i="4"/>
  <c r="AF774" i="4" s="1"/>
  <c r="E774" i="4"/>
  <c r="Q774" i="4" s="1"/>
  <c r="AK773" i="4"/>
  <c r="AI773" i="4"/>
  <c r="AG773" i="4"/>
  <c r="AE773" i="4"/>
  <c r="AD773" i="4"/>
  <c r="AC773" i="4"/>
  <c r="AB773" i="4"/>
  <c r="AA773" i="4"/>
  <c r="Z773" i="4"/>
  <c r="L773" i="4"/>
  <c r="P773" i="4" s="1"/>
  <c r="K773" i="4"/>
  <c r="J773" i="4"/>
  <c r="H773" i="4"/>
  <c r="AV773" i="4" s="1"/>
  <c r="E773" i="4"/>
  <c r="Q773" i="4" s="1"/>
  <c r="G760" i="1" s="1"/>
  <c r="H760" i="1" s="1"/>
  <c r="AK772" i="4"/>
  <c r="AI772" i="4"/>
  <c r="AG772" i="4"/>
  <c r="AE772" i="4"/>
  <c r="AD772" i="4"/>
  <c r="AC772" i="4"/>
  <c r="AB772" i="4"/>
  <c r="AA772" i="4"/>
  <c r="Z772" i="4"/>
  <c r="K772" i="4"/>
  <c r="J772" i="4"/>
  <c r="H772" i="4"/>
  <c r="AF772" i="4" s="1"/>
  <c r="E772" i="4"/>
  <c r="Q772" i="4" s="1"/>
  <c r="AM771" i="4"/>
  <c r="AM772" i="4" s="1"/>
  <c r="AM773" i="4" s="1"/>
  <c r="AM774" i="4" s="1"/>
  <c r="AM775" i="4" s="1"/>
  <c r="AM776" i="4" s="1"/>
  <c r="AK771" i="4"/>
  <c r="AI771" i="4"/>
  <c r="AG771" i="4"/>
  <c r="AE771" i="4"/>
  <c r="AD771" i="4"/>
  <c r="AC771" i="4"/>
  <c r="AB771" i="4"/>
  <c r="AA771" i="4"/>
  <c r="Z771" i="4"/>
  <c r="K771" i="4"/>
  <c r="J771" i="4"/>
  <c r="H771" i="4"/>
  <c r="E771" i="4"/>
  <c r="Q771" i="4" s="1"/>
  <c r="AM770" i="4"/>
  <c r="AK770" i="4"/>
  <c r="AI770" i="4"/>
  <c r="AG770" i="4"/>
  <c r="AE770" i="4"/>
  <c r="AD770" i="4"/>
  <c r="AC770" i="4"/>
  <c r="AB770" i="4"/>
  <c r="AA770" i="4"/>
  <c r="Z770" i="4"/>
  <c r="L770" i="4"/>
  <c r="P770" i="4" s="1"/>
  <c r="F770" i="4" s="1"/>
  <c r="K770" i="4"/>
  <c r="J770" i="4"/>
  <c r="H770" i="4"/>
  <c r="AH770" i="4" s="1"/>
  <c r="AN770" i="4" s="1"/>
  <c r="E770" i="4"/>
  <c r="Q770" i="4" s="1"/>
  <c r="G1188" i="1" s="1"/>
  <c r="H1188" i="1" s="1"/>
  <c r="AM769" i="4"/>
  <c r="AK769" i="4"/>
  <c r="AI769" i="4"/>
  <c r="AG769" i="4"/>
  <c r="AE769" i="4"/>
  <c r="AD769" i="4"/>
  <c r="AC769" i="4"/>
  <c r="AB769" i="4"/>
  <c r="AA769" i="4"/>
  <c r="Z769" i="4"/>
  <c r="O769" i="4"/>
  <c r="L769" i="4"/>
  <c r="K769" i="4"/>
  <c r="J769" i="4"/>
  <c r="H769" i="4"/>
  <c r="AV769" i="4" s="1"/>
  <c r="E769" i="4"/>
  <c r="AK768" i="4"/>
  <c r="AI768" i="4"/>
  <c r="AG768" i="4"/>
  <c r="AE768" i="4"/>
  <c r="AD768" i="4"/>
  <c r="AC768" i="4"/>
  <c r="AB768" i="4"/>
  <c r="AA768" i="4"/>
  <c r="Z768" i="4"/>
  <c r="K768" i="4"/>
  <c r="J768" i="4"/>
  <c r="H768" i="4"/>
  <c r="AF768" i="4" s="1"/>
  <c r="E768" i="4"/>
  <c r="Q768" i="4" s="1"/>
  <c r="AM767" i="4"/>
  <c r="AM768" i="4" s="1"/>
  <c r="AK767" i="4"/>
  <c r="AI767" i="4"/>
  <c r="AG767" i="4"/>
  <c r="AE767" i="4"/>
  <c r="AD767" i="4"/>
  <c r="AC767" i="4"/>
  <c r="AB767" i="4"/>
  <c r="AA767" i="4"/>
  <c r="Z767" i="4"/>
  <c r="K767" i="4"/>
  <c r="J767" i="4"/>
  <c r="H767" i="4"/>
  <c r="AV767" i="4" s="1"/>
  <c r="E767" i="4"/>
  <c r="AK766" i="4"/>
  <c r="AI766" i="4"/>
  <c r="AG766" i="4"/>
  <c r="AE766" i="4"/>
  <c r="AD766" i="4"/>
  <c r="AC766" i="4"/>
  <c r="AB766" i="4"/>
  <c r="AA766" i="4"/>
  <c r="Z766" i="4"/>
  <c r="K766" i="4"/>
  <c r="J766" i="4"/>
  <c r="H766" i="4"/>
  <c r="AH766" i="4" s="1"/>
  <c r="AN766" i="4" s="1"/>
  <c r="E766" i="4"/>
  <c r="Q766" i="4" s="1"/>
  <c r="AK765" i="4"/>
  <c r="AI765" i="4"/>
  <c r="AG765" i="4"/>
  <c r="AE765" i="4"/>
  <c r="AD765" i="4"/>
  <c r="AC765" i="4"/>
  <c r="AB765" i="4"/>
  <c r="AA765" i="4"/>
  <c r="Z765" i="4"/>
  <c r="K765" i="4"/>
  <c r="J765" i="4"/>
  <c r="H765" i="4"/>
  <c r="AV765" i="4" s="1"/>
  <c r="E765" i="4"/>
  <c r="Q765" i="4" s="1"/>
  <c r="AK764" i="4"/>
  <c r="AI764" i="4"/>
  <c r="AG764" i="4"/>
  <c r="AE764" i="4"/>
  <c r="AD764" i="4"/>
  <c r="AC764" i="4"/>
  <c r="AB764" i="4"/>
  <c r="AA764" i="4"/>
  <c r="Z764" i="4"/>
  <c r="O764" i="4"/>
  <c r="L764" i="4"/>
  <c r="K764" i="4"/>
  <c r="J764" i="4"/>
  <c r="H764" i="4"/>
  <c r="AF764" i="4" s="1"/>
  <c r="E764" i="4"/>
  <c r="AK763" i="4"/>
  <c r="AI763" i="4"/>
  <c r="AG763" i="4"/>
  <c r="AE763" i="4"/>
  <c r="AD763" i="4"/>
  <c r="AC763" i="4"/>
  <c r="AB763" i="4"/>
  <c r="AA763" i="4"/>
  <c r="Z763" i="4"/>
  <c r="O763" i="4"/>
  <c r="L763" i="4"/>
  <c r="K763" i="4"/>
  <c r="J763" i="4"/>
  <c r="H763" i="4"/>
  <c r="AV763" i="4" s="1"/>
  <c r="E763" i="4"/>
  <c r="AM762" i="4"/>
  <c r="AM763" i="4" s="1"/>
  <c r="AM764" i="4" s="1"/>
  <c r="AM765" i="4" s="1"/>
  <c r="AM766" i="4" s="1"/>
  <c r="AK762" i="4"/>
  <c r="AI762" i="4"/>
  <c r="AG762" i="4"/>
  <c r="AE762" i="4"/>
  <c r="AD762" i="4"/>
  <c r="AC762" i="4"/>
  <c r="AB762" i="4"/>
  <c r="AA762" i="4"/>
  <c r="Z762" i="4"/>
  <c r="O762" i="4"/>
  <c r="L762" i="4"/>
  <c r="K762" i="4"/>
  <c r="J762" i="4"/>
  <c r="H762" i="4"/>
  <c r="AF762" i="4" s="1"/>
  <c r="E762" i="4"/>
  <c r="AK761" i="4"/>
  <c r="AI761" i="4"/>
  <c r="AG761" i="4"/>
  <c r="AE761" i="4"/>
  <c r="AD761" i="4"/>
  <c r="AC761" i="4"/>
  <c r="AB761" i="4"/>
  <c r="AA761" i="4"/>
  <c r="Z761" i="4"/>
  <c r="K761" i="4"/>
  <c r="J761" i="4"/>
  <c r="H761" i="4"/>
  <c r="AV761" i="4" s="1"/>
  <c r="E761" i="4"/>
  <c r="Q761" i="4" s="1"/>
  <c r="AK760" i="4"/>
  <c r="AI760" i="4"/>
  <c r="AG760" i="4"/>
  <c r="AE760" i="4"/>
  <c r="AD760" i="4"/>
  <c r="AC760" i="4"/>
  <c r="AB760" i="4"/>
  <c r="AA760" i="4"/>
  <c r="Z760" i="4"/>
  <c r="K760" i="4"/>
  <c r="J760" i="4"/>
  <c r="H760" i="4"/>
  <c r="AF760" i="4" s="1"/>
  <c r="E760" i="4"/>
  <c r="Q760" i="4" s="1"/>
  <c r="AK759" i="4"/>
  <c r="AI759" i="4"/>
  <c r="AG759" i="4"/>
  <c r="AE759" i="4"/>
  <c r="AD759" i="4"/>
  <c r="AC759" i="4"/>
  <c r="AB759" i="4"/>
  <c r="AA759" i="4"/>
  <c r="Z759" i="4"/>
  <c r="L759" i="4"/>
  <c r="P759" i="4" s="1"/>
  <c r="K759" i="4"/>
  <c r="J759" i="4"/>
  <c r="H759" i="4"/>
  <c r="AV759" i="4" s="1"/>
  <c r="E759" i="4"/>
  <c r="Q759" i="4" s="1"/>
  <c r="G821" i="1" s="1"/>
  <c r="H821" i="1" s="1"/>
  <c r="AK758" i="4"/>
  <c r="AI758" i="4"/>
  <c r="AG758" i="4"/>
  <c r="AE758" i="4"/>
  <c r="AD758" i="4"/>
  <c r="AC758" i="4"/>
  <c r="AB758" i="4"/>
  <c r="AA758" i="4"/>
  <c r="Z758" i="4"/>
  <c r="K758" i="4"/>
  <c r="J758" i="4"/>
  <c r="H758" i="4"/>
  <c r="AF758" i="4" s="1"/>
  <c r="E758" i="4"/>
  <c r="Q758" i="4" s="1"/>
  <c r="AK757" i="4"/>
  <c r="AI757" i="4"/>
  <c r="AG757" i="4"/>
  <c r="AE757" i="4"/>
  <c r="AD757" i="4"/>
  <c r="AC757" i="4"/>
  <c r="AB757" i="4"/>
  <c r="AA757" i="4"/>
  <c r="Z757" i="4"/>
  <c r="K757" i="4"/>
  <c r="J757" i="4"/>
  <c r="H757" i="4"/>
  <c r="AV757" i="4" s="1"/>
  <c r="E757" i="4"/>
  <c r="Q757" i="4" s="1"/>
  <c r="AK756" i="4"/>
  <c r="AI756" i="4"/>
  <c r="AG756" i="4"/>
  <c r="AE756" i="4"/>
  <c r="AD756" i="4"/>
  <c r="AC756" i="4"/>
  <c r="AB756" i="4"/>
  <c r="AA756" i="4"/>
  <c r="Z756" i="4"/>
  <c r="L756" i="4"/>
  <c r="P756" i="4" s="1"/>
  <c r="K756" i="4"/>
  <c r="J756" i="4"/>
  <c r="H756" i="4"/>
  <c r="AF756" i="4" s="1"/>
  <c r="E756" i="4"/>
  <c r="Q756" i="4" s="1"/>
  <c r="G820" i="1" s="1"/>
  <c r="H820" i="1" s="1"/>
  <c r="AK755" i="4"/>
  <c r="AI755" i="4"/>
  <c r="AG755" i="4"/>
  <c r="AE755" i="4"/>
  <c r="AD755" i="4"/>
  <c r="AC755" i="4"/>
  <c r="AB755" i="4"/>
  <c r="AA755" i="4"/>
  <c r="Z755" i="4"/>
  <c r="K755" i="4"/>
  <c r="J755" i="4"/>
  <c r="H755" i="4"/>
  <c r="AV755" i="4" s="1"/>
  <c r="E755" i="4"/>
  <c r="Q755" i="4" s="1"/>
  <c r="AK754" i="4"/>
  <c r="AI754" i="4"/>
  <c r="AG754" i="4"/>
  <c r="AE754" i="4"/>
  <c r="AD754" i="4"/>
  <c r="AC754" i="4"/>
  <c r="AB754" i="4"/>
  <c r="AA754" i="4"/>
  <c r="Z754" i="4"/>
  <c r="K754" i="4"/>
  <c r="J754" i="4"/>
  <c r="H754" i="4"/>
  <c r="AH754" i="4" s="1"/>
  <c r="AN754" i="4" s="1"/>
  <c r="E754" i="4"/>
  <c r="Q754" i="4" s="1"/>
  <c r="AK753" i="4"/>
  <c r="AI753" i="4"/>
  <c r="AG753" i="4"/>
  <c r="AE753" i="4"/>
  <c r="AD753" i="4"/>
  <c r="AC753" i="4"/>
  <c r="AB753" i="4"/>
  <c r="AA753" i="4"/>
  <c r="Z753" i="4"/>
  <c r="L753" i="4"/>
  <c r="P753" i="4" s="1"/>
  <c r="K753" i="4"/>
  <c r="J753" i="4"/>
  <c r="H753" i="4"/>
  <c r="AV753" i="4" s="1"/>
  <c r="E753" i="4"/>
  <c r="Q753" i="4" s="1"/>
  <c r="AK752" i="4"/>
  <c r="AI752" i="4"/>
  <c r="AG752" i="4"/>
  <c r="AE752" i="4"/>
  <c r="AD752" i="4"/>
  <c r="AC752" i="4"/>
  <c r="AB752" i="4"/>
  <c r="AA752" i="4"/>
  <c r="Z752" i="4"/>
  <c r="K752" i="4"/>
  <c r="J752" i="4"/>
  <c r="H752" i="4"/>
  <c r="AF752" i="4" s="1"/>
  <c r="E752" i="4"/>
  <c r="Q752" i="4" s="1"/>
  <c r="AK751" i="4"/>
  <c r="AI751" i="4"/>
  <c r="AG751" i="4"/>
  <c r="AE751" i="4"/>
  <c r="AD751" i="4"/>
  <c r="AC751" i="4"/>
  <c r="AB751" i="4"/>
  <c r="AA751" i="4"/>
  <c r="Z751" i="4"/>
  <c r="K751" i="4"/>
  <c r="J751" i="4"/>
  <c r="H751" i="4"/>
  <c r="AV751" i="4" s="1"/>
  <c r="E751" i="4"/>
  <c r="Q751" i="4" s="1"/>
  <c r="AK750" i="4"/>
  <c r="AI750" i="4"/>
  <c r="AG750" i="4"/>
  <c r="AE750" i="4"/>
  <c r="AD750" i="4"/>
  <c r="AC750" i="4"/>
  <c r="AB750" i="4"/>
  <c r="AA750" i="4"/>
  <c r="Z750" i="4"/>
  <c r="K750" i="4"/>
  <c r="J750" i="4"/>
  <c r="H750" i="4"/>
  <c r="AF750" i="4" s="1"/>
  <c r="E750" i="4"/>
  <c r="Q750" i="4" s="1"/>
  <c r="AK749" i="4"/>
  <c r="AI749" i="4"/>
  <c r="AG749" i="4"/>
  <c r="AE749" i="4"/>
  <c r="AD749" i="4"/>
  <c r="AC749" i="4"/>
  <c r="AB749" i="4"/>
  <c r="AA749" i="4"/>
  <c r="Z749" i="4"/>
  <c r="K749" i="4"/>
  <c r="J749" i="4"/>
  <c r="H749" i="4"/>
  <c r="AV749" i="4" s="1"/>
  <c r="E749" i="4"/>
  <c r="Q749" i="4" s="1"/>
  <c r="AK748" i="4"/>
  <c r="AI748" i="4"/>
  <c r="AG748" i="4"/>
  <c r="AE748" i="4"/>
  <c r="AD748" i="4"/>
  <c r="AC748" i="4"/>
  <c r="AB748" i="4"/>
  <c r="AA748" i="4"/>
  <c r="Z748" i="4"/>
  <c r="K748" i="4"/>
  <c r="J748" i="4"/>
  <c r="H748" i="4"/>
  <c r="AF748" i="4" s="1"/>
  <c r="E748" i="4"/>
  <c r="Q748" i="4" s="1"/>
  <c r="AK747" i="4"/>
  <c r="AI747" i="4"/>
  <c r="AG747" i="4"/>
  <c r="AE747" i="4"/>
  <c r="AD747" i="4"/>
  <c r="AC747" i="4"/>
  <c r="AB747" i="4"/>
  <c r="AA747" i="4"/>
  <c r="Z747" i="4"/>
  <c r="K747" i="4"/>
  <c r="J747" i="4"/>
  <c r="H747" i="4"/>
  <c r="AF747" i="4" s="1"/>
  <c r="E747" i="4"/>
  <c r="Q747" i="4" s="1"/>
  <c r="AK746" i="4"/>
  <c r="AI746" i="4"/>
  <c r="AG746" i="4"/>
  <c r="AE746" i="4"/>
  <c r="AD746" i="4"/>
  <c r="AC746" i="4"/>
  <c r="AB746" i="4"/>
  <c r="AA746" i="4"/>
  <c r="Z746" i="4"/>
  <c r="O746" i="4"/>
  <c r="K746" i="4"/>
  <c r="J746" i="4"/>
  <c r="H746" i="4"/>
  <c r="AF746" i="4" s="1"/>
  <c r="E746" i="4"/>
  <c r="AK745" i="4"/>
  <c r="AI745" i="4"/>
  <c r="AG745" i="4"/>
  <c r="AE745" i="4"/>
  <c r="AD745" i="4"/>
  <c r="AC745" i="4"/>
  <c r="AB745" i="4"/>
  <c r="AA745" i="4"/>
  <c r="Z745" i="4"/>
  <c r="K745" i="4"/>
  <c r="J745" i="4"/>
  <c r="H745" i="4"/>
  <c r="AV745" i="4" s="1"/>
  <c r="E745" i="4"/>
  <c r="Q745" i="4" s="1"/>
  <c r="AK744" i="4"/>
  <c r="AI744" i="4"/>
  <c r="AG744" i="4"/>
  <c r="AE744" i="4"/>
  <c r="AD744" i="4"/>
  <c r="AC744" i="4"/>
  <c r="AB744" i="4"/>
  <c r="AA744" i="4"/>
  <c r="Z744" i="4"/>
  <c r="O744" i="4"/>
  <c r="L744" i="4"/>
  <c r="K744" i="4"/>
  <c r="J744" i="4"/>
  <c r="H744" i="4"/>
  <c r="AF744" i="4" s="1"/>
  <c r="E744" i="4"/>
  <c r="AK743" i="4"/>
  <c r="AI743" i="4"/>
  <c r="AG743" i="4"/>
  <c r="AE743" i="4"/>
  <c r="AD743" i="4"/>
  <c r="AC743" i="4"/>
  <c r="AB743" i="4"/>
  <c r="AA743" i="4"/>
  <c r="Z743" i="4"/>
  <c r="K743" i="4"/>
  <c r="J743" i="4"/>
  <c r="H743" i="4"/>
  <c r="AV743" i="4" s="1"/>
  <c r="E743" i="4"/>
  <c r="Q743" i="4" s="1"/>
  <c r="AK742" i="4"/>
  <c r="AI742" i="4"/>
  <c r="AG742" i="4"/>
  <c r="AE742" i="4"/>
  <c r="AD742" i="4"/>
  <c r="AC742" i="4"/>
  <c r="AB742" i="4"/>
  <c r="AA742" i="4"/>
  <c r="Z742" i="4"/>
  <c r="K742" i="4"/>
  <c r="J742" i="4"/>
  <c r="H742" i="4"/>
  <c r="AF742" i="4" s="1"/>
  <c r="E742" i="4"/>
  <c r="Q742" i="4" s="1"/>
  <c r="AK741" i="4"/>
  <c r="AI741" i="4"/>
  <c r="AG741" i="4"/>
  <c r="AE741" i="4"/>
  <c r="AD741" i="4"/>
  <c r="AC741" i="4"/>
  <c r="AB741" i="4"/>
  <c r="AA741" i="4"/>
  <c r="Z741" i="4"/>
  <c r="O741" i="4"/>
  <c r="L741" i="4"/>
  <c r="K741" i="4"/>
  <c r="J741" i="4"/>
  <c r="H741" i="4"/>
  <c r="AV741" i="4" s="1"/>
  <c r="E741" i="4"/>
  <c r="AK740" i="4"/>
  <c r="AI740" i="4"/>
  <c r="AG740" i="4"/>
  <c r="AE740" i="4"/>
  <c r="AD740" i="4"/>
  <c r="AC740" i="4"/>
  <c r="AB740" i="4"/>
  <c r="AA740" i="4"/>
  <c r="Z740" i="4"/>
  <c r="K740" i="4"/>
  <c r="J740" i="4"/>
  <c r="H740" i="4"/>
  <c r="AH740" i="4" s="1"/>
  <c r="AN740" i="4" s="1"/>
  <c r="E740" i="4"/>
  <c r="Q740" i="4" s="1"/>
  <c r="AK739" i="4"/>
  <c r="AI739" i="4"/>
  <c r="AG739" i="4"/>
  <c r="AE739" i="4"/>
  <c r="AD739" i="4"/>
  <c r="AC739" i="4"/>
  <c r="AB739" i="4"/>
  <c r="AA739" i="4"/>
  <c r="Z739" i="4"/>
  <c r="K739" i="4"/>
  <c r="J739" i="4"/>
  <c r="H739" i="4"/>
  <c r="AV739" i="4" s="1"/>
  <c r="E739" i="4"/>
  <c r="Q739" i="4" s="1"/>
  <c r="AM738" i="4"/>
  <c r="AM739" i="4" s="1"/>
  <c r="AM740" i="4" s="1"/>
  <c r="AM741" i="4" s="1"/>
  <c r="AM742" i="4" s="1"/>
  <c r="AM743" i="4" s="1"/>
  <c r="AM744" i="4" s="1"/>
  <c r="AM745" i="4" s="1"/>
  <c r="AM746" i="4" s="1"/>
  <c r="AM747" i="4" s="1"/>
  <c r="AM748" i="4" s="1"/>
  <c r="AM749" i="4" s="1"/>
  <c r="AM750" i="4" s="1"/>
  <c r="AM751" i="4" s="1"/>
  <c r="AM752" i="4" s="1"/>
  <c r="AM753" i="4" s="1"/>
  <c r="AM754" i="4" s="1"/>
  <c r="AM755" i="4" s="1"/>
  <c r="AM756" i="4" s="1"/>
  <c r="AM757" i="4" s="1"/>
  <c r="AM758" i="4" s="1"/>
  <c r="AM759" i="4" s="1"/>
  <c r="AM760" i="4" s="1"/>
  <c r="AM761" i="4" s="1"/>
  <c r="AK738" i="4"/>
  <c r="AI738" i="4"/>
  <c r="AG738" i="4"/>
  <c r="AE738" i="4"/>
  <c r="AD738" i="4"/>
  <c r="AC738" i="4"/>
  <c r="AB738" i="4"/>
  <c r="AA738" i="4"/>
  <c r="Z738" i="4"/>
  <c r="O738" i="4"/>
  <c r="K738" i="4"/>
  <c r="J738" i="4"/>
  <c r="H738" i="4"/>
  <c r="AF738" i="4" s="1"/>
  <c r="E738" i="4"/>
  <c r="Q738" i="4" s="1"/>
  <c r="AK737" i="4"/>
  <c r="AI737" i="4"/>
  <c r="AG737" i="4"/>
  <c r="AE737" i="4"/>
  <c r="AD737" i="4"/>
  <c r="AC737" i="4"/>
  <c r="AB737" i="4"/>
  <c r="AA737" i="4"/>
  <c r="Z737" i="4"/>
  <c r="K737" i="4"/>
  <c r="J737" i="4"/>
  <c r="H737" i="4"/>
  <c r="AV737" i="4" s="1"/>
  <c r="E737" i="4"/>
  <c r="Q737" i="4" s="1"/>
  <c r="AK736" i="4"/>
  <c r="AI736" i="4"/>
  <c r="AG736" i="4"/>
  <c r="AE736" i="4"/>
  <c r="AD736" i="4"/>
  <c r="AC736" i="4"/>
  <c r="AB736" i="4"/>
  <c r="AA736" i="4"/>
  <c r="Z736" i="4"/>
  <c r="K736" i="4"/>
  <c r="J736" i="4"/>
  <c r="H736" i="4"/>
  <c r="AF736" i="4" s="1"/>
  <c r="E736" i="4"/>
  <c r="Q736" i="4" s="1"/>
  <c r="AK735" i="4"/>
  <c r="AI735" i="4"/>
  <c r="AG735" i="4"/>
  <c r="AE735" i="4"/>
  <c r="AD735" i="4"/>
  <c r="AC735" i="4"/>
  <c r="AB735" i="4"/>
  <c r="AA735" i="4"/>
  <c r="Z735" i="4"/>
  <c r="L735" i="4"/>
  <c r="P735" i="4" s="1"/>
  <c r="K735" i="4"/>
  <c r="J735" i="4"/>
  <c r="H735" i="4"/>
  <c r="AV735" i="4" s="1"/>
  <c r="E735" i="4"/>
  <c r="Q735" i="4" s="1"/>
  <c r="AK734" i="4"/>
  <c r="AI734" i="4"/>
  <c r="AG734" i="4"/>
  <c r="AE734" i="4"/>
  <c r="AD734" i="4"/>
  <c r="AC734" i="4"/>
  <c r="AB734" i="4"/>
  <c r="AA734" i="4"/>
  <c r="Z734" i="4"/>
  <c r="L734" i="4"/>
  <c r="P734" i="4" s="1"/>
  <c r="K734" i="4"/>
  <c r="J734" i="4"/>
  <c r="H734" i="4"/>
  <c r="AF734" i="4" s="1"/>
  <c r="E734" i="4"/>
  <c r="Q734" i="4" s="1"/>
  <c r="G818" i="1" s="1"/>
  <c r="H818" i="1" s="1"/>
  <c r="AK733" i="4"/>
  <c r="AI733" i="4"/>
  <c r="AG733" i="4"/>
  <c r="AE733" i="4"/>
  <c r="AD733" i="4"/>
  <c r="AC733" i="4"/>
  <c r="AB733" i="4"/>
  <c r="AA733" i="4"/>
  <c r="Z733" i="4"/>
  <c r="K733" i="4"/>
  <c r="J733" i="4"/>
  <c r="H733" i="4"/>
  <c r="E733" i="4"/>
  <c r="Q733" i="4" s="1"/>
  <c r="AK732" i="4"/>
  <c r="AI732" i="4"/>
  <c r="AG732" i="4"/>
  <c r="AE732" i="4"/>
  <c r="AD732" i="4"/>
  <c r="AC732" i="4"/>
  <c r="AB732" i="4"/>
  <c r="AA732" i="4"/>
  <c r="Z732" i="4"/>
  <c r="O732" i="4"/>
  <c r="L732" i="4"/>
  <c r="K732" i="4"/>
  <c r="J732" i="4"/>
  <c r="H732" i="4"/>
  <c r="AF732" i="4" s="1"/>
  <c r="E732" i="4"/>
  <c r="AK731" i="4"/>
  <c r="AI731" i="4"/>
  <c r="AG731" i="4"/>
  <c r="AE731" i="4"/>
  <c r="AD731" i="4"/>
  <c r="AC731" i="4"/>
  <c r="AB731" i="4"/>
  <c r="AA731" i="4"/>
  <c r="Z731" i="4"/>
  <c r="O731" i="4"/>
  <c r="K731" i="4"/>
  <c r="J731" i="4"/>
  <c r="H731" i="4"/>
  <c r="AV731" i="4" s="1"/>
  <c r="E731" i="4"/>
  <c r="Q731" i="4" s="1"/>
  <c r="AM730" i="4"/>
  <c r="AM731" i="4" s="1"/>
  <c r="AM732" i="4" s="1"/>
  <c r="AM733" i="4" s="1"/>
  <c r="AM734" i="4" s="1"/>
  <c r="AM735" i="4" s="1"/>
  <c r="AM736" i="4" s="1"/>
  <c r="AM737" i="4" s="1"/>
  <c r="AK730" i="4"/>
  <c r="AI730" i="4"/>
  <c r="AG730" i="4"/>
  <c r="AE730" i="4"/>
  <c r="AD730" i="4"/>
  <c r="AC730" i="4"/>
  <c r="AB730" i="4"/>
  <c r="AA730" i="4"/>
  <c r="Z730" i="4"/>
  <c r="L730" i="4"/>
  <c r="P730" i="4" s="1"/>
  <c r="K730" i="4"/>
  <c r="J730" i="4"/>
  <c r="H730" i="4"/>
  <c r="AH730" i="4" s="1"/>
  <c r="AN730" i="4" s="1"/>
  <c r="E730" i="4"/>
  <c r="Q730" i="4" s="1"/>
  <c r="G817" i="1" s="1"/>
  <c r="H817" i="1" s="1"/>
  <c r="AK729" i="4"/>
  <c r="AI729" i="4"/>
  <c r="AG729" i="4"/>
  <c r="AE729" i="4"/>
  <c r="AD729" i="4"/>
  <c r="AC729" i="4"/>
  <c r="AB729" i="4"/>
  <c r="AA729" i="4"/>
  <c r="Z729" i="4"/>
  <c r="K729" i="4"/>
  <c r="J729" i="4"/>
  <c r="H729" i="4"/>
  <c r="AV729" i="4" s="1"/>
  <c r="E729" i="4"/>
  <c r="Q729" i="4" s="1"/>
  <c r="AK728" i="4"/>
  <c r="AI728" i="4"/>
  <c r="AG728" i="4"/>
  <c r="AE728" i="4"/>
  <c r="AD728" i="4"/>
  <c r="AC728" i="4"/>
  <c r="AB728" i="4"/>
  <c r="AA728" i="4"/>
  <c r="Z728" i="4"/>
  <c r="K728" i="4"/>
  <c r="J728" i="4"/>
  <c r="H728" i="4"/>
  <c r="AH728" i="4" s="1"/>
  <c r="AN728" i="4" s="1"/>
  <c r="E728" i="4"/>
  <c r="Q728" i="4" s="1"/>
  <c r="AK727" i="4"/>
  <c r="AI727" i="4"/>
  <c r="AG727" i="4"/>
  <c r="AE727" i="4"/>
  <c r="AD727" i="4"/>
  <c r="AC727" i="4"/>
  <c r="AB727" i="4"/>
  <c r="AA727" i="4"/>
  <c r="Z727" i="4"/>
  <c r="L727" i="4"/>
  <c r="P727" i="4" s="1"/>
  <c r="K727" i="4"/>
  <c r="J727" i="4"/>
  <c r="H727" i="4"/>
  <c r="AV727" i="4" s="1"/>
  <c r="E727" i="4"/>
  <c r="Q727" i="4" s="1"/>
  <c r="AK726" i="4"/>
  <c r="AI726" i="4"/>
  <c r="AG726" i="4"/>
  <c r="AE726" i="4"/>
  <c r="AD726" i="4"/>
  <c r="AC726" i="4"/>
  <c r="AB726" i="4"/>
  <c r="AA726" i="4"/>
  <c r="Z726" i="4"/>
  <c r="L726" i="4"/>
  <c r="P726" i="4" s="1"/>
  <c r="K726" i="4"/>
  <c r="J726" i="4"/>
  <c r="H726" i="4"/>
  <c r="AH726" i="4" s="1"/>
  <c r="AN726" i="4" s="1"/>
  <c r="E726" i="4"/>
  <c r="Q726" i="4" s="1"/>
  <c r="G816" i="1" s="1"/>
  <c r="H816" i="1" s="1"/>
  <c r="AM725" i="4"/>
  <c r="AM726" i="4" s="1"/>
  <c r="AM727" i="4" s="1"/>
  <c r="AM728" i="4" s="1"/>
  <c r="AM729" i="4" s="1"/>
  <c r="AK725" i="4"/>
  <c r="AI725" i="4"/>
  <c r="AG725" i="4"/>
  <c r="AE725" i="4"/>
  <c r="AD725" i="4"/>
  <c r="AC725" i="4"/>
  <c r="AB725" i="4"/>
  <c r="AA725" i="4"/>
  <c r="Z725" i="4"/>
  <c r="K725" i="4"/>
  <c r="J725" i="4"/>
  <c r="H725" i="4"/>
  <c r="E725" i="4"/>
  <c r="Q725" i="4" s="1"/>
  <c r="AK724" i="4"/>
  <c r="AI724" i="4"/>
  <c r="AG724" i="4"/>
  <c r="AE724" i="4"/>
  <c r="AD724" i="4"/>
  <c r="AC724" i="4"/>
  <c r="AB724" i="4"/>
  <c r="AA724" i="4"/>
  <c r="Z724" i="4"/>
  <c r="K724" i="4"/>
  <c r="J724" i="4"/>
  <c r="H724" i="4"/>
  <c r="E724" i="4"/>
  <c r="Q724" i="4" s="1"/>
  <c r="AK723" i="4"/>
  <c r="AI723" i="4"/>
  <c r="AG723" i="4"/>
  <c r="AE723" i="4"/>
  <c r="AD723" i="4"/>
  <c r="AC723" i="4"/>
  <c r="AB723" i="4"/>
  <c r="AA723" i="4"/>
  <c r="Z723" i="4"/>
  <c r="L723" i="4"/>
  <c r="P723" i="4" s="1"/>
  <c r="K723" i="4"/>
  <c r="J723" i="4"/>
  <c r="H723" i="4"/>
  <c r="AH723" i="4" s="1"/>
  <c r="AN723" i="4" s="1"/>
  <c r="E723" i="4"/>
  <c r="Q723" i="4" s="1"/>
  <c r="AK722" i="4"/>
  <c r="AI722" i="4"/>
  <c r="AG722" i="4"/>
  <c r="AE722" i="4"/>
  <c r="AD722" i="4"/>
  <c r="AC722" i="4"/>
  <c r="AB722" i="4"/>
  <c r="AA722" i="4"/>
  <c r="Z722" i="4"/>
  <c r="L722" i="4"/>
  <c r="P722" i="4" s="1"/>
  <c r="K722" i="4"/>
  <c r="J722" i="4"/>
  <c r="H722" i="4"/>
  <c r="AV722" i="4" s="1"/>
  <c r="E722" i="4"/>
  <c r="Q722" i="4" s="1"/>
  <c r="G815" i="1" s="1"/>
  <c r="H815" i="1" s="1"/>
  <c r="AK721" i="4"/>
  <c r="AI721" i="4"/>
  <c r="AG721" i="4"/>
  <c r="AE721" i="4"/>
  <c r="AD721" i="4"/>
  <c r="AC721" i="4"/>
  <c r="AB721" i="4"/>
  <c r="AA721" i="4"/>
  <c r="Z721" i="4"/>
  <c r="K721" i="4"/>
  <c r="J721" i="4"/>
  <c r="H721" i="4"/>
  <c r="AF721" i="4" s="1"/>
  <c r="E721" i="4"/>
  <c r="Q721" i="4" s="1"/>
  <c r="AM720" i="4"/>
  <c r="AM721" i="4" s="1"/>
  <c r="AM722" i="4" s="1"/>
  <c r="AM723" i="4" s="1"/>
  <c r="AM724" i="4" s="1"/>
  <c r="AK720" i="4"/>
  <c r="AI720" i="4"/>
  <c r="AG720" i="4"/>
  <c r="AE720" i="4"/>
  <c r="AD720" i="4"/>
  <c r="AC720" i="4"/>
  <c r="AB720" i="4"/>
  <c r="AA720" i="4"/>
  <c r="Z720" i="4"/>
  <c r="K720" i="4"/>
  <c r="J720" i="4"/>
  <c r="H720" i="4"/>
  <c r="AV720" i="4" s="1"/>
  <c r="E720" i="4"/>
  <c r="AK719" i="4"/>
  <c r="AI719" i="4"/>
  <c r="AG719" i="4"/>
  <c r="AE719" i="4"/>
  <c r="AD719" i="4"/>
  <c r="AC719" i="4"/>
  <c r="AB719" i="4"/>
  <c r="AA719" i="4"/>
  <c r="Z719" i="4"/>
  <c r="K719" i="4"/>
  <c r="J719" i="4"/>
  <c r="H719" i="4"/>
  <c r="AF719" i="4" s="1"/>
  <c r="E719" i="4"/>
  <c r="Q719" i="4" s="1"/>
  <c r="AK718" i="4"/>
  <c r="AI718" i="4"/>
  <c r="AG718" i="4"/>
  <c r="AE718" i="4"/>
  <c r="AD718" i="4"/>
  <c r="AC718" i="4"/>
  <c r="AB718" i="4"/>
  <c r="AA718" i="4"/>
  <c r="Z718" i="4"/>
  <c r="K718" i="4"/>
  <c r="J718" i="4"/>
  <c r="H718" i="4"/>
  <c r="AV718" i="4" s="1"/>
  <c r="E718" i="4"/>
  <c r="Q718" i="4" s="1"/>
  <c r="AM717" i="4"/>
  <c r="AM718" i="4" s="1"/>
  <c r="AM719" i="4" s="1"/>
  <c r="AK717" i="4"/>
  <c r="AI717" i="4"/>
  <c r="AG717" i="4"/>
  <c r="AE717" i="4"/>
  <c r="AD717" i="4"/>
  <c r="AC717" i="4"/>
  <c r="AB717" i="4"/>
  <c r="AA717" i="4"/>
  <c r="Z717" i="4"/>
  <c r="O717" i="4"/>
  <c r="L717" i="4"/>
  <c r="K717" i="4"/>
  <c r="J717" i="4"/>
  <c r="H717" i="4"/>
  <c r="AF717" i="4" s="1"/>
  <c r="E717" i="4"/>
  <c r="AK716" i="4"/>
  <c r="AI716" i="4"/>
  <c r="AG716" i="4"/>
  <c r="AE716" i="4"/>
  <c r="AD716" i="4"/>
  <c r="AC716" i="4"/>
  <c r="AB716" i="4"/>
  <c r="AA716" i="4"/>
  <c r="Z716" i="4"/>
  <c r="O716" i="4"/>
  <c r="K716" i="4"/>
  <c r="J716" i="4"/>
  <c r="H716" i="4"/>
  <c r="AV716" i="4" s="1"/>
  <c r="E716" i="4"/>
  <c r="AM715" i="4"/>
  <c r="AM716" i="4" s="1"/>
  <c r="AK715" i="4"/>
  <c r="AI715" i="4"/>
  <c r="AG715" i="4"/>
  <c r="AE715" i="4"/>
  <c r="AD715" i="4"/>
  <c r="AC715" i="4"/>
  <c r="AB715" i="4"/>
  <c r="AA715" i="4"/>
  <c r="Z715" i="4"/>
  <c r="O715" i="4"/>
  <c r="L715" i="4"/>
  <c r="K715" i="4"/>
  <c r="J715" i="4"/>
  <c r="H715" i="4"/>
  <c r="AH715" i="4" s="1"/>
  <c r="AN715" i="4" s="1"/>
  <c r="E715" i="4"/>
  <c r="AK708" i="4"/>
  <c r="AI708" i="4"/>
  <c r="AG708" i="4"/>
  <c r="AE708" i="4"/>
  <c r="AD708" i="4"/>
  <c r="AC708" i="4"/>
  <c r="AB708" i="4"/>
  <c r="AA708" i="4"/>
  <c r="Z708" i="4"/>
  <c r="L708" i="4"/>
  <c r="P708" i="4" s="1"/>
  <c r="K708" i="4"/>
  <c r="J708" i="4"/>
  <c r="H708" i="4"/>
  <c r="AV708" i="4" s="1"/>
  <c r="E708" i="4"/>
  <c r="Q708" i="4" s="1"/>
  <c r="AK707" i="4"/>
  <c r="AI707" i="4"/>
  <c r="AG707" i="4"/>
  <c r="AE707" i="4"/>
  <c r="AD707" i="4"/>
  <c r="AC707" i="4"/>
  <c r="AB707" i="4"/>
  <c r="AA707" i="4"/>
  <c r="Z707" i="4"/>
  <c r="L707" i="4"/>
  <c r="P707" i="4" s="1"/>
  <c r="K707" i="4"/>
  <c r="J707" i="4"/>
  <c r="H707" i="4"/>
  <c r="AF707" i="4" s="1"/>
  <c r="E707" i="4"/>
  <c r="Q707" i="4" s="1"/>
  <c r="AK706" i="4"/>
  <c r="AI706" i="4"/>
  <c r="AG706" i="4"/>
  <c r="AE706" i="4"/>
  <c r="AD706" i="4"/>
  <c r="AC706" i="4"/>
  <c r="AB706" i="4"/>
  <c r="AA706" i="4"/>
  <c r="Z706" i="4"/>
  <c r="L706" i="4"/>
  <c r="P706" i="4" s="1"/>
  <c r="K706" i="4"/>
  <c r="J706" i="4"/>
  <c r="H706" i="4"/>
  <c r="AV706" i="4" s="1"/>
  <c r="E706" i="4"/>
  <c r="Q706" i="4" s="1"/>
  <c r="AK705" i="4"/>
  <c r="AI705" i="4"/>
  <c r="AG705" i="4"/>
  <c r="AE705" i="4"/>
  <c r="AD705" i="4"/>
  <c r="AC705" i="4"/>
  <c r="AB705" i="4"/>
  <c r="AA705" i="4"/>
  <c r="Z705" i="4"/>
  <c r="L705" i="4"/>
  <c r="P705" i="4" s="1"/>
  <c r="K705" i="4"/>
  <c r="J705" i="4"/>
  <c r="H705" i="4"/>
  <c r="AH705" i="4" s="1"/>
  <c r="AN705" i="4" s="1"/>
  <c r="E705" i="4"/>
  <c r="Q705" i="4" s="1"/>
  <c r="G812" i="1" s="1"/>
  <c r="H812" i="1" s="1"/>
  <c r="AK704" i="4"/>
  <c r="AI704" i="4"/>
  <c r="AG704" i="4"/>
  <c r="AE704" i="4"/>
  <c r="AD704" i="4"/>
  <c r="AC704" i="4"/>
  <c r="AB704" i="4"/>
  <c r="AA704" i="4"/>
  <c r="Z704" i="4"/>
  <c r="K704" i="4"/>
  <c r="J704" i="4"/>
  <c r="H704" i="4"/>
  <c r="AV704" i="4" s="1"/>
  <c r="E704" i="4"/>
  <c r="Q704" i="4" s="1"/>
  <c r="AM703" i="4"/>
  <c r="AM704" i="4" s="1"/>
  <c r="AM705" i="4" s="1"/>
  <c r="AM706" i="4" s="1"/>
  <c r="AM707" i="4" s="1"/>
  <c r="AM708" i="4" s="1"/>
  <c r="AK703" i="4"/>
  <c r="AI703" i="4"/>
  <c r="AG703" i="4"/>
  <c r="AE703" i="4"/>
  <c r="AD703" i="4"/>
  <c r="AC703" i="4"/>
  <c r="AB703" i="4"/>
  <c r="AA703" i="4"/>
  <c r="Z703" i="4"/>
  <c r="K703" i="4"/>
  <c r="J703" i="4"/>
  <c r="H703" i="4"/>
  <c r="AF703" i="4" s="1"/>
  <c r="E703" i="4"/>
  <c r="AK702" i="4"/>
  <c r="AI702" i="4"/>
  <c r="AG702" i="4"/>
  <c r="AE702" i="4"/>
  <c r="AD702" i="4"/>
  <c r="AC702" i="4"/>
  <c r="AB702" i="4"/>
  <c r="AA702" i="4"/>
  <c r="Z702" i="4"/>
  <c r="O702" i="4"/>
  <c r="L702" i="4"/>
  <c r="K702" i="4"/>
  <c r="J702" i="4"/>
  <c r="H702" i="4"/>
  <c r="AV702" i="4" s="1"/>
  <c r="E702" i="4"/>
  <c r="AK694" i="4"/>
  <c r="AI694" i="4"/>
  <c r="AG694" i="4"/>
  <c r="AE694" i="4"/>
  <c r="AD694" i="4"/>
  <c r="AC694" i="4"/>
  <c r="AB694" i="4"/>
  <c r="AA694" i="4"/>
  <c r="Z694" i="4"/>
  <c r="O694" i="4"/>
  <c r="L694" i="4"/>
  <c r="K694" i="4"/>
  <c r="J694" i="4"/>
  <c r="H694" i="4"/>
  <c r="AF694" i="4" s="1"/>
  <c r="E694" i="4"/>
  <c r="AK693" i="4"/>
  <c r="AI693" i="4"/>
  <c r="AG693" i="4"/>
  <c r="AE693" i="4"/>
  <c r="AD693" i="4"/>
  <c r="AC693" i="4"/>
  <c r="AB693" i="4"/>
  <c r="AA693" i="4"/>
  <c r="Z693" i="4"/>
  <c r="O693" i="4"/>
  <c r="L693" i="4"/>
  <c r="K693" i="4"/>
  <c r="J693" i="4"/>
  <c r="H693" i="4"/>
  <c r="AV693" i="4" s="1"/>
  <c r="E693" i="4"/>
  <c r="AK692" i="4"/>
  <c r="AI692" i="4"/>
  <c r="AG692" i="4"/>
  <c r="AE692" i="4"/>
  <c r="AD692" i="4"/>
  <c r="AC692" i="4"/>
  <c r="AB692" i="4"/>
  <c r="AA692" i="4"/>
  <c r="Z692" i="4"/>
  <c r="O692" i="4"/>
  <c r="L692" i="4"/>
  <c r="K692" i="4"/>
  <c r="J692" i="4"/>
  <c r="H692" i="4"/>
  <c r="AF692" i="4" s="1"/>
  <c r="E692" i="4"/>
  <c r="AK691" i="4"/>
  <c r="AI691" i="4"/>
  <c r="AG691" i="4"/>
  <c r="AE691" i="4"/>
  <c r="AD691" i="4"/>
  <c r="AC691" i="4"/>
  <c r="AB691" i="4"/>
  <c r="AA691" i="4"/>
  <c r="Z691" i="4"/>
  <c r="K691" i="4"/>
  <c r="J691" i="4"/>
  <c r="H691" i="4"/>
  <c r="AV691" i="4" s="1"/>
  <c r="E691" i="4"/>
  <c r="Q691" i="4" s="1"/>
  <c r="AM690" i="4"/>
  <c r="AM691" i="4" s="1"/>
  <c r="AM692" i="4" s="1"/>
  <c r="AM693" i="4" s="1"/>
  <c r="AM694" i="4" s="1"/>
  <c r="AK690" i="4"/>
  <c r="AI690" i="4"/>
  <c r="AG690" i="4"/>
  <c r="AE690" i="4"/>
  <c r="AD690" i="4"/>
  <c r="AC690" i="4"/>
  <c r="AB690" i="4"/>
  <c r="AA690" i="4"/>
  <c r="Z690" i="4"/>
  <c r="K690" i="4"/>
  <c r="J690" i="4"/>
  <c r="H690" i="4"/>
  <c r="AF690" i="4" s="1"/>
  <c r="Q690" i="4"/>
  <c r="AK678" i="4"/>
  <c r="AI678" i="4"/>
  <c r="AG678" i="4"/>
  <c r="AE678" i="4"/>
  <c r="AD678" i="4"/>
  <c r="AC678" i="4"/>
  <c r="AB678" i="4"/>
  <c r="AA678" i="4"/>
  <c r="Z678" i="4"/>
  <c r="O678" i="4"/>
  <c r="L678" i="4"/>
  <c r="K678" i="4"/>
  <c r="J678" i="4"/>
  <c r="H678" i="4"/>
  <c r="AH678" i="4" s="1"/>
  <c r="AN678" i="4" s="1"/>
  <c r="E678" i="4"/>
  <c r="O645" i="4"/>
  <c r="O644" i="4"/>
  <c r="O643" i="4"/>
  <c r="O1340" i="13"/>
  <c r="O1339" i="13"/>
  <c r="O1338" i="13"/>
  <c r="F546" i="1"/>
  <c r="AK642" i="4"/>
  <c r="AI642" i="4"/>
  <c r="AG642" i="4"/>
  <c r="AE642" i="4"/>
  <c r="AD642" i="4"/>
  <c r="AC642" i="4"/>
  <c r="AB642" i="4"/>
  <c r="AA642" i="4"/>
  <c r="Z642" i="4"/>
  <c r="O642" i="4"/>
  <c r="K642" i="4"/>
  <c r="J642" i="4"/>
  <c r="H642" i="4"/>
  <c r="E642" i="4"/>
  <c r="AK641" i="4"/>
  <c r="AI641" i="4"/>
  <c r="AG641" i="4"/>
  <c r="AE641" i="4"/>
  <c r="AD641" i="4"/>
  <c r="AC641" i="4"/>
  <c r="AB641" i="4"/>
  <c r="AA641" i="4"/>
  <c r="Z641" i="4"/>
  <c r="O641" i="4"/>
  <c r="K641" i="4"/>
  <c r="J641" i="4"/>
  <c r="H641" i="4"/>
  <c r="E641" i="4"/>
  <c r="AM640" i="4"/>
  <c r="AM641" i="4" s="1"/>
  <c r="AM642" i="4" s="1"/>
  <c r="AK640" i="4"/>
  <c r="AI640" i="4"/>
  <c r="AG640" i="4"/>
  <c r="AE640" i="4"/>
  <c r="AD640" i="4"/>
  <c r="AC640" i="4"/>
  <c r="AB640" i="4"/>
  <c r="AA640" i="4"/>
  <c r="Z640" i="4"/>
  <c r="O640" i="4"/>
  <c r="K640" i="4"/>
  <c r="J640" i="4"/>
  <c r="H640" i="4"/>
  <c r="AV640" i="4" s="1"/>
  <c r="E640" i="4"/>
  <c r="Q640" i="4" s="1"/>
  <c r="AK639" i="4"/>
  <c r="AI639" i="4"/>
  <c r="AG639" i="4"/>
  <c r="AE639" i="4"/>
  <c r="AD639" i="4"/>
  <c r="AC639" i="4"/>
  <c r="AB639" i="4"/>
  <c r="AA639" i="4"/>
  <c r="Z639" i="4"/>
  <c r="O639" i="4"/>
  <c r="K639" i="4"/>
  <c r="J639" i="4"/>
  <c r="H639" i="4"/>
  <c r="E639" i="4"/>
  <c r="Q639" i="4" s="1"/>
  <c r="AK638" i="4"/>
  <c r="AI638" i="4"/>
  <c r="AG638" i="4"/>
  <c r="AE638" i="4"/>
  <c r="AD638" i="4"/>
  <c r="AC638" i="4"/>
  <c r="AB638" i="4"/>
  <c r="AA638" i="4"/>
  <c r="Z638" i="4"/>
  <c r="O638" i="4"/>
  <c r="K638" i="4"/>
  <c r="J638" i="4"/>
  <c r="H638" i="4"/>
  <c r="AV638" i="4" s="1"/>
  <c r="E638" i="4"/>
  <c r="AM637" i="4"/>
  <c r="AM638" i="4" s="1"/>
  <c r="AM639" i="4" s="1"/>
  <c r="AK637" i="4"/>
  <c r="AI637" i="4"/>
  <c r="AG637" i="4"/>
  <c r="AE637" i="4"/>
  <c r="AD637" i="4"/>
  <c r="AC637" i="4"/>
  <c r="AB637" i="4"/>
  <c r="AA637" i="4"/>
  <c r="Z637" i="4"/>
  <c r="O637" i="4"/>
  <c r="K637" i="4"/>
  <c r="J637" i="4"/>
  <c r="H637" i="4"/>
  <c r="AV637" i="4" s="1"/>
  <c r="E637" i="4"/>
  <c r="Q637" i="4" s="1"/>
  <c r="O636" i="4"/>
  <c r="F799" i="1"/>
  <c r="AK635" i="4"/>
  <c r="AI635" i="4"/>
  <c r="AG635" i="4"/>
  <c r="AE635" i="4"/>
  <c r="AD635" i="4"/>
  <c r="AC635" i="4"/>
  <c r="AB635" i="4"/>
  <c r="AA635" i="4"/>
  <c r="Z635" i="4"/>
  <c r="O635" i="4"/>
  <c r="K635" i="4"/>
  <c r="J635" i="4"/>
  <c r="H635" i="4"/>
  <c r="E635" i="4"/>
  <c r="AK634" i="4"/>
  <c r="AI634" i="4"/>
  <c r="AG634" i="4"/>
  <c r="AE634" i="4"/>
  <c r="AD634" i="4"/>
  <c r="AC634" i="4"/>
  <c r="AB634" i="4"/>
  <c r="AA634" i="4"/>
  <c r="Z634" i="4"/>
  <c r="O634" i="4"/>
  <c r="K634" i="4"/>
  <c r="J634" i="4"/>
  <c r="H634" i="4"/>
  <c r="AV634" i="4" s="1"/>
  <c r="E634" i="4"/>
  <c r="Q634" i="4" s="1"/>
  <c r="AM633" i="4"/>
  <c r="AM634" i="4" s="1"/>
  <c r="AM635" i="4" s="1"/>
  <c r="AK633" i="4"/>
  <c r="AI633" i="4"/>
  <c r="AG633" i="4"/>
  <c r="AE633" i="4"/>
  <c r="AD633" i="4"/>
  <c r="AC633" i="4"/>
  <c r="AB633" i="4"/>
  <c r="AA633" i="4"/>
  <c r="Z633" i="4"/>
  <c r="O633" i="4"/>
  <c r="K633" i="4"/>
  <c r="J633" i="4"/>
  <c r="H633" i="4"/>
  <c r="AV633" i="4" s="1"/>
  <c r="E633" i="4"/>
  <c r="L670" i="4" l="1"/>
  <c r="P670" i="4" s="1"/>
  <c r="L661" i="4"/>
  <c r="Q764" i="4"/>
  <c r="G824" i="1" s="1"/>
  <c r="H824" i="1" s="1"/>
  <c r="P764" i="4"/>
  <c r="AH748" i="4"/>
  <c r="AN748" i="4" s="1"/>
  <c r="AH773" i="4"/>
  <c r="AN773" i="4" s="1"/>
  <c r="AH718" i="4"/>
  <c r="AN718" i="4" s="1"/>
  <c r="Q741" i="4"/>
  <c r="P775" i="4"/>
  <c r="Q715" i="4"/>
  <c r="G813" i="1" s="1"/>
  <c r="H813" i="1" s="1"/>
  <c r="P715" i="4"/>
  <c r="AH716" i="4"/>
  <c r="AN716" i="4" s="1"/>
  <c r="AH729" i="4"/>
  <c r="AN729" i="4" s="1"/>
  <c r="P702" i="4"/>
  <c r="F702" i="4" s="1"/>
  <c r="AH735" i="4"/>
  <c r="AN735" i="4" s="1"/>
  <c r="AH774" i="4"/>
  <c r="AN774" i="4" s="1"/>
  <c r="AF729" i="4"/>
  <c r="AH739" i="4"/>
  <c r="AN739" i="4" s="1"/>
  <c r="AH749" i="4"/>
  <c r="AN749" i="4" s="1"/>
  <c r="AH758" i="4"/>
  <c r="AN758" i="4" s="1"/>
  <c r="AH763" i="4"/>
  <c r="AN763" i="4" s="1"/>
  <c r="AH775" i="4"/>
  <c r="AN775" i="4" s="1"/>
  <c r="P744" i="4"/>
  <c r="P675" i="4"/>
  <c r="Q779" i="4"/>
  <c r="G827" i="1" s="1"/>
  <c r="H827" i="1" s="1"/>
  <c r="R781" i="4"/>
  <c r="AL781" i="4"/>
  <c r="AH781" i="4"/>
  <c r="AN781" i="4" s="1"/>
  <c r="AF781" i="4"/>
  <c r="AL780" i="4"/>
  <c r="AH780" i="4"/>
  <c r="AN780" i="4" s="1"/>
  <c r="P779" i="4"/>
  <c r="AL778" i="4"/>
  <c r="AL779" i="4"/>
  <c r="AF779" i="4"/>
  <c r="AH779" i="4"/>
  <c r="AN779" i="4" s="1"/>
  <c r="R777" i="4"/>
  <c r="Q775" i="4"/>
  <c r="G825" i="1" s="1"/>
  <c r="H825" i="1" s="1"/>
  <c r="F778" i="4"/>
  <c r="R778" i="4"/>
  <c r="AF778" i="4"/>
  <c r="AL774" i="4"/>
  <c r="AL777" i="4"/>
  <c r="F777" i="4"/>
  <c r="AH777" i="4"/>
  <c r="AN777" i="4" s="1"/>
  <c r="AL775" i="4"/>
  <c r="AF777" i="4"/>
  <c r="AL776" i="4"/>
  <c r="Q776" i="4"/>
  <c r="R776" i="4" s="1"/>
  <c r="P776" i="4"/>
  <c r="R774" i="4"/>
  <c r="AL772" i="4"/>
  <c r="AH776" i="4"/>
  <c r="AN776" i="4" s="1"/>
  <c r="AF775" i="4"/>
  <c r="AL773" i="4"/>
  <c r="P774" i="4"/>
  <c r="R773" i="4"/>
  <c r="AL770" i="4"/>
  <c r="AF773" i="4"/>
  <c r="AL769" i="4"/>
  <c r="AL771" i="4"/>
  <c r="R770" i="4"/>
  <c r="G770" i="4" s="1"/>
  <c r="AF771" i="4"/>
  <c r="AF770" i="4"/>
  <c r="Q769" i="4"/>
  <c r="R769" i="4" s="1"/>
  <c r="G769" i="4" s="1"/>
  <c r="P769" i="4"/>
  <c r="F769" i="4" s="1"/>
  <c r="AH769" i="4"/>
  <c r="AN769" i="4" s="1"/>
  <c r="AF769" i="4"/>
  <c r="P693" i="4"/>
  <c r="AF727" i="4"/>
  <c r="AH737" i="4"/>
  <c r="AN737" i="4" s="1"/>
  <c r="AH742" i="4"/>
  <c r="AN742" i="4" s="1"/>
  <c r="AH732" i="4"/>
  <c r="AN732" i="4" s="1"/>
  <c r="AH727" i="4"/>
  <c r="AN727" i="4" s="1"/>
  <c r="AH744" i="4"/>
  <c r="AN744" i="4" s="1"/>
  <c r="AM702" i="4"/>
  <c r="AM695" i="4"/>
  <c r="AF728" i="4"/>
  <c r="AL767" i="4"/>
  <c r="AL768" i="4"/>
  <c r="Q767" i="4"/>
  <c r="AH768" i="4"/>
  <c r="AN768" i="4" s="1"/>
  <c r="Q763" i="4"/>
  <c r="G823" i="1" s="1"/>
  <c r="H823" i="1" s="1"/>
  <c r="AL766" i="4"/>
  <c r="AH767" i="4"/>
  <c r="AN767" i="4" s="1"/>
  <c r="AF767" i="4"/>
  <c r="P763" i="4"/>
  <c r="Q762" i="4"/>
  <c r="G822" i="1" s="1"/>
  <c r="H822" i="1" s="1"/>
  <c r="P762" i="4"/>
  <c r="AF766" i="4"/>
  <c r="AL765" i="4"/>
  <c r="AL763" i="4"/>
  <c r="AL764" i="4"/>
  <c r="AL744" i="4"/>
  <c r="AH762" i="4"/>
  <c r="AN762" i="4" s="1"/>
  <c r="AF763" i="4"/>
  <c r="AL751" i="4"/>
  <c r="AL756" i="4"/>
  <c r="AF765" i="4"/>
  <c r="AH765" i="4"/>
  <c r="AN765" i="4" s="1"/>
  <c r="AH764" i="4"/>
  <c r="AN764" i="4" s="1"/>
  <c r="AL760" i="4"/>
  <c r="AL762" i="4"/>
  <c r="AL759" i="4"/>
  <c r="AL761" i="4"/>
  <c r="AH759" i="4"/>
  <c r="AN759" i="4" s="1"/>
  <c r="R759" i="4"/>
  <c r="AL753" i="4"/>
  <c r="AL754" i="4"/>
  <c r="AL757" i="4"/>
  <c r="AL758" i="4"/>
  <c r="AH760" i="4"/>
  <c r="AN760" i="4" s="1"/>
  <c r="AF761" i="4"/>
  <c r="AF759" i="4"/>
  <c r="AH761" i="4"/>
  <c r="AN761" i="4" s="1"/>
  <c r="Q744" i="4"/>
  <c r="R756" i="4"/>
  <c r="AL755" i="4"/>
  <c r="AH756" i="4"/>
  <c r="AN756" i="4" s="1"/>
  <c r="AL747" i="4"/>
  <c r="AF757" i="4"/>
  <c r="AL743" i="4"/>
  <c r="AL750" i="4"/>
  <c r="AL752" i="4"/>
  <c r="AH757" i="4"/>
  <c r="AN757" i="4" s="1"/>
  <c r="R753" i="4"/>
  <c r="AH755" i="4"/>
  <c r="AN755" i="4" s="1"/>
  <c r="AF754" i="4"/>
  <c r="AF753" i="4"/>
  <c r="AL748" i="4"/>
  <c r="AL749" i="4"/>
  <c r="AH753" i="4"/>
  <c r="AN753" i="4" s="1"/>
  <c r="AF755" i="4"/>
  <c r="AH751" i="4"/>
  <c r="AN751" i="4" s="1"/>
  <c r="AL740" i="4"/>
  <c r="AL745" i="4"/>
  <c r="AH752" i="4"/>
  <c r="AN752" i="4" s="1"/>
  <c r="AL746" i="4"/>
  <c r="AF749" i="4"/>
  <c r="AF751" i="4"/>
  <c r="Q746" i="4"/>
  <c r="AH743" i="4"/>
  <c r="AN743" i="4" s="1"/>
  <c r="AF745" i="4"/>
  <c r="AH746" i="4"/>
  <c r="AN746" i="4" s="1"/>
  <c r="AL741" i="4"/>
  <c r="AL742" i="4"/>
  <c r="AH745" i="4"/>
  <c r="AN745" i="4" s="1"/>
  <c r="P741" i="4"/>
  <c r="AL738" i="4"/>
  <c r="AL737" i="4"/>
  <c r="AL739" i="4"/>
  <c r="AF741" i="4"/>
  <c r="AH741" i="4"/>
  <c r="AN741" i="4" s="1"/>
  <c r="AF743" i="4"/>
  <c r="AF740" i="4"/>
  <c r="AF739" i="4"/>
  <c r="AL733" i="4"/>
  <c r="AL735" i="4"/>
  <c r="R735" i="4"/>
  <c r="AL736" i="4"/>
  <c r="AF737" i="4"/>
  <c r="AL730" i="4"/>
  <c r="AH736" i="4"/>
  <c r="AN736" i="4" s="1"/>
  <c r="AL734" i="4"/>
  <c r="AF735" i="4"/>
  <c r="R727" i="4"/>
  <c r="R730" i="4"/>
  <c r="Q732" i="4"/>
  <c r="R732" i="4" s="1"/>
  <c r="P732" i="4"/>
  <c r="AL731" i="4"/>
  <c r="AL728" i="4"/>
  <c r="AL727" i="4"/>
  <c r="AL732" i="4"/>
  <c r="AH731" i="4"/>
  <c r="AN731" i="4" s="1"/>
  <c r="AF730" i="4"/>
  <c r="R734" i="4"/>
  <c r="R726" i="4"/>
  <c r="AL726" i="4"/>
  <c r="AH734" i="4"/>
  <c r="AN734" i="4" s="1"/>
  <c r="AF731" i="4"/>
  <c r="AL729" i="4"/>
  <c r="AF733" i="4"/>
  <c r="AF726" i="4"/>
  <c r="AL725" i="4"/>
  <c r="AL723" i="4"/>
  <c r="AL724" i="4"/>
  <c r="AF725" i="4"/>
  <c r="Q720" i="4"/>
  <c r="AF724" i="4"/>
  <c r="R723" i="4"/>
  <c r="R722" i="4"/>
  <c r="AH721" i="4"/>
  <c r="AN721" i="4" s="1"/>
  <c r="AF723" i="4"/>
  <c r="AL722" i="4"/>
  <c r="AL718" i="4"/>
  <c r="AL721" i="4"/>
  <c r="AF722" i="4"/>
  <c r="AL719" i="4"/>
  <c r="AL720" i="4"/>
  <c r="AH720" i="4"/>
  <c r="AN720" i="4" s="1"/>
  <c r="AH722" i="4"/>
  <c r="AN722" i="4" s="1"/>
  <c r="AL717" i="4"/>
  <c r="AF720" i="4"/>
  <c r="Q717" i="4"/>
  <c r="G814" i="1" s="1"/>
  <c r="H814" i="1" s="1"/>
  <c r="P717" i="4"/>
  <c r="AL708" i="4"/>
  <c r="AF718" i="4"/>
  <c r="AL716" i="4"/>
  <c r="AH717" i="4"/>
  <c r="AN717" i="4" s="1"/>
  <c r="AH719" i="4"/>
  <c r="AN719" i="4" s="1"/>
  <c r="Q716" i="4"/>
  <c r="AF716" i="4"/>
  <c r="AL715" i="4"/>
  <c r="AF715" i="4"/>
  <c r="AL704" i="4"/>
  <c r="AL706" i="4"/>
  <c r="R706" i="4"/>
  <c r="R708" i="4"/>
  <c r="AL707" i="4"/>
  <c r="AH708" i="4"/>
  <c r="AN708" i="4" s="1"/>
  <c r="AL705" i="4"/>
  <c r="AF708" i="4"/>
  <c r="R707" i="4"/>
  <c r="AH707" i="4"/>
  <c r="AN707" i="4" s="1"/>
  <c r="R705" i="4"/>
  <c r="AF705" i="4"/>
  <c r="AH706" i="4"/>
  <c r="AN706" i="4" s="1"/>
  <c r="AF706" i="4"/>
  <c r="AF704" i="4"/>
  <c r="AH704" i="4"/>
  <c r="AN704" i="4" s="1"/>
  <c r="Q703" i="4"/>
  <c r="AH703" i="4"/>
  <c r="AN703" i="4" s="1"/>
  <c r="AL703" i="4"/>
  <c r="P674" i="4"/>
  <c r="Q678" i="4"/>
  <c r="R678" i="4" s="1"/>
  <c r="P678" i="4"/>
  <c r="AH690" i="4"/>
  <c r="AN690" i="4" s="1"/>
  <c r="AH691" i="4"/>
  <c r="AN691" i="4" s="1"/>
  <c r="Q692" i="4"/>
  <c r="G809" i="1" s="1"/>
  <c r="H809" i="1" s="1"/>
  <c r="P692" i="4"/>
  <c r="Q694" i="4"/>
  <c r="R694" i="4" s="1"/>
  <c r="P694" i="4"/>
  <c r="P676" i="4"/>
  <c r="Q702" i="4"/>
  <c r="AL693" i="4"/>
  <c r="AL702" i="4"/>
  <c r="AL690" i="4"/>
  <c r="AH702" i="4"/>
  <c r="AN702" i="4" s="1"/>
  <c r="Q693" i="4"/>
  <c r="G810" i="1" s="1"/>
  <c r="H810" i="1" s="1"/>
  <c r="AL694" i="4"/>
  <c r="AL692" i="4"/>
  <c r="AL691" i="4"/>
  <c r="AH694" i="4"/>
  <c r="AN694" i="4" s="1"/>
  <c r="AF691" i="4"/>
  <c r="AH693" i="4"/>
  <c r="AN693" i="4" s="1"/>
  <c r="AF702" i="4"/>
  <c r="AH692" i="4"/>
  <c r="AN692" i="4" s="1"/>
  <c r="AF693" i="4"/>
  <c r="AL678" i="4"/>
  <c r="AL671" i="4"/>
  <c r="AF678" i="4"/>
  <c r="Q671" i="4"/>
  <c r="R671" i="4" s="1"/>
  <c r="P671" i="4"/>
  <c r="AF671" i="4"/>
  <c r="AL654" i="4"/>
  <c r="AH671" i="4"/>
  <c r="AN671" i="4" s="1"/>
  <c r="Q646" i="4"/>
  <c r="Q654" i="4"/>
  <c r="R654" i="4" s="1"/>
  <c r="P654" i="4"/>
  <c r="AF654" i="4"/>
  <c r="AL646" i="4"/>
  <c r="AH654" i="4"/>
  <c r="AN654" i="4" s="1"/>
  <c r="AF646" i="4"/>
  <c r="AH646" i="4"/>
  <c r="AN646" i="4" s="1"/>
  <c r="Q667" i="4"/>
  <c r="Q673" i="4"/>
  <c r="Q675" i="4"/>
  <c r="R675" i="4" s="1"/>
  <c r="Q666" i="4"/>
  <c r="AH667" i="4"/>
  <c r="AN667" i="4" s="1"/>
  <c r="Q669" i="4"/>
  <c r="G804" i="1" s="1"/>
  <c r="H804" i="1" s="1"/>
  <c r="AF677" i="4"/>
  <c r="AH673" i="4"/>
  <c r="AN673" i="4" s="1"/>
  <c r="Q677" i="4"/>
  <c r="G807" i="1" s="1"/>
  <c r="H807" i="1" s="1"/>
  <c r="AL675" i="4"/>
  <c r="AV676" i="4"/>
  <c r="AL672" i="4"/>
  <c r="AL673" i="4"/>
  <c r="Q674" i="4"/>
  <c r="G805" i="1" s="1"/>
  <c r="H805" i="1" s="1"/>
  <c r="Q672" i="4"/>
  <c r="AL676" i="4"/>
  <c r="AL674" i="4"/>
  <c r="AL677" i="4"/>
  <c r="AF672" i="4"/>
  <c r="AF674" i="4"/>
  <c r="AF675" i="4"/>
  <c r="R676" i="4"/>
  <c r="AH672" i="4"/>
  <c r="AN672" i="4" s="1"/>
  <c r="AV672" i="4"/>
  <c r="AF673" i="4"/>
  <c r="AH674" i="4"/>
  <c r="AN674" i="4" s="1"/>
  <c r="AV674" i="4"/>
  <c r="AH675" i="4"/>
  <c r="AN675" i="4" s="1"/>
  <c r="AV675" i="4"/>
  <c r="AF676" i="4"/>
  <c r="P677" i="4"/>
  <c r="AH677" i="4"/>
  <c r="AN677" i="4" s="1"/>
  <c r="P669" i="4"/>
  <c r="P668" i="4"/>
  <c r="AH669" i="4"/>
  <c r="AN669" i="4" s="1"/>
  <c r="AH665" i="4"/>
  <c r="AN665" i="4" s="1"/>
  <c r="AL667" i="4"/>
  <c r="AL669" i="4"/>
  <c r="AL670" i="4"/>
  <c r="Q664" i="4"/>
  <c r="AL665" i="4"/>
  <c r="AL666" i="4"/>
  <c r="AL664" i="4"/>
  <c r="AL668" i="4"/>
  <c r="Q670" i="4"/>
  <c r="R670" i="4" s="1"/>
  <c r="AF666" i="4"/>
  <c r="P666" i="4"/>
  <c r="AF670" i="4"/>
  <c r="AH664" i="4"/>
  <c r="AN664" i="4" s="1"/>
  <c r="AV664" i="4"/>
  <c r="AF665" i="4"/>
  <c r="AH666" i="4"/>
  <c r="AN666" i="4" s="1"/>
  <c r="AV666" i="4"/>
  <c r="AF667" i="4"/>
  <c r="Q668" i="4"/>
  <c r="R668" i="4" s="1"/>
  <c r="AH668" i="4"/>
  <c r="AN668" i="4" s="1"/>
  <c r="AV668" i="4"/>
  <c r="AF669" i="4"/>
  <c r="AF664" i="4"/>
  <c r="AF668" i="4"/>
  <c r="AH670" i="4"/>
  <c r="AN670" i="4" s="1"/>
  <c r="AV678" i="4"/>
  <c r="AV730" i="4"/>
  <c r="AV726" i="4"/>
  <c r="AV734" i="4"/>
  <c r="AV742" i="4"/>
  <c r="AV690" i="4"/>
  <c r="AV692" i="4"/>
  <c r="AV694" i="4"/>
  <c r="AV703" i="4"/>
  <c r="AV705" i="4"/>
  <c r="AV707" i="4"/>
  <c r="AV715" i="4"/>
  <c r="AV717" i="4"/>
  <c r="AV719" i="4"/>
  <c r="AV721" i="4"/>
  <c r="AV723" i="4"/>
  <c r="AV728" i="4"/>
  <c r="AV736" i="4"/>
  <c r="AV744" i="4"/>
  <c r="AV732" i="4"/>
  <c r="AV740" i="4"/>
  <c r="AV746" i="4"/>
  <c r="AV748" i="4"/>
  <c r="AV752" i="4"/>
  <c r="AV754" i="4"/>
  <c r="AV756" i="4"/>
  <c r="AV758" i="4"/>
  <c r="AV760" i="4"/>
  <c r="AV762" i="4"/>
  <c r="AV764" i="4"/>
  <c r="AV766" i="4"/>
  <c r="AV768" i="4"/>
  <c r="AV770" i="4"/>
  <c r="AV774" i="4"/>
  <c r="AV776" i="4"/>
  <c r="AV778" i="4"/>
  <c r="AV780" i="4"/>
  <c r="AL639" i="4"/>
  <c r="AL642" i="4"/>
  <c r="Q641" i="4"/>
  <c r="Q642" i="4"/>
  <c r="AL637" i="4"/>
  <c r="AH640" i="4"/>
  <c r="AN640" i="4" s="1"/>
  <c r="AL640" i="4"/>
  <c r="AL641" i="4"/>
  <c r="AL638" i="4"/>
  <c r="AF640" i="4"/>
  <c r="AH641" i="4"/>
  <c r="AN641" i="4" s="1"/>
  <c r="AV641" i="4"/>
  <c r="AF642" i="4"/>
  <c r="AF641" i="4"/>
  <c r="Q638" i="4"/>
  <c r="AH637" i="4"/>
  <c r="AN637" i="4" s="1"/>
  <c r="AF638" i="4"/>
  <c r="AF637" i="4"/>
  <c r="AH638" i="4"/>
  <c r="AN638" i="4" s="1"/>
  <c r="AF639" i="4"/>
  <c r="Q635" i="4"/>
  <c r="AH634" i="4"/>
  <c r="AN634" i="4" s="1"/>
  <c r="AL633" i="4"/>
  <c r="Q633" i="4"/>
  <c r="AL634" i="4"/>
  <c r="AL635" i="4"/>
  <c r="AF633" i="4"/>
  <c r="AF635" i="4"/>
  <c r="AH633" i="4"/>
  <c r="AN633" i="4" s="1"/>
  <c r="AF634" i="4"/>
  <c r="O632" i="4"/>
  <c r="O631" i="4"/>
  <c r="O630" i="4"/>
  <c r="AK629" i="4"/>
  <c r="AI629" i="4"/>
  <c r="AG629" i="4"/>
  <c r="AE629" i="4"/>
  <c r="AD629" i="4"/>
  <c r="AC629" i="4"/>
  <c r="AB629" i="4"/>
  <c r="AA629" i="4"/>
  <c r="Z629" i="4"/>
  <c r="O629" i="4"/>
  <c r="K629" i="4"/>
  <c r="J629" i="4"/>
  <c r="H629" i="4"/>
  <c r="E629" i="4"/>
  <c r="AK628" i="4"/>
  <c r="AI628" i="4"/>
  <c r="AG628" i="4"/>
  <c r="AE628" i="4"/>
  <c r="AD628" i="4"/>
  <c r="AC628" i="4"/>
  <c r="AB628" i="4"/>
  <c r="AA628" i="4"/>
  <c r="Z628" i="4"/>
  <c r="O628" i="4"/>
  <c r="K628" i="4"/>
  <c r="J628" i="4"/>
  <c r="H628" i="4"/>
  <c r="AH628" i="4" s="1"/>
  <c r="AN628" i="4" s="1"/>
  <c r="E628" i="4"/>
  <c r="Q628" i="4" s="1"/>
  <c r="AM627" i="4"/>
  <c r="AM628" i="4" s="1"/>
  <c r="AM629" i="4" s="1"/>
  <c r="AK627" i="4"/>
  <c r="AI627" i="4"/>
  <c r="AG627" i="4"/>
  <c r="AE627" i="4"/>
  <c r="AD627" i="4"/>
  <c r="AC627" i="4"/>
  <c r="AB627" i="4"/>
  <c r="AA627" i="4"/>
  <c r="Z627" i="4"/>
  <c r="O627" i="4"/>
  <c r="K627" i="4"/>
  <c r="J627" i="4"/>
  <c r="H627" i="4"/>
  <c r="E627" i="4"/>
  <c r="O626" i="4"/>
  <c r="O625" i="4"/>
  <c r="O624" i="4"/>
  <c r="O623" i="4"/>
  <c r="O622" i="4"/>
  <c r="O621" i="4"/>
  <c r="O620" i="4"/>
  <c r="O1337" i="13"/>
  <c r="O1336" i="13"/>
  <c r="O1335" i="13"/>
  <c r="O619" i="4"/>
  <c r="O618" i="4"/>
  <c r="N617" i="4"/>
  <c r="O617" i="4" s="1"/>
  <c r="O616" i="4"/>
  <c r="O615" i="4"/>
  <c r="O1332" i="13"/>
  <c r="O1333" i="13"/>
  <c r="N1334" i="13"/>
  <c r="O1334" i="13" s="1"/>
  <c r="O1331" i="13"/>
  <c r="AK616" i="4"/>
  <c r="AI616" i="4"/>
  <c r="AG616" i="4"/>
  <c r="AE616" i="4"/>
  <c r="AD616" i="4"/>
  <c r="AC616" i="4"/>
  <c r="AB616" i="4"/>
  <c r="AA616" i="4"/>
  <c r="Z616" i="4"/>
  <c r="K616" i="4"/>
  <c r="J616" i="4"/>
  <c r="H616" i="4"/>
  <c r="AV616" i="4" s="1"/>
  <c r="E616" i="4"/>
  <c r="AK615" i="4"/>
  <c r="AI615" i="4"/>
  <c r="AG615" i="4"/>
  <c r="AE615" i="4"/>
  <c r="AD615" i="4"/>
  <c r="AC615" i="4"/>
  <c r="AB615" i="4"/>
  <c r="AA615" i="4"/>
  <c r="Z615" i="4"/>
  <c r="K615" i="4"/>
  <c r="J615" i="4"/>
  <c r="H615" i="4"/>
  <c r="AV615" i="4" s="1"/>
  <c r="E615" i="4"/>
  <c r="AM614" i="4"/>
  <c r="AM615" i="4" s="1"/>
  <c r="AM616" i="4" s="1"/>
  <c r="AM617" i="4" s="1"/>
  <c r="AM618" i="4" s="1"/>
  <c r="AM619" i="4" s="1"/>
  <c r="AK614" i="4"/>
  <c r="AI614" i="4"/>
  <c r="AG614" i="4"/>
  <c r="AE614" i="4"/>
  <c r="AD614" i="4"/>
  <c r="AC614" i="4"/>
  <c r="AB614" i="4"/>
  <c r="AA614" i="4"/>
  <c r="Z614" i="4"/>
  <c r="O614" i="4"/>
  <c r="K614" i="4"/>
  <c r="J614" i="4"/>
  <c r="H614" i="4"/>
  <c r="E614" i="4"/>
  <c r="O613" i="4"/>
  <c r="O612" i="4"/>
  <c r="N611" i="4"/>
  <c r="O611" i="4" s="1"/>
  <c r="N1330" i="13"/>
  <c r="O1330" i="13" s="1"/>
  <c r="F798" i="1"/>
  <c r="L1334" i="13" s="1"/>
  <c r="O1329" i="13"/>
  <c r="O1328" i="13"/>
  <c r="AK1340" i="13"/>
  <c r="AI1340" i="13"/>
  <c r="AG1340" i="13"/>
  <c r="AE1340" i="13"/>
  <c r="AD1340" i="13"/>
  <c r="AC1340" i="13"/>
  <c r="AB1340" i="13"/>
  <c r="AA1340" i="13"/>
  <c r="Z1340" i="13"/>
  <c r="K1340" i="13"/>
  <c r="J1340" i="13"/>
  <c r="H1340" i="13"/>
  <c r="AH1340" i="13" s="1"/>
  <c r="AN1340" i="13" s="1"/>
  <c r="AK1339" i="13"/>
  <c r="AI1339" i="13"/>
  <c r="AG1339" i="13"/>
  <c r="AE1339" i="13"/>
  <c r="AD1339" i="13"/>
  <c r="AC1339" i="13"/>
  <c r="AB1339" i="13"/>
  <c r="AA1339" i="13"/>
  <c r="Z1339" i="13"/>
  <c r="L1339" i="13"/>
  <c r="P1339" i="13" s="1"/>
  <c r="K1339" i="13"/>
  <c r="J1339" i="13"/>
  <c r="H1339" i="13"/>
  <c r="AH1339" i="13" s="1"/>
  <c r="AN1339" i="13" s="1"/>
  <c r="AM1338" i="13"/>
  <c r="AM1339" i="13" s="1"/>
  <c r="AM1340" i="13" s="1"/>
  <c r="AK1338" i="13"/>
  <c r="AI1338" i="13"/>
  <c r="AG1338" i="13"/>
  <c r="AE1338" i="13"/>
  <c r="AD1338" i="13"/>
  <c r="AC1338" i="13"/>
  <c r="AB1338" i="13"/>
  <c r="AA1338" i="13"/>
  <c r="Z1338" i="13"/>
  <c r="L1338" i="13"/>
  <c r="K1338" i="13"/>
  <c r="J1338" i="13"/>
  <c r="H1338" i="13"/>
  <c r="AF1338" i="13" s="1"/>
  <c r="AK1337" i="13"/>
  <c r="AI1337" i="13"/>
  <c r="AG1337" i="13"/>
  <c r="AE1337" i="13"/>
  <c r="AD1337" i="13"/>
  <c r="AC1337" i="13"/>
  <c r="AB1337" i="13"/>
  <c r="AA1337" i="13"/>
  <c r="Z1337" i="13"/>
  <c r="K1337" i="13"/>
  <c r="J1337" i="13"/>
  <c r="H1337" i="13"/>
  <c r="AH1337" i="13" s="1"/>
  <c r="AN1337" i="13" s="1"/>
  <c r="AK1336" i="13"/>
  <c r="AI1336" i="13"/>
  <c r="AG1336" i="13"/>
  <c r="AE1336" i="13"/>
  <c r="AD1336" i="13"/>
  <c r="AC1336" i="13"/>
  <c r="AB1336" i="13"/>
  <c r="AA1336" i="13"/>
  <c r="Z1336" i="13"/>
  <c r="K1336" i="13"/>
  <c r="J1336" i="13"/>
  <c r="H1336" i="13"/>
  <c r="AH1336" i="13" s="1"/>
  <c r="AN1336" i="13" s="1"/>
  <c r="AM1335" i="13"/>
  <c r="AM1336" i="13" s="1"/>
  <c r="AM1337" i="13" s="1"/>
  <c r="AK1335" i="13"/>
  <c r="AI1335" i="13"/>
  <c r="AG1335" i="13"/>
  <c r="AH724" i="4" s="1"/>
  <c r="AE1335" i="13"/>
  <c r="AD1335" i="13"/>
  <c r="AC1335" i="13"/>
  <c r="AB1335" i="13"/>
  <c r="AA1335" i="13"/>
  <c r="Z1335" i="13"/>
  <c r="L1335" i="13"/>
  <c r="K1335" i="13"/>
  <c r="J1335" i="13"/>
  <c r="H1335" i="13"/>
  <c r="AF1335" i="13" s="1"/>
  <c r="AK1334" i="13"/>
  <c r="AI1334" i="13"/>
  <c r="AG1334" i="13"/>
  <c r="AE1334" i="13"/>
  <c r="AD1334" i="13"/>
  <c r="AC1334" i="13"/>
  <c r="AB1334" i="13"/>
  <c r="AA1334" i="13"/>
  <c r="Z1334" i="13"/>
  <c r="K1334" i="13"/>
  <c r="J1334" i="13"/>
  <c r="H1334" i="13"/>
  <c r="AH1334" i="13" s="1"/>
  <c r="AN1334" i="13" s="1"/>
  <c r="AK1333" i="13"/>
  <c r="AI1333" i="13"/>
  <c r="AG1333" i="13"/>
  <c r="AE1333" i="13"/>
  <c r="AD1333" i="13"/>
  <c r="AC1333" i="13"/>
  <c r="AB1333" i="13"/>
  <c r="AA1333" i="13"/>
  <c r="Z1333" i="13"/>
  <c r="K1333" i="13"/>
  <c r="J1333" i="13"/>
  <c r="H1333" i="13"/>
  <c r="AF1333" i="13" s="1"/>
  <c r="AK1332" i="13"/>
  <c r="AI1332" i="13"/>
  <c r="AG1332" i="13"/>
  <c r="AE1332" i="13"/>
  <c r="AD1332" i="13"/>
  <c r="AC1332" i="13"/>
  <c r="AB1332" i="13"/>
  <c r="AA1332" i="13"/>
  <c r="Z1332" i="13"/>
  <c r="K1332" i="13"/>
  <c r="J1332" i="13"/>
  <c r="H1332" i="13"/>
  <c r="AF1332" i="13" s="1"/>
  <c r="AK1331" i="13"/>
  <c r="AI1331" i="13"/>
  <c r="AG1331" i="13"/>
  <c r="AE1331" i="13"/>
  <c r="AD1331" i="13"/>
  <c r="AC1331" i="13"/>
  <c r="AB1331" i="13"/>
  <c r="AA1331" i="13"/>
  <c r="Z1331" i="13"/>
  <c r="L1331" i="13"/>
  <c r="K1331" i="13"/>
  <c r="J1331" i="13"/>
  <c r="H1331" i="13"/>
  <c r="AH1331" i="13" s="1"/>
  <c r="AN1331" i="13" s="1"/>
  <c r="AK1330" i="13"/>
  <c r="AI1330" i="13"/>
  <c r="AG1330" i="13"/>
  <c r="AE1330" i="13"/>
  <c r="AD1330" i="13"/>
  <c r="AC1330" i="13"/>
  <c r="AB1330" i="13"/>
  <c r="AA1330" i="13"/>
  <c r="Z1330" i="13"/>
  <c r="K1330" i="13"/>
  <c r="J1330" i="13"/>
  <c r="H1330" i="13"/>
  <c r="AF1330" i="13" s="1"/>
  <c r="O1327" i="13"/>
  <c r="O1326" i="13"/>
  <c r="O1325" i="13"/>
  <c r="M605" i="4"/>
  <c r="O609" i="4" s="1"/>
  <c r="AK653" i="4"/>
  <c r="AI653" i="4"/>
  <c r="AG653" i="4"/>
  <c r="AE653" i="4"/>
  <c r="AD653" i="4"/>
  <c r="AC653" i="4"/>
  <c r="AB653" i="4"/>
  <c r="AA653" i="4"/>
  <c r="Z653" i="4"/>
  <c r="AK652" i="4"/>
  <c r="AI652" i="4"/>
  <c r="AG652" i="4"/>
  <c r="AE652" i="4"/>
  <c r="AD652" i="4"/>
  <c r="AC652" i="4"/>
  <c r="AB652" i="4"/>
  <c r="AA652" i="4"/>
  <c r="Z652" i="4"/>
  <c r="AK651" i="4"/>
  <c r="AI651" i="4"/>
  <c r="AG651" i="4"/>
  <c r="AE651" i="4"/>
  <c r="AD651" i="4"/>
  <c r="AC651" i="4"/>
  <c r="AB651" i="4"/>
  <c r="AA651" i="4"/>
  <c r="Z651" i="4"/>
  <c r="AK650" i="4"/>
  <c r="AI650" i="4"/>
  <c r="AG650" i="4"/>
  <c r="AE650" i="4"/>
  <c r="AD650" i="4"/>
  <c r="AC650" i="4"/>
  <c r="AB650" i="4"/>
  <c r="AA650" i="4"/>
  <c r="Z650" i="4"/>
  <c r="AK649" i="4"/>
  <c r="AI649" i="4"/>
  <c r="AG649" i="4"/>
  <c r="AE649" i="4"/>
  <c r="AD649" i="4"/>
  <c r="AC649" i="4"/>
  <c r="AB649" i="4"/>
  <c r="AA649" i="4"/>
  <c r="Z649" i="4"/>
  <c r="AK648" i="4"/>
  <c r="AI648" i="4"/>
  <c r="AG648" i="4"/>
  <c r="AE648" i="4"/>
  <c r="AD648" i="4"/>
  <c r="AC648" i="4"/>
  <c r="AB648" i="4"/>
  <c r="AA648" i="4"/>
  <c r="Z648" i="4"/>
  <c r="AK647" i="4"/>
  <c r="AI647" i="4"/>
  <c r="AG647" i="4"/>
  <c r="AE647" i="4"/>
  <c r="AD647" i="4"/>
  <c r="AC647" i="4"/>
  <c r="AB647" i="4"/>
  <c r="AA647" i="4"/>
  <c r="Z647" i="4"/>
  <c r="AK645" i="4"/>
  <c r="AI645" i="4"/>
  <c r="AG645" i="4"/>
  <c r="AE645" i="4"/>
  <c r="AD645" i="4"/>
  <c r="AC645" i="4"/>
  <c r="AB645" i="4"/>
  <c r="AA645" i="4"/>
  <c r="Z645" i="4"/>
  <c r="AK644" i="4"/>
  <c r="AI644" i="4"/>
  <c r="AG644" i="4"/>
  <c r="AE644" i="4"/>
  <c r="AD644" i="4"/>
  <c r="AC644" i="4"/>
  <c r="AB644" i="4"/>
  <c r="AA644" i="4"/>
  <c r="Z644" i="4"/>
  <c r="AM643" i="4"/>
  <c r="AM644" i="4" s="1"/>
  <c r="AM645" i="4" s="1"/>
  <c r="AK643" i="4"/>
  <c r="AI643" i="4"/>
  <c r="AG643" i="4"/>
  <c r="AE643" i="4"/>
  <c r="AD643" i="4"/>
  <c r="AC643" i="4"/>
  <c r="AB643" i="4"/>
  <c r="AA643" i="4"/>
  <c r="Z643" i="4"/>
  <c r="AM636" i="4"/>
  <c r="AK636" i="4"/>
  <c r="AI636" i="4"/>
  <c r="AG636" i="4"/>
  <c r="AE636" i="4"/>
  <c r="AD636" i="4"/>
  <c r="AC636" i="4"/>
  <c r="AB636" i="4"/>
  <c r="AA636" i="4"/>
  <c r="Z636" i="4"/>
  <c r="AK632" i="4"/>
  <c r="AI632" i="4"/>
  <c r="AG632" i="4"/>
  <c r="AE632" i="4"/>
  <c r="AD632" i="4"/>
  <c r="AC632" i="4"/>
  <c r="AB632" i="4"/>
  <c r="AA632" i="4"/>
  <c r="Z632" i="4"/>
  <c r="AK631" i="4"/>
  <c r="AI631" i="4"/>
  <c r="AG631" i="4"/>
  <c r="AE631" i="4"/>
  <c r="AD631" i="4"/>
  <c r="AC631" i="4"/>
  <c r="AB631" i="4"/>
  <c r="AA631" i="4"/>
  <c r="Z631" i="4"/>
  <c r="AM630" i="4"/>
  <c r="AM631" i="4" s="1"/>
  <c r="AM632" i="4" s="1"/>
  <c r="AK630" i="4"/>
  <c r="AI630" i="4"/>
  <c r="AG630" i="4"/>
  <c r="AE630" i="4"/>
  <c r="AD630" i="4"/>
  <c r="AC630" i="4"/>
  <c r="AB630" i="4"/>
  <c r="AA630" i="4"/>
  <c r="Z630" i="4"/>
  <c r="AK626" i="4"/>
  <c r="AI626" i="4"/>
  <c r="AG626" i="4"/>
  <c r="AE626" i="4"/>
  <c r="AD626" i="4"/>
  <c r="AC626" i="4"/>
  <c r="AB626" i="4"/>
  <c r="AA626" i="4"/>
  <c r="Z626" i="4"/>
  <c r="AK625" i="4"/>
  <c r="AI625" i="4"/>
  <c r="AG625" i="4"/>
  <c r="AE625" i="4"/>
  <c r="AD625" i="4"/>
  <c r="AC625" i="4"/>
  <c r="AB625" i="4"/>
  <c r="AA625" i="4"/>
  <c r="Z625" i="4"/>
  <c r="AK624" i="4"/>
  <c r="AI624" i="4"/>
  <c r="AG624" i="4"/>
  <c r="AE624" i="4"/>
  <c r="AD624" i="4"/>
  <c r="AC624" i="4"/>
  <c r="AB624" i="4"/>
  <c r="AA624" i="4"/>
  <c r="Z624" i="4"/>
  <c r="AM623" i="4"/>
  <c r="AM624" i="4" s="1"/>
  <c r="AM625" i="4" s="1"/>
  <c r="AM626" i="4" s="1"/>
  <c r="AK623" i="4"/>
  <c r="AI623" i="4"/>
  <c r="AG623" i="4"/>
  <c r="AE623" i="4"/>
  <c r="AD623" i="4"/>
  <c r="AC623" i="4"/>
  <c r="AB623" i="4"/>
  <c r="AA623" i="4"/>
  <c r="Z623" i="4"/>
  <c r="AK622" i="4"/>
  <c r="AI622" i="4"/>
  <c r="AG622" i="4"/>
  <c r="AE622" i="4"/>
  <c r="AD622" i="4"/>
  <c r="AC622" i="4"/>
  <c r="AB622" i="4"/>
  <c r="AA622" i="4"/>
  <c r="Z622" i="4"/>
  <c r="AK621" i="4"/>
  <c r="AI621" i="4"/>
  <c r="AG621" i="4"/>
  <c r="AE621" i="4"/>
  <c r="AD621" i="4"/>
  <c r="AC621" i="4"/>
  <c r="AB621" i="4"/>
  <c r="AA621" i="4"/>
  <c r="Z621" i="4"/>
  <c r="AM620" i="4"/>
  <c r="AM621" i="4" s="1"/>
  <c r="AM622" i="4" s="1"/>
  <c r="AK620" i="4"/>
  <c r="AI620" i="4"/>
  <c r="AG620" i="4"/>
  <c r="AE620" i="4"/>
  <c r="AD620" i="4"/>
  <c r="AC620" i="4"/>
  <c r="AB620" i="4"/>
  <c r="AA620" i="4"/>
  <c r="Z620" i="4"/>
  <c r="AK619" i="4"/>
  <c r="AI619" i="4"/>
  <c r="AG619" i="4"/>
  <c r="AE619" i="4"/>
  <c r="AD619" i="4"/>
  <c r="AC619" i="4"/>
  <c r="AB619" i="4"/>
  <c r="AA619" i="4"/>
  <c r="Z619" i="4"/>
  <c r="AK618" i="4"/>
  <c r="AI618" i="4"/>
  <c r="AG618" i="4"/>
  <c r="AE618" i="4"/>
  <c r="AD618" i="4"/>
  <c r="AC618" i="4"/>
  <c r="AB618" i="4"/>
  <c r="AA618" i="4"/>
  <c r="Z618" i="4"/>
  <c r="AK617" i="4"/>
  <c r="AI617" i="4"/>
  <c r="AG617" i="4"/>
  <c r="AE617" i="4"/>
  <c r="AD617" i="4"/>
  <c r="AC617" i="4"/>
  <c r="AB617" i="4"/>
  <c r="AA617" i="4"/>
  <c r="Z617" i="4"/>
  <c r="AK613" i="4"/>
  <c r="AI613" i="4"/>
  <c r="AG613" i="4"/>
  <c r="AE613" i="4"/>
  <c r="AD613" i="4"/>
  <c r="AC613" i="4"/>
  <c r="AB613" i="4"/>
  <c r="AA613" i="4"/>
  <c r="Z613" i="4"/>
  <c r="AK612" i="4"/>
  <c r="AI612" i="4"/>
  <c r="AG612" i="4"/>
  <c r="AE612" i="4"/>
  <c r="AD612" i="4"/>
  <c r="AC612" i="4"/>
  <c r="AB612" i="4"/>
  <c r="AA612" i="4"/>
  <c r="Z612" i="4"/>
  <c r="AM611" i="4"/>
  <c r="AM612" i="4" s="1"/>
  <c r="AM613" i="4" s="1"/>
  <c r="AK611" i="4"/>
  <c r="AI611" i="4"/>
  <c r="AG611" i="4"/>
  <c r="AE611" i="4"/>
  <c r="AD611" i="4"/>
  <c r="AC611" i="4"/>
  <c r="AB611" i="4"/>
  <c r="AA611" i="4"/>
  <c r="Z611" i="4"/>
  <c r="AK610" i="4"/>
  <c r="AI610" i="4"/>
  <c r="AG610" i="4"/>
  <c r="AE610" i="4"/>
  <c r="AD610" i="4"/>
  <c r="AC610" i="4"/>
  <c r="AB610" i="4"/>
  <c r="AA610" i="4"/>
  <c r="Z610" i="4"/>
  <c r="AK609" i="4"/>
  <c r="AI609" i="4"/>
  <c r="AG609" i="4"/>
  <c r="AE609" i="4"/>
  <c r="AD609" i="4"/>
  <c r="AC609" i="4"/>
  <c r="AB609" i="4"/>
  <c r="AA609" i="4"/>
  <c r="Z609" i="4"/>
  <c r="AK608" i="4"/>
  <c r="AI608" i="4"/>
  <c r="AG608" i="4"/>
  <c r="AE608" i="4"/>
  <c r="AD608" i="4"/>
  <c r="AC608" i="4"/>
  <c r="AB608" i="4"/>
  <c r="AA608" i="4"/>
  <c r="Z608" i="4"/>
  <c r="AK607" i="4"/>
  <c r="AI607" i="4"/>
  <c r="AG607" i="4"/>
  <c r="AE607" i="4"/>
  <c r="AD607" i="4"/>
  <c r="AC607" i="4"/>
  <c r="AB607" i="4"/>
  <c r="AA607" i="4"/>
  <c r="Z607" i="4"/>
  <c r="AK606" i="4"/>
  <c r="AI606" i="4"/>
  <c r="AG606" i="4"/>
  <c r="AE606" i="4"/>
  <c r="AD606" i="4"/>
  <c r="AC606" i="4"/>
  <c r="AB606" i="4"/>
  <c r="AA606" i="4"/>
  <c r="Z606" i="4"/>
  <c r="AK605" i="4"/>
  <c r="AI605" i="4"/>
  <c r="AG605" i="4"/>
  <c r="AE605" i="4"/>
  <c r="AD605" i="4"/>
  <c r="AC605" i="4"/>
  <c r="AB605" i="4"/>
  <c r="AA605" i="4"/>
  <c r="Z605" i="4"/>
  <c r="AK604" i="4"/>
  <c r="AI604" i="4"/>
  <c r="AG604" i="4"/>
  <c r="AE604" i="4"/>
  <c r="AD604" i="4"/>
  <c r="AC604" i="4"/>
  <c r="AB604" i="4"/>
  <c r="AA604" i="4"/>
  <c r="Z604" i="4"/>
  <c r="AM603" i="4"/>
  <c r="AM604" i="4" s="1"/>
  <c r="AM605" i="4" s="1"/>
  <c r="AM606" i="4" s="1"/>
  <c r="AM607" i="4" s="1"/>
  <c r="AM608" i="4" s="1"/>
  <c r="AM609" i="4" s="1"/>
  <c r="AM610" i="4" s="1"/>
  <c r="AK603" i="4"/>
  <c r="AI603" i="4"/>
  <c r="AG603" i="4"/>
  <c r="AE603" i="4"/>
  <c r="AD603" i="4"/>
  <c r="AC603" i="4"/>
  <c r="AB603" i="4"/>
  <c r="AA603" i="4"/>
  <c r="Z603" i="4"/>
  <c r="N610" i="4"/>
  <c r="O601" i="4"/>
  <c r="O600" i="4"/>
  <c r="O599" i="4"/>
  <c r="R744" i="4" l="1"/>
  <c r="G210" i="1"/>
  <c r="H210" i="1" s="1"/>
  <c r="G778" i="4"/>
  <c r="R741" i="4"/>
  <c r="G819" i="1"/>
  <c r="H819" i="1" s="1"/>
  <c r="R666" i="4"/>
  <c r="G802" i="1"/>
  <c r="H802" i="1" s="1"/>
  <c r="P661" i="4"/>
  <c r="R661" i="4"/>
  <c r="P1334" i="13"/>
  <c r="P1331" i="13"/>
  <c r="R764" i="4"/>
  <c r="AH771" i="4"/>
  <c r="AH747" i="4"/>
  <c r="R715" i="4"/>
  <c r="R702" i="4"/>
  <c r="G702" i="4" s="1"/>
  <c r="G1187" i="1"/>
  <c r="H1187" i="1" s="1"/>
  <c r="O610" i="4"/>
  <c r="R775" i="4"/>
  <c r="R779" i="4"/>
  <c r="G777" i="4"/>
  <c r="R763" i="4"/>
  <c r="R762" i="4"/>
  <c r="AL1338" i="13"/>
  <c r="R717" i="4"/>
  <c r="R692" i="4"/>
  <c r="R693" i="4"/>
  <c r="Q615" i="4"/>
  <c r="AV628" i="4"/>
  <c r="AL1339" i="13"/>
  <c r="AL1335" i="13"/>
  <c r="R669" i="4"/>
  <c r="AM647" i="4"/>
  <c r="AM648" i="4" s="1"/>
  <c r="AM649" i="4" s="1"/>
  <c r="AM650" i="4" s="1"/>
  <c r="AM651" i="4" s="1"/>
  <c r="AM652" i="4" s="1"/>
  <c r="AM653" i="4" s="1"/>
  <c r="AM654" i="4" s="1"/>
  <c r="AM646" i="4"/>
  <c r="L1330" i="13"/>
  <c r="P1330" i="13" s="1"/>
  <c r="AH615" i="4"/>
  <c r="AN615" i="4" s="1"/>
  <c r="O606" i="4"/>
  <c r="O603" i="4"/>
  <c r="O607" i="4"/>
  <c r="R677" i="4"/>
  <c r="O604" i="4"/>
  <c r="O608" i="4"/>
  <c r="O605" i="4"/>
  <c r="R674" i="4"/>
  <c r="AL653" i="4"/>
  <c r="AL649" i="4"/>
  <c r="AL651" i="4"/>
  <c r="AL652" i="4"/>
  <c r="AL650" i="4"/>
  <c r="AL647" i="4"/>
  <c r="AL644" i="4"/>
  <c r="AL648" i="4"/>
  <c r="AL643" i="4"/>
  <c r="AL645" i="4"/>
  <c r="P1338" i="13"/>
  <c r="AL1340" i="13"/>
  <c r="AH1338" i="13"/>
  <c r="AN1338" i="13" s="1"/>
  <c r="AF1340" i="13"/>
  <c r="AL1336" i="13"/>
  <c r="AF1339" i="13"/>
  <c r="AL1337" i="13"/>
  <c r="AL630" i="4"/>
  <c r="AL636" i="4"/>
  <c r="AL631" i="4"/>
  <c r="AL627" i="4"/>
  <c r="AL632" i="4"/>
  <c r="AL628" i="4"/>
  <c r="AL626" i="4"/>
  <c r="AL629" i="4"/>
  <c r="AF627" i="4"/>
  <c r="AF629" i="4"/>
  <c r="AL617" i="4"/>
  <c r="AL621" i="4"/>
  <c r="AL624" i="4"/>
  <c r="Q627" i="4"/>
  <c r="AH627" i="4"/>
  <c r="AF628" i="4"/>
  <c r="Q629" i="4"/>
  <c r="AH629" i="4"/>
  <c r="AN629" i="4" s="1"/>
  <c r="AV629" i="4"/>
  <c r="AL625" i="4"/>
  <c r="AL623" i="4"/>
  <c r="AL622" i="4"/>
  <c r="P1335" i="13"/>
  <c r="AF1337" i="13"/>
  <c r="AF1336" i="13"/>
  <c r="AL1334" i="13"/>
  <c r="AL1331" i="13"/>
  <c r="AL1333" i="13"/>
  <c r="AH1335" i="13"/>
  <c r="AN1335" i="13" s="1"/>
  <c r="AL1332" i="13"/>
  <c r="AL618" i="4"/>
  <c r="AL620" i="4"/>
  <c r="AL619" i="4"/>
  <c r="AL614" i="4"/>
  <c r="AH1333" i="13"/>
  <c r="AN1333" i="13" s="1"/>
  <c r="AF1334" i="13"/>
  <c r="AH1332" i="13"/>
  <c r="AN1332" i="13" s="1"/>
  <c r="Q616" i="4"/>
  <c r="AL615" i="4"/>
  <c r="AL611" i="4"/>
  <c r="AL612" i="4"/>
  <c r="AL616" i="4"/>
  <c r="Q614" i="4"/>
  <c r="AF614" i="4"/>
  <c r="AF616" i="4"/>
  <c r="AL607" i="4"/>
  <c r="AL608" i="4"/>
  <c r="AL609" i="4"/>
  <c r="AL610" i="4"/>
  <c r="AL613" i="4"/>
  <c r="AF615" i="4"/>
  <c r="AH616" i="4"/>
  <c r="AN616" i="4" s="1"/>
  <c r="AL1330" i="13"/>
  <c r="AH1330" i="13"/>
  <c r="AN1330" i="13" s="1"/>
  <c r="AF1331" i="13"/>
  <c r="AL603" i="4"/>
  <c r="AL605" i="4"/>
  <c r="AL606" i="4"/>
  <c r="AL604" i="4"/>
  <c r="N602" i="4"/>
  <c r="O602" i="4" s="1"/>
  <c r="AK602" i="4"/>
  <c r="AI602" i="4"/>
  <c r="AG602" i="4"/>
  <c r="AE602" i="4"/>
  <c r="AD602" i="4"/>
  <c r="AC602" i="4"/>
  <c r="AB602" i="4"/>
  <c r="AA602" i="4"/>
  <c r="Z602" i="4"/>
  <c r="K602" i="4"/>
  <c r="J602" i="4"/>
  <c r="H602" i="4"/>
  <c r="AF602" i="4" s="1"/>
  <c r="E602" i="4"/>
  <c r="AK601" i="4"/>
  <c r="AI601" i="4"/>
  <c r="AG601" i="4"/>
  <c r="AE601" i="4"/>
  <c r="AD601" i="4"/>
  <c r="AC601" i="4"/>
  <c r="AB601" i="4"/>
  <c r="AA601" i="4"/>
  <c r="Z601" i="4"/>
  <c r="L601" i="4"/>
  <c r="K601" i="4"/>
  <c r="J601" i="4"/>
  <c r="H601" i="4"/>
  <c r="AV601" i="4" s="1"/>
  <c r="E601" i="4"/>
  <c r="Q601" i="4" s="1"/>
  <c r="AK600" i="4"/>
  <c r="AI600" i="4"/>
  <c r="AG600" i="4"/>
  <c r="AE600" i="4"/>
  <c r="AD600" i="4"/>
  <c r="AC600" i="4"/>
  <c r="AB600" i="4"/>
  <c r="AA600" i="4"/>
  <c r="Z600" i="4"/>
  <c r="K600" i="4"/>
  <c r="J600" i="4"/>
  <c r="H600" i="4"/>
  <c r="E600" i="4"/>
  <c r="AM599" i="4"/>
  <c r="AM600" i="4" s="1"/>
  <c r="AM601" i="4" s="1"/>
  <c r="AM602" i="4" s="1"/>
  <c r="AK599" i="4"/>
  <c r="AI599" i="4"/>
  <c r="AG599" i="4"/>
  <c r="AE599" i="4"/>
  <c r="AD599" i="4"/>
  <c r="AC599" i="4"/>
  <c r="AB599" i="4"/>
  <c r="AA599" i="4"/>
  <c r="Z599" i="4"/>
  <c r="K599" i="4"/>
  <c r="J599" i="4"/>
  <c r="H599" i="4"/>
  <c r="AH599" i="4" s="1"/>
  <c r="AN599" i="4" s="1"/>
  <c r="E599" i="4"/>
  <c r="O586" i="4"/>
  <c r="O585" i="4"/>
  <c r="O584" i="4"/>
  <c r="O582" i="4"/>
  <c r="O581" i="4"/>
  <c r="O580" i="4"/>
  <c r="L667" i="4"/>
  <c r="N571" i="4"/>
  <c r="O571" i="4" s="1"/>
  <c r="AK571" i="4"/>
  <c r="AI571" i="4"/>
  <c r="AG571" i="4"/>
  <c r="AE571" i="4"/>
  <c r="AD571" i="4"/>
  <c r="AC571" i="4"/>
  <c r="AB571" i="4"/>
  <c r="AA571" i="4"/>
  <c r="Z571" i="4"/>
  <c r="K571" i="4"/>
  <c r="J571" i="4"/>
  <c r="H571" i="4"/>
  <c r="AF571" i="4" s="1"/>
  <c r="E571" i="4"/>
  <c r="AK570" i="4"/>
  <c r="AI570" i="4"/>
  <c r="AG570" i="4"/>
  <c r="AE570" i="4"/>
  <c r="AD570" i="4"/>
  <c r="AC570" i="4"/>
  <c r="AB570" i="4"/>
  <c r="AA570" i="4"/>
  <c r="Z570" i="4"/>
  <c r="O570" i="4"/>
  <c r="L570" i="4"/>
  <c r="K570" i="4"/>
  <c r="J570" i="4"/>
  <c r="H570" i="4"/>
  <c r="AF570" i="4" s="1"/>
  <c r="E570" i="4"/>
  <c r="AK569" i="4"/>
  <c r="AI569" i="4"/>
  <c r="AG569" i="4"/>
  <c r="AE569" i="4"/>
  <c r="AD569" i="4"/>
  <c r="AC569" i="4"/>
  <c r="AB569" i="4"/>
  <c r="AA569" i="4"/>
  <c r="Z569" i="4"/>
  <c r="O569" i="4"/>
  <c r="K569" i="4"/>
  <c r="J569" i="4"/>
  <c r="H569" i="4"/>
  <c r="AV569" i="4" s="1"/>
  <c r="E569" i="4"/>
  <c r="AM568" i="4"/>
  <c r="AM569" i="4" s="1"/>
  <c r="AM570" i="4" s="1"/>
  <c r="AM571" i="4" s="1"/>
  <c r="AK568" i="4"/>
  <c r="AI568" i="4"/>
  <c r="AG568" i="4"/>
  <c r="AE568" i="4"/>
  <c r="AD568" i="4"/>
  <c r="AC568" i="4"/>
  <c r="AB568" i="4"/>
  <c r="AA568" i="4"/>
  <c r="Z568" i="4"/>
  <c r="O568" i="4"/>
  <c r="K568" i="4"/>
  <c r="J568" i="4"/>
  <c r="H568" i="4"/>
  <c r="AV568" i="4" s="1"/>
  <c r="E568" i="4"/>
  <c r="Q568" i="4" s="1"/>
  <c r="N567" i="4"/>
  <c r="O567" i="4" s="1"/>
  <c r="O565" i="4"/>
  <c r="O564" i="4"/>
  <c r="O566" i="4"/>
  <c r="Q570" i="4" l="1"/>
  <c r="R570" i="4" s="1"/>
  <c r="P570" i="4"/>
  <c r="AH601" i="4"/>
  <c r="AN601" i="4" s="1"/>
  <c r="P667" i="4"/>
  <c r="R667" i="4"/>
  <c r="AH568" i="4"/>
  <c r="AN568" i="4" s="1"/>
  <c r="E1332" i="13"/>
  <c r="Q1332" i="13" s="1"/>
  <c r="E1334" i="13"/>
  <c r="Q1334" i="13" s="1"/>
  <c r="R1334" i="13" s="1"/>
  <c r="E1331" i="13"/>
  <c r="Q1331" i="13" s="1"/>
  <c r="R1331" i="13" s="1"/>
  <c r="E1333" i="13"/>
  <c r="Q1333" i="13" s="1"/>
  <c r="AL599" i="4"/>
  <c r="AL601" i="4"/>
  <c r="Q599" i="4"/>
  <c r="R601" i="4"/>
  <c r="Q602" i="4"/>
  <c r="Q600" i="4"/>
  <c r="AL600" i="4"/>
  <c r="P601" i="4"/>
  <c r="AL570" i="4"/>
  <c r="AV599" i="4"/>
  <c r="AL602" i="4"/>
  <c r="AF600" i="4"/>
  <c r="AF599" i="4"/>
  <c r="AH600" i="4"/>
  <c r="AN600" i="4" s="1"/>
  <c r="AV600" i="4"/>
  <c r="AF601" i="4"/>
  <c r="Q569" i="4"/>
  <c r="Q571" i="4"/>
  <c r="AH570" i="4"/>
  <c r="AN570" i="4" s="1"/>
  <c r="AV570" i="4"/>
  <c r="AF569" i="4"/>
  <c r="AL569" i="4"/>
  <c r="AH569" i="4"/>
  <c r="AN569" i="4" s="1"/>
  <c r="AL568" i="4"/>
  <c r="AL571" i="4"/>
  <c r="AF568" i="4"/>
  <c r="N552" i="4"/>
  <c r="O552" i="4" s="1"/>
  <c r="O528" i="4"/>
  <c r="O536" i="4"/>
  <c r="O544" i="4"/>
  <c r="O551" i="4"/>
  <c r="O550" i="4"/>
  <c r="O549" i="4"/>
  <c r="O548" i="4"/>
  <c r="O547" i="4"/>
  <c r="O546" i="4"/>
  <c r="O545" i="4"/>
  <c r="O543" i="4"/>
  <c r="O542" i="4"/>
  <c r="O541" i="4"/>
  <c r="O540" i="4"/>
  <c r="O539" i="4"/>
  <c r="O538" i="4"/>
  <c r="O537" i="4"/>
  <c r="O531" i="4" l="1"/>
  <c r="O530" i="4"/>
  <c r="AK531" i="4"/>
  <c r="AI531" i="4"/>
  <c r="AG531" i="4"/>
  <c r="AE531" i="4"/>
  <c r="AD531" i="4"/>
  <c r="AC531" i="4"/>
  <c r="AB531" i="4"/>
  <c r="AA531" i="4"/>
  <c r="Z531" i="4"/>
  <c r="J531" i="4"/>
  <c r="H531" i="4"/>
  <c r="E531" i="4"/>
  <c r="O535" i="4"/>
  <c r="O534" i="4"/>
  <c r="O533" i="4"/>
  <c r="O532" i="4"/>
  <c r="O529" i="4"/>
  <c r="M1324" i="13"/>
  <c r="O1324" i="13" s="1"/>
  <c r="AK1324" i="13"/>
  <c r="AI1324" i="13"/>
  <c r="AG1324" i="13"/>
  <c r="AE1324" i="13"/>
  <c r="AD1324" i="13"/>
  <c r="AC1324" i="13"/>
  <c r="AB1324" i="13"/>
  <c r="AA1324" i="13"/>
  <c r="Z1324" i="13"/>
  <c r="L1324" i="13"/>
  <c r="K1324" i="13"/>
  <c r="J1324" i="13"/>
  <c r="H1324" i="13"/>
  <c r="AF1324" i="13" s="1"/>
  <c r="AK1323" i="13"/>
  <c r="AI1323" i="13"/>
  <c r="AG1323" i="13"/>
  <c r="AE1323" i="13"/>
  <c r="AD1323" i="13"/>
  <c r="AC1323" i="13"/>
  <c r="AB1323" i="13"/>
  <c r="AA1323" i="13"/>
  <c r="Z1323" i="13"/>
  <c r="O1323" i="13"/>
  <c r="L1323" i="13"/>
  <c r="K1323" i="13"/>
  <c r="J1323" i="13"/>
  <c r="H1323" i="13"/>
  <c r="AF1323" i="13" s="1"/>
  <c r="AK1322" i="13"/>
  <c r="AI1322" i="13"/>
  <c r="AG1322" i="13"/>
  <c r="AE1322" i="13"/>
  <c r="AD1322" i="13"/>
  <c r="AC1322" i="13"/>
  <c r="AB1322" i="13"/>
  <c r="AA1322" i="13"/>
  <c r="Z1322" i="13"/>
  <c r="O1322" i="13"/>
  <c r="L1322" i="13"/>
  <c r="K1322" i="13"/>
  <c r="J1322" i="13"/>
  <c r="H1322" i="13"/>
  <c r="AF1322" i="13" s="1"/>
  <c r="AK1321" i="13"/>
  <c r="AI1321" i="13"/>
  <c r="AG1321" i="13"/>
  <c r="AE1321" i="13"/>
  <c r="AD1321" i="13"/>
  <c r="AC1321" i="13"/>
  <c r="AB1321" i="13"/>
  <c r="AA1321" i="13"/>
  <c r="Z1321" i="13"/>
  <c r="O1321" i="13"/>
  <c r="L1321" i="13"/>
  <c r="K1321" i="13"/>
  <c r="J1321" i="13"/>
  <c r="H1321" i="13"/>
  <c r="AF1321" i="13" s="1"/>
  <c r="AK1320" i="13"/>
  <c r="AI1320" i="13"/>
  <c r="AG1320" i="13"/>
  <c r="AE1320" i="13"/>
  <c r="AD1320" i="13"/>
  <c r="AC1320" i="13"/>
  <c r="AB1320" i="13"/>
  <c r="AA1320" i="13"/>
  <c r="Z1320" i="13"/>
  <c r="O1320" i="13"/>
  <c r="L1320" i="13"/>
  <c r="K1320" i="13"/>
  <c r="J1320" i="13"/>
  <c r="H1320" i="13"/>
  <c r="AF1320" i="13" s="1"/>
  <c r="AK1319" i="13"/>
  <c r="AI1319" i="13"/>
  <c r="AG1319" i="13"/>
  <c r="AE1319" i="13"/>
  <c r="AD1319" i="13"/>
  <c r="AC1319" i="13"/>
  <c r="AB1319" i="13"/>
  <c r="AA1319" i="13"/>
  <c r="Z1319" i="13"/>
  <c r="O1319" i="13"/>
  <c r="L1319" i="13"/>
  <c r="K1319" i="13"/>
  <c r="J1319" i="13"/>
  <c r="H1319" i="13"/>
  <c r="AF1319" i="13" s="1"/>
  <c r="AK1318" i="13"/>
  <c r="AI1318" i="13"/>
  <c r="AG1318" i="13"/>
  <c r="AE1318" i="13"/>
  <c r="AD1318" i="13"/>
  <c r="AC1318" i="13"/>
  <c r="AB1318" i="13"/>
  <c r="AA1318" i="13"/>
  <c r="Z1318" i="13"/>
  <c r="O1318" i="13"/>
  <c r="L1318" i="13"/>
  <c r="K1318" i="13"/>
  <c r="J1318" i="13"/>
  <c r="H1318" i="13"/>
  <c r="AF1318" i="13" s="1"/>
  <c r="AK1317" i="13"/>
  <c r="AI1317" i="13"/>
  <c r="AG1317" i="13"/>
  <c r="AE1317" i="13"/>
  <c r="AD1317" i="13"/>
  <c r="AC1317" i="13"/>
  <c r="AB1317" i="13"/>
  <c r="AA1317" i="13"/>
  <c r="Z1317" i="13"/>
  <c r="O1317" i="13"/>
  <c r="K1317" i="13"/>
  <c r="J1317" i="13"/>
  <c r="H1317" i="13"/>
  <c r="AF1317" i="13" s="1"/>
  <c r="AK1316" i="13"/>
  <c r="AI1316" i="13"/>
  <c r="AG1316" i="13"/>
  <c r="AE1316" i="13"/>
  <c r="AD1316" i="13"/>
  <c r="AC1316" i="13"/>
  <c r="AB1316" i="13"/>
  <c r="AA1316" i="13"/>
  <c r="Z1316" i="13"/>
  <c r="O1316" i="13"/>
  <c r="K1316" i="13"/>
  <c r="J1316" i="13"/>
  <c r="H1316" i="13"/>
  <c r="AF1316" i="13" s="1"/>
  <c r="AK1315" i="13"/>
  <c r="AI1315" i="13"/>
  <c r="AG1315" i="13"/>
  <c r="AE1315" i="13"/>
  <c r="AD1315" i="13"/>
  <c r="AC1315" i="13"/>
  <c r="AB1315" i="13"/>
  <c r="AA1315" i="13"/>
  <c r="Z1315" i="13"/>
  <c r="O1315" i="13"/>
  <c r="K1315" i="13"/>
  <c r="J1315" i="13"/>
  <c r="H1315" i="13"/>
  <c r="AF1315" i="13" s="1"/>
  <c r="AK1314" i="13"/>
  <c r="AI1314" i="13"/>
  <c r="AG1314" i="13"/>
  <c r="AE1314" i="13"/>
  <c r="AD1314" i="13"/>
  <c r="AC1314" i="13"/>
  <c r="AB1314" i="13"/>
  <c r="AA1314" i="13"/>
  <c r="Z1314" i="13"/>
  <c r="O1314" i="13"/>
  <c r="K1314" i="13"/>
  <c r="J1314" i="13"/>
  <c r="H1314" i="13"/>
  <c r="AF1314" i="13" s="1"/>
  <c r="AK1313" i="13"/>
  <c r="AI1313" i="13"/>
  <c r="AG1313" i="13"/>
  <c r="AE1313" i="13"/>
  <c r="AD1313" i="13"/>
  <c r="AC1313" i="13"/>
  <c r="AB1313" i="13"/>
  <c r="AA1313" i="13"/>
  <c r="Z1313" i="13"/>
  <c r="O1313" i="13"/>
  <c r="K1313" i="13"/>
  <c r="J1313" i="13"/>
  <c r="H1313" i="13"/>
  <c r="AF1313" i="13" s="1"/>
  <c r="AM1312" i="13"/>
  <c r="AM1313" i="13" s="1"/>
  <c r="AM1314" i="13" s="1"/>
  <c r="AM1315" i="13" s="1"/>
  <c r="AM1316" i="13" s="1"/>
  <c r="AM1317" i="13" s="1"/>
  <c r="AM1318" i="13" s="1"/>
  <c r="AM1319" i="13" s="1"/>
  <c r="AM1320" i="13" s="1"/>
  <c r="AM1321" i="13" s="1"/>
  <c r="AM1322" i="13" s="1"/>
  <c r="AM1323" i="13" s="1"/>
  <c r="AM1324" i="13" s="1"/>
  <c r="AK1312" i="13"/>
  <c r="AI1312" i="13"/>
  <c r="AG1312" i="13"/>
  <c r="AE1312" i="13"/>
  <c r="AD1312" i="13"/>
  <c r="AC1312" i="13"/>
  <c r="AB1312" i="13"/>
  <c r="AA1312" i="13"/>
  <c r="Z1312" i="13"/>
  <c r="O1312" i="13"/>
  <c r="K1312" i="13"/>
  <c r="J1312" i="13"/>
  <c r="H1312" i="13"/>
  <c r="AF1312" i="13" s="1"/>
  <c r="O527" i="4"/>
  <c r="O526" i="4"/>
  <c r="O525" i="4"/>
  <c r="O524" i="4"/>
  <c r="O523" i="4"/>
  <c r="O522" i="4"/>
  <c r="O520" i="4"/>
  <c r="O519" i="4"/>
  <c r="O515" i="4"/>
  <c r="O514" i="4"/>
  <c r="O513" i="4"/>
  <c r="E547" i="4"/>
  <c r="Q547" i="4" s="1"/>
  <c r="H547" i="4"/>
  <c r="AF547" i="4" s="1"/>
  <c r="J547" i="4"/>
  <c r="Z547" i="4"/>
  <c r="AA547" i="4"/>
  <c r="AB547" i="4"/>
  <c r="AC547" i="4"/>
  <c r="AD547" i="4"/>
  <c r="AE547" i="4"/>
  <c r="AG547" i="4"/>
  <c r="AI547" i="4"/>
  <c r="AK547" i="4"/>
  <c r="E548" i="4"/>
  <c r="Q548" i="4" s="1"/>
  <c r="H548" i="4"/>
  <c r="AF548" i="4" s="1"/>
  <c r="J548" i="4"/>
  <c r="K548" i="4"/>
  <c r="Z548" i="4"/>
  <c r="AA548" i="4"/>
  <c r="AB548" i="4"/>
  <c r="AC548" i="4"/>
  <c r="AD548" i="4"/>
  <c r="AE548" i="4"/>
  <c r="AG548" i="4"/>
  <c r="AI548" i="4"/>
  <c r="AK548" i="4"/>
  <c r="E549" i="4"/>
  <c r="Q549" i="4" s="1"/>
  <c r="H549" i="4"/>
  <c r="J549" i="4"/>
  <c r="Z549" i="4"/>
  <c r="AA549" i="4"/>
  <c r="AB549" i="4"/>
  <c r="AC549" i="4"/>
  <c r="AD549" i="4"/>
  <c r="AE549" i="4"/>
  <c r="AF549" i="4"/>
  <c r="AG549" i="4"/>
  <c r="AI549" i="4"/>
  <c r="AK549" i="4"/>
  <c r="E550" i="4"/>
  <c r="Q550" i="4" s="1"/>
  <c r="H550" i="4"/>
  <c r="J550" i="4"/>
  <c r="Z550" i="4"/>
  <c r="AA550" i="4"/>
  <c r="AB550" i="4"/>
  <c r="AC550" i="4"/>
  <c r="AD550" i="4"/>
  <c r="AE550" i="4"/>
  <c r="AF550" i="4"/>
  <c r="AG550" i="4"/>
  <c r="AI550" i="4"/>
  <c r="AK550" i="4"/>
  <c r="E551" i="4"/>
  <c r="Q551" i="4" s="1"/>
  <c r="H551" i="4"/>
  <c r="J551" i="4"/>
  <c r="Z551" i="4"/>
  <c r="AA551" i="4"/>
  <c r="AB551" i="4"/>
  <c r="AC551" i="4"/>
  <c r="AD551" i="4"/>
  <c r="AE551" i="4"/>
  <c r="AF551" i="4"/>
  <c r="AG551" i="4"/>
  <c r="AI551" i="4"/>
  <c r="AK551" i="4"/>
  <c r="E552" i="4"/>
  <c r="Q552" i="4" s="1"/>
  <c r="H552" i="4"/>
  <c r="J552" i="4"/>
  <c r="Z552" i="4"/>
  <c r="AA552" i="4"/>
  <c r="AB552" i="4"/>
  <c r="AC552" i="4"/>
  <c r="AD552" i="4"/>
  <c r="AE552" i="4"/>
  <c r="AF552" i="4"/>
  <c r="AG552" i="4"/>
  <c r="AI552" i="4"/>
  <c r="AK552" i="4"/>
  <c r="E564" i="4"/>
  <c r="H564" i="4"/>
  <c r="AV564" i="4" s="1"/>
  <c r="J564" i="4"/>
  <c r="K564" i="4"/>
  <c r="Z564" i="4"/>
  <c r="AA564" i="4"/>
  <c r="AB564" i="4"/>
  <c r="AC564" i="4"/>
  <c r="AD564" i="4"/>
  <c r="AE564" i="4"/>
  <c r="AG564" i="4"/>
  <c r="AI564" i="4"/>
  <c r="AK564" i="4"/>
  <c r="E565" i="4"/>
  <c r="H565" i="4"/>
  <c r="AF565" i="4" s="1"/>
  <c r="J565" i="4"/>
  <c r="K565" i="4"/>
  <c r="Z565" i="4"/>
  <c r="AA565" i="4"/>
  <c r="AB565" i="4"/>
  <c r="AC565" i="4"/>
  <c r="AD565" i="4"/>
  <c r="AE565" i="4"/>
  <c r="AG565" i="4"/>
  <c r="AI565" i="4"/>
  <c r="AK565" i="4"/>
  <c r="E566" i="4"/>
  <c r="Q566" i="4" s="1"/>
  <c r="G787" i="1" s="1"/>
  <c r="H787" i="1" s="1"/>
  <c r="H566" i="4"/>
  <c r="AV566" i="4" s="1"/>
  <c r="J566" i="4"/>
  <c r="K566" i="4"/>
  <c r="L566" i="4"/>
  <c r="P566" i="4" s="1"/>
  <c r="Z566" i="4"/>
  <c r="AA566" i="4"/>
  <c r="AB566" i="4"/>
  <c r="AC566" i="4"/>
  <c r="AD566" i="4"/>
  <c r="AE566" i="4"/>
  <c r="AG566" i="4"/>
  <c r="AI566" i="4"/>
  <c r="AK566" i="4"/>
  <c r="E567" i="4"/>
  <c r="Q567" i="4" s="1"/>
  <c r="H567" i="4"/>
  <c r="AF567" i="4" s="1"/>
  <c r="J567" i="4"/>
  <c r="K567" i="4"/>
  <c r="Z567" i="4"/>
  <c r="AA567" i="4"/>
  <c r="AB567" i="4"/>
  <c r="AC567" i="4"/>
  <c r="AD567" i="4"/>
  <c r="AE567" i="4"/>
  <c r="AG567" i="4"/>
  <c r="AI567" i="4"/>
  <c r="AK567" i="4"/>
  <c r="E580" i="4"/>
  <c r="Q580" i="4" s="1"/>
  <c r="H580" i="4"/>
  <c r="AV580" i="4" s="1"/>
  <c r="J580" i="4"/>
  <c r="K580" i="4"/>
  <c r="Z580" i="4"/>
  <c r="AA580" i="4"/>
  <c r="AB580" i="4"/>
  <c r="AC580" i="4"/>
  <c r="AD580" i="4"/>
  <c r="AE580" i="4"/>
  <c r="AG580" i="4"/>
  <c r="AI580" i="4"/>
  <c r="AK580" i="4"/>
  <c r="AM580" i="4"/>
  <c r="AM581" i="4" s="1"/>
  <c r="AM582" i="4" s="1"/>
  <c r="E581" i="4"/>
  <c r="Q581" i="4" s="1"/>
  <c r="H581" i="4"/>
  <c r="AF581" i="4" s="1"/>
  <c r="J581" i="4"/>
  <c r="K581" i="4"/>
  <c r="Z581" i="4"/>
  <c r="AA581" i="4"/>
  <c r="AB581" i="4"/>
  <c r="AC581" i="4"/>
  <c r="AD581" i="4"/>
  <c r="AE581" i="4"/>
  <c r="AG581" i="4"/>
  <c r="AI581" i="4"/>
  <c r="AK581" i="4"/>
  <c r="E582" i="4"/>
  <c r="Q582" i="4" s="1"/>
  <c r="G792" i="1" s="1"/>
  <c r="H792" i="1" s="1"/>
  <c r="H582" i="4"/>
  <c r="AV582" i="4" s="1"/>
  <c r="J582" i="4"/>
  <c r="K582" i="4"/>
  <c r="L582" i="4"/>
  <c r="Z582" i="4"/>
  <c r="AA582" i="4"/>
  <c r="AB582" i="4"/>
  <c r="AC582" i="4"/>
  <c r="AD582" i="4"/>
  <c r="AE582" i="4"/>
  <c r="AG582" i="4"/>
  <c r="AI582" i="4"/>
  <c r="AK582" i="4"/>
  <c r="E584" i="4"/>
  <c r="Q584" i="4" s="1"/>
  <c r="H584" i="4"/>
  <c r="AH584" i="4" s="1"/>
  <c r="AN584" i="4" s="1"/>
  <c r="J584" i="4"/>
  <c r="K584" i="4"/>
  <c r="L584" i="4"/>
  <c r="P584" i="4" s="1"/>
  <c r="Z584" i="4"/>
  <c r="AA584" i="4"/>
  <c r="AB584" i="4"/>
  <c r="AC584" i="4"/>
  <c r="AD584" i="4"/>
  <c r="AE584" i="4"/>
  <c r="AG584" i="4"/>
  <c r="AI584" i="4"/>
  <c r="AK584" i="4"/>
  <c r="E585" i="4"/>
  <c r="Q585" i="4" s="1"/>
  <c r="H585" i="4"/>
  <c r="AV585" i="4" s="1"/>
  <c r="J585" i="4"/>
  <c r="K585" i="4"/>
  <c r="L585" i="4"/>
  <c r="Z585" i="4"/>
  <c r="AA585" i="4"/>
  <c r="AB585" i="4"/>
  <c r="AC585" i="4"/>
  <c r="AD585" i="4"/>
  <c r="AE585" i="4"/>
  <c r="AG585" i="4"/>
  <c r="AI585" i="4"/>
  <c r="AK585" i="4"/>
  <c r="E586" i="4"/>
  <c r="H586" i="4"/>
  <c r="AH586" i="4" s="1"/>
  <c r="AN586" i="4" s="1"/>
  <c r="J586" i="4"/>
  <c r="K586" i="4"/>
  <c r="L586" i="4"/>
  <c r="Z586" i="4"/>
  <c r="AA586" i="4"/>
  <c r="AB586" i="4"/>
  <c r="AC586" i="4"/>
  <c r="AD586" i="4"/>
  <c r="AE586" i="4"/>
  <c r="AG586" i="4"/>
  <c r="AI586" i="4"/>
  <c r="AK586" i="4"/>
  <c r="E587" i="4"/>
  <c r="H587" i="4"/>
  <c r="AV587" i="4" s="1"/>
  <c r="J587" i="4"/>
  <c r="K587" i="4"/>
  <c r="L587" i="4"/>
  <c r="O587" i="4"/>
  <c r="Z587" i="4"/>
  <c r="AA587" i="4"/>
  <c r="AB587" i="4"/>
  <c r="AC587" i="4"/>
  <c r="AD587" i="4"/>
  <c r="AE587" i="4"/>
  <c r="AG587" i="4"/>
  <c r="AI587" i="4"/>
  <c r="AK587" i="4"/>
  <c r="E603" i="4"/>
  <c r="Q603" i="4" s="1"/>
  <c r="H603" i="4"/>
  <c r="J603" i="4"/>
  <c r="K603" i="4"/>
  <c r="E604" i="4"/>
  <c r="Q604" i="4" s="1"/>
  <c r="H604" i="4"/>
  <c r="AF604" i="4" s="1"/>
  <c r="J604" i="4"/>
  <c r="E605" i="4"/>
  <c r="Q605" i="4" s="1"/>
  <c r="H605" i="4"/>
  <c r="AF605" i="4" s="1"/>
  <c r="J605" i="4"/>
  <c r="E606" i="4"/>
  <c r="Q606" i="4" s="1"/>
  <c r="H606" i="4"/>
  <c r="J606" i="4"/>
  <c r="K606" i="4"/>
  <c r="E607" i="4"/>
  <c r="Q607" i="4" s="1"/>
  <c r="H607" i="4"/>
  <c r="AF607" i="4" s="1"/>
  <c r="J607" i="4"/>
  <c r="E608" i="4"/>
  <c r="Q608" i="4" s="1"/>
  <c r="H608" i="4"/>
  <c r="AF608" i="4" s="1"/>
  <c r="J608" i="4"/>
  <c r="E609" i="4"/>
  <c r="Q609" i="4" s="1"/>
  <c r="H609" i="4"/>
  <c r="AF609" i="4" s="1"/>
  <c r="J609" i="4"/>
  <c r="E610" i="4"/>
  <c r="Q610" i="4" s="1"/>
  <c r="H610" i="4"/>
  <c r="AF610" i="4" s="1"/>
  <c r="J610" i="4"/>
  <c r="E611" i="4"/>
  <c r="Q611" i="4" s="1"/>
  <c r="H611" i="4"/>
  <c r="J611" i="4"/>
  <c r="K611" i="4"/>
  <c r="E612" i="4"/>
  <c r="Q612" i="4" s="1"/>
  <c r="H612" i="4"/>
  <c r="J612" i="4"/>
  <c r="K612" i="4"/>
  <c r="E613" i="4"/>
  <c r="Q613" i="4" s="1"/>
  <c r="H613" i="4"/>
  <c r="J613" i="4"/>
  <c r="K613" i="4"/>
  <c r="E617" i="4"/>
  <c r="Q617" i="4" s="1"/>
  <c r="H617" i="4"/>
  <c r="J617" i="4"/>
  <c r="K617" i="4"/>
  <c r="E618" i="4"/>
  <c r="Q618" i="4" s="1"/>
  <c r="H618" i="4"/>
  <c r="J618" i="4"/>
  <c r="K618" i="4"/>
  <c r="E619" i="4"/>
  <c r="Q619" i="4" s="1"/>
  <c r="H619" i="4"/>
  <c r="J619" i="4"/>
  <c r="K619" i="4"/>
  <c r="E620" i="4"/>
  <c r="Q620" i="4" s="1"/>
  <c r="H620" i="4"/>
  <c r="J620" i="4"/>
  <c r="K620" i="4"/>
  <c r="E621" i="4"/>
  <c r="Q621" i="4" s="1"/>
  <c r="H621" i="4"/>
  <c r="J621" i="4"/>
  <c r="K621" i="4"/>
  <c r="E622" i="4"/>
  <c r="Q622" i="4" s="1"/>
  <c r="H622" i="4"/>
  <c r="J622" i="4"/>
  <c r="K622" i="4"/>
  <c r="E623" i="4"/>
  <c r="Q623" i="4" s="1"/>
  <c r="H623" i="4"/>
  <c r="J623" i="4"/>
  <c r="K623" i="4"/>
  <c r="E624" i="4"/>
  <c r="Q624" i="4" s="1"/>
  <c r="H624" i="4"/>
  <c r="J624" i="4"/>
  <c r="K624" i="4"/>
  <c r="E625" i="4"/>
  <c r="Q625" i="4" s="1"/>
  <c r="H625" i="4"/>
  <c r="J625" i="4"/>
  <c r="K625" i="4"/>
  <c r="E626" i="4"/>
  <c r="H626" i="4"/>
  <c r="J626" i="4"/>
  <c r="K626" i="4"/>
  <c r="L626" i="4"/>
  <c r="E630" i="4"/>
  <c r="Q630" i="4" s="1"/>
  <c r="H630" i="4"/>
  <c r="J630" i="4"/>
  <c r="K630" i="4"/>
  <c r="E631" i="4"/>
  <c r="Q631" i="4" s="1"/>
  <c r="H631" i="4"/>
  <c r="J631" i="4"/>
  <c r="K631" i="4"/>
  <c r="E632" i="4"/>
  <c r="Q632" i="4" s="1"/>
  <c r="H632" i="4"/>
  <c r="J632" i="4"/>
  <c r="K632" i="4"/>
  <c r="E636" i="4"/>
  <c r="Q636" i="4" s="1"/>
  <c r="G799" i="1" s="1"/>
  <c r="H799" i="1" s="1"/>
  <c r="H636" i="4"/>
  <c r="J636" i="4"/>
  <c r="K636" i="4"/>
  <c r="L636" i="4"/>
  <c r="P636" i="4" s="1"/>
  <c r="E643" i="4"/>
  <c r="H643" i="4"/>
  <c r="J643" i="4"/>
  <c r="K643" i="4"/>
  <c r="E644" i="4"/>
  <c r="H644" i="4"/>
  <c r="J644" i="4"/>
  <c r="K644" i="4"/>
  <c r="E645" i="4"/>
  <c r="Q645" i="4" s="1"/>
  <c r="H645" i="4"/>
  <c r="J645" i="4"/>
  <c r="K645" i="4"/>
  <c r="E647" i="4"/>
  <c r="H647" i="4"/>
  <c r="J647" i="4"/>
  <c r="K647" i="4"/>
  <c r="E648" i="4"/>
  <c r="H648" i="4"/>
  <c r="J648" i="4"/>
  <c r="K648" i="4"/>
  <c r="E649" i="4"/>
  <c r="Q649" i="4" s="1"/>
  <c r="H649" i="4"/>
  <c r="J649" i="4"/>
  <c r="K649" i="4"/>
  <c r="L649" i="4"/>
  <c r="P649" i="4" s="1"/>
  <c r="E650" i="4"/>
  <c r="Q650" i="4" s="1"/>
  <c r="H650" i="4"/>
  <c r="J650" i="4"/>
  <c r="K650" i="4"/>
  <c r="L650" i="4"/>
  <c r="P650" i="4" s="1"/>
  <c r="E651" i="4"/>
  <c r="H651" i="4"/>
  <c r="J651" i="4"/>
  <c r="K651" i="4"/>
  <c r="L651" i="4"/>
  <c r="E652" i="4"/>
  <c r="H652" i="4"/>
  <c r="J652" i="4"/>
  <c r="K652" i="4"/>
  <c r="L652" i="4"/>
  <c r="O652" i="4"/>
  <c r="E653" i="4"/>
  <c r="H653" i="4"/>
  <c r="J653" i="4"/>
  <c r="K653" i="4"/>
  <c r="L653" i="4"/>
  <c r="O653" i="4"/>
  <c r="O512" i="4"/>
  <c r="O511" i="4"/>
  <c r="O504" i="4"/>
  <c r="O505" i="4"/>
  <c r="O506" i="4"/>
  <c r="J503" i="4"/>
  <c r="K502" i="4"/>
  <c r="J502" i="4"/>
  <c r="K501" i="4"/>
  <c r="J501" i="4"/>
  <c r="K257" i="4"/>
  <c r="J257" i="4"/>
  <c r="K256" i="4"/>
  <c r="J256" i="4"/>
  <c r="K255" i="4"/>
  <c r="J255" i="4"/>
  <c r="K254" i="4"/>
  <c r="J254" i="4"/>
  <c r="E503" i="4"/>
  <c r="Q503" i="4" s="1"/>
  <c r="E502" i="4"/>
  <c r="E501" i="4"/>
  <c r="E257" i="4"/>
  <c r="E256" i="4"/>
  <c r="E255" i="4"/>
  <c r="E254" i="4"/>
  <c r="O501" i="4"/>
  <c r="M502" i="4"/>
  <c r="AK503" i="4"/>
  <c r="AI503" i="4"/>
  <c r="AG503" i="4"/>
  <c r="AE503" i="4"/>
  <c r="AD503" i="4"/>
  <c r="AC503" i="4"/>
  <c r="AB503" i="4"/>
  <c r="AA503" i="4"/>
  <c r="Z503" i="4"/>
  <c r="H503" i="4"/>
  <c r="AK502" i="4"/>
  <c r="AI502" i="4"/>
  <c r="AG502" i="4"/>
  <c r="AE502" i="4"/>
  <c r="AD502" i="4"/>
  <c r="AC502" i="4"/>
  <c r="AB502" i="4"/>
  <c r="AA502" i="4"/>
  <c r="Z502" i="4"/>
  <c r="O502" i="4"/>
  <c r="H502" i="4"/>
  <c r="AM501" i="4"/>
  <c r="AM502" i="4" s="1"/>
  <c r="AM503" i="4" s="1"/>
  <c r="AK501" i="4"/>
  <c r="AI501" i="4"/>
  <c r="AG501" i="4"/>
  <c r="AE501" i="4"/>
  <c r="AD501" i="4"/>
  <c r="AC501" i="4"/>
  <c r="AB501" i="4"/>
  <c r="AA501" i="4"/>
  <c r="Z501" i="4"/>
  <c r="H501" i="4"/>
  <c r="AH501" i="4" s="1"/>
  <c r="AN501" i="4" s="1"/>
  <c r="G801" i="1" l="1"/>
  <c r="H801" i="1" s="1"/>
  <c r="G790" i="1"/>
  <c r="H790" i="1" s="1"/>
  <c r="G794" i="1"/>
  <c r="H794" i="1" s="1"/>
  <c r="AM584" i="4"/>
  <c r="AM585" i="4" s="1"/>
  <c r="AM586" i="4" s="1"/>
  <c r="AM587" i="4" s="1"/>
  <c r="AM583" i="4"/>
  <c r="Q531" i="4"/>
  <c r="AH565" i="4"/>
  <c r="AN565" i="4" s="1"/>
  <c r="Q501" i="4"/>
  <c r="P1319" i="13"/>
  <c r="AF585" i="4"/>
  <c r="AV584" i="4"/>
  <c r="AF584" i="4"/>
  <c r="AH582" i="4"/>
  <c r="AN582" i="4" s="1"/>
  <c r="P653" i="4"/>
  <c r="Q653" i="4"/>
  <c r="G800" i="1" s="1"/>
  <c r="H800" i="1" s="1"/>
  <c r="P652" i="4"/>
  <c r="Q652" i="4"/>
  <c r="R652" i="4" s="1"/>
  <c r="AV586" i="4"/>
  <c r="AF586" i="4"/>
  <c r="AF582" i="4"/>
  <c r="AV581" i="4"/>
  <c r="AH581" i="4"/>
  <c r="AN581" i="4" s="1"/>
  <c r="AF566" i="4"/>
  <c r="AV501" i="4"/>
  <c r="AF580" i="4"/>
  <c r="AF587" i="4"/>
  <c r="AH606" i="4"/>
  <c r="AN606" i="4" s="1"/>
  <c r="AV606" i="4"/>
  <c r="AF606" i="4"/>
  <c r="AF603" i="4"/>
  <c r="AV603" i="4"/>
  <c r="AH603" i="4"/>
  <c r="AN603" i="4" s="1"/>
  <c r="Q647" i="4"/>
  <c r="Q648" i="4"/>
  <c r="P651" i="4"/>
  <c r="Q651" i="4"/>
  <c r="R651" i="4" s="1"/>
  <c r="R650" i="4"/>
  <c r="AV653" i="4"/>
  <c r="AF653" i="4"/>
  <c r="AH653" i="4"/>
  <c r="AN653" i="4" s="1"/>
  <c r="AV652" i="4"/>
  <c r="AH652" i="4"/>
  <c r="AN652" i="4" s="1"/>
  <c r="AF652" i="4"/>
  <c r="AV651" i="4"/>
  <c r="AH651" i="4"/>
  <c r="AN651" i="4" s="1"/>
  <c r="AF651" i="4"/>
  <c r="AV650" i="4"/>
  <c r="AF650" i="4"/>
  <c r="AH650" i="4"/>
  <c r="AN650" i="4" s="1"/>
  <c r="R649" i="4"/>
  <c r="AH649" i="4"/>
  <c r="AN649" i="4" s="1"/>
  <c r="AV649" i="4"/>
  <c r="AF649" i="4"/>
  <c r="E1339" i="13"/>
  <c r="Q1339" i="13" s="1"/>
  <c r="G546" i="1" s="1"/>
  <c r="H546" i="1" s="1"/>
  <c r="E1340" i="13"/>
  <c r="Q1340" i="13" s="1"/>
  <c r="E1338" i="13"/>
  <c r="Q1338" i="13" s="1"/>
  <c r="R1338" i="13" s="1"/>
  <c r="Q644" i="4"/>
  <c r="Q643" i="4"/>
  <c r="AV648" i="4"/>
  <c r="AF648" i="4"/>
  <c r="AH648" i="4"/>
  <c r="AN648" i="4" s="1"/>
  <c r="AV647" i="4"/>
  <c r="AF647" i="4"/>
  <c r="AH647" i="4"/>
  <c r="AN647" i="4" s="1"/>
  <c r="AF645" i="4"/>
  <c r="AH645" i="4"/>
  <c r="AV644" i="4"/>
  <c r="AF644" i="4"/>
  <c r="AH644" i="4"/>
  <c r="AN644" i="4" s="1"/>
  <c r="AV643" i="4"/>
  <c r="AF643" i="4"/>
  <c r="AH643" i="4"/>
  <c r="AN643" i="4" s="1"/>
  <c r="AH636" i="4"/>
  <c r="AN636" i="4" s="1"/>
  <c r="AV636" i="4"/>
  <c r="AF636" i="4"/>
  <c r="R636" i="4"/>
  <c r="AV632" i="4"/>
  <c r="AF632" i="4"/>
  <c r="AH632" i="4"/>
  <c r="AN632" i="4" s="1"/>
  <c r="AV631" i="4"/>
  <c r="AF631" i="4"/>
  <c r="AH631" i="4"/>
  <c r="AN631" i="4" s="1"/>
  <c r="AF630" i="4"/>
  <c r="P626" i="4"/>
  <c r="Q626" i="4"/>
  <c r="AH626" i="4"/>
  <c r="AN626" i="4" s="1"/>
  <c r="AV626" i="4"/>
  <c r="AF626" i="4"/>
  <c r="AH625" i="4"/>
  <c r="AN625" i="4" s="1"/>
  <c r="AV625" i="4"/>
  <c r="AF625" i="4"/>
  <c r="AH624" i="4"/>
  <c r="AN624" i="4" s="1"/>
  <c r="AV624" i="4"/>
  <c r="AF624" i="4"/>
  <c r="AH623" i="4"/>
  <c r="AN623" i="4" s="1"/>
  <c r="AV623" i="4"/>
  <c r="AF623" i="4"/>
  <c r="E1330" i="13"/>
  <c r="Q1330" i="13" s="1"/>
  <c r="E1337" i="13"/>
  <c r="Q1337" i="13" s="1"/>
  <c r="E1335" i="13"/>
  <c r="Q1335" i="13" s="1"/>
  <c r="R1335" i="13" s="1"/>
  <c r="E1336" i="13"/>
  <c r="Q1336" i="13" s="1"/>
  <c r="AH622" i="4"/>
  <c r="AN622" i="4" s="1"/>
  <c r="AV622" i="4"/>
  <c r="AF622" i="4"/>
  <c r="AH621" i="4"/>
  <c r="AN621" i="4" s="1"/>
  <c r="AF621" i="4"/>
  <c r="AV621" i="4"/>
  <c r="AF620" i="4"/>
  <c r="AV619" i="4"/>
  <c r="AF619" i="4"/>
  <c r="AH619" i="4"/>
  <c r="AN619" i="4" s="1"/>
  <c r="AV618" i="4"/>
  <c r="AF618" i="4"/>
  <c r="AH618" i="4"/>
  <c r="AN618" i="4" s="1"/>
  <c r="AF617" i="4"/>
  <c r="AL1317" i="13"/>
  <c r="AV613" i="4"/>
  <c r="AF613" i="4"/>
  <c r="AH613" i="4"/>
  <c r="AN613" i="4" s="1"/>
  <c r="AV612" i="4"/>
  <c r="AF612" i="4"/>
  <c r="AH612" i="4"/>
  <c r="AN612" i="4" s="1"/>
  <c r="AL582" i="4"/>
  <c r="AL581" i="4"/>
  <c r="AF611" i="4"/>
  <c r="AL585" i="4"/>
  <c r="AL586" i="4"/>
  <c r="AL587" i="4"/>
  <c r="AL584" i="4"/>
  <c r="AL580" i="4"/>
  <c r="P587" i="4"/>
  <c r="Q587" i="4"/>
  <c r="G797" i="1" s="1"/>
  <c r="H797" i="1" s="1"/>
  <c r="P586" i="4"/>
  <c r="Q586" i="4"/>
  <c r="G796" i="1" s="1"/>
  <c r="H796" i="1" s="1"/>
  <c r="P585" i="4"/>
  <c r="R582" i="4"/>
  <c r="P582" i="4"/>
  <c r="R585" i="4"/>
  <c r="R584" i="4"/>
  <c r="AH585" i="4"/>
  <c r="AN585" i="4" s="1"/>
  <c r="AH587" i="4"/>
  <c r="AN587" i="4" s="1"/>
  <c r="AH580" i="4"/>
  <c r="AN580" i="4" s="1"/>
  <c r="AL565" i="4"/>
  <c r="AL566" i="4"/>
  <c r="Q565" i="4"/>
  <c r="Q564" i="4"/>
  <c r="AH566" i="4"/>
  <c r="AN566" i="4" s="1"/>
  <c r="AV565" i="4"/>
  <c r="AL567" i="4"/>
  <c r="AL552" i="4"/>
  <c r="AL548" i="4"/>
  <c r="R566" i="4"/>
  <c r="AF564" i="4"/>
  <c r="AL564" i="4"/>
  <c r="AL549" i="4"/>
  <c r="AL547" i="4"/>
  <c r="AL551" i="4"/>
  <c r="AL550" i="4"/>
  <c r="AV548" i="4"/>
  <c r="AH548" i="4"/>
  <c r="AN548" i="4" s="1"/>
  <c r="AH564" i="4"/>
  <c r="AN564" i="4" s="1"/>
  <c r="AH1315" i="13"/>
  <c r="AN1315" i="13" s="1"/>
  <c r="P1322" i="13"/>
  <c r="AL531" i="4"/>
  <c r="AL1313" i="13"/>
  <c r="AH1319" i="13"/>
  <c r="AN1319" i="13" s="1"/>
  <c r="AH1322" i="13"/>
  <c r="AN1322" i="13" s="1"/>
  <c r="AH1320" i="13"/>
  <c r="AN1320" i="13" s="1"/>
  <c r="AH1316" i="13"/>
  <c r="AN1316" i="13" s="1"/>
  <c r="P1318" i="13"/>
  <c r="P1321" i="13"/>
  <c r="P1320" i="13"/>
  <c r="P1323" i="13"/>
  <c r="AF531" i="4"/>
  <c r="P1324" i="13"/>
  <c r="AH1313" i="13"/>
  <c r="AN1313" i="13" s="1"/>
  <c r="AH1317" i="13"/>
  <c r="AN1317" i="13" s="1"/>
  <c r="AL1318" i="13"/>
  <c r="AL1321" i="13"/>
  <c r="AL1323" i="13"/>
  <c r="AH1314" i="13"/>
  <c r="AN1314" i="13" s="1"/>
  <c r="AH1318" i="13"/>
  <c r="AN1318" i="13" s="1"/>
  <c r="AH1321" i="13"/>
  <c r="AN1321" i="13" s="1"/>
  <c r="AH1323" i="13"/>
  <c r="AN1323" i="13" s="1"/>
  <c r="AH1324" i="13"/>
  <c r="AN1324" i="13" s="1"/>
  <c r="AL1312" i="13"/>
  <c r="AL1314" i="13"/>
  <c r="AH1312" i="13"/>
  <c r="AN1312" i="13" s="1"/>
  <c r="AL1315" i="13"/>
  <c r="AL1319" i="13"/>
  <c r="AL1316" i="13"/>
  <c r="AL1320" i="13"/>
  <c r="AL1322" i="13"/>
  <c r="AL1324" i="13"/>
  <c r="AL502" i="4"/>
  <c r="AF503" i="4"/>
  <c r="AL501" i="4"/>
  <c r="Q502" i="4"/>
  <c r="AL503" i="4"/>
  <c r="AF502" i="4"/>
  <c r="AF501" i="4"/>
  <c r="R1330" i="13" l="1"/>
  <c r="G798" i="1"/>
  <c r="H798" i="1" s="1"/>
  <c r="R626" i="4"/>
  <c r="G434" i="1"/>
  <c r="H434" i="1" s="1"/>
  <c r="G795" i="1"/>
  <c r="H795" i="1" s="1"/>
  <c r="R653" i="4"/>
  <c r="R1339" i="13"/>
  <c r="R586" i="4"/>
  <c r="R587" i="4"/>
  <c r="O500" i="4"/>
  <c r="O499" i="4"/>
  <c r="O498" i="4"/>
  <c r="O497" i="4"/>
  <c r="O495" i="4"/>
  <c r="O494" i="4"/>
  <c r="F1001" i="1"/>
  <c r="AK257" i="4"/>
  <c r="AI257" i="4"/>
  <c r="AG257" i="4"/>
  <c r="AE257" i="4"/>
  <c r="AD257" i="4"/>
  <c r="AC257" i="4"/>
  <c r="AB257" i="4"/>
  <c r="AA257" i="4"/>
  <c r="Z257" i="4"/>
  <c r="O257" i="4"/>
  <c r="H257" i="4"/>
  <c r="AM256" i="4"/>
  <c r="AM257" i="4" s="1"/>
  <c r="AK256" i="4"/>
  <c r="AI256" i="4"/>
  <c r="AG256" i="4"/>
  <c r="AE256" i="4"/>
  <c r="AD256" i="4"/>
  <c r="AC256" i="4"/>
  <c r="AB256" i="4"/>
  <c r="AA256" i="4"/>
  <c r="Z256" i="4"/>
  <c r="O256" i="4"/>
  <c r="Q256" i="4" s="1"/>
  <c r="H256" i="4"/>
  <c r="AK255" i="4"/>
  <c r="AI255" i="4"/>
  <c r="AG255" i="4"/>
  <c r="AE255" i="4"/>
  <c r="AD255" i="4"/>
  <c r="AC255" i="4"/>
  <c r="AB255" i="4"/>
  <c r="AA255" i="4"/>
  <c r="Z255" i="4"/>
  <c r="O255" i="4"/>
  <c r="H255" i="4"/>
  <c r="AM254" i="4"/>
  <c r="AM255" i="4" s="1"/>
  <c r="AK254" i="4"/>
  <c r="AI254" i="4"/>
  <c r="AG254" i="4"/>
  <c r="AE254" i="4"/>
  <c r="AD254" i="4"/>
  <c r="AC254" i="4"/>
  <c r="AB254" i="4"/>
  <c r="AA254" i="4"/>
  <c r="Z254" i="4"/>
  <c r="O254" i="4"/>
  <c r="Q254" i="4" s="1"/>
  <c r="H254" i="4"/>
  <c r="Q255" i="4" l="1"/>
  <c r="Q257" i="4"/>
  <c r="O493" i="4"/>
  <c r="AL254" i="4"/>
  <c r="AL257" i="4"/>
  <c r="AL255" i="4"/>
  <c r="AL256" i="4"/>
  <c r="AF255" i="4"/>
  <c r="AF257" i="4"/>
  <c r="AF254" i="4"/>
  <c r="AF256" i="4"/>
  <c r="J546" i="4" l="1"/>
  <c r="K545" i="4"/>
  <c r="J545" i="4"/>
  <c r="J544" i="4"/>
  <c r="J543" i="4"/>
  <c r="J542" i="4"/>
  <c r="J541" i="4"/>
  <c r="K540" i="4"/>
  <c r="J540" i="4"/>
  <c r="J539" i="4"/>
  <c r="J538" i="4"/>
  <c r="K537" i="4"/>
  <c r="J537" i="4"/>
  <c r="J536" i="4"/>
  <c r="J535" i="4"/>
  <c r="J534" i="4"/>
  <c r="J533" i="4"/>
  <c r="K532" i="4"/>
  <c r="J532" i="4"/>
  <c r="J530" i="4"/>
  <c r="K529" i="4"/>
  <c r="J529" i="4"/>
  <c r="K528" i="4"/>
  <c r="J528" i="4"/>
  <c r="J527" i="4"/>
  <c r="J526" i="4"/>
  <c r="J525" i="4"/>
  <c r="K524" i="4"/>
  <c r="J524" i="4"/>
  <c r="J523" i="4"/>
  <c r="K522" i="4"/>
  <c r="J522" i="4"/>
  <c r="J521" i="4"/>
  <c r="J520" i="4"/>
  <c r="J519" i="4"/>
  <c r="K518" i="4"/>
  <c r="J518" i="4"/>
  <c r="J517" i="4"/>
  <c r="J514" i="4"/>
  <c r="K513" i="4"/>
  <c r="J513" i="4"/>
  <c r="L512" i="4"/>
  <c r="K512" i="4"/>
  <c r="J512" i="4"/>
  <c r="L511" i="4"/>
  <c r="K511" i="4"/>
  <c r="J511" i="4"/>
  <c r="K506" i="4"/>
  <c r="J506" i="4"/>
  <c r="K505" i="4"/>
  <c r="J505" i="4"/>
  <c r="K504" i="4"/>
  <c r="J504" i="4"/>
  <c r="K500" i="4"/>
  <c r="J500" i="4"/>
  <c r="K499" i="4"/>
  <c r="J499" i="4"/>
  <c r="L498" i="4"/>
  <c r="P498" i="4" s="1"/>
  <c r="K498" i="4"/>
  <c r="J498" i="4"/>
  <c r="L497" i="4"/>
  <c r="K497" i="4"/>
  <c r="J497" i="4"/>
  <c r="K496" i="4"/>
  <c r="J496" i="4"/>
  <c r="L495" i="4"/>
  <c r="P495" i="4" s="1"/>
  <c r="K495" i="4"/>
  <c r="J495" i="4"/>
  <c r="L494" i="4"/>
  <c r="P494" i="4" s="1"/>
  <c r="K494" i="4"/>
  <c r="J494" i="4"/>
  <c r="L493" i="4"/>
  <c r="P493" i="4" s="1"/>
  <c r="K493" i="4"/>
  <c r="J493" i="4"/>
  <c r="L491" i="4"/>
  <c r="P491" i="4" s="1"/>
  <c r="F492" i="4" s="1"/>
  <c r="K491" i="4"/>
  <c r="J491" i="4"/>
  <c r="K490" i="4"/>
  <c r="J490" i="4"/>
  <c r="K489" i="4"/>
  <c r="J489" i="4"/>
  <c r="K487" i="4"/>
  <c r="J487" i="4"/>
  <c r="K486" i="4"/>
  <c r="J482" i="4"/>
  <c r="K481" i="4"/>
  <c r="J481" i="4"/>
  <c r="K480" i="4"/>
  <c r="J480" i="4"/>
  <c r="L479" i="4"/>
  <c r="K479" i="4"/>
  <c r="J479" i="4"/>
  <c r="J478" i="4"/>
  <c r="L477" i="4"/>
  <c r="K477" i="4"/>
  <c r="J477" i="4"/>
  <c r="L476" i="4"/>
  <c r="K476" i="4"/>
  <c r="J476" i="4"/>
  <c r="K475" i="4"/>
  <c r="J475" i="4"/>
  <c r="K474" i="4"/>
  <c r="J474" i="4"/>
  <c r="K473" i="4"/>
  <c r="J473" i="4"/>
  <c r="K472" i="4"/>
  <c r="J472" i="4"/>
  <c r="K471" i="4"/>
  <c r="J471" i="4"/>
  <c r="K470" i="4"/>
  <c r="J470" i="4"/>
  <c r="K469" i="4"/>
  <c r="J469" i="4"/>
  <c r="K468" i="4"/>
  <c r="J468" i="4"/>
  <c r="K467" i="4"/>
  <c r="J467" i="4"/>
  <c r="K451" i="4"/>
  <c r="J451" i="4"/>
  <c r="L455" i="4"/>
  <c r="K455" i="4"/>
  <c r="J455" i="4"/>
  <c r="K453" i="4"/>
  <c r="L452" i="4"/>
  <c r="K452" i="4"/>
  <c r="K448" i="4"/>
  <c r="J448" i="4"/>
  <c r="K447" i="4"/>
  <c r="J447" i="4"/>
  <c r="L446" i="4"/>
  <c r="K446" i="4"/>
  <c r="J446" i="4"/>
  <c r="L445" i="4"/>
  <c r="K445" i="4"/>
  <c r="J445" i="4"/>
  <c r="K444" i="4"/>
  <c r="J444" i="4"/>
  <c r="L443" i="4"/>
  <c r="K443" i="4"/>
  <c r="J443" i="4"/>
  <c r="L442" i="4"/>
  <c r="K442" i="4"/>
  <c r="J442" i="4"/>
  <c r="K441" i="4"/>
  <c r="J441" i="4"/>
  <c r="K440" i="4"/>
  <c r="J440" i="4"/>
  <c r="L439" i="4"/>
  <c r="K439" i="4"/>
  <c r="J439" i="4"/>
  <c r="K438" i="4"/>
  <c r="J438" i="4"/>
  <c r="K437" i="4"/>
  <c r="J437" i="4"/>
  <c r="L436" i="4"/>
  <c r="K436" i="4"/>
  <c r="J436" i="4"/>
  <c r="K435" i="4"/>
  <c r="J435" i="4"/>
  <c r="K434" i="4"/>
  <c r="J434" i="4"/>
  <c r="K433" i="4"/>
  <c r="J433" i="4"/>
  <c r="K432" i="4"/>
  <c r="J432" i="4"/>
  <c r="K431" i="4"/>
  <c r="J431" i="4"/>
  <c r="L430" i="4"/>
  <c r="K430" i="4"/>
  <c r="J430" i="4"/>
  <c r="L429" i="4"/>
  <c r="K429" i="4"/>
  <c r="J429" i="4"/>
  <c r="L428" i="4"/>
  <c r="K428" i="4"/>
  <c r="J428" i="4"/>
  <c r="K427" i="4"/>
  <c r="J427" i="4"/>
  <c r="K426" i="4"/>
  <c r="J426" i="4"/>
  <c r="K425" i="4"/>
  <c r="J425" i="4"/>
  <c r="K424" i="4"/>
  <c r="J424" i="4"/>
  <c r="K423" i="4"/>
  <c r="J423" i="4"/>
  <c r="K422" i="4"/>
  <c r="J422" i="4"/>
  <c r="K421" i="4"/>
  <c r="J421" i="4"/>
  <c r="K420" i="4"/>
  <c r="J420" i="4"/>
  <c r="K419" i="4"/>
  <c r="J419" i="4"/>
  <c r="K417" i="4"/>
  <c r="J417" i="4"/>
  <c r="L416" i="4"/>
  <c r="K416" i="4"/>
  <c r="J416" i="4"/>
  <c r="K415" i="4"/>
  <c r="J415" i="4"/>
  <c r="L414" i="4"/>
  <c r="K414" i="4"/>
  <c r="J414" i="4"/>
  <c r="L413" i="4"/>
  <c r="K413" i="4"/>
  <c r="J413" i="4"/>
  <c r="L412" i="4"/>
  <c r="K412" i="4"/>
  <c r="J412" i="4"/>
  <c r="K411" i="4"/>
  <c r="J411" i="4"/>
  <c r="L410" i="4"/>
  <c r="K410" i="4"/>
  <c r="J410" i="4"/>
  <c r="L409" i="4"/>
  <c r="K409" i="4"/>
  <c r="J409" i="4"/>
  <c r="K408" i="4"/>
  <c r="J408" i="4"/>
  <c r="J407" i="4"/>
  <c r="L406" i="4"/>
  <c r="K406" i="4"/>
  <c r="J406" i="4"/>
  <c r="L405" i="4"/>
  <c r="K405" i="4"/>
  <c r="J405" i="4"/>
  <c r="L404" i="4"/>
  <c r="K404" i="4"/>
  <c r="J404" i="4"/>
  <c r="L403" i="4"/>
  <c r="K403" i="4"/>
  <c r="J403" i="4"/>
  <c r="L402" i="4"/>
  <c r="K402" i="4"/>
  <c r="J402" i="4"/>
  <c r="L401" i="4"/>
  <c r="K401" i="4"/>
  <c r="J401" i="4"/>
  <c r="L400" i="4"/>
  <c r="K400" i="4"/>
  <c r="J400" i="4"/>
  <c r="K399" i="4"/>
  <c r="J399" i="4"/>
  <c r="K398" i="4"/>
  <c r="J398" i="4"/>
  <c r="L397" i="4"/>
  <c r="K397" i="4"/>
  <c r="J397" i="4"/>
  <c r="K396" i="4"/>
  <c r="J396" i="4"/>
  <c r="K395" i="4"/>
  <c r="J395" i="4"/>
  <c r="K394" i="4"/>
  <c r="J394" i="4"/>
  <c r="K393" i="4"/>
  <c r="J393" i="4"/>
  <c r="K392" i="4"/>
  <c r="J392" i="4"/>
  <c r="K391" i="4"/>
  <c r="J391" i="4"/>
  <c r="K390" i="4"/>
  <c r="J390" i="4"/>
  <c r="K389" i="4"/>
  <c r="J389" i="4"/>
  <c r="K388" i="4"/>
  <c r="J388" i="4"/>
  <c r="J387" i="4"/>
  <c r="K386" i="4"/>
  <c r="J386" i="4"/>
  <c r="J385" i="4"/>
  <c r="J384" i="4"/>
  <c r="K383" i="4"/>
  <c r="J383" i="4"/>
  <c r="J382" i="4"/>
  <c r="K381" i="4"/>
  <c r="J381" i="4"/>
  <c r="K380" i="4"/>
  <c r="J380" i="4"/>
  <c r="K379" i="4"/>
  <c r="J379" i="4"/>
  <c r="K378" i="4"/>
  <c r="J378" i="4"/>
  <c r="L377" i="4"/>
  <c r="K377" i="4"/>
  <c r="J377" i="4"/>
  <c r="L376" i="4"/>
  <c r="K376" i="4"/>
  <c r="J376" i="4"/>
  <c r="J375" i="4"/>
  <c r="J374" i="4"/>
  <c r="J373" i="4"/>
  <c r="J372" i="4"/>
  <c r="J371" i="4"/>
  <c r="J370" i="4"/>
  <c r="J369" i="4"/>
  <c r="J368" i="4"/>
  <c r="K367" i="4"/>
  <c r="J367" i="4"/>
  <c r="K366" i="4"/>
  <c r="J366" i="4"/>
  <c r="K365" i="4"/>
  <c r="J365" i="4"/>
  <c r="K364" i="4"/>
  <c r="J364" i="4"/>
  <c r="K363" i="4"/>
  <c r="J363" i="4"/>
  <c r="K362" i="4"/>
  <c r="J362" i="4"/>
  <c r="K361" i="4"/>
  <c r="J361" i="4"/>
  <c r="J360" i="4"/>
  <c r="J359" i="4"/>
  <c r="J358" i="4"/>
  <c r="J357" i="4"/>
  <c r="L356" i="4"/>
  <c r="K356" i="4"/>
  <c r="J356" i="4"/>
  <c r="L355" i="4"/>
  <c r="K355" i="4"/>
  <c r="J355" i="4"/>
  <c r="L354" i="4"/>
  <c r="K354" i="4"/>
  <c r="J354" i="4"/>
  <c r="L353" i="4"/>
  <c r="K353" i="4"/>
  <c r="J353" i="4"/>
  <c r="L352" i="4"/>
  <c r="K352" i="4"/>
  <c r="J352" i="4"/>
  <c r="L351" i="4"/>
  <c r="K351" i="4"/>
  <c r="J351" i="4"/>
  <c r="L350" i="4"/>
  <c r="K350" i="4"/>
  <c r="J350" i="4"/>
  <c r="L349" i="4"/>
  <c r="K349" i="4"/>
  <c r="J349" i="4"/>
  <c r="L348" i="4"/>
  <c r="K348" i="4"/>
  <c r="J348" i="4"/>
  <c r="J347" i="4"/>
  <c r="J346" i="4"/>
  <c r="L345" i="4"/>
  <c r="K345" i="4"/>
  <c r="J345" i="4"/>
  <c r="J344" i="4"/>
  <c r="J343" i="4"/>
  <c r="J342" i="4"/>
  <c r="J341" i="4"/>
  <c r="J340" i="4"/>
  <c r="J339" i="4"/>
  <c r="L338" i="4"/>
  <c r="K338" i="4"/>
  <c r="J338" i="4"/>
  <c r="L337" i="4"/>
  <c r="K337" i="4"/>
  <c r="J337" i="4"/>
  <c r="K336" i="4"/>
  <c r="J336" i="4"/>
  <c r="K335" i="4"/>
  <c r="J335" i="4"/>
  <c r="K334" i="4"/>
  <c r="J334" i="4"/>
  <c r="K333" i="4"/>
  <c r="J333" i="4"/>
  <c r="K332" i="4"/>
  <c r="J332" i="4"/>
  <c r="K331" i="4"/>
  <c r="J331" i="4"/>
  <c r="K330" i="4"/>
  <c r="J330" i="4"/>
  <c r="K329" i="4"/>
  <c r="J329" i="4"/>
  <c r="K328" i="4"/>
  <c r="J328" i="4"/>
  <c r="K327" i="4"/>
  <c r="J327" i="4"/>
  <c r="K326" i="4"/>
  <c r="J326" i="4"/>
  <c r="L325" i="4"/>
  <c r="K325" i="4"/>
  <c r="J325" i="4"/>
  <c r="L324" i="4"/>
  <c r="K324" i="4"/>
  <c r="J324" i="4"/>
  <c r="L323" i="4"/>
  <c r="K323" i="4"/>
  <c r="J323" i="4"/>
  <c r="L322" i="4"/>
  <c r="K322" i="4"/>
  <c r="J322" i="4"/>
  <c r="L321" i="4"/>
  <c r="K321" i="4"/>
  <c r="J321" i="4"/>
  <c r="L320" i="4"/>
  <c r="K320" i="4"/>
  <c r="J320" i="4"/>
  <c r="L319" i="4"/>
  <c r="K319" i="4"/>
  <c r="J319" i="4"/>
  <c r="L318" i="4"/>
  <c r="K318" i="4"/>
  <c r="J318" i="4"/>
  <c r="L317" i="4"/>
  <c r="K317" i="4"/>
  <c r="J317" i="4"/>
  <c r="L316" i="4"/>
  <c r="K316" i="4"/>
  <c r="J316" i="4"/>
  <c r="K315" i="4"/>
  <c r="J315" i="4"/>
  <c r="K314" i="4"/>
  <c r="J314" i="4"/>
  <c r="K313" i="4"/>
  <c r="J313" i="4"/>
  <c r="K312" i="4"/>
  <c r="J312" i="4"/>
  <c r="K311" i="4"/>
  <c r="J311" i="4"/>
  <c r="K310" i="4"/>
  <c r="J310" i="4"/>
  <c r="J309" i="4"/>
  <c r="J308" i="4"/>
  <c r="J307" i="4"/>
  <c r="K306" i="4"/>
  <c r="J306" i="4"/>
  <c r="J305" i="4"/>
  <c r="K304" i="4"/>
  <c r="J304" i="4"/>
  <c r="K303" i="4"/>
  <c r="J303" i="4"/>
  <c r="J302" i="4"/>
  <c r="J301" i="4"/>
  <c r="K300" i="4"/>
  <c r="J300" i="4"/>
  <c r="J299" i="4"/>
  <c r="J298" i="4"/>
  <c r="J297" i="4"/>
  <c r="J296" i="4"/>
  <c r="J295" i="4"/>
  <c r="J294" i="4"/>
  <c r="J293" i="4"/>
  <c r="J292" i="4"/>
  <c r="J291" i="4"/>
  <c r="J290" i="4"/>
  <c r="J289" i="4"/>
  <c r="J288" i="4"/>
  <c r="J287" i="4"/>
  <c r="J286" i="4"/>
  <c r="L285" i="4"/>
  <c r="K285" i="4"/>
  <c r="J285" i="4"/>
  <c r="J284" i="4"/>
  <c r="J283" i="4"/>
  <c r="J282" i="4"/>
  <c r="J281" i="4"/>
  <c r="L280" i="4"/>
  <c r="K280" i="4"/>
  <c r="J280" i="4"/>
  <c r="J279" i="4"/>
  <c r="L278" i="4"/>
  <c r="K278" i="4"/>
  <c r="J278" i="4"/>
  <c r="K277" i="4"/>
  <c r="J277" i="4"/>
  <c r="K276" i="4"/>
  <c r="J276" i="4"/>
  <c r="K275" i="4"/>
  <c r="J275" i="4"/>
  <c r="K274" i="4"/>
  <c r="J274" i="4"/>
  <c r="K273" i="4"/>
  <c r="J273" i="4"/>
  <c r="K272" i="4"/>
  <c r="J272" i="4"/>
  <c r="K271" i="4"/>
  <c r="J271" i="4"/>
  <c r="K270" i="4"/>
  <c r="J270" i="4"/>
  <c r="K269" i="4"/>
  <c r="J269" i="4"/>
  <c r="L268" i="4"/>
  <c r="P268" i="4" s="1"/>
  <c r="K268" i="4"/>
  <c r="J268" i="4"/>
  <c r="L267" i="4"/>
  <c r="K267" i="4"/>
  <c r="J267" i="4"/>
  <c r="J266" i="4"/>
  <c r="J265" i="4"/>
  <c r="J264" i="4"/>
  <c r="J263" i="4"/>
  <c r="J262" i="4"/>
  <c r="J261" i="4"/>
  <c r="J260" i="4"/>
  <c r="L259" i="4"/>
  <c r="K259" i="4"/>
  <c r="J259" i="4"/>
  <c r="L258" i="4"/>
  <c r="P258" i="4" s="1"/>
  <c r="K258" i="4"/>
  <c r="J258" i="4"/>
  <c r="L251" i="4"/>
  <c r="K251" i="4"/>
  <c r="J251" i="4"/>
  <c r="L250" i="4"/>
  <c r="K250" i="4"/>
  <c r="J250" i="4"/>
  <c r="L249" i="4"/>
  <c r="K249" i="4"/>
  <c r="J249" i="4"/>
  <c r="L248" i="4"/>
  <c r="K248" i="4"/>
  <c r="J248" i="4"/>
  <c r="K246" i="4"/>
  <c r="J246" i="4"/>
  <c r="K245" i="4"/>
  <c r="J245" i="4"/>
  <c r="K244" i="4"/>
  <c r="J244" i="4"/>
  <c r="K243" i="4"/>
  <c r="J243" i="4"/>
  <c r="K242" i="4"/>
  <c r="J242" i="4"/>
  <c r="K241" i="4"/>
  <c r="J241" i="4"/>
  <c r="L240" i="4"/>
  <c r="K240" i="4"/>
  <c r="J240" i="4"/>
  <c r="L239" i="4"/>
  <c r="K239" i="4"/>
  <c r="J239" i="4"/>
  <c r="L238" i="4"/>
  <c r="K238" i="4"/>
  <c r="J238" i="4"/>
  <c r="L237" i="4"/>
  <c r="K237" i="4"/>
  <c r="J237" i="4"/>
  <c r="L236" i="4"/>
  <c r="K236" i="4"/>
  <c r="J236" i="4"/>
  <c r="L234" i="4"/>
  <c r="K234" i="4"/>
  <c r="J234" i="4"/>
  <c r="K233" i="4"/>
  <c r="J233" i="4"/>
  <c r="K232" i="4"/>
  <c r="J232" i="4"/>
  <c r="K231" i="4"/>
  <c r="J231" i="4"/>
  <c r="K230" i="4"/>
  <c r="J230" i="4"/>
  <c r="K229" i="4"/>
  <c r="J229" i="4"/>
  <c r="K228" i="4"/>
  <c r="J228" i="4"/>
  <c r="K227" i="4"/>
  <c r="J227" i="4"/>
  <c r="K226" i="4"/>
  <c r="J226" i="4"/>
  <c r="K225" i="4"/>
  <c r="J225" i="4"/>
  <c r="K224" i="4"/>
  <c r="J224" i="4"/>
  <c r="L223" i="4"/>
  <c r="K223" i="4"/>
  <c r="J223" i="4"/>
  <c r="L222" i="4"/>
  <c r="K222" i="4"/>
  <c r="J222" i="4"/>
  <c r="K221" i="4"/>
  <c r="J221" i="4"/>
  <c r="J220" i="4"/>
  <c r="L219" i="4"/>
  <c r="K219" i="4"/>
  <c r="J219" i="4"/>
  <c r="L218" i="4"/>
  <c r="K218" i="4"/>
  <c r="J218" i="4"/>
  <c r="K217" i="4"/>
  <c r="J217" i="4"/>
  <c r="L216" i="4"/>
  <c r="K216" i="4"/>
  <c r="J216" i="4"/>
  <c r="L215" i="4"/>
  <c r="K215" i="4"/>
  <c r="J215" i="4"/>
  <c r="L214" i="4"/>
  <c r="K214" i="4"/>
  <c r="J214" i="4"/>
  <c r="L213" i="4"/>
  <c r="K213" i="4"/>
  <c r="J213" i="4"/>
  <c r="L212" i="4"/>
  <c r="K212" i="4"/>
  <c r="J212" i="4"/>
  <c r="L211" i="4"/>
  <c r="K211" i="4"/>
  <c r="J211" i="4"/>
  <c r="L210" i="4"/>
  <c r="K210" i="4"/>
  <c r="J210" i="4"/>
  <c r="L209" i="4"/>
  <c r="K209" i="4"/>
  <c r="J209" i="4"/>
  <c r="L208" i="4"/>
  <c r="K208" i="4"/>
  <c r="J208" i="4"/>
  <c r="L207" i="4"/>
  <c r="K207" i="4"/>
  <c r="J207" i="4"/>
  <c r="L206" i="4"/>
  <c r="K206" i="4"/>
  <c r="J206" i="4"/>
  <c r="L205" i="4"/>
  <c r="K205" i="4"/>
  <c r="J205" i="4"/>
  <c r="K204" i="4"/>
  <c r="J204" i="4"/>
  <c r="L203" i="4"/>
  <c r="K203" i="4"/>
  <c r="J203" i="4"/>
  <c r="L202" i="4"/>
  <c r="K202" i="4"/>
  <c r="J202" i="4"/>
  <c r="L201" i="4"/>
  <c r="K201" i="4"/>
  <c r="J201" i="4"/>
  <c r="K200" i="4"/>
  <c r="J200" i="4"/>
  <c r="K199" i="4"/>
  <c r="K198" i="4"/>
  <c r="K197" i="4"/>
  <c r="K196" i="4"/>
  <c r="K195" i="4"/>
  <c r="K194" i="4"/>
  <c r="K193" i="4"/>
  <c r="K192" i="4"/>
  <c r="K191" i="4"/>
  <c r="K190" i="4"/>
  <c r="K189" i="4"/>
  <c r="K188" i="4"/>
  <c r="K187" i="4"/>
  <c r="K186" i="4"/>
  <c r="K185" i="4"/>
  <c r="K184" i="4"/>
  <c r="K183" i="4"/>
  <c r="K182" i="4"/>
  <c r="K181" i="4"/>
  <c r="K180" i="4"/>
  <c r="K179" i="4"/>
  <c r="K178" i="4"/>
  <c r="K177" i="4"/>
  <c r="K176" i="4"/>
  <c r="K175" i="4"/>
  <c r="K174" i="4"/>
  <c r="K173" i="4"/>
  <c r="K172" i="4"/>
  <c r="K171" i="4"/>
  <c r="K170" i="4"/>
  <c r="K169" i="4"/>
  <c r="K168" i="4"/>
  <c r="K167" i="4"/>
  <c r="K166" i="4"/>
  <c r="K165" i="4"/>
  <c r="K164" i="4"/>
  <c r="K163" i="4"/>
  <c r="K162" i="4"/>
  <c r="K161" i="4"/>
  <c r="K160" i="4"/>
  <c r="K159" i="4"/>
  <c r="K158" i="4"/>
  <c r="K157" i="4"/>
  <c r="K156" i="4"/>
  <c r="K155" i="4"/>
  <c r="K154" i="4"/>
  <c r="K153" i="4"/>
  <c r="K152" i="4"/>
  <c r="K151" i="4"/>
  <c r="K150" i="4"/>
  <c r="K149" i="4"/>
  <c r="K148" i="4"/>
  <c r="K147" i="4"/>
  <c r="K146" i="4"/>
  <c r="K145" i="4"/>
  <c r="K144" i="4"/>
  <c r="K143" i="4"/>
  <c r="K142" i="4"/>
  <c r="K141" i="4"/>
  <c r="K140" i="4"/>
  <c r="L139" i="4"/>
  <c r="K139" i="4"/>
  <c r="J139" i="4"/>
  <c r="L138" i="4"/>
  <c r="K138" i="4"/>
  <c r="J138" i="4"/>
  <c r="K137" i="4"/>
  <c r="J137" i="4"/>
  <c r="K136" i="4"/>
  <c r="J136" i="4"/>
  <c r="K135" i="4"/>
  <c r="J135" i="4"/>
  <c r="J134" i="4"/>
  <c r="J133" i="4"/>
  <c r="J132" i="4"/>
  <c r="J131" i="4"/>
  <c r="J130" i="4"/>
  <c r="J129" i="4"/>
  <c r="J128" i="4"/>
  <c r="J127" i="4"/>
  <c r="L126" i="4"/>
  <c r="K126" i="4"/>
  <c r="J126" i="4"/>
  <c r="J125" i="4"/>
  <c r="L124" i="4"/>
  <c r="P124" i="4" s="1"/>
  <c r="K124" i="4"/>
  <c r="J124" i="4"/>
  <c r="K123" i="4"/>
  <c r="J123" i="4"/>
  <c r="K122" i="4"/>
  <c r="J122" i="4"/>
  <c r="K121" i="4"/>
  <c r="J121" i="4"/>
  <c r="K120" i="4"/>
  <c r="J120" i="4"/>
  <c r="K119" i="4"/>
  <c r="J119" i="4"/>
  <c r="K118" i="4"/>
  <c r="J118" i="4"/>
  <c r="J117" i="4"/>
  <c r="L116" i="4"/>
  <c r="P116" i="4" s="1"/>
  <c r="K116" i="4"/>
  <c r="J116" i="4"/>
  <c r="K115" i="4"/>
  <c r="J115" i="4"/>
  <c r="K114" i="4"/>
  <c r="J114" i="4"/>
  <c r="K113" i="4"/>
  <c r="J113" i="4"/>
  <c r="K112" i="4"/>
  <c r="J112" i="4"/>
  <c r="K111" i="4"/>
  <c r="J111" i="4"/>
  <c r="K110" i="4"/>
  <c r="J110" i="4"/>
  <c r="J109" i="4"/>
  <c r="L108" i="4"/>
  <c r="P108" i="4" s="1"/>
  <c r="K108" i="4"/>
  <c r="J108" i="4"/>
  <c r="K107" i="4"/>
  <c r="J107" i="4"/>
  <c r="K106" i="4"/>
  <c r="J106" i="4"/>
  <c r="K105" i="4"/>
  <c r="J105" i="4"/>
  <c r="K104" i="4"/>
  <c r="J104" i="4"/>
  <c r="K103" i="4"/>
  <c r="J103" i="4"/>
  <c r="K102" i="4"/>
  <c r="J102" i="4"/>
  <c r="J101" i="4"/>
  <c r="L100" i="4"/>
  <c r="P100" i="4" s="1"/>
  <c r="K100" i="4"/>
  <c r="J100" i="4"/>
  <c r="K99" i="4"/>
  <c r="J99" i="4"/>
  <c r="K98" i="4"/>
  <c r="J98" i="4"/>
  <c r="K97" i="4"/>
  <c r="J97" i="4"/>
  <c r="K96" i="4"/>
  <c r="J96" i="4"/>
  <c r="K95" i="4"/>
  <c r="J95" i="4"/>
  <c r="K94" i="4"/>
  <c r="J94" i="4"/>
  <c r="L93" i="4"/>
  <c r="P93" i="4" s="1"/>
  <c r="K93" i="4"/>
  <c r="J93" i="4"/>
  <c r="K92" i="4"/>
  <c r="J92" i="4"/>
  <c r="K91" i="4"/>
  <c r="J91" i="4"/>
  <c r="K90" i="4"/>
  <c r="J90" i="4"/>
  <c r="K89" i="4"/>
  <c r="J89" i="4"/>
  <c r="L88" i="4"/>
  <c r="K88" i="4"/>
  <c r="J88" i="4"/>
  <c r="K87" i="4"/>
  <c r="J87" i="4"/>
  <c r="K86" i="4"/>
  <c r="J86" i="4"/>
  <c r="K85" i="4"/>
  <c r="J85" i="4"/>
  <c r="K84" i="4"/>
  <c r="J84" i="4"/>
  <c r="J83" i="4"/>
  <c r="K82" i="4"/>
  <c r="J82" i="4"/>
  <c r="K81" i="4"/>
  <c r="J81" i="4"/>
  <c r="J80" i="4"/>
  <c r="K79" i="4"/>
  <c r="J79" i="4"/>
  <c r="J78" i="4"/>
  <c r="J77" i="4"/>
  <c r="K76" i="4"/>
  <c r="J76" i="4"/>
  <c r="K75" i="4"/>
  <c r="J75" i="4"/>
  <c r="K74" i="4"/>
  <c r="J74" i="4"/>
  <c r="J73" i="4"/>
  <c r="J72" i="4"/>
  <c r="J71" i="4"/>
  <c r="J70" i="4"/>
  <c r="J69" i="4"/>
  <c r="J68" i="4"/>
  <c r="J67" i="4"/>
  <c r="J66" i="4"/>
  <c r="J65" i="4"/>
  <c r="J64" i="4"/>
  <c r="J63" i="4"/>
  <c r="J62" i="4"/>
  <c r="L61" i="4"/>
  <c r="P61" i="4" s="1"/>
  <c r="K61" i="4"/>
  <c r="J61" i="4"/>
  <c r="J60" i="4"/>
  <c r="J59" i="4"/>
  <c r="J58" i="4"/>
  <c r="J57" i="4"/>
  <c r="J56" i="4"/>
  <c r="J55" i="4"/>
  <c r="L54" i="4"/>
  <c r="K54" i="4"/>
  <c r="J54" i="4"/>
  <c r="J53" i="4"/>
  <c r="J52" i="4"/>
  <c r="J51" i="4"/>
  <c r="J50" i="4"/>
  <c r="J49" i="4"/>
  <c r="L48" i="4"/>
  <c r="P48" i="4" s="1"/>
  <c r="K48" i="4"/>
  <c r="J48" i="4"/>
  <c r="J47" i="4"/>
  <c r="J46" i="4"/>
  <c r="J45" i="4"/>
  <c r="J44" i="4"/>
  <c r="K43" i="4"/>
  <c r="J43" i="4"/>
  <c r="J42" i="4"/>
  <c r="K41" i="4"/>
  <c r="J41" i="4"/>
  <c r="J40" i="4"/>
  <c r="J39" i="4"/>
  <c r="J38" i="4"/>
  <c r="L37" i="4"/>
  <c r="K37" i="4"/>
  <c r="J37" i="4"/>
  <c r="L36" i="4"/>
  <c r="P36" i="4" s="1"/>
  <c r="K36" i="4"/>
  <c r="J36" i="4"/>
  <c r="K35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L17" i="4"/>
  <c r="K17" i="4"/>
  <c r="J17" i="4"/>
  <c r="L16" i="4"/>
  <c r="K16" i="4"/>
  <c r="J16" i="4"/>
  <c r="J15" i="4"/>
  <c r="J14" i="4"/>
  <c r="J13" i="4"/>
  <c r="L12" i="4"/>
  <c r="K12" i="4"/>
  <c r="J12" i="4"/>
  <c r="J11" i="4"/>
  <c r="L10" i="4"/>
  <c r="K10" i="4"/>
  <c r="J10" i="4"/>
  <c r="J9" i="4"/>
  <c r="J8" i="4"/>
  <c r="H546" i="4"/>
  <c r="AF546" i="4" s="1"/>
  <c r="E546" i="4"/>
  <c r="Q546" i="4" s="1"/>
  <c r="H545" i="4"/>
  <c r="AV545" i="4" s="1"/>
  <c r="E545" i="4"/>
  <c r="H544" i="4"/>
  <c r="E544" i="4"/>
  <c r="H543" i="4"/>
  <c r="AF543" i="4" s="1"/>
  <c r="E543" i="4"/>
  <c r="H542" i="4"/>
  <c r="E542" i="4"/>
  <c r="H541" i="4"/>
  <c r="E541" i="4"/>
  <c r="H540" i="4"/>
  <c r="AH540" i="4" s="1"/>
  <c r="AN540" i="4" s="1"/>
  <c r="E540" i="4"/>
  <c r="H539" i="4"/>
  <c r="AF539" i="4" s="1"/>
  <c r="E539" i="4"/>
  <c r="Q539" i="4" s="1"/>
  <c r="H538" i="4"/>
  <c r="E538" i="4"/>
  <c r="H537" i="4"/>
  <c r="AV537" i="4" s="1"/>
  <c r="E537" i="4"/>
  <c r="H536" i="4"/>
  <c r="AF536" i="4" s="1"/>
  <c r="E536" i="4"/>
  <c r="Q536" i="4" s="1"/>
  <c r="H535" i="4"/>
  <c r="AF535" i="4" s="1"/>
  <c r="E535" i="4"/>
  <c r="Q535" i="4" s="1"/>
  <c r="H534" i="4"/>
  <c r="AF534" i="4" s="1"/>
  <c r="E534" i="4"/>
  <c r="Q534" i="4" s="1"/>
  <c r="H533" i="4"/>
  <c r="E533" i="4"/>
  <c r="Q533" i="4" s="1"/>
  <c r="H532" i="4"/>
  <c r="E532" i="4"/>
  <c r="Q532" i="4" s="1"/>
  <c r="H530" i="4"/>
  <c r="E530" i="4"/>
  <c r="Q530" i="4" s="1"/>
  <c r="H529" i="4"/>
  <c r="AV529" i="4" s="1"/>
  <c r="E529" i="4"/>
  <c r="Q529" i="4" s="1"/>
  <c r="H528" i="4"/>
  <c r="E528" i="4"/>
  <c r="Q528" i="4" s="1"/>
  <c r="H527" i="4"/>
  <c r="AF527" i="4" s="1"/>
  <c r="E527" i="4"/>
  <c r="Q527" i="4" s="1"/>
  <c r="H526" i="4"/>
  <c r="AF526" i="4" s="1"/>
  <c r="E526" i="4"/>
  <c r="Q526" i="4" s="1"/>
  <c r="H525" i="4"/>
  <c r="AF525" i="4" s="1"/>
  <c r="E525" i="4"/>
  <c r="Q525" i="4" s="1"/>
  <c r="H524" i="4"/>
  <c r="AF524" i="4" s="1"/>
  <c r="E524" i="4"/>
  <c r="Q524" i="4" s="1"/>
  <c r="H523" i="4"/>
  <c r="AF523" i="4" s="1"/>
  <c r="E523" i="4"/>
  <c r="Q523" i="4" s="1"/>
  <c r="H522" i="4"/>
  <c r="E522" i="4"/>
  <c r="Q522" i="4" s="1"/>
  <c r="H521" i="4"/>
  <c r="AF521" i="4" s="1"/>
  <c r="E521" i="4"/>
  <c r="Q521" i="4" s="1"/>
  <c r="H520" i="4"/>
  <c r="AF520" i="4" s="1"/>
  <c r="E520" i="4"/>
  <c r="Q520" i="4" s="1"/>
  <c r="H519" i="4"/>
  <c r="AF519" i="4" s="1"/>
  <c r="E519" i="4"/>
  <c r="Q519" i="4" s="1"/>
  <c r="H518" i="4"/>
  <c r="E518" i="4"/>
  <c r="Q518" i="4" s="1"/>
  <c r="H517" i="4"/>
  <c r="AF517" i="4" s="1"/>
  <c r="E517" i="4"/>
  <c r="Q517" i="4" s="1"/>
  <c r="H515" i="4"/>
  <c r="E515" i="4"/>
  <c r="Q515" i="4" s="1"/>
  <c r="H514" i="4"/>
  <c r="AF514" i="4" s="1"/>
  <c r="E514" i="4"/>
  <c r="H513" i="4"/>
  <c r="AV513" i="4" s="1"/>
  <c r="E513" i="4"/>
  <c r="Q513" i="4" s="1"/>
  <c r="H512" i="4"/>
  <c r="AH512" i="4" s="1"/>
  <c r="AN512" i="4" s="1"/>
  <c r="E512" i="4"/>
  <c r="Q512" i="4" s="1"/>
  <c r="H511" i="4"/>
  <c r="AH511" i="4" s="1"/>
  <c r="AN511" i="4" s="1"/>
  <c r="E511" i="4"/>
  <c r="H506" i="4"/>
  <c r="E506" i="4"/>
  <c r="H505" i="4"/>
  <c r="AH505" i="4" s="1"/>
  <c r="AN505" i="4" s="1"/>
  <c r="E505" i="4"/>
  <c r="Q505" i="4" s="1"/>
  <c r="H504" i="4"/>
  <c r="AF504" i="4" s="1"/>
  <c r="E504" i="4"/>
  <c r="H500" i="4"/>
  <c r="E500" i="4"/>
  <c r="Q500" i="4" s="1"/>
  <c r="H499" i="4"/>
  <c r="E499" i="4"/>
  <c r="H498" i="4"/>
  <c r="AV498" i="4" s="1"/>
  <c r="E498" i="4"/>
  <c r="Q498" i="4" s="1"/>
  <c r="G736" i="1" s="1"/>
  <c r="H736" i="1" s="1"/>
  <c r="H497" i="4"/>
  <c r="AH497" i="4" s="1"/>
  <c r="AN497" i="4" s="1"/>
  <c r="E497" i="4"/>
  <c r="H496" i="4"/>
  <c r="AF496" i="4" s="1"/>
  <c r="E496" i="4"/>
  <c r="Q496" i="4" s="1"/>
  <c r="H495" i="4"/>
  <c r="AV495" i="4" s="1"/>
  <c r="E495" i="4"/>
  <c r="Q495" i="4" s="1"/>
  <c r="G1186" i="1" s="1"/>
  <c r="H1186" i="1" s="1"/>
  <c r="H494" i="4"/>
  <c r="E494" i="4"/>
  <c r="Q494" i="4" s="1"/>
  <c r="G1185" i="1" s="1"/>
  <c r="H1185" i="1" s="1"/>
  <c r="H493" i="4"/>
  <c r="AF493" i="4" s="1"/>
  <c r="E493" i="4"/>
  <c r="Q493" i="4" s="1"/>
  <c r="G1184" i="1" s="1"/>
  <c r="H1184" i="1" s="1"/>
  <c r="H491" i="4"/>
  <c r="AH491" i="4" s="1"/>
  <c r="AN491" i="4" s="1"/>
  <c r="E491" i="4"/>
  <c r="Q491" i="4" s="1"/>
  <c r="H490" i="4"/>
  <c r="AV490" i="4" s="1"/>
  <c r="E490" i="4"/>
  <c r="Q490" i="4" s="1"/>
  <c r="H489" i="4"/>
  <c r="E489" i="4"/>
  <c r="Q489" i="4" s="1"/>
  <c r="H487" i="4"/>
  <c r="AH487" i="4" s="1"/>
  <c r="AN487" i="4" s="1"/>
  <c r="E487" i="4"/>
  <c r="Q487" i="4" s="1"/>
  <c r="H486" i="4"/>
  <c r="AF486" i="4" s="1"/>
  <c r="E486" i="4"/>
  <c r="H482" i="4"/>
  <c r="E482" i="4"/>
  <c r="H481" i="4"/>
  <c r="AF481" i="4" s="1"/>
  <c r="E481" i="4"/>
  <c r="H480" i="4"/>
  <c r="AV480" i="4" s="1"/>
  <c r="E480" i="4"/>
  <c r="H479" i="4"/>
  <c r="E479" i="4"/>
  <c r="H478" i="4"/>
  <c r="E478" i="4"/>
  <c r="H477" i="4"/>
  <c r="AV477" i="4" s="1"/>
  <c r="E477" i="4"/>
  <c r="H476" i="4"/>
  <c r="AH476" i="4" s="1"/>
  <c r="AN476" i="4" s="1"/>
  <c r="E476" i="4"/>
  <c r="H475" i="4"/>
  <c r="AH475" i="4" s="1"/>
  <c r="AN475" i="4" s="1"/>
  <c r="E475" i="4"/>
  <c r="H474" i="4"/>
  <c r="AH474" i="4" s="1"/>
  <c r="AN474" i="4" s="1"/>
  <c r="E474" i="4"/>
  <c r="H473" i="4"/>
  <c r="AF473" i="4" s="1"/>
  <c r="E473" i="4"/>
  <c r="H472" i="4"/>
  <c r="AV472" i="4" s="1"/>
  <c r="E472" i="4"/>
  <c r="H471" i="4"/>
  <c r="E471" i="4"/>
  <c r="H470" i="4"/>
  <c r="AV470" i="4" s="1"/>
  <c r="E470" i="4"/>
  <c r="H469" i="4"/>
  <c r="AV469" i="4" s="1"/>
  <c r="E469" i="4"/>
  <c r="H468" i="4"/>
  <c r="AH468" i="4" s="1"/>
  <c r="AN468" i="4" s="1"/>
  <c r="E468" i="4"/>
  <c r="H467" i="4"/>
  <c r="E467" i="4"/>
  <c r="H451" i="4"/>
  <c r="AF451" i="4" s="1"/>
  <c r="E451" i="4"/>
  <c r="H455" i="4"/>
  <c r="AV455" i="4" s="1"/>
  <c r="E455" i="4"/>
  <c r="H453" i="4"/>
  <c r="AV453" i="4" s="1"/>
  <c r="E453" i="4"/>
  <c r="H452" i="4"/>
  <c r="AF452" i="4" s="1"/>
  <c r="E452" i="4"/>
  <c r="H448" i="4"/>
  <c r="E448" i="4"/>
  <c r="H447" i="4"/>
  <c r="AV447" i="4" s="1"/>
  <c r="E447" i="4"/>
  <c r="H446" i="4"/>
  <c r="AV446" i="4" s="1"/>
  <c r="E446" i="4"/>
  <c r="H445" i="4"/>
  <c r="AV445" i="4" s="1"/>
  <c r="E445" i="4"/>
  <c r="H444" i="4"/>
  <c r="E444" i="4"/>
  <c r="H443" i="4"/>
  <c r="AV443" i="4" s="1"/>
  <c r="E443" i="4"/>
  <c r="H442" i="4"/>
  <c r="E442" i="4"/>
  <c r="H441" i="4"/>
  <c r="AH441" i="4" s="1"/>
  <c r="AN441" i="4" s="1"/>
  <c r="E441" i="4"/>
  <c r="H440" i="4"/>
  <c r="AV440" i="4" s="1"/>
  <c r="E440" i="4"/>
  <c r="H439" i="4"/>
  <c r="AH439" i="4" s="1"/>
  <c r="AN439" i="4" s="1"/>
  <c r="E439" i="4"/>
  <c r="H438" i="4"/>
  <c r="AV438" i="4" s="1"/>
  <c r="E438" i="4"/>
  <c r="H437" i="4"/>
  <c r="AV437" i="4" s="1"/>
  <c r="E437" i="4"/>
  <c r="H436" i="4"/>
  <c r="AV436" i="4" s="1"/>
  <c r="E436" i="4"/>
  <c r="H435" i="4"/>
  <c r="E435" i="4"/>
  <c r="H434" i="4"/>
  <c r="E434" i="4"/>
  <c r="H433" i="4"/>
  <c r="AH433" i="4" s="1"/>
  <c r="AN433" i="4" s="1"/>
  <c r="E433" i="4"/>
  <c r="H432" i="4"/>
  <c r="AF432" i="4" s="1"/>
  <c r="E432" i="4"/>
  <c r="H431" i="4"/>
  <c r="AH431" i="4" s="1"/>
  <c r="AN431" i="4" s="1"/>
  <c r="E431" i="4"/>
  <c r="H430" i="4"/>
  <c r="E430" i="4"/>
  <c r="H429" i="4"/>
  <c r="AV429" i="4" s="1"/>
  <c r="E429" i="4"/>
  <c r="H428" i="4"/>
  <c r="AV428" i="4" s="1"/>
  <c r="E428" i="4"/>
  <c r="H427" i="4"/>
  <c r="AV427" i="4" s="1"/>
  <c r="E427" i="4"/>
  <c r="H426" i="4"/>
  <c r="AV426" i="4" s="1"/>
  <c r="E426" i="4"/>
  <c r="H425" i="4"/>
  <c r="AH425" i="4" s="1"/>
  <c r="AN425" i="4" s="1"/>
  <c r="E425" i="4"/>
  <c r="H424" i="4"/>
  <c r="AH424" i="4" s="1"/>
  <c r="AN424" i="4" s="1"/>
  <c r="E424" i="4"/>
  <c r="H423" i="4"/>
  <c r="AH423" i="4" s="1"/>
  <c r="AN423" i="4" s="1"/>
  <c r="E423" i="4"/>
  <c r="H422" i="4"/>
  <c r="AH422" i="4" s="1"/>
  <c r="AN422" i="4" s="1"/>
  <c r="E422" i="4"/>
  <c r="H421" i="4"/>
  <c r="AV421" i="4" s="1"/>
  <c r="E421" i="4"/>
  <c r="H420" i="4"/>
  <c r="AV420" i="4" s="1"/>
  <c r="E420" i="4"/>
  <c r="H419" i="4"/>
  <c r="AV419" i="4" s="1"/>
  <c r="E419" i="4"/>
  <c r="H417" i="4"/>
  <c r="AV417" i="4" s="1"/>
  <c r="E417" i="4"/>
  <c r="H416" i="4"/>
  <c r="AH416" i="4" s="1"/>
  <c r="AN416" i="4" s="1"/>
  <c r="E416" i="4"/>
  <c r="H415" i="4"/>
  <c r="AV415" i="4" s="1"/>
  <c r="E415" i="4"/>
  <c r="H414" i="4"/>
  <c r="AV414" i="4" s="1"/>
  <c r="E414" i="4"/>
  <c r="H413" i="4"/>
  <c r="AF413" i="4" s="1"/>
  <c r="E413" i="4"/>
  <c r="H412" i="4"/>
  <c r="AV412" i="4" s="1"/>
  <c r="E412" i="4"/>
  <c r="H411" i="4"/>
  <c r="AF411" i="4" s="1"/>
  <c r="E411" i="4"/>
  <c r="H410" i="4"/>
  <c r="AV410" i="4" s="1"/>
  <c r="E410" i="4"/>
  <c r="H409" i="4"/>
  <c r="E409" i="4"/>
  <c r="H408" i="4"/>
  <c r="E408" i="4"/>
  <c r="H407" i="4"/>
  <c r="AF407" i="4" s="1"/>
  <c r="E407" i="4"/>
  <c r="H406" i="4"/>
  <c r="AH406" i="4" s="1"/>
  <c r="AN406" i="4" s="1"/>
  <c r="E406" i="4"/>
  <c r="H405" i="4"/>
  <c r="AV405" i="4" s="1"/>
  <c r="E405" i="4"/>
  <c r="H404" i="4"/>
  <c r="AV404" i="4" s="1"/>
  <c r="E404" i="4"/>
  <c r="H403" i="4"/>
  <c r="E403" i="4"/>
  <c r="H402" i="4"/>
  <c r="AV402" i="4" s="1"/>
  <c r="E402" i="4"/>
  <c r="H401" i="4"/>
  <c r="AV401" i="4" s="1"/>
  <c r="E401" i="4"/>
  <c r="H400" i="4"/>
  <c r="AV400" i="4" s="1"/>
  <c r="E400" i="4"/>
  <c r="H399" i="4"/>
  <c r="AF399" i="4" s="1"/>
  <c r="E399" i="4"/>
  <c r="H398" i="4"/>
  <c r="AF398" i="4" s="1"/>
  <c r="E398" i="4"/>
  <c r="H397" i="4"/>
  <c r="E397" i="4"/>
  <c r="H396" i="4"/>
  <c r="AV396" i="4" s="1"/>
  <c r="E396" i="4"/>
  <c r="H395" i="4"/>
  <c r="AV395" i="4" s="1"/>
  <c r="E395" i="4"/>
  <c r="H394" i="4"/>
  <c r="AV394" i="4" s="1"/>
  <c r="E394" i="4"/>
  <c r="H393" i="4"/>
  <c r="E393" i="4"/>
  <c r="H392" i="4"/>
  <c r="AH392" i="4" s="1"/>
  <c r="AN392" i="4" s="1"/>
  <c r="E392" i="4"/>
  <c r="H391" i="4"/>
  <c r="AH391" i="4" s="1"/>
  <c r="AN391" i="4" s="1"/>
  <c r="E391" i="4"/>
  <c r="H390" i="4"/>
  <c r="AH390" i="4" s="1"/>
  <c r="AN390" i="4" s="1"/>
  <c r="E390" i="4"/>
  <c r="H389" i="4"/>
  <c r="AH389" i="4" s="1"/>
  <c r="AN389" i="4" s="1"/>
  <c r="E389" i="4"/>
  <c r="H388" i="4"/>
  <c r="AV388" i="4" s="1"/>
  <c r="E388" i="4"/>
  <c r="H387" i="4"/>
  <c r="AF387" i="4" s="1"/>
  <c r="E387" i="4"/>
  <c r="H386" i="4"/>
  <c r="E386" i="4"/>
  <c r="H385" i="4"/>
  <c r="AF385" i="4" s="1"/>
  <c r="E385" i="4"/>
  <c r="H384" i="4"/>
  <c r="AF384" i="4" s="1"/>
  <c r="E384" i="4"/>
  <c r="H383" i="4"/>
  <c r="AF383" i="4" s="1"/>
  <c r="E383" i="4"/>
  <c r="H382" i="4"/>
  <c r="E382" i="4"/>
  <c r="H381" i="4"/>
  <c r="AF381" i="4" s="1"/>
  <c r="E381" i="4"/>
  <c r="H380" i="4"/>
  <c r="E380" i="4"/>
  <c r="H379" i="4"/>
  <c r="AF379" i="4" s="1"/>
  <c r="E379" i="4"/>
  <c r="H378" i="4"/>
  <c r="AV378" i="4" s="1"/>
  <c r="E378" i="4"/>
  <c r="H377" i="4"/>
  <c r="AV377" i="4" s="1"/>
  <c r="E377" i="4"/>
  <c r="H376" i="4"/>
  <c r="E376" i="4"/>
  <c r="H375" i="4"/>
  <c r="E375" i="4"/>
  <c r="H374" i="4"/>
  <c r="E374" i="4"/>
  <c r="H373" i="4"/>
  <c r="AF373" i="4" s="1"/>
  <c r="E373" i="4"/>
  <c r="H372" i="4"/>
  <c r="E372" i="4"/>
  <c r="H371" i="4"/>
  <c r="AF371" i="4" s="1"/>
  <c r="E371" i="4"/>
  <c r="H370" i="4"/>
  <c r="E370" i="4"/>
  <c r="H369" i="4"/>
  <c r="AF369" i="4" s="1"/>
  <c r="E369" i="4"/>
  <c r="H368" i="4"/>
  <c r="E368" i="4"/>
  <c r="H367" i="4"/>
  <c r="E367" i="4"/>
  <c r="H366" i="4"/>
  <c r="AV366" i="4" s="1"/>
  <c r="E366" i="4"/>
  <c r="H365" i="4"/>
  <c r="AV365" i="4" s="1"/>
  <c r="E365" i="4"/>
  <c r="H364" i="4"/>
  <c r="AH364" i="4" s="1"/>
  <c r="AN364" i="4" s="1"/>
  <c r="E364" i="4"/>
  <c r="H363" i="4"/>
  <c r="AH363" i="4" s="1"/>
  <c r="AN363" i="4" s="1"/>
  <c r="E363" i="4"/>
  <c r="H362" i="4"/>
  <c r="AH362" i="4" s="1"/>
  <c r="AN362" i="4" s="1"/>
  <c r="E362" i="4"/>
  <c r="H361" i="4"/>
  <c r="AH361" i="4" s="1"/>
  <c r="AN361" i="4" s="1"/>
  <c r="E361" i="4"/>
  <c r="H360" i="4"/>
  <c r="E360" i="4"/>
  <c r="H359" i="4"/>
  <c r="AF359" i="4" s="1"/>
  <c r="E359" i="4"/>
  <c r="H358" i="4"/>
  <c r="AF358" i="4" s="1"/>
  <c r="E358" i="4"/>
  <c r="H357" i="4"/>
  <c r="AF357" i="4" s="1"/>
  <c r="E357" i="4"/>
  <c r="H356" i="4"/>
  <c r="AV356" i="4" s="1"/>
  <c r="E356" i="4"/>
  <c r="H355" i="4"/>
  <c r="E355" i="4"/>
  <c r="H354" i="4"/>
  <c r="AH354" i="4" s="1"/>
  <c r="AN354" i="4" s="1"/>
  <c r="E354" i="4"/>
  <c r="H353" i="4"/>
  <c r="AV353" i="4" s="1"/>
  <c r="E353" i="4"/>
  <c r="H352" i="4"/>
  <c r="AH352" i="4" s="1"/>
  <c r="AN352" i="4" s="1"/>
  <c r="E352" i="4"/>
  <c r="H351" i="4"/>
  <c r="AV351" i="4" s="1"/>
  <c r="E351" i="4"/>
  <c r="H350" i="4"/>
  <c r="AV350" i="4" s="1"/>
  <c r="E350" i="4"/>
  <c r="H349" i="4"/>
  <c r="AV349" i="4" s="1"/>
  <c r="E349" i="4"/>
  <c r="H348" i="4"/>
  <c r="AV348" i="4" s="1"/>
  <c r="E348" i="4"/>
  <c r="H347" i="4"/>
  <c r="E347" i="4"/>
  <c r="H346" i="4"/>
  <c r="E346" i="4"/>
  <c r="H345" i="4"/>
  <c r="E345" i="4"/>
  <c r="H344" i="4"/>
  <c r="E344" i="4"/>
  <c r="H343" i="4"/>
  <c r="AF343" i="4" s="1"/>
  <c r="E343" i="4"/>
  <c r="H342" i="4"/>
  <c r="E342" i="4"/>
  <c r="H341" i="4"/>
  <c r="E341" i="4"/>
  <c r="H340" i="4"/>
  <c r="E340" i="4"/>
  <c r="H339" i="4"/>
  <c r="AF339" i="4" s="1"/>
  <c r="E339" i="4"/>
  <c r="H338" i="4"/>
  <c r="AH338" i="4" s="1"/>
  <c r="AN338" i="4" s="1"/>
  <c r="E338" i="4"/>
  <c r="H337" i="4"/>
  <c r="AV337" i="4" s="1"/>
  <c r="E337" i="4"/>
  <c r="H336" i="4"/>
  <c r="AH336" i="4" s="1"/>
  <c r="AN336" i="4" s="1"/>
  <c r="E336" i="4"/>
  <c r="H335" i="4"/>
  <c r="E335" i="4"/>
  <c r="H334" i="4"/>
  <c r="AH334" i="4" s="1"/>
  <c r="AN334" i="4" s="1"/>
  <c r="E334" i="4"/>
  <c r="H333" i="4"/>
  <c r="AF333" i="4" s="1"/>
  <c r="E333" i="4"/>
  <c r="H332" i="4"/>
  <c r="AH332" i="4" s="1"/>
  <c r="AN332" i="4" s="1"/>
  <c r="E332" i="4"/>
  <c r="H331" i="4"/>
  <c r="AH331" i="4" s="1"/>
  <c r="AN331" i="4" s="1"/>
  <c r="E331" i="4"/>
  <c r="H330" i="4"/>
  <c r="AH330" i="4" s="1"/>
  <c r="AN330" i="4" s="1"/>
  <c r="E330" i="4"/>
  <c r="H329" i="4"/>
  <c r="AH329" i="4" s="1"/>
  <c r="AN329" i="4" s="1"/>
  <c r="E329" i="4"/>
  <c r="H328" i="4"/>
  <c r="AH328" i="4" s="1"/>
  <c r="AN328" i="4" s="1"/>
  <c r="E328" i="4"/>
  <c r="H327" i="4"/>
  <c r="E327" i="4"/>
  <c r="H326" i="4"/>
  <c r="AH326" i="4" s="1"/>
  <c r="AN326" i="4" s="1"/>
  <c r="E326" i="4"/>
  <c r="H325" i="4"/>
  <c r="AV325" i="4" s="1"/>
  <c r="E325" i="4"/>
  <c r="H324" i="4"/>
  <c r="AV324" i="4" s="1"/>
  <c r="E324" i="4"/>
  <c r="H323" i="4"/>
  <c r="AV323" i="4" s="1"/>
  <c r="E323" i="4"/>
  <c r="H322" i="4"/>
  <c r="AH322" i="4" s="1"/>
  <c r="AN322" i="4" s="1"/>
  <c r="E322" i="4"/>
  <c r="H321" i="4"/>
  <c r="AV321" i="4" s="1"/>
  <c r="E321" i="4"/>
  <c r="H320" i="4"/>
  <c r="AH320" i="4" s="1"/>
  <c r="AN320" i="4" s="1"/>
  <c r="E320" i="4"/>
  <c r="H319" i="4"/>
  <c r="AF319" i="4" s="1"/>
  <c r="E319" i="4"/>
  <c r="H318" i="4"/>
  <c r="AV318" i="4" s="1"/>
  <c r="E318" i="4"/>
  <c r="H317" i="4"/>
  <c r="AV317" i="4" s="1"/>
  <c r="E317" i="4"/>
  <c r="H316" i="4"/>
  <c r="AH316" i="4" s="1"/>
  <c r="AN316" i="4" s="1"/>
  <c r="E316" i="4"/>
  <c r="H315" i="4"/>
  <c r="E315" i="4"/>
  <c r="H314" i="4"/>
  <c r="AH314" i="4" s="1"/>
  <c r="AN314" i="4" s="1"/>
  <c r="E314" i="4"/>
  <c r="H313" i="4"/>
  <c r="AV313" i="4" s="1"/>
  <c r="E313" i="4"/>
  <c r="H312" i="4"/>
  <c r="AH312" i="4" s="1"/>
  <c r="AN312" i="4" s="1"/>
  <c r="E312" i="4"/>
  <c r="H311" i="4"/>
  <c r="AV311" i="4" s="1"/>
  <c r="E311" i="4"/>
  <c r="H310" i="4"/>
  <c r="AV310" i="4" s="1"/>
  <c r="E310" i="4"/>
  <c r="H309" i="4"/>
  <c r="AF309" i="4" s="1"/>
  <c r="E309" i="4"/>
  <c r="H308" i="4"/>
  <c r="E308" i="4"/>
  <c r="H307" i="4"/>
  <c r="AF307" i="4" s="1"/>
  <c r="E307" i="4"/>
  <c r="H306" i="4"/>
  <c r="AH306" i="4" s="1"/>
  <c r="AN306" i="4" s="1"/>
  <c r="E306" i="4"/>
  <c r="H305" i="4"/>
  <c r="AF305" i="4" s="1"/>
  <c r="E305" i="4"/>
  <c r="H304" i="4"/>
  <c r="E304" i="4"/>
  <c r="H303" i="4"/>
  <c r="AH303" i="4" s="1"/>
  <c r="AN303" i="4" s="1"/>
  <c r="E303" i="4"/>
  <c r="H302" i="4"/>
  <c r="E302" i="4"/>
  <c r="H301" i="4"/>
  <c r="E301" i="4"/>
  <c r="H300" i="4"/>
  <c r="AH300" i="4" s="1"/>
  <c r="AN300" i="4" s="1"/>
  <c r="E300" i="4"/>
  <c r="H299" i="4"/>
  <c r="AF299" i="4" s="1"/>
  <c r="E299" i="4"/>
  <c r="H298" i="4"/>
  <c r="E298" i="4"/>
  <c r="H297" i="4"/>
  <c r="AF297" i="4" s="1"/>
  <c r="E297" i="4"/>
  <c r="H296" i="4"/>
  <c r="E296" i="4"/>
  <c r="H295" i="4"/>
  <c r="AF295" i="4" s="1"/>
  <c r="E295" i="4"/>
  <c r="H294" i="4"/>
  <c r="AF294" i="4" s="1"/>
  <c r="E294" i="4"/>
  <c r="H293" i="4"/>
  <c r="AF293" i="4" s="1"/>
  <c r="E293" i="4"/>
  <c r="H292" i="4"/>
  <c r="E292" i="4"/>
  <c r="H291" i="4"/>
  <c r="E291" i="4"/>
  <c r="H290" i="4"/>
  <c r="E290" i="4"/>
  <c r="H289" i="4"/>
  <c r="AF289" i="4" s="1"/>
  <c r="E289" i="4"/>
  <c r="H288" i="4"/>
  <c r="E288" i="4"/>
  <c r="H287" i="4"/>
  <c r="AF287" i="4" s="1"/>
  <c r="E287" i="4"/>
  <c r="H286" i="4"/>
  <c r="E286" i="4"/>
  <c r="H285" i="4"/>
  <c r="AF285" i="4" s="1"/>
  <c r="E285" i="4"/>
  <c r="H284" i="4"/>
  <c r="AF284" i="4" s="1"/>
  <c r="E284" i="4"/>
  <c r="H283" i="4"/>
  <c r="AF283" i="4" s="1"/>
  <c r="E283" i="4"/>
  <c r="H282" i="4"/>
  <c r="E282" i="4"/>
  <c r="H281" i="4"/>
  <c r="AF281" i="4" s="1"/>
  <c r="E281" i="4"/>
  <c r="H280" i="4"/>
  <c r="AH280" i="4" s="1"/>
  <c r="AN280" i="4" s="1"/>
  <c r="E280" i="4"/>
  <c r="H279" i="4"/>
  <c r="AF279" i="4" s="1"/>
  <c r="E279" i="4"/>
  <c r="H278" i="4"/>
  <c r="AV278" i="4" s="1"/>
  <c r="E278" i="4"/>
  <c r="H277" i="4"/>
  <c r="AH277" i="4" s="1"/>
  <c r="AN277" i="4" s="1"/>
  <c r="E277" i="4"/>
  <c r="H276" i="4"/>
  <c r="AH276" i="4" s="1"/>
  <c r="AN276" i="4" s="1"/>
  <c r="E276" i="4"/>
  <c r="H275" i="4"/>
  <c r="E275" i="4"/>
  <c r="H274" i="4"/>
  <c r="AH274" i="4" s="1"/>
  <c r="AN274" i="4" s="1"/>
  <c r="E274" i="4"/>
  <c r="H273" i="4"/>
  <c r="AV273" i="4" s="1"/>
  <c r="E273" i="4"/>
  <c r="H272" i="4"/>
  <c r="AH272" i="4" s="1"/>
  <c r="AN272" i="4" s="1"/>
  <c r="E272" i="4"/>
  <c r="Q272" i="4" s="1"/>
  <c r="H271" i="4"/>
  <c r="E271" i="4"/>
  <c r="Q271" i="4" s="1"/>
  <c r="H270" i="4"/>
  <c r="AH270" i="4" s="1"/>
  <c r="AN270" i="4" s="1"/>
  <c r="E270" i="4"/>
  <c r="Q270" i="4" s="1"/>
  <c r="H269" i="4"/>
  <c r="AF269" i="4" s="1"/>
  <c r="E269" i="4"/>
  <c r="Q269" i="4" s="1"/>
  <c r="H268" i="4"/>
  <c r="AV268" i="4" s="1"/>
  <c r="E268" i="4"/>
  <c r="Q268" i="4" s="1"/>
  <c r="H267" i="4"/>
  <c r="E267" i="4"/>
  <c r="Q267" i="4" s="1"/>
  <c r="H266" i="4"/>
  <c r="E266" i="4"/>
  <c r="Q266" i="4" s="1"/>
  <c r="H265" i="4"/>
  <c r="AF265" i="4" s="1"/>
  <c r="E265" i="4"/>
  <c r="Q265" i="4" s="1"/>
  <c r="H264" i="4"/>
  <c r="E264" i="4"/>
  <c r="Q264" i="4" s="1"/>
  <c r="H263" i="4"/>
  <c r="AF263" i="4" s="1"/>
  <c r="E263" i="4"/>
  <c r="Q263" i="4" s="1"/>
  <c r="H262" i="4"/>
  <c r="E262" i="4"/>
  <c r="Q262" i="4" s="1"/>
  <c r="H261" i="4"/>
  <c r="AF261" i="4" s="1"/>
  <c r="E261" i="4"/>
  <c r="Q261" i="4" s="1"/>
  <c r="H260" i="4"/>
  <c r="AF260" i="4" s="1"/>
  <c r="E260" i="4"/>
  <c r="Q260" i="4" s="1"/>
  <c r="H259" i="4"/>
  <c r="AV259" i="4" s="1"/>
  <c r="E259" i="4"/>
  <c r="Q259" i="4" s="1"/>
  <c r="H258" i="4"/>
  <c r="AH258" i="4" s="1"/>
  <c r="AN258" i="4" s="1"/>
  <c r="E258" i="4"/>
  <c r="Q258" i="4" s="1"/>
  <c r="H251" i="4"/>
  <c r="H250" i="4"/>
  <c r="AH250" i="4" s="1"/>
  <c r="AN250" i="4" s="1"/>
  <c r="H249" i="4"/>
  <c r="E249" i="4"/>
  <c r="H248" i="4"/>
  <c r="AH248" i="4" s="1"/>
  <c r="AN248" i="4" s="1"/>
  <c r="E248" i="4"/>
  <c r="H246" i="4"/>
  <c r="H245" i="4"/>
  <c r="AH245" i="4" s="1"/>
  <c r="AN245" i="4" s="1"/>
  <c r="H244" i="4"/>
  <c r="H243" i="4"/>
  <c r="AH243" i="4" s="1"/>
  <c r="AN243" i="4" s="1"/>
  <c r="H242" i="4"/>
  <c r="H241" i="4"/>
  <c r="AH241" i="4" s="1"/>
  <c r="AN241" i="4" s="1"/>
  <c r="H240" i="4"/>
  <c r="AV240" i="4" s="1"/>
  <c r="H239" i="4"/>
  <c r="AV239" i="4" s="1"/>
  <c r="H238" i="4"/>
  <c r="H237" i="4"/>
  <c r="AH237" i="4" s="1"/>
  <c r="AN237" i="4" s="1"/>
  <c r="H236" i="4"/>
  <c r="AV236" i="4" s="1"/>
  <c r="H234" i="4"/>
  <c r="AH234" i="4" s="1"/>
  <c r="AN234" i="4" s="1"/>
  <c r="H233" i="4"/>
  <c r="H232" i="4"/>
  <c r="AH232" i="4" s="1"/>
  <c r="AN232" i="4" s="1"/>
  <c r="H231" i="4"/>
  <c r="H230" i="4"/>
  <c r="AH230" i="4" s="1"/>
  <c r="AN230" i="4" s="1"/>
  <c r="H229" i="4"/>
  <c r="H228" i="4"/>
  <c r="AV228" i="4" s="1"/>
  <c r="H227" i="4"/>
  <c r="AF227" i="4" s="1"/>
  <c r="H226" i="4"/>
  <c r="AH226" i="4" s="1"/>
  <c r="AN226" i="4" s="1"/>
  <c r="H225" i="4"/>
  <c r="AH225" i="4" s="1"/>
  <c r="AN225" i="4" s="1"/>
  <c r="H224" i="4"/>
  <c r="AH224" i="4" s="1"/>
  <c r="AN224" i="4" s="1"/>
  <c r="H223" i="4"/>
  <c r="AV223" i="4" s="1"/>
  <c r="E223" i="4"/>
  <c r="H222" i="4"/>
  <c r="AF222" i="4" s="1"/>
  <c r="E222" i="4"/>
  <c r="H221" i="4"/>
  <c r="E221" i="4"/>
  <c r="H220" i="4"/>
  <c r="AF220" i="4" s="1"/>
  <c r="E220" i="4"/>
  <c r="Q220" i="4" s="1"/>
  <c r="H219" i="4"/>
  <c r="E219" i="4"/>
  <c r="H218" i="4"/>
  <c r="AF218" i="4" s="1"/>
  <c r="E218" i="4"/>
  <c r="H217" i="4"/>
  <c r="AV217" i="4" s="1"/>
  <c r="E217" i="4"/>
  <c r="H216" i="4"/>
  <c r="E216" i="4"/>
  <c r="H215" i="4"/>
  <c r="AH215" i="4" s="1"/>
  <c r="AN215" i="4" s="1"/>
  <c r="E215" i="4"/>
  <c r="H214" i="4"/>
  <c r="AF214" i="4" s="1"/>
  <c r="E214" i="4"/>
  <c r="H213" i="4"/>
  <c r="AV213" i="4" s="1"/>
  <c r="E213" i="4"/>
  <c r="H212" i="4"/>
  <c r="E212" i="4"/>
  <c r="H211" i="4"/>
  <c r="AV211" i="4" s="1"/>
  <c r="E211" i="4"/>
  <c r="H210" i="4"/>
  <c r="AF210" i="4" s="1"/>
  <c r="E210" i="4"/>
  <c r="H209" i="4"/>
  <c r="E209" i="4"/>
  <c r="H208" i="4"/>
  <c r="E208" i="4"/>
  <c r="H207" i="4"/>
  <c r="AF207" i="4" s="1"/>
  <c r="E207" i="4"/>
  <c r="H206" i="4"/>
  <c r="AF206" i="4" s="1"/>
  <c r="E206" i="4"/>
  <c r="Q206" i="4" s="1"/>
  <c r="H205" i="4"/>
  <c r="AF205" i="4" s="1"/>
  <c r="E205" i="4"/>
  <c r="H204" i="4"/>
  <c r="AF204" i="4" s="1"/>
  <c r="E204" i="4"/>
  <c r="H203" i="4"/>
  <c r="E203" i="4"/>
  <c r="H202" i="4"/>
  <c r="AF202" i="4" s="1"/>
  <c r="H201" i="4"/>
  <c r="AV201" i="4" s="1"/>
  <c r="H200" i="4"/>
  <c r="H199" i="4"/>
  <c r="AH199" i="4" s="1"/>
  <c r="AN199" i="4" s="1"/>
  <c r="H198" i="4"/>
  <c r="AF198" i="4" s="1"/>
  <c r="H197" i="4"/>
  <c r="AH197" i="4" s="1"/>
  <c r="AN197" i="4" s="1"/>
  <c r="H196" i="4"/>
  <c r="AF196" i="4" s="1"/>
  <c r="H195" i="4"/>
  <c r="AV195" i="4" s="1"/>
  <c r="H194" i="4"/>
  <c r="AF194" i="4" s="1"/>
  <c r="H193" i="4"/>
  <c r="H192" i="4"/>
  <c r="H191" i="4"/>
  <c r="AF191" i="4" s="1"/>
  <c r="H190" i="4"/>
  <c r="AV190" i="4" s="1"/>
  <c r="H189" i="4"/>
  <c r="AV189" i="4" s="1"/>
  <c r="H188" i="4"/>
  <c r="AF188" i="4" s="1"/>
  <c r="H187" i="4"/>
  <c r="H186" i="4"/>
  <c r="AF186" i="4" s="1"/>
  <c r="H185" i="4"/>
  <c r="AV185" i="4" s="1"/>
  <c r="H184" i="4"/>
  <c r="H183" i="4"/>
  <c r="AF183" i="4" s="1"/>
  <c r="H182" i="4"/>
  <c r="AF182" i="4" s="1"/>
  <c r="H181" i="4"/>
  <c r="AV181" i="4" s="1"/>
  <c r="H180" i="4"/>
  <c r="AF180" i="4" s="1"/>
  <c r="H179" i="4"/>
  <c r="AH179" i="4" s="1"/>
  <c r="AN179" i="4" s="1"/>
  <c r="H178" i="4"/>
  <c r="AF178" i="4" s="1"/>
  <c r="H177" i="4"/>
  <c r="H176" i="4"/>
  <c r="H175" i="4"/>
  <c r="AV175" i="4" s="1"/>
  <c r="H174" i="4"/>
  <c r="AF174" i="4" s="1"/>
  <c r="H173" i="4"/>
  <c r="AV173" i="4" s="1"/>
  <c r="H172" i="4"/>
  <c r="H171" i="4"/>
  <c r="H170" i="4"/>
  <c r="AF170" i="4" s="1"/>
  <c r="H169" i="4"/>
  <c r="AV169" i="4" s="1"/>
  <c r="H168" i="4"/>
  <c r="H167" i="4"/>
  <c r="AH167" i="4" s="1"/>
  <c r="AN167" i="4" s="1"/>
  <c r="H166" i="4"/>
  <c r="AF166" i="4" s="1"/>
  <c r="H165" i="4"/>
  <c r="AH165" i="4" s="1"/>
  <c r="AN165" i="4" s="1"/>
  <c r="H164" i="4"/>
  <c r="AF164" i="4" s="1"/>
  <c r="H163" i="4"/>
  <c r="AV163" i="4" s="1"/>
  <c r="H162" i="4"/>
  <c r="AV162" i="4" s="1"/>
  <c r="H161" i="4"/>
  <c r="H160" i="4"/>
  <c r="H159" i="4"/>
  <c r="AH159" i="4" s="1"/>
  <c r="AN159" i="4" s="1"/>
  <c r="H158" i="4"/>
  <c r="AF158" i="4" s="1"/>
  <c r="H157" i="4"/>
  <c r="AV157" i="4" s="1"/>
  <c r="H156" i="4"/>
  <c r="AF156" i="4" s="1"/>
  <c r="H155" i="4"/>
  <c r="H154" i="4"/>
  <c r="AF154" i="4" s="1"/>
  <c r="H153" i="4"/>
  <c r="AF153" i="4" s="1"/>
  <c r="H152" i="4"/>
  <c r="H151" i="4"/>
  <c r="AV151" i="4" s="1"/>
  <c r="H150" i="4"/>
  <c r="AF150" i="4" s="1"/>
  <c r="H149" i="4"/>
  <c r="AV149" i="4" s="1"/>
  <c r="H148" i="4"/>
  <c r="AF148" i="4" s="1"/>
  <c r="H147" i="4"/>
  <c r="AV147" i="4" s="1"/>
  <c r="H146" i="4"/>
  <c r="AF146" i="4" s="1"/>
  <c r="H145" i="4"/>
  <c r="H144" i="4"/>
  <c r="H143" i="4"/>
  <c r="AV143" i="4" s="1"/>
  <c r="H142" i="4"/>
  <c r="AF142" i="4" s="1"/>
  <c r="H141" i="4"/>
  <c r="AV141" i="4" s="1"/>
  <c r="H140" i="4"/>
  <c r="AF140" i="4" s="1"/>
  <c r="H139" i="4"/>
  <c r="E139" i="4"/>
  <c r="H138" i="4"/>
  <c r="AF138" i="4" s="1"/>
  <c r="E138" i="4"/>
  <c r="H137" i="4"/>
  <c r="AV137" i="4" s="1"/>
  <c r="E137" i="4"/>
  <c r="H136" i="4"/>
  <c r="E136" i="4"/>
  <c r="H135" i="4"/>
  <c r="AV135" i="4" s="1"/>
  <c r="E135" i="4"/>
  <c r="H134" i="4"/>
  <c r="AF134" i="4" s="1"/>
  <c r="E134" i="4"/>
  <c r="H133" i="4"/>
  <c r="E133" i="4"/>
  <c r="H132" i="4"/>
  <c r="AF132" i="4" s="1"/>
  <c r="E132" i="4"/>
  <c r="Q132" i="4" s="1"/>
  <c r="H131" i="4"/>
  <c r="AF131" i="4" s="1"/>
  <c r="E131" i="4"/>
  <c r="Q131" i="4" s="1"/>
  <c r="H130" i="4"/>
  <c r="AF130" i="4" s="1"/>
  <c r="E130" i="4"/>
  <c r="Q130" i="4" s="1"/>
  <c r="H129" i="4"/>
  <c r="AF129" i="4" s="1"/>
  <c r="E129" i="4"/>
  <c r="Q129" i="4" s="1"/>
  <c r="H128" i="4"/>
  <c r="E128" i="4"/>
  <c r="Q128" i="4" s="1"/>
  <c r="H127" i="4"/>
  <c r="AF127" i="4" s="1"/>
  <c r="E127" i="4"/>
  <c r="Q127" i="4" s="1"/>
  <c r="H126" i="4"/>
  <c r="AF126" i="4" s="1"/>
  <c r="E126" i="4"/>
  <c r="Q126" i="4" s="1"/>
  <c r="G104" i="1" s="1"/>
  <c r="H104" i="1" s="1"/>
  <c r="H125" i="4"/>
  <c r="AF125" i="4" s="1"/>
  <c r="E125" i="4"/>
  <c r="Q125" i="4" s="1"/>
  <c r="H124" i="4"/>
  <c r="AV124" i="4" s="1"/>
  <c r="E124" i="4"/>
  <c r="Q124" i="4" s="1"/>
  <c r="H123" i="4"/>
  <c r="E123" i="4"/>
  <c r="Q123" i="4" s="1"/>
  <c r="H122" i="4"/>
  <c r="AF122" i="4" s="1"/>
  <c r="E122" i="4"/>
  <c r="Q122" i="4" s="1"/>
  <c r="H121" i="4"/>
  <c r="AV121" i="4" s="1"/>
  <c r="E121" i="4"/>
  <c r="Q121" i="4" s="1"/>
  <c r="H120" i="4"/>
  <c r="AV120" i="4" s="1"/>
  <c r="E120" i="4"/>
  <c r="Q120" i="4" s="1"/>
  <c r="H119" i="4"/>
  <c r="AF119" i="4" s="1"/>
  <c r="E119" i="4"/>
  <c r="Q119" i="4" s="1"/>
  <c r="H118" i="4"/>
  <c r="AF118" i="4" s="1"/>
  <c r="E118" i="4"/>
  <c r="Q118" i="4" s="1"/>
  <c r="H117" i="4"/>
  <c r="AF117" i="4" s="1"/>
  <c r="E117" i="4"/>
  <c r="Q117" i="4" s="1"/>
  <c r="H116" i="4"/>
  <c r="AF116" i="4" s="1"/>
  <c r="E116" i="4"/>
  <c r="Q116" i="4" s="1"/>
  <c r="H115" i="4"/>
  <c r="AV115" i="4" s="1"/>
  <c r="E115" i="4"/>
  <c r="Q115" i="4" s="1"/>
  <c r="H114" i="4"/>
  <c r="E114" i="4"/>
  <c r="Q114" i="4" s="1"/>
  <c r="H113" i="4"/>
  <c r="AH113" i="4" s="1"/>
  <c r="AN113" i="4" s="1"/>
  <c r="E113" i="4"/>
  <c r="Q113" i="4" s="1"/>
  <c r="H112" i="4"/>
  <c r="AV112" i="4" s="1"/>
  <c r="E112" i="4"/>
  <c r="Q112" i="4" s="1"/>
  <c r="H111" i="4"/>
  <c r="AV111" i="4" s="1"/>
  <c r="E111" i="4"/>
  <c r="Q111" i="4" s="1"/>
  <c r="H110" i="4"/>
  <c r="E110" i="4"/>
  <c r="Q110" i="4" s="1"/>
  <c r="H109" i="4"/>
  <c r="AF109" i="4" s="1"/>
  <c r="E109" i="4"/>
  <c r="Q109" i="4" s="1"/>
  <c r="H108" i="4"/>
  <c r="AF108" i="4" s="1"/>
  <c r="E108" i="4"/>
  <c r="Q108" i="4" s="1"/>
  <c r="H107" i="4"/>
  <c r="E107" i="4"/>
  <c r="Q107" i="4" s="1"/>
  <c r="H106" i="4"/>
  <c r="AV106" i="4" s="1"/>
  <c r="E106" i="4"/>
  <c r="Q106" i="4" s="1"/>
  <c r="H105" i="4"/>
  <c r="AF105" i="4" s="1"/>
  <c r="E105" i="4"/>
  <c r="Q105" i="4" s="1"/>
  <c r="H104" i="4"/>
  <c r="AV104" i="4" s="1"/>
  <c r="E104" i="4"/>
  <c r="Q104" i="4" s="1"/>
  <c r="H103" i="4"/>
  <c r="AV103" i="4" s="1"/>
  <c r="E103" i="4"/>
  <c r="Q103" i="4" s="1"/>
  <c r="H102" i="4"/>
  <c r="AF102" i="4" s="1"/>
  <c r="E102" i="4"/>
  <c r="Q102" i="4" s="1"/>
  <c r="H101" i="4"/>
  <c r="E101" i="4"/>
  <c r="Q101" i="4" s="1"/>
  <c r="H100" i="4"/>
  <c r="AF100" i="4" s="1"/>
  <c r="E100" i="4"/>
  <c r="Q100" i="4" s="1"/>
  <c r="H99" i="4"/>
  <c r="AH99" i="4" s="1"/>
  <c r="AN99" i="4" s="1"/>
  <c r="E99" i="4"/>
  <c r="Q99" i="4" s="1"/>
  <c r="H98" i="4"/>
  <c r="AF98" i="4" s="1"/>
  <c r="E98" i="4"/>
  <c r="Q98" i="4" s="1"/>
  <c r="H97" i="4"/>
  <c r="AF97" i="4" s="1"/>
  <c r="E97" i="4"/>
  <c r="Q97" i="4" s="1"/>
  <c r="H96" i="4"/>
  <c r="E96" i="4"/>
  <c r="Q96" i="4" s="1"/>
  <c r="H95" i="4"/>
  <c r="E95" i="4"/>
  <c r="Q95" i="4" s="1"/>
  <c r="H94" i="4"/>
  <c r="AF94" i="4" s="1"/>
  <c r="E94" i="4"/>
  <c r="Q94" i="4" s="1"/>
  <c r="H93" i="4"/>
  <c r="AV93" i="4" s="1"/>
  <c r="E93" i="4"/>
  <c r="Q93" i="4" s="1"/>
  <c r="H92" i="4"/>
  <c r="AF92" i="4" s="1"/>
  <c r="E92" i="4"/>
  <c r="Q92" i="4" s="1"/>
  <c r="H91" i="4"/>
  <c r="AV91" i="4" s="1"/>
  <c r="E91" i="4"/>
  <c r="Q91" i="4" s="1"/>
  <c r="H90" i="4"/>
  <c r="AF90" i="4" s="1"/>
  <c r="E90" i="4"/>
  <c r="Q90" i="4" s="1"/>
  <c r="H89" i="4"/>
  <c r="AV89" i="4" s="1"/>
  <c r="E89" i="4"/>
  <c r="Q89" i="4" s="1"/>
  <c r="H88" i="4"/>
  <c r="E88" i="4"/>
  <c r="Q88" i="4" s="1"/>
  <c r="H87" i="4"/>
  <c r="AV87" i="4" s="1"/>
  <c r="E87" i="4"/>
  <c r="Q87" i="4" s="1"/>
  <c r="H86" i="4"/>
  <c r="AF86" i="4" s="1"/>
  <c r="E86" i="4"/>
  <c r="Q86" i="4" s="1"/>
  <c r="H85" i="4"/>
  <c r="E85" i="4"/>
  <c r="Q85" i="4" s="1"/>
  <c r="H84" i="4"/>
  <c r="E84" i="4"/>
  <c r="Q84" i="4" s="1"/>
  <c r="H83" i="4"/>
  <c r="AF83" i="4" s="1"/>
  <c r="E83" i="4"/>
  <c r="Q83" i="4" s="1"/>
  <c r="H82" i="4"/>
  <c r="AF82" i="4" s="1"/>
  <c r="E82" i="4"/>
  <c r="Q82" i="4" s="1"/>
  <c r="H81" i="4"/>
  <c r="AV81" i="4" s="1"/>
  <c r="E81" i="4"/>
  <c r="Q81" i="4" s="1"/>
  <c r="H80" i="4"/>
  <c r="E80" i="4"/>
  <c r="Q80" i="4" s="1"/>
  <c r="H79" i="4"/>
  <c r="AH79" i="4" s="1"/>
  <c r="AN79" i="4" s="1"/>
  <c r="E79" i="4"/>
  <c r="Q79" i="4" s="1"/>
  <c r="H78" i="4"/>
  <c r="AF78" i="4" s="1"/>
  <c r="E78" i="4"/>
  <c r="Q78" i="4" s="1"/>
  <c r="H77" i="4"/>
  <c r="AF77" i="4" s="1"/>
  <c r="E77" i="4"/>
  <c r="Q77" i="4" s="1"/>
  <c r="H76" i="4"/>
  <c r="AF76" i="4" s="1"/>
  <c r="E76" i="4"/>
  <c r="Q76" i="4" s="1"/>
  <c r="H75" i="4"/>
  <c r="E75" i="4"/>
  <c r="Q75" i="4" s="1"/>
  <c r="H74" i="4"/>
  <c r="AF74" i="4" s="1"/>
  <c r="E74" i="4"/>
  <c r="Q74" i="4" s="1"/>
  <c r="H73" i="4"/>
  <c r="AF73" i="4" s="1"/>
  <c r="E73" i="4"/>
  <c r="Q73" i="4" s="1"/>
  <c r="H72" i="4"/>
  <c r="AF72" i="4" s="1"/>
  <c r="E72" i="4"/>
  <c r="Q72" i="4" s="1"/>
  <c r="H71" i="4"/>
  <c r="AF71" i="4" s="1"/>
  <c r="E71" i="4"/>
  <c r="Q71" i="4" s="1"/>
  <c r="H70" i="4"/>
  <c r="AF70" i="4" s="1"/>
  <c r="E70" i="4"/>
  <c r="Q70" i="4" s="1"/>
  <c r="H69" i="4"/>
  <c r="AF69" i="4" s="1"/>
  <c r="E69" i="4"/>
  <c r="Q69" i="4" s="1"/>
  <c r="H68" i="4"/>
  <c r="AF68" i="4" s="1"/>
  <c r="E68" i="4"/>
  <c r="Q68" i="4" s="1"/>
  <c r="H67" i="4"/>
  <c r="AF67" i="4" s="1"/>
  <c r="E67" i="4"/>
  <c r="Q67" i="4" s="1"/>
  <c r="H66" i="4"/>
  <c r="AF66" i="4" s="1"/>
  <c r="E66" i="4"/>
  <c r="Q66" i="4" s="1"/>
  <c r="H65" i="4"/>
  <c r="AF65" i="4" s="1"/>
  <c r="E65" i="4"/>
  <c r="Q65" i="4" s="1"/>
  <c r="H64" i="4"/>
  <c r="AF64" i="4" s="1"/>
  <c r="E64" i="4"/>
  <c r="Q64" i="4" s="1"/>
  <c r="H63" i="4"/>
  <c r="AF63" i="4" s="1"/>
  <c r="E63" i="4"/>
  <c r="Q63" i="4" s="1"/>
  <c r="H62" i="4"/>
  <c r="AF62" i="4" s="1"/>
  <c r="E62" i="4"/>
  <c r="Q62" i="4" s="1"/>
  <c r="H61" i="4"/>
  <c r="AV61" i="4" s="1"/>
  <c r="E61" i="4"/>
  <c r="Q61" i="4" s="1"/>
  <c r="H60" i="4"/>
  <c r="AF60" i="4" s="1"/>
  <c r="E60" i="4"/>
  <c r="Q60" i="4" s="1"/>
  <c r="H59" i="4"/>
  <c r="AF59" i="4" s="1"/>
  <c r="E59" i="4"/>
  <c r="Q59" i="4" s="1"/>
  <c r="H58" i="4"/>
  <c r="AF58" i="4" s="1"/>
  <c r="E58" i="4"/>
  <c r="Q58" i="4" s="1"/>
  <c r="H57" i="4"/>
  <c r="AF57" i="4" s="1"/>
  <c r="E57" i="4"/>
  <c r="Q57" i="4" s="1"/>
  <c r="H56" i="4"/>
  <c r="AF56" i="4" s="1"/>
  <c r="E56" i="4"/>
  <c r="Q56" i="4" s="1"/>
  <c r="H55" i="4"/>
  <c r="AF55" i="4" s="1"/>
  <c r="E55" i="4"/>
  <c r="Q55" i="4" s="1"/>
  <c r="H54" i="4"/>
  <c r="AF54" i="4" s="1"/>
  <c r="E54" i="4"/>
  <c r="Q54" i="4" s="1"/>
  <c r="H53" i="4"/>
  <c r="AF53" i="4" s="1"/>
  <c r="E53" i="4"/>
  <c r="Q53" i="4" s="1"/>
  <c r="H52" i="4"/>
  <c r="AF52" i="4" s="1"/>
  <c r="E52" i="4"/>
  <c r="Q52" i="4" s="1"/>
  <c r="H51" i="4"/>
  <c r="AF51" i="4" s="1"/>
  <c r="E51" i="4"/>
  <c r="Q51" i="4" s="1"/>
  <c r="H50" i="4"/>
  <c r="AF50" i="4" s="1"/>
  <c r="E50" i="4"/>
  <c r="Q50" i="4" s="1"/>
  <c r="H49" i="4"/>
  <c r="AF49" i="4" s="1"/>
  <c r="E49" i="4"/>
  <c r="Q49" i="4" s="1"/>
  <c r="H48" i="4"/>
  <c r="AF48" i="4" s="1"/>
  <c r="E48" i="4"/>
  <c r="Q48" i="4" s="1"/>
  <c r="H47" i="4"/>
  <c r="AF47" i="4" s="1"/>
  <c r="E47" i="4"/>
  <c r="Q47" i="4" s="1"/>
  <c r="H46" i="4"/>
  <c r="AF46" i="4" s="1"/>
  <c r="E46" i="4"/>
  <c r="Q46" i="4" s="1"/>
  <c r="H45" i="4"/>
  <c r="AF45" i="4" s="1"/>
  <c r="E45" i="4"/>
  <c r="Q45" i="4" s="1"/>
  <c r="H44" i="4"/>
  <c r="AF44" i="4" s="1"/>
  <c r="E44" i="4"/>
  <c r="H43" i="4"/>
  <c r="AF43" i="4" s="1"/>
  <c r="E43" i="4"/>
  <c r="H42" i="4"/>
  <c r="AF42" i="4" s="1"/>
  <c r="E42" i="4"/>
  <c r="H41" i="4"/>
  <c r="AF41" i="4" s="1"/>
  <c r="E41" i="4"/>
  <c r="H40" i="4"/>
  <c r="AF40" i="4" s="1"/>
  <c r="E40" i="4"/>
  <c r="Q40" i="4" s="1"/>
  <c r="H39" i="4"/>
  <c r="AF39" i="4" s="1"/>
  <c r="E39" i="4"/>
  <c r="Q39" i="4" s="1"/>
  <c r="H38" i="4"/>
  <c r="AF38" i="4" s="1"/>
  <c r="E38" i="4"/>
  <c r="Q38" i="4" s="1"/>
  <c r="H37" i="4"/>
  <c r="E37" i="4"/>
  <c r="Q37" i="4" s="1"/>
  <c r="H36" i="4"/>
  <c r="AF36" i="4" s="1"/>
  <c r="E36" i="4"/>
  <c r="Q36" i="4" s="1"/>
  <c r="G105" i="1" s="1"/>
  <c r="H105" i="1" s="1"/>
  <c r="H35" i="4"/>
  <c r="E35" i="4"/>
  <c r="Q35" i="4" s="1"/>
  <c r="H34" i="4"/>
  <c r="AF34" i="4" s="1"/>
  <c r="E34" i="4"/>
  <c r="Q34" i="4" s="1"/>
  <c r="H33" i="4"/>
  <c r="AF33" i="4" s="1"/>
  <c r="E33" i="4"/>
  <c r="Q33" i="4" s="1"/>
  <c r="H32" i="4"/>
  <c r="AF32" i="4" s="1"/>
  <c r="E32" i="4"/>
  <c r="Q32" i="4" s="1"/>
  <c r="H31" i="4"/>
  <c r="AF31" i="4" s="1"/>
  <c r="E31" i="4"/>
  <c r="Q31" i="4" s="1"/>
  <c r="H30" i="4"/>
  <c r="AF30" i="4" s="1"/>
  <c r="E30" i="4"/>
  <c r="Q30" i="4" s="1"/>
  <c r="H29" i="4"/>
  <c r="AF29" i="4" s="1"/>
  <c r="E29" i="4"/>
  <c r="Q29" i="4" s="1"/>
  <c r="H28" i="4"/>
  <c r="AF28" i="4" s="1"/>
  <c r="E28" i="4"/>
  <c r="Q28" i="4" s="1"/>
  <c r="H27" i="4"/>
  <c r="AF27" i="4" s="1"/>
  <c r="E27" i="4"/>
  <c r="Q27" i="4" s="1"/>
  <c r="H26" i="4"/>
  <c r="AF26" i="4" s="1"/>
  <c r="E26" i="4"/>
  <c r="H25" i="4"/>
  <c r="AF25" i="4" s="1"/>
  <c r="E25" i="4"/>
  <c r="H24" i="4"/>
  <c r="AF24" i="4" s="1"/>
  <c r="E24" i="4"/>
  <c r="H23" i="4"/>
  <c r="AF23" i="4" s="1"/>
  <c r="E23" i="4"/>
  <c r="H22" i="4"/>
  <c r="AF22" i="4" s="1"/>
  <c r="E22" i="4"/>
  <c r="H21" i="4"/>
  <c r="AF21" i="4" s="1"/>
  <c r="E21" i="4"/>
  <c r="H20" i="4"/>
  <c r="AF20" i="4" s="1"/>
  <c r="E20" i="4"/>
  <c r="H19" i="4"/>
  <c r="AF19" i="4" s="1"/>
  <c r="E19" i="4"/>
  <c r="H18" i="4"/>
  <c r="AF18" i="4" s="1"/>
  <c r="E18" i="4"/>
  <c r="H17" i="4"/>
  <c r="AH17" i="4" s="1"/>
  <c r="AN17" i="4" s="1"/>
  <c r="E17" i="4"/>
  <c r="H16" i="4"/>
  <c r="AF16" i="4" s="1"/>
  <c r="E16" i="4"/>
  <c r="H15" i="4"/>
  <c r="AF15" i="4" s="1"/>
  <c r="E15" i="4"/>
  <c r="H14" i="4"/>
  <c r="AF14" i="4" s="1"/>
  <c r="E14" i="4"/>
  <c r="H13" i="4"/>
  <c r="AF13" i="4" s="1"/>
  <c r="E13" i="4"/>
  <c r="H12" i="4"/>
  <c r="AF12" i="4" s="1"/>
  <c r="E12" i="4"/>
  <c r="H11" i="4"/>
  <c r="AF11" i="4" s="1"/>
  <c r="E11" i="4"/>
  <c r="H10" i="4"/>
  <c r="AF10" i="4" s="1"/>
  <c r="E10" i="4"/>
  <c r="H9" i="4"/>
  <c r="AF9" i="4" s="1"/>
  <c r="E9" i="4"/>
  <c r="H8" i="4"/>
  <c r="AF8" i="4" s="1"/>
  <c r="E8" i="4"/>
  <c r="AI546" i="4"/>
  <c r="AG546" i="4"/>
  <c r="AE546" i="4"/>
  <c r="AD546" i="4"/>
  <c r="AC546" i="4"/>
  <c r="AB546" i="4"/>
  <c r="AA546" i="4"/>
  <c r="Z546" i="4"/>
  <c r="AI545" i="4"/>
  <c r="AG545" i="4"/>
  <c r="AE545" i="4"/>
  <c r="AD545" i="4"/>
  <c r="AC545" i="4"/>
  <c r="AB545" i="4"/>
  <c r="AA545" i="4"/>
  <c r="Z545" i="4"/>
  <c r="AI544" i="4"/>
  <c r="AG544" i="4"/>
  <c r="AE544" i="4"/>
  <c r="AD544" i="4"/>
  <c r="AC544" i="4"/>
  <c r="AB544" i="4"/>
  <c r="AA544" i="4"/>
  <c r="Z544" i="4"/>
  <c r="AI543" i="4"/>
  <c r="AG543" i="4"/>
  <c r="AE543" i="4"/>
  <c r="AD543" i="4"/>
  <c r="AC543" i="4"/>
  <c r="AB543" i="4"/>
  <c r="AA543" i="4"/>
  <c r="Z543" i="4"/>
  <c r="AI542" i="4"/>
  <c r="AG542" i="4"/>
  <c r="AE542" i="4"/>
  <c r="AD542" i="4"/>
  <c r="AC542" i="4"/>
  <c r="AB542" i="4"/>
  <c r="AA542" i="4"/>
  <c r="Z542" i="4"/>
  <c r="AI541" i="4"/>
  <c r="AG541" i="4"/>
  <c r="AE541" i="4"/>
  <c r="AD541" i="4"/>
  <c r="AC541" i="4"/>
  <c r="AB541" i="4"/>
  <c r="AA541" i="4"/>
  <c r="Z541" i="4"/>
  <c r="AI540" i="4"/>
  <c r="AG540" i="4"/>
  <c r="AE540" i="4"/>
  <c r="AD540" i="4"/>
  <c r="AC540" i="4"/>
  <c r="AB540" i="4"/>
  <c r="AA540" i="4"/>
  <c r="Z540" i="4"/>
  <c r="AI539" i="4"/>
  <c r="AG539" i="4"/>
  <c r="AE539" i="4"/>
  <c r="AD539" i="4"/>
  <c r="AC539" i="4"/>
  <c r="AB539" i="4"/>
  <c r="AA539" i="4"/>
  <c r="Z539" i="4"/>
  <c r="AI538" i="4"/>
  <c r="AG538" i="4"/>
  <c r="AE538" i="4"/>
  <c r="AD538" i="4"/>
  <c r="AC538" i="4"/>
  <c r="AB538" i="4"/>
  <c r="AA538" i="4"/>
  <c r="Z538" i="4"/>
  <c r="AI537" i="4"/>
  <c r="AG537" i="4"/>
  <c r="AE537" i="4"/>
  <c r="AD537" i="4"/>
  <c r="AC537" i="4"/>
  <c r="AB537" i="4"/>
  <c r="AA537" i="4"/>
  <c r="Z537" i="4"/>
  <c r="AI536" i="4"/>
  <c r="AG536" i="4"/>
  <c r="AE536" i="4"/>
  <c r="AD536" i="4"/>
  <c r="AC536" i="4"/>
  <c r="AB536" i="4"/>
  <c r="AA536" i="4"/>
  <c r="Z536" i="4"/>
  <c r="AI535" i="4"/>
  <c r="AG535" i="4"/>
  <c r="AE535" i="4"/>
  <c r="AD535" i="4"/>
  <c r="AC535" i="4"/>
  <c r="AB535" i="4"/>
  <c r="AA535" i="4"/>
  <c r="Z535" i="4"/>
  <c r="AI534" i="4"/>
  <c r="AG534" i="4"/>
  <c r="AE534" i="4"/>
  <c r="AD534" i="4"/>
  <c r="AC534" i="4"/>
  <c r="AB534" i="4"/>
  <c r="AA534" i="4"/>
  <c r="Z534" i="4"/>
  <c r="AI533" i="4"/>
  <c r="AG533" i="4"/>
  <c r="AE533" i="4"/>
  <c r="AD533" i="4"/>
  <c r="AC533" i="4"/>
  <c r="AB533" i="4"/>
  <c r="AA533" i="4"/>
  <c r="Z533" i="4"/>
  <c r="AI532" i="4"/>
  <c r="AG532" i="4"/>
  <c r="AE532" i="4"/>
  <c r="AD532" i="4"/>
  <c r="AC532" i="4"/>
  <c r="AB532" i="4"/>
  <c r="AA532" i="4"/>
  <c r="Z532" i="4"/>
  <c r="AI530" i="4"/>
  <c r="AG530" i="4"/>
  <c r="AE530" i="4"/>
  <c r="AD530" i="4"/>
  <c r="AC530" i="4"/>
  <c r="AB530" i="4"/>
  <c r="AA530" i="4"/>
  <c r="Z530" i="4"/>
  <c r="AI529" i="4"/>
  <c r="AG529" i="4"/>
  <c r="AE529" i="4"/>
  <c r="AD529" i="4"/>
  <c r="AC529" i="4"/>
  <c r="AB529" i="4"/>
  <c r="AA529" i="4"/>
  <c r="Z529" i="4"/>
  <c r="AI528" i="4"/>
  <c r="AG528" i="4"/>
  <c r="AE528" i="4"/>
  <c r="AD528" i="4"/>
  <c r="AC528" i="4"/>
  <c r="AB528" i="4"/>
  <c r="AA528" i="4"/>
  <c r="Z528" i="4"/>
  <c r="AI527" i="4"/>
  <c r="AG527" i="4"/>
  <c r="AE527" i="4"/>
  <c r="AD527" i="4"/>
  <c r="AC527" i="4"/>
  <c r="AB527" i="4"/>
  <c r="AA527" i="4"/>
  <c r="Z527" i="4"/>
  <c r="AI526" i="4"/>
  <c r="AG526" i="4"/>
  <c r="AE526" i="4"/>
  <c r="AD526" i="4"/>
  <c r="AC526" i="4"/>
  <c r="AB526" i="4"/>
  <c r="AA526" i="4"/>
  <c r="Z526" i="4"/>
  <c r="AI525" i="4"/>
  <c r="AG525" i="4"/>
  <c r="AE525" i="4"/>
  <c r="AD525" i="4"/>
  <c r="AC525" i="4"/>
  <c r="AB525" i="4"/>
  <c r="AA525" i="4"/>
  <c r="Z525" i="4"/>
  <c r="AI524" i="4"/>
  <c r="AG524" i="4"/>
  <c r="AE524" i="4"/>
  <c r="AD524" i="4"/>
  <c r="AC524" i="4"/>
  <c r="AB524" i="4"/>
  <c r="AA524" i="4"/>
  <c r="Z524" i="4"/>
  <c r="AI523" i="4"/>
  <c r="AG523" i="4"/>
  <c r="AE523" i="4"/>
  <c r="AD523" i="4"/>
  <c r="AC523" i="4"/>
  <c r="AB523" i="4"/>
  <c r="AA523" i="4"/>
  <c r="Z523" i="4"/>
  <c r="AI522" i="4"/>
  <c r="AG522" i="4"/>
  <c r="AE522" i="4"/>
  <c r="AD522" i="4"/>
  <c r="AC522" i="4"/>
  <c r="AB522" i="4"/>
  <c r="AA522" i="4"/>
  <c r="Z522" i="4"/>
  <c r="AI521" i="4"/>
  <c r="AG521" i="4"/>
  <c r="AE521" i="4"/>
  <c r="AD521" i="4"/>
  <c r="AC521" i="4"/>
  <c r="AB521" i="4"/>
  <c r="AA521" i="4"/>
  <c r="Z521" i="4"/>
  <c r="AI520" i="4"/>
  <c r="AG520" i="4"/>
  <c r="AE520" i="4"/>
  <c r="AD520" i="4"/>
  <c r="AC520" i="4"/>
  <c r="AB520" i="4"/>
  <c r="AA520" i="4"/>
  <c r="Z520" i="4"/>
  <c r="AI519" i="4"/>
  <c r="AG519" i="4"/>
  <c r="AE519" i="4"/>
  <c r="AD519" i="4"/>
  <c r="AC519" i="4"/>
  <c r="AB519" i="4"/>
  <c r="AA519" i="4"/>
  <c r="Z519" i="4"/>
  <c r="AI518" i="4"/>
  <c r="AG518" i="4"/>
  <c r="AE518" i="4"/>
  <c r="AD518" i="4"/>
  <c r="AC518" i="4"/>
  <c r="AB518" i="4"/>
  <c r="AA518" i="4"/>
  <c r="Z518" i="4"/>
  <c r="AI517" i="4"/>
  <c r="AG517" i="4"/>
  <c r="AE517" i="4"/>
  <c r="AD517" i="4"/>
  <c r="AC517" i="4"/>
  <c r="AB517" i="4"/>
  <c r="AA517" i="4"/>
  <c r="Z517" i="4"/>
  <c r="AI515" i="4"/>
  <c r="AG515" i="4"/>
  <c r="AE515" i="4"/>
  <c r="AD515" i="4"/>
  <c r="AC515" i="4"/>
  <c r="AB515" i="4"/>
  <c r="AA515" i="4"/>
  <c r="Z515" i="4"/>
  <c r="AI514" i="4"/>
  <c r="AG514" i="4"/>
  <c r="AE514" i="4"/>
  <c r="AD514" i="4"/>
  <c r="AC514" i="4"/>
  <c r="AB514" i="4"/>
  <c r="AA514" i="4"/>
  <c r="Z514" i="4"/>
  <c r="AI513" i="4"/>
  <c r="AG513" i="4"/>
  <c r="AE513" i="4"/>
  <c r="AD513" i="4"/>
  <c r="AC513" i="4"/>
  <c r="AB513" i="4"/>
  <c r="AA513" i="4"/>
  <c r="Z513" i="4"/>
  <c r="AI512" i="4"/>
  <c r="AG512" i="4"/>
  <c r="AE512" i="4"/>
  <c r="AD512" i="4"/>
  <c r="AC512" i="4"/>
  <c r="AB512" i="4"/>
  <c r="AA512" i="4"/>
  <c r="Z512" i="4"/>
  <c r="AI511" i="4"/>
  <c r="AG511" i="4"/>
  <c r="AE511" i="4"/>
  <c r="AD511" i="4"/>
  <c r="AC511" i="4"/>
  <c r="AB511" i="4"/>
  <c r="AA511" i="4"/>
  <c r="Z511" i="4"/>
  <c r="AI506" i="4"/>
  <c r="AG506" i="4"/>
  <c r="AE506" i="4"/>
  <c r="AD506" i="4"/>
  <c r="AC506" i="4"/>
  <c r="AB506" i="4"/>
  <c r="AA506" i="4"/>
  <c r="Z506" i="4"/>
  <c r="AI505" i="4"/>
  <c r="AG505" i="4"/>
  <c r="AE505" i="4"/>
  <c r="AD505" i="4"/>
  <c r="AC505" i="4"/>
  <c r="AB505" i="4"/>
  <c r="AA505" i="4"/>
  <c r="Z505" i="4"/>
  <c r="AI504" i="4"/>
  <c r="AG504" i="4"/>
  <c r="AE504" i="4"/>
  <c r="AD504" i="4"/>
  <c r="AC504" i="4"/>
  <c r="AB504" i="4"/>
  <c r="AA504" i="4"/>
  <c r="Z504" i="4"/>
  <c r="AI500" i="4"/>
  <c r="AG500" i="4"/>
  <c r="AE500" i="4"/>
  <c r="AD500" i="4"/>
  <c r="AC500" i="4"/>
  <c r="AB500" i="4"/>
  <c r="AA500" i="4"/>
  <c r="Z500" i="4"/>
  <c r="AI499" i="4"/>
  <c r="AG499" i="4"/>
  <c r="AE499" i="4"/>
  <c r="AD499" i="4"/>
  <c r="AC499" i="4"/>
  <c r="AB499" i="4"/>
  <c r="AA499" i="4"/>
  <c r="Z499" i="4"/>
  <c r="AI498" i="4"/>
  <c r="AG498" i="4"/>
  <c r="AE498" i="4"/>
  <c r="AD498" i="4"/>
  <c r="AC498" i="4"/>
  <c r="AB498" i="4"/>
  <c r="AA498" i="4"/>
  <c r="Z498" i="4"/>
  <c r="AI497" i="4"/>
  <c r="AG497" i="4"/>
  <c r="AE497" i="4"/>
  <c r="AD497" i="4"/>
  <c r="AC497" i="4"/>
  <c r="AB497" i="4"/>
  <c r="AA497" i="4"/>
  <c r="Z497" i="4"/>
  <c r="AI496" i="4"/>
  <c r="AG496" i="4"/>
  <c r="AE496" i="4"/>
  <c r="AD496" i="4"/>
  <c r="AC496" i="4"/>
  <c r="AB496" i="4"/>
  <c r="AA496" i="4"/>
  <c r="Z496" i="4"/>
  <c r="AI495" i="4"/>
  <c r="AG495" i="4"/>
  <c r="AE495" i="4"/>
  <c r="AD495" i="4"/>
  <c r="AC495" i="4"/>
  <c r="AB495" i="4"/>
  <c r="AA495" i="4"/>
  <c r="Z495" i="4"/>
  <c r="AI494" i="4"/>
  <c r="AG494" i="4"/>
  <c r="AE494" i="4"/>
  <c r="AD494" i="4"/>
  <c r="AC494" i="4"/>
  <c r="AB494" i="4"/>
  <c r="AA494" i="4"/>
  <c r="Z494" i="4"/>
  <c r="AI493" i="4"/>
  <c r="AG493" i="4"/>
  <c r="AE493" i="4"/>
  <c r="AD493" i="4"/>
  <c r="AC493" i="4"/>
  <c r="AB493" i="4"/>
  <c r="AA493" i="4"/>
  <c r="Z493" i="4"/>
  <c r="AI491" i="4"/>
  <c r="AG491" i="4"/>
  <c r="AE491" i="4"/>
  <c r="AD491" i="4"/>
  <c r="AC491" i="4"/>
  <c r="AB491" i="4"/>
  <c r="AA491" i="4"/>
  <c r="Z491" i="4"/>
  <c r="AI490" i="4"/>
  <c r="AG490" i="4"/>
  <c r="AE490" i="4"/>
  <c r="AD490" i="4"/>
  <c r="AC490" i="4"/>
  <c r="AB490" i="4"/>
  <c r="AA490" i="4"/>
  <c r="Z490" i="4"/>
  <c r="AI489" i="4"/>
  <c r="AG489" i="4"/>
  <c r="AE489" i="4"/>
  <c r="AD489" i="4"/>
  <c r="AC489" i="4"/>
  <c r="AB489" i="4"/>
  <c r="AA489" i="4"/>
  <c r="Z489" i="4"/>
  <c r="AI487" i="4"/>
  <c r="AG487" i="4"/>
  <c r="AE487" i="4"/>
  <c r="AD487" i="4"/>
  <c r="AC487" i="4"/>
  <c r="AB487" i="4"/>
  <c r="AA487" i="4"/>
  <c r="Z487" i="4"/>
  <c r="AI486" i="4"/>
  <c r="AG486" i="4"/>
  <c r="AE486" i="4"/>
  <c r="AD486" i="4"/>
  <c r="AC486" i="4"/>
  <c r="AB486" i="4"/>
  <c r="AA486" i="4"/>
  <c r="Z486" i="4"/>
  <c r="AI482" i="4"/>
  <c r="AG482" i="4"/>
  <c r="AE482" i="4"/>
  <c r="AD482" i="4"/>
  <c r="AC482" i="4"/>
  <c r="AB482" i="4"/>
  <c r="AA482" i="4"/>
  <c r="Z482" i="4"/>
  <c r="AI481" i="4"/>
  <c r="AG481" i="4"/>
  <c r="AE481" i="4"/>
  <c r="AD481" i="4"/>
  <c r="AC481" i="4"/>
  <c r="AB481" i="4"/>
  <c r="AA481" i="4"/>
  <c r="Z481" i="4"/>
  <c r="AI480" i="4"/>
  <c r="AG480" i="4"/>
  <c r="AE480" i="4"/>
  <c r="AD480" i="4"/>
  <c r="AC480" i="4"/>
  <c r="AB480" i="4"/>
  <c r="AA480" i="4"/>
  <c r="Z480" i="4"/>
  <c r="AI479" i="4"/>
  <c r="AG479" i="4"/>
  <c r="AE479" i="4"/>
  <c r="AD479" i="4"/>
  <c r="AC479" i="4"/>
  <c r="AB479" i="4"/>
  <c r="AA479" i="4"/>
  <c r="Z479" i="4"/>
  <c r="AI478" i="4"/>
  <c r="AG478" i="4"/>
  <c r="AE478" i="4"/>
  <c r="AD478" i="4"/>
  <c r="AC478" i="4"/>
  <c r="AB478" i="4"/>
  <c r="AA478" i="4"/>
  <c r="Z478" i="4"/>
  <c r="AI477" i="4"/>
  <c r="AG477" i="4"/>
  <c r="AE477" i="4"/>
  <c r="AD477" i="4"/>
  <c r="AC477" i="4"/>
  <c r="AB477" i="4"/>
  <c r="AA477" i="4"/>
  <c r="Z477" i="4"/>
  <c r="AI476" i="4"/>
  <c r="AG476" i="4"/>
  <c r="AE476" i="4"/>
  <c r="AD476" i="4"/>
  <c r="AC476" i="4"/>
  <c r="AB476" i="4"/>
  <c r="AA476" i="4"/>
  <c r="Z476" i="4"/>
  <c r="AI475" i="4"/>
  <c r="AG475" i="4"/>
  <c r="AE475" i="4"/>
  <c r="AD475" i="4"/>
  <c r="AC475" i="4"/>
  <c r="AB475" i="4"/>
  <c r="AA475" i="4"/>
  <c r="Z475" i="4"/>
  <c r="AI474" i="4"/>
  <c r="AG474" i="4"/>
  <c r="AE474" i="4"/>
  <c r="AD474" i="4"/>
  <c r="AC474" i="4"/>
  <c r="AB474" i="4"/>
  <c r="AA474" i="4"/>
  <c r="Z474" i="4"/>
  <c r="AI473" i="4"/>
  <c r="AG473" i="4"/>
  <c r="AE473" i="4"/>
  <c r="AD473" i="4"/>
  <c r="AC473" i="4"/>
  <c r="AB473" i="4"/>
  <c r="AA473" i="4"/>
  <c r="Z473" i="4"/>
  <c r="AI472" i="4"/>
  <c r="AG472" i="4"/>
  <c r="AE472" i="4"/>
  <c r="AD472" i="4"/>
  <c r="AC472" i="4"/>
  <c r="AB472" i="4"/>
  <c r="AA472" i="4"/>
  <c r="Z472" i="4"/>
  <c r="AI471" i="4"/>
  <c r="AG471" i="4"/>
  <c r="AE471" i="4"/>
  <c r="AD471" i="4"/>
  <c r="AC471" i="4"/>
  <c r="AB471" i="4"/>
  <c r="AA471" i="4"/>
  <c r="Z471" i="4"/>
  <c r="AI470" i="4"/>
  <c r="AG470" i="4"/>
  <c r="AE470" i="4"/>
  <c r="AD470" i="4"/>
  <c r="AC470" i="4"/>
  <c r="AB470" i="4"/>
  <c r="AA470" i="4"/>
  <c r="Z470" i="4"/>
  <c r="AI469" i="4"/>
  <c r="AG469" i="4"/>
  <c r="AE469" i="4"/>
  <c r="AD469" i="4"/>
  <c r="AC469" i="4"/>
  <c r="AB469" i="4"/>
  <c r="AA469" i="4"/>
  <c r="Z469" i="4"/>
  <c r="AI468" i="4"/>
  <c r="AG468" i="4"/>
  <c r="AE468" i="4"/>
  <c r="AD468" i="4"/>
  <c r="AC468" i="4"/>
  <c r="AB468" i="4"/>
  <c r="AA468" i="4"/>
  <c r="Z468" i="4"/>
  <c r="AI467" i="4"/>
  <c r="AG467" i="4"/>
  <c r="AE467" i="4"/>
  <c r="AD467" i="4"/>
  <c r="AC467" i="4"/>
  <c r="AB467" i="4"/>
  <c r="AA467" i="4"/>
  <c r="Z467" i="4"/>
  <c r="AI451" i="4"/>
  <c r="AG451" i="4"/>
  <c r="AE451" i="4"/>
  <c r="AD451" i="4"/>
  <c r="AC451" i="4"/>
  <c r="AB451" i="4"/>
  <c r="AA451" i="4"/>
  <c r="Z451" i="4"/>
  <c r="AI455" i="4"/>
  <c r="AG455" i="4"/>
  <c r="AE455" i="4"/>
  <c r="AD455" i="4"/>
  <c r="AC455" i="4"/>
  <c r="AB455" i="4"/>
  <c r="AA455" i="4"/>
  <c r="Z455" i="4"/>
  <c r="AI453" i="4"/>
  <c r="AG453" i="4"/>
  <c r="AE453" i="4"/>
  <c r="AD453" i="4"/>
  <c r="AC453" i="4"/>
  <c r="AB453" i="4"/>
  <c r="AA453" i="4"/>
  <c r="Z453" i="4"/>
  <c r="AI452" i="4"/>
  <c r="AG452" i="4"/>
  <c r="AE452" i="4"/>
  <c r="AD452" i="4"/>
  <c r="AC452" i="4"/>
  <c r="AB452" i="4"/>
  <c r="AA452" i="4"/>
  <c r="Z452" i="4"/>
  <c r="AI448" i="4"/>
  <c r="AG448" i="4"/>
  <c r="AE448" i="4"/>
  <c r="AD448" i="4"/>
  <c r="AC448" i="4"/>
  <c r="AB448" i="4"/>
  <c r="AA448" i="4"/>
  <c r="Z448" i="4"/>
  <c r="AI447" i="4"/>
  <c r="AG447" i="4"/>
  <c r="AE447" i="4"/>
  <c r="AD447" i="4"/>
  <c r="AC447" i="4"/>
  <c r="AB447" i="4"/>
  <c r="AA447" i="4"/>
  <c r="Z447" i="4"/>
  <c r="AI446" i="4"/>
  <c r="AG446" i="4"/>
  <c r="AE446" i="4"/>
  <c r="AD446" i="4"/>
  <c r="AC446" i="4"/>
  <c r="AB446" i="4"/>
  <c r="AA446" i="4"/>
  <c r="Z446" i="4"/>
  <c r="AI445" i="4"/>
  <c r="AG445" i="4"/>
  <c r="AE445" i="4"/>
  <c r="AD445" i="4"/>
  <c r="AC445" i="4"/>
  <c r="AB445" i="4"/>
  <c r="AA445" i="4"/>
  <c r="Z445" i="4"/>
  <c r="AI444" i="4"/>
  <c r="AG444" i="4"/>
  <c r="AE444" i="4"/>
  <c r="AD444" i="4"/>
  <c r="AC444" i="4"/>
  <c r="AB444" i="4"/>
  <c r="AA444" i="4"/>
  <c r="Z444" i="4"/>
  <c r="AI443" i="4"/>
  <c r="AG443" i="4"/>
  <c r="AE443" i="4"/>
  <c r="AD443" i="4"/>
  <c r="AC443" i="4"/>
  <c r="AB443" i="4"/>
  <c r="AA443" i="4"/>
  <c r="Z443" i="4"/>
  <c r="AI442" i="4"/>
  <c r="AG442" i="4"/>
  <c r="AE442" i="4"/>
  <c r="AD442" i="4"/>
  <c r="AC442" i="4"/>
  <c r="AB442" i="4"/>
  <c r="AA442" i="4"/>
  <c r="Z442" i="4"/>
  <c r="AI441" i="4"/>
  <c r="AG441" i="4"/>
  <c r="AE441" i="4"/>
  <c r="AD441" i="4"/>
  <c r="AC441" i="4"/>
  <c r="AB441" i="4"/>
  <c r="AA441" i="4"/>
  <c r="Z441" i="4"/>
  <c r="AI440" i="4"/>
  <c r="AG440" i="4"/>
  <c r="AE440" i="4"/>
  <c r="AD440" i="4"/>
  <c r="AC440" i="4"/>
  <c r="AB440" i="4"/>
  <c r="AA440" i="4"/>
  <c r="Z440" i="4"/>
  <c r="AI439" i="4"/>
  <c r="AG439" i="4"/>
  <c r="AE439" i="4"/>
  <c r="AD439" i="4"/>
  <c r="AC439" i="4"/>
  <c r="AB439" i="4"/>
  <c r="AA439" i="4"/>
  <c r="Z439" i="4"/>
  <c r="AI438" i="4"/>
  <c r="AG438" i="4"/>
  <c r="AE438" i="4"/>
  <c r="AD438" i="4"/>
  <c r="AC438" i="4"/>
  <c r="AB438" i="4"/>
  <c r="AA438" i="4"/>
  <c r="Z438" i="4"/>
  <c r="AI437" i="4"/>
  <c r="AG437" i="4"/>
  <c r="AE437" i="4"/>
  <c r="AD437" i="4"/>
  <c r="AC437" i="4"/>
  <c r="AB437" i="4"/>
  <c r="AA437" i="4"/>
  <c r="Z437" i="4"/>
  <c r="AI436" i="4"/>
  <c r="AG436" i="4"/>
  <c r="AE436" i="4"/>
  <c r="AD436" i="4"/>
  <c r="AC436" i="4"/>
  <c r="AB436" i="4"/>
  <c r="AA436" i="4"/>
  <c r="Z436" i="4"/>
  <c r="AI435" i="4"/>
  <c r="AG435" i="4"/>
  <c r="AE435" i="4"/>
  <c r="AD435" i="4"/>
  <c r="AC435" i="4"/>
  <c r="AB435" i="4"/>
  <c r="AA435" i="4"/>
  <c r="Z435" i="4"/>
  <c r="AI434" i="4"/>
  <c r="AG434" i="4"/>
  <c r="AE434" i="4"/>
  <c r="AD434" i="4"/>
  <c r="AC434" i="4"/>
  <c r="AB434" i="4"/>
  <c r="AA434" i="4"/>
  <c r="Z434" i="4"/>
  <c r="AI433" i="4"/>
  <c r="AG433" i="4"/>
  <c r="AE433" i="4"/>
  <c r="AD433" i="4"/>
  <c r="AC433" i="4"/>
  <c r="AB433" i="4"/>
  <c r="AA433" i="4"/>
  <c r="Z433" i="4"/>
  <c r="AI432" i="4"/>
  <c r="AG432" i="4"/>
  <c r="AE432" i="4"/>
  <c r="AD432" i="4"/>
  <c r="AC432" i="4"/>
  <c r="AB432" i="4"/>
  <c r="AA432" i="4"/>
  <c r="Z432" i="4"/>
  <c r="AI431" i="4"/>
  <c r="AG431" i="4"/>
  <c r="AE431" i="4"/>
  <c r="AD431" i="4"/>
  <c r="AC431" i="4"/>
  <c r="AB431" i="4"/>
  <c r="AA431" i="4"/>
  <c r="Z431" i="4"/>
  <c r="AI430" i="4"/>
  <c r="AG430" i="4"/>
  <c r="AE430" i="4"/>
  <c r="AD430" i="4"/>
  <c r="AC430" i="4"/>
  <c r="AB430" i="4"/>
  <c r="AA430" i="4"/>
  <c r="Z430" i="4"/>
  <c r="AI429" i="4"/>
  <c r="AG429" i="4"/>
  <c r="AE429" i="4"/>
  <c r="AD429" i="4"/>
  <c r="AC429" i="4"/>
  <c r="AB429" i="4"/>
  <c r="AA429" i="4"/>
  <c r="Z429" i="4"/>
  <c r="AI428" i="4"/>
  <c r="AG428" i="4"/>
  <c r="AE428" i="4"/>
  <c r="AD428" i="4"/>
  <c r="AC428" i="4"/>
  <c r="AB428" i="4"/>
  <c r="AA428" i="4"/>
  <c r="Z428" i="4"/>
  <c r="AI427" i="4"/>
  <c r="AG427" i="4"/>
  <c r="AE427" i="4"/>
  <c r="AD427" i="4"/>
  <c r="AC427" i="4"/>
  <c r="AB427" i="4"/>
  <c r="AA427" i="4"/>
  <c r="Z427" i="4"/>
  <c r="AI426" i="4"/>
  <c r="AG426" i="4"/>
  <c r="AE426" i="4"/>
  <c r="AD426" i="4"/>
  <c r="AC426" i="4"/>
  <c r="AB426" i="4"/>
  <c r="AA426" i="4"/>
  <c r="Z426" i="4"/>
  <c r="AI425" i="4"/>
  <c r="AG425" i="4"/>
  <c r="AE425" i="4"/>
  <c r="AD425" i="4"/>
  <c r="AC425" i="4"/>
  <c r="AB425" i="4"/>
  <c r="AA425" i="4"/>
  <c r="Z425" i="4"/>
  <c r="AI424" i="4"/>
  <c r="AG424" i="4"/>
  <c r="AE424" i="4"/>
  <c r="AD424" i="4"/>
  <c r="AC424" i="4"/>
  <c r="AB424" i="4"/>
  <c r="AA424" i="4"/>
  <c r="Z424" i="4"/>
  <c r="AI423" i="4"/>
  <c r="AG423" i="4"/>
  <c r="AE423" i="4"/>
  <c r="AD423" i="4"/>
  <c r="AC423" i="4"/>
  <c r="AB423" i="4"/>
  <c r="AA423" i="4"/>
  <c r="Z423" i="4"/>
  <c r="AI422" i="4"/>
  <c r="AG422" i="4"/>
  <c r="AE422" i="4"/>
  <c r="AD422" i="4"/>
  <c r="AC422" i="4"/>
  <c r="AB422" i="4"/>
  <c r="AA422" i="4"/>
  <c r="Z422" i="4"/>
  <c r="AI421" i="4"/>
  <c r="AG421" i="4"/>
  <c r="AE421" i="4"/>
  <c r="AD421" i="4"/>
  <c r="AC421" i="4"/>
  <c r="AB421" i="4"/>
  <c r="AA421" i="4"/>
  <c r="Z421" i="4"/>
  <c r="AI420" i="4"/>
  <c r="AG420" i="4"/>
  <c r="AE420" i="4"/>
  <c r="AD420" i="4"/>
  <c r="AC420" i="4"/>
  <c r="AB420" i="4"/>
  <c r="AA420" i="4"/>
  <c r="Z420" i="4"/>
  <c r="AI419" i="4"/>
  <c r="AG419" i="4"/>
  <c r="AE419" i="4"/>
  <c r="AD419" i="4"/>
  <c r="AC419" i="4"/>
  <c r="AB419" i="4"/>
  <c r="AA419" i="4"/>
  <c r="Z419" i="4"/>
  <c r="AI417" i="4"/>
  <c r="AG417" i="4"/>
  <c r="AE417" i="4"/>
  <c r="AD417" i="4"/>
  <c r="AC417" i="4"/>
  <c r="AB417" i="4"/>
  <c r="AA417" i="4"/>
  <c r="Z417" i="4"/>
  <c r="AI416" i="4"/>
  <c r="AG416" i="4"/>
  <c r="AE416" i="4"/>
  <c r="AD416" i="4"/>
  <c r="AC416" i="4"/>
  <c r="AB416" i="4"/>
  <c r="AA416" i="4"/>
  <c r="Z416" i="4"/>
  <c r="AI415" i="4"/>
  <c r="AG415" i="4"/>
  <c r="AE415" i="4"/>
  <c r="AD415" i="4"/>
  <c r="AC415" i="4"/>
  <c r="AB415" i="4"/>
  <c r="AA415" i="4"/>
  <c r="Z415" i="4"/>
  <c r="AI414" i="4"/>
  <c r="AG414" i="4"/>
  <c r="AE414" i="4"/>
  <c r="AD414" i="4"/>
  <c r="AC414" i="4"/>
  <c r="AB414" i="4"/>
  <c r="AA414" i="4"/>
  <c r="Z414" i="4"/>
  <c r="AI413" i="4"/>
  <c r="AG413" i="4"/>
  <c r="AE413" i="4"/>
  <c r="AD413" i="4"/>
  <c r="AC413" i="4"/>
  <c r="AB413" i="4"/>
  <c r="AA413" i="4"/>
  <c r="Z413" i="4"/>
  <c r="AI412" i="4"/>
  <c r="AG412" i="4"/>
  <c r="AE412" i="4"/>
  <c r="AD412" i="4"/>
  <c r="AC412" i="4"/>
  <c r="AB412" i="4"/>
  <c r="AA412" i="4"/>
  <c r="Z412" i="4"/>
  <c r="AI411" i="4"/>
  <c r="AG411" i="4"/>
  <c r="AE411" i="4"/>
  <c r="AD411" i="4"/>
  <c r="AC411" i="4"/>
  <c r="AB411" i="4"/>
  <c r="AA411" i="4"/>
  <c r="Z411" i="4"/>
  <c r="AI410" i="4"/>
  <c r="AG410" i="4"/>
  <c r="AE410" i="4"/>
  <c r="AD410" i="4"/>
  <c r="AC410" i="4"/>
  <c r="AB410" i="4"/>
  <c r="AA410" i="4"/>
  <c r="Z410" i="4"/>
  <c r="AI409" i="4"/>
  <c r="AG409" i="4"/>
  <c r="AE409" i="4"/>
  <c r="AD409" i="4"/>
  <c r="AC409" i="4"/>
  <c r="AB409" i="4"/>
  <c r="AA409" i="4"/>
  <c r="Z409" i="4"/>
  <c r="AI408" i="4"/>
  <c r="AG408" i="4"/>
  <c r="AE408" i="4"/>
  <c r="AD408" i="4"/>
  <c r="AC408" i="4"/>
  <c r="AB408" i="4"/>
  <c r="AA408" i="4"/>
  <c r="Z408" i="4"/>
  <c r="AI407" i="4"/>
  <c r="AG407" i="4"/>
  <c r="AE407" i="4"/>
  <c r="AD407" i="4"/>
  <c r="AC407" i="4"/>
  <c r="AB407" i="4"/>
  <c r="AA407" i="4"/>
  <c r="Z407" i="4"/>
  <c r="AI406" i="4"/>
  <c r="AG406" i="4"/>
  <c r="AE406" i="4"/>
  <c r="AD406" i="4"/>
  <c r="AC406" i="4"/>
  <c r="AB406" i="4"/>
  <c r="AA406" i="4"/>
  <c r="Z406" i="4"/>
  <c r="AI405" i="4"/>
  <c r="AG405" i="4"/>
  <c r="AE405" i="4"/>
  <c r="AD405" i="4"/>
  <c r="AC405" i="4"/>
  <c r="AB405" i="4"/>
  <c r="AA405" i="4"/>
  <c r="Z405" i="4"/>
  <c r="AI404" i="4"/>
  <c r="AG404" i="4"/>
  <c r="AE404" i="4"/>
  <c r="AD404" i="4"/>
  <c r="AC404" i="4"/>
  <c r="AB404" i="4"/>
  <c r="AA404" i="4"/>
  <c r="Z404" i="4"/>
  <c r="AI403" i="4"/>
  <c r="AG403" i="4"/>
  <c r="AE403" i="4"/>
  <c r="AD403" i="4"/>
  <c r="AC403" i="4"/>
  <c r="AB403" i="4"/>
  <c r="AA403" i="4"/>
  <c r="Z403" i="4"/>
  <c r="AI402" i="4"/>
  <c r="AG402" i="4"/>
  <c r="AE402" i="4"/>
  <c r="AD402" i="4"/>
  <c r="AC402" i="4"/>
  <c r="AB402" i="4"/>
  <c r="AA402" i="4"/>
  <c r="Z402" i="4"/>
  <c r="AI401" i="4"/>
  <c r="AG401" i="4"/>
  <c r="AE401" i="4"/>
  <c r="AD401" i="4"/>
  <c r="AC401" i="4"/>
  <c r="AB401" i="4"/>
  <c r="AA401" i="4"/>
  <c r="Z401" i="4"/>
  <c r="AI400" i="4"/>
  <c r="AG400" i="4"/>
  <c r="AE400" i="4"/>
  <c r="AD400" i="4"/>
  <c r="AC400" i="4"/>
  <c r="AB400" i="4"/>
  <c r="AA400" i="4"/>
  <c r="Z400" i="4"/>
  <c r="AI399" i="4"/>
  <c r="AG399" i="4"/>
  <c r="AE399" i="4"/>
  <c r="AD399" i="4"/>
  <c r="AC399" i="4"/>
  <c r="AB399" i="4"/>
  <c r="AA399" i="4"/>
  <c r="Z399" i="4"/>
  <c r="AI398" i="4"/>
  <c r="AG398" i="4"/>
  <c r="AE398" i="4"/>
  <c r="AD398" i="4"/>
  <c r="AC398" i="4"/>
  <c r="AB398" i="4"/>
  <c r="AA398" i="4"/>
  <c r="Z398" i="4"/>
  <c r="AI397" i="4"/>
  <c r="AG397" i="4"/>
  <c r="AE397" i="4"/>
  <c r="AD397" i="4"/>
  <c r="AC397" i="4"/>
  <c r="AB397" i="4"/>
  <c r="AA397" i="4"/>
  <c r="Z397" i="4"/>
  <c r="AI396" i="4"/>
  <c r="AG396" i="4"/>
  <c r="AE396" i="4"/>
  <c r="AD396" i="4"/>
  <c r="AC396" i="4"/>
  <c r="AB396" i="4"/>
  <c r="AA396" i="4"/>
  <c r="Z396" i="4"/>
  <c r="AI395" i="4"/>
  <c r="AG395" i="4"/>
  <c r="AE395" i="4"/>
  <c r="AD395" i="4"/>
  <c r="AC395" i="4"/>
  <c r="AB395" i="4"/>
  <c r="AA395" i="4"/>
  <c r="Z395" i="4"/>
  <c r="AI394" i="4"/>
  <c r="AG394" i="4"/>
  <c r="AE394" i="4"/>
  <c r="AD394" i="4"/>
  <c r="AC394" i="4"/>
  <c r="AB394" i="4"/>
  <c r="AA394" i="4"/>
  <c r="Z394" i="4"/>
  <c r="AI393" i="4"/>
  <c r="AG393" i="4"/>
  <c r="AE393" i="4"/>
  <c r="AD393" i="4"/>
  <c r="AC393" i="4"/>
  <c r="AB393" i="4"/>
  <c r="AA393" i="4"/>
  <c r="Z393" i="4"/>
  <c r="AI392" i="4"/>
  <c r="AG392" i="4"/>
  <c r="AE392" i="4"/>
  <c r="AD392" i="4"/>
  <c r="AC392" i="4"/>
  <c r="AB392" i="4"/>
  <c r="AA392" i="4"/>
  <c r="Z392" i="4"/>
  <c r="AI391" i="4"/>
  <c r="AG391" i="4"/>
  <c r="AE391" i="4"/>
  <c r="AD391" i="4"/>
  <c r="AC391" i="4"/>
  <c r="AB391" i="4"/>
  <c r="AA391" i="4"/>
  <c r="Z391" i="4"/>
  <c r="AI390" i="4"/>
  <c r="AG390" i="4"/>
  <c r="AE390" i="4"/>
  <c r="AD390" i="4"/>
  <c r="AC390" i="4"/>
  <c r="AB390" i="4"/>
  <c r="AA390" i="4"/>
  <c r="Z390" i="4"/>
  <c r="AI389" i="4"/>
  <c r="AG389" i="4"/>
  <c r="AE389" i="4"/>
  <c r="AD389" i="4"/>
  <c r="AC389" i="4"/>
  <c r="AB389" i="4"/>
  <c r="AA389" i="4"/>
  <c r="Z389" i="4"/>
  <c r="AI388" i="4"/>
  <c r="AG388" i="4"/>
  <c r="AE388" i="4"/>
  <c r="AD388" i="4"/>
  <c r="AC388" i="4"/>
  <c r="AB388" i="4"/>
  <c r="AA388" i="4"/>
  <c r="Z388" i="4"/>
  <c r="AI387" i="4"/>
  <c r="AG387" i="4"/>
  <c r="AE387" i="4"/>
  <c r="AD387" i="4"/>
  <c r="AC387" i="4"/>
  <c r="AB387" i="4"/>
  <c r="AA387" i="4"/>
  <c r="Z387" i="4"/>
  <c r="AI386" i="4"/>
  <c r="AG386" i="4"/>
  <c r="AE386" i="4"/>
  <c r="AD386" i="4"/>
  <c r="AC386" i="4"/>
  <c r="AB386" i="4"/>
  <c r="AA386" i="4"/>
  <c r="Z386" i="4"/>
  <c r="AI385" i="4"/>
  <c r="AG385" i="4"/>
  <c r="AE385" i="4"/>
  <c r="AD385" i="4"/>
  <c r="AC385" i="4"/>
  <c r="AB385" i="4"/>
  <c r="AA385" i="4"/>
  <c r="Z385" i="4"/>
  <c r="AI384" i="4"/>
  <c r="AG384" i="4"/>
  <c r="AE384" i="4"/>
  <c r="AD384" i="4"/>
  <c r="AC384" i="4"/>
  <c r="AB384" i="4"/>
  <c r="AA384" i="4"/>
  <c r="Z384" i="4"/>
  <c r="AI383" i="4"/>
  <c r="AG383" i="4"/>
  <c r="AE383" i="4"/>
  <c r="AD383" i="4"/>
  <c r="AC383" i="4"/>
  <c r="AB383" i="4"/>
  <c r="AA383" i="4"/>
  <c r="Z383" i="4"/>
  <c r="AI382" i="4"/>
  <c r="AG382" i="4"/>
  <c r="AE382" i="4"/>
  <c r="AD382" i="4"/>
  <c r="AC382" i="4"/>
  <c r="AB382" i="4"/>
  <c r="AA382" i="4"/>
  <c r="Z382" i="4"/>
  <c r="AI381" i="4"/>
  <c r="AG381" i="4"/>
  <c r="AE381" i="4"/>
  <c r="AD381" i="4"/>
  <c r="AC381" i="4"/>
  <c r="AB381" i="4"/>
  <c r="AA381" i="4"/>
  <c r="Z381" i="4"/>
  <c r="AI380" i="4"/>
  <c r="AG380" i="4"/>
  <c r="AE380" i="4"/>
  <c r="AD380" i="4"/>
  <c r="AC380" i="4"/>
  <c r="AB380" i="4"/>
  <c r="AA380" i="4"/>
  <c r="Z380" i="4"/>
  <c r="AI379" i="4"/>
  <c r="AG379" i="4"/>
  <c r="AE379" i="4"/>
  <c r="AD379" i="4"/>
  <c r="AC379" i="4"/>
  <c r="AB379" i="4"/>
  <c r="AA379" i="4"/>
  <c r="Z379" i="4"/>
  <c r="AI378" i="4"/>
  <c r="AG378" i="4"/>
  <c r="AE378" i="4"/>
  <c r="AD378" i="4"/>
  <c r="AC378" i="4"/>
  <c r="AB378" i="4"/>
  <c r="AA378" i="4"/>
  <c r="Z378" i="4"/>
  <c r="AI377" i="4"/>
  <c r="AG377" i="4"/>
  <c r="AE377" i="4"/>
  <c r="AD377" i="4"/>
  <c r="AC377" i="4"/>
  <c r="AB377" i="4"/>
  <c r="AA377" i="4"/>
  <c r="Z377" i="4"/>
  <c r="AI376" i="4"/>
  <c r="AG376" i="4"/>
  <c r="AE376" i="4"/>
  <c r="AD376" i="4"/>
  <c r="AC376" i="4"/>
  <c r="AB376" i="4"/>
  <c r="AA376" i="4"/>
  <c r="Z376" i="4"/>
  <c r="AI375" i="4"/>
  <c r="AG375" i="4"/>
  <c r="AE375" i="4"/>
  <c r="AD375" i="4"/>
  <c r="AC375" i="4"/>
  <c r="AB375" i="4"/>
  <c r="AA375" i="4"/>
  <c r="Z375" i="4"/>
  <c r="AI374" i="4"/>
  <c r="AG374" i="4"/>
  <c r="AE374" i="4"/>
  <c r="AD374" i="4"/>
  <c r="AC374" i="4"/>
  <c r="AB374" i="4"/>
  <c r="AA374" i="4"/>
  <c r="Z374" i="4"/>
  <c r="AI373" i="4"/>
  <c r="AG373" i="4"/>
  <c r="AE373" i="4"/>
  <c r="AD373" i="4"/>
  <c r="AC373" i="4"/>
  <c r="AB373" i="4"/>
  <c r="AA373" i="4"/>
  <c r="Z373" i="4"/>
  <c r="AI372" i="4"/>
  <c r="AG372" i="4"/>
  <c r="AE372" i="4"/>
  <c r="AD372" i="4"/>
  <c r="AC372" i="4"/>
  <c r="AB372" i="4"/>
  <c r="AA372" i="4"/>
  <c r="Z372" i="4"/>
  <c r="AI371" i="4"/>
  <c r="AG371" i="4"/>
  <c r="AE371" i="4"/>
  <c r="AD371" i="4"/>
  <c r="AC371" i="4"/>
  <c r="AB371" i="4"/>
  <c r="AA371" i="4"/>
  <c r="Z371" i="4"/>
  <c r="AI370" i="4"/>
  <c r="AG370" i="4"/>
  <c r="AE370" i="4"/>
  <c r="AD370" i="4"/>
  <c r="AC370" i="4"/>
  <c r="AB370" i="4"/>
  <c r="AA370" i="4"/>
  <c r="Z370" i="4"/>
  <c r="AI369" i="4"/>
  <c r="AG369" i="4"/>
  <c r="AE369" i="4"/>
  <c r="AD369" i="4"/>
  <c r="AC369" i="4"/>
  <c r="AB369" i="4"/>
  <c r="AA369" i="4"/>
  <c r="Z369" i="4"/>
  <c r="AI368" i="4"/>
  <c r="AG368" i="4"/>
  <c r="AE368" i="4"/>
  <c r="AD368" i="4"/>
  <c r="AC368" i="4"/>
  <c r="AB368" i="4"/>
  <c r="AA368" i="4"/>
  <c r="Z368" i="4"/>
  <c r="AI367" i="4"/>
  <c r="AG367" i="4"/>
  <c r="AE367" i="4"/>
  <c r="AD367" i="4"/>
  <c r="AC367" i="4"/>
  <c r="AB367" i="4"/>
  <c r="AA367" i="4"/>
  <c r="Z367" i="4"/>
  <c r="AI366" i="4"/>
  <c r="AG366" i="4"/>
  <c r="AE366" i="4"/>
  <c r="AD366" i="4"/>
  <c r="AC366" i="4"/>
  <c r="AB366" i="4"/>
  <c r="AA366" i="4"/>
  <c r="Z366" i="4"/>
  <c r="AI365" i="4"/>
  <c r="AG365" i="4"/>
  <c r="AE365" i="4"/>
  <c r="AD365" i="4"/>
  <c r="AC365" i="4"/>
  <c r="AB365" i="4"/>
  <c r="AA365" i="4"/>
  <c r="Z365" i="4"/>
  <c r="AI364" i="4"/>
  <c r="AG364" i="4"/>
  <c r="AE364" i="4"/>
  <c r="AD364" i="4"/>
  <c r="AC364" i="4"/>
  <c r="AB364" i="4"/>
  <c r="AA364" i="4"/>
  <c r="Z364" i="4"/>
  <c r="AI363" i="4"/>
  <c r="AG363" i="4"/>
  <c r="AE363" i="4"/>
  <c r="AD363" i="4"/>
  <c r="AC363" i="4"/>
  <c r="AB363" i="4"/>
  <c r="AA363" i="4"/>
  <c r="Z363" i="4"/>
  <c r="AI362" i="4"/>
  <c r="AG362" i="4"/>
  <c r="AE362" i="4"/>
  <c r="AD362" i="4"/>
  <c r="AC362" i="4"/>
  <c r="AB362" i="4"/>
  <c r="AA362" i="4"/>
  <c r="Z362" i="4"/>
  <c r="AI361" i="4"/>
  <c r="AG361" i="4"/>
  <c r="AE361" i="4"/>
  <c r="AD361" i="4"/>
  <c r="AC361" i="4"/>
  <c r="AB361" i="4"/>
  <c r="AA361" i="4"/>
  <c r="Z361" i="4"/>
  <c r="AI360" i="4"/>
  <c r="AG360" i="4"/>
  <c r="AE360" i="4"/>
  <c r="AD360" i="4"/>
  <c r="AC360" i="4"/>
  <c r="AB360" i="4"/>
  <c r="AA360" i="4"/>
  <c r="Z360" i="4"/>
  <c r="AI359" i="4"/>
  <c r="AG359" i="4"/>
  <c r="AE359" i="4"/>
  <c r="AD359" i="4"/>
  <c r="AC359" i="4"/>
  <c r="AB359" i="4"/>
  <c r="AA359" i="4"/>
  <c r="Z359" i="4"/>
  <c r="AI358" i="4"/>
  <c r="AG358" i="4"/>
  <c r="AE358" i="4"/>
  <c r="AD358" i="4"/>
  <c r="AC358" i="4"/>
  <c r="AB358" i="4"/>
  <c r="AA358" i="4"/>
  <c r="Z358" i="4"/>
  <c r="AI357" i="4"/>
  <c r="AG357" i="4"/>
  <c r="AE357" i="4"/>
  <c r="AD357" i="4"/>
  <c r="AC357" i="4"/>
  <c r="AB357" i="4"/>
  <c r="AA357" i="4"/>
  <c r="Z357" i="4"/>
  <c r="AI356" i="4"/>
  <c r="AG356" i="4"/>
  <c r="AE356" i="4"/>
  <c r="AD356" i="4"/>
  <c r="AC356" i="4"/>
  <c r="AB356" i="4"/>
  <c r="AA356" i="4"/>
  <c r="Z356" i="4"/>
  <c r="AI355" i="4"/>
  <c r="AG355" i="4"/>
  <c r="AE355" i="4"/>
  <c r="AD355" i="4"/>
  <c r="AC355" i="4"/>
  <c r="AB355" i="4"/>
  <c r="AA355" i="4"/>
  <c r="Z355" i="4"/>
  <c r="AI354" i="4"/>
  <c r="AG354" i="4"/>
  <c r="AE354" i="4"/>
  <c r="AD354" i="4"/>
  <c r="AC354" i="4"/>
  <c r="AB354" i="4"/>
  <c r="AA354" i="4"/>
  <c r="Z354" i="4"/>
  <c r="AI353" i="4"/>
  <c r="AG353" i="4"/>
  <c r="AE353" i="4"/>
  <c r="AD353" i="4"/>
  <c r="AC353" i="4"/>
  <c r="AB353" i="4"/>
  <c r="AA353" i="4"/>
  <c r="Z353" i="4"/>
  <c r="AI352" i="4"/>
  <c r="AG352" i="4"/>
  <c r="AE352" i="4"/>
  <c r="AD352" i="4"/>
  <c r="AC352" i="4"/>
  <c r="AB352" i="4"/>
  <c r="AA352" i="4"/>
  <c r="Z352" i="4"/>
  <c r="AI351" i="4"/>
  <c r="AG351" i="4"/>
  <c r="AE351" i="4"/>
  <c r="AD351" i="4"/>
  <c r="AC351" i="4"/>
  <c r="AB351" i="4"/>
  <c r="AA351" i="4"/>
  <c r="Z351" i="4"/>
  <c r="AI350" i="4"/>
  <c r="AG350" i="4"/>
  <c r="AE350" i="4"/>
  <c r="AD350" i="4"/>
  <c r="AC350" i="4"/>
  <c r="AB350" i="4"/>
  <c r="AA350" i="4"/>
  <c r="Z350" i="4"/>
  <c r="AI349" i="4"/>
  <c r="AG349" i="4"/>
  <c r="AE349" i="4"/>
  <c r="AD349" i="4"/>
  <c r="AC349" i="4"/>
  <c r="AB349" i="4"/>
  <c r="AA349" i="4"/>
  <c r="Z349" i="4"/>
  <c r="AI348" i="4"/>
  <c r="AG348" i="4"/>
  <c r="AE348" i="4"/>
  <c r="AD348" i="4"/>
  <c r="AC348" i="4"/>
  <c r="AB348" i="4"/>
  <c r="AA348" i="4"/>
  <c r="Z348" i="4"/>
  <c r="AI347" i="4"/>
  <c r="AG347" i="4"/>
  <c r="AE347" i="4"/>
  <c r="AD347" i="4"/>
  <c r="AC347" i="4"/>
  <c r="AB347" i="4"/>
  <c r="AA347" i="4"/>
  <c r="Z347" i="4"/>
  <c r="AI346" i="4"/>
  <c r="AG346" i="4"/>
  <c r="AE346" i="4"/>
  <c r="AD346" i="4"/>
  <c r="AC346" i="4"/>
  <c r="AB346" i="4"/>
  <c r="AA346" i="4"/>
  <c r="Z346" i="4"/>
  <c r="AI345" i="4"/>
  <c r="AG345" i="4"/>
  <c r="AE345" i="4"/>
  <c r="AD345" i="4"/>
  <c r="AC345" i="4"/>
  <c r="AB345" i="4"/>
  <c r="AA345" i="4"/>
  <c r="Z345" i="4"/>
  <c r="AI344" i="4"/>
  <c r="AG344" i="4"/>
  <c r="AE344" i="4"/>
  <c r="AD344" i="4"/>
  <c r="AC344" i="4"/>
  <c r="AB344" i="4"/>
  <c r="AA344" i="4"/>
  <c r="Z344" i="4"/>
  <c r="AI343" i="4"/>
  <c r="AG343" i="4"/>
  <c r="AE343" i="4"/>
  <c r="AD343" i="4"/>
  <c r="AC343" i="4"/>
  <c r="AB343" i="4"/>
  <c r="AA343" i="4"/>
  <c r="Z343" i="4"/>
  <c r="AI342" i="4"/>
  <c r="AG342" i="4"/>
  <c r="AE342" i="4"/>
  <c r="AD342" i="4"/>
  <c r="AC342" i="4"/>
  <c r="AB342" i="4"/>
  <c r="AA342" i="4"/>
  <c r="Z342" i="4"/>
  <c r="AI341" i="4"/>
  <c r="AG341" i="4"/>
  <c r="AE341" i="4"/>
  <c r="AD341" i="4"/>
  <c r="AC341" i="4"/>
  <c r="AB341" i="4"/>
  <c r="AA341" i="4"/>
  <c r="Z341" i="4"/>
  <c r="AI340" i="4"/>
  <c r="AG340" i="4"/>
  <c r="AE340" i="4"/>
  <c r="AD340" i="4"/>
  <c r="AC340" i="4"/>
  <c r="AB340" i="4"/>
  <c r="AA340" i="4"/>
  <c r="Z340" i="4"/>
  <c r="AI339" i="4"/>
  <c r="AG339" i="4"/>
  <c r="AE339" i="4"/>
  <c r="AD339" i="4"/>
  <c r="AC339" i="4"/>
  <c r="AB339" i="4"/>
  <c r="AA339" i="4"/>
  <c r="Z339" i="4"/>
  <c r="AI338" i="4"/>
  <c r="AG338" i="4"/>
  <c r="AE338" i="4"/>
  <c r="AD338" i="4"/>
  <c r="AC338" i="4"/>
  <c r="AB338" i="4"/>
  <c r="AA338" i="4"/>
  <c r="Z338" i="4"/>
  <c r="AI337" i="4"/>
  <c r="AG337" i="4"/>
  <c r="AE337" i="4"/>
  <c r="AD337" i="4"/>
  <c r="AC337" i="4"/>
  <c r="AB337" i="4"/>
  <c r="AA337" i="4"/>
  <c r="Z337" i="4"/>
  <c r="AI336" i="4"/>
  <c r="AG336" i="4"/>
  <c r="AE336" i="4"/>
  <c r="AD336" i="4"/>
  <c r="AC336" i="4"/>
  <c r="AB336" i="4"/>
  <c r="AA336" i="4"/>
  <c r="Z336" i="4"/>
  <c r="AI335" i="4"/>
  <c r="AG335" i="4"/>
  <c r="AE335" i="4"/>
  <c r="AD335" i="4"/>
  <c r="AC335" i="4"/>
  <c r="AB335" i="4"/>
  <c r="AA335" i="4"/>
  <c r="Z335" i="4"/>
  <c r="AI334" i="4"/>
  <c r="AG334" i="4"/>
  <c r="AE334" i="4"/>
  <c r="AD334" i="4"/>
  <c r="AC334" i="4"/>
  <c r="AB334" i="4"/>
  <c r="AA334" i="4"/>
  <c r="Z334" i="4"/>
  <c r="AI333" i="4"/>
  <c r="AG333" i="4"/>
  <c r="AE333" i="4"/>
  <c r="AD333" i="4"/>
  <c r="AC333" i="4"/>
  <c r="AB333" i="4"/>
  <c r="AA333" i="4"/>
  <c r="Z333" i="4"/>
  <c r="AI332" i="4"/>
  <c r="AG332" i="4"/>
  <c r="AE332" i="4"/>
  <c r="AD332" i="4"/>
  <c r="AC332" i="4"/>
  <c r="AB332" i="4"/>
  <c r="AA332" i="4"/>
  <c r="Z332" i="4"/>
  <c r="AI331" i="4"/>
  <c r="AG331" i="4"/>
  <c r="AE331" i="4"/>
  <c r="AD331" i="4"/>
  <c r="AC331" i="4"/>
  <c r="AB331" i="4"/>
  <c r="AA331" i="4"/>
  <c r="Z331" i="4"/>
  <c r="AI330" i="4"/>
  <c r="AG330" i="4"/>
  <c r="AE330" i="4"/>
  <c r="AD330" i="4"/>
  <c r="AC330" i="4"/>
  <c r="AB330" i="4"/>
  <c r="AA330" i="4"/>
  <c r="Z330" i="4"/>
  <c r="AI329" i="4"/>
  <c r="AG329" i="4"/>
  <c r="AE329" i="4"/>
  <c r="AD329" i="4"/>
  <c r="AC329" i="4"/>
  <c r="AB329" i="4"/>
  <c r="AA329" i="4"/>
  <c r="Z329" i="4"/>
  <c r="AI328" i="4"/>
  <c r="AG328" i="4"/>
  <c r="AE328" i="4"/>
  <c r="AD328" i="4"/>
  <c r="AC328" i="4"/>
  <c r="AB328" i="4"/>
  <c r="AA328" i="4"/>
  <c r="Z328" i="4"/>
  <c r="AI327" i="4"/>
  <c r="AG327" i="4"/>
  <c r="AE327" i="4"/>
  <c r="AD327" i="4"/>
  <c r="AC327" i="4"/>
  <c r="AB327" i="4"/>
  <c r="AA327" i="4"/>
  <c r="Z327" i="4"/>
  <c r="AI326" i="4"/>
  <c r="AG326" i="4"/>
  <c r="AE326" i="4"/>
  <c r="AD326" i="4"/>
  <c r="AC326" i="4"/>
  <c r="AB326" i="4"/>
  <c r="AA326" i="4"/>
  <c r="Z326" i="4"/>
  <c r="AI325" i="4"/>
  <c r="AG325" i="4"/>
  <c r="AE325" i="4"/>
  <c r="AD325" i="4"/>
  <c r="AC325" i="4"/>
  <c r="AB325" i="4"/>
  <c r="AA325" i="4"/>
  <c r="Z325" i="4"/>
  <c r="AI324" i="4"/>
  <c r="AG324" i="4"/>
  <c r="AE324" i="4"/>
  <c r="AD324" i="4"/>
  <c r="AC324" i="4"/>
  <c r="AB324" i="4"/>
  <c r="AA324" i="4"/>
  <c r="Z324" i="4"/>
  <c r="AI323" i="4"/>
  <c r="AG323" i="4"/>
  <c r="AE323" i="4"/>
  <c r="AD323" i="4"/>
  <c r="AC323" i="4"/>
  <c r="AB323" i="4"/>
  <c r="AA323" i="4"/>
  <c r="Z323" i="4"/>
  <c r="AI322" i="4"/>
  <c r="AG322" i="4"/>
  <c r="AE322" i="4"/>
  <c r="AD322" i="4"/>
  <c r="AC322" i="4"/>
  <c r="AB322" i="4"/>
  <c r="AA322" i="4"/>
  <c r="Z322" i="4"/>
  <c r="AI321" i="4"/>
  <c r="AG321" i="4"/>
  <c r="AE321" i="4"/>
  <c r="AD321" i="4"/>
  <c r="AC321" i="4"/>
  <c r="AB321" i="4"/>
  <c r="AA321" i="4"/>
  <c r="Z321" i="4"/>
  <c r="AI320" i="4"/>
  <c r="AG320" i="4"/>
  <c r="AE320" i="4"/>
  <c r="AD320" i="4"/>
  <c r="AC320" i="4"/>
  <c r="AB320" i="4"/>
  <c r="AA320" i="4"/>
  <c r="Z320" i="4"/>
  <c r="AI319" i="4"/>
  <c r="AG319" i="4"/>
  <c r="AE319" i="4"/>
  <c r="AD319" i="4"/>
  <c r="AC319" i="4"/>
  <c r="AB319" i="4"/>
  <c r="AA319" i="4"/>
  <c r="Z319" i="4"/>
  <c r="AI318" i="4"/>
  <c r="AG318" i="4"/>
  <c r="AE318" i="4"/>
  <c r="AD318" i="4"/>
  <c r="AC318" i="4"/>
  <c r="AB318" i="4"/>
  <c r="AA318" i="4"/>
  <c r="Z318" i="4"/>
  <c r="AI317" i="4"/>
  <c r="AG317" i="4"/>
  <c r="AE317" i="4"/>
  <c r="AD317" i="4"/>
  <c r="AC317" i="4"/>
  <c r="AB317" i="4"/>
  <c r="AA317" i="4"/>
  <c r="Z317" i="4"/>
  <c r="AI316" i="4"/>
  <c r="AG316" i="4"/>
  <c r="AE316" i="4"/>
  <c r="AD316" i="4"/>
  <c r="AC316" i="4"/>
  <c r="AB316" i="4"/>
  <c r="AA316" i="4"/>
  <c r="Z316" i="4"/>
  <c r="AI315" i="4"/>
  <c r="AG315" i="4"/>
  <c r="AE315" i="4"/>
  <c r="AD315" i="4"/>
  <c r="AC315" i="4"/>
  <c r="AB315" i="4"/>
  <c r="AA315" i="4"/>
  <c r="Z315" i="4"/>
  <c r="AI314" i="4"/>
  <c r="AG314" i="4"/>
  <c r="AE314" i="4"/>
  <c r="AD314" i="4"/>
  <c r="AC314" i="4"/>
  <c r="AB314" i="4"/>
  <c r="AA314" i="4"/>
  <c r="Z314" i="4"/>
  <c r="AI313" i="4"/>
  <c r="AG313" i="4"/>
  <c r="AE313" i="4"/>
  <c r="AD313" i="4"/>
  <c r="AC313" i="4"/>
  <c r="AB313" i="4"/>
  <c r="AA313" i="4"/>
  <c r="Z313" i="4"/>
  <c r="AI312" i="4"/>
  <c r="AG312" i="4"/>
  <c r="AE312" i="4"/>
  <c r="AD312" i="4"/>
  <c r="AC312" i="4"/>
  <c r="AB312" i="4"/>
  <c r="AA312" i="4"/>
  <c r="Z312" i="4"/>
  <c r="AI311" i="4"/>
  <c r="AG311" i="4"/>
  <c r="AE311" i="4"/>
  <c r="AD311" i="4"/>
  <c r="AC311" i="4"/>
  <c r="AB311" i="4"/>
  <c r="AA311" i="4"/>
  <c r="Z311" i="4"/>
  <c r="AI310" i="4"/>
  <c r="AG310" i="4"/>
  <c r="AE310" i="4"/>
  <c r="AD310" i="4"/>
  <c r="AC310" i="4"/>
  <c r="AB310" i="4"/>
  <c r="AA310" i="4"/>
  <c r="Z310" i="4"/>
  <c r="AI309" i="4"/>
  <c r="AG309" i="4"/>
  <c r="AE309" i="4"/>
  <c r="AD309" i="4"/>
  <c r="AC309" i="4"/>
  <c r="AB309" i="4"/>
  <c r="AA309" i="4"/>
  <c r="Z309" i="4"/>
  <c r="AI308" i="4"/>
  <c r="AG308" i="4"/>
  <c r="AE308" i="4"/>
  <c r="AD308" i="4"/>
  <c r="AC308" i="4"/>
  <c r="AB308" i="4"/>
  <c r="AA308" i="4"/>
  <c r="Z308" i="4"/>
  <c r="AI307" i="4"/>
  <c r="AG307" i="4"/>
  <c r="AE307" i="4"/>
  <c r="AD307" i="4"/>
  <c r="AC307" i="4"/>
  <c r="AB307" i="4"/>
  <c r="AA307" i="4"/>
  <c r="Z307" i="4"/>
  <c r="AI306" i="4"/>
  <c r="AG306" i="4"/>
  <c r="AE306" i="4"/>
  <c r="AD306" i="4"/>
  <c r="AC306" i="4"/>
  <c r="AB306" i="4"/>
  <c r="AA306" i="4"/>
  <c r="Z306" i="4"/>
  <c r="AI305" i="4"/>
  <c r="AG305" i="4"/>
  <c r="AE305" i="4"/>
  <c r="AD305" i="4"/>
  <c r="AC305" i="4"/>
  <c r="AB305" i="4"/>
  <c r="AA305" i="4"/>
  <c r="Z305" i="4"/>
  <c r="AI304" i="4"/>
  <c r="AG304" i="4"/>
  <c r="AE304" i="4"/>
  <c r="AD304" i="4"/>
  <c r="AC304" i="4"/>
  <c r="AB304" i="4"/>
  <c r="AA304" i="4"/>
  <c r="Z304" i="4"/>
  <c r="AI303" i="4"/>
  <c r="AG303" i="4"/>
  <c r="AE303" i="4"/>
  <c r="AD303" i="4"/>
  <c r="AC303" i="4"/>
  <c r="AB303" i="4"/>
  <c r="AA303" i="4"/>
  <c r="Z303" i="4"/>
  <c r="AI302" i="4"/>
  <c r="AG302" i="4"/>
  <c r="AE302" i="4"/>
  <c r="AD302" i="4"/>
  <c r="AC302" i="4"/>
  <c r="AB302" i="4"/>
  <c r="AA302" i="4"/>
  <c r="Z302" i="4"/>
  <c r="AI301" i="4"/>
  <c r="AG301" i="4"/>
  <c r="AE301" i="4"/>
  <c r="AD301" i="4"/>
  <c r="AC301" i="4"/>
  <c r="AB301" i="4"/>
  <c r="AA301" i="4"/>
  <c r="Z301" i="4"/>
  <c r="AI300" i="4"/>
  <c r="AG300" i="4"/>
  <c r="AE300" i="4"/>
  <c r="AD300" i="4"/>
  <c r="AC300" i="4"/>
  <c r="AB300" i="4"/>
  <c r="AA300" i="4"/>
  <c r="Z300" i="4"/>
  <c r="AI299" i="4"/>
  <c r="AG299" i="4"/>
  <c r="AE299" i="4"/>
  <c r="AD299" i="4"/>
  <c r="AC299" i="4"/>
  <c r="AB299" i="4"/>
  <c r="AA299" i="4"/>
  <c r="Z299" i="4"/>
  <c r="AI298" i="4"/>
  <c r="AG298" i="4"/>
  <c r="AE298" i="4"/>
  <c r="AD298" i="4"/>
  <c r="AC298" i="4"/>
  <c r="AB298" i="4"/>
  <c r="AA298" i="4"/>
  <c r="Z298" i="4"/>
  <c r="AI297" i="4"/>
  <c r="AG297" i="4"/>
  <c r="AE297" i="4"/>
  <c r="AD297" i="4"/>
  <c r="AC297" i="4"/>
  <c r="AB297" i="4"/>
  <c r="AA297" i="4"/>
  <c r="Z297" i="4"/>
  <c r="AI296" i="4"/>
  <c r="AG296" i="4"/>
  <c r="AE296" i="4"/>
  <c r="AD296" i="4"/>
  <c r="AC296" i="4"/>
  <c r="AB296" i="4"/>
  <c r="AA296" i="4"/>
  <c r="Z296" i="4"/>
  <c r="AI295" i="4"/>
  <c r="AG295" i="4"/>
  <c r="AE295" i="4"/>
  <c r="AD295" i="4"/>
  <c r="AC295" i="4"/>
  <c r="AB295" i="4"/>
  <c r="AA295" i="4"/>
  <c r="Z295" i="4"/>
  <c r="AI294" i="4"/>
  <c r="AG294" i="4"/>
  <c r="AE294" i="4"/>
  <c r="AD294" i="4"/>
  <c r="AC294" i="4"/>
  <c r="AB294" i="4"/>
  <c r="AA294" i="4"/>
  <c r="Z294" i="4"/>
  <c r="AI293" i="4"/>
  <c r="AG293" i="4"/>
  <c r="AE293" i="4"/>
  <c r="AD293" i="4"/>
  <c r="AC293" i="4"/>
  <c r="AB293" i="4"/>
  <c r="AA293" i="4"/>
  <c r="Z293" i="4"/>
  <c r="AI292" i="4"/>
  <c r="AG292" i="4"/>
  <c r="AE292" i="4"/>
  <c r="AD292" i="4"/>
  <c r="AC292" i="4"/>
  <c r="AB292" i="4"/>
  <c r="AA292" i="4"/>
  <c r="Z292" i="4"/>
  <c r="AI291" i="4"/>
  <c r="AG291" i="4"/>
  <c r="AE291" i="4"/>
  <c r="AD291" i="4"/>
  <c r="AC291" i="4"/>
  <c r="AB291" i="4"/>
  <c r="AA291" i="4"/>
  <c r="Z291" i="4"/>
  <c r="AI290" i="4"/>
  <c r="AG290" i="4"/>
  <c r="AE290" i="4"/>
  <c r="AD290" i="4"/>
  <c r="AC290" i="4"/>
  <c r="AB290" i="4"/>
  <c r="AA290" i="4"/>
  <c r="Z290" i="4"/>
  <c r="AI289" i="4"/>
  <c r="AG289" i="4"/>
  <c r="AE289" i="4"/>
  <c r="AD289" i="4"/>
  <c r="AC289" i="4"/>
  <c r="AB289" i="4"/>
  <c r="AA289" i="4"/>
  <c r="Z289" i="4"/>
  <c r="AI288" i="4"/>
  <c r="AG288" i="4"/>
  <c r="AE288" i="4"/>
  <c r="AD288" i="4"/>
  <c r="AC288" i="4"/>
  <c r="AB288" i="4"/>
  <c r="AA288" i="4"/>
  <c r="Z288" i="4"/>
  <c r="AI287" i="4"/>
  <c r="AG287" i="4"/>
  <c r="AE287" i="4"/>
  <c r="AD287" i="4"/>
  <c r="AC287" i="4"/>
  <c r="AB287" i="4"/>
  <c r="AA287" i="4"/>
  <c r="Z287" i="4"/>
  <c r="AI286" i="4"/>
  <c r="AG286" i="4"/>
  <c r="AE286" i="4"/>
  <c r="AD286" i="4"/>
  <c r="AC286" i="4"/>
  <c r="AB286" i="4"/>
  <c r="AA286" i="4"/>
  <c r="Z286" i="4"/>
  <c r="AI285" i="4"/>
  <c r="AG285" i="4"/>
  <c r="AE285" i="4"/>
  <c r="AD285" i="4"/>
  <c r="AC285" i="4"/>
  <c r="AB285" i="4"/>
  <c r="AA285" i="4"/>
  <c r="Z285" i="4"/>
  <c r="AI284" i="4"/>
  <c r="AG284" i="4"/>
  <c r="AE284" i="4"/>
  <c r="AD284" i="4"/>
  <c r="AC284" i="4"/>
  <c r="AB284" i="4"/>
  <c r="AA284" i="4"/>
  <c r="Z284" i="4"/>
  <c r="AI283" i="4"/>
  <c r="AG283" i="4"/>
  <c r="AE283" i="4"/>
  <c r="AD283" i="4"/>
  <c r="AC283" i="4"/>
  <c r="AB283" i="4"/>
  <c r="AA283" i="4"/>
  <c r="Z283" i="4"/>
  <c r="AI282" i="4"/>
  <c r="AG282" i="4"/>
  <c r="AE282" i="4"/>
  <c r="AD282" i="4"/>
  <c r="AC282" i="4"/>
  <c r="AB282" i="4"/>
  <c r="AA282" i="4"/>
  <c r="Z282" i="4"/>
  <c r="AI281" i="4"/>
  <c r="AG281" i="4"/>
  <c r="AE281" i="4"/>
  <c r="AD281" i="4"/>
  <c r="AC281" i="4"/>
  <c r="AB281" i="4"/>
  <c r="AA281" i="4"/>
  <c r="Z281" i="4"/>
  <c r="AI280" i="4"/>
  <c r="AG280" i="4"/>
  <c r="AE280" i="4"/>
  <c r="AD280" i="4"/>
  <c r="AC280" i="4"/>
  <c r="AB280" i="4"/>
  <c r="AA280" i="4"/>
  <c r="Z280" i="4"/>
  <c r="AI279" i="4"/>
  <c r="AG279" i="4"/>
  <c r="AE279" i="4"/>
  <c r="AD279" i="4"/>
  <c r="AC279" i="4"/>
  <c r="AB279" i="4"/>
  <c r="AA279" i="4"/>
  <c r="Z279" i="4"/>
  <c r="AI278" i="4"/>
  <c r="AG278" i="4"/>
  <c r="AE278" i="4"/>
  <c r="AD278" i="4"/>
  <c r="AC278" i="4"/>
  <c r="AB278" i="4"/>
  <c r="AA278" i="4"/>
  <c r="Z278" i="4"/>
  <c r="AI277" i="4"/>
  <c r="AG277" i="4"/>
  <c r="AE277" i="4"/>
  <c r="AD277" i="4"/>
  <c r="AC277" i="4"/>
  <c r="AB277" i="4"/>
  <c r="AA277" i="4"/>
  <c r="Z277" i="4"/>
  <c r="AI276" i="4"/>
  <c r="AG276" i="4"/>
  <c r="AE276" i="4"/>
  <c r="AD276" i="4"/>
  <c r="AC276" i="4"/>
  <c r="AB276" i="4"/>
  <c r="AA276" i="4"/>
  <c r="Z276" i="4"/>
  <c r="AI275" i="4"/>
  <c r="AG275" i="4"/>
  <c r="AE275" i="4"/>
  <c r="AD275" i="4"/>
  <c r="AC275" i="4"/>
  <c r="AB275" i="4"/>
  <c r="AA275" i="4"/>
  <c r="Z275" i="4"/>
  <c r="AI274" i="4"/>
  <c r="AG274" i="4"/>
  <c r="AE274" i="4"/>
  <c r="AD274" i="4"/>
  <c r="AC274" i="4"/>
  <c r="AB274" i="4"/>
  <c r="AA274" i="4"/>
  <c r="Z274" i="4"/>
  <c r="AI273" i="4"/>
  <c r="AG273" i="4"/>
  <c r="AE273" i="4"/>
  <c r="AD273" i="4"/>
  <c r="AC273" i="4"/>
  <c r="AB273" i="4"/>
  <c r="AA273" i="4"/>
  <c r="Z273" i="4"/>
  <c r="AI272" i="4"/>
  <c r="AG272" i="4"/>
  <c r="AE272" i="4"/>
  <c r="AD272" i="4"/>
  <c r="AC272" i="4"/>
  <c r="AB272" i="4"/>
  <c r="AA272" i="4"/>
  <c r="Z272" i="4"/>
  <c r="AI271" i="4"/>
  <c r="AG271" i="4"/>
  <c r="AE271" i="4"/>
  <c r="AD271" i="4"/>
  <c r="AC271" i="4"/>
  <c r="AB271" i="4"/>
  <c r="AA271" i="4"/>
  <c r="Z271" i="4"/>
  <c r="AI270" i="4"/>
  <c r="AG270" i="4"/>
  <c r="AE270" i="4"/>
  <c r="AD270" i="4"/>
  <c r="AC270" i="4"/>
  <c r="AB270" i="4"/>
  <c r="AA270" i="4"/>
  <c r="Z270" i="4"/>
  <c r="AI269" i="4"/>
  <c r="AG269" i="4"/>
  <c r="AE269" i="4"/>
  <c r="AD269" i="4"/>
  <c r="AC269" i="4"/>
  <c r="AB269" i="4"/>
  <c r="AA269" i="4"/>
  <c r="Z269" i="4"/>
  <c r="AI268" i="4"/>
  <c r="AG268" i="4"/>
  <c r="AE268" i="4"/>
  <c r="AD268" i="4"/>
  <c r="AC268" i="4"/>
  <c r="AB268" i="4"/>
  <c r="AA268" i="4"/>
  <c r="Z268" i="4"/>
  <c r="AI267" i="4"/>
  <c r="AG267" i="4"/>
  <c r="AE267" i="4"/>
  <c r="AD267" i="4"/>
  <c r="AC267" i="4"/>
  <c r="AB267" i="4"/>
  <c r="AA267" i="4"/>
  <c r="Z267" i="4"/>
  <c r="AI266" i="4"/>
  <c r="AG266" i="4"/>
  <c r="AE266" i="4"/>
  <c r="AD266" i="4"/>
  <c r="AC266" i="4"/>
  <c r="AB266" i="4"/>
  <c r="AA266" i="4"/>
  <c r="Z266" i="4"/>
  <c r="AI265" i="4"/>
  <c r="AG265" i="4"/>
  <c r="AE265" i="4"/>
  <c r="AD265" i="4"/>
  <c r="AC265" i="4"/>
  <c r="AB265" i="4"/>
  <c r="AA265" i="4"/>
  <c r="Z265" i="4"/>
  <c r="AI264" i="4"/>
  <c r="AG264" i="4"/>
  <c r="AE264" i="4"/>
  <c r="AD264" i="4"/>
  <c r="AC264" i="4"/>
  <c r="AB264" i="4"/>
  <c r="AA264" i="4"/>
  <c r="Z264" i="4"/>
  <c r="AI263" i="4"/>
  <c r="AG263" i="4"/>
  <c r="AE263" i="4"/>
  <c r="AD263" i="4"/>
  <c r="AC263" i="4"/>
  <c r="AB263" i="4"/>
  <c r="AA263" i="4"/>
  <c r="Z263" i="4"/>
  <c r="AI262" i="4"/>
  <c r="AG262" i="4"/>
  <c r="AE262" i="4"/>
  <c r="AD262" i="4"/>
  <c r="AC262" i="4"/>
  <c r="AB262" i="4"/>
  <c r="AA262" i="4"/>
  <c r="Z262" i="4"/>
  <c r="AI261" i="4"/>
  <c r="AG261" i="4"/>
  <c r="AE261" i="4"/>
  <c r="AD261" i="4"/>
  <c r="AC261" i="4"/>
  <c r="AB261" i="4"/>
  <c r="AA261" i="4"/>
  <c r="Z261" i="4"/>
  <c r="AI260" i="4"/>
  <c r="AG260" i="4"/>
  <c r="AE260" i="4"/>
  <c r="AD260" i="4"/>
  <c r="AC260" i="4"/>
  <c r="AB260" i="4"/>
  <c r="AA260" i="4"/>
  <c r="Z260" i="4"/>
  <c r="AI259" i="4"/>
  <c r="AG259" i="4"/>
  <c r="AE259" i="4"/>
  <c r="AD259" i="4"/>
  <c r="AC259" i="4"/>
  <c r="AB259" i="4"/>
  <c r="AA259" i="4"/>
  <c r="Z259" i="4"/>
  <c r="AI258" i="4"/>
  <c r="AG258" i="4"/>
  <c r="AE258" i="4"/>
  <c r="AD258" i="4"/>
  <c r="AC258" i="4"/>
  <c r="AB258" i="4"/>
  <c r="AA258" i="4"/>
  <c r="Z258" i="4"/>
  <c r="AI251" i="4"/>
  <c r="AG251" i="4"/>
  <c r="AE251" i="4"/>
  <c r="AD251" i="4"/>
  <c r="AC251" i="4"/>
  <c r="AB251" i="4"/>
  <c r="AA251" i="4"/>
  <c r="Z251" i="4"/>
  <c r="AI250" i="4"/>
  <c r="AG250" i="4"/>
  <c r="AE250" i="4"/>
  <c r="AD250" i="4"/>
  <c r="AC250" i="4"/>
  <c r="AB250" i="4"/>
  <c r="AA250" i="4"/>
  <c r="Z250" i="4"/>
  <c r="AI249" i="4"/>
  <c r="AG249" i="4"/>
  <c r="AE249" i="4"/>
  <c r="AD249" i="4"/>
  <c r="AC249" i="4"/>
  <c r="AB249" i="4"/>
  <c r="AA249" i="4"/>
  <c r="Z249" i="4"/>
  <c r="AI248" i="4"/>
  <c r="AG248" i="4"/>
  <c r="AE248" i="4"/>
  <c r="AD248" i="4"/>
  <c r="AC248" i="4"/>
  <c r="AB248" i="4"/>
  <c r="AA248" i="4"/>
  <c r="Z248" i="4"/>
  <c r="AI246" i="4"/>
  <c r="AG246" i="4"/>
  <c r="AE246" i="4"/>
  <c r="AD246" i="4"/>
  <c r="AC246" i="4"/>
  <c r="AB246" i="4"/>
  <c r="AA246" i="4"/>
  <c r="Z246" i="4"/>
  <c r="AI245" i="4"/>
  <c r="AG245" i="4"/>
  <c r="AE245" i="4"/>
  <c r="AD245" i="4"/>
  <c r="AC245" i="4"/>
  <c r="AB245" i="4"/>
  <c r="AA245" i="4"/>
  <c r="Z245" i="4"/>
  <c r="AI244" i="4"/>
  <c r="AG244" i="4"/>
  <c r="AE244" i="4"/>
  <c r="AD244" i="4"/>
  <c r="AC244" i="4"/>
  <c r="AB244" i="4"/>
  <c r="AA244" i="4"/>
  <c r="Z244" i="4"/>
  <c r="AI243" i="4"/>
  <c r="AG243" i="4"/>
  <c r="AE243" i="4"/>
  <c r="AD243" i="4"/>
  <c r="AC243" i="4"/>
  <c r="AB243" i="4"/>
  <c r="AA243" i="4"/>
  <c r="Z243" i="4"/>
  <c r="AI242" i="4"/>
  <c r="AG242" i="4"/>
  <c r="AE242" i="4"/>
  <c r="AD242" i="4"/>
  <c r="AC242" i="4"/>
  <c r="AB242" i="4"/>
  <c r="AA242" i="4"/>
  <c r="Z242" i="4"/>
  <c r="AI241" i="4"/>
  <c r="AG241" i="4"/>
  <c r="AE241" i="4"/>
  <c r="AD241" i="4"/>
  <c r="AC241" i="4"/>
  <c r="AB241" i="4"/>
  <c r="AA241" i="4"/>
  <c r="Z241" i="4"/>
  <c r="AI240" i="4"/>
  <c r="AG240" i="4"/>
  <c r="AE240" i="4"/>
  <c r="AD240" i="4"/>
  <c r="AC240" i="4"/>
  <c r="AB240" i="4"/>
  <c r="AA240" i="4"/>
  <c r="Z240" i="4"/>
  <c r="AI239" i="4"/>
  <c r="AG239" i="4"/>
  <c r="AE239" i="4"/>
  <c r="AD239" i="4"/>
  <c r="AC239" i="4"/>
  <c r="AB239" i="4"/>
  <c r="AA239" i="4"/>
  <c r="Z239" i="4"/>
  <c r="AI238" i="4"/>
  <c r="AG238" i="4"/>
  <c r="AE238" i="4"/>
  <c r="AD238" i="4"/>
  <c r="AC238" i="4"/>
  <c r="AB238" i="4"/>
  <c r="AA238" i="4"/>
  <c r="Z238" i="4"/>
  <c r="AI237" i="4"/>
  <c r="AG237" i="4"/>
  <c r="AE237" i="4"/>
  <c r="AD237" i="4"/>
  <c r="AC237" i="4"/>
  <c r="AB237" i="4"/>
  <c r="AA237" i="4"/>
  <c r="Z237" i="4"/>
  <c r="AI236" i="4"/>
  <c r="AG236" i="4"/>
  <c r="AE236" i="4"/>
  <c r="AD236" i="4"/>
  <c r="AC236" i="4"/>
  <c r="AB236" i="4"/>
  <c r="AA236" i="4"/>
  <c r="Z236" i="4"/>
  <c r="AI234" i="4"/>
  <c r="AG234" i="4"/>
  <c r="AE234" i="4"/>
  <c r="AD234" i="4"/>
  <c r="AC234" i="4"/>
  <c r="AB234" i="4"/>
  <c r="AA234" i="4"/>
  <c r="Z234" i="4"/>
  <c r="AI233" i="4"/>
  <c r="AG233" i="4"/>
  <c r="AE233" i="4"/>
  <c r="AD233" i="4"/>
  <c r="AC233" i="4"/>
  <c r="AB233" i="4"/>
  <c r="AA233" i="4"/>
  <c r="Z233" i="4"/>
  <c r="AI232" i="4"/>
  <c r="AG232" i="4"/>
  <c r="AE232" i="4"/>
  <c r="AD232" i="4"/>
  <c r="AC232" i="4"/>
  <c r="AB232" i="4"/>
  <c r="AA232" i="4"/>
  <c r="Z232" i="4"/>
  <c r="AI231" i="4"/>
  <c r="AG231" i="4"/>
  <c r="AE231" i="4"/>
  <c r="AD231" i="4"/>
  <c r="AC231" i="4"/>
  <c r="AB231" i="4"/>
  <c r="AA231" i="4"/>
  <c r="Z231" i="4"/>
  <c r="AI230" i="4"/>
  <c r="AG230" i="4"/>
  <c r="AE230" i="4"/>
  <c r="AD230" i="4"/>
  <c r="AC230" i="4"/>
  <c r="AB230" i="4"/>
  <c r="AA230" i="4"/>
  <c r="Z230" i="4"/>
  <c r="AI229" i="4"/>
  <c r="AG229" i="4"/>
  <c r="AE229" i="4"/>
  <c r="AD229" i="4"/>
  <c r="AC229" i="4"/>
  <c r="AB229" i="4"/>
  <c r="AA229" i="4"/>
  <c r="Z229" i="4"/>
  <c r="AI228" i="4"/>
  <c r="AG228" i="4"/>
  <c r="AE228" i="4"/>
  <c r="AD228" i="4"/>
  <c r="AC228" i="4"/>
  <c r="AB228" i="4"/>
  <c r="AA228" i="4"/>
  <c r="Z228" i="4"/>
  <c r="AI227" i="4"/>
  <c r="AG227" i="4"/>
  <c r="AE227" i="4"/>
  <c r="AD227" i="4"/>
  <c r="AC227" i="4"/>
  <c r="AB227" i="4"/>
  <c r="AA227" i="4"/>
  <c r="Z227" i="4"/>
  <c r="AI226" i="4"/>
  <c r="AG226" i="4"/>
  <c r="AE226" i="4"/>
  <c r="AD226" i="4"/>
  <c r="AC226" i="4"/>
  <c r="AB226" i="4"/>
  <c r="AA226" i="4"/>
  <c r="Z226" i="4"/>
  <c r="AI225" i="4"/>
  <c r="AG225" i="4"/>
  <c r="AE225" i="4"/>
  <c r="AD225" i="4"/>
  <c r="AC225" i="4"/>
  <c r="AB225" i="4"/>
  <c r="AA225" i="4"/>
  <c r="Z225" i="4"/>
  <c r="AI224" i="4"/>
  <c r="AG224" i="4"/>
  <c r="AE224" i="4"/>
  <c r="AD224" i="4"/>
  <c r="AC224" i="4"/>
  <c r="AB224" i="4"/>
  <c r="AA224" i="4"/>
  <c r="Z224" i="4"/>
  <c r="AI223" i="4"/>
  <c r="AG223" i="4"/>
  <c r="AE223" i="4"/>
  <c r="AD223" i="4"/>
  <c r="AC223" i="4"/>
  <c r="AB223" i="4"/>
  <c r="AA223" i="4"/>
  <c r="Z223" i="4"/>
  <c r="AI222" i="4"/>
  <c r="AG222" i="4"/>
  <c r="AE222" i="4"/>
  <c r="AD222" i="4"/>
  <c r="AC222" i="4"/>
  <c r="AB222" i="4"/>
  <c r="AA222" i="4"/>
  <c r="Z222" i="4"/>
  <c r="AI221" i="4"/>
  <c r="AG221" i="4"/>
  <c r="AE221" i="4"/>
  <c r="AD221" i="4"/>
  <c r="AC221" i="4"/>
  <c r="AB221" i="4"/>
  <c r="AA221" i="4"/>
  <c r="Z221" i="4"/>
  <c r="AI220" i="4"/>
  <c r="AG220" i="4"/>
  <c r="AE220" i="4"/>
  <c r="AD220" i="4"/>
  <c r="AC220" i="4"/>
  <c r="AB220" i="4"/>
  <c r="AA220" i="4"/>
  <c r="Z220" i="4"/>
  <c r="AI219" i="4"/>
  <c r="AG219" i="4"/>
  <c r="AE219" i="4"/>
  <c r="AD219" i="4"/>
  <c r="AC219" i="4"/>
  <c r="AB219" i="4"/>
  <c r="AA219" i="4"/>
  <c r="Z219" i="4"/>
  <c r="AI218" i="4"/>
  <c r="AG218" i="4"/>
  <c r="AE218" i="4"/>
  <c r="AD218" i="4"/>
  <c r="AC218" i="4"/>
  <c r="AB218" i="4"/>
  <c r="AA218" i="4"/>
  <c r="Z218" i="4"/>
  <c r="AI217" i="4"/>
  <c r="AG217" i="4"/>
  <c r="AE217" i="4"/>
  <c r="AD217" i="4"/>
  <c r="AC217" i="4"/>
  <c r="AB217" i="4"/>
  <c r="AA217" i="4"/>
  <c r="Z217" i="4"/>
  <c r="AI216" i="4"/>
  <c r="AG216" i="4"/>
  <c r="AE216" i="4"/>
  <c r="AD216" i="4"/>
  <c r="AC216" i="4"/>
  <c r="AB216" i="4"/>
  <c r="AA216" i="4"/>
  <c r="Z216" i="4"/>
  <c r="AI215" i="4"/>
  <c r="AG215" i="4"/>
  <c r="AE215" i="4"/>
  <c r="AD215" i="4"/>
  <c r="AC215" i="4"/>
  <c r="AB215" i="4"/>
  <c r="AA215" i="4"/>
  <c r="Z215" i="4"/>
  <c r="AI214" i="4"/>
  <c r="AG214" i="4"/>
  <c r="AE214" i="4"/>
  <c r="AD214" i="4"/>
  <c r="AC214" i="4"/>
  <c r="AB214" i="4"/>
  <c r="AA214" i="4"/>
  <c r="Z214" i="4"/>
  <c r="AI213" i="4"/>
  <c r="AG213" i="4"/>
  <c r="AE213" i="4"/>
  <c r="AD213" i="4"/>
  <c r="AC213" i="4"/>
  <c r="AB213" i="4"/>
  <c r="AA213" i="4"/>
  <c r="Z213" i="4"/>
  <c r="AI212" i="4"/>
  <c r="AG212" i="4"/>
  <c r="AE212" i="4"/>
  <c r="AD212" i="4"/>
  <c r="AC212" i="4"/>
  <c r="AB212" i="4"/>
  <c r="AA212" i="4"/>
  <c r="Z212" i="4"/>
  <c r="AI211" i="4"/>
  <c r="AG211" i="4"/>
  <c r="AE211" i="4"/>
  <c r="AD211" i="4"/>
  <c r="AC211" i="4"/>
  <c r="AB211" i="4"/>
  <c r="AA211" i="4"/>
  <c r="Z211" i="4"/>
  <c r="AI210" i="4"/>
  <c r="AG210" i="4"/>
  <c r="AE210" i="4"/>
  <c r="AD210" i="4"/>
  <c r="AC210" i="4"/>
  <c r="AB210" i="4"/>
  <c r="AA210" i="4"/>
  <c r="Z210" i="4"/>
  <c r="AI209" i="4"/>
  <c r="AG209" i="4"/>
  <c r="AE209" i="4"/>
  <c r="AD209" i="4"/>
  <c r="AC209" i="4"/>
  <c r="AB209" i="4"/>
  <c r="AA209" i="4"/>
  <c r="Z209" i="4"/>
  <c r="AI208" i="4"/>
  <c r="AG208" i="4"/>
  <c r="AE208" i="4"/>
  <c r="AD208" i="4"/>
  <c r="AC208" i="4"/>
  <c r="AB208" i="4"/>
  <c r="AA208" i="4"/>
  <c r="Z208" i="4"/>
  <c r="AI207" i="4"/>
  <c r="AG207" i="4"/>
  <c r="AE207" i="4"/>
  <c r="AD207" i="4"/>
  <c r="AC207" i="4"/>
  <c r="AB207" i="4"/>
  <c r="AA207" i="4"/>
  <c r="Z207" i="4"/>
  <c r="AI206" i="4"/>
  <c r="AG206" i="4"/>
  <c r="AE206" i="4"/>
  <c r="AD206" i="4"/>
  <c r="AC206" i="4"/>
  <c r="AB206" i="4"/>
  <c r="AA206" i="4"/>
  <c r="Z206" i="4"/>
  <c r="AI205" i="4"/>
  <c r="AG205" i="4"/>
  <c r="AE205" i="4"/>
  <c r="AD205" i="4"/>
  <c r="AC205" i="4"/>
  <c r="AB205" i="4"/>
  <c r="AA205" i="4"/>
  <c r="Z205" i="4"/>
  <c r="AI204" i="4"/>
  <c r="AG204" i="4"/>
  <c r="AE204" i="4"/>
  <c r="AD204" i="4"/>
  <c r="AC204" i="4"/>
  <c r="AB204" i="4"/>
  <c r="AA204" i="4"/>
  <c r="Z204" i="4"/>
  <c r="AI203" i="4"/>
  <c r="AG203" i="4"/>
  <c r="AE203" i="4"/>
  <c r="AD203" i="4"/>
  <c r="AC203" i="4"/>
  <c r="AB203" i="4"/>
  <c r="AA203" i="4"/>
  <c r="Z203" i="4"/>
  <c r="AI202" i="4"/>
  <c r="AG202" i="4"/>
  <c r="AE202" i="4"/>
  <c r="AD202" i="4"/>
  <c r="AC202" i="4"/>
  <c r="AB202" i="4"/>
  <c r="AA202" i="4"/>
  <c r="Z202" i="4"/>
  <c r="AI201" i="4"/>
  <c r="AG201" i="4"/>
  <c r="AE201" i="4"/>
  <c r="AD201" i="4"/>
  <c r="AC201" i="4"/>
  <c r="AB201" i="4"/>
  <c r="AA201" i="4"/>
  <c r="Z201" i="4"/>
  <c r="AI200" i="4"/>
  <c r="AG200" i="4"/>
  <c r="AE200" i="4"/>
  <c r="AD200" i="4"/>
  <c r="AC200" i="4"/>
  <c r="AB200" i="4"/>
  <c r="AA200" i="4"/>
  <c r="Z200" i="4"/>
  <c r="AI199" i="4"/>
  <c r="AG199" i="4"/>
  <c r="AE199" i="4"/>
  <c r="AD199" i="4"/>
  <c r="AC199" i="4"/>
  <c r="AB199" i="4"/>
  <c r="AA199" i="4"/>
  <c r="Z199" i="4"/>
  <c r="AI198" i="4"/>
  <c r="AG198" i="4"/>
  <c r="AE198" i="4"/>
  <c r="AD198" i="4"/>
  <c r="AC198" i="4"/>
  <c r="AB198" i="4"/>
  <c r="AA198" i="4"/>
  <c r="Z198" i="4"/>
  <c r="AI197" i="4"/>
  <c r="AG197" i="4"/>
  <c r="AE197" i="4"/>
  <c r="AD197" i="4"/>
  <c r="AC197" i="4"/>
  <c r="AB197" i="4"/>
  <c r="AA197" i="4"/>
  <c r="Z197" i="4"/>
  <c r="AI196" i="4"/>
  <c r="AG196" i="4"/>
  <c r="AE196" i="4"/>
  <c r="AD196" i="4"/>
  <c r="AC196" i="4"/>
  <c r="AB196" i="4"/>
  <c r="AA196" i="4"/>
  <c r="Z196" i="4"/>
  <c r="AI195" i="4"/>
  <c r="AG195" i="4"/>
  <c r="AE195" i="4"/>
  <c r="AD195" i="4"/>
  <c r="AC195" i="4"/>
  <c r="AB195" i="4"/>
  <c r="AA195" i="4"/>
  <c r="Z195" i="4"/>
  <c r="AI194" i="4"/>
  <c r="AG194" i="4"/>
  <c r="AE194" i="4"/>
  <c r="AD194" i="4"/>
  <c r="AC194" i="4"/>
  <c r="AB194" i="4"/>
  <c r="AA194" i="4"/>
  <c r="Z194" i="4"/>
  <c r="AI193" i="4"/>
  <c r="AG193" i="4"/>
  <c r="AE193" i="4"/>
  <c r="AD193" i="4"/>
  <c r="AC193" i="4"/>
  <c r="AB193" i="4"/>
  <c r="AA193" i="4"/>
  <c r="Z193" i="4"/>
  <c r="AI192" i="4"/>
  <c r="AG192" i="4"/>
  <c r="AE192" i="4"/>
  <c r="AD192" i="4"/>
  <c r="AC192" i="4"/>
  <c r="AB192" i="4"/>
  <c r="AA192" i="4"/>
  <c r="Z192" i="4"/>
  <c r="AI191" i="4"/>
  <c r="AG191" i="4"/>
  <c r="AE191" i="4"/>
  <c r="AD191" i="4"/>
  <c r="AC191" i="4"/>
  <c r="AB191" i="4"/>
  <c r="AA191" i="4"/>
  <c r="Z191" i="4"/>
  <c r="AI190" i="4"/>
  <c r="AG190" i="4"/>
  <c r="AE190" i="4"/>
  <c r="AD190" i="4"/>
  <c r="AC190" i="4"/>
  <c r="AB190" i="4"/>
  <c r="AA190" i="4"/>
  <c r="Z190" i="4"/>
  <c r="AI189" i="4"/>
  <c r="AG189" i="4"/>
  <c r="AE189" i="4"/>
  <c r="AD189" i="4"/>
  <c r="AC189" i="4"/>
  <c r="AB189" i="4"/>
  <c r="AA189" i="4"/>
  <c r="Z189" i="4"/>
  <c r="AI188" i="4"/>
  <c r="AG188" i="4"/>
  <c r="AE188" i="4"/>
  <c r="AD188" i="4"/>
  <c r="AC188" i="4"/>
  <c r="AB188" i="4"/>
  <c r="AA188" i="4"/>
  <c r="Z188" i="4"/>
  <c r="AI187" i="4"/>
  <c r="AG187" i="4"/>
  <c r="AE187" i="4"/>
  <c r="AD187" i="4"/>
  <c r="AC187" i="4"/>
  <c r="AB187" i="4"/>
  <c r="AA187" i="4"/>
  <c r="Z187" i="4"/>
  <c r="AI186" i="4"/>
  <c r="AG186" i="4"/>
  <c r="AE186" i="4"/>
  <c r="AD186" i="4"/>
  <c r="AC186" i="4"/>
  <c r="AB186" i="4"/>
  <c r="AA186" i="4"/>
  <c r="Z186" i="4"/>
  <c r="AI185" i="4"/>
  <c r="AG185" i="4"/>
  <c r="AE185" i="4"/>
  <c r="AD185" i="4"/>
  <c r="AC185" i="4"/>
  <c r="AB185" i="4"/>
  <c r="AA185" i="4"/>
  <c r="Z185" i="4"/>
  <c r="AI184" i="4"/>
  <c r="AG184" i="4"/>
  <c r="AE184" i="4"/>
  <c r="AD184" i="4"/>
  <c r="AC184" i="4"/>
  <c r="AB184" i="4"/>
  <c r="AA184" i="4"/>
  <c r="Z184" i="4"/>
  <c r="AI183" i="4"/>
  <c r="AG183" i="4"/>
  <c r="AE183" i="4"/>
  <c r="AD183" i="4"/>
  <c r="AC183" i="4"/>
  <c r="AB183" i="4"/>
  <c r="AA183" i="4"/>
  <c r="Z183" i="4"/>
  <c r="AI182" i="4"/>
  <c r="AG182" i="4"/>
  <c r="AE182" i="4"/>
  <c r="AD182" i="4"/>
  <c r="AC182" i="4"/>
  <c r="AB182" i="4"/>
  <c r="AA182" i="4"/>
  <c r="Z182" i="4"/>
  <c r="AI181" i="4"/>
  <c r="AG181" i="4"/>
  <c r="AE181" i="4"/>
  <c r="AD181" i="4"/>
  <c r="AC181" i="4"/>
  <c r="AB181" i="4"/>
  <c r="AA181" i="4"/>
  <c r="Z181" i="4"/>
  <c r="AI180" i="4"/>
  <c r="AG180" i="4"/>
  <c r="AE180" i="4"/>
  <c r="AD180" i="4"/>
  <c r="AC180" i="4"/>
  <c r="AB180" i="4"/>
  <c r="AA180" i="4"/>
  <c r="Z180" i="4"/>
  <c r="AI179" i="4"/>
  <c r="AG179" i="4"/>
  <c r="AE179" i="4"/>
  <c r="AD179" i="4"/>
  <c r="AC179" i="4"/>
  <c r="AB179" i="4"/>
  <c r="AA179" i="4"/>
  <c r="Z179" i="4"/>
  <c r="AI178" i="4"/>
  <c r="AG178" i="4"/>
  <c r="AE178" i="4"/>
  <c r="AD178" i="4"/>
  <c r="AC178" i="4"/>
  <c r="AB178" i="4"/>
  <c r="AA178" i="4"/>
  <c r="Z178" i="4"/>
  <c r="AI177" i="4"/>
  <c r="AG177" i="4"/>
  <c r="AE177" i="4"/>
  <c r="AD177" i="4"/>
  <c r="AC177" i="4"/>
  <c r="AB177" i="4"/>
  <c r="AA177" i="4"/>
  <c r="Z177" i="4"/>
  <c r="AI176" i="4"/>
  <c r="AG176" i="4"/>
  <c r="AE176" i="4"/>
  <c r="AD176" i="4"/>
  <c r="AC176" i="4"/>
  <c r="AB176" i="4"/>
  <c r="AA176" i="4"/>
  <c r="Z176" i="4"/>
  <c r="AI175" i="4"/>
  <c r="AG175" i="4"/>
  <c r="AE175" i="4"/>
  <c r="AD175" i="4"/>
  <c r="AC175" i="4"/>
  <c r="AB175" i="4"/>
  <c r="AA175" i="4"/>
  <c r="Z175" i="4"/>
  <c r="AI174" i="4"/>
  <c r="AG174" i="4"/>
  <c r="AE174" i="4"/>
  <c r="AD174" i="4"/>
  <c r="AC174" i="4"/>
  <c r="AB174" i="4"/>
  <c r="AA174" i="4"/>
  <c r="Z174" i="4"/>
  <c r="AI173" i="4"/>
  <c r="AG173" i="4"/>
  <c r="AE173" i="4"/>
  <c r="AD173" i="4"/>
  <c r="AC173" i="4"/>
  <c r="AB173" i="4"/>
  <c r="AA173" i="4"/>
  <c r="Z173" i="4"/>
  <c r="AI172" i="4"/>
  <c r="AG172" i="4"/>
  <c r="AE172" i="4"/>
  <c r="AD172" i="4"/>
  <c r="AC172" i="4"/>
  <c r="AB172" i="4"/>
  <c r="AA172" i="4"/>
  <c r="Z172" i="4"/>
  <c r="AI171" i="4"/>
  <c r="AG171" i="4"/>
  <c r="AE171" i="4"/>
  <c r="AD171" i="4"/>
  <c r="AC171" i="4"/>
  <c r="AB171" i="4"/>
  <c r="AA171" i="4"/>
  <c r="Z171" i="4"/>
  <c r="AI170" i="4"/>
  <c r="AG170" i="4"/>
  <c r="AE170" i="4"/>
  <c r="AD170" i="4"/>
  <c r="AC170" i="4"/>
  <c r="AB170" i="4"/>
  <c r="AA170" i="4"/>
  <c r="Z170" i="4"/>
  <c r="AI169" i="4"/>
  <c r="AG169" i="4"/>
  <c r="AE169" i="4"/>
  <c r="AD169" i="4"/>
  <c r="AC169" i="4"/>
  <c r="AB169" i="4"/>
  <c r="AA169" i="4"/>
  <c r="Z169" i="4"/>
  <c r="AI168" i="4"/>
  <c r="AG168" i="4"/>
  <c r="AE168" i="4"/>
  <c r="AD168" i="4"/>
  <c r="AC168" i="4"/>
  <c r="AB168" i="4"/>
  <c r="AA168" i="4"/>
  <c r="Z168" i="4"/>
  <c r="AI167" i="4"/>
  <c r="AG167" i="4"/>
  <c r="AE167" i="4"/>
  <c r="AD167" i="4"/>
  <c r="AC167" i="4"/>
  <c r="AB167" i="4"/>
  <c r="AA167" i="4"/>
  <c r="Z167" i="4"/>
  <c r="AI166" i="4"/>
  <c r="AG166" i="4"/>
  <c r="AE166" i="4"/>
  <c r="AD166" i="4"/>
  <c r="AC166" i="4"/>
  <c r="AB166" i="4"/>
  <c r="AA166" i="4"/>
  <c r="Z166" i="4"/>
  <c r="AI165" i="4"/>
  <c r="AG165" i="4"/>
  <c r="AE165" i="4"/>
  <c r="AD165" i="4"/>
  <c r="AC165" i="4"/>
  <c r="AB165" i="4"/>
  <c r="AA165" i="4"/>
  <c r="Z165" i="4"/>
  <c r="AI164" i="4"/>
  <c r="AG164" i="4"/>
  <c r="AE164" i="4"/>
  <c r="AD164" i="4"/>
  <c r="AC164" i="4"/>
  <c r="AB164" i="4"/>
  <c r="AA164" i="4"/>
  <c r="Z164" i="4"/>
  <c r="AI163" i="4"/>
  <c r="AG163" i="4"/>
  <c r="AE163" i="4"/>
  <c r="AD163" i="4"/>
  <c r="AC163" i="4"/>
  <c r="AB163" i="4"/>
  <c r="AA163" i="4"/>
  <c r="Z163" i="4"/>
  <c r="AI162" i="4"/>
  <c r="AG162" i="4"/>
  <c r="AE162" i="4"/>
  <c r="AD162" i="4"/>
  <c r="AC162" i="4"/>
  <c r="AB162" i="4"/>
  <c r="AA162" i="4"/>
  <c r="Z162" i="4"/>
  <c r="AI161" i="4"/>
  <c r="AG161" i="4"/>
  <c r="AE161" i="4"/>
  <c r="AD161" i="4"/>
  <c r="AC161" i="4"/>
  <c r="AB161" i="4"/>
  <c r="AA161" i="4"/>
  <c r="Z161" i="4"/>
  <c r="AI160" i="4"/>
  <c r="AG160" i="4"/>
  <c r="AE160" i="4"/>
  <c r="AD160" i="4"/>
  <c r="AC160" i="4"/>
  <c r="AB160" i="4"/>
  <c r="AA160" i="4"/>
  <c r="Z160" i="4"/>
  <c r="AI159" i="4"/>
  <c r="AG159" i="4"/>
  <c r="AE159" i="4"/>
  <c r="AD159" i="4"/>
  <c r="AC159" i="4"/>
  <c r="AB159" i="4"/>
  <c r="AA159" i="4"/>
  <c r="Z159" i="4"/>
  <c r="AI158" i="4"/>
  <c r="AG158" i="4"/>
  <c r="AE158" i="4"/>
  <c r="AD158" i="4"/>
  <c r="AC158" i="4"/>
  <c r="AB158" i="4"/>
  <c r="AA158" i="4"/>
  <c r="Z158" i="4"/>
  <c r="AI157" i="4"/>
  <c r="AG157" i="4"/>
  <c r="AE157" i="4"/>
  <c r="AD157" i="4"/>
  <c r="AC157" i="4"/>
  <c r="AB157" i="4"/>
  <c r="AA157" i="4"/>
  <c r="Z157" i="4"/>
  <c r="AI156" i="4"/>
  <c r="AG156" i="4"/>
  <c r="AE156" i="4"/>
  <c r="AD156" i="4"/>
  <c r="AC156" i="4"/>
  <c r="AB156" i="4"/>
  <c r="AA156" i="4"/>
  <c r="Z156" i="4"/>
  <c r="AI155" i="4"/>
  <c r="AG155" i="4"/>
  <c r="AE155" i="4"/>
  <c r="AD155" i="4"/>
  <c r="AC155" i="4"/>
  <c r="AB155" i="4"/>
  <c r="AA155" i="4"/>
  <c r="Z155" i="4"/>
  <c r="AI154" i="4"/>
  <c r="AG154" i="4"/>
  <c r="AE154" i="4"/>
  <c r="AD154" i="4"/>
  <c r="AC154" i="4"/>
  <c r="AB154" i="4"/>
  <c r="AA154" i="4"/>
  <c r="Z154" i="4"/>
  <c r="AI153" i="4"/>
  <c r="AG153" i="4"/>
  <c r="AE153" i="4"/>
  <c r="AD153" i="4"/>
  <c r="AC153" i="4"/>
  <c r="AB153" i="4"/>
  <c r="AA153" i="4"/>
  <c r="Z153" i="4"/>
  <c r="AI152" i="4"/>
  <c r="AG152" i="4"/>
  <c r="AE152" i="4"/>
  <c r="AD152" i="4"/>
  <c r="AC152" i="4"/>
  <c r="AB152" i="4"/>
  <c r="AA152" i="4"/>
  <c r="Z152" i="4"/>
  <c r="AI151" i="4"/>
  <c r="AG151" i="4"/>
  <c r="AE151" i="4"/>
  <c r="AD151" i="4"/>
  <c r="AC151" i="4"/>
  <c r="AB151" i="4"/>
  <c r="AA151" i="4"/>
  <c r="Z151" i="4"/>
  <c r="AI150" i="4"/>
  <c r="AG150" i="4"/>
  <c r="AE150" i="4"/>
  <c r="AD150" i="4"/>
  <c r="AC150" i="4"/>
  <c r="AB150" i="4"/>
  <c r="AA150" i="4"/>
  <c r="Z150" i="4"/>
  <c r="AI149" i="4"/>
  <c r="AG149" i="4"/>
  <c r="AE149" i="4"/>
  <c r="AD149" i="4"/>
  <c r="AC149" i="4"/>
  <c r="AB149" i="4"/>
  <c r="AA149" i="4"/>
  <c r="Z149" i="4"/>
  <c r="AI148" i="4"/>
  <c r="AG148" i="4"/>
  <c r="AE148" i="4"/>
  <c r="AD148" i="4"/>
  <c r="AC148" i="4"/>
  <c r="AB148" i="4"/>
  <c r="AA148" i="4"/>
  <c r="Z148" i="4"/>
  <c r="AI147" i="4"/>
  <c r="AG147" i="4"/>
  <c r="AE147" i="4"/>
  <c r="AD147" i="4"/>
  <c r="AC147" i="4"/>
  <c r="AB147" i="4"/>
  <c r="AA147" i="4"/>
  <c r="Z147" i="4"/>
  <c r="AI146" i="4"/>
  <c r="AG146" i="4"/>
  <c r="AE146" i="4"/>
  <c r="AD146" i="4"/>
  <c r="AC146" i="4"/>
  <c r="AB146" i="4"/>
  <c r="AA146" i="4"/>
  <c r="Z146" i="4"/>
  <c r="AI145" i="4"/>
  <c r="AG145" i="4"/>
  <c r="AE145" i="4"/>
  <c r="AD145" i="4"/>
  <c r="AC145" i="4"/>
  <c r="AB145" i="4"/>
  <c r="AA145" i="4"/>
  <c r="Z145" i="4"/>
  <c r="AI144" i="4"/>
  <c r="AG144" i="4"/>
  <c r="AE144" i="4"/>
  <c r="AD144" i="4"/>
  <c r="AC144" i="4"/>
  <c r="AB144" i="4"/>
  <c r="AA144" i="4"/>
  <c r="Z144" i="4"/>
  <c r="AI143" i="4"/>
  <c r="AG143" i="4"/>
  <c r="AE143" i="4"/>
  <c r="AD143" i="4"/>
  <c r="AC143" i="4"/>
  <c r="AB143" i="4"/>
  <c r="AA143" i="4"/>
  <c r="Z143" i="4"/>
  <c r="AI142" i="4"/>
  <c r="AG142" i="4"/>
  <c r="AE142" i="4"/>
  <c r="AD142" i="4"/>
  <c r="AC142" i="4"/>
  <c r="AB142" i="4"/>
  <c r="AA142" i="4"/>
  <c r="Z142" i="4"/>
  <c r="AI141" i="4"/>
  <c r="AG141" i="4"/>
  <c r="AE141" i="4"/>
  <c r="AD141" i="4"/>
  <c r="AC141" i="4"/>
  <c r="AB141" i="4"/>
  <c r="AA141" i="4"/>
  <c r="Z141" i="4"/>
  <c r="AI140" i="4"/>
  <c r="AG140" i="4"/>
  <c r="AE140" i="4"/>
  <c r="AD140" i="4"/>
  <c r="AC140" i="4"/>
  <c r="AB140" i="4"/>
  <c r="AA140" i="4"/>
  <c r="Z140" i="4"/>
  <c r="AI139" i="4"/>
  <c r="AG139" i="4"/>
  <c r="AE139" i="4"/>
  <c r="AD139" i="4"/>
  <c r="AC139" i="4"/>
  <c r="AB139" i="4"/>
  <c r="AA139" i="4"/>
  <c r="Z139" i="4"/>
  <c r="AI138" i="4"/>
  <c r="AG138" i="4"/>
  <c r="AE138" i="4"/>
  <c r="AD138" i="4"/>
  <c r="AC138" i="4"/>
  <c r="AB138" i="4"/>
  <c r="AA138" i="4"/>
  <c r="Z138" i="4"/>
  <c r="AI137" i="4"/>
  <c r="AG137" i="4"/>
  <c r="AE137" i="4"/>
  <c r="AD137" i="4"/>
  <c r="AC137" i="4"/>
  <c r="AB137" i="4"/>
  <c r="AA137" i="4"/>
  <c r="Z137" i="4"/>
  <c r="AI136" i="4"/>
  <c r="AG136" i="4"/>
  <c r="AE136" i="4"/>
  <c r="AD136" i="4"/>
  <c r="AC136" i="4"/>
  <c r="AB136" i="4"/>
  <c r="AA136" i="4"/>
  <c r="Z136" i="4"/>
  <c r="AI135" i="4"/>
  <c r="AG135" i="4"/>
  <c r="AE135" i="4"/>
  <c r="AD135" i="4"/>
  <c r="AC135" i="4"/>
  <c r="AB135" i="4"/>
  <c r="AA135" i="4"/>
  <c r="Z135" i="4"/>
  <c r="AI134" i="4"/>
  <c r="AG134" i="4"/>
  <c r="AE134" i="4"/>
  <c r="AD134" i="4"/>
  <c r="AC134" i="4"/>
  <c r="AB134" i="4"/>
  <c r="AA134" i="4"/>
  <c r="Z134" i="4"/>
  <c r="AI133" i="4"/>
  <c r="AG133" i="4"/>
  <c r="AE133" i="4"/>
  <c r="AD133" i="4"/>
  <c r="AC133" i="4"/>
  <c r="AB133" i="4"/>
  <c r="AA133" i="4"/>
  <c r="Z133" i="4"/>
  <c r="AI132" i="4"/>
  <c r="AG132" i="4"/>
  <c r="AE132" i="4"/>
  <c r="AD132" i="4"/>
  <c r="AC132" i="4"/>
  <c r="AB132" i="4"/>
  <c r="AA132" i="4"/>
  <c r="Z132" i="4"/>
  <c r="AI131" i="4"/>
  <c r="AG131" i="4"/>
  <c r="AE131" i="4"/>
  <c r="AD131" i="4"/>
  <c r="AC131" i="4"/>
  <c r="AB131" i="4"/>
  <c r="AA131" i="4"/>
  <c r="Z131" i="4"/>
  <c r="AI130" i="4"/>
  <c r="AG130" i="4"/>
  <c r="AE130" i="4"/>
  <c r="AD130" i="4"/>
  <c r="AC130" i="4"/>
  <c r="AB130" i="4"/>
  <c r="AA130" i="4"/>
  <c r="Z130" i="4"/>
  <c r="AI129" i="4"/>
  <c r="AG129" i="4"/>
  <c r="AE129" i="4"/>
  <c r="AD129" i="4"/>
  <c r="AC129" i="4"/>
  <c r="AB129" i="4"/>
  <c r="AA129" i="4"/>
  <c r="Z129" i="4"/>
  <c r="AI128" i="4"/>
  <c r="AG128" i="4"/>
  <c r="AE128" i="4"/>
  <c r="AD128" i="4"/>
  <c r="AC128" i="4"/>
  <c r="AB128" i="4"/>
  <c r="AA128" i="4"/>
  <c r="Z128" i="4"/>
  <c r="AI127" i="4"/>
  <c r="AG127" i="4"/>
  <c r="AE127" i="4"/>
  <c r="AD127" i="4"/>
  <c r="AC127" i="4"/>
  <c r="AB127" i="4"/>
  <c r="AA127" i="4"/>
  <c r="Z127" i="4"/>
  <c r="AI126" i="4"/>
  <c r="AG126" i="4"/>
  <c r="AE126" i="4"/>
  <c r="AD126" i="4"/>
  <c r="AC126" i="4"/>
  <c r="AB126" i="4"/>
  <c r="AA126" i="4"/>
  <c r="Z126" i="4"/>
  <c r="AI125" i="4"/>
  <c r="AG125" i="4"/>
  <c r="AE125" i="4"/>
  <c r="AD125" i="4"/>
  <c r="AC125" i="4"/>
  <c r="AB125" i="4"/>
  <c r="AA125" i="4"/>
  <c r="Z125" i="4"/>
  <c r="AI124" i="4"/>
  <c r="AG124" i="4"/>
  <c r="AE124" i="4"/>
  <c r="AD124" i="4"/>
  <c r="AC124" i="4"/>
  <c r="AB124" i="4"/>
  <c r="AA124" i="4"/>
  <c r="Z124" i="4"/>
  <c r="AI123" i="4"/>
  <c r="AG123" i="4"/>
  <c r="AE123" i="4"/>
  <c r="AD123" i="4"/>
  <c r="AC123" i="4"/>
  <c r="AB123" i="4"/>
  <c r="AA123" i="4"/>
  <c r="Z123" i="4"/>
  <c r="AI122" i="4"/>
  <c r="AG122" i="4"/>
  <c r="AE122" i="4"/>
  <c r="AD122" i="4"/>
  <c r="AC122" i="4"/>
  <c r="AB122" i="4"/>
  <c r="AA122" i="4"/>
  <c r="Z122" i="4"/>
  <c r="AI121" i="4"/>
  <c r="AG121" i="4"/>
  <c r="AE121" i="4"/>
  <c r="AD121" i="4"/>
  <c r="AC121" i="4"/>
  <c r="AB121" i="4"/>
  <c r="AA121" i="4"/>
  <c r="Z121" i="4"/>
  <c r="AI120" i="4"/>
  <c r="AG120" i="4"/>
  <c r="AE120" i="4"/>
  <c r="AD120" i="4"/>
  <c r="AC120" i="4"/>
  <c r="AB120" i="4"/>
  <c r="AA120" i="4"/>
  <c r="Z120" i="4"/>
  <c r="AI119" i="4"/>
  <c r="AG119" i="4"/>
  <c r="AE119" i="4"/>
  <c r="AD119" i="4"/>
  <c r="AC119" i="4"/>
  <c r="AB119" i="4"/>
  <c r="AA119" i="4"/>
  <c r="Z119" i="4"/>
  <c r="AI118" i="4"/>
  <c r="AG118" i="4"/>
  <c r="AE118" i="4"/>
  <c r="AD118" i="4"/>
  <c r="AC118" i="4"/>
  <c r="AB118" i="4"/>
  <c r="AA118" i="4"/>
  <c r="Z118" i="4"/>
  <c r="AI117" i="4"/>
  <c r="AG117" i="4"/>
  <c r="AE117" i="4"/>
  <c r="AD117" i="4"/>
  <c r="AC117" i="4"/>
  <c r="AB117" i="4"/>
  <c r="AA117" i="4"/>
  <c r="Z117" i="4"/>
  <c r="AI116" i="4"/>
  <c r="AG116" i="4"/>
  <c r="AE116" i="4"/>
  <c r="AD116" i="4"/>
  <c r="AC116" i="4"/>
  <c r="AB116" i="4"/>
  <c r="AA116" i="4"/>
  <c r="Z116" i="4"/>
  <c r="AI115" i="4"/>
  <c r="AG115" i="4"/>
  <c r="AE115" i="4"/>
  <c r="AD115" i="4"/>
  <c r="AC115" i="4"/>
  <c r="AB115" i="4"/>
  <c r="AA115" i="4"/>
  <c r="Z115" i="4"/>
  <c r="AI114" i="4"/>
  <c r="AG114" i="4"/>
  <c r="AE114" i="4"/>
  <c r="AD114" i="4"/>
  <c r="AC114" i="4"/>
  <c r="AB114" i="4"/>
  <c r="AA114" i="4"/>
  <c r="Z114" i="4"/>
  <c r="AI113" i="4"/>
  <c r="AG113" i="4"/>
  <c r="AE113" i="4"/>
  <c r="AD113" i="4"/>
  <c r="AC113" i="4"/>
  <c r="AB113" i="4"/>
  <c r="AA113" i="4"/>
  <c r="Z113" i="4"/>
  <c r="AI112" i="4"/>
  <c r="AG112" i="4"/>
  <c r="AE112" i="4"/>
  <c r="AD112" i="4"/>
  <c r="AC112" i="4"/>
  <c r="AB112" i="4"/>
  <c r="AA112" i="4"/>
  <c r="Z112" i="4"/>
  <c r="AI111" i="4"/>
  <c r="AG111" i="4"/>
  <c r="AE111" i="4"/>
  <c r="AD111" i="4"/>
  <c r="AC111" i="4"/>
  <c r="AB111" i="4"/>
  <c r="AA111" i="4"/>
  <c r="Z111" i="4"/>
  <c r="AI110" i="4"/>
  <c r="AG110" i="4"/>
  <c r="AE110" i="4"/>
  <c r="AD110" i="4"/>
  <c r="AC110" i="4"/>
  <c r="AB110" i="4"/>
  <c r="AA110" i="4"/>
  <c r="Z110" i="4"/>
  <c r="AI109" i="4"/>
  <c r="AG109" i="4"/>
  <c r="AE109" i="4"/>
  <c r="AD109" i="4"/>
  <c r="AC109" i="4"/>
  <c r="AB109" i="4"/>
  <c r="AA109" i="4"/>
  <c r="Z109" i="4"/>
  <c r="AI108" i="4"/>
  <c r="AG108" i="4"/>
  <c r="AE108" i="4"/>
  <c r="AD108" i="4"/>
  <c r="AC108" i="4"/>
  <c r="AB108" i="4"/>
  <c r="AA108" i="4"/>
  <c r="Z108" i="4"/>
  <c r="AI107" i="4"/>
  <c r="AG107" i="4"/>
  <c r="AE107" i="4"/>
  <c r="AD107" i="4"/>
  <c r="AC107" i="4"/>
  <c r="AB107" i="4"/>
  <c r="AA107" i="4"/>
  <c r="Z107" i="4"/>
  <c r="AI106" i="4"/>
  <c r="AG106" i="4"/>
  <c r="AE106" i="4"/>
  <c r="AD106" i="4"/>
  <c r="AC106" i="4"/>
  <c r="AB106" i="4"/>
  <c r="AA106" i="4"/>
  <c r="Z106" i="4"/>
  <c r="AI105" i="4"/>
  <c r="AG105" i="4"/>
  <c r="AE105" i="4"/>
  <c r="AD105" i="4"/>
  <c r="AC105" i="4"/>
  <c r="AB105" i="4"/>
  <c r="AA105" i="4"/>
  <c r="Z105" i="4"/>
  <c r="AI104" i="4"/>
  <c r="AG104" i="4"/>
  <c r="AE104" i="4"/>
  <c r="AD104" i="4"/>
  <c r="AC104" i="4"/>
  <c r="AB104" i="4"/>
  <c r="AA104" i="4"/>
  <c r="Z104" i="4"/>
  <c r="AI103" i="4"/>
  <c r="AG103" i="4"/>
  <c r="AE103" i="4"/>
  <c r="AD103" i="4"/>
  <c r="AC103" i="4"/>
  <c r="AB103" i="4"/>
  <c r="AA103" i="4"/>
  <c r="Z103" i="4"/>
  <c r="AI102" i="4"/>
  <c r="AG102" i="4"/>
  <c r="AE102" i="4"/>
  <c r="AD102" i="4"/>
  <c r="AC102" i="4"/>
  <c r="AB102" i="4"/>
  <c r="AA102" i="4"/>
  <c r="Z102" i="4"/>
  <c r="AI101" i="4"/>
  <c r="AG101" i="4"/>
  <c r="AE101" i="4"/>
  <c r="AD101" i="4"/>
  <c r="AC101" i="4"/>
  <c r="AB101" i="4"/>
  <c r="AA101" i="4"/>
  <c r="Z101" i="4"/>
  <c r="AI100" i="4"/>
  <c r="AG100" i="4"/>
  <c r="AE100" i="4"/>
  <c r="AD100" i="4"/>
  <c r="AC100" i="4"/>
  <c r="AB100" i="4"/>
  <c r="AA100" i="4"/>
  <c r="Z100" i="4"/>
  <c r="AI99" i="4"/>
  <c r="AG99" i="4"/>
  <c r="AE99" i="4"/>
  <c r="AD99" i="4"/>
  <c r="AC99" i="4"/>
  <c r="AB99" i="4"/>
  <c r="AA99" i="4"/>
  <c r="Z99" i="4"/>
  <c r="AI98" i="4"/>
  <c r="AG98" i="4"/>
  <c r="AE98" i="4"/>
  <c r="AD98" i="4"/>
  <c r="AC98" i="4"/>
  <c r="AB98" i="4"/>
  <c r="AA98" i="4"/>
  <c r="Z98" i="4"/>
  <c r="AI97" i="4"/>
  <c r="AG97" i="4"/>
  <c r="AE97" i="4"/>
  <c r="AD97" i="4"/>
  <c r="AC97" i="4"/>
  <c r="AB97" i="4"/>
  <c r="AA97" i="4"/>
  <c r="Z97" i="4"/>
  <c r="AI96" i="4"/>
  <c r="AG96" i="4"/>
  <c r="AE96" i="4"/>
  <c r="AD96" i="4"/>
  <c r="AC96" i="4"/>
  <c r="AB96" i="4"/>
  <c r="AA96" i="4"/>
  <c r="Z96" i="4"/>
  <c r="AI95" i="4"/>
  <c r="AG95" i="4"/>
  <c r="AE95" i="4"/>
  <c r="AD95" i="4"/>
  <c r="AC95" i="4"/>
  <c r="AB95" i="4"/>
  <c r="AA95" i="4"/>
  <c r="Z95" i="4"/>
  <c r="AI94" i="4"/>
  <c r="AG94" i="4"/>
  <c r="AE94" i="4"/>
  <c r="AD94" i="4"/>
  <c r="AC94" i="4"/>
  <c r="AB94" i="4"/>
  <c r="AA94" i="4"/>
  <c r="Z94" i="4"/>
  <c r="AI93" i="4"/>
  <c r="AG93" i="4"/>
  <c r="AE93" i="4"/>
  <c r="AD93" i="4"/>
  <c r="AC93" i="4"/>
  <c r="AB93" i="4"/>
  <c r="AA93" i="4"/>
  <c r="Z93" i="4"/>
  <c r="AI92" i="4"/>
  <c r="AG92" i="4"/>
  <c r="AE92" i="4"/>
  <c r="AD92" i="4"/>
  <c r="AC92" i="4"/>
  <c r="AB92" i="4"/>
  <c r="AA92" i="4"/>
  <c r="Z92" i="4"/>
  <c r="AI91" i="4"/>
  <c r="AG91" i="4"/>
  <c r="AE91" i="4"/>
  <c r="AD91" i="4"/>
  <c r="AC91" i="4"/>
  <c r="AB91" i="4"/>
  <c r="AA91" i="4"/>
  <c r="Z91" i="4"/>
  <c r="AI90" i="4"/>
  <c r="AG90" i="4"/>
  <c r="AE90" i="4"/>
  <c r="AD90" i="4"/>
  <c r="AC90" i="4"/>
  <c r="AB90" i="4"/>
  <c r="AA90" i="4"/>
  <c r="Z90" i="4"/>
  <c r="AI89" i="4"/>
  <c r="AG89" i="4"/>
  <c r="AE89" i="4"/>
  <c r="AD89" i="4"/>
  <c r="AC89" i="4"/>
  <c r="AB89" i="4"/>
  <c r="AA89" i="4"/>
  <c r="Z89" i="4"/>
  <c r="AI88" i="4"/>
  <c r="AG88" i="4"/>
  <c r="AE88" i="4"/>
  <c r="AD88" i="4"/>
  <c r="AC88" i="4"/>
  <c r="AB88" i="4"/>
  <c r="AA88" i="4"/>
  <c r="Z88" i="4"/>
  <c r="AI87" i="4"/>
  <c r="AG87" i="4"/>
  <c r="AE87" i="4"/>
  <c r="AD87" i="4"/>
  <c r="AC87" i="4"/>
  <c r="AB87" i="4"/>
  <c r="AA87" i="4"/>
  <c r="Z87" i="4"/>
  <c r="AI86" i="4"/>
  <c r="AG86" i="4"/>
  <c r="AE86" i="4"/>
  <c r="AD86" i="4"/>
  <c r="AC86" i="4"/>
  <c r="AB86" i="4"/>
  <c r="AA86" i="4"/>
  <c r="Z86" i="4"/>
  <c r="AI85" i="4"/>
  <c r="AG85" i="4"/>
  <c r="AE85" i="4"/>
  <c r="AD85" i="4"/>
  <c r="AC85" i="4"/>
  <c r="AB85" i="4"/>
  <c r="AA85" i="4"/>
  <c r="Z85" i="4"/>
  <c r="AI84" i="4"/>
  <c r="AG84" i="4"/>
  <c r="AE84" i="4"/>
  <c r="AD84" i="4"/>
  <c r="AC84" i="4"/>
  <c r="AB84" i="4"/>
  <c r="AA84" i="4"/>
  <c r="Z84" i="4"/>
  <c r="AI83" i="4"/>
  <c r="AG83" i="4"/>
  <c r="AE83" i="4"/>
  <c r="AD83" i="4"/>
  <c r="AC83" i="4"/>
  <c r="AB83" i="4"/>
  <c r="AA83" i="4"/>
  <c r="Z83" i="4"/>
  <c r="AI82" i="4"/>
  <c r="AG82" i="4"/>
  <c r="AE82" i="4"/>
  <c r="AD82" i="4"/>
  <c r="AC82" i="4"/>
  <c r="AB82" i="4"/>
  <c r="AA82" i="4"/>
  <c r="Z82" i="4"/>
  <c r="AI81" i="4"/>
  <c r="AG81" i="4"/>
  <c r="AE81" i="4"/>
  <c r="AD81" i="4"/>
  <c r="AC81" i="4"/>
  <c r="AB81" i="4"/>
  <c r="AA81" i="4"/>
  <c r="Z81" i="4"/>
  <c r="AI80" i="4"/>
  <c r="AG80" i="4"/>
  <c r="AE80" i="4"/>
  <c r="AD80" i="4"/>
  <c r="AC80" i="4"/>
  <c r="AB80" i="4"/>
  <c r="AA80" i="4"/>
  <c r="Z80" i="4"/>
  <c r="AI79" i="4"/>
  <c r="AG79" i="4"/>
  <c r="AE79" i="4"/>
  <c r="AD79" i="4"/>
  <c r="AC79" i="4"/>
  <c r="AB79" i="4"/>
  <c r="AA79" i="4"/>
  <c r="Z79" i="4"/>
  <c r="AI78" i="4"/>
  <c r="AG78" i="4"/>
  <c r="AE78" i="4"/>
  <c r="AD78" i="4"/>
  <c r="AC78" i="4"/>
  <c r="AB78" i="4"/>
  <c r="AA78" i="4"/>
  <c r="Z78" i="4"/>
  <c r="AI77" i="4"/>
  <c r="AG77" i="4"/>
  <c r="AE77" i="4"/>
  <c r="AD77" i="4"/>
  <c r="AC77" i="4"/>
  <c r="AB77" i="4"/>
  <c r="AA77" i="4"/>
  <c r="Z77" i="4"/>
  <c r="AI76" i="4"/>
  <c r="AG76" i="4"/>
  <c r="AE76" i="4"/>
  <c r="AD76" i="4"/>
  <c r="AC76" i="4"/>
  <c r="AB76" i="4"/>
  <c r="AA76" i="4"/>
  <c r="Z76" i="4"/>
  <c r="AI75" i="4"/>
  <c r="AG75" i="4"/>
  <c r="AE75" i="4"/>
  <c r="AD75" i="4"/>
  <c r="AC75" i="4"/>
  <c r="AB75" i="4"/>
  <c r="AA75" i="4"/>
  <c r="Z75" i="4"/>
  <c r="AI74" i="4"/>
  <c r="AG74" i="4"/>
  <c r="AE74" i="4"/>
  <c r="AD74" i="4"/>
  <c r="AC74" i="4"/>
  <c r="AB74" i="4"/>
  <c r="AA74" i="4"/>
  <c r="Z74" i="4"/>
  <c r="AI73" i="4"/>
  <c r="AG73" i="4"/>
  <c r="AE73" i="4"/>
  <c r="AD73" i="4"/>
  <c r="AC73" i="4"/>
  <c r="AB73" i="4"/>
  <c r="AA73" i="4"/>
  <c r="Z73" i="4"/>
  <c r="AI72" i="4"/>
  <c r="AG72" i="4"/>
  <c r="AE72" i="4"/>
  <c r="AD72" i="4"/>
  <c r="AC72" i="4"/>
  <c r="AB72" i="4"/>
  <c r="AA72" i="4"/>
  <c r="Z72" i="4"/>
  <c r="AI71" i="4"/>
  <c r="AG71" i="4"/>
  <c r="AE71" i="4"/>
  <c r="AD71" i="4"/>
  <c r="AC71" i="4"/>
  <c r="AB71" i="4"/>
  <c r="AA71" i="4"/>
  <c r="Z71" i="4"/>
  <c r="AI70" i="4"/>
  <c r="AG70" i="4"/>
  <c r="AE70" i="4"/>
  <c r="AD70" i="4"/>
  <c r="AC70" i="4"/>
  <c r="AB70" i="4"/>
  <c r="AA70" i="4"/>
  <c r="Z70" i="4"/>
  <c r="AI69" i="4"/>
  <c r="AG69" i="4"/>
  <c r="AE69" i="4"/>
  <c r="AD69" i="4"/>
  <c r="AC69" i="4"/>
  <c r="AB69" i="4"/>
  <c r="AA69" i="4"/>
  <c r="Z69" i="4"/>
  <c r="AI68" i="4"/>
  <c r="AG68" i="4"/>
  <c r="AE68" i="4"/>
  <c r="AD68" i="4"/>
  <c r="AC68" i="4"/>
  <c r="AB68" i="4"/>
  <c r="AA68" i="4"/>
  <c r="Z68" i="4"/>
  <c r="AI67" i="4"/>
  <c r="AG67" i="4"/>
  <c r="AE67" i="4"/>
  <c r="AD67" i="4"/>
  <c r="AC67" i="4"/>
  <c r="AB67" i="4"/>
  <c r="AA67" i="4"/>
  <c r="Z67" i="4"/>
  <c r="AI66" i="4"/>
  <c r="AG66" i="4"/>
  <c r="AE66" i="4"/>
  <c r="AD66" i="4"/>
  <c r="AC66" i="4"/>
  <c r="AB66" i="4"/>
  <c r="AA66" i="4"/>
  <c r="Z66" i="4"/>
  <c r="AI65" i="4"/>
  <c r="AG65" i="4"/>
  <c r="AE65" i="4"/>
  <c r="AD65" i="4"/>
  <c r="AC65" i="4"/>
  <c r="AB65" i="4"/>
  <c r="AA65" i="4"/>
  <c r="Z65" i="4"/>
  <c r="AI64" i="4"/>
  <c r="AG64" i="4"/>
  <c r="AE64" i="4"/>
  <c r="AD64" i="4"/>
  <c r="AC64" i="4"/>
  <c r="AB64" i="4"/>
  <c r="AA64" i="4"/>
  <c r="Z64" i="4"/>
  <c r="AI63" i="4"/>
  <c r="AG63" i="4"/>
  <c r="AE63" i="4"/>
  <c r="AD63" i="4"/>
  <c r="AC63" i="4"/>
  <c r="AB63" i="4"/>
  <c r="AA63" i="4"/>
  <c r="Z63" i="4"/>
  <c r="AI62" i="4"/>
  <c r="AG62" i="4"/>
  <c r="AE62" i="4"/>
  <c r="AD62" i="4"/>
  <c r="AC62" i="4"/>
  <c r="AB62" i="4"/>
  <c r="AA62" i="4"/>
  <c r="Z62" i="4"/>
  <c r="AI61" i="4"/>
  <c r="AG61" i="4"/>
  <c r="AE61" i="4"/>
  <c r="AD61" i="4"/>
  <c r="AC61" i="4"/>
  <c r="AB61" i="4"/>
  <c r="AA61" i="4"/>
  <c r="Z61" i="4"/>
  <c r="AI60" i="4"/>
  <c r="AG60" i="4"/>
  <c r="AE60" i="4"/>
  <c r="AD60" i="4"/>
  <c r="AC60" i="4"/>
  <c r="AB60" i="4"/>
  <c r="AA60" i="4"/>
  <c r="Z60" i="4"/>
  <c r="AI59" i="4"/>
  <c r="AG59" i="4"/>
  <c r="AE59" i="4"/>
  <c r="AD59" i="4"/>
  <c r="AC59" i="4"/>
  <c r="AB59" i="4"/>
  <c r="AA59" i="4"/>
  <c r="Z59" i="4"/>
  <c r="AI58" i="4"/>
  <c r="AG58" i="4"/>
  <c r="AE58" i="4"/>
  <c r="AD58" i="4"/>
  <c r="AC58" i="4"/>
  <c r="AB58" i="4"/>
  <c r="AA58" i="4"/>
  <c r="Z58" i="4"/>
  <c r="AI57" i="4"/>
  <c r="AG57" i="4"/>
  <c r="AE57" i="4"/>
  <c r="AD57" i="4"/>
  <c r="AC57" i="4"/>
  <c r="AB57" i="4"/>
  <c r="AA57" i="4"/>
  <c r="Z57" i="4"/>
  <c r="AI56" i="4"/>
  <c r="AG56" i="4"/>
  <c r="AE56" i="4"/>
  <c r="AD56" i="4"/>
  <c r="AC56" i="4"/>
  <c r="AB56" i="4"/>
  <c r="AA56" i="4"/>
  <c r="Z56" i="4"/>
  <c r="AI55" i="4"/>
  <c r="AG55" i="4"/>
  <c r="AE55" i="4"/>
  <c r="AD55" i="4"/>
  <c r="AC55" i="4"/>
  <c r="AB55" i="4"/>
  <c r="AA55" i="4"/>
  <c r="Z55" i="4"/>
  <c r="AI54" i="4"/>
  <c r="AG54" i="4"/>
  <c r="AE54" i="4"/>
  <c r="AD54" i="4"/>
  <c r="AC54" i="4"/>
  <c r="AB54" i="4"/>
  <c r="AA54" i="4"/>
  <c r="Z54" i="4"/>
  <c r="AI53" i="4"/>
  <c r="AG53" i="4"/>
  <c r="AE53" i="4"/>
  <c r="AD53" i="4"/>
  <c r="AC53" i="4"/>
  <c r="AB53" i="4"/>
  <c r="AA53" i="4"/>
  <c r="Z53" i="4"/>
  <c r="AI52" i="4"/>
  <c r="AG52" i="4"/>
  <c r="AE52" i="4"/>
  <c r="AD52" i="4"/>
  <c r="AC52" i="4"/>
  <c r="AB52" i="4"/>
  <c r="AA52" i="4"/>
  <c r="Z52" i="4"/>
  <c r="AI51" i="4"/>
  <c r="AG51" i="4"/>
  <c r="AE51" i="4"/>
  <c r="AD51" i="4"/>
  <c r="AC51" i="4"/>
  <c r="AB51" i="4"/>
  <c r="AA51" i="4"/>
  <c r="Z51" i="4"/>
  <c r="AI50" i="4"/>
  <c r="AG50" i="4"/>
  <c r="AE50" i="4"/>
  <c r="AD50" i="4"/>
  <c r="AC50" i="4"/>
  <c r="AB50" i="4"/>
  <c r="AA50" i="4"/>
  <c r="Z50" i="4"/>
  <c r="AI49" i="4"/>
  <c r="AG49" i="4"/>
  <c r="AE49" i="4"/>
  <c r="AD49" i="4"/>
  <c r="AC49" i="4"/>
  <c r="AB49" i="4"/>
  <c r="AA49" i="4"/>
  <c r="Z49" i="4"/>
  <c r="AI48" i="4"/>
  <c r="AG48" i="4"/>
  <c r="AE48" i="4"/>
  <c r="AD48" i="4"/>
  <c r="AC48" i="4"/>
  <c r="AB48" i="4"/>
  <c r="AA48" i="4"/>
  <c r="Z48" i="4"/>
  <c r="AI47" i="4"/>
  <c r="AG47" i="4"/>
  <c r="AE47" i="4"/>
  <c r="AD47" i="4"/>
  <c r="AC47" i="4"/>
  <c r="AB47" i="4"/>
  <c r="AA47" i="4"/>
  <c r="Z47" i="4"/>
  <c r="AI46" i="4"/>
  <c r="AG46" i="4"/>
  <c r="AE46" i="4"/>
  <c r="AD46" i="4"/>
  <c r="AC46" i="4"/>
  <c r="AB46" i="4"/>
  <c r="AA46" i="4"/>
  <c r="Z46" i="4"/>
  <c r="AI45" i="4"/>
  <c r="AG45" i="4"/>
  <c r="AE45" i="4"/>
  <c r="AD45" i="4"/>
  <c r="AC45" i="4"/>
  <c r="AB45" i="4"/>
  <c r="AA45" i="4"/>
  <c r="Z45" i="4"/>
  <c r="AI44" i="4"/>
  <c r="AG44" i="4"/>
  <c r="AE44" i="4"/>
  <c r="AD44" i="4"/>
  <c r="AC44" i="4"/>
  <c r="AB44" i="4"/>
  <c r="AA44" i="4"/>
  <c r="Z44" i="4"/>
  <c r="AI43" i="4"/>
  <c r="AG43" i="4"/>
  <c r="AE43" i="4"/>
  <c r="AD43" i="4"/>
  <c r="AC43" i="4"/>
  <c r="AB43" i="4"/>
  <c r="AA43" i="4"/>
  <c r="Z43" i="4"/>
  <c r="AI42" i="4"/>
  <c r="AG42" i="4"/>
  <c r="AE42" i="4"/>
  <c r="AD42" i="4"/>
  <c r="AC42" i="4"/>
  <c r="AB42" i="4"/>
  <c r="AA42" i="4"/>
  <c r="Z42" i="4"/>
  <c r="AI41" i="4"/>
  <c r="AG41" i="4"/>
  <c r="AE41" i="4"/>
  <c r="AD41" i="4"/>
  <c r="AC41" i="4"/>
  <c r="AB41" i="4"/>
  <c r="AA41" i="4"/>
  <c r="Z41" i="4"/>
  <c r="AI40" i="4"/>
  <c r="AG40" i="4"/>
  <c r="AE40" i="4"/>
  <c r="AD40" i="4"/>
  <c r="AC40" i="4"/>
  <c r="AB40" i="4"/>
  <c r="AA40" i="4"/>
  <c r="Z40" i="4"/>
  <c r="AI39" i="4"/>
  <c r="AG39" i="4"/>
  <c r="AE39" i="4"/>
  <c r="AD39" i="4"/>
  <c r="AC39" i="4"/>
  <c r="AB39" i="4"/>
  <c r="AA39" i="4"/>
  <c r="Z39" i="4"/>
  <c r="AI38" i="4"/>
  <c r="AG38" i="4"/>
  <c r="AE38" i="4"/>
  <c r="AD38" i="4"/>
  <c r="AC38" i="4"/>
  <c r="AB38" i="4"/>
  <c r="AA38" i="4"/>
  <c r="Z38" i="4"/>
  <c r="AI37" i="4"/>
  <c r="AG37" i="4"/>
  <c r="AE37" i="4"/>
  <c r="AD37" i="4"/>
  <c r="AC37" i="4"/>
  <c r="AB37" i="4"/>
  <c r="AA37" i="4"/>
  <c r="Z37" i="4"/>
  <c r="AI36" i="4"/>
  <c r="AG36" i="4"/>
  <c r="AE36" i="4"/>
  <c r="AD36" i="4"/>
  <c r="AC36" i="4"/>
  <c r="AB36" i="4"/>
  <c r="AA36" i="4"/>
  <c r="Z36" i="4"/>
  <c r="AI35" i="4"/>
  <c r="AG35" i="4"/>
  <c r="AE35" i="4"/>
  <c r="AD35" i="4"/>
  <c r="AC35" i="4"/>
  <c r="AB35" i="4"/>
  <c r="AA35" i="4"/>
  <c r="Z35" i="4"/>
  <c r="AI34" i="4"/>
  <c r="AG34" i="4"/>
  <c r="AE34" i="4"/>
  <c r="AD34" i="4"/>
  <c r="AC34" i="4"/>
  <c r="AB34" i="4"/>
  <c r="AA34" i="4"/>
  <c r="Z34" i="4"/>
  <c r="AI33" i="4"/>
  <c r="AG33" i="4"/>
  <c r="AE33" i="4"/>
  <c r="AD33" i="4"/>
  <c r="AC33" i="4"/>
  <c r="AB33" i="4"/>
  <c r="AA33" i="4"/>
  <c r="Z33" i="4"/>
  <c r="AI32" i="4"/>
  <c r="AG32" i="4"/>
  <c r="AE32" i="4"/>
  <c r="AD32" i="4"/>
  <c r="AC32" i="4"/>
  <c r="AB32" i="4"/>
  <c r="AA32" i="4"/>
  <c r="Z32" i="4"/>
  <c r="AI31" i="4"/>
  <c r="AG31" i="4"/>
  <c r="AE31" i="4"/>
  <c r="AD31" i="4"/>
  <c r="AC31" i="4"/>
  <c r="AB31" i="4"/>
  <c r="AA31" i="4"/>
  <c r="Z31" i="4"/>
  <c r="AI30" i="4"/>
  <c r="AG30" i="4"/>
  <c r="AE30" i="4"/>
  <c r="AD30" i="4"/>
  <c r="AC30" i="4"/>
  <c r="AB30" i="4"/>
  <c r="AA30" i="4"/>
  <c r="Z30" i="4"/>
  <c r="AI29" i="4"/>
  <c r="AG29" i="4"/>
  <c r="AE29" i="4"/>
  <c r="AD29" i="4"/>
  <c r="AC29" i="4"/>
  <c r="AB29" i="4"/>
  <c r="AA29" i="4"/>
  <c r="Z29" i="4"/>
  <c r="AI28" i="4"/>
  <c r="AG28" i="4"/>
  <c r="AE28" i="4"/>
  <c r="AD28" i="4"/>
  <c r="AC28" i="4"/>
  <c r="AB28" i="4"/>
  <c r="AA28" i="4"/>
  <c r="Z28" i="4"/>
  <c r="AI27" i="4"/>
  <c r="AG27" i="4"/>
  <c r="AE27" i="4"/>
  <c r="AD27" i="4"/>
  <c r="AC27" i="4"/>
  <c r="AB27" i="4"/>
  <c r="AA27" i="4"/>
  <c r="Z27" i="4"/>
  <c r="AI26" i="4"/>
  <c r="AG26" i="4"/>
  <c r="AE26" i="4"/>
  <c r="AD26" i="4"/>
  <c r="AC26" i="4"/>
  <c r="AB26" i="4"/>
  <c r="AA26" i="4"/>
  <c r="Z26" i="4"/>
  <c r="AI25" i="4"/>
  <c r="AG25" i="4"/>
  <c r="AE25" i="4"/>
  <c r="AD25" i="4"/>
  <c r="AC25" i="4"/>
  <c r="AB25" i="4"/>
  <c r="AA25" i="4"/>
  <c r="Z25" i="4"/>
  <c r="AI24" i="4"/>
  <c r="AG24" i="4"/>
  <c r="AE24" i="4"/>
  <c r="AD24" i="4"/>
  <c r="AC24" i="4"/>
  <c r="AB24" i="4"/>
  <c r="AA24" i="4"/>
  <c r="Z24" i="4"/>
  <c r="AI23" i="4"/>
  <c r="AG23" i="4"/>
  <c r="AE23" i="4"/>
  <c r="AD23" i="4"/>
  <c r="AC23" i="4"/>
  <c r="AB23" i="4"/>
  <c r="AA23" i="4"/>
  <c r="Z23" i="4"/>
  <c r="AI22" i="4"/>
  <c r="AG22" i="4"/>
  <c r="AE22" i="4"/>
  <c r="AD22" i="4"/>
  <c r="AC22" i="4"/>
  <c r="AB22" i="4"/>
  <c r="AA22" i="4"/>
  <c r="Z22" i="4"/>
  <c r="AI21" i="4"/>
  <c r="AG21" i="4"/>
  <c r="AE21" i="4"/>
  <c r="AD21" i="4"/>
  <c r="AC21" i="4"/>
  <c r="AB21" i="4"/>
  <c r="AA21" i="4"/>
  <c r="Z21" i="4"/>
  <c r="AI20" i="4"/>
  <c r="AG20" i="4"/>
  <c r="AE20" i="4"/>
  <c r="AD20" i="4"/>
  <c r="AC20" i="4"/>
  <c r="AB20" i="4"/>
  <c r="AA20" i="4"/>
  <c r="Z20" i="4"/>
  <c r="AI19" i="4"/>
  <c r="AG19" i="4"/>
  <c r="AE19" i="4"/>
  <c r="AD19" i="4"/>
  <c r="AC19" i="4"/>
  <c r="AB19" i="4"/>
  <c r="AA19" i="4"/>
  <c r="Z19" i="4"/>
  <c r="AI18" i="4"/>
  <c r="AG18" i="4"/>
  <c r="AE18" i="4"/>
  <c r="AD18" i="4"/>
  <c r="AC18" i="4"/>
  <c r="AB18" i="4"/>
  <c r="AA18" i="4"/>
  <c r="Z18" i="4"/>
  <c r="AI17" i="4"/>
  <c r="AG17" i="4"/>
  <c r="AE17" i="4"/>
  <c r="AD17" i="4"/>
  <c r="AC17" i="4"/>
  <c r="AB17" i="4"/>
  <c r="AA17" i="4"/>
  <c r="Z17" i="4"/>
  <c r="AI16" i="4"/>
  <c r="AG16" i="4"/>
  <c r="AE16" i="4"/>
  <c r="AD16" i="4"/>
  <c r="AC16" i="4"/>
  <c r="AB16" i="4"/>
  <c r="AA16" i="4"/>
  <c r="Z16" i="4"/>
  <c r="AI15" i="4"/>
  <c r="AG15" i="4"/>
  <c r="AE15" i="4"/>
  <c r="AD15" i="4"/>
  <c r="AC15" i="4"/>
  <c r="AB15" i="4"/>
  <c r="AA15" i="4"/>
  <c r="Z15" i="4"/>
  <c r="AI14" i="4"/>
  <c r="AG14" i="4"/>
  <c r="AE14" i="4"/>
  <c r="AD14" i="4"/>
  <c r="AC14" i="4"/>
  <c r="AB14" i="4"/>
  <c r="AA14" i="4"/>
  <c r="Z14" i="4"/>
  <c r="AI13" i="4"/>
  <c r="AG13" i="4"/>
  <c r="AE13" i="4"/>
  <c r="AD13" i="4"/>
  <c r="AC13" i="4"/>
  <c r="AB13" i="4"/>
  <c r="AA13" i="4"/>
  <c r="Z13" i="4"/>
  <c r="AI12" i="4"/>
  <c r="AG12" i="4"/>
  <c r="AE12" i="4"/>
  <c r="AD12" i="4"/>
  <c r="AC12" i="4"/>
  <c r="AB12" i="4"/>
  <c r="AA12" i="4"/>
  <c r="Z12" i="4"/>
  <c r="AI11" i="4"/>
  <c r="AG11" i="4"/>
  <c r="AE11" i="4"/>
  <c r="AD11" i="4"/>
  <c r="AC11" i="4"/>
  <c r="AB11" i="4"/>
  <c r="AA11" i="4"/>
  <c r="Z11" i="4"/>
  <c r="AI10" i="4"/>
  <c r="AG10" i="4"/>
  <c r="AE10" i="4"/>
  <c r="AD10" i="4"/>
  <c r="AC10" i="4"/>
  <c r="AB10" i="4"/>
  <c r="AA10" i="4"/>
  <c r="Z10" i="4"/>
  <c r="AI9" i="4"/>
  <c r="AG9" i="4"/>
  <c r="AE9" i="4"/>
  <c r="AD9" i="4"/>
  <c r="AC9" i="4"/>
  <c r="AB9" i="4"/>
  <c r="AA9" i="4"/>
  <c r="Z9" i="4"/>
  <c r="AI8" i="4"/>
  <c r="AG8" i="4"/>
  <c r="AE8" i="4"/>
  <c r="AD8" i="4"/>
  <c r="AC8" i="4"/>
  <c r="AB8" i="4"/>
  <c r="AA8" i="4"/>
  <c r="Z8" i="4"/>
  <c r="AK546" i="4"/>
  <c r="AK545" i="4"/>
  <c r="AK544" i="4"/>
  <c r="AK543" i="4"/>
  <c r="AK542" i="4"/>
  <c r="AK541" i="4"/>
  <c r="AK540" i="4"/>
  <c r="AK539" i="4"/>
  <c r="AK538" i="4"/>
  <c r="AM537" i="4"/>
  <c r="AM538" i="4" s="1"/>
  <c r="AM539" i="4" s="1"/>
  <c r="AM540" i="4" s="1"/>
  <c r="AM541" i="4" s="1"/>
  <c r="AM542" i="4" s="1"/>
  <c r="AM543" i="4" s="1"/>
  <c r="AM544" i="4" s="1"/>
  <c r="AM545" i="4" s="1"/>
  <c r="AM546" i="4" s="1"/>
  <c r="AM547" i="4" s="1"/>
  <c r="AM548" i="4" s="1"/>
  <c r="AM549" i="4" s="1"/>
  <c r="AM550" i="4" s="1"/>
  <c r="AM551" i="4" s="1"/>
  <c r="AM552" i="4" s="1"/>
  <c r="AM564" i="4" s="1"/>
  <c r="AM565" i="4" s="1"/>
  <c r="AM566" i="4" s="1"/>
  <c r="AM567" i="4" s="1"/>
  <c r="AK537" i="4"/>
  <c r="AK536" i="4"/>
  <c r="AK535" i="4"/>
  <c r="AK534" i="4"/>
  <c r="AK533" i="4"/>
  <c r="AK532" i="4"/>
  <c r="AK530" i="4"/>
  <c r="AK529" i="4"/>
  <c r="AK528" i="4"/>
  <c r="AK527" i="4"/>
  <c r="AK526" i="4"/>
  <c r="AK525" i="4"/>
  <c r="AK524" i="4"/>
  <c r="AK523" i="4"/>
  <c r="AM522" i="4"/>
  <c r="AM523" i="4" s="1"/>
  <c r="AM524" i="4" s="1"/>
  <c r="AM525" i="4" s="1"/>
  <c r="AM526" i="4" s="1"/>
  <c r="AM527" i="4" s="1"/>
  <c r="AM528" i="4" s="1"/>
  <c r="AM529" i="4" s="1"/>
  <c r="AM530" i="4" s="1"/>
  <c r="AK522" i="4"/>
  <c r="AK521" i="4"/>
  <c r="AK520" i="4"/>
  <c r="AK519" i="4"/>
  <c r="AK518" i="4"/>
  <c r="AK517" i="4"/>
  <c r="AK515" i="4"/>
  <c r="AK514" i="4"/>
  <c r="AM513" i="4"/>
  <c r="AM514" i="4" s="1"/>
  <c r="AM515" i="4" s="1"/>
  <c r="AM517" i="4" s="1"/>
  <c r="AM518" i="4" s="1"/>
  <c r="AM519" i="4" s="1"/>
  <c r="AM520" i="4" s="1"/>
  <c r="AM521" i="4" s="1"/>
  <c r="AK513" i="4"/>
  <c r="AM512" i="4"/>
  <c r="AK512" i="4"/>
  <c r="AM511" i="4"/>
  <c r="AK511" i="4"/>
  <c r="AK506" i="4"/>
  <c r="AK505" i="4"/>
  <c r="AM504" i="4"/>
  <c r="AM505" i="4" s="1"/>
  <c r="AM506" i="4" s="1"/>
  <c r="AK504" i="4"/>
  <c r="AK500" i="4"/>
  <c r="AK499" i="4"/>
  <c r="AM498" i="4"/>
  <c r="AM499" i="4" s="1"/>
  <c r="AM500" i="4" s="1"/>
  <c r="AK498" i="4"/>
  <c r="AK497" i="4"/>
  <c r="AM496" i="4"/>
  <c r="AM497" i="4" s="1"/>
  <c r="AK496" i="4"/>
  <c r="AK495" i="4"/>
  <c r="AK494" i="4"/>
  <c r="AK493" i="4"/>
  <c r="AK491" i="4"/>
  <c r="AK490" i="4"/>
  <c r="AK489" i="4"/>
  <c r="AK487" i="4"/>
  <c r="AM486" i="4"/>
  <c r="AK486" i="4"/>
  <c r="AM482" i="4"/>
  <c r="AK482" i="4"/>
  <c r="AK481" i="4"/>
  <c r="AK480" i="4"/>
  <c r="AK479" i="4"/>
  <c r="AK478" i="4"/>
  <c r="AM477" i="4"/>
  <c r="AM478" i="4" s="1"/>
  <c r="AM479" i="4" s="1"/>
  <c r="AM480" i="4" s="1"/>
  <c r="AM481" i="4" s="1"/>
  <c r="AK477" i="4"/>
  <c r="AK476" i="4"/>
  <c r="AK475" i="4"/>
  <c r="AK474" i="4"/>
  <c r="AK473" i="4"/>
  <c r="AK472" i="4"/>
  <c r="AK471" i="4"/>
  <c r="AK470" i="4"/>
  <c r="AK469" i="4"/>
  <c r="AK468" i="4"/>
  <c r="AK467" i="4"/>
  <c r="AM467" i="4"/>
  <c r="AM468" i="4" s="1"/>
  <c r="AM469" i="4" s="1"/>
  <c r="AM470" i="4" s="1"/>
  <c r="AM471" i="4" s="1"/>
  <c r="AM472" i="4" s="1"/>
  <c r="AM473" i="4" s="1"/>
  <c r="AM474" i="4" s="1"/>
  <c r="AM475" i="4" s="1"/>
  <c r="AM476" i="4" s="1"/>
  <c r="AK451" i="4"/>
  <c r="AK455" i="4"/>
  <c r="AK453" i="4"/>
  <c r="AK452" i="4"/>
  <c r="AK448" i="4"/>
  <c r="AK447" i="4"/>
  <c r="AK446" i="4"/>
  <c r="AK445" i="4"/>
  <c r="AK444" i="4"/>
  <c r="AK443" i="4"/>
  <c r="AK442" i="4"/>
  <c r="AK441" i="4"/>
  <c r="AK440" i="4"/>
  <c r="AK439" i="4"/>
  <c r="AK438" i="4"/>
  <c r="AK437" i="4"/>
  <c r="AM436" i="4"/>
  <c r="AM437" i="4" s="1"/>
  <c r="AM438" i="4" s="1"/>
  <c r="AM439" i="4" s="1"/>
  <c r="AM440" i="4" s="1"/>
  <c r="AM441" i="4" s="1"/>
  <c r="AM442" i="4" s="1"/>
  <c r="AM443" i="4" s="1"/>
  <c r="AM444" i="4" s="1"/>
  <c r="AM445" i="4" s="1"/>
  <c r="AM446" i="4" s="1"/>
  <c r="AM447" i="4" s="1"/>
  <c r="AM448" i="4" s="1"/>
  <c r="AM452" i="4" s="1"/>
  <c r="AM453" i="4" s="1"/>
  <c r="AK436" i="4"/>
  <c r="AK435" i="4"/>
  <c r="AK434" i="4"/>
  <c r="AK433" i="4"/>
  <c r="AK432" i="4"/>
  <c r="AK431" i="4"/>
  <c r="AK430" i="4"/>
  <c r="AK429" i="4"/>
  <c r="AK428" i="4"/>
  <c r="AK427" i="4"/>
  <c r="AK426" i="4"/>
  <c r="AK425" i="4"/>
  <c r="AK424" i="4"/>
  <c r="AK423" i="4"/>
  <c r="AK422" i="4"/>
  <c r="AK421" i="4"/>
  <c r="AK420" i="4"/>
  <c r="AK419" i="4"/>
  <c r="AM417" i="4"/>
  <c r="AK417" i="4"/>
  <c r="AK416" i="4"/>
  <c r="AK415" i="4"/>
  <c r="AK414" i="4"/>
  <c r="AK413" i="4"/>
  <c r="AK412" i="4"/>
  <c r="AK411" i="4"/>
  <c r="AK410" i="4"/>
  <c r="AK409" i="4"/>
  <c r="AK408" i="4"/>
  <c r="AM407" i="4"/>
  <c r="AM408" i="4" s="1"/>
  <c r="AM409" i="4" s="1"/>
  <c r="AM410" i="4" s="1"/>
  <c r="AM411" i="4" s="1"/>
  <c r="AM412" i="4" s="1"/>
  <c r="AM413" i="4" s="1"/>
  <c r="AM414" i="4" s="1"/>
  <c r="AM415" i="4" s="1"/>
  <c r="AM416" i="4" s="1"/>
  <c r="AK407" i="4"/>
  <c r="AK406" i="4"/>
  <c r="AK405" i="4"/>
  <c r="AK404" i="4"/>
  <c r="AK403" i="4"/>
  <c r="AK402" i="4"/>
  <c r="AK401" i="4"/>
  <c r="AK400" i="4"/>
  <c r="AK399" i="4"/>
  <c r="AK398" i="4"/>
  <c r="AM397" i="4"/>
  <c r="AM398" i="4" s="1"/>
  <c r="AM399" i="4" s="1"/>
  <c r="AM400" i="4" s="1"/>
  <c r="AM401" i="4" s="1"/>
  <c r="AM402" i="4" s="1"/>
  <c r="AM403" i="4" s="1"/>
  <c r="AM404" i="4" s="1"/>
  <c r="AM405" i="4" s="1"/>
  <c r="AM406" i="4" s="1"/>
  <c r="AK397" i="4"/>
  <c r="AK396" i="4"/>
  <c r="AK395" i="4"/>
  <c r="AK394" i="4"/>
  <c r="AK393" i="4"/>
  <c r="AK392" i="4"/>
  <c r="AK391" i="4"/>
  <c r="AK390" i="4"/>
  <c r="AK389" i="4"/>
  <c r="AM388" i="4"/>
  <c r="AM389" i="4" s="1"/>
  <c r="AM390" i="4" s="1"/>
  <c r="AM391" i="4" s="1"/>
  <c r="AM392" i="4" s="1"/>
  <c r="AM393" i="4" s="1"/>
  <c r="AM394" i="4" s="1"/>
  <c r="AM395" i="4" s="1"/>
  <c r="AM396" i="4" s="1"/>
  <c r="AK388" i="4"/>
  <c r="AK387" i="4"/>
  <c r="AK386" i="4"/>
  <c r="AK385" i="4"/>
  <c r="AM384" i="4"/>
  <c r="AM385" i="4" s="1"/>
  <c r="AM386" i="4" s="1"/>
  <c r="AM387" i="4" s="1"/>
  <c r="AK384" i="4"/>
  <c r="AK383" i="4"/>
  <c r="AK382" i="4"/>
  <c r="AM381" i="4"/>
  <c r="AM382" i="4" s="1"/>
  <c r="AM383" i="4" s="1"/>
  <c r="AK381" i="4"/>
  <c r="AM380" i="4"/>
  <c r="AK380" i="4"/>
  <c r="AK379" i="4"/>
  <c r="AK378" i="4"/>
  <c r="AK377" i="4"/>
  <c r="AM376" i="4"/>
  <c r="AM377" i="4" s="1"/>
  <c r="AM378" i="4" s="1"/>
  <c r="AM379" i="4" s="1"/>
  <c r="AK376" i="4"/>
  <c r="AK375" i="4"/>
  <c r="AK374" i="4"/>
  <c r="AK373" i="4"/>
  <c r="AM372" i="4"/>
  <c r="AM373" i="4" s="1"/>
  <c r="AM374" i="4" s="1"/>
  <c r="AM375" i="4" s="1"/>
  <c r="AK372" i="4"/>
  <c r="AM371" i="4"/>
  <c r="AK371" i="4"/>
  <c r="AM370" i="4"/>
  <c r="AK370" i="4"/>
  <c r="AM369" i="4"/>
  <c r="AK369" i="4"/>
  <c r="AM368" i="4"/>
  <c r="AK368" i="4"/>
  <c r="AK367" i="4"/>
  <c r="AK366" i="4"/>
  <c r="AK365" i="4"/>
  <c r="AK364" i="4"/>
  <c r="AK363" i="4"/>
  <c r="AK362" i="4"/>
  <c r="AM361" i="4"/>
  <c r="AM362" i="4" s="1"/>
  <c r="AM363" i="4" s="1"/>
  <c r="AM364" i="4" s="1"/>
  <c r="AM365" i="4" s="1"/>
  <c r="AM366" i="4" s="1"/>
  <c r="AM367" i="4" s="1"/>
  <c r="AK361" i="4"/>
  <c r="AK360" i="4"/>
  <c r="AK359" i="4"/>
  <c r="AK358" i="4"/>
  <c r="AM357" i="4"/>
  <c r="AM358" i="4" s="1"/>
  <c r="AM359" i="4" s="1"/>
  <c r="AM360" i="4" s="1"/>
  <c r="AK357" i="4"/>
  <c r="AK356" i="4"/>
  <c r="AK355" i="4"/>
  <c r="AK354" i="4"/>
  <c r="AK353" i="4"/>
  <c r="AK352" i="4"/>
  <c r="AK351" i="4"/>
  <c r="AK350" i="4"/>
  <c r="AK349" i="4"/>
  <c r="AM348" i="4"/>
  <c r="AM349" i="4" s="1"/>
  <c r="AM350" i="4" s="1"/>
  <c r="AM351" i="4" s="1"/>
  <c r="AM352" i="4" s="1"/>
  <c r="AM353" i="4" s="1"/>
  <c r="AM354" i="4" s="1"/>
  <c r="AM355" i="4" s="1"/>
  <c r="AM356" i="4" s="1"/>
  <c r="AK348" i="4"/>
  <c r="AK347" i="4"/>
  <c r="AM346" i="4"/>
  <c r="AM347" i="4" s="1"/>
  <c r="AK346" i="4"/>
  <c r="AK345" i="4"/>
  <c r="AM344" i="4"/>
  <c r="AM345" i="4" s="1"/>
  <c r="AK344" i="4"/>
  <c r="AK343" i="4"/>
  <c r="AK342" i="4"/>
  <c r="AK341" i="4"/>
  <c r="AK340" i="4"/>
  <c r="AM339" i="4"/>
  <c r="AM340" i="4" s="1"/>
  <c r="AM341" i="4" s="1"/>
  <c r="AM342" i="4" s="1"/>
  <c r="AM343" i="4" s="1"/>
  <c r="AK339" i="4"/>
  <c r="AK338" i="4"/>
  <c r="AK337" i="4"/>
  <c r="AK336" i="4"/>
  <c r="AK335" i="4"/>
  <c r="AK334" i="4"/>
  <c r="AK333" i="4"/>
  <c r="AK332" i="4"/>
  <c r="AK331" i="4"/>
  <c r="AK330" i="4"/>
  <c r="AK329" i="4"/>
  <c r="AK328" i="4"/>
  <c r="AK327" i="4"/>
  <c r="AM326" i="4"/>
  <c r="AM327" i="4" s="1"/>
  <c r="AM328" i="4" s="1"/>
  <c r="AM329" i="4" s="1"/>
  <c r="AM330" i="4" s="1"/>
  <c r="AM331" i="4" s="1"/>
  <c r="AM332" i="4" s="1"/>
  <c r="AM333" i="4" s="1"/>
  <c r="AM334" i="4" s="1"/>
  <c r="AM335" i="4" s="1"/>
  <c r="AM336" i="4" s="1"/>
  <c r="AM337" i="4" s="1"/>
  <c r="AM338" i="4" s="1"/>
  <c r="AK326" i="4"/>
  <c r="AK325" i="4"/>
  <c r="AK324" i="4"/>
  <c r="AK323" i="4"/>
  <c r="AK322" i="4"/>
  <c r="AK321" i="4"/>
  <c r="AK320" i="4"/>
  <c r="AK319" i="4"/>
  <c r="AK318" i="4"/>
  <c r="AK317" i="4"/>
  <c r="AK316" i="4"/>
  <c r="AK315" i="4"/>
  <c r="AK314" i="4"/>
  <c r="AK313" i="4"/>
  <c r="AK312" i="4"/>
  <c r="AK311" i="4"/>
  <c r="AM310" i="4"/>
  <c r="AM311" i="4" s="1"/>
  <c r="AM312" i="4" s="1"/>
  <c r="AM313" i="4" s="1"/>
  <c r="AM314" i="4" s="1"/>
  <c r="AM315" i="4" s="1"/>
  <c r="AM316" i="4" s="1"/>
  <c r="AM317" i="4" s="1"/>
  <c r="AM318" i="4" s="1"/>
  <c r="AM319" i="4" s="1"/>
  <c r="AM320" i="4" s="1"/>
  <c r="AM321" i="4" s="1"/>
  <c r="AM322" i="4" s="1"/>
  <c r="AM323" i="4" s="1"/>
  <c r="AM324" i="4" s="1"/>
  <c r="AM325" i="4" s="1"/>
  <c r="AK310" i="4"/>
  <c r="AK309" i="4"/>
  <c r="AK308" i="4"/>
  <c r="AK307" i="4"/>
  <c r="AM306" i="4"/>
  <c r="AM307" i="4" s="1"/>
  <c r="AM308" i="4" s="1"/>
  <c r="AM309" i="4" s="1"/>
  <c r="AK306" i="4"/>
  <c r="AK305" i="4"/>
  <c r="AK304" i="4"/>
  <c r="AK303" i="4"/>
  <c r="AK302" i="4"/>
  <c r="AK301" i="4"/>
  <c r="AK300" i="4"/>
  <c r="AK299" i="4"/>
  <c r="AM298" i="4"/>
  <c r="AM299" i="4" s="1"/>
  <c r="AM300" i="4" s="1"/>
  <c r="AM301" i="4" s="1"/>
  <c r="AM302" i="4" s="1"/>
  <c r="AM303" i="4" s="1"/>
  <c r="AM304" i="4" s="1"/>
  <c r="AM305" i="4" s="1"/>
  <c r="AK298" i="4"/>
  <c r="AK297" i="4"/>
  <c r="AK296" i="4"/>
  <c r="AK295" i="4"/>
  <c r="AK294" i="4"/>
  <c r="AM293" i="4"/>
  <c r="AM294" i="4" s="1"/>
  <c r="AM295" i="4" s="1"/>
  <c r="AM296" i="4" s="1"/>
  <c r="AM297" i="4" s="1"/>
  <c r="AK293" i="4"/>
  <c r="AK292" i="4"/>
  <c r="AK291" i="4"/>
  <c r="AK290" i="4"/>
  <c r="AK289" i="4"/>
  <c r="AM288" i="4"/>
  <c r="AM289" i="4" s="1"/>
  <c r="AM290" i="4" s="1"/>
  <c r="AM291" i="4" s="1"/>
  <c r="AM292" i="4" s="1"/>
  <c r="AK288" i="4"/>
  <c r="AK287" i="4"/>
  <c r="AK286" i="4"/>
  <c r="AM285" i="4"/>
  <c r="AM286" i="4" s="1"/>
  <c r="AM287" i="4" s="1"/>
  <c r="AK285" i="4"/>
  <c r="AK284" i="4"/>
  <c r="AK283" i="4"/>
  <c r="AK282" i="4"/>
  <c r="AK281" i="4"/>
  <c r="AK280" i="4"/>
  <c r="AM279" i="4"/>
  <c r="AM280" i="4" s="1"/>
  <c r="AM281" i="4" s="1"/>
  <c r="AM282" i="4" s="1"/>
  <c r="AM283" i="4" s="1"/>
  <c r="AM284" i="4" s="1"/>
  <c r="AK279" i="4"/>
  <c r="AM278" i="4"/>
  <c r="AK278" i="4"/>
  <c r="AK277" i="4"/>
  <c r="AK276" i="4"/>
  <c r="AK275" i="4"/>
  <c r="AK274" i="4"/>
  <c r="AM273" i="4"/>
  <c r="AM274" i="4" s="1"/>
  <c r="AM275" i="4" s="1"/>
  <c r="AM276" i="4" s="1"/>
  <c r="AM277" i="4" s="1"/>
  <c r="AK273" i="4"/>
  <c r="AK272" i="4"/>
  <c r="AK271" i="4"/>
  <c r="AK270" i="4"/>
  <c r="AM269" i="4"/>
  <c r="AM270" i="4" s="1"/>
  <c r="AM271" i="4" s="1"/>
  <c r="AM272" i="4" s="1"/>
  <c r="AK269" i="4"/>
  <c r="AM268" i="4"/>
  <c r="AK268" i="4"/>
  <c r="AM267" i="4"/>
  <c r="AK267" i="4"/>
  <c r="AK266" i="4"/>
  <c r="AK265" i="4"/>
  <c r="AK264" i="4"/>
  <c r="AK263" i="4"/>
  <c r="AK262" i="4"/>
  <c r="AK261" i="4"/>
  <c r="AK260" i="4"/>
  <c r="AK259" i="4"/>
  <c r="AM258" i="4"/>
  <c r="AM259" i="4" s="1"/>
  <c r="AM260" i="4" s="1"/>
  <c r="AM261" i="4" s="1"/>
  <c r="AM262" i="4" s="1"/>
  <c r="AM263" i="4" s="1"/>
  <c r="AM264" i="4" s="1"/>
  <c r="AM265" i="4" s="1"/>
  <c r="AM266" i="4" s="1"/>
  <c r="AK258" i="4"/>
  <c r="AK251" i="4"/>
  <c r="AM250" i="4"/>
  <c r="AM251" i="4" s="1"/>
  <c r="AK250" i="4"/>
  <c r="AM249" i="4"/>
  <c r="AK249" i="4"/>
  <c r="AM248" i="4"/>
  <c r="AK248" i="4"/>
  <c r="AK246" i="4"/>
  <c r="AK245" i="4"/>
  <c r="AK244" i="4"/>
  <c r="AK243" i="4"/>
  <c r="AK242" i="4"/>
  <c r="AM241" i="4"/>
  <c r="AM242" i="4" s="1"/>
  <c r="AM243" i="4" s="1"/>
  <c r="AM244" i="4" s="1"/>
  <c r="AM245" i="4" s="1"/>
  <c r="AM246" i="4" s="1"/>
  <c r="AM247" i="4" s="1"/>
  <c r="AK241" i="4"/>
  <c r="AK240" i="4"/>
  <c r="AK239" i="4"/>
  <c r="AK238" i="4"/>
  <c r="AK237" i="4"/>
  <c r="AK236" i="4"/>
  <c r="AK234" i="4"/>
  <c r="AK233" i="4"/>
  <c r="AK232" i="4"/>
  <c r="AK231" i="4"/>
  <c r="AK230" i="4"/>
  <c r="AK229" i="4"/>
  <c r="AK228" i="4"/>
  <c r="AK227" i="4"/>
  <c r="AK226" i="4"/>
  <c r="AK225" i="4"/>
  <c r="AM224" i="4"/>
  <c r="AM225" i="4" s="1"/>
  <c r="AM226" i="4" s="1"/>
  <c r="AM227" i="4" s="1"/>
  <c r="AM228" i="4" s="1"/>
  <c r="AM229" i="4" s="1"/>
  <c r="AM230" i="4" s="1"/>
  <c r="AM231" i="4" s="1"/>
  <c r="AM232" i="4" s="1"/>
  <c r="AM233" i="4" s="1"/>
  <c r="AM234" i="4" s="1"/>
  <c r="AK224" i="4"/>
  <c r="AK223" i="4"/>
  <c r="AK222" i="4"/>
  <c r="AM221" i="4"/>
  <c r="AM222" i="4" s="1"/>
  <c r="AM223" i="4" s="1"/>
  <c r="AK221" i="4"/>
  <c r="AK220" i="4"/>
  <c r="AK219" i="4"/>
  <c r="AK218" i="4"/>
  <c r="AK217" i="4"/>
  <c r="AK216" i="4"/>
  <c r="AK215" i="4"/>
  <c r="AK214" i="4"/>
  <c r="AK213" i="4"/>
  <c r="AK212" i="4"/>
  <c r="AK211" i="4"/>
  <c r="AK210" i="4"/>
  <c r="AK209" i="4"/>
  <c r="AK208" i="4"/>
  <c r="AK207" i="4"/>
  <c r="AK206" i="4"/>
  <c r="AK205" i="4"/>
  <c r="AK204" i="4"/>
  <c r="AM203" i="4"/>
  <c r="AM204" i="4" s="1"/>
  <c r="AM205" i="4" s="1"/>
  <c r="AM206" i="4" s="1"/>
  <c r="AM207" i="4" s="1"/>
  <c r="AM208" i="4" s="1"/>
  <c r="AM209" i="4" s="1"/>
  <c r="AM210" i="4" s="1"/>
  <c r="AM211" i="4" s="1"/>
  <c r="AM212" i="4" s="1"/>
  <c r="AM213" i="4" s="1"/>
  <c r="AM214" i="4" s="1"/>
  <c r="AM215" i="4" s="1"/>
  <c r="AM216" i="4" s="1"/>
  <c r="AM217" i="4" s="1"/>
  <c r="AM218" i="4" s="1"/>
  <c r="AM219" i="4" s="1"/>
  <c r="AM220" i="4" s="1"/>
  <c r="AK203" i="4"/>
  <c r="AM202" i="4"/>
  <c r="AK202" i="4"/>
  <c r="AK201" i="4"/>
  <c r="AK200" i="4"/>
  <c r="AK199" i="4"/>
  <c r="AK198" i="4"/>
  <c r="AK197" i="4"/>
  <c r="AK196" i="4"/>
  <c r="AK195" i="4"/>
  <c r="AK194" i="4"/>
  <c r="AK193" i="4"/>
  <c r="AK192" i="4"/>
  <c r="AK191" i="4"/>
  <c r="AK190" i="4"/>
  <c r="AK189" i="4"/>
  <c r="AK188" i="4"/>
  <c r="AK187" i="4"/>
  <c r="AK186" i="4"/>
  <c r="AK185" i="4"/>
  <c r="AK184" i="4"/>
  <c r="AK183" i="4"/>
  <c r="AK182" i="4"/>
  <c r="AK181" i="4"/>
  <c r="AK180" i="4"/>
  <c r="AK179" i="4"/>
  <c r="AK178" i="4"/>
  <c r="AK177" i="4"/>
  <c r="AK176" i="4"/>
  <c r="AK175" i="4"/>
  <c r="AK174" i="4"/>
  <c r="AK173" i="4"/>
  <c r="AK172" i="4"/>
  <c r="AK171" i="4"/>
  <c r="AK170" i="4"/>
  <c r="AK169" i="4"/>
  <c r="AK168" i="4"/>
  <c r="AK167" i="4"/>
  <c r="AK166" i="4"/>
  <c r="AK165" i="4"/>
  <c r="AK164" i="4"/>
  <c r="AK163" i="4"/>
  <c r="AK162" i="4"/>
  <c r="AK161" i="4"/>
  <c r="AK160" i="4"/>
  <c r="AK159" i="4"/>
  <c r="AK158" i="4"/>
  <c r="AK157" i="4"/>
  <c r="AK156" i="4"/>
  <c r="AK155" i="4"/>
  <c r="AK154" i="4"/>
  <c r="AK153" i="4"/>
  <c r="AK152" i="4"/>
  <c r="AK151" i="4"/>
  <c r="AK150" i="4"/>
  <c r="AK149" i="4"/>
  <c r="AK148" i="4"/>
  <c r="AK147" i="4"/>
  <c r="AK146" i="4"/>
  <c r="AK145" i="4"/>
  <c r="AK144" i="4"/>
  <c r="AK143" i="4"/>
  <c r="AK142" i="4"/>
  <c r="AK141" i="4"/>
  <c r="AM140" i="4"/>
  <c r="AM141" i="4" s="1"/>
  <c r="AM142" i="4" s="1"/>
  <c r="AM143" i="4" s="1"/>
  <c r="AM144" i="4" s="1"/>
  <c r="AM145" i="4" s="1"/>
  <c r="AM146" i="4" s="1"/>
  <c r="AM147" i="4" s="1"/>
  <c r="AM148" i="4" s="1"/>
  <c r="AM149" i="4" s="1"/>
  <c r="AM150" i="4" s="1"/>
  <c r="AM151" i="4" s="1"/>
  <c r="AM152" i="4" s="1"/>
  <c r="AM153" i="4" s="1"/>
  <c r="AM154" i="4" s="1"/>
  <c r="AM155" i="4" s="1"/>
  <c r="AM156" i="4" s="1"/>
  <c r="AM157" i="4" s="1"/>
  <c r="AM158" i="4" s="1"/>
  <c r="AM159" i="4" s="1"/>
  <c r="AM160" i="4" s="1"/>
  <c r="AM161" i="4" s="1"/>
  <c r="AM162" i="4" s="1"/>
  <c r="AM163" i="4" s="1"/>
  <c r="AM164" i="4" s="1"/>
  <c r="AM165" i="4" s="1"/>
  <c r="AM166" i="4" s="1"/>
  <c r="AM167" i="4" s="1"/>
  <c r="AM168" i="4" s="1"/>
  <c r="AM169" i="4" s="1"/>
  <c r="AM170" i="4" s="1"/>
  <c r="AM171" i="4" s="1"/>
  <c r="AM172" i="4" s="1"/>
  <c r="AM173" i="4" s="1"/>
  <c r="AM174" i="4" s="1"/>
  <c r="AM175" i="4" s="1"/>
  <c r="AM176" i="4" s="1"/>
  <c r="AM177" i="4" s="1"/>
  <c r="AM178" i="4" s="1"/>
  <c r="AM179" i="4" s="1"/>
  <c r="AM180" i="4" s="1"/>
  <c r="AM181" i="4" s="1"/>
  <c r="AM182" i="4" s="1"/>
  <c r="AM183" i="4" s="1"/>
  <c r="AM184" i="4" s="1"/>
  <c r="AM185" i="4" s="1"/>
  <c r="AM186" i="4" s="1"/>
  <c r="AM187" i="4" s="1"/>
  <c r="AM188" i="4" s="1"/>
  <c r="AM189" i="4" s="1"/>
  <c r="AM190" i="4" s="1"/>
  <c r="AM191" i="4" s="1"/>
  <c r="AM192" i="4" s="1"/>
  <c r="AM193" i="4" s="1"/>
  <c r="AM194" i="4" s="1"/>
  <c r="AM195" i="4" s="1"/>
  <c r="AM196" i="4" s="1"/>
  <c r="AM197" i="4" s="1"/>
  <c r="AM198" i="4" s="1"/>
  <c r="AM199" i="4" s="1"/>
  <c r="AM200" i="4" s="1"/>
  <c r="AM201" i="4" s="1"/>
  <c r="AK140" i="4"/>
  <c r="AK139" i="4"/>
  <c r="AK138" i="4"/>
  <c r="AK137" i="4"/>
  <c r="AK136" i="4"/>
  <c r="AM135" i="4"/>
  <c r="AM136" i="4" s="1"/>
  <c r="AM137" i="4" s="1"/>
  <c r="AM138" i="4" s="1"/>
  <c r="AM139" i="4" s="1"/>
  <c r="AK135" i="4"/>
  <c r="AK134" i="4"/>
  <c r="AM133" i="4"/>
  <c r="AM134" i="4" s="1"/>
  <c r="AK133" i="4"/>
  <c r="AK132" i="4"/>
  <c r="AK131" i="4"/>
  <c r="AK130" i="4"/>
  <c r="AK129" i="4"/>
  <c r="AK128" i="4"/>
  <c r="AK127" i="4"/>
  <c r="AM126" i="4"/>
  <c r="AM127" i="4" s="1"/>
  <c r="AM128" i="4" s="1"/>
  <c r="AM129" i="4" s="1"/>
  <c r="AM130" i="4" s="1"/>
  <c r="AM131" i="4" s="1"/>
  <c r="AM132" i="4" s="1"/>
  <c r="AK126" i="4"/>
  <c r="AK125" i="4"/>
  <c r="AK124" i="4"/>
  <c r="AK123" i="4"/>
  <c r="AK122" i="4"/>
  <c r="AK121" i="4"/>
  <c r="AK120" i="4"/>
  <c r="AK119" i="4"/>
  <c r="AM118" i="4"/>
  <c r="AM119" i="4" s="1"/>
  <c r="AM120" i="4" s="1"/>
  <c r="AM121" i="4" s="1"/>
  <c r="AM122" i="4" s="1"/>
  <c r="AM123" i="4" s="1"/>
  <c r="AM124" i="4" s="1"/>
  <c r="AM125" i="4" s="1"/>
  <c r="AK118" i="4"/>
  <c r="AK117" i="4"/>
  <c r="AK116" i="4"/>
  <c r="AK115" i="4"/>
  <c r="AK114" i="4"/>
  <c r="AK113" i="4"/>
  <c r="AK112" i="4"/>
  <c r="AK111" i="4"/>
  <c r="AM110" i="4"/>
  <c r="AM111" i="4" s="1"/>
  <c r="AM112" i="4" s="1"/>
  <c r="AM113" i="4" s="1"/>
  <c r="AM114" i="4" s="1"/>
  <c r="AM115" i="4" s="1"/>
  <c r="AM116" i="4" s="1"/>
  <c r="AM117" i="4" s="1"/>
  <c r="AK110" i="4"/>
  <c r="AK109" i="4"/>
  <c r="AK108" i="4"/>
  <c r="AK107" i="4"/>
  <c r="AK106" i="4"/>
  <c r="AK105" i="4"/>
  <c r="AK104" i="4"/>
  <c r="AK103" i="4"/>
  <c r="AM102" i="4"/>
  <c r="AM103" i="4" s="1"/>
  <c r="AM104" i="4" s="1"/>
  <c r="AM105" i="4" s="1"/>
  <c r="AM106" i="4" s="1"/>
  <c r="AM107" i="4" s="1"/>
  <c r="AM108" i="4" s="1"/>
  <c r="AM109" i="4" s="1"/>
  <c r="AK102" i="4"/>
  <c r="AK101" i="4"/>
  <c r="AK100" i="4"/>
  <c r="AK99" i="4"/>
  <c r="AK98" i="4"/>
  <c r="AK97" i="4"/>
  <c r="AK96" i="4"/>
  <c r="AK95" i="4"/>
  <c r="AM94" i="4"/>
  <c r="AM95" i="4" s="1"/>
  <c r="AM96" i="4" s="1"/>
  <c r="AM97" i="4" s="1"/>
  <c r="AM98" i="4" s="1"/>
  <c r="AM99" i="4" s="1"/>
  <c r="AM100" i="4" s="1"/>
  <c r="AM101" i="4" s="1"/>
  <c r="AK94" i="4"/>
  <c r="AK93" i="4"/>
  <c r="AK92" i="4"/>
  <c r="AK91" i="4"/>
  <c r="AK90" i="4"/>
  <c r="AM89" i="4"/>
  <c r="AM90" i="4" s="1"/>
  <c r="AM91" i="4" s="1"/>
  <c r="AM92" i="4" s="1"/>
  <c r="AM93" i="4" s="1"/>
  <c r="AK89" i="4"/>
  <c r="AK88" i="4"/>
  <c r="AK87" i="4"/>
  <c r="AK86" i="4"/>
  <c r="AK85" i="4"/>
  <c r="AM84" i="4"/>
  <c r="AM85" i="4" s="1"/>
  <c r="AM86" i="4" s="1"/>
  <c r="AM87" i="4" s="1"/>
  <c r="AM88" i="4" s="1"/>
  <c r="AK84" i="4"/>
  <c r="AK83" i="4"/>
  <c r="AK82" i="4"/>
  <c r="AK81" i="4"/>
  <c r="AK80" i="4"/>
  <c r="AM79" i="4"/>
  <c r="AM80" i="4" s="1"/>
  <c r="AM81" i="4" s="1"/>
  <c r="AM82" i="4" s="1"/>
  <c r="AM83" i="4" s="1"/>
  <c r="AK79" i="4"/>
  <c r="AK78" i="4"/>
  <c r="AK77" i="4"/>
  <c r="AK76" i="4"/>
  <c r="AK75" i="4"/>
  <c r="AM74" i="4"/>
  <c r="AM75" i="4" s="1"/>
  <c r="AM76" i="4" s="1"/>
  <c r="AM77" i="4" s="1"/>
  <c r="AM78" i="4" s="1"/>
  <c r="AK74" i="4"/>
  <c r="AK73" i="4"/>
  <c r="AK72" i="4"/>
  <c r="AK71" i="4"/>
  <c r="AK70" i="4"/>
  <c r="AK69" i="4"/>
  <c r="AK68" i="4"/>
  <c r="AK67" i="4"/>
  <c r="AK66" i="4"/>
  <c r="AK65" i="4"/>
  <c r="AK64" i="4"/>
  <c r="AK63" i="4"/>
  <c r="AK62" i="4"/>
  <c r="AM61" i="4"/>
  <c r="AM62" i="4" s="1"/>
  <c r="AM63" i="4" s="1"/>
  <c r="AM64" i="4" s="1"/>
  <c r="AM65" i="4" s="1"/>
  <c r="AM66" i="4" s="1"/>
  <c r="AM67" i="4" s="1"/>
  <c r="AM68" i="4" s="1"/>
  <c r="AM69" i="4" s="1"/>
  <c r="AM70" i="4" s="1"/>
  <c r="AM71" i="4" s="1"/>
  <c r="AM72" i="4" s="1"/>
  <c r="AM73" i="4" s="1"/>
  <c r="AK61" i="4"/>
  <c r="AK60" i="4"/>
  <c r="AK59" i="4"/>
  <c r="AK58" i="4"/>
  <c r="AK57" i="4"/>
  <c r="AK56" i="4"/>
  <c r="AK55" i="4"/>
  <c r="AM54" i="4"/>
  <c r="AM55" i="4" s="1"/>
  <c r="AM56" i="4" s="1"/>
  <c r="AM57" i="4" s="1"/>
  <c r="AM58" i="4" s="1"/>
  <c r="AM59" i="4" s="1"/>
  <c r="AM60" i="4" s="1"/>
  <c r="AK54" i="4"/>
  <c r="AK53" i="4"/>
  <c r="AK52" i="4"/>
  <c r="AK51" i="4"/>
  <c r="AK50" i="4"/>
  <c r="AK49" i="4"/>
  <c r="AM48" i="4"/>
  <c r="AM49" i="4" s="1"/>
  <c r="AM50" i="4" s="1"/>
  <c r="AM51" i="4" s="1"/>
  <c r="AM52" i="4" s="1"/>
  <c r="AM53" i="4" s="1"/>
  <c r="AK48" i="4"/>
  <c r="AK47" i="4"/>
  <c r="AK46" i="4"/>
  <c r="AM45" i="4"/>
  <c r="AM46" i="4" s="1"/>
  <c r="AM47" i="4" s="1"/>
  <c r="AK45" i="4"/>
  <c r="AK44" i="4"/>
  <c r="AK43" i="4"/>
  <c r="AK42" i="4"/>
  <c r="AM41" i="4"/>
  <c r="AM42" i="4" s="1"/>
  <c r="AM43" i="4" s="1"/>
  <c r="AM44" i="4" s="1"/>
  <c r="AK41" i="4"/>
  <c r="AK40" i="4"/>
  <c r="AK39" i="4"/>
  <c r="AM38" i="4"/>
  <c r="AM39" i="4" s="1"/>
  <c r="AM40" i="4" s="1"/>
  <c r="AK38" i="4"/>
  <c r="AK37" i="4"/>
  <c r="AK36" i="4"/>
  <c r="AM35" i="4"/>
  <c r="AM36" i="4" s="1"/>
  <c r="AM37" i="4" s="1"/>
  <c r="AK35" i="4"/>
  <c r="AK34" i="4"/>
  <c r="AM33" i="4"/>
  <c r="AM34" i="4" s="1"/>
  <c r="AK33" i="4"/>
  <c r="AK32" i="4"/>
  <c r="AK31" i="4"/>
  <c r="AK30" i="4"/>
  <c r="AK29" i="4"/>
  <c r="AK28" i="4"/>
  <c r="AM27" i="4"/>
  <c r="AM28" i="4" s="1"/>
  <c r="AM29" i="4" s="1"/>
  <c r="AM30" i="4" s="1"/>
  <c r="AM31" i="4" s="1"/>
  <c r="AM32" i="4" s="1"/>
  <c r="AK27" i="4"/>
  <c r="AK26" i="4"/>
  <c r="AK25" i="4"/>
  <c r="AK24" i="4"/>
  <c r="AK23" i="4"/>
  <c r="AM22" i="4"/>
  <c r="AM23" i="4" s="1"/>
  <c r="AM24" i="4" s="1"/>
  <c r="AM25" i="4" s="1"/>
  <c r="AM26" i="4" s="1"/>
  <c r="AK22" i="4"/>
  <c r="AK21" i="4"/>
  <c r="AK20" i="4"/>
  <c r="AK19" i="4"/>
  <c r="AK18" i="4"/>
  <c r="AK17" i="4"/>
  <c r="AM16" i="4"/>
  <c r="AM17" i="4" s="1"/>
  <c r="AM18" i="4" s="1"/>
  <c r="AM19" i="4" s="1"/>
  <c r="AM20" i="4" s="1"/>
  <c r="AM21" i="4" s="1"/>
  <c r="AK16" i="4"/>
  <c r="AK15" i="4"/>
  <c r="AK14" i="4"/>
  <c r="AK13" i="4"/>
  <c r="AK12" i="4"/>
  <c r="AK11" i="4"/>
  <c r="AK10" i="4"/>
  <c r="AK9" i="4"/>
  <c r="AK8" i="4"/>
  <c r="AV532" i="4"/>
  <c r="AV451" i="4"/>
  <c r="AV158" i="4"/>
  <c r="AM455" i="4" l="1"/>
  <c r="AM454" i="4"/>
  <c r="AM487" i="4"/>
  <c r="AM489" i="4" s="1"/>
  <c r="AM490" i="4" s="1"/>
  <c r="AM491" i="4" s="1"/>
  <c r="AM492" i="4" s="1"/>
  <c r="AM488" i="4"/>
  <c r="AV206" i="4"/>
  <c r="AF476" i="4"/>
  <c r="AM236" i="4"/>
  <c r="AM237" i="4" s="1"/>
  <c r="AM238" i="4" s="1"/>
  <c r="AM239" i="4" s="1"/>
  <c r="AM240" i="4" s="1"/>
  <c r="AM235" i="4"/>
  <c r="AM493" i="4"/>
  <c r="AM494" i="4" s="1"/>
  <c r="AM495" i="4" s="1"/>
  <c r="AM419" i="4"/>
  <c r="AM420" i="4" s="1"/>
  <c r="AM421" i="4" s="1"/>
  <c r="AM422" i="4" s="1"/>
  <c r="AM423" i="4" s="1"/>
  <c r="AM424" i="4" s="1"/>
  <c r="AM425" i="4" s="1"/>
  <c r="AM426" i="4" s="1"/>
  <c r="AM427" i="4" s="1"/>
  <c r="AM428" i="4" s="1"/>
  <c r="AM429" i="4" s="1"/>
  <c r="AM430" i="4" s="1"/>
  <c r="AM431" i="4" s="1"/>
  <c r="AM432" i="4" s="1"/>
  <c r="AM433" i="4" s="1"/>
  <c r="AM434" i="4" s="1"/>
  <c r="AM435" i="4" s="1"/>
  <c r="AM418" i="4"/>
  <c r="AH180" i="4"/>
  <c r="AN180" i="4" s="1"/>
  <c r="AV497" i="4"/>
  <c r="AV336" i="4"/>
  <c r="AV392" i="4"/>
  <c r="AV241" i="4"/>
  <c r="AV36" i="4"/>
  <c r="AV423" i="4"/>
  <c r="AV116" i="4"/>
  <c r="AV300" i="4"/>
  <c r="AH92" i="4"/>
  <c r="AN92" i="4" s="1"/>
  <c r="AV82" i="4"/>
  <c r="AV214" i="4"/>
  <c r="AV316" i="4"/>
  <c r="AV468" i="4"/>
  <c r="AH108" i="4"/>
  <c r="AN108" i="4" s="1"/>
  <c r="AH202" i="4"/>
  <c r="AN202" i="4" s="1"/>
  <c r="AF270" i="4"/>
  <c r="AV174" i="4"/>
  <c r="AV90" i="4"/>
  <c r="AV182" i="4"/>
  <c r="AV270" i="4"/>
  <c r="AV474" i="4"/>
  <c r="AH10" i="4"/>
  <c r="AN10" i="4" s="1"/>
  <c r="AF431" i="4"/>
  <c r="AV122" i="4"/>
  <c r="AV248" i="4"/>
  <c r="AV142" i="4"/>
  <c r="AV224" i="4"/>
  <c r="AV320" i="4"/>
  <c r="AV441" i="4"/>
  <c r="AH138" i="4"/>
  <c r="AN138" i="4" s="1"/>
  <c r="AV150" i="4"/>
  <c r="AV234" i="4"/>
  <c r="AV276" i="4"/>
  <c r="AV416" i="4"/>
  <c r="AH16" i="4"/>
  <c r="AN16" i="4" s="1"/>
  <c r="AH166" i="4"/>
  <c r="AN166" i="4" s="1"/>
  <c r="AV102" i="4"/>
  <c r="AV126" i="4"/>
  <c r="AV166" i="4"/>
  <c r="AV198" i="4"/>
  <c r="AV258" i="4"/>
  <c r="AV330" i="4"/>
  <c r="AV364" i="4"/>
  <c r="AV406" i="4"/>
  <c r="AV487" i="4"/>
  <c r="AH54" i="4"/>
  <c r="AN54" i="4" s="1"/>
  <c r="AH148" i="4"/>
  <c r="AN148" i="4" s="1"/>
  <c r="AV12" i="4"/>
  <c r="AV86" i="4"/>
  <c r="AV118" i="4"/>
  <c r="AV138" i="4"/>
  <c r="AV154" i="4"/>
  <c r="AV170" i="4"/>
  <c r="AV186" i="4"/>
  <c r="AV202" i="4"/>
  <c r="AV218" i="4"/>
  <c r="AV232" i="4"/>
  <c r="AV243" i="4"/>
  <c r="AV280" i="4"/>
  <c r="AV312" i="4"/>
  <c r="AV322" i="4"/>
  <c r="AV332" i="4"/>
  <c r="AV352" i="4"/>
  <c r="AV433" i="4"/>
  <c r="AH12" i="4"/>
  <c r="AN12" i="4" s="1"/>
  <c r="AH76" i="4"/>
  <c r="AN76" i="4" s="1"/>
  <c r="AH116" i="4"/>
  <c r="AN116" i="4" s="1"/>
  <c r="AH158" i="4"/>
  <c r="AN158" i="4" s="1"/>
  <c r="AH194" i="4"/>
  <c r="AN194" i="4" s="1"/>
  <c r="AF433" i="4"/>
  <c r="AV48" i="4"/>
  <c r="AV94" i="4"/>
  <c r="AV146" i="4"/>
  <c r="AV178" i="4"/>
  <c r="AV194" i="4"/>
  <c r="AV210" i="4"/>
  <c r="AV226" i="4"/>
  <c r="AV250" i="4"/>
  <c r="AV274" i="4"/>
  <c r="AV303" i="4"/>
  <c r="AV326" i="4"/>
  <c r="AV338" i="4"/>
  <c r="AV362" i="4"/>
  <c r="AV390" i="4"/>
  <c r="AV439" i="4"/>
  <c r="AV512" i="4"/>
  <c r="AH48" i="4"/>
  <c r="AN48" i="4" s="1"/>
  <c r="AH98" i="4"/>
  <c r="AN98" i="4" s="1"/>
  <c r="AH142" i="4"/>
  <c r="AN142" i="4" s="1"/>
  <c r="AH174" i="4"/>
  <c r="AN174" i="4" s="1"/>
  <c r="AH210" i="4"/>
  <c r="AN210" i="4" s="1"/>
  <c r="AF248" i="4"/>
  <c r="AV277" i="4"/>
  <c r="AF159" i="4"/>
  <c r="AV329" i="4"/>
  <c r="AV17" i="4"/>
  <c r="AH432" i="4"/>
  <c r="AN432" i="4" s="1"/>
  <c r="AV16" i="4"/>
  <c r="AV74" i="4"/>
  <c r="AV98" i="4"/>
  <c r="AV108" i="4"/>
  <c r="AV153" i="4"/>
  <c r="AV159" i="4"/>
  <c r="AV191" i="4"/>
  <c r="AV222" i="4"/>
  <c r="AV230" i="4"/>
  <c r="AV237" i="4"/>
  <c r="AV245" i="4"/>
  <c r="AV272" i="4"/>
  <c r="AV306" i="4"/>
  <c r="AV314" i="4"/>
  <c r="AV328" i="4"/>
  <c r="AV334" i="4"/>
  <c r="AV354" i="4"/>
  <c r="AV411" i="4"/>
  <c r="AV425" i="4"/>
  <c r="AV431" i="4"/>
  <c r="AV476" i="4"/>
  <c r="AV540" i="4"/>
  <c r="AH36" i="4"/>
  <c r="AN36" i="4" s="1"/>
  <c r="AH74" i="4"/>
  <c r="AN74" i="4" s="1"/>
  <c r="AH94" i="4"/>
  <c r="AN94" i="4" s="1"/>
  <c r="AH140" i="4"/>
  <c r="AN140" i="4" s="1"/>
  <c r="AH156" i="4"/>
  <c r="AN156" i="4" s="1"/>
  <c r="AH170" i="4"/>
  <c r="AN170" i="4" s="1"/>
  <c r="AH188" i="4"/>
  <c r="AN188" i="4" s="1"/>
  <c r="AH204" i="4"/>
  <c r="AN204" i="4" s="1"/>
  <c r="AH222" i="4"/>
  <c r="AN222" i="4" s="1"/>
  <c r="AF230" i="4"/>
  <c r="AF276" i="4"/>
  <c r="AF326" i="4"/>
  <c r="AH379" i="4"/>
  <c r="AN379" i="4" s="1"/>
  <c r="AF515" i="4"/>
  <c r="AV179" i="4"/>
  <c r="AV269" i="4"/>
  <c r="AV391" i="4"/>
  <c r="AV473" i="4"/>
  <c r="AH82" i="4"/>
  <c r="AN82" i="4" s="1"/>
  <c r="AH102" i="4"/>
  <c r="AN102" i="4" s="1"/>
  <c r="AH126" i="4"/>
  <c r="AN126" i="4" s="1"/>
  <c r="AH146" i="4"/>
  <c r="AN146" i="4" s="1"/>
  <c r="AH178" i="4"/>
  <c r="AN178" i="4" s="1"/>
  <c r="AH198" i="4"/>
  <c r="AN198" i="4" s="1"/>
  <c r="AH206" i="4"/>
  <c r="AN206" i="4" s="1"/>
  <c r="AF300" i="4"/>
  <c r="AF364" i="4"/>
  <c r="AF79" i="4"/>
  <c r="AH105" i="4"/>
  <c r="AN105" i="4" s="1"/>
  <c r="AH119" i="4"/>
  <c r="AN119" i="4" s="1"/>
  <c r="AH153" i="4"/>
  <c r="AN153" i="4" s="1"/>
  <c r="AF167" i="4"/>
  <c r="AF179" i="4"/>
  <c r="AF303" i="4"/>
  <c r="AH411" i="4"/>
  <c r="AN411" i="4" s="1"/>
  <c r="AH452" i="4"/>
  <c r="AN452" i="4" s="1"/>
  <c r="AV97" i="4"/>
  <c r="AV165" i="4"/>
  <c r="AV183" i="4"/>
  <c r="AV197" i="4"/>
  <c r="AV424" i="4"/>
  <c r="AF99" i="4"/>
  <c r="AH191" i="4"/>
  <c r="AN191" i="4" s="1"/>
  <c r="AH207" i="4"/>
  <c r="AN207" i="4" s="1"/>
  <c r="AF316" i="4"/>
  <c r="AF332" i="4"/>
  <c r="AF391" i="4"/>
  <c r="AF416" i="4"/>
  <c r="AF512" i="4"/>
  <c r="AF529" i="4"/>
  <c r="AV79" i="4"/>
  <c r="AV99" i="4"/>
  <c r="AV167" i="4"/>
  <c r="AV199" i="4"/>
  <c r="AV207" i="4"/>
  <c r="AV333" i="4"/>
  <c r="AV361" i="4"/>
  <c r="AV432" i="4"/>
  <c r="AV452" i="4"/>
  <c r="AF17" i="4"/>
  <c r="AH183" i="4"/>
  <c r="AN183" i="4" s="1"/>
  <c r="AF199" i="4"/>
  <c r="AH269" i="4"/>
  <c r="AN269" i="4" s="1"/>
  <c r="AF424" i="4"/>
  <c r="AF540" i="4"/>
  <c r="AM532" i="4"/>
  <c r="AM533" i="4" s="1"/>
  <c r="AM534" i="4" s="1"/>
  <c r="AM535" i="4" s="1"/>
  <c r="AM536" i="4" s="1"/>
  <c r="AM531" i="4"/>
  <c r="AL540" i="4"/>
  <c r="AL546" i="4"/>
  <c r="AL535" i="4"/>
  <c r="AL538" i="4"/>
  <c r="AL536" i="4"/>
  <c r="AL539" i="4"/>
  <c r="AL537" i="4"/>
  <c r="AL541" i="4"/>
  <c r="AL542" i="4"/>
  <c r="AL543" i="4"/>
  <c r="AL532" i="4"/>
  <c r="AF544" i="4"/>
  <c r="AL544" i="4"/>
  <c r="AL519" i="4"/>
  <c r="AL530" i="4"/>
  <c r="Q545" i="4"/>
  <c r="AH35" i="4"/>
  <c r="AN35" i="4" s="1"/>
  <c r="AF35" i="4"/>
  <c r="AH37" i="4"/>
  <c r="AN37" i="4" s="1"/>
  <c r="AF37" i="4"/>
  <c r="AV37" i="4"/>
  <c r="AH61" i="4"/>
  <c r="AN61" i="4" s="1"/>
  <c r="AF61" i="4"/>
  <c r="AH75" i="4"/>
  <c r="AN75" i="4" s="1"/>
  <c r="AV75" i="4"/>
  <c r="AF75" i="4"/>
  <c r="AF81" i="4"/>
  <c r="AH81" i="4"/>
  <c r="AN81" i="4" s="1"/>
  <c r="AH85" i="4"/>
  <c r="AN85" i="4" s="1"/>
  <c r="AF85" i="4"/>
  <c r="AV85" i="4"/>
  <c r="AF87" i="4"/>
  <c r="AH87" i="4"/>
  <c r="AN87" i="4" s="1"/>
  <c r="AF89" i="4"/>
  <c r="AH89" i="4"/>
  <c r="AN89" i="4" s="1"/>
  <c r="AF91" i="4"/>
  <c r="AH91" i="4"/>
  <c r="AN91" i="4" s="1"/>
  <c r="AH93" i="4"/>
  <c r="AN93" i="4" s="1"/>
  <c r="AF93" i="4"/>
  <c r="AH95" i="4"/>
  <c r="AN95" i="4" s="1"/>
  <c r="AV95" i="4"/>
  <c r="AF95" i="4"/>
  <c r="AH103" i="4"/>
  <c r="AN103" i="4" s="1"/>
  <c r="AF103" i="4"/>
  <c r="AH107" i="4"/>
  <c r="AN107" i="4" s="1"/>
  <c r="AF107" i="4"/>
  <c r="AV107" i="4"/>
  <c r="AF111" i="4"/>
  <c r="AH111" i="4"/>
  <c r="AN111" i="4" s="1"/>
  <c r="AF113" i="4"/>
  <c r="AV113" i="4"/>
  <c r="AF115" i="4"/>
  <c r="AH115" i="4"/>
  <c r="AN115" i="4" s="1"/>
  <c r="AF121" i="4"/>
  <c r="AH121" i="4"/>
  <c r="AN121" i="4" s="1"/>
  <c r="AF123" i="4"/>
  <c r="AH123" i="4"/>
  <c r="AN123" i="4" s="1"/>
  <c r="AH135" i="4"/>
  <c r="AN135" i="4" s="1"/>
  <c r="AF135" i="4"/>
  <c r="AF137" i="4"/>
  <c r="AH137" i="4"/>
  <c r="AN137" i="4" s="1"/>
  <c r="AH139" i="4"/>
  <c r="AN139" i="4" s="1"/>
  <c r="AF139" i="4"/>
  <c r="AV139" i="4"/>
  <c r="AH141" i="4"/>
  <c r="AN141" i="4" s="1"/>
  <c r="AF141" i="4"/>
  <c r="AF143" i="4"/>
  <c r="AH143" i="4"/>
  <c r="AN143" i="4" s="1"/>
  <c r="AF145" i="4"/>
  <c r="AH145" i="4"/>
  <c r="AN145" i="4" s="1"/>
  <c r="AV145" i="4"/>
  <c r="AF147" i="4"/>
  <c r="AH147" i="4"/>
  <c r="AN147" i="4" s="1"/>
  <c r="AH149" i="4"/>
  <c r="AN149" i="4" s="1"/>
  <c r="AF149" i="4"/>
  <c r="AF151" i="4"/>
  <c r="AH151" i="4"/>
  <c r="AN151" i="4" s="1"/>
  <c r="AF155" i="4"/>
  <c r="AV155" i="4"/>
  <c r="AH155" i="4"/>
  <c r="AN155" i="4" s="1"/>
  <c r="AH157" i="4"/>
  <c r="AN157" i="4" s="1"/>
  <c r="AF157" i="4"/>
  <c r="AF161" i="4"/>
  <c r="AV161" i="4"/>
  <c r="AF163" i="4"/>
  <c r="AH163" i="4"/>
  <c r="AN163" i="4" s="1"/>
  <c r="AF169" i="4"/>
  <c r="AH169" i="4"/>
  <c r="AN169" i="4" s="1"/>
  <c r="AH171" i="4"/>
  <c r="AN171" i="4" s="1"/>
  <c r="AF171" i="4"/>
  <c r="AV171" i="4"/>
  <c r="AH173" i="4"/>
  <c r="AN173" i="4" s="1"/>
  <c r="AF173" i="4"/>
  <c r="AH175" i="4"/>
  <c r="AN175" i="4" s="1"/>
  <c r="AF175" i="4"/>
  <c r="AF177" i="4"/>
  <c r="AH177" i="4"/>
  <c r="AN177" i="4" s="1"/>
  <c r="AV177" i="4"/>
  <c r="AH181" i="4"/>
  <c r="AN181" i="4" s="1"/>
  <c r="AF181" i="4"/>
  <c r="AF185" i="4"/>
  <c r="AH185" i="4"/>
  <c r="AN185" i="4" s="1"/>
  <c r="AF187" i="4"/>
  <c r="AV187" i="4"/>
  <c r="AH187" i="4"/>
  <c r="AN187" i="4" s="1"/>
  <c r="AH189" i="4"/>
  <c r="AN189" i="4" s="1"/>
  <c r="AF189" i="4"/>
  <c r="AF193" i="4"/>
  <c r="AV193" i="4"/>
  <c r="AH195" i="4"/>
  <c r="AN195" i="4" s="1"/>
  <c r="AF195" i="4"/>
  <c r="AF201" i="4"/>
  <c r="AH201" i="4"/>
  <c r="AN201" i="4" s="1"/>
  <c r="AH203" i="4"/>
  <c r="AN203" i="4" s="1"/>
  <c r="AF203" i="4"/>
  <c r="AV203" i="4"/>
  <c r="AH205" i="4"/>
  <c r="AN205" i="4" s="1"/>
  <c r="AV205" i="4"/>
  <c r="AF209" i="4"/>
  <c r="AH209" i="4"/>
  <c r="AN209" i="4" s="1"/>
  <c r="AV209" i="4"/>
  <c r="AH211" i="4"/>
  <c r="AN211" i="4" s="1"/>
  <c r="AF211" i="4"/>
  <c r="AH213" i="4"/>
  <c r="AN213" i="4" s="1"/>
  <c r="AF213" i="4"/>
  <c r="AF215" i="4"/>
  <c r="AV215" i="4"/>
  <c r="AF217" i="4"/>
  <c r="AH217" i="4"/>
  <c r="AN217" i="4" s="1"/>
  <c r="AF219" i="4"/>
  <c r="AH219" i="4"/>
  <c r="AN219" i="4" s="1"/>
  <c r="AV219" i="4"/>
  <c r="AH221" i="4"/>
  <c r="AN221" i="4" s="1"/>
  <c r="AF221" i="4"/>
  <c r="AH223" i="4"/>
  <c r="AN223" i="4" s="1"/>
  <c r="AF223" i="4"/>
  <c r="AV225" i="4"/>
  <c r="AF225" i="4"/>
  <c r="AH227" i="4"/>
  <c r="AN227" i="4" s="1"/>
  <c r="AV227" i="4"/>
  <c r="AF229" i="4"/>
  <c r="AH229" i="4"/>
  <c r="AN229" i="4" s="1"/>
  <c r="AH231" i="4"/>
  <c r="AN231" i="4" s="1"/>
  <c r="AF231" i="4"/>
  <c r="AV231" i="4"/>
  <c r="AF233" i="4"/>
  <c r="AH233" i="4"/>
  <c r="AN233" i="4" s="1"/>
  <c r="AH236" i="4"/>
  <c r="AN236" i="4" s="1"/>
  <c r="AF236" i="4"/>
  <c r="AH238" i="4"/>
  <c r="AN238" i="4" s="1"/>
  <c r="AF238" i="4"/>
  <c r="AH240" i="4"/>
  <c r="AN240" i="4" s="1"/>
  <c r="AF240" i="4"/>
  <c r="AF242" i="4"/>
  <c r="AH242" i="4"/>
  <c r="AN242" i="4" s="1"/>
  <c r="AH244" i="4"/>
  <c r="AN244" i="4" s="1"/>
  <c r="AV244" i="4"/>
  <c r="AF244" i="4"/>
  <c r="AF246" i="4"/>
  <c r="AH246" i="4"/>
  <c r="AN246" i="4" s="1"/>
  <c r="AF249" i="4"/>
  <c r="AV249" i="4"/>
  <c r="AH249" i="4"/>
  <c r="AN249" i="4" s="1"/>
  <c r="AV251" i="4"/>
  <c r="AH251" i="4"/>
  <c r="AN251" i="4" s="1"/>
  <c r="AF251" i="4"/>
  <c r="AF259" i="4"/>
  <c r="AH259" i="4"/>
  <c r="AN259" i="4" s="1"/>
  <c r="AH267" i="4"/>
  <c r="AN267" i="4" s="1"/>
  <c r="AF267" i="4"/>
  <c r="AV267" i="4"/>
  <c r="AF271" i="4"/>
  <c r="AH271" i="4"/>
  <c r="AN271" i="4" s="1"/>
  <c r="AV271" i="4"/>
  <c r="AH273" i="4"/>
  <c r="AN273" i="4" s="1"/>
  <c r="AF273" i="4"/>
  <c r="AF275" i="4"/>
  <c r="AH275" i="4"/>
  <c r="AN275" i="4" s="1"/>
  <c r="AV275" i="4"/>
  <c r="AF315" i="4"/>
  <c r="AH315" i="4"/>
  <c r="AN315" i="4" s="1"/>
  <c r="AV315" i="4"/>
  <c r="AF317" i="4"/>
  <c r="AH317" i="4"/>
  <c r="AN317" i="4" s="1"/>
  <c r="AH319" i="4"/>
  <c r="AN319" i="4" s="1"/>
  <c r="AV319" i="4"/>
  <c r="AF325" i="4"/>
  <c r="AH325" i="4"/>
  <c r="AN325" i="4" s="1"/>
  <c r="AF327" i="4"/>
  <c r="AV327" i="4"/>
  <c r="AF331" i="4"/>
  <c r="AV331" i="4"/>
  <c r="AH335" i="4"/>
  <c r="AN335" i="4" s="1"/>
  <c r="AV335" i="4"/>
  <c r="AF335" i="4"/>
  <c r="AF337" i="4"/>
  <c r="AH337" i="4"/>
  <c r="AN337" i="4" s="1"/>
  <c r="AH345" i="4"/>
  <c r="AN345" i="4" s="1"/>
  <c r="AV345" i="4"/>
  <c r="AF345" i="4"/>
  <c r="AH349" i="4"/>
  <c r="AN349" i="4" s="1"/>
  <c r="AF349" i="4"/>
  <c r="AF353" i="4"/>
  <c r="AH353" i="4"/>
  <c r="AN353" i="4" s="1"/>
  <c r="AH355" i="4"/>
  <c r="AN355" i="4" s="1"/>
  <c r="AV355" i="4"/>
  <c r="AF355" i="4"/>
  <c r="AF363" i="4"/>
  <c r="AV363" i="4"/>
  <c r="AH365" i="4"/>
  <c r="AN365" i="4" s="1"/>
  <c r="AF365" i="4"/>
  <c r="AH367" i="4"/>
  <c r="AN367" i="4" s="1"/>
  <c r="AV367" i="4"/>
  <c r="AF389" i="4"/>
  <c r="AV389" i="4"/>
  <c r="AF393" i="4"/>
  <c r="AH393" i="4"/>
  <c r="AN393" i="4" s="1"/>
  <c r="AV393" i="4"/>
  <c r="AH395" i="4"/>
  <c r="AN395" i="4" s="1"/>
  <c r="AF395" i="4"/>
  <c r="AF397" i="4"/>
  <c r="AV397" i="4"/>
  <c r="AH397" i="4"/>
  <c r="AN397" i="4" s="1"/>
  <c r="AH401" i="4"/>
  <c r="AN401" i="4" s="1"/>
  <c r="AF401" i="4"/>
  <c r="AF403" i="4"/>
  <c r="AV403" i="4"/>
  <c r="AH403" i="4"/>
  <c r="AN403" i="4" s="1"/>
  <c r="AH405" i="4"/>
  <c r="AN405" i="4" s="1"/>
  <c r="AF405" i="4"/>
  <c r="AH409" i="4"/>
  <c r="AN409" i="4" s="1"/>
  <c r="AV409" i="4"/>
  <c r="AF409" i="4"/>
  <c r="AH413" i="4"/>
  <c r="AN413" i="4" s="1"/>
  <c r="AV413" i="4"/>
  <c r="AF415" i="4"/>
  <c r="AH415" i="4"/>
  <c r="AN415" i="4" s="1"/>
  <c r="AF422" i="4"/>
  <c r="AV422" i="4"/>
  <c r="AF430" i="4"/>
  <c r="AV430" i="4"/>
  <c r="AH430" i="4"/>
  <c r="AN430" i="4" s="1"/>
  <c r="AH434" i="4"/>
  <c r="AN434" i="4" s="1"/>
  <c r="AV434" i="4"/>
  <c r="AF434" i="4"/>
  <c r="AF440" i="4"/>
  <c r="AH440" i="4"/>
  <c r="AN440" i="4" s="1"/>
  <c r="AH442" i="4"/>
  <c r="AN442" i="4" s="1"/>
  <c r="AF442" i="4"/>
  <c r="AV442" i="4"/>
  <c r="AH448" i="4"/>
  <c r="AN448" i="4" s="1"/>
  <c r="AV448" i="4"/>
  <c r="AF448" i="4"/>
  <c r="AH467" i="4"/>
  <c r="AN467" i="4" s="1"/>
  <c r="AV467" i="4"/>
  <c r="AF469" i="4"/>
  <c r="AH469" i="4"/>
  <c r="AN469" i="4" s="1"/>
  <c r="AH471" i="4"/>
  <c r="AN471" i="4" s="1"/>
  <c r="AV471" i="4"/>
  <c r="AF471" i="4"/>
  <c r="AF475" i="4"/>
  <c r="AV475" i="4"/>
  <c r="AH477" i="4"/>
  <c r="AN477" i="4" s="1"/>
  <c r="AF477" i="4"/>
  <c r="AF479" i="4"/>
  <c r="AH479" i="4"/>
  <c r="AN479" i="4" s="1"/>
  <c r="AV479" i="4"/>
  <c r="AH489" i="4"/>
  <c r="AN489" i="4" s="1"/>
  <c r="AF489" i="4"/>
  <c r="AF494" i="4"/>
  <c r="AV494" i="4"/>
  <c r="AH494" i="4"/>
  <c r="AN494" i="4" s="1"/>
  <c r="AH498" i="4"/>
  <c r="AN498" i="4" s="1"/>
  <c r="AF498" i="4"/>
  <c r="AH500" i="4"/>
  <c r="AN500" i="4" s="1"/>
  <c r="AV500" i="4"/>
  <c r="AF511" i="4"/>
  <c r="AV511" i="4"/>
  <c r="AH513" i="4"/>
  <c r="AN513" i="4" s="1"/>
  <c r="AF513" i="4"/>
  <c r="AH518" i="4"/>
  <c r="AN518" i="4" s="1"/>
  <c r="AF518" i="4"/>
  <c r="AV522" i="4"/>
  <c r="AF522" i="4"/>
  <c r="AH524" i="4"/>
  <c r="AN524" i="4" s="1"/>
  <c r="AV524" i="4"/>
  <c r="AF528" i="4"/>
  <c r="AH528" i="4"/>
  <c r="AF530" i="4"/>
  <c r="AF533" i="4"/>
  <c r="AF537" i="4"/>
  <c r="AH537" i="4"/>
  <c r="AN537" i="4" s="1"/>
  <c r="Q541" i="4"/>
  <c r="Q544" i="4"/>
  <c r="AL545" i="4"/>
  <c r="AF84" i="4"/>
  <c r="AH84" i="4"/>
  <c r="AN84" i="4" s="1"/>
  <c r="AF106" i="4"/>
  <c r="AH106" i="4"/>
  <c r="AN106" i="4" s="1"/>
  <c r="AF110" i="4"/>
  <c r="AH110" i="4"/>
  <c r="AN110" i="4" s="1"/>
  <c r="AF114" i="4"/>
  <c r="AH114" i="4"/>
  <c r="AN114" i="4" s="1"/>
  <c r="AF124" i="4"/>
  <c r="AH124" i="4"/>
  <c r="AN124" i="4" s="1"/>
  <c r="AF162" i="4"/>
  <c r="AH162" i="4"/>
  <c r="AN162" i="4" s="1"/>
  <c r="AF172" i="4"/>
  <c r="AH172" i="4"/>
  <c r="AN172" i="4" s="1"/>
  <c r="AF190" i="4"/>
  <c r="AH190" i="4"/>
  <c r="AN190" i="4" s="1"/>
  <c r="AF212" i="4"/>
  <c r="AH212" i="4"/>
  <c r="AN212" i="4" s="1"/>
  <c r="AH228" i="4"/>
  <c r="AN228" i="4" s="1"/>
  <c r="AF228" i="4"/>
  <c r="AH268" i="4"/>
  <c r="AN268" i="4" s="1"/>
  <c r="AF268" i="4"/>
  <c r="AH310" i="4"/>
  <c r="AN310" i="4" s="1"/>
  <c r="AF310" i="4"/>
  <c r="AH318" i="4"/>
  <c r="AN318" i="4" s="1"/>
  <c r="AF318" i="4"/>
  <c r="AH350" i="4"/>
  <c r="AN350" i="4" s="1"/>
  <c r="AF350" i="4"/>
  <c r="AV506" i="4"/>
  <c r="AH506" i="4"/>
  <c r="AN506" i="4" s="1"/>
  <c r="AF532" i="4"/>
  <c r="AH532" i="4"/>
  <c r="AN532" i="4" s="1"/>
  <c r="Q540" i="4"/>
  <c r="AF542" i="4"/>
  <c r="AF545" i="4"/>
  <c r="AH545" i="4"/>
  <c r="AN545" i="4" s="1"/>
  <c r="Q537" i="4"/>
  <c r="G720" i="1" s="1"/>
  <c r="AF538" i="4"/>
  <c r="AF541" i="4"/>
  <c r="Q543" i="4"/>
  <c r="Q538" i="4"/>
  <c r="Q542" i="4"/>
  <c r="AL533" i="4"/>
  <c r="AL534" i="4"/>
  <c r="AL517" i="4"/>
  <c r="AL527" i="4"/>
  <c r="AL523" i="4"/>
  <c r="AL512" i="4"/>
  <c r="AL522" i="4"/>
  <c r="AL525" i="4"/>
  <c r="AL529" i="4"/>
  <c r="AL515" i="4"/>
  <c r="AL526" i="4"/>
  <c r="AH529" i="4"/>
  <c r="AN529" i="4" s="1"/>
  <c r="E1324" i="13"/>
  <c r="Q1324" i="13" s="1"/>
  <c r="R1324" i="13" s="1"/>
  <c r="E1314" i="13"/>
  <c r="Q1314" i="13" s="1"/>
  <c r="E1318" i="13"/>
  <c r="Q1318" i="13" s="1"/>
  <c r="R1318" i="13" s="1"/>
  <c r="E1322" i="13"/>
  <c r="Q1322" i="13" s="1"/>
  <c r="R1322" i="13" s="1"/>
  <c r="E1313" i="13"/>
  <c r="Q1313" i="13" s="1"/>
  <c r="E1317" i="13"/>
  <c r="Q1317" i="13" s="1"/>
  <c r="E1316" i="13"/>
  <c r="Q1316" i="13" s="1"/>
  <c r="E1315" i="13"/>
  <c r="Q1315" i="13" s="1"/>
  <c r="E1321" i="13"/>
  <c r="Q1321" i="13" s="1"/>
  <c r="R1321" i="13" s="1"/>
  <c r="E1320" i="13"/>
  <c r="Q1320" i="13" s="1"/>
  <c r="R1320" i="13" s="1"/>
  <c r="E1323" i="13"/>
  <c r="Q1323" i="13" s="1"/>
  <c r="R1323" i="13" s="1"/>
  <c r="E1319" i="13"/>
  <c r="Q1319" i="13" s="1"/>
  <c r="R1319" i="13" s="1"/>
  <c r="E1312" i="13"/>
  <c r="Q1312" i="13" s="1"/>
  <c r="AL524" i="4"/>
  <c r="AL528" i="4"/>
  <c r="AH522" i="4"/>
  <c r="AN522" i="4" s="1"/>
  <c r="AL520" i="4"/>
  <c r="AL511" i="4"/>
  <c r="AL521" i="4"/>
  <c r="AV518" i="4"/>
  <c r="Q514" i="4"/>
  <c r="AL498" i="4"/>
  <c r="AL514" i="4"/>
  <c r="AL513" i="4"/>
  <c r="AL518" i="4"/>
  <c r="AL505" i="4"/>
  <c r="AL495" i="4"/>
  <c r="AL504" i="4"/>
  <c r="AL506" i="4"/>
  <c r="R512" i="4"/>
  <c r="G512" i="4" s="1"/>
  <c r="P512" i="4"/>
  <c r="F512" i="4" s="1"/>
  <c r="Q511" i="4"/>
  <c r="R511" i="4" s="1"/>
  <c r="G511" i="4" s="1"/>
  <c r="P511" i="4"/>
  <c r="F511" i="4" s="1"/>
  <c r="Q506" i="4"/>
  <c r="Q504" i="4"/>
  <c r="AF505" i="4"/>
  <c r="AV505" i="4"/>
  <c r="AF506" i="4"/>
  <c r="AL415" i="4"/>
  <c r="AF88" i="4"/>
  <c r="AH88" i="4"/>
  <c r="AN88" i="4" s="1"/>
  <c r="AF120" i="4"/>
  <c r="AH120" i="4"/>
  <c r="AN120" i="4" s="1"/>
  <c r="AF136" i="4"/>
  <c r="AH136" i="4"/>
  <c r="AN136" i="4" s="1"/>
  <c r="AF144" i="4"/>
  <c r="AH144" i="4"/>
  <c r="AN144" i="4" s="1"/>
  <c r="AF152" i="4"/>
  <c r="AH152" i="4"/>
  <c r="AN152" i="4" s="1"/>
  <c r="AF160" i="4"/>
  <c r="AH160" i="4"/>
  <c r="AN160" i="4" s="1"/>
  <c r="AF168" i="4"/>
  <c r="AH168" i="4"/>
  <c r="AN168" i="4" s="1"/>
  <c r="AF176" i="4"/>
  <c r="AH176" i="4"/>
  <c r="AN176" i="4" s="1"/>
  <c r="AF184" i="4"/>
  <c r="AH184" i="4"/>
  <c r="AN184" i="4" s="1"/>
  <c r="AF192" i="4"/>
  <c r="AH192" i="4"/>
  <c r="AN192" i="4" s="1"/>
  <c r="AF200" i="4"/>
  <c r="AH200" i="4"/>
  <c r="AN200" i="4" s="1"/>
  <c r="AF208" i="4"/>
  <c r="AH208" i="4"/>
  <c r="AN208" i="4" s="1"/>
  <c r="AF216" i="4"/>
  <c r="AH216" i="4"/>
  <c r="AN216" i="4" s="1"/>
  <c r="AH239" i="4"/>
  <c r="AN239" i="4" s="1"/>
  <c r="AF239" i="4"/>
  <c r="AF262" i="4"/>
  <c r="AH278" i="4"/>
  <c r="AN278" i="4" s="1"/>
  <c r="AF278" i="4"/>
  <c r="AF292" i="4"/>
  <c r="AF302" i="4"/>
  <c r="AF308" i="4"/>
  <c r="AH324" i="4"/>
  <c r="AN324" i="4" s="1"/>
  <c r="AF324" i="4"/>
  <c r="AF340" i="4"/>
  <c r="AF342" i="4"/>
  <c r="AH348" i="4"/>
  <c r="AN348" i="4" s="1"/>
  <c r="AF348" i="4"/>
  <c r="AH356" i="4"/>
  <c r="AN356" i="4" s="1"/>
  <c r="AF356" i="4"/>
  <c r="AH366" i="4"/>
  <c r="AN366" i="4" s="1"/>
  <c r="AF366" i="4"/>
  <c r="AF372" i="4"/>
  <c r="AF382" i="4"/>
  <c r="AH400" i="4"/>
  <c r="AN400" i="4" s="1"/>
  <c r="AF400" i="4"/>
  <c r="AH414" i="4"/>
  <c r="AN414" i="4" s="1"/>
  <c r="AF414" i="4"/>
  <c r="AH447" i="4"/>
  <c r="AN447" i="4" s="1"/>
  <c r="AF447" i="4"/>
  <c r="AF490" i="4"/>
  <c r="AH490" i="4"/>
  <c r="AN490" i="4" s="1"/>
  <c r="AF277" i="4"/>
  <c r="AF80" i="4"/>
  <c r="AF96" i="4"/>
  <c r="AH96" i="4"/>
  <c r="AN96" i="4" s="1"/>
  <c r="AF104" i="4"/>
  <c r="AH104" i="4"/>
  <c r="AN104" i="4" s="1"/>
  <c r="AF112" i="4"/>
  <c r="AH112" i="4"/>
  <c r="AN112" i="4" s="1"/>
  <c r="AF128" i="4"/>
  <c r="AV10" i="4"/>
  <c r="AV35" i="4"/>
  <c r="AV54" i="4"/>
  <c r="AV76" i="4"/>
  <c r="AV84" i="4"/>
  <c r="AV88" i="4"/>
  <c r="AV92" i="4"/>
  <c r="AV96" i="4"/>
  <c r="AV100" i="4"/>
  <c r="AV105" i="4"/>
  <c r="AV110" i="4"/>
  <c r="AV114" i="4"/>
  <c r="AV119" i="4"/>
  <c r="AV123" i="4"/>
  <c r="AV136" i="4"/>
  <c r="AV140" i="4"/>
  <c r="AV144" i="4"/>
  <c r="AV148" i="4"/>
  <c r="AV152" i="4"/>
  <c r="AV156" i="4"/>
  <c r="AV160" i="4"/>
  <c r="AV164" i="4"/>
  <c r="AV168" i="4"/>
  <c r="AV172" i="4"/>
  <c r="AV176" i="4"/>
  <c r="AV180" i="4"/>
  <c r="AV184" i="4"/>
  <c r="AV188" i="4"/>
  <c r="AV192" i="4"/>
  <c r="AV196" i="4"/>
  <c r="AV200" i="4"/>
  <c r="AV204" i="4"/>
  <c r="AV208" i="4"/>
  <c r="AV212" i="4"/>
  <c r="AV216" i="4"/>
  <c r="AV221" i="4"/>
  <c r="AV229" i="4"/>
  <c r="AV233" i="4"/>
  <c r="AV238" i="4"/>
  <c r="AV242" i="4"/>
  <c r="AV246" i="4"/>
  <c r="AV285" i="4"/>
  <c r="AV379" i="4"/>
  <c r="AH86" i="4"/>
  <c r="AN86" i="4" s="1"/>
  <c r="AH90" i="4"/>
  <c r="AN90" i="4" s="1"/>
  <c r="AH97" i="4"/>
  <c r="AN97" i="4" s="1"/>
  <c r="AH100" i="4"/>
  <c r="AN100" i="4" s="1"/>
  <c r="AF101" i="4"/>
  <c r="AH118" i="4"/>
  <c r="AN118" i="4" s="1"/>
  <c r="AH122" i="4"/>
  <c r="AN122" i="4" s="1"/>
  <c r="AF133" i="4"/>
  <c r="AH150" i="4"/>
  <c r="AN150" i="4" s="1"/>
  <c r="AH154" i="4"/>
  <c r="AN154" i="4" s="1"/>
  <c r="AH161" i="4"/>
  <c r="AN161" i="4" s="1"/>
  <c r="AH164" i="4"/>
  <c r="AN164" i="4" s="1"/>
  <c r="AF165" i="4"/>
  <c r="AH182" i="4"/>
  <c r="AN182" i="4" s="1"/>
  <c r="AH186" i="4"/>
  <c r="AN186" i="4" s="1"/>
  <c r="AH193" i="4"/>
  <c r="AN193" i="4" s="1"/>
  <c r="AH196" i="4"/>
  <c r="AN196" i="4" s="1"/>
  <c r="AF197" i="4"/>
  <c r="AH214" i="4"/>
  <c r="AN214" i="4" s="1"/>
  <c r="AH218" i="4"/>
  <c r="AN218" i="4" s="1"/>
  <c r="AF237" i="4"/>
  <c r="AF245" i="4"/>
  <c r="AH285" i="4"/>
  <c r="AN285" i="4" s="1"/>
  <c r="AF286" i="4"/>
  <c r="AF291" i="4"/>
  <c r="AF301" i="4"/>
  <c r="AH327" i="4"/>
  <c r="AN327" i="4" s="1"/>
  <c r="AF329" i="4"/>
  <c r="AH333" i="4"/>
  <c r="AN333" i="4" s="1"/>
  <c r="AF334" i="4"/>
  <c r="AF341" i="4"/>
  <c r="AF361" i="4"/>
  <c r="AF367" i="4"/>
  <c r="AF374" i="4"/>
  <c r="AH451" i="4"/>
  <c r="AN451" i="4" s="1"/>
  <c r="AF467" i="4"/>
  <c r="AH473" i="4"/>
  <c r="AN473" i="4" s="1"/>
  <c r="AF474" i="4"/>
  <c r="AF311" i="4"/>
  <c r="AH311" i="4"/>
  <c r="AN311" i="4" s="1"/>
  <c r="AH313" i="4"/>
  <c r="AN313" i="4" s="1"/>
  <c r="AF313" i="4"/>
  <c r="AF321" i="4"/>
  <c r="AH321" i="4"/>
  <c r="AN321" i="4" s="1"/>
  <c r="AH323" i="4"/>
  <c r="AN323" i="4" s="1"/>
  <c r="AF323" i="4"/>
  <c r="AF347" i="4"/>
  <c r="AH351" i="4"/>
  <c r="AN351" i="4" s="1"/>
  <c r="AF351" i="4"/>
  <c r="AF375" i="4"/>
  <c r="AH377" i="4"/>
  <c r="AN377" i="4" s="1"/>
  <c r="AF377" i="4"/>
  <c r="AF417" i="4"/>
  <c r="AH417" i="4"/>
  <c r="AN417" i="4" s="1"/>
  <c r="AH420" i="4"/>
  <c r="AN420" i="4" s="1"/>
  <c r="AF420" i="4"/>
  <c r="AF426" i="4"/>
  <c r="AH426" i="4"/>
  <c r="AN426" i="4" s="1"/>
  <c r="AH428" i="4"/>
  <c r="AN428" i="4" s="1"/>
  <c r="AF428" i="4"/>
  <c r="AF436" i="4"/>
  <c r="AH436" i="4"/>
  <c r="AN436" i="4" s="1"/>
  <c r="AH438" i="4"/>
  <c r="AN438" i="4" s="1"/>
  <c r="AF438" i="4"/>
  <c r="AF444" i="4"/>
  <c r="AH446" i="4"/>
  <c r="AN446" i="4" s="1"/>
  <c r="AF446" i="4"/>
  <c r="AF376" i="4"/>
  <c r="AH376" i="4"/>
  <c r="AN376" i="4" s="1"/>
  <c r="AH378" i="4"/>
  <c r="AN378" i="4" s="1"/>
  <c r="AF378" i="4"/>
  <c r="AF380" i="4"/>
  <c r="AF386" i="4"/>
  <c r="AH388" i="4"/>
  <c r="AN388" i="4" s="1"/>
  <c r="AF388" i="4"/>
  <c r="AH394" i="4"/>
  <c r="AN394" i="4" s="1"/>
  <c r="AF394" i="4"/>
  <c r="AH396" i="4"/>
  <c r="AN396" i="4" s="1"/>
  <c r="AF396" i="4"/>
  <c r="AH402" i="4"/>
  <c r="AN402" i="4" s="1"/>
  <c r="AF402" i="4"/>
  <c r="AH404" i="4"/>
  <c r="AN404" i="4" s="1"/>
  <c r="AF404" i="4"/>
  <c r="AH410" i="4"/>
  <c r="AN410" i="4" s="1"/>
  <c r="AF410" i="4"/>
  <c r="AH412" i="4"/>
  <c r="AN412" i="4" s="1"/>
  <c r="AF412" i="4"/>
  <c r="AH419" i="4"/>
  <c r="AN419" i="4" s="1"/>
  <c r="AF419" i="4"/>
  <c r="AH421" i="4"/>
  <c r="AN421" i="4" s="1"/>
  <c r="AF421" i="4"/>
  <c r="AH427" i="4"/>
  <c r="AN427" i="4" s="1"/>
  <c r="AF427" i="4"/>
  <c r="AH429" i="4"/>
  <c r="AN429" i="4" s="1"/>
  <c r="AF429" i="4"/>
  <c r="AF435" i="4"/>
  <c r="AH437" i="4"/>
  <c r="AN437" i="4" s="1"/>
  <c r="AF437" i="4"/>
  <c r="AH443" i="4"/>
  <c r="AN443" i="4" s="1"/>
  <c r="AF443" i="4"/>
  <c r="AH445" i="4"/>
  <c r="AN445" i="4" s="1"/>
  <c r="AF445" i="4"/>
  <c r="AH453" i="4"/>
  <c r="AN453" i="4" s="1"/>
  <c r="AF453" i="4"/>
  <c r="AH455" i="4"/>
  <c r="AN455" i="4" s="1"/>
  <c r="AF455" i="4"/>
  <c r="AH470" i="4"/>
  <c r="AN470" i="4" s="1"/>
  <c r="AF470" i="4"/>
  <c r="AH472" i="4"/>
  <c r="AN472" i="4" s="1"/>
  <c r="AF472" i="4"/>
  <c r="AF478" i="4"/>
  <c r="AH480" i="4"/>
  <c r="AN480" i="4" s="1"/>
  <c r="AF480" i="4"/>
  <c r="AH495" i="4"/>
  <c r="AN495" i="4" s="1"/>
  <c r="AF495" i="4"/>
  <c r="AH499" i="4"/>
  <c r="AN499" i="4" s="1"/>
  <c r="AF499" i="4"/>
  <c r="AF226" i="4"/>
  <c r="AF234" i="4"/>
  <c r="AF243" i="4"/>
  <c r="AF258" i="4"/>
  <c r="AF266" i="4"/>
  <c r="AF274" i="4"/>
  <c r="AF282" i="4"/>
  <c r="AF290" i="4"/>
  <c r="AF298" i="4"/>
  <c r="AF306" i="4"/>
  <c r="AF314" i="4"/>
  <c r="AF322" i="4"/>
  <c r="AF330" i="4"/>
  <c r="AF338" i="4"/>
  <c r="AF346" i="4"/>
  <c r="AF354" i="4"/>
  <c r="AF362" i="4"/>
  <c r="AF370" i="4"/>
  <c r="AF392" i="4"/>
  <c r="AF408" i="4"/>
  <c r="AF425" i="4"/>
  <c r="AF441" i="4"/>
  <c r="AF468" i="4"/>
  <c r="AF487" i="4"/>
  <c r="AF497" i="4"/>
  <c r="AF224" i="4"/>
  <c r="AF232" i="4"/>
  <c r="AF241" i="4"/>
  <c r="AF250" i="4"/>
  <c r="AF264" i="4"/>
  <c r="AF272" i="4"/>
  <c r="AF280" i="4"/>
  <c r="AF288" i="4"/>
  <c r="AF296" i="4"/>
  <c r="AF304" i="4"/>
  <c r="AF312" i="4"/>
  <c r="AF320" i="4"/>
  <c r="AF328" i="4"/>
  <c r="AF336" i="4"/>
  <c r="AF344" i="4"/>
  <c r="AF352" i="4"/>
  <c r="AF360" i="4"/>
  <c r="AF368" i="4"/>
  <c r="AF390" i="4"/>
  <c r="AF406" i="4"/>
  <c r="AF423" i="4"/>
  <c r="AF439" i="4"/>
  <c r="AF482" i="4"/>
  <c r="AL500" i="4"/>
  <c r="AL499" i="4"/>
  <c r="Q499" i="4"/>
  <c r="AV499" i="4"/>
  <c r="AF500" i="4"/>
  <c r="R495" i="4"/>
  <c r="AL496" i="4"/>
  <c r="R498" i="4"/>
  <c r="AL311" i="4"/>
  <c r="AL497" i="4"/>
  <c r="AL117" i="4"/>
  <c r="AL367" i="4"/>
  <c r="Q497" i="4"/>
  <c r="R497" i="4" s="1"/>
  <c r="P497" i="4"/>
  <c r="F495" i="4"/>
  <c r="F494" i="4"/>
  <c r="R494" i="4"/>
  <c r="AL167" i="4"/>
  <c r="AL121" i="4"/>
  <c r="AL287" i="4"/>
  <c r="AL21" i="4"/>
  <c r="AL159" i="4"/>
  <c r="AL75" i="4"/>
  <c r="AL271" i="4"/>
  <c r="AL429" i="4"/>
  <c r="AL478" i="4"/>
  <c r="AL487" i="4"/>
  <c r="R493" i="4"/>
  <c r="AL425" i="4"/>
  <c r="AL482" i="4"/>
  <c r="AL493" i="4"/>
  <c r="AL494" i="4"/>
  <c r="AF491" i="4"/>
  <c r="AL382" i="4"/>
  <c r="AL396" i="4"/>
  <c r="AL392" i="4"/>
  <c r="AV491" i="4"/>
  <c r="AL216" i="4"/>
  <c r="AL245" i="4"/>
  <c r="AL260" i="4"/>
  <c r="AL264" i="4"/>
  <c r="AL276" i="4"/>
  <c r="AL292" i="4"/>
  <c r="AL322" i="4"/>
  <c r="AL344" i="4"/>
  <c r="AL380" i="4"/>
  <c r="AL414" i="4"/>
  <c r="AL194" i="4"/>
  <c r="AL198" i="4"/>
  <c r="AL212" i="4"/>
  <c r="AL220" i="4"/>
  <c r="AL326" i="4"/>
  <c r="AL340" i="4"/>
  <c r="AL401" i="4"/>
  <c r="AL434" i="4"/>
  <c r="AL437" i="4"/>
  <c r="AL447" i="4"/>
  <c r="AL455" i="4"/>
  <c r="AL470" i="4"/>
  <c r="AL474" i="4"/>
  <c r="Q486" i="4"/>
  <c r="AL14" i="4"/>
  <c r="AL34" i="4"/>
  <c r="AL124" i="4"/>
  <c r="AL10" i="4"/>
  <c r="AL24" i="4"/>
  <c r="AL40" i="4"/>
  <c r="AL78" i="4"/>
  <c r="AL84" i="4"/>
  <c r="AL94" i="4"/>
  <c r="AL104" i="4"/>
  <c r="AL134" i="4"/>
  <c r="AL148" i="4"/>
  <c r="AL413" i="4"/>
  <c r="AL222" i="4"/>
  <c r="AL228" i="4"/>
  <c r="AL232" i="4"/>
  <c r="AL237" i="4"/>
  <c r="AL241" i="4"/>
  <c r="AL272" i="4"/>
  <c r="AL288" i="4"/>
  <c r="AL300" i="4"/>
  <c r="AL304" i="4"/>
  <c r="AL317" i="4"/>
  <c r="AL369" i="4"/>
  <c r="AL422" i="4"/>
  <c r="AL438" i="4"/>
  <c r="AL467" i="4"/>
  <c r="AL471" i="4"/>
  <c r="AV489" i="4"/>
  <c r="AH493" i="4"/>
  <c r="AN493" i="4" s="1"/>
  <c r="AL435" i="4"/>
  <c r="AL441" i="4"/>
  <c r="AL453" i="4"/>
  <c r="AL126" i="4"/>
  <c r="AL138" i="4"/>
  <c r="AL152" i="4"/>
  <c r="AL156" i="4"/>
  <c r="AL160" i="4"/>
  <c r="AL164" i="4"/>
  <c r="AL168" i="4"/>
  <c r="AL172" i="4"/>
  <c r="AL176" i="4"/>
  <c r="AL180" i="4"/>
  <c r="AL184" i="4"/>
  <c r="AL192" i="4"/>
  <c r="AL330" i="4"/>
  <c r="AL334" i="4"/>
  <c r="AL338" i="4"/>
  <c r="AL350" i="4"/>
  <c r="AL364" i="4"/>
  <c r="AL368" i="4"/>
  <c r="AL370" i="4"/>
  <c r="AV493" i="4"/>
  <c r="AL36" i="4"/>
  <c r="AL52" i="4"/>
  <c r="AL70" i="4"/>
  <c r="AL74" i="4"/>
  <c r="AL296" i="4"/>
  <c r="AL310" i="4"/>
  <c r="AL312" i="4"/>
  <c r="AL316" i="4"/>
  <c r="AL320" i="4"/>
  <c r="AV376" i="4"/>
  <c r="AL28" i="4"/>
  <c r="AL72" i="4"/>
  <c r="AL120" i="4"/>
  <c r="AL142" i="4"/>
  <c r="AL200" i="4"/>
  <c r="AL210" i="4"/>
  <c r="AL298" i="4"/>
  <c r="AL358" i="4"/>
  <c r="AL412" i="4"/>
  <c r="AL423" i="4"/>
  <c r="AL433" i="4"/>
  <c r="AL472" i="4"/>
  <c r="AL8" i="4"/>
  <c r="AL18" i="4"/>
  <c r="AL22" i="4"/>
  <c r="AL32" i="4"/>
  <c r="AL44" i="4"/>
  <c r="AL50" i="4"/>
  <c r="AL64" i="4"/>
  <c r="AL68" i="4"/>
  <c r="AL88" i="4"/>
  <c r="AL114" i="4"/>
  <c r="AL118" i="4"/>
  <c r="AL146" i="4"/>
  <c r="AL196" i="4"/>
  <c r="AL206" i="4"/>
  <c r="AL226" i="4"/>
  <c r="AL234" i="4"/>
  <c r="AL239" i="4"/>
  <c r="AL258" i="4"/>
  <c r="AL268" i="4"/>
  <c r="AL270" i="4"/>
  <c r="AL286" i="4"/>
  <c r="AL324" i="4"/>
  <c r="AL342" i="4"/>
  <c r="AL372" i="4"/>
  <c r="AL378" i="4"/>
  <c r="AL384" i="4"/>
  <c r="AL390" i="4"/>
  <c r="AL394" i="4"/>
  <c r="AL408" i="4"/>
  <c r="AL419" i="4"/>
  <c r="AL427" i="4"/>
  <c r="AL439" i="4"/>
  <c r="AL445" i="4"/>
  <c r="AL468" i="4"/>
  <c r="AL476" i="4"/>
  <c r="AL12" i="4"/>
  <c r="AL16" i="4"/>
  <c r="AL48" i="4"/>
  <c r="AL76" i="4"/>
  <c r="AL82" i="4"/>
  <c r="AL92" i="4"/>
  <c r="AL98" i="4"/>
  <c r="AL102" i="4"/>
  <c r="AL108" i="4"/>
  <c r="AL130" i="4"/>
  <c r="AL150" i="4"/>
  <c r="AL162" i="4"/>
  <c r="AL166" i="4"/>
  <c r="AL170" i="4"/>
  <c r="AL174" i="4"/>
  <c r="AL182" i="4"/>
  <c r="AL186" i="4"/>
  <c r="AL190" i="4"/>
  <c r="AL214" i="4"/>
  <c r="AL243" i="4"/>
  <c r="AL274" i="4"/>
  <c r="AL278" i="4"/>
  <c r="AL280" i="4"/>
  <c r="AL284" i="4"/>
  <c r="AL290" i="4"/>
  <c r="AL302" i="4"/>
  <c r="AL314" i="4"/>
  <c r="AL318" i="4"/>
  <c r="AL328" i="4"/>
  <c r="AL332" i="4"/>
  <c r="AL352" i="4"/>
  <c r="AL356" i="4"/>
  <c r="AL362" i="4"/>
  <c r="AL376" i="4"/>
  <c r="AL388" i="4"/>
  <c r="AL30" i="4"/>
  <c r="AL398" i="4"/>
  <c r="AL402" i="4"/>
  <c r="AL406" i="4"/>
  <c r="AL416" i="4"/>
  <c r="AL490" i="4"/>
  <c r="AL9" i="4"/>
  <c r="AL11" i="4"/>
  <c r="AL13" i="4"/>
  <c r="AL15" i="4"/>
  <c r="AL19" i="4"/>
  <c r="AL23" i="4"/>
  <c r="AL33" i="4"/>
  <c r="AL35" i="4"/>
  <c r="AL37" i="4"/>
  <c r="AL39" i="4"/>
  <c r="AL45" i="4"/>
  <c r="AL49" i="4"/>
  <c r="AL51" i="4"/>
  <c r="AL53" i="4"/>
  <c r="AL55" i="4"/>
  <c r="AL59" i="4"/>
  <c r="AL63" i="4"/>
  <c r="AL65" i="4"/>
  <c r="AL67" i="4"/>
  <c r="AL69" i="4"/>
  <c r="AL71" i="4"/>
  <c r="AL73" i="4"/>
  <c r="AL77" i="4"/>
  <c r="AL79" i="4"/>
  <c r="AL81" i="4"/>
  <c r="AL83" i="4"/>
  <c r="AL85" i="4"/>
  <c r="AL93" i="4"/>
  <c r="AL97" i="4"/>
  <c r="AL101" i="4"/>
  <c r="AL105" i="4"/>
  <c r="AL111" i="4"/>
  <c r="AL115" i="4"/>
  <c r="AL123" i="4"/>
  <c r="AL125" i="4"/>
  <c r="AL131" i="4"/>
  <c r="AL135" i="4"/>
  <c r="AL137" i="4"/>
  <c r="AL139" i="4"/>
  <c r="AL147" i="4"/>
  <c r="AL151" i="4"/>
  <c r="AL153" i="4"/>
  <c r="AL157" i="4"/>
  <c r="AL163" i="4"/>
  <c r="AL169" i="4"/>
  <c r="AL173" i="4"/>
  <c r="AL183" i="4"/>
  <c r="AL187" i="4"/>
  <c r="AL191" i="4"/>
  <c r="AL195" i="4"/>
  <c r="AL197" i="4"/>
  <c r="AL199" i="4"/>
  <c r="AL201" i="4"/>
  <c r="AL207" i="4"/>
  <c r="AL211" i="4"/>
  <c r="AL215" i="4"/>
  <c r="AL223" i="4"/>
  <c r="AL244" i="4"/>
  <c r="AL291" i="4"/>
  <c r="AL319" i="4"/>
  <c r="AL323" i="4"/>
  <c r="AL335" i="4"/>
  <c r="AL343" i="4"/>
  <c r="AL351" i="4"/>
  <c r="AL357" i="4"/>
  <c r="AL359" i="4"/>
  <c r="AL365" i="4"/>
  <c r="AL371" i="4"/>
  <c r="AL373" i="4"/>
  <c r="AL377" i="4"/>
  <c r="AL383" i="4"/>
  <c r="AL385" i="4"/>
  <c r="AL389" i="4"/>
  <c r="AL393" i="4"/>
  <c r="AL397" i="4"/>
  <c r="AL399" i="4"/>
  <c r="AL417" i="4"/>
  <c r="AL473" i="4"/>
  <c r="AL477" i="4"/>
  <c r="AL489" i="4"/>
  <c r="AL61" i="4"/>
  <c r="AL179" i="4"/>
  <c r="AL47" i="4"/>
  <c r="AL119" i="4"/>
  <c r="AL127" i="4"/>
  <c r="AL205" i="4"/>
  <c r="AL209" i="4"/>
  <c r="AL103" i="4"/>
  <c r="AL143" i="4"/>
  <c r="AL273" i="4"/>
  <c r="AL407" i="4"/>
  <c r="AL95" i="4"/>
  <c r="AL141" i="4"/>
  <c r="AL155" i="4"/>
  <c r="AL189" i="4"/>
  <c r="AL345" i="4"/>
  <c r="AL403" i="4"/>
  <c r="AL20" i="4"/>
  <c r="AL27" i="4"/>
  <c r="AL38" i="4"/>
  <c r="AL56" i="4"/>
  <c r="AL60" i="4"/>
  <c r="AL86" i="4"/>
  <c r="AL110" i="4"/>
  <c r="AL133" i="4"/>
  <c r="AL144" i="4"/>
  <c r="AL154" i="4"/>
  <c r="AL158" i="4"/>
  <c r="AL178" i="4"/>
  <c r="AL188" i="4"/>
  <c r="AL202" i="4"/>
  <c r="AL204" i="4"/>
  <c r="AL208" i="4"/>
  <c r="AL218" i="4"/>
  <c r="AL224" i="4"/>
  <c r="AL230" i="4"/>
  <c r="AL248" i="4"/>
  <c r="AL250" i="4"/>
  <c r="AL262" i="4"/>
  <c r="AL266" i="4"/>
  <c r="AL282" i="4"/>
  <c r="AL294" i="4"/>
  <c r="AL303" i="4"/>
  <c r="AL306" i="4"/>
  <c r="AL308" i="4"/>
  <c r="AL336" i="4"/>
  <c r="AL346" i="4"/>
  <c r="AL348" i="4"/>
  <c r="AL354" i="4"/>
  <c r="AL360" i="4"/>
  <c r="AL366" i="4"/>
  <c r="AL374" i="4"/>
  <c r="AL386" i="4"/>
  <c r="AL400" i="4"/>
  <c r="AL404" i="4"/>
  <c r="AL410" i="4"/>
  <c r="AL421" i="4"/>
  <c r="AL431" i="4"/>
  <c r="AL443" i="4"/>
  <c r="AL446" i="4"/>
  <c r="AL480" i="4"/>
  <c r="AL17" i="4"/>
  <c r="AL113" i="4"/>
  <c r="AL145" i="4"/>
  <c r="AL185" i="4"/>
  <c r="AL219" i="4"/>
  <c r="AL231" i="4"/>
  <c r="AL236" i="4"/>
  <c r="AL240" i="4"/>
  <c r="AL267" i="4"/>
  <c r="AL275" i="4"/>
  <c r="AL283" i="4"/>
  <c r="AL295" i="4"/>
  <c r="AL307" i="4"/>
  <c r="AL315" i="4"/>
  <c r="AL327" i="4"/>
  <c r="AL331" i="4"/>
  <c r="AL347" i="4"/>
  <c r="AL355" i="4"/>
  <c r="AL361" i="4"/>
  <c r="AL381" i="4"/>
  <c r="AL395" i="4"/>
  <c r="AL405" i="4"/>
  <c r="AL409" i="4"/>
  <c r="AL452" i="4"/>
  <c r="AL481" i="4"/>
  <c r="AL181" i="4"/>
  <c r="AL426" i="4"/>
  <c r="AL87" i="4"/>
  <c r="AL107" i="4"/>
  <c r="AL29" i="4"/>
  <c r="AL379" i="4"/>
  <c r="AL436" i="4"/>
  <c r="AL469" i="4"/>
  <c r="AL31" i="4"/>
  <c r="AL41" i="4"/>
  <c r="AL89" i="4"/>
  <c r="AL91" i="4"/>
  <c r="AL99" i="4"/>
  <c r="AL129" i="4"/>
  <c r="AL161" i="4"/>
  <c r="AL171" i="4"/>
  <c r="AL299" i="4"/>
  <c r="AL165" i="4"/>
  <c r="AL227" i="4"/>
  <c r="AL321" i="4"/>
  <c r="AL337" i="4"/>
  <c r="AL375" i="4"/>
  <c r="AL391" i="4"/>
  <c r="AL420" i="4"/>
  <c r="AL430" i="4"/>
  <c r="AL440" i="4"/>
  <c r="AL479" i="4"/>
  <c r="AL491" i="4"/>
  <c r="AL25" i="4"/>
  <c r="AL57" i="4"/>
  <c r="AL203" i="4"/>
  <c r="AL242" i="4"/>
  <c r="AL339" i="4"/>
  <c r="AL387" i="4"/>
  <c r="AL442" i="4"/>
  <c r="AL43" i="4"/>
  <c r="AL109" i="4"/>
  <c r="AL149" i="4"/>
  <c r="AL175" i="4"/>
  <c r="AL279" i="4"/>
  <c r="AL451" i="4"/>
  <c r="AL251" i="4"/>
  <c r="AL265" i="4"/>
  <c r="AL293" i="4"/>
  <c r="AL333" i="4"/>
  <c r="AL424" i="4"/>
  <c r="AL486" i="4"/>
  <c r="AL80" i="4"/>
  <c r="AL96" i="4"/>
  <c r="AL100" i="4"/>
  <c r="AL112" i="4"/>
  <c r="AL116" i="4"/>
  <c r="AL128" i="4"/>
  <c r="AL132" i="4"/>
  <c r="AL136" i="4"/>
  <c r="AL140" i="4"/>
  <c r="P259" i="4"/>
  <c r="R259" i="4"/>
  <c r="R48" i="4"/>
  <c r="R100" i="4"/>
  <c r="R37" i="4"/>
  <c r="P37" i="4"/>
  <c r="R88" i="4"/>
  <c r="P88" i="4"/>
  <c r="R36" i="4"/>
  <c r="P267" i="4"/>
  <c r="R267" i="4"/>
  <c r="R108" i="4"/>
  <c r="R124" i="4"/>
  <c r="R54" i="4"/>
  <c r="P54" i="4"/>
  <c r="R126" i="4"/>
  <c r="P126" i="4"/>
  <c r="P202" i="4"/>
  <c r="R206" i="4"/>
  <c r="P206" i="4"/>
  <c r="R93" i="4"/>
  <c r="R61" i="4"/>
  <c r="R116" i="4"/>
  <c r="R268" i="4"/>
  <c r="R258" i="4"/>
  <c r="R491" i="4"/>
  <c r="G492" i="4" s="1"/>
  <c r="AL249" i="4"/>
  <c r="AL353" i="4"/>
  <c r="AL233" i="4"/>
  <c r="AL238" i="4"/>
  <c r="AL325" i="4"/>
  <c r="AL26" i="4"/>
  <c r="AL42" i="4"/>
  <c r="AL46" i="4"/>
  <c r="AL54" i="4"/>
  <c r="AL58" i="4"/>
  <c r="AL62" i="4"/>
  <c r="AL66" i="4"/>
  <c r="AL90" i="4"/>
  <c r="AL106" i="4"/>
  <c r="AL122" i="4"/>
  <c r="AL193" i="4"/>
  <c r="AL213" i="4"/>
  <c r="AL221" i="4"/>
  <c r="AL229" i="4"/>
  <c r="AL281" i="4"/>
  <c r="AL285" i="4"/>
  <c r="AL349" i="4"/>
  <c r="AL432" i="4"/>
  <c r="AL448" i="4"/>
  <c r="AL177" i="4"/>
  <c r="AL261" i="4"/>
  <c r="AL263" i="4"/>
  <c r="AL269" i="4"/>
  <c r="AL277" i="4"/>
  <c r="AL305" i="4"/>
  <c r="AL309" i="4"/>
  <c r="AL329" i="4"/>
  <c r="AL217" i="4"/>
  <c r="AL225" i="4"/>
  <c r="AL246" i="4"/>
  <c r="AL259" i="4"/>
  <c r="AL289" i="4"/>
  <c r="AL297" i="4"/>
  <c r="AL301" i="4"/>
  <c r="AL313" i="4"/>
  <c r="AL341" i="4"/>
  <c r="AL363" i="4"/>
  <c r="AL411" i="4"/>
  <c r="AL428" i="4"/>
  <c r="AL444" i="4"/>
  <c r="AL475" i="4"/>
  <c r="M429" i="4"/>
  <c r="M428" i="4"/>
  <c r="O425" i="4"/>
  <c r="Q425" i="4" s="1"/>
  <c r="O427" i="4"/>
  <c r="Q427" i="4" s="1"/>
  <c r="Q426" i="4"/>
  <c r="AM451" i="4" l="1"/>
  <c r="AM449" i="4"/>
  <c r="AM450" i="4" s="1"/>
  <c r="G495" i="4"/>
  <c r="G494" i="4"/>
  <c r="O1310" i="13"/>
  <c r="O1311" i="13"/>
  <c r="O1309" i="13"/>
  <c r="AK1311" i="13"/>
  <c r="AI1311" i="13"/>
  <c r="AG1311" i="13"/>
  <c r="AE1311" i="13"/>
  <c r="AD1311" i="13"/>
  <c r="AC1311" i="13"/>
  <c r="AB1311" i="13"/>
  <c r="AA1311" i="13"/>
  <c r="Z1311" i="13"/>
  <c r="K1311" i="13"/>
  <c r="J1311" i="13"/>
  <c r="H1311" i="13"/>
  <c r="AF1311" i="13" s="1"/>
  <c r="AK1310" i="13"/>
  <c r="AI1310" i="13"/>
  <c r="AG1310" i="13"/>
  <c r="AE1310" i="13"/>
  <c r="AD1310" i="13"/>
  <c r="AC1310" i="13"/>
  <c r="AB1310" i="13"/>
  <c r="AA1310" i="13"/>
  <c r="Z1310" i="13"/>
  <c r="K1310" i="13"/>
  <c r="J1310" i="13"/>
  <c r="H1310" i="13"/>
  <c r="AF1310" i="13" s="1"/>
  <c r="AM1309" i="13"/>
  <c r="AM1310" i="13" s="1"/>
  <c r="AM1311" i="13" s="1"/>
  <c r="AK1309" i="13"/>
  <c r="AI1309" i="13"/>
  <c r="AG1309" i="13"/>
  <c r="AE1309" i="13"/>
  <c r="AD1309" i="13"/>
  <c r="AC1309" i="13"/>
  <c r="AB1309" i="13"/>
  <c r="AA1309" i="13"/>
  <c r="Z1309" i="13"/>
  <c r="K1309" i="13"/>
  <c r="J1309" i="13"/>
  <c r="H1309" i="13"/>
  <c r="AF1309" i="13" s="1"/>
  <c r="O1308" i="13"/>
  <c r="O1307" i="13"/>
  <c r="O1306" i="13"/>
  <c r="O1305" i="13"/>
  <c r="O1304" i="13"/>
  <c r="O1303" i="13"/>
  <c r="O1302" i="13"/>
  <c r="O1301" i="13"/>
  <c r="O1300" i="13"/>
  <c r="O1299" i="13"/>
  <c r="O1298" i="13"/>
  <c r="O1297" i="13"/>
  <c r="O1296" i="13"/>
  <c r="AK1329" i="13"/>
  <c r="AI1329" i="13"/>
  <c r="AG1329" i="13"/>
  <c r="AE1329" i="13"/>
  <c r="AD1329" i="13"/>
  <c r="AC1329" i="13"/>
  <c r="AB1329" i="13"/>
  <c r="AA1329" i="13"/>
  <c r="Z1329" i="13"/>
  <c r="K1329" i="13"/>
  <c r="J1329" i="13"/>
  <c r="H1329" i="13"/>
  <c r="AF1329" i="13" s="1"/>
  <c r="E1329" i="13"/>
  <c r="Q1329" i="13" s="1"/>
  <c r="AM1328" i="13"/>
  <c r="AM1329" i="13" s="1"/>
  <c r="AM1330" i="13" s="1"/>
  <c r="AM1331" i="13" s="1"/>
  <c r="AM1332" i="13" s="1"/>
  <c r="AM1333" i="13" s="1"/>
  <c r="AM1334" i="13" s="1"/>
  <c r="AK1328" i="13"/>
  <c r="AI1328" i="13"/>
  <c r="AG1328" i="13"/>
  <c r="AE1328" i="13"/>
  <c r="AD1328" i="13"/>
  <c r="AC1328" i="13"/>
  <c r="AB1328" i="13"/>
  <c r="AA1328" i="13"/>
  <c r="Z1328" i="13"/>
  <c r="L1328" i="13"/>
  <c r="P1328" i="13" s="1"/>
  <c r="K1328" i="13"/>
  <c r="J1328" i="13"/>
  <c r="H1328" i="13"/>
  <c r="AF1328" i="13" s="1"/>
  <c r="E1328" i="13"/>
  <c r="Q1328" i="13" s="1"/>
  <c r="AK1327" i="13"/>
  <c r="AI1327" i="13"/>
  <c r="AG1327" i="13"/>
  <c r="AE1327" i="13"/>
  <c r="AD1327" i="13"/>
  <c r="AC1327" i="13"/>
  <c r="AB1327" i="13"/>
  <c r="AA1327" i="13"/>
  <c r="Z1327" i="13"/>
  <c r="L1327" i="13"/>
  <c r="P1327" i="13" s="1"/>
  <c r="K1327" i="13"/>
  <c r="J1327" i="13"/>
  <c r="H1327" i="13"/>
  <c r="AF1327" i="13" s="1"/>
  <c r="AK1326" i="13"/>
  <c r="AI1326" i="13"/>
  <c r="AG1326" i="13"/>
  <c r="AE1326" i="13"/>
  <c r="AD1326" i="13"/>
  <c r="AC1326" i="13"/>
  <c r="AB1326" i="13"/>
  <c r="AA1326" i="13"/>
  <c r="Z1326" i="13"/>
  <c r="K1326" i="13"/>
  <c r="J1326" i="13"/>
  <c r="H1326" i="13"/>
  <c r="AF1326" i="13" s="1"/>
  <c r="AM1325" i="13"/>
  <c r="AM1326" i="13" s="1"/>
  <c r="AM1327" i="13" s="1"/>
  <c r="AK1325" i="13"/>
  <c r="AI1325" i="13"/>
  <c r="AG1325" i="13"/>
  <c r="AE1325" i="13"/>
  <c r="AD1325" i="13"/>
  <c r="AC1325" i="13"/>
  <c r="AB1325" i="13"/>
  <c r="AA1325" i="13"/>
  <c r="Z1325" i="13"/>
  <c r="L1325" i="13"/>
  <c r="K1325" i="13"/>
  <c r="J1325" i="13"/>
  <c r="H1325" i="13"/>
  <c r="AH1325" i="13" s="1"/>
  <c r="AN1325" i="13" s="1"/>
  <c r="AK1308" i="13"/>
  <c r="AI1308" i="13"/>
  <c r="AG1308" i="13"/>
  <c r="AE1308" i="13"/>
  <c r="AD1308" i="13"/>
  <c r="AC1308" i="13"/>
  <c r="AB1308" i="13"/>
  <c r="AA1308" i="13"/>
  <c r="Z1308" i="13"/>
  <c r="K1308" i="13"/>
  <c r="J1308" i="13"/>
  <c r="H1308" i="13"/>
  <c r="AH1308" i="13" s="1"/>
  <c r="AN1308" i="13" s="1"/>
  <c r="AK1307" i="13"/>
  <c r="AI1307" i="13"/>
  <c r="AG1307" i="13"/>
  <c r="AE1307" i="13"/>
  <c r="AD1307" i="13"/>
  <c r="AC1307" i="13"/>
  <c r="AB1307" i="13"/>
  <c r="AA1307" i="13"/>
  <c r="Z1307" i="13"/>
  <c r="K1307" i="13"/>
  <c r="J1307" i="13"/>
  <c r="H1307" i="13"/>
  <c r="AF1307" i="13" s="1"/>
  <c r="AM1306" i="13"/>
  <c r="AM1307" i="13" s="1"/>
  <c r="AM1308" i="13" s="1"/>
  <c r="AK1306" i="13"/>
  <c r="AI1306" i="13"/>
  <c r="AG1306" i="13"/>
  <c r="AE1306" i="13"/>
  <c r="AD1306" i="13"/>
  <c r="AC1306" i="13"/>
  <c r="AB1306" i="13"/>
  <c r="AA1306" i="13"/>
  <c r="Z1306" i="13"/>
  <c r="K1306" i="13"/>
  <c r="J1306" i="13"/>
  <c r="H1306" i="13"/>
  <c r="AH1306" i="13" s="1"/>
  <c r="AN1306" i="13" s="1"/>
  <c r="AK1305" i="13"/>
  <c r="AI1305" i="13"/>
  <c r="AG1305" i="13"/>
  <c r="AE1305" i="13"/>
  <c r="AD1305" i="13"/>
  <c r="AC1305" i="13"/>
  <c r="AB1305" i="13"/>
  <c r="AA1305" i="13"/>
  <c r="Z1305" i="13"/>
  <c r="K1305" i="13"/>
  <c r="J1305" i="13"/>
  <c r="H1305" i="13"/>
  <c r="AH1305" i="13" s="1"/>
  <c r="AN1305" i="13" s="1"/>
  <c r="AK1304" i="13"/>
  <c r="AI1304" i="13"/>
  <c r="AG1304" i="13"/>
  <c r="AE1304" i="13"/>
  <c r="AD1304" i="13"/>
  <c r="AC1304" i="13"/>
  <c r="AB1304" i="13"/>
  <c r="AA1304" i="13"/>
  <c r="Z1304" i="13"/>
  <c r="K1304" i="13"/>
  <c r="J1304" i="13"/>
  <c r="H1304" i="13"/>
  <c r="AH1304" i="13" s="1"/>
  <c r="AN1304" i="13" s="1"/>
  <c r="AK1303" i="13"/>
  <c r="AI1303" i="13"/>
  <c r="AG1303" i="13"/>
  <c r="AE1303" i="13"/>
  <c r="AD1303" i="13"/>
  <c r="AC1303" i="13"/>
  <c r="AB1303" i="13"/>
  <c r="AA1303" i="13"/>
  <c r="Z1303" i="13"/>
  <c r="K1303" i="13"/>
  <c r="J1303" i="13"/>
  <c r="H1303" i="13"/>
  <c r="AH1303" i="13" s="1"/>
  <c r="AN1303" i="13" s="1"/>
  <c r="AK1302" i="13"/>
  <c r="AI1302" i="13"/>
  <c r="AG1302" i="13"/>
  <c r="AE1302" i="13"/>
  <c r="AD1302" i="13"/>
  <c r="AC1302" i="13"/>
  <c r="AB1302" i="13"/>
  <c r="AA1302" i="13"/>
  <c r="Z1302" i="13"/>
  <c r="K1302" i="13"/>
  <c r="J1302" i="13"/>
  <c r="H1302" i="13"/>
  <c r="AH1302" i="13" s="1"/>
  <c r="AN1302" i="13" s="1"/>
  <c r="AK1301" i="13"/>
  <c r="AI1301" i="13"/>
  <c r="AG1301" i="13"/>
  <c r="AE1301" i="13"/>
  <c r="AD1301" i="13"/>
  <c r="AC1301" i="13"/>
  <c r="AB1301" i="13"/>
  <c r="AA1301" i="13"/>
  <c r="Z1301" i="13"/>
  <c r="K1301" i="13"/>
  <c r="J1301" i="13"/>
  <c r="H1301" i="13"/>
  <c r="AH1301" i="13" s="1"/>
  <c r="AN1301" i="13" s="1"/>
  <c r="AM1300" i="13"/>
  <c r="AM1301" i="13" s="1"/>
  <c r="AM1302" i="13" s="1"/>
  <c r="AM1303" i="13" s="1"/>
  <c r="AM1304" i="13" s="1"/>
  <c r="AM1305" i="13" s="1"/>
  <c r="AK1300" i="13"/>
  <c r="AI1300" i="13"/>
  <c r="AG1300" i="13"/>
  <c r="AE1300" i="13"/>
  <c r="AD1300" i="13"/>
  <c r="AC1300" i="13"/>
  <c r="AB1300" i="13"/>
  <c r="AA1300" i="13"/>
  <c r="Z1300" i="13"/>
  <c r="K1300" i="13"/>
  <c r="J1300" i="13"/>
  <c r="H1300" i="13"/>
  <c r="AH1300" i="13" s="1"/>
  <c r="AN1300" i="13" s="1"/>
  <c r="O1295" i="13"/>
  <c r="O1294" i="13"/>
  <c r="O1293" i="13"/>
  <c r="O1292" i="13"/>
  <c r="O1291" i="13"/>
  <c r="O1290" i="13"/>
  <c r="AK1299" i="13"/>
  <c r="AI1299" i="13"/>
  <c r="AG1299" i="13"/>
  <c r="AE1299" i="13"/>
  <c r="AD1299" i="13"/>
  <c r="AC1299" i="13"/>
  <c r="AB1299" i="13"/>
  <c r="AA1299" i="13"/>
  <c r="Z1299" i="13"/>
  <c r="K1299" i="13"/>
  <c r="J1299" i="13"/>
  <c r="H1299" i="13"/>
  <c r="AH1299" i="13" s="1"/>
  <c r="AN1299" i="13" s="1"/>
  <c r="AK1298" i="13"/>
  <c r="AI1298" i="13"/>
  <c r="AG1298" i="13"/>
  <c r="AE1298" i="13"/>
  <c r="AD1298" i="13"/>
  <c r="AC1298" i="13"/>
  <c r="AB1298" i="13"/>
  <c r="AA1298" i="13"/>
  <c r="Z1298" i="13"/>
  <c r="K1298" i="13"/>
  <c r="J1298" i="13"/>
  <c r="H1298" i="13"/>
  <c r="AH1298" i="13" s="1"/>
  <c r="AN1298" i="13" s="1"/>
  <c r="AK1297" i="13"/>
  <c r="AI1297" i="13"/>
  <c r="AG1297" i="13"/>
  <c r="AE1297" i="13"/>
  <c r="AD1297" i="13"/>
  <c r="AC1297" i="13"/>
  <c r="AB1297" i="13"/>
  <c r="AA1297" i="13"/>
  <c r="Z1297" i="13"/>
  <c r="K1297" i="13"/>
  <c r="J1297" i="13"/>
  <c r="H1297" i="13"/>
  <c r="AH1297" i="13" s="1"/>
  <c r="AN1297" i="13" s="1"/>
  <c r="AM1296" i="13"/>
  <c r="AM1297" i="13" s="1"/>
  <c r="AM1298" i="13" s="1"/>
  <c r="AM1299" i="13" s="1"/>
  <c r="AK1296" i="13"/>
  <c r="AI1296" i="13"/>
  <c r="AG1296" i="13"/>
  <c r="AE1296" i="13"/>
  <c r="AD1296" i="13"/>
  <c r="AC1296" i="13"/>
  <c r="AB1296" i="13"/>
  <c r="AA1296" i="13"/>
  <c r="Z1296" i="13"/>
  <c r="K1296" i="13"/>
  <c r="J1296" i="13"/>
  <c r="H1296" i="13"/>
  <c r="AH1296" i="13" s="1"/>
  <c r="AN1296" i="13" s="1"/>
  <c r="AK1295" i="13"/>
  <c r="AI1295" i="13"/>
  <c r="AG1295" i="13"/>
  <c r="AE1295" i="13"/>
  <c r="AD1295" i="13"/>
  <c r="AC1295" i="13"/>
  <c r="AB1295" i="13"/>
  <c r="AA1295" i="13"/>
  <c r="Z1295" i="13"/>
  <c r="K1295" i="13"/>
  <c r="J1295" i="13"/>
  <c r="H1295" i="13"/>
  <c r="AH1295" i="13" s="1"/>
  <c r="AN1295" i="13" s="1"/>
  <c r="AK1294" i="13"/>
  <c r="AI1294" i="13"/>
  <c r="AG1294" i="13"/>
  <c r="AE1294" i="13"/>
  <c r="AD1294" i="13"/>
  <c r="AC1294" i="13"/>
  <c r="AB1294" i="13"/>
  <c r="AA1294" i="13"/>
  <c r="Z1294" i="13"/>
  <c r="K1294" i="13"/>
  <c r="J1294" i="13"/>
  <c r="H1294" i="13"/>
  <c r="AH1294" i="13" s="1"/>
  <c r="AN1294" i="13" s="1"/>
  <c r="AK1293" i="13"/>
  <c r="AI1293" i="13"/>
  <c r="AG1293" i="13"/>
  <c r="AE1293" i="13"/>
  <c r="AD1293" i="13"/>
  <c r="AC1293" i="13"/>
  <c r="AB1293" i="13"/>
  <c r="AA1293" i="13"/>
  <c r="Z1293" i="13"/>
  <c r="J1293" i="13"/>
  <c r="H1293" i="13"/>
  <c r="AF1293" i="13" s="1"/>
  <c r="AK1292" i="13"/>
  <c r="AI1292" i="13"/>
  <c r="AG1292" i="13"/>
  <c r="AE1292" i="13"/>
  <c r="AD1292" i="13"/>
  <c r="AC1292" i="13"/>
  <c r="AB1292" i="13"/>
  <c r="AA1292" i="13"/>
  <c r="Z1292" i="13"/>
  <c r="K1292" i="13"/>
  <c r="J1292" i="13"/>
  <c r="H1292" i="13"/>
  <c r="AF1292" i="13" s="1"/>
  <c r="AK1291" i="13"/>
  <c r="AI1291" i="13"/>
  <c r="AG1291" i="13"/>
  <c r="AE1291" i="13"/>
  <c r="AD1291" i="13"/>
  <c r="AC1291" i="13"/>
  <c r="AB1291" i="13"/>
  <c r="AA1291" i="13"/>
  <c r="Z1291" i="13"/>
  <c r="K1291" i="13"/>
  <c r="J1291" i="13"/>
  <c r="H1291" i="13"/>
  <c r="AF1291" i="13" s="1"/>
  <c r="AM1290" i="13"/>
  <c r="AM1291" i="13" s="1"/>
  <c r="AM1292" i="13" s="1"/>
  <c r="AM1293" i="13" s="1"/>
  <c r="AM1294" i="13" s="1"/>
  <c r="AM1295" i="13" s="1"/>
  <c r="AK1290" i="13"/>
  <c r="AI1290" i="13"/>
  <c r="AG1290" i="13"/>
  <c r="AE1290" i="13"/>
  <c r="AD1290" i="13"/>
  <c r="AC1290" i="13"/>
  <c r="AB1290" i="13"/>
  <c r="AA1290" i="13"/>
  <c r="Z1290" i="13"/>
  <c r="K1290" i="13"/>
  <c r="J1290" i="13"/>
  <c r="H1290" i="13"/>
  <c r="AF1290" i="13" s="1"/>
  <c r="AH772" i="4" l="1"/>
  <c r="AH575" i="4"/>
  <c r="AH579" i="4"/>
  <c r="AH642" i="4"/>
  <c r="AH750" i="4"/>
  <c r="AH738" i="4"/>
  <c r="AH725" i="4"/>
  <c r="AH733" i="4"/>
  <c r="AH639" i="4"/>
  <c r="AH635" i="4"/>
  <c r="AH630" i="4"/>
  <c r="AH617" i="4"/>
  <c r="AH620" i="4"/>
  <c r="AH614" i="4"/>
  <c r="AH611" i="4"/>
  <c r="AL1329" i="13"/>
  <c r="AH1329" i="13"/>
  <c r="AN1329" i="13" s="1"/>
  <c r="R1328" i="13"/>
  <c r="AH1328" i="13"/>
  <c r="AN1328" i="13" s="1"/>
  <c r="AL1328" i="13"/>
  <c r="AL1326" i="13"/>
  <c r="AH1326" i="13"/>
  <c r="AN1326" i="13" s="1"/>
  <c r="AH1327" i="13"/>
  <c r="AN1327" i="13" s="1"/>
  <c r="AL1327" i="13"/>
  <c r="AL1325" i="13"/>
  <c r="AF1325" i="13"/>
  <c r="P1325" i="13"/>
  <c r="AL1306" i="13"/>
  <c r="AL1309" i="13"/>
  <c r="AL1310" i="13"/>
  <c r="AF1306" i="13"/>
  <c r="AF1308" i="13"/>
  <c r="E1304" i="13"/>
  <c r="Q1304" i="13" s="1"/>
  <c r="AH1311" i="13"/>
  <c r="AN1311" i="13" s="1"/>
  <c r="AL1296" i="13"/>
  <c r="AL1303" i="13"/>
  <c r="AL1304" i="13"/>
  <c r="AL1305" i="13"/>
  <c r="AH1309" i="13"/>
  <c r="AN1309" i="13" s="1"/>
  <c r="AH1310" i="13"/>
  <c r="AN1310" i="13" s="1"/>
  <c r="AL1307" i="13"/>
  <c r="AL1308" i="13"/>
  <c r="AL1311" i="13"/>
  <c r="E1307" i="13"/>
  <c r="Q1307" i="13" s="1"/>
  <c r="E1308" i="13"/>
  <c r="Q1308" i="13" s="1"/>
  <c r="E1306" i="13"/>
  <c r="Q1306" i="13" s="1"/>
  <c r="E1311" i="13"/>
  <c r="Q1311" i="13" s="1"/>
  <c r="AH1307" i="13"/>
  <c r="AN1307" i="13" s="1"/>
  <c r="AL1297" i="13"/>
  <c r="E1298" i="13"/>
  <c r="Q1298" i="13" s="1"/>
  <c r="E1293" i="13"/>
  <c r="Q1293" i="13" s="1"/>
  <c r="E1290" i="13"/>
  <c r="Q1290" i="13" s="1"/>
  <c r="E1292" i="13"/>
  <c r="Q1292" i="13" s="1"/>
  <c r="E1291" i="13"/>
  <c r="Q1291" i="13" s="1"/>
  <c r="AF1305" i="13"/>
  <c r="AL1295" i="13"/>
  <c r="AL1300" i="13"/>
  <c r="AL1301" i="13"/>
  <c r="AL1302" i="13"/>
  <c r="AF1300" i="13"/>
  <c r="AF1301" i="13"/>
  <c r="AF1302" i="13"/>
  <c r="AF1303" i="13"/>
  <c r="AF1304" i="13"/>
  <c r="AL1294" i="13"/>
  <c r="AL1299" i="13"/>
  <c r="AL1298" i="13"/>
  <c r="AF1295" i="13"/>
  <c r="AF1297" i="13"/>
  <c r="AF1294" i="13"/>
  <c r="AF1296" i="13"/>
  <c r="AF1298" i="13"/>
  <c r="AF1299" i="13"/>
  <c r="AH1291" i="13"/>
  <c r="AN1291" i="13" s="1"/>
  <c r="AH1293" i="13"/>
  <c r="AN1293" i="13" s="1"/>
  <c r="AH1292" i="13"/>
  <c r="AN1292" i="13" s="1"/>
  <c r="AL1290" i="13"/>
  <c r="AL1291" i="13"/>
  <c r="AL1293" i="13"/>
  <c r="AH1290" i="13"/>
  <c r="AN1290" i="13" s="1"/>
  <c r="AL1292" i="13"/>
  <c r="E1303" i="13" l="1"/>
  <c r="Q1303" i="13" s="1"/>
  <c r="E1301" i="13"/>
  <c r="Q1301" i="13" s="1"/>
  <c r="E1305" i="13"/>
  <c r="Q1305" i="13" s="1"/>
  <c r="E1300" i="13"/>
  <c r="Q1300" i="13" s="1"/>
  <c r="E1302" i="13"/>
  <c r="Q1302" i="13" s="1"/>
  <c r="E1297" i="13"/>
  <c r="Q1297" i="13" s="1"/>
  <c r="E1310" i="13"/>
  <c r="Q1310" i="13" s="1"/>
  <c r="E1296" i="13"/>
  <c r="Q1296" i="13" s="1"/>
  <c r="E1309" i="13"/>
  <c r="Q1309" i="13" s="1"/>
  <c r="E1299" i="13"/>
  <c r="Q1299" i="13" s="1"/>
  <c r="E1294" i="13"/>
  <c r="Q1294" i="13" s="1"/>
  <c r="E1295" i="13"/>
  <c r="Q1295" i="13" s="1"/>
  <c r="BC91" i="17419" l="1"/>
  <c r="BB91" i="17419"/>
  <c r="BA91" i="17419"/>
  <c r="AZ91" i="17419"/>
  <c r="AY91" i="17419"/>
  <c r="AX91" i="17419"/>
  <c r="AW91" i="17419"/>
  <c r="AV91" i="17419"/>
  <c r="AU91" i="17419"/>
  <c r="AT91" i="17419"/>
  <c r="AS91" i="17419"/>
  <c r="AR91" i="17419"/>
  <c r="AQ91" i="17419"/>
  <c r="AP91" i="17419"/>
  <c r="AO91" i="17419"/>
  <c r="AN91" i="17419"/>
  <c r="AM91" i="17419"/>
  <c r="BC89" i="17419" l="1"/>
  <c r="BB89" i="17419"/>
  <c r="BA89" i="17419"/>
  <c r="AZ89" i="17419"/>
  <c r="AY89" i="17419"/>
  <c r="AX89" i="17419"/>
  <c r="AW89" i="17419"/>
  <c r="AV89" i="17419"/>
  <c r="AU89" i="17419"/>
  <c r="AT89" i="17419"/>
  <c r="AS89" i="17419"/>
  <c r="AR89" i="17419"/>
  <c r="AQ89" i="17419"/>
  <c r="AP89" i="17419"/>
  <c r="AO89" i="17419"/>
  <c r="AN89" i="17419"/>
  <c r="AM89" i="17419"/>
  <c r="F77" i="17419"/>
  <c r="A10" i="17419"/>
  <c r="A11" i="17419" s="1"/>
  <c r="A12" i="17419" s="1"/>
  <c r="A13" i="17419" s="1"/>
  <c r="A14" i="17419" s="1"/>
  <c r="A15" i="17419" s="1"/>
  <c r="A16" i="17419" s="1"/>
  <c r="A17" i="17419" s="1"/>
  <c r="A18" i="17419" s="1"/>
  <c r="A19" i="17419" s="1"/>
  <c r="A20" i="17419" s="1"/>
  <c r="A21" i="17419" s="1"/>
  <c r="A22" i="17419" s="1"/>
  <c r="A23" i="17419" s="1"/>
  <c r="A24" i="17419" s="1"/>
  <c r="A25" i="17419" s="1"/>
  <c r="A26" i="17419" s="1"/>
  <c r="A27" i="17419" s="1"/>
  <c r="A28" i="17419" s="1"/>
  <c r="A29" i="17419" s="1"/>
  <c r="A30" i="17419" s="1"/>
  <c r="A31" i="17419" s="1"/>
  <c r="A32" i="17419" s="1"/>
  <c r="A33" i="17419" s="1"/>
  <c r="A34" i="17419" s="1"/>
  <c r="F75" i="17419"/>
  <c r="AK1289" i="13"/>
  <c r="AI1289" i="13"/>
  <c r="AG1289" i="13"/>
  <c r="AE1289" i="13"/>
  <c r="AD1289" i="13"/>
  <c r="AC1289" i="13"/>
  <c r="AB1289" i="13"/>
  <c r="AA1289" i="13"/>
  <c r="Z1289" i="13"/>
  <c r="AK1288" i="13"/>
  <c r="AI1288" i="13"/>
  <c r="AG1288" i="13"/>
  <c r="AE1288" i="13"/>
  <c r="AD1288" i="13"/>
  <c r="AC1288" i="13"/>
  <c r="AB1288" i="13"/>
  <c r="AA1288" i="13"/>
  <c r="Z1288" i="13"/>
  <c r="AK1287" i="13"/>
  <c r="AI1287" i="13"/>
  <c r="AG1287" i="13"/>
  <c r="AE1287" i="13"/>
  <c r="AD1287" i="13"/>
  <c r="AC1287" i="13"/>
  <c r="AB1287" i="13"/>
  <c r="AA1287" i="13"/>
  <c r="Z1287" i="13"/>
  <c r="AK1286" i="13"/>
  <c r="AI1286" i="13"/>
  <c r="AG1286" i="13"/>
  <c r="AE1286" i="13"/>
  <c r="AD1286" i="13"/>
  <c r="AC1286" i="13"/>
  <c r="AB1286" i="13"/>
  <c r="AA1286" i="13"/>
  <c r="Z1286" i="13"/>
  <c r="AK1285" i="13"/>
  <c r="AI1285" i="13"/>
  <c r="AG1285" i="13"/>
  <c r="AE1285" i="13"/>
  <c r="AD1285" i="13"/>
  <c r="AC1285" i="13"/>
  <c r="AB1285" i="13"/>
  <c r="AA1285" i="13"/>
  <c r="Z1285" i="13"/>
  <c r="AK1284" i="13"/>
  <c r="AI1284" i="13"/>
  <c r="AG1284" i="13"/>
  <c r="AE1284" i="13"/>
  <c r="AD1284" i="13"/>
  <c r="AC1284" i="13"/>
  <c r="AB1284" i="13"/>
  <c r="AA1284" i="13"/>
  <c r="Z1284" i="13"/>
  <c r="AK1283" i="13"/>
  <c r="AI1283" i="13"/>
  <c r="AG1283" i="13"/>
  <c r="AE1283" i="13"/>
  <c r="AD1283" i="13"/>
  <c r="AC1283" i="13"/>
  <c r="AB1283" i="13"/>
  <c r="AA1283" i="13"/>
  <c r="Z1283" i="13"/>
  <c r="AK1282" i="13"/>
  <c r="AI1282" i="13"/>
  <c r="AG1282" i="13"/>
  <c r="AE1282" i="13"/>
  <c r="AD1282" i="13"/>
  <c r="AC1282" i="13"/>
  <c r="AB1282" i="13"/>
  <c r="AA1282" i="13"/>
  <c r="Z1282" i="13"/>
  <c r="AK1281" i="13"/>
  <c r="AI1281" i="13"/>
  <c r="AG1281" i="13"/>
  <c r="AE1281" i="13"/>
  <c r="AD1281" i="13"/>
  <c r="AC1281" i="13"/>
  <c r="AB1281" i="13"/>
  <c r="AA1281" i="13"/>
  <c r="Z1281" i="13"/>
  <c r="AK1280" i="13"/>
  <c r="AI1280" i="13"/>
  <c r="AG1280" i="13"/>
  <c r="AE1280" i="13"/>
  <c r="AD1280" i="13"/>
  <c r="AC1280" i="13"/>
  <c r="AB1280" i="13"/>
  <c r="AA1280" i="13"/>
  <c r="Z1280" i="13"/>
  <c r="AM1279" i="13"/>
  <c r="AM1280" i="13" s="1"/>
  <c r="AM1281" i="13" s="1"/>
  <c r="AM1282" i="13" s="1"/>
  <c r="AM1283" i="13" s="1"/>
  <c r="AM1284" i="13" s="1"/>
  <c r="AM1285" i="13" s="1"/>
  <c r="AM1286" i="13" s="1"/>
  <c r="AM1287" i="13" s="1"/>
  <c r="AM1288" i="13" s="1"/>
  <c r="AM1289" i="13" s="1"/>
  <c r="AK1279" i="13"/>
  <c r="AI1279" i="13"/>
  <c r="AG1279" i="13"/>
  <c r="AH686" i="4" s="1"/>
  <c r="AE1279" i="13"/>
  <c r="AD1279" i="13"/>
  <c r="AC1279" i="13"/>
  <c r="AB1279" i="13"/>
  <c r="AA1279" i="13"/>
  <c r="Z1279" i="13"/>
  <c r="AK1278" i="13"/>
  <c r="AI1278" i="13"/>
  <c r="AG1278" i="13"/>
  <c r="AE1278" i="13"/>
  <c r="AD1278" i="13"/>
  <c r="AC1278" i="13"/>
  <c r="AB1278" i="13"/>
  <c r="AA1278" i="13"/>
  <c r="Z1278" i="13"/>
  <c r="AK1277" i="13"/>
  <c r="AI1277" i="13"/>
  <c r="AG1277" i="13"/>
  <c r="AE1277" i="13"/>
  <c r="AD1277" i="13"/>
  <c r="AC1277" i="13"/>
  <c r="AB1277" i="13"/>
  <c r="AA1277" i="13"/>
  <c r="Z1277" i="13"/>
  <c r="AK1276" i="13"/>
  <c r="AI1276" i="13"/>
  <c r="AG1276" i="13"/>
  <c r="AE1276" i="13"/>
  <c r="AD1276" i="13"/>
  <c r="AC1276" i="13"/>
  <c r="AB1276" i="13"/>
  <c r="AA1276" i="13"/>
  <c r="Z1276" i="13"/>
  <c r="AK1275" i="13"/>
  <c r="AI1275" i="13"/>
  <c r="AG1275" i="13"/>
  <c r="AE1275" i="13"/>
  <c r="AD1275" i="13"/>
  <c r="AC1275" i="13"/>
  <c r="AB1275" i="13"/>
  <c r="AA1275" i="13"/>
  <c r="Z1275" i="13"/>
  <c r="AK1274" i="13"/>
  <c r="AI1274" i="13"/>
  <c r="AG1274" i="13"/>
  <c r="AE1274" i="13"/>
  <c r="AD1274" i="13"/>
  <c r="AC1274" i="13"/>
  <c r="AB1274" i="13"/>
  <c r="AA1274" i="13"/>
  <c r="Z1274" i="13"/>
  <c r="AK1273" i="13"/>
  <c r="AI1273" i="13"/>
  <c r="AG1273" i="13"/>
  <c r="AE1273" i="13"/>
  <c r="AD1273" i="13"/>
  <c r="AC1273" i="13"/>
  <c r="AB1273" i="13"/>
  <c r="AA1273" i="13"/>
  <c r="Z1273" i="13"/>
  <c r="AK1272" i="13"/>
  <c r="AI1272" i="13"/>
  <c r="AG1272" i="13"/>
  <c r="AE1272" i="13"/>
  <c r="AD1272" i="13"/>
  <c r="AC1272" i="13"/>
  <c r="AB1272" i="13"/>
  <c r="AA1272" i="13"/>
  <c r="Z1272" i="13"/>
  <c r="AM1271" i="13"/>
  <c r="AM1272" i="13" s="1"/>
  <c r="AM1273" i="13" s="1"/>
  <c r="AM1274" i="13" s="1"/>
  <c r="AM1275" i="13" s="1"/>
  <c r="AM1276" i="13" s="1"/>
  <c r="AM1277" i="13" s="1"/>
  <c r="AM1278" i="13" s="1"/>
  <c r="AK1271" i="13"/>
  <c r="AI1271" i="13"/>
  <c r="AG1271" i="13"/>
  <c r="AE1271" i="13"/>
  <c r="AD1271" i="13"/>
  <c r="AC1271" i="13"/>
  <c r="AB1271" i="13"/>
  <c r="AA1271" i="13"/>
  <c r="Z1271" i="13"/>
  <c r="AK1270" i="13"/>
  <c r="AI1270" i="13"/>
  <c r="AG1270" i="13"/>
  <c r="AE1270" i="13"/>
  <c r="AD1270" i="13"/>
  <c r="AC1270" i="13"/>
  <c r="AB1270" i="13"/>
  <c r="AA1270" i="13"/>
  <c r="Z1270" i="13"/>
  <c r="AK1269" i="13"/>
  <c r="AI1269" i="13"/>
  <c r="AG1269" i="13"/>
  <c r="AE1269" i="13"/>
  <c r="AD1269" i="13"/>
  <c r="AC1269" i="13"/>
  <c r="AB1269" i="13"/>
  <c r="AA1269" i="13"/>
  <c r="Z1269" i="13"/>
  <c r="AK1268" i="13"/>
  <c r="AI1268" i="13"/>
  <c r="AG1268" i="13"/>
  <c r="AE1268" i="13"/>
  <c r="AD1268" i="13"/>
  <c r="AC1268" i="13"/>
  <c r="AB1268" i="13"/>
  <c r="AA1268" i="13"/>
  <c r="Z1268" i="13"/>
  <c r="AK1267" i="13"/>
  <c r="AI1267" i="13"/>
  <c r="AG1267" i="13"/>
  <c r="AE1267" i="13"/>
  <c r="AD1267" i="13"/>
  <c r="AC1267" i="13"/>
  <c r="AB1267" i="13"/>
  <c r="AA1267" i="13"/>
  <c r="Z1267" i="13"/>
  <c r="AM1266" i="13"/>
  <c r="AM1267" i="13" s="1"/>
  <c r="AM1268" i="13" s="1"/>
  <c r="AM1269" i="13" s="1"/>
  <c r="AM1270" i="13" s="1"/>
  <c r="AK1266" i="13"/>
  <c r="AI1266" i="13"/>
  <c r="AG1266" i="13"/>
  <c r="AE1266" i="13"/>
  <c r="AD1266" i="13"/>
  <c r="AC1266" i="13"/>
  <c r="AB1266" i="13"/>
  <c r="AA1266" i="13"/>
  <c r="Z1266" i="13"/>
  <c r="AK1265" i="13"/>
  <c r="AI1265" i="13"/>
  <c r="AG1265" i="13"/>
  <c r="AE1265" i="13"/>
  <c r="AD1265" i="13"/>
  <c r="AC1265" i="13"/>
  <c r="AB1265" i="13"/>
  <c r="AA1265" i="13"/>
  <c r="Z1265" i="13"/>
  <c r="AK1264" i="13"/>
  <c r="AI1264" i="13"/>
  <c r="AG1264" i="13"/>
  <c r="AE1264" i="13"/>
  <c r="AD1264" i="13"/>
  <c r="AC1264" i="13"/>
  <c r="AB1264" i="13"/>
  <c r="AA1264" i="13"/>
  <c r="Z1264" i="13"/>
  <c r="AK1263" i="13"/>
  <c r="AI1263" i="13"/>
  <c r="AG1263" i="13"/>
  <c r="AE1263" i="13"/>
  <c r="AD1263" i="13"/>
  <c r="AC1263" i="13"/>
  <c r="AB1263" i="13"/>
  <c r="AA1263" i="13"/>
  <c r="Z1263" i="13"/>
  <c r="AK1262" i="13"/>
  <c r="AI1262" i="13"/>
  <c r="AG1262" i="13"/>
  <c r="AE1262" i="13"/>
  <c r="AD1262" i="13"/>
  <c r="AC1262" i="13"/>
  <c r="AB1262" i="13"/>
  <c r="AA1262" i="13"/>
  <c r="Z1262" i="13"/>
  <c r="AK1261" i="13"/>
  <c r="AI1261" i="13"/>
  <c r="AG1261" i="13"/>
  <c r="AE1261" i="13"/>
  <c r="AD1261" i="13"/>
  <c r="AC1261" i="13"/>
  <c r="AB1261" i="13"/>
  <c r="AA1261" i="13"/>
  <c r="Z1261" i="13"/>
  <c r="AK1260" i="13"/>
  <c r="AI1260" i="13"/>
  <c r="AG1260" i="13"/>
  <c r="AE1260" i="13"/>
  <c r="AD1260" i="13"/>
  <c r="AC1260" i="13"/>
  <c r="AB1260" i="13"/>
  <c r="AA1260" i="13"/>
  <c r="Z1260" i="13"/>
  <c r="AK1259" i="13"/>
  <c r="AI1259" i="13"/>
  <c r="AG1259" i="13"/>
  <c r="AE1259" i="13"/>
  <c r="AD1259" i="13"/>
  <c r="AC1259" i="13"/>
  <c r="AB1259" i="13"/>
  <c r="AA1259" i="13"/>
  <c r="Z1259" i="13"/>
  <c r="AK1258" i="13"/>
  <c r="AI1258" i="13"/>
  <c r="AG1258" i="13"/>
  <c r="AE1258" i="13"/>
  <c r="AD1258" i="13"/>
  <c r="AC1258" i="13"/>
  <c r="AB1258" i="13"/>
  <c r="AA1258" i="13"/>
  <c r="Z1258" i="13"/>
  <c r="AM1257" i="13"/>
  <c r="AM1258" i="13" s="1"/>
  <c r="AM1259" i="13" s="1"/>
  <c r="AM1260" i="13" s="1"/>
  <c r="AM1261" i="13" s="1"/>
  <c r="AM1262" i="13" s="1"/>
  <c r="AM1263" i="13" s="1"/>
  <c r="AM1264" i="13" s="1"/>
  <c r="AM1265" i="13" s="1"/>
  <c r="AK1257" i="13"/>
  <c r="AI1257" i="13"/>
  <c r="AG1257" i="13"/>
  <c r="AH399" i="4" s="1"/>
  <c r="AE1257" i="13"/>
  <c r="AD1257" i="13"/>
  <c r="AC1257" i="13"/>
  <c r="AB1257" i="13"/>
  <c r="AA1257" i="13"/>
  <c r="Z1257" i="13"/>
  <c r="AK1256" i="13"/>
  <c r="AI1256" i="13"/>
  <c r="AG1256" i="13"/>
  <c r="AE1256" i="13"/>
  <c r="AD1256" i="13"/>
  <c r="AC1256" i="13"/>
  <c r="AB1256" i="13"/>
  <c r="AA1256" i="13"/>
  <c r="Z1256" i="13"/>
  <c r="AK1255" i="13"/>
  <c r="AI1255" i="13"/>
  <c r="AG1255" i="13"/>
  <c r="AE1255" i="13"/>
  <c r="AD1255" i="13"/>
  <c r="AC1255" i="13"/>
  <c r="AB1255" i="13"/>
  <c r="AA1255" i="13"/>
  <c r="Z1255" i="13"/>
  <c r="AK1254" i="13"/>
  <c r="AI1254" i="13"/>
  <c r="AG1254" i="13"/>
  <c r="AE1254" i="13"/>
  <c r="AD1254" i="13"/>
  <c r="AC1254" i="13"/>
  <c r="AB1254" i="13"/>
  <c r="AA1254" i="13"/>
  <c r="Z1254" i="13"/>
  <c r="AM1253" i="13"/>
  <c r="AM1254" i="13" s="1"/>
  <c r="AM1255" i="13" s="1"/>
  <c r="AM1256" i="13" s="1"/>
  <c r="AK1253" i="13"/>
  <c r="AI1253" i="13"/>
  <c r="AG1253" i="13"/>
  <c r="AE1253" i="13"/>
  <c r="AD1253" i="13"/>
  <c r="AC1253" i="13"/>
  <c r="AB1253" i="13"/>
  <c r="AA1253" i="13"/>
  <c r="Z1253" i="13"/>
  <c r="AK1252" i="13"/>
  <c r="AI1252" i="13"/>
  <c r="AG1252" i="13"/>
  <c r="AE1252" i="13"/>
  <c r="AD1252" i="13"/>
  <c r="AC1252" i="13"/>
  <c r="AB1252" i="13"/>
  <c r="AA1252" i="13"/>
  <c r="Z1252" i="13"/>
  <c r="AK1251" i="13"/>
  <c r="AI1251" i="13"/>
  <c r="AG1251" i="13"/>
  <c r="AE1251" i="13"/>
  <c r="AD1251" i="13"/>
  <c r="AC1251" i="13"/>
  <c r="AB1251" i="13"/>
  <c r="AA1251" i="13"/>
  <c r="Z1251" i="13"/>
  <c r="AM1250" i="13"/>
  <c r="AM1251" i="13" s="1"/>
  <c r="AM1252" i="13" s="1"/>
  <c r="AK1250" i="13"/>
  <c r="AI1250" i="13"/>
  <c r="AG1250" i="13"/>
  <c r="AE1250" i="13"/>
  <c r="AD1250" i="13"/>
  <c r="AC1250" i="13"/>
  <c r="AB1250" i="13"/>
  <c r="AA1250" i="13"/>
  <c r="Z1250" i="13"/>
  <c r="AK1249" i="13"/>
  <c r="AI1249" i="13"/>
  <c r="AG1249" i="13"/>
  <c r="AE1249" i="13"/>
  <c r="AD1249" i="13"/>
  <c r="AC1249" i="13"/>
  <c r="AB1249" i="13"/>
  <c r="AA1249" i="13"/>
  <c r="Z1249" i="13"/>
  <c r="AK1248" i="13"/>
  <c r="AI1248" i="13"/>
  <c r="AG1248" i="13"/>
  <c r="AE1248" i="13"/>
  <c r="AD1248" i="13"/>
  <c r="AC1248" i="13"/>
  <c r="AB1248" i="13"/>
  <c r="AA1248" i="13"/>
  <c r="Z1248" i="13"/>
  <c r="AM1247" i="13"/>
  <c r="AM1248" i="13" s="1"/>
  <c r="AM1249" i="13" s="1"/>
  <c r="AK1247" i="13"/>
  <c r="AI1247" i="13"/>
  <c r="AG1247" i="13"/>
  <c r="AE1247" i="13"/>
  <c r="AD1247" i="13"/>
  <c r="AC1247" i="13"/>
  <c r="AB1247" i="13"/>
  <c r="AA1247" i="13"/>
  <c r="Z1247" i="13"/>
  <c r="AK1246" i="13"/>
  <c r="AI1246" i="13"/>
  <c r="AG1246" i="13"/>
  <c r="AE1246" i="13"/>
  <c r="AD1246" i="13"/>
  <c r="AC1246" i="13"/>
  <c r="AB1246" i="13"/>
  <c r="AA1246" i="13"/>
  <c r="Z1246" i="13"/>
  <c r="AK1245" i="13"/>
  <c r="AI1245" i="13"/>
  <c r="AG1245" i="13"/>
  <c r="AE1245" i="13"/>
  <c r="AD1245" i="13"/>
  <c r="AC1245" i="13"/>
  <c r="AB1245" i="13"/>
  <c r="AA1245" i="13"/>
  <c r="Z1245" i="13"/>
  <c r="AM1244" i="13"/>
  <c r="AM1245" i="13" s="1"/>
  <c r="AM1246" i="13" s="1"/>
  <c r="AK1244" i="13"/>
  <c r="AI1244" i="13"/>
  <c r="AG1244" i="13"/>
  <c r="AE1244" i="13"/>
  <c r="AD1244" i="13"/>
  <c r="AC1244" i="13"/>
  <c r="AB1244" i="13"/>
  <c r="AA1244" i="13"/>
  <c r="Z1244" i="13"/>
  <c r="AK1243" i="13"/>
  <c r="AI1243" i="13"/>
  <c r="AG1243" i="13"/>
  <c r="AE1243" i="13"/>
  <c r="AD1243" i="13"/>
  <c r="AC1243" i="13"/>
  <c r="AB1243" i="13"/>
  <c r="AA1243" i="13"/>
  <c r="Z1243" i="13"/>
  <c r="AK1242" i="13"/>
  <c r="AI1242" i="13"/>
  <c r="AG1242" i="13"/>
  <c r="AE1242" i="13"/>
  <c r="AD1242" i="13"/>
  <c r="AC1242" i="13"/>
  <c r="AB1242" i="13"/>
  <c r="AA1242" i="13"/>
  <c r="Z1242" i="13"/>
  <c r="AK1241" i="13"/>
  <c r="AI1241" i="13"/>
  <c r="AG1241" i="13"/>
  <c r="AE1241" i="13"/>
  <c r="AD1241" i="13"/>
  <c r="AC1241" i="13"/>
  <c r="AB1241" i="13"/>
  <c r="AA1241" i="13"/>
  <c r="Z1241" i="13"/>
  <c r="AK1240" i="13"/>
  <c r="AI1240" i="13"/>
  <c r="AG1240" i="13"/>
  <c r="AE1240" i="13"/>
  <c r="AD1240" i="13"/>
  <c r="AC1240" i="13"/>
  <c r="AB1240" i="13"/>
  <c r="AA1240" i="13"/>
  <c r="Z1240" i="13"/>
  <c r="AM1239" i="13"/>
  <c r="AM1240" i="13" s="1"/>
  <c r="AM1241" i="13" s="1"/>
  <c r="AM1242" i="13" s="1"/>
  <c r="AM1243" i="13" s="1"/>
  <c r="AK1239" i="13"/>
  <c r="AI1239" i="13"/>
  <c r="AG1239" i="13"/>
  <c r="AE1239" i="13"/>
  <c r="AD1239" i="13"/>
  <c r="AC1239" i="13"/>
  <c r="AB1239" i="13"/>
  <c r="AA1239" i="13"/>
  <c r="Z1239" i="13"/>
  <c r="AK1238" i="13"/>
  <c r="AI1238" i="13"/>
  <c r="AG1238" i="13"/>
  <c r="AE1238" i="13"/>
  <c r="AD1238" i="13"/>
  <c r="AC1238" i="13"/>
  <c r="AB1238" i="13"/>
  <c r="AA1238" i="13"/>
  <c r="Z1238" i="13"/>
  <c r="AK1237" i="13"/>
  <c r="AI1237" i="13"/>
  <c r="AG1237" i="13"/>
  <c r="AE1237" i="13"/>
  <c r="AD1237" i="13"/>
  <c r="AC1237" i="13"/>
  <c r="AB1237" i="13"/>
  <c r="AA1237" i="13"/>
  <c r="Z1237" i="13"/>
  <c r="AK1236" i="13"/>
  <c r="AI1236" i="13"/>
  <c r="AG1236" i="13"/>
  <c r="AE1236" i="13"/>
  <c r="AD1236" i="13"/>
  <c r="AC1236" i="13"/>
  <c r="AB1236" i="13"/>
  <c r="AA1236" i="13"/>
  <c r="Z1236" i="13"/>
  <c r="AK1235" i="13"/>
  <c r="AI1235" i="13"/>
  <c r="AG1235" i="13"/>
  <c r="AE1235" i="13"/>
  <c r="AD1235" i="13"/>
  <c r="AC1235" i="13"/>
  <c r="AB1235" i="13"/>
  <c r="AA1235" i="13"/>
  <c r="Z1235" i="13"/>
  <c r="AM1234" i="13"/>
  <c r="AM1235" i="13" s="1"/>
  <c r="AM1236" i="13" s="1"/>
  <c r="AM1237" i="13" s="1"/>
  <c r="AM1238" i="13" s="1"/>
  <c r="AK1234" i="13"/>
  <c r="AI1234" i="13"/>
  <c r="AG1234" i="13"/>
  <c r="AH43" i="4" s="1"/>
  <c r="AE1234" i="13"/>
  <c r="AD1234" i="13"/>
  <c r="AC1234" i="13"/>
  <c r="AB1234" i="13"/>
  <c r="AA1234" i="13"/>
  <c r="Z1234" i="13"/>
  <c r="AK1233" i="13"/>
  <c r="AI1233" i="13"/>
  <c r="AG1233" i="13"/>
  <c r="AE1233" i="13"/>
  <c r="AD1233" i="13"/>
  <c r="AC1233" i="13"/>
  <c r="AB1233" i="13"/>
  <c r="AA1233" i="13"/>
  <c r="Z1233" i="13"/>
  <c r="AK1232" i="13"/>
  <c r="AI1232" i="13"/>
  <c r="AG1232" i="13"/>
  <c r="AE1232" i="13"/>
  <c r="AD1232" i="13"/>
  <c r="AC1232" i="13"/>
  <c r="AB1232" i="13"/>
  <c r="AA1232" i="13"/>
  <c r="Z1232" i="13"/>
  <c r="AK1231" i="13"/>
  <c r="AI1231" i="13"/>
  <c r="AG1231" i="13"/>
  <c r="AE1231" i="13"/>
  <c r="AD1231" i="13"/>
  <c r="AC1231" i="13"/>
  <c r="AB1231" i="13"/>
  <c r="AA1231" i="13"/>
  <c r="Z1231" i="13"/>
  <c r="AM1230" i="13"/>
  <c r="AM1231" i="13" s="1"/>
  <c r="AM1232" i="13" s="1"/>
  <c r="AM1233" i="13" s="1"/>
  <c r="AK1230" i="13"/>
  <c r="AI1230" i="13"/>
  <c r="AG1230" i="13"/>
  <c r="AE1230" i="13"/>
  <c r="AD1230" i="13"/>
  <c r="AC1230" i="13"/>
  <c r="AB1230" i="13"/>
  <c r="AA1230" i="13"/>
  <c r="Z1230" i="13"/>
  <c r="AK1229" i="13"/>
  <c r="AI1229" i="13"/>
  <c r="AG1229" i="13"/>
  <c r="AE1229" i="13"/>
  <c r="AD1229" i="13"/>
  <c r="AC1229" i="13"/>
  <c r="AB1229" i="13"/>
  <c r="AA1229" i="13"/>
  <c r="Z1229" i="13"/>
  <c r="AK1228" i="13"/>
  <c r="AI1228" i="13"/>
  <c r="AG1228" i="13"/>
  <c r="AE1228" i="13"/>
  <c r="AD1228" i="13"/>
  <c r="AC1228" i="13"/>
  <c r="AB1228" i="13"/>
  <c r="AA1228" i="13"/>
  <c r="Z1228" i="13"/>
  <c r="AM1227" i="13"/>
  <c r="AM1228" i="13" s="1"/>
  <c r="AM1229" i="13" s="1"/>
  <c r="AK1227" i="13"/>
  <c r="AI1227" i="13"/>
  <c r="AG1227" i="13"/>
  <c r="AE1227" i="13"/>
  <c r="AD1227" i="13"/>
  <c r="AC1227" i="13"/>
  <c r="AB1227" i="13"/>
  <c r="AA1227" i="13"/>
  <c r="Z1227" i="13"/>
  <c r="AK1226" i="13"/>
  <c r="AI1226" i="13"/>
  <c r="AG1226" i="13"/>
  <c r="AE1226" i="13"/>
  <c r="AD1226" i="13"/>
  <c r="AC1226" i="13"/>
  <c r="AB1226" i="13"/>
  <c r="AA1226" i="13"/>
  <c r="Z1226" i="13"/>
  <c r="AK1225" i="13"/>
  <c r="AI1225" i="13"/>
  <c r="AG1225" i="13"/>
  <c r="AE1225" i="13"/>
  <c r="AD1225" i="13"/>
  <c r="AC1225" i="13"/>
  <c r="AB1225" i="13"/>
  <c r="AA1225" i="13"/>
  <c r="Z1225" i="13"/>
  <c r="AM1224" i="13"/>
  <c r="AM1225" i="13" s="1"/>
  <c r="AM1226" i="13" s="1"/>
  <c r="AK1224" i="13"/>
  <c r="AI1224" i="13"/>
  <c r="AG1224" i="13"/>
  <c r="AE1224" i="13"/>
  <c r="AD1224" i="13"/>
  <c r="AC1224" i="13"/>
  <c r="AB1224" i="13"/>
  <c r="AA1224" i="13"/>
  <c r="Z1224" i="13"/>
  <c r="AK1223" i="13"/>
  <c r="AI1223" i="13"/>
  <c r="AG1223" i="13"/>
  <c r="AE1223" i="13"/>
  <c r="AD1223" i="13"/>
  <c r="AC1223" i="13"/>
  <c r="AB1223" i="13"/>
  <c r="AA1223" i="13"/>
  <c r="Z1223" i="13"/>
  <c r="AK1222" i="13"/>
  <c r="AI1222" i="13"/>
  <c r="AG1222" i="13"/>
  <c r="AE1222" i="13"/>
  <c r="AD1222" i="13"/>
  <c r="AC1222" i="13"/>
  <c r="AB1222" i="13"/>
  <c r="AA1222" i="13"/>
  <c r="Z1222" i="13"/>
  <c r="AK1221" i="13"/>
  <c r="AI1221" i="13"/>
  <c r="AG1221" i="13"/>
  <c r="AE1221" i="13"/>
  <c r="AD1221" i="13"/>
  <c r="AC1221" i="13"/>
  <c r="AB1221" i="13"/>
  <c r="AA1221" i="13"/>
  <c r="Z1221" i="13"/>
  <c r="AK1220" i="13"/>
  <c r="AI1220" i="13"/>
  <c r="AG1220" i="13"/>
  <c r="AE1220" i="13"/>
  <c r="AD1220" i="13"/>
  <c r="AC1220" i="13"/>
  <c r="AB1220" i="13"/>
  <c r="AA1220" i="13"/>
  <c r="Z1220" i="13"/>
  <c r="AM1219" i="13"/>
  <c r="AM1220" i="13" s="1"/>
  <c r="AM1221" i="13" s="1"/>
  <c r="AM1222" i="13" s="1"/>
  <c r="AM1223" i="13" s="1"/>
  <c r="AK1219" i="13"/>
  <c r="AI1219" i="13"/>
  <c r="AG1219" i="13"/>
  <c r="AH383" i="4" s="1"/>
  <c r="AE1219" i="13"/>
  <c r="AD1219" i="13"/>
  <c r="AC1219" i="13"/>
  <c r="AB1219" i="13"/>
  <c r="AA1219" i="13"/>
  <c r="Z1219" i="13"/>
  <c r="AK1218" i="13"/>
  <c r="AI1218" i="13"/>
  <c r="AG1218" i="13"/>
  <c r="AE1218" i="13"/>
  <c r="AD1218" i="13"/>
  <c r="AC1218" i="13"/>
  <c r="AB1218" i="13"/>
  <c r="AA1218" i="13"/>
  <c r="Z1218" i="13"/>
  <c r="AK1217" i="13"/>
  <c r="AI1217" i="13"/>
  <c r="AG1217" i="13"/>
  <c r="AE1217" i="13"/>
  <c r="AD1217" i="13"/>
  <c r="AC1217" i="13"/>
  <c r="AB1217" i="13"/>
  <c r="AA1217" i="13"/>
  <c r="Z1217" i="13"/>
  <c r="AK1216" i="13"/>
  <c r="AI1216" i="13"/>
  <c r="AG1216" i="13"/>
  <c r="AE1216" i="13"/>
  <c r="AD1216" i="13"/>
  <c r="AC1216" i="13"/>
  <c r="AB1216" i="13"/>
  <c r="AA1216" i="13"/>
  <c r="Z1216" i="13"/>
  <c r="AK1215" i="13"/>
  <c r="AI1215" i="13"/>
  <c r="AG1215" i="13"/>
  <c r="AE1215" i="13"/>
  <c r="AD1215" i="13"/>
  <c r="AC1215" i="13"/>
  <c r="AB1215" i="13"/>
  <c r="AA1215" i="13"/>
  <c r="Z1215" i="13"/>
  <c r="AM1214" i="13"/>
  <c r="AM1215" i="13" s="1"/>
  <c r="AM1216" i="13" s="1"/>
  <c r="AM1217" i="13" s="1"/>
  <c r="AM1218" i="13" s="1"/>
  <c r="AK1214" i="13"/>
  <c r="AI1214" i="13"/>
  <c r="AG1214" i="13"/>
  <c r="AE1214" i="13"/>
  <c r="AD1214" i="13"/>
  <c r="AC1214" i="13"/>
  <c r="AB1214" i="13"/>
  <c r="AA1214" i="13"/>
  <c r="Z1214" i="13"/>
  <c r="AK1213" i="13"/>
  <c r="AI1213" i="13"/>
  <c r="AG1213" i="13"/>
  <c r="AE1213" i="13"/>
  <c r="AD1213" i="13"/>
  <c r="AC1213" i="13"/>
  <c r="AB1213" i="13"/>
  <c r="AA1213" i="13"/>
  <c r="Z1213" i="13"/>
  <c r="AK1212" i="13"/>
  <c r="AI1212" i="13"/>
  <c r="AG1212" i="13"/>
  <c r="AE1212" i="13"/>
  <c r="AD1212" i="13"/>
  <c r="AC1212" i="13"/>
  <c r="AB1212" i="13"/>
  <c r="AA1212" i="13"/>
  <c r="Z1212" i="13"/>
  <c r="AK1211" i="13"/>
  <c r="AI1211" i="13"/>
  <c r="AG1211" i="13"/>
  <c r="AE1211" i="13"/>
  <c r="AD1211" i="13"/>
  <c r="AC1211" i="13"/>
  <c r="AB1211" i="13"/>
  <c r="AA1211" i="13"/>
  <c r="Z1211" i="13"/>
  <c r="AK1210" i="13"/>
  <c r="AI1210" i="13"/>
  <c r="AG1210" i="13"/>
  <c r="AE1210" i="13"/>
  <c r="AD1210" i="13"/>
  <c r="AC1210" i="13"/>
  <c r="AB1210" i="13"/>
  <c r="AA1210" i="13"/>
  <c r="Z1210" i="13"/>
  <c r="AK1209" i="13"/>
  <c r="AI1209" i="13"/>
  <c r="AG1209" i="13"/>
  <c r="AE1209" i="13"/>
  <c r="AD1209" i="13"/>
  <c r="AC1209" i="13"/>
  <c r="AB1209" i="13"/>
  <c r="AA1209" i="13"/>
  <c r="Z1209" i="13"/>
  <c r="AK1208" i="13"/>
  <c r="AI1208" i="13"/>
  <c r="AG1208" i="13"/>
  <c r="AE1208" i="13"/>
  <c r="AD1208" i="13"/>
  <c r="AC1208" i="13"/>
  <c r="AB1208" i="13"/>
  <c r="AA1208" i="13"/>
  <c r="Z1208" i="13"/>
  <c r="AM1207" i="13"/>
  <c r="AM1208" i="13" s="1"/>
  <c r="AM1209" i="13" s="1"/>
  <c r="AM1210" i="13" s="1"/>
  <c r="AM1211" i="13" s="1"/>
  <c r="AM1212" i="13" s="1"/>
  <c r="AM1213" i="13" s="1"/>
  <c r="AK1207" i="13"/>
  <c r="AI1207" i="13"/>
  <c r="AG1207" i="13"/>
  <c r="AE1207" i="13"/>
  <c r="AD1207" i="13"/>
  <c r="AC1207" i="13"/>
  <c r="AB1207" i="13"/>
  <c r="AA1207" i="13"/>
  <c r="Z1207" i="13"/>
  <c r="AK1206" i="13"/>
  <c r="AI1206" i="13"/>
  <c r="AG1206" i="13"/>
  <c r="AE1206" i="13"/>
  <c r="AD1206" i="13"/>
  <c r="AC1206" i="13"/>
  <c r="AB1206" i="13"/>
  <c r="AA1206" i="13"/>
  <c r="Z1206" i="13"/>
  <c r="AK1205" i="13"/>
  <c r="AI1205" i="13"/>
  <c r="AG1205" i="13"/>
  <c r="AE1205" i="13"/>
  <c r="AD1205" i="13"/>
  <c r="AC1205" i="13"/>
  <c r="AB1205" i="13"/>
  <c r="AA1205" i="13"/>
  <c r="Z1205" i="13"/>
  <c r="AK1204" i="13"/>
  <c r="AI1204" i="13"/>
  <c r="AG1204" i="13"/>
  <c r="AE1204" i="13"/>
  <c r="AD1204" i="13"/>
  <c r="AC1204" i="13"/>
  <c r="AB1204" i="13"/>
  <c r="AA1204" i="13"/>
  <c r="Z1204" i="13"/>
  <c r="AK1203" i="13"/>
  <c r="AI1203" i="13"/>
  <c r="AG1203" i="13"/>
  <c r="AE1203" i="13"/>
  <c r="AD1203" i="13"/>
  <c r="AC1203" i="13"/>
  <c r="AB1203" i="13"/>
  <c r="AA1203" i="13"/>
  <c r="Z1203" i="13"/>
  <c r="AK1202" i="13"/>
  <c r="AI1202" i="13"/>
  <c r="AG1202" i="13"/>
  <c r="AE1202" i="13"/>
  <c r="AD1202" i="13"/>
  <c r="AC1202" i="13"/>
  <c r="AB1202" i="13"/>
  <c r="AA1202" i="13"/>
  <c r="Z1202" i="13"/>
  <c r="AK1201" i="13"/>
  <c r="AI1201" i="13"/>
  <c r="AG1201" i="13"/>
  <c r="AE1201" i="13"/>
  <c r="AD1201" i="13"/>
  <c r="AC1201" i="13"/>
  <c r="AB1201" i="13"/>
  <c r="AA1201" i="13"/>
  <c r="Z1201" i="13"/>
  <c r="AK1200" i="13"/>
  <c r="AI1200" i="13"/>
  <c r="AG1200" i="13"/>
  <c r="AE1200" i="13"/>
  <c r="AD1200" i="13"/>
  <c r="AC1200" i="13"/>
  <c r="AB1200" i="13"/>
  <c r="AA1200" i="13"/>
  <c r="Z1200" i="13"/>
  <c r="AK1199" i="13"/>
  <c r="AI1199" i="13"/>
  <c r="AG1199" i="13"/>
  <c r="AE1199" i="13"/>
  <c r="AD1199" i="13"/>
  <c r="AC1199" i="13"/>
  <c r="AB1199" i="13"/>
  <c r="AA1199" i="13"/>
  <c r="Z1199" i="13"/>
  <c r="AK1198" i="13"/>
  <c r="AI1198" i="13"/>
  <c r="AG1198" i="13"/>
  <c r="AE1198" i="13"/>
  <c r="AD1198" i="13"/>
  <c r="AC1198" i="13"/>
  <c r="AB1198" i="13"/>
  <c r="AA1198" i="13"/>
  <c r="Z1198" i="13"/>
  <c r="AK1197" i="13"/>
  <c r="AI1197" i="13"/>
  <c r="AG1197" i="13"/>
  <c r="AE1197" i="13"/>
  <c r="AD1197" i="13"/>
  <c r="AC1197" i="13"/>
  <c r="AB1197" i="13"/>
  <c r="AA1197" i="13"/>
  <c r="Z1197" i="13"/>
  <c r="AM1196" i="13"/>
  <c r="AM1197" i="13" s="1"/>
  <c r="AM1198" i="13" s="1"/>
  <c r="AM1199" i="13" s="1"/>
  <c r="AM1200" i="13" s="1"/>
  <c r="AM1201" i="13" s="1"/>
  <c r="AM1202" i="13" s="1"/>
  <c r="AM1203" i="13" s="1"/>
  <c r="AM1204" i="13" s="1"/>
  <c r="AM1205" i="13" s="1"/>
  <c r="AM1206" i="13" s="1"/>
  <c r="AK1196" i="13"/>
  <c r="AI1196" i="13"/>
  <c r="AG1196" i="13"/>
  <c r="AE1196" i="13"/>
  <c r="AD1196" i="13"/>
  <c r="AC1196" i="13"/>
  <c r="AB1196" i="13"/>
  <c r="AA1196" i="13"/>
  <c r="Z1196" i="13"/>
  <c r="AK1195" i="13"/>
  <c r="AI1195" i="13"/>
  <c r="AG1195" i="13"/>
  <c r="AE1195" i="13"/>
  <c r="AD1195" i="13"/>
  <c r="AC1195" i="13"/>
  <c r="AB1195" i="13"/>
  <c r="AA1195" i="13"/>
  <c r="Z1195" i="13"/>
  <c r="AK1194" i="13"/>
  <c r="AI1194" i="13"/>
  <c r="AG1194" i="13"/>
  <c r="AE1194" i="13"/>
  <c r="AD1194" i="13"/>
  <c r="AC1194" i="13"/>
  <c r="AB1194" i="13"/>
  <c r="AA1194" i="13"/>
  <c r="Z1194" i="13"/>
  <c r="AK1193" i="13"/>
  <c r="AI1193" i="13"/>
  <c r="AG1193" i="13"/>
  <c r="AE1193" i="13"/>
  <c r="AD1193" i="13"/>
  <c r="AC1193" i="13"/>
  <c r="AB1193" i="13"/>
  <c r="AA1193" i="13"/>
  <c r="Z1193" i="13"/>
  <c r="AK1192" i="13"/>
  <c r="AI1192" i="13"/>
  <c r="AG1192" i="13"/>
  <c r="AE1192" i="13"/>
  <c r="AD1192" i="13"/>
  <c r="AC1192" i="13"/>
  <c r="AB1192" i="13"/>
  <c r="AA1192" i="13"/>
  <c r="Z1192" i="13"/>
  <c r="AM1191" i="13"/>
  <c r="AM1192" i="13" s="1"/>
  <c r="AM1193" i="13" s="1"/>
  <c r="AM1194" i="13" s="1"/>
  <c r="AM1195" i="13" s="1"/>
  <c r="AK1191" i="13"/>
  <c r="AI1191" i="13"/>
  <c r="AG1191" i="13"/>
  <c r="AE1191" i="13"/>
  <c r="AD1191" i="13"/>
  <c r="AC1191" i="13"/>
  <c r="AB1191" i="13"/>
  <c r="AA1191" i="13"/>
  <c r="Z1191" i="13"/>
  <c r="AK1190" i="13"/>
  <c r="AI1190" i="13"/>
  <c r="AG1190" i="13"/>
  <c r="AE1190" i="13"/>
  <c r="AD1190" i="13"/>
  <c r="AC1190" i="13"/>
  <c r="AB1190" i="13"/>
  <c r="AA1190" i="13"/>
  <c r="Z1190" i="13"/>
  <c r="AK1189" i="13"/>
  <c r="AI1189" i="13"/>
  <c r="AG1189" i="13"/>
  <c r="AE1189" i="13"/>
  <c r="AD1189" i="13"/>
  <c r="AC1189" i="13"/>
  <c r="AB1189" i="13"/>
  <c r="AA1189" i="13"/>
  <c r="Z1189" i="13"/>
  <c r="AK1188" i="13"/>
  <c r="AI1188" i="13"/>
  <c r="AG1188" i="13"/>
  <c r="AE1188" i="13"/>
  <c r="AD1188" i="13"/>
  <c r="AC1188" i="13"/>
  <c r="AB1188" i="13"/>
  <c r="AA1188" i="13"/>
  <c r="Z1188" i="13"/>
  <c r="AK1187" i="13"/>
  <c r="AI1187" i="13"/>
  <c r="AG1187" i="13"/>
  <c r="AE1187" i="13"/>
  <c r="AD1187" i="13"/>
  <c r="AC1187" i="13"/>
  <c r="AB1187" i="13"/>
  <c r="AA1187" i="13"/>
  <c r="Z1187" i="13"/>
  <c r="AM1186" i="13"/>
  <c r="AM1187" i="13" s="1"/>
  <c r="AM1188" i="13" s="1"/>
  <c r="AM1189" i="13" s="1"/>
  <c r="AM1190" i="13" s="1"/>
  <c r="AK1186" i="13"/>
  <c r="AI1186" i="13"/>
  <c r="AG1186" i="13"/>
  <c r="AE1186" i="13"/>
  <c r="AD1186" i="13"/>
  <c r="AC1186" i="13"/>
  <c r="AB1186" i="13"/>
  <c r="AA1186" i="13"/>
  <c r="Z1186" i="13"/>
  <c r="AK1185" i="13"/>
  <c r="AI1185" i="13"/>
  <c r="AG1185" i="13"/>
  <c r="AE1185" i="13"/>
  <c r="AD1185" i="13"/>
  <c r="AC1185" i="13"/>
  <c r="AB1185" i="13"/>
  <c r="AA1185" i="13"/>
  <c r="Z1185" i="13"/>
  <c r="AK1184" i="13"/>
  <c r="AI1184" i="13"/>
  <c r="AG1184" i="13"/>
  <c r="AE1184" i="13"/>
  <c r="AD1184" i="13"/>
  <c r="AC1184" i="13"/>
  <c r="AB1184" i="13"/>
  <c r="AA1184" i="13"/>
  <c r="Z1184" i="13"/>
  <c r="AK1183" i="13"/>
  <c r="AI1183" i="13"/>
  <c r="AG1183" i="13"/>
  <c r="AE1183" i="13"/>
  <c r="AD1183" i="13"/>
  <c r="AC1183" i="13"/>
  <c r="AB1183" i="13"/>
  <c r="AA1183" i="13"/>
  <c r="Z1183" i="13"/>
  <c r="AK1182" i="13"/>
  <c r="AI1182" i="13"/>
  <c r="AG1182" i="13"/>
  <c r="AE1182" i="13"/>
  <c r="AD1182" i="13"/>
  <c r="AC1182" i="13"/>
  <c r="AB1182" i="13"/>
  <c r="AA1182" i="13"/>
  <c r="Z1182" i="13"/>
  <c r="AM1181" i="13"/>
  <c r="AM1182" i="13" s="1"/>
  <c r="AM1183" i="13" s="1"/>
  <c r="AM1184" i="13" s="1"/>
  <c r="AM1185" i="13" s="1"/>
  <c r="AK1181" i="13"/>
  <c r="AI1181" i="13"/>
  <c r="AG1181" i="13"/>
  <c r="AE1181" i="13"/>
  <c r="AD1181" i="13"/>
  <c r="AC1181" i="13"/>
  <c r="AB1181" i="13"/>
  <c r="AA1181" i="13"/>
  <c r="Z1181" i="13"/>
  <c r="AK1180" i="13"/>
  <c r="AI1180" i="13"/>
  <c r="AG1180" i="13"/>
  <c r="AE1180" i="13"/>
  <c r="AD1180" i="13"/>
  <c r="AC1180" i="13"/>
  <c r="AB1180" i="13"/>
  <c r="AA1180" i="13"/>
  <c r="Z1180" i="13"/>
  <c r="AK1179" i="13"/>
  <c r="AI1179" i="13"/>
  <c r="AG1179" i="13"/>
  <c r="AE1179" i="13"/>
  <c r="AD1179" i="13"/>
  <c r="AC1179" i="13"/>
  <c r="AB1179" i="13"/>
  <c r="AA1179" i="13"/>
  <c r="Z1179" i="13"/>
  <c r="AM1178" i="13"/>
  <c r="AM1179" i="13" s="1"/>
  <c r="AM1180" i="13" s="1"/>
  <c r="AK1178" i="13"/>
  <c r="AI1178" i="13"/>
  <c r="AG1178" i="13"/>
  <c r="AE1178" i="13"/>
  <c r="AD1178" i="13"/>
  <c r="AC1178" i="13"/>
  <c r="AB1178" i="13"/>
  <c r="AA1178" i="13"/>
  <c r="Z1178" i="13"/>
  <c r="AM1177" i="13"/>
  <c r="AK1177" i="13"/>
  <c r="AI1177" i="13"/>
  <c r="AG1177" i="13"/>
  <c r="AH386" i="4" s="1"/>
  <c r="AE1177" i="13"/>
  <c r="AD1177" i="13"/>
  <c r="AC1177" i="13"/>
  <c r="AB1177" i="13"/>
  <c r="AA1177" i="13"/>
  <c r="Z1177" i="13"/>
  <c r="AK1176" i="13"/>
  <c r="AI1176" i="13"/>
  <c r="AG1176" i="13"/>
  <c r="AE1176" i="13"/>
  <c r="AD1176" i="13"/>
  <c r="AC1176" i="13"/>
  <c r="AB1176" i="13"/>
  <c r="AA1176" i="13"/>
  <c r="Z1176" i="13"/>
  <c r="AK1175" i="13"/>
  <c r="AI1175" i="13"/>
  <c r="AG1175" i="13"/>
  <c r="AE1175" i="13"/>
  <c r="AD1175" i="13"/>
  <c r="AC1175" i="13"/>
  <c r="AB1175" i="13"/>
  <c r="AA1175" i="13"/>
  <c r="Z1175" i="13"/>
  <c r="AK1174" i="13"/>
  <c r="AI1174" i="13"/>
  <c r="AG1174" i="13"/>
  <c r="AE1174" i="13"/>
  <c r="AD1174" i="13"/>
  <c r="AC1174" i="13"/>
  <c r="AB1174" i="13"/>
  <c r="AA1174" i="13"/>
  <c r="Z1174" i="13"/>
  <c r="AK1173" i="13"/>
  <c r="AI1173" i="13"/>
  <c r="AG1173" i="13"/>
  <c r="AE1173" i="13"/>
  <c r="AD1173" i="13"/>
  <c r="AC1173" i="13"/>
  <c r="AB1173" i="13"/>
  <c r="AA1173" i="13"/>
  <c r="Z1173" i="13"/>
  <c r="AM1172" i="13"/>
  <c r="AM1173" i="13" s="1"/>
  <c r="AM1174" i="13" s="1"/>
  <c r="AM1175" i="13" s="1"/>
  <c r="AM1176" i="13" s="1"/>
  <c r="AK1172" i="13"/>
  <c r="AI1172" i="13"/>
  <c r="AG1172" i="13"/>
  <c r="AE1172" i="13"/>
  <c r="AD1172" i="13"/>
  <c r="AC1172" i="13"/>
  <c r="AB1172" i="13"/>
  <c r="AA1172" i="13"/>
  <c r="Z1172" i="13"/>
  <c r="AK1171" i="13"/>
  <c r="AI1171" i="13"/>
  <c r="AG1171" i="13"/>
  <c r="AE1171" i="13"/>
  <c r="AD1171" i="13"/>
  <c r="AC1171" i="13"/>
  <c r="AB1171" i="13"/>
  <c r="AA1171" i="13"/>
  <c r="Z1171" i="13"/>
  <c r="AK1170" i="13"/>
  <c r="AI1170" i="13"/>
  <c r="AG1170" i="13"/>
  <c r="AE1170" i="13"/>
  <c r="AD1170" i="13"/>
  <c r="AC1170" i="13"/>
  <c r="AB1170" i="13"/>
  <c r="AA1170" i="13"/>
  <c r="Z1170" i="13"/>
  <c r="AK1169" i="13"/>
  <c r="AI1169" i="13"/>
  <c r="AG1169" i="13"/>
  <c r="AE1169" i="13"/>
  <c r="AD1169" i="13"/>
  <c r="AC1169" i="13"/>
  <c r="AB1169" i="13"/>
  <c r="AA1169" i="13"/>
  <c r="Z1169" i="13"/>
  <c r="AK1168" i="13"/>
  <c r="AI1168" i="13"/>
  <c r="AG1168" i="13"/>
  <c r="AE1168" i="13"/>
  <c r="AD1168" i="13"/>
  <c r="AC1168" i="13"/>
  <c r="AB1168" i="13"/>
  <c r="AA1168" i="13"/>
  <c r="Z1168" i="13"/>
  <c r="AK1167" i="13"/>
  <c r="AI1167" i="13"/>
  <c r="AG1167" i="13"/>
  <c r="AE1167" i="13"/>
  <c r="AD1167" i="13"/>
  <c r="AC1167" i="13"/>
  <c r="AB1167" i="13"/>
  <c r="AA1167" i="13"/>
  <c r="Z1167" i="13"/>
  <c r="AK1166" i="13"/>
  <c r="AI1166" i="13"/>
  <c r="AG1166" i="13"/>
  <c r="AE1166" i="13"/>
  <c r="AD1166" i="13"/>
  <c r="AC1166" i="13"/>
  <c r="AB1166" i="13"/>
  <c r="AA1166" i="13"/>
  <c r="Z1166" i="13"/>
  <c r="AK1165" i="13"/>
  <c r="AI1165" i="13"/>
  <c r="AG1165" i="13"/>
  <c r="AE1165" i="13"/>
  <c r="AD1165" i="13"/>
  <c r="AC1165" i="13"/>
  <c r="AB1165" i="13"/>
  <c r="AA1165" i="13"/>
  <c r="Z1165" i="13"/>
  <c r="AM1164" i="13"/>
  <c r="AM1165" i="13" s="1"/>
  <c r="AM1166" i="13" s="1"/>
  <c r="AM1167" i="13" s="1"/>
  <c r="AM1168" i="13" s="1"/>
  <c r="AM1169" i="13" s="1"/>
  <c r="AM1170" i="13" s="1"/>
  <c r="AM1171" i="13" s="1"/>
  <c r="AK1164" i="13"/>
  <c r="AI1164" i="13"/>
  <c r="AG1164" i="13"/>
  <c r="AE1164" i="13"/>
  <c r="AD1164" i="13"/>
  <c r="AC1164" i="13"/>
  <c r="AB1164" i="13"/>
  <c r="AA1164" i="13"/>
  <c r="Z1164" i="13"/>
  <c r="AK1163" i="13"/>
  <c r="AI1163" i="13"/>
  <c r="AG1163" i="13"/>
  <c r="AE1163" i="13"/>
  <c r="AD1163" i="13"/>
  <c r="AC1163" i="13"/>
  <c r="AB1163" i="13"/>
  <c r="AA1163" i="13"/>
  <c r="Z1163" i="13"/>
  <c r="AK1162" i="13"/>
  <c r="AI1162" i="13"/>
  <c r="AG1162" i="13"/>
  <c r="AE1162" i="13"/>
  <c r="AD1162" i="13"/>
  <c r="AC1162" i="13"/>
  <c r="AB1162" i="13"/>
  <c r="AA1162" i="13"/>
  <c r="Z1162" i="13"/>
  <c r="AK1161" i="13"/>
  <c r="AI1161" i="13"/>
  <c r="AG1161" i="13"/>
  <c r="AE1161" i="13"/>
  <c r="AD1161" i="13"/>
  <c r="AC1161" i="13"/>
  <c r="AB1161" i="13"/>
  <c r="AA1161" i="13"/>
  <c r="Z1161" i="13"/>
  <c r="AK1160" i="13"/>
  <c r="AI1160" i="13"/>
  <c r="AG1160" i="13"/>
  <c r="AE1160" i="13"/>
  <c r="AD1160" i="13"/>
  <c r="AC1160" i="13"/>
  <c r="AB1160" i="13"/>
  <c r="AA1160" i="13"/>
  <c r="Z1160" i="13"/>
  <c r="AK1159" i="13"/>
  <c r="AI1159" i="13"/>
  <c r="AG1159" i="13"/>
  <c r="AE1159" i="13"/>
  <c r="AD1159" i="13"/>
  <c r="AC1159" i="13"/>
  <c r="AB1159" i="13"/>
  <c r="AA1159" i="13"/>
  <c r="Z1159" i="13"/>
  <c r="AK1158" i="13"/>
  <c r="AI1158" i="13"/>
  <c r="AG1158" i="13"/>
  <c r="AE1158" i="13"/>
  <c r="AD1158" i="13"/>
  <c r="AC1158" i="13"/>
  <c r="AB1158" i="13"/>
  <c r="AA1158" i="13"/>
  <c r="Z1158" i="13"/>
  <c r="AK1157" i="13"/>
  <c r="AI1157" i="13"/>
  <c r="AG1157" i="13"/>
  <c r="AE1157" i="13"/>
  <c r="AD1157" i="13"/>
  <c r="AC1157" i="13"/>
  <c r="AB1157" i="13"/>
  <c r="AA1157" i="13"/>
  <c r="Z1157" i="13"/>
  <c r="AM1156" i="13"/>
  <c r="AM1157" i="13" s="1"/>
  <c r="AM1158" i="13" s="1"/>
  <c r="AM1159" i="13" s="1"/>
  <c r="AM1160" i="13" s="1"/>
  <c r="AM1161" i="13" s="1"/>
  <c r="AM1162" i="13" s="1"/>
  <c r="AM1163" i="13" s="1"/>
  <c r="AK1156" i="13"/>
  <c r="AI1156" i="13"/>
  <c r="AG1156" i="13"/>
  <c r="AE1156" i="13"/>
  <c r="AD1156" i="13"/>
  <c r="AC1156" i="13"/>
  <c r="AB1156" i="13"/>
  <c r="AA1156" i="13"/>
  <c r="Z1156" i="13"/>
  <c r="AK1155" i="13"/>
  <c r="AI1155" i="13"/>
  <c r="AG1155" i="13"/>
  <c r="AE1155" i="13"/>
  <c r="AD1155" i="13"/>
  <c r="AC1155" i="13"/>
  <c r="AB1155" i="13"/>
  <c r="AA1155" i="13"/>
  <c r="Z1155" i="13"/>
  <c r="AK1154" i="13"/>
  <c r="AI1154" i="13"/>
  <c r="AG1154" i="13"/>
  <c r="AE1154" i="13"/>
  <c r="AD1154" i="13"/>
  <c r="AC1154" i="13"/>
  <c r="AB1154" i="13"/>
  <c r="AA1154" i="13"/>
  <c r="Z1154" i="13"/>
  <c r="AK1153" i="13"/>
  <c r="AI1153" i="13"/>
  <c r="AG1153" i="13"/>
  <c r="AE1153" i="13"/>
  <c r="AD1153" i="13"/>
  <c r="AC1153" i="13"/>
  <c r="AB1153" i="13"/>
  <c r="AA1153" i="13"/>
  <c r="Z1153" i="13"/>
  <c r="AM1152" i="13"/>
  <c r="AM1153" i="13" s="1"/>
  <c r="AM1154" i="13" s="1"/>
  <c r="AM1155" i="13" s="1"/>
  <c r="AK1152" i="13"/>
  <c r="AI1152" i="13"/>
  <c r="AG1152" i="13"/>
  <c r="AE1152" i="13"/>
  <c r="AD1152" i="13"/>
  <c r="AC1152" i="13"/>
  <c r="AB1152" i="13"/>
  <c r="AA1152" i="13"/>
  <c r="Z1152" i="13"/>
  <c r="AK1151" i="13"/>
  <c r="AI1151" i="13"/>
  <c r="AG1151" i="13"/>
  <c r="AE1151" i="13"/>
  <c r="AD1151" i="13"/>
  <c r="AC1151" i="13"/>
  <c r="AB1151" i="13"/>
  <c r="AA1151" i="13"/>
  <c r="Z1151" i="13"/>
  <c r="AK1150" i="13"/>
  <c r="AI1150" i="13"/>
  <c r="AG1150" i="13"/>
  <c r="AE1150" i="13"/>
  <c r="AD1150" i="13"/>
  <c r="AC1150" i="13"/>
  <c r="AB1150" i="13"/>
  <c r="AA1150" i="13"/>
  <c r="Z1150" i="13"/>
  <c r="AK1149" i="13"/>
  <c r="AI1149" i="13"/>
  <c r="AG1149" i="13"/>
  <c r="AE1149" i="13"/>
  <c r="AD1149" i="13"/>
  <c r="AC1149" i="13"/>
  <c r="AB1149" i="13"/>
  <c r="AA1149" i="13"/>
  <c r="Z1149" i="13"/>
  <c r="AK1148" i="13"/>
  <c r="AI1148" i="13"/>
  <c r="AG1148" i="13"/>
  <c r="AE1148" i="13"/>
  <c r="AD1148" i="13"/>
  <c r="AC1148" i="13"/>
  <c r="AB1148" i="13"/>
  <c r="AA1148" i="13"/>
  <c r="Z1148" i="13"/>
  <c r="AK1147" i="13"/>
  <c r="AI1147" i="13"/>
  <c r="AG1147" i="13"/>
  <c r="AE1147" i="13"/>
  <c r="AD1147" i="13"/>
  <c r="AC1147" i="13"/>
  <c r="AB1147" i="13"/>
  <c r="AA1147" i="13"/>
  <c r="Z1147" i="13"/>
  <c r="AM1146" i="13"/>
  <c r="AM1147" i="13" s="1"/>
  <c r="AM1148" i="13" s="1"/>
  <c r="AM1149" i="13" s="1"/>
  <c r="AM1150" i="13" s="1"/>
  <c r="AM1151" i="13" s="1"/>
  <c r="AK1146" i="13"/>
  <c r="AI1146" i="13"/>
  <c r="AG1146" i="13"/>
  <c r="AE1146" i="13"/>
  <c r="AD1146" i="13"/>
  <c r="AC1146" i="13"/>
  <c r="AB1146" i="13"/>
  <c r="AA1146" i="13"/>
  <c r="Z1146" i="13"/>
  <c r="AK1145" i="13"/>
  <c r="AI1145" i="13"/>
  <c r="AG1145" i="13"/>
  <c r="AE1145" i="13"/>
  <c r="AD1145" i="13"/>
  <c r="AC1145" i="13"/>
  <c r="AB1145" i="13"/>
  <c r="AA1145" i="13"/>
  <c r="Z1145" i="13"/>
  <c r="AK1144" i="13"/>
  <c r="AI1144" i="13"/>
  <c r="AG1144" i="13"/>
  <c r="AE1144" i="13"/>
  <c r="AD1144" i="13"/>
  <c r="AC1144" i="13"/>
  <c r="AB1144" i="13"/>
  <c r="AA1144" i="13"/>
  <c r="Z1144" i="13"/>
  <c r="AK1143" i="13"/>
  <c r="AI1143" i="13"/>
  <c r="AG1143" i="13"/>
  <c r="AE1143" i="13"/>
  <c r="AD1143" i="13"/>
  <c r="AC1143" i="13"/>
  <c r="AB1143" i="13"/>
  <c r="AA1143" i="13"/>
  <c r="Z1143" i="13"/>
  <c r="AK1142" i="13"/>
  <c r="AI1142" i="13"/>
  <c r="AG1142" i="13"/>
  <c r="AE1142" i="13"/>
  <c r="AD1142" i="13"/>
  <c r="AC1142" i="13"/>
  <c r="AB1142" i="13"/>
  <c r="AA1142" i="13"/>
  <c r="Z1142" i="13"/>
  <c r="AK1141" i="13"/>
  <c r="AI1141" i="13"/>
  <c r="AG1141" i="13"/>
  <c r="AE1141" i="13"/>
  <c r="AD1141" i="13"/>
  <c r="AC1141" i="13"/>
  <c r="AB1141" i="13"/>
  <c r="AA1141" i="13"/>
  <c r="Z1141" i="13"/>
  <c r="AM1140" i="13"/>
  <c r="AM1141" i="13" s="1"/>
  <c r="AM1142" i="13" s="1"/>
  <c r="AM1143" i="13" s="1"/>
  <c r="AM1144" i="13" s="1"/>
  <c r="AM1145" i="13" s="1"/>
  <c r="AK1140" i="13"/>
  <c r="AI1140" i="13"/>
  <c r="AG1140" i="13"/>
  <c r="AE1140" i="13"/>
  <c r="AD1140" i="13"/>
  <c r="AC1140" i="13"/>
  <c r="AB1140" i="13"/>
  <c r="AA1140" i="13"/>
  <c r="Z1140" i="13"/>
  <c r="AK1139" i="13"/>
  <c r="AI1139" i="13"/>
  <c r="AG1139" i="13"/>
  <c r="AE1139" i="13"/>
  <c r="AD1139" i="13"/>
  <c r="AC1139" i="13"/>
  <c r="AB1139" i="13"/>
  <c r="AA1139" i="13"/>
  <c r="Z1139" i="13"/>
  <c r="AK1138" i="13"/>
  <c r="AI1138" i="13"/>
  <c r="AG1138" i="13"/>
  <c r="AE1138" i="13"/>
  <c r="AD1138" i="13"/>
  <c r="AC1138" i="13"/>
  <c r="AB1138" i="13"/>
  <c r="AA1138" i="13"/>
  <c r="Z1138" i="13"/>
  <c r="AK1137" i="13"/>
  <c r="AI1137" i="13"/>
  <c r="AG1137" i="13"/>
  <c r="AE1137" i="13"/>
  <c r="AD1137" i="13"/>
  <c r="AC1137" i="13"/>
  <c r="AB1137" i="13"/>
  <c r="AA1137" i="13"/>
  <c r="Z1137" i="13"/>
  <c r="AK1136" i="13"/>
  <c r="AI1136" i="13"/>
  <c r="AG1136" i="13"/>
  <c r="AE1136" i="13"/>
  <c r="AD1136" i="13"/>
  <c r="AC1136" i="13"/>
  <c r="AB1136" i="13"/>
  <c r="AA1136" i="13"/>
  <c r="Z1136" i="13"/>
  <c r="AK1135" i="13"/>
  <c r="AI1135" i="13"/>
  <c r="AG1135" i="13"/>
  <c r="AE1135" i="13"/>
  <c r="AD1135" i="13"/>
  <c r="AC1135" i="13"/>
  <c r="AB1135" i="13"/>
  <c r="AA1135" i="13"/>
  <c r="Z1135" i="13"/>
  <c r="AK1134" i="13"/>
  <c r="AI1134" i="13"/>
  <c r="AG1134" i="13"/>
  <c r="AE1134" i="13"/>
  <c r="AD1134" i="13"/>
  <c r="AC1134" i="13"/>
  <c r="AB1134" i="13"/>
  <c r="AA1134" i="13"/>
  <c r="Z1134" i="13"/>
  <c r="AK1133" i="13"/>
  <c r="AI1133" i="13"/>
  <c r="AG1133" i="13"/>
  <c r="AE1133" i="13"/>
  <c r="AD1133" i="13"/>
  <c r="AC1133" i="13"/>
  <c r="AB1133" i="13"/>
  <c r="AA1133" i="13"/>
  <c r="Z1133" i="13"/>
  <c r="AK1132" i="13"/>
  <c r="AI1132" i="13"/>
  <c r="AG1132" i="13"/>
  <c r="AE1132" i="13"/>
  <c r="AD1132" i="13"/>
  <c r="AC1132" i="13"/>
  <c r="AB1132" i="13"/>
  <c r="AA1132" i="13"/>
  <c r="Z1132" i="13"/>
  <c r="AK1131" i="13"/>
  <c r="AI1131" i="13"/>
  <c r="AG1131" i="13"/>
  <c r="AE1131" i="13"/>
  <c r="AD1131" i="13"/>
  <c r="AC1131" i="13"/>
  <c r="AB1131" i="13"/>
  <c r="AA1131" i="13"/>
  <c r="Z1131" i="13"/>
  <c r="AM1130" i="13"/>
  <c r="AM1131" i="13" s="1"/>
  <c r="AM1132" i="13" s="1"/>
  <c r="AM1133" i="13" s="1"/>
  <c r="AM1134" i="13" s="1"/>
  <c r="AM1135" i="13" s="1"/>
  <c r="AM1136" i="13" s="1"/>
  <c r="AM1137" i="13" s="1"/>
  <c r="AM1138" i="13" s="1"/>
  <c r="AM1139" i="13" s="1"/>
  <c r="AK1130" i="13"/>
  <c r="AI1130" i="13"/>
  <c r="AG1130" i="13"/>
  <c r="AE1130" i="13"/>
  <c r="AD1130" i="13"/>
  <c r="AC1130" i="13"/>
  <c r="AB1130" i="13"/>
  <c r="AA1130" i="13"/>
  <c r="Z1130" i="13"/>
  <c r="AK1129" i="13"/>
  <c r="AI1129" i="13"/>
  <c r="AG1129" i="13"/>
  <c r="AE1129" i="13"/>
  <c r="AD1129" i="13"/>
  <c r="AC1129" i="13"/>
  <c r="AB1129" i="13"/>
  <c r="AA1129" i="13"/>
  <c r="Z1129" i="13"/>
  <c r="AK1128" i="13"/>
  <c r="AI1128" i="13"/>
  <c r="AG1128" i="13"/>
  <c r="AE1128" i="13"/>
  <c r="AD1128" i="13"/>
  <c r="AC1128" i="13"/>
  <c r="AB1128" i="13"/>
  <c r="AA1128" i="13"/>
  <c r="Z1128" i="13"/>
  <c r="AK1127" i="13"/>
  <c r="AI1127" i="13"/>
  <c r="AG1127" i="13"/>
  <c r="AE1127" i="13"/>
  <c r="AD1127" i="13"/>
  <c r="AC1127" i="13"/>
  <c r="AB1127" i="13"/>
  <c r="AA1127" i="13"/>
  <c r="Z1127" i="13"/>
  <c r="AK1126" i="13"/>
  <c r="AI1126" i="13"/>
  <c r="AG1126" i="13"/>
  <c r="AE1126" i="13"/>
  <c r="AD1126" i="13"/>
  <c r="AC1126" i="13"/>
  <c r="AB1126" i="13"/>
  <c r="AA1126" i="13"/>
  <c r="Z1126" i="13"/>
  <c r="AK1125" i="13"/>
  <c r="AI1125" i="13"/>
  <c r="AG1125" i="13"/>
  <c r="AE1125" i="13"/>
  <c r="AD1125" i="13"/>
  <c r="AC1125" i="13"/>
  <c r="AB1125" i="13"/>
  <c r="AA1125" i="13"/>
  <c r="Z1125" i="13"/>
  <c r="AK1124" i="13"/>
  <c r="AI1124" i="13"/>
  <c r="AG1124" i="13"/>
  <c r="AE1124" i="13"/>
  <c r="AD1124" i="13"/>
  <c r="AC1124" i="13"/>
  <c r="AB1124" i="13"/>
  <c r="AA1124" i="13"/>
  <c r="Z1124" i="13"/>
  <c r="AK1123" i="13"/>
  <c r="AI1123" i="13"/>
  <c r="AG1123" i="13"/>
  <c r="AE1123" i="13"/>
  <c r="AD1123" i="13"/>
  <c r="AC1123" i="13"/>
  <c r="AB1123" i="13"/>
  <c r="AA1123" i="13"/>
  <c r="Z1123" i="13"/>
  <c r="AK1122" i="13"/>
  <c r="AI1122" i="13"/>
  <c r="AG1122" i="13"/>
  <c r="AE1122" i="13"/>
  <c r="AD1122" i="13"/>
  <c r="AC1122" i="13"/>
  <c r="AB1122" i="13"/>
  <c r="AA1122" i="13"/>
  <c r="Z1122" i="13"/>
  <c r="AM1121" i="13"/>
  <c r="AM1122" i="13" s="1"/>
  <c r="AM1123" i="13" s="1"/>
  <c r="AM1124" i="13" s="1"/>
  <c r="AM1125" i="13" s="1"/>
  <c r="AM1126" i="13" s="1"/>
  <c r="AM1127" i="13" s="1"/>
  <c r="AM1128" i="13" s="1"/>
  <c r="AM1129" i="13" s="1"/>
  <c r="AK1121" i="13"/>
  <c r="AI1121" i="13"/>
  <c r="AG1121" i="13"/>
  <c r="AE1121" i="13"/>
  <c r="AD1121" i="13"/>
  <c r="AC1121" i="13"/>
  <c r="AB1121" i="13"/>
  <c r="AA1121" i="13"/>
  <c r="Z1121" i="13"/>
  <c r="AK1120" i="13"/>
  <c r="AI1120" i="13"/>
  <c r="AG1120" i="13"/>
  <c r="AE1120" i="13"/>
  <c r="AD1120" i="13"/>
  <c r="AC1120" i="13"/>
  <c r="AB1120" i="13"/>
  <c r="AA1120" i="13"/>
  <c r="Z1120" i="13"/>
  <c r="AK1119" i="13"/>
  <c r="AI1119" i="13"/>
  <c r="AG1119" i="13"/>
  <c r="AE1119" i="13"/>
  <c r="AD1119" i="13"/>
  <c r="AC1119" i="13"/>
  <c r="AB1119" i="13"/>
  <c r="AA1119" i="13"/>
  <c r="Z1119" i="13"/>
  <c r="AK1118" i="13"/>
  <c r="AI1118" i="13"/>
  <c r="AG1118" i="13"/>
  <c r="AE1118" i="13"/>
  <c r="AD1118" i="13"/>
  <c r="AC1118" i="13"/>
  <c r="AB1118" i="13"/>
  <c r="AA1118" i="13"/>
  <c r="Z1118" i="13"/>
  <c r="AK1117" i="13"/>
  <c r="AI1117" i="13"/>
  <c r="AG1117" i="13"/>
  <c r="AE1117" i="13"/>
  <c r="AD1117" i="13"/>
  <c r="AC1117" i="13"/>
  <c r="AB1117" i="13"/>
  <c r="AA1117" i="13"/>
  <c r="Z1117" i="13"/>
  <c r="AK1116" i="13"/>
  <c r="AI1116" i="13"/>
  <c r="AG1116" i="13"/>
  <c r="AE1116" i="13"/>
  <c r="AD1116" i="13"/>
  <c r="AC1116" i="13"/>
  <c r="AB1116" i="13"/>
  <c r="AA1116" i="13"/>
  <c r="Z1116" i="13"/>
  <c r="AM1115" i="13"/>
  <c r="AM1116" i="13" s="1"/>
  <c r="AM1117" i="13" s="1"/>
  <c r="AM1118" i="13" s="1"/>
  <c r="AM1119" i="13" s="1"/>
  <c r="AM1120" i="13" s="1"/>
  <c r="AK1115" i="13"/>
  <c r="AI1115" i="13"/>
  <c r="AG1115" i="13"/>
  <c r="AE1115" i="13"/>
  <c r="AD1115" i="13"/>
  <c r="AC1115" i="13"/>
  <c r="AB1115" i="13"/>
  <c r="AA1115" i="13"/>
  <c r="Z1115" i="13"/>
  <c r="AK1114" i="13"/>
  <c r="AI1114" i="13"/>
  <c r="AG1114" i="13"/>
  <c r="AE1114" i="13"/>
  <c r="AD1114" i="13"/>
  <c r="AC1114" i="13"/>
  <c r="AB1114" i="13"/>
  <c r="AA1114" i="13"/>
  <c r="Z1114" i="13"/>
  <c r="AK1113" i="13"/>
  <c r="AI1113" i="13"/>
  <c r="AG1113" i="13"/>
  <c r="AE1113" i="13"/>
  <c r="AD1113" i="13"/>
  <c r="AC1113" i="13"/>
  <c r="AB1113" i="13"/>
  <c r="AA1113" i="13"/>
  <c r="Z1113" i="13"/>
  <c r="AK1112" i="13"/>
  <c r="AI1112" i="13"/>
  <c r="AG1112" i="13"/>
  <c r="AE1112" i="13"/>
  <c r="AD1112" i="13"/>
  <c r="AC1112" i="13"/>
  <c r="AB1112" i="13"/>
  <c r="AA1112" i="13"/>
  <c r="Z1112" i="13"/>
  <c r="AK1111" i="13"/>
  <c r="AI1111" i="13"/>
  <c r="AG1111" i="13"/>
  <c r="AE1111" i="13"/>
  <c r="AD1111" i="13"/>
  <c r="AC1111" i="13"/>
  <c r="AB1111" i="13"/>
  <c r="AA1111" i="13"/>
  <c r="Z1111" i="13"/>
  <c r="AK1110" i="13"/>
  <c r="AI1110" i="13"/>
  <c r="AG1110" i="13"/>
  <c r="AE1110" i="13"/>
  <c r="AD1110" i="13"/>
  <c r="AC1110" i="13"/>
  <c r="AB1110" i="13"/>
  <c r="AA1110" i="13"/>
  <c r="Z1110" i="13"/>
  <c r="AM1109" i="13"/>
  <c r="AM1110" i="13" s="1"/>
  <c r="AM1111" i="13" s="1"/>
  <c r="AM1112" i="13" s="1"/>
  <c r="AM1113" i="13" s="1"/>
  <c r="AM1114" i="13" s="1"/>
  <c r="AK1109" i="13"/>
  <c r="AI1109" i="13"/>
  <c r="AG1109" i="13"/>
  <c r="AE1109" i="13"/>
  <c r="AD1109" i="13"/>
  <c r="AC1109" i="13"/>
  <c r="AB1109" i="13"/>
  <c r="AA1109" i="13"/>
  <c r="Z1109" i="13"/>
  <c r="AK1108" i="13"/>
  <c r="AI1108" i="13"/>
  <c r="AG1108" i="13"/>
  <c r="AE1108" i="13"/>
  <c r="AD1108" i="13"/>
  <c r="AC1108" i="13"/>
  <c r="AB1108" i="13"/>
  <c r="AA1108" i="13"/>
  <c r="Z1108" i="13"/>
  <c r="AK1107" i="13"/>
  <c r="AI1107" i="13"/>
  <c r="AG1107" i="13"/>
  <c r="AE1107" i="13"/>
  <c r="AD1107" i="13"/>
  <c r="AC1107" i="13"/>
  <c r="AB1107" i="13"/>
  <c r="AA1107" i="13"/>
  <c r="Z1107" i="13"/>
  <c r="AK1106" i="13"/>
  <c r="AI1106" i="13"/>
  <c r="AG1106" i="13"/>
  <c r="AE1106" i="13"/>
  <c r="AD1106" i="13"/>
  <c r="AC1106" i="13"/>
  <c r="AB1106" i="13"/>
  <c r="AA1106" i="13"/>
  <c r="Z1106" i="13"/>
  <c r="AK1105" i="13"/>
  <c r="AI1105" i="13"/>
  <c r="AG1105" i="13"/>
  <c r="AE1105" i="13"/>
  <c r="AD1105" i="13"/>
  <c r="AC1105" i="13"/>
  <c r="AB1105" i="13"/>
  <c r="AA1105" i="13"/>
  <c r="Z1105" i="13"/>
  <c r="AK1104" i="13"/>
  <c r="AI1104" i="13"/>
  <c r="AG1104" i="13"/>
  <c r="AE1104" i="13"/>
  <c r="AD1104" i="13"/>
  <c r="AC1104" i="13"/>
  <c r="AB1104" i="13"/>
  <c r="AA1104" i="13"/>
  <c r="Z1104" i="13"/>
  <c r="AK1103" i="13"/>
  <c r="AI1103" i="13"/>
  <c r="AG1103" i="13"/>
  <c r="AE1103" i="13"/>
  <c r="AD1103" i="13"/>
  <c r="AC1103" i="13"/>
  <c r="AB1103" i="13"/>
  <c r="AA1103" i="13"/>
  <c r="Z1103" i="13"/>
  <c r="AK1102" i="13"/>
  <c r="AI1102" i="13"/>
  <c r="AG1102" i="13"/>
  <c r="AE1102" i="13"/>
  <c r="AD1102" i="13"/>
  <c r="AC1102" i="13"/>
  <c r="AB1102" i="13"/>
  <c r="AA1102" i="13"/>
  <c r="Z1102" i="13"/>
  <c r="AK1101" i="13"/>
  <c r="AI1101" i="13"/>
  <c r="AG1101" i="13"/>
  <c r="AE1101" i="13"/>
  <c r="AD1101" i="13"/>
  <c r="AC1101" i="13"/>
  <c r="AB1101" i="13"/>
  <c r="AA1101" i="13"/>
  <c r="Z1101" i="13"/>
  <c r="AK1100" i="13"/>
  <c r="AI1100" i="13"/>
  <c r="AG1100" i="13"/>
  <c r="AE1100" i="13"/>
  <c r="AD1100" i="13"/>
  <c r="AC1100" i="13"/>
  <c r="AB1100" i="13"/>
  <c r="AA1100" i="13"/>
  <c r="Z1100" i="13"/>
  <c r="AK1099" i="13"/>
  <c r="AI1099" i="13"/>
  <c r="AG1099" i="13"/>
  <c r="AE1099" i="13"/>
  <c r="AD1099" i="13"/>
  <c r="AC1099" i="13"/>
  <c r="AB1099" i="13"/>
  <c r="AA1099" i="13"/>
  <c r="Z1099" i="13"/>
  <c r="AK1098" i="13"/>
  <c r="AI1098" i="13"/>
  <c r="AG1098" i="13"/>
  <c r="AE1098" i="13"/>
  <c r="AD1098" i="13"/>
  <c r="AC1098" i="13"/>
  <c r="AB1098" i="13"/>
  <c r="AA1098" i="13"/>
  <c r="Z1098" i="13"/>
  <c r="AM1097" i="13"/>
  <c r="AM1098" i="13" s="1"/>
  <c r="AM1099" i="13" s="1"/>
  <c r="AM1100" i="13" s="1"/>
  <c r="AM1101" i="13" s="1"/>
  <c r="AM1102" i="13" s="1"/>
  <c r="AM1103" i="13" s="1"/>
  <c r="AM1104" i="13" s="1"/>
  <c r="AM1105" i="13" s="1"/>
  <c r="AM1106" i="13" s="1"/>
  <c r="AM1107" i="13" s="1"/>
  <c r="AM1108" i="13" s="1"/>
  <c r="AK1097" i="13"/>
  <c r="AI1097" i="13"/>
  <c r="AG1097" i="13"/>
  <c r="AE1097" i="13"/>
  <c r="AD1097" i="13"/>
  <c r="AC1097" i="13"/>
  <c r="AB1097" i="13"/>
  <c r="AA1097" i="13"/>
  <c r="Z1097" i="13"/>
  <c r="AM1096" i="13"/>
  <c r="AK1096" i="13"/>
  <c r="AI1096" i="13"/>
  <c r="AG1096" i="13"/>
  <c r="AH371" i="4" s="1"/>
  <c r="AE1096" i="13"/>
  <c r="AD1096" i="13"/>
  <c r="AC1096" i="13"/>
  <c r="AB1096" i="13"/>
  <c r="AA1096" i="13"/>
  <c r="Z1096" i="13"/>
  <c r="AM1095" i="13"/>
  <c r="AK1095" i="13"/>
  <c r="AI1095" i="13"/>
  <c r="AG1095" i="13"/>
  <c r="AH370" i="4" s="1"/>
  <c r="AE1095" i="13"/>
  <c r="AD1095" i="13"/>
  <c r="AC1095" i="13"/>
  <c r="AB1095" i="13"/>
  <c r="AA1095" i="13"/>
  <c r="Z1095" i="13"/>
  <c r="AM1094" i="13"/>
  <c r="AK1094" i="13"/>
  <c r="AI1094" i="13"/>
  <c r="AG1094" i="13"/>
  <c r="AH369" i="4" s="1"/>
  <c r="AE1094" i="13"/>
  <c r="AD1094" i="13"/>
  <c r="AC1094" i="13"/>
  <c r="AB1094" i="13"/>
  <c r="AA1094" i="13"/>
  <c r="Z1094" i="13"/>
  <c r="AM1093" i="13"/>
  <c r="AK1093" i="13"/>
  <c r="AI1093" i="13"/>
  <c r="AG1093" i="13"/>
  <c r="AH368" i="4" s="1"/>
  <c r="AE1093" i="13"/>
  <c r="AD1093" i="13"/>
  <c r="AC1093" i="13"/>
  <c r="AB1093" i="13"/>
  <c r="AA1093" i="13"/>
  <c r="Z1093" i="13"/>
  <c r="AK1092" i="13"/>
  <c r="AI1092" i="13"/>
  <c r="AG1092" i="13"/>
  <c r="AE1092" i="13"/>
  <c r="AD1092" i="13"/>
  <c r="AC1092" i="13"/>
  <c r="AB1092" i="13"/>
  <c r="AA1092" i="13"/>
  <c r="Z1092" i="13"/>
  <c r="AK1091" i="13"/>
  <c r="AI1091" i="13"/>
  <c r="AG1091" i="13"/>
  <c r="AE1091" i="13"/>
  <c r="AD1091" i="13"/>
  <c r="AC1091" i="13"/>
  <c r="AB1091" i="13"/>
  <c r="AA1091" i="13"/>
  <c r="Z1091" i="13"/>
  <c r="AK1090" i="13"/>
  <c r="AI1090" i="13"/>
  <c r="AG1090" i="13"/>
  <c r="AE1090" i="13"/>
  <c r="AD1090" i="13"/>
  <c r="AC1090" i="13"/>
  <c r="AB1090" i="13"/>
  <c r="AA1090" i="13"/>
  <c r="Z1090" i="13"/>
  <c r="AM1089" i="13"/>
  <c r="AM1090" i="13" s="1"/>
  <c r="AM1091" i="13" s="1"/>
  <c r="AM1092" i="13" s="1"/>
  <c r="AK1089" i="13"/>
  <c r="AI1089" i="13"/>
  <c r="AG1089" i="13"/>
  <c r="AE1089" i="13"/>
  <c r="AD1089" i="13"/>
  <c r="AC1089" i="13"/>
  <c r="AB1089" i="13"/>
  <c r="AA1089" i="13"/>
  <c r="Z1089" i="13"/>
  <c r="AK1088" i="13"/>
  <c r="AI1088" i="13"/>
  <c r="AG1088" i="13"/>
  <c r="AE1088" i="13"/>
  <c r="AD1088" i="13"/>
  <c r="AC1088" i="13"/>
  <c r="AB1088" i="13"/>
  <c r="AA1088" i="13"/>
  <c r="Z1088" i="13"/>
  <c r="AK1087" i="13"/>
  <c r="AI1087" i="13"/>
  <c r="AG1087" i="13"/>
  <c r="AE1087" i="13"/>
  <c r="AD1087" i="13"/>
  <c r="AC1087" i="13"/>
  <c r="AB1087" i="13"/>
  <c r="AA1087" i="13"/>
  <c r="Z1087" i="13"/>
  <c r="AK1086" i="13"/>
  <c r="AI1086" i="13"/>
  <c r="AG1086" i="13"/>
  <c r="AE1086" i="13"/>
  <c r="AD1086" i="13"/>
  <c r="AC1086" i="13"/>
  <c r="AB1086" i="13"/>
  <c r="AA1086" i="13"/>
  <c r="Z1086" i="13"/>
  <c r="AM1085" i="13"/>
  <c r="AM1086" i="13" s="1"/>
  <c r="AM1087" i="13" s="1"/>
  <c r="AM1088" i="13" s="1"/>
  <c r="AK1085" i="13"/>
  <c r="AI1085" i="13"/>
  <c r="AG1085" i="13"/>
  <c r="AE1085" i="13"/>
  <c r="AD1085" i="13"/>
  <c r="AC1085" i="13"/>
  <c r="AB1085" i="13"/>
  <c r="AA1085" i="13"/>
  <c r="Z1085" i="13"/>
  <c r="AK1084" i="13"/>
  <c r="AI1084" i="13"/>
  <c r="AG1084" i="13"/>
  <c r="AE1084" i="13"/>
  <c r="AD1084" i="13"/>
  <c r="AC1084" i="13"/>
  <c r="AB1084" i="13"/>
  <c r="AA1084" i="13"/>
  <c r="Z1084" i="13"/>
  <c r="AK1083" i="13"/>
  <c r="AI1083" i="13"/>
  <c r="AG1083" i="13"/>
  <c r="AE1083" i="13"/>
  <c r="AD1083" i="13"/>
  <c r="AC1083" i="13"/>
  <c r="AB1083" i="13"/>
  <c r="AA1083" i="13"/>
  <c r="Z1083" i="13"/>
  <c r="AK1082" i="13"/>
  <c r="AI1082" i="13"/>
  <c r="AG1082" i="13"/>
  <c r="AE1082" i="13"/>
  <c r="AD1082" i="13"/>
  <c r="AC1082" i="13"/>
  <c r="AB1082" i="13"/>
  <c r="AA1082" i="13"/>
  <c r="Z1082" i="13"/>
  <c r="AK1081" i="13"/>
  <c r="AI1081" i="13"/>
  <c r="AG1081" i="13"/>
  <c r="AE1081" i="13"/>
  <c r="AD1081" i="13"/>
  <c r="AC1081" i="13"/>
  <c r="AB1081" i="13"/>
  <c r="AA1081" i="13"/>
  <c r="Z1081" i="13"/>
  <c r="AK1080" i="13"/>
  <c r="AI1080" i="13"/>
  <c r="AG1080" i="13"/>
  <c r="AE1080" i="13"/>
  <c r="AD1080" i="13"/>
  <c r="AC1080" i="13"/>
  <c r="AB1080" i="13"/>
  <c r="AA1080" i="13"/>
  <c r="Z1080" i="13"/>
  <c r="AM1079" i="13"/>
  <c r="AM1080" i="13" s="1"/>
  <c r="AM1081" i="13" s="1"/>
  <c r="AM1082" i="13" s="1"/>
  <c r="AM1083" i="13" s="1"/>
  <c r="AM1084" i="13" s="1"/>
  <c r="AK1079" i="13"/>
  <c r="AI1079" i="13"/>
  <c r="AG1079" i="13"/>
  <c r="AE1079" i="13"/>
  <c r="AD1079" i="13"/>
  <c r="AC1079" i="13"/>
  <c r="AB1079" i="13"/>
  <c r="AA1079" i="13"/>
  <c r="Z1079" i="13"/>
  <c r="AK1078" i="13"/>
  <c r="AI1078" i="13"/>
  <c r="AG1078" i="13"/>
  <c r="AE1078" i="13"/>
  <c r="AD1078" i="13"/>
  <c r="AC1078" i="13"/>
  <c r="AB1078" i="13"/>
  <c r="AA1078" i="13"/>
  <c r="Z1078" i="13"/>
  <c r="AM1077" i="13"/>
  <c r="AM1078" i="13" s="1"/>
  <c r="AK1077" i="13"/>
  <c r="AI1077" i="13"/>
  <c r="AG1077" i="13"/>
  <c r="AE1077" i="13"/>
  <c r="AD1077" i="13"/>
  <c r="AC1077" i="13"/>
  <c r="AB1077" i="13"/>
  <c r="AA1077" i="13"/>
  <c r="Z1077" i="13"/>
  <c r="AK1076" i="13"/>
  <c r="AI1076" i="13"/>
  <c r="AG1076" i="13"/>
  <c r="AE1076" i="13"/>
  <c r="AD1076" i="13"/>
  <c r="AC1076" i="13"/>
  <c r="AB1076" i="13"/>
  <c r="AA1076" i="13"/>
  <c r="Z1076" i="13"/>
  <c r="AK1075" i="13"/>
  <c r="AI1075" i="13"/>
  <c r="AG1075" i="13"/>
  <c r="AE1075" i="13"/>
  <c r="AD1075" i="13"/>
  <c r="AC1075" i="13"/>
  <c r="AB1075" i="13"/>
  <c r="AA1075" i="13"/>
  <c r="Z1075" i="13"/>
  <c r="AK1074" i="13"/>
  <c r="AI1074" i="13"/>
  <c r="AG1074" i="13"/>
  <c r="AE1074" i="13"/>
  <c r="AD1074" i="13"/>
  <c r="AC1074" i="13"/>
  <c r="AB1074" i="13"/>
  <c r="AA1074" i="13"/>
  <c r="Z1074" i="13"/>
  <c r="AK1073" i="13"/>
  <c r="AI1073" i="13"/>
  <c r="AG1073" i="13"/>
  <c r="AE1073" i="13"/>
  <c r="AD1073" i="13"/>
  <c r="AC1073" i="13"/>
  <c r="AB1073" i="13"/>
  <c r="AA1073" i="13"/>
  <c r="Z1073" i="13"/>
  <c r="AK1072" i="13"/>
  <c r="AI1072" i="13"/>
  <c r="AG1072" i="13"/>
  <c r="AE1072" i="13"/>
  <c r="AD1072" i="13"/>
  <c r="AC1072" i="13"/>
  <c r="AB1072" i="13"/>
  <c r="AA1072" i="13"/>
  <c r="Z1072" i="13"/>
  <c r="AK1071" i="13"/>
  <c r="AI1071" i="13"/>
  <c r="AG1071" i="13"/>
  <c r="AE1071" i="13"/>
  <c r="AD1071" i="13"/>
  <c r="AC1071" i="13"/>
  <c r="AB1071" i="13"/>
  <c r="AA1071" i="13"/>
  <c r="Z1071" i="13"/>
  <c r="AK1070" i="13"/>
  <c r="AI1070" i="13"/>
  <c r="AG1070" i="13"/>
  <c r="AE1070" i="13"/>
  <c r="AD1070" i="13"/>
  <c r="AC1070" i="13"/>
  <c r="AB1070" i="13"/>
  <c r="AA1070" i="13"/>
  <c r="Z1070" i="13"/>
  <c r="AM1069" i="13"/>
  <c r="AM1070" i="13" s="1"/>
  <c r="AM1071" i="13" s="1"/>
  <c r="AM1072" i="13" s="1"/>
  <c r="AM1073" i="13" s="1"/>
  <c r="AM1074" i="13" s="1"/>
  <c r="AM1075" i="13" s="1"/>
  <c r="AM1076" i="13" s="1"/>
  <c r="AK1069" i="13"/>
  <c r="AI1069" i="13"/>
  <c r="AG1069" i="13"/>
  <c r="AE1069" i="13"/>
  <c r="AD1069" i="13"/>
  <c r="AC1069" i="13"/>
  <c r="AB1069" i="13"/>
  <c r="AA1069" i="13"/>
  <c r="Z1069" i="13"/>
  <c r="AK1068" i="13"/>
  <c r="AI1068" i="13"/>
  <c r="AG1068" i="13"/>
  <c r="AE1068" i="13"/>
  <c r="AD1068" i="13"/>
  <c r="AC1068" i="13"/>
  <c r="AB1068" i="13"/>
  <c r="AA1068" i="13"/>
  <c r="Z1068" i="13"/>
  <c r="AK1067" i="13"/>
  <c r="AI1067" i="13"/>
  <c r="AG1067" i="13"/>
  <c r="AE1067" i="13"/>
  <c r="AD1067" i="13"/>
  <c r="AC1067" i="13"/>
  <c r="AB1067" i="13"/>
  <c r="AA1067" i="13"/>
  <c r="Z1067" i="13"/>
  <c r="AK1066" i="13"/>
  <c r="AI1066" i="13"/>
  <c r="AG1066" i="13"/>
  <c r="AE1066" i="13"/>
  <c r="AD1066" i="13"/>
  <c r="AC1066" i="13"/>
  <c r="AB1066" i="13"/>
  <c r="AA1066" i="13"/>
  <c r="Z1066" i="13"/>
  <c r="AK1065" i="13"/>
  <c r="AI1065" i="13"/>
  <c r="AG1065" i="13"/>
  <c r="AE1065" i="13"/>
  <c r="AD1065" i="13"/>
  <c r="AC1065" i="13"/>
  <c r="AB1065" i="13"/>
  <c r="AA1065" i="13"/>
  <c r="Z1065" i="13"/>
  <c r="AK1064" i="13"/>
  <c r="AI1064" i="13"/>
  <c r="AG1064" i="13"/>
  <c r="AE1064" i="13"/>
  <c r="AD1064" i="13"/>
  <c r="AC1064" i="13"/>
  <c r="AB1064" i="13"/>
  <c r="AA1064" i="13"/>
  <c r="Z1064" i="13"/>
  <c r="AK1063" i="13"/>
  <c r="AI1063" i="13"/>
  <c r="AG1063" i="13"/>
  <c r="AE1063" i="13"/>
  <c r="AD1063" i="13"/>
  <c r="AC1063" i="13"/>
  <c r="AB1063" i="13"/>
  <c r="AA1063" i="13"/>
  <c r="Z1063" i="13"/>
  <c r="AM1062" i="13"/>
  <c r="AM1063" i="13" s="1"/>
  <c r="AM1064" i="13" s="1"/>
  <c r="AM1065" i="13" s="1"/>
  <c r="AM1066" i="13" s="1"/>
  <c r="AM1067" i="13" s="1"/>
  <c r="AM1068" i="13" s="1"/>
  <c r="AK1062" i="13"/>
  <c r="AI1062" i="13"/>
  <c r="AG1062" i="13"/>
  <c r="AE1062" i="13"/>
  <c r="AD1062" i="13"/>
  <c r="AC1062" i="13"/>
  <c r="AB1062" i="13"/>
  <c r="AA1062" i="13"/>
  <c r="Z1062" i="13"/>
  <c r="AK1061" i="13"/>
  <c r="AI1061" i="13"/>
  <c r="AG1061" i="13"/>
  <c r="AE1061" i="13"/>
  <c r="AD1061" i="13"/>
  <c r="AC1061" i="13"/>
  <c r="AB1061" i="13"/>
  <c r="AA1061" i="13"/>
  <c r="Z1061" i="13"/>
  <c r="AK1060" i="13"/>
  <c r="AI1060" i="13"/>
  <c r="AG1060" i="13"/>
  <c r="AE1060" i="13"/>
  <c r="AD1060" i="13"/>
  <c r="AC1060" i="13"/>
  <c r="AB1060" i="13"/>
  <c r="AA1060" i="13"/>
  <c r="Z1060" i="13"/>
  <c r="AK1059" i="13"/>
  <c r="AI1059" i="13"/>
  <c r="AG1059" i="13"/>
  <c r="AE1059" i="13"/>
  <c r="AD1059" i="13"/>
  <c r="AC1059" i="13"/>
  <c r="AB1059" i="13"/>
  <c r="AA1059" i="13"/>
  <c r="Z1059" i="13"/>
  <c r="AK1058" i="13"/>
  <c r="AI1058" i="13"/>
  <c r="AG1058" i="13"/>
  <c r="AE1058" i="13"/>
  <c r="AD1058" i="13"/>
  <c r="AC1058" i="13"/>
  <c r="AB1058" i="13"/>
  <c r="AA1058" i="13"/>
  <c r="Z1058" i="13"/>
  <c r="AK1057" i="13"/>
  <c r="AI1057" i="13"/>
  <c r="AG1057" i="13"/>
  <c r="AE1057" i="13"/>
  <c r="AD1057" i="13"/>
  <c r="AC1057" i="13"/>
  <c r="AB1057" i="13"/>
  <c r="AA1057" i="13"/>
  <c r="Z1057" i="13"/>
  <c r="AK1056" i="13"/>
  <c r="AI1056" i="13"/>
  <c r="AG1056" i="13"/>
  <c r="AE1056" i="13"/>
  <c r="AD1056" i="13"/>
  <c r="AC1056" i="13"/>
  <c r="AB1056" i="13"/>
  <c r="AA1056" i="13"/>
  <c r="Z1056" i="13"/>
  <c r="AK1055" i="13"/>
  <c r="AI1055" i="13"/>
  <c r="AG1055" i="13"/>
  <c r="AE1055" i="13"/>
  <c r="AD1055" i="13"/>
  <c r="AC1055" i="13"/>
  <c r="AB1055" i="13"/>
  <c r="AA1055" i="13"/>
  <c r="Z1055" i="13"/>
  <c r="AK1054" i="13"/>
  <c r="AI1054" i="13"/>
  <c r="AG1054" i="13"/>
  <c r="AE1054" i="13"/>
  <c r="AD1054" i="13"/>
  <c r="AC1054" i="13"/>
  <c r="AB1054" i="13"/>
  <c r="AA1054" i="13"/>
  <c r="Z1054" i="13"/>
  <c r="AM1053" i="13"/>
  <c r="AM1054" i="13" s="1"/>
  <c r="AM1055" i="13" s="1"/>
  <c r="AM1056" i="13" s="1"/>
  <c r="AM1057" i="13" s="1"/>
  <c r="AM1058" i="13" s="1"/>
  <c r="AM1059" i="13" s="1"/>
  <c r="AM1060" i="13" s="1"/>
  <c r="AM1061" i="13" s="1"/>
  <c r="AK1053" i="13"/>
  <c r="AI1053" i="13"/>
  <c r="AG1053" i="13"/>
  <c r="AE1053" i="13"/>
  <c r="AD1053" i="13"/>
  <c r="AC1053" i="13"/>
  <c r="AB1053" i="13"/>
  <c r="AA1053" i="13"/>
  <c r="Z1053" i="13"/>
  <c r="AK1052" i="13"/>
  <c r="AI1052" i="13"/>
  <c r="AG1052" i="13"/>
  <c r="AE1052" i="13"/>
  <c r="AD1052" i="13"/>
  <c r="AC1052" i="13"/>
  <c r="AB1052" i="13"/>
  <c r="AA1052" i="13"/>
  <c r="Z1052" i="13"/>
  <c r="AK1051" i="13"/>
  <c r="AI1051" i="13"/>
  <c r="AG1051" i="13"/>
  <c r="AE1051" i="13"/>
  <c r="AD1051" i="13"/>
  <c r="AC1051" i="13"/>
  <c r="AB1051" i="13"/>
  <c r="AA1051" i="13"/>
  <c r="Z1051" i="13"/>
  <c r="AK1050" i="13"/>
  <c r="AI1050" i="13"/>
  <c r="AG1050" i="13"/>
  <c r="AE1050" i="13"/>
  <c r="AD1050" i="13"/>
  <c r="AC1050" i="13"/>
  <c r="AB1050" i="13"/>
  <c r="AA1050" i="13"/>
  <c r="Z1050" i="13"/>
  <c r="AM1049" i="13"/>
  <c r="AM1050" i="13" s="1"/>
  <c r="AM1051" i="13" s="1"/>
  <c r="AM1052" i="13" s="1"/>
  <c r="AK1049" i="13"/>
  <c r="AI1049" i="13"/>
  <c r="AG1049" i="13"/>
  <c r="AE1049" i="13"/>
  <c r="AD1049" i="13"/>
  <c r="AC1049" i="13"/>
  <c r="AB1049" i="13"/>
  <c r="AA1049" i="13"/>
  <c r="Z1049" i="13"/>
  <c r="AK1048" i="13"/>
  <c r="AI1048" i="13"/>
  <c r="AG1048" i="13"/>
  <c r="AE1048" i="13"/>
  <c r="AD1048" i="13"/>
  <c r="AC1048" i="13"/>
  <c r="AB1048" i="13"/>
  <c r="AA1048" i="13"/>
  <c r="Z1048" i="13"/>
  <c r="AK1047" i="13"/>
  <c r="AI1047" i="13"/>
  <c r="AG1047" i="13"/>
  <c r="AE1047" i="13"/>
  <c r="AD1047" i="13"/>
  <c r="AC1047" i="13"/>
  <c r="AB1047" i="13"/>
  <c r="AA1047" i="13"/>
  <c r="Z1047" i="13"/>
  <c r="AK1046" i="13"/>
  <c r="AI1046" i="13"/>
  <c r="AG1046" i="13"/>
  <c r="AE1046" i="13"/>
  <c r="AD1046" i="13"/>
  <c r="AC1046" i="13"/>
  <c r="AB1046" i="13"/>
  <c r="AA1046" i="13"/>
  <c r="Z1046" i="13"/>
  <c r="AK1045" i="13"/>
  <c r="AI1045" i="13"/>
  <c r="AG1045" i="13"/>
  <c r="AE1045" i="13"/>
  <c r="AD1045" i="13"/>
  <c r="AC1045" i="13"/>
  <c r="AB1045" i="13"/>
  <c r="AA1045" i="13"/>
  <c r="Z1045" i="13"/>
  <c r="AM1044" i="13"/>
  <c r="AM1045" i="13" s="1"/>
  <c r="AM1046" i="13" s="1"/>
  <c r="AM1047" i="13" s="1"/>
  <c r="AM1048" i="13" s="1"/>
  <c r="AK1044" i="13"/>
  <c r="AI1044" i="13"/>
  <c r="AG1044" i="13"/>
  <c r="AE1044" i="13"/>
  <c r="AD1044" i="13"/>
  <c r="AC1044" i="13"/>
  <c r="AB1044" i="13"/>
  <c r="AA1044" i="13"/>
  <c r="Z1044" i="13"/>
  <c r="AK1043" i="13"/>
  <c r="AI1043" i="13"/>
  <c r="AG1043" i="13"/>
  <c r="AE1043" i="13"/>
  <c r="AD1043" i="13"/>
  <c r="AC1043" i="13"/>
  <c r="AB1043" i="13"/>
  <c r="AA1043" i="13"/>
  <c r="Z1043" i="13"/>
  <c r="AK1042" i="13"/>
  <c r="AI1042" i="13"/>
  <c r="AG1042" i="13"/>
  <c r="AE1042" i="13"/>
  <c r="AD1042" i="13"/>
  <c r="AC1042" i="13"/>
  <c r="AB1042" i="13"/>
  <c r="AA1042" i="13"/>
  <c r="Z1042" i="13"/>
  <c r="AK1041" i="13"/>
  <c r="AI1041" i="13"/>
  <c r="AG1041" i="13"/>
  <c r="AE1041" i="13"/>
  <c r="AD1041" i="13"/>
  <c r="AC1041" i="13"/>
  <c r="AB1041" i="13"/>
  <c r="AA1041" i="13"/>
  <c r="Z1041" i="13"/>
  <c r="AM1040" i="13"/>
  <c r="AM1041" i="13" s="1"/>
  <c r="AM1042" i="13" s="1"/>
  <c r="AM1043" i="13" s="1"/>
  <c r="AK1040" i="13"/>
  <c r="AI1040" i="13"/>
  <c r="AG1040" i="13"/>
  <c r="AE1040" i="13"/>
  <c r="AD1040" i="13"/>
  <c r="AC1040" i="13"/>
  <c r="AB1040" i="13"/>
  <c r="AA1040" i="13"/>
  <c r="Z1040" i="13"/>
  <c r="AK1039" i="13"/>
  <c r="AI1039" i="13"/>
  <c r="AG1039" i="13"/>
  <c r="AE1039" i="13"/>
  <c r="AD1039" i="13"/>
  <c r="AC1039" i="13"/>
  <c r="AB1039" i="13"/>
  <c r="AA1039" i="13"/>
  <c r="Z1039" i="13"/>
  <c r="AK1038" i="13"/>
  <c r="AI1038" i="13"/>
  <c r="AG1038" i="13"/>
  <c r="AE1038" i="13"/>
  <c r="AD1038" i="13"/>
  <c r="AC1038" i="13"/>
  <c r="AB1038" i="13"/>
  <c r="AA1038" i="13"/>
  <c r="Z1038" i="13"/>
  <c r="AK1037" i="13"/>
  <c r="AI1037" i="13"/>
  <c r="AG1037" i="13"/>
  <c r="AE1037" i="13"/>
  <c r="AD1037" i="13"/>
  <c r="AC1037" i="13"/>
  <c r="AB1037" i="13"/>
  <c r="AA1037" i="13"/>
  <c r="Z1037" i="13"/>
  <c r="AK1036" i="13"/>
  <c r="AI1036" i="13"/>
  <c r="AG1036" i="13"/>
  <c r="AE1036" i="13"/>
  <c r="AD1036" i="13"/>
  <c r="AC1036" i="13"/>
  <c r="AB1036" i="13"/>
  <c r="AA1036" i="13"/>
  <c r="Z1036" i="13"/>
  <c r="AK1035" i="13"/>
  <c r="AI1035" i="13"/>
  <c r="AG1035" i="13"/>
  <c r="AE1035" i="13"/>
  <c r="AD1035" i="13"/>
  <c r="AC1035" i="13"/>
  <c r="AB1035" i="13"/>
  <c r="AA1035" i="13"/>
  <c r="Z1035" i="13"/>
  <c r="AM1034" i="13"/>
  <c r="AM1035" i="13" s="1"/>
  <c r="AM1036" i="13" s="1"/>
  <c r="AM1037" i="13" s="1"/>
  <c r="AM1038" i="13" s="1"/>
  <c r="AM1039" i="13" s="1"/>
  <c r="AK1034" i="13"/>
  <c r="AI1034" i="13"/>
  <c r="AG1034" i="13"/>
  <c r="AE1034" i="13"/>
  <c r="AD1034" i="13"/>
  <c r="AC1034" i="13"/>
  <c r="AB1034" i="13"/>
  <c r="AA1034" i="13"/>
  <c r="Z1034" i="13"/>
  <c r="AK1033" i="13"/>
  <c r="AI1033" i="13"/>
  <c r="AG1033" i="13"/>
  <c r="AE1033" i="13"/>
  <c r="AD1033" i="13"/>
  <c r="AC1033" i="13"/>
  <c r="AB1033" i="13"/>
  <c r="AA1033" i="13"/>
  <c r="Z1033" i="13"/>
  <c r="AK1032" i="13"/>
  <c r="AI1032" i="13"/>
  <c r="AG1032" i="13"/>
  <c r="AE1032" i="13"/>
  <c r="AD1032" i="13"/>
  <c r="AC1032" i="13"/>
  <c r="AB1032" i="13"/>
  <c r="AA1032" i="13"/>
  <c r="Z1032" i="13"/>
  <c r="AK1031" i="13"/>
  <c r="AI1031" i="13"/>
  <c r="AG1031" i="13"/>
  <c r="AE1031" i="13"/>
  <c r="AD1031" i="13"/>
  <c r="AC1031" i="13"/>
  <c r="AB1031" i="13"/>
  <c r="AA1031" i="13"/>
  <c r="Z1031" i="13"/>
  <c r="AK1030" i="13"/>
  <c r="AI1030" i="13"/>
  <c r="AG1030" i="13"/>
  <c r="AE1030" i="13"/>
  <c r="AD1030" i="13"/>
  <c r="AC1030" i="13"/>
  <c r="AB1030" i="13"/>
  <c r="AA1030" i="13"/>
  <c r="Z1030" i="13"/>
  <c r="AK1029" i="13"/>
  <c r="AI1029" i="13"/>
  <c r="AG1029" i="13"/>
  <c r="AE1029" i="13"/>
  <c r="AD1029" i="13"/>
  <c r="AC1029" i="13"/>
  <c r="AB1029" i="13"/>
  <c r="AA1029" i="13"/>
  <c r="Z1029" i="13"/>
  <c r="AK1028" i="13"/>
  <c r="AI1028" i="13"/>
  <c r="AG1028" i="13"/>
  <c r="AE1028" i="13"/>
  <c r="AD1028" i="13"/>
  <c r="AC1028" i="13"/>
  <c r="AB1028" i="13"/>
  <c r="AA1028" i="13"/>
  <c r="Z1028" i="13"/>
  <c r="AK1027" i="13"/>
  <c r="AI1027" i="13"/>
  <c r="AG1027" i="13"/>
  <c r="AE1027" i="13"/>
  <c r="AD1027" i="13"/>
  <c r="AC1027" i="13"/>
  <c r="AB1027" i="13"/>
  <c r="AA1027" i="13"/>
  <c r="Z1027" i="13"/>
  <c r="AK1026" i="13"/>
  <c r="AI1026" i="13"/>
  <c r="AG1026" i="13"/>
  <c r="AE1026" i="13"/>
  <c r="AD1026" i="13"/>
  <c r="AC1026" i="13"/>
  <c r="AB1026" i="13"/>
  <c r="AA1026" i="13"/>
  <c r="Z1026" i="13"/>
  <c r="AK1025" i="13"/>
  <c r="AI1025" i="13"/>
  <c r="AG1025" i="13"/>
  <c r="AE1025" i="13"/>
  <c r="AD1025" i="13"/>
  <c r="AC1025" i="13"/>
  <c r="AB1025" i="13"/>
  <c r="AA1025" i="13"/>
  <c r="Z1025" i="13"/>
  <c r="AK1024" i="13"/>
  <c r="AI1024" i="13"/>
  <c r="AG1024" i="13"/>
  <c r="AE1024" i="13"/>
  <c r="AD1024" i="13"/>
  <c r="AC1024" i="13"/>
  <c r="AB1024" i="13"/>
  <c r="AA1024" i="13"/>
  <c r="Z1024" i="13"/>
  <c r="AK1023" i="13"/>
  <c r="AI1023" i="13"/>
  <c r="AG1023" i="13"/>
  <c r="AE1023" i="13"/>
  <c r="AD1023" i="13"/>
  <c r="AC1023" i="13"/>
  <c r="AB1023" i="13"/>
  <c r="AA1023" i="13"/>
  <c r="Z1023" i="13"/>
  <c r="AK1022" i="13"/>
  <c r="AI1022" i="13"/>
  <c r="AG1022" i="13"/>
  <c r="AE1022" i="13"/>
  <c r="AD1022" i="13"/>
  <c r="AC1022" i="13"/>
  <c r="AB1022" i="13"/>
  <c r="AA1022" i="13"/>
  <c r="Z1022" i="13"/>
  <c r="AK1021" i="13"/>
  <c r="AI1021" i="13"/>
  <c r="AG1021" i="13"/>
  <c r="AE1021" i="13"/>
  <c r="AD1021" i="13"/>
  <c r="AC1021" i="13"/>
  <c r="AB1021" i="13"/>
  <c r="AA1021" i="13"/>
  <c r="Z1021" i="13"/>
  <c r="AM1020" i="13"/>
  <c r="AM1021" i="13" s="1"/>
  <c r="AM1022" i="13" s="1"/>
  <c r="AM1023" i="13" s="1"/>
  <c r="AM1024" i="13" s="1"/>
  <c r="AM1025" i="13" s="1"/>
  <c r="AM1026" i="13" s="1"/>
  <c r="AM1027" i="13" s="1"/>
  <c r="AM1028" i="13" s="1"/>
  <c r="AM1029" i="13" s="1"/>
  <c r="AM1030" i="13" s="1"/>
  <c r="AM1031" i="13" s="1"/>
  <c r="AM1032" i="13" s="1"/>
  <c r="AM1033" i="13" s="1"/>
  <c r="AK1020" i="13"/>
  <c r="AI1020" i="13"/>
  <c r="AG1020" i="13"/>
  <c r="AE1020" i="13"/>
  <c r="AD1020" i="13"/>
  <c r="AC1020" i="13"/>
  <c r="AB1020" i="13"/>
  <c r="AA1020" i="13"/>
  <c r="Z1020" i="13"/>
  <c r="AK1019" i="13"/>
  <c r="AI1019" i="13"/>
  <c r="AG1019" i="13"/>
  <c r="AE1019" i="13"/>
  <c r="AD1019" i="13"/>
  <c r="AC1019" i="13"/>
  <c r="AB1019" i="13"/>
  <c r="AA1019" i="13"/>
  <c r="Z1019" i="13"/>
  <c r="AK1018" i="13"/>
  <c r="AI1018" i="13"/>
  <c r="AG1018" i="13"/>
  <c r="AE1018" i="13"/>
  <c r="AD1018" i="13"/>
  <c r="AC1018" i="13"/>
  <c r="AB1018" i="13"/>
  <c r="AA1018" i="13"/>
  <c r="Z1018" i="13"/>
  <c r="AK1017" i="13"/>
  <c r="AI1017" i="13"/>
  <c r="AG1017" i="13"/>
  <c r="AE1017" i="13"/>
  <c r="AD1017" i="13"/>
  <c r="AC1017" i="13"/>
  <c r="AB1017" i="13"/>
  <c r="AA1017" i="13"/>
  <c r="Z1017" i="13"/>
  <c r="AK1016" i="13"/>
  <c r="AI1016" i="13"/>
  <c r="AG1016" i="13"/>
  <c r="AE1016" i="13"/>
  <c r="AD1016" i="13"/>
  <c r="AC1016" i="13"/>
  <c r="AB1016" i="13"/>
  <c r="AA1016" i="13"/>
  <c r="Z1016" i="13"/>
  <c r="AK1015" i="13"/>
  <c r="AI1015" i="13"/>
  <c r="AG1015" i="13"/>
  <c r="AE1015" i="13"/>
  <c r="AD1015" i="13"/>
  <c r="AC1015" i="13"/>
  <c r="AB1015" i="13"/>
  <c r="AA1015" i="13"/>
  <c r="Z1015" i="13"/>
  <c r="AK1014" i="13"/>
  <c r="AI1014" i="13"/>
  <c r="AG1014" i="13"/>
  <c r="AE1014" i="13"/>
  <c r="AD1014" i="13"/>
  <c r="AC1014" i="13"/>
  <c r="AB1014" i="13"/>
  <c r="AA1014" i="13"/>
  <c r="Z1014" i="13"/>
  <c r="AK1013" i="13"/>
  <c r="AI1013" i="13"/>
  <c r="AG1013" i="13"/>
  <c r="AE1013" i="13"/>
  <c r="AD1013" i="13"/>
  <c r="AC1013" i="13"/>
  <c r="AB1013" i="13"/>
  <c r="AA1013" i="13"/>
  <c r="Z1013" i="13"/>
  <c r="AK1012" i="13"/>
  <c r="AI1012" i="13"/>
  <c r="AG1012" i="13"/>
  <c r="AE1012" i="13"/>
  <c r="AD1012" i="13"/>
  <c r="AC1012" i="13"/>
  <c r="AB1012" i="13"/>
  <c r="AA1012" i="13"/>
  <c r="Z1012" i="13"/>
  <c r="AK1011" i="13"/>
  <c r="AI1011" i="13"/>
  <c r="AG1011" i="13"/>
  <c r="AE1011" i="13"/>
  <c r="AD1011" i="13"/>
  <c r="AC1011" i="13"/>
  <c r="AB1011" i="13"/>
  <c r="AA1011" i="13"/>
  <c r="Z1011" i="13"/>
  <c r="AM1010" i="13"/>
  <c r="AM1011" i="13" s="1"/>
  <c r="AM1012" i="13" s="1"/>
  <c r="AM1013" i="13" s="1"/>
  <c r="AM1014" i="13" s="1"/>
  <c r="AM1015" i="13" s="1"/>
  <c r="AM1016" i="13" s="1"/>
  <c r="AM1017" i="13" s="1"/>
  <c r="AM1018" i="13" s="1"/>
  <c r="AM1019" i="13" s="1"/>
  <c r="AK1010" i="13"/>
  <c r="AI1010" i="13"/>
  <c r="AG1010" i="13"/>
  <c r="AH555" i="4" s="1"/>
  <c r="AE1010" i="13"/>
  <c r="AD1010" i="13"/>
  <c r="AC1010" i="13"/>
  <c r="AB1010" i="13"/>
  <c r="AA1010" i="13"/>
  <c r="Z1010" i="13"/>
  <c r="AK1009" i="13"/>
  <c r="AI1009" i="13"/>
  <c r="AG1009" i="13"/>
  <c r="AE1009" i="13"/>
  <c r="AD1009" i="13"/>
  <c r="AC1009" i="13"/>
  <c r="AB1009" i="13"/>
  <c r="AA1009" i="13"/>
  <c r="Z1009" i="13"/>
  <c r="AK1008" i="13"/>
  <c r="AI1008" i="13"/>
  <c r="AG1008" i="13"/>
  <c r="AE1008" i="13"/>
  <c r="AD1008" i="13"/>
  <c r="AC1008" i="13"/>
  <c r="AB1008" i="13"/>
  <c r="AA1008" i="13"/>
  <c r="Z1008" i="13"/>
  <c r="AK1007" i="13"/>
  <c r="AI1007" i="13"/>
  <c r="AG1007" i="13"/>
  <c r="AE1007" i="13"/>
  <c r="AD1007" i="13"/>
  <c r="AC1007" i="13"/>
  <c r="AB1007" i="13"/>
  <c r="AA1007" i="13"/>
  <c r="Z1007" i="13"/>
  <c r="AK1006" i="13"/>
  <c r="AI1006" i="13"/>
  <c r="AG1006" i="13"/>
  <c r="AE1006" i="13"/>
  <c r="AD1006" i="13"/>
  <c r="AC1006" i="13"/>
  <c r="AB1006" i="13"/>
  <c r="AA1006" i="13"/>
  <c r="Z1006" i="13"/>
  <c r="AK1005" i="13"/>
  <c r="AI1005" i="13"/>
  <c r="AG1005" i="13"/>
  <c r="AE1005" i="13"/>
  <c r="AD1005" i="13"/>
  <c r="AC1005" i="13"/>
  <c r="AB1005" i="13"/>
  <c r="AA1005" i="13"/>
  <c r="Z1005" i="13"/>
  <c r="AK1004" i="13"/>
  <c r="AI1004" i="13"/>
  <c r="AG1004" i="13"/>
  <c r="AE1004" i="13"/>
  <c r="AD1004" i="13"/>
  <c r="AC1004" i="13"/>
  <c r="AB1004" i="13"/>
  <c r="AA1004" i="13"/>
  <c r="Z1004" i="13"/>
  <c r="AK1003" i="13"/>
  <c r="AI1003" i="13"/>
  <c r="AG1003" i="13"/>
  <c r="AE1003" i="13"/>
  <c r="AD1003" i="13"/>
  <c r="AC1003" i="13"/>
  <c r="AB1003" i="13"/>
  <c r="AA1003" i="13"/>
  <c r="Z1003" i="13"/>
  <c r="AK1002" i="13"/>
  <c r="AI1002" i="13"/>
  <c r="AG1002" i="13"/>
  <c r="AE1002" i="13"/>
  <c r="AD1002" i="13"/>
  <c r="AC1002" i="13"/>
  <c r="AB1002" i="13"/>
  <c r="AA1002" i="13"/>
  <c r="Z1002" i="13"/>
  <c r="AK1001" i="13"/>
  <c r="AI1001" i="13"/>
  <c r="AG1001" i="13"/>
  <c r="AE1001" i="13"/>
  <c r="AD1001" i="13"/>
  <c r="AC1001" i="13"/>
  <c r="AB1001" i="13"/>
  <c r="AA1001" i="13"/>
  <c r="Z1001" i="13"/>
  <c r="AM1000" i="13"/>
  <c r="AM1001" i="13" s="1"/>
  <c r="AM1002" i="13" s="1"/>
  <c r="AM1003" i="13" s="1"/>
  <c r="AM1004" i="13" s="1"/>
  <c r="AM1005" i="13" s="1"/>
  <c r="AM1006" i="13" s="1"/>
  <c r="AM1007" i="13" s="1"/>
  <c r="AM1008" i="13" s="1"/>
  <c r="AM1009" i="13" s="1"/>
  <c r="AK1000" i="13"/>
  <c r="AI1000" i="13"/>
  <c r="AG1000" i="13"/>
  <c r="AE1000" i="13"/>
  <c r="AD1000" i="13"/>
  <c r="AC1000" i="13"/>
  <c r="AB1000" i="13"/>
  <c r="AA1000" i="13"/>
  <c r="Z1000" i="13"/>
  <c r="AK999" i="13"/>
  <c r="AI999" i="13"/>
  <c r="AG999" i="13"/>
  <c r="AE999" i="13"/>
  <c r="AD999" i="13"/>
  <c r="AC999" i="13"/>
  <c r="AB999" i="13"/>
  <c r="AA999" i="13"/>
  <c r="Z999" i="13"/>
  <c r="AK998" i="13"/>
  <c r="AI998" i="13"/>
  <c r="AG998" i="13"/>
  <c r="AE998" i="13"/>
  <c r="AD998" i="13"/>
  <c r="AC998" i="13"/>
  <c r="AB998" i="13"/>
  <c r="AA998" i="13"/>
  <c r="Z998" i="13"/>
  <c r="AK997" i="13"/>
  <c r="AI997" i="13"/>
  <c r="AG997" i="13"/>
  <c r="AE997" i="13"/>
  <c r="AD997" i="13"/>
  <c r="AC997" i="13"/>
  <c r="AB997" i="13"/>
  <c r="AA997" i="13"/>
  <c r="Z997" i="13"/>
  <c r="AK996" i="13"/>
  <c r="AI996" i="13"/>
  <c r="AG996" i="13"/>
  <c r="AE996" i="13"/>
  <c r="AD996" i="13"/>
  <c r="AC996" i="13"/>
  <c r="AB996" i="13"/>
  <c r="AA996" i="13"/>
  <c r="Z996" i="13"/>
  <c r="AK995" i="13"/>
  <c r="AI995" i="13"/>
  <c r="AG995" i="13"/>
  <c r="AE995" i="13"/>
  <c r="AD995" i="13"/>
  <c r="AC995" i="13"/>
  <c r="AB995" i="13"/>
  <c r="AA995" i="13"/>
  <c r="Z995" i="13"/>
  <c r="AK994" i="13"/>
  <c r="AI994" i="13"/>
  <c r="AG994" i="13"/>
  <c r="AE994" i="13"/>
  <c r="AD994" i="13"/>
  <c r="AC994" i="13"/>
  <c r="AB994" i="13"/>
  <c r="AA994" i="13"/>
  <c r="Z994" i="13"/>
  <c r="AK993" i="13"/>
  <c r="AI993" i="13"/>
  <c r="AG993" i="13"/>
  <c r="AE993" i="13"/>
  <c r="AD993" i="13"/>
  <c r="AC993" i="13"/>
  <c r="AB993" i="13"/>
  <c r="AA993" i="13"/>
  <c r="Z993" i="13"/>
  <c r="AK992" i="13"/>
  <c r="AI992" i="13"/>
  <c r="AG992" i="13"/>
  <c r="AE992" i="13"/>
  <c r="AD992" i="13"/>
  <c r="AC992" i="13"/>
  <c r="AB992" i="13"/>
  <c r="AA992" i="13"/>
  <c r="Z992" i="13"/>
  <c r="AK991" i="13"/>
  <c r="AI991" i="13"/>
  <c r="AG991" i="13"/>
  <c r="AE991" i="13"/>
  <c r="AD991" i="13"/>
  <c r="AC991" i="13"/>
  <c r="AB991" i="13"/>
  <c r="AA991" i="13"/>
  <c r="Z991" i="13"/>
  <c r="AK990" i="13"/>
  <c r="AI990" i="13"/>
  <c r="AG990" i="13"/>
  <c r="AE990" i="13"/>
  <c r="AD990" i="13"/>
  <c r="AC990" i="13"/>
  <c r="AB990" i="13"/>
  <c r="AA990" i="13"/>
  <c r="Z990" i="13"/>
  <c r="AK989" i="13"/>
  <c r="AI989" i="13"/>
  <c r="AG989" i="13"/>
  <c r="AE989" i="13"/>
  <c r="AD989" i="13"/>
  <c r="AC989" i="13"/>
  <c r="AB989" i="13"/>
  <c r="AA989" i="13"/>
  <c r="Z989" i="13"/>
  <c r="AM988" i="13"/>
  <c r="AM989" i="13" s="1"/>
  <c r="AM990" i="13" s="1"/>
  <c r="AM991" i="13" s="1"/>
  <c r="AM992" i="13" s="1"/>
  <c r="AM993" i="13" s="1"/>
  <c r="AM994" i="13" s="1"/>
  <c r="AM995" i="13" s="1"/>
  <c r="AM996" i="13" s="1"/>
  <c r="AM997" i="13" s="1"/>
  <c r="AM998" i="13" s="1"/>
  <c r="AM999" i="13" s="1"/>
  <c r="AK988" i="13"/>
  <c r="AI988" i="13"/>
  <c r="AG988" i="13"/>
  <c r="AH382" i="4" s="1"/>
  <c r="AE988" i="13"/>
  <c r="AD988" i="13"/>
  <c r="AC988" i="13"/>
  <c r="AB988" i="13"/>
  <c r="AA988" i="13"/>
  <c r="Z988" i="13"/>
  <c r="AK987" i="13"/>
  <c r="AI987" i="13"/>
  <c r="AG987" i="13"/>
  <c r="AE987" i="13"/>
  <c r="AD987" i="13"/>
  <c r="AC987" i="13"/>
  <c r="AB987" i="13"/>
  <c r="AA987" i="13"/>
  <c r="Z987" i="13"/>
  <c r="AK986" i="13"/>
  <c r="AI986" i="13"/>
  <c r="AG986" i="13"/>
  <c r="AE986" i="13"/>
  <c r="AD986" i="13"/>
  <c r="AC986" i="13"/>
  <c r="AB986" i="13"/>
  <c r="AA986" i="13"/>
  <c r="Z986" i="13"/>
  <c r="AK985" i="13"/>
  <c r="AI985" i="13"/>
  <c r="AG985" i="13"/>
  <c r="AE985" i="13"/>
  <c r="AD985" i="13"/>
  <c r="AC985" i="13"/>
  <c r="AB985" i="13"/>
  <c r="AA985" i="13"/>
  <c r="Z985" i="13"/>
  <c r="AK984" i="13"/>
  <c r="AI984" i="13"/>
  <c r="AG984" i="13"/>
  <c r="AE984" i="13"/>
  <c r="AD984" i="13"/>
  <c r="AC984" i="13"/>
  <c r="AB984" i="13"/>
  <c r="AA984" i="13"/>
  <c r="Z984" i="13"/>
  <c r="AK983" i="13"/>
  <c r="AI983" i="13"/>
  <c r="AG983" i="13"/>
  <c r="AE983" i="13"/>
  <c r="AD983" i="13"/>
  <c r="AC983" i="13"/>
  <c r="AB983" i="13"/>
  <c r="AA983" i="13"/>
  <c r="Z983" i="13"/>
  <c r="AM982" i="13"/>
  <c r="AM983" i="13" s="1"/>
  <c r="AM984" i="13" s="1"/>
  <c r="AM985" i="13" s="1"/>
  <c r="AM986" i="13" s="1"/>
  <c r="AM987" i="13" s="1"/>
  <c r="AK982" i="13"/>
  <c r="AI982" i="13"/>
  <c r="AG982" i="13"/>
  <c r="AE982" i="13"/>
  <c r="AD982" i="13"/>
  <c r="AC982" i="13"/>
  <c r="AB982" i="13"/>
  <c r="AA982" i="13"/>
  <c r="Z982" i="13"/>
  <c r="AK981" i="13"/>
  <c r="AI981" i="13"/>
  <c r="AG981" i="13"/>
  <c r="AE981" i="13"/>
  <c r="AD981" i="13"/>
  <c r="AC981" i="13"/>
  <c r="AB981" i="13"/>
  <c r="AA981" i="13"/>
  <c r="Z981" i="13"/>
  <c r="AK980" i="13"/>
  <c r="AI980" i="13"/>
  <c r="AG980" i="13"/>
  <c r="AE980" i="13"/>
  <c r="AD980" i="13"/>
  <c r="AC980" i="13"/>
  <c r="AB980" i="13"/>
  <c r="AA980" i="13"/>
  <c r="Z980" i="13"/>
  <c r="AK979" i="13"/>
  <c r="AI979" i="13"/>
  <c r="AG979" i="13"/>
  <c r="AE979" i="13"/>
  <c r="AD979" i="13"/>
  <c r="AC979" i="13"/>
  <c r="AB979" i="13"/>
  <c r="AA979" i="13"/>
  <c r="Z979" i="13"/>
  <c r="AK978" i="13"/>
  <c r="AI978" i="13"/>
  <c r="AG978" i="13"/>
  <c r="AE978" i="13"/>
  <c r="AD978" i="13"/>
  <c r="AC978" i="13"/>
  <c r="AB978" i="13"/>
  <c r="AA978" i="13"/>
  <c r="Z978" i="13"/>
  <c r="AK977" i="13"/>
  <c r="AI977" i="13"/>
  <c r="AG977" i="13"/>
  <c r="AE977" i="13"/>
  <c r="AD977" i="13"/>
  <c r="AC977" i="13"/>
  <c r="AB977" i="13"/>
  <c r="AA977" i="13"/>
  <c r="Z977" i="13"/>
  <c r="AK976" i="13"/>
  <c r="AI976" i="13"/>
  <c r="AG976" i="13"/>
  <c r="AE976" i="13"/>
  <c r="AD976" i="13"/>
  <c r="AC976" i="13"/>
  <c r="AB976" i="13"/>
  <c r="AA976" i="13"/>
  <c r="Z976" i="13"/>
  <c r="AK975" i="13"/>
  <c r="AI975" i="13"/>
  <c r="AG975" i="13"/>
  <c r="AE975" i="13"/>
  <c r="AD975" i="13"/>
  <c r="AC975" i="13"/>
  <c r="AB975" i="13"/>
  <c r="AA975" i="13"/>
  <c r="Z975" i="13"/>
  <c r="AM974" i="13"/>
  <c r="AM975" i="13" s="1"/>
  <c r="AM976" i="13" s="1"/>
  <c r="AM977" i="13" s="1"/>
  <c r="AM978" i="13" s="1"/>
  <c r="AM979" i="13" s="1"/>
  <c r="AM980" i="13" s="1"/>
  <c r="AM981" i="13" s="1"/>
  <c r="AK974" i="13"/>
  <c r="AI974" i="13"/>
  <c r="AG974" i="13"/>
  <c r="AE974" i="13"/>
  <c r="AD974" i="13"/>
  <c r="AC974" i="13"/>
  <c r="AB974" i="13"/>
  <c r="AA974" i="13"/>
  <c r="Z974" i="13"/>
  <c r="AK973" i="13"/>
  <c r="AI973" i="13"/>
  <c r="AG973" i="13"/>
  <c r="AE973" i="13"/>
  <c r="AD973" i="13"/>
  <c r="AC973" i="13"/>
  <c r="AB973" i="13"/>
  <c r="AA973" i="13"/>
  <c r="Z973" i="13"/>
  <c r="AK972" i="13"/>
  <c r="AI972" i="13"/>
  <c r="AG972" i="13"/>
  <c r="AE972" i="13"/>
  <c r="AD972" i="13"/>
  <c r="AC972" i="13"/>
  <c r="AB972" i="13"/>
  <c r="AA972" i="13"/>
  <c r="Z972" i="13"/>
  <c r="AK971" i="13"/>
  <c r="AI971" i="13"/>
  <c r="AG971" i="13"/>
  <c r="AE971" i="13"/>
  <c r="AD971" i="13"/>
  <c r="AC971" i="13"/>
  <c r="AB971" i="13"/>
  <c r="AA971" i="13"/>
  <c r="Z971" i="13"/>
  <c r="AK970" i="13"/>
  <c r="AI970" i="13"/>
  <c r="AG970" i="13"/>
  <c r="AE970" i="13"/>
  <c r="AD970" i="13"/>
  <c r="AC970" i="13"/>
  <c r="AB970" i="13"/>
  <c r="AA970" i="13"/>
  <c r="Z970" i="13"/>
  <c r="AK969" i="13"/>
  <c r="AI969" i="13"/>
  <c r="AG969" i="13"/>
  <c r="AE969" i="13"/>
  <c r="AD969" i="13"/>
  <c r="AC969" i="13"/>
  <c r="AB969" i="13"/>
  <c r="AA969" i="13"/>
  <c r="Z969" i="13"/>
  <c r="AK968" i="13"/>
  <c r="AI968" i="13"/>
  <c r="AG968" i="13"/>
  <c r="AE968" i="13"/>
  <c r="AD968" i="13"/>
  <c r="AC968" i="13"/>
  <c r="AB968" i="13"/>
  <c r="AA968" i="13"/>
  <c r="Z968" i="13"/>
  <c r="AK967" i="13"/>
  <c r="AI967" i="13"/>
  <c r="AG967" i="13"/>
  <c r="AE967" i="13"/>
  <c r="AD967" i="13"/>
  <c r="AC967" i="13"/>
  <c r="AB967" i="13"/>
  <c r="AA967" i="13"/>
  <c r="Z967" i="13"/>
  <c r="AK966" i="13"/>
  <c r="AI966" i="13"/>
  <c r="AG966" i="13"/>
  <c r="AE966" i="13"/>
  <c r="AD966" i="13"/>
  <c r="AC966" i="13"/>
  <c r="AB966" i="13"/>
  <c r="AA966" i="13"/>
  <c r="Z966" i="13"/>
  <c r="AK965" i="13"/>
  <c r="AI965" i="13"/>
  <c r="AG965" i="13"/>
  <c r="AE965" i="13"/>
  <c r="AD965" i="13"/>
  <c r="AC965" i="13"/>
  <c r="AB965" i="13"/>
  <c r="AA965" i="13"/>
  <c r="Z965" i="13"/>
  <c r="AK964" i="13"/>
  <c r="AI964" i="13"/>
  <c r="AG964" i="13"/>
  <c r="AE964" i="13"/>
  <c r="AD964" i="13"/>
  <c r="AC964" i="13"/>
  <c r="AB964" i="13"/>
  <c r="AA964" i="13"/>
  <c r="Z964" i="13"/>
  <c r="AK963" i="13"/>
  <c r="AI963" i="13"/>
  <c r="AG963" i="13"/>
  <c r="AE963" i="13"/>
  <c r="AD963" i="13"/>
  <c r="AC963" i="13"/>
  <c r="AB963" i="13"/>
  <c r="AA963" i="13"/>
  <c r="Z963" i="13"/>
  <c r="AK962" i="13"/>
  <c r="AI962" i="13"/>
  <c r="AG962" i="13"/>
  <c r="AE962" i="13"/>
  <c r="AD962" i="13"/>
  <c r="AC962" i="13"/>
  <c r="AB962" i="13"/>
  <c r="AA962" i="13"/>
  <c r="Z962" i="13"/>
  <c r="AK961" i="13"/>
  <c r="AI961" i="13"/>
  <c r="AG961" i="13"/>
  <c r="AE961" i="13"/>
  <c r="AD961" i="13"/>
  <c r="AC961" i="13"/>
  <c r="AB961" i="13"/>
  <c r="AA961" i="13"/>
  <c r="Z961" i="13"/>
  <c r="AK960" i="13"/>
  <c r="AI960" i="13"/>
  <c r="AG960" i="13"/>
  <c r="AE960" i="13"/>
  <c r="AD960" i="13"/>
  <c r="AC960" i="13"/>
  <c r="AB960" i="13"/>
  <c r="AA960" i="13"/>
  <c r="Z960" i="13"/>
  <c r="AK959" i="13"/>
  <c r="AI959" i="13"/>
  <c r="AG959" i="13"/>
  <c r="AE959" i="13"/>
  <c r="AD959" i="13"/>
  <c r="AC959" i="13"/>
  <c r="AB959" i="13"/>
  <c r="AA959" i="13"/>
  <c r="Z959" i="13"/>
  <c r="AK958" i="13"/>
  <c r="AI958" i="13"/>
  <c r="AG958" i="13"/>
  <c r="AE958" i="13"/>
  <c r="AD958" i="13"/>
  <c r="AC958" i="13"/>
  <c r="AB958" i="13"/>
  <c r="AA958" i="13"/>
  <c r="Z958" i="13"/>
  <c r="AK957" i="13"/>
  <c r="AI957" i="13"/>
  <c r="AG957" i="13"/>
  <c r="AE957" i="13"/>
  <c r="AD957" i="13"/>
  <c r="AC957" i="13"/>
  <c r="AB957" i="13"/>
  <c r="AA957" i="13"/>
  <c r="Z957" i="13"/>
  <c r="AK956" i="13"/>
  <c r="AI956" i="13"/>
  <c r="AG956" i="13"/>
  <c r="AE956" i="13"/>
  <c r="AD956" i="13"/>
  <c r="AC956" i="13"/>
  <c r="AB956" i="13"/>
  <c r="AA956" i="13"/>
  <c r="Z956" i="13"/>
  <c r="AK955" i="13"/>
  <c r="AI955" i="13"/>
  <c r="AG955" i="13"/>
  <c r="AE955" i="13"/>
  <c r="AD955" i="13"/>
  <c r="AC955" i="13"/>
  <c r="AB955" i="13"/>
  <c r="AA955" i="13"/>
  <c r="Z955" i="13"/>
  <c r="AK954" i="13"/>
  <c r="AI954" i="13"/>
  <c r="AG954" i="13"/>
  <c r="AE954" i="13"/>
  <c r="AD954" i="13"/>
  <c r="AC954" i="13"/>
  <c r="AB954" i="13"/>
  <c r="AA954" i="13"/>
  <c r="Z954" i="13"/>
  <c r="AM953" i="13"/>
  <c r="AM954" i="13" s="1"/>
  <c r="AM955" i="13" s="1"/>
  <c r="AM956" i="13" s="1"/>
  <c r="AM957" i="13" s="1"/>
  <c r="AM958" i="13" s="1"/>
  <c r="AM959" i="13" s="1"/>
  <c r="AM960" i="13" s="1"/>
  <c r="AM961" i="13" s="1"/>
  <c r="AM962" i="13" s="1"/>
  <c r="AM963" i="13" s="1"/>
  <c r="AM964" i="13" s="1"/>
  <c r="AM965" i="13" s="1"/>
  <c r="AM966" i="13" s="1"/>
  <c r="AM967" i="13" s="1"/>
  <c r="AM968" i="13" s="1"/>
  <c r="AM969" i="13" s="1"/>
  <c r="AM970" i="13" s="1"/>
  <c r="AM971" i="13" s="1"/>
  <c r="AM972" i="13" s="1"/>
  <c r="AM973" i="13" s="1"/>
  <c r="AK953" i="13"/>
  <c r="AI953" i="13"/>
  <c r="AG953" i="13"/>
  <c r="AE953" i="13"/>
  <c r="AD953" i="13"/>
  <c r="AC953" i="13"/>
  <c r="AB953" i="13"/>
  <c r="AA953" i="13"/>
  <c r="Z953" i="13"/>
  <c r="AK952" i="13"/>
  <c r="AI952" i="13"/>
  <c r="AG952" i="13"/>
  <c r="AE952" i="13"/>
  <c r="AD952" i="13"/>
  <c r="AC952" i="13"/>
  <c r="AB952" i="13"/>
  <c r="AA952" i="13"/>
  <c r="Z952" i="13"/>
  <c r="AK951" i="13"/>
  <c r="AI951" i="13"/>
  <c r="AG951" i="13"/>
  <c r="AE951" i="13"/>
  <c r="AD951" i="13"/>
  <c r="AC951" i="13"/>
  <c r="AB951" i="13"/>
  <c r="AA951" i="13"/>
  <c r="Z951" i="13"/>
  <c r="AK950" i="13"/>
  <c r="AI950" i="13"/>
  <c r="AG950" i="13"/>
  <c r="AE950" i="13"/>
  <c r="AD950" i="13"/>
  <c r="AC950" i="13"/>
  <c r="AB950" i="13"/>
  <c r="AA950" i="13"/>
  <c r="Z950" i="13"/>
  <c r="AK949" i="13"/>
  <c r="AI949" i="13"/>
  <c r="AG949" i="13"/>
  <c r="AE949" i="13"/>
  <c r="AD949" i="13"/>
  <c r="AC949" i="13"/>
  <c r="AB949" i="13"/>
  <c r="AA949" i="13"/>
  <c r="Z949" i="13"/>
  <c r="AK948" i="13"/>
  <c r="AI948" i="13"/>
  <c r="AG948" i="13"/>
  <c r="AE948" i="13"/>
  <c r="AD948" i="13"/>
  <c r="AC948" i="13"/>
  <c r="AB948" i="13"/>
  <c r="AA948" i="13"/>
  <c r="Z948" i="13"/>
  <c r="AK947" i="13"/>
  <c r="AI947" i="13"/>
  <c r="AG947" i="13"/>
  <c r="AE947" i="13"/>
  <c r="AD947" i="13"/>
  <c r="AC947" i="13"/>
  <c r="AB947" i="13"/>
  <c r="AA947" i="13"/>
  <c r="Z947" i="13"/>
  <c r="AK946" i="13"/>
  <c r="AI946" i="13"/>
  <c r="AG946" i="13"/>
  <c r="AE946" i="13"/>
  <c r="AD946" i="13"/>
  <c r="AC946" i="13"/>
  <c r="AB946" i="13"/>
  <c r="AA946" i="13"/>
  <c r="Z946" i="13"/>
  <c r="AM945" i="13"/>
  <c r="AM946" i="13" s="1"/>
  <c r="AM947" i="13" s="1"/>
  <c r="AM948" i="13" s="1"/>
  <c r="AM949" i="13" s="1"/>
  <c r="AM950" i="13" s="1"/>
  <c r="AM951" i="13" s="1"/>
  <c r="AM952" i="13" s="1"/>
  <c r="AK945" i="13"/>
  <c r="AI945" i="13"/>
  <c r="AG945" i="13"/>
  <c r="AH559" i="4" s="1"/>
  <c r="AE945" i="13"/>
  <c r="AD945" i="13"/>
  <c r="AC945" i="13"/>
  <c r="AB945" i="13"/>
  <c r="AA945" i="13"/>
  <c r="Z945" i="13"/>
  <c r="AK944" i="13"/>
  <c r="AI944" i="13"/>
  <c r="AG944" i="13"/>
  <c r="AE944" i="13"/>
  <c r="AD944" i="13"/>
  <c r="AC944" i="13"/>
  <c r="AB944" i="13"/>
  <c r="AA944" i="13"/>
  <c r="Z944" i="13"/>
  <c r="AK943" i="13"/>
  <c r="AI943" i="13"/>
  <c r="AG943" i="13"/>
  <c r="AE943" i="13"/>
  <c r="AD943" i="13"/>
  <c r="AC943" i="13"/>
  <c r="AB943" i="13"/>
  <c r="AA943" i="13"/>
  <c r="Z943" i="13"/>
  <c r="AK942" i="13"/>
  <c r="AI942" i="13"/>
  <c r="AG942" i="13"/>
  <c r="AE942" i="13"/>
  <c r="AD942" i="13"/>
  <c r="AC942" i="13"/>
  <c r="AB942" i="13"/>
  <c r="AA942" i="13"/>
  <c r="Z942" i="13"/>
  <c r="AK941" i="13"/>
  <c r="AI941" i="13"/>
  <c r="AG941" i="13"/>
  <c r="AE941" i="13"/>
  <c r="AD941" i="13"/>
  <c r="AC941" i="13"/>
  <c r="AB941" i="13"/>
  <c r="AA941" i="13"/>
  <c r="Z941" i="13"/>
  <c r="AK940" i="13"/>
  <c r="AI940" i="13"/>
  <c r="AG940" i="13"/>
  <c r="AE940" i="13"/>
  <c r="AD940" i="13"/>
  <c r="AC940" i="13"/>
  <c r="AB940" i="13"/>
  <c r="AA940" i="13"/>
  <c r="Z940" i="13"/>
  <c r="AK939" i="13"/>
  <c r="AI939" i="13"/>
  <c r="AG939" i="13"/>
  <c r="AE939" i="13"/>
  <c r="AD939" i="13"/>
  <c r="AC939" i="13"/>
  <c r="AB939" i="13"/>
  <c r="AA939" i="13"/>
  <c r="Z939" i="13"/>
  <c r="AK938" i="13"/>
  <c r="AI938" i="13"/>
  <c r="AG938" i="13"/>
  <c r="AE938" i="13"/>
  <c r="AD938" i="13"/>
  <c r="AC938" i="13"/>
  <c r="AB938" i="13"/>
  <c r="AA938" i="13"/>
  <c r="Z938" i="13"/>
  <c r="AM937" i="13"/>
  <c r="AM938" i="13" s="1"/>
  <c r="AM939" i="13" s="1"/>
  <c r="AM940" i="13" s="1"/>
  <c r="AM941" i="13" s="1"/>
  <c r="AM942" i="13" s="1"/>
  <c r="AM943" i="13" s="1"/>
  <c r="AM944" i="13" s="1"/>
  <c r="AK937" i="13"/>
  <c r="AI937" i="13"/>
  <c r="AG937" i="13"/>
  <c r="AH689" i="4" s="1"/>
  <c r="AE937" i="13"/>
  <c r="AD937" i="13"/>
  <c r="AC937" i="13"/>
  <c r="AB937" i="13"/>
  <c r="AA937" i="13"/>
  <c r="Z937" i="13"/>
  <c r="AK936" i="13"/>
  <c r="AI936" i="13"/>
  <c r="AG936" i="13"/>
  <c r="AE936" i="13"/>
  <c r="AD936" i="13"/>
  <c r="AC936" i="13"/>
  <c r="AB936" i="13"/>
  <c r="AA936" i="13"/>
  <c r="Z936" i="13"/>
  <c r="AK935" i="13"/>
  <c r="AI935" i="13"/>
  <c r="AG935" i="13"/>
  <c r="AE935" i="13"/>
  <c r="AD935" i="13"/>
  <c r="AC935" i="13"/>
  <c r="AB935" i="13"/>
  <c r="AA935" i="13"/>
  <c r="Z935" i="13"/>
  <c r="AK934" i="13"/>
  <c r="AI934" i="13"/>
  <c r="AG934" i="13"/>
  <c r="AE934" i="13"/>
  <c r="AD934" i="13"/>
  <c r="AC934" i="13"/>
  <c r="AB934" i="13"/>
  <c r="AA934" i="13"/>
  <c r="Z934" i="13"/>
  <c r="AM933" i="13"/>
  <c r="AM934" i="13" s="1"/>
  <c r="AM935" i="13" s="1"/>
  <c r="AM936" i="13" s="1"/>
  <c r="AK933" i="13"/>
  <c r="AI933" i="13"/>
  <c r="AG933" i="13"/>
  <c r="AH688" i="4" s="1"/>
  <c r="AE933" i="13"/>
  <c r="AD933" i="13"/>
  <c r="AC933" i="13"/>
  <c r="AB933" i="13"/>
  <c r="AA933" i="13"/>
  <c r="Z933" i="13"/>
  <c r="AK932" i="13"/>
  <c r="AI932" i="13"/>
  <c r="AG932" i="13"/>
  <c r="AE932" i="13"/>
  <c r="AD932" i="13"/>
  <c r="AC932" i="13"/>
  <c r="AB932" i="13"/>
  <c r="AA932" i="13"/>
  <c r="Z932" i="13"/>
  <c r="AK931" i="13"/>
  <c r="AI931" i="13"/>
  <c r="AG931" i="13"/>
  <c r="AE931" i="13"/>
  <c r="AD931" i="13"/>
  <c r="AC931" i="13"/>
  <c r="AB931" i="13"/>
  <c r="AA931" i="13"/>
  <c r="Z931" i="13"/>
  <c r="AM930" i="13"/>
  <c r="AM931" i="13" s="1"/>
  <c r="AM932" i="13" s="1"/>
  <c r="AK930" i="13"/>
  <c r="AI930" i="13"/>
  <c r="AG930" i="13"/>
  <c r="AH387" i="4" s="1"/>
  <c r="AE930" i="13"/>
  <c r="AD930" i="13"/>
  <c r="AC930" i="13"/>
  <c r="AB930" i="13"/>
  <c r="AA930" i="13"/>
  <c r="Z930" i="13"/>
  <c r="AK929" i="13"/>
  <c r="AI929" i="13"/>
  <c r="AG929" i="13"/>
  <c r="AE929" i="13"/>
  <c r="AD929" i="13"/>
  <c r="AC929" i="13"/>
  <c r="AB929" i="13"/>
  <c r="AA929" i="13"/>
  <c r="Z929" i="13"/>
  <c r="AK928" i="13"/>
  <c r="AI928" i="13"/>
  <c r="AG928" i="13"/>
  <c r="AE928" i="13"/>
  <c r="AD928" i="13"/>
  <c r="AC928" i="13"/>
  <c r="AB928" i="13"/>
  <c r="AA928" i="13"/>
  <c r="Z928" i="13"/>
  <c r="AK927" i="13"/>
  <c r="AI927" i="13"/>
  <c r="AG927" i="13"/>
  <c r="AE927" i="13"/>
  <c r="AD927" i="13"/>
  <c r="AC927" i="13"/>
  <c r="AB927" i="13"/>
  <c r="AA927" i="13"/>
  <c r="Z927" i="13"/>
  <c r="AM926" i="13"/>
  <c r="AM927" i="13" s="1"/>
  <c r="AM928" i="13" s="1"/>
  <c r="AM929" i="13" s="1"/>
  <c r="AK926" i="13"/>
  <c r="AI926" i="13"/>
  <c r="AG926" i="13"/>
  <c r="AE926" i="13"/>
  <c r="AD926" i="13"/>
  <c r="AC926" i="13"/>
  <c r="AB926" i="13"/>
  <c r="AA926" i="13"/>
  <c r="Z926" i="13"/>
  <c r="AK925" i="13"/>
  <c r="AI925" i="13"/>
  <c r="AG925" i="13"/>
  <c r="AE925" i="13"/>
  <c r="AD925" i="13"/>
  <c r="AC925" i="13"/>
  <c r="AB925" i="13"/>
  <c r="AA925" i="13"/>
  <c r="Z925" i="13"/>
  <c r="AK924" i="13"/>
  <c r="AI924" i="13"/>
  <c r="AG924" i="13"/>
  <c r="AE924" i="13"/>
  <c r="AD924" i="13"/>
  <c r="AC924" i="13"/>
  <c r="AB924" i="13"/>
  <c r="AA924" i="13"/>
  <c r="Z924" i="13"/>
  <c r="AK923" i="13"/>
  <c r="AI923" i="13"/>
  <c r="AG923" i="13"/>
  <c r="AE923" i="13"/>
  <c r="AD923" i="13"/>
  <c r="AC923" i="13"/>
  <c r="AB923" i="13"/>
  <c r="AA923" i="13"/>
  <c r="Z923" i="13"/>
  <c r="AK922" i="13"/>
  <c r="AI922" i="13"/>
  <c r="AG922" i="13"/>
  <c r="AE922" i="13"/>
  <c r="AD922" i="13"/>
  <c r="AC922" i="13"/>
  <c r="AB922" i="13"/>
  <c r="AA922" i="13"/>
  <c r="Z922" i="13"/>
  <c r="AK921" i="13"/>
  <c r="AI921" i="13"/>
  <c r="AG921" i="13"/>
  <c r="AE921" i="13"/>
  <c r="AD921" i="13"/>
  <c r="AC921" i="13"/>
  <c r="AB921" i="13"/>
  <c r="AA921" i="13"/>
  <c r="Z921" i="13"/>
  <c r="AK920" i="13"/>
  <c r="AI920" i="13"/>
  <c r="AG920" i="13"/>
  <c r="AE920" i="13"/>
  <c r="AD920" i="13"/>
  <c r="AC920" i="13"/>
  <c r="AB920" i="13"/>
  <c r="AA920" i="13"/>
  <c r="Z920" i="13"/>
  <c r="AK919" i="13"/>
  <c r="AI919" i="13"/>
  <c r="AG919" i="13"/>
  <c r="AE919" i="13"/>
  <c r="AD919" i="13"/>
  <c r="AC919" i="13"/>
  <c r="AB919" i="13"/>
  <c r="AA919" i="13"/>
  <c r="Z919" i="13"/>
  <c r="AK918" i="13"/>
  <c r="AI918" i="13"/>
  <c r="AG918" i="13"/>
  <c r="AE918" i="13"/>
  <c r="AD918" i="13"/>
  <c r="AC918" i="13"/>
  <c r="AB918" i="13"/>
  <c r="AA918" i="13"/>
  <c r="Z918" i="13"/>
  <c r="AK917" i="13"/>
  <c r="AI917" i="13"/>
  <c r="AG917" i="13"/>
  <c r="AE917" i="13"/>
  <c r="AD917" i="13"/>
  <c r="AC917" i="13"/>
  <c r="AB917" i="13"/>
  <c r="AA917" i="13"/>
  <c r="Z917" i="13"/>
  <c r="AK916" i="13"/>
  <c r="AI916" i="13"/>
  <c r="AG916" i="13"/>
  <c r="AE916" i="13"/>
  <c r="AD916" i="13"/>
  <c r="AC916" i="13"/>
  <c r="AB916" i="13"/>
  <c r="AA916" i="13"/>
  <c r="Z916" i="13"/>
  <c r="AK915" i="13"/>
  <c r="AI915" i="13"/>
  <c r="AG915" i="13"/>
  <c r="AE915" i="13"/>
  <c r="AD915" i="13"/>
  <c r="AC915" i="13"/>
  <c r="AB915" i="13"/>
  <c r="AA915" i="13"/>
  <c r="Z915" i="13"/>
  <c r="AK914" i="13"/>
  <c r="AI914" i="13"/>
  <c r="AG914" i="13"/>
  <c r="AE914" i="13"/>
  <c r="AD914" i="13"/>
  <c r="AC914" i="13"/>
  <c r="AB914" i="13"/>
  <c r="AA914" i="13"/>
  <c r="Z914" i="13"/>
  <c r="AK913" i="13"/>
  <c r="AI913" i="13"/>
  <c r="AG913" i="13"/>
  <c r="AE913" i="13"/>
  <c r="AD913" i="13"/>
  <c r="AC913" i="13"/>
  <c r="AB913" i="13"/>
  <c r="AA913" i="13"/>
  <c r="Z913" i="13"/>
  <c r="AK912" i="13"/>
  <c r="AI912" i="13"/>
  <c r="AG912" i="13"/>
  <c r="AE912" i="13"/>
  <c r="AD912" i="13"/>
  <c r="AC912" i="13"/>
  <c r="AB912" i="13"/>
  <c r="AA912" i="13"/>
  <c r="Z912" i="13"/>
  <c r="AK911" i="13"/>
  <c r="AI911" i="13"/>
  <c r="AG911" i="13"/>
  <c r="AE911" i="13"/>
  <c r="AD911" i="13"/>
  <c r="AC911" i="13"/>
  <c r="AB911" i="13"/>
  <c r="AA911" i="13"/>
  <c r="Z911" i="13"/>
  <c r="AK910" i="13"/>
  <c r="AI910" i="13"/>
  <c r="AG910" i="13"/>
  <c r="AE910" i="13"/>
  <c r="AD910" i="13"/>
  <c r="AC910" i="13"/>
  <c r="AB910" i="13"/>
  <c r="AA910" i="13"/>
  <c r="Z910" i="13"/>
  <c r="AK909" i="13"/>
  <c r="AI909" i="13"/>
  <c r="AG909" i="13"/>
  <c r="AE909" i="13"/>
  <c r="AD909" i="13"/>
  <c r="AC909" i="13"/>
  <c r="AB909" i="13"/>
  <c r="AA909" i="13"/>
  <c r="Z909" i="13"/>
  <c r="AK908" i="13"/>
  <c r="AI908" i="13"/>
  <c r="AG908" i="13"/>
  <c r="AE908" i="13"/>
  <c r="AD908" i="13"/>
  <c r="AC908" i="13"/>
  <c r="AB908" i="13"/>
  <c r="AA908" i="13"/>
  <c r="Z908" i="13"/>
  <c r="AK907" i="13"/>
  <c r="AI907" i="13"/>
  <c r="AG907" i="13"/>
  <c r="AE907" i="13"/>
  <c r="AD907" i="13"/>
  <c r="AC907" i="13"/>
  <c r="AB907" i="13"/>
  <c r="AA907" i="13"/>
  <c r="Z907" i="13"/>
  <c r="AK906" i="13"/>
  <c r="AI906" i="13"/>
  <c r="AG906" i="13"/>
  <c r="AE906" i="13"/>
  <c r="AD906" i="13"/>
  <c r="AC906" i="13"/>
  <c r="AB906" i="13"/>
  <c r="AA906" i="13"/>
  <c r="Z906" i="13"/>
  <c r="AK905" i="13"/>
  <c r="AI905" i="13"/>
  <c r="AG905" i="13"/>
  <c r="AE905" i="13"/>
  <c r="AD905" i="13"/>
  <c r="AC905" i="13"/>
  <c r="AB905" i="13"/>
  <c r="AA905" i="13"/>
  <c r="Z905" i="13"/>
  <c r="AK904" i="13"/>
  <c r="AI904" i="13"/>
  <c r="AG904" i="13"/>
  <c r="AE904" i="13"/>
  <c r="AD904" i="13"/>
  <c r="AC904" i="13"/>
  <c r="AB904" i="13"/>
  <c r="AA904" i="13"/>
  <c r="Z904" i="13"/>
  <c r="AK903" i="13"/>
  <c r="AI903" i="13"/>
  <c r="AG903" i="13"/>
  <c r="AE903" i="13"/>
  <c r="AD903" i="13"/>
  <c r="AC903" i="13"/>
  <c r="AB903" i="13"/>
  <c r="AA903" i="13"/>
  <c r="Z903" i="13"/>
  <c r="AK902" i="13"/>
  <c r="AI902" i="13"/>
  <c r="AG902" i="13"/>
  <c r="AE902" i="13"/>
  <c r="AD902" i="13"/>
  <c r="AC902" i="13"/>
  <c r="AB902" i="13"/>
  <c r="AA902" i="13"/>
  <c r="Z902" i="13"/>
  <c r="AK901" i="13"/>
  <c r="AI901" i="13"/>
  <c r="AG901" i="13"/>
  <c r="AE901" i="13"/>
  <c r="AD901" i="13"/>
  <c r="AC901" i="13"/>
  <c r="AB901" i="13"/>
  <c r="AA901" i="13"/>
  <c r="Z901" i="13"/>
  <c r="AK900" i="13"/>
  <c r="AI900" i="13"/>
  <c r="AG900" i="13"/>
  <c r="AE900" i="13"/>
  <c r="AD900" i="13"/>
  <c r="AC900" i="13"/>
  <c r="AB900" i="13"/>
  <c r="AA900" i="13"/>
  <c r="Z900" i="13"/>
  <c r="AK899" i="13"/>
  <c r="AI899" i="13"/>
  <c r="AG899" i="13"/>
  <c r="AE899" i="13"/>
  <c r="AD899" i="13"/>
  <c r="AC899" i="13"/>
  <c r="AB899" i="13"/>
  <c r="AA899" i="13"/>
  <c r="Z899" i="13"/>
  <c r="AK898" i="13"/>
  <c r="AI898" i="13"/>
  <c r="AG898" i="13"/>
  <c r="AE898" i="13"/>
  <c r="AD898" i="13"/>
  <c r="AC898" i="13"/>
  <c r="AB898" i="13"/>
  <c r="AA898" i="13"/>
  <c r="Z898" i="13"/>
  <c r="AK897" i="13"/>
  <c r="AI897" i="13"/>
  <c r="AG897" i="13"/>
  <c r="AE897" i="13"/>
  <c r="AD897" i="13"/>
  <c r="AC897" i="13"/>
  <c r="AB897" i="13"/>
  <c r="AA897" i="13"/>
  <c r="Z897" i="13"/>
  <c r="AM896" i="13"/>
  <c r="AM897" i="13" s="1"/>
  <c r="AM898" i="13" s="1"/>
  <c r="AM899" i="13" s="1"/>
  <c r="AM900" i="13" s="1"/>
  <c r="AM901" i="13" s="1"/>
  <c r="AM902" i="13" s="1"/>
  <c r="AM903" i="13" s="1"/>
  <c r="AM904" i="13" s="1"/>
  <c r="AM905" i="13" s="1"/>
  <c r="AM906" i="13" s="1"/>
  <c r="AM907" i="13" s="1"/>
  <c r="AM908" i="13" s="1"/>
  <c r="AM909" i="13" s="1"/>
  <c r="AM910" i="13" s="1"/>
  <c r="AM911" i="13" s="1"/>
  <c r="AM912" i="13" s="1"/>
  <c r="AM913" i="13" s="1"/>
  <c r="AM914" i="13" s="1"/>
  <c r="AM915" i="13" s="1"/>
  <c r="AM916" i="13" s="1"/>
  <c r="AM917" i="13" s="1"/>
  <c r="AM918" i="13" s="1"/>
  <c r="AM919" i="13" s="1"/>
  <c r="AM920" i="13" s="1"/>
  <c r="AM921" i="13" s="1"/>
  <c r="AM922" i="13" s="1"/>
  <c r="AM923" i="13" s="1"/>
  <c r="AM924" i="13" s="1"/>
  <c r="AM925" i="13" s="1"/>
  <c r="AK896" i="13"/>
  <c r="AI896" i="13"/>
  <c r="AG896" i="13"/>
  <c r="AH344" i="4" s="1"/>
  <c r="AE896" i="13"/>
  <c r="AD896" i="13"/>
  <c r="AC896" i="13"/>
  <c r="AB896" i="13"/>
  <c r="AA896" i="13"/>
  <c r="Z896" i="13"/>
  <c r="AK895" i="13"/>
  <c r="AI895" i="13"/>
  <c r="AG895" i="13"/>
  <c r="AE895" i="13"/>
  <c r="AD895" i="13"/>
  <c r="AC895" i="13"/>
  <c r="AB895" i="13"/>
  <c r="AA895" i="13"/>
  <c r="Z895" i="13"/>
  <c r="AK894" i="13"/>
  <c r="AI894" i="13"/>
  <c r="AG894" i="13"/>
  <c r="AE894" i="13"/>
  <c r="AD894" i="13"/>
  <c r="AC894" i="13"/>
  <c r="AB894" i="13"/>
  <c r="AA894" i="13"/>
  <c r="Z894" i="13"/>
  <c r="AK893" i="13"/>
  <c r="AI893" i="13"/>
  <c r="AG893" i="13"/>
  <c r="AE893" i="13"/>
  <c r="AD893" i="13"/>
  <c r="AC893" i="13"/>
  <c r="AB893" i="13"/>
  <c r="AA893" i="13"/>
  <c r="Z893" i="13"/>
  <c r="AK892" i="13"/>
  <c r="AI892" i="13"/>
  <c r="AG892" i="13"/>
  <c r="AE892" i="13"/>
  <c r="AD892" i="13"/>
  <c r="AC892" i="13"/>
  <c r="AB892" i="13"/>
  <c r="AA892" i="13"/>
  <c r="Z892" i="13"/>
  <c r="AK891" i="13"/>
  <c r="AI891" i="13"/>
  <c r="AG891" i="13"/>
  <c r="AE891" i="13"/>
  <c r="AD891" i="13"/>
  <c r="AC891" i="13"/>
  <c r="AB891" i="13"/>
  <c r="AA891" i="13"/>
  <c r="Z891" i="13"/>
  <c r="AK890" i="13"/>
  <c r="AI890" i="13"/>
  <c r="AG890" i="13"/>
  <c r="AE890" i="13"/>
  <c r="AD890" i="13"/>
  <c r="AC890" i="13"/>
  <c r="AB890" i="13"/>
  <c r="AA890" i="13"/>
  <c r="Z890" i="13"/>
  <c r="AK889" i="13"/>
  <c r="AI889" i="13"/>
  <c r="AG889" i="13"/>
  <c r="AE889" i="13"/>
  <c r="AD889" i="13"/>
  <c r="AC889" i="13"/>
  <c r="AB889" i="13"/>
  <c r="AA889" i="13"/>
  <c r="Z889" i="13"/>
  <c r="AK888" i="13"/>
  <c r="AI888" i="13"/>
  <c r="AG888" i="13"/>
  <c r="AE888" i="13"/>
  <c r="AD888" i="13"/>
  <c r="AC888" i="13"/>
  <c r="AB888" i="13"/>
  <c r="AA888" i="13"/>
  <c r="Z888" i="13"/>
  <c r="AK887" i="13"/>
  <c r="AI887" i="13"/>
  <c r="AG887" i="13"/>
  <c r="AE887" i="13"/>
  <c r="AD887" i="13"/>
  <c r="AC887" i="13"/>
  <c r="AB887" i="13"/>
  <c r="AA887" i="13"/>
  <c r="Z887" i="13"/>
  <c r="AK886" i="13"/>
  <c r="AI886" i="13"/>
  <c r="AG886" i="13"/>
  <c r="AE886" i="13"/>
  <c r="AD886" i="13"/>
  <c r="AC886" i="13"/>
  <c r="AB886" i="13"/>
  <c r="AA886" i="13"/>
  <c r="Z886" i="13"/>
  <c r="AM885" i="13"/>
  <c r="AM886" i="13" s="1"/>
  <c r="AM887" i="13" s="1"/>
  <c r="AM888" i="13" s="1"/>
  <c r="AM889" i="13" s="1"/>
  <c r="AM890" i="13" s="1"/>
  <c r="AM891" i="13" s="1"/>
  <c r="AM892" i="13" s="1"/>
  <c r="AM893" i="13" s="1"/>
  <c r="AM894" i="13" s="1"/>
  <c r="AM895" i="13" s="1"/>
  <c r="AK885" i="13"/>
  <c r="AI885" i="13"/>
  <c r="AG885" i="13"/>
  <c r="AE885" i="13"/>
  <c r="AD885" i="13"/>
  <c r="AC885" i="13"/>
  <c r="AB885" i="13"/>
  <c r="AA885" i="13"/>
  <c r="Z885" i="13"/>
  <c r="AK884" i="13"/>
  <c r="AI884" i="13"/>
  <c r="AG884" i="13"/>
  <c r="AE884" i="13"/>
  <c r="AD884" i="13"/>
  <c r="AC884" i="13"/>
  <c r="AB884" i="13"/>
  <c r="AA884" i="13"/>
  <c r="Z884" i="13"/>
  <c r="AK883" i="13"/>
  <c r="AI883" i="13"/>
  <c r="AG883" i="13"/>
  <c r="AE883" i="13"/>
  <c r="AD883" i="13"/>
  <c r="AC883" i="13"/>
  <c r="AB883" i="13"/>
  <c r="AA883" i="13"/>
  <c r="Z883" i="13"/>
  <c r="AK882" i="13"/>
  <c r="AI882" i="13"/>
  <c r="AG882" i="13"/>
  <c r="AE882" i="13"/>
  <c r="AD882" i="13"/>
  <c r="AC882" i="13"/>
  <c r="AB882" i="13"/>
  <c r="AA882" i="13"/>
  <c r="Z882" i="13"/>
  <c r="AK881" i="13"/>
  <c r="AI881" i="13"/>
  <c r="AG881" i="13"/>
  <c r="AE881" i="13"/>
  <c r="AD881" i="13"/>
  <c r="AC881" i="13"/>
  <c r="AB881" i="13"/>
  <c r="AA881" i="13"/>
  <c r="Z881" i="13"/>
  <c r="AK880" i="13"/>
  <c r="AI880" i="13"/>
  <c r="AG880" i="13"/>
  <c r="AE880" i="13"/>
  <c r="AD880" i="13"/>
  <c r="AC880" i="13"/>
  <c r="AB880" i="13"/>
  <c r="AA880" i="13"/>
  <c r="Z880" i="13"/>
  <c r="AK879" i="13"/>
  <c r="AI879" i="13"/>
  <c r="AG879" i="13"/>
  <c r="AE879" i="13"/>
  <c r="AD879" i="13"/>
  <c r="AC879" i="13"/>
  <c r="AB879" i="13"/>
  <c r="AA879" i="13"/>
  <c r="Z879" i="13"/>
  <c r="AM878" i="13"/>
  <c r="AM879" i="13" s="1"/>
  <c r="AM880" i="13" s="1"/>
  <c r="AM881" i="13" s="1"/>
  <c r="AM882" i="13" s="1"/>
  <c r="AM883" i="13" s="1"/>
  <c r="AM884" i="13" s="1"/>
  <c r="AK878" i="13"/>
  <c r="AI878" i="13"/>
  <c r="AG878" i="13"/>
  <c r="AE878" i="13"/>
  <c r="AD878" i="13"/>
  <c r="AC878" i="13"/>
  <c r="AB878" i="13"/>
  <c r="AA878" i="13"/>
  <c r="Z878" i="13"/>
  <c r="AK877" i="13"/>
  <c r="AI877" i="13"/>
  <c r="AG877" i="13"/>
  <c r="AE877" i="13"/>
  <c r="AD877" i="13"/>
  <c r="AC877" i="13"/>
  <c r="AB877" i="13"/>
  <c r="AA877" i="13"/>
  <c r="Z877" i="13"/>
  <c r="AK876" i="13"/>
  <c r="AI876" i="13"/>
  <c r="AG876" i="13"/>
  <c r="AE876" i="13"/>
  <c r="AD876" i="13"/>
  <c r="AC876" i="13"/>
  <c r="AB876" i="13"/>
  <c r="AA876" i="13"/>
  <c r="Z876" i="13"/>
  <c r="AK875" i="13"/>
  <c r="AI875" i="13"/>
  <c r="AG875" i="13"/>
  <c r="AE875" i="13"/>
  <c r="AD875" i="13"/>
  <c r="AC875" i="13"/>
  <c r="AB875" i="13"/>
  <c r="AA875" i="13"/>
  <c r="Z875" i="13"/>
  <c r="AK874" i="13"/>
  <c r="AI874" i="13"/>
  <c r="AG874" i="13"/>
  <c r="AE874" i="13"/>
  <c r="AD874" i="13"/>
  <c r="AC874" i="13"/>
  <c r="AB874" i="13"/>
  <c r="AA874" i="13"/>
  <c r="Z874" i="13"/>
  <c r="AK873" i="13"/>
  <c r="AI873" i="13"/>
  <c r="AG873" i="13"/>
  <c r="AE873" i="13"/>
  <c r="AD873" i="13"/>
  <c r="AC873" i="13"/>
  <c r="AB873" i="13"/>
  <c r="AA873" i="13"/>
  <c r="Z873" i="13"/>
  <c r="AK872" i="13"/>
  <c r="AI872" i="13"/>
  <c r="AG872" i="13"/>
  <c r="AE872" i="13"/>
  <c r="AD872" i="13"/>
  <c r="AC872" i="13"/>
  <c r="AB872" i="13"/>
  <c r="AA872" i="13"/>
  <c r="Z872" i="13"/>
  <c r="AK871" i="13"/>
  <c r="AI871" i="13"/>
  <c r="AG871" i="13"/>
  <c r="AE871" i="13"/>
  <c r="AD871" i="13"/>
  <c r="AC871" i="13"/>
  <c r="AB871" i="13"/>
  <c r="AA871" i="13"/>
  <c r="Z871" i="13"/>
  <c r="AK870" i="13"/>
  <c r="AI870" i="13"/>
  <c r="AG870" i="13"/>
  <c r="AE870" i="13"/>
  <c r="AD870" i="13"/>
  <c r="AC870" i="13"/>
  <c r="AB870" i="13"/>
  <c r="AA870" i="13"/>
  <c r="Z870" i="13"/>
  <c r="AK869" i="13"/>
  <c r="AI869" i="13"/>
  <c r="AG869" i="13"/>
  <c r="AE869" i="13"/>
  <c r="AD869" i="13"/>
  <c r="AC869" i="13"/>
  <c r="AB869" i="13"/>
  <c r="AA869" i="13"/>
  <c r="Z869" i="13"/>
  <c r="AK868" i="13"/>
  <c r="AI868" i="13"/>
  <c r="AG868" i="13"/>
  <c r="AE868" i="13"/>
  <c r="AD868" i="13"/>
  <c r="AC868" i="13"/>
  <c r="AB868" i="13"/>
  <c r="AA868" i="13"/>
  <c r="Z868" i="13"/>
  <c r="AK867" i="13"/>
  <c r="AI867" i="13"/>
  <c r="AG867" i="13"/>
  <c r="AE867" i="13"/>
  <c r="AD867" i="13"/>
  <c r="AC867" i="13"/>
  <c r="AB867" i="13"/>
  <c r="AA867" i="13"/>
  <c r="Z867" i="13"/>
  <c r="AK866" i="13"/>
  <c r="AI866" i="13"/>
  <c r="AG866" i="13"/>
  <c r="AE866" i="13"/>
  <c r="AD866" i="13"/>
  <c r="AC866" i="13"/>
  <c r="AB866" i="13"/>
  <c r="AA866" i="13"/>
  <c r="Z866" i="13"/>
  <c r="AM865" i="13"/>
  <c r="AM866" i="13" s="1"/>
  <c r="AM867" i="13" s="1"/>
  <c r="AM868" i="13" s="1"/>
  <c r="AM869" i="13" s="1"/>
  <c r="AM870" i="13" s="1"/>
  <c r="AM871" i="13" s="1"/>
  <c r="AM872" i="13" s="1"/>
  <c r="AM873" i="13" s="1"/>
  <c r="AM874" i="13" s="1"/>
  <c r="AM875" i="13" s="1"/>
  <c r="AM876" i="13" s="1"/>
  <c r="AM877" i="13" s="1"/>
  <c r="AK865" i="13"/>
  <c r="AI865" i="13"/>
  <c r="AG865" i="13"/>
  <c r="AH560" i="4" s="1"/>
  <c r="AE865" i="13"/>
  <c r="AD865" i="13"/>
  <c r="AC865" i="13"/>
  <c r="AB865" i="13"/>
  <c r="AA865" i="13"/>
  <c r="Z865" i="13"/>
  <c r="AK864" i="13"/>
  <c r="AI864" i="13"/>
  <c r="AG864" i="13"/>
  <c r="AE864" i="13"/>
  <c r="AD864" i="13"/>
  <c r="AC864" i="13"/>
  <c r="AB864" i="13"/>
  <c r="AA864" i="13"/>
  <c r="Z864" i="13"/>
  <c r="AK863" i="13"/>
  <c r="AI863" i="13"/>
  <c r="AG863" i="13"/>
  <c r="AE863" i="13"/>
  <c r="AD863" i="13"/>
  <c r="AC863" i="13"/>
  <c r="AB863" i="13"/>
  <c r="AA863" i="13"/>
  <c r="Z863" i="13"/>
  <c r="AK862" i="13"/>
  <c r="AI862" i="13"/>
  <c r="AG862" i="13"/>
  <c r="AE862" i="13"/>
  <c r="AD862" i="13"/>
  <c r="AC862" i="13"/>
  <c r="AB862" i="13"/>
  <c r="AA862" i="13"/>
  <c r="Z862" i="13"/>
  <c r="AK861" i="13"/>
  <c r="AI861" i="13"/>
  <c r="AG861" i="13"/>
  <c r="AE861" i="13"/>
  <c r="AD861" i="13"/>
  <c r="AC861" i="13"/>
  <c r="AB861" i="13"/>
  <c r="AA861" i="13"/>
  <c r="Z861" i="13"/>
  <c r="AK860" i="13"/>
  <c r="AI860" i="13"/>
  <c r="AG860" i="13"/>
  <c r="AE860" i="13"/>
  <c r="AD860" i="13"/>
  <c r="AC860" i="13"/>
  <c r="AB860" i="13"/>
  <c r="AA860" i="13"/>
  <c r="Z860" i="13"/>
  <c r="AK859" i="13"/>
  <c r="AI859" i="13"/>
  <c r="AG859" i="13"/>
  <c r="AE859" i="13"/>
  <c r="AD859" i="13"/>
  <c r="AC859" i="13"/>
  <c r="AB859" i="13"/>
  <c r="AA859" i="13"/>
  <c r="Z859" i="13"/>
  <c r="AM858" i="13"/>
  <c r="AM859" i="13" s="1"/>
  <c r="AM860" i="13" s="1"/>
  <c r="AM861" i="13" s="1"/>
  <c r="AM862" i="13" s="1"/>
  <c r="AM863" i="13" s="1"/>
  <c r="AM864" i="13" s="1"/>
  <c r="AK858" i="13"/>
  <c r="AI858" i="13"/>
  <c r="AG858" i="13"/>
  <c r="AH291" i="4" s="1"/>
  <c r="AE858" i="13"/>
  <c r="AD858" i="13"/>
  <c r="AC858" i="13"/>
  <c r="AB858" i="13"/>
  <c r="AA858" i="13"/>
  <c r="Z858" i="13"/>
  <c r="AK857" i="13"/>
  <c r="AI857" i="13"/>
  <c r="AG857" i="13"/>
  <c r="AE857" i="13"/>
  <c r="AD857" i="13"/>
  <c r="AC857" i="13"/>
  <c r="AB857" i="13"/>
  <c r="AA857" i="13"/>
  <c r="Z857" i="13"/>
  <c r="AK856" i="13"/>
  <c r="AI856" i="13"/>
  <c r="AG856" i="13"/>
  <c r="AE856" i="13"/>
  <c r="AD856" i="13"/>
  <c r="AC856" i="13"/>
  <c r="AB856" i="13"/>
  <c r="AA856" i="13"/>
  <c r="Z856" i="13"/>
  <c r="AK855" i="13"/>
  <c r="AI855" i="13"/>
  <c r="AG855" i="13"/>
  <c r="AE855" i="13"/>
  <c r="AD855" i="13"/>
  <c r="AC855" i="13"/>
  <c r="AB855" i="13"/>
  <c r="AA855" i="13"/>
  <c r="Z855" i="13"/>
  <c r="AK854" i="13"/>
  <c r="AI854" i="13"/>
  <c r="AG854" i="13"/>
  <c r="AE854" i="13"/>
  <c r="AD854" i="13"/>
  <c r="AC854" i="13"/>
  <c r="AB854" i="13"/>
  <c r="AA854" i="13"/>
  <c r="Z854" i="13"/>
  <c r="AK853" i="13"/>
  <c r="AI853" i="13"/>
  <c r="AG853" i="13"/>
  <c r="AE853" i="13"/>
  <c r="AD853" i="13"/>
  <c r="AC853" i="13"/>
  <c r="AB853" i="13"/>
  <c r="AA853" i="13"/>
  <c r="Z853" i="13"/>
  <c r="AK852" i="13"/>
  <c r="AI852" i="13"/>
  <c r="AG852" i="13"/>
  <c r="AE852" i="13"/>
  <c r="AD852" i="13"/>
  <c r="AC852" i="13"/>
  <c r="AB852" i="13"/>
  <c r="AA852" i="13"/>
  <c r="Z852" i="13"/>
  <c r="AK851" i="13"/>
  <c r="AI851" i="13"/>
  <c r="AG851" i="13"/>
  <c r="AE851" i="13"/>
  <c r="AD851" i="13"/>
  <c r="AC851" i="13"/>
  <c r="AB851" i="13"/>
  <c r="AA851" i="13"/>
  <c r="Z851" i="13"/>
  <c r="AK850" i="13"/>
  <c r="AI850" i="13"/>
  <c r="AG850" i="13"/>
  <c r="AE850" i="13"/>
  <c r="AD850" i="13"/>
  <c r="AC850" i="13"/>
  <c r="AB850" i="13"/>
  <c r="AA850" i="13"/>
  <c r="Z850" i="13"/>
  <c r="AK849" i="13"/>
  <c r="AI849" i="13"/>
  <c r="AG849" i="13"/>
  <c r="AE849" i="13"/>
  <c r="AD849" i="13"/>
  <c r="AC849" i="13"/>
  <c r="AB849" i="13"/>
  <c r="AA849" i="13"/>
  <c r="Z849" i="13"/>
  <c r="AK848" i="13"/>
  <c r="AI848" i="13"/>
  <c r="AG848" i="13"/>
  <c r="AE848" i="13"/>
  <c r="AD848" i="13"/>
  <c r="AC848" i="13"/>
  <c r="AB848" i="13"/>
  <c r="AA848" i="13"/>
  <c r="Z848" i="13"/>
  <c r="AK847" i="13"/>
  <c r="AI847" i="13"/>
  <c r="AG847" i="13"/>
  <c r="AE847" i="13"/>
  <c r="AD847" i="13"/>
  <c r="AC847" i="13"/>
  <c r="AB847" i="13"/>
  <c r="AA847" i="13"/>
  <c r="Z847" i="13"/>
  <c r="AK846" i="13"/>
  <c r="AI846" i="13"/>
  <c r="AG846" i="13"/>
  <c r="AE846" i="13"/>
  <c r="AD846" i="13"/>
  <c r="AC846" i="13"/>
  <c r="AB846" i="13"/>
  <c r="AA846" i="13"/>
  <c r="Z846" i="13"/>
  <c r="AK845" i="13"/>
  <c r="AI845" i="13"/>
  <c r="AG845" i="13"/>
  <c r="AE845" i="13"/>
  <c r="AD845" i="13"/>
  <c r="AC845" i="13"/>
  <c r="AB845" i="13"/>
  <c r="AA845" i="13"/>
  <c r="Z845" i="13"/>
  <c r="AM844" i="13"/>
  <c r="AM845" i="13" s="1"/>
  <c r="AM846" i="13" s="1"/>
  <c r="AM847" i="13" s="1"/>
  <c r="AM848" i="13" s="1"/>
  <c r="AM849" i="13" s="1"/>
  <c r="AM850" i="13" s="1"/>
  <c r="AM851" i="13" s="1"/>
  <c r="AM852" i="13" s="1"/>
  <c r="AM853" i="13" s="1"/>
  <c r="AM854" i="13" s="1"/>
  <c r="AM855" i="13" s="1"/>
  <c r="AM856" i="13" s="1"/>
  <c r="AM857" i="13" s="1"/>
  <c r="AK844" i="13"/>
  <c r="AI844" i="13"/>
  <c r="AG844" i="13"/>
  <c r="AE844" i="13"/>
  <c r="AD844" i="13"/>
  <c r="AC844" i="13"/>
  <c r="AB844" i="13"/>
  <c r="AA844" i="13"/>
  <c r="Z844" i="13"/>
  <c r="AK843" i="13"/>
  <c r="AI843" i="13"/>
  <c r="AG843" i="13"/>
  <c r="AE843" i="13"/>
  <c r="AD843" i="13"/>
  <c r="AC843" i="13"/>
  <c r="AB843" i="13"/>
  <c r="AA843" i="13"/>
  <c r="Z843" i="13"/>
  <c r="AK842" i="13"/>
  <c r="AI842" i="13"/>
  <c r="AG842" i="13"/>
  <c r="AE842" i="13"/>
  <c r="AD842" i="13"/>
  <c r="AC842" i="13"/>
  <c r="AB842" i="13"/>
  <c r="AA842" i="13"/>
  <c r="Z842" i="13"/>
  <c r="AK841" i="13"/>
  <c r="AI841" i="13"/>
  <c r="AG841" i="13"/>
  <c r="AE841" i="13"/>
  <c r="AD841" i="13"/>
  <c r="AC841" i="13"/>
  <c r="AB841" i="13"/>
  <c r="AA841" i="13"/>
  <c r="Z841" i="13"/>
  <c r="AK840" i="13"/>
  <c r="AI840" i="13"/>
  <c r="AG840" i="13"/>
  <c r="AE840" i="13"/>
  <c r="AD840" i="13"/>
  <c r="AC840" i="13"/>
  <c r="AB840" i="13"/>
  <c r="AA840" i="13"/>
  <c r="Z840" i="13"/>
  <c r="AK839" i="13"/>
  <c r="AI839" i="13"/>
  <c r="AG839" i="13"/>
  <c r="AE839" i="13"/>
  <c r="AD839" i="13"/>
  <c r="AC839" i="13"/>
  <c r="AB839" i="13"/>
  <c r="AA839" i="13"/>
  <c r="Z839" i="13"/>
  <c r="AK838" i="13"/>
  <c r="AI838" i="13"/>
  <c r="AG838" i="13"/>
  <c r="AE838" i="13"/>
  <c r="AD838" i="13"/>
  <c r="AC838" i="13"/>
  <c r="AB838" i="13"/>
  <c r="AA838" i="13"/>
  <c r="Z838" i="13"/>
  <c r="AK837" i="13"/>
  <c r="AI837" i="13"/>
  <c r="AG837" i="13"/>
  <c r="AE837" i="13"/>
  <c r="AD837" i="13"/>
  <c r="AC837" i="13"/>
  <c r="AB837" i="13"/>
  <c r="AA837" i="13"/>
  <c r="Z837" i="13"/>
  <c r="AM836" i="13"/>
  <c r="AM837" i="13" s="1"/>
  <c r="AM838" i="13" s="1"/>
  <c r="AM839" i="13" s="1"/>
  <c r="AM840" i="13" s="1"/>
  <c r="AM841" i="13" s="1"/>
  <c r="AM842" i="13" s="1"/>
  <c r="AM843" i="13" s="1"/>
  <c r="AK836" i="13"/>
  <c r="AI836" i="13"/>
  <c r="AG836" i="13"/>
  <c r="AE836" i="13"/>
  <c r="AD836" i="13"/>
  <c r="AC836" i="13"/>
  <c r="AB836" i="13"/>
  <c r="AA836" i="13"/>
  <c r="Z836" i="13"/>
  <c r="AK835" i="13"/>
  <c r="AI835" i="13"/>
  <c r="AG835" i="13"/>
  <c r="AE835" i="13"/>
  <c r="AD835" i="13"/>
  <c r="AC835" i="13"/>
  <c r="AB835" i="13"/>
  <c r="AA835" i="13"/>
  <c r="Z835" i="13"/>
  <c r="AK834" i="13"/>
  <c r="AI834" i="13"/>
  <c r="AG834" i="13"/>
  <c r="AE834" i="13"/>
  <c r="AD834" i="13"/>
  <c r="AC834" i="13"/>
  <c r="AB834" i="13"/>
  <c r="AA834" i="13"/>
  <c r="Z834" i="13"/>
  <c r="AM833" i="13"/>
  <c r="AM834" i="13" s="1"/>
  <c r="AM835" i="13" s="1"/>
  <c r="AK833" i="13"/>
  <c r="AI833" i="13"/>
  <c r="AG833" i="13"/>
  <c r="AE833" i="13"/>
  <c r="AD833" i="13"/>
  <c r="AC833" i="13"/>
  <c r="AB833" i="13"/>
  <c r="AA833" i="13"/>
  <c r="Z833" i="13"/>
  <c r="AK832" i="13"/>
  <c r="AI832" i="13"/>
  <c r="AG832" i="13"/>
  <c r="AE832" i="13"/>
  <c r="AD832" i="13"/>
  <c r="AC832" i="13"/>
  <c r="AB832" i="13"/>
  <c r="AA832" i="13"/>
  <c r="Z832" i="13"/>
  <c r="AK831" i="13"/>
  <c r="AI831" i="13"/>
  <c r="AG831" i="13"/>
  <c r="AE831" i="13"/>
  <c r="AD831" i="13"/>
  <c r="AC831" i="13"/>
  <c r="AB831" i="13"/>
  <c r="AA831" i="13"/>
  <c r="Z831" i="13"/>
  <c r="AK830" i="13"/>
  <c r="AI830" i="13"/>
  <c r="AG830" i="13"/>
  <c r="AE830" i="13"/>
  <c r="AD830" i="13"/>
  <c r="AC830" i="13"/>
  <c r="AB830" i="13"/>
  <c r="AA830" i="13"/>
  <c r="Z830" i="13"/>
  <c r="AK829" i="13"/>
  <c r="AI829" i="13"/>
  <c r="AG829" i="13"/>
  <c r="AE829" i="13"/>
  <c r="AD829" i="13"/>
  <c r="AC829" i="13"/>
  <c r="AB829" i="13"/>
  <c r="AA829" i="13"/>
  <c r="Z829" i="13"/>
  <c r="AK828" i="13"/>
  <c r="AI828" i="13"/>
  <c r="AG828" i="13"/>
  <c r="AE828" i="13"/>
  <c r="AD828" i="13"/>
  <c r="AC828" i="13"/>
  <c r="AB828" i="13"/>
  <c r="AA828" i="13"/>
  <c r="Z828" i="13"/>
  <c r="AM827" i="13"/>
  <c r="AM828" i="13" s="1"/>
  <c r="AM829" i="13" s="1"/>
  <c r="AM830" i="13" s="1"/>
  <c r="AM831" i="13" s="1"/>
  <c r="AM832" i="13" s="1"/>
  <c r="AK827" i="13"/>
  <c r="AI827" i="13"/>
  <c r="AG827" i="13"/>
  <c r="AE827" i="13"/>
  <c r="AD827" i="13"/>
  <c r="AC827" i="13"/>
  <c r="AB827" i="13"/>
  <c r="AA827" i="13"/>
  <c r="Z827" i="13"/>
  <c r="AK826" i="13"/>
  <c r="AI826" i="13"/>
  <c r="AG826" i="13"/>
  <c r="AE826" i="13"/>
  <c r="AD826" i="13"/>
  <c r="AC826" i="13"/>
  <c r="AB826" i="13"/>
  <c r="AA826" i="13"/>
  <c r="Z826" i="13"/>
  <c r="AK825" i="13"/>
  <c r="AI825" i="13"/>
  <c r="AG825" i="13"/>
  <c r="AE825" i="13"/>
  <c r="AD825" i="13"/>
  <c r="AC825" i="13"/>
  <c r="AB825" i="13"/>
  <c r="AA825" i="13"/>
  <c r="Z825" i="13"/>
  <c r="AK824" i="13"/>
  <c r="AI824" i="13"/>
  <c r="AG824" i="13"/>
  <c r="AE824" i="13"/>
  <c r="AD824" i="13"/>
  <c r="AC824" i="13"/>
  <c r="AB824" i="13"/>
  <c r="AA824" i="13"/>
  <c r="Z824" i="13"/>
  <c r="AK823" i="13"/>
  <c r="AI823" i="13"/>
  <c r="AG823" i="13"/>
  <c r="AE823" i="13"/>
  <c r="AD823" i="13"/>
  <c r="AC823" i="13"/>
  <c r="AB823" i="13"/>
  <c r="AA823" i="13"/>
  <c r="Z823" i="13"/>
  <c r="AK822" i="13"/>
  <c r="AI822" i="13"/>
  <c r="AG822" i="13"/>
  <c r="AE822" i="13"/>
  <c r="AD822" i="13"/>
  <c r="AC822" i="13"/>
  <c r="AB822" i="13"/>
  <c r="AA822" i="13"/>
  <c r="Z822" i="13"/>
  <c r="AM821" i="13"/>
  <c r="AM822" i="13" s="1"/>
  <c r="AM823" i="13" s="1"/>
  <c r="AM824" i="13" s="1"/>
  <c r="AM825" i="13" s="1"/>
  <c r="AM826" i="13" s="1"/>
  <c r="AK821" i="13"/>
  <c r="AI821" i="13"/>
  <c r="AG821" i="13"/>
  <c r="AE821" i="13"/>
  <c r="AD821" i="13"/>
  <c r="AC821" i="13"/>
  <c r="AB821" i="13"/>
  <c r="AA821" i="13"/>
  <c r="Z821" i="13"/>
  <c r="AK820" i="13"/>
  <c r="AI820" i="13"/>
  <c r="AG820" i="13"/>
  <c r="AE820" i="13"/>
  <c r="AD820" i="13"/>
  <c r="AC820" i="13"/>
  <c r="AB820" i="13"/>
  <c r="AA820" i="13"/>
  <c r="Z820" i="13"/>
  <c r="AK819" i="13"/>
  <c r="AI819" i="13"/>
  <c r="AG819" i="13"/>
  <c r="AE819" i="13"/>
  <c r="AD819" i="13"/>
  <c r="AC819" i="13"/>
  <c r="AB819" i="13"/>
  <c r="AA819" i="13"/>
  <c r="Z819" i="13"/>
  <c r="AK818" i="13"/>
  <c r="AI818" i="13"/>
  <c r="AG818" i="13"/>
  <c r="AE818" i="13"/>
  <c r="AD818" i="13"/>
  <c r="AC818" i="13"/>
  <c r="AB818" i="13"/>
  <c r="AA818" i="13"/>
  <c r="Z818" i="13"/>
  <c r="AK817" i="13"/>
  <c r="AI817" i="13"/>
  <c r="AG817" i="13"/>
  <c r="AE817" i="13"/>
  <c r="AD817" i="13"/>
  <c r="AC817" i="13"/>
  <c r="AB817" i="13"/>
  <c r="AA817" i="13"/>
  <c r="Z817" i="13"/>
  <c r="AK816" i="13"/>
  <c r="AI816" i="13"/>
  <c r="AG816" i="13"/>
  <c r="AE816" i="13"/>
  <c r="AD816" i="13"/>
  <c r="AC816" i="13"/>
  <c r="AB816" i="13"/>
  <c r="AA816" i="13"/>
  <c r="Z816" i="13"/>
  <c r="AM815" i="13"/>
  <c r="AM816" i="13" s="1"/>
  <c r="AM817" i="13" s="1"/>
  <c r="AM818" i="13" s="1"/>
  <c r="AM819" i="13" s="1"/>
  <c r="AM820" i="13" s="1"/>
  <c r="AK815" i="13"/>
  <c r="AI815" i="13"/>
  <c r="AG815" i="13"/>
  <c r="AE815" i="13"/>
  <c r="AD815" i="13"/>
  <c r="AC815" i="13"/>
  <c r="AB815" i="13"/>
  <c r="AA815" i="13"/>
  <c r="Z815" i="13"/>
  <c r="AK814" i="13"/>
  <c r="AI814" i="13"/>
  <c r="AG814" i="13"/>
  <c r="AE814" i="13"/>
  <c r="AD814" i="13"/>
  <c r="AC814" i="13"/>
  <c r="AB814" i="13"/>
  <c r="AA814" i="13"/>
  <c r="Z814" i="13"/>
  <c r="AK813" i="13"/>
  <c r="AI813" i="13"/>
  <c r="AG813" i="13"/>
  <c r="AE813" i="13"/>
  <c r="AD813" i="13"/>
  <c r="AC813" i="13"/>
  <c r="AB813" i="13"/>
  <c r="AA813" i="13"/>
  <c r="Z813" i="13"/>
  <c r="AK812" i="13"/>
  <c r="AI812" i="13"/>
  <c r="AG812" i="13"/>
  <c r="AE812" i="13"/>
  <c r="AD812" i="13"/>
  <c r="AC812" i="13"/>
  <c r="AB812" i="13"/>
  <c r="AA812" i="13"/>
  <c r="Z812" i="13"/>
  <c r="AM811" i="13"/>
  <c r="AM812" i="13" s="1"/>
  <c r="AM813" i="13" s="1"/>
  <c r="AM814" i="13" s="1"/>
  <c r="AK811" i="13"/>
  <c r="AI811" i="13"/>
  <c r="AG811" i="13"/>
  <c r="AE811" i="13"/>
  <c r="AD811" i="13"/>
  <c r="AC811" i="13"/>
  <c r="AB811" i="13"/>
  <c r="AA811" i="13"/>
  <c r="Z811" i="13"/>
  <c r="AK810" i="13"/>
  <c r="AI810" i="13"/>
  <c r="AG810" i="13"/>
  <c r="AE810" i="13"/>
  <c r="AD810" i="13"/>
  <c r="AC810" i="13"/>
  <c r="AB810" i="13"/>
  <c r="AA810" i="13"/>
  <c r="Z810" i="13"/>
  <c r="AK809" i="13"/>
  <c r="AI809" i="13"/>
  <c r="AG809" i="13"/>
  <c r="AE809" i="13"/>
  <c r="AD809" i="13"/>
  <c r="AC809" i="13"/>
  <c r="AB809" i="13"/>
  <c r="AA809" i="13"/>
  <c r="Z809" i="13"/>
  <c r="AK808" i="13"/>
  <c r="AI808" i="13"/>
  <c r="AG808" i="13"/>
  <c r="AE808" i="13"/>
  <c r="AD808" i="13"/>
  <c r="AC808" i="13"/>
  <c r="AB808" i="13"/>
  <c r="AA808" i="13"/>
  <c r="Z808" i="13"/>
  <c r="AK807" i="13"/>
  <c r="AI807" i="13"/>
  <c r="AG807" i="13"/>
  <c r="AE807" i="13"/>
  <c r="AD807" i="13"/>
  <c r="AC807" i="13"/>
  <c r="AB807" i="13"/>
  <c r="AA807" i="13"/>
  <c r="Z807" i="13"/>
  <c r="AK806" i="13"/>
  <c r="AI806" i="13"/>
  <c r="AG806" i="13"/>
  <c r="AE806" i="13"/>
  <c r="AD806" i="13"/>
  <c r="AC806" i="13"/>
  <c r="AB806" i="13"/>
  <c r="AA806" i="13"/>
  <c r="Z806" i="13"/>
  <c r="AK805" i="13"/>
  <c r="AI805" i="13"/>
  <c r="AG805" i="13"/>
  <c r="AE805" i="13"/>
  <c r="AD805" i="13"/>
  <c r="AC805" i="13"/>
  <c r="AB805" i="13"/>
  <c r="AA805" i="13"/>
  <c r="Z805" i="13"/>
  <c r="AK804" i="13"/>
  <c r="AI804" i="13"/>
  <c r="AG804" i="13"/>
  <c r="AE804" i="13"/>
  <c r="AD804" i="13"/>
  <c r="AC804" i="13"/>
  <c r="AB804" i="13"/>
  <c r="AA804" i="13"/>
  <c r="Z804" i="13"/>
  <c r="AK803" i="13"/>
  <c r="AI803" i="13"/>
  <c r="AG803" i="13"/>
  <c r="AE803" i="13"/>
  <c r="AD803" i="13"/>
  <c r="AC803" i="13"/>
  <c r="AB803" i="13"/>
  <c r="AA803" i="13"/>
  <c r="Z803" i="13"/>
  <c r="AK802" i="13"/>
  <c r="AI802" i="13"/>
  <c r="AG802" i="13"/>
  <c r="AE802" i="13"/>
  <c r="AD802" i="13"/>
  <c r="AC802" i="13"/>
  <c r="AB802" i="13"/>
  <c r="AA802" i="13"/>
  <c r="Z802" i="13"/>
  <c r="AM801" i="13"/>
  <c r="AM802" i="13" s="1"/>
  <c r="AM803" i="13" s="1"/>
  <c r="AM804" i="13" s="1"/>
  <c r="AM805" i="13" s="1"/>
  <c r="AM806" i="13" s="1"/>
  <c r="AM807" i="13" s="1"/>
  <c r="AM808" i="13" s="1"/>
  <c r="AM809" i="13" s="1"/>
  <c r="AM810" i="13" s="1"/>
  <c r="AK801" i="13"/>
  <c r="AI801" i="13"/>
  <c r="AG801" i="13"/>
  <c r="AE801" i="13"/>
  <c r="AD801" i="13"/>
  <c r="AC801" i="13"/>
  <c r="AB801" i="13"/>
  <c r="AA801" i="13"/>
  <c r="Z801" i="13"/>
  <c r="AK800" i="13"/>
  <c r="AI800" i="13"/>
  <c r="AG800" i="13"/>
  <c r="AE800" i="13"/>
  <c r="AD800" i="13"/>
  <c r="AC800" i="13"/>
  <c r="AB800" i="13"/>
  <c r="AA800" i="13"/>
  <c r="Z800" i="13"/>
  <c r="AK799" i="13"/>
  <c r="AI799" i="13"/>
  <c r="AG799" i="13"/>
  <c r="AE799" i="13"/>
  <c r="AD799" i="13"/>
  <c r="AC799" i="13"/>
  <c r="AB799" i="13"/>
  <c r="AA799" i="13"/>
  <c r="Z799" i="13"/>
  <c r="AK798" i="13"/>
  <c r="AI798" i="13"/>
  <c r="AG798" i="13"/>
  <c r="AE798" i="13"/>
  <c r="AD798" i="13"/>
  <c r="AC798" i="13"/>
  <c r="AB798" i="13"/>
  <c r="AA798" i="13"/>
  <c r="Z798" i="13"/>
  <c r="AK797" i="13"/>
  <c r="AI797" i="13"/>
  <c r="AG797" i="13"/>
  <c r="AE797" i="13"/>
  <c r="AD797" i="13"/>
  <c r="AC797" i="13"/>
  <c r="AB797" i="13"/>
  <c r="AA797" i="13"/>
  <c r="Z797" i="13"/>
  <c r="AK796" i="13"/>
  <c r="AI796" i="13"/>
  <c r="AG796" i="13"/>
  <c r="AE796" i="13"/>
  <c r="AD796" i="13"/>
  <c r="AC796" i="13"/>
  <c r="AB796" i="13"/>
  <c r="AA796" i="13"/>
  <c r="Z796" i="13"/>
  <c r="AK795" i="13"/>
  <c r="AI795" i="13"/>
  <c r="AG795" i="13"/>
  <c r="AE795" i="13"/>
  <c r="AD795" i="13"/>
  <c r="AC795" i="13"/>
  <c r="AB795" i="13"/>
  <c r="AA795" i="13"/>
  <c r="Z795" i="13"/>
  <c r="AK794" i="13"/>
  <c r="AI794" i="13"/>
  <c r="AG794" i="13"/>
  <c r="AE794" i="13"/>
  <c r="AD794" i="13"/>
  <c r="AC794" i="13"/>
  <c r="AB794" i="13"/>
  <c r="AA794" i="13"/>
  <c r="Z794" i="13"/>
  <c r="AK793" i="13"/>
  <c r="AI793" i="13"/>
  <c r="AG793" i="13"/>
  <c r="AE793" i="13"/>
  <c r="AD793" i="13"/>
  <c r="AC793" i="13"/>
  <c r="AB793" i="13"/>
  <c r="AA793" i="13"/>
  <c r="Z793" i="13"/>
  <c r="AK792" i="13"/>
  <c r="AI792" i="13"/>
  <c r="AG792" i="13"/>
  <c r="AE792" i="13"/>
  <c r="AD792" i="13"/>
  <c r="AC792" i="13"/>
  <c r="AB792" i="13"/>
  <c r="AA792" i="13"/>
  <c r="Z792" i="13"/>
  <c r="AK791" i="13"/>
  <c r="AI791" i="13"/>
  <c r="AG791" i="13"/>
  <c r="AE791" i="13"/>
  <c r="AD791" i="13"/>
  <c r="AC791" i="13"/>
  <c r="AB791" i="13"/>
  <c r="AA791" i="13"/>
  <c r="Z791" i="13"/>
  <c r="AK790" i="13"/>
  <c r="AI790" i="13"/>
  <c r="AG790" i="13"/>
  <c r="AE790" i="13"/>
  <c r="AD790" i="13"/>
  <c r="AC790" i="13"/>
  <c r="AB790" i="13"/>
  <c r="AA790" i="13"/>
  <c r="Z790" i="13"/>
  <c r="AK789" i="13"/>
  <c r="AI789" i="13"/>
  <c r="AG789" i="13"/>
  <c r="AE789" i="13"/>
  <c r="AD789" i="13"/>
  <c r="AC789" i="13"/>
  <c r="AB789" i="13"/>
  <c r="AA789" i="13"/>
  <c r="Z789" i="13"/>
  <c r="AK788" i="13"/>
  <c r="AI788" i="13"/>
  <c r="AG788" i="13"/>
  <c r="AE788" i="13"/>
  <c r="AD788" i="13"/>
  <c r="AC788" i="13"/>
  <c r="AB788" i="13"/>
  <c r="AA788" i="13"/>
  <c r="Z788" i="13"/>
  <c r="AM787" i="13"/>
  <c r="AM788" i="13" s="1"/>
  <c r="AM789" i="13" s="1"/>
  <c r="AM790" i="13" s="1"/>
  <c r="AM791" i="13" s="1"/>
  <c r="AM792" i="13" s="1"/>
  <c r="AM793" i="13" s="1"/>
  <c r="AM794" i="13" s="1"/>
  <c r="AM795" i="13" s="1"/>
  <c r="AM796" i="13" s="1"/>
  <c r="AM797" i="13" s="1"/>
  <c r="AM798" i="13" s="1"/>
  <c r="AM799" i="13" s="1"/>
  <c r="AM800" i="13" s="1"/>
  <c r="AK787" i="13"/>
  <c r="AI787" i="13"/>
  <c r="AG787" i="13"/>
  <c r="AE787" i="13"/>
  <c r="AD787" i="13"/>
  <c r="AC787" i="13"/>
  <c r="AB787" i="13"/>
  <c r="AA787" i="13"/>
  <c r="Z787" i="13"/>
  <c r="AK786" i="13"/>
  <c r="AI786" i="13"/>
  <c r="AG786" i="13"/>
  <c r="AE786" i="13"/>
  <c r="AD786" i="13"/>
  <c r="AC786" i="13"/>
  <c r="AB786" i="13"/>
  <c r="AA786" i="13"/>
  <c r="Z786" i="13"/>
  <c r="AK785" i="13"/>
  <c r="AI785" i="13"/>
  <c r="AG785" i="13"/>
  <c r="AE785" i="13"/>
  <c r="AD785" i="13"/>
  <c r="AC785" i="13"/>
  <c r="AB785" i="13"/>
  <c r="AA785" i="13"/>
  <c r="Z785" i="13"/>
  <c r="AK784" i="13"/>
  <c r="AI784" i="13"/>
  <c r="AG784" i="13"/>
  <c r="AE784" i="13"/>
  <c r="AD784" i="13"/>
  <c r="AC784" i="13"/>
  <c r="AB784" i="13"/>
  <c r="AA784" i="13"/>
  <c r="Z784" i="13"/>
  <c r="AK783" i="13"/>
  <c r="AI783" i="13"/>
  <c r="AG783" i="13"/>
  <c r="AE783" i="13"/>
  <c r="AD783" i="13"/>
  <c r="AC783" i="13"/>
  <c r="AB783" i="13"/>
  <c r="AA783" i="13"/>
  <c r="Z783" i="13"/>
  <c r="AK782" i="13"/>
  <c r="AI782" i="13"/>
  <c r="AG782" i="13"/>
  <c r="AE782" i="13"/>
  <c r="AD782" i="13"/>
  <c r="AC782" i="13"/>
  <c r="AB782" i="13"/>
  <c r="AA782" i="13"/>
  <c r="Z782" i="13"/>
  <c r="AK781" i="13"/>
  <c r="AI781" i="13"/>
  <c r="AG781" i="13"/>
  <c r="AE781" i="13"/>
  <c r="AD781" i="13"/>
  <c r="AC781" i="13"/>
  <c r="AB781" i="13"/>
  <c r="AA781" i="13"/>
  <c r="Z781" i="13"/>
  <c r="AK780" i="13"/>
  <c r="AI780" i="13"/>
  <c r="AG780" i="13"/>
  <c r="AE780" i="13"/>
  <c r="AD780" i="13"/>
  <c r="AC780" i="13"/>
  <c r="AB780" i="13"/>
  <c r="AA780" i="13"/>
  <c r="Z780" i="13"/>
  <c r="AK779" i="13"/>
  <c r="AI779" i="13"/>
  <c r="AG779" i="13"/>
  <c r="AE779" i="13"/>
  <c r="AD779" i="13"/>
  <c r="AC779" i="13"/>
  <c r="AB779" i="13"/>
  <c r="AA779" i="13"/>
  <c r="Z779" i="13"/>
  <c r="AM778" i="13"/>
  <c r="AM779" i="13" s="1"/>
  <c r="AM780" i="13" s="1"/>
  <c r="AM781" i="13" s="1"/>
  <c r="AM782" i="13" s="1"/>
  <c r="AM783" i="13" s="1"/>
  <c r="AM784" i="13" s="1"/>
  <c r="AM785" i="13" s="1"/>
  <c r="AM786" i="13" s="1"/>
  <c r="AK778" i="13"/>
  <c r="AI778" i="13"/>
  <c r="AG778" i="13"/>
  <c r="AE778" i="13"/>
  <c r="AD778" i="13"/>
  <c r="AC778" i="13"/>
  <c r="AB778" i="13"/>
  <c r="AA778" i="13"/>
  <c r="Z778" i="13"/>
  <c r="AK777" i="13"/>
  <c r="AI777" i="13"/>
  <c r="AG777" i="13"/>
  <c r="AE777" i="13"/>
  <c r="AD777" i="13"/>
  <c r="AC777" i="13"/>
  <c r="AB777" i="13"/>
  <c r="AA777" i="13"/>
  <c r="Z777" i="13"/>
  <c r="AK776" i="13"/>
  <c r="AI776" i="13"/>
  <c r="AG776" i="13"/>
  <c r="AE776" i="13"/>
  <c r="AD776" i="13"/>
  <c r="AC776" i="13"/>
  <c r="AB776" i="13"/>
  <c r="AA776" i="13"/>
  <c r="Z776" i="13"/>
  <c r="AK775" i="13"/>
  <c r="AI775" i="13"/>
  <c r="AG775" i="13"/>
  <c r="AE775" i="13"/>
  <c r="AD775" i="13"/>
  <c r="AC775" i="13"/>
  <c r="AB775" i="13"/>
  <c r="AA775" i="13"/>
  <c r="Z775" i="13"/>
  <c r="AK774" i="13"/>
  <c r="AI774" i="13"/>
  <c r="AG774" i="13"/>
  <c r="AE774" i="13"/>
  <c r="AD774" i="13"/>
  <c r="AC774" i="13"/>
  <c r="AB774" i="13"/>
  <c r="AA774" i="13"/>
  <c r="Z774" i="13"/>
  <c r="AK773" i="13"/>
  <c r="AI773" i="13"/>
  <c r="AG773" i="13"/>
  <c r="AE773" i="13"/>
  <c r="AD773" i="13"/>
  <c r="AC773" i="13"/>
  <c r="AB773" i="13"/>
  <c r="AA773" i="13"/>
  <c r="Z773" i="13"/>
  <c r="AK772" i="13"/>
  <c r="AI772" i="13"/>
  <c r="AG772" i="13"/>
  <c r="AE772" i="13"/>
  <c r="AD772" i="13"/>
  <c r="AC772" i="13"/>
  <c r="AB772" i="13"/>
  <c r="AA772" i="13"/>
  <c r="Z772" i="13"/>
  <c r="AK771" i="13"/>
  <c r="AI771" i="13"/>
  <c r="AG771" i="13"/>
  <c r="AE771" i="13"/>
  <c r="AD771" i="13"/>
  <c r="AC771" i="13"/>
  <c r="AB771" i="13"/>
  <c r="AA771" i="13"/>
  <c r="Z771" i="13"/>
  <c r="AM770" i="13"/>
  <c r="AM771" i="13" s="1"/>
  <c r="AM772" i="13" s="1"/>
  <c r="AM773" i="13" s="1"/>
  <c r="AM774" i="13" s="1"/>
  <c r="AM775" i="13" s="1"/>
  <c r="AM776" i="13" s="1"/>
  <c r="AM777" i="13" s="1"/>
  <c r="AK770" i="13"/>
  <c r="AI770" i="13"/>
  <c r="AG770" i="13"/>
  <c r="AE770" i="13"/>
  <c r="AD770" i="13"/>
  <c r="AC770" i="13"/>
  <c r="AB770" i="13"/>
  <c r="AA770" i="13"/>
  <c r="Z770" i="13"/>
  <c r="AK769" i="13"/>
  <c r="AI769" i="13"/>
  <c r="AG769" i="13"/>
  <c r="AE769" i="13"/>
  <c r="AD769" i="13"/>
  <c r="AC769" i="13"/>
  <c r="AB769" i="13"/>
  <c r="AA769" i="13"/>
  <c r="Z769" i="13"/>
  <c r="AK768" i="13"/>
  <c r="AI768" i="13"/>
  <c r="AG768" i="13"/>
  <c r="AE768" i="13"/>
  <c r="AD768" i="13"/>
  <c r="AC768" i="13"/>
  <c r="AB768" i="13"/>
  <c r="AA768" i="13"/>
  <c r="Z768" i="13"/>
  <c r="AK767" i="13"/>
  <c r="AI767" i="13"/>
  <c r="AG767" i="13"/>
  <c r="AE767" i="13"/>
  <c r="AD767" i="13"/>
  <c r="AC767" i="13"/>
  <c r="AB767" i="13"/>
  <c r="AA767" i="13"/>
  <c r="Z767" i="13"/>
  <c r="AK766" i="13"/>
  <c r="AI766" i="13"/>
  <c r="AG766" i="13"/>
  <c r="AE766" i="13"/>
  <c r="AD766" i="13"/>
  <c r="AC766" i="13"/>
  <c r="AB766" i="13"/>
  <c r="AA766" i="13"/>
  <c r="Z766" i="13"/>
  <c r="AK765" i="13"/>
  <c r="AI765" i="13"/>
  <c r="AG765" i="13"/>
  <c r="AE765" i="13"/>
  <c r="AD765" i="13"/>
  <c r="AC765" i="13"/>
  <c r="AB765" i="13"/>
  <c r="AA765" i="13"/>
  <c r="Z765" i="13"/>
  <c r="AK764" i="13"/>
  <c r="AI764" i="13"/>
  <c r="AG764" i="13"/>
  <c r="AE764" i="13"/>
  <c r="AD764" i="13"/>
  <c r="AC764" i="13"/>
  <c r="AB764" i="13"/>
  <c r="AA764" i="13"/>
  <c r="Z764" i="13"/>
  <c r="AK763" i="13"/>
  <c r="AI763" i="13"/>
  <c r="AG763" i="13"/>
  <c r="AE763" i="13"/>
  <c r="AD763" i="13"/>
  <c r="AC763" i="13"/>
  <c r="AB763" i="13"/>
  <c r="AA763" i="13"/>
  <c r="Z763" i="13"/>
  <c r="AK762" i="13"/>
  <c r="AI762" i="13"/>
  <c r="AG762" i="13"/>
  <c r="AE762" i="13"/>
  <c r="AD762" i="13"/>
  <c r="AC762" i="13"/>
  <c r="AB762" i="13"/>
  <c r="AA762" i="13"/>
  <c r="Z762" i="13"/>
  <c r="AK761" i="13"/>
  <c r="AI761" i="13"/>
  <c r="AG761" i="13"/>
  <c r="AE761" i="13"/>
  <c r="AD761" i="13"/>
  <c r="AC761" i="13"/>
  <c r="AB761" i="13"/>
  <c r="AA761" i="13"/>
  <c r="Z761" i="13"/>
  <c r="AK760" i="13"/>
  <c r="AI760" i="13"/>
  <c r="AG760" i="13"/>
  <c r="AE760" i="13"/>
  <c r="AD760" i="13"/>
  <c r="AC760" i="13"/>
  <c r="AB760" i="13"/>
  <c r="AA760" i="13"/>
  <c r="Z760" i="13"/>
  <c r="AM759" i="13"/>
  <c r="AM760" i="13" s="1"/>
  <c r="AM761" i="13" s="1"/>
  <c r="AM762" i="13" s="1"/>
  <c r="AM763" i="13" s="1"/>
  <c r="AM764" i="13" s="1"/>
  <c r="AM765" i="13" s="1"/>
  <c r="AM766" i="13" s="1"/>
  <c r="AM767" i="13" s="1"/>
  <c r="AM768" i="13" s="1"/>
  <c r="AM769" i="13" s="1"/>
  <c r="AK759" i="13"/>
  <c r="AI759" i="13"/>
  <c r="AG759" i="13"/>
  <c r="AE759" i="13"/>
  <c r="AD759" i="13"/>
  <c r="AC759" i="13"/>
  <c r="AB759" i="13"/>
  <c r="AA759" i="13"/>
  <c r="Z759" i="13"/>
  <c r="AK758" i="13"/>
  <c r="AI758" i="13"/>
  <c r="AG758" i="13"/>
  <c r="AE758" i="13"/>
  <c r="AD758" i="13"/>
  <c r="AC758" i="13"/>
  <c r="AB758" i="13"/>
  <c r="AA758" i="13"/>
  <c r="Z758" i="13"/>
  <c r="AK757" i="13"/>
  <c r="AI757" i="13"/>
  <c r="AG757" i="13"/>
  <c r="AE757" i="13"/>
  <c r="AD757" i="13"/>
  <c r="AC757" i="13"/>
  <c r="AB757" i="13"/>
  <c r="AA757" i="13"/>
  <c r="Z757" i="13"/>
  <c r="AK756" i="13"/>
  <c r="AI756" i="13"/>
  <c r="AG756" i="13"/>
  <c r="AE756" i="13"/>
  <c r="AD756" i="13"/>
  <c r="AC756" i="13"/>
  <c r="AB756" i="13"/>
  <c r="AA756" i="13"/>
  <c r="Z756" i="13"/>
  <c r="AK755" i="13"/>
  <c r="AI755" i="13"/>
  <c r="AG755" i="13"/>
  <c r="AE755" i="13"/>
  <c r="AD755" i="13"/>
  <c r="AC755" i="13"/>
  <c r="AB755" i="13"/>
  <c r="AA755" i="13"/>
  <c r="Z755" i="13"/>
  <c r="AK754" i="13"/>
  <c r="AI754" i="13"/>
  <c r="AG754" i="13"/>
  <c r="AE754" i="13"/>
  <c r="AD754" i="13"/>
  <c r="AC754" i="13"/>
  <c r="AB754" i="13"/>
  <c r="AA754" i="13"/>
  <c r="Z754" i="13"/>
  <c r="AK753" i="13"/>
  <c r="AI753" i="13"/>
  <c r="AG753" i="13"/>
  <c r="AE753" i="13"/>
  <c r="AD753" i="13"/>
  <c r="AC753" i="13"/>
  <c r="AB753" i="13"/>
  <c r="AA753" i="13"/>
  <c r="Z753" i="13"/>
  <c r="AK752" i="13"/>
  <c r="AI752" i="13"/>
  <c r="AG752" i="13"/>
  <c r="AE752" i="13"/>
  <c r="AD752" i="13"/>
  <c r="AC752" i="13"/>
  <c r="AB752" i="13"/>
  <c r="AA752" i="13"/>
  <c r="Z752" i="13"/>
  <c r="AK751" i="13"/>
  <c r="AI751" i="13"/>
  <c r="AG751" i="13"/>
  <c r="AE751" i="13"/>
  <c r="AD751" i="13"/>
  <c r="AC751" i="13"/>
  <c r="AB751" i="13"/>
  <c r="AA751" i="13"/>
  <c r="Z751" i="13"/>
  <c r="AK750" i="13"/>
  <c r="AI750" i="13"/>
  <c r="AG750" i="13"/>
  <c r="AE750" i="13"/>
  <c r="AD750" i="13"/>
  <c r="AC750" i="13"/>
  <c r="AB750" i="13"/>
  <c r="AA750" i="13"/>
  <c r="Z750" i="13"/>
  <c r="AK749" i="13"/>
  <c r="AI749" i="13"/>
  <c r="AG749" i="13"/>
  <c r="AE749" i="13"/>
  <c r="AD749" i="13"/>
  <c r="AC749" i="13"/>
  <c r="AB749" i="13"/>
  <c r="AA749" i="13"/>
  <c r="Z749" i="13"/>
  <c r="AM748" i="13"/>
  <c r="AM749" i="13" s="1"/>
  <c r="AM750" i="13" s="1"/>
  <c r="AM751" i="13" s="1"/>
  <c r="AM752" i="13" s="1"/>
  <c r="AM753" i="13" s="1"/>
  <c r="AM754" i="13" s="1"/>
  <c r="AM755" i="13" s="1"/>
  <c r="AM756" i="13" s="1"/>
  <c r="AM757" i="13" s="1"/>
  <c r="AM758" i="13" s="1"/>
  <c r="AK748" i="13"/>
  <c r="AI748" i="13"/>
  <c r="AG748" i="13"/>
  <c r="AE748" i="13"/>
  <c r="AD748" i="13"/>
  <c r="AC748" i="13"/>
  <c r="AB748" i="13"/>
  <c r="AA748" i="13"/>
  <c r="Z748" i="13"/>
  <c r="AK747" i="13"/>
  <c r="AI747" i="13"/>
  <c r="AG747" i="13"/>
  <c r="AE747" i="13"/>
  <c r="AD747" i="13"/>
  <c r="AC747" i="13"/>
  <c r="AB747" i="13"/>
  <c r="AA747" i="13"/>
  <c r="Z747" i="13"/>
  <c r="AK746" i="13"/>
  <c r="AI746" i="13"/>
  <c r="AG746" i="13"/>
  <c r="AE746" i="13"/>
  <c r="AD746" i="13"/>
  <c r="AC746" i="13"/>
  <c r="AB746" i="13"/>
  <c r="AA746" i="13"/>
  <c r="Z746" i="13"/>
  <c r="AK745" i="13"/>
  <c r="AI745" i="13"/>
  <c r="AG745" i="13"/>
  <c r="AE745" i="13"/>
  <c r="AD745" i="13"/>
  <c r="AC745" i="13"/>
  <c r="AB745" i="13"/>
  <c r="AA745" i="13"/>
  <c r="Z745" i="13"/>
  <c r="AK744" i="13"/>
  <c r="AI744" i="13"/>
  <c r="AG744" i="13"/>
  <c r="AE744" i="13"/>
  <c r="AD744" i="13"/>
  <c r="AC744" i="13"/>
  <c r="AB744" i="13"/>
  <c r="AA744" i="13"/>
  <c r="Z744" i="13"/>
  <c r="AK743" i="13"/>
  <c r="AI743" i="13"/>
  <c r="AG743" i="13"/>
  <c r="AE743" i="13"/>
  <c r="AD743" i="13"/>
  <c r="AC743" i="13"/>
  <c r="AB743" i="13"/>
  <c r="AA743" i="13"/>
  <c r="Z743" i="13"/>
  <c r="AK742" i="13"/>
  <c r="AI742" i="13"/>
  <c r="AG742" i="13"/>
  <c r="AE742" i="13"/>
  <c r="AD742" i="13"/>
  <c r="AC742" i="13"/>
  <c r="AB742" i="13"/>
  <c r="AA742" i="13"/>
  <c r="Z742" i="13"/>
  <c r="AK741" i="13"/>
  <c r="AI741" i="13"/>
  <c r="AG741" i="13"/>
  <c r="AE741" i="13"/>
  <c r="AD741" i="13"/>
  <c r="AC741" i="13"/>
  <c r="AB741" i="13"/>
  <c r="AA741" i="13"/>
  <c r="Z741" i="13"/>
  <c r="AK740" i="13"/>
  <c r="AI740" i="13"/>
  <c r="AG740" i="13"/>
  <c r="AE740" i="13"/>
  <c r="AD740" i="13"/>
  <c r="AC740" i="13"/>
  <c r="AB740" i="13"/>
  <c r="AA740" i="13"/>
  <c r="Z740" i="13"/>
  <c r="AK739" i="13"/>
  <c r="AI739" i="13"/>
  <c r="AG739" i="13"/>
  <c r="AE739" i="13"/>
  <c r="AD739" i="13"/>
  <c r="AC739" i="13"/>
  <c r="AB739" i="13"/>
  <c r="AA739" i="13"/>
  <c r="Z739" i="13"/>
  <c r="AK738" i="13"/>
  <c r="AI738" i="13"/>
  <c r="AG738" i="13"/>
  <c r="AE738" i="13"/>
  <c r="AD738" i="13"/>
  <c r="AC738" i="13"/>
  <c r="AB738" i="13"/>
  <c r="AA738" i="13"/>
  <c r="Z738" i="13"/>
  <c r="AK737" i="13"/>
  <c r="AI737" i="13"/>
  <c r="AG737" i="13"/>
  <c r="AE737" i="13"/>
  <c r="AD737" i="13"/>
  <c r="AC737" i="13"/>
  <c r="AB737" i="13"/>
  <c r="AA737" i="13"/>
  <c r="Z737" i="13"/>
  <c r="AM736" i="13"/>
  <c r="AM737" i="13" s="1"/>
  <c r="AM738" i="13" s="1"/>
  <c r="AM739" i="13" s="1"/>
  <c r="AM740" i="13" s="1"/>
  <c r="AM741" i="13" s="1"/>
  <c r="AM742" i="13" s="1"/>
  <c r="AM743" i="13" s="1"/>
  <c r="AM744" i="13" s="1"/>
  <c r="AM745" i="13" s="1"/>
  <c r="AM746" i="13" s="1"/>
  <c r="AM747" i="13" s="1"/>
  <c r="AK736" i="13"/>
  <c r="AI736" i="13"/>
  <c r="AG736" i="13"/>
  <c r="AE736" i="13"/>
  <c r="AD736" i="13"/>
  <c r="AC736" i="13"/>
  <c r="AB736" i="13"/>
  <c r="AA736" i="13"/>
  <c r="Z736" i="13"/>
  <c r="AK735" i="13"/>
  <c r="AI735" i="13"/>
  <c r="AG735" i="13"/>
  <c r="AE735" i="13"/>
  <c r="AD735" i="13"/>
  <c r="AC735" i="13"/>
  <c r="AB735" i="13"/>
  <c r="AA735" i="13"/>
  <c r="Z735" i="13"/>
  <c r="AK734" i="13"/>
  <c r="AI734" i="13"/>
  <c r="AG734" i="13"/>
  <c r="AE734" i="13"/>
  <c r="AD734" i="13"/>
  <c r="AC734" i="13"/>
  <c r="AB734" i="13"/>
  <c r="AA734" i="13"/>
  <c r="Z734" i="13"/>
  <c r="AK733" i="13"/>
  <c r="AI733" i="13"/>
  <c r="AG733" i="13"/>
  <c r="AE733" i="13"/>
  <c r="AD733" i="13"/>
  <c r="AC733" i="13"/>
  <c r="AB733" i="13"/>
  <c r="AA733" i="13"/>
  <c r="Z733" i="13"/>
  <c r="AK732" i="13"/>
  <c r="AI732" i="13"/>
  <c r="AG732" i="13"/>
  <c r="AE732" i="13"/>
  <c r="AD732" i="13"/>
  <c r="AC732" i="13"/>
  <c r="AB732" i="13"/>
  <c r="AA732" i="13"/>
  <c r="Z732" i="13"/>
  <c r="AK731" i="13"/>
  <c r="AI731" i="13"/>
  <c r="AG731" i="13"/>
  <c r="AE731" i="13"/>
  <c r="AD731" i="13"/>
  <c r="AC731" i="13"/>
  <c r="AB731" i="13"/>
  <c r="AA731" i="13"/>
  <c r="Z731" i="13"/>
  <c r="AK730" i="13"/>
  <c r="AI730" i="13"/>
  <c r="AG730" i="13"/>
  <c r="AE730" i="13"/>
  <c r="AD730" i="13"/>
  <c r="AC730" i="13"/>
  <c r="AB730" i="13"/>
  <c r="AA730" i="13"/>
  <c r="Z730" i="13"/>
  <c r="AM729" i="13"/>
  <c r="AM730" i="13" s="1"/>
  <c r="AM731" i="13" s="1"/>
  <c r="AM732" i="13" s="1"/>
  <c r="AM733" i="13" s="1"/>
  <c r="AM734" i="13" s="1"/>
  <c r="AM735" i="13" s="1"/>
  <c r="AK729" i="13"/>
  <c r="AI729" i="13"/>
  <c r="AG729" i="13"/>
  <c r="AE729" i="13"/>
  <c r="AD729" i="13"/>
  <c r="AC729" i="13"/>
  <c r="AB729" i="13"/>
  <c r="AA729" i="13"/>
  <c r="Z729" i="13"/>
  <c r="AK728" i="13"/>
  <c r="AI728" i="13"/>
  <c r="AG728" i="13"/>
  <c r="AE728" i="13"/>
  <c r="AD728" i="13"/>
  <c r="AC728" i="13"/>
  <c r="AB728" i="13"/>
  <c r="AA728" i="13"/>
  <c r="Z728" i="13"/>
  <c r="AK727" i="13"/>
  <c r="AI727" i="13"/>
  <c r="AG727" i="13"/>
  <c r="AE727" i="13"/>
  <c r="AD727" i="13"/>
  <c r="AC727" i="13"/>
  <c r="AB727" i="13"/>
  <c r="AA727" i="13"/>
  <c r="Z727" i="13"/>
  <c r="AK726" i="13"/>
  <c r="AI726" i="13"/>
  <c r="AG726" i="13"/>
  <c r="AE726" i="13"/>
  <c r="AD726" i="13"/>
  <c r="AC726" i="13"/>
  <c r="AB726" i="13"/>
  <c r="AA726" i="13"/>
  <c r="Z726" i="13"/>
  <c r="AK725" i="13"/>
  <c r="AI725" i="13"/>
  <c r="AG725" i="13"/>
  <c r="AE725" i="13"/>
  <c r="AD725" i="13"/>
  <c r="AC725" i="13"/>
  <c r="AB725" i="13"/>
  <c r="AA725" i="13"/>
  <c r="Z725" i="13"/>
  <c r="AK724" i="13"/>
  <c r="AI724" i="13"/>
  <c r="AG724" i="13"/>
  <c r="AE724" i="13"/>
  <c r="AD724" i="13"/>
  <c r="AC724" i="13"/>
  <c r="AB724" i="13"/>
  <c r="AA724" i="13"/>
  <c r="Z724" i="13"/>
  <c r="AK723" i="13"/>
  <c r="AI723" i="13"/>
  <c r="AG723" i="13"/>
  <c r="AE723" i="13"/>
  <c r="AD723" i="13"/>
  <c r="AC723" i="13"/>
  <c r="AB723" i="13"/>
  <c r="AA723" i="13"/>
  <c r="Z723" i="13"/>
  <c r="AK722" i="13"/>
  <c r="AI722" i="13"/>
  <c r="AG722" i="13"/>
  <c r="AE722" i="13"/>
  <c r="AD722" i="13"/>
  <c r="AC722" i="13"/>
  <c r="AB722" i="13"/>
  <c r="AA722" i="13"/>
  <c r="Z722" i="13"/>
  <c r="AK721" i="13"/>
  <c r="AI721" i="13"/>
  <c r="AG721" i="13"/>
  <c r="AE721" i="13"/>
  <c r="AD721" i="13"/>
  <c r="AC721" i="13"/>
  <c r="AB721" i="13"/>
  <c r="AA721" i="13"/>
  <c r="Z721" i="13"/>
  <c r="AK720" i="13"/>
  <c r="AI720" i="13"/>
  <c r="AG720" i="13"/>
  <c r="AE720" i="13"/>
  <c r="AD720" i="13"/>
  <c r="AC720" i="13"/>
  <c r="AB720" i="13"/>
  <c r="AA720" i="13"/>
  <c r="Z720" i="13"/>
  <c r="AK719" i="13"/>
  <c r="AI719" i="13"/>
  <c r="AG719" i="13"/>
  <c r="AE719" i="13"/>
  <c r="AD719" i="13"/>
  <c r="AC719" i="13"/>
  <c r="AB719" i="13"/>
  <c r="AA719" i="13"/>
  <c r="Z719" i="13"/>
  <c r="AK718" i="13"/>
  <c r="AI718" i="13"/>
  <c r="AG718" i="13"/>
  <c r="AE718" i="13"/>
  <c r="AD718" i="13"/>
  <c r="AC718" i="13"/>
  <c r="AB718" i="13"/>
  <c r="AA718" i="13"/>
  <c r="Z718" i="13"/>
  <c r="AM717" i="13"/>
  <c r="AM718" i="13" s="1"/>
  <c r="AM719" i="13" s="1"/>
  <c r="AM720" i="13" s="1"/>
  <c r="AM721" i="13" s="1"/>
  <c r="AM722" i="13" s="1"/>
  <c r="AM723" i="13" s="1"/>
  <c r="AM724" i="13" s="1"/>
  <c r="AM725" i="13" s="1"/>
  <c r="AM726" i="13" s="1"/>
  <c r="AM727" i="13" s="1"/>
  <c r="AM728" i="13" s="1"/>
  <c r="AK717" i="13"/>
  <c r="AI717" i="13"/>
  <c r="AG717" i="13"/>
  <c r="AE717" i="13"/>
  <c r="AD717" i="13"/>
  <c r="AC717" i="13"/>
  <c r="AB717" i="13"/>
  <c r="AA717" i="13"/>
  <c r="Z717" i="13"/>
  <c r="AK716" i="13"/>
  <c r="AI716" i="13"/>
  <c r="AG716" i="13"/>
  <c r="AE716" i="13"/>
  <c r="AD716" i="13"/>
  <c r="AC716" i="13"/>
  <c r="AB716" i="13"/>
  <c r="AA716" i="13"/>
  <c r="Z716" i="13"/>
  <c r="AK715" i="13"/>
  <c r="AI715" i="13"/>
  <c r="AG715" i="13"/>
  <c r="AE715" i="13"/>
  <c r="AD715" i="13"/>
  <c r="AC715" i="13"/>
  <c r="AB715" i="13"/>
  <c r="AA715" i="13"/>
  <c r="Z715" i="13"/>
  <c r="AK714" i="13"/>
  <c r="AI714" i="13"/>
  <c r="AG714" i="13"/>
  <c r="AE714" i="13"/>
  <c r="AD714" i="13"/>
  <c r="AC714" i="13"/>
  <c r="AB714" i="13"/>
  <c r="AA714" i="13"/>
  <c r="Z714" i="13"/>
  <c r="AK713" i="13"/>
  <c r="AI713" i="13"/>
  <c r="AG713" i="13"/>
  <c r="AE713" i="13"/>
  <c r="AD713" i="13"/>
  <c r="AC713" i="13"/>
  <c r="AB713" i="13"/>
  <c r="AA713" i="13"/>
  <c r="Z713" i="13"/>
  <c r="AK712" i="13"/>
  <c r="AI712" i="13"/>
  <c r="AG712" i="13"/>
  <c r="AE712" i="13"/>
  <c r="AD712" i="13"/>
  <c r="AC712" i="13"/>
  <c r="AB712" i="13"/>
  <c r="AA712" i="13"/>
  <c r="Z712" i="13"/>
  <c r="AK711" i="13"/>
  <c r="AI711" i="13"/>
  <c r="AG711" i="13"/>
  <c r="AE711" i="13"/>
  <c r="AD711" i="13"/>
  <c r="AC711" i="13"/>
  <c r="AB711" i="13"/>
  <c r="AA711" i="13"/>
  <c r="Z711" i="13"/>
  <c r="AK710" i="13"/>
  <c r="AI710" i="13"/>
  <c r="AG710" i="13"/>
  <c r="AE710" i="13"/>
  <c r="AD710" i="13"/>
  <c r="AC710" i="13"/>
  <c r="AB710" i="13"/>
  <c r="AA710" i="13"/>
  <c r="Z710" i="13"/>
  <c r="AM709" i="13"/>
  <c r="AM710" i="13" s="1"/>
  <c r="AM711" i="13" s="1"/>
  <c r="AM712" i="13" s="1"/>
  <c r="AM713" i="13" s="1"/>
  <c r="AM714" i="13" s="1"/>
  <c r="AM715" i="13" s="1"/>
  <c r="AM716" i="13" s="1"/>
  <c r="AK709" i="13"/>
  <c r="AI709" i="13"/>
  <c r="AG709" i="13"/>
  <c r="AE709" i="13"/>
  <c r="AD709" i="13"/>
  <c r="AC709" i="13"/>
  <c r="AB709" i="13"/>
  <c r="AA709" i="13"/>
  <c r="Z709" i="13"/>
  <c r="AK708" i="13"/>
  <c r="AI708" i="13"/>
  <c r="AG708" i="13"/>
  <c r="AE708" i="13"/>
  <c r="AD708" i="13"/>
  <c r="AC708" i="13"/>
  <c r="AB708" i="13"/>
  <c r="AA708" i="13"/>
  <c r="Z708" i="13"/>
  <c r="AK707" i="13"/>
  <c r="AI707" i="13"/>
  <c r="AG707" i="13"/>
  <c r="AE707" i="13"/>
  <c r="AD707" i="13"/>
  <c r="AC707" i="13"/>
  <c r="AB707" i="13"/>
  <c r="AA707" i="13"/>
  <c r="Z707" i="13"/>
  <c r="AK706" i="13"/>
  <c r="AI706" i="13"/>
  <c r="AG706" i="13"/>
  <c r="AE706" i="13"/>
  <c r="AD706" i="13"/>
  <c r="AC706" i="13"/>
  <c r="AB706" i="13"/>
  <c r="AA706" i="13"/>
  <c r="Z706" i="13"/>
  <c r="AK705" i="13"/>
  <c r="AI705" i="13"/>
  <c r="AG705" i="13"/>
  <c r="AE705" i="13"/>
  <c r="AD705" i="13"/>
  <c r="AC705" i="13"/>
  <c r="AB705" i="13"/>
  <c r="AA705" i="13"/>
  <c r="Z705" i="13"/>
  <c r="AK704" i="13"/>
  <c r="AI704" i="13"/>
  <c r="AG704" i="13"/>
  <c r="AE704" i="13"/>
  <c r="AD704" i="13"/>
  <c r="AC704" i="13"/>
  <c r="AB704" i="13"/>
  <c r="AA704" i="13"/>
  <c r="Z704" i="13"/>
  <c r="AK703" i="13"/>
  <c r="AI703" i="13"/>
  <c r="AG703" i="13"/>
  <c r="AE703" i="13"/>
  <c r="AD703" i="13"/>
  <c r="AC703" i="13"/>
  <c r="AB703" i="13"/>
  <c r="AA703" i="13"/>
  <c r="Z703" i="13"/>
  <c r="AM702" i="13"/>
  <c r="AM703" i="13" s="1"/>
  <c r="AM704" i="13" s="1"/>
  <c r="AM705" i="13" s="1"/>
  <c r="AM706" i="13" s="1"/>
  <c r="AM707" i="13" s="1"/>
  <c r="AM708" i="13" s="1"/>
  <c r="AK702" i="13"/>
  <c r="AI702" i="13"/>
  <c r="AG702" i="13"/>
  <c r="AE702" i="13"/>
  <c r="AD702" i="13"/>
  <c r="AC702" i="13"/>
  <c r="AB702" i="13"/>
  <c r="AA702" i="13"/>
  <c r="Z702" i="13"/>
  <c r="AK701" i="13"/>
  <c r="AI701" i="13"/>
  <c r="AG701" i="13"/>
  <c r="AE701" i="13"/>
  <c r="AD701" i="13"/>
  <c r="AC701" i="13"/>
  <c r="AB701" i="13"/>
  <c r="AA701" i="13"/>
  <c r="Z701" i="13"/>
  <c r="AK700" i="13"/>
  <c r="AI700" i="13"/>
  <c r="AG700" i="13"/>
  <c r="AE700" i="13"/>
  <c r="AD700" i="13"/>
  <c r="AC700" i="13"/>
  <c r="AB700" i="13"/>
  <c r="AA700" i="13"/>
  <c r="Z700" i="13"/>
  <c r="AK699" i="13"/>
  <c r="AI699" i="13"/>
  <c r="AG699" i="13"/>
  <c r="AE699" i="13"/>
  <c r="AD699" i="13"/>
  <c r="AC699" i="13"/>
  <c r="AB699" i="13"/>
  <c r="AA699" i="13"/>
  <c r="Z699" i="13"/>
  <c r="AK698" i="13"/>
  <c r="AI698" i="13"/>
  <c r="AG698" i="13"/>
  <c r="AE698" i="13"/>
  <c r="AD698" i="13"/>
  <c r="AC698" i="13"/>
  <c r="AB698" i="13"/>
  <c r="AA698" i="13"/>
  <c r="Z698" i="13"/>
  <c r="AM697" i="13"/>
  <c r="AM698" i="13" s="1"/>
  <c r="AM699" i="13" s="1"/>
  <c r="AM700" i="13" s="1"/>
  <c r="AM701" i="13" s="1"/>
  <c r="AK697" i="13"/>
  <c r="AI697" i="13"/>
  <c r="AG697" i="13"/>
  <c r="AE697" i="13"/>
  <c r="AD697" i="13"/>
  <c r="AC697" i="13"/>
  <c r="AB697" i="13"/>
  <c r="AA697" i="13"/>
  <c r="Z697" i="13"/>
  <c r="AM696" i="13"/>
  <c r="AK696" i="13"/>
  <c r="AI696" i="13"/>
  <c r="AG696" i="13"/>
  <c r="AE696" i="13"/>
  <c r="AD696" i="13"/>
  <c r="AC696" i="13"/>
  <c r="AB696" i="13"/>
  <c r="AA696" i="13"/>
  <c r="Z696" i="13"/>
  <c r="AK695" i="13"/>
  <c r="AI695" i="13"/>
  <c r="AG695" i="13"/>
  <c r="AE695" i="13"/>
  <c r="AD695" i="13"/>
  <c r="AC695" i="13"/>
  <c r="AB695" i="13"/>
  <c r="AA695" i="13"/>
  <c r="Z695" i="13"/>
  <c r="AK694" i="13"/>
  <c r="AI694" i="13"/>
  <c r="AG694" i="13"/>
  <c r="AE694" i="13"/>
  <c r="AD694" i="13"/>
  <c r="AC694" i="13"/>
  <c r="AB694" i="13"/>
  <c r="AA694" i="13"/>
  <c r="Z694" i="13"/>
  <c r="AM693" i="13"/>
  <c r="AM694" i="13" s="1"/>
  <c r="AM695" i="13" s="1"/>
  <c r="AK693" i="13"/>
  <c r="AI693" i="13"/>
  <c r="AG693" i="13"/>
  <c r="AE693" i="13"/>
  <c r="AD693" i="13"/>
  <c r="AC693" i="13"/>
  <c r="AB693" i="13"/>
  <c r="AA693" i="13"/>
  <c r="Z693" i="13"/>
  <c r="AK692" i="13"/>
  <c r="AI692" i="13"/>
  <c r="AG692" i="13"/>
  <c r="AE692" i="13"/>
  <c r="AD692" i="13"/>
  <c r="AC692" i="13"/>
  <c r="AB692" i="13"/>
  <c r="AA692" i="13"/>
  <c r="Z692" i="13"/>
  <c r="AK691" i="13"/>
  <c r="AI691" i="13"/>
  <c r="AG691" i="13"/>
  <c r="AE691" i="13"/>
  <c r="AD691" i="13"/>
  <c r="AC691" i="13"/>
  <c r="AB691" i="13"/>
  <c r="AA691" i="13"/>
  <c r="Z691" i="13"/>
  <c r="AK690" i="13"/>
  <c r="AI690" i="13"/>
  <c r="AG690" i="13"/>
  <c r="AE690" i="13"/>
  <c r="AD690" i="13"/>
  <c r="AC690" i="13"/>
  <c r="AB690" i="13"/>
  <c r="AA690" i="13"/>
  <c r="Z690" i="13"/>
  <c r="AM689" i="13"/>
  <c r="AM690" i="13" s="1"/>
  <c r="AM691" i="13" s="1"/>
  <c r="AM692" i="13" s="1"/>
  <c r="AK689" i="13"/>
  <c r="AI689" i="13"/>
  <c r="AG689" i="13"/>
  <c r="AE689" i="13"/>
  <c r="AD689" i="13"/>
  <c r="AC689" i="13"/>
  <c r="AB689" i="13"/>
  <c r="AA689" i="13"/>
  <c r="Z689" i="13"/>
  <c r="AK688" i="13"/>
  <c r="AI688" i="13"/>
  <c r="AG688" i="13"/>
  <c r="AE688" i="13"/>
  <c r="AD688" i="13"/>
  <c r="AC688" i="13"/>
  <c r="AB688" i="13"/>
  <c r="AA688" i="13"/>
  <c r="Z688" i="13"/>
  <c r="AK687" i="13"/>
  <c r="AI687" i="13"/>
  <c r="AG687" i="13"/>
  <c r="AE687" i="13"/>
  <c r="AD687" i="13"/>
  <c r="AC687" i="13"/>
  <c r="AB687" i="13"/>
  <c r="AA687" i="13"/>
  <c r="Z687" i="13"/>
  <c r="AM686" i="13"/>
  <c r="AM687" i="13" s="1"/>
  <c r="AM688" i="13" s="1"/>
  <c r="AK686" i="13"/>
  <c r="AI686" i="13"/>
  <c r="AG686" i="13"/>
  <c r="AE686" i="13"/>
  <c r="AD686" i="13"/>
  <c r="AC686" i="13"/>
  <c r="AB686" i="13"/>
  <c r="AA686" i="13"/>
  <c r="Z686" i="13"/>
  <c r="AK685" i="13"/>
  <c r="AI685" i="13"/>
  <c r="AG685" i="13"/>
  <c r="AE685" i="13"/>
  <c r="AD685" i="13"/>
  <c r="AC685" i="13"/>
  <c r="AB685" i="13"/>
  <c r="AA685" i="13"/>
  <c r="Z685" i="13"/>
  <c r="AK684" i="13"/>
  <c r="AI684" i="13"/>
  <c r="AG684" i="13"/>
  <c r="AE684" i="13"/>
  <c r="AD684" i="13"/>
  <c r="AC684" i="13"/>
  <c r="AB684" i="13"/>
  <c r="AA684" i="13"/>
  <c r="Z684" i="13"/>
  <c r="AM683" i="13"/>
  <c r="AM684" i="13" s="1"/>
  <c r="AM685" i="13" s="1"/>
  <c r="AK683" i="13"/>
  <c r="AI683" i="13"/>
  <c r="AG683" i="13"/>
  <c r="AE683" i="13"/>
  <c r="AD683" i="13"/>
  <c r="AC683" i="13"/>
  <c r="AB683" i="13"/>
  <c r="AA683" i="13"/>
  <c r="Z683" i="13"/>
  <c r="AK682" i="13"/>
  <c r="AI682" i="13"/>
  <c r="AG682" i="13"/>
  <c r="AE682" i="13"/>
  <c r="AD682" i="13"/>
  <c r="AC682" i="13"/>
  <c r="AB682" i="13"/>
  <c r="AA682" i="13"/>
  <c r="Z682" i="13"/>
  <c r="AK681" i="13"/>
  <c r="AI681" i="13"/>
  <c r="AG681" i="13"/>
  <c r="AE681" i="13"/>
  <c r="AD681" i="13"/>
  <c r="AC681" i="13"/>
  <c r="AB681" i="13"/>
  <c r="AA681" i="13"/>
  <c r="Z681" i="13"/>
  <c r="AK680" i="13"/>
  <c r="AI680" i="13"/>
  <c r="AG680" i="13"/>
  <c r="AE680" i="13"/>
  <c r="AD680" i="13"/>
  <c r="AC680" i="13"/>
  <c r="AB680" i="13"/>
  <c r="AA680" i="13"/>
  <c r="Z680" i="13"/>
  <c r="AK679" i="13"/>
  <c r="AI679" i="13"/>
  <c r="AG679" i="13"/>
  <c r="AE679" i="13"/>
  <c r="AD679" i="13"/>
  <c r="AC679" i="13"/>
  <c r="AB679" i="13"/>
  <c r="AA679" i="13"/>
  <c r="Z679" i="13"/>
  <c r="AM678" i="13"/>
  <c r="AM679" i="13" s="1"/>
  <c r="AM680" i="13" s="1"/>
  <c r="AM681" i="13" s="1"/>
  <c r="AM682" i="13" s="1"/>
  <c r="AK678" i="13"/>
  <c r="AI678" i="13"/>
  <c r="AG678" i="13"/>
  <c r="AE678" i="13"/>
  <c r="AD678" i="13"/>
  <c r="AC678" i="13"/>
  <c r="AB678" i="13"/>
  <c r="AA678" i="13"/>
  <c r="Z678" i="13"/>
  <c r="AK677" i="13"/>
  <c r="AI677" i="13"/>
  <c r="AG677" i="13"/>
  <c r="AE677" i="13"/>
  <c r="AD677" i="13"/>
  <c r="AC677" i="13"/>
  <c r="AB677" i="13"/>
  <c r="AA677" i="13"/>
  <c r="Z677" i="13"/>
  <c r="AK676" i="13"/>
  <c r="AI676" i="13"/>
  <c r="AG676" i="13"/>
  <c r="AE676" i="13"/>
  <c r="AD676" i="13"/>
  <c r="AC676" i="13"/>
  <c r="AB676" i="13"/>
  <c r="AA676" i="13"/>
  <c r="Z676" i="13"/>
  <c r="AK675" i="13"/>
  <c r="AI675" i="13"/>
  <c r="AG675" i="13"/>
  <c r="AE675" i="13"/>
  <c r="AD675" i="13"/>
  <c r="AC675" i="13"/>
  <c r="AB675" i="13"/>
  <c r="AA675" i="13"/>
  <c r="Z675" i="13"/>
  <c r="AK674" i="13"/>
  <c r="AI674" i="13"/>
  <c r="AG674" i="13"/>
  <c r="AE674" i="13"/>
  <c r="AD674" i="13"/>
  <c r="AC674" i="13"/>
  <c r="AB674" i="13"/>
  <c r="AA674" i="13"/>
  <c r="Z674" i="13"/>
  <c r="AK673" i="13"/>
  <c r="AI673" i="13"/>
  <c r="AG673" i="13"/>
  <c r="AE673" i="13"/>
  <c r="AD673" i="13"/>
  <c r="AC673" i="13"/>
  <c r="AB673" i="13"/>
  <c r="AA673" i="13"/>
  <c r="Z673" i="13"/>
  <c r="AK672" i="13"/>
  <c r="AI672" i="13"/>
  <c r="AG672" i="13"/>
  <c r="AE672" i="13"/>
  <c r="AD672" i="13"/>
  <c r="AC672" i="13"/>
  <c r="AB672" i="13"/>
  <c r="AA672" i="13"/>
  <c r="Z672" i="13"/>
  <c r="AK671" i="13"/>
  <c r="AI671" i="13"/>
  <c r="AG671" i="13"/>
  <c r="AE671" i="13"/>
  <c r="AD671" i="13"/>
  <c r="AC671" i="13"/>
  <c r="AB671" i="13"/>
  <c r="AA671" i="13"/>
  <c r="Z671" i="13"/>
  <c r="AK670" i="13"/>
  <c r="AI670" i="13"/>
  <c r="AG670" i="13"/>
  <c r="AE670" i="13"/>
  <c r="AD670" i="13"/>
  <c r="AC670" i="13"/>
  <c r="AB670" i="13"/>
  <c r="AA670" i="13"/>
  <c r="Z670" i="13"/>
  <c r="AM669" i="13"/>
  <c r="AM670" i="13" s="1"/>
  <c r="AM671" i="13" s="1"/>
  <c r="AM672" i="13" s="1"/>
  <c r="AM673" i="13" s="1"/>
  <c r="AM674" i="13" s="1"/>
  <c r="AM675" i="13" s="1"/>
  <c r="AM676" i="13" s="1"/>
  <c r="AM677" i="13" s="1"/>
  <c r="AK669" i="13"/>
  <c r="AI669" i="13"/>
  <c r="AG669" i="13"/>
  <c r="AE669" i="13"/>
  <c r="AD669" i="13"/>
  <c r="AC669" i="13"/>
  <c r="AB669" i="13"/>
  <c r="AA669" i="13"/>
  <c r="Z669" i="13"/>
  <c r="AK668" i="13"/>
  <c r="AI668" i="13"/>
  <c r="AG668" i="13"/>
  <c r="AE668" i="13"/>
  <c r="AD668" i="13"/>
  <c r="AC668" i="13"/>
  <c r="AB668" i="13"/>
  <c r="AA668" i="13"/>
  <c r="Z668" i="13"/>
  <c r="AK667" i="13"/>
  <c r="AI667" i="13"/>
  <c r="AG667" i="13"/>
  <c r="AE667" i="13"/>
  <c r="AD667" i="13"/>
  <c r="AC667" i="13"/>
  <c r="AB667" i="13"/>
  <c r="AA667" i="13"/>
  <c r="Z667" i="13"/>
  <c r="AK666" i="13"/>
  <c r="AI666" i="13"/>
  <c r="AG666" i="13"/>
  <c r="AE666" i="13"/>
  <c r="AD666" i="13"/>
  <c r="AC666" i="13"/>
  <c r="AB666" i="13"/>
  <c r="AA666" i="13"/>
  <c r="Z666" i="13"/>
  <c r="AK665" i="13"/>
  <c r="AI665" i="13"/>
  <c r="AG665" i="13"/>
  <c r="AE665" i="13"/>
  <c r="AD665" i="13"/>
  <c r="AC665" i="13"/>
  <c r="AB665" i="13"/>
  <c r="AA665" i="13"/>
  <c r="Z665" i="13"/>
  <c r="AM664" i="13"/>
  <c r="AM665" i="13" s="1"/>
  <c r="AM666" i="13" s="1"/>
  <c r="AM667" i="13" s="1"/>
  <c r="AM668" i="13" s="1"/>
  <c r="AK664" i="13"/>
  <c r="AI664" i="13"/>
  <c r="AG664" i="13"/>
  <c r="AE664" i="13"/>
  <c r="AD664" i="13"/>
  <c r="AC664" i="13"/>
  <c r="AB664" i="13"/>
  <c r="AA664" i="13"/>
  <c r="Z664" i="13"/>
  <c r="AK663" i="13"/>
  <c r="AI663" i="13"/>
  <c r="AG663" i="13"/>
  <c r="AE663" i="13"/>
  <c r="AD663" i="13"/>
  <c r="AC663" i="13"/>
  <c r="AB663" i="13"/>
  <c r="AA663" i="13"/>
  <c r="Z663" i="13"/>
  <c r="AK662" i="13"/>
  <c r="AI662" i="13"/>
  <c r="AG662" i="13"/>
  <c r="AE662" i="13"/>
  <c r="AD662" i="13"/>
  <c r="AC662" i="13"/>
  <c r="AB662" i="13"/>
  <c r="AA662" i="13"/>
  <c r="Z662" i="13"/>
  <c r="AK661" i="13"/>
  <c r="AI661" i="13"/>
  <c r="AG661" i="13"/>
  <c r="AE661" i="13"/>
  <c r="AD661" i="13"/>
  <c r="AC661" i="13"/>
  <c r="AB661" i="13"/>
  <c r="AA661" i="13"/>
  <c r="Z661" i="13"/>
  <c r="AK660" i="13"/>
  <c r="AI660" i="13"/>
  <c r="AG660" i="13"/>
  <c r="AE660" i="13"/>
  <c r="AD660" i="13"/>
  <c r="AC660" i="13"/>
  <c r="AB660" i="13"/>
  <c r="AA660" i="13"/>
  <c r="Z660" i="13"/>
  <c r="AK659" i="13"/>
  <c r="AI659" i="13"/>
  <c r="AG659" i="13"/>
  <c r="AE659" i="13"/>
  <c r="AD659" i="13"/>
  <c r="AC659" i="13"/>
  <c r="AB659" i="13"/>
  <c r="AA659" i="13"/>
  <c r="Z659" i="13"/>
  <c r="AK658" i="13"/>
  <c r="AI658" i="13"/>
  <c r="AG658" i="13"/>
  <c r="AE658" i="13"/>
  <c r="AD658" i="13"/>
  <c r="AC658" i="13"/>
  <c r="AB658" i="13"/>
  <c r="AA658" i="13"/>
  <c r="Z658" i="13"/>
  <c r="AK657" i="13"/>
  <c r="AI657" i="13"/>
  <c r="AG657" i="13"/>
  <c r="AE657" i="13"/>
  <c r="AD657" i="13"/>
  <c r="AC657" i="13"/>
  <c r="AB657" i="13"/>
  <c r="AA657" i="13"/>
  <c r="Z657" i="13"/>
  <c r="AM656" i="13"/>
  <c r="AM657" i="13" s="1"/>
  <c r="AM658" i="13" s="1"/>
  <c r="AM659" i="13" s="1"/>
  <c r="AM660" i="13" s="1"/>
  <c r="AM661" i="13" s="1"/>
  <c r="AM662" i="13" s="1"/>
  <c r="AM663" i="13" s="1"/>
  <c r="AK656" i="13"/>
  <c r="AI656" i="13"/>
  <c r="AG656" i="13"/>
  <c r="AE656" i="13"/>
  <c r="AD656" i="13"/>
  <c r="AC656" i="13"/>
  <c r="AB656" i="13"/>
  <c r="AA656" i="13"/>
  <c r="Z656" i="13"/>
  <c r="AK655" i="13"/>
  <c r="AI655" i="13"/>
  <c r="AG655" i="13"/>
  <c r="AE655" i="13"/>
  <c r="AD655" i="13"/>
  <c r="AC655" i="13"/>
  <c r="AB655" i="13"/>
  <c r="AA655" i="13"/>
  <c r="Z655" i="13"/>
  <c r="AK654" i="13"/>
  <c r="AI654" i="13"/>
  <c r="AG654" i="13"/>
  <c r="AE654" i="13"/>
  <c r="AD654" i="13"/>
  <c r="AC654" i="13"/>
  <c r="AB654" i="13"/>
  <c r="AA654" i="13"/>
  <c r="Z654" i="13"/>
  <c r="AK653" i="13"/>
  <c r="AI653" i="13"/>
  <c r="AG653" i="13"/>
  <c r="AE653" i="13"/>
  <c r="AD653" i="13"/>
  <c r="AC653" i="13"/>
  <c r="AB653" i="13"/>
  <c r="AA653" i="13"/>
  <c r="Z653" i="13"/>
  <c r="AK652" i="13"/>
  <c r="AI652" i="13"/>
  <c r="AG652" i="13"/>
  <c r="AE652" i="13"/>
  <c r="AD652" i="13"/>
  <c r="AC652" i="13"/>
  <c r="AB652" i="13"/>
  <c r="AA652" i="13"/>
  <c r="Z652" i="13"/>
  <c r="AM651" i="13"/>
  <c r="AM652" i="13" s="1"/>
  <c r="AM653" i="13" s="1"/>
  <c r="AM654" i="13" s="1"/>
  <c r="AM655" i="13" s="1"/>
  <c r="AK651" i="13"/>
  <c r="AI651" i="13"/>
  <c r="AG651" i="13"/>
  <c r="AE651" i="13"/>
  <c r="AD651" i="13"/>
  <c r="AC651" i="13"/>
  <c r="AB651" i="13"/>
  <c r="AA651" i="13"/>
  <c r="Z651" i="13"/>
  <c r="AK650" i="13"/>
  <c r="AI650" i="13"/>
  <c r="AG650" i="13"/>
  <c r="AE650" i="13"/>
  <c r="AD650" i="13"/>
  <c r="AC650" i="13"/>
  <c r="AB650" i="13"/>
  <c r="AA650" i="13"/>
  <c r="Z650" i="13"/>
  <c r="AK649" i="13"/>
  <c r="AI649" i="13"/>
  <c r="AG649" i="13"/>
  <c r="AE649" i="13"/>
  <c r="AD649" i="13"/>
  <c r="AC649" i="13"/>
  <c r="AB649" i="13"/>
  <c r="AA649" i="13"/>
  <c r="Z649" i="13"/>
  <c r="AK648" i="13"/>
  <c r="AI648" i="13"/>
  <c r="AG648" i="13"/>
  <c r="AE648" i="13"/>
  <c r="AD648" i="13"/>
  <c r="AC648" i="13"/>
  <c r="AB648" i="13"/>
  <c r="AA648" i="13"/>
  <c r="Z648" i="13"/>
  <c r="AM647" i="13"/>
  <c r="AM648" i="13" s="1"/>
  <c r="AM649" i="13" s="1"/>
  <c r="AM650" i="13" s="1"/>
  <c r="AK647" i="13"/>
  <c r="AI647" i="13"/>
  <c r="AG647" i="13"/>
  <c r="AH287" i="4" s="1"/>
  <c r="AE647" i="13"/>
  <c r="AD647" i="13"/>
  <c r="AC647" i="13"/>
  <c r="AB647" i="13"/>
  <c r="AA647" i="13"/>
  <c r="Z647" i="13"/>
  <c r="AK646" i="13"/>
  <c r="AI646" i="13"/>
  <c r="AG646" i="13"/>
  <c r="AE646" i="13"/>
  <c r="AD646" i="13"/>
  <c r="AC646" i="13"/>
  <c r="AB646" i="13"/>
  <c r="AA646" i="13"/>
  <c r="Z646" i="13"/>
  <c r="AK645" i="13"/>
  <c r="AI645" i="13"/>
  <c r="AG645" i="13"/>
  <c r="AE645" i="13"/>
  <c r="AD645" i="13"/>
  <c r="AC645" i="13"/>
  <c r="AB645" i="13"/>
  <c r="AA645" i="13"/>
  <c r="Z645" i="13"/>
  <c r="AK644" i="13"/>
  <c r="AI644" i="13"/>
  <c r="AG644" i="13"/>
  <c r="AE644" i="13"/>
  <c r="AD644" i="13"/>
  <c r="AC644" i="13"/>
  <c r="AB644" i="13"/>
  <c r="AA644" i="13"/>
  <c r="Z644" i="13"/>
  <c r="AK643" i="13"/>
  <c r="AI643" i="13"/>
  <c r="AG643" i="13"/>
  <c r="AE643" i="13"/>
  <c r="AD643" i="13"/>
  <c r="AC643" i="13"/>
  <c r="AB643" i="13"/>
  <c r="AA643" i="13"/>
  <c r="Z643" i="13"/>
  <c r="AK642" i="13"/>
  <c r="AI642" i="13"/>
  <c r="AG642" i="13"/>
  <c r="AE642" i="13"/>
  <c r="AD642" i="13"/>
  <c r="AC642" i="13"/>
  <c r="AB642" i="13"/>
  <c r="AA642" i="13"/>
  <c r="Z642" i="13"/>
  <c r="AM641" i="13"/>
  <c r="AM642" i="13" s="1"/>
  <c r="AM643" i="13" s="1"/>
  <c r="AM644" i="13" s="1"/>
  <c r="AM645" i="13" s="1"/>
  <c r="AM646" i="13" s="1"/>
  <c r="AK641" i="13"/>
  <c r="AI641" i="13"/>
  <c r="AG641" i="13"/>
  <c r="AH286" i="4" s="1"/>
  <c r="AE641" i="13"/>
  <c r="AD641" i="13"/>
  <c r="AC641" i="13"/>
  <c r="AB641" i="13"/>
  <c r="AA641" i="13"/>
  <c r="Z641" i="13"/>
  <c r="AK640" i="13"/>
  <c r="AI640" i="13"/>
  <c r="AG640" i="13"/>
  <c r="AE640" i="13"/>
  <c r="AD640" i="13"/>
  <c r="AC640" i="13"/>
  <c r="AB640" i="13"/>
  <c r="AA640" i="13"/>
  <c r="Z640" i="13"/>
  <c r="AK639" i="13"/>
  <c r="AI639" i="13"/>
  <c r="AG639" i="13"/>
  <c r="AE639" i="13"/>
  <c r="AD639" i="13"/>
  <c r="AC639" i="13"/>
  <c r="AB639" i="13"/>
  <c r="AA639" i="13"/>
  <c r="Z639" i="13"/>
  <c r="AK638" i="13"/>
  <c r="AI638" i="13"/>
  <c r="AG638" i="13"/>
  <c r="AE638" i="13"/>
  <c r="AD638" i="13"/>
  <c r="AC638" i="13"/>
  <c r="AB638" i="13"/>
  <c r="AA638" i="13"/>
  <c r="Z638" i="13"/>
  <c r="AK637" i="13"/>
  <c r="AI637" i="13"/>
  <c r="AG637" i="13"/>
  <c r="AE637" i="13"/>
  <c r="AD637" i="13"/>
  <c r="AC637" i="13"/>
  <c r="AB637" i="13"/>
  <c r="AA637" i="13"/>
  <c r="Z637" i="13"/>
  <c r="AK636" i="13"/>
  <c r="AI636" i="13"/>
  <c r="AG636" i="13"/>
  <c r="AE636" i="13"/>
  <c r="AD636" i="13"/>
  <c r="AC636" i="13"/>
  <c r="AB636" i="13"/>
  <c r="AA636" i="13"/>
  <c r="Z636" i="13"/>
  <c r="AK635" i="13"/>
  <c r="AI635" i="13"/>
  <c r="AG635" i="13"/>
  <c r="AE635" i="13"/>
  <c r="AD635" i="13"/>
  <c r="AC635" i="13"/>
  <c r="AB635" i="13"/>
  <c r="AA635" i="13"/>
  <c r="Z635" i="13"/>
  <c r="AM634" i="13"/>
  <c r="AM635" i="13" s="1"/>
  <c r="AM636" i="13" s="1"/>
  <c r="AM637" i="13" s="1"/>
  <c r="AM638" i="13" s="1"/>
  <c r="AM639" i="13" s="1"/>
  <c r="AM640" i="13" s="1"/>
  <c r="AK634" i="13"/>
  <c r="AI634" i="13"/>
  <c r="AG634" i="13"/>
  <c r="AE634" i="13"/>
  <c r="AD634" i="13"/>
  <c r="AC634" i="13"/>
  <c r="AB634" i="13"/>
  <c r="AA634" i="13"/>
  <c r="Z634" i="13"/>
  <c r="AK633" i="13"/>
  <c r="AI633" i="13"/>
  <c r="AG633" i="13"/>
  <c r="AE633" i="13"/>
  <c r="AD633" i="13"/>
  <c r="AC633" i="13"/>
  <c r="AB633" i="13"/>
  <c r="AA633" i="13"/>
  <c r="Z633" i="13"/>
  <c r="AK632" i="13"/>
  <c r="AI632" i="13"/>
  <c r="AG632" i="13"/>
  <c r="AE632" i="13"/>
  <c r="AD632" i="13"/>
  <c r="AC632" i="13"/>
  <c r="AB632" i="13"/>
  <c r="AA632" i="13"/>
  <c r="Z632" i="13"/>
  <c r="AK631" i="13"/>
  <c r="AI631" i="13"/>
  <c r="AG631" i="13"/>
  <c r="AE631" i="13"/>
  <c r="AD631" i="13"/>
  <c r="AC631" i="13"/>
  <c r="AB631" i="13"/>
  <c r="AA631" i="13"/>
  <c r="Z631" i="13"/>
  <c r="AK630" i="13"/>
  <c r="AI630" i="13"/>
  <c r="AG630" i="13"/>
  <c r="AE630" i="13"/>
  <c r="AD630" i="13"/>
  <c r="AC630" i="13"/>
  <c r="AB630" i="13"/>
  <c r="AA630" i="13"/>
  <c r="Z630" i="13"/>
  <c r="AK629" i="13"/>
  <c r="AI629" i="13"/>
  <c r="AG629" i="13"/>
  <c r="AE629" i="13"/>
  <c r="AD629" i="13"/>
  <c r="AC629" i="13"/>
  <c r="AB629" i="13"/>
  <c r="AA629" i="13"/>
  <c r="Z629" i="13"/>
  <c r="AK628" i="13"/>
  <c r="AI628" i="13"/>
  <c r="AG628" i="13"/>
  <c r="AE628" i="13"/>
  <c r="AD628" i="13"/>
  <c r="AC628" i="13"/>
  <c r="AB628" i="13"/>
  <c r="AA628" i="13"/>
  <c r="Z628" i="13"/>
  <c r="AK627" i="13"/>
  <c r="AI627" i="13"/>
  <c r="AG627" i="13"/>
  <c r="AE627" i="13"/>
  <c r="AD627" i="13"/>
  <c r="AC627" i="13"/>
  <c r="AB627" i="13"/>
  <c r="AA627" i="13"/>
  <c r="Z627" i="13"/>
  <c r="AK626" i="13"/>
  <c r="AI626" i="13"/>
  <c r="AG626" i="13"/>
  <c r="AE626" i="13"/>
  <c r="AD626" i="13"/>
  <c r="AC626" i="13"/>
  <c r="AB626" i="13"/>
  <c r="AA626" i="13"/>
  <c r="Z626" i="13"/>
  <c r="AM625" i="13"/>
  <c r="AM626" i="13" s="1"/>
  <c r="AM627" i="13" s="1"/>
  <c r="AM628" i="13" s="1"/>
  <c r="AM629" i="13" s="1"/>
  <c r="AM630" i="13" s="1"/>
  <c r="AM631" i="13" s="1"/>
  <c r="AM632" i="13" s="1"/>
  <c r="AM633" i="13" s="1"/>
  <c r="AK625" i="13"/>
  <c r="AI625" i="13"/>
  <c r="AG625" i="13"/>
  <c r="AE625" i="13"/>
  <c r="AD625" i="13"/>
  <c r="AC625" i="13"/>
  <c r="AB625" i="13"/>
  <c r="AA625" i="13"/>
  <c r="Z625" i="13"/>
  <c r="AK624" i="13"/>
  <c r="AI624" i="13"/>
  <c r="AG624" i="13"/>
  <c r="AE624" i="13"/>
  <c r="AD624" i="13"/>
  <c r="AC624" i="13"/>
  <c r="AB624" i="13"/>
  <c r="AA624" i="13"/>
  <c r="Z624" i="13"/>
  <c r="AK623" i="13"/>
  <c r="AI623" i="13"/>
  <c r="AG623" i="13"/>
  <c r="AE623" i="13"/>
  <c r="AD623" i="13"/>
  <c r="AC623" i="13"/>
  <c r="AB623" i="13"/>
  <c r="AA623" i="13"/>
  <c r="Z623" i="13"/>
  <c r="AK622" i="13"/>
  <c r="AI622" i="13"/>
  <c r="AG622" i="13"/>
  <c r="AE622" i="13"/>
  <c r="AD622" i="13"/>
  <c r="AC622" i="13"/>
  <c r="AB622" i="13"/>
  <c r="AA622" i="13"/>
  <c r="Z622" i="13"/>
  <c r="AK621" i="13"/>
  <c r="AI621" i="13"/>
  <c r="AG621" i="13"/>
  <c r="AE621" i="13"/>
  <c r="AD621" i="13"/>
  <c r="AC621" i="13"/>
  <c r="AB621" i="13"/>
  <c r="AA621" i="13"/>
  <c r="Z621" i="13"/>
  <c r="AK620" i="13"/>
  <c r="AI620" i="13"/>
  <c r="AG620" i="13"/>
  <c r="AE620" i="13"/>
  <c r="AD620" i="13"/>
  <c r="AC620" i="13"/>
  <c r="AB620" i="13"/>
  <c r="AA620" i="13"/>
  <c r="Z620" i="13"/>
  <c r="AK619" i="13"/>
  <c r="AI619" i="13"/>
  <c r="AG619" i="13"/>
  <c r="AE619" i="13"/>
  <c r="AD619" i="13"/>
  <c r="AC619" i="13"/>
  <c r="AB619" i="13"/>
  <c r="AA619" i="13"/>
  <c r="Z619" i="13"/>
  <c r="AK618" i="13"/>
  <c r="AI618" i="13"/>
  <c r="AG618" i="13"/>
  <c r="AE618" i="13"/>
  <c r="AD618" i="13"/>
  <c r="AC618" i="13"/>
  <c r="AB618" i="13"/>
  <c r="AA618" i="13"/>
  <c r="Z618" i="13"/>
  <c r="AM617" i="13"/>
  <c r="AM618" i="13" s="1"/>
  <c r="AM619" i="13" s="1"/>
  <c r="AM620" i="13" s="1"/>
  <c r="AM621" i="13" s="1"/>
  <c r="AM622" i="13" s="1"/>
  <c r="AM623" i="13" s="1"/>
  <c r="AM624" i="13" s="1"/>
  <c r="AK617" i="13"/>
  <c r="AI617" i="13"/>
  <c r="AG617" i="13"/>
  <c r="AE617" i="13"/>
  <c r="AD617" i="13"/>
  <c r="AC617" i="13"/>
  <c r="AB617" i="13"/>
  <c r="AA617" i="13"/>
  <c r="Z617" i="13"/>
  <c r="AK616" i="13"/>
  <c r="AI616" i="13"/>
  <c r="AG616" i="13"/>
  <c r="AE616" i="13"/>
  <c r="AD616" i="13"/>
  <c r="AC616" i="13"/>
  <c r="AB616" i="13"/>
  <c r="AA616" i="13"/>
  <c r="Z616" i="13"/>
  <c r="AK615" i="13"/>
  <c r="AI615" i="13"/>
  <c r="AG615" i="13"/>
  <c r="AE615" i="13"/>
  <c r="AD615" i="13"/>
  <c r="AC615" i="13"/>
  <c r="AB615" i="13"/>
  <c r="AA615" i="13"/>
  <c r="Z615" i="13"/>
  <c r="AK614" i="13"/>
  <c r="AI614" i="13"/>
  <c r="AG614" i="13"/>
  <c r="AE614" i="13"/>
  <c r="AD614" i="13"/>
  <c r="AC614" i="13"/>
  <c r="AB614" i="13"/>
  <c r="AA614" i="13"/>
  <c r="Z614" i="13"/>
  <c r="AK613" i="13"/>
  <c r="AI613" i="13"/>
  <c r="AG613" i="13"/>
  <c r="AE613" i="13"/>
  <c r="AD613" i="13"/>
  <c r="AC613" i="13"/>
  <c r="AB613" i="13"/>
  <c r="AA613" i="13"/>
  <c r="Z613" i="13"/>
  <c r="AK612" i="13"/>
  <c r="AI612" i="13"/>
  <c r="AG612" i="13"/>
  <c r="AE612" i="13"/>
  <c r="AD612" i="13"/>
  <c r="AC612" i="13"/>
  <c r="AB612" i="13"/>
  <c r="AA612" i="13"/>
  <c r="Z612" i="13"/>
  <c r="AK611" i="13"/>
  <c r="AI611" i="13"/>
  <c r="AG611" i="13"/>
  <c r="AE611" i="13"/>
  <c r="AD611" i="13"/>
  <c r="AC611" i="13"/>
  <c r="AB611" i="13"/>
  <c r="AA611" i="13"/>
  <c r="Z611" i="13"/>
  <c r="AK610" i="13"/>
  <c r="AI610" i="13"/>
  <c r="AG610" i="13"/>
  <c r="AE610" i="13"/>
  <c r="AD610" i="13"/>
  <c r="AC610" i="13"/>
  <c r="AB610" i="13"/>
  <c r="AA610" i="13"/>
  <c r="Z610" i="13"/>
  <c r="AM609" i="13"/>
  <c r="AM610" i="13" s="1"/>
  <c r="AM611" i="13" s="1"/>
  <c r="AM612" i="13" s="1"/>
  <c r="AM613" i="13" s="1"/>
  <c r="AM614" i="13" s="1"/>
  <c r="AM615" i="13" s="1"/>
  <c r="AM616" i="13" s="1"/>
  <c r="AK609" i="13"/>
  <c r="AI609" i="13"/>
  <c r="AG609" i="13"/>
  <c r="AE609" i="13"/>
  <c r="AD609" i="13"/>
  <c r="AC609" i="13"/>
  <c r="AB609" i="13"/>
  <c r="AA609" i="13"/>
  <c r="Z609" i="13"/>
  <c r="AK608" i="13"/>
  <c r="AI608" i="13"/>
  <c r="AG608" i="13"/>
  <c r="AE608" i="13"/>
  <c r="AD608" i="13"/>
  <c r="AC608" i="13"/>
  <c r="AB608" i="13"/>
  <c r="AA608" i="13"/>
  <c r="Z608" i="13"/>
  <c r="AK607" i="13"/>
  <c r="AI607" i="13"/>
  <c r="AG607" i="13"/>
  <c r="AE607" i="13"/>
  <c r="AD607" i="13"/>
  <c r="AC607" i="13"/>
  <c r="AB607" i="13"/>
  <c r="AA607" i="13"/>
  <c r="Z607" i="13"/>
  <c r="AK606" i="13"/>
  <c r="AI606" i="13"/>
  <c r="AG606" i="13"/>
  <c r="AE606" i="13"/>
  <c r="AD606" i="13"/>
  <c r="AC606" i="13"/>
  <c r="AB606" i="13"/>
  <c r="AA606" i="13"/>
  <c r="Z606" i="13"/>
  <c r="AK605" i="13"/>
  <c r="AI605" i="13"/>
  <c r="AG605" i="13"/>
  <c r="AE605" i="13"/>
  <c r="AD605" i="13"/>
  <c r="AC605" i="13"/>
  <c r="AB605" i="13"/>
  <c r="AA605" i="13"/>
  <c r="Z605" i="13"/>
  <c r="AK604" i="13"/>
  <c r="AI604" i="13"/>
  <c r="AG604" i="13"/>
  <c r="AE604" i="13"/>
  <c r="AD604" i="13"/>
  <c r="AC604" i="13"/>
  <c r="AB604" i="13"/>
  <c r="AA604" i="13"/>
  <c r="Z604" i="13"/>
  <c r="AK603" i="13"/>
  <c r="AI603" i="13"/>
  <c r="AG603" i="13"/>
  <c r="AE603" i="13"/>
  <c r="AD603" i="13"/>
  <c r="AC603" i="13"/>
  <c r="AB603" i="13"/>
  <c r="AA603" i="13"/>
  <c r="Z603" i="13"/>
  <c r="AM602" i="13"/>
  <c r="AM603" i="13" s="1"/>
  <c r="AM604" i="13" s="1"/>
  <c r="AM605" i="13" s="1"/>
  <c r="AM606" i="13" s="1"/>
  <c r="AM607" i="13" s="1"/>
  <c r="AM608" i="13" s="1"/>
  <c r="AK602" i="13"/>
  <c r="AI602" i="13"/>
  <c r="AG602" i="13"/>
  <c r="AE602" i="13"/>
  <c r="AD602" i="13"/>
  <c r="AC602" i="13"/>
  <c r="AB602" i="13"/>
  <c r="AA602" i="13"/>
  <c r="Z602" i="13"/>
  <c r="AK601" i="13"/>
  <c r="AI601" i="13"/>
  <c r="AG601" i="13"/>
  <c r="AE601" i="13"/>
  <c r="AD601" i="13"/>
  <c r="AC601" i="13"/>
  <c r="AB601" i="13"/>
  <c r="AA601" i="13"/>
  <c r="Z601" i="13"/>
  <c r="AK600" i="13"/>
  <c r="AI600" i="13"/>
  <c r="AG600" i="13"/>
  <c r="AE600" i="13"/>
  <c r="AD600" i="13"/>
  <c r="AC600" i="13"/>
  <c r="AB600" i="13"/>
  <c r="AA600" i="13"/>
  <c r="Z600" i="13"/>
  <c r="AK599" i="13"/>
  <c r="AI599" i="13"/>
  <c r="AG599" i="13"/>
  <c r="AE599" i="13"/>
  <c r="AD599" i="13"/>
  <c r="AC599" i="13"/>
  <c r="AB599" i="13"/>
  <c r="AA599" i="13"/>
  <c r="Z599" i="13"/>
  <c r="AK598" i="13"/>
  <c r="AI598" i="13"/>
  <c r="AG598" i="13"/>
  <c r="AE598" i="13"/>
  <c r="AD598" i="13"/>
  <c r="AC598" i="13"/>
  <c r="AB598" i="13"/>
  <c r="AA598" i="13"/>
  <c r="Z598" i="13"/>
  <c r="AK597" i="13"/>
  <c r="AI597" i="13"/>
  <c r="AG597" i="13"/>
  <c r="AE597" i="13"/>
  <c r="AD597" i="13"/>
  <c r="AC597" i="13"/>
  <c r="AB597" i="13"/>
  <c r="AA597" i="13"/>
  <c r="Z597" i="13"/>
  <c r="AM596" i="13"/>
  <c r="AM597" i="13" s="1"/>
  <c r="AM598" i="13" s="1"/>
  <c r="AM599" i="13" s="1"/>
  <c r="AM600" i="13" s="1"/>
  <c r="AM601" i="13" s="1"/>
  <c r="AK596" i="13"/>
  <c r="AI596" i="13"/>
  <c r="AG596" i="13"/>
  <c r="AH681" i="4" s="1"/>
  <c r="AE596" i="13"/>
  <c r="AD596" i="13"/>
  <c r="AC596" i="13"/>
  <c r="AB596" i="13"/>
  <c r="AA596" i="13"/>
  <c r="Z596" i="13"/>
  <c r="AK595" i="13"/>
  <c r="AI595" i="13"/>
  <c r="AG595" i="13"/>
  <c r="AE595" i="13"/>
  <c r="AD595" i="13"/>
  <c r="AC595" i="13"/>
  <c r="AB595" i="13"/>
  <c r="AA595" i="13"/>
  <c r="Z595" i="13"/>
  <c r="AK594" i="13"/>
  <c r="AI594" i="13"/>
  <c r="AG594" i="13"/>
  <c r="AE594" i="13"/>
  <c r="AD594" i="13"/>
  <c r="AC594" i="13"/>
  <c r="AB594" i="13"/>
  <c r="AA594" i="13"/>
  <c r="Z594" i="13"/>
  <c r="AK593" i="13"/>
  <c r="AI593" i="13"/>
  <c r="AG593" i="13"/>
  <c r="AE593" i="13"/>
  <c r="AD593" i="13"/>
  <c r="AC593" i="13"/>
  <c r="AB593" i="13"/>
  <c r="AA593" i="13"/>
  <c r="Z593" i="13"/>
  <c r="AK592" i="13"/>
  <c r="AI592" i="13"/>
  <c r="AG592" i="13"/>
  <c r="AE592" i="13"/>
  <c r="AD592" i="13"/>
  <c r="AC592" i="13"/>
  <c r="AB592" i="13"/>
  <c r="AA592" i="13"/>
  <c r="Z592" i="13"/>
  <c r="AK591" i="13"/>
  <c r="AI591" i="13"/>
  <c r="AG591" i="13"/>
  <c r="AE591" i="13"/>
  <c r="AD591" i="13"/>
  <c r="AC591" i="13"/>
  <c r="AB591" i="13"/>
  <c r="AA591" i="13"/>
  <c r="Z591" i="13"/>
  <c r="AM590" i="13"/>
  <c r="AM591" i="13" s="1"/>
  <c r="AM592" i="13" s="1"/>
  <c r="AM593" i="13" s="1"/>
  <c r="AM594" i="13" s="1"/>
  <c r="AM595" i="13" s="1"/>
  <c r="AK590" i="13"/>
  <c r="AI590" i="13"/>
  <c r="AG590" i="13"/>
  <c r="AE590" i="13"/>
  <c r="AD590" i="13"/>
  <c r="AC590" i="13"/>
  <c r="AB590" i="13"/>
  <c r="AA590" i="13"/>
  <c r="Z590" i="13"/>
  <c r="AK589" i="13"/>
  <c r="AI589" i="13"/>
  <c r="AG589" i="13"/>
  <c r="AE589" i="13"/>
  <c r="AD589" i="13"/>
  <c r="AC589" i="13"/>
  <c r="AB589" i="13"/>
  <c r="AA589" i="13"/>
  <c r="Z589" i="13"/>
  <c r="AK588" i="13"/>
  <c r="AI588" i="13"/>
  <c r="AG588" i="13"/>
  <c r="AE588" i="13"/>
  <c r="AD588" i="13"/>
  <c r="AC588" i="13"/>
  <c r="AB588" i="13"/>
  <c r="AA588" i="13"/>
  <c r="Z588" i="13"/>
  <c r="AK587" i="13"/>
  <c r="AI587" i="13"/>
  <c r="AG587" i="13"/>
  <c r="AE587" i="13"/>
  <c r="AD587" i="13"/>
  <c r="AC587" i="13"/>
  <c r="AB587" i="13"/>
  <c r="AA587" i="13"/>
  <c r="Z587" i="13"/>
  <c r="AK586" i="13"/>
  <c r="AI586" i="13"/>
  <c r="AG586" i="13"/>
  <c r="AE586" i="13"/>
  <c r="AD586" i="13"/>
  <c r="AC586" i="13"/>
  <c r="AB586" i="13"/>
  <c r="AA586" i="13"/>
  <c r="Z586" i="13"/>
  <c r="AK585" i="13"/>
  <c r="AI585" i="13"/>
  <c r="AG585" i="13"/>
  <c r="AE585" i="13"/>
  <c r="AD585" i="13"/>
  <c r="AC585" i="13"/>
  <c r="AB585" i="13"/>
  <c r="AA585" i="13"/>
  <c r="Z585" i="13"/>
  <c r="AK584" i="13"/>
  <c r="AI584" i="13"/>
  <c r="AG584" i="13"/>
  <c r="AE584" i="13"/>
  <c r="AD584" i="13"/>
  <c r="AC584" i="13"/>
  <c r="AB584" i="13"/>
  <c r="AA584" i="13"/>
  <c r="Z584" i="13"/>
  <c r="AK583" i="13"/>
  <c r="AI583" i="13"/>
  <c r="AG583" i="13"/>
  <c r="AE583" i="13"/>
  <c r="AD583" i="13"/>
  <c r="AC583" i="13"/>
  <c r="AB583" i="13"/>
  <c r="AA583" i="13"/>
  <c r="Z583" i="13"/>
  <c r="AK582" i="13"/>
  <c r="AI582" i="13"/>
  <c r="AG582" i="13"/>
  <c r="AE582" i="13"/>
  <c r="AD582" i="13"/>
  <c r="AC582" i="13"/>
  <c r="AB582" i="13"/>
  <c r="AA582" i="13"/>
  <c r="Z582" i="13"/>
  <c r="AM581" i="13"/>
  <c r="AM582" i="13" s="1"/>
  <c r="AM583" i="13" s="1"/>
  <c r="AM584" i="13" s="1"/>
  <c r="AM585" i="13" s="1"/>
  <c r="AM586" i="13" s="1"/>
  <c r="AM587" i="13" s="1"/>
  <c r="AM588" i="13" s="1"/>
  <c r="AM589" i="13" s="1"/>
  <c r="AK581" i="13"/>
  <c r="AI581" i="13"/>
  <c r="AG581" i="13"/>
  <c r="AE581" i="13"/>
  <c r="AD581" i="13"/>
  <c r="AC581" i="13"/>
  <c r="AB581" i="13"/>
  <c r="AA581" i="13"/>
  <c r="Z581" i="13"/>
  <c r="AK580" i="13"/>
  <c r="AI580" i="13"/>
  <c r="AG580" i="13"/>
  <c r="AE580" i="13"/>
  <c r="AD580" i="13"/>
  <c r="AC580" i="13"/>
  <c r="AB580" i="13"/>
  <c r="AA580" i="13"/>
  <c r="Z580" i="13"/>
  <c r="AK579" i="13"/>
  <c r="AI579" i="13"/>
  <c r="AG579" i="13"/>
  <c r="AE579" i="13"/>
  <c r="AD579" i="13"/>
  <c r="AC579" i="13"/>
  <c r="AB579" i="13"/>
  <c r="AA579" i="13"/>
  <c r="Z579" i="13"/>
  <c r="AK578" i="13"/>
  <c r="AI578" i="13"/>
  <c r="AG578" i="13"/>
  <c r="AE578" i="13"/>
  <c r="AD578" i="13"/>
  <c r="AC578" i="13"/>
  <c r="AB578" i="13"/>
  <c r="AA578" i="13"/>
  <c r="Z578" i="13"/>
  <c r="AK577" i="13"/>
  <c r="AI577" i="13"/>
  <c r="AG577" i="13"/>
  <c r="AE577" i="13"/>
  <c r="AD577" i="13"/>
  <c r="AC577" i="13"/>
  <c r="AB577" i="13"/>
  <c r="AA577" i="13"/>
  <c r="Z577" i="13"/>
  <c r="AK576" i="13"/>
  <c r="AI576" i="13"/>
  <c r="AG576" i="13"/>
  <c r="AE576" i="13"/>
  <c r="AD576" i="13"/>
  <c r="AC576" i="13"/>
  <c r="AB576" i="13"/>
  <c r="AA576" i="13"/>
  <c r="Z576" i="13"/>
  <c r="AK575" i="13"/>
  <c r="AI575" i="13"/>
  <c r="AG575" i="13"/>
  <c r="AE575" i="13"/>
  <c r="AD575" i="13"/>
  <c r="AC575" i="13"/>
  <c r="AB575" i="13"/>
  <c r="AA575" i="13"/>
  <c r="Z575" i="13"/>
  <c r="AK574" i="13"/>
  <c r="AI574" i="13"/>
  <c r="AG574" i="13"/>
  <c r="AE574" i="13"/>
  <c r="AD574" i="13"/>
  <c r="AC574" i="13"/>
  <c r="AB574" i="13"/>
  <c r="AA574" i="13"/>
  <c r="Z574" i="13"/>
  <c r="AK573" i="13"/>
  <c r="AI573" i="13"/>
  <c r="AG573" i="13"/>
  <c r="AE573" i="13"/>
  <c r="AD573" i="13"/>
  <c r="AC573" i="13"/>
  <c r="AB573" i="13"/>
  <c r="AA573" i="13"/>
  <c r="Z573" i="13"/>
  <c r="AM572" i="13"/>
  <c r="AM573" i="13" s="1"/>
  <c r="AM574" i="13" s="1"/>
  <c r="AM575" i="13" s="1"/>
  <c r="AM576" i="13" s="1"/>
  <c r="AM577" i="13" s="1"/>
  <c r="AM578" i="13" s="1"/>
  <c r="AM579" i="13" s="1"/>
  <c r="AM580" i="13" s="1"/>
  <c r="AK572" i="13"/>
  <c r="AI572" i="13"/>
  <c r="AG572" i="13"/>
  <c r="AE572" i="13"/>
  <c r="AD572" i="13"/>
  <c r="AC572" i="13"/>
  <c r="AB572" i="13"/>
  <c r="AA572" i="13"/>
  <c r="Z572" i="13"/>
  <c r="AK571" i="13"/>
  <c r="AI571" i="13"/>
  <c r="AG571" i="13"/>
  <c r="AE571" i="13"/>
  <c r="AD571" i="13"/>
  <c r="AC571" i="13"/>
  <c r="AB571" i="13"/>
  <c r="AA571" i="13"/>
  <c r="Z571" i="13"/>
  <c r="AK570" i="13"/>
  <c r="AI570" i="13"/>
  <c r="AG570" i="13"/>
  <c r="AE570" i="13"/>
  <c r="AD570" i="13"/>
  <c r="AC570" i="13"/>
  <c r="AB570" i="13"/>
  <c r="AA570" i="13"/>
  <c r="Z570" i="13"/>
  <c r="AK569" i="13"/>
  <c r="AI569" i="13"/>
  <c r="AG569" i="13"/>
  <c r="AE569" i="13"/>
  <c r="AD569" i="13"/>
  <c r="AC569" i="13"/>
  <c r="AB569" i="13"/>
  <c r="AA569" i="13"/>
  <c r="Z569" i="13"/>
  <c r="AK568" i="13"/>
  <c r="AI568" i="13"/>
  <c r="AG568" i="13"/>
  <c r="AE568" i="13"/>
  <c r="AD568" i="13"/>
  <c r="AC568" i="13"/>
  <c r="AB568" i="13"/>
  <c r="AA568" i="13"/>
  <c r="Z568" i="13"/>
  <c r="AK567" i="13"/>
  <c r="AI567" i="13"/>
  <c r="AG567" i="13"/>
  <c r="AE567" i="13"/>
  <c r="AD567" i="13"/>
  <c r="AC567" i="13"/>
  <c r="AB567" i="13"/>
  <c r="AA567" i="13"/>
  <c r="Z567" i="13"/>
  <c r="AK566" i="13"/>
  <c r="AI566" i="13"/>
  <c r="AG566" i="13"/>
  <c r="AE566" i="13"/>
  <c r="AD566" i="13"/>
  <c r="AC566" i="13"/>
  <c r="AB566" i="13"/>
  <c r="AA566" i="13"/>
  <c r="Z566" i="13"/>
  <c r="AK565" i="13"/>
  <c r="AI565" i="13"/>
  <c r="AG565" i="13"/>
  <c r="AE565" i="13"/>
  <c r="AD565" i="13"/>
  <c r="AC565" i="13"/>
  <c r="AB565" i="13"/>
  <c r="AA565" i="13"/>
  <c r="Z565" i="13"/>
  <c r="AK564" i="13"/>
  <c r="AI564" i="13"/>
  <c r="AG564" i="13"/>
  <c r="AE564" i="13"/>
  <c r="AD564" i="13"/>
  <c r="AC564" i="13"/>
  <c r="AB564" i="13"/>
  <c r="AA564" i="13"/>
  <c r="Z564" i="13"/>
  <c r="AM563" i="13"/>
  <c r="AM564" i="13" s="1"/>
  <c r="AM565" i="13" s="1"/>
  <c r="AM566" i="13" s="1"/>
  <c r="AM567" i="13" s="1"/>
  <c r="AM568" i="13" s="1"/>
  <c r="AM569" i="13" s="1"/>
  <c r="AM570" i="13" s="1"/>
  <c r="AM571" i="13" s="1"/>
  <c r="AK563" i="13"/>
  <c r="AI563" i="13"/>
  <c r="AG563" i="13"/>
  <c r="AE563" i="13"/>
  <c r="AD563" i="13"/>
  <c r="AC563" i="13"/>
  <c r="AB563" i="13"/>
  <c r="AA563" i="13"/>
  <c r="Z563" i="13"/>
  <c r="AK562" i="13"/>
  <c r="AI562" i="13"/>
  <c r="AG562" i="13"/>
  <c r="AE562" i="13"/>
  <c r="AD562" i="13"/>
  <c r="AC562" i="13"/>
  <c r="AB562" i="13"/>
  <c r="AA562" i="13"/>
  <c r="Z562" i="13"/>
  <c r="AK561" i="13"/>
  <c r="AI561" i="13"/>
  <c r="AG561" i="13"/>
  <c r="AE561" i="13"/>
  <c r="AD561" i="13"/>
  <c r="AC561" i="13"/>
  <c r="AB561" i="13"/>
  <c r="AA561" i="13"/>
  <c r="Z561" i="13"/>
  <c r="AK560" i="13"/>
  <c r="AI560" i="13"/>
  <c r="AG560" i="13"/>
  <c r="AE560" i="13"/>
  <c r="AD560" i="13"/>
  <c r="AC560" i="13"/>
  <c r="AB560" i="13"/>
  <c r="AA560" i="13"/>
  <c r="Z560" i="13"/>
  <c r="AK559" i="13"/>
  <c r="AI559" i="13"/>
  <c r="AG559" i="13"/>
  <c r="AE559" i="13"/>
  <c r="AD559" i="13"/>
  <c r="AC559" i="13"/>
  <c r="AB559" i="13"/>
  <c r="AA559" i="13"/>
  <c r="Z559" i="13"/>
  <c r="AK558" i="13"/>
  <c r="AI558" i="13"/>
  <c r="AG558" i="13"/>
  <c r="AE558" i="13"/>
  <c r="AD558" i="13"/>
  <c r="AC558" i="13"/>
  <c r="AB558" i="13"/>
  <c r="AA558" i="13"/>
  <c r="Z558" i="13"/>
  <c r="AK557" i="13"/>
  <c r="AI557" i="13"/>
  <c r="AG557" i="13"/>
  <c r="AE557" i="13"/>
  <c r="AD557" i="13"/>
  <c r="AC557" i="13"/>
  <c r="AB557" i="13"/>
  <c r="AA557" i="13"/>
  <c r="Z557" i="13"/>
  <c r="AK556" i="13"/>
  <c r="AI556" i="13"/>
  <c r="AG556" i="13"/>
  <c r="AE556" i="13"/>
  <c r="AD556" i="13"/>
  <c r="AC556" i="13"/>
  <c r="AB556" i="13"/>
  <c r="AA556" i="13"/>
  <c r="Z556" i="13"/>
  <c r="AK555" i="13"/>
  <c r="AI555" i="13"/>
  <c r="AG555" i="13"/>
  <c r="AE555" i="13"/>
  <c r="AD555" i="13"/>
  <c r="AC555" i="13"/>
  <c r="AB555" i="13"/>
  <c r="AA555" i="13"/>
  <c r="Z555" i="13"/>
  <c r="AK554" i="13"/>
  <c r="AI554" i="13"/>
  <c r="AG554" i="13"/>
  <c r="AE554" i="13"/>
  <c r="AD554" i="13"/>
  <c r="AC554" i="13"/>
  <c r="AB554" i="13"/>
  <c r="AA554" i="13"/>
  <c r="Z554" i="13"/>
  <c r="AM553" i="13"/>
  <c r="AM554" i="13" s="1"/>
  <c r="AM555" i="13" s="1"/>
  <c r="AM556" i="13" s="1"/>
  <c r="AM557" i="13" s="1"/>
  <c r="AM558" i="13" s="1"/>
  <c r="AM559" i="13" s="1"/>
  <c r="AM560" i="13" s="1"/>
  <c r="AM561" i="13" s="1"/>
  <c r="AM562" i="13" s="1"/>
  <c r="AK553" i="13"/>
  <c r="AI553" i="13"/>
  <c r="AG553" i="13"/>
  <c r="AE553" i="13"/>
  <c r="AD553" i="13"/>
  <c r="AC553" i="13"/>
  <c r="AB553" i="13"/>
  <c r="AA553" i="13"/>
  <c r="Z553" i="13"/>
  <c r="AK552" i="13"/>
  <c r="AI552" i="13"/>
  <c r="AG552" i="13"/>
  <c r="AE552" i="13"/>
  <c r="AD552" i="13"/>
  <c r="AC552" i="13"/>
  <c r="AB552" i="13"/>
  <c r="AA552" i="13"/>
  <c r="Z552" i="13"/>
  <c r="AK551" i="13"/>
  <c r="AI551" i="13"/>
  <c r="AG551" i="13"/>
  <c r="AE551" i="13"/>
  <c r="AD551" i="13"/>
  <c r="AC551" i="13"/>
  <c r="AB551" i="13"/>
  <c r="AA551" i="13"/>
  <c r="Z551" i="13"/>
  <c r="AK550" i="13"/>
  <c r="AI550" i="13"/>
  <c r="AG550" i="13"/>
  <c r="AE550" i="13"/>
  <c r="AD550" i="13"/>
  <c r="AC550" i="13"/>
  <c r="AB550" i="13"/>
  <c r="AA550" i="13"/>
  <c r="Z550" i="13"/>
  <c r="AK549" i="13"/>
  <c r="AI549" i="13"/>
  <c r="AG549" i="13"/>
  <c r="AE549" i="13"/>
  <c r="AD549" i="13"/>
  <c r="AC549" i="13"/>
  <c r="AB549" i="13"/>
  <c r="AA549" i="13"/>
  <c r="Z549" i="13"/>
  <c r="AK548" i="13"/>
  <c r="AI548" i="13"/>
  <c r="AG548" i="13"/>
  <c r="AE548" i="13"/>
  <c r="AD548" i="13"/>
  <c r="AC548" i="13"/>
  <c r="AB548" i="13"/>
  <c r="AA548" i="13"/>
  <c r="Z548" i="13"/>
  <c r="AK547" i="13"/>
  <c r="AI547" i="13"/>
  <c r="AG547" i="13"/>
  <c r="AE547" i="13"/>
  <c r="AD547" i="13"/>
  <c r="AC547" i="13"/>
  <c r="AB547" i="13"/>
  <c r="AA547" i="13"/>
  <c r="Z547" i="13"/>
  <c r="AM546" i="13"/>
  <c r="AM547" i="13" s="1"/>
  <c r="AM548" i="13" s="1"/>
  <c r="AM549" i="13" s="1"/>
  <c r="AM550" i="13" s="1"/>
  <c r="AM551" i="13" s="1"/>
  <c r="AM552" i="13" s="1"/>
  <c r="AK546" i="13"/>
  <c r="AI546" i="13"/>
  <c r="AG546" i="13"/>
  <c r="AE546" i="13"/>
  <c r="AD546" i="13"/>
  <c r="AC546" i="13"/>
  <c r="AB546" i="13"/>
  <c r="AA546" i="13"/>
  <c r="Z546" i="13"/>
  <c r="AK545" i="13"/>
  <c r="AI545" i="13"/>
  <c r="AG545" i="13"/>
  <c r="AE545" i="13"/>
  <c r="AD545" i="13"/>
  <c r="AC545" i="13"/>
  <c r="AB545" i="13"/>
  <c r="AA545" i="13"/>
  <c r="Z545" i="13"/>
  <c r="AK544" i="13"/>
  <c r="AI544" i="13"/>
  <c r="AG544" i="13"/>
  <c r="AE544" i="13"/>
  <c r="AD544" i="13"/>
  <c r="AC544" i="13"/>
  <c r="AB544" i="13"/>
  <c r="AA544" i="13"/>
  <c r="Z544" i="13"/>
  <c r="AK543" i="13"/>
  <c r="AI543" i="13"/>
  <c r="AG543" i="13"/>
  <c r="AE543" i="13"/>
  <c r="AD543" i="13"/>
  <c r="AC543" i="13"/>
  <c r="AB543" i="13"/>
  <c r="AA543" i="13"/>
  <c r="Z543" i="13"/>
  <c r="AK542" i="13"/>
  <c r="AI542" i="13"/>
  <c r="AG542" i="13"/>
  <c r="AE542" i="13"/>
  <c r="AD542" i="13"/>
  <c r="AC542" i="13"/>
  <c r="AB542" i="13"/>
  <c r="AA542" i="13"/>
  <c r="Z542" i="13"/>
  <c r="AK541" i="13"/>
  <c r="AI541" i="13"/>
  <c r="AG541" i="13"/>
  <c r="AE541" i="13"/>
  <c r="AD541" i="13"/>
  <c r="AC541" i="13"/>
  <c r="AB541" i="13"/>
  <c r="AA541" i="13"/>
  <c r="Z541" i="13"/>
  <c r="AK540" i="13"/>
  <c r="AI540" i="13"/>
  <c r="AG540" i="13"/>
  <c r="AE540" i="13"/>
  <c r="AD540" i="13"/>
  <c r="AC540" i="13"/>
  <c r="AB540" i="13"/>
  <c r="AA540" i="13"/>
  <c r="Z540" i="13"/>
  <c r="AM539" i="13"/>
  <c r="AM540" i="13" s="1"/>
  <c r="AM541" i="13" s="1"/>
  <c r="AM542" i="13" s="1"/>
  <c r="AM543" i="13" s="1"/>
  <c r="AM544" i="13" s="1"/>
  <c r="AM545" i="13" s="1"/>
  <c r="AK539" i="13"/>
  <c r="AI539" i="13"/>
  <c r="AG539" i="13"/>
  <c r="AH680" i="4" s="1"/>
  <c r="AE539" i="13"/>
  <c r="AD539" i="13"/>
  <c r="AC539" i="13"/>
  <c r="AB539" i="13"/>
  <c r="AA539" i="13"/>
  <c r="Z539" i="13"/>
  <c r="AK538" i="13"/>
  <c r="AI538" i="13"/>
  <c r="AG538" i="13"/>
  <c r="AE538" i="13"/>
  <c r="AD538" i="13"/>
  <c r="AC538" i="13"/>
  <c r="AB538" i="13"/>
  <c r="AA538" i="13"/>
  <c r="Z538" i="13"/>
  <c r="AK537" i="13"/>
  <c r="AI537" i="13"/>
  <c r="AG537" i="13"/>
  <c r="AE537" i="13"/>
  <c r="AD537" i="13"/>
  <c r="AC537" i="13"/>
  <c r="AB537" i="13"/>
  <c r="AA537" i="13"/>
  <c r="Z537" i="13"/>
  <c r="AM536" i="13"/>
  <c r="AM537" i="13" s="1"/>
  <c r="AM538" i="13" s="1"/>
  <c r="AK536" i="13"/>
  <c r="AI536" i="13"/>
  <c r="AG536" i="13"/>
  <c r="AH685" i="4" s="1"/>
  <c r="AE536" i="13"/>
  <c r="AD536" i="13"/>
  <c r="AC536" i="13"/>
  <c r="AB536" i="13"/>
  <c r="AA536" i="13"/>
  <c r="Z536" i="13"/>
  <c r="AK535" i="13"/>
  <c r="AI535" i="13"/>
  <c r="AG535" i="13"/>
  <c r="AE535" i="13"/>
  <c r="AD535" i="13"/>
  <c r="AC535" i="13"/>
  <c r="AB535" i="13"/>
  <c r="AA535" i="13"/>
  <c r="Z535" i="13"/>
  <c r="AM534" i="13"/>
  <c r="AM535" i="13" s="1"/>
  <c r="AK534" i="13"/>
  <c r="AI534" i="13"/>
  <c r="AG534" i="13"/>
  <c r="AH682" i="4" s="1"/>
  <c r="AE534" i="13"/>
  <c r="AD534" i="13"/>
  <c r="AC534" i="13"/>
  <c r="AB534" i="13"/>
  <c r="AA534" i="13"/>
  <c r="Z534" i="13"/>
  <c r="AK533" i="13"/>
  <c r="AI533" i="13"/>
  <c r="AG533" i="13"/>
  <c r="AE533" i="13"/>
  <c r="AD533" i="13"/>
  <c r="AC533" i="13"/>
  <c r="AB533" i="13"/>
  <c r="AA533" i="13"/>
  <c r="Z533" i="13"/>
  <c r="AM532" i="13"/>
  <c r="AM533" i="13" s="1"/>
  <c r="AK532" i="13"/>
  <c r="AI532" i="13"/>
  <c r="AG532" i="13"/>
  <c r="AE532" i="13"/>
  <c r="AD532" i="13"/>
  <c r="AC532" i="13"/>
  <c r="AB532" i="13"/>
  <c r="AA532" i="13"/>
  <c r="Z532" i="13"/>
  <c r="AK531" i="13"/>
  <c r="AI531" i="13"/>
  <c r="AG531" i="13"/>
  <c r="AE531" i="13"/>
  <c r="AD531" i="13"/>
  <c r="AC531" i="13"/>
  <c r="AB531" i="13"/>
  <c r="AA531" i="13"/>
  <c r="Z531" i="13"/>
  <c r="AK530" i="13"/>
  <c r="AI530" i="13"/>
  <c r="AG530" i="13"/>
  <c r="AE530" i="13"/>
  <c r="AD530" i="13"/>
  <c r="AC530" i="13"/>
  <c r="AB530" i="13"/>
  <c r="AA530" i="13"/>
  <c r="Z530" i="13"/>
  <c r="AK529" i="13"/>
  <c r="AI529" i="13"/>
  <c r="AG529" i="13"/>
  <c r="AE529" i="13"/>
  <c r="AD529" i="13"/>
  <c r="AC529" i="13"/>
  <c r="AB529" i="13"/>
  <c r="AA529" i="13"/>
  <c r="Z529" i="13"/>
  <c r="AK528" i="13"/>
  <c r="AI528" i="13"/>
  <c r="AG528" i="13"/>
  <c r="AE528" i="13"/>
  <c r="AD528" i="13"/>
  <c r="AC528" i="13"/>
  <c r="AB528" i="13"/>
  <c r="AA528" i="13"/>
  <c r="Z528" i="13"/>
  <c r="AK527" i="13"/>
  <c r="AI527" i="13"/>
  <c r="AG527" i="13"/>
  <c r="AE527" i="13"/>
  <c r="AD527" i="13"/>
  <c r="AC527" i="13"/>
  <c r="AB527" i="13"/>
  <c r="AA527" i="13"/>
  <c r="Z527" i="13"/>
  <c r="AK526" i="13"/>
  <c r="AI526" i="13"/>
  <c r="AG526" i="13"/>
  <c r="AE526" i="13"/>
  <c r="AD526" i="13"/>
  <c r="AC526" i="13"/>
  <c r="AB526" i="13"/>
  <c r="AA526" i="13"/>
  <c r="Z526" i="13"/>
  <c r="AK525" i="13"/>
  <c r="AI525" i="13"/>
  <c r="AG525" i="13"/>
  <c r="AE525" i="13"/>
  <c r="AD525" i="13"/>
  <c r="AC525" i="13"/>
  <c r="AB525" i="13"/>
  <c r="AA525" i="13"/>
  <c r="Z525" i="13"/>
  <c r="AM524" i="13"/>
  <c r="AM525" i="13" s="1"/>
  <c r="AM526" i="13" s="1"/>
  <c r="AM527" i="13" s="1"/>
  <c r="AM528" i="13" s="1"/>
  <c r="AM529" i="13" s="1"/>
  <c r="AM530" i="13" s="1"/>
  <c r="AM531" i="13" s="1"/>
  <c r="AK524" i="13"/>
  <c r="AI524" i="13"/>
  <c r="AG524" i="13"/>
  <c r="AH257" i="4" s="1"/>
  <c r="AE524" i="13"/>
  <c r="AD524" i="13"/>
  <c r="AC524" i="13"/>
  <c r="AB524" i="13"/>
  <c r="AA524" i="13"/>
  <c r="Z524" i="13"/>
  <c r="AK523" i="13"/>
  <c r="AI523" i="13"/>
  <c r="AG523" i="13"/>
  <c r="AE523" i="13"/>
  <c r="AD523" i="13"/>
  <c r="AC523" i="13"/>
  <c r="AB523" i="13"/>
  <c r="AA523" i="13"/>
  <c r="Z523" i="13"/>
  <c r="AK522" i="13"/>
  <c r="AI522" i="13"/>
  <c r="AG522" i="13"/>
  <c r="AE522" i="13"/>
  <c r="AD522" i="13"/>
  <c r="AC522" i="13"/>
  <c r="AB522" i="13"/>
  <c r="AA522" i="13"/>
  <c r="Z522" i="13"/>
  <c r="AK521" i="13"/>
  <c r="AI521" i="13"/>
  <c r="AG521" i="13"/>
  <c r="AE521" i="13"/>
  <c r="AD521" i="13"/>
  <c r="AC521" i="13"/>
  <c r="AB521" i="13"/>
  <c r="AA521" i="13"/>
  <c r="Z521" i="13"/>
  <c r="AM520" i="13"/>
  <c r="AM521" i="13" s="1"/>
  <c r="AM522" i="13" s="1"/>
  <c r="AM523" i="13" s="1"/>
  <c r="AK520" i="13"/>
  <c r="AI520" i="13"/>
  <c r="AG520" i="13"/>
  <c r="AH256" i="4" s="1"/>
  <c r="AE520" i="13"/>
  <c r="AD520" i="13"/>
  <c r="AC520" i="13"/>
  <c r="AB520" i="13"/>
  <c r="AA520" i="13"/>
  <c r="Z520" i="13"/>
  <c r="AK519" i="13"/>
  <c r="AI519" i="13"/>
  <c r="AG519" i="13"/>
  <c r="AE519" i="13"/>
  <c r="AD519" i="13"/>
  <c r="AC519" i="13"/>
  <c r="AB519" i="13"/>
  <c r="AA519" i="13"/>
  <c r="Z519" i="13"/>
  <c r="AK518" i="13"/>
  <c r="AI518" i="13"/>
  <c r="AG518" i="13"/>
  <c r="AE518" i="13"/>
  <c r="AD518" i="13"/>
  <c r="AC518" i="13"/>
  <c r="AB518" i="13"/>
  <c r="AA518" i="13"/>
  <c r="Z518" i="13"/>
  <c r="AK517" i="13"/>
  <c r="AI517" i="13"/>
  <c r="AG517" i="13"/>
  <c r="AE517" i="13"/>
  <c r="AD517" i="13"/>
  <c r="AC517" i="13"/>
  <c r="AB517" i="13"/>
  <c r="AA517" i="13"/>
  <c r="Z517" i="13"/>
  <c r="AK516" i="13"/>
  <c r="AI516" i="13"/>
  <c r="AG516" i="13"/>
  <c r="AE516" i="13"/>
  <c r="AD516" i="13"/>
  <c r="AC516" i="13"/>
  <c r="AB516" i="13"/>
  <c r="AA516" i="13"/>
  <c r="Z516" i="13"/>
  <c r="AK515" i="13"/>
  <c r="AI515" i="13"/>
  <c r="AG515" i="13"/>
  <c r="AE515" i="13"/>
  <c r="AD515" i="13"/>
  <c r="AC515" i="13"/>
  <c r="AB515" i="13"/>
  <c r="AA515" i="13"/>
  <c r="Z515" i="13"/>
  <c r="AK514" i="13"/>
  <c r="AI514" i="13"/>
  <c r="AG514" i="13"/>
  <c r="AE514" i="13"/>
  <c r="AD514" i="13"/>
  <c r="AC514" i="13"/>
  <c r="AB514" i="13"/>
  <c r="AA514" i="13"/>
  <c r="Z514" i="13"/>
  <c r="AK513" i="13"/>
  <c r="AI513" i="13"/>
  <c r="AG513" i="13"/>
  <c r="AE513" i="13"/>
  <c r="AD513" i="13"/>
  <c r="AC513" i="13"/>
  <c r="AB513" i="13"/>
  <c r="AA513" i="13"/>
  <c r="Z513" i="13"/>
  <c r="AM512" i="13"/>
  <c r="AM513" i="13" s="1"/>
  <c r="AM514" i="13" s="1"/>
  <c r="AM515" i="13" s="1"/>
  <c r="AM516" i="13" s="1"/>
  <c r="AM517" i="13" s="1"/>
  <c r="AM518" i="13" s="1"/>
  <c r="AM519" i="13" s="1"/>
  <c r="AK512" i="13"/>
  <c r="AI512" i="13"/>
  <c r="AG512" i="13"/>
  <c r="AH255" i="4" s="1"/>
  <c r="AE512" i="13"/>
  <c r="AD512" i="13"/>
  <c r="AC512" i="13"/>
  <c r="AB512" i="13"/>
  <c r="AA512" i="13"/>
  <c r="Z512" i="13"/>
  <c r="AK511" i="13"/>
  <c r="AI511" i="13"/>
  <c r="AG511" i="13"/>
  <c r="AE511" i="13"/>
  <c r="AD511" i="13"/>
  <c r="AC511" i="13"/>
  <c r="AB511" i="13"/>
  <c r="AA511" i="13"/>
  <c r="Z511" i="13"/>
  <c r="AK510" i="13"/>
  <c r="AI510" i="13"/>
  <c r="AG510" i="13"/>
  <c r="AE510" i="13"/>
  <c r="AD510" i="13"/>
  <c r="AC510" i="13"/>
  <c r="AB510" i="13"/>
  <c r="AA510" i="13"/>
  <c r="Z510" i="13"/>
  <c r="AK509" i="13"/>
  <c r="AI509" i="13"/>
  <c r="AG509" i="13"/>
  <c r="AE509" i="13"/>
  <c r="AD509" i="13"/>
  <c r="AC509" i="13"/>
  <c r="AB509" i="13"/>
  <c r="AA509" i="13"/>
  <c r="Z509" i="13"/>
  <c r="AM508" i="13"/>
  <c r="AM509" i="13" s="1"/>
  <c r="AM510" i="13" s="1"/>
  <c r="AM511" i="13" s="1"/>
  <c r="AK508" i="13"/>
  <c r="AI508" i="13"/>
  <c r="AG508" i="13"/>
  <c r="AH254" i="4" s="1"/>
  <c r="AE508" i="13"/>
  <c r="AD508" i="13"/>
  <c r="AC508" i="13"/>
  <c r="AB508" i="13"/>
  <c r="AA508" i="13"/>
  <c r="Z508" i="13"/>
  <c r="AK507" i="13"/>
  <c r="AI507" i="13"/>
  <c r="AG507" i="13"/>
  <c r="AE507" i="13"/>
  <c r="AD507" i="13"/>
  <c r="AC507" i="13"/>
  <c r="AB507" i="13"/>
  <c r="AA507" i="13"/>
  <c r="Z507" i="13"/>
  <c r="AM506" i="13"/>
  <c r="AM507" i="13" s="1"/>
  <c r="AK506" i="13"/>
  <c r="AI506" i="13"/>
  <c r="AG506" i="13"/>
  <c r="AE506" i="13"/>
  <c r="AD506" i="13"/>
  <c r="AC506" i="13"/>
  <c r="AB506" i="13"/>
  <c r="AA506" i="13"/>
  <c r="Z506" i="13"/>
  <c r="AK505" i="13"/>
  <c r="AI505" i="13"/>
  <c r="AG505" i="13"/>
  <c r="AE505" i="13"/>
  <c r="AD505" i="13"/>
  <c r="AC505" i="13"/>
  <c r="AB505" i="13"/>
  <c r="AA505" i="13"/>
  <c r="Z505" i="13"/>
  <c r="AM504" i="13"/>
  <c r="AM505" i="13" s="1"/>
  <c r="AK504" i="13"/>
  <c r="AI504" i="13"/>
  <c r="AG504" i="13"/>
  <c r="AE504" i="13"/>
  <c r="AD504" i="13"/>
  <c r="AC504" i="13"/>
  <c r="AB504" i="13"/>
  <c r="AA504" i="13"/>
  <c r="Z504" i="13"/>
  <c r="AK503" i="13"/>
  <c r="AI503" i="13"/>
  <c r="AG503" i="13"/>
  <c r="AE503" i="13"/>
  <c r="AD503" i="13"/>
  <c r="AC503" i="13"/>
  <c r="AB503" i="13"/>
  <c r="AA503" i="13"/>
  <c r="Z503" i="13"/>
  <c r="AK502" i="13"/>
  <c r="AI502" i="13"/>
  <c r="AG502" i="13"/>
  <c r="AE502" i="13"/>
  <c r="AD502" i="13"/>
  <c r="AC502" i="13"/>
  <c r="AB502" i="13"/>
  <c r="AA502" i="13"/>
  <c r="Z502" i="13"/>
  <c r="AK501" i="13"/>
  <c r="AI501" i="13"/>
  <c r="AG501" i="13"/>
  <c r="AE501" i="13"/>
  <c r="AD501" i="13"/>
  <c r="AC501" i="13"/>
  <c r="AB501" i="13"/>
  <c r="AA501" i="13"/>
  <c r="Z501" i="13"/>
  <c r="AK500" i="13"/>
  <c r="AI500" i="13"/>
  <c r="AG500" i="13"/>
  <c r="AE500" i="13"/>
  <c r="AD500" i="13"/>
  <c r="AC500" i="13"/>
  <c r="AB500" i="13"/>
  <c r="AA500" i="13"/>
  <c r="Z500" i="13"/>
  <c r="AM499" i="13"/>
  <c r="AM500" i="13" s="1"/>
  <c r="AM501" i="13" s="1"/>
  <c r="AM502" i="13" s="1"/>
  <c r="AM503" i="13" s="1"/>
  <c r="AK499" i="13"/>
  <c r="AI499" i="13"/>
  <c r="AG499" i="13"/>
  <c r="AE499" i="13"/>
  <c r="AD499" i="13"/>
  <c r="AC499" i="13"/>
  <c r="AB499" i="13"/>
  <c r="AA499" i="13"/>
  <c r="Z499" i="13"/>
  <c r="AK498" i="13"/>
  <c r="AI498" i="13"/>
  <c r="AG498" i="13"/>
  <c r="AE498" i="13"/>
  <c r="AD498" i="13"/>
  <c r="AC498" i="13"/>
  <c r="AB498" i="13"/>
  <c r="AA498" i="13"/>
  <c r="Z498" i="13"/>
  <c r="AK497" i="13"/>
  <c r="AI497" i="13"/>
  <c r="AG497" i="13"/>
  <c r="AE497" i="13"/>
  <c r="AD497" i="13"/>
  <c r="AC497" i="13"/>
  <c r="AB497" i="13"/>
  <c r="AA497" i="13"/>
  <c r="Z497" i="13"/>
  <c r="AK496" i="13"/>
  <c r="AI496" i="13"/>
  <c r="AG496" i="13"/>
  <c r="AE496" i="13"/>
  <c r="AD496" i="13"/>
  <c r="AC496" i="13"/>
  <c r="AB496" i="13"/>
  <c r="AA496" i="13"/>
  <c r="Z496" i="13"/>
  <c r="AK495" i="13"/>
  <c r="AI495" i="13"/>
  <c r="AG495" i="13"/>
  <c r="AE495" i="13"/>
  <c r="AD495" i="13"/>
  <c r="AC495" i="13"/>
  <c r="AB495" i="13"/>
  <c r="AA495" i="13"/>
  <c r="Z495" i="13"/>
  <c r="AK494" i="13"/>
  <c r="AI494" i="13"/>
  <c r="AG494" i="13"/>
  <c r="AE494" i="13"/>
  <c r="AD494" i="13"/>
  <c r="AC494" i="13"/>
  <c r="AB494" i="13"/>
  <c r="AA494" i="13"/>
  <c r="Z494" i="13"/>
  <c r="AK493" i="13"/>
  <c r="AI493" i="13"/>
  <c r="AG493" i="13"/>
  <c r="AE493" i="13"/>
  <c r="AD493" i="13"/>
  <c r="AC493" i="13"/>
  <c r="AB493" i="13"/>
  <c r="AA493" i="13"/>
  <c r="Z493" i="13"/>
  <c r="AK492" i="13"/>
  <c r="AI492" i="13"/>
  <c r="AG492" i="13"/>
  <c r="AE492" i="13"/>
  <c r="AD492" i="13"/>
  <c r="AC492" i="13"/>
  <c r="AB492" i="13"/>
  <c r="AA492" i="13"/>
  <c r="Z492" i="13"/>
  <c r="AK491" i="13"/>
  <c r="AI491" i="13"/>
  <c r="AG491" i="13"/>
  <c r="AE491" i="13"/>
  <c r="AD491" i="13"/>
  <c r="AC491" i="13"/>
  <c r="AB491" i="13"/>
  <c r="AA491" i="13"/>
  <c r="Z491" i="13"/>
  <c r="AK490" i="13"/>
  <c r="AI490" i="13"/>
  <c r="AG490" i="13"/>
  <c r="AE490" i="13"/>
  <c r="AD490" i="13"/>
  <c r="AC490" i="13"/>
  <c r="AB490" i="13"/>
  <c r="AA490" i="13"/>
  <c r="Z490" i="13"/>
  <c r="AM489" i="13"/>
  <c r="AM490" i="13" s="1"/>
  <c r="AM491" i="13" s="1"/>
  <c r="AM492" i="13" s="1"/>
  <c r="AM493" i="13" s="1"/>
  <c r="AM494" i="13" s="1"/>
  <c r="AM495" i="13" s="1"/>
  <c r="AM496" i="13" s="1"/>
  <c r="AM497" i="13" s="1"/>
  <c r="AM498" i="13" s="1"/>
  <c r="AK489" i="13"/>
  <c r="AI489" i="13"/>
  <c r="AG489" i="13"/>
  <c r="AE489" i="13"/>
  <c r="AD489" i="13"/>
  <c r="AC489" i="13"/>
  <c r="AB489" i="13"/>
  <c r="AA489" i="13"/>
  <c r="Z489" i="13"/>
  <c r="AK488" i="13"/>
  <c r="AI488" i="13"/>
  <c r="AG488" i="13"/>
  <c r="AE488" i="13"/>
  <c r="AD488" i="13"/>
  <c r="AC488" i="13"/>
  <c r="AB488" i="13"/>
  <c r="AA488" i="13"/>
  <c r="Z488" i="13"/>
  <c r="AK487" i="13"/>
  <c r="AI487" i="13"/>
  <c r="AG487" i="13"/>
  <c r="AE487" i="13"/>
  <c r="AD487" i="13"/>
  <c r="AC487" i="13"/>
  <c r="AB487" i="13"/>
  <c r="AA487" i="13"/>
  <c r="Z487" i="13"/>
  <c r="AK486" i="13"/>
  <c r="AI486" i="13"/>
  <c r="AG486" i="13"/>
  <c r="AE486" i="13"/>
  <c r="AD486" i="13"/>
  <c r="AC486" i="13"/>
  <c r="AB486" i="13"/>
  <c r="AA486" i="13"/>
  <c r="Z486" i="13"/>
  <c r="AK485" i="13"/>
  <c r="AI485" i="13"/>
  <c r="AG485" i="13"/>
  <c r="AE485" i="13"/>
  <c r="AD485" i="13"/>
  <c r="AC485" i="13"/>
  <c r="AB485" i="13"/>
  <c r="AA485" i="13"/>
  <c r="Z485" i="13"/>
  <c r="AK484" i="13"/>
  <c r="AI484" i="13"/>
  <c r="AG484" i="13"/>
  <c r="AE484" i="13"/>
  <c r="AD484" i="13"/>
  <c r="AC484" i="13"/>
  <c r="AB484" i="13"/>
  <c r="AA484" i="13"/>
  <c r="Z484" i="13"/>
  <c r="AM483" i="13"/>
  <c r="AM484" i="13" s="1"/>
  <c r="AM485" i="13" s="1"/>
  <c r="AM486" i="13" s="1"/>
  <c r="AM487" i="13" s="1"/>
  <c r="AM488" i="13" s="1"/>
  <c r="AK483" i="13"/>
  <c r="AI483" i="13"/>
  <c r="AG483" i="13"/>
  <c r="AE483" i="13"/>
  <c r="AD483" i="13"/>
  <c r="AC483" i="13"/>
  <c r="AB483" i="13"/>
  <c r="AA483" i="13"/>
  <c r="Z483" i="13"/>
  <c r="AK482" i="13"/>
  <c r="AI482" i="13"/>
  <c r="AG482" i="13"/>
  <c r="AE482" i="13"/>
  <c r="AD482" i="13"/>
  <c r="AC482" i="13"/>
  <c r="AB482" i="13"/>
  <c r="AA482" i="13"/>
  <c r="Z482" i="13"/>
  <c r="AK481" i="13"/>
  <c r="AI481" i="13"/>
  <c r="AG481" i="13"/>
  <c r="AE481" i="13"/>
  <c r="AD481" i="13"/>
  <c r="AC481" i="13"/>
  <c r="AB481" i="13"/>
  <c r="AA481" i="13"/>
  <c r="Z481" i="13"/>
  <c r="AK480" i="13"/>
  <c r="AI480" i="13"/>
  <c r="AG480" i="13"/>
  <c r="AE480" i="13"/>
  <c r="AD480" i="13"/>
  <c r="AC480" i="13"/>
  <c r="AB480" i="13"/>
  <c r="AA480" i="13"/>
  <c r="Z480" i="13"/>
  <c r="AK479" i="13"/>
  <c r="AI479" i="13"/>
  <c r="AG479" i="13"/>
  <c r="AE479" i="13"/>
  <c r="AD479" i="13"/>
  <c r="AC479" i="13"/>
  <c r="AB479" i="13"/>
  <c r="AA479" i="13"/>
  <c r="Z479" i="13"/>
  <c r="AK478" i="13"/>
  <c r="AI478" i="13"/>
  <c r="AG478" i="13"/>
  <c r="AE478" i="13"/>
  <c r="AD478" i="13"/>
  <c r="AC478" i="13"/>
  <c r="AB478" i="13"/>
  <c r="AA478" i="13"/>
  <c r="Z478" i="13"/>
  <c r="AK477" i="13"/>
  <c r="AI477" i="13"/>
  <c r="AG477" i="13"/>
  <c r="AE477" i="13"/>
  <c r="AD477" i="13"/>
  <c r="AC477" i="13"/>
  <c r="AB477" i="13"/>
  <c r="AA477" i="13"/>
  <c r="Z477" i="13"/>
  <c r="AK476" i="13"/>
  <c r="AI476" i="13"/>
  <c r="AG476" i="13"/>
  <c r="AE476" i="13"/>
  <c r="AD476" i="13"/>
  <c r="AC476" i="13"/>
  <c r="AB476" i="13"/>
  <c r="AA476" i="13"/>
  <c r="Z476" i="13"/>
  <c r="AK475" i="13"/>
  <c r="AI475" i="13"/>
  <c r="AG475" i="13"/>
  <c r="AE475" i="13"/>
  <c r="AD475" i="13"/>
  <c r="AC475" i="13"/>
  <c r="AB475" i="13"/>
  <c r="AA475" i="13"/>
  <c r="Z475" i="13"/>
  <c r="AK474" i="13"/>
  <c r="AI474" i="13"/>
  <c r="AG474" i="13"/>
  <c r="AE474" i="13"/>
  <c r="AD474" i="13"/>
  <c r="AC474" i="13"/>
  <c r="AB474" i="13"/>
  <c r="AA474" i="13"/>
  <c r="Z474" i="13"/>
  <c r="AK473" i="13"/>
  <c r="AI473" i="13"/>
  <c r="AG473" i="13"/>
  <c r="AE473" i="13"/>
  <c r="AD473" i="13"/>
  <c r="AC473" i="13"/>
  <c r="AB473" i="13"/>
  <c r="AA473" i="13"/>
  <c r="Z473" i="13"/>
  <c r="AM472" i="13"/>
  <c r="AM473" i="13" s="1"/>
  <c r="AM474" i="13" s="1"/>
  <c r="AM475" i="13" s="1"/>
  <c r="AM476" i="13" s="1"/>
  <c r="AM477" i="13" s="1"/>
  <c r="AM478" i="13" s="1"/>
  <c r="AM479" i="13" s="1"/>
  <c r="AM480" i="13" s="1"/>
  <c r="AM481" i="13" s="1"/>
  <c r="AM482" i="13" s="1"/>
  <c r="AK472" i="13"/>
  <c r="AI472" i="13"/>
  <c r="AG472" i="13"/>
  <c r="AE472" i="13"/>
  <c r="AD472" i="13"/>
  <c r="AC472" i="13"/>
  <c r="AB472" i="13"/>
  <c r="AA472" i="13"/>
  <c r="Z472" i="13"/>
  <c r="AK471" i="13"/>
  <c r="AI471" i="13"/>
  <c r="AG471" i="13"/>
  <c r="AE471" i="13"/>
  <c r="AD471" i="13"/>
  <c r="AC471" i="13"/>
  <c r="AB471" i="13"/>
  <c r="AA471" i="13"/>
  <c r="Z471" i="13"/>
  <c r="AK470" i="13"/>
  <c r="AI470" i="13"/>
  <c r="AG470" i="13"/>
  <c r="AE470" i="13"/>
  <c r="AD470" i="13"/>
  <c r="AC470" i="13"/>
  <c r="AB470" i="13"/>
  <c r="AA470" i="13"/>
  <c r="Z470" i="13"/>
  <c r="AK469" i="13"/>
  <c r="AI469" i="13"/>
  <c r="AG469" i="13"/>
  <c r="AE469" i="13"/>
  <c r="AD469" i="13"/>
  <c r="AC469" i="13"/>
  <c r="AB469" i="13"/>
  <c r="AA469" i="13"/>
  <c r="Z469" i="13"/>
  <c r="AK468" i="13"/>
  <c r="AI468" i="13"/>
  <c r="AG468" i="13"/>
  <c r="AE468" i="13"/>
  <c r="AD468" i="13"/>
  <c r="AC468" i="13"/>
  <c r="AB468" i="13"/>
  <c r="AA468" i="13"/>
  <c r="Z468" i="13"/>
  <c r="AK467" i="13"/>
  <c r="AI467" i="13"/>
  <c r="AG467" i="13"/>
  <c r="AE467" i="13"/>
  <c r="AD467" i="13"/>
  <c r="AC467" i="13"/>
  <c r="AB467" i="13"/>
  <c r="AA467" i="13"/>
  <c r="Z467" i="13"/>
  <c r="AM466" i="13"/>
  <c r="AM467" i="13" s="1"/>
  <c r="AM468" i="13" s="1"/>
  <c r="AM469" i="13" s="1"/>
  <c r="AM470" i="13" s="1"/>
  <c r="AM471" i="13" s="1"/>
  <c r="AK466" i="13"/>
  <c r="AI466" i="13"/>
  <c r="AG466" i="13"/>
  <c r="AE466" i="13"/>
  <c r="AD466" i="13"/>
  <c r="AC466" i="13"/>
  <c r="AB466" i="13"/>
  <c r="AA466" i="13"/>
  <c r="Z466" i="13"/>
  <c r="AK465" i="13"/>
  <c r="AI465" i="13"/>
  <c r="AG465" i="13"/>
  <c r="AE465" i="13"/>
  <c r="AD465" i="13"/>
  <c r="AC465" i="13"/>
  <c r="AB465" i="13"/>
  <c r="AA465" i="13"/>
  <c r="Z465" i="13"/>
  <c r="AK464" i="13"/>
  <c r="AI464" i="13"/>
  <c r="AG464" i="13"/>
  <c r="AE464" i="13"/>
  <c r="AD464" i="13"/>
  <c r="AC464" i="13"/>
  <c r="AB464" i="13"/>
  <c r="AA464" i="13"/>
  <c r="Z464" i="13"/>
  <c r="AK463" i="13"/>
  <c r="AI463" i="13"/>
  <c r="AG463" i="13"/>
  <c r="AE463" i="13"/>
  <c r="AD463" i="13"/>
  <c r="AC463" i="13"/>
  <c r="AB463" i="13"/>
  <c r="AA463" i="13"/>
  <c r="Z463" i="13"/>
  <c r="AK462" i="13"/>
  <c r="AI462" i="13"/>
  <c r="AG462" i="13"/>
  <c r="AE462" i="13"/>
  <c r="AD462" i="13"/>
  <c r="AC462" i="13"/>
  <c r="AB462" i="13"/>
  <c r="AA462" i="13"/>
  <c r="Z462" i="13"/>
  <c r="AK461" i="13"/>
  <c r="AI461" i="13"/>
  <c r="AG461" i="13"/>
  <c r="AE461" i="13"/>
  <c r="AD461" i="13"/>
  <c r="AC461" i="13"/>
  <c r="AB461" i="13"/>
  <c r="AA461" i="13"/>
  <c r="Z461" i="13"/>
  <c r="AK460" i="13"/>
  <c r="AI460" i="13"/>
  <c r="AG460" i="13"/>
  <c r="AE460" i="13"/>
  <c r="AD460" i="13"/>
  <c r="AC460" i="13"/>
  <c r="AB460" i="13"/>
  <c r="AA460" i="13"/>
  <c r="Z460" i="13"/>
  <c r="AK459" i="13"/>
  <c r="AI459" i="13"/>
  <c r="AG459" i="13"/>
  <c r="AE459" i="13"/>
  <c r="AD459" i="13"/>
  <c r="AC459" i="13"/>
  <c r="AB459" i="13"/>
  <c r="AA459" i="13"/>
  <c r="Z459" i="13"/>
  <c r="AM458" i="13"/>
  <c r="AM459" i="13" s="1"/>
  <c r="AM460" i="13" s="1"/>
  <c r="AM461" i="13" s="1"/>
  <c r="AM462" i="13" s="1"/>
  <c r="AM463" i="13" s="1"/>
  <c r="AM464" i="13" s="1"/>
  <c r="AM465" i="13" s="1"/>
  <c r="AK458" i="13"/>
  <c r="AI458" i="13"/>
  <c r="AG458" i="13"/>
  <c r="AE458" i="13"/>
  <c r="AD458" i="13"/>
  <c r="AC458" i="13"/>
  <c r="AB458" i="13"/>
  <c r="AA458" i="13"/>
  <c r="Z458" i="13"/>
  <c r="AK457" i="13"/>
  <c r="AI457" i="13"/>
  <c r="AG457" i="13"/>
  <c r="AE457" i="13"/>
  <c r="AD457" i="13"/>
  <c r="AC457" i="13"/>
  <c r="AB457" i="13"/>
  <c r="AA457" i="13"/>
  <c r="Z457" i="13"/>
  <c r="AK456" i="13"/>
  <c r="AI456" i="13"/>
  <c r="AG456" i="13"/>
  <c r="AE456" i="13"/>
  <c r="AD456" i="13"/>
  <c r="AC456" i="13"/>
  <c r="AB456" i="13"/>
  <c r="AA456" i="13"/>
  <c r="Z456" i="13"/>
  <c r="AK455" i="13"/>
  <c r="AI455" i="13"/>
  <c r="AG455" i="13"/>
  <c r="AE455" i="13"/>
  <c r="AD455" i="13"/>
  <c r="AC455" i="13"/>
  <c r="AB455" i="13"/>
  <c r="AA455" i="13"/>
  <c r="Z455" i="13"/>
  <c r="AK454" i="13"/>
  <c r="AI454" i="13"/>
  <c r="AG454" i="13"/>
  <c r="AE454" i="13"/>
  <c r="AD454" i="13"/>
  <c r="AC454" i="13"/>
  <c r="AB454" i="13"/>
  <c r="AA454" i="13"/>
  <c r="Z454" i="13"/>
  <c r="AK453" i="13"/>
  <c r="AI453" i="13"/>
  <c r="AG453" i="13"/>
  <c r="AE453" i="13"/>
  <c r="AD453" i="13"/>
  <c r="AC453" i="13"/>
  <c r="AB453" i="13"/>
  <c r="AA453" i="13"/>
  <c r="Z453" i="13"/>
  <c r="AM452" i="13"/>
  <c r="AM453" i="13" s="1"/>
  <c r="AM454" i="13" s="1"/>
  <c r="AM455" i="13" s="1"/>
  <c r="AM456" i="13" s="1"/>
  <c r="AM457" i="13" s="1"/>
  <c r="AK452" i="13"/>
  <c r="AI452" i="13"/>
  <c r="AG452" i="13"/>
  <c r="AE452" i="13"/>
  <c r="AD452" i="13"/>
  <c r="AC452" i="13"/>
  <c r="AB452" i="13"/>
  <c r="AA452" i="13"/>
  <c r="Z452" i="13"/>
  <c r="AM451" i="13"/>
  <c r="AK451" i="13"/>
  <c r="AI451" i="13"/>
  <c r="AG451" i="13"/>
  <c r="AE451" i="13"/>
  <c r="AD451" i="13"/>
  <c r="AC451" i="13"/>
  <c r="AB451" i="13"/>
  <c r="AA451" i="13"/>
  <c r="Z451" i="13"/>
  <c r="AK450" i="13"/>
  <c r="AI450" i="13"/>
  <c r="AG450" i="13"/>
  <c r="AE450" i="13"/>
  <c r="AD450" i="13"/>
  <c r="AC450" i="13"/>
  <c r="AB450" i="13"/>
  <c r="AA450" i="13"/>
  <c r="Z450" i="13"/>
  <c r="AK449" i="13"/>
  <c r="AI449" i="13"/>
  <c r="AG449" i="13"/>
  <c r="AE449" i="13"/>
  <c r="AD449" i="13"/>
  <c r="AC449" i="13"/>
  <c r="AB449" i="13"/>
  <c r="AA449" i="13"/>
  <c r="Z449" i="13"/>
  <c r="AK448" i="13"/>
  <c r="AI448" i="13"/>
  <c r="AG448" i="13"/>
  <c r="AE448" i="13"/>
  <c r="AD448" i="13"/>
  <c r="AC448" i="13"/>
  <c r="AB448" i="13"/>
  <c r="AA448" i="13"/>
  <c r="Z448" i="13"/>
  <c r="AK447" i="13"/>
  <c r="AI447" i="13"/>
  <c r="AG447" i="13"/>
  <c r="AE447" i="13"/>
  <c r="AD447" i="13"/>
  <c r="AC447" i="13"/>
  <c r="AB447" i="13"/>
  <c r="AA447" i="13"/>
  <c r="Z447" i="13"/>
  <c r="AK446" i="13"/>
  <c r="AI446" i="13"/>
  <c r="AG446" i="13"/>
  <c r="AE446" i="13"/>
  <c r="AD446" i="13"/>
  <c r="AC446" i="13"/>
  <c r="AB446" i="13"/>
  <c r="AA446" i="13"/>
  <c r="Z446" i="13"/>
  <c r="AK445" i="13"/>
  <c r="AI445" i="13"/>
  <c r="AG445" i="13"/>
  <c r="AE445" i="13"/>
  <c r="AD445" i="13"/>
  <c r="AC445" i="13"/>
  <c r="AB445" i="13"/>
  <c r="AA445" i="13"/>
  <c r="Z445" i="13"/>
  <c r="AK444" i="13"/>
  <c r="AI444" i="13"/>
  <c r="AG444" i="13"/>
  <c r="AE444" i="13"/>
  <c r="AD444" i="13"/>
  <c r="AC444" i="13"/>
  <c r="AB444" i="13"/>
  <c r="AA444" i="13"/>
  <c r="Z444" i="13"/>
  <c r="AM443" i="13"/>
  <c r="AM444" i="13" s="1"/>
  <c r="AM445" i="13" s="1"/>
  <c r="AM446" i="13" s="1"/>
  <c r="AM447" i="13" s="1"/>
  <c r="AM448" i="13" s="1"/>
  <c r="AM449" i="13" s="1"/>
  <c r="AM450" i="13" s="1"/>
  <c r="AK443" i="13"/>
  <c r="AI443" i="13"/>
  <c r="AG443" i="13"/>
  <c r="AE443" i="13"/>
  <c r="AD443" i="13"/>
  <c r="AC443" i="13"/>
  <c r="AB443" i="13"/>
  <c r="AA443" i="13"/>
  <c r="Z443" i="13"/>
  <c r="AK442" i="13"/>
  <c r="AI442" i="13"/>
  <c r="AG442" i="13"/>
  <c r="AE442" i="13"/>
  <c r="AD442" i="13"/>
  <c r="AC442" i="13"/>
  <c r="AB442" i="13"/>
  <c r="AA442" i="13"/>
  <c r="Z442" i="13"/>
  <c r="AK441" i="13"/>
  <c r="AI441" i="13"/>
  <c r="AG441" i="13"/>
  <c r="AE441" i="13"/>
  <c r="AD441" i="13"/>
  <c r="AC441" i="13"/>
  <c r="AB441" i="13"/>
  <c r="AA441" i="13"/>
  <c r="Z441" i="13"/>
  <c r="AK440" i="13"/>
  <c r="AI440" i="13"/>
  <c r="AG440" i="13"/>
  <c r="AE440" i="13"/>
  <c r="AD440" i="13"/>
  <c r="AC440" i="13"/>
  <c r="AB440" i="13"/>
  <c r="AA440" i="13"/>
  <c r="Z440" i="13"/>
  <c r="AM439" i="13"/>
  <c r="AM440" i="13" s="1"/>
  <c r="AM441" i="13" s="1"/>
  <c r="AM442" i="13" s="1"/>
  <c r="AK439" i="13"/>
  <c r="AI439" i="13"/>
  <c r="AG439" i="13"/>
  <c r="AE439" i="13"/>
  <c r="AD439" i="13"/>
  <c r="AC439" i="13"/>
  <c r="AB439" i="13"/>
  <c r="AA439" i="13"/>
  <c r="Z439" i="13"/>
  <c r="AK438" i="13"/>
  <c r="AI438" i="13"/>
  <c r="AG438" i="13"/>
  <c r="AE438" i="13"/>
  <c r="AD438" i="13"/>
  <c r="AC438" i="13"/>
  <c r="AB438" i="13"/>
  <c r="AA438" i="13"/>
  <c r="Z438" i="13"/>
  <c r="AK437" i="13"/>
  <c r="AI437" i="13"/>
  <c r="AG437" i="13"/>
  <c r="AE437" i="13"/>
  <c r="AD437" i="13"/>
  <c r="AC437" i="13"/>
  <c r="AB437" i="13"/>
  <c r="AA437" i="13"/>
  <c r="Z437" i="13"/>
  <c r="AK436" i="13"/>
  <c r="AI436" i="13"/>
  <c r="AG436" i="13"/>
  <c r="AE436" i="13"/>
  <c r="AD436" i="13"/>
  <c r="AC436" i="13"/>
  <c r="AB436" i="13"/>
  <c r="AA436" i="13"/>
  <c r="Z436" i="13"/>
  <c r="AM435" i="13"/>
  <c r="AM436" i="13" s="1"/>
  <c r="AM437" i="13" s="1"/>
  <c r="AM438" i="13" s="1"/>
  <c r="AK435" i="13"/>
  <c r="AI435" i="13"/>
  <c r="AG435" i="13"/>
  <c r="AE435" i="13"/>
  <c r="AD435" i="13"/>
  <c r="AC435" i="13"/>
  <c r="AB435" i="13"/>
  <c r="AA435" i="13"/>
  <c r="Z435" i="13"/>
  <c r="AK434" i="13"/>
  <c r="AI434" i="13"/>
  <c r="AG434" i="13"/>
  <c r="AE434" i="13"/>
  <c r="AD434" i="13"/>
  <c r="AC434" i="13"/>
  <c r="AB434" i="13"/>
  <c r="AA434" i="13"/>
  <c r="Z434" i="13"/>
  <c r="AK433" i="13"/>
  <c r="AI433" i="13"/>
  <c r="AG433" i="13"/>
  <c r="AE433" i="13"/>
  <c r="AD433" i="13"/>
  <c r="AC433" i="13"/>
  <c r="AB433" i="13"/>
  <c r="AA433" i="13"/>
  <c r="Z433" i="13"/>
  <c r="AK432" i="13"/>
  <c r="AI432" i="13"/>
  <c r="AG432" i="13"/>
  <c r="AE432" i="13"/>
  <c r="AD432" i="13"/>
  <c r="AC432" i="13"/>
  <c r="AB432" i="13"/>
  <c r="AA432" i="13"/>
  <c r="Z432" i="13"/>
  <c r="AK431" i="13"/>
  <c r="AI431" i="13"/>
  <c r="AG431" i="13"/>
  <c r="AE431" i="13"/>
  <c r="AD431" i="13"/>
  <c r="AC431" i="13"/>
  <c r="AB431" i="13"/>
  <c r="AA431" i="13"/>
  <c r="Z431" i="13"/>
  <c r="AK430" i="13"/>
  <c r="AI430" i="13"/>
  <c r="AG430" i="13"/>
  <c r="AE430" i="13"/>
  <c r="AD430" i="13"/>
  <c r="AC430" i="13"/>
  <c r="AB430" i="13"/>
  <c r="AA430" i="13"/>
  <c r="Z430" i="13"/>
  <c r="AK429" i="13"/>
  <c r="AI429" i="13"/>
  <c r="AG429" i="13"/>
  <c r="AE429" i="13"/>
  <c r="AD429" i="13"/>
  <c r="AC429" i="13"/>
  <c r="AB429" i="13"/>
  <c r="AA429" i="13"/>
  <c r="Z429" i="13"/>
  <c r="AK428" i="13"/>
  <c r="AI428" i="13"/>
  <c r="AG428" i="13"/>
  <c r="AE428" i="13"/>
  <c r="AD428" i="13"/>
  <c r="AC428" i="13"/>
  <c r="AB428" i="13"/>
  <c r="AA428" i="13"/>
  <c r="Z428" i="13"/>
  <c r="AM427" i="13"/>
  <c r="AM428" i="13" s="1"/>
  <c r="AM429" i="13" s="1"/>
  <c r="AM430" i="13" s="1"/>
  <c r="AM431" i="13" s="1"/>
  <c r="AM432" i="13" s="1"/>
  <c r="AM433" i="13" s="1"/>
  <c r="AM434" i="13" s="1"/>
  <c r="AK427" i="13"/>
  <c r="AI427" i="13"/>
  <c r="AG427" i="13"/>
  <c r="AE427" i="13"/>
  <c r="AD427" i="13"/>
  <c r="AC427" i="13"/>
  <c r="AB427" i="13"/>
  <c r="AA427" i="13"/>
  <c r="Z427" i="13"/>
  <c r="AK426" i="13"/>
  <c r="AI426" i="13"/>
  <c r="AG426" i="13"/>
  <c r="AE426" i="13"/>
  <c r="AD426" i="13"/>
  <c r="AC426" i="13"/>
  <c r="AB426" i="13"/>
  <c r="AA426" i="13"/>
  <c r="Z426" i="13"/>
  <c r="AK425" i="13"/>
  <c r="AI425" i="13"/>
  <c r="AG425" i="13"/>
  <c r="AE425" i="13"/>
  <c r="AD425" i="13"/>
  <c r="AC425" i="13"/>
  <c r="AB425" i="13"/>
  <c r="AA425" i="13"/>
  <c r="Z425" i="13"/>
  <c r="AK424" i="13"/>
  <c r="AI424" i="13"/>
  <c r="AG424" i="13"/>
  <c r="AE424" i="13"/>
  <c r="AD424" i="13"/>
  <c r="AC424" i="13"/>
  <c r="AB424" i="13"/>
  <c r="AA424" i="13"/>
  <c r="Z424" i="13"/>
  <c r="AM423" i="13"/>
  <c r="AM424" i="13" s="1"/>
  <c r="AM425" i="13" s="1"/>
  <c r="AM426" i="13" s="1"/>
  <c r="AK423" i="13"/>
  <c r="AI423" i="13"/>
  <c r="AG423" i="13"/>
  <c r="AE423" i="13"/>
  <c r="AD423" i="13"/>
  <c r="AC423" i="13"/>
  <c r="AB423" i="13"/>
  <c r="AA423" i="13"/>
  <c r="Z423" i="13"/>
  <c r="AK422" i="13"/>
  <c r="AI422" i="13"/>
  <c r="AG422" i="13"/>
  <c r="AE422" i="13"/>
  <c r="AD422" i="13"/>
  <c r="AC422" i="13"/>
  <c r="AB422" i="13"/>
  <c r="AA422" i="13"/>
  <c r="Z422" i="13"/>
  <c r="AK421" i="13"/>
  <c r="AI421" i="13"/>
  <c r="AG421" i="13"/>
  <c r="AE421" i="13"/>
  <c r="AD421" i="13"/>
  <c r="AC421" i="13"/>
  <c r="AB421" i="13"/>
  <c r="AA421" i="13"/>
  <c r="Z421" i="13"/>
  <c r="AK420" i="13"/>
  <c r="AI420" i="13"/>
  <c r="AG420" i="13"/>
  <c r="AE420" i="13"/>
  <c r="AD420" i="13"/>
  <c r="AC420" i="13"/>
  <c r="AB420" i="13"/>
  <c r="AA420" i="13"/>
  <c r="Z420" i="13"/>
  <c r="AK419" i="13"/>
  <c r="AI419" i="13"/>
  <c r="AG419" i="13"/>
  <c r="AE419" i="13"/>
  <c r="AD419" i="13"/>
  <c r="AC419" i="13"/>
  <c r="AB419" i="13"/>
  <c r="AA419" i="13"/>
  <c r="Z419" i="13"/>
  <c r="AK418" i="13"/>
  <c r="AI418" i="13"/>
  <c r="AG418" i="13"/>
  <c r="AE418" i="13"/>
  <c r="AD418" i="13"/>
  <c r="AC418" i="13"/>
  <c r="AB418" i="13"/>
  <c r="AA418" i="13"/>
  <c r="Z418" i="13"/>
  <c r="AK417" i="13"/>
  <c r="AI417" i="13"/>
  <c r="AG417" i="13"/>
  <c r="AE417" i="13"/>
  <c r="AD417" i="13"/>
  <c r="AC417" i="13"/>
  <c r="AB417" i="13"/>
  <c r="AA417" i="13"/>
  <c r="Z417" i="13"/>
  <c r="AK416" i="13"/>
  <c r="AI416" i="13"/>
  <c r="AG416" i="13"/>
  <c r="AE416" i="13"/>
  <c r="AD416" i="13"/>
  <c r="AC416" i="13"/>
  <c r="AB416" i="13"/>
  <c r="AA416" i="13"/>
  <c r="Z416" i="13"/>
  <c r="AK415" i="13"/>
  <c r="AI415" i="13"/>
  <c r="AG415" i="13"/>
  <c r="AE415" i="13"/>
  <c r="AD415" i="13"/>
  <c r="AC415" i="13"/>
  <c r="AB415" i="13"/>
  <c r="AA415" i="13"/>
  <c r="Z415" i="13"/>
  <c r="AK414" i="13"/>
  <c r="AI414" i="13"/>
  <c r="AG414" i="13"/>
  <c r="AE414" i="13"/>
  <c r="AD414" i="13"/>
  <c r="AC414" i="13"/>
  <c r="AB414" i="13"/>
  <c r="AA414" i="13"/>
  <c r="Z414" i="13"/>
  <c r="AK413" i="13"/>
  <c r="AI413" i="13"/>
  <c r="AG413" i="13"/>
  <c r="AE413" i="13"/>
  <c r="AD413" i="13"/>
  <c r="AC413" i="13"/>
  <c r="AB413" i="13"/>
  <c r="AA413" i="13"/>
  <c r="Z413" i="13"/>
  <c r="AK412" i="13"/>
  <c r="AI412" i="13"/>
  <c r="AG412" i="13"/>
  <c r="AE412" i="13"/>
  <c r="AD412" i="13"/>
  <c r="AC412" i="13"/>
  <c r="AB412" i="13"/>
  <c r="AA412" i="13"/>
  <c r="Z412" i="13"/>
  <c r="AK411" i="13"/>
  <c r="AI411" i="13"/>
  <c r="AG411" i="13"/>
  <c r="AE411" i="13"/>
  <c r="AD411" i="13"/>
  <c r="AC411" i="13"/>
  <c r="AB411" i="13"/>
  <c r="AA411" i="13"/>
  <c r="Z411" i="13"/>
  <c r="AM410" i="13"/>
  <c r="AM411" i="13" s="1"/>
  <c r="AM412" i="13" s="1"/>
  <c r="AM413" i="13" s="1"/>
  <c r="AM414" i="13" s="1"/>
  <c r="AM415" i="13" s="1"/>
  <c r="AM416" i="13" s="1"/>
  <c r="AM417" i="13" s="1"/>
  <c r="AM418" i="13" s="1"/>
  <c r="AM419" i="13" s="1"/>
  <c r="AM420" i="13" s="1"/>
  <c r="AM421" i="13" s="1"/>
  <c r="AM422" i="13" s="1"/>
  <c r="AK410" i="13"/>
  <c r="AI410" i="13"/>
  <c r="AG410" i="13"/>
  <c r="AE410" i="13"/>
  <c r="AD410" i="13"/>
  <c r="AC410" i="13"/>
  <c r="AB410" i="13"/>
  <c r="AA410" i="13"/>
  <c r="Z410" i="13"/>
  <c r="AK409" i="13"/>
  <c r="AI409" i="13"/>
  <c r="AG409" i="13"/>
  <c r="AE409" i="13"/>
  <c r="AD409" i="13"/>
  <c r="AC409" i="13"/>
  <c r="AB409" i="13"/>
  <c r="AA409" i="13"/>
  <c r="Z409" i="13"/>
  <c r="AK408" i="13"/>
  <c r="AI408" i="13"/>
  <c r="AG408" i="13"/>
  <c r="AE408" i="13"/>
  <c r="AD408" i="13"/>
  <c r="AC408" i="13"/>
  <c r="AB408" i="13"/>
  <c r="AA408" i="13"/>
  <c r="Z408" i="13"/>
  <c r="AM407" i="13"/>
  <c r="AM408" i="13" s="1"/>
  <c r="AM409" i="13" s="1"/>
  <c r="AK407" i="13"/>
  <c r="AI407" i="13"/>
  <c r="AG407" i="13"/>
  <c r="AH13" i="4" s="1"/>
  <c r="AE407" i="13"/>
  <c r="AD407" i="13"/>
  <c r="AC407" i="13"/>
  <c r="AB407" i="13"/>
  <c r="AA407" i="13"/>
  <c r="Z407" i="13"/>
  <c r="AK406" i="13"/>
  <c r="AI406" i="13"/>
  <c r="AG406" i="13"/>
  <c r="AE406" i="13"/>
  <c r="AD406" i="13"/>
  <c r="AC406" i="13"/>
  <c r="AB406" i="13"/>
  <c r="AA406" i="13"/>
  <c r="Z406" i="13"/>
  <c r="AK405" i="13"/>
  <c r="AI405" i="13"/>
  <c r="AG405" i="13"/>
  <c r="AE405" i="13"/>
  <c r="AD405" i="13"/>
  <c r="AC405" i="13"/>
  <c r="AB405" i="13"/>
  <c r="AA405" i="13"/>
  <c r="Z405" i="13"/>
  <c r="AK404" i="13"/>
  <c r="AI404" i="13"/>
  <c r="AG404" i="13"/>
  <c r="AE404" i="13"/>
  <c r="AD404" i="13"/>
  <c r="AC404" i="13"/>
  <c r="AB404" i="13"/>
  <c r="AA404" i="13"/>
  <c r="Z404" i="13"/>
  <c r="AK403" i="13"/>
  <c r="AI403" i="13"/>
  <c r="AG403" i="13"/>
  <c r="AE403" i="13"/>
  <c r="AD403" i="13"/>
  <c r="AC403" i="13"/>
  <c r="AB403" i="13"/>
  <c r="AA403" i="13"/>
  <c r="Z403" i="13"/>
  <c r="AK402" i="13"/>
  <c r="AI402" i="13"/>
  <c r="AG402" i="13"/>
  <c r="AE402" i="13"/>
  <c r="AD402" i="13"/>
  <c r="AC402" i="13"/>
  <c r="AB402" i="13"/>
  <c r="AA402" i="13"/>
  <c r="Z402" i="13"/>
  <c r="AK401" i="13"/>
  <c r="AI401" i="13"/>
  <c r="AG401" i="13"/>
  <c r="AE401" i="13"/>
  <c r="AD401" i="13"/>
  <c r="AC401" i="13"/>
  <c r="AB401" i="13"/>
  <c r="AA401" i="13"/>
  <c r="Z401" i="13"/>
  <c r="AK400" i="13"/>
  <c r="AI400" i="13"/>
  <c r="AG400" i="13"/>
  <c r="AE400" i="13"/>
  <c r="AD400" i="13"/>
  <c r="AC400" i="13"/>
  <c r="AB400" i="13"/>
  <c r="AA400" i="13"/>
  <c r="Z400" i="13"/>
  <c r="AK399" i="13"/>
  <c r="AI399" i="13"/>
  <c r="AG399" i="13"/>
  <c r="AE399" i="13"/>
  <c r="AD399" i="13"/>
  <c r="AC399" i="13"/>
  <c r="AB399" i="13"/>
  <c r="AA399" i="13"/>
  <c r="Z399" i="13"/>
  <c r="AK398" i="13"/>
  <c r="AI398" i="13"/>
  <c r="AG398" i="13"/>
  <c r="AE398" i="13"/>
  <c r="AD398" i="13"/>
  <c r="AC398" i="13"/>
  <c r="AB398" i="13"/>
  <c r="AA398" i="13"/>
  <c r="Z398" i="13"/>
  <c r="AK397" i="13"/>
  <c r="AI397" i="13"/>
  <c r="AG397" i="13"/>
  <c r="AE397" i="13"/>
  <c r="AD397" i="13"/>
  <c r="AC397" i="13"/>
  <c r="AB397" i="13"/>
  <c r="AA397" i="13"/>
  <c r="Z397" i="13"/>
  <c r="AK396" i="13"/>
  <c r="AI396" i="13"/>
  <c r="AG396" i="13"/>
  <c r="AE396" i="13"/>
  <c r="AD396" i="13"/>
  <c r="AC396" i="13"/>
  <c r="AB396" i="13"/>
  <c r="AA396" i="13"/>
  <c r="Z396" i="13"/>
  <c r="AK395" i="13"/>
  <c r="AI395" i="13"/>
  <c r="AG395" i="13"/>
  <c r="AE395" i="13"/>
  <c r="AD395" i="13"/>
  <c r="AC395" i="13"/>
  <c r="AB395" i="13"/>
  <c r="AA395" i="13"/>
  <c r="Z395" i="13"/>
  <c r="AK394" i="13"/>
  <c r="AI394" i="13"/>
  <c r="AG394" i="13"/>
  <c r="AE394" i="13"/>
  <c r="AD394" i="13"/>
  <c r="AC394" i="13"/>
  <c r="AB394" i="13"/>
  <c r="AA394" i="13"/>
  <c r="Z394" i="13"/>
  <c r="AK393" i="13"/>
  <c r="AI393" i="13"/>
  <c r="AG393" i="13"/>
  <c r="AE393" i="13"/>
  <c r="AD393" i="13"/>
  <c r="AC393" i="13"/>
  <c r="AB393" i="13"/>
  <c r="AA393" i="13"/>
  <c r="Z393" i="13"/>
  <c r="AK392" i="13"/>
  <c r="AI392" i="13"/>
  <c r="AG392" i="13"/>
  <c r="AE392" i="13"/>
  <c r="AD392" i="13"/>
  <c r="AC392" i="13"/>
  <c r="AB392" i="13"/>
  <c r="AA392" i="13"/>
  <c r="Z392" i="13"/>
  <c r="AK391" i="13"/>
  <c r="AI391" i="13"/>
  <c r="AG391" i="13"/>
  <c r="AE391" i="13"/>
  <c r="AD391" i="13"/>
  <c r="AC391" i="13"/>
  <c r="AB391" i="13"/>
  <c r="AA391" i="13"/>
  <c r="Z391" i="13"/>
  <c r="AK390" i="13"/>
  <c r="AI390" i="13"/>
  <c r="AG390" i="13"/>
  <c r="AE390" i="13"/>
  <c r="AD390" i="13"/>
  <c r="AC390" i="13"/>
  <c r="AB390" i="13"/>
  <c r="AA390" i="13"/>
  <c r="Z390" i="13"/>
  <c r="AK389" i="13"/>
  <c r="AI389" i="13"/>
  <c r="AG389" i="13"/>
  <c r="AE389" i="13"/>
  <c r="AD389" i="13"/>
  <c r="AC389" i="13"/>
  <c r="AB389" i="13"/>
  <c r="AA389" i="13"/>
  <c r="Z389" i="13"/>
  <c r="AK388" i="13"/>
  <c r="AI388" i="13"/>
  <c r="AG388" i="13"/>
  <c r="AE388" i="13"/>
  <c r="AD388" i="13"/>
  <c r="AC388" i="13"/>
  <c r="AB388" i="13"/>
  <c r="AA388" i="13"/>
  <c r="Z388" i="13"/>
  <c r="AK387" i="13"/>
  <c r="AI387" i="13"/>
  <c r="AG387" i="13"/>
  <c r="AE387" i="13"/>
  <c r="AD387" i="13"/>
  <c r="AC387" i="13"/>
  <c r="AB387" i="13"/>
  <c r="AA387" i="13"/>
  <c r="Z387" i="13"/>
  <c r="AK386" i="13"/>
  <c r="AI386" i="13"/>
  <c r="AG386" i="13"/>
  <c r="AE386" i="13"/>
  <c r="AD386" i="13"/>
  <c r="AC386" i="13"/>
  <c r="AB386" i="13"/>
  <c r="AA386" i="13"/>
  <c r="Z386" i="13"/>
  <c r="AK385" i="13"/>
  <c r="AI385" i="13"/>
  <c r="AG385" i="13"/>
  <c r="AE385" i="13"/>
  <c r="AD385" i="13"/>
  <c r="AC385" i="13"/>
  <c r="AB385" i="13"/>
  <c r="AA385" i="13"/>
  <c r="Z385" i="13"/>
  <c r="AM384" i="13"/>
  <c r="AM385" i="13" s="1"/>
  <c r="AM386" i="13" s="1"/>
  <c r="AM387" i="13" s="1"/>
  <c r="AM388" i="13" s="1"/>
  <c r="AM389" i="13" s="1"/>
  <c r="AM390" i="13" s="1"/>
  <c r="AM391" i="13" s="1"/>
  <c r="AM392" i="13" s="1"/>
  <c r="AM393" i="13" s="1"/>
  <c r="AM394" i="13" s="1"/>
  <c r="AM395" i="13" s="1"/>
  <c r="AM396" i="13" s="1"/>
  <c r="AM397" i="13" s="1"/>
  <c r="AM398" i="13" s="1"/>
  <c r="AM399" i="13" s="1"/>
  <c r="AM400" i="13" s="1"/>
  <c r="AM401" i="13" s="1"/>
  <c r="AM402" i="13" s="1"/>
  <c r="AM403" i="13" s="1"/>
  <c r="AM404" i="13" s="1"/>
  <c r="AM405" i="13" s="1"/>
  <c r="AM406" i="13" s="1"/>
  <c r="AK384" i="13"/>
  <c r="AI384" i="13"/>
  <c r="AG384" i="13"/>
  <c r="AE384" i="13"/>
  <c r="AD384" i="13"/>
  <c r="AC384" i="13"/>
  <c r="AB384" i="13"/>
  <c r="AA384" i="13"/>
  <c r="Z384" i="13"/>
  <c r="AK383" i="13"/>
  <c r="AI383" i="13"/>
  <c r="AG383" i="13"/>
  <c r="AE383" i="13"/>
  <c r="AD383" i="13"/>
  <c r="AC383" i="13"/>
  <c r="AB383" i="13"/>
  <c r="AA383" i="13"/>
  <c r="Z383" i="13"/>
  <c r="AM382" i="13"/>
  <c r="AM383" i="13" s="1"/>
  <c r="AK382" i="13"/>
  <c r="AI382" i="13"/>
  <c r="AG382" i="13"/>
  <c r="AE382" i="13"/>
  <c r="AD382" i="13"/>
  <c r="AC382" i="13"/>
  <c r="AB382" i="13"/>
  <c r="AA382" i="13"/>
  <c r="Z382" i="13"/>
  <c r="AK381" i="13"/>
  <c r="AI381" i="13"/>
  <c r="AG381" i="13"/>
  <c r="AE381" i="13"/>
  <c r="AD381" i="13"/>
  <c r="AC381" i="13"/>
  <c r="AB381" i="13"/>
  <c r="AA381" i="13"/>
  <c r="Z381" i="13"/>
  <c r="AK380" i="13"/>
  <c r="AI380" i="13"/>
  <c r="AG380" i="13"/>
  <c r="AE380" i="13"/>
  <c r="AD380" i="13"/>
  <c r="AC380" i="13"/>
  <c r="AB380" i="13"/>
  <c r="AA380" i="13"/>
  <c r="Z380" i="13"/>
  <c r="AM379" i="13"/>
  <c r="AM380" i="13" s="1"/>
  <c r="AM381" i="13" s="1"/>
  <c r="AK379" i="13"/>
  <c r="AI379" i="13"/>
  <c r="AG379" i="13"/>
  <c r="AH384" i="4" s="1"/>
  <c r="AE379" i="13"/>
  <c r="AD379" i="13"/>
  <c r="AC379" i="13"/>
  <c r="AB379" i="13"/>
  <c r="AA379" i="13"/>
  <c r="Z379" i="13"/>
  <c r="AK378" i="13"/>
  <c r="AI378" i="13"/>
  <c r="AG378" i="13"/>
  <c r="AE378" i="13"/>
  <c r="AD378" i="13"/>
  <c r="AC378" i="13"/>
  <c r="AB378" i="13"/>
  <c r="AA378" i="13"/>
  <c r="Z378" i="13"/>
  <c r="AK377" i="13"/>
  <c r="AI377" i="13"/>
  <c r="AG377" i="13"/>
  <c r="AE377" i="13"/>
  <c r="AD377" i="13"/>
  <c r="AC377" i="13"/>
  <c r="AB377" i="13"/>
  <c r="AA377" i="13"/>
  <c r="Z377" i="13"/>
  <c r="AM376" i="13"/>
  <c r="AM377" i="13" s="1"/>
  <c r="AM378" i="13" s="1"/>
  <c r="AK376" i="13"/>
  <c r="AI376" i="13"/>
  <c r="AG376" i="13"/>
  <c r="AE376" i="13"/>
  <c r="AD376" i="13"/>
  <c r="AC376" i="13"/>
  <c r="AB376" i="13"/>
  <c r="AA376" i="13"/>
  <c r="Z376" i="13"/>
  <c r="AK375" i="13"/>
  <c r="AI375" i="13"/>
  <c r="AG375" i="13"/>
  <c r="AE375" i="13"/>
  <c r="AD375" i="13"/>
  <c r="AC375" i="13"/>
  <c r="AB375" i="13"/>
  <c r="AA375" i="13"/>
  <c r="Z375" i="13"/>
  <c r="AK374" i="13"/>
  <c r="AI374" i="13"/>
  <c r="AG374" i="13"/>
  <c r="AE374" i="13"/>
  <c r="AD374" i="13"/>
  <c r="AC374" i="13"/>
  <c r="AB374" i="13"/>
  <c r="AA374" i="13"/>
  <c r="Z374" i="13"/>
  <c r="AM373" i="13"/>
  <c r="AM374" i="13" s="1"/>
  <c r="AM375" i="13" s="1"/>
  <c r="AK373" i="13"/>
  <c r="AI373" i="13"/>
  <c r="AG373" i="13"/>
  <c r="AE373" i="13"/>
  <c r="AD373" i="13"/>
  <c r="AC373" i="13"/>
  <c r="AB373" i="13"/>
  <c r="AA373" i="13"/>
  <c r="Z373" i="13"/>
  <c r="AK372" i="13"/>
  <c r="AI372" i="13"/>
  <c r="AG372" i="13"/>
  <c r="AE372" i="13"/>
  <c r="AD372" i="13"/>
  <c r="AC372" i="13"/>
  <c r="AB372" i="13"/>
  <c r="AA372" i="13"/>
  <c r="Z372" i="13"/>
  <c r="AK371" i="13"/>
  <c r="AI371" i="13"/>
  <c r="AG371" i="13"/>
  <c r="AE371" i="13"/>
  <c r="AD371" i="13"/>
  <c r="AC371" i="13"/>
  <c r="AB371" i="13"/>
  <c r="AA371" i="13"/>
  <c r="Z371" i="13"/>
  <c r="AK370" i="13"/>
  <c r="AI370" i="13"/>
  <c r="AG370" i="13"/>
  <c r="AE370" i="13"/>
  <c r="AD370" i="13"/>
  <c r="AC370" i="13"/>
  <c r="AB370" i="13"/>
  <c r="AA370" i="13"/>
  <c r="Z370" i="13"/>
  <c r="AM369" i="13"/>
  <c r="AM370" i="13" s="1"/>
  <c r="AM371" i="13" s="1"/>
  <c r="AM372" i="13" s="1"/>
  <c r="AK369" i="13"/>
  <c r="AI369" i="13"/>
  <c r="AG369" i="13"/>
  <c r="AE369" i="13"/>
  <c r="AD369" i="13"/>
  <c r="AC369" i="13"/>
  <c r="AB369" i="13"/>
  <c r="AA369" i="13"/>
  <c r="Z369" i="13"/>
  <c r="AK368" i="13"/>
  <c r="AI368" i="13"/>
  <c r="AG368" i="13"/>
  <c r="AE368" i="13"/>
  <c r="AD368" i="13"/>
  <c r="AC368" i="13"/>
  <c r="AB368" i="13"/>
  <c r="AA368" i="13"/>
  <c r="Z368" i="13"/>
  <c r="AK367" i="13"/>
  <c r="AI367" i="13"/>
  <c r="AG367" i="13"/>
  <c r="AE367" i="13"/>
  <c r="AD367" i="13"/>
  <c r="AC367" i="13"/>
  <c r="AB367" i="13"/>
  <c r="AA367" i="13"/>
  <c r="Z367" i="13"/>
  <c r="AM366" i="13"/>
  <c r="AM367" i="13" s="1"/>
  <c r="AM368" i="13" s="1"/>
  <c r="AK366" i="13"/>
  <c r="AI366" i="13"/>
  <c r="AG366" i="13"/>
  <c r="AE366" i="13"/>
  <c r="AD366" i="13"/>
  <c r="AC366" i="13"/>
  <c r="AB366" i="13"/>
  <c r="AA366" i="13"/>
  <c r="Z366" i="13"/>
  <c r="AK365" i="13"/>
  <c r="AI365" i="13"/>
  <c r="AG365" i="13"/>
  <c r="AE365" i="13"/>
  <c r="AD365" i="13"/>
  <c r="AC365" i="13"/>
  <c r="AB365" i="13"/>
  <c r="AA365" i="13"/>
  <c r="Z365" i="13"/>
  <c r="AK364" i="13"/>
  <c r="AI364" i="13"/>
  <c r="AG364" i="13"/>
  <c r="AE364" i="13"/>
  <c r="AD364" i="13"/>
  <c r="AC364" i="13"/>
  <c r="AB364" i="13"/>
  <c r="AA364" i="13"/>
  <c r="Z364" i="13"/>
  <c r="AM363" i="13"/>
  <c r="AM364" i="13" s="1"/>
  <c r="AM365" i="13" s="1"/>
  <c r="AK363" i="13"/>
  <c r="AI363" i="13"/>
  <c r="AG363" i="13"/>
  <c r="AH83" i="4" s="1"/>
  <c r="AE363" i="13"/>
  <c r="AD363" i="13"/>
  <c r="AC363" i="13"/>
  <c r="AB363" i="13"/>
  <c r="AA363" i="13"/>
  <c r="Z363" i="13"/>
  <c r="AK362" i="13"/>
  <c r="AI362" i="13"/>
  <c r="AG362" i="13"/>
  <c r="AE362" i="13"/>
  <c r="AD362" i="13"/>
  <c r="AC362" i="13"/>
  <c r="AB362" i="13"/>
  <c r="AA362" i="13"/>
  <c r="Z362" i="13"/>
  <c r="AK361" i="13"/>
  <c r="AI361" i="13"/>
  <c r="AG361" i="13"/>
  <c r="AE361" i="13"/>
  <c r="AD361" i="13"/>
  <c r="AC361" i="13"/>
  <c r="AB361" i="13"/>
  <c r="AA361" i="13"/>
  <c r="Z361" i="13"/>
  <c r="AM360" i="13"/>
  <c r="AM361" i="13" s="1"/>
  <c r="AM362" i="13" s="1"/>
  <c r="AK360" i="13"/>
  <c r="AI360" i="13"/>
  <c r="AG360" i="13"/>
  <c r="AH78" i="4" s="1"/>
  <c r="AE360" i="13"/>
  <c r="AD360" i="13"/>
  <c r="AC360" i="13"/>
  <c r="AB360" i="13"/>
  <c r="AA360" i="13"/>
  <c r="Z360" i="13"/>
  <c r="AK359" i="13"/>
  <c r="AI359" i="13"/>
  <c r="AG359" i="13"/>
  <c r="AE359" i="13"/>
  <c r="AD359" i="13"/>
  <c r="AC359" i="13"/>
  <c r="AB359" i="13"/>
  <c r="AA359" i="13"/>
  <c r="Z359" i="13"/>
  <c r="AK358" i="13"/>
  <c r="AI358" i="13"/>
  <c r="AG358" i="13"/>
  <c r="AE358" i="13"/>
  <c r="AD358" i="13"/>
  <c r="AC358" i="13"/>
  <c r="AB358" i="13"/>
  <c r="AA358" i="13"/>
  <c r="Z358" i="13"/>
  <c r="AK357" i="13"/>
  <c r="AI357" i="13"/>
  <c r="AG357" i="13"/>
  <c r="AE357" i="13"/>
  <c r="AD357" i="13"/>
  <c r="AC357" i="13"/>
  <c r="AB357" i="13"/>
  <c r="AA357" i="13"/>
  <c r="Z357" i="13"/>
  <c r="AK356" i="13"/>
  <c r="AI356" i="13"/>
  <c r="AG356" i="13"/>
  <c r="AE356" i="13"/>
  <c r="AD356" i="13"/>
  <c r="AC356" i="13"/>
  <c r="AB356" i="13"/>
  <c r="AA356" i="13"/>
  <c r="Z356" i="13"/>
  <c r="AK355" i="13"/>
  <c r="AI355" i="13"/>
  <c r="AG355" i="13"/>
  <c r="AE355" i="13"/>
  <c r="AD355" i="13"/>
  <c r="AC355" i="13"/>
  <c r="AB355" i="13"/>
  <c r="AA355" i="13"/>
  <c r="Z355" i="13"/>
  <c r="AK354" i="13"/>
  <c r="AI354" i="13"/>
  <c r="AG354" i="13"/>
  <c r="AE354" i="13"/>
  <c r="AD354" i="13"/>
  <c r="AC354" i="13"/>
  <c r="AB354" i="13"/>
  <c r="AA354" i="13"/>
  <c r="Z354" i="13"/>
  <c r="AK353" i="13"/>
  <c r="AI353" i="13"/>
  <c r="AG353" i="13"/>
  <c r="AE353" i="13"/>
  <c r="AD353" i="13"/>
  <c r="AC353" i="13"/>
  <c r="AB353" i="13"/>
  <c r="AA353" i="13"/>
  <c r="Z353" i="13"/>
  <c r="AK352" i="13"/>
  <c r="AI352" i="13"/>
  <c r="AG352" i="13"/>
  <c r="AE352" i="13"/>
  <c r="AD352" i="13"/>
  <c r="AC352" i="13"/>
  <c r="AB352" i="13"/>
  <c r="AA352" i="13"/>
  <c r="Z352" i="13"/>
  <c r="AK351" i="13"/>
  <c r="AI351" i="13"/>
  <c r="AG351" i="13"/>
  <c r="AE351" i="13"/>
  <c r="AD351" i="13"/>
  <c r="AC351" i="13"/>
  <c r="AB351" i="13"/>
  <c r="AA351" i="13"/>
  <c r="Z351" i="13"/>
  <c r="AK350" i="13"/>
  <c r="AI350" i="13"/>
  <c r="AG350" i="13"/>
  <c r="AE350" i="13"/>
  <c r="AD350" i="13"/>
  <c r="AC350" i="13"/>
  <c r="AB350" i="13"/>
  <c r="AA350" i="13"/>
  <c r="Z350" i="13"/>
  <c r="AK349" i="13"/>
  <c r="AI349" i="13"/>
  <c r="AG349" i="13"/>
  <c r="AE349" i="13"/>
  <c r="AD349" i="13"/>
  <c r="AC349" i="13"/>
  <c r="AB349" i="13"/>
  <c r="AA349" i="13"/>
  <c r="Z349" i="13"/>
  <c r="AK348" i="13"/>
  <c r="AI348" i="13"/>
  <c r="AG348" i="13"/>
  <c r="AE348" i="13"/>
  <c r="AD348" i="13"/>
  <c r="AC348" i="13"/>
  <c r="AB348" i="13"/>
  <c r="AA348" i="13"/>
  <c r="Z348" i="13"/>
  <c r="AM347" i="13"/>
  <c r="AM348" i="13" s="1"/>
  <c r="AM349" i="13" s="1"/>
  <c r="AM350" i="13" s="1"/>
  <c r="AM351" i="13" s="1"/>
  <c r="AM352" i="13" s="1"/>
  <c r="AM353" i="13" s="1"/>
  <c r="AM354" i="13" s="1"/>
  <c r="AM355" i="13" s="1"/>
  <c r="AM356" i="13" s="1"/>
  <c r="AM357" i="13" s="1"/>
  <c r="AM358" i="13" s="1"/>
  <c r="AM359" i="13" s="1"/>
  <c r="AK347" i="13"/>
  <c r="AI347" i="13"/>
  <c r="AG347" i="13"/>
  <c r="AE347" i="13"/>
  <c r="AD347" i="13"/>
  <c r="AC347" i="13"/>
  <c r="AB347" i="13"/>
  <c r="AA347" i="13"/>
  <c r="Z347" i="13"/>
  <c r="AK346" i="13"/>
  <c r="AI346" i="13"/>
  <c r="AG346" i="13"/>
  <c r="AE346" i="13"/>
  <c r="AD346" i="13"/>
  <c r="AC346" i="13"/>
  <c r="AB346" i="13"/>
  <c r="AA346" i="13"/>
  <c r="Z346" i="13"/>
  <c r="AK345" i="13"/>
  <c r="AI345" i="13"/>
  <c r="AG345" i="13"/>
  <c r="AE345" i="13"/>
  <c r="AD345" i="13"/>
  <c r="AC345" i="13"/>
  <c r="AB345" i="13"/>
  <c r="AA345" i="13"/>
  <c r="Z345" i="13"/>
  <c r="AK344" i="13"/>
  <c r="AI344" i="13"/>
  <c r="AG344" i="13"/>
  <c r="AE344" i="13"/>
  <c r="AD344" i="13"/>
  <c r="AC344" i="13"/>
  <c r="AB344" i="13"/>
  <c r="AA344" i="13"/>
  <c r="Z344" i="13"/>
  <c r="AK343" i="13"/>
  <c r="AI343" i="13"/>
  <c r="AG343" i="13"/>
  <c r="AE343" i="13"/>
  <c r="AD343" i="13"/>
  <c r="AC343" i="13"/>
  <c r="AB343" i="13"/>
  <c r="AA343" i="13"/>
  <c r="Z343" i="13"/>
  <c r="AK342" i="13"/>
  <c r="AI342" i="13"/>
  <c r="AG342" i="13"/>
  <c r="AE342" i="13"/>
  <c r="AD342" i="13"/>
  <c r="AC342" i="13"/>
  <c r="AB342" i="13"/>
  <c r="AA342" i="13"/>
  <c r="Z342" i="13"/>
  <c r="AK341" i="13"/>
  <c r="AI341" i="13"/>
  <c r="AG341" i="13"/>
  <c r="AE341" i="13"/>
  <c r="AD341" i="13"/>
  <c r="AC341" i="13"/>
  <c r="AB341" i="13"/>
  <c r="AA341" i="13"/>
  <c r="Z341" i="13"/>
  <c r="AK340" i="13"/>
  <c r="AI340" i="13"/>
  <c r="AG340" i="13"/>
  <c r="AE340" i="13"/>
  <c r="AD340" i="13"/>
  <c r="AC340" i="13"/>
  <c r="AB340" i="13"/>
  <c r="AA340" i="13"/>
  <c r="Z340" i="13"/>
  <c r="AM339" i="13"/>
  <c r="AM340" i="13" s="1"/>
  <c r="AM341" i="13" s="1"/>
  <c r="AM342" i="13" s="1"/>
  <c r="AM343" i="13" s="1"/>
  <c r="AM344" i="13" s="1"/>
  <c r="AM345" i="13" s="1"/>
  <c r="AM346" i="13" s="1"/>
  <c r="AK339" i="13"/>
  <c r="AI339" i="13"/>
  <c r="AG339" i="13"/>
  <c r="AE339" i="13"/>
  <c r="AD339" i="13"/>
  <c r="AC339" i="13"/>
  <c r="AB339" i="13"/>
  <c r="AA339" i="13"/>
  <c r="Z339" i="13"/>
  <c r="AK338" i="13"/>
  <c r="AI338" i="13"/>
  <c r="AG338" i="13"/>
  <c r="AE338" i="13"/>
  <c r="AD338" i="13"/>
  <c r="AC338" i="13"/>
  <c r="AB338" i="13"/>
  <c r="AA338" i="13"/>
  <c r="Z338" i="13"/>
  <c r="AK337" i="13"/>
  <c r="AI337" i="13"/>
  <c r="AG337" i="13"/>
  <c r="AE337" i="13"/>
  <c r="AD337" i="13"/>
  <c r="AC337" i="13"/>
  <c r="AB337" i="13"/>
  <c r="AA337" i="13"/>
  <c r="Z337" i="13"/>
  <c r="AK336" i="13"/>
  <c r="AI336" i="13"/>
  <c r="AG336" i="13"/>
  <c r="AE336" i="13"/>
  <c r="AD336" i="13"/>
  <c r="AC336" i="13"/>
  <c r="AB336" i="13"/>
  <c r="AA336" i="13"/>
  <c r="Z336" i="13"/>
  <c r="AK335" i="13"/>
  <c r="AI335" i="13"/>
  <c r="AG335" i="13"/>
  <c r="AE335" i="13"/>
  <c r="AD335" i="13"/>
  <c r="AC335" i="13"/>
  <c r="AB335" i="13"/>
  <c r="AA335" i="13"/>
  <c r="Z335" i="13"/>
  <c r="AK334" i="13"/>
  <c r="AI334" i="13"/>
  <c r="AG334" i="13"/>
  <c r="AE334" i="13"/>
  <c r="AD334" i="13"/>
  <c r="AC334" i="13"/>
  <c r="AB334" i="13"/>
  <c r="AA334" i="13"/>
  <c r="Z334" i="13"/>
  <c r="AK333" i="13"/>
  <c r="AI333" i="13"/>
  <c r="AG333" i="13"/>
  <c r="AE333" i="13"/>
  <c r="AD333" i="13"/>
  <c r="AC333" i="13"/>
  <c r="AB333" i="13"/>
  <c r="AA333" i="13"/>
  <c r="Z333" i="13"/>
  <c r="AK332" i="13"/>
  <c r="AI332" i="13"/>
  <c r="AG332" i="13"/>
  <c r="AE332" i="13"/>
  <c r="AD332" i="13"/>
  <c r="AC332" i="13"/>
  <c r="AB332" i="13"/>
  <c r="AA332" i="13"/>
  <c r="Z332" i="13"/>
  <c r="AM331" i="13"/>
  <c r="AM332" i="13" s="1"/>
  <c r="AM333" i="13" s="1"/>
  <c r="AM334" i="13" s="1"/>
  <c r="AM335" i="13" s="1"/>
  <c r="AM336" i="13" s="1"/>
  <c r="AM337" i="13" s="1"/>
  <c r="AM338" i="13" s="1"/>
  <c r="AK331" i="13"/>
  <c r="AI331" i="13"/>
  <c r="AG331" i="13"/>
  <c r="AE331" i="13"/>
  <c r="AD331" i="13"/>
  <c r="AC331" i="13"/>
  <c r="AB331" i="13"/>
  <c r="AA331" i="13"/>
  <c r="Z331" i="13"/>
  <c r="AK330" i="13"/>
  <c r="AI330" i="13"/>
  <c r="AG330" i="13"/>
  <c r="AE330" i="13"/>
  <c r="AD330" i="13"/>
  <c r="AC330" i="13"/>
  <c r="AB330" i="13"/>
  <c r="AA330" i="13"/>
  <c r="Z330" i="13"/>
  <c r="AK329" i="13"/>
  <c r="AI329" i="13"/>
  <c r="AG329" i="13"/>
  <c r="AE329" i="13"/>
  <c r="AD329" i="13"/>
  <c r="AC329" i="13"/>
  <c r="AB329" i="13"/>
  <c r="AA329" i="13"/>
  <c r="Z329" i="13"/>
  <c r="AK328" i="13"/>
  <c r="AI328" i="13"/>
  <c r="AG328" i="13"/>
  <c r="AE328" i="13"/>
  <c r="AD328" i="13"/>
  <c r="AC328" i="13"/>
  <c r="AB328" i="13"/>
  <c r="AA328" i="13"/>
  <c r="Z328" i="13"/>
  <c r="AK327" i="13"/>
  <c r="AI327" i="13"/>
  <c r="AG327" i="13"/>
  <c r="AE327" i="13"/>
  <c r="AD327" i="13"/>
  <c r="AC327" i="13"/>
  <c r="AB327" i="13"/>
  <c r="AA327" i="13"/>
  <c r="Z327" i="13"/>
  <c r="AK326" i="13"/>
  <c r="AI326" i="13"/>
  <c r="AG326" i="13"/>
  <c r="AE326" i="13"/>
  <c r="AD326" i="13"/>
  <c r="AC326" i="13"/>
  <c r="AB326" i="13"/>
  <c r="AA326" i="13"/>
  <c r="Z326" i="13"/>
  <c r="AK325" i="13"/>
  <c r="AI325" i="13"/>
  <c r="AG325" i="13"/>
  <c r="AE325" i="13"/>
  <c r="AD325" i="13"/>
  <c r="AC325" i="13"/>
  <c r="AB325" i="13"/>
  <c r="AA325" i="13"/>
  <c r="Z325" i="13"/>
  <c r="AK324" i="13"/>
  <c r="AI324" i="13"/>
  <c r="AG324" i="13"/>
  <c r="AE324" i="13"/>
  <c r="AD324" i="13"/>
  <c r="AC324" i="13"/>
  <c r="AB324" i="13"/>
  <c r="AA324" i="13"/>
  <c r="Z324" i="13"/>
  <c r="AK323" i="13"/>
  <c r="AI323" i="13"/>
  <c r="AG323" i="13"/>
  <c r="AE323" i="13"/>
  <c r="AD323" i="13"/>
  <c r="AC323" i="13"/>
  <c r="AB323" i="13"/>
  <c r="AA323" i="13"/>
  <c r="Z323" i="13"/>
  <c r="AK322" i="13"/>
  <c r="AI322" i="13"/>
  <c r="AG322" i="13"/>
  <c r="AE322" i="13"/>
  <c r="AD322" i="13"/>
  <c r="AC322" i="13"/>
  <c r="AB322" i="13"/>
  <c r="AA322" i="13"/>
  <c r="Z322" i="13"/>
  <c r="AK321" i="13"/>
  <c r="AI321" i="13"/>
  <c r="AG321" i="13"/>
  <c r="AE321" i="13"/>
  <c r="AD321" i="13"/>
  <c r="AC321" i="13"/>
  <c r="AB321" i="13"/>
  <c r="AA321" i="13"/>
  <c r="Z321" i="13"/>
  <c r="AK320" i="13"/>
  <c r="AI320" i="13"/>
  <c r="AG320" i="13"/>
  <c r="AE320" i="13"/>
  <c r="AD320" i="13"/>
  <c r="AC320" i="13"/>
  <c r="AB320" i="13"/>
  <c r="AA320" i="13"/>
  <c r="Z320" i="13"/>
  <c r="AM319" i="13"/>
  <c r="AM320" i="13" s="1"/>
  <c r="AM321" i="13" s="1"/>
  <c r="AM322" i="13" s="1"/>
  <c r="AM323" i="13" s="1"/>
  <c r="AM324" i="13" s="1"/>
  <c r="AM325" i="13" s="1"/>
  <c r="AM326" i="13" s="1"/>
  <c r="AM327" i="13" s="1"/>
  <c r="AM328" i="13" s="1"/>
  <c r="AM329" i="13" s="1"/>
  <c r="AM330" i="13" s="1"/>
  <c r="AK319" i="13"/>
  <c r="AI319" i="13"/>
  <c r="AG319" i="13"/>
  <c r="AE319" i="13"/>
  <c r="AD319" i="13"/>
  <c r="AC319" i="13"/>
  <c r="AB319" i="13"/>
  <c r="AA319" i="13"/>
  <c r="Z319" i="13"/>
  <c r="AK318" i="13"/>
  <c r="AI318" i="13"/>
  <c r="AG318" i="13"/>
  <c r="AE318" i="13"/>
  <c r="AD318" i="13"/>
  <c r="AC318" i="13"/>
  <c r="AB318" i="13"/>
  <c r="AA318" i="13"/>
  <c r="Z318" i="13"/>
  <c r="AK317" i="13"/>
  <c r="AI317" i="13"/>
  <c r="AG317" i="13"/>
  <c r="AE317" i="13"/>
  <c r="AD317" i="13"/>
  <c r="AC317" i="13"/>
  <c r="AB317" i="13"/>
  <c r="AA317" i="13"/>
  <c r="Z317" i="13"/>
  <c r="AK316" i="13"/>
  <c r="AI316" i="13"/>
  <c r="AG316" i="13"/>
  <c r="AE316" i="13"/>
  <c r="AD316" i="13"/>
  <c r="AC316" i="13"/>
  <c r="AB316" i="13"/>
  <c r="AA316" i="13"/>
  <c r="Z316" i="13"/>
  <c r="AK315" i="13"/>
  <c r="AI315" i="13"/>
  <c r="AG315" i="13"/>
  <c r="AE315" i="13"/>
  <c r="AD315" i="13"/>
  <c r="AC315" i="13"/>
  <c r="AB315" i="13"/>
  <c r="AA315" i="13"/>
  <c r="Z315" i="13"/>
  <c r="AK314" i="13"/>
  <c r="AI314" i="13"/>
  <c r="AG314" i="13"/>
  <c r="AE314" i="13"/>
  <c r="AD314" i="13"/>
  <c r="AC314" i="13"/>
  <c r="AB314" i="13"/>
  <c r="AA314" i="13"/>
  <c r="Z314" i="13"/>
  <c r="AK313" i="13"/>
  <c r="AI313" i="13"/>
  <c r="AG313" i="13"/>
  <c r="AE313" i="13"/>
  <c r="AD313" i="13"/>
  <c r="AC313" i="13"/>
  <c r="AB313" i="13"/>
  <c r="AA313" i="13"/>
  <c r="Z313" i="13"/>
  <c r="AK312" i="13"/>
  <c r="AI312" i="13"/>
  <c r="AG312" i="13"/>
  <c r="AE312" i="13"/>
  <c r="AD312" i="13"/>
  <c r="AC312" i="13"/>
  <c r="AB312" i="13"/>
  <c r="AA312" i="13"/>
  <c r="Z312" i="13"/>
  <c r="AM311" i="13"/>
  <c r="AM312" i="13" s="1"/>
  <c r="AM313" i="13" s="1"/>
  <c r="AM314" i="13" s="1"/>
  <c r="AM315" i="13" s="1"/>
  <c r="AM316" i="13" s="1"/>
  <c r="AM317" i="13" s="1"/>
  <c r="AM318" i="13" s="1"/>
  <c r="AK311" i="13"/>
  <c r="AI311" i="13"/>
  <c r="AG311" i="13"/>
  <c r="AE311" i="13"/>
  <c r="AD311" i="13"/>
  <c r="AC311" i="13"/>
  <c r="AB311" i="13"/>
  <c r="AA311" i="13"/>
  <c r="Z311" i="13"/>
  <c r="AK310" i="13"/>
  <c r="AI310" i="13"/>
  <c r="AG310" i="13"/>
  <c r="AE310" i="13"/>
  <c r="AD310" i="13"/>
  <c r="AC310" i="13"/>
  <c r="AB310" i="13"/>
  <c r="AA310" i="13"/>
  <c r="Z310" i="13"/>
  <c r="AK309" i="13"/>
  <c r="AI309" i="13"/>
  <c r="AG309" i="13"/>
  <c r="AE309" i="13"/>
  <c r="AD309" i="13"/>
  <c r="AC309" i="13"/>
  <c r="AB309" i="13"/>
  <c r="AA309" i="13"/>
  <c r="Z309" i="13"/>
  <c r="AK308" i="13"/>
  <c r="AI308" i="13"/>
  <c r="AG308" i="13"/>
  <c r="AE308" i="13"/>
  <c r="AD308" i="13"/>
  <c r="AC308" i="13"/>
  <c r="AB308" i="13"/>
  <c r="AA308" i="13"/>
  <c r="Z308" i="13"/>
  <c r="AK307" i="13"/>
  <c r="AI307" i="13"/>
  <c r="AG307" i="13"/>
  <c r="AE307" i="13"/>
  <c r="AD307" i="13"/>
  <c r="AC307" i="13"/>
  <c r="AB307" i="13"/>
  <c r="AA307" i="13"/>
  <c r="Z307" i="13"/>
  <c r="AK306" i="13"/>
  <c r="AI306" i="13"/>
  <c r="AG306" i="13"/>
  <c r="AE306" i="13"/>
  <c r="AD306" i="13"/>
  <c r="AC306" i="13"/>
  <c r="AB306" i="13"/>
  <c r="AA306" i="13"/>
  <c r="Z306" i="13"/>
  <c r="AK305" i="13"/>
  <c r="AI305" i="13"/>
  <c r="AG305" i="13"/>
  <c r="AE305" i="13"/>
  <c r="AD305" i="13"/>
  <c r="AC305" i="13"/>
  <c r="AB305" i="13"/>
  <c r="AA305" i="13"/>
  <c r="Z305" i="13"/>
  <c r="AK304" i="13"/>
  <c r="AI304" i="13"/>
  <c r="AG304" i="13"/>
  <c r="AE304" i="13"/>
  <c r="AD304" i="13"/>
  <c r="AC304" i="13"/>
  <c r="AB304" i="13"/>
  <c r="AA304" i="13"/>
  <c r="Z304" i="13"/>
  <c r="AK303" i="13"/>
  <c r="AI303" i="13"/>
  <c r="AG303" i="13"/>
  <c r="AE303" i="13"/>
  <c r="AD303" i="13"/>
  <c r="AC303" i="13"/>
  <c r="AB303" i="13"/>
  <c r="AA303" i="13"/>
  <c r="Z303" i="13"/>
  <c r="AM302" i="13"/>
  <c r="AM303" i="13" s="1"/>
  <c r="AM304" i="13" s="1"/>
  <c r="AM305" i="13" s="1"/>
  <c r="AM306" i="13" s="1"/>
  <c r="AM307" i="13" s="1"/>
  <c r="AM308" i="13" s="1"/>
  <c r="AM309" i="13" s="1"/>
  <c r="AM310" i="13" s="1"/>
  <c r="AK302" i="13"/>
  <c r="AI302" i="13"/>
  <c r="AG302" i="13"/>
  <c r="AE302" i="13"/>
  <c r="AD302" i="13"/>
  <c r="AC302" i="13"/>
  <c r="AB302" i="13"/>
  <c r="AA302" i="13"/>
  <c r="Z302" i="13"/>
  <c r="AK301" i="13"/>
  <c r="AI301" i="13"/>
  <c r="AG301" i="13"/>
  <c r="AE301" i="13"/>
  <c r="AD301" i="13"/>
  <c r="AC301" i="13"/>
  <c r="AB301" i="13"/>
  <c r="AA301" i="13"/>
  <c r="Z301" i="13"/>
  <c r="AK300" i="13"/>
  <c r="AI300" i="13"/>
  <c r="AG300" i="13"/>
  <c r="AE300" i="13"/>
  <c r="AD300" i="13"/>
  <c r="AC300" i="13"/>
  <c r="AB300" i="13"/>
  <c r="AA300" i="13"/>
  <c r="Z300" i="13"/>
  <c r="AM299" i="13"/>
  <c r="AM300" i="13" s="1"/>
  <c r="AM301" i="13" s="1"/>
  <c r="AK299" i="13"/>
  <c r="AI299" i="13"/>
  <c r="AG299" i="13"/>
  <c r="AE299" i="13"/>
  <c r="AD299" i="13"/>
  <c r="AC299" i="13"/>
  <c r="AB299" i="13"/>
  <c r="AA299" i="13"/>
  <c r="Z299" i="13"/>
  <c r="AK298" i="13"/>
  <c r="AI298" i="13"/>
  <c r="AG298" i="13"/>
  <c r="AE298" i="13"/>
  <c r="AD298" i="13"/>
  <c r="AC298" i="13"/>
  <c r="AB298" i="13"/>
  <c r="AA298" i="13"/>
  <c r="Z298" i="13"/>
  <c r="AK297" i="13"/>
  <c r="AI297" i="13"/>
  <c r="AG297" i="13"/>
  <c r="AE297" i="13"/>
  <c r="AD297" i="13"/>
  <c r="AC297" i="13"/>
  <c r="AB297" i="13"/>
  <c r="AA297" i="13"/>
  <c r="Z297" i="13"/>
  <c r="AK296" i="13"/>
  <c r="AI296" i="13"/>
  <c r="AG296" i="13"/>
  <c r="AE296" i="13"/>
  <c r="AD296" i="13"/>
  <c r="AC296" i="13"/>
  <c r="AB296" i="13"/>
  <c r="AA296" i="13"/>
  <c r="Z296" i="13"/>
  <c r="AK295" i="13"/>
  <c r="AI295" i="13"/>
  <c r="AG295" i="13"/>
  <c r="AE295" i="13"/>
  <c r="AD295" i="13"/>
  <c r="AC295" i="13"/>
  <c r="AB295" i="13"/>
  <c r="AA295" i="13"/>
  <c r="Z295" i="13"/>
  <c r="AM294" i="13"/>
  <c r="AM295" i="13" s="1"/>
  <c r="AM296" i="13" s="1"/>
  <c r="AM297" i="13" s="1"/>
  <c r="AM298" i="13" s="1"/>
  <c r="AK294" i="13"/>
  <c r="AI294" i="13"/>
  <c r="AG294" i="13"/>
  <c r="AE294" i="13"/>
  <c r="AD294" i="13"/>
  <c r="AC294" i="13"/>
  <c r="AB294" i="13"/>
  <c r="AA294" i="13"/>
  <c r="Z294" i="13"/>
  <c r="AK293" i="13"/>
  <c r="AI293" i="13"/>
  <c r="AG293" i="13"/>
  <c r="AE293" i="13"/>
  <c r="AD293" i="13"/>
  <c r="AC293" i="13"/>
  <c r="AB293" i="13"/>
  <c r="AA293" i="13"/>
  <c r="Z293" i="13"/>
  <c r="AK292" i="13"/>
  <c r="AI292" i="13"/>
  <c r="AG292" i="13"/>
  <c r="AE292" i="13"/>
  <c r="AD292" i="13"/>
  <c r="AC292" i="13"/>
  <c r="AB292" i="13"/>
  <c r="AA292" i="13"/>
  <c r="Z292" i="13"/>
  <c r="AK291" i="13"/>
  <c r="AI291" i="13"/>
  <c r="AG291" i="13"/>
  <c r="AE291" i="13"/>
  <c r="AD291" i="13"/>
  <c r="AC291" i="13"/>
  <c r="AB291" i="13"/>
  <c r="AA291" i="13"/>
  <c r="Z291" i="13"/>
  <c r="AK290" i="13"/>
  <c r="AI290" i="13"/>
  <c r="AG290" i="13"/>
  <c r="AE290" i="13"/>
  <c r="AD290" i="13"/>
  <c r="AC290" i="13"/>
  <c r="AB290" i="13"/>
  <c r="AA290" i="13"/>
  <c r="Z290" i="13"/>
  <c r="AK289" i="13"/>
  <c r="AI289" i="13"/>
  <c r="AG289" i="13"/>
  <c r="AE289" i="13"/>
  <c r="AD289" i="13"/>
  <c r="AC289" i="13"/>
  <c r="AB289" i="13"/>
  <c r="AA289" i="13"/>
  <c r="Z289" i="13"/>
  <c r="AK288" i="13"/>
  <c r="AI288" i="13"/>
  <c r="AG288" i="13"/>
  <c r="AE288" i="13"/>
  <c r="AD288" i="13"/>
  <c r="AC288" i="13"/>
  <c r="AB288" i="13"/>
  <c r="AA288" i="13"/>
  <c r="Z288" i="13"/>
  <c r="AK287" i="13"/>
  <c r="AI287" i="13"/>
  <c r="AG287" i="13"/>
  <c r="AE287" i="13"/>
  <c r="AD287" i="13"/>
  <c r="AC287" i="13"/>
  <c r="AB287" i="13"/>
  <c r="AA287" i="13"/>
  <c r="Z287" i="13"/>
  <c r="AK286" i="13"/>
  <c r="AI286" i="13"/>
  <c r="AG286" i="13"/>
  <c r="AE286" i="13"/>
  <c r="AD286" i="13"/>
  <c r="AC286" i="13"/>
  <c r="AB286" i="13"/>
  <c r="AA286" i="13"/>
  <c r="Z286" i="13"/>
  <c r="AK285" i="13"/>
  <c r="AI285" i="13"/>
  <c r="AG285" i="13"/>
  <c r="AE285" i="13"/>
  <c r="AD285" i="13"/>
  <c r="AC285" i="13"/>
  <c r="AB285" i="13"/>
  <c r="AA285" i="13"/>
  <c r="Z285" i="13"/>
  <c r="AK284" i="13"/>
  <c r="AI284" i="13"/>
  <c r="AG284" i="13"/>
  <c r="AE284" i="13"/>
  <c r="AD284" i="13"/>
  <c r="AC284" i="13"/>
  <c r="AB284" i="13"/>
  <c r="AA284" i="13"/>
  <c r="Z284" i="13"/>
  <c r="AK283" i="13"/>
  <c r="AI283" i="13"/>
  <c r="AG283" i="13"/>
  <c r="AE283" i="13"/>
  <c r="AD283" i="13"/>
  <c r="AC283" i="13"/>
  <c r="AB283" i="13"/>
  <c r="AA283" i="13"/>
  <c r="Z283" i="13"/>
  <c r="AM282" i="13"/>
  <c r="AM283" i="13" s="1"/>
  <c r="AM284" i="13" s="1"/>
  <c r="AM285" i="13" s="1"/>
  <c r="AM286" i="13" s="1"/>
  <c r="AM287" i="13" s="1"/>
  <c r="AM288" i="13" s="1"/>
  <c r="AM289" i="13" s="1"/>
  <c r="AM290" i="13" s="1"/>
  <c r="AM291" i="13" s="1"/>
  <c r="AM292" i="13" s="1"/>
  <c r="AM293" i="13" s="1"/>
  <c r="AK282" i="13"/>
  <c r="AI282" i="13"/>
  <c r="AG282" i="13"/>
  <c r="AE282" i="13"/>
  <c r="AD282" i="13"/>
  <c r="AC282" i="13"/>
  <c r="AB282" i="13"/>
  <c r="AA282" i="13"/>
  <c r="Z282" i="13"/>
  <c r="AK281" i="13"/>
  <c r="AI281" i="13"/>
  <c r="AG281" i="13"/>
  <c r="AE281" i="13"/>
  <c r="AD281" i="13"/>
  <c r="AC281" i="13"/>
  <c r="AB281" i="13"/>
  <c r="AA281" i="13"/>
  <c r="Z281" i="13"/>
  <c r="AK280" i="13"/>
  <c r="AI280" i="13"/>
  <c r="AG280" i="13"/>
  <c r="AE280" i="13"/>
  <c r="AD280" i="13"/>
  <c r="AC280" i="13"/>
  <c r="AB280" i="13"/>
  <c r="AA280" i="13"/>
  <c r="Z280" i="13"/>
  <c r="AK279" i="13"/>
  <c r="AI279" i="13"/>
  <c r="AG279" i="13"/>
  <c r="AE279" i="13"/>
  <c r="AD279" i="13"/>
  <c r="AC279" i="13"/>
  <c r="AB279" i="13"/>
  <c r="AA279" i="13"/>
  <c r="Z279" i="13"/>
  <c r="AM278" i="13"/>
  <c r="AM279" i="13" s="1"/>
  <c r="AM280" i="13" s="1"/>
  <c r="AM281" i="13" s="1"/>
  <c r="AK278" i="13"/>
  <c r="AI278" i="13"/>
  <c r="AG278" i="13"/>
  <c r="AE278" i="13"/>
  <c r="AD278" i="13"/>
  <c r="AC278" i="13"/>
  <c r="AB278" i="13"/>
  <c r="AA278" i="13"/>
  <c r="Z278" i="13"/>
  <c r="AK277" i="13"/>
  <c r="AI277" i="13"/>
  <c r="AG277" i="13"/>
  <c r="AE277" i="13"/>
  <c r="AD277" i="13"/>
  <c r="AC277" i="13"/>
  <c r="AB277" i="13"/>
  <c r="AA277" i="13"/>
  <c r="Z277" i="13"/>
  <c r="AK276" i="13"/>
  <c r="AI276" i="13"/>
  <c r="AG276" i="13"/>
  <c r="AE276" i="13"/>
  <c r="AD276" i="13"/>
  <c r="AC276" i="13"/>
  <c r="AB276" i="13"/>
  <c r="AA276" i="13"/>
  <c r="Z276" i="13"/>
  <c r="AK275" i="13"/>
  <c r="AI275" i="13"/>
  <c r="AG275" i="13"/>
  <c r="AE275" i="13"/>
  <c r="AD275" i="13"/>
  <c r="AC275" i="13"/>
  <c r="AB275" i="13"/>
  <c r="AA275" i="13"/>
  <c r="Z275" i="13"/>
  <c r="AK274" i="13"/>
  <c r="AI274" i="13"/>
  <c r="AG274" i="13"/>
  <c r="AE274" i="13"/>
  <c r="AD274" i="13"/>
  <c r="AC274" i="13"/>
  <c r="AB274" i="13"/>
  <c r="AA274" i="13"/>
  <c r="Z274" i="13"/>
  <c r="AK273" i="13"/>
  <c r="AI273" i="13"/>
  <c r="AG273" i="13"/>
  <c r="AE273" i="13"/>
  <c r="AD273" i="13"/>
  <c r="AC273" i="13"/>
  <c r="AB273" i="13"/>
  <c r="AA273" i="13"/>
  <c r="Z273" i="13"/>
  <c r="AK272" i="13"/>
  <c r="AI272" i="13"/>
  <c r="AG272" i="13"/>
  <c r="AE272" i="13"/>
  <c r="AD272" i="13"/>
  <c r="AC272" i="13"/>
  <c r="AB272" i="13"/>
  <c r="AA272" i="13"/>
  <c r="Z272" i="13"/>
  <c r="AK271" i="13"/>
  <c r="AI271" i="13"/>
  <c r="AG271" i="13"/>
  <c r="AE271" i="13"/>
  <c r="AD271" i="13"/>
  <c r="AC271" i="13"/>
  <c r="AB271" i="13"/>
  <c r="AA271" i="13"/>
  <c r="Z271" i="13"/>
  <c r="AK270" i="13"/>
  <c r="AI270" i="13"/>
  <c r="AG270" i="13"/>
  <c r="AE270" i="13"/>
  <c r="AD270" i="13"/>
  <c r="AC270" i="13"/>
  <c r="AB270" i="13"/>
  <c r="AA270" i="13"/>
  <c r="Z270" i="13"/>
  <c r="AM269" i="13"/>
  <c r="AM270" i="13" s="1"/>
  <c r="AM271" i="13" s="1"/>
  <c r="AM272" i="13" s="1"/>
  <c r="AM273" i="13" s="1"/>
  <c r="AM274" i="13" s="1"/>
  <c r="AM275" i="13" s="1"/>
  <c r="AM276" i="13" s="1"/>
  <c r="AM277" i="13" s="1"/>
  <c r="AK269" i="13"/>
  <c r="AI269" i="13"/>
  <c r="AG269" i="13"/>
  <c r="AE269" i="13"/>
  <c r="AD269" i="13"/>
  <c r="AC269" i="13"/>
  <c r="AB269" i="13"/>
  <c r="AA269" i="13"/>
  <c r="Z269" i="13"/>
  <c r="AK268" i="13"/>
  <c r="AI268" i="13"/>
  <c r="AG268" i="13"/>
  <c r="AE268" i="13"/>
  <c r="AD268" i="13"/>
  <c r="AC268" i="13"/>
  <c r="AB268" i="13"/>
  <c r="AA268" i="13"/>
  <c r="Z268" i="13"/>
  <c r="AK267" i="13"/>
  <c r="AI267" i="13"/>
  <c r="AG267" i="13"/>
  <c r="AE267" i="13"/>
  <c r="AD267" i="13"/>
  <c r="AC267" i="13"/>
  <c r="AB267" i="13"/>
  <c r="AA267" i="13"/>
  <c r="Z267" i="13"/>
  <c r="AK266" i="13"/>
  <c r="AI266" i="13"/>
  <c r="AG266" i="13"/>
  <c r="AE266" i="13"/>
  <c r="AD266" i="13"/>
  <c r="AC266" i="13"/>
  <c r="AB266" i="13"/>
  <c r="AA266" i="13"/>
  <c r="Z266" i="13"/>
  <c r="AK265" i="13"/>
  <c r="AI265" i="13"/>
  <c r="AG265" i="13"/>
  <c r="AE265" i="13"/>
  <c r="AD265" i="13"/>
  <c r="AC265" i="13"/>
  <c r="AB265" i="13"/>
  <c r="AA265" i="13"/>
  <c r="Z265" i="13"/>
  <c r="AK264" i="13"/>
  <c r="AI264" i="13"/>
  <c r="AG264" i="13"/>
  <c r="AE264" i="13"/>
  <c r="AD264" i="13"/>
  <c r="AC264" i="13"/>
  <c r="AB264" i="13"/>
  <c r="AA264" i="13"/>
  <c r="Z264" i="13"/>
  <c r="AK263" i="13"/>
  <c r="AI263" i="13"/>
  <c r="AG263" i="13"/>
  <c r="AE263" i="13"/>
  <c r="AD263" i="13"/>
  <c r="AC263" i="13"/>
  <c r="AB263" i="13"/>
  <c r="AA263" i="13"/>
  <c r="Z263" i="13"/>
  <c r="AK262" i="13"/>
  <c r="AI262" i="13"/>
  <c r="AG262" i="13"/>
  <c r="AE262" i="13"/>
  <c r="AD262" i="13"/>
  <c r="AC262" i="13"/>
  <c r="AB262" i="13"/>
  <c r="AA262" i="13"/>
  <c r="Z262" i="13"/>
  <c r="AK261" i="13"/>
  <c r="AI261" i="13"/>
  <c r="AG261" i="13"/>
  <c r="AE261" i="13"/>
  <c r="AD261" i="13"/>
  <c r="AC261" i="13"/>
  <c r="AB261" i="13"/>
  <c r="AA261" i="13"/>
  <c r="Z261" i="13"/>
  <c r="AK260" i="13"/>
  <c r="AI260" i="13"/>
  <c r="AG260" i="13"/>
  <c r="AE260" i="13"/>
  <c r="AD260" i="13"/>
  <c r="AC260" i="13"/>
  <c r="AB260" i="13"/>
  <c r="AA260" i="13"/>
  <c r="Z260" i="13"/>
  <c r="AK259" i="13"/>
  <c r="AI259" i="13"/>
  <c r="AG259" i="13"/>
  <c r="AE259" i="13"/>
  <c r="AD259" i="13"/>
  <c r="AC259" i="13"/>
  <c r="AB259" i="13"/>
  <c r="AA259" i="13"/>
  <c r="Z259" i="13"/>
  <c r="AK258" i="13"/>
  <c r="AI258" i="13"/>
  <c r="AG258" i="13"/>
  <c r="AE258" i="13"/>
  <c r="AD258" i="13"/>
  <c r="AC258" i="13"/>
  <c r="AB258" i="13"/>
  <c r="AA258" i="13"/>
  <c r="Z258" i="13"/>
  <c r="AK257" i="13"/>
  <c r="AI257" i="13"/>
  <c r="AG257" i="13"/>
  <c r="AE257" i="13"/>
  <c r="AD257" i="13"/>
  <c r="AC257" i="13"/>
  <c r="AB257" i="13"/>
  <c r="AA257" i="13"/>
  <c r="Z257" i="13"/>
  <c r="AM256" i="13"/>
  <c r="AM257" i="13" s="1"/>
  <c r="AM258" i="13" s="1"/>
  <c r="AM259" i="13" s="1"/>
  <c r="AM260" i="13" s="1"/>
  <c r="AM261" i="13" s="1"/>
  <c r="AM262" i="13" s="1"/>
  <c r="AM263" i="13" s="1"/>
  <c r="AM264" i="13" s="1"/>
  <c r="AM265" i="13" s="1"/>
  <c r="AM266" i="13" s="1"/>
  <c r="AM267" i="13" s="1"/>
  <c r="AM268" i="13" s="1"/>
  <c r="AK256" i="13"/>
  <c r="AI256" i="13"/>
  <c r="AG256" i="13"/>
  <c r="AH69" i="4" s="1"/>
  <c r="AE256" i="13"/>
  <c r="AD256" i="13"/>
  <c r="AC256" i="13"/>
  <c r="AB256" i="13"/>
  <c r="AA256" i="13"/>
  <c r="Z256" i="13"/>
  <c r="AK255" i="13"/>
  <c r="AI255" i="13"/>
  <c r="AG255" i="13"/>
  <c r="AE255" i="13"/>
  <c r="AD255" i="13"/>
  <c r="AC255" i="13"/>
  <c r="AB255" i="13"/>
  <c r="AA255" i="13"/>
  <c r="Z255" i="13"/>
  <c r="AK254" i="13"/>
  <c r="AI254" i="13"/>
  <c r="AG254" i="13"/>
  <c r="AE254" i="13"/>
  <c r="AD254" i="13"/>
  <c r="AC254" i="13"/>
  <c r="AB254" i="13"/>
  <c r="AA254" i="13"/>
  <c r="Z254" i="13"/>
  <c r="AK253" i="13"/>
  <c r="AI253" i="13"/>
  <c r="AG253" i="13"/>
  <c r="AE253" i="13"/>
  <c r="AD253" i="13"/>
  <c r="AC253" i="13"/>
  <c r="AB253" i="13"/>
  <c r="AA253" i="13"/>
  <c r="Z253" i="13"/>
  <c r="AM252" i="13"/>
  <c r="AM253" i="13" s="1"/>
  <c r="AM254" i="13" s="1"/>
  <c r="AM255" i="13" s="1"/>
  <c r="AK252" i="13"/>
  <c r="AI252" i="13"/>
  <c r="AG252" i="13"/>
  <c r="AH59" i="4" s="1"/>
  <c r="AE252" i="13"/>
  <c r="AD252" i="13"/>
  <c r="AC252" i="13"/>
  <c r="AB252" i="13"/>
  <c r="AA252" i="13"/>
  <c r="Z252" i="13"/>
  <c r="AK251" i="13"/>
  <c r="AI251" i="13"/>
  <c r="AG251" i="13"/>
  <c r="AE251" i="13"/>
  <c r="AD251" i="13"/>
  <c r="AC251" i="13"/>
  <c r="AB251" i="13"/>
  <c r="AA251" i="13"/>
  <c r="Z251" i="13"/>
  <c r="AK250" i="13"/>
  <c r="AI250" i="13"/>
  <c r="AG250" i="13"/>
  <c r="AE250" i="13"/>
  <c r="AD250" i="13"/>
  <c r="AC250" i="13"/>
  <c r="AB250" i="13"/>
  <c r="AA250" i="13"/>
  <c r="Z250" i="13"/>
  <c r="AK249" i="13"/>
  <c r="AI249" i="13"/>
  <c r="AG249" i="13"/>
  <c r="AE249" i="13"/>
  <c r="AD249" i="13"/>
  <c r="AC249" i="13"/>
  <c r="AB249" i="13"/>
  <c r="AA249" i="13"/>
  <c r="Z249" i="13"/>
  <c r="AK248" i="13"/>
  <c r="AI248" i="13"/>
  <c r="AG248" i="13"/>
  <c r="AE248" i="13"/>
  <c r="AD248" i="13"/>
  <c r="AC248" i="13"/>
  <c r="AB248" i="13"/>
  <c r="AA248" i="13"/>
  <c r="Z248" i="13"/>
  <c r="AK247" i="13"/>
  <c r="AI247" i="13"/>
  <c r="AG247" i="13"/>
  <c r="AE247" i="13"/>
  <c r="AD247" i="13"/>
  <c r="AC247" i="13"/>
  <c r="AB247" i="13"/>
  <c r="AA247" i="13"/>
  <c r="Z247" i="13"/>
  <c r="AK246" i="13"/>
  <c r="AI246" i="13"/>
  <c r="AG246" i="13"/>
  <c r="AE246" i="13"/>
  <c r="AD246" i="13"/>
  <c r="AC246" i="13"/>
  <c r="AB246" i="13"/>
  <c r="AA246" i="13"/>
  <c r="Z246" i="13"/>
  <c r="AM245" i="13"/>
  <c r="AM246" i="13" s="1"/>
  <c r="AM247" i="13" s="1"/>
  <c r="AM248" i="13" s="1"/>
  <c r="AM249" i="13" s="1"/>
  <c r="AM250" i="13" s="1"/>
  <c r="AM251" i="13" s="1"/>
  <c r="AK245" i="13"/>
  <c r="AI245" i="13"/>
  <c r="AG245" i="13"/>
  <c r="AE245" i="13"/>
  <c r="AD245" i="13"/>
  <c r="AC245" i="13"/>
  <c r="AB245" i="13"/>
  <c r="AA245" i="13"/>
  <c r="Z245" i="13"/>
  <c r="AK244" i="13"/>
  <c r="AI244" i="13"/>
  <c r="AG244" i="13"/>
  <c r="AE244" i="13"/>
  <c r="AD244" i="13"/>
  <c r="AC244" i="13"/>
  <c r="AB244" i="13"/>
  <c r="AA244" i="13"/>
  <c r="Z244" i="13"/>
  <c r="AK243" i="13"/>
  <c r="AI243" i="13"/>
  <c r="AG243" i="13"/>
  <c r="AE243" i="13"/>
  <c r="AD243" i="13"/>
  <c r="AC243" i="13"/>
  <c r="AB243" i="13"/>
  <c r="AA243" i="13"/>
  <c r="Z243" i="13"/>
  <c r="AK242" i="13"/>
  <c r="AI242" i="13"/>
  <c r="AG242" i="13"/>
  <c r="AE242" i="13"/>
  <c r="AD242" i="13"/>
  <c r="AC242" i="13"/>
  <c r="AB242" i="13"/>
  <c r="AA242" i="13"/>
  <c r="Z242" i="13"/>
  <c r="AK241" i="13"/>
  <c r="AI241" i="13"/>
  <c r="AG241" i="13"/>
  <c r="AE241" i="13"/>
  <c r="AD241" i="13"/>
  <c r="AC241" i="13"/>
  <c r="AB241" i="13"/>
  <c r="AA241" i="13"/>
  <c r="Z241" i="13"/>
  <c r="AK240" i="13"/>
  <c r="AI240" i="13"/>
  <c r="AG240" i="13"/>
  <c r="AE240" i="13"/>
  <c r="AD240" i="13"/>
  <c r="AC240" i="13"/>
  <c r="AB240" i="13"/>
  <c r="AA240" i="13"/>
  <c r="Z240" i="13"/>
  <c r="AM239" i="13"/>
  <c r="AM240" i="13" s="1"/>
  <c r="AM241" i="13" s="1"/>
  <c r="AM242" i="13" s="1"/>
  <c r="AM243" i="13" s="1"/>
  <c r="AM244" i="13" s="1"/>
  <c r="AK239" i="13"/>
  <c r="AI239" i="13"/>
  <c r="AG239" i="13"/>
  <c r="AE239" i="13"/>
  <c r="AD239" i="13"/>
  <c r="AC239" i="13"/>
  <c r="AB239" i="13"/>
  <c r="AA239" i="13"/>
  <c r="Z239" i="13"/>
  <c r="AK238" i="13"/>
  <c r="AI238" i="13"/>
  <c r="AG238" i="13"/>
  <c r="AE238" i="13"/>
  <c r="AD238" i="13"/>
  <c r="AC238" i="13"/>
  <c r="AB238" i="13"/>
  <c r="AA238" i="13"/>
  <c r="Z238" i="13"/>
  <c r="AK237" i="13"/>
  <c r="AI237" i="13"/>
  <c r="AG237" i="13"/>
  <c r="AE237" i="13"/>
  <c r="AD237" i="13"/>
  <c r="AC237" i="13"/>
  <c r="AB237" i="13"/>
  <c r="AA237" i="13"/>
  <c r="Z237" i="13"/>
  <c r="AK236" i="13"/>
  <c r="AI236" i="13"/>
  <c r="AG236" i="13"/>
  <c r="AE236" i="13"/>
  <c r="AD236" i="13"/>
  <c r="AC236" i="13"/>
  <c r="AB236" i="13"/>
  <c r="AA236" i="13"/>
  <c r="Z236" i="13"/>
  <c r="AK235" i="13"/>
  <c r="AI235" i="13"/>
  <c r="AG235" i="13"/>
  <c r="AE235" i="13"/>
  <c r="AD235" i="13"/>
  <c r="AC235" i="13"/>
  <c r="AB235" i="13"/>
  <c r="AA235" i="13"/>
  <c r="Z235" i="13"/>
  <c r="AK234" i="13"/>
  <c r="AI234" i="13"/>
  <c r="AG234" i="13"/>
  <c r="AE234" i="13"/>
  <c r="AD234" i="13"/>
  <c r="AC234" i="13"/>
  <c r="AB234" i="13"/>
  <c r="AA234" i="13"/>
  <c r="Z234" i="13"/>
  <c r="AK233" i="13"/>
  <c r="AI233" i="13"/>
  <c r="AG233" i="13"/>
  <c r="AE233" i="13"/>
  <c r="AD233" i="13"/>
  <c r="AC233" i="13"/>
  <c r="AB233" i="13"/>
  <c r="AA233" i="13"/>
  <c r="Z233" i="13"/>
  <c r="AK232" i="13"/>
  <c r="AI232" i="13"/>
  <c r="AG232" i="13"/>
  <c r="AE232" i="13"/>
  <c r="AD232" i="13"/>
  <c r="AC232" i="13"/>
  <c r="AB232" i="13"/>
  <c r="AA232" i="13"/>
  <c r="Z232" i="13"/>
  <c r="AM231" i="13"/>
  <c r="AM232" i="13" s="1"/>
  <c r="AM233" i="13" s="1"/>
  <c r="AM234" i="13" s="1"/>
  <c r="AM235" i="13" s="1"/>
  <c r="AM236" i="13" s="1"/>
  <c r="AM237" i="13" s="1"/>
  <c r="AM238" i="13" s="1"/>
  <c r="AK231" i="13"/>
  <c r="AI231" i="13"/>
  <c r="AG231" i="13"/>
  <c r="AE231" i="13"/>
  <c r="AD231" i="13"/>
  <c r="AC231" i="13"/>
  <c r="AB231" i="13"/>
  <c r="AA231" i="13"/>
  <c r="Z231" i="13"/>
  <c r="AK230" i="13"/>
  <c r="AI230" i="13"/>
  <c r="AG230" i="13"/>
  <c r="AE230" i="13"/>
  <c r="AD230" i="13"/>
  <c r="AC230" i="13"/>
  <c r="AB230" i="13"/>
  <c r="AA230" i="13"/>
  <c r="Z230" i="13"/>
  <c r="AK229" i="13"/>
  <c r="AI229" i="13"/>
  <c r="AG229" i="13"/>
  <c r="AE229" i="13"/>
  <c r="AD229" i="13"/>
  <c r="AC229" i="13"/>
  <c r="AB229" i="13"/>
  <c r="AA229" i="13"/>
  <c r="Z229" i="13"/>
  <c r="AK228" i="13"/>
  <c r="AI228" i="13"/>
  <c r="AG228" i="13"/>
  <c r="AE228" i="13"/>
  <c r="AD228" i="13"/>
  <c r="AC228" i="13"/>
  <c r="AB228" i="13"/>
  <c r="AA228" i="13"/>
  <c r="Z228" i="13"/>
  <c r="AK227" i="13"/>
  <c r="AI227" i="13"/>
  <c r="AG227" i="13"/>
  <c r="AE227" i="13"/>
  <c r="AD227" i="13"/>
  <c r="AC227" i="13"/>
  <c r="AB227" i="13"/>
  <c r="AA227" i="13"/>
  <c r="Z227" i="13"/>
  <c r="AK226" i="13"/>
  <c r="AI226" i="13"/>
  <c r="AG226" i="13"/>
  <c r="AE226" i="13"/>
  <c r="AD226" i="13"/>
  <c r="AC226" i="13"/>
  <c r="AB226" i="13"/>
  <c r="AA226" i="13"/>
  <c r="Z226" i="13"/>
  <c r="AK225" i="13"/>
  <c r="AI225" i="13"/>
  <c r="AG225" i="13"/>
  <c r="AE225" i="13"/>
  <c r="AD225" i="13"/>
  <c r="AC225" i="13"/>
  <c r="AB225" i="13"/>
  <c r="AA225" i="13"/>
  <c r="Z225" i="13"/>
  <c r="AM224" i="13"/>
  <c r="AM225" i="13" s="1"/>
  <c r="AM226" i="13" s="1"/>
  <c r="AM227" i="13" s="1"/>
  <c r="AM228" i="13" s="1"/>
  <c r="AM229" i="13" s="1"/>
  <c r="AM230" i="13" s="1"/>
  <c r="AK224" i="13"/>
  <c r="AI224" i="13"/>
  <c r="AG224" i="13"/>
  <c r="AE224" i="13"/>
  <c r="AD224" i="13"/>
  <c r="AC224" i="13"/>
  <c r="AB224" i="13"/>
  <c r="AA224" i="13"/>
  <c r="Z224" i="13"/>
  <c r="AK223" i="13"/>
  <c r="AI223" i="13"/>
  <c r="AG223" i="13"/>
  <c r="AE223" i="13"/>
  <c r="AD223" i="13"/>
  <c r="AC223" i="13"/>
  <c r="AB223" i="13"/>
  <c r="AA223" i="13"/>
  <c r="Z223" i="13"/>
  <c r="AK222" i="13"/>
  <c r="AI222" i="13"/>
  <c r="AG222" i="13"/>
  <c r="AE222" i="13"/>
  <c r="AD222" i="13"/>
  <c r="AC222" i="13"/>
  <c r="AB222" i="13"/>
  <c r="AA222" i="13"/>
  <c r="Z222" i="13"/>
  <c r="AK221" i="13"/>
  <c r="AI221" i="13"/>
  <c r="AG221" i="13"/>
  <c r="AE221" i="13"/>
  <c r="AD221" i="13"/>
  <c r="AC221" i="13"/>
  <c r="AB221" i="13"/>
  <c r="AA221" i="13"/>
  <c r="Z221" i="13"/>
  <c r="AK220" i="13"/>
  <c r="AI220" i="13"/>
  <c r="AG220" i="13"/>
  <c r="AE220" i="13"/>
  <c r="AD220" i="13"/>
  <c r="AC220" i="13"/>
  <c r="AB220" i="13"/>
  <c r="AA220" i="13"/>
  <c r="Z220" i="13"/>
  <c r="AK219" i="13"/>
  <c r="AI219" i="13"/>
  <c r="AG219" i="13"/>
  <c r="AE219" i="13"/>
  <c r="AD219" i="13"/>
  <c r="AC219" i="13"/>
  <c r="AB219" i="13"/>
  <c r="AA219" i="13"/>
  <c r="Z219" i="13"/>
  <c r="AM218" i="13"/>
  <c r="AM219" i="13" s="1"/>
  <c r="AM220" i="13" s="1"/>
  <c r="AM221" i="13" s="1"/>
  <c r="AM222" i="13" s="1"/>
  <c r="AM223" i="13" s="1"/>
  <c r="AK218" i="13"/>
  <c r="AI218" i="13"/>
  <c r="AG218" i="13"/>
  <c r="AE218" i="13"/>
  <c r="AD218" i="13"/>
  <c r="AC218" i="13"/>
  <c r="AB218" i="13"/>
  <c r="AA218" i="13"/>
  <c r="Z218" i="13"/>
  <c r="AK217" i="13"/>
  <c r="AI217" i="13"/>
  <c r="AG217" i="13"/>
  <c r="AE217" i="13"/>
  <c r="AD217" i="13"/>
  <c r="AC217" i="13"/>
  <c r="AB217" i="13"/>
  <c r="AA217" i="13"/>
  <c r="Z217" i="13"/>
  <c r="AK216" i="13"/>
  <c r="AI216" i="13"/>
  <c r="AG216" i="13"/>
  <c r="AE216" i="13"/>
  <c r="AD216" i="13"/>
  <c r="AC216" i="13"/>
  <c r="AB216" i="13"/>
  <c r="AA216" i="13"/>
  <c r="Z216" i="13"/>
  <c r="AK215" i="13"/>
  <c r="AI215" i="13"/>
  <c r="AG215" i="13"/>
  <c r="AE215" i="13"/>
  <c r="AD215" i="13"/>
  <c r="AC215" i="13"/>
  <c r="AB215" i="13"/>
  <c r="AA215" i="13"/>
  <c r="Z215" i="13"/>
  <c r="AK214" i="13"/>
  <c r="AI214" i="13"/>
  <c r="AG214" i="13"/>
  <c r="AE214" i="13"/>
  <c r="AD214" i="13"/>
  <c r="AC214" i="13"/>
  <c r="AB214" i="13"/>
  <c r="AA214" i="13"/>
  <c r="Z214" i="13"/>
  <c r="AK213" i="13"/>
  <c r="AI213" i="13"/>
  <c r="AG213" i="13"/>
  <c r="AE213" i="13"/>
  <c r="AD213" i="13"/>
  <c r="AC213" i="13"/>
  <c r="AB213" i="13"/>
  <c r="AA213" i="13"/>
  <c r="Z213" i="13"/>
  <c r="AK212" i="13"/>
  <c r="AI212" i="13"/>
  <c r="AG212" i="13"/>
  <c r="AE212" i="13"/>
  <c r="AD212" i="13"/>
  <c r="AC212" i="13"/>
  <c r="AB212" i="13"/>
  <c r="AA212" i="13"/>
  <c r="Z212" i="13"/>
  <c r="AK211" i="13"/>
  <c r="AI211" i="13"/>
  <c r="AG211" i="13"/>
  <c r="AE211" i="13"/>
  <c r="AD211" i="13"/>
  <c r="AC211" i="13"/>
  <c r="AB211" i="13"/>
  <c r="AA211" i="13"/>
  <c r="Z211" i="13"/>
  <c r="AM210" i="13"/>
  <c r="AM211" i="13" s="1"/>
  <c r="AM212" i="13" s="1"/>
  <c r="AM213" i="13" s="1"/>
  <c r="AM214" i="13" s="1"/>
  <c r="AM215" i="13" s="1"/>
  <c r="AM216" i="13" s="1"/>
  <c r="AM217" i="13" s="1"/>
  <c r="AK210" i="13"/>
  <c r="AI210" i="13"/>
  <c r="AG210" i="13"/>
  <c r="AE210" i="13"/>
  <c r="AD210" i="13"/>
  <c r="AC210" i="13"/>
  <c r="AB210" i="13"/>
  <c r="AA210" i="13"/>
  <c r="Z210" i="13"/>
  <c r="AK209" i="13"/>
  <c r="AI209" i="13"/>
  <c r="AG209" i="13"/>
  <c r="AE209" i="13"/>
  <c r="AD209" i="13"/>
  <c r="AC209" i="13"/>
  <c r="AB209" i="13"/>
  <c r="AA209" i="13"/>
  <c r="Z209" i="13"/>
  <c r="AK208" i="13"/>
  <c r="AI208" i="13"/>
  <c r="AG208" i="13"/>
  <c r="AE208" i="13"/>
  <c r="AD208" i="13"/>
  <c r="AC208" i="13"/>
  <c r="AB208" i="13"/>
  <c r="AA208" i="13"/>
  <c r="Z208" i="13"/>
  <c r="AK207" i="13"/>
  <c r="AI207" i="13"/>
  <c r="AG207" i="13"/>
  <c r="AE207" i="13"/>
  <c r="AD207" i="13"/>
  <c r="AC207" i="13"/>
  <c r="AB207" i="13"/>
  <c r="AA207" i="13"/>
  <c r="Z207" i="13"/>
  <c r="AM206" i="13"/>
  <c r="AM207" i="13" s="1"/>
  <c r="AM208" i="13" s="1"/>
  <c r="AM209" i="13" s="1"/>
  <c r="AK206" i="13"/>
  <c r="AI206" i="13"/>
  <c r="AG206" i="13"/>
  <c r="AE206" i="13"/>
  <c r="AD206" i="13"/>
  <c r="AC206" i="13"/>
  <c r="AB206" i="13"/>
  <c r="AA206" i="13"/>
  <c r="Z206" i="13"/>
  <c r="AK205" i="13"/>
  <c r="AI205" i="13"/>
  <c r="AG205" i="13"/>
  <c r="AE205" i="13"/>
  <c r="AD205" i="13"/>
  <c r="AC205" i="13"/>
  <c r="AB205" i="13"/>
  <c r="AA205" i="13"/>
  <c r="Z205" i="13"/>
  <c r="AK204" i="13"/>
  <c r="AI204" i="13"/>
  <c r="AG204" i="13"/>
  <c r="AE204" i="13"/>
  <c r="AD204" i="13"/>
  <c r="AC204" i="13"/>
  <c r="AB204" i="13"/>
  <c r="AA204" i="13"/>
  <c r="Z204" i="13"/>
  <c r="AK203" i="13"/>
  <c r="AI203" i="13"/>
  <c r="AG203" i="13"/>
  <c r="AE203" i="13"/>
  <c r="AD203" i="13"/>
  <c r="AC203" i="13"/>
  <c r="AB203" i="13"/>
  <c r="AA203" i="13"/>
  <c r="Z203" i="13"/>
  <c r="AK202" i="13"/>
  <c r="AI202" i="13"/>
  <c r="AG202" i="13"/>
  <c r="AE202" i="13"/>
  <c r="AD202" i="13"/>
  <c r="AC202" i="13"/>
  <c r="AB202" i="13"/>
  <c r="AA202" i="13"/>
  <c r="Z202" i="13"/>
  <c r="AK201" i="13"/>
  <c r="AI201" i="13"/>
  <c r="AG201" i="13"/>
  <c r="AE201" i="13"/>
  <c r="AD201" i="13"/>
  <c r="AC201" i="13"/>
  <c r="AB201" i="13"/>
  <c r="AA201" i="13"/>
  <c r="Z201" i="13"/>
  <c r="AM200" i="13"/>
  <c r="AM201" i="13" s="1"/>
  <c r="AM202" i="13" s="1"/>
  <c r="AM203" i="13" s="1"/>
  <c r="AM204" i="13" s="1"/>
  <c r="AM205" i="13" s="1"/>
  <c r="AK200" i="13"/>
  <c r="AI200" i="13"/>
  <c r="AG200" i="13"/>
  <c r="AE200" i="13"/>
  <c r="AD200" i="13"/>
  <c r="AC200" i="13"/>
  <c r="AB200" i="13"/>
  <c r="AA200" i="13"/>
  <c r="Z200" i="13"/>
  <c r="AK199" i="13"/>
  <c r="AI199" i="13"/>
  <c r="AG199" i="13"/>
  <c r="AE199" i="13"/>
  <c r="AD199" i="13"/>
  <c r="AC199" i="13"/>
  <c r="AB199" i="13"/>
  <c r="AA199" i="13"/>
  <c r="Z199" i="13"/>
  <c r="AK198" i="13"/>
  <c r="AI198" i="13"/>
  <c r="AG198" i="13"/>
  <c r="AE198" i="13"/>
  <c r="AD198" i="13"/>
  <c r="AC198" i="13"/>
  <c r="AB198" i="13"/>
  <c r="AA198" i="13"/>
  <c r="Z198" i="13"/>
  <c r="AK197" i="13"/>
  <c r="AI197" i="13"/>
  <c r="AG197" i="13"/>
  <c r="AE197" i="13"/>
  <c r="AD197" i="13"/>
  <c r="AC197" i="13"/>
  <c r="AB197" i="13"/>
  <c r="AA197" i="13"/>
  <c r="Z197" i="13"/>
  <c r="AK196" i="13"/>
  <c r="AI196" i="13"/>
  <c r="AG196" i="13"/>
  <c r="AE196" i="13"/>
  <c r="AD196" i="13"/>
  <c r="AC196" i="13"/>
  <c r="AB196" i="13"/>
  <c r="AA196" i="13"/>
  <c r="Z196" i="13"/>
  <c r="AK195" i="13"/>
  <c r="AI195" i="13"/>
  <c r="AG195" i="13"/>
  <c r="AE195" i="13"/>
  <c r="AD195" i="13"/>
  <c r="AC195" i="13"/>
  <c r="AB195" i="13"/>
  <c r="AA195" i="13"/>
  <c r="Z195" i="13"/>
  <c r="AK194" i="13"/>
  <c r="AI194" i="13"/>
  <c r="AG194" i="13"/>
  <c r="AE194" i="13"/>
  <c r="AD194" i="13"/>
  <c r="AC194" i="13"/>
  <c r="AB194" i="13"/>
  <c r="AA194" i="13"/>
  <c r="Z194" i="13"/>
  <c r="AK193" i="13"/>
  <c r="AI193" i="13"/>
  <c r="AG193" i="13"/>
  <c r="AE193" i="13"/>
  <c r="AD193" i="13"/>
  <c r="AC193" i="13"/>
  <c r="AB193" i="13"/>
  <c r="AA193" i="13"/>
  <c r="Z193" i="13"/>
  <c r="AM192" i="13"/>
  <c r="AM193" i="13" s="1"/>
  <c r="AM194" i="13" s="1"/>
  <c r="AM195" i="13" s="1"/>
  <c r="AM196" i="13" s="1"/>
  <c r="AM197" i="13" s="1"/>
  <c r="AM198" i="13" s="1"/>
  <c r="AM199" i="13" s="1"/>
  <c r="AK192" i="13"/>
  <c r="AI192" i="13"/>
  <c r="AG192" i="13"/>
  <c r="AE192" i="13"/>
  <c r="AD192" i="13"/>
  <c r="AC192" i="13"/>
  <c r="AB192" i="13"/>
  <c r="AA192" i="13"/>
  <c r="Z192" i="13"/>
  <c r="AK191" i="13"/>
  <c r="AI191" i="13"/>
  <c r="AG191" i="13"/>
  <c r="AE191" i="13"/>
  <c r="AD191" i="13"/>
  <c r="AC191" i="13"/>
  <c r="AB191" i="13"/>
  <c r="AA191" i="13"/>
  <c r="Z191" i="13"/>
  <c r="AK190" i="13"/>
  <c r="AI190" i="13"/>
  <c r="AG190" i="13"/>
  <c r="AE190" i="13"/>
  <c r="AD190" i="13"/>
  <c r="AC190" i="13"/>
  <c r="AB190" i="13"/>
  <c r="AA190" i="13"/>
  <c r="Z190" i="13"/>
  <c r="AK189" i="13"/>
  <c r="AI189" i="13"/>
  <c r="AG189" i="13"/>
  <c r="AE189" i="13"/>
  <c r="AD189" i="13"/>
  <c r="AC189" i="13"/>
  <c r="AB189" i="13"/>
  <c r="AA189" i="13"/>
  <c r="Z189" i="13"/>
  <c r="AK188" i="13"/>
  <c r="AI188" i="13"/>
  <c r="AG188" i="13"/>
  <c r="AE188" i="13"/>
  <c r="AD188" i="13"/>
  <c r="AC188" i="13"/>
  <c r="AB188" i="13"/>
  <c r="AA188" i="13"/>
  <c r="Z188" i="13"/>
  <c r="AK187" i="13"/>
  <c r="AI187" i="13"/>
  <c r="AG187" i="13"/>
  <c r="AE187" i="13"/>
  <c r="AD187" i="13"/>
  <c r="AC187" i="13"/>
  <c r="AB187" i="13"/>
  <c r="AA187" i="13"/>
  <c r="Z187" i="13"/>
  <c r="AK186" i="13"/>
  <c r="AI186" i="13"/>
  <c r="AG186" i="13"/>
  <c r="AE186" i="13"/>
  <c r="AD186" i="13"/>
  <c r="AC186" i="13"/>
  <c r="AB186" i="13"/>
  <c r="AA186" i="13"/>
  <c r="Z186" i="13"/>
  <c r="AM185" i="13"/>
  <c r="AM186" i="13" s="1"/>
  <c r="AM187" i="13" s="1"/>
  <c r="AM188" i="13" s="1"/>
  <c r="AM189" i="13" s="1"/>
  <c r="AM190" i="13" s="1"/>
  <c r="AM191" i="13" s="1"/>
  <c r="AK185" i="13"/>
  <c r="AI185" i="13"/>
  <c r="AG185" i="13"/>
  <c r="AE185" i="13"/>
  <c r="AD185" i="13"/>
  <c r="AC185" i="13"/>
  <c r="AB185" i="13"/>
  <c r="AA185" i="13"/>
  <c r="Z185" i="13"/>
  <c r="AK184" i="13"/>
  <c r="AI184" i="13"/>
  <c r="AG184" i="13"/>
  <c r="AE184" i="13"/>
  <c r="AD184" i="13"/>
  <c r="AC184" i="13"/>
  <c r="AB184" i="13"/>
  <c r="AA184" i="13"/>
  <c r="Z184" i="13"/>
  <c r="AK183" i="13"/>
  <c r="AI183" i="13"/>
  <c r="AG183" i="13"/>
  <c r="AE183" i="13"/>
  <c r="AD183" i="13"/>
  <c r="AC183" i="13"/>
  <c r="AB183" i="13"/>
  <c r="AA183" i="13"/>
  <c r="Z183" i="13"/>
  <c r="AK182" i="13"/>
  <c r="AI182" i="13"/>
  <c r="AG182" i="13"/>
  <c r="AE182" i="13"/>
  <c r="AD182" i="13"/>
  <c r="AC182" i="13"/>
  <c r="AB182" i="13"/>
  <c r="AA182" i="13"/>
  <c r="Z182" i="13"/>
  <c r="AK181" i="13"/>
  <c r="AI181" i="13"/>
  <c r="AG181" i="13"/>
  <c r="AE181" i="13"/>
  <c r="AD181" i="13"/>
  <c r="AC181" i="13"/>
  <c r="AB181" i="13"/>
  <c r="AA181" i="13"/>
  <c r="Z181" i="13"/>
  <c r="AK180" i="13"/>
  <c r="AI180" i="13"/>
  <c r="AG180" i="13"/>
  <c r="AE180" i="13"/>
  <c r="AD180" i="13"/>
  <c r="AC180" i="13"/>
  <c r="AB180" i="13"/>
  <c r="AA180" i="13"/>
  <c r="Z180" i="13"/>
  <c r="AM179" i="13"/>
  <c r="AM180" i="13" s="1"/>
  <c r="AM181" i="13" s="1"/>
  <c r="AM182" i="13" s="1"/>
  <c r="AM183" i="13" s="1"/>
  <c r="AM184" i="13" s="1"/>
  <c r="AK179" i="13"/>
  <c r="AI179" i="13"/>
  <c r="AG179" i="13"/>
  <c r="AH33" i="4" s="1"/>
  <c r="AE179" i="13"/>
  <c r="AD179" i="13"/>
  <c r="AC179" i="13"/>
  <c r="AB179" i="13"/>
  <c r="AA179" i="13"/>
  <c r="Z179" i="13"/>
  <c r="AK178" i="13"/>
  <c r="AI178" i="13"/>
  <c r="AG178" i="13"/>
  <c r="AE178" i="13"/>
  <c r="AD178" i="13"/>
  <c r="AC178" i="13"/>
  <c r="AB178" i="13"/>
  <c r="AA178" i="13"/>
  <c r="Z178" i="13"/>
  <c r="AK177" i="13"/>
  <c r="AI177" i="13"/>
  <c r="AG177" i="13"/>
  <c r="AE177" i="13"/>
  <c r="AD177" i="13"/>
  <c r="AC177" i="13"/>
  <c r="AB177" i="13"/>
  <c r="AA177" i="13"/>
  <c r="Z177" i="13"/>
  <c r="AK176" i="13"/>
  <c r="AI176" i="13"/>
  <c r="AG176" i="13"/>
  <c r="AE176" i="13"/>
  <c r="AD176" i="13"/>
  <c r="AC176" i="13"/>
  <c r="AB176" i="13"/>
  <c r="AA176" i="13"/>
  <c r="Z176" i="13"/>
  <c r="AK175" i="13"/>
  <c r="AI175" i="13"/>
  <c r="AG175" i="13"/>
  <c r="AE175" i="13"/>
  <c r="AD175" i="13"/>
  <c r="AC175" i="13"/>
  <c r="AB175" i="13"/>
  <c r="AA175" i="13"/>
  <c r="Z175" i="13"/>
  <c r="AM174" i="13"/>
  <c r="AM175" i="13" s="1"/>
  <c r="AM176" i="13" s="1"/>
  <c r="AM177" i="13" s="1"/>
  <c r="AM178" i="13" s="1"/>
  <c r="AK174" i="13"/>
  <c r="AI174" i="13"/>
  <c r="AG174" i="13"/>
  <c r="AH34" i="4" s="1"/>
  <c r="AE174" i="13"/>
  <c r="AD174" i="13"/>
  <c r="AC174" i="13"/>
  <c r="AB174" i="13"/>
  <c r="AA174" i="13"/>
  <c r="Z174" i="13"/>
  <c r="AK173" i="13"/>
  <c r="AI173" i="13"/>
  <c r="AG173" i="13"/>
  <c r="AE173" i="13"/>
  <c r="AD173" i="13"/>
  <c r="AC173" i="13"/>
  <c r="AB173" i="13"/>
  <c r="AA173" i="13"/>
  <c r="Z173" i="13"/>
  <c r="AK172" i="13"/>
  <c r="AI172" i="13"/>
  <c r="AG172" i="13"/>
  <c r="AE172" i="13"/>
  <c r="AD172" i="13"/>
  <c r="AC172" i="13"/>
  <c r="AB172" i="13"/>
  <c r="AA172" i="13"/>
  <c r="Z172" i="13"/>
  <c r="AK171" i="13"/>
  <c r="AI171" i="13"/>
  <c r="AG171" i="13"/>
  <c r="AE171" i="13"/>
  <c r="AD171" i="13"/>
  <c r="AC171" i="13"/>
  <c r="AB171" i="13"/>
  <c r="AA171" i="13"/>
  <c r="Z171" i="13"/>
  <c r="AK170" i="13"/>
  <c r="AI170" i="13"/>
  <c r="AG170" i="13"/>
  <c r="AE170" i="13"/>
  <c r="AD170" i="13"/>
  <c r="AC170" i="13"/>
  <c r="AB170" i="13"/>
  <c r="AA170" i="13"/>
  <c r="Z170" i="13"/>
  <c r="AK169" i="13"/>
  <c r="AI169" i="13"/>
  <c r="AG169" i="13"/>
  <c r="AE169" i="13"/>
  <c r="AD169" i="13"/>
  <c r="AC169" i="13"/>
  <c r="AB169" i="13"/>
  <c r="AA169" i="13"/>
  <c r="Z169" i="13"/>
  <c r="AM168" i="13"/>
  <c r="AM169" i="13" s="1"/>
  <c r="AM170" i="13" s="1"/>
  <c r="AM171" i="13" s="1"/>
  <c r="AM172" i="13" s="1"/>
  <c r="AM173" i="13" s="1"/>
  <c r="AK168" i="13"/>
  <c r="AI168" i="13"/>
  <c r="AG168" i="13"/>
  <c r="AE168" i="13"/>
  <c r="AD168" i="13"/>
  <c r="AC168" i="13"/>
  <c r="AB168" i="13"/>
  <c r="AA168" i="13"/>
  <c r="Z168" i="13"/>
  <c r="AK167" i="13"/>
  <c r="AI167" i="13"/>
  <c r="AG167" i="13"/>
  <c r="AE167" i="13"/>
  <c r="AD167" i="13"/>
  <c r="AC167" i="13"/>
  <c r="AB167" i="13"/>
  <c r="AA167" i="13"/>
  <c r="Z167" i="13"/>
  <c r="AK166" i="13"/>
  <c r="AI166" i="13"/>
  <c r="AG166" i="13"/>
  <c r="AE166" i="13"/>
  <c r="AD166" i="13"/>
  <c r="AC166" i="13"/>
  <c r="AB166" i="13"/>
  <c r="AA166" i="13"/>
  <c r="Z166" i="13"/>
  <c r="AK165" i="13"/>
  <c r="AI165" i="13"/>
  <c r="AG165" i="13"/>
  <c r="AE165" i="13"/>
  <c r="AD165" i="13"/>
  <c r="AC165" i="13"/>
  <c r="AB165" i="13"/>
  <c r="AA165" i="13"/>
  <c r="Z165" i="13"/>
  <c r="AK164" i="13"/>
  <c r="AI164" i="13"/>
  <c r="AG164" i="13"/>
  <c r="AE164" i="13"/>
  <c r="AD164" i="13"/>
  <c r="AC164" i="13"/>
  <c r="AB164" i="13"/>
  <c r="AA164" i="13"/>
  <c r="Z164" i="13"/>
  <c r="AK163" i="13"/>
  <c r="AI163" i="13"/>
  <c r="AG163" i="13"/>
  <c r="AE163" i="13"/>
  <c r="AD163" i="13"/>
  <c r="AC163" i="13"/>
  <c r="AB163" i="13"/>
  <c r="AA163" i="13"/>
  <c r="Z163" i="13"/>
  <c r="AK162" i="13"/>
  <c r="AI162" i="13"/>
  <c r="AG162" i="13"/>
  <c r="AE162" i="13"/>
  <c r="AD162" i="13"/>
  <c r="AC162" i="13"/>
  <c r="AB162" i="13"/>
  <c r="AA162" i="13"/>
  <c r="Z162" i="13"/>
  <c r="AK161" i="13"/>
  <c r="AI161" i="13"/>
  <c r="AG161" i="13"/>
  <c r="AE161" i="13"/>
  <c r="AD161" i="13"/>
  <c r="AC161" i="13"/>
  <c r="AB161" i="13"/>
  <c r="AA161" i="13"/>
  <c r="Z161" i="13"/>
  <c r="AK160" i="13"/>
  <c r="AI160" i="13"/>
  <c r="AG160" i="13"/>
  <c r="AE160" i="13"/>
  <c r="AD160" i="13"/>
  <c r="AC160" i="13"/>
  <c r="AB160" i="13"/>
  <c r="AA160" i="13"/>
  <c r="Z160" i="13"/>
  <c r="AK159" i="13"/>
  <c r="AI159" i="13"/>
  <c r="AG159" i="13"/>
  <c r="AE159" i="13"/>
  <c r="AD159" i="13"/>
  <c r="AC159" i="13"/>
  <c r="AB159" i="13"/>
  <c r="AA159" i="13"/>
  <c r="Z159" i="13"/>
  <c r="AK158" i="13"/>
  <c r="AI158" i="13"/>
  <c r="AG158" i="13"/>
  <c r="AE158" i="13"/>
  <c r="AD158" i="13"/>
  <c r="AC158" i="13"/>
  <c r="AB158" i="13"/>
  <c r="AA158" i="13"/>
  <c r="Z158" i="13"/>
  <c r="AK157" i="13"/>
  <c r="AI157" i="13"/>
  <c r="AG157" i="13"/>
  <c r="AE157" i="13"/>
  <c r="AD157" i="13"/>
  <c r="AC157" i="13"/>
  <c r="AB157" i="13"/>
  <c r="AA157" i="13"/>
  <c r="Z157" i="13"/>
  <c r="AM156" i="13"/>
  <c r="AM157" i="13" s="1"/>
  <c r="AM158" i="13" s="1"/>
  <c r="AM159" i="13" s="1"/>
  <c r="AM160" i="13" s="1"/>
  <c r="AM161" i="13" s="1"/>
  <c r="AM162" i="13" s="1"/>
  <c r="AM163" i="13" s="1"/>
  <c r="AM164" i="13" s="1"/>
  <c r="AM165" i="13" s="1"/>
  <c r="AM166" i="13" s="1"/>
  <c r="AM167" i="13" s="1"/>
  <c r="AK156" i="13"/>
  <c r="AI156" i="13"/>
  <c r="AG156" i="13"/>
  <c r="AE156" i="13"/>
  <c r="AD156" i="13"/>
  <c r="AC156" i="13"/>
  <c r="AB156" i="13"/>
  <c r="AA156" i="13"/>
  <c r="Z156" i="13"/>
  <c r="AK155" i="13"/>
  <c r="AI155" i="13"/>
  <c r="AG155" i="13"/>
  <c r="AE155" i="13"/>
  <c r="AD155" i="13"/>
  <c r="AC155" i="13"/>
  <c r="AB155" i="13"/>
  <c r="AA155" i="13"/>
  <c r="Z155" i="13"/>
  <c r="AK154" i="13"/>
  <c r="AI154" i="13"/>
  <c r="AG154" i="13"/>
  <c r="AE154" i="13"/>
  <c r="AD154" i="13"/>
  <c r="AC154" i="13"/>
  <c r="AB154" i="13"/>
  <c r="AA154" i="13"/>
  <c r="Z154" i="13"/>
  <c r="AM153" i="13"/>
  <c r="AM154" i="13" s="1"/>
  <c r="AM155" i="13" s="1"/>
  <c r="AK153" i="13"/>
  <c r="AI153" i="13"/>
  <c r="AG153" i="13"/>
  <c r="AE153" i="13"/>
  <c r="AD153" i="13"/>
  <c r="AC153" i="13"/>
  <c r="AB153" i="13"/>
  <c r="AA153" i="13"/>
  <c r="Z153" i="13"/>
  <c r="AK152" i="13"/>
  <c r="AI152" i="13"/>
  <c r="AG152" i="13"/>
  <c r="AE152" i="13"/>
  <c r="AD152" i="13"/>
  <c r="AC152" i="13"/>
  <c r="AB152" i="13"/>
  <c r="AA152" i="13"/>
  <c r="Z152" i="13"/>
  <c r="AK151" i="13"/>
  <c r="AI151" i="13"/>
  <c r="AG151" i="13"/>
  <c r="AE151" i="13"/>
  <c r="AD151" i="13"/>
  <c r="AC151" i="13"/>
  <c r="AB151" i="13"/>
  <c r="AA151" i="13"/>
  <c r="Z151" i="13"/>
  <c r="AK150" i="13"/>
  <c r="AI150" i="13"/>
  <c r="AG150" i="13"/>
  <c r="AE150" i="13"/>
  <c r="AD150" i="13"/>
  <c r="AC150" i="13"/>
  <c r="AB150" i="13"/>
  <c r="AA150" i="13"/>
  <c r="Z150" i="13"/>
  <c r="AK149" i="13"/>
  <c r="AI149" i="13"/>
  <c r="AG149" i="13"/>
  <c r="AE149" i="13"/>
  <c r="AD149" i="13"/>
  <c r="AC149" i="13"/>
  <c r="AB149" i="13"/>
  <c r="AA149" i="13"/>
  <c r="Z149" i="13"/>
  <c r="AK148" i="13"/>
  <c r="AI148" i="13"/>
  <c r="AG148" i="13"/>
  <c r="AE148" i="13"/>
  <c r="AD148" i="13"/>
  <c r="AC148" i="13"/>
  <c r="AB148" i="13"/>
  <c r="AA148" i="13"/>
  <c r="Z148" i="13"/>
  <c r="AK147" i="13"/>
  <c r="AI147" i="13"/>
  <c r="AG147" i="13"/>
  <c r="AE147" i="13"/>
  <c r="AD147" i="13"/>
  <c r="AC147" i="13"/>
  <c r="AB147" i="13"/>
  <c r="AA147" i="13"/>
  <c r="Z147" i="13"/>
  <c r="AK146" i="13"/>
  <c r="AI146" i="13"/>
  <c r="AG146" i="13"/>
  <c r="AE146" i="13"/>
  <c r="AD146" i="13"/>
  <c r="AC146" i="13"/>
  <c r="AB146" i="13"/>
  <c r="AA146" i="13"/>
  <c r="Z146" i="13"/>
  <c r="AK145" i="13"/>
  <c r="AI145" i="13"/>
  <c r="AG145" i="13"/>
  <c r="AE145" i="13"/>
  <c r="AD145" i="13"/>
  <c r="AC145" i="13"/>
  <c r="AB145" i="13"/>
  <c r="AA145" i="13"/>
  <c r="Z145" i="13"/>
  <c r="AK144" i="13"/>
  <c r="AI144" i="13"/>
  <c r="AG144" i="13"/>
  <c r="AE144" i="13"/>
  <c r="AD144" i="13"/>
  <c r="AC144" i="13"/>
  <c r="AB144" i="13"/>
  <c r="AA144" i="13"/>
  <c r="Z144" i="13"/>
  <c r="AK143" i="13"/>
  <c r="AI143" i="13"/>
  <c r="AG143" i="13"/>
  <c r="AE143" i="13"/>
  <c r="AD143" i="13"/>
  <c r="AC143" i="13"/>
  <c r="AB143" i="13"/>
  <c r="AA143" i="13"/>
  <c r="Z143" i="13"/>
  <c r="AK142" i="13"/>
  <c r="AI142" i="13"/>
  <c r="AG142" i="13"/>
  <c r="AE142" i="13"/>
  <c r="AD142" i="13"/>
  <c r="AC142" i="13"/>
  <c r="AB142" i="13"/>
  <c r="AA142" i="13"/>
  <c r="Z142" i="13"/>
  <c r="AK141" i="13"/>
  <c r="AI141" i="13"/>
  <c r="AG141" i="13"/>
  <c r="AE141" i="13"/>
  <c r="AD141" i="13"/>
  <c r="AC141" i="13"/>
  <c r="AB141" i="13"/>
  <c r="AA141" i="13"/>
  <c r="Z141" i="13"/>
  <c r="AK140" i="13"/>
  <c r="AI140" i="13"/>
  <c r="AG140" i="13"/>
  <c r="AE140" i="13"/>
  <c r="AD140" i="13"/>
  <c r="AC140" i="13"/>
  <c r="AB140" i="13"/>
  <c r="AA140" i="13"/>
  <c r="Z140" i="13"/>
  <c r="AM139" i="13"/>
  <c r="AM140" i="13" s="1"/>
  <c r="AM141" i="13" s="1"/>
  <c r="AM142" i="13" s="1"/>
  <c r="AM143" i="13" s="1"/>
  <c r="AM144" i="13" s="1"/>
  <c r="AM145" i="13" s="1"/>
  <c r="AM146" i="13" s="1"/>
  <c r="AM147" i="13" s="1"/>
  <c r="AM148" i="13" s="1"/>
  <c r="AM149" i="13" s="1"/>
  <c r="AM150" i="13" s="1"/>
  <c r="AM151" i="13" s="1"/>
  <c r="AM152" i="13" s="1"/>
  <c r="AK139" i="13"/>
  <c r="AI139" i="13"/>
  <c r="AG139" i="13"/>
  <c r="AE139" i="13"/>
  <c r="AD139" i="13"/>
  <c r="AC139" i="13"/>
  <c r="AB139" i="13"/>
  <c r="AA139" i="13"/>
  <c r="Z139" i="13"/>
  <c r="AK138" i="13"/>
  <c r="AI138" i="13"/>
  <c r="AG138" i="13"/>
  <c r="AE138" i="13"/>
  <c r="AD138" i="13"/>
  <c r="AC138" i="13"/>
  <c r="AB138" i="13"/>
  <c r="AA138" i="13"/>
  <c r="Z138" i="13"/>
  <c r="AK137" i="13"/>
  <c r="AI137" i="13"/>
  <c r="AG137" i="13"/>
  <c r="AE137" i="13"/>
  <c r="AD137" i="13"/>
  <c r="AC137" i="13"/>
  <c r="AB137" i="13"/>
  <c r="AA137" i="13"/>
  <c r="Z137" i="13"/>
  <c r="AK136" i="13"/>
  <c r="AI136" i="13"/>
  <c r="AG136" i="13"/>
  <c r="AE136" i="13"/>
  <c r="AD136" i="13"/>
  <c r="AC136" i="13"/>
  <c r="AB136" i="13"/>
  <c r="AA136" i="13"/>
  <c r="Z136" i="13"/>
  <c r="AM135" i="13"/>
  <c r="AM136" i="13" s="1"/>
  <c r="AM137" i="13" s="1"/>
  <c r="AM138" i="13" s="1"/>
  <c r="AK135" i="13"/>
  <c r="AI135" i="13"/>
  <c r="AG135" i="13"/>
  <c r="AE135" i="13"/>
  <c r="AD135" i="13"/>
  <c r="AC135" i="13"/>
  <c r="AB135" i="13"/>
  <c r="AA135" i="13"/>
  <c r="Z135" i="13"/>
  <c r="AK134" i="13"/>
  <c r="AI134" i="13"/>
  <c r="AG134" i="13"/>
  <c r="AE134" i="13"/>
  <c r="AD134" i="13"/>
  <c r="AC134" i="13"/>
  <c r="AB134" i="13"/>
  <c r="AA134" i="13"/>
  <c r="Z134" i="13"/>
  <c r="AK133" i="13"/>
  <c r="AI133" i="13"/>
  <c r="AG133" i="13"/>
  <c r="AE133" i="13"/>
  <c r="AD133" i="13"/>
  <c r="AC133" i="13"/>
  <c r="AB133" i="13"/>
  <c r="AA133" i="13"/>
  <c r="Z133" i="13"/>
  <c r="AK132" i="13"/>
  <c r="AI132" i="13"/>
  <c r="AG132" i="13"/>
  <c r="AE132" i="13"/>
  <c r="AD132" i="13"/>
  <c r="AC132" i="13"/>
  <c r="AB132" i="13"/>
  <c r="AA132" i="13"/>
  <c r="Z132" i="13"/>
  <c r="AK131" i="13"/>
  <c r="AI131" i="13"/>
  <c r="AG131" i="13"/>
  <c r="AE131" i="13"/>
  <c r="AD131" i="13"/>
  <c r="AC131" i="13"/>
  <c r="AB131" i="13"/>
  <c r="AA131" i="13"/>
  <c r="Z131" i="13"/>
  <c r="AK130" i="13"/>
  <c r="AI130" i="13"/>
  <c r="AG130" i="13"/>
  <c r="AE130" i="13"/>
  <c r="AD130" i="13"/>
  <c r="AC130" i="13"/>
  <c r="AB130" i="13"/>
  <c r="AA130" i="13"/>
  <c r="Z130" i="13"/>
  <c r="AK129" i="13"/>
  <c r="AI129" i="13"/>
  <c r="AG129" i="13"/>
  <c r="AE129" i="13"/>
  <c r="AD129" i="13"/>
  <c r="AC129" i="13"/>
  <c r="AB129" i="13"/>
  <c r="AA129" i="13"/>
  <c r="Z129" i="13"/>
  <c r="AK128" i="13"/>
  <c r="AI128" i="13"/>
  <c r="AG128" i="13"/>
  <c r="AE128" i="13"/>
  <c r="AD128" i="13"/>
  <c r="AC128" i="13"/>
  <c r="AB128" i="13"/>
  <c r="AA128" i="13"/>
  <c r="Z128" i="13"/>
  <c r="AK127" i="13"/>
  <c r="AI127" i="13"/>
  <c r="AG127" i="13"/>
  <c r="AE127" i="13"/>
  <c r="AD127" i="13"/>
  <c r="AC127" i="13"/>
  <c r="AB127" i="13"/>
  <c r="AA127" i="13"/>
  <c r="Z127" i="13"/>
  <c r="AK126" i="13"/>
  <c r="AI126" i="13"/>
  <c r="AG126" i="13"/>
  <c r="AE126" i="13"/>
  <c r="AD126" i="13"/>
  <c r="AC126" i="13"/>
  <c r="AB126" i="13"/>
  <c r="AA126" i="13"/>
  <c r="Z126" i="13"/>
  <c r="AK125" i="13"/>
  <c r="AI125" i="13"/>
  <c r="AG125" i="13"/>
  <c r="AE125" i="13"/>
  <c r="AD125" i="13"/>
  <c r="AC125" i="13"/>
  <c r="AB125" i="13"/>
  <c r="AA125" i="13"/>
  <c r="Z125" i="13"/>
  <c r="AK124" i="13"/>
  <c r="AI124" i="13"/>
  <c r="AG124" i="13"/>
  <c r="AE124" i="13"/>
  <c r="AD124" i="13"/>
  <c r="AC124" i="13"/>
  <c r="AB124" i="13"/>
  <c r="AA124" i="13"/>
  <c r="Z124" i="13"/>
  <c r="AK123" i="13"/>
  <c r="AI123" i="13"/>
  <c r="AG123" i="13"/>
  <c r="AE123" i="13"/>
  <c r="AD123" i="13"/>
  <c r="AC123" i="13"/>
  <c r="AB123" i="13"/>
  <c r="AA123" i="13"/>
  <c r="Z123" i="13"/>
  <c r="AM122" i="13"/>
  <c r="AM123" i="13" s="1"/>
  <c r="AM124" i="13" s="1"/>
  <c r="AM125" i="13" s="1"/>
  <c r="AM126" i="13" s="1"/>
  <c r="AM127" i="13" s="1"/>
  <c r="AM128" i="13" s="1"/>
  <c r="AM129" i="13" s="1"/>
  <c r="AM130" i="13" s="1"/>
  <c r="AM131" i="13" s="1"/>
  <c r="AM132" i="13" s="1"/>
  <c r="AM133" i="13" s="1"/>
  <c r="AM134" i="13" s="1"/>
  <c r="AK122" i="13"/>
  <c r="AI122" i="13"/>
  <c r="AG122" i="13"/>
  <c r="AE122" i="13"/>
  <c r="AD122" i="13"/>
  <c r="AC122" i="13"/>
  <c r="AB122" i="13"/>
  <c r="AA122" i="13"/>
  <c r="Z122" i="13"/>
  <c r="AK121" i="13"/>
  <c r="AI121" i="13"/>
  <c r="AG121" i="13"/>
  <c r="AE121" i="13"/>
  <c r="AD121" i="13"/>
  <c r="AC121" i="13"/>
  <c r="AB121" i="13"/>
  <c r="AA121" i="13"/>
  <c r="Z121" i="13"/>
  <c r="AK120" i="13"/>
  <c r="AI120" i="13"/>
  <c r="AG120" i="13"/>
  <c r="AE120" i="13"/>
  <c r="AD120" i="13"/>
  <c r="AC120" i="13"/>
  <c r="AB120" i="13"/>
  <c r="AA120" i="13"/>
  <c r="Z120" i="13"/>
  <c r="AK119" i="13"/>
  <c r="AI119" i="13"/>
  <c r="AG119" i="13"/>
  <c r="AE119" i="13"/>
  <c r="AD119" i="13"/>
  <c r="AC119" i="13"/>
  <c r="AB119" i="13"/>
  <c r="AA119" i="13"/>
  <c r="Z119" i="13"/>
  <c r="AM118" i="13"/>
  <c r="AM119" i="13" s="1"/>
  <c r="AM120" i="13" s="1"/>
  <c r="AM121" i="13" s="1"/>
  <c r="AK118" i="13"/>
  <c r="AI118" i="13"/>
  <c r="AG118" i="13"/>
  <c r="AH72" i="4" s="1"/>
  <c r="AE118" i="13"/>
  <c r="AD118" i="13"/>
  <c r="AC118" i="13"/>
  <c r="AB118" i="13"/>
  <c r="AA118" i="13"/>
  <c r="Z118" i="13"/>
  <c r="AK117" i="13"/>
  <c r="AI117" i="13"/>
  <c r="AG117" i="13"/>
  <c r="AE117" i="13"/>
  <c r="AD117" i="13"/>
  <c r="AC117" i="13"/>
  <c r="AB117" i="13"/>
  <c r="AA117" i="13"/>
  <c r="Z117" i="13"/>
  <c r="AK116" i="13"/>
  <c r="AI116" i="13"/>
  <c r="AG116" i="13"/>
  <c r="AE116" i="13"/>
  <c r="AD116" i="13"/>
  <c r="AC116" i="13"/>
  <c r="AB116" i="13"/>
  <c r="AA116" i="13"/>
  <c r="Z116" i="13"/>
  <c r="AK115" i="13"/>
  <c r="AI115" i="13"/>
  <c r="AG115" i="13"/>
  <c r="AE115" i="13"/>
  <c r="AD115" i="13"/>
  <c r="AC115" i="13"/>
  <c r="AB115" i="13"/>
  <c r="AA115" i="13"/>
  <c r="Z115" i="13"/>
  <c r="AK114" i="13"/>
  <c r="AI114" i="13"/>
  <c r="AG114" i="13"/>
  <c r="AE114" i="13"/>
  <c r="AD114" i="13"/>
  <c r="AC114" i="13"/>
  <c r="AB114" i="13"/>
  <c r="AA114" i="13"/>
  <c r="Z114" i="13"/>
  <c r="AM113" i="13"/>
  <c r="AM114" i="13" s="1"/>
  <c r="AM115" i="13" s="1"/>
  <c r="AM116" i="13" s="1"/>
  <c r="AM117" i="13" s="1"/>
  <c r="AK113" i="13"/>
  <c r="AI113" i="13"/>
  <c r="AG113" i="13"/>
  <c r="AH509" i="4" s="1"/>
  <c r="AE113" i="13"/>
  <c r="AD113" i="13"/>
  <c r="AC113" i="13"/>
  <c r="AB113" i="13"/>
  <c r="AA113" i="13"/>
  <c r="Z113" i="13"/>
  <c r="AK112" i="13"/>
  <c r="AI112" i="13"/>
  <c r="AG112" i="13"/>
  <c r="AE112" i="13"/>
  <c r="AD112" i="13"/>
  <c r="AC112" i="13"/>
  <c r="AB112" i="13"/>
  <c r="AA112" i="13"/>
  <c r="Z112" i="13"/>
  <c r="AK111" i="13"/>
  <c r="AI111" i="13"/>
  <c r="AG111" i="13"/>
  <c r="AE111" i="13"/>
  <c r="AD111" i="13"/>
  <c r="AC111" i="13"/>
  <c r="AB111" i="13"/>
  <c r="AA111" i="13"/>
  <c r="Z111" i="13"/>
  <c r="AM110" i="13"/>
  <c r="AM111" i="13" s="1"/>
  <c r="AM112" i="13" s="1"/>
  <c r="AK110" i="13"/>
  <c r="AI110" i="13"/>
  <c r="AG110" i="13"/>
  <c r="AE110" i="13"/>
  <c r="AD110" i="13"/>
  <c r="AC110" i="13"/>
  <c r="AB110" i="13"/>
  <c r="AA110" i="13"/>
  <c r="Z110" i="13"/>
  <c r="AK109" i="13"/>
  <c r="AI109" i="13"/>
  <c r="AG109" i="13"/>
  <c r="AE109" i="13"/>
  <c r="AD109" i="13"/>
  <c r="AC109" i="13"/>
  <c r="AB109" i="13"/>
  <c r="AA109" i="13"/>
  <c r="Z109" i="13"/>
  <c r="AK108" i="13"/>
  <c r="AI108" i="13"/>
  <c r="AG108" i="13"/>
  <c r="AE108" i="13"/>
  <c r="AD108" i="13"/>
  <c r="AC108" i="13"/>
  <c r="AB108" i="13"/>
  <c r="AA108" i="13"/>
  <c r="Z108" i="13"/>
  <c r="AK107" i="13"/>
  <c r="AI107" i="13"/>
  <c r="AG107" i="13"/>
  <c r="AE107" i="13"/>
  <c r="AD107" i="13"/>
  <c r="AC107" i="13"/>
  <c r="AB107" i="13"/>
  <c r="AA107" i="13"/>
  <c r="Z107" i="13"/>
  <c r="AK106" i="13"/>
  <c r="AI106" i="13"/>
  <c r="AG106" i="13"/>
  <c r="AE106" i="13"/>
  <c r="AD106" i="13"/>
  <c r="AC106" i="13"/>
  <c r="AB106" i="13"/>
  <c r="AA106" i="13"/>
  <c r="Z106" i="13"/>
  <c r="AK105" i="13"/>
  <c r="AI105" i="13"/>
  <c r="AG105" i="13"/>
  <c r="AE105" i="13"/>
  <c r="AD105" i="13"/>
  <c r="AC105" i="13"/>
  <c r="AB105" i="13"/>
  <c r="AA105" i="13"/>
  <c r="Z105" i="13"/>
  <c r="AK104" i="13"/>
  <c r="AI104" i="13"/>
  <c r="AG104" i="13"/>
  <c r="AE104" i="13"/>
  <c r="AD104" i="13"/>
  <c r="AC104" i="13"/>
  <c r="AB104" i="13"/>
  <c r="AA104" i="13"/>
  <c r="Z104" i="13"/>
  <c r="AK103" i="13"/>
  <c r="AI103" i="13"/>
  <c r="AG103" i="13"/>
  <c r="AE103" i="13"/>
  <c r="AD103" i="13"/>
  <c r="AC103" i="13"/>
  <c r="AB103" i="13"/>
  <c r="AA103" i="13"/>
  <c r="Z103" i="13"/>
  <c r="AK102" i="13"/>
  <c r="AI102" i="13"/>
  <c r="AG102" i="13"/>
  <c r="AE102" i="13"/>
  <c r="AD102" i="13"/>
  <c r="AC102" i="13"/>
  <c r="AB102" i="13"/>
  <c r="AA102" i="13"/>
  <c r="Z102" i="13"/>
  <c r="AK101" i="13"/>
  <c r="AI101" i="13"/>
  <c r="AG101" i="13"/>
  <c r="AE101" i="13"/>
  <c r="AD101" i="13"/>
  <c r="AC101" i="13"/>
  <c r="AB101" i="13"/>
  <c r="AA101" i="13"/>
  <c r="Z101" i="13"/>
  <c r="AK100" i="13"/>
  <c r="AI100" i="13"/>
  <c r="AG100" i="13"/>
  <c r="AE100" i="13"/>
  <c r="AD100" i="13"/>
  <c r="AC100" i="13"/>
  <c r="AB100" i="13"/>
  <c r="AA100" i="13"/>
  <c r="Z100" i="13"/>
  <c r="AK99" i="13"/>
  <c r="AI99" i="13"/>
  <c r="AG99" i="13"/>
  <c r="AE99" i="13"/>
  <c r="AD99" i="13"/>
  <c r="AC99" i="13"/>
  <c r="AB99" i="13"/>
  <c r="AA99" i="13"/>
  <c r="Z99" i="13"/>
  <c r="AK98" i="13"/>
  <c r="AI98" i="13"/>
  <c r="AG98" i="13"/>
  <c r="AE98" i="13"/>
  <c r="AD98" i="13"/>
  <c r="AC98" i="13"/>
  <c r="AB98" i="13"/>
  <c r="AA98" i="13"/>
  <c r="Z98" i="13"/>
  <c r="AM97" i="13"/>
  <c r="AM98" i="13" s="1"/>
  <c r="AM99" i="13" s="1"/>
  <c r="AM100" i="13" s="1"/>
  <c r="AM101" i="13" s="1"/>
  <c r="AM102" i="13" s="1"/>
  <c r="AM103" i="13" s="1"/>
  <c r="AM104" i="13" s="1"/>
  <c r="AM105" i="13" s="1"/>
  <c r="AM106" i="13" s="1"/>
  <c r="AM107" i="13" s="1"/>
  <c r="AM108" i="13" s="1"/>
  <c r="AM109" i="13" s="1"/>
  <c r="AK97" i="13"/>
  <c r="AI97" i="13"/>
  <c r="AG97" i="13"/>
  <c r="AH29" i="4" s="1"/>
  <c r="AE97" i="13"/>
  <c r="AD97" i="13"/>
  <c r="AC97" i="13"/>
  <c r="AB97" i="13"/>
  <c r="AA97" i="13"/>
  <c r="Z97" i="13"/>
  <c r="AK96" i="13"/>
  <c r="AI96" i="13"/>
  <c r="AG96" i="13"/>
  <c r="AE96" i="13"/>
  <c r="AD96" i="13"/>
  <c r="AC96" i="13"/>
  <c r="AB96" i="13"/>
  <c r="AA96" i="13"/>
  <c r="Z96" i="13"/>
  <c r="AK95" i="13"/>
  <c r="AI95" i="13"/>
  <c r="AG95" i="13"/>
  <c r="AE95" i="13"/>
  <c r="AD95" i="13"/>
  <c r="AC95" i="13"/>
  <c r="AB95" i="13"/>
  <c r="AA95" i="13"/>
  <c r="Z95" i="13"/>
  <c r="AK94" i="13"/>
  <c r="AI94" i="13"/>
  <c r="AG94" i="13"/>
  <c r="AE94" i="13"/>
  <c r="AD94" i="13"/>
  <c r="AC94" i="13"/>
  <c r="AB94" i="13"/>
  <c r="AA94" i="13"/>
  <c r="Z94" i="13"/>
  <c r="AK93" i="13"/>
  <c r="AI93" i="13"/>
  <c r="AG93" i="13"/>
  <c r="AE93" i="13"/>
  <c r="AD93" i="13"/>
  <c r="AC93" i="13"/>
  <c r="AB93" i="13"/>
  <c r="AA93" i="13"/>
  <c r="Z93" i="13"/>
  <c r="AK92" i="13"/>
  <c r="AI92" i="13"/>
  <c r="AG92" i="13"/>
  <c r="AE92" i="13"/>
  <c r="AD92" i="13"/>
  <c r="AC92" i="13"/>
  <c r="AB92" i="13"/>
  <c r="AA92" i="13"/>
  <c r="Z92" i="13"/>
  <c r="AK91" i="13"/>
  <c r="AI91" i="13"/>
  <c r="AG91" i="13"/>
  <c r="AE91" i="13"/>
  <c r="AD91" i="13"/>
  <c r="AC91" i="13"/>
  <c r="AB91" i="13"/>
  <c r="AA91" i="13"/>
  <c r="Z91" i="13"/>
  <c r="AK90" i="13"/>
  <c r="AI90" i="13"/>
  <c r="AG90" i="13"/>
  <c r="AE90" i="13"/>
  <c r="AD90" i="13"/>
  <c r="AC90" i="13"/>
  <c r="AB90" i="13"/>
  <c r="AA90" i="13"/>
  <c r="Z90" i="13"/>
  <c r="AK89" i="13"/>
  <c r="AI89" i="13"/>
  <c r="AG89" i="13"/>
  <c r="AE89" i="13"/>
  <c r="AD89" i="13"/>
  <c r="AC89" i="13"/>
  <c r="AB89" i="13"/>
  <c r="AA89" i="13"/>
  <c r="Z89" i="13"/>
  <c r="AK88" i="13"/>
  <c r="AI88" i="13"/>
  <c r="AG88" i="13"/>
  <c r="AE88" i="13"/>
  <c r="AD88" i="13"/>
  <c r="AC88" i="13"/>
  <c r="AB88" i="13"/>
  <c r="AA88" i="13"/>
  <c r="Z88" i="13"/>
  <c r="AK87" i="13"/>
  <c r="AI87" i="13"/>
  <c r="AG87" i="13"/>
  <c r="AE87" i="13"/>
  <c r="AD87" i="13"/>
  <c r="AC87" i="13"/>
  <c r="AB87" i="13"/>
  <c r="AA87" i="13"/>
  <c r="Z87" i="13"/>
  <c r="AK86" i="13"/>
  <c r="AI86" i="13"/>
  <c r="AG86" i="13"/>
  <c r="AE86" i="13"/>
  <c r="AD86" i="13"/>
  <c r="AC86" i="13"/>
  <c r="AB86" i="13"/>
  <c r="AA86" i="13"/>
  <c r="Z86" i="13"/>
  <c r="AK85" i="13"/>
  <c r="AI85" i="13"/>
  <c r="AG85" i="13"/>
  <c r="AE85" i="13"/>
  <c r="AD85" i="13"/>
  <c r="AC85" i="13"/>
  <c r="AB85" i="13"/>
  <c r="AA85" i="13"/>
  <c r="Z85" i="13"/>
  <c r="AM84" i="13"/>
  <c r="AM85" i="13" s="1"/>
  <c r="AM86" i="13" s="1"/>
  <c r="AM87" i="13" s="1"/>
  <c r="AM88" i="13" s="1"/>
  <c r="AM89" i="13" s="1"/>
  <c r="AM90" i="13" s="1"/>
  <c r="AM91" i="13" s="1"/>
  <c r="AM92" i="13" s="1"/>
  <c r="AM93" i="13" s="1"/>
  <c r="AM94" i="13" s="1"/>
  <c r="AM95" i="13" s="1"/>
  <c r="AM96" i="13" s="1"/>
  <c r="AK84" i="13"/>
  <c r="AI84" i="13"/>
  <c r="AG84" i="13"/>
  <c r="AH516" i="4" s="1"/>
  <c r="AE84" i="13"/>
  <c r="AD84" i="13"/>
  <c r="AC84" i="13"/>
  <c r="AB84" i="13"/>
  <c r="AA84" i="13"/>
  <c r="Z84" i="13"/>
  <c r="AK83" i="13"/>
  <c r="AI83" i="13"/>
  <c r="AG83" i="13"/>
  <c r="AE83" i="13"/>
  <c r="AD83" i="13"/>
  <c r="AC83" i="13"/>
  <c r="AB83" i="13"/>
  <c r="AA83" i="13"/>
  <c r="Z83" i="13"/>
  <c r="AK82" i="13"/>
  <c r="AI82" i="13"/>
  <c r="AG82" i="13"/>
  <c r="AE82" i="13"/>
  <c r="AD82" i="13"/>
  <c r="AC82" i="13"/>
  <c r="AB82" i="13"/>
  <c r="AA82" i="13"/>
  <c r="Z82" i="13"/>
  <c r="AK81" i="13"/>
  <c r="AI81" i="13"/>
  <c r="AG81" i="13"/>
  <c r="AE81" i="13"/>
  <c r="AD81" i="13"/>
  <c r="AC81" i="13"/>
  <c r="AB81" i="13"/>
  <c r="AA81" i="13"/>
  <c r="Z81" i="13"/>
  <c r="AK80" i="13"/>
  <c r="AI80" i="13"/>
  <c r="AG80" i="13"/>
  <c r="AE80" i="13"/>
  <c r="AD80" i="13"/>
  <c r="AC80" i="13"/>
  <c r="AB80" i="13"/>
  <c r="AA80" i="13"/>
  <c r="Z80" i="13"/>
  <c r="AK79" i="13"/>
  <c r="AI79" i="13"/>
  <c r="AG79" i="13"/>
  <c r="AE79" i="13"/>
  <c r="AD79" i="13"/>
  <c r="AC79" i="13"/>
  <c r="AB79" i="13"/>
  <c r="AA79" i="13"/>
  <c r="Z79" i="13"/>
  <c r="AK78" i="13"/>
  <c r="AI78" i="13"/>
  <c r="AG78" i="13"/>
  <c r="AE78" i="13"/>
  <c r="AD78" i="13"/>
  <c r="AC78" i="13"/>
  <c r="AB78" i="13"/>
  <c r="AA78" i="13"/>
  <c r="Z78" i="13"/>
  <c r="AK77" i="13"/>
  <c r="AI77" i="13"/>
  <c r="AG77" i="13"/>
  <c r="AE77" i="13"/>
  <c r="AD77" i="13"/>
  <c r="AC77" i="13"/>
  <c r="AB77" i="13"/>
  <c r="AA77" i="13"/>
  <c r="Z77" i="13"/>
  <c r="AM76" i="13"/>
  <c r="AM77" i="13" s="1"/>
  <c r="AM78" i="13" s="1"/>
  <c r="AM79" i="13" s="1"/>
  <c r="AM80" i="13" s="1"/>
  <c r="AM81" i="13" s="1"/>
  <c r="AM82" i="13" s="1"/>
  <c r="AM83" i="13" s="1"/>
  <c r="AK76" i="13"/>
  <c r="AI76" i="13"/>
  <c r="AG76" i="13"/>
  <c r="AE76" i="13"/>
  <c r="AD76" i="13"/>
  <c r="AC76" i="13"/>
  <c r="AB76" i="13"/>
  <c r="AA76" i="13"/>
  <c r="Z76" i="13"/>
  <c r="AK75" i="13"/>
  <c r="AI75" i="13"/>
  <c r="AG75" i="13"/>
  <c r="AE75" i="13"/>
  <c r="AD75" i="13"/>
  <c r="AC75" i="13"/>
  <c r="AB75" i="13"/>
  <c r="AA75" i="13"/>
  <c r="Z75" i="13"/>
  <c r="AK74" i="13"/>
  <c r="AI74" i="13"/>
  <c r="AG74" i="13"/>
  <c r="AE74" i="13"/>
  <c r="AD74" i="13"/>
  <c r="AC74" i="13"/>
  <c r="AB74" i="13"/>
  <c r="AA74" i="13"/>
  <c r="Z74" i="13"/>
  <c r="AK73" i="13"/>
  <c r="AI73" i="13"/>
  <c r="AG73" i="13"/>
  <c r="AE73" i="13"/>
  <c r="AD73" i="13"/>
  <c r="AC73" i="13"/>
  <c r="AB73" i="13"/>
  <c r="AA73" i="13"/>
  <c r="Z73" i="13"/>
  <c r="AK72" i="13"/>
  <c r="AI72" i="13"/>
  <c r="AG72" i="13"/>
  <c r="AE72" i="13"/>
  <c r="AD72" i="13"/>
  <c r="AC72" i="13"/>
  <c r="AB72" i="13"/>
  <c r="AA72" i="13"/>
  <c r="Z72" i="13"/>
  <c r="AK71" i="13"/>
  <c r="AI71" i="13"/>
  <c r="AG71" i="13"/>
  <c r="AE71" i="13"/>
  <c r="AD71" i="13"/>
  <c r="AC71" i="13"/>
  <c r="AB71" i="13"/>
  <c r="AA71" i="13"/>
  <c r="Z71" i="13"/>
  <c r="AK70" i="13"/>
  <c r="AI70" i="13"/>
  <c r="AG70" i="13"/>
  <c r="AE70" i="13"/>
  <c r="AD70" i="13"/>
  <c r="AC70" i="13"/>
  <c r="AB70" i="13"/>
  <c r="AA70" i="13"/>
  <c r="Z70" i="13"/>
  <c r="AM69" i="13"/>
  <c r="AM70" i="13" s="1"/>
  <c r="AM71" i="13" s="1"/>
  <c r="AM72" i="13" s="1"/>
  <c r="AM73" i="13" s="1"/>
  <c r="AM74" i="13" s="1"/>
  <c r="AM75" i="13" s="1"/>
  <c r="AK69" i="13"/>
  <c r="AI69" i="13"/>
  <c r="AG69" i="13"/>
  <c r="AE69" i="13"/>
  <c r="AD69" i="13"/>
  <c r="AC69" i="13"/>
  <c r="AB69" i="13"/>
  <c r="AA69" i="13"/>
  <c r="Z69" i="13"/>
  <c r="AK68" i="13"/>
  <c r="AI68" i="13"/>
  <c r="AG68" i="13"/>
  <c r="AE68" i="13"/>
  <c r="AD68" i="13"/>
  <c r="AC68" i="13"/>
  <c r="AB68" i="13"/>
  <c r="AA68" i="13"/>
  <c r="Z68" i="13"/>
  <c r="AK67" i="13"/>
  <c r="AI67" i="13"/>
  <c r="AG67" i="13"/>
  <c r="AE67" i="13"/>
  <c r="AD67" i="13"/>
  <c r="AC67" i="13"/>
  <c r="AB67" i="13"/>
  <c r="AA67" i="13"/>
  <c r="Z67" i="13"/>
  <c r="AK66" i="13"/>
  <c r="AI66" i="13"/>
  <c r="AG66" i="13"/>
  <c r="AE66" i="13"/>
  <c r="AD66" i="13"/>
  <c r="AC66" i="13"/>
  <c r="AB66" i="13"/>
  <c r="AA66" i="13"/>
  <c r="Z66" i="13"/>
  <c r="AK65" i="13"/>
  <c r="AI65" i="13"/>
  <c r="AG65" i="13"/>
  <c r="AE65" i="13"/>
  <c r="AD65" i="13"/>
  <c r="AC65" i="13"/>
  <c r="AB65" i="13"/>
  <c r="AA65" i="13"/>
  <c r="Z65" i="13"/>
  <c r="AM64" i="13"/>
  <c r="AM65" i="13" s="1"/>
  <c r="AM66" i="13" s="1"/>
  <c r="AM67" i="13" s="1"/>
  <c r="AM68" i="13" s="1"/>
  <c r="AK64" i="13"/>
  <c r="AI64" i="13"/>
  <c r="AG64" i="13"/>
  <c r="AE64" i="13"/>
  <c r="AD64" i="13"/>
  <c r="AC64" i="13"/>
  <c r="AB64" i="13"/>
  <c r="AA64" i="13"/>
  <c r="Z64" i="13"/>
  <c r="AK63" i="13"/>
  <c r="AI63" i="13"/>
  <c r="AG63" i="13"/>
  <c r="AE63" i="13"/>
  <c r="AD63" i="13"/>
  <c r="AC63" i="13"/>
  <c r="AB63" i="13"/>
  <c r="AA63" i="13"/>
  <c r="Z63" i="13"/>
  <c r="AK62" i="13"/>
  <c r="AI62" i="13"/>
  <c r="AG62" i="13"/>
  <c r="AE62" i="13"/>
  <c r="AD62" i="13"/>
  <c r="AC62" i="13"/>
  <c r="AB62" i="13"/>
  <c r="AA62" i="13"/>
  <c r="Z62" i="13"/>
  <c r="AK61" i="13"/>
  <c r="AI61" i="13"/>
  <c r="AG61" i="13"/>
  <c r="AE61" i="13"/>
  <c r="AD61" i="13"/>
  <c r="AC61" i="13"/>
  <c r="AB61" i="13"/>
  <c r="AA61" i="13"/>
  <c r="Z61" i="13"/>
  <c r="AK60" i="13"/>
  <c r="AI60" i="13"/>
  <c r="AG60" i="13"/>
  <c r="AE60" i="13"/>
  <c r="AD60" i="13"/>
  <c r="AC60" i="13"/>
  <c r="AB60" i="13"/>
  <c r="AA60" i="13"/>
  <c r="Z60" i="13"/>
  <c r="AM59" i="13"/>
  <c r="AM60" i="13" s="1"/>
  <c r="AM61" i="13" s="1"/>
  <c r="AM62" i="13" s="1"/>
  <c r="AM63" i="13" s="1"/>
  <c r="AK59" i="13"/>
  <c r="AI59" i="13"/>
  <c r="AG59" i="13"/>
  <c r="AE59" i="13"/>
  <c r="AD59" i="13"/>
  <c r="AC59" i="13"/>
  <c r="AB59" i="13"/>
  <c r="AA59" i="13"/>
  <c r="Z59" i="13"/>
  <c r="AK58" i="13"/>
  <c r="AI58" i="13"/>
  <c r="AG58" i="13"/>
  <c r="AE58" i="13"/>
  <c r="AD58" i="13"/>
  <c r="AC58" i="13"/>
  <c r="AB58" i="13"/>
  <c r="AA58" i="13"/>
  <c r="Z58" i="13"/>
  <c r="AK57" i="13"/>
  <c r="AI57" i="13"/>
  <c r="AG57" i="13"/>
  <c r="AE57" i="13"/>
  <c r="AD57" i="13"/>
  <c r="AC57" i="13"/>
  <c r="AB57" i="13"/>
  <c r="AA57" i="13"/>
  <c r="Z57" i="13"/>
  <c r="AK56" i="13"/>
  <c r="AI56" i="13"/>
  <c r="AG56" i="13"/>
  <c r="AE56" i="13"/>
  <c r="AD56" i="13"/>
  <c r="AC56" i="13"/>
  <c r="AB56" i="13"/>
  <c r="AA56" i="13"/>
  <c r="Z56" i="13"/>
  <c r="AK55" i="13"/>
  <c r="AI55" i="13"/>
  <c r="AG55" i="13"/>
  <c r="AE55" i="13"/>
  <c r="AD55" i="13"/>
  <c r="AC55" i="13"/>
  <c r="AB55" i="13"/>
  <c r="AA55" i="13"/>
  <c r="Z55" i="13"/>
  <c r="AK54" i="13"/>
  <c r="AI54" i="13"/>
  <c r="AG54" i="13"/>
  <c r="AE54" i="13"/>
  <c r="AD54" i="13"/>
  <c r="AC54" i="13"/>
  <c r="AB54" i="13"/>
  <c r="AA54" i="13"/>
  <c r="Z54" i="13"/>
  <c r="AM53" i="13"/>
  <c r="AM54" i="13" s="1"/>
  <c r="AM55" i="13" s="1"/>
  <c r="AM56" i="13" s="1"/>
  <c r="AM57" i="13" s="1"/>
  <c r="AM58" i="13" s="1"/>
  <c r="AK53" i="13"/>
  <c r="AI53" i="13"/>
  <c r="AG53" i="13"/>
  <c r="AE53" i="13"/>
  <c r="AD53" i="13"/>
  <c r="AC53" i="13"/>
  <c r="AB53" i="13"/>
  <c r="AA53" i="13"/>
  <c r="Z53" i="13"/>
  <c r="AK52" i="13"/>
  <c r="AI52" i="13"/>
  <c r="AG52" i="13"/>
  <c r="AE52" i="13"/>
  <c r="AD52" i="13"/>
  <c r="AC52" i="13"/>
  <c r="AB52" i="13"/>
  <c r="AA52" i="13"/>
  <c r="Z52" i="13"/>
  <c r="AK51" i="13"/>
  <c r="AI51" i="13"/>
  <c r="AG51" i="13"/>
  <c r="AE51" i="13"/>
  <c r="AD51" i="13"/>
  <c r="AC51" i="13"/>
  <c r="AB51" i="13"/>
  <c r="AA51" i="13"/>
  <c r="Z51" i="13"/>
  <c r="AK50" i="13"/>
  <c r="AI50" i="13"/>
  <c r="AG50" i="13"/>
  <c r="AE50" i="13"/>
  <c r="AD50" i="13"/>
  <c r="AC50" i="13"/>
  <c r="AB50" i="13"/>
  <c r="AA50" i="13"/>
  <c r="Z50" i="13"/>
  <c r="AK49" i="13"/>
  <c r="AI49" i="13"/>
  <c r="AG49" i="13"/>
  <c r="AE49" i="13"/>
  <c r="AD49" i="13"/>
  <c r="AC49" i="13"/>
  <c r="AB49" i="13"/>
  <c r="AA49" i="13"/>
  <c r="Z49" i="13"/>
  <c r="AK48" i="13"/>
  <c r="AI48" i="13"/>
  <c r="AG48" i="13"/>
  <c r="AE48" i="13"/>
  <c r="AD48" i="13"/>
  <c r="AC48" i="13"/>
  <c r="AB48" i="13"/>
  <c r="AA48" i="13"/>
  <c r="Z48" i="13"/>
  <c r="AK47" i="13"/>
  <c r="AI47" i="13"/>
  <c r="AG47" i="13"/>
  <c r="AE47" i="13"/>
  <c r="AD47" i="13"/>
  <c r="AC47" i="13"/>
  <c r="AB47" i="13"/>
  <c r="AA47" i="13"/>
  <c r="Z47" i="13"/>
  <c r="AK46" i="13"/>
  <c r="AI46" i="13"/>
  <c r="AG46" i="13"/>
  <c r="AE46" i="13"/>
  <c r="AD46" i="13"/>
  <c r="AC46" i="13"/>
  <c r="AB46" i="13"/>
  <c r="AA46" i="13"/>
  <c r="Z46" i="13"/>
  <c r="AK45" i="13"/>
  <c r="AI45" i="13"/>
  <c r="AG45" i="13"/>
  <c r="AE45" i="13"/>
  <c r="AD45" i="13"/>
  <c r="AC45" i="13"/>
  <c r="AB45" i="13"/>
  <c r="AA45" i="13"/>
  <c r="Z45" i="13"/>
  <c r="AK44" i="13"/>
  <c r="AI44" i="13"/>
  <c r="AG44" i="13"/>
  <c r="AE44" i="13"/>
  <c r="AD44" i="13"/>
  <c r="AC44" i="13"/>
  <c r="AB44" i="13"/>
  <c r="AA44" i="13"/>
  <c r="Z44" i="13"/>
  <c r="AK43" i="13"/>
  <c r="AI43" i="13"/>
  <c r="AG43" i="13"/>
  <c r="AE43" i="13"/>
  <c r="AD43" i="13"/>
  <c r="AC43" i="13"/>
  <c r="AB43" i="13"/>
  <c r="AA43" i="13"/>
  <c r="Z43" i="13"/>
  <c r="AK42" i="13"/>
  <c r="AI42" i="13"/>
  <c r="AG42" i="13"/>
  <c r="AE42" i="13"/>
  <c r="AD42" i="13"/>
  <c r="AC42" i="13"/>
  <c r="AB42" i="13"/>
  <c r="AA42" i="13"/>
  <c r="Z42" i="13"/>
  <c r="AK41" i="13"/>
  <c r="AI41" i="13"/>
  <c r="AG41" i="13"/>
  <c r="AE41" i="13"/>
  <c r="AD41" i="13"/>
  <c r="AC41" i="13"/>
  <c r="AB41" i="13"/>
  <c r="AA41" i="13"/>
  <c r="Z41" i="13"/>
  <c r="AM40" i="13"/>
  <c r="AM41" i="13" s="1"/>
  <c r="AM42" i="13" s="1"/>
  <c r="AM43" i="13" s="1"/>
  <c r="AM44" i="13" s="1"/>
  <c r="AM45" i="13" s="1"/>
  <c r="AM46" i="13" s="1"/>
  <c r="AM47" i="13" s="1"/>
  <c r="AM48" i="13" s="1"/>
  <c r="AM49" i="13" s="1"/>
  <c r="AM50" i="13" s="1"/>
  <c r="AM51" i="13" s="1"/>
  <c r="AM52" i="13" s="1"/>
  <c r="AK40" i="13"/>
  <c r="AI40" i="13"/>
  <c r="AG40" i="13"/>
  <c r="AE40" i="13"/>
  <c r="AD40" i="13"/>
  <c r="AC40" i="13"/>
  <c r="AB40" i="13"/>
  <c r="AA40" i="13"/>
  <c r="Z40" i="13"/>
  <c r="AK39" i="13"/>
  <c r="AI39" i="13"/>
  <c r="AG39" i="13"/>
  <c r="AE39" i="13"/>
  <c r="AD39" i="13"/>
  <c r="AC39" i="13"/>
  <c r="AB39" i="13"/>
  <c r="AA39" i="13"/>
  <c r="Z39" i="13"/>
  <c r="AK38" i="13"/>
  <c r="AI38" i="13"/>
  <c r="AG38" i="13"/>
  <c r="AE38" i="13"/>
  <c r="AD38" i="13"/>
  <c r="AC38" i="13"/>
  <c r="AB38" i="13"/>
  <c r="AA38" i="13"/>
  <c r="Z38" i="13"/>
  <c r="AK37" i="13"/>
  <c r="AI37" i="13"/>
  <c r="AG37" i="13"/>
  <c r="AE37" i="13"/>
  <c r="AD37" i="13"/>
  <c r="AC37" i="13"/>
  <c r="AB37" i="13"/>
  <c r="AA37" i="13"/>
  <c r="Z37" i="13"/>
  <c r="AK36" i="13"/>
  <c r="AI36" i="13"/>
  <c r="AG36" i="13"/>
  <c r="AE36" i="13"/>
  <c r="AD36" i="13"/>
  <c r="AC36" i="13"/>
  <c r="AB36" i="13"/>
  <c r="AA36" i="13"/>
  <c r="Z36" i="13"/>
  <c r="AK35" i="13"/>
  <c r="AI35" i="13"/>
  <c r="AG35" i="13"/>
  <c r="AE35" i="13"/>
  <c r="AD35" i="13"/>
  <c r="AC35" i="13"/>
  <c r="AB35" i="13"/>
  <c r="AA35" i="13"/>
  <c r="Z35" i="13"/>
  <c r="AK34" i="13"/>
  <c r="AI34" i="13"/>
  <c r="AG34" i="13"/>
  <c r="AE34" i="13"/>
  <c r="AD34" i="13"/>
  <c r="AC34" i="13"/>
  <c r="AB34" i="13"/>
  <c r="AA34" i="13"/>
  <c r="Z34" i="13"/>
  <c r="AK33" i="13"/>
  <c r="AI33" i="13"/>
  <c r="AG33" i="13"/>
  <c r="AE33" i="13"/>
  <c r="AD33" i="13"/>
  <c r="AC33" i="13"/>
  <c r="AB33" i="13"/>
  <c r="AA33" i="13"/>
  <c r="Z33" i="13"/>
  <c r="AK32" i="13"/>
  <c r="AI32" i="13"/>
  <c r="AG32" i="13"/>
  <c r="AE32" i="13"/>
  <c r="AD32" i="13"/>
  <c r="AC32" i="13"/>
  <c r="AB32" i="13"/>
  <c r="AA32" i="13"/>
  <c r="Z32" i="13"/>
  <c r="AM31" i="13"/>
  <c r="AM32" i="13" s="1"/>
  <c r="AM33" i="13" s="1"/>
  <c r="AM34" i="13" s="1"/>
  <c r="AM35" i="13" s="1"/>
  <c r="AM36" i="13" s="1"/>
  <c r="AM37" i="13" s="1"/>
  <c r="AM38" i="13" s="1"/>
  <c r="AM39" i="13" s="1"/>
  <c r="AK31" i="13"/>
  <c r="AI31" i="13"/>
  <c r="AG31" i="13"/>
  <c r="AE31" i="13"/>
  <c r="AD31" i="13"/>
  <c r="AC31" i="13"/>
  <c r="AB31" i="13"/>
  <c r="AA31" i="13"/>
  <c r="Z31" i="13"/>
  <c r="AK30" i="13"/>
  <c r="AI30" i="13"/>
  <c r="AG30" i="13"/>
  <c r="AE30" i="13"/>
  <c r="AD30" i="13"/>
  <c r="AC30" i="13"/>
  <c r="AB30" i="13"/>
  <c r="AA30" i="13"/>
  <c r="Z30" i="13"/>
  <c r="AK29" i="13"/>
  <c r="AI29" i="13"/>
  <c r="AG29" i="13"/>
  <c r="AE29" i="13"/>
  <c r="AD29" i="13"/>
  <c r="AC29" i="13"/>
  <c r="AB29" i="13"/>
  <c r="AA29" i="13"/>
  <c r="Z29" i="13"/>
  <c r="AK28" i="13"/>
  <c r="AI28" i="13"/>
  <c r="AG28" i="13"/>
  <c r="AE28" i="13"/>
  <c r="AD28" i="13"/>
  <c r="AC28" i="13"/>
  <c r="AB28" i="13"/>
  <c r="AA28" i="13"/>
  <c r="Z28" i="13"/>
  <c r="AM27" i="13"/>
  <c r="AM28" i="13" s="1"/>
  <c r="AM29" i="13" s="1"/>
  <c r="AM30" i="13" s="1"/>
  <c r="AK27" i="13"/>
  <c r="AI27" i="13"/>
  <c r="AG27" i="13"/>
  <c r="AE27" i="13"/>
  <c r="AD27" i="13"/>
  <c r="AC27" i="13"/>
  <c r="AB27" i="13"/>
  <c r="AA27" i="13"/>
  <c r="Z27" i="13"/>
  <c r="AK26" i="13"/>
  <c r="AI26" i="13"/>
  <c r="AG26" i="13"/>
  <c r="AE26" i="13"/>
  <c r="AD26" i="13"/>
  <c r="AC26" i="13"/>
  <c r="AB26" i="13"/>
  <c r="AA26" i="13"/>
  <c r="Z26" i="13"/>
  <c r="AK25" i="13"/>
  <c r="AI25" i="13"/>
  <c r="AG25" i="13"/>
  <c r="AE25" i="13"/>
  <c r="AD25" i="13"/>
  <c r="AC25" i="13"/>
  <c r="AB25" i="13"/>
  <c r="AA25" i="13"/>
  <c r="Z25" i="13"/>
  <c r="AK24" i="13"/>
  <c r="AI24" i="13"/>
  <c r="AG24" i="13"/>
  <c r="AE24" i="13"/>
  <c r="AD24" i="13"/>
  <c r="AC24" i="13"/>
  <c r="AB24" i="13"/>
  <c r="AA24" i="13"/>
  <c r="Z24" i="13"/>
  <c r="AK23" i="13"/>
  <c r="AI23" i="13"/>
  <c r="AG23" i="13"/>
  <c r="AE23" i="13"/>
  <c r="AD23" i="13"/>
  <c r="AC23" i="13"/>
  <c r="AB23" i="13"/>
  <c r="AA23" i="13"/>
  <c r="Z23" i="13"/>
  <c r="AK22" i="13"/>
  <c r="AI22" i="13"/>
  <c r="AG22" i="13"/>
  <c r="AE22" i="13"/>
  <c r="AD22" i="13"/>
  <c r="AC22" i="13"/>
  <c r="AB22" i="13"/>
  <c r="AA22" i="13"/>
  <c r="Z22" i="13"/>
  <c r="AK21" i="13"/>
  <c r="AI21" i="13"/>
  <c r="AG21" i="13"/>
  <c r="AE21" i="13"/>
  <c r="AD21" i="13"/>
  <c r="AC21" i="13"/>
  <c r="AB21" i="13"/>
  <c r="AA21" i="13"/>
  <c r="Z21" i="13"/>
  <c r="AM20" i="13"/>
  <c r="AM21" i="13" s="1"/>
  <c r="AM22" i="13" s="1"/>
  <c r="AM23" i="13" s="1"/>
  <c r="AM24" i="13" s="1"/>
  <c r="AM25" i="13" s="1"/>
  <c r="AM26" i="13" s="1"/>
  <c r="AK20" i="13"/>
  <c r="AI20" i="13"/>
  <c r="AG20" i="13"/>
  <c r="AE20" i="13"/>
  <c r="AD20" i="13"/>
  <c r="AC20" i="13"/>
  <c r="AB20" i="13"/>
  <c r="AA20" i="13"/>
  <c r="Z20" i="13"/>
  <c r="AK19" i="13"/>
  <c r="AI19" i="13"/>
  <c r="AG19" i="13"/>
  <c r="AE19" i="13"/>
  <c r="AD19" i="13"/>
  <c r="AC19" i="13"/>
  <c r="AB19" i="13"/>
  <c r="AA19" i="13"/>
  <c r="Z19" i="13"/>
  <c r="AK18" i="13"/>
  <c r="AI18" i="13"/>
  <c r="AG18" i="13"/>
  <c r="AE18" i="13"/>
  <c r="AD18" i="13"/>
  <c r="AC18" i="13"/>
  <c r="AB18" i="13"/>
  <c r="AA18" i="13"/>
  <c r="Z18" i="13"/>
  <c r="AK17" i="13"/>
  <c r="AI17" i="13"/>
  <c r="AG17" i="13"/>
  <c r="AE17" i="13"/>
  <c r="AD17" i="13"/>
  <c r="AC17" i="13"/>
  <c r="AB17" i="13"/>
  <c r="AA17" i="13"/>
  <c r="Z17" i="13"/>
  <c r="AK16" i="13"/>
  <c r="AI16" i="13"/>
  <c r="AG16" i="13"/>
  <c r="AE16" i="13"/>
  <c r="AD16" i="13"/>
  <c r="AC16" i="13"/>
  <c r="AB16" i="13"/>
  <c r="AA16" i="13"/>
  <c r="Z16" i="13"/>
  <c r="AK15" i="13"/>
  <c r="AI15" i="13"/>
  <c r="AG15" i="13"/>
  <c r="AE15" i="13"/>
  <c r="AD15" i="13"/>
  <c r="AC15" i="13"/>
  <c r="AB15" i="13"/>
  <c r="AA15" i="13"/>
  <c r="Z15" i="13"/>
  <c r="AK14" i="13"/>
  <c r="AI14" i="13"/>
  <c r="AG14" i="13"/>
  <c r="AE14" i="13"/>
  <c r="AD14" i="13"/>
  <c r="AC14" i="13"/>
  <c r="AB14" i="13"/>
  <c r="AA14" i="13"/>
  <c r="Z14" i="13"/>
  <c r="AK13" i="13"/>
  <c r="AI13" i="13"/>
  <c r="AG13" i="13"/>
  <c r="AE13" i="13"/>
  <c r="AD13" i="13"/>
  <c r="AC13" i="13"/>
  <c r="AB13" i="13"/>
  <c r="AA13" i="13"/>
  <c r="Z13" i="13"/>
  <c r="AK12" i="13"/>
  <c r="AI12" i="13"/>
  <c r="AG12" i="13"/>
  <c r="AE12" i="13"/>
  <c r="AD12" i="13"/>
  <c r="AC12" i="13"/>
  <c r="AB12" i="13"/>
  <c r="AA12" i="13"/>
  <c r="Z12" i="13"/>
  <c r="AK11" i="13"/>
  <c r="AI11" i="13"/>
  <c r="AG11" i="13"/>
  <c r="AE11" i="13"/>
  <c r="AD11" i="13"/>
  <c r="AC11" i="13"/>
  <c r="AB11" i="13"/>
  <c r="AA11" i="13"/>
  <c r="Z11" i="13"/>
  <c r="AK10" i="13"/>
  <c r="AI10" i="13"/>
  <c r="AG10" i="13"/>
  <c r="AE10" i="13"/>
  <c r="AD10" i="13"/>
  <c r="AC10" i="13"/>
  <c r="AB10" i="13"/>
  <c r="AA10" i="13"/>
  <c r="Z10" i="13"/>
  <c r="AK9" i="13"/>
  <c r="AI9" i="13"/>
  <c r="AG9" i="13"/>
  <c r="AE9" i="13"/>
  <c r="AD9" i="13"/>
  <c r="AC9" i="13"/>
  <c r="AB9" i="13"/>
  <c r="AA9" i="13"/>
  <c r="Z9" i="13"/>
  <c r="AK8" i="13"/>
  <c r="AI8" i="13"/>
  <c r="AG8" i="13"/>
  <c r="AE8" i="13"/>
  <c r="AD8" i="13"/>
  <c r="AC8" i="13"/>
  <c r="AB8" i="13"/>
  <c r="AA8" i="13"/>
  <c r="Z8" i="13"/>
  <c r="AK482" i="6"/>
  <c r="AI482" i="6"/>
  <c r="AG482" i="6"/>
  <c r="AE482" i="6"/>
  <c r="AD482" i="6"/>
  <c r="AC482" i="6"/>
  <c r="AB482" i="6"/>
  <c r="AA482" i="6"/>
  <c r="Z482" i="6"/>
  <c r="AK481" i="6"/>
  <c r="AI481" i="6"/>
  <c r="AG481" i="6"/>
  <c r="AE481" i="6"/>
  <c r="AD481" i="6"/>
  <c r="AC481" i="6"/>
  <c r="AB481" i="6"/>
  <c r="AA481" i="6"/>
  <c r="Z481" i="6"/>
  <c r="AM480" i="6"/>
  <c r="AM481" i="6" s="1"/>
  <c r="AM482" i="6" s="1"/>
  <c r="AK480" i="6"/>
  <c r="AI480" i="6"/>
  <c r="AG480" i="6"/>
  <c r="AE480" i="6"/>
  <c r="AD480" i="6"/>
  <c r="AC480" i="6"/>
  <c r="AB480" i="6"/>
  <c r="AA480" i="6"/>
  <c r="Z480" i="6"/>
  <c r="AK479" i="6"/>
  <c r="AI479" i="6"/>
  <c r="AG479" i="6"/>
  <c r="AE479" i="6"/>
  <c r="AD479" i="6"/>
  <c r="AC479" i="6"/>
  <c r="AB479" i="6"/>
  <c r="AA479" i="6"/>
  <c r="Z479" i="6"/>
  <c r="AM478" i="6"/>
  <c r="AM479" i="6" s="1"/>
  <c r="AK478" i="6"/>
  <c r="AI478" i="6"/>
  <c r="AG478" i="6"/>
  <c r="AE478" i="6"/>
  <c r="AD478" i="6"/>
  <c r="AC478" i="6"/>
  <c r="AB478" i="6"/>
  <c r="AA478" i="6"/>
  <c r="Z478" i="6"/>
  <c r="AK477" i="6"/>
  <c r="AI477" i="6"/>
  <c r="AG477" i="6"/>
  <c r="AE477" i="6"/>
  <c r="AD477" i="6"/>
  <c r="AC477" i="6"/>
  <c r="AB477" i="6"/>
  <c r="AA477" i="6"/>
  <c r="Z477" i="6"/>
  <c r="AK476" i="6"/>
  <c r="AI476" i="6"/>
  <c r="AG476" i="6"/>
  <c r="AE476" i="6"/>
  <c r="AD476" i="6"/>
  <c r="AC476" i="6"/>
  <c r="AB476" i="6"/>
  <c r="AA476" i="6"/>
  <c r="Z476" i="6"/>
  <c r="AK475" i="6"/>
  <c r="AI475" i="6"/>
  <c r="AG475" i="6"/>
  <c r="AE475" i="6"/>
  <c r="AD475" i="6"/>
  <c r="AC475" i="6"/>
  <c r="AB475" i="6"/>
  <c r="AA475" i="6"/>
  <c r="Z475" i="6"/>
  <c r="AK474" i="6"/>
  <c r="AI474" i="6"/>
  <c r="AG474" i="6"/>
  <c r="AE474" i="6"/>
  <c r="AD474" i="6"/>
  <c r="AC474" i="6"/>
  <c r="AB474" i="6"/>
  <c r="AA474" i="6"/>
  <c r="Z474" i="6"/>
  <c r="AM473" i="6"/>
  <c r="AM474" i="6" s="1"/>
  <c r="AM475" i="6" s="1"/>
  <c r="AM476" i="6" s="1"/>
  <c r="AM477" i="6" s="1"/>
  <c r="AK473" i="6"/>
  <c r="AI473" i="6"/>
  <c r="AG473" i="6"/>
  <c r="AE473" i="6"/>
  <c r="AD473" i="6"/>
  <c r="AC473" i="6"/>
  <c r="AB473" i="6"/>
  <c r="AA473" i="6"/>
  <c r="Z473" i="6"/>
  <c r="AK472" i="6"/>
  <c r="AI472" i="6"/>
  <c r="AG472" i="6"/>
  <c r="AE472" i="6"/>
  <c r="AD472" i="6"/>
  <c r="AC472" i="6"/>
  <c r="AB472" i="6"/>
  <c r="AA472" i="6"/>
  <c r="Z472" i="6"/>
  <c r="AK471" i="6"/>
  <c r="AI471" i="6"/>
  <c r="AG471" i="6"/>
  <c r="AE471" i="6"/>
  <c r="AD471" i="6"/>
  <c r="AC471" i="6"/>
  <c r="AB471" i="6"/>
  <c r="AA471" i="6"/>
  <c r="Z471" i="6"/>
  <c r="AK470" i="6"/>
  <c r="AI470" i="6"/>
  <c r="AG470" i="6"/>
  <c r="AE470" i="6"/>
  <c r="AD470" i="6"/>
  <c r="AC470" i="6"/>
  <c r="AB470" i="6"/>
  <c r="AA470" i="6"/>
  <c r="Z470" i="6"/>
  <c r="AK469" i="6"/>
  <c r="AI469" i="6"/>
  <c r="AG469" i="6"/>
  <c r="AE469" i="6"/>
  <c r="AD469" i="6"/>
  <c r="AC469" i="6"/>
  <c r="AB469" i="6"/>
  <c r="AA469" i="6"/>
  <c r="Z469" i="6"/>
  <c r="AK468" i="6"/>
  <c r="AI468" i="6"/>
  <c r="AG468" i="6"/>
  <c r="AE468" i="6"/>
  <c r="AD468" i="6"/>
  <c r="AC468" i="6"/>
  <c r="AB468" i="6"/>
  <c r="AA468" i="6"/>
  <c r="Z468" i="6"/>
  <c r="AK467" i="6"/>
  <c r="AI467" i="6"/>
  <c r="AG467" i="6"/>
  <c r="AE467" i="6"/>
  <c r="AD467" i="6"/>
  <c r="AC467" i="6"/>
  <c r="AB467" i="6"/>
  <c r="AA467" i="6"/>
  <c r="Z467" i="6"/>
  <c r="AK466" i="6"/>
  <c r="AI466" i="6"/>
  <c r="AG466" i="6"/>
  <c r="AE466" i="6"/>
  <c r="AD466" i="6"/>
  <c r="AC466" i="6"/>
  <c r="AB466" i="6"/>
  <c r="AA466" i="6"/>
  <c r="Z466" i="6"/>
  <c r="AK465" i="6"/>
  <c r="AI465" i="6"/>
  <c r="AG465" i="6"/>
  <c r="AE465" i="6"/>
  <c r="AD465" i="6"/>
  <c r="AC465" i="6"/>
  <c r="AB465" i="6"/>
  <c r="AA465" i="6"/>
  <c r="Z465" i="6"/>
  <c r="AK464" i="6"/>
  <c r="AI464" i="6"/>
  <c r="AG464" i="6"/>
  <c r="AE464" i="6"/>
  <c r="AD464" i="6"/>
  <c r="AC464" i="6"/>
  <c r="AB464" i="6"/>
  <c r="AA464" i="6"/>
  <c r="Z464" i="6"/>
  <c r="AK463" i="6"/>
  <c r="AI463" i="6"/>
  <c r="AG463" i="6"/>
  <c r="AE463" i="6"/>
  <c r="AD463" i="6"/>
  <c r="AC463" i="6"/>
  <c r="AB463" i="6"/>
  <c r="AA463" i="6"/>
  <c r="Z463" i="6"/>
  <c r="AK462" i="6"/>
  <c r="AI462" i="6"/>
  <c r="AG462" i="6"/>
  <c r="AE462" i="6"/>
  <c r="AD462" i="6"/>
  <c r="AC462" i="6"/>
  <c r="AB462" i="6"/>
  <c r="AA462" i="6"/>
  <c r="Z462" i="6"/>
  <c r="AK461" i="6"/>
  <c r="AI461" i="6"/>
  <c r="AG461" i="6"/>
  <c r="AE461" i="6"/>
  <c r="AD461" i="6"/>
  <c r="AC461" i="6"/>
  <c r="AB461" i="6"/>
  <c r="AA461" i="6"/>
  <c r="Z461" i="6"/>
  <c r="AK460" i="6"/>
  <c r="AI460" i="6"/>
  <c r="AG460" i="6"/>
  <c r="AE460" i="6"/>
  <c r="AD460" i="6"/>
  <c r="AC460" i="6"/>
  <c r="AB460" i="6"/>
  <c r="AA460" i="6"/>
  <c r="Z460" i="6"/>
  <c r="AK459" i="6"/>
  <c r="AI459" i="6"/>
  <c r="AG459" i="6"/>
  <c r="AE459" i="6"/>
  <c r="AD459" i="6"/>
  <c r="AC459" i="6"/>
  <c r="AB459" i="6"/>
  <c r="AA459" i="6"/>
  <c r="Z459" i="6"/>
  <c r="AK458" i="6"/>
  <c r="AI458" i="6"/>
  <c r="AG458" i="6"/>
  <c r="AE458" i="6"/>
  <c r="AD458" i="6"/>
  <c r="AC458" i="6"/>
  <c r="AB458" i="6"/>
  <c r="AA458" i="6"/>
  <c r="Z458" i="6"/>
  <c r="AK457" i="6"/>
  <c r="AI457" i="6"/>
  <c r="AG457" i="6"/>
  <c r="AE457" i="6"/>
  <c r="AD457" i="6"/>
  <c r="AC457" i="6"/>
  <c r="AB457" i="6"/>
  <c r="AA457" i="6"/>
  <c r="Z457" i="6"/>
  <c r="AK456" i="6"/>
  <c r="AI456" i="6"/>
  <c r="AG456" i="6"/>
  <c r="AE456" i="6"/>
  <c r="AD456" i="6"/>
  <c r="AC456" i="6"/>
  <c r="AB456" i="6"/>
  <c r="AA456" i="6"/>
  <c r="Z456" i="6"/>
  <c r="AM455" i="6"/>
  <c r="AM456" i="6" s="1"/>
  <c r="AM457" i="6" s="1"/>
  <c r="AM458" i="6" s="1"/>
  <c r="AM459" i="6" s="1"/>
  <c r="AM460" i="6" s="1"/>
  <c r="AM461" i="6" s="1"/>
  <c r="AM462" i="6" s="1"/>
  <c r="AM463" i="6" s="1"/>
  <c r="AM464" i="6" s="1"/>
  <c r="AM465" i="6" s="1"/>
  <c r="AM466" i="6" s="1"/>
  <c r="AM467" i="6" s="1"/>
  <c r="AM468" i="6" s="1"/>
  <c r="AM469" i="6" s="1"/>
  <c r="AM470" i="6" s="1"/>
  <c r="AM471" i="6" s="1"/>
  <c r="AM472" i="6" s="1"/>
  <c r="AK455" i="6"/>
  <c r="AI455" i="6"/>
  <c r="AG455" i="6"/>
  <c r="AE455" i="6"/>
  <c r="AD455" i="6"/>
  <c r="AC455" i="6"/>
  <c r="AB455" i="6"/>
  <c r="AA455" i="6"/>
  <c r="Z455" i="6"/>
  <c r="AK454" i="6"/>
  <c r="AI454" i="6"/>
  <c r="AG454" i="6"/>
  <c r="AE454" i="6"/>
  <c r="AD454" i="6"/>
  <c r="AC454" i="6"/>
  <c r="AB454" i="6"/>
  <c r="AA454" i="6"/>
  <c r="Z454" i="6"/>
  <c r="AK453" i="6"/>
  <c r="AI453" i="6"/>
  <c r="AG453" i="6"/>
  <c r="AE453" i="6"/>
  <c r="AD453" i="6"/>
  <c r="AC453" i="6"/>
  <c r="AB453" i="6"/>
  <c r="AA453" i="6"/>
  <c r="Z453" i="6"/>
  <c r="AK452" i="6"/>
  <c r="AI452" i="6"/>
  <c r="AG452" i="6"/>
  <c r="AE452" i="6"/>
  <c r="AD452" i="6"/>
  <c r="AC452" i="6"/>
  <c r="AB452" i="6"/>
  <c r="AA452" i="6"/>
  <c r="Z452" i="6"/>
  <c r="AM451" i="6"/>
  <c r="AM452" i="6" s="1"/>
  <c r="AM453" i="6" s="1"/>
  <c r="AM454" i="6" s="1"/>
  <c r="AK451" i="6"/>
  <c r="AI451" i="6"/>
  <c r="AG451" i="6"/>
  <c r="AE451" i="6"/>
  <c r="AD451" i="6"/>
  <c r="AC451" i="6"/>
  <c r="AB451" i="6"/>
  <c r="AA451" i="6"/>
  <c r="Z451" i="6"/>
  <c r="AK450" i="6"/>
  <c r="AI450" i="6"/>
  <c r="AG450" i="6"/>
  <c r="AE450" i="6"/>
  <c r="AD450" i="6"/>
  <c r="AC450" i="6"/>
  <c r="AB450" i="6"/>
  <c r="AA450" i="6"/>
  <c r="Z450" i="6"/>
  <c r="AK449" i="6"/>
  <c r="AI449" i="6"/>
  <c r="AG449" i="6"/>
  <c r="AE449" i="6"/>
  <c r="AD449" i="6"/>
  <c r="AC449" i="6"/>
  <c r="AB449" i="6"/>
  <c r="AA449" i="6"/>
  <c r="Z449" i="6"/>
  <c r="AK448" i="6"/>
  <c r="AI448" i="6"/>
  <c r="AG448" i="6"/>
  <c r="AE448" i="6"/>
  <c r="AD448" i="6"/>
  <c r="AC448" i="6"/>
  <c r="AB448" i="6"/>
  <c r="AA448" i="6"/>
  <c r="Z448" i="6"/>
  <c r="AM447" i="6"/>
  <c r="AM448" i="6" s="1"/>
  <c r="AM449" i="6" s="1"/>
  <c r="AM450" i="6" s="1"/>
  <c r="AK447" i="6"/>
  <c r="AI447" i="6"/>
  <c r="AG447" i="6"/>
  <c r="AE447" i="6"/>
  <c r="AD447" i="6"/>
  <c r="AC447" i="6"/>
  <c r="AB447" i="6"/>
  <c r="AA447" i="6"/>
  <c r="Z447" i="6"/>
  <c r="AK446" i="6"/>
  <c r="AI446" i="6"/>
  <c r="AG446" i="6"/>
  <c r="AE446" i="6"/>
  <c r="AD446" i="6"/>
  <c r="AC446" i="6"/>
  <c r="AB446" i="6"/>
  <c r="AA446" i="6"/>
  <c r="Z446" i="6"/>
  <c r="AK445" i="6"/>
  <c r="AI445" i="6"/>
  <c r="AG445" i="6"/>
  <c r="AE445" i="6"/>
  <c r="AD445" i="6"/>
  <c r="AC445" i="6"/>
  <c r="AB445" i="6"/>
  <c r="AA445" i="6"/>
  <c r="Z445" i="6"/>
  <c r="AM444" i="6"/>
  <c r="AM445" i="6" s="1"/>
  <c r="AM446" i="6" s="1"/>
  <c r="AK444" i="6"/>
  <c r="AI444" i="6"/>
  <c r="AG444" i="6"/>
  <c r="AE444" i="6"/>
  <c r="AD444" i="6"/>
  <c r="AC444" i="6"/>
  <c r="AB444" i="6"/>
  <c r="AA444" i="6"/>
  <c r="Z444" i="6"/>
  <c r="AK443" i="6"/>
  <c r="AI443" i="6"/>
  <c r="AG443" i="6"/>
  <c r="AE443" i="6"/>
  <c r="AD443" i="6"/>
  <c r="AC443" i="6"/>
  <c r="AB443" i="6"/>
  <c r="AA443" i="6"/>
  <c r="Z443" i="6"/>
  <c r="AK442" i="6"/>
  <c r="AI442" i="6"/>
  <c r="AG442" i="6"/>
  <c r="AE442" i="6"/>
  <c r="AD442" i="6"/>
  <c r="AC442" i="6"/>
  <c r="AB442" i="6"/>
  <c r="AA442" i="6"/>
  <c r="Z442" i="6"/>
  <c r="AK441" i="6"/>
  <c r="AI441" i="6"/>
  <c r="AG441" i="6"/>
  <c r="AE441" i="6"/>
  <c r="AD441" i="6"/>
  <c r="AC441" i="6"/>
  <c r="AB441" i="6"/>
  <c r="AA441" i="6"/>
  <c r="Z441" i="6"/>
  <c r="AK440" i="6"/>
  <c r="AI440" i="6"/>
  <c r="AG440" i="6"/>
  <c r="AE440" i="6"/>
  <c r="AD440" i="6"/>
  <c r="AC440" i="6"/>
  <c r="AB440" i="6"/>
  <c r="AA440" i="6"/>
  <c r="Z440" i="6"/>
  <c r="AK439" i="6"/>
  <c r="AI439" i="6"/>
  <c r="AG439" i="6"/>
  <c r="AE439" i="6"/>
  <c r="AD439" i="6"/>
  <c r="AC439" i="6"/>
  <c r="AB439" i="6"/>
  <c r="AA439" i="6"/>
  <c r="Z439" i="6"/>
  <c r="AK438" i="6"/>
  <c r="AI438" i="6"/>
  <c r="AG438" i="6"/>
  <c r="AE438" i="6"/>
  <c r="AD438" i="6"/>
  <c r="AC438" i="6"/>
  <c r="AB438" i="6"/>
  <c r="AA438" i="6"/>
  <c r="Z438" i="6"/>
  <c r="AK437" i="6"/>
  <c r="AI437" i="6"/>
  <c r="AG437" i="6"/>
  <c r="AE437" i="6"/>
  <c r="AD437" i="6"/>
  <c r="AC437" i="6"/>
  <c r="AB437" i="6"/>
  <c r="AA437" i="6"/>
  <c r="Z437" i="6"/>
  <c r="AK436" i="6"/>
  <c r="AI436" i="6"/>
  <c r="AG436" i="6"/>
  <c r="AE436" i="6"/>
  <c r="AD436" i="6"/>
  <c r="AC436" i="6"/>
  <c r="AB436" i="6"/>
  <c r="AA436" i="6"/>
  <c r="Z436" i="6"/>
  <c r="AM435" i="6"/>
  <c r="AM436" i="6" s="1"/>
  <c r="AM437" i="6" s="1"/>
  <c r="AM438" i="6" s="1"/>
  <c r="AM439" i="6" s="1"/>
  <c r="AM440" i="6" s="1"/>
  <c r="AM441" i="6" s="1"/>
  <c r="AM442" i="6" s="1"/>
  <c r="AM443" i="6" s="1"/>
  <c r="AK435" i="6"/>
  <c r="AI435" i="6"/>
  <c r="AG435" i="6"/>
  <c r="AE435" i="6"/>
  <c r="AD435" i="6"/>
  <c r="AC435" i="6"/>
  <c r="AB435" i="6"/>
  <c r="AA435" i="6"/>
  <c r="Z435" i="6"/>
  <c r="AK434" i="6"/>
  <c r="AI434" i="6"/>
  <c r="AG434" i="6"/>
  <c r="AE434" i="6"/>
  <c r="AD434" i="6"/>
  <c r="AC434" i="6"/>
  <c r="AB434" i="6"/>
  <c r="AA434" i="6"/>
  <c r="Z434" i="6"/>
  <c r="AM433" i="6"/>
  <c r="AM434" i="6" s="1"/>
  <c r="AK433" i="6"/>
  <c r="AI433" i="6"/>
  <c r="AG433" i="6"/>
  <c r="AE433" i="6"/>
  <c r="AD433" i="6"/>
  <c r="AC433" i="6"/>
  <c r="AB433" i="6"/>
  <c r="AA433" i="6"/>
  <c r="Z433" i="6"/>
  <c r="AK432" i="6"/>
  <c r="AI432" i="6"/>
  <c r="AG432" i="6"/>
  <c r="AE432" i="6"/>
  <c r="AD432" i="6"/>
  <c r="AC432" i="6"/>
  <c r="AB432" i="6"/>
  <c r="AA432" i="6"/>
  <c r="Z432" i="6"/>
  <c r="AK431" i="6"/>
  <c r="AI431" i="6"/>
  <c r="AG431" i="6"/>
  <c r="AE431" i="6"/>
  <c r="AD431" i="6"/>
  <c r="AC431" i="6"/>
  <c r="AB431" i="6"/>
  <c r="AA431" i="6"/>
  <c r="Z431" i="6"/>
  <c r="AM430" i="6"/>
  <c r="AM431" i="6" s="1"/>
  <c r="AM432" i="6" s="1"/>
  <c r="AK430" i="6"/>
  <c r="AI430" i="6"/>
  <c r="AG430" i="6"/>
  <c r="AE430" i="6"/>
  <c r="AD430" i="6"/>
  <c r="AC430" i="6"/>
  <c r="AB430" i="6"/>
  <c r="AA430" i="6"/>
  <c r="Z430" i="6"/>
  <c r="AK429" i="6"/>
  <c r="AI429" i="6"/>
  <c r="AG429" i="6"/>
  <c r="AE429" i="6"/>
  <c r="AD429" i="6"/>
  <c r="AC429" i="6"/>
  <c r="AB429" i="6"/>
  <c r="AA429" i="6"/>
  <c r="Z429" i="6"/>
  <c r="AK428" i="6"/>
  <c r="AI428" i="6"/>
  <c r="AG428" i="6"/>
  <c r="AE428" i="6"/>
  <c r="AD428" i="6"/>
  <c r="AC428" i="6"/>
  <c r="AB428" i="6"/>
  <c r="AA428" i="6"/>
  <c r="Z428" i="6"/>
  <c r="AK427" i="6"/>
  <c r="AI427" i="6"/>
  <c r="AG427" i="6"/>
  <c r="AE427" i="6"/>
  <c r="AD427" i="6"/>
  <c r="AC427" i="6"/>
  <c r="AB427" i="6"/>
  <c r="AA427" i="6"/>
  <c r="Z427" i="6"/>
  <c r="AM426" i="6"/>
  <c r="AM427" i="6" s="1"/>
  <c r="AM428" i="6" s="1"/>
  <c r="AM429" i="6" s="1"/>
  <c r="AK426" i="6"/>
  <c r="AI426" i="6"/>
  <c r="AG426" i="6"/>
  <c r="AE426" i="6"/>
  <c r="AD426" i="6"/>
  <c r="AC426" i="6"/>
  <c r="AB426" i="6"/>
  <c r="AA426" i="6"/>
  <c r="Z426" i="6"/>
  <c r="AK425" i="6"/>
  <c r="AI425" i="6"/>
  <c r="AG425" i="6"/>
  <c r="AE425" i="6"/>
  <c r="AD425" i="6"/>
  <c r="AC425" i="6"/>
  <c r="AB425" i="6"/>
  <c r="AA425" i="6"/>
  <c r="Z425" i="6"/>
  <c r="AK424" i="6"/>
  <c r="AI424" i="6"/>
  <c r="AG424" i="6"/>
  <c r="AE424" i="6"/>
  <c r="AD424" i="6"/>
  <c r="AC424" i="6"/>
  <c r="AB424" i="6"/>
  <c r="AA424" i="6"/>
  <c r="Z424" i="6"/>
  <c r="AK423" i="6"/>
  <c r="AI423" i="6"/>
  <c r="AG423" i="6"/>
  <c r="AE423" i="6"/>
  <c r="AD423" i="6"/>
  <c r="AC423" i="6"/>
  <c r="AB423" i="6"/>
  <c r="AA423" i="6"/>
  <c r="Z423" i="6"/>
  <c r="AK422" i="6"/>
  <c r="AI422" i="6"/>
  <c r="AG422" i="6"/>
  <c r="AE422" i="6"/>
  <c r="AD422" i="6"/>
  <c r="AC422" i="6"/>
  <c r="AB422" i="6"/>
  <c r="AA422" i="6"/>
  <c r="Z422" i="6"/>
  <c r="AK421" i="6"/>
  <c r="AI421" i="6"/>
  <c r="AG421" i="6"/>
  <c r="AE421" i="6"/>
  <c r="AD421" i="6"/>
  <c r="AC421" i="6"/>
  <c r="AB421" i="6"/>
  <c r="AA421" i="6"/>
  <c r="Z421" i="6"/>
  <c r="AM420" i="6"/>
  <c r="AM421" i="6" s="1"/>
  <c r="AM422" i="6" s="1"/>
  <c r="AM423" i="6" s="1"/>
  <c r="AM424" i="6" s="1"/>
  <c r="AM425" i="6" s="1"/>
  <c r="AK420" i="6"/>
  <c r="AI420" i="6"/>
  <c r="AG420" i="6"/>
  <c r="AE420" i="6"/>
  <c r="AD420" i="6"/>
  <c r="AC420" i="6"/>
  <c r="AB420" i="6"/>
  <c r="AA420" i="6"/>
  <c r="Z420" i="6"/>
  <c r="AK419" i="6"/>
  <c r="AI419" i="6"/>
  <c r="AG419" i="6"/>
  <c r="AE419" i="6"/>
  <c r="AD419" i="6"/>
  <c r="AC419" i="6"/>
  <c r="AB419" i="6"/>
  <c r="AA419" i="6"/>
  <c r="Z419" i="6"/>
  <c r="AK418" i="6"/>
  <c r="AI418" i="6"/>
  <c r="AG418" i="6"/>
  <c r="AE418" i="6"/>
  <c r="AD418" i="6"/>
  <c r="AC418" i="6"/>
  <c r="AB418" i="6"/>
  <c r="AA418" i="6"/>
  <c r="Z418" i="6"/>
  <c r="AM417" i="6"/>
  <c r="AM418" i="6" s="1"/>
  <c r="AM419" i="6" s="1"/>
  <c r="AK417" i="6"/>
  <c r="AI417" i="6"/>
  <c r="AG417" i="6"/>
  <c r="AE417" i="6"/>
  <c r="AD417" i="6"/>
  <c r="AC417" i="6"/>
  <c r="AB417" i="6"/>
  <c r="AA417" i="6"/>
  <c r="Z417" i="6"/>
  <c r="AK416" i="6"/>
  <c r="AI416" i="6"/>
  <c r="AG416" i="6"/>
  <c r="AE416" i="6"/>
  <c r="AD416" i="6"/>
  <c r="AC416" i="6"/>
  <c r="AB416" i="6"/>
  <c r="AA416" i="6"/>
  <c r="Z416" i="6"/>
  <c r="AK415" i="6"/>
  <c r="AI415" i="6"/>
  <c r="AG415" i="6"/>
  <c r="AE415" i="6"/>
  <c r="AD415" i="6"/>
  <c r="AC415" i="6"/>
  <c r="AB415" i="6"/>
  <c r="AA415" i="6"/>
  <c r="Z415" i="6"/>
  <c r="AM414" i="6"/>
  <c r="AM415" i="6" s="1"/>
  <c r="AM416" i="6" s="1"/>
  <c r="AK414" i="6"/>
  <c r="AI414" i="6"/>
  <c r="AG414" i="6"/>
  <c r="AE414" i="6"/>
  <c r="AD414" i="6"/>
  <c r="AC414" i="6"/>
  <c r="AB414" i="6"/>
  <c r="AA414" i="6"/>
  <c r="Z414" i="6"/>
  <c r="AK413" i="6"/>
  <c r="AI413" i="6"/>
  <c r="AG413" i="6"/>
  <c r="AE413" i="6"/>
  <c r="AD413" i="6"/>
  <c r="AC413" i="6"/>
  <c r="AB413" i="6"/>
  <c r="AA413" i="6"/>
  <c r="Z413" i="6"/>
  <c r="AM412" i="6"/>
  <c r="AM413" i="6" s="1"/>
  <c r="AK412" i="6"/>
  <c r="AI412" i="6"/>
  <c r="AG412" i="6"/>
  <c r="AE412" i="6"/>
  <c r="AD412" i="6"/>
  <c r="AC412" i="6"/>
  <c r="AB412" i="6"/>
  <c r="AA412" i="6"/>
  <c r="Z412" i="6"/>
  <c r="AK411" i="6"/>
  <c r="AI411" i="6"/>
  <c r="AG411" i="6"/>
  <c r="AE411" i="6"/>
  <c r="AD411" i="6"/>
  <c r="AC411" i="6"/>
  <c r="AB411" i="6"/>
  <c r="AA411" i="6"/>
  <c r="Z411" i="6"/>
  <c r="AK410" i="6"/>
  <c r="AI410" i="6"/>
  <c r="AG410" i="6"/>
  <c r="AE410" i="6"/>
  <c r="AD410" i="6"/>
  <c r="AC410" i="6"/>
  <c r="AB410" i="6"/>
  <c r="AA410" i="6"/>
  <c r="Z410" i="6"/>
  <c r="AK409" i="6"/>
  <c r="AI409" i="6"/>
  <c r="AG409" i="6"/>
  <c r="AE409" i="6"/>
  <c r="AD409" i="6"/>
  <c r="AC409" i="6"/>
  <c r="AB409" i="6"/>
  <c r="AA409" i="6"/>
  <c r="Z409" i="6"/>
  <c r="AK408" i="6"/>
  <c r="AI408" i="6"/>
  <c r="AG408" i="6"/>
  <c r="AE408" i="6"/>
  <c r="AD408" i="6"/>
  <c r="AC408" i="6"/>
  <c r="AB408" i="6"/>
  <c r="AA408" i="6"/>
  <c r="Z408" i="6"/>
  <c r="AK407" i="6"/>
  <c r="AI407" i="6"/>
  <c r="AG407" i="6"/>
  <c r="AE407" i="6"/>
  <c r="AD407" i="6"/>
  <c r="AC407" i="6"/>
  <c r="AB407" i="6"/>
  <c r="AA407" i="6"/>
  <c r="Z407" i="6"/>
  <c r="AM406" i="6"/>
  <c r="AM407" i="6" s="1"/>
  <c r="AM408" i="6" s="1"/>
  <c r="AM409" i="6" s="1"/>
  <c r="AM410" i="6" s="1"/>
  <c r="AM411" i="6" s="1"/>
  <c r="AK406" i="6"/>
  <c r="AI406" i="6"/>
  <c r="AG406" i="6"/>
  <c r="AE406" i="6"/>
  <c r="AD406" i="6"/>
  <c r="AC406" i="6"/>
  <c r="AB406" i="6"/>
  <c r="AA406" i="6"/>
  <c r="Z406" i="6"/>
  <c r="AK405" i="6"/>
  <c r="AI405" i="6"/>
  <c r="AG405" i="6"/>
  <c r="AE405" i="6"/>
  <c r="AD405" i="6"/>
  <c r="AC405" i="6"/>
  <c r="AB405" i="6"/>
  <c r="AA405" i="6"/>
  <c r="Z405" i="6"/>
  <c r="AK404" i="6"/>
  <c r="AI404" i="6"/>
  <c r="AG404" i="6"/>
  <c r="AE404" i="6"/>
  <c r="AD404" i="6"/>
  <c r="AC404" i="6"/>
  <c r="AB404" i="6"/>
  <c r="AA404" i="6"/>
  <c r="Z404" i="6"/>
  <c r="AK403" i="6"/>
  <c r="AI403" i="6"/>
  <c r="AG403" i="6"/>
  <c r="AE403" i="6"/>
  <c r="AD403" i="6"/>
  <c r="AC403" i="6"/>
  <c r="AB403" i="6"/>
  <c r="AA403" i="6"/>
  <c r="Z403" i="6"/>
  <c r="AK402" i="6"/>
  <c r="AI402" i="6"/>
  <c r="AG402" i="6"/>
  <c r="AE402" i="6"/>
  <c r="AD402" i="6"/>
  <c r="AC402" i="6"/>
  <c r="AB402" i="6"/>
  <c r="AA402" i="6"/>
  <c r="Z402" i="6"/>
  <c r="AK401" i="6"/>
  <c r="AI401" i="6"/>
  <c r="AG401" i="6"/>
  <c r="AE401" i="6"/>
  <c r="AD401" i="6"/>
  <c r="AC401" i="6"/>
  <c r="AB401" i="6"/>
  <c r="AA401" i="6"/>
  <c r="Z401" i="6"/>
  <c r="AK400" i="6"/>
  <c r="AI400" i="6"/>
  <c r="AG400" i="6"/>
  <c r="AE400" i="6"/>
  <c r="AD400" i="6"/>
  <c r="AC400" i="6"/>
  <c r="AB400" i="6"/>
  <c r="AA400" i="6"/>
  <c r="Z400" i="6"/>
  <c r="AM399" i="6"/>
  <c r="AM400" i="6" s="1"/>
  <c r="AM401" i="6" s="1"/>
  <c r="AM402" i="6" s="1"/>
  <c r="AM403" i="6" s="1"/>
  <c r="AM404" i="6" s="1"/>
  <c r="AM405" i="6" s="1"/>
  <c r="AK399" i="6"/>
  <c r="AI399" i="6"/>
  <c r="AG399" i="6"/>
  <c r="AE399" i="6"/>
  <c r="AD399" i="6"/>
  <c r="AC399" i="6"/>
  <c r="AB399" i="6"/>
  <c r="AA399" i="6"/>
  <c r="Z399" i="6"/>
  <c r="AK398" i="6"/>
  <c r="AI398" i="6"/>
  <c r="AG398" i="6"/>
  <c r="AE398" i="6"/>
  <c r="AD398" i="6"/>
  <c r="AC398" i="6"/>
  <c r="AB398" i="6"/>
  <c r="AA398" i="6"/>
  <c r="Z398" i="6"/>
  <c r="AK397" i="6"/>
  <c r="AI397" i="6"/>
  <c r="AG397" i="6"/>
  <c r="AE397" i="6"/>
  <c r="AD397" i="6"/>
  <c r="AC397" i="6"/>
  <c r="AB397" i="6"/>
  <c r="AA397" i="6"/>
  <c r="Z397" i="6"/>
  <c r="AM396" i="6"/>
  <c r="AM397" i="6" s="1"/>
  <c r="AM398" i="6" s="1"/>
  <c r="AK396" i="6"/>
  <c r="AI396" i="6"/>
  <c r="AG396" i="6"/>
  <c r="AE396" i="6"/>
  <c r="AD396" i="6"/>
  <c r="AC396" i="6"/>
  <c r="AB396" i="6"/>
  <c r="AA396" i="6"/>
  <c r="Z396" i="6"/>
  <c r="AK395" i="6"/>
  <c r="AI395" i="6"/>
  <c r="AG395" i="6"/>
  <c r="AE395" i="6"/>
  <c r="AD395" i="6"/>
  <c r="AC395" i="6"/>
  <c r="AB395" i="6"/>
  <c r="AA395" i="6"/>
  <c r="Z395" i="6"/>
  <c r="AK394" i="6"/>
  <c r="AI394" i="6"/>
  <c r="AG394" i="6"/>
  <c r="AE394" i="6"/>
  <c r="AD394" i="6"/>
  <c r="AC394" i="6"/>
  <c r="AB394" i="6"/>
  <c r="AA394" i="6"/>
  <c r="Z394" i="6"/>
  <c r="AM393" i="6"/>
  <c r="AM394" i="6" s="1"/>
  <c r="AM395" i="6" s="1"/>
  <c r="AK393" i="6"/>
  <c r="AI393" i="6"/>
  <c r="AG393" i="6"/>
  <c r="AE393" i="6"/>
  <c r="AD393" i="6"/>
  <c r="AC393" i="6"/>
  <c r="AB393" i="6"/>
  <c r="AA393" i="6"/>
  <c r="Z393" i="6"/>
  <c r="AK392" i="6"/>
  <c r="AI392" i="6"/>
  <c r="AG392" i="6"/>
  <c r="AE392" i="6"/>
  <c r="AD392" i="6"/>
  <c r="AC392" i="6"/>
  <c r="AB392" i="6"/>
  <c r="AA392" i="6"/>
  <c r="Z392" i="6"/>
  <c r="AK391" i="6"/>
  <c r="AI391" i="6"/>
  <c r="AG391" i="6"/>
  <c r="AE391" i="6"/>
  <c r="AD391" i="6"/>
  <c r="AC391" i="6"/>
  <c r="AB391" i="6"/>
  <c r="AA391" i="6"/>
  <c r="Z391" i="6"/>
  <c r="AK390" i="6"/>
  <c r="AI390" i="6"/>
  <c r="AG390" i="6"/>
  <c r="AE390" i="6"/>
  <c r="AD390" i="6"/>
  <c r="AC390" i="6"/>
  <c r="AB390" i="6"/>
  <c r="AA390" i="6"/>
  <c r="Z390" i="6"/>
  <c r="AK389" i="6"/>
  <c r="AI389" i="6"/>
  <c r="AG389" i="6"/>
  <c r="AE389" i="6"/>
  <c r="AD389" i="6"/>
  <c r="AC389" i="6"/>
  <c r="AB389" i="6"/>
  <c r="AA389" i="6"/>
  <c r="Z389" i="6"/>
  <c r="AM388" i="6"/>
  <c r="AM389" i="6" s="1"/>
  <c r="AM390" i="6" s="1"/>
  <c r="AM391" i="6" s="1"/>
  <c r="AM392" i="6" s="1"/>
  <c r="AK388" i="6"/>
  <c r="AI388" i="6"/>
  <c r="AG388" i="6"/>
  <c r="AE388" i="6"/>
  <c r="AD388" i="6"/>
  <c r="AC388" i="6"/>
  <c r="AB388" i="6"/>
  <c r="AA388" i="6"/>
  <c r="Z388" i="6"/>
  <c r="AK387" i="6"/>
  <c r="AI387" i="6"/>
  <c r="AG387" i="6"/>
  <c r="AE387" i="6"/>
  <c r="AD387" i="6"/>
  <c r="AC387" i="6"/>
  <c r="AB387" i="6"/>
  <c r="AA387" i="6"/>
  <c r="Z387" i="6"/>
  <c r="AM386" i="6"/>
  <c r="AM387" i="6" s="1"/>
  <c r="AK386" i="6"/>
  <c r="AI386" i="6"/>
  <c r="AG386" i="6"/>
  <c r="AE386" i="6"/>
  <c r="AD386" i="6"/>
  <c r="AC386" i="6"/>
  <c r="AB386" i="6"/>
  <c r="AA386" i="6"/>
  <c r="Z386" i="6"/>
  <c r="AK385" i="6"/>
  <c r="AI385" i="6"/>
  <c r="AG385" i="6"/>
  <c r="AE385" i="6"/>
  <c r="AD385" i="6"/>
  <c r="AC385" i="6"/>
  <c r="AB385" i="6"/>
  <c r="AA385" i="6"/>
  <c r="Z385" i="6"/>
  <c r="AK384" i="6"/>
  <c r="AI384" i="6"/>
  <c r="AG384" i="6"/>
  <c r="AE384" i="6"/>
  <c r="AD384" i="6"/>
  <c r="AC384" i="6"/>
  <c r="AB384" i="6"/>
  <c r="AA384" i="6"/>
  <c r="Z384" i="6"/>
  <c r="AK383" i="6"/>
  <c r="AI383" i="6"/>
  <c r="AG383" i="6"/>
  <c r="AE383" i="6"/>
  <c r="AD383" i="6"/>
  <c r="AC383" i="6"/>
  <c r="AB383" i="6"/>
  <c r="AA383" i="6"/>
  <c r="Z383" i="6"/>
  <c r="AM382" i="6"/>
  <c r="AM383" i="6" s="1"/>
  <c r="AM384" i="6" s="1"/>
  <c r="AM385" i="6" s="1"/>
  <c r="AK382" i="6"/>
  <c r="AI382" i="6"/>
  <c r="AG382" i="6"/>
  <c r="AE382" i="6"/>
  <c r="AD382" i="6"/>
  <c r="AC382" i="6"/>
  <c r="AB382" i="6"/>
  <c r="AA382" i="6"/>
  <c r="Z382" i="6"/>
  <c r="AK381" i="6"/>
  <c r="AI381" i="6"/>
  <c r="AG381" i="6"/>
  <c r="AE381" i="6"/>
  <c r="AD381" i="6"/>
  <c r="AC381" i="6"/>
  <c r="AB381" i="6"/>
  <c r="AA381" i="6"/>
  <c r="Z381" i="6"/>
  <c r="AK380" i="6"/>
  <c r="AI380" i="6"/>
  <c r="AG380" i="6"/>
  <c r="AE380" i="6"/>
  <c r="AD380" i="6"/>
  <c r="AC380" i="6"/>
  <c r="AB380" i="6"/>
  <c r="AA380" i="6"/>
  <c r="Z380" i="6"/>
  <c r="AK379" i="6"/>
  <c r="AI379" i="6"/>
  <c r="AG379" i="6"/>
  <c r="AE379" i="6"/>
  <c r="AD379" i="6"/>
  <c r="AC379" i="6"/>
  <c r="AB379" i="6"/>
  <c r="AA379" i="6"/>
  <c r="Z379" i="6"/>
  <c r="AK378" i="6"/>
  <c r="AI378" i="6"/>
  <c r="AG378" i="6"/>
  <c r="AE378" i="6"/>
  <c r="AD378" i="6"/>
  <c r="AC378" i="6"/>
  <c r="AB378" i="6"/>
  <c r="AA378" i="6"/>
  <c r="Z378" i="6"/>
  <c r="AK377" i="6"/>
  <c r="AI377" i="6"/>
  <c r="AG377" i="6"/>
  <c r="AE377" i="6"/>
  <c r="AD377" i="6"/>
  <c r="AC377" i="6"/>
  <c r="AB377" i="6"/>
  <c r="AA377" i="6"/>
  <c r="Z377" i="6"/>
  <c r="AM376" i="6"/>
  <c r="AM377" i="6" s="1"/>
  <c r="AM378" i="6" s="1"/>
  <c r="AM379" i="6" s="1"/>
  <c r="AM380" i="6" s="1"/>
  <c r="AM381" i="6" s="1"/>
  <c r="AK376" i="6"/>
  <c r="AI376" i="6"/>
  <c r="AG376" i="6"/>
  <c r="AE376" i="6"/>
  <c r="AD376" i="6"/>
  <c r="AC376" i="6"/>
  <c r="AB376" i="6"/>
  <c r="AA376" i="6"/>
  <c r="Z376" i="6"/>
  <c r="AK375" i="6"/>
  <c r="AI375" i="6"/>
  <c r="AG375" i="6"/>
  <c r="AE375" i="6"/>
  <c r="AD375" i="6"/>
  <c r="AC375" i="6"/>
  <c r="AB375" i="6"/>
  <c r="AA375" i="6"/>
  <c r="Z375" i="6"/>
  <c r="AK374" i="6"/>
  <c r="AI374" i="6"/>
  <c r="AG374" i="6"/>
  <c r="AE374" i="6"/>
  <c r="AD374" i="6"/>
  <c r="AC374" i="6"/>
  <c r="AB374" i="6"/>
  <c r="AA374" i="6"/>
  <c r="Z374" i="6"/>
  <c r="AM373" i="6"/>
  <c r="AM374" i="6" s="1"/>
  <c r="AM375" i="6" s="1"/>
  <c r="AK373" i="6"/>
  <c r="AI373" i="6"/>
  <c r="AG373" i="6"/>
  <c r="AE373" i="6"/>
  <c r="AD373" i="6"/>
  <c r="AC373" i="6"/>
  <c r="AB373" i="6"/>
  <c r="AA373" i="6"/>
  <c r="Z373" i="6"/>
  <c r="AK372" i="6"/>
  <c r="AI372" i="6"/>
  <c r="AG372" i="6"/>
  <c r="AE372" i="6"/>
  <c r="AD372" i="6"/>
  <c r="AC372" i="6"/>
  <c r="AB372" i="6"/>
  <c r="AA372" i="6"/>
  <c r="Z372" i="6"/>
  <c r="AK371" i="6"/>
  <c r="AI371" i="6"/>
  <c r="AG371" i="6"/>
  <c r="AE371" i="6"/>
  <c r="AD371" i="6"/>
  <c r="AC371" i="6"/>
  <c r="AB371" i="6"/>
  <c r="AA371" i="6"/>
  <c r="Z371" i="6"/>
  <c r="AM370" i="6"/>
  <c r="AM371" i="6" s="1"/>
  <c r="AM372" i="6" s="1"/>
  <c r="AK370" i="6"/>
  <c r="AI370" i="6"/>
  <c r="AG370" i="6"/>
  <c r="AE370" i="6"/>
  <c r="AD370" i="6"/>
  <c r="AC370" i="6"/>
  <c r="AB370" i="6"/>
  <c r="AA370" i="6"/>
  <c r="Z370" i="6"/>
  <c r="AK369" i="6"/>
  <c r="AI369" i="6"/>
  <c r="AG369" i="6"/>
  <c r="AE369" i="6"/>
  <c r="AD369" i="6"/>
  <c r="AC369" i="6"/>
  <c r="AB369" i="6"/>
  <c r="AA369" i="6"/>
  <c r="Z369" i="6"/>
  <c r="AM368" i="6"/>
  <c r="AM369" i="6" s="1"/>
  <c r="AK368" i="6"/>
  <c r="AI368" i="6"/>
  <c r="AG368" i="6"/>
  <c r="AE368" i="6"/>
  <c r="AD368" i="6"/>
  <c r="AC368" i="6"/>
  <c r="AB368" i="6"/>
  <c r="AA368" i="6"/>
  <c r="Z368" i="6"/>
  <c r="AK367" i="6"/>
  <c r="AI367" i="6"/>
  <c r="AG367" i="6"/>
  <c r="AE367" i="6"/>
  <c r="AD367" i="6"/>
  <c r="AC367" i="6"/>
  <c r="AB367" i="6"/>
  <c r="AA367" i="6"/>
  <c r="Z367" i="6"/>
  <c r="AK366" i="6"/>
  <c r="AI366" i="6"/>
  <c r="AG366" i="6"/>
  <c r="AE366" i="6"/>
  <c r="AD366" i="6"/>
  <c r="AC366" i="6"/>
  <c r="AB366" i="6"/>
  <c r="AA366" i="6"/>
  <c r="Z366" i="6"/>
  <c r="AK365" i="6"/>
  <c r="AI365" i="6"/>
  <c r="AG365" i="6"/>
  <c r="AE365" i="6"/>
  <c r="AD365" i="6"/>
  <c r="AC365" i="6"/>
  <c r="AB365" i="6"/>
  <c r="AA365" i="6"/>
  <c r="Z365" i="6"/>
  <c r="AK364" i="6"/>
  <c r="AI364" i="6"/>
  <c r="AG364" i="6"/>
  <c r="AE364" i="6"/>
  <c r="AD364" i="6"/>
  <c r="AC364" i="6"/>
  <c r="AB364" i="6"/>
  <c r="AA364" i="6"/>
  <c r="Z364" i="6"/>
  <c r="AM363" i="6"/>
  <c r="AM364" i="6" s="1"/>
  <c r="AM365" i="6" s="1"/>
  <c r="AM366" i="6" s="1"/>
  <c r="AM367" i="6" s="1"/>
  <c r="AK363" i="6"/>
  <c r="AI363" i="6"/>
  <c r="AG363" i="6"/>
  <c r="AE363" i="6"/>
  <c r="AD363" i="6"/>
  <c r="AC363" i="6"/>
  <c r="AB363" i="6"/>
  <c r="AA363" i="6"/>
  <c r="Z363" i="6"/>
  <c r="AK362" i="6"/>
  <c r="AI362" i="6"/>
  <c r="AG362" i="6"/>
  <c r="AE362" i="6"/>
  <c r="AD362" i="6"/>
  <c r="AC362" i="6"/>
  <c r="AB362" i="6"/>
  <c r="AA362" i="6"/>
  <c r="Z362" i="6"/>
  <c r="AK361" i="6"/>
  <c r="AI361" i="6"/>
  <c r="AG361" i="6"/>
  <c r="AE361" i="6"/>
  <c r="AD361" i="6"/>
  <c r="AC361" i="6"/>
  <c r="AB361" i="6"/>
  <c r="AA361" i="6"/>
  <c r="Z361" i="6"/>
  <c r="AM360" i="6"/>
  <c r="AM361" i="6" s="1"/>
  <c r="AM362" i="6" s="1"/>
  <c r="AK360" i="6"/>
  <c r="AI360" i="6"/>
  <c r="AG360" i="6"/>
  <c r="AE360" i="6"/>
  <c r="AD360" i="6"/>
  <c r="AC360" i="6"/>
  <c r="AB360" i="6"/>
  <c r="AA360" i="6"/>
  <c r="Z360" i="6"/>
  <c r="AK359" i="6"/>
  <c r="AI359" i="6"/>
  <c r="AG359" i="6"/>
  <c r="AE359" i="6"/>
  <c r="AD359" i="6"/>
  <c r="AC359" i="6"/>
  <c r="AB359" i="6"/>
  <c r="AA359" i="6"/>
  <c r="Z359" i="6"/>
  <c r="AK358" i="6"/>
  <c r="AI358" i="6"/>
  <c r="AG358" i="6"/>
  <c r="AE358" i="6"/>
  <c r="AD358" i="6"/>
  <c r="AC358" i="6"/>
  <c r="AB358" i="6"/>
  <c r="AA358" i="6"/>
  <c r="Z358" i="6"/>
  <c r="AK357" i="6"/>
  <c r="AI357" i="6"/>
  <c r="AG357" i="6"/>
  <c r="AE357" i="6"/>
  <c r="AD357" i="6"/>
  <c r="AC357" i="6"/>
  <c r="AB357" i="6"/>
  <c r="AA357" i="6"/>
  <c r="Z357" i="6"/>
  <c r="AK356" i="6"/>
  <c r="AI356" i="6"/>
  <c r="AG356" i="6"/>
  <c r="AE356" i="6"/>
  <c r="AD356" i="6"/>
  <c r="AC356" i="6"/>
  <c r="AB356" i="6"/>
  <c r="AA356" i="6"/>
  <c r="Z356" i="6"/>
  <c r="AK355" i="6"/>
  <c r="AI355" i="6"/>
  <c r="AG355" i="6"/>
  <c r="AE355" i="6"/>
  <c r="AD355" i="6"/>
  <c r="AC355" i="6"/>
  <c r="AB355" i="6"/>
  <c r="AA355" i="6"/>
  <c r="Z355" i="6"/>
  <c r="AK354" i="6"/>
  <c r="AI354" i="6"/>
  <c r="AG354" i="6"/>
  <c r="AE354" i="6"/>
  <c r="AD354" i="6"/>
  <c r="AC354" i="6"/>
  <c r="AB354" i="6"/>
  <c r="AA354" i="6"/>
  <c r="Z354" i="6"/>
  <c r="AK353" i="6"/>
  <c r="AI353" i="6"/>
  <c r="AG353" i="6"/>
  <c r="AE353" i="6"/>
  <c r="AD353" i="6"/>
  <c r="AC353" i="6"/>
  <c r="AB353" i="6"/>
  <c r="AA353" i="6"/>
  <c r="Z353" i="6"/>
  <c r="AK352" i="6"/>
  <c r="AI352" i="6"/>
  <c r="AG352" i="6"/>
  <c r="AE352" i="6"/>
  <c r="AD352" i="6"/>
  <c r="AC352" i="6"/>
  <c r="AB352" i="6"/>
  <c r="AA352" i="6"/>
  <c r="Z352" i="6"/>
  <c r="AK351" i="6"/>
  <c r="AI351" i="6"/>
  <c r="AG351" i="6"/>
  <c r="AE351" i="6"/>
  <c r="AD351" i="6"/>
  <c r="AC351" i="6"/>
  <c r="AB351" i="6"/>
  <c r="AA351" i="6"/>
  <c r="Z351" i="6"/>
  <c r="AK350" i="6"/>
  <c r="AI350" i="6"/>
  <c r="AG350" i="6"/>
  <c r="AE350" i="6"/>
  <c r="AD350" i="6"/>
  <c r="AC350" i="6"/>
  <c r="AB350" i="6"/>
  <c r="AA350" i="6"/>
  <c r="Z350" i="6"/>
  <c r="AK349" i="6"/>
  <c r="AI349" i="6"/>
  <c r="AG349" i="6"/>
  <c r="AE349" i="6"/>
  <c r="AD349" i="6"/>
  <c r="AC349" i="6"/>
  <c r="AB349" i="6"/>
  <c r="AA349" i="6"/>
  <c r="Z349" i="6"/>
  <c r="AK348" i="6"/>
  <c r="AI348" i="6"/>
  <c r="AG348" i="6"/>
  <c r="AE348" i="6"/>
  <c r="AD348" i="6"/>
  <c r="AC348" i="6"/>
  <c r="AB348" i="6"/>
  <c r="AA348" i="6"/>
  <c r="Z348" i="6"/>
  <c r="AK347" i="6"/>
  <c r="AI347" i="6"/>
  <c r="AG347" i="6"/>
  <c r="AE347" i="6"/>
  <c r="AD347" i="6"/>
  <c r="AC347" i="6"/>
  <c r="AB347" i="6"/>
  <c r="AA347" i="6"/>
  <c r="Z347" i="6"/>
  <c r="AK346" i="6"/>
  <c r="AI346" i="6"/>
  <c r="AG346" i="6"/>
  <c r="AE346" i="6"/>
  <c r="AD346" i="6"/>
  <c r="AC346" i="6"/>
  <c r="AB346" i="6"/>
  <c r="AA346" i="6"/>
  <c r="Z346" i="6"/>
  <c r="AK345" i="6"/>
  <c r="AI345" i="6"/>
  <c r="AG345" i="6"/>
  <c r="AE345" i="6"/>
  <c r="AD345" i="6"/>
  <c r="AC345" i="6"/>
  <c r="AB345" i="6"/>
  <c r="AA345" i="6"/>
  <c r="Z345" i="6"/>
  <c r="AK344" i="6"/>
  <c r="AI344" i="6"/>
  <c r="AG344" i="6"/>
  <c r="AE344" i="6"/>
  <c r="AD344" i="6"/>
  <c r="AC344" i="6"/>
  <c r="AB344" i="6"/>
  <c r="AA344" i="6"/>
  <c r="Z344" i="6"/>
  <c r="AK343" i="6"/>
  <c r="AI343" i="6"/>
  <c r="AG343" i="6"/>
  <c r="AE343" i="6"/>
  <c r="AD343" i="6"/>
  <c r="AC343" i="6"/>
  <c r="AB343" i="6"/>
  <c r="AA343" i="6"/>
  <c r="Z343" i="6"/>
  <c r="AK342" i="6"/>
  <c r="AI342" i="6"/>
  <c r="AG342" i="6"/>
  <c r="AE342" i="6"/>
  <c r="AD342" i="6"/>
  <c r="AC342" i="6"/>
  <c r="AB342" i="6"/>
  <c r="AA342" i="6"/>
  <c r="Z342" i="6"/>
  <c r="AK341" i="6"/>
  <c r="AI341" i="6"/>
  <c r="AG341" i="6"/>
  <c r="AE341" i="6"/>
  <c r="AD341" i="6"/>
  <c r="AC341" i="6"/>
  <c r="AB341" i="6"/>
  <c r="AA341" i="6"/>
  <c r="Z341" i="6"/>
  <c r="AK340" i="6"/>
  <c r="AI340" i="6"/>
  <c r="AG340" i="6"/>
  <c r="AE340" i="6"/>
  <c r="AD340" i="6"/>
  <c r="AC340" i="6"/>
  <c r="AB340" i="6"/>
  <c r="AA340" i="6"/>
  <c r="Z340" i="6"/>
  <c r="AM339" i="6"/>
  <c r="AM340" i="6" s="1"/>
  <c r="AM341" i="6" s="1"/>
  <c r="AM342" i="6" s="1"/>
  <c r="AM343" i="6" s="1"/>
  <c r="AM344" i="6" s="1"/>
  <c r="AM345" i="6" s="1"/>
  <c r="AM346" i="6" s="1"/>
  <c r="AM347" i="6" s="1"/>
  <c r="AM348" i="6" s="1"/>
  <c r="AM349" i="6" s="1"/>
  <c r="AM350" i="6" s="1"/>
  <c r="AM351" i="6" s="1"/>
  <c r="AM352" i="6" s="1"/>
  <c r="AM353" i="6" s="1"/>
  <c r="AM354" i="6" s="1"/>
  <c r="AM355" i="6" s="1"/>
  <c r="AM356" i="6" s="1"/>
  <c r="AM357" i="6" s="1"/>
  <c r="AM358" i="6" s="1"/>
  <c r="AM359" i="6" s="1"/>
  <c r="AK339" i="6"/>
  <c r="AI339" i="6"/>
  <c r="AG339" i="6"/>
  <c r="AE339" i="6"/>
  <c r="AD339" i="6"/>
  <c r="AC339" i="6"/>
  <c r="AB339" i="6"/>
  <c r="AA339" i="6"/>
  <c r="Z339" i="6"/>
  <c r="AK338" i="6"/>
  <c r="AI338" i="6"/>
  <c r="AG338" i="6"/>
  <c r="AE338" i="6"/>
  <c r="AD338" i="6"/>
  <c r="AC338" i="6"/>
  <c r="AB338" i="6"/>
  <c r="AA338" i="6"/>
  <c r="Z338" i="6"/>
  <c r="AK337" i="6"/>
  <c r="AI337" i="6"/>
  <c r="AG337" i="6"/>
  <c r="AE337" i="6"/>
  <c r="AD337" i="6"/>
  <c r="AC337" i="6"/>
  <c r="AB337" i="6"/>
  <c r="AA337" i="6"/>
  <c r="Z337" i="6"/>
  <c r="AK336" i="6"/>
  <c r="AI336" i="6"/>
  <c r="AG336" i="6"/>
  <c r="AE336" i="6"/>
  <c r="AD336" i="6"/>
  <c r="AC336" i="6"/>
  <c r="AB336" i="6"/>
  <c r="AA336" i="6"/>
  <c r="Z336" i="6"/>
  <c r="AK335" i="6"/>
  <c r="AI335" i="6"/>
  <c r="AG335" i="6"/>
  <c r="AE335" i="6"/>
  <c r="AD335" i="6"/>
  <c r="AC335" i="6"/>
  <c r="AB335" i="6"/>
  <c r="AA335" i="6"/>
  <c r="Z335" i="6"/>
  <c r="AK334" i="6"/>
  <c r="AI334" i="6"/>
  <c r="AG334" i="6"/>
  <c r="AE334" i="6"/>
  <c r="AD334" i="6"/>
  <c r="AC334" i="6"/>
  <c r="AB334" i="6"/>
  <c r="AA334" i="6"/>
  <c r="Z334" i="6"/>
  <c r="AK333" i="6"/>
  <c r="AI333" i="6"/>
  <c r="AG333" i="6"/>
  <c r="AE333" i="6"/>
  <c r="AD333" i="6"/>
  <c r="AC333" i="6"/>
  <c r="AB333" i="6"/>
  <c r="AA333" i="6"/>
  <c r="Z333" i="6"/>
  <c r="AK332" i="6"/>
  <c r="AI332" i="6"/>
  <c r="AG332" i="6"/>
  <c r="AE332" i="6"/>
  <c r="AD332" i="6"/>
  <c r="AC332" i="6"/>
  <c r="AB332" i="6"/>
  <c r="AA332" i="6"/>
  <c r="Z332" i="6"/>
  <c r="AK331" i="6"/>
  <c r="AI331" i="6"/>
  <c r="AG331" i="6"/>
  <c r="AE331" i="6"/>
  <c r="AD331" i="6"/>
  <c r="AC331" i="6"/>
  <c r="AB331" i="6"/>
  <c r="AA331" i="6"/>
  <c r="Z331" i="6"/>
  <c r="AK330" i="6"/>
  <c r="AI330" i="6"/>
  <c r="AG330" i="6"/>
  <c r="AE330" i="6"/>
  <c r="AD330" i="6"/>
  <c r="AC330" i="6"/>
  <c r="AB330" i="6"/>
  <c r="AA330" i="6"/>
  <c r="Z330" i="6"/>
  <c r="AK329" i="6"/>
  <c r="AI329" i="6"/>
  <c r="AG329" i="6"/>
  <c r="AE329" i="6"/>
  <c r="AD329" i="6"/>
  <c r="AC329" i="6"/>
  <c r="AB329" i="6"/>
  <c r="AA329" i="6"/>
  <c r="Z329" i="6"/>
  <c r="AK328" i="6"/>
  <c r="AI328" i="6"/>
  <c r="AG328" i="6"/>
  <c r="AE328" i="6"/>
  <c r="AD328" i="6"/>
  <c r="AC328" i="6"/>
  <c r="AB328" i="6"/>
  <c r="AA328" i="6"/>
  <c r="Z328" i="6"/>
  <c r="AK327" i="6"/>
  <c r="AI327" i="6"/>
  <c r="AG327" i="6"/>
  <c r="AE327" i="6"/>
  <c r="AD327" i="6"/>
  <c r="AC327" i="6"/>
  <c r="AB327" i="6"/>
  <c r="AA327" i="6"/>
  <c r="Z327" i="6"/>
  <c r="AK326" i="6"/>
  <c r="AI326" i="6"/>
  <c r="AG326" i="6"/>
  <c r="AE326" i="6"/>
  <c r="AD326" i="6"/>
  <c r="AC326" i="6"/>
  <c r="AB326" i="6"/>
  <c r="AA326" i="6"/>
  <c r="Z326" i="6"/>
  <c r="AK325" i="6"/>
  <c r="AI325" i="6"/>
  <c r="AG325" i="6"/>
  <c r="AE325" i="6"/>
  <c r="AD325" i="6"/>
  <c r="AC325" i="6"/>
  <c r="AB325" i="6"/>
  <c r="AA325" i="6"/>
  <c r="Z325" i="6"/>
  <c r="AK324" i="6"/>
  <c r="AI324" i="6"/>
  <c r="AG324" i="6"/>
  <c r="AE324" i="6"/>
  <c r="AD324" i="6"/>
  <c r="AC324" i="6"/>
  <c r="AB324" i="6"/>
  <c r="AA324" i="6"/>
  <c r="Z324" i="6"/>
  <c r="AK323" i="6"/>
  <c r="AI323" i="6"/>
  <c r="AG323" i="6"/>
  <c r="AE323" i="6"/>
  <c r="AD323" i="6"/>
  <c r="AC323" i="6"/>
  <c r="AB323" i="6"/>
  <c r="AA323" i="6"/>
  <c r="Z323" i="6"/>
  <c r="AM322" i="6"/>
  <c r="AM323" i="6" s="1"/>
  <c r="AM324" i="6" s="1"/>
  <c r="AM325" i="6" s="1"/>
  <c r="AM326" i="6" s="1"/>
  <c r="AM327" i="6" s="1"/>
  <c r="AM328" i="6" s="1"/>
  <c r="AM329" i="6" s="1"/>
  <c r="AM330" i="6" s="1"/>
  <c r="AM331" i="6" s="1"/>
  <c r="AM332" i="6" s="1"/>
  <c r="AM333" i="6" s="1"/>
  <c r="AM334" i="6" s="1"/>
  <c r="AM335" i="6" s="1"/>
  <c r="AM336" i="6" s="1"/>
  <c r="AM337" i="6" s="1"/>
  <c r="AM338" i="6" s="1"/>
  <c r="AK322" i="6"/>
  <c r="AI322" i="6"/>
  <c r="AG322" i="6"/>
  <c r="AE322" i="6"/>
  <c r="AD322" i="6"/>
  <c r="AC322" i="6"/>
  <c r="AB322" i="6"/>
  <c r="AA322" i="6"/>
  <c r="Z322" i="6"/>
  <c r="AK321" i="6"/>
  <c r="AI321" i="6"/>
  <c r="AG321" i="6"/>
  <c r="AE321" i="6"/>
  <c r="AD321" i="6"/>
  <c r="AC321" i="6"/>
  <c r="AB321" i="6"/>
  <c r="AA321" i="6"/>
  <c r="Z321" i="6"/>
  <c r="AK320" i="6"/>
  <c r="AI320" i="6"/>
  <c r="AG320" i="6"/>
  <c r="AE320" i="6"/>
  <c r="AD320" i="6"/>
  <c r="AC320" i="6"/>
  <c r="AB320" i="6"/>
  <c r="AA320" i="6"/>
  <c r="Z320" i="6"/>
  <c r="AK319" i="6"/>
  <c r="AI319" i="6"/>
  <c r="AG319" i="6"/>
  <c r="AE319" i="6"/>
  <c r="AD319" i="6"/>
  <c r="AC319" i="6"/>
  <c r="AB319" i="6"/>
  <c r="AA319" i="6"/>
  <c r="Z319" i="6"/>
  <c r="AK318" i="6"/>
  <c r="AI318" i="6"/>
  <c r="AG318" i="6"/>
  <c r="AE318" i="6"/>
  <c r="AD318" i="6"/>
  <c r="AC318" i="6"/>
  <c r="AB318" i="6"/>
  <c r="AA318" i="6"/>
  <c r="Z318" i="6"/>
  <c r="AK317" i="6"/>
  <c r="AI317" i="6"/>
  <c r="AG317" i="6"/>
  <c r="AE317" i="6"/>
  <c r="AD317" i="6"/>
  <c r="AC317" i="6"/>
  <c r="AB317" i="6"/>
  <c r="AA317" i="6"/>
  <c r="Z317" i="6"/>
  <c r="AK316" i="6"/>
  <c r="AI316" i="6"/>
  <c r="AG316" i="6"/>
  <c r="AE316" i="6"/>
  <c r="AD316" i="6"/>
  <c r="AC316" i="6"/>
  <c r="AB316" i="6"/>
  <c r="AA316" i="6"/>
  <c r="Z316" i="6"/>
  <c r="AK315" i="6"/>
  <c r="AI315" i="6"/>
  <c r="AG315" i="6"/>
  <c r="AE315" i="6"/>
  <c r="AD315" i="6"/>
  <c r="AC315" i="6"/>
  <c r="AB315" i="6"/>
  <c r="AA315" i="6"/>
  <c r="Z315" i="6"/>
  <c r="AK314" i="6"/>
  <c r="AI314" i="6"/>
  <c r="AG314" i="6"/>
  <c r="AE314" i="6"/>
  <c r="AD314" i="6"/>
  <c r="AC314" i="6"/>
  <c r="AB314" i="6"/>
  <c r="AA314" i="6"/>
  <c r="Z314" i="6"/>
  <c r="AK313" i="6"/>
  <c r="AI313" i="6"/>
  <c r="AG313" i="6"/>
  <c r="AE313" i="6"/>
  <c r="AD313" i="6"/>
  <c r="AC313" i="6"/>
  <c r="AB313" i="6"/>
  <c r="AA313" i="6"/>
  <c r="Z313" i="6"/>
  <c r="AK312" i="6"/>
  <c r="AI312" i="6"/>
  <c r="AG312" i="6"/>
  <c r="AE312" i="6"/>
  <c r="AD312" i="6"/>
  <c r="AC312" i="6"/>
  <c r="AB312" i="6"/>
  <c r="AA312" i="6"/>
  <c r="Z312" i="6"/>
  <c r="AK311" i="6"/>
  <c r="AI311" i="6"/>
  <c r="AG311" i="6"/>
  <c r="AE311" i="6"/>
  <c r="AD311" i="6"/>
  <c r="AC311" i="6"/>
  <c r="AB311" i="6"/>
  <c r="AA311" i="6"/>
  <c r="Z311" i="6"/>
  <c r="AK310" i="6"/>
  <c r="AI310" i="6"/>
  <c r="AG310" i="6"/>
  <c r="AE310" i="6"/>
  <c r="AD310" i="6"/>
  <c r="AC310" i="6"/>
  <c r="AB310" i="6"/>
  <c r="AA310" i="6"/>
  <c r="Z310" i="6"/>
  <c r="AK309" i="6"/>
  <c r="AI309" i="6"/>
  <c r="AG309" i="6"/>
  <c r="AE309" i="6"/>
  <c r="AD309" i="6"/>
  <c r="AC309" i="6"/>
  <c r="AB309" i="6"/>
  <c r="AA309" i="6"/>
  <c r="Z309" i="6"/>
  <c r="AK308" i="6"/>
  <c r="AI308" i="6"/>
  <c r="AG308" i="6"/>
  <c r="AE308" i="6"/>
  <c r="AD308" i="6"/>
  <c r="AC308" i="6"/>
  <c r="AB308" i="6"/>
  <c r="AA308" i="6"/>
  <c r="Z308" i="6"/>
  <c r="AK307" i="6"/>
  <c r="AI307" i="6"/>
  <c r="AG307" i="6"/>
  <c r="AE307" i="6"/>
  <c r="AD307" i="6"/>
  <c r="AC307" i="6"/>
  <c r="AB307" i="6"/>
  <c r="AA307" i="6"/>
  <c r="Z307" i="6"/>
  <c r="AK306" i="6"/>
  <c r="AI306" i="6"/>
  <c r="AG306" i="6"/>
  <c r="AE306" i="6"/>
  <c r="AD306" i="6"/>
  <c r="AC306" i="6"/>
  <c r="AB306" i="6"/>
  <c r="AA306" i="6"/>
  <c r="Z306" i="6"/>
  <c r="AM305" i="6"/>
  <c r="AM306" i="6" s="1"/>
  <c r="AM307" i="6" s="1"/>
  <c r="AM308" i="6" s="1"/>
  <c r="AM309" i="6" s="1"/>
  <c r="AM310" i="6" s="1"/>
  <c r="AM311" i="6" s="1"/>
  <c r="AM312" i="6" s="1"/>
  <c r="AM313" i="6" s="1"/>
  <c r="AM314" i="6" s="1"/>
  <c r="AM315" i="6" s="1"/>
  <c r="AM316" i="6" s="1"/>
  <c r="AM317" i="6" s="1"/>
  <c r="AM318" i="6" s="1"/>
  <c r="AM319" i="6" s="1"/>
  <c r="AM320" i="6" s="1"/>
  <c r="AM321" i="6" s="1"/>
  <c r="AK305" i="6"/>
  <c r="AI305" i="6"/>
  <c r="AG305" i="6"/>
  <c r="AE305" i="6"/>
  <c r="AD305" i="6"/>
  <c r="AC305" i="6"/>
  <c r="AB305" i="6"/>
  <c r="AA305" i="6"/>
  <c r="Z305" i="6"/>
  <c r="AK304" i="6"/>
  <c r="AI304" i="6"/>
  <c r="AG304" i="6"/>
  <c r="AE304" i="6"/>
  <c r="AD304" i="6"/>
  <c r="AC304" i="6"/>
  <c r="AB304" i="6"/>
  <c r="AA304" i="6"/>
  <c r="Z304" i="6"/>
  <c r="AK303" i="6"/>
  <c r="AI303" i="6"/>
  <c r="AG303" i="6"/>
  <c r="AE303" i="6"/>
  <c r="AD303" i="6"/>
  <c r="AC303" i="6"/>
  <c r="AB303" i="6"/>
  <c r="AA303" i="6"/>
  <c r="Z303" i="6"/>
  <c r="AK302" i="6"/>
  <c r="AI302" i="6"/>
  <c r="AG302" i="6"/>
  <c r="AE302" i="6"/>
  <c r="AD302" i="6"/>
  <c r="AC302" i="6"/>
  <c r="AB302" i="6"/>
  <c r="AA302" i="6"/>
  <c r="Z302" i="6"/>
  <c r="AK301" i="6"/>
  <c r="AI301" i="6"/>
  <c r="AG301" i="6"/>
  <c r="AE301" i="6"/>
  <c r="AD301" i="6"/>
  <c r="AC301" i="6"/>
  <c r="AB301" i="6"/>
  <c r="AA301" i="6"/>
  <c r="Z301" i="6"/>
  <c r="AK300" i="6"/>
  <c r="AI300" i="6"/>
  <c r="AG300" i="6"/>
  <c r="AE300" i="6"/>
  <c r="AD300" i="6"/>
  <c r="AC300" i="6"/>
  <c r="AB300" i="6"/>
  <c r="AA300" i="6"/>
  <c r="Z300" i="6"/>
  <c r="AK299" i="6"/>
  <c r="AI299" i="6"/>
  <c r="AG299" i="6"/>
  <c r="AE299" i="6"/>
  <c r="AD299" i="6"/>
  <c r="AC299" i="6"/>
  <c r="AB299" i="6"/>
  <c r="AA299" i="6"/>
  <c r="Z299" i="6"/>
  <c r="AK298" i="6"/>
  <c r="AI298" i="6"/>
  <c r="AG298" i="6"/>
  <c r="AE298" i="6"/>
  <c r="AD298" i="6"/>
  <c r="AC298" i="6"/>
  <c r="AB298" i="6"/>
  <c r="AA298" i="6"/>
  <c r="Z298" i="6"/>
  <c r="AK297" i="6"/>
  <c r="AI297" i="6"/>
  <c r="AG297" i="6"/>
  <c r="AE297" i="6"/>
  <c r="AD297" i="6"/>
  <c r="AC297" i="6"/>
  <c r="AB297" i="6"/>
  <c r="AA297" i="6"/>
  <c r="Z297" i="6"/>
  <c r="AK296" i="6"/>
  <c r="AI296" i="6"/>
  <c r="AG296" i="6"/>
  <c r="AE296" i="6"/>
  <c r="AD296" i="6"/>
  <c r="AC296" i="6"/>
  <c r="AB296" i="6"/>
  <c r="AA296" i="6"/>
  <c r="Z296" i="6"/>
  <c r="AK295" i="6"/>
  <c r="AI295" i="6"/>
  <c r="AG295" i="6"/>
  <c r="AE295" i="6"/>
  <c r="AD295" i="6"/>
  <c r="AC295" i="6"/>
  <c r="AB295" i="6"/>
  <c r="AA295" i="6"/>
  <c r="Z295" i="6"/>
  <c r="AK294" i="6"/>
  <c r="AI294" i="6"/>
  <c r="AG294" i="6"/>
  <c r="AE294" i="6"/>
  <c r="AD294" i="6"/>
  <c r="AC294" i="6"/>
  <c r="AB294" i="6"/>
  <c r="AA294" i="6"/>
  <c r="Z294" i="6"/>
  <c r="AK293" i="6"/>
  <c r="AI293" i="6"/>
  <c r="AG293" i="6"/>
  <c r="AE293" i="6"/>
  <c r="AD293" i="6"/>
  <c r="AC293" i="6"/>
  <c r="AB293" i="6"/>
  <c r="AA293" i="6"/>
  <c r="Z293" i="6"/>
  <c r="AK292" i="6"/>
  <c r="AI292" i="6"/>
  <c r="AG292" i="6"/>
  <c r="AE292" i="6"/>
  <c r="AD292" i="6"/>
  <c r="AC292" i="6"/>
  <c r="AB292" i="6"/>
  <c r="AA292" i="6"/>
  <c r="Z292" i="6"/>
  <c r="AK291" i="6"/>
  <c r="AI291" i="6"/>
  <c r="AG291" i="6"/>
  <c r="AE291" i="6"/>
  <c r="AD291" i="6"/>
  <c r="AC291" i="6"/>
  <c r="AB291" i="6"/>
  <c r="AA291" i="6"/>
  <c r="Z291" i="6"/>
  <c r="AK290" i="6"/>
  <c r="AI290" i="6"/>
  <c r="AG290" i="6"/>
  <c r="AE290" i="6"/>
  <c r="AD290" i="6"/>
  <c r="AC290" i="6"/>
  <c r="AB290" i="6"/>
  <c r="AA290" i="6"/>
  <c r="Z290" i="6"/>
  <c r="AK289" i="6"/>
  <c r="AI289" i="6"/>
  <c r="AG289" i="6"/>
  <c r="AE289" i="6"/>
  <c r="AD289" i="6"/>
  <c r="AC289" i="6"/>
  <c r="AB289" i="6"/>
  <c r="AA289" i="6"/>
  <c r="Z289" i="6"/>
  <c r="AM288" i="6"/>
  <c r="AM289" i="6" s="1"/>
  <c r="AM290" i="6" s="1"/>
  <c r="AM291" i="6" s="1"/>
  <c r="AM292" i="6" s="1"/>
  <c r="AM293" i="6" s="1"/>
  <c r="AM294" i="6" s="1"/>
  <c r="AM295" i="6" s="1"/>
  <c r="AM296" i="6" s="1"/>
  <c r="AM297" i="6" s="1"/>
  <c r="AM298" i="6" s="1"/>
  <c r="AM299" i="6" s="1"/>
  <c r="AM300" i="6" s="1"/>
  <c r="AM301" i="6" s="1"/>
  <c r="AM302" i="6" s="1"/>
  <c r="AM303" i="6" s="1"/>
  <c r="AM304" i="6" s="1"/>
  <c r="AK288" i="6"/>
  <c r="AI288" i="6"/>
  <c r="AG288" i="6"/>
  <c r="AE288" i="6"/>
  <c r="AD288" i="6"/>
  <c r="AC288" i="6"/>
  <c r="AB288" i="6"/>
  <c r="AA288" i="6"/>
  <c r="Z288" i="6"/>
  <c r="AK287" i="6"/>
  <c r="AI287" i="6"/>
  <c r="AG287" i="6"/>
  <c r="AE287" i="6"/>
  <c r="AD287" i="6"/>
  <c r="AC287" i="6"/>
  <c r="AB287" i="6"/>
  <c r="AA287" i="6"/>
  <c r="Z287" i="6"/>
  <c r="AK286" i="6"/>
  <c r="AI286" i="6"/>
  <c r="AG286" i="6"/>
  <c r="AE286" i="6"/>
  <c r="AD286" i="6"/>
  <c r="AC286" i="6"/>
  <c r="AB286" i="6"/>
  <c r="AA286" i="6"/>
  <c r="Z286" i="6"/>
  <c r="AK285" i="6"/>
  <c r="AI285" i="6"/>
  <c r="AG285" i="6"/>
  <c r="AE285" i="6"/>
  <c r="AD285" i="6"/>
  <c r="AC285" i="6"/>
  <c r="AB285" i="6"/>
  <c r="AA285" i="6"/>
  <c r="Z285" i="6"/>
  <c r="AK284" i="6"/>
  <c r="AI284" i="6"/>
  <c r="AG284" i="6"/>
  <c r="AE284" i="6"/>
  <c r="AD284" i="6"/>
  <c r="AC284" i="6"/>
  <c r="AB284" i="6"/>
  <c r="AA284" i="6"/>
  <c r="Z284" i="6"/>
  <c r="AK283" i="6"/>
  <c r="AI283" i="6"/>
  <c r="AG283" i="6"/>
  <c r="AE283" i="6"/>
  <c r="AD283" i="6"/>
  <c r="AC283" i="6"/>
  <c r="AB283" i="6"/>
  <c r="AA283" i="6"/>
  <c r="Z283" i="6"/>
  <c r="AK282" i="6"/>
  <c r="AI282" i="6"/>
  <c r="AG282" i="6"/>
  <c r="AE282" i="6"/>
  <c r="AD282" i="6"/>
  <c r="AC282" i="6"/>
  <c r="AB282" i="6"/>
  <c r="AA282" i="6"/>
  <c r="Z282" i="6"/>
  <c r="AK281" i="6"/>
  <c r="AI281" i="6"/>
  <c r="AG281" i="6"/>
  <c r="AE281" i="6"/>
  <c r="AD281" i="6"/>
  <c r="AC281" i="6"/>
  <c r="AB281" i="6"/>
  <c r="AA281" i="6"/>
  <c r="Z281" i="6"/>
  <c r="AM280" i="6"/>
  <c r="AM281" i="6" s="1"/>
  <c r="AM282" i="6" s="1"/>
  <c r="AM283" i="6" s="1"/>
  <c r="AM284" i="6" s="1"/>
  <c r="AM285" i="6" s="1"/>
  <c r="AM286" i="6" s="1"/>
  <c r="AM287" i="6" s="1"/>
  <c r="AK280" i="6"/>
  <c r="AI280" i="6"/>
  <c r="AG280" i="6"/>
  <c r="AE280" i="6"/>
  <c r="AD280" i="6"/>
  <c r="AC280" i="6"/>
  <c r="AB280" i="6"/>
  <c r="AA280" i="6"/>
  <c r="Z280" i="6"/>
  <c r="AK279" i="6"/>
  <c r="AI279" i="6"/>
  <c r="AG279" i="6"/>
  <c r="AE279" i="6"/>
  <c r="AD279" i="6"/>
  <c r="AC279" i="6"/>
  <c r="AB279" i="6"/>
  <c r="AA279" i="6"/>
  <c r="Z279" i="6"/>
  <c r="AK278" i="6"/>
  <c r="AI278" i="6"/>
  <c r="AG278" i="6"/>
  <c r="AE278" i="6"/>
  <c r="AD278" i="6"/>
  <c r="AC278" i="6"/>
  <c r="AB278" i="6"/>
  <c r="AA278" i="6"/>
  <c r="Z278" i="6"/>
  <c r="AK277" i="6"/>
  <c r="AI277" i="6"/>
  <c r="AG277" i="6"/>
  <c r="AE277" i="6"/>
  <c r="AD277" i="6"/>
  <c r="AC277" i="6"/>
  <c r="AB277" i="6"/>
  <c r="AA277" i="6"/>
  <c r="Z277" i="6"/>
  <c r="AM276" i="6"/>
  <c r="AM277" i="6" s="1"/>
  <c r="AM278" i="6" s="1"/>
  <c r="AM279" i="6" s="1"/>
  <c r="AK276" i="6"/>
  <c r="AI276" i="6"/>
  <c r="AG276" i="6"/>
  <c r="AE276" i="6"/>
  <c r="AD276" i="6"/>
  <c r="AC276" i="6"/>
  <c r="AB276" i="6"/>
  <c r="AA276" i="6"/>
  <c r="Z276" i="6"/>
  <c r="AK275" i="6"/>
  <c r="AI275" i="6"/>
  <c r="AG275" i="6"/>
  <c r="AE275" i="6"/>
  <c r="AD275" i="6"/>
  <c r="AC275" i="6"/>
  <c r="AB275" i="6"/>
  <c r="AA275" i="6"/>
  <c r="Z275" i="6"/>
  <c r="AK274" i="6"/>
  <c r="AI274" i="6"/>
  <c r="AG274" i="6"/>
  <c r="AE274" i="6"/>
  <c r="AD274" i="6"/>
  <c r="AC274" i="6"/>
  <c r="AB274" i="6"/>
  <c r="AA274" i="6"/>
  <c r="Z274" i="6"/>
  <c r="AK273" i="6"/>
  <c r="AI273" i="6"/>
  <c r="AG273" i="6"/>
  <c r="AE273" i="6"/>
  <c r="AD273" i="6"/>
  <c r="AC273" i="6"/>
  <c r="AB273" i="6"/>
  <c r="AA273" i="6"/>
  <c r="Z273" i="6"/>
  <c r="AK272" i="6"/>
  <c r="AI272" i="6"/>
  <c r="AG272" i="6"/>
  <c r="AE272" i="6"/>
  <c r="AD272" i="6"/>
  <c r="AC272" i="6"/>
  <c r="AB272" i="6"/>
  <c r="AA272" i="6"/>
  <c r="Z272" i="6"/>
  <c r="AK271" i="6"/>
  <c r="AI271" i="6"/>
  <c r="AG271" i="6"/>
  <c r="AE271" i="6"/>
  <c r="AD271" i="6"/>
  <c r="AC271" i="6"/>
  <c r="AB271" i="6"/>
  <c r="AA271" i="6"/>
  <c r="Z271" i="6"/>
  <c r="AK270" i="6"/>
  <c r="AI270" i="6"/>
  <c r="AG270" i="6"/>
  <c r="AE270" i="6"/>
  <c r="AD270" i="6"/>
  <c r="AC270" i="6"/>
  <c r="AB270" i="6"/>
  <c r="AA270" i="6"/>
  <c r="Z270" i="6"/>
  <c r="AM269" i="6"/>
  <c r="AM270" i="6" s="1"/>
  <c r="AM271" i="6" s="1"/>
  <c r="AM272" i="6" s="1"/>
  <c r="AM273" i="6" s="1"/>
  <c r="AM274" i="6" s="1"/>
  <c r="AM275" i="6" s="1"/>
  <c r="AK269" i="6"/>
  <c r="AI269" i="6"/>
  <c r="AG269" i="6"/>
  <c r="AE269" i="6"/>
  <c r="AD269" i="6"/>
  <c r="AC269" i="6"/>
  <c r="AB269" i="6"/>
  <c r="AA269" i="6"/>
  <c r="Z269" i="6"/>
  <c r="AK268" i="6"/>
  <c r="AI268" i="6"/>
  <c r="AG268" i="6"/>
  <c r="AE268" i="6"/>
  <c r="AD268" i="6"/>
  <c r="AC268" i="6"/>
  <c r="AB268" i="6"/>
  <c r="AA268" i="6"/>
  <c r="Z268" i="6"/>
  <c r="AK267" i="6"/>
  <c r="AI267" i="6"/>
  <c r="AG267" i="6"/>
  <c r="AE267" i="6"/>
  <c r="AD267" i="6"/>
  <c r="AC267" i="6"/>
  <c r="AB267" i="6"/>
  <c r="AA267" i="6"/>
  <c r="Z267" i="6"/>
  <c r="AK266" i="6"/>
  <c r="AI266" i="6"/>
  <c r="AG266" i="6"/>
  <c r="AE266" i="6"/>
  <c r="AD266" i="6"/>
  <c r="AC266" i="6"/>
  <c r="AB266" i="6"/>
  <c r="AA266" i="6"/>
  <c r="Z266" i="6"/>
  <c r="AK265" i="6"/>
  <c r="AI265" i="6"/>
  <c r="AG265" i="6"/>
  <c r="AE265" i="6"/>
  <c r="AD265" i="6"/>
  <c r="AC265" i="6"/>
  <c r="AB265" i="6"/>
  <c r="AA265" i="6"/>
  <c r="Z265" i="6"/>
  <c r="AK264" i="6"/>
  <c r="AI264" i="6"/>
  <c r="AG264" i="6"/>
  <c r="AE264" i="6"/>
  <c r="AD264" i="6"/>
  <c r="AC264" i="6"/>
  <c r="AB264" i="6"/>
  <c r="AA264" i="6"/>
  <c r="Z264" i="6"/>
  <c r="AK263" i="6"/>
  <c r="AI263" i="6"/>
  <c r="AG263" i="6"/>
  <c r="AE263" i="6"/>
  <c r="AD263" i="6"/>
  <c r="AC263" i="6"/>
  <c r="AB263" i="6"/>
  <c r="AA263" i="6"/>
  <c r="Z263" i="6"/>
  <c r="AK262" i="6"/>
  <c r="AI262" i="6"/>
  <c r="AG262" i="6"/>
  <c r="AE262" i="6"/>
  <c r="AD262" i="6"/>
  <c r="AC262" i="6"/>
  <c r="AB262" i="6"/>
  <c r="AA262" i="6"/>
  <c r="Z262" i="6"/>
  <c r="AK261" i="6"/>
  <c r="AI261" i="6"/>
  <c r="AG261" i="6"/>
  <c r="AE261" i="6"/>
  <c r="AD261" i="6"/>
  <c r="AC261" i="6"/>
  <c r="AB261" i="6"/>
  <c r="AA261" i="6"/>
  <c r="Z261" i="6"/>
  <c r="AK260" i="6"/>
  <c r="AI260" i="6"/>
  <c r="AG260" i="6"/>
  <c r="AE260" i="6"/>
  <c r="AD260" i="6"/>
  <c r="AC260" i="6"/>
  <c r="AB260" i="6"/>
  <c r="AA260" i="6"/>
  <c r="Z260" i="6"/>
  <c r="AK259" i="6"/>
  <c r="AI259" i="6"/>
  <c r="AG259" i="6"/>
  <c r="AE259" i="6"/>
  <c r="AD259" i="6"/>
  <c r="AC259" i="6"/>
  <c r="AB259" i="6"/>
  <c r="AA259" i="6"/>
  <c r="Z259" i="6"/>
  <c r="AK258" i="6"/>
  <c r="AI258" i="6"/>
  <c r="AG258" i="6"/>
  <c r="AE258" i="6"/>
  <c r="AD258" i="6"/>
  <c r="AC258" i="6"/>
  <c r="AB258" i="6"/>
  <c r="AA258" i="6"/>
  <c r="Z258" i="6"/>
  <c r="AM257" i="6"/>
  <c r="AM258" i="6" s="1"/>
  <c r="AM259" i="6" s="1"/>
  <c r="AM260" i="6" s="1"/>
  <c r="AM261" i="6" s="1"/>
  <c r="AM262" i="6" s="1"/>
  <c r="AM263" i="6" s="1"/>
  <c r="AM264" i="6" s="1"/>
  <c r="AM265" i="6" s="1"/>
  <c r="AM266" i="6" s="1"/>
  <c r="AM267" i="6" s="1"/>
  <c r="AM268" i="6" s="1"/>
  <c r="AK257" i="6"/>
  <c r="AI257" i="6"/>
  <c r="AG257" i="6"/>
  <c r="AE257" i="6"/>
  <c r="AD257" i="6"/>
  <c r="AC257" i="6"/>
  <c r="AB257" i="6"/>
  <c r="AA257" i="6"/>
  <c r="Z257" i="6"/>
  <c r="AK256" i="6"/>
  <c r="AI256" i="6"/>
  <c r="AG256" i="6"/>
  <c r="AE256" i="6"/>
  <c r="AD256" i="6"/>
  <c r="AC256" i="6"/>
  <c r="AB256" i="6"/>
  <c r="AA256" i="6"/>
  <c r="Z256" i="6"/>
  <c r="AK255" i="6"/>
  <c r="AI255" i="6"/>
  <c r="AG255" i="6"/>
  <c r="AE255" i="6"/>
  <c r="AD255" i="6"/>
  <c r="AC255" i="6"/>
  <c r="AB255" i="6"/>
  <c r="AA255" i="6"/>
  <c r="Z255" i="6"/>
  <c r="AK254" i="6"/>
  <c r="AI254" i="6"/>
  <c r="AG254" i="6"/>
  <c r="AE254" i="6"/>
  <c r="AD254" i="6"/>
  <c r="AC254" i="6"/>
  <c r="AB254" i="6"/>
  <c r="AA254" i="6"/>
  <c r="Z254" i="6"/>
  <c r="AM253" i="6"/>
  <c r="AM254" i="6" s="1"/>
  <c r="AM255" i="6" s="1"/>
  <c r="AM256" i="6" s="1"/>
  <c r="AK253" i="6"/>
  <c r="AI253" i="6"/>
  <c r="AG253" i="6"/>
  <c r="AE253" i="6"/>
  <c r="AD253" i="6"/>
  <c r="AC253" i="6"/>
  <c r="AB253" i="6"/>
  <c r="AA253" i="6"/>
  <c r="Z253" i="6"/>
  <c r="AK252" i="6"/>
  <c r="AI252" i="6"/>
  <c r="AG252" i="6"/>
  <c r="AE252" i="6"/>
  <c r="AD252" i="6"/>
  <c r="AC252" i="6"/>
  <c r="AB252" i="6"/>
  <c r="AA252" i="6"/>
  <c r="Z252" i="6"/>
  <c r="AK251" i="6"/>
  <c r="AI251" i="6"/>
  <c r="AG251" i="6"/>
  <c r="AE251" i="6"/>
  <c r="AD251" i="6"/>
  <c r="AC251" i="6"/>
  <c r="AB251" i="6"/>
  <c r="AA251" i="6"/>
  <c r="Z251" i="6"/>
  <c r="AM250" i="6"/>
  <c r="AM251" i="6" s="1"/>
  <c r="AM252" i="6" s="1"/>
  <c r="AK250" i="6"/>
  <c r="AI250" i="6"/>
  <c r="AG250" i="6"/>
  <c r="AE250" i="6"/>
  <c r="AD250" i="6"/>
  <c r="AC250" i="6"/>
  <c r="AB250" i="6"/>
  <c r="AA250" i="6"/>
  <c r="Z250" i="6"/>
  <c r="AK249" i="6"/>
  <c r="AI249" i="6"/>
  <c r="AG249" i="6"/>
  <c r="AE249" i="6"/>
  <c r="AD249" i="6"/>
  <c r="AC249" i="6"/>
  <c r="AB249" i="6"/>
  <c r="AA249" i="6"/>
  <c r="Z249" i="6"/>
  <c r="AK248" i="6"/>
  <c r="AI248" i="6"/>
  <c r="AG248" i="6"/>
  <c r="AE248" i="6"/>
  <c r="AD248" i="6"/>
  <c r="AC248" i="6"/>
  <c r="AB248" i="6"/>
  <c r="AA248" i="6"/>
  <c r="Z248" i="6"/>
  <c r="AM247" i="6"/>
  <c r="AM248" i="6" s="1"/>
  <c r="AM249" i="6" s="1"/>
  <c r="AK247" i="6"/>
  <c r="AI247" i="6"/>
  <c r="AG247" i="6"/>
  <c r="AE247" i="6"/>
  <c r="AD247" i="6"/>
  <c r="AC247" i="6"/>
  <c r="AB247" i="6"/>
  <c r="AA247" i="6"/>
  <c r="Z247" i="6"/>
  <c r="AK246" i="6"/>
  <c r="AI246" i="6"/>
  <c r="AG246" i="6"/>
  <c r="AE246" i="6"/>
  <c r="AD246" i="6"/>
  <c r="AC246" i="6"/>
  <c r="AB246" i="6"/>
  <c r="AA246" i="6"/>
  <c r="Z246" i="6"/>
  <c r="AK245" i="6"/>
  <c r="AI245" i="6"/>
  <c r="AG245" i="6"/>
  <c r="AE245" i="6"/>
  <c r="AD245" i="6"/>
  <c r="AC245" i="6"/>
  <c r="AB245" i="6"/>
  <c r="AA245" i="6"/>
  <c r="Z245" i="6"/>
  <c r="AM244" i="6"/>
  <c r="AM245" i="6" s="1"/>
  <c r="AM246" i="6" s="1"/>
  <c r="AK244" i="6"/>
  <c r="AI244" i="6"/>
  <c r="AG244" i="6"/>
  <c r="AE244" i="6"/>
  <c r="AD244" i="6"/>
  <c r="AC244" i="6"/>
  <c r="AB244" i="6"/>
  <c r="AA244" i="6"/>
  <c r="Z244" i="6"/>
  <c r="AK243" i="6"/>
  <c r="AI243" i="6"/>
  <c r="AG243" i="6"/>
  <c r="AE243" i="6"/>
  <c r="AD243" i="6"/>
  <c r="AC243" i="6"/>
  <c r="AB243" i="6"/>
  <c r="AA243" i="6"/>
  <c r="Z243" i="6"/>
  <c r="AM242" i="6"/>
  <c r="AM243" i="6" s="1"/>
  <c r="AK242" i="6"/>
  <c r="AI242" i="6"/>
  <c r="AG242" i="6"/>
  <c r="AE242" i="6"/>
  <c r="AD242" i="6"/>
  <c r="AC242" i="6"/>
  <c r="AB242" i="6"/>
  <c r="AA242" i="6"/>
  <c r="Z242" i="6"/>
  <c r="AK241" i="6"/>
  <c r="AI241" i="6"/>
  <c r="AG241" i="6"/>
  <c r="AE241" i="6"/>
  <c r="AD241" i="6"/>
  <c r="AC241" i="6"/>
  <c r="AB241" i="6"/>
  <c r="AA241" i="6"/>
  <c r="Z241" i="6"/>
  <c r="AK240" i="6"/>
  <c r="AI240" i="6"/>
  <c r="AG240" i="6"/>
  <c r="AE240" i="6"/>
  <c r="AD240" i="6"/>
  <c r="AC240" i="6"/>
  <c r="AB240" i="6"/>
  <c r="AA240" i="6"/>
  <c r="Z240" i="6"/>
  <c r="AK239" i="6"/>
  <c r="AI239" i="6"/>
  <c r="AG239" i="6"/>
  <c r="AE239" i="6"/>
  <c r="AD239" i="6"/>
  <c r="AC239" i="6"/>
  <c r="AB239" i="6"/>
  <c r="AA239" i="6"/>
  <c r="Z239" i="6"/>
  <c r="AK238" i="6"/>
  <c r="AI238" i="6"/>
  <c r="AG238" i="6"/>
  <c r="AE238" i="6"/>
  <c r="AD238" i="6"/>
  <c r="AC238" i="6"/>
  <c r="AB238" i="6"/>
  <c r="AA238" i="6"/>
  <c r="Z238" i="6"/>
  <c r="AK237" i="6"/>
  <c r="AI237" i="6"/>
  <c r="AG237" i="6"/>
  <c r="AE237" i="6"/>
  <c r="AD237" i="6"/>
  <c r="AC237" i="6"/>
  <c r="AB237" i="6"/>
  <c r="AA237" i="6"/>
  <c r="Z237" i="6"/>
  <c r="AK236" i="6"/>
  <c r="AI236" i="6"/>
  <c r="AG236" i="6"/>
  <c r="AE236" i="6"/>
  <c r="AD236" i="6"/>
  <c r="AC236" i="6"/>
  <c r="AB236" i="6"/>
  <c r="AA236" i="6"/>
  <c r="Z236" i="6"/>
  <c r="AK235" i="6"/>
  <c r="AI235" i="6"/>
  <c r="AG235" i="6"/>
  <c r="AE235" i="6"/>
  <c r="AD235" i="6"/>
  <c r="AC235" i="6"/>
  <c r="AB235" i="6"/>
  <c r="AA235" i="6"/>
  <c r="Z235" i="6"/>
  <c r="AK234" i="6"/>
  <c r="AI234" i="6"/>
  <c r="AG234" i="6"/>
  <c r="AE234" i="6"/>
  <c r="AD234" i="6"/>
  <c r="AC234" i="6"/>
  <c r="AB234" i="6"/>
  <c r="AA234" i="6"/>
  <c r="Z234" i="6"/>
  <c r="AK233" i="6"/>
  <c r="AI233" i="6"/>
  <c r="AG233" i="6"/>
  <c r="AE233" i="6"/>
  <c r="AD233" i="6"/>
  <c r="AC233" i="6"/>
  <c r="AB233" i="6"/>
  <c r="AA233" i="6"/>
  <c r="Z233" i="6"/>
  <c r="AK232" i="6"/>
  <c r="AI232" i="6"/>
  <c r="AG232" i="6"/>
  <c r="AE232" i="6"/>
  <c r="AD232" i="6"/>
  <c r="AC232" i="6"/>
  <c r="AB232" i="6"/>
  <c r="AA232" i="6"/>
  <c r="Z232" i="6"/>
  <c r="AK231" i="6"/>
  <c r="AI231" i="6"/>
  <c r="AG231" i="6"/>
  <c r="AE231" i="6"/>
  <c r="AD231" i="6"/>
  <c r="AC231" i="6"/>
  <c r="AB231" i="6"/>
  <c r="AA231" i="6"/>
  <c r="Z231" i="6"/>
  <c r="AM230" i="6"/>
  <c r="AM231" i="6" s="1"/>
  <c r="AM232" i="6" s="1"/>
  <c r="AM233" i="6" s="1"/>
  <c r="AM234" i="6" s="1"/>
  <c r="AM235" i="6" s="1"/>
  <c r="AM236" i="6" s="1"/>
  <c r="AM237" i="6" s="1"/>
  <c r="AM238" i="6" s="1"/>
  <c r="AM239" i="6" s="1"/>
  <c r="AM240" i="6" s="1"/>
  <c r="AM241" i="6" s="1"/>
  <c r="AK230" i="6"/>
  <c r="AI230" i="6"/>
  <c r="AG230" i="6"/>
  <c r="AE230" i="6"/>
  <c r="AD230" i="6"/>
  <c r="AC230" i="6"/>
  <c r="AB230" i="6"/>
  <c r="AA230" i="6"/>
  <c r="Z230" i="6"/>
  <c r="AK229" i="6"/>
  <c r="AI229" i="6"/>
  <c r="AG229" i="6"/>
  <c r="AE229" i="6"/>
  <c r="AD229" i="6"/>
  <c r="AC229" i="6"/>
  <c r="AB229" i="6"/>
  <c r="AA229" i="6"/>
  <c r="Z229" i="6"/>
  <c r="AK228" i="6"/>
  <c r="AI228" i="6"/>
  <c r="AG228" i="6"/>
  <c r="AE228" i="6"/>
  <c r="AD228" i="6"/>
  <c r="AC228" i="6"/>
  <c r="AB228" i="6"/>
  <c r="AA228" i="6"/>
  <c r="Z228" i="6"/>
  <c r="AM227" i="6"/>
  <c r="AM228" i="6" s="1"/>
  <c r="AM229" i="6" s="1"/>
  <c r="AK227" i="6"/>
  <c r="AI227" i="6"/>
  <c r="AG227" i="6"/>
  <c r="AE227" i="6"/>
  <c r="AD227" i="6"/>
  <c r="AC227" i="6"/>
  <c r="AB227" i="6"/>
  <c r="AA227" i="6"/>
  <c r="Z227" i="6"/>
  <c r="AK226" i="6"/>
  <c r="AI226" i="6"/>
  <c r="AG226" i="6"/>
  <c r="AE226" i="6"/>
  <c r="AD226" i="6"/>
  <c r="AC226" i="6"/>
  <c r="AB226" i="6"/>
  <c r="AA226" i="6"/>
  <c r="Z226" i="6"/>
  <c r="AK225" i="6"/>
  <c r="AI225" i="6"/>
  <c r="AG225" i="6"/>
  <c r="AE225" i="6"/>
  <c r="AD225" i="6"/>
  <c r="AC225" i="6"/>
  <c r="AB225" i="6"/>
  <c r="AA225" i="6"/>
  <c r="Z225" i="6"/>
  <c r="AM224" i="6"/>
  <c r="AM225" i="6" s="1"/>
  <c r="AM226" i="6" s="1"/>
  <c r="AK224" i="6"/>
  <c r="AI224" i="6"/>
  <c r="AG224" i="6"/>
  <c r="AE224" i="6"/>
  <c r="AD224" i="6"/>
  <c r="AC224" i="6"/>
  <c r="AB224" i="6"/>
  <c r="AA224" i="6"/>
  <c r="Z224" i="6"/>
  <c r="AK223" i="6"/>
  <c r="AI223" i="6"/>
  <c r="AG223" i="6"/>
  <c r="AE223" i="6"/>
  <c r="AD223" i="6"/>
  <c r="AC223" i="6"/>
  <c r="AB223" i="6"/>
  <c r="AA223" i="6"/>
  <c r="Z223" i="6"/>
  <c r="AK222" i="6"/>
  <c r="AI222" i="6"/>
  <c r="AG222" i="6"/>
  <c r="AE222" i="6"/>
  <c r="AD222" i="6"/>
  <c r="AC222" i="6"/>
  <c r="AB222" i="6"/>
  <c r="AA222" i="6"/>
  <c r="Z222" i="6"/>
  <c r="AK221" i="6"/>
  <c r="AI221" i="6"/>
  <c r="AG221" i="6"/>
  <c r="AE221" i="6"/>
  <c r="AD221" i="6"/>
  <c r="AC221" i="6"/>
  <c r="AB221" i="6"/>
  <c r="AA221" i="6"/>
  <c r="Z221" i="6"/>
  <c r="AK220" i="6"/>
  <c r="AI220" i="6"/>
  <c r="AG220" i="6"/>
  <c r="AE220" i="6"/>
  <c r="AD220" i="6"/>
  <c r="AC220" i="6"/>
  <c r="AB220" i="6"/>
  <c r="AA220" i="6"/>
  <c r="Z220" i="6"/>
  <c r="AK219" i="6"/>
  <c r="AI219" i="6"/>
  <c r="AG219" i="6"/>
  <c r="AE219" i="6"/>
  <c r="AD219" i="6"/>
  <c r="AC219" i="6"/>
  <c r="AB219" i="6"/>
  <c r="AA219" i="6"/>
  <c r="Z219" i="6"/>
  <c r="AK218" i="6"/>
  <c r="AI218" i="6"/>
  <c r="AG218" i="6"/>
  <c r="AE218" i="6"/>
  <c r="AD218" i="6"/>
  <c r="AC218" i="6"/>
  <c r="AB218" i="6"/>
  <c r="AA218" i="6"/>
  <c r="Z218" i="6"/>
  <c r="AK217" i="6"/>
  <c r="AI217" i="6"/>
  <c r="AG217" i="6"/>
  <c r="AE217" i="6"/>
  <c r="AD217" i="6"/>
  <c r="AC217" i="6"/>
  <c r="AB217" i="6"/>
  <c r="AA217" i="6"/>
  <c r="Z217" i="6"/>
  <c r="AK216" i="6"/>
  <c r="AI216" i="6"/>
  <c r="AG216" i="6"/>
  <c r="AE216" i="6"/>
  <c r="AD216" i="6"/>
  <c r="AC216" i="6"/>
  <c r="AB216" i="6"/>
  <c r="AA216" i="6"/>
  <c r="Z216" i="6"/>
  <c r="AK215" i="6"/>
  <c r="AI215" i="6"/>
  <c r="AG215" i="6"/>
  <c r="AE215" i="6"/>
  <c r="AD215" i="6"/>
  <c r="AC215" i="6"/>
  <c r="AB215" i="6"/>
  <c r="AA215" i="6"/>
  <c r="Z215" i="6"/>
  <c r="AK214" i="6"/>
  <c r="AI214" i="6"/>
  <c r="AG214" i="6"/>
  <c r="AE214" i="6"/>
  <c r="AD214" i="6"/>
  <c r="AC214" i="6"/>
  <c r="AB214" i="6"/>
  <c r="AA214" i="6"/>
  <c r="Z214" i="6"/>
  <c r="AK213" i="6"/>
  <c r="AI213" i="6"/>
  <c r="AG213" i="6"/>
  <c r="AE213" i="6"/>
  <c r="AD213" i="6"/>
  <c r="AC213" i="6"/>
  <c r="AB213" i="6"/>
  <c r="AA213" i="6"/>
  <c r="Z213" i="6"/>
  <c r="AK212" i="6"/>
  <c r="AI212" i="6"/>
  <c r="AG212" i="6"/>
  <c r="AE212" i="6"/>
  <c r="AD212" i="6"/>
  <c r="AC212" i="6"/>
  <c r="AB212" i="6"/>
  <c r="AA212" i="6"/>
  <c r="Z212" i="6"/>
  <c r="AK211" i="6"/>
  <c r="AI211" i="6"/>
  <c r="AG211" i="6"/>
  <c r="AE211" i="6"/>
  <c r="AD211" i="6"/>
  <c r="AC211" i="6"/>
  <c r="AB211" i="6"/>
  <c r="AA211" i="6"/>
  <c r="Z211" i="6"/>
  <c r="AK210" i="6"/>
  <c r="AI210" i="6"/>
  <c r="AG210" i="6"/>
  <c r="AE210" i="6"/>
  <c r="AD210" i="6"/>
  <c r="AC210" i="6"/>
  <c r="AB210" i="6"/>
  <c r="AA210" i="6"/>
  <c r="Z210" i="6"/>
  <c r="AK209" i="6"/>
  <c r="AI209" i="6"/>
  <c r="AG209" i="6"/>
  <c r="AE209" i="6"/>
  <c r="AD209" i="6"/>
  <c r="AC209" i="6"/>
  <c r="AB209" i="6"/>
  <c r="AA209" i="6"/>
  <c r="Z209" i="6"/>
  <c r="AK208" i="6"/>
  <c r="AI208" i="6"/>
  <c r="AG208" i="6"/>
  <c r="AE208" i="6"/>
  <c r="AD208" i="6"/>
  <c r="AC208" i="6"/>
  <c r="AB208" i="6"/>
  <c r="AA208" i="6"/>
  <c r="Z208" i="6"/>
  <c r="AK207" i="6"/>
  <c r="AI207" i="6"/>
  <c r="AG207" i="6"/>
  <c r="AE207" i="6"/>
  <c r="AD207" i="6"/>
  <c r="AC207" i="6"/>
  <c r="AB207" i="6"/>
  <c r="AA207" i="6"/>
  <c r="Z207" i="6"/>
  <c r="AK206" i="6"/>
  <c r="AI206" i="6"/>
  <c r="AG206" i="6"/>
  <c r="AE206" i="6"/>
  <c r="AD206" i="6"/>
  <c r="AC206" i="6"/>
  <c r="AB206" i="6"/>
  <c r="AA206" i="6"/>
  <c r="Z206" i="6"/>
  <c r="AK205" i="6"/>
  <c r="AI205" i="6"/>
  <c r="AG205" i="6"/>
  <c r="AE205" i="6"/>
  <c r="AD205" i="6"/>
  <c r="AC205" i="6"/>
  <c r="AB205" i="6"/>
  <c r="AA205" i="6"/>
  <c r="Z205" i="6"/>
  <c r="AK204" i="6"/>
  <c r="AI204" i="6"/>
  <c r="AG204" i="6"/>
  <c r="AE204" i="6"/>
  <c r="AD204" i="6"/>
  <c r="AC204" i="6"/>
  <c r="AB204" i="6"/>
  <c r="AA204" i="6"/>
  <c r="Z204" i="6"/>
  <c r="AK203" i="6"/>
  <c r="AI203" i="6"/>
  <c r="AG203" i="6"/>
  <c r="AE203" i="6"/>
  <c r="AD203" i="6"/>
  <c r="AC203" i="6"/>
  <c r="AB203" i="6"/>
  <c r="AA203" i="6"/>
  <c r="Z203" i="6"/>
  <c r="AK202" i="6"/>
  <c r="AI202" i="6"/>
  <c r="AG202" i="6"/>
  <c r="AE202" i="6"/>
  <c r="AD202" i="6"/>
  <c r="AC202" i="6"/>
  <c r="AB202" i="6"/>
  <c r="AA202" i="6"/>
  <c r="Z202" i="6"/>
  <c r="AK201" i="6"/>
  <c r="AI201" i="6"/>
  <c r="AG201" i="6"/>
  <c r="AE201" i="6"/>
  <c r="AD201" i="6"/>
  <c r="AC201" i="6"/>
  <c r="AB201" i="6"/>
  <c r="AA201" i="6"/>
  <c r="Z201" i="6"/>
  <c r="AK200" i="6"/>
  <c r="AI200" i="6"/>
  <c r="AG200" i="6"/>
  <c r="AE200" i="6"/>
  <c r="AD200" i="6"/>
  <c r="AC200" i="6"/>
  <c r="AB200" i="6"/>
  <c r="AA200" i="6"/>
  <c r="Z200" i="6"/>
  <c r="AK199" i="6"/>
  <c r="AI199" i="6"/>
  <c r="AG199" i="6"/>
  <c r="AE199" i="6"/>
  <c r="AD199" i="6"/>
  <c r="AC199" i="6"/>
  <c r="AB199" i="6"/>
  <c r="AA199" i="6"/>
  <c r="Z199" i="6"/>
  <c r="AK198" i="6"/>
  <c r="AI198" i="6"/>
  <c r="AG198" i="6"/>
  <c r="AE198" i="6"/>
  <c r="AD198" i="6"/>
  <c r="AC198" i="6"/>
  <c r="AB198" i="6"/>
  <c r="AA198" i="6"/>
  <c r="Z198" i="6"/>
  <c r="AK197" i="6"/>
  <c r="AI197" i="6"/>
  <c r="AG197" i="6"/>
  <c r="AE197" i="6"/>
  <c r="AD197" i="6"/>
  <c r="AC197" i="6"/>
  <c r="AB197" i="6"/>
  <c r="AA197" i="6"/>
  <c r="Z197" i="6"/>
  <c r="AK196" i="6"/>
  <c r="AI196" i="6"/>
  <c r="AG196" i="6"/>
  <c r="AE196" i="6"/>
  <c r="AD196" i="6"/>
  <c r="AC196" i="6"/>
  <c r="AB196" i="6"/>
  <c r="AA196" i="6"/>
  <c r="Z196" i="6"/>
  <c r="AK195" i="6"/>
  <c r="AI195" i="6"/>
  <c r="AG195" i="6"/>
  <c r="AE195" i="6"/>
  <c r="AD195" i="6"/>
  <c r="AC195" i="6"/>
  <c r="AB195" i="6"/>
  <c r="AA195" i="6"/>
  <c r="Z195" i="6"/>
  <c r="AK194" i="6"/>
  <c r="AI194" i="6"/>
  <c r="AG194" i="6"/>
  <c r="AE194" i="6"/>
  <c r="AD194" i="6"/>
  <c r="AC194" i="6"/>
  <c r="AB194" i="6"/>
  <c r="AA194" i="6"/>
  <c r="Z194" i="6"/>
  <c r="AK193" i="6"/>
  <c r="AI193" i="6"/>
  <c r="AG193" i="6"/>
  <c r="AE193" i="6"/>
  <c r="AD193" i="6"/>
  <c r="AC193" i="6"/>
  <c r="AB193" i="6"/>
  <c r="AA193" i="6"/>
  <c r="Z193" i="6"/>
  <c r="AK192" i="6"/>
  <c r="AI192" i="6"/>
  <c r="AG192" i="6"/>
  <c r="AE192" i="6"/>
  <c r="AD192" i="6"/>
  <c r="AC192" i="6"/>
  <c r="AB192" i="6"/>
  <c r="AA192" i="6"/>
  <c r="Z192" i="6"/>
  <c r="AK191" i="6"/>
  <c r="AI191" i="6"/>
  <c r="AG191" i="6"/>
  <c r="AE191" i="6"/>
  <c r="AD191" i="6"/>
  <c r="AC191" i="6"/>
  <c r="AB191" i="6"/>
  <c r="AA191" i="6"/>
  <c r="Z191" i="6"/>
  <c r="AK190" i="6"/>
  <c r="AI190" i="6"/>
  <c r="AG190" i="6"/>
  <c r="AE190" i="6"/>
  <c r="AD190" i="6"/>
  <c r="AC190" i="6"/>
  <c r="AB190" i="6"/>
  <c r="AA190" i="6"/>
  <c r="Z190" i="6"/>
  <c r="AK189" i="6"/>
  <c r="AI189" i="6"/>
  <c r="AG189" i="6"/>
  <c r="AE189" i="6"/>
  <c r="AD189" i="6"/>
  <c r="AC189" i="6"/>
  <c r="AB189" i="6"/>
  <c r="AA189" i="6"/>
  <c r="Z189" i="6"/>
  <c r="AK188" i="6"/>
  <c r="AI188" i="6"/>
  <c r="AG188" i="6"/>
  <c r="AE188" i="6"/>
  <c r="AD188" i="6"/>
  <c r="AC188" i="6"/>
  <c r="AB188" i="6"/>
  <c r="AA188" i="6"/>
  <c r="Z188" i="6"/>
  <c r="AK187" i="6"/>
  <c r="AI187" i="6"/>
  <c r="AG187" i="6"/>
  <c r="AE187" i="6"/>
  <c r="AD187" i="6"/>
  <c r="AC187" i="6"/>
  <c r="AB187" i="6"/>
  <c r="AA187" i="6"/>
  <c r="Z187" i="6"/>
  <c r="AK186" i="6"/>
  <c r="AI186" i="6"/>
  <c r="AG186" i="6"/>
  <c r="AE186" i="6"/>
  <c r="AD186" i="6"/>
  <c r="AC186" i="6"/>
  <c r="AB186" i="6"/>
  <c r="AA186" i="6"/>
  <c r="Z186" i="6"/>
  <c r="AM185" i="6"/>
  <c r="AM186" i="6" s="1"/>
  <c r="AM187" i="6" s="1"/>
  <c r="AM188" i="6" s="1"/>
  <c r="AM189" i="6" s="1"/>
  <c r="AM190" i="6" s="1"/>
  <c r="AM191" i="6" s="1"/>
  <c r="AM192" i="6" s="1"/>
  <c r="AM193" i="6" s="1"/>
  <c r="AM194" i="6" s="1"/>
  <c r="AM195" i="6" s="1"/>
  <c r="AM196" i="6" s="1"/>
  <c r="AM197" i="6" s="1"/>
  <c r="AM198" i="6" s="1"/>
  <c r="AM199" i="6" s="1"/>
  <c r="AM200" i="6" s="1"/>
  <c r="AM201" i="6" s="1"/>
  <c r="AM202" i="6" s="1"/>
  <c r="AM203" i="6" s="1"/>
  <c r="AM204" i="6" s="1"/>
  <c r="AM205" i="6" s="1"/>
  <c r="AM206" i="6" s="1"/>
  <c r="AM207" i="6" s="1"/>
  <c r="AM208" i="6" s="1"/>
  <c r="AM209" i="6" s="1"/>
  <c r="AM210" i="6" s="1"/>
  <c r="AM211" i="6" s="1"/>
  <c r="AM212" i="6" s="1"/>
  <c r="AM213" i="6" s="1"/>
  <c r="AM214" i="6" s="1"/>
  <c r="AM215" i="6" s="1"/>
  <c r="AM216" i="6" s="1"/>
  <c r="AM217" i="6" s="1"/>
  <c r="AM218" i="6" s="1"/>
  <c r="AM219" i="6" s="1"/>
  <c r="AM220" i="6" s="1"/>
  <c r="AM221" i="6" s="1"/>
  <c r="AM222" i="6" s="1"/>
  <c r="AM223" i="6" s="1"/>
  <c r="AK185" i="6"/>
  <c r="AI185" i="6"/>
  <c r="AG185" i="6"/>
  <c r="AE185" i="6"/>
  <c r="AD185" i="6"/>
  <c r="AC185" i="6"/>
  <c r="AB185" i="6"/>
  <c r="AA185" i="6"/>
  <c r="Z185" i="6"/>
  <c r="AK184" i="6"/>
  <c r="AI184" i="6"/>
  <c r="AG184" i="6"/>
  <c r="AE184" i="6"/>
  <c r="AD184" i="6"/>
  <c r="AC184" i="6"/>
  <c r="AB184" i="6"/>
  <c r="AA184" i="6"/>
  <c r="Z184" i="6"/>
  <c r="AK183" i="6"/>
  <c r="AI183" i="6"/>
  <c r="AG183" i="6"/>
  <c r="AE183" i="6"/>
  <c r="AD183" i="6"/>
  <c r="AC183" i="6"/>
  <c r="AB183" i="6"/>
  <c r="AA183" i="6"/>
  <c r="Z183" i="6"/>
  <c r="AK182" i="6"/>
  <c r="AI182" i="6"/>
  <c r="AG182" i="6"/>
  <c r="AE182" i="6"/>
  <c r="AD182" i="6"/>
  <c r="AC182" i="6"/>
  <c r="AB182" i="6"/>
  <c r="AA182" i="6"/>
  <c r="Z182" i="6"/>
  <c r="AK181" i="6"/>
  <c r="AI181" i="6"/>
  <c r="AG181" i="6"/>
  <c r="AE181" i="6"/>
  <c r="AD181" i="6"/>
  <c r="AC181" i="6"/>
  <c r="AB181" i="6"/>
  <c r="AA181" i="6"/>
  <c r="Z181" i="6"/>
  <c r="AM180" i="6"/>
  <c r="AM181" i="6" s="1"/>
  <c r="AM182" i="6" s="1"/>
  <c r="AM183" i="6" s="1"/>
  <c r="AM184" i="6" s="1"/>
  <c r="AK180" i="6"/>
  <c r="AI180" i="6"/>
  <c r="AG180" i="6"/>
  <c r="AE180" i="6"/>
  <c r="AD180" i="6"/>
  <c r="AC180" i="6"/>
  <c r="AB180" i="6"/>
  <c r="AA180" i="6"/>
  <c r="Z180" i="6"/>
  <c r="AK179" i="6"/>
  <c r="AI179" i="6"/>
  <c r="AG179" i="6"/>
  <c r="AE179" i="6"/>
  <c r="AD179" i="6"/>
  <c r="AC179" i="6"/>
  <c r="AB179" i="6"/>
  <c r="AA179" i="6"/>
  <c r="Z179" i="6"/>
  <c r="AK178" i="6"/>
  <c r="AI178" i="6"/>
  <c r="AG178" i="6"/>
  <c r="AE178" i="6"/>
  <c r="AD178" i="6"/>
  <c r="AC178" i="6"/>
  <c r="AB178" i="6"/>
  <c r="AA178" i="6"/>
  <c r="Z178" i="6"/>
  <c r="AK177" i="6"/>
  <c r="AI177" i="6"/>
  <c r="AG177" i="6"/>
  <c r="AE177" i="6"/>
  <c r="AD177" i="6"/>
  <c r="AC177" i="6"/>
  <c r="AB177" i="6"/>
  <c r="AA177" i="6"/>
  <c r="Z177" i="6"/>
  <c r="AK176" i="6"/>
  <c r="AI176" i="6"/>
  <c r="AG176" i="6"/>
  <c r="AE176" i="6"/>
  <c r="AD176" i="6"/>
  <c r="AC176" i="6"/>
  <c r="AB176" i="6"/>
  <c r="AA176" i="6"/>
  <c r="Z176" i="6"/>
  <c r="AK175" i="6"/>
  <c r="AI175" i="6"/>
  <c r="AG175" i="6"/>
  <c r="AE175" i="6"/>
  <c r="AD175" i="6"/>
  <c r="AC175" i="6"/>
  <c r="AB175" i="6"/>
  <c r="AA175" i="6"/>
  <c r="Z175" i="6"/>
  <c r="AK174" i="6"/>
  <c r="AI174" i="6"/>
  <c r="AG174" i="6"/>
  <c r="AE174" i="6"/>
  <c r="AD174" i="6"/>
  <c r="AC174" i="6"/>
  <c r="AB174" i="6"/>
  <c r="AA174" i="6"/>
  <c r="Z174" i="6"/>
  <c r="AK173" i="6"/>
  <c r="AI173" i="6"/>
  <c r="AG173" i="6"/>
  <c r="AE173" i="6"/>
  <c r="AD173" i="6"/>
  <c r="AC173" i="6"/>
  <c r="AB173" i="6"/>
  <c r="AA173" i="6"/>
  <c r="Z173" i="6"/>
  <c r="AK172" i="6"/>
  <c r="AI172" i="6"/>
  <c r="AG172" i="6"/>
  <c r="AE172" i="6"/>
  <c r="AD172" i="6"/>
  <c r="AC172" i="6"/>
  <c r="AB172" i="6"/>
  <c r="AA172" i="6"/>
  <c r="Z172" i="6"/>
  <c r="AK171" i="6"/>
  <c r="AI171" i="6"/>
  <c r="AG171" i="6"/>
  <c r="AE171" i="6"/>
  <c r="AD171" i="6"/>
  <c r="AC171" i="6"/>
  <c r="AB171" i="6"/>
  <c r="AA171" i="6"/>
  <c r="Z171" i="6"/>
  <c r="AK170" i="6"/>
  <c r="AI170" i="6"/>
  <c r="AG170" i="6"/>
  <c r="AE170" i="6"/>
  <c r="AD170" i="6"/>
  <c r="AC170" i="6"/>
  <c r="AB170" i="6"/>
  <c r="AA170" i="6"/>
  <c r="Z170" i="6"/>
  <c r="AK169" i="6"/>
  <c r="AI169" i="6"/>
  <c r="AG169" i="6"/>
  <c r="AE169" i="6"/>
  <c r="AD169" i="6"/>
  <c r="AC169" i="6"/>
  <c r="AB169" i="6"/>
  <c r="AA169" i="6"/>
  <c r="Z169" i="6"/>
  <c r="AK168" i="6"/>
  <c r="AI168" i="6"/>
  <c r="AG168" i="6"/>
  <c r="AE168" i="6"/>
  <c r="AD168" i="6"/>
  <c r="AC168" i="6"/>
  <c r="AB168" i="6"/>
  <c r="AA168" i="6"/>
  <c r="Z168" i="6"/>
  <c r="AK167" i="6"/>
  <c r="AI167" i="6"/>
  <c r="AG167" i="6"/>
  <c r="AE167" i="6"/>
  <c r="AD167" i="6"/>
  <c r="AC167" i="6"/>
  <c r="AB167" i="6"/>
  <c r="AA167" i="6"/>
  <c r="Z167" i="6"/>
  <c r="AK166" i="6"/>
  <c r="AI166" i="6"/>
  <c r="AG166" i="6"/>
  <c r="AE166" i="6"/>
  <c r="AD166" i="6"/>
  <c r="AC166" i="6"/>
  <c r="AB166" i="6"/>
  <c r="AA166" i="6"/>
  <c r="Z166" i="6"/>
  <c r="AK165" i="6"/>
  <c r="AI165" i="6"/>
  <c r="AG165" i="6"/>
  <c r="AE165" i="6"/>
  <c r="AD165" i="6"/>
  <c r="AC165" i="6"/>
  <c r="AB165" i="6"/>
  <c r="AA165" i="6"/>
  <c r="Z165" i="6"/>
  <c r="AK164" i="6"/>
  <c r="AI164" i="6"/>
  <c r="AG164" i="6"/>
  <c r="AE164" i="6"/>
  <c r="AD164" i="6"/>
  <c r="AC164" i="6"/>
  <c r="AB164" i="6"/>
  <c r="AA164" i="6"/>
  <c r="Z164" i="6"/>
  <c r="AK163" i="6"/>
  <c r="AI163" i="6"/>
  <c r="AG163" i="6"/>
  <c r="AE163" i="6"/>
  <c r="AD163" i="6"/>
  <c r="AC163" i="6"/>
  <c r="AB163" i="6"/>
  <c r="AA163" i="6"/>
  <c r="Z163" i="6"/>
  <c r="AK162" i="6"/>
  <c r="AI162" i="6"/>
  <c r="AG162" i="6"/>
  <c r="AE162" i="6"/>
  <c r="AD162" i="6"/>
  <c r="AC162" i="6"/>
  <c r="AB162" i="6"/>
  <c r="AA162" i="6"/>
  <c r="Z162" i="6"/>
  <c r="AK161" i="6"/>
  <c r="AI161" i="6"/>
  <c r="AG161" i="6"/>
  <c r="AE161" i="6"/>
  <c r="AD161" i="6"/>
  <c r="AC161" i="6"/>
  <c r="AB161" i="6"/>
  <c r="AA161" i="6"/>
  <c r="Z161" i="6"/>
  <c r="AK160" i="6"/>
  <c r="AI160" i="6"/>
  <c r="AG160" i="6"/>
  <c r="AE160" i="6"/>
  <c r="AD160" i="6"/>
  <c r="AC160" i="6"/>
  <c r="AB160" i="6"/>
  <c r="AA160" i="6"/>
  <c r="Z160" i="6"/>
  <c r="AK159" i="6"/>
  <c r="AI159" i="6"/>
  <c r="AG159" i="6"/>
  <c r="AE159" i="6"/>
  <c r="AD159" i="6"/>
  <c r="AC159" i="6"/>
  <c r="AB159" i="6"/>
  <c r="AA159" i="6"/>
  <c r="Z159" i="6"/>
  <c r="AK158" i="6"/>
  <c r="AI158" i="6"/>
  <c r="AG158" i="6"/>
  <c r="AE158" i="6"/>
  <c r="AD158" i="6"/>
  <c r="AC158" i="6"/>
  <c r="AB158" i="6"/>
  <c r="AA158" i="6"/>
  <c r="Z158" i="6"/>
  <c r="AK157" i="6"/>
  <c r="AI157" i="6"/>
  <c r="AG157" i="6"/>
  <c r="AE157" i="6"/>
  <c r="AD157" i="6"/>
  <c r="AC157" i="6"/>
  <c r="AB157" i="6"/>
  <c r="AA157" i="6"/>
  <c r="Z157" i="6"/>
  <c r="AK156" i="6"/>
  <c r="AI156" i="6"/>
  <c r="AG156" i="6"/>
  <c r="AE156" i="6"/>
  <c r="AD156" i="6"/>
  <c r="AC156" i="6"/>
  <c r="AB156" i="6"/>
  <c r="AA156" i="6"/>
  <c r="Z156" i="6"/>
  <c r="AK155" i="6"/>
  <c r="AI155" i="6"/>
  <c r="AG155" i="6"/>
  <c r="AE155" i="6"/>
  <c r="AD155" i="6"/>
  <c r="AC155" i="6"/>
  <c r="AB155" i="6"/>
  <c r="AA155" i="6"/>
  <c r="Z155" i="6"/>
  <c r="AK154" i="6"/>
  <c r="AI154" i="6"/>
  <c r="AG154" i="6"/>
  <c r="AE154" i="6"/>
  <c r="AD154" i="6"/>
  <c r="AC154" i="6"/>
  <c r="AB154" i="6"/>
  <c r="AA154" i="6"/>
  <c r="Z154" i="6"/>
  <c r="AK153" i="6"/>
  <c r="AI153" i="6"/>
  <c r="AG153" i="6"/>
  <c r="AE153" i="6"/>
  <c r="AD153" i="6"/>
  <c r="AC153" i="6"/>
  <c r="AB153" i="6"/>
  <c r="AA153" i="6"/>
  <c r="Z153" i="6"/>
  <c r="AK152" i="6"/>
  <c r="AI152" i="6"/>
  <c r="AG152" i="6"/>
  <c r="AE152" i="6"/>
  <c r="AD152" i="6"/>
  <c r="AC152" i="6"/>
  <c r="AB152" i="6"/>
  <c r="AA152" i="6"/>
  <c r="Z152" i="6"/>
  <c r="AK151" i="6"/>
  <c r="AI151" i="6"/>
  <c r="AG151" i="6"/>
  <c r="AE151" i="6"/>
  <c r="AD151" i="6"/>
  <c r="AC151" i="6"/>
  <c r="AB151" i="6"/>
  <c r="AA151" i="6"/>
  <c r="Z151" i="6"/>
  <c r="AK150" i="6"/>
  <c r="AI150" i="6"/>
  <c r="AG150" i="6"/>
  <c r="AE150" i="6"/>
  <c r="AD150" i="6"/>
  <c r="AC150" i="6"/>
  <c r="AB150" i="6"/>
  <c r="AA150" i="6"/>
  <c r="Z150" i="6"/>
  <c r="AK149" i="6"/>
  <c r="AI149" i="6"/>
  <c r="AG149" i="6"/>
  <c r="AE149" i="6"/>
  <c r="AD149" i="6"/>
  <c r="AC149" i="6"/>
  <c r="AB149" i="6"/>
  <c r="AA149" i="6"/>
  <c r="Z149" i="6"/>
  <c r="AK148" i="6"/>
  <c r="AI148" i="6"/>
  <c r="AG148" i="6"/>
  <c r="AE148" i="6"/>
  <c r="AD148" i="6"/>
  <c r="AC148" i="6"/>
  <c r="AB148" i="6"/>
  <c r="AA148" i="6"/>
  <c r="Z148" i="6"/>
  <c r="AK147" i="6"/>
  <c r="AI147" i="6"/>
  <c r="AG147" i="6"/>
  <c r="AE147" i="6"/>
  <c r="AD147" i="6"/>
  <c r="AC147" i="6"/>
  <c r="AB147" i="6"/>
  <c r="AA147" i="6"/>
  <c r="Z147" i="6"/>
  <c r="AK146" i="6"/>
  <c r="AI146" i="6"/>
  <c r="AG146" i="6"/>
  <c r="AE146" i="6"/>
  <c r="AD146" i="6"/>
  <c r="AC146" i="6"/>
  <c r="AB146" i="6"/>
  <c r="AA146" i="6"/>
  <c r="Z146" i="6"/>
  <c r="AK145" i="6"/>
  <c r="AI145" i="6"/>
  <c r="AG145" i="6"/>
  <c r="AE145" i="6"/>
  <c r="AD145" i="6"/>
  <c r="AC145" i="6"/>
  <c r="AB145" i="6"/>
  <c r="AA145" i="6"/>
  <c r="Z145" i="6"/>
  <c r="AK144" i="6"/>
  <c r="AI144" i="6"/>
  <c r="AG144" i="6"/>
  <c r="AE144" i="6"/>
  <c r="AD144" i="6"/>
  <c r="AC144" i="6"/>
  <c r="AB144" i="6"/>
  <c r="AA144" i="6"/>
  <c r="Z144" i="6"/>
  <c r="AK143" i="6"/>
  <c r="AI143" i="6"/>
  <c r="AG143" i="6"/>
  <c r="AE143" i="6"/>
  <c r="AD143" i="6"/>
  <c r="AC143" i="6"/>
  <c r="AB143" i="6"/>
  <c r="AA143" i="6"/>
  <c r="Z143" i="6"/>
  <c r="AK142" i="6"/>
  <c r="AI142" i="6"/>
  <c r="AG142" i="6"/>
  <c r="AE142" i="6"/>
  <c r="AD142" i="6"/>
  <c r="AC142" i="6"/>
  <c r="AB142" i="6"/>
  <c r="AA142" i="6"/>
  <c r="Z142" i="6"/>
  <c r="AM141" i="6"/>
  <c r="AM142" i="6" s="1"/>
  <c r="AM143" i="6" s="1"/>
  <c r="AM144" i="6" s="1"/>
  <c r="AM145" i="6" s="1"/>
  <c r="AM146" i="6" s="1"/>
  <c r="AM147" i="6" s="1"/>
  <c r="AM148" i="6" s="1"/>
  <c r="AM149" i="6" s="1"/>
  <c r="AM150" i="6" s="1"/>
  <c r="AM151" i="6" s="1"/>
  <c r="AM152" i="6" s="1"/>
  <c r="AM153" i="6" s="1"/>
  <c r="AM154" i="6" s="1"/>
  <c r="AM155" i="6" s="1"/>
  <c r="AM156" i="6" s="1"/>
  <c r="AM157" i="6" s="1"/>
  <c r="AM158" i="6" s="1"/>
  <c r="AM159" i="6" s="1"/>
  <c r="AM160" i="6" s="1"/>
  <c r="AM161" i="6" s="1"/>
  <c r="AM162" i="6" s="1"/>
  <c r="AM163" i="6" s="1"/>
  <c r="AM164" i="6" s="1"/>
  <c r="AM165" i="6" s="1"/>
  <c r="AM166" i="6" s="1"/>
  <c r="AM167" i="6" s="1"/>
  <c r="AM168" i="6" s="1"/>
  <c r="AM169" i="6" s="1"/>
  <c r="AM170" i="6" s="1"/>
  <c r="AM171" i="6" s="1"/>
  <c r="AM172" i="6" s="1"/>
  <c r="AM173" i="6" s="1"/>
  <c r="AM174" i="6" s="1"/>
  <c r="AM175" i="6" s="1"/>
  <c r="AM176" i="6" s="1"/>
  <c r="AM177" i="6" s="1"/>
  <c r="AM178" i="6" s="1"/>
  <c r="AM179" i="6" s="1"/>
  <c r="AK141" i="6"/>
  <c r="AI141" i="6"/>
  <c r="AG141" i="6"/>
  <c r="AE141" i="6"/>
  <c r="AD141" i="6"/>
  <c r="AC141" i="6"/>
  <c r="AB141" i="6"/>
  <c r="AA141" i="6"/>
  <c r="Z141" i="6"/>
  <c r="AK140" i="6"/>
  <c r="AI140" i="6"/>
  <c r="AG140" i="6"/>
  <c r="AE140" i="6"/>
  <c r="AD140" i="6"/>
  <c r="AC140" i="6"/>
  <c r="AB140" i="6"/>
  <c r="AA140" i="6"/>
  <c r="Z140" i="6"/>
  <c r="AK139" i="6"/>
  <c r="AI139" i="6"/>
  <c r="AG139" i="6"/>
  <c r="AE139" i="6"/>
  <c r="AD139" i="6"/>
  <c r="AC139" i="6"/>
  <c r="AB139" i="6"/>
  <c r="AA139" i="6"/>
  <c r="Z139" i="6"/>
  <c r="AK138" i="6"/>
  <c r="AI138" i="6"/>
  <c r="AG138" i="6"/>
  <c r="AE138" i="6"/>
  <c r="AD138" i="6"/>
  <c r="AC138" i="6"/>
  <c r="AB138" i="6"/>
  <c r="AA138" i="6"/>
  <c r="Z138" i="6"/>
  <c r="AK137" i="6"/>
  <c r="AI137" i="6"/>
  <c r="AG137" i="6"/>
  <c r="AE137" i="6"/>
  <c r="AD137" i="6"/>
  <c r="AC137" i="6"/>
  <c r="AB137" i="6"/>
  <c r="AA137" i="6"/>
  <c r="Z137" i="6"/>
  <c r="AK136" i="6"/>
  <c r="AI136" i="6"/>
  <c r="AG136" i="6"/>
  <c r="AE136" i="6"/>
  <c r="AD136" i="6"/>
  <c r="AC136" i="6"/>
  <c r="AB136" i="6"/>
  <c r="AA136" i="6"/>
  <c r="Z136" i="6"/>
  <c r="AK135" i="6"/>
  <c r="AI135" i="6"/>
  <c r="AG135" i="6"/>
  <c r="AE135" i="6"/>
  <c r="AD135" i="6"/>
  <c r="AC135" i="6"/>
  <c r="AB135" i="6"/>
  <c r="AA135" i="6"/>
  <c r="Z135" i="6"/>
  <c r="AK134" i="6"/>
  <c r="AI134" i="6"/>
  <c r="AG134" i="6"/>
  <c r="AE134" i="6"/>
  <c r="AD134" i="6"/>
  <c r="AC134" i="6"/>
  <c r="AB134" i="6"/>
  <c r="AA134" i="6"/>
  <c r="Z134" i="6"/>
  <c r="AK133" i="6"/>
  <c r="AI133" i="6"/>
  <c r="AG133" i="6"/>
  <c r="AE133" i="6"/>
  <c r="AD133" i="6"/>
  <c r="AC133" i="6"/>
  <c r="AB133" i="6"/>
  <c r="AA133" i="6"/>
  <c r="Z133" i="6"/>
  <c r="AK132" i="6"/>
  <c r="AI132" i="6"/>
  <c r="AG132" i="6"/>
  <c r="AE132" i="6"/>
  <c r="AD132" i="6"/>
  <c r="AC132" i="6"/>
  <c r="AB132" i="6"/>
  <c r="AA132" i="6"/>
  <c r="Z132" i="6"/>
  <c r="AK131" i="6"/>
  <c r="AI131" i="6"/>
  <c r="AG131" i="6"/>
  <c r="AE131" i="6"/>
  <c r="AD131" i="6"/>
  <c r="AC131" i="6"/>
  <c r="AB131" i="6"/>
  <c r="AA131" i="6"/>
  <c r="Z131" i="6"/>
  <c r="AK130" i="6"/>
  <c r="AI130" i="6"/>
  <c r="AG130" i="6"/>
  <c r="AE130" i="6"/>
  <c r="AD130" i="6"/>
  <c r="AC130" i="6"/>
  <c r="AB130" i="6"/>
  <c r="AA130" i="6"/>
  <c r="Z130" i="6"/>
  <c r="AK129" i="6"/>
  <c r="AI129" i="6"/>
  <c r="AG129" i="6"/>
  <c r="AE129" i="6"/>
  <c r="AD129" i="6"/>
  <c r="AC129" i="6"/>
  <c r="AB129" i="6"/>
  <c r="AA129" i="6"/>
  <c r="Z129" i="6"/>
  <c r="AK128" i="6"/>
  <c r="AI128" i="6"/>
  <c r="AG128" i="6"/>
  <c r="AE128" i="6"/>
  <c r="AD128" i="6"/>
  <c r="AC128" i="6"/>
  <c r="AB128" i="6"/>
  <c r="AA128" i="6"/>
  <c r="Z128" i="6"/>
  <c r="AK127" i="6"/>
  <c r="AI127" i="6"/>
  <c r="AG127" i="6"/>
  <c r="AE127" i="6"/>
  <c r="AD127" i="6"/>
  <c r="AC127" i="6"/>
  <c r="AB127" i="6"/>
  <c r="AA127" i="6"/>
  <c r="Z127" i="6"/>
  <c r="AK126" i="6"/>
  <c r="AI126" i="6"/>
  <c r="AG126" i="6"/>
  <c r="AE126" i="6"/>
  <c r="AD126" i="6"/>
  <c r="AC126" i="6"/>
  <c r="AB126" i="6"/>
  <c r="AA126" i="6"/>
  <c r="Z126" i="6"/>
  <c r="AK125" i="6"/>
  <c r="AI125" i="6"/>
  <c r="AG125" i="6"/>
  <c r="AE125" i="6"/>
  <c r="AD125" i="6"/>
  <c r="AC125" i="6"/>
  <c r="AB125" i="6"/>
  <c r="AA125" i="6"/>
  <c r="Z125" i="6"/>
  <c r="AK124" i="6"/>
  <c r="AI124" i="6"/>
  <c r="AG124" i="6"/>
  <c r="AE124" i="6"/>
  <c r="AD124" i="6"/>
  <c r="AC124" i="6"/>
  <c r="AB124" i="6"/>
  <c r="AA124" i="6"/>
  <c r="Z124" i="6"/>
  <c r="AK123" i="6"/>
  <c r="AI123" i="6"/>
  <c r="AG123" i="6"/>
  <c r="AE123" i="6"/>
  <c r="AD123" i="6"/>
  <c r="AC123" i="6"/>
  <c r="AB123" i="6"/>
  <c r="AA123" i="6"/>
  <c r="Z123" i="6"/>
  <c r="AK122" i="6"/>
  <c r="AI122" i="6"/>
  <c r="AG122" i="6"/>
  <c r="AE122" i="6"/>
  <c r="AD122" i="6"/>
  <c r="AC122" i="6"/>
  <c r="AB122" i="6"/>
  <c r="AA122" i="6"/>
  <c r="Z122" i="6"/>
  <c r="AK121" i="6"/>
  <c r="AI121" i="6"/>
  <c r="AG121" i="6"/>
  <c r="AE121" i="6"/>
  <c r="AD121" i="6"/>
  <c r="AC121" i="6"/>
  <c r="AB121" i="6"/>
  <c r="AA121" i="6"/>
  <c r="Z121" i="6"/>
  <c r="AK120" i="6"/>
  <c r="AI120" i="6"/>
  <c r="AG120" i="6"/>
  <c r="AE120" i="6"/>
  <c r="AD120" i="6"/>
  <c r="AC120" i="6"/>
  <c r="AB120" i="6"/>
  <c r="AA120" i="6"/>
  <c r="Z120" i="6"/>
  <c r="AK119" i="6"/>
  <c r="AI119" i="6"/>
  <c r="AG119" i="6"/>
  <c r="AE119" i="6"/>
  <c r="AD119" i="6"/>
  <c r="AC119" i="6"/>
  <c r="AB119" i="6"/>
  <c r="AA119" i="6"/>
  <c r="Z119" i="6"/>
  <c r="AK118" i="6"/>
  <c r="AI118" i="6"/>
  <c r="AG118" i="6"/>
  <c r="AE118" i="6"/>
  <c r="AD118" i="6"/>
  <c r="AC118" i="6"/>
  <c r="AB118" i="6"/>
  <c r="AA118" i="6"/>
  <c r="Z118" i="6"/>
  <c r="AK117" i="6"/>
  <c r="AI117" i="6"/>
  <c r="AG117" i="6"/>
  <c r="AE117" i="6"/>
  <c r="AD117" i="6"/>
  <c r="AC117" i="6"/>
  <c r="AB117" i="6"/>
  <c r="AA117" i="6"/>
  <c r="Z117" i="6"/>
  <c r="AK116" i="6"/>
  <c r="AI116" i="6"/>
  <c r="AG116" i="6"/>
  <c r="AE116" i="6"/>
  <c r="AD116" i="6"/>
  <c r="AC116" i="6"/>
  <c r="AB116" i="6"/>
  <c r="AA116" i="6"/>
  <c r="Z116" i="6"/>
  <c r="AK115" i="6"/>
  <c r="AI115" i="6"/>
  <c r="AG115" i="6"/>
  <c r="AE115" i="6"/>
  <c r="AD115" i="6"/>
  <c r="AC115" i="6"/>
  <c r="AB115" i="6"/>
  <c r="AA115" i="6"/>
  <c r="Z115" i="6"/>
  <c r="AK114" i="6"/>
  <c r="AI114" i="6"/>
  <c r="AG114" i="6"/>
  <c r="AE114" i="6"/>
  <c r="AD114" i="6"/>
  <c r="AC114" i="6"/>
  <c r="AB114" i="6"/>
  <c r="AA114" i="6"/>
  <c r="Z114" i="6"/>
  <c r="AK113" i="6"/>
  <c r="AI113" i="6"/>
  <c r="AG113" i="6"/>
  <c r="AE113" i="6"/>
  <c r="AD113" i="6"/>
  <c r="AC113" i="6"/>
  <c r="AB113" i="6"/>
  <c r="AA113" i="6"/>
  <c r="Z113" i="6"/>
  <c r="AK112" i="6"/>
  <c r="AI112" i="6"/>
  <c r="AG112" i="6"/>
  <c r="AE112" i="6"/>
  <c r="AD112" i="6"/>
  <c r="AC112" i="6"/>
  <c r="AB112" i="6"/>
  <c r="AA112" i="6"/>
  <c r="Z112" i="6"/>
  <c r="AK111" i="6"/>
  <c r="AI111" i="6"/>
  <c r="AG111" i="6"/>
  <c r="AE111" i="6"/>
  <c r="AD111" i="6"/>
  <c r="AC111" i="6"/>
  <c r="AB111" i="6"/>
  <c r="AA111" i="6"/>
  <c r="Z111" i="6"/>
  <c r="AK110" i="6"/>
  <c r="AI110" i="6"/>
  <c r="AG110" i="6"/>
  <c r="AE110" i="6"/>
  <c r="AD110" i="6"/>
  <c r="AC110" i="6"/>
  <c r="AB110" i="6"/>
  <c r="AA110" i="6"/>
  <c r="Z110" i="6"/>
  <c r="AK109" i="6"/>
  <c r="AI109" i="6"/>
  <c r="AG109" i="6"/>
  <c r="AE109" i="6"/>
  <c r="AD109" i="6"/>
  <c r="AC109" i="6"/>
  <c r="AB109" i="6"/>
  <c r="AA109" i="6"/>
  <c r="Z109" i="6"/>
  <c r="AK108" i="6"/>
  <c r="AI108" i="6"/>
  <c r="AG108" i="6"/>
  <c r="AE108" i="6"/>
  <c r="AD108" i="6"/>
  <c r="AC108" i="6"/>
  <c r="AB108" i="6"/>
  <c r="AA108" i="6"/>
  <c r="Z108" i="6"/>
  <c r="AK107" i="6"/>
  <c r="AI107" i="6"/>
  <c r="AG107" i="6"/>
  <c r="AE107" i="6"/>
  <c r="AD107" i="6"/>
  <c r="AC107" i="6"/>
  <c r="AB107" i="6"/>
  <c r="AA107" i="6"/>
  <c r="Z107" i="6"/>
  <c r="AK106" i="6"/>
  <c r="AI106" i="6"/>
  <c r="AG106" i="6"/>
  <c r="AE106" i="6"/>
  <c r="AD106" i="6"/>
  <c r="AC106" i="6"/>
  <c r="AB106" i="6"/>
  <c r="AA106" i="6"/>
  <c r="Z106" i="6"/>
  <c r="AK105" i="6"/>
  <c r="AI105" i="6"/>
  <c r="AG105" i="6"/>
  <c r="AE105" i="6"/>
  <c r="AD105" i="6"/>
  <c r="AC105" i="6"/>
  <c r="AB105" i="6"/>
  <c r="AA105" i="6"/>
  <c r="Z105" i="6"/>
  <c r="AK104" i="6"/>
  <c r="AI104" i="6"/>
  <c r="AG104" i="6"/>
  <c r="AE104" i="6"/>
  <c r="AD104" i="6"/>
  <c r="AC104" i="6"/>
  <c r="AB104" i="6"/>
  <c r="AA104" i="6"/>
  <c r="Z104" i="6"/>
  <c r="AK103" i="6"/>
  <c r="AI103" i="6"/>
  <c r="AG103" i="6"/>
  <c r="AE103" i="6"/>
  <c r="AD103" i="6"/>
  <c r="AC103" i="6"/>
  <c r="AB103" i="6"/>
  <c r="AA103" i="6"/>
  <c r="Z103" i="6"/>
  <c r="AK102" i="6"/>
  <c r="AI102" i="6"/>
  <c r="AG102" i="6"/>
  <c r="AE102" i="6"/>
  <c r="AD102" i="6"/>
  <c r="AC102" i="6"/>
  <c r="AB102" i="6"/>
  <c r="AA102" i="6"/>
  <c r="Z102" i="6"/>
  <c r="AM101" i="6"/>
  <c r="AM102" i="6" s="1"/>
  <c r="AM103" i="6" s="1"/>
  <c r="AM104" i="6" s="1"/>
  <c r="AM105" i="6" s="1"/>
  <c r="AM106" i="6" s="1"/>
  <c r="AM107" i="6" s="1"/>
  <c r="AM108" i="6" s="1"/>
  <c r="AM109" i="6" s="1"/>
  <c r="AM110" i="6" s="1"/>
  <c r="AM111" i="6" s="1"/>
  <c r="AM112" i="6" s="1"/>
  <c r="AM113" i="6" s="1"/>
  <c r="AM114" i="6" s="1"/>
  <c r="AM115" i="6" s="1"/>
  <c r="AM116" i="6" s="1"/>
  <c r="AM117" i="6" s="1"/>
  <c r="AM118" i="6" s="1"/>
  <c r="AM119" i="6" s="1"/>
  <c r="AM120" i="6" s="1"/>
  <c r="AM121" i="6" s="1"/>
  <c r="AM122" i="6" s="1"/>
  <c r="AM123" i="6" s="1"/>
  <c r="AM124" i="6" s="1"/>
  <c r="AM125" i="6" s="1"/>
  <c r="AM126" i="6" s="1"/>
  <c r="AM127" i="6" s="1"/>
  <c r="AM128" i="6" s="1"/>
  <c r="AM129" i="6" s="1"/>
  <c r="AM130" i="6" s="1"/>
  <c r="AM131" i="6" s="1"/>
  <c r="AM132" i="6" s="1"/>
  <c r="AM133" i="6" s="1"/>
  <c r="AM134" i="6" s="1"/>
  <c r="AM135" i="6" s="1"/>
  <c r="AM136" i="6" s="1"/>
  <c r="AM137" i="6" s="1"/>
  <c r="AM138" i="6" s="1"/>
  <c r="AM139" i="6" s="1"/>
  <c r="AM140" i="6" s="1"/>
  <c r="AK101" i="6"/>
  <c r="AI101" i="6"/>
  <c r="AG101" i="6"/>
  <c r="AE101" i="6"/>
  <c r="AD101" i="6"/>
  <c r="AC101" i="6"/>
  <c r="AB101" i="6"/>
  <c r="AA101" i="6"/>
  <c r="Z101" i="6"/>
  <c r="AK100" i="6"/>
  <c r="AI100" i="6"/>
  <c r="AG100" i="6"/>
  <c r="AE100" i="6"/>
  <c r="AD100" i="6"/>
  <c r="AC100" i="6"/>
  <c r="AB100" i="6"/>
  <c r="AA100" i="6"/>
  <c r="Z100" i="6"/>
  <c r="AK99" i="6"/>
  <c r="AI99" i="6"/>
  <c r="AG99" i="6"/>
  <c r="AE99" i="6"/>
  <c r="AD99" i="6"/>
  <c r="AC99" i="6"/>
  <c r="AB99" i="6"/>
  <c r="AA99" i="6"/>
  <c r="Z99" i="6"/>
  <c r="AK98" i="6"/>
  <c r="AI98" i="6"/>
  <c r="AG98" i="6"/>
  <c r="AE98" i="6"/>
  <c r="AD98" i="6"/>
  <c r="AC98" i="6"/>
  <c r="AB98" i="6"/>
  <c r="AA98" i="6"/>
  <c r="Z98" i="6"/>
  <c r="AK97" i="6"/>
  <c r="AI97" i="6"/>
  <c r="AG97" i="6"/>
  <c r="AE97" i="6"/>
  <c r="AD97" i="6"/>
  <c r="AC97" i="6"/>
  <c r="AB97" i="6"/>
  <c r="AA97" i="6"/>
  <c r="Z97" i="6"/>
  <c r="AK96" i="6"/>
  <c r="AI96" i="6"/>
  <c r="AG96" i="6"/>
  <c r="AE96" i="6"/>
  <c r="AD96" i="6"/>
  <c r="AC96" i="6"/>
  <c r="AB96" i="6"/>
  <c r="AA96" i="6"/>
  <c r="Z96" i="6"/>
  <c r="AM95" i="6"/>
  <c r="AM96" i="6" s="1"/>
  <c r="AM97" i="6" s="1"/>
  <c r="AM98" i="6" s="1"/>
  <c r="AM99" i="6" s="1"/>
  <c r="AM100" i="6" s="1"/>
  <c r="AK95" i="6"/>
  <c r="AI95" i="6"/>
  <c r="AG95" i="6"/>
  <c r="AE95" i="6"/>
  <c r="AD95" i="6"/>
  <c r="AC95" i="6"/>
  <c r="AB95" i="6"/>
  <c r="AA95" i="6"/>
  <c r="Z95" i="6"/>
  <c r="AK94" i="6"/>
  <c r="AI94" i="6"/>
  <c r="AG94" i="6"/>
  <c r="AE94" i="6"/>
  <c r="AD94" i="6"/>
  <c r="AC94" i="6"/>
  <c r="AB94" i="6"/>
  <c r="AA94" i="6"/>
  <c r="Z94" i="6"/>
  <c r="AK93" i="6"/>
  <c r="AI93" i="6"/>
  <c r="AG93" i="6"/>
  <c r="AE93" i="6"/>
  <c r="AD93" i="6"/>
  <c r="AC93" i="6"/>
  <c r="AB93" i="6"/>
  <c r="AA93" i="6"/>
  <c r="Z93" i="6"/>
  <c r="AK92" i="6"/>
  <c r="AI92" i="6"/>
  <c r="AG92" i="6"/>
  <c r="AE92" i="6"/>
  <c r="AD92" i="6"/>
  <c r="AC92" i="6"/>
  <c r="AB92" i="6"/>
  <c r="AA92" i="6"/>
  <c r="Z92" i="6"/>
  <c r="AK91" i="6"/>
  <c r="AI91" i="6"/>
  <c r="AG91" i="6"/>
  <c r="AE91" i="6"/>
  <c r="AD91" i="6"/>
  <c r="AC91" i="6"/>
  <c r="AB91" i="6"/>
  <c r="AA91" i="6"/>
  <c r="Z91" i="6"/>
  <c r="AK90" i="6"/>
  <c r="AI90" i="6"/>
  <c r="AG90" i="6"/>
  <c r="AE90" i="6"/>
  <c r="AD90" i="6"/>
  <c r="AC90" i="6"/>
  <c r="AB90" i="6"/>
  <c r="AA90" i="6"/>
  <c r="Z90" i="6"/>
  <c r="AK89" i="6"/>
  <c r="AI89" i="6"/>
  <c r="AG89" i="6"/>
  <c r="AE89" i="6"/>
  <c r="AD89" i="6"/>
  <c r="AC89" i="6"/>
  <c r="AB89" i="6"/>
  <c r="AA89" i="6"/>
  <c r="Z89" i="6"/>
  <c r="AM88" i="6"/>
  <c r="AM89" i="6" s="1"/>
  <c r="AM90" i="6" s="1"/>
  <c r="AM91" i="6" s="1"/>
  <c r="AM92" i="6" s="1"/>
  <c r="AM93" i="6" s="1"/>
  <c r="AM94" i="6" s="1"/>
  <c r="AK88" i="6"/>
  <c r="AI88" i="6"/>
  <c r="AG88" i="6"/>
  <c r="AE88" i="6"/>
  <c r="AD88" i="6"/>
  <c r="AC88" i="6"/>
  <c r="AB88" i="6"/>
  <c r="AA88" i="6"/>
  <c r="Z88" i="6"/>
  <c r="AK87" i="6"/>
  <c r="AI87" i="6"/>
  <c r="AG87" i="6"/>
  <c r="AE87" i="6"/>
  <c r="AD87" i="6"/>
  <c r="AC87" i="6"/>
  <c r="AB87" i="6"/>
  <c r="AA87" i="6"/>
  <c r="Z87" i="6"/>
  <c r="AK86" i="6"/>
  <c r="AI86" i="6"/>
  <c r="AG86" i="6"/>
  <c r="AE86" i="6"/>
  <c r="AD86" i="6"/>
  <c r="AC86" i="6"/>
  <c r="AB86" i="6"/>
  <c r="AA86" i="6"/>
  <c r="Z86" i="6"/>
  <c r="AM85" i="6"/>
  <c r="AM86" i="6" s="1"/>
  <c r="AM87" i="6" s="1"/>
  <c r="AK85" i="6"/>
  <c r="AI85" i="6"/>
  <c r="AG85" i="6"/>
  <c r="AE85" i="6"/>
  <c r="AD85" i="6"/>
  <c r="AC85" i="6"/>
  <c r="AB85" i="6"/>
  <c r="AA85" i="6"/>
  <c r="Z85" i="6"/>
  <c r="AK84" i="6"/>
  <c r="AI84" i="6"/>
  <c r="AG84" i="6"/>
  <c r="AE84" i="6"/>
  <c r="AD84" i="6"/>
  <c r="AC84" i="6"/>
  <c r="AB84" i="6"/>
  <c r="AA84" i="6"/>
  <c r="Z84" i="6"/>
  <c r="AK83" i="6"/>
  <c r="AI83" i="6"/>
  <c r="AG83" i="6"/>
  <c r="AE83" i="6"/>
  <c r="AD83" i="6"/>
  <c r="AC83" i="6"/>
  <c r="AB83" i="6"/>
  <c r="AA83" i="6"/>
  <c r="Z83" i="6"/>
  <c r="AK82" i="6"/>
  <c r="AI82" i="6"/>
  <c r="AG82" i="6"/>
  <c r="AE82" i="6"/>
  <c r="AD82" i="6"/>
  <c r="AC82" i="6"/>
  <c r="AB82" i="6"/>
  <c r="AA82" i="6"/>
  <c r="Z82" i="6"/>
  <c r="AK81" i="6"/>
  <c r="AI81" i="6"/>
  <c r="AG81" i="6"/>
  <c r="AE81" i="6"/>
  <c r="AD81" i="6"/>
  <c r="AC81" i="6"/>
  <c r="AB81" i="6"/>
  <c r="AA81" i="6"/>
  <c r="Z81" i="6"/>
  <c r="AK80" i="6"/>
  <c r="AI80" i="6"/>
  <c r="AG80" i="6"/>
  <c r="AE80" i="6"/>
  <c r="AD80" i="6"/>
  <c r="AC80" i="6"/>
  <c r="AB80" i="6"/>
  <c r="AA80" i="6"/>
  <c r="Z80" i="6"/>
  <c r="AK79" i="6"/>
  <c r="AI79" i="6"/>
  <c r="AG79" i="6"/>
  <c r="AE79" i="6"/>
  <c r="AD79" i="6"/>
  <c r="AC79" i="6"/>
  <c r="AB79" i="6"/>
  <c r="AA79" i="6"/>
  <c r="Z79" i="6"/>
  <c r="AK78" i="6"/>
  <c r="AI78" i="6"/>
  <c r="AG78" i="6"/>
  <c r="AE78" i="6"/>
  <c r="AD78" i="6"/>
  <c r="AC78" i="6"/>
  <c r="AB78" i="6"/>
  <c r="AA78" i="6"/>
  <c r="Z78" i="6"/>
  <c r="AK77" i="6"/>
  <c r="AI77" i="6"/>
  <c r="AG77" i="6"/>
  <c r="AE77" i="6"/>
  <c r="AD77" i="6"/>
  <c r="AC77" i="6"/>
  <c r="AB77" i="6"/>
  <c r="AA77" i="6"/>
  <c r="Z77" i="6"/>
  <c r="AM76" i="6"/>
  <c r="AM77" i="6" s="1"/>
  <c r="AM78" i="6" s="1"/>
  <c r="AM79" i="6" s="1"/>
  <c r="AM80" i="6" s="1"/>
  <c r="AM81" i="6" s="1"/>
  <c r="AM82" i="6" s="1"/>
  <c r="AM83" i="6" s="1"/>
  <c r="AM84" i="6" s="1"/>
  <c r="AK76" i="6"/>
  <c r="AI76" i="6"/>
  <c r="AG76" i="6"/>
  <c r="AE76" i="6"/>
  <c r="AD76" i="6"/>
  <c r="AC76" i="6"/>
  <c r="AB76" i="6"/>
  <c r="AA76" i="6"/>
  <c r="Z76" i="6"/>
  <c r="AK75" i="6"/>
  <c r="AI75" i="6"/>
  <c r="AG75" i="6"/>
  <c r="AE75" i="6"/>
  <c r="AD75" i="6"/>
  <c r="AC75" i="6"/>
  <c r="AB75" i="6"/>
  <c r="AA75" i="6"/>
  <c r="Z75" i="6"/>
  <c r="AM74" i="6"/>
  <c r="AM75" i="6" s="1"/>
  <c r="AK74" i="6"/>
  <c r="AI74" i="6"/>
  <c r="AG74" i="6"/>
  <c r="AE74" i="6"/>
  <c r="AD74" i="6"/>
  <c r="AC74" i="6"/>
  <c r="AB74" i="6"/>
  <c r="AA74" i="6"/>
  <c r="Z74" i="6"/>
  <c r="AK73" i="6"/>
  <c r="AI73" i="6"/>
  <c r="AG73" i="6"/>
  <c r="AE73" i="6"/>
  <c r="AD73" i="6"/>
  <c r="AC73" i="6"/>
  <c r="AB73" i="6"/>
  <c r="AA73" i="6"/>
  <c r="Z73" i="6"/>
  <c r="AM72" i="6"/>
  <c r="AM73" i="6" s="1"/>
  <c r="AK72" i="6"/>
  <c r="AI72" i="6"/>
  <c r="AG72" i="6"/>
  <c r="AE72" i="6"/>
  <c r="AD72" i="6"/>
  <c r="AC72" i="6"/>
  <c r="AB72" i="6"/>
  <c r="AA72" i="6"/>
  <c r="Z72" i="6"/>
  <c r="AK71" i="6"/>
  <c r="AI71" i="6"/>
  <c r="AG71" i="6"/>
  <c r="AE71" i="6"/>
  <c r="AD71" i="6"/>
  <c r="AC71" i="6"/>
  <c r="AB71" i="6"/>
  <c r="AA71" i="6"/>
  <c r="Z71" i="6"/>
  <c r="AK70" i="6"/>
  <c r="AI70" i="6"/>
  <c r="AG70" i="6"/>
  <c r="AE70" i="6"/>
  <c r="AD70" i="6"/>
  <c r="AC70" i="6"/>
  <c r="AB70" i="6"/>
  <c r="AA70" i="6"/>
  <c r="Z70" i="6"/>
  <c r="AK69" i="6"/>
  <c r="AI69" i="6"/>
  <c r="AG69" i="6"/>
  <c r="AE69" i="6"/>
  <c r="AD69" i="6"/>
  <c r="AC69" i="6"/>
  <c r="AB69" i="6"/>
  <c r="AA69" i="6"/>
  <c r="Z69" i="6"/>
  <c r="AM68" i="6"/>
  <c r="AM69" i="6" s="1"/>
  <c r="AM70" i="6" s="1"/>
  <c r="AM71" i="6" s="1"/>
  <c r="AK68" i="6"/>
  <c r="AI68" i="6"/>
  <c r="AG68" i="6"/>
  <c r="AE68" i="6"/>
  <c r="AD68" i="6"/>
  <c r="AC68" i="6"/>
  <c r="AB68" i="6"/>
  <c r="AA68" i="6"/>
  <c r="Z68" i="6"/>
  <c r="AK67" i="6"/>
  <c r="AI67" i="6"/>
  <c r="AG67" i="6"/>
  <c r="AE67" i="6"/>
  <c r="AD67" i="6"/>
  <c r="AC67" i="6"/>
  <c r="AB67" i="6"/>
  <c r="AA67" i="6"/>
  <c r="Z67" i="6"/>
  <c r="AK66" i="6"/>
  <c r="AI66" i="6"/>
  <c r="AG66" i="6"/>
  <c r="AE66" i="6"/>
  <c r="AD66" i="6"/>
  <c r="AC66" i="6"/>
  <c r="AB66" i="6"/>
  <c r="AA66" i="6"/>
  <c r="Z66" i="6"/>
  <c r="AM65" i="6"/>
  <c r="AM66" i="6" s="1"/>
  <c r="AM67" i="6" s="1"/>
  <c r="AK65" i="6"/>
  <c r="AI65" i="6"/>
  <c r="AG65" i="6"/>
  <c r="AE65" i="6"/>
  <c r="AD65" i="6"/>
  <c r="AC65" i="6"/>
  <c r="AB65" i="6"/>
  <c r="AA65" i="6"/>
  <c r="Z65" i="6"/>
  <c r="AK64" i="6"/>
  <c r="AI64" i="6"/>
  <c r="AG64" i="6"/>
  <c r="AE64" i="6"/>
  <c r="AD64" i="6"/>
  <c r="AC64" i="6"/>
  <c r="AB64" i="6"/>
  <c r="AA64" i="6"/>
  <c r="Z64" i="6"/>
  <c r="AK63" i="6"/>
  <c r="AI63" i="6"/>
  <c r="AG63" i="6"/>
  <c r="AE63" i="6"/>
  <c r="AD63" i="6"/>
  <c r="AC63" i="6"/>
  <c r="AB63" i="6"/>
  <c r="AA63" i="6"/>
  <c r="Z63" i="6"/>
  <c r="AK62" i="6"/>
  <c r="AI62" i="6"/>
  <c r="AG62" i="6"/>
  <c r="AE62" i="6"/>
  <c r="AD62" i="6"/>
  <c r="AC62" i="6"/>
  <c r="AB62" i="6"/>
  <c r="AA62" i="6"/>
  <c r="Z62" i="6"/>
  <c r="AM61" i="6"/>
  <c r="AM62" i="6" s="1"/>
  <c r="AM63" i="6" s="1"/>
  <c r="AM64" i="6" s="1"/>
  <c r="AK61" i="6"/>
  <c r="AI61" i="6"/>
  <c r="AG61" i="6"/>
  <c r="AE61" i="6"/>
  <c r="AD61" i="6"/>
  <c r="AC61" i="6"/>
  <c r="AB61" i="6"/>
  <c r="AA61" i="6"/>
  <c r="Z61" i="6"/>
  <c r="AK60" i="6"/>
  <c r="AI60" i="6"/>
  <c r="AG60" i="6"/>
  <c r="AE60" i="6"/>
  <c r="AD60" i="6"/>
  <c r="AC60" i="6"/>
  <c r="AB60" i="6"/>
  <c r="AA60" i="6"/>
  <c r="Z60" i="6"/>
  <c r="AM59" i="6"/>
  <c r="AM60" i="6" s="1"/>
  <c r="AK59" i="6"/>
  <c r="AI59" i="6"/>
  <c r="AG59" i="6"/>
  <c r="AE59" i="6"/>
  <c r="AD59" i="6"/>
  <c r="AC59" i="6"/>
  <c r="AB59" i="6"/>
  <c r="AA59" i="6"/>
  <c r="Z59" i="6"/>
  <c r="AK58" i="6"/>
  <c r="AI58" i="6"/>
  <c r="AG58" i="6"/>
  <c r="AE58" i="6"/>
  <c r="AD58" i="6"/>
  <c r="AC58" i="6"/>
  <c r="AB58" i="6"/>
  <c r="AA58" i="6"/>
  <c r="Z58" i="6"/>
  <c r="AM57" i="6"/>
  <c r="AM58" i="6" s="1"/>
  <c r="AK57" i="6"/>
  <c r="AI57" i="6"/>
  <c r="AG57" i="6"/>
  <c r="AE57" i="6"/>
  <c r="AD57" i="6"/>
  <c r="AC57" i="6"/>
  <c r="AB57" i="6"/>
  <c r="AA57" i="6"/>
  <c r="Z57" i="6"/>
  <c r="AK56" i="6"/>
  <c r="AI56" i="6"/>
  <c r="AG56" i="6"/>
  <c r="AE56" i="6"/>
  <c r="AD56" i="6"/>
  <c r="AC56" i="6"/>
  <c r="AB56" i="6"/>
  <c r="AA56" i="6"/>
  <c r="Z56" i="6"/>
  <c r="AK55" i="6"/>
  <c r="AI55" i="6"/>
  <c r="AG55" i="6"/>
  <c r="AE55" i="6"/>
  <c r="AD55" i="6"/>
  <c r="AC55" i="6"/>
  <c r="AB55" i="6"/>
  <c r="AA55" i="6"/>
  <c r="Z55" i="6"/>
  <c r="AM54" i="6"/>
  <c r="AM55" i="6" s="1"/>
  <c r="AM56" i="6" s="1"/>
  <c r="AK54" i="6"/>
  <c r="AI54" i="6"/>
  <c r="AG54" i="6"/>
  <c r="AE54" i="6"/>
  <c r="AD54" i="6"/>
  <c r="AC54" i="6"/>
  <c r="AB54" i="6"/>
  <c r="AA54" i="6"/>
  <c r="Z54" i="6"/>
  <c r="AK53" i="6"/>
  <c r="AI53" i="6"/>
  <c r="AG53" i="6"/>
  <c r="AE53" i="6"/>
  <c r="AD53" i="6"/>
  <c r="AC53" i="6"/>
  <c r="AB53" i="6"/>
  <c r="AA53" i="6"/>
  <c r="Z53" i="6"/>
  <c r="AK52" i="6"/>
  <c r="AI52" i="6"/>
  <c r="AG52" i="6"/>
  <c r="AE52" i="6"/>
  <c r="AD52" i="6"/>
  <c r="AC52" i="6"/>
  <c r="AB52" i="6"/>
  <c r="AA52" i="6"/>
  <c r="Z52" i="6"/>
  <c r="AM51" i="6"/>
  <c r="AM52" i="6" s="1"/>
  <c r="AM53" i="6" s="1"/>
  <c r="AK51" i="6"/>
  <c r="AI51" i="6"/>
  <c r="AG51" i="6"/>
  <c r="AE51" i="6"/>
  <c r="AD51" i="6"/>
  <c r="AC51" i="6"/>
  <c r="AB51" i="6"/>
  <c r="AA51" i="6"/>
  <c r="Z51" i="6"/>
  <c r="AK50" i="6"/>
  <c r="AI50" i="6"/>
  <c r="AG50" i="6"/>
  <c r="AE50" i="6"/>
  <c r="AD50" i="6"/>
  <c r="AC50" i="6"/>
  <c r="AB50" i="6"/>
  <c r="AA50" i="6"/>
  <c r="Z50" i="6"/>
  <c r="AK49" i="6"/>
  <c r="AI49" i="6"/>
  <c r="AG49" i="6"/>
  <c r="AE49" i="6"/>
  <c r="AD49" i="6"/>
  <c r="AC49" i="6"/>
  <c r="AB49" i="6"/>
  <c r="AA49" i="6"/>
  <c r="Z49" i="6"/>
  <c r="AM48" i="6"/>
  <c r="AM49" i="6" s="1"/>
  <c r="AM50" i="6" s="1"/>
  <c r="AK48" i="6"/>
  <c r="AI48" i="6"/>
  <c r="AG48" i="6"/>
  <c r="AE48" i="6"/>
  <c r="AD48" i="6"/>
  <c r="AC48" i="6"/>
  <c r="AB48" i="6"/>
  <c r="AA48" i="6"/>
  <c r="Z48" i="6"/>
  <c r="AK47" i="6"/>
  <c r="AI47" i="6"/>
  <c r="AG47" i="6"/>
  <c r="AE47" i="6"/>
  <c r="AD47" i="6"/>
  <c r="AC47" i="6"/>
  <c r="AB47" i="6"/>
  <c r="AA47" i="6"/>
  <c r="Z47" i="6"/>
  <c r="AK46" i="6"/>
  <c r="AI46" i="6"/>
  <c r="AG46" i="6"/>
  <c r="AE46" i="6"/>
  <c r="AD46" i="6"/>
  <c r="AC46" i="6"/>
  <c r="AB46" i="6"/>
  <c r="AA46" i="6"/>
  <c r="Z46" i="6"/>
  <c r="AM45" i="6"/>
  <c r="AM46" i="6" s="1"/>
  <c r="AM47" i="6" s="1"/>
  <c r="AK45" i="6"/>
  <c r="AI45" i="6"/>
  <c r="AG45" i="6"/>
  <c r="AE45" i="6"/>
  <c r="AD45" i="6"/>
  <c r="AC45" i="6"/>
  <c r="AB45" i="6"/>
  <c r="AA45" i="6"/>
  <c r="Z45" i="6"/>
  <c r="AK44" i="6"/>
  <c r="AI44" i="6"/>
  <c r="AG44" i="6"/>
  <c r="AE44" i="6"/>
  <c r="AD44" i="6"/>
  <c r="AC44" i="6"/>
  <c r="AB44" i="6"/>
  <c r="AA44" i="6"/>
  <c r="Z44" i="6"/>
  <c r="AK43" i="6"/>
  <c r="AI43" i="6"/>
  <c r="AG43" i="6"/>
  <c r="AE43" i="6"/>
  <c r="AD43" i="6"/>
  <c r="AC43" i="6"/>
  <c r="AB43" i="6"/>
  <c r="AA43" i="6"/>
  <c r="Z43" i="6"/>
  <c r="AM42" i="6"/>
  <c r="AM43" i="6" s="1"/>
  <c r="AM44" i="6" s="1"/>
  <c r="AK42" i="6"/>
  <c r="AI42" i="6"/>
  <c r="AG42" i="6"/>
  <c r="AE42" i="6"/>
  <c r="AD42" i="6"/>
  <c r="AC42" i="6"/>
  <c r="AB42" i="6"/>
  <c r="AA42" i="6"/>
  <c r="Z42" i="6"/>
  <c r="AK41" i="6"/>
  <c r="AI41" i="6"/>
  <c r="AG41" i="6"/>
  <c r="AE41" i="6"/>
  <c r="AD41" i="6"/>
  <c r="AC41" i="6"/>
  <c r="AB41" i="6"/>
  <c r="AA41" i="6"/>
  <c r="Z41" i="6"/>
  <c r="AK40" i="6"/>
  <c r="AI40" i="6"/>
  <c r="AG40" i="6"/>
  <c r="AE40" i="6"/>
  <c r="AD40" i="6"/>
  <c r="AC40" i="6"/>
  <c r="AB40" i="6"/>
  <c r="AA40" i="6"/>
  <c r="Z40" i="6"/>
  <c r="AM39" i="6"/>
  <c r="AM40" i="6" s="1"/>
  <c r="AM41" i="6" s="1"/>
  <c r="AK39" i="6"/>
  <c r="AI39" i="6"/>
  <c r="AG39" i="6"/>
  <c r="AE39" i="6"/>
  <c r="AD39" i="6"/>
  <c r="AC39" i="6"/>
  <c r="AB39" i="6"/>
  <c r="AA39" i="6"/>
  <c r="Z39" i="6"/>
  <c r="AK38" i="6"/>
  <c r="AI38" i="6"/>
  <c r="AG38" i="6"/>
  <c r="AE38" i="6"/>
  <c r="AD38" i="6"/>
  <c r="AC38" i="6"/>
  <c r="AB38" i="6"/>
  <c r="AA38" i="6"/>
  <c r="Z38" i="6"/>
  <c r="AK37" i="6"/>
  <c r="AI37" i="6"/>
  <c r="AG37" i="6"/>
  <c r="AE37" i="6"/>
  <c r="AD37" i="6"/>
  <c r="AC37" i="6"/>
  <c r="AB37" i="6"/>
  <c r="AA37" i="6"/>
  <c r="Z37" i="6"/>
  <c r="AM36" i="6"/>
  <c r="AM37" i="6" s="1"/>
  <c r="AM38" i="6" s="1"/>
  <c r="AK36" i="6"/>
  <c r="AI36" i="6"/>
  <c r="AG36" i="6"/>
  <c r="AE36" i="6"/>
  <c r="AD36" i="6"/>
  <c r="AC36" i="6"/>
  <c r="AB36" i="6"/>
  <c r="AA36" i="6"/>
  <c r="Z36" i="6"/>
  <c r="AK35" i="6"/>
  <c r="AI35" i="6"/>
  <c r="AG35" i="6"/>
  <c r="AE35" i="6"/>
  <c r="AD35" i="6"/>
  <c r="AC35" i="6"/>
  <c r="AB35" i="6"/>
  <c r="AA35" i="6"/>
  <c r="Z35" i="6"/>
  <c r="AK34" i="6"/>
  <c r="AI34" i="6"/>
  <c r="AG34" i="6"/>
  <c r="AE34" i="6"/>
  <c r="AD34" i="6"/>
  <c r="AC34" i="6"/>
  <c r="AB34" i="6"/>
  <c r="AA34" i="6"/>
  <c r="Z34" i="6"/>
  <c r="AK33" i="6"/>
  <c r="AI33" i="6"/>
  <c r="AG33" i="6"/>
  <c r="AE33" i="6"/>
  <c r="AD33" i="6"/>
  <c r="AC33" i="6"/>
  <c r="AB33" i="6"/>
  <c r="AA33" i="6"/>
  <c r="Z33" i="6"/>
  <c r="AM32" i="6"/>
  <c r="AM33" i="6" s="1"/>
  <c r="AM34" i="6" s="1"/>
  <c r="AM35" i="6" s="1"/>
  <c r="AK32" i="6"/>
  <c r="AI32" i="6"/>
  <c r="AG32" i="6"/>
  <c r="AE32" i="6"/>
  <c r="AD32" i="6"/>
  <c r="AC32" i="6"/>
  <c r="AB32" i="6"/>
  <c r="AA32" i="6"/>
  <c r="Z32" i="6"/>
  <c r="AK31" i="6"/>
  <c r="AI31" i="6"/>
  <c r="AG31" i="6"/>
  <c r="AE31" i="6"/>
  <c r="AD31" i="6"/>
  <c r="AC31" i="6"/>
  <c r="AB31" i="6"/>
  <c r="AA31" i="6"/>
  <c r="Z31" i="6"/>
  <c r="AK30" i="6"/>
  <c r="AI30" i="6"/>
  <c r="AG30" i="6"/>
  <c r="AE30" i="6"/>
  <c r="AD30" i="6"/>
  <c r="AC30" i="6"/>
  <c r="AB30" i="6"/>
  <c r="AA30" i="6"/>
  <c r="Z30" i="6"/>
  <c r="AM29" i="6"/>
  <c r="AM30" i="6" s="1"/>
  <c r="AM31" i="6" s="1"/>
  <c r="AK29" i="6"/>
  <c r="AI29" i="6"/>
  <c r="AG29" i="6"/>
  <c r="AE29" i="6"/>
  <c r="AD29" i="6"/>
  <c r="AC29" i="6"/>
  <c r="AB29" i="6"/>
  <c r="AA29" i="6"/>
  <c r="Z29" i="6"/>
  <c r="AM28" i="6"/>
  <c r="AK28" i="6"/>
  <c r="AI28" i="6"/>
  <c r="AG28" i="6"/>
  <c r="AE28" i="6"/>
  <c r="AD28" i="6"/>
  <c r="AC28" i="6"/>
  <c r="AB28" i="6"/>
  <c r="AA28" i="6"/>
  <c r="Z28" i="6"/>
  <c r="AK27" i="6"/>
  <c r="AI27" i="6"/>
  <c r="AG27" i="6"/>
  <c r="AE27" i="6"/>
  <c r="AD27" i="6"/>
  <c r="AC27" i="6"/>
  <c r="AB27" i="6"/>
  <c r="AA27" i="6"/>
  <c r="Z27" i="6"/>
  <c r="AK26" i="6"/>
  <c r="AI26" i="6"/>
  <c r="AG26" i="6"/>
  <c r="AE26" i="6"/>
  <c r="AD26" i="6"/>
  <c r="AC26" i="6"/>
  <c r="AB26" i="6"/>
  <c r="AA26" i="6"/>
  <c r="Z26" i="6"/>
  <c r="AK25" i="6"/>
  <c r="AI25" i="6"/>
  <c r="AG25" i="6"/>
  <c r="AE25" i="6"/>
  <c r="AD25" i="6"/>
  <c r="AC25" i="6"/>
  <c r="AB25" i="6"/>
  <c r="AA25" i="6"/>
  <c r="Z25" i="6"/>
  <c r="AK24" i="6"/>
  <c r="AI24" i="6"/>
  <c r="AG24" i="6"/>
  <c r="AE24" i="6"/>
  <c r="AD24" i="6"/>
  <c r="AC24" i="6"/>
  <c r="AB24" i="6"/>
  <c r="AA24" i="6"/>
  <c r="Z24" i="6"/>
  <c r="AK23" i="6"/>
  <c r="AI23" i="6"/>
  <c r="AG23" i="6"/>
  <c r="AE23" i="6"/>
  <c r="AD23" i="6"/>
  <c r="AC23" i="6"/>
  <c r="AB23" i="6"/>
  <c r="AA23" i="6"/>
  <c r="Z23" i="6"/>
  <c r="AK22" i="6"/>
  <c r="AI22" i="6"/>
  <c r="AG22" i="6"/>
  <c r="AE22" i="6"/>
  <c r="AD22" i="6"/>
  <c r="AC22" i="6"/>
  <c r="AB22" i="6"/>
  <c r="AA22" i="6"/>
  <c r="Z22" i="6"/>
  <c r="AK21" i="6"/>
  <c r="AI21" i="6"/>
  <c r="AG21" i="6"/>
  <c r="AE21" i="6"/>
  <c r="AD21" i="6"/>
  <c r="AC21" i="6"/>
  <c r="AB21" i="6"/>
  <c r="AA21" i="6"/>
  <c r="Z21" i="6"/>
  <c r="AK20" i="6"/>
  <c r="AI20" i="6"/>
  <c r="AG20" i="6"/>
  <c r="AE20" i="6"/>
  <c r="AD20" i="6"/>
  <c r="AC20" i="6"/>
  <c r="AB20" i="6"/>
  <c r="AA20" i="6"/>
  <c r="Z20" i="6"/>
  <c r="AK19" i="6"/>
  <c r="AI19" i="6"/>
  <c r="AG19" i="6"/>
  <c r="AE19" i="6"/>
  <c r="AD19" i="6"/>
  <c r="AC19" i="6"/>
  <c r="AB19" i="6"/>
  <c r="AA19" i="6"/>
  <c r="Z19" i="6"/>
  <c r="AK18" i="6"/>
  <c r="AI18" i="6"/>
  <c r="AG18" i="6"/>
  <c r="AE18" i="6"/>
  <c r="AD18" i="6"/>
  <c r="AC18" i="6"/>
  <c r="AB18" i="6"/>
  <c r="AA18" i="6"/>
  <c r="Z18" i="6"/>
  <c r="AK17" i="6"/>
  <c r="AI17" i="6"/>
  <c r="AG17" i="6"/>
  <c r="AE17" i="6"/>
  <c r="AD17" i="6"/>
  <c r="AC17" i="6"/>
  <c r="AB17" i="6"/>
  <c r="AA17" i="6"/>
  <c r="Z17" i="6"/>
  <c r="AK16" i="6"/>
  <c r="AI16" i="6"/>
  <c r="AG16" i="6"/>
  <c r="AE16" i="6"/>
  <c r="AD16" i="6"/>
  <c r="AC16" i="6"/>
  <c r="AB16" i="6"/>
  <c r="AA16" i="6"/>
  <c r="Z16" i="6"/>
  <c r="AK15" i="6"/>
  <c r="AI15" i="6"/>
  <c r="AG15" i="6"/>
  <c r="AE15" i="6"/>
  <c r="AD15" i="6"/>
  <c r="AC15" i="6"/>
  <c r="AB15" i="6"/>
  <c r="AA15" i="6"/>
  <c r="Z15" i="6"/>
  <c r="AK14" i="6"/>
  <c r="AI14" i="6"/>
  <c r="AG14" i="6"/>
  <c r="AE14" i="6"/>
  <c r="AD14" i="6"/>
  <c r="AC14" i="6"/>
  <c r="AB14" i="6"/>
  <c r="AA14" i="6"/>
  <c r="Z14" i="6"/>
  <c r="AK13" i="6"/>
  <c r="AI13" i="6"/>
  <c r="AG13" i="6"/>
  <c r="AE13" i="6"/>
  <c r="AD13" i="6"/>
  <c r="AC13" i="6"/>
  <c r="AB13" i="6"/>
  <c r="AA13" i="6"/>
  <c r="Z13" i="6"/>
  <c r="AK12" i="6"/>
  <c r="AI12" i="6"/>
  <c r="AG12" i="6"/>
  <c r="AE12" i="6"/>
  <c r="AD12" i="6"/>
  <c r="AC12" i="6"/>
  <c r="AB12" i="6"/>
  <c r="AA12" i="6"/>
  <c r="Z12" i="6"/>
  <c r="AK11" i="6"/>
  <c r="AI11" i="6"/>
  <c r="AG11" i="6"/>
  <c r="AE11" i="6"/>
  <c r="AD11" i="6"/>
  <c r="AC11" i="6"/>
  <c r="AB11" i="6"/>
  <c r="AA11" i="6"/>
  <c r="Z11" i="6"/>
  <c r="AK10" i="6"/>
  <c r="AI10" i="6"/>
  <c r="AG10" i="6"/>
  <c r="AE10" i="6"/>
  <c r="AD10" i="6"/>
  <c r="AC10" i="6"/>
  <c r="AB10" i="6"/>
  <c r="AA10" i="6"/>
  <c r="Z10" i="6"/>
  <c r="AK9" i="6"/>
  <c r="AI9" i="6"/>
  <c r="AG9" i="6"/>
  <c r="AE9" i="6"/>
  <c r="AD9" i="6"/>
  <c r="AC9" i="6"/>
  <c r="AB9" i="6"/>
  <c r="AA9" i="6"/>
  <c r="Z9" i="6"/>
  <c r="AK8" i="6"/>
  <c r="AI8" i="6"/>
  <c r="AG8" i="6"/>
  <c r="AE8" i="6"/>
  <c r="AD8" i="6"/>
  <c r="AC8" i="6"/>
  <c r="AB8" i="6"/>
  <c r="AA8" i="6"/>
  <c r="Z8" i="6"/>
  <c r="G22" i="17419"/>
  <c r="BU34" i="17418"/>
  <c r="BU28" i="17418"/>
  <c r="AH28" i="4" l="1"/>
  <c r="AH515" i="4"/>
  <c r="AL97" i="6"/>
  <c r="AL101" i="6"/>
  <c r="AL108" i="6"/>
  <c r="AL116" i="6"/>
  <c r="AL128" i="6"/>
  <c r="AL252" i="6"/>
  <c r="AL275" i="6"/>
  <c r="AL278" i="6"/>
  <c r="AL292" i="6"/>
  <c r="AL341" i="6"/>
  <c r="AL345" i="6"/>
  <c r="AL349" i="6"/>
  <c r="AL357" i="6"/>
  <c r="AH684" i="4"/>
  <c r="AH554" i="4"/>
  <c r="AL244" i="6"/>
  <c r="AL248" i="6"/>
  <c r="AL363" i="6"/>
  <c r="AL397" i="6"/>
  <c r="AL399" i="6"/>
  <c r="AL56" i="6"/>
  <c r="AL68" i="6"/>
  <c r="AL74" i="6"/>
  <c r="AL75" i="6"/>
  <c r="AL80" i="6"/>
  <c r="AL84" i="6"/>
  <c r="AL475" i="6"/>
  <c r="AL48" i="6"/>
  <c r="AL72" i="6"/>
  <c r="AL88" i="6"/>
  <c r="AL103" i="6"/>
  <c r="AL105" i="6"/>
  <c r="AL260" i="6"/>
  <c r="AL44" i="6"/>
  <c r="AL264" i="6"/>
  <c r="AL255" i="6"/>
  <c r="AL261" i="6"/>
  <c r="AL286" i="6"/>
  <c r="AL339" i="6"/>
  <c r="AL415" i="6"/>
  <c r="AL451" i="6"/>
  <c r="AL465" i="6"/>
  <c r="AL119" i="6"/>
  <c r="AL180" i="6"/>
  <c r="AL185" i="6"/>
  <c r="AL192" i="6"/>
  <c r="AL200" i="6"/>
  <c r="AL208" i="6"/>
  <c r="AL365" i="6"/>
  <c r="AL371" i="6"/>
  <c r="AL373" i="6"/>
  <c r="AL381" i="6"/>
  <c r="AL445" i="6"/>
  <c r="AL16" i="6"/>
  <c r="AL125" i="6"/>
  <c r="AL133" i="6"/>
  <c r="AL148" i="6"/>
  <c r="AL172" i="6"/>
  <c r="AL332" i="6"/>
  <c r="AL350" i="6"/>
  <c r="AL395" i="6"/>
  <c r="AL433" i="6"/>
  <c r="AL439" i="6"/>
  <c r="AL462" i="6"/>
  <c r="AL469" i="6"/>
  <c r="AL19" i="6"/>
  <c r="AL23" i="6"/>
  <c r="AL25" i="6"/>
  <c r="AL34" i="6"/>
  <c r="AL37" i="6"/>
  <c r="AL40" i="6"/>
  <c r="AL161" i="6"/>
  <c r="AL215" i="6"/>
  <c r="AL223" i="6"/>
  <c r="AL226" i="6"/>
  <c r="AL229" i="6"/>
  <c r="AL232" i="6"/>
  <c r="AL240" i="6"/>
  <c r="AL318" i="6"/>
  <c r="AL322" i="6"/>
  <c r="AL325" i="6"/>
  <c r="AL329" i="6"/>
  <c r="AL389" i="6"/>
  <c r="AL393" i="6"/>
  <c r="AL401" i="6"/>
  <c r="AL403" i="6"/>
  <c r="AL427" i="6"/>
  <c r="AL461" i="6"/>
  <c r="AL274" i="6"/>
  <c r="AL287" i="6"/>
  <c r="AL297" i="6"/>
  <c r="AL306" i="6"/>
  <c r="AL331" i="6"/>
  <c r="AL379" i="6"/>
  <c r="AL391" i="6"/>
  <c r="AL407" i="6"/>
  <c r="AL411" i="6"/>
  <c r="AL417" i="6"/>
  <c r="AL429" i="6"/>
  <c r="AL437" i="6"/>
  <c r="AL447" i="6"/>
  <c r="AL457" i="6"/>
  <c r="AL22" i="6"/>
  <c r="AL51" i="6"/>
  <c r="AL52" i="6"/>
  <c r="AL60" i="6"/>
  <c r="AL87" i="6"/>
  <c r="AL155" i="6"/>
  <c r="AL157" i="6"/>
  <c r="AL168" i="6"/>
  <c r="AL177" i="6"/>
  <c r="AL182" i="6"/>
  <c r="AL193" i="6"/>
  <c r="AL197" i="6"/>
  <c r="AL242" i="6"/>
  <c r="AL480" i="6"/>
  <c r="AL12" i="6"/>
  <c r="AL18" i="6"/>
  <c r="AL28" i="6"/>
  <c r="AL153" i="6"/>
  <c r="AL164" i="6"/>
  <c r="AL179" i="6"/>
  <c r="AL184" i="6"/>
  <c r="AL50" i="6"/>
  <c r="AL53" i="6"/>
  <c r="AL64" i="6"/>
  <c r="AL96" i="6"/>
  <c r="AL120" i="6"/>
  <c r="AL122" i="6"/>
  <c r="AL124" i="6"/>
  <c r="AL138" i="6"/>
  <c r="AL144" i="6"/>
  <c r="AL146" i="6"/>
  <c r="AL152" i="6"/>
  <c r="AL154" i="6"/>
  <c r="AL160" i="6"/>
  <c r="AL163" i="6"/>
  <c r="AL167" i="6"/>
  <c r="AL169" i="6"/>
  <c r="AL176" i="6"/>
  <c r="AL210" i="6"/>
  <c r="AL220" i="6"/>
  <c r="AL224" i="6"/>
  <c r="AL239" i="6"/>
  <c r="AL283" i="6"/>
  <c r="AL296" i="6"/>
  <c r="AL298" i="6"/>
  <c r="AL311" i="6"/>
  <c r="AL317" i="6"/>
  <c r="AL319" i="6"/>
  <c r="AL347" i="6"/>
  <c r="AL351" i="6"/>
  <c r="AL353" i="6"/>
  <c r="AL382" i="6"/>
  <c r="AL387" i="6"/>
  <c r="AL413" i="6"/>
  <c r="AL421" i="6"/>
  <c r="AL425" i="6"/>
  <c r="AL443" i="6"/>
  <c r="AL453" i="6"/>
  <c r="AL471" i="6"/>
  <c r="AH858" i="4"/>
  <c r="AH862" i="4"/>
  <c r="AH865" i="4"/>
  <c r="AH854" i="4"/>
  <c r="AH786" i="4"/>
  <c r="AH604" i="4"/>
  <c r="AH546" i="4"/>
  <c r="AH544" i="4"/>
  <c r="AH610" i="4"/>
  <c r="AH552" i="4"/>
  <c r="AH609" i="4"/>
  <c r="AH551" i="4"/>
  <c r="AH607" i="4"/>
  <c r="AH549" i="4"/>
  <c r="AH571" i="4"/>
  <c r="AH602" i="4"/>
  <c r="AH567" i="4"/>
  <c r="AH608" i="4"/>
  <c r="AH550" i="4"/>
  <c r="AH605" i="4"/>
  <c r="AH547" i="4"/>
  <c r="AH530" i="4"/>
  <c r="AH538" i="4"/>
  <c r="AH533" i="4"/>
  <c r="AH541" i="4"/>
  <c r="AH534" i="4"/>
  <c r="AH542" i="4"/>
  <c r="AH535" i="4"/>
  <c r="AH543" i="4"/>
  <c r="AH531" i="4"/>
  <c r="AH539" i="4"/>
  <c r="AH373" i="4"/>
  <c r="AH536" i="4"/>
  <c r="AH523" i="4"/>
  <c r="AH514" i="4"/>
  <c r="AH517" i="4"/>
  <c r="AH525" i="4"/>
  <c r="AH519" i="4"/>
  <c r="AH520" i="4"/>
  <c r="AH526" i="4"/>
  <c r="AH309" i="4"/>
  <c r="AH527" i="4"/>
  <c r="AH521" i="4"/>
  <c r="AL209" i="6"/>
  <c r="AL8" i="6"/>
  <c r="AL58" i="6"/>
  <c r="AL69" i="6"/>
  <c r="AL77" i="6"/>
  <c r="AL89" i="6"/>
  <c r="AL109" i="6"/>
  <c r="AL140" i="6"/>
  <c r="AL151" i="6"/>
  <c r="AL162" i="6"/>
  <c r="AL166" i="6"/>
  <c r="AL186" i="6"/>
  <c r="AL190" i="6"/>
  <c r="AL251" i="6"/>
  <c r="AL270" i="6"/>
  <c r="AL272" i="6"/>
  <c r="AL285" i="6"/>
  <c r="AL291" i="6"/>
  <c r="AL294" i="6"/>
  <c r="AL314" i="6"/>
  <c r="AL323" i="6"/>
  <c r="AL335" i="6"/>
  <c r="AL352" i="6"/>
  <c r="AL355" i="6"/>
  <c r="AL358" i="6"/>
  <c r="AL369" i="6"/>
  <c r="AL372" i="6"/>
  <c r="AL385" i="6"/>
  <c r="AL398" i="6"/>
  <c r="AL402" i="6"/>
  <c r="AL405" i="6"/>
  <c r="AL408" i="6"/>
  <c r="AL419" i="6"/>
  <c r="AL440" i="6"/>
  <c r="AL449" i="6"/>
  <c r="AL463" i="6"/>
  <c r="AL36" i="6"/>
  <c r="AL54" i="6"/>
  <c r="AL66" i="6"/>
  <c r="AL79" i="6"/>
  <c r="AL83" i="6"/>
  <c r="AL93" i="6"/>
  <c r="AL95" i="6"/>
  <c r="AL115" i="6"/>
  <c r="AL136" i="6"/>
  <c r="AL173" i="6"/>
  <c r="AL175" i="6"/>
  <c r="AL196" i="6"/>
  <c r="AL201" i="6"/>
  <c r="AL237" i="6"/>
  <c r="AL245" i="6"/>
  <c r="AL262" i="6"/>
  <c r="AL9" i="6"/>
  <c r="AL13" i="6"/>
  <c r="AL20" i="6"/>
  <c r="AL24" i="6"/>
  <c r="AL30" i="6"/>
  <c r="AL32" i="6"/>
  <c r="AL35" i="6"/>
  <c r="AL42" i="6"/>
  <c r="AL46" i="6"/>
  <c r="AL82" i="6"/>
  <c r="AL85" i="6"/>
  <c r="AL92" i="6"/>
  <c r="AL100" i="6"/>
  <c r="AL112" i="6"/>
  <c r="AL114" i="6"/>
  <c r="AL126" i="6"/>
  <c r="AL131" i="6"/>
  <c r="AL135" i="6"/>
  <c r="AL142" i="6"/>
  <c r="AL156" i="6"/>
  <c r="AL174" i="6"/>
  <c r="AL199" i="6"/>
  <c r="AL204" i="6"/>
  <c r="AL206" i="6"/>
  <c r="AL217" i="6"/>
  <c r="AL221" i="6"/>
  <c r="AL234" i="6"/>
  <c r="AL236" i="6"/>
  <c r="AL246" i="6"/>
  <c r="AL249" i="6"/>
  <c r="AL290" i="6"/>
  <c r="AL295" i="6"/>
  <c r="AL299" i="6"/>
  <c r="AL309" i="6"/>
  <c r="AL334" i="6"/>
  <c r="AL340" i="6"/>
  <c r="AL367" i="6"/>
  <c r="AL380" i="6"/>
  <c r="AL383" i="6"/>
  <c r="AL386" i="6"/>
  <c r="AL423" i="6"/>
  <c r="AL428" i="6"/>
  <c r="AL431" i="6"/>
  <c r="AL438" i="6"/>
  <c r="AL446" i="6"/>
  <c r="AL450" i="6"/>
  <c r="AL467" i="6"/>
  <c r="AH265" i="4"/>
  <c r="AH129" i="4"/>
  <c r="AH71" i="4"/>
  <c r="AH302" i="4"/>
  <c r="AH308" i="4"/>
  <c r="AH357" i="4"/>
  <c r="AH293" i="4"/>
  <c r="AH341" i="4"/>
  <c r="AH288" i="4"/>
  <c r="AH502" i="4"/>
  <c r="AH41" i="4"/>
  <c r="AH381" i="4"/>
  <c r="AH380" i="4"/>
  <c r="AH39" i="4"/>
  <c r="AH57" i="4"/>
  <c r="AH51" i="4"/>
  <c r="AH279" i="4"/>
  <c r="AH38" i="4"/>
  <c r="AH127" i="4"/>
  <c r="AH27" i="4"/>
  <c r="AH55" i="4"/>
  <c r="AH49" i="4"/>
  <c r="AH67" i="4"/>
  <c r="AH260" i="4"/>
  <c r="AH133" i="4"/>
  <c r="AH45" i="4"/>
  <c r="AH40" i="4"/>
  <c r="AH42" i="4"/>
  <c r="AH52" i="4"/>
  <c r="AH58" i="4"/>
  <c r="AH56" i="4"/>
  <c r="AH50" i="4"/>
  <c r="AH47" i="4"/>
  <c r="AH372" i="4"/>
  <c r="AH11" i="4"/>
  <c r="AH478" i="4"/>
  <c r="AH298" i="4"/>
  <c r="AH62" i="4"/>
  <c r="AH23" i="4"/>
  <c r="AH64" i="4"/>
  <c r="AH25" i="4"/>
  <c r="AH130" i="4"/>
  <c r="AH30" i="4"/>
  <c r="AH19" i="4"/>
  <c r="AH282" i="4"/>
  <c r="AH261" i="4"/>
  <c r="AH22" i="4"/>
  <c r="AH65" i="4"/>
  <c r="AH18" i="4"/>
  <c r="AH281" i="4"/>
  <c r="AH131" i="4"/>
  <c r="AH68" i="4"/>
  <c r="AH32" i="4"/>
  <c r="AH20" i="4"/>
  <c r="AH283" i="4"/>
  <c r="AH14" i="4"/>
  <c r="AH262" i="4"/>
  <c r="AH503" i="4"/>
  <c r="AH44" i="4"/>
  <c r="AH60" i="4"/>
  <c r="AH46" i="4"/>
  <c r="AH53" i="4"/>
  <c r="AH9" i="4"/>
  <c r="AH73" i="4"/>
  <c r="AH266" i="4"/>
  <c r="AH134" i="4"/>
  <c r="AH220" i="4"/>
  <c r="AH77" i="4"/>
  <c r="AH80" i="4"/>
  <c r="AH342" i="4"/>
  <c r="AH289" i="4"/>
  <c r="AH294" i="4"/>
  <c r="AH339" i="4"/>
  <c r="AH359" i="4"/>
  <c r="AH407" i="4"/>
  <c r="AH385" i="4"/>
  <c r="AH486" i="4"/>
  <c r="AH504" i="4"/>
  <c r="AH496" i="4"/>
  <c r="AH435" i="4"/>
  <c r="AH444" i="4"/>
  <c r="AH70" i="4"/>
  <c r="AH21" i="4"/>
  <c r="AH284" i="4"/>
  <c r="AH132" i="4"/>
  <c r="AH31" i="4"/>
  <c r="AH264" i="4"/>
  <c r="AH15" i="4"/>
  <c r="AH26" i="4"/>
  <c r="AH63" i="4"/>
  <c r="AH24" i="4"/>
  <c r="AH66" i="4"/>
  <c r="AH117" i="4"/>
  <c r="AH125" i="4"/>
  <c r="AH101" i="4"/>
  <c r="AH109" i="4"/>
  <c r="AH305" i="4"/>
  <c r="AH360" i="4"/>
  <c r="AH292" i="4"/>
  <c r="AH340" i="4"/>
  <c r="AH297" i="4"/>
  <c r="AH482" i="4"/>
  <c r="AH375" i="4"/>
  <c r="AH346" i="4"/>
  <c r="AH347" i="4"/>
  <c r="AH296" i="4"/>
  <c r="AH374" i="4"/>
  <c r="AH301" i="4"/>
  <c r="AH307" i="4"/>
  <c r="AH295" i="4"/>
  <c r="AH299" i="4"/>
  <c r="AH343" i="4"/>
  <c r="AH290" i="4"/>
  <c r="AH358" i="4"/>
  <c r="AH481" i="4"/>
  <c r="AH304" i="4"/>
  <c r="AH398" i="4"/>
  <c r="AH408" i="4"/>
  <c r="AL1270" i="13"/>
  <c r="AL10" i="6"/>
  <c r="AL11" i="6"/>
  <c r="AL17" i="6"/>
  <c r="AL26" i="6"/>
  <c r="AL27" i="6"/>
  <c r="AL29" i="6"/>
  <c r="AL31" i="6"/>
  <c r="AL43" i="6"/>
  <c r="AL45" i="6"/>
  <c r="AL47" i="6"/>
  <c r="AL62" i="6"/>
  <c r="AL70" i="6"/>
  <c r="AL71" i="6"/>
  <c r="AL76" i="6"/>
  <c r="AL78" i="6"/>
  <c r="AL94" i="6"/>
  <c r="AL98" i="6"/>
  <c r="AL99" i="6"/>
  <c r="AL102" i="6"/>
  <c r="AL111" i="6"/>
  <c r="AL117" i="6"/>
  <c r="AL121" i="6"/>
  <c r="AL129" i="6"/>
  <c r="AL132" i="6"/>
  <c r="AL149" i="6"/>
  <c r="AL207" i="6"/>
  <c r="AL212" i="6"/>
  <c r="AL213" i="6"/>
  <c r="AL216" i="6"/>
  <c r="AL228" i="6"/>
  <c r="AL231" i="6"/>
  <c r="AL241" i="6"/>
  <c r="AL256" i="6"/>
  <c r="AL266" i="6"/>
  <c r="AL277" i="6"/>
  <c r="AL300" i="6"/>
  <c r="AL307" i="6"/>
  <c r="AL315" i="6"/>
  <c r="AL327" i="6"/>
  <c r="AL14" i="6"/>
  <c r="AL15" i="6"/>
  <c r="AL21" i="6"/>
  <c r="AL33" i="6"/>
  <c r="AL38" i="6"/>
  <c r="AL39" i="6"/>
  <c r="AL41" i="6"/>
  <c r="AL49" i="6"/>
  <c r="AL73" i="6"/>
  <c r="AL104" i="6"/>
  <c r="AL110" i="6"/>
  <c r="AL118" i="6"/>
  <c r="AL130" i="6"/>
  <c r="AL141" i="6"/>
  <c r="AL150" i="6"/>
  <c r="AL202" i="6"/>
  <c r="AL205" i="6"/>
  <c r="AL214" i="6"/>
  <c r="AL233" i="6"/>
  <c r="AL253" i="6"/>
  <c r="AL271" i="6"/>
  <c r="AL284" i="6"/>
  <c r="AL333" i="6"/>
  <c r="AL441" i="6"/>
  <c r="AL473" i="6"/>
  <c r="AL55" i="6"/>
  <c r="AL57" i="6"/>
  <c r="AL59" i="6"/>
  <c r="AL61" i="6"/>
  <c r="AL63" i="6"/>
  <c r="AL65" i="6"/>
  <c r="AL67" i="6"/>
  <c r="AL81" i="6"/>
  <c r="AL86" i="6"/>
  <c r="AL90" i="6"/>
  <c r="AL91" i="6"/>
  <c r="AL106" i="6"/>
  <c r="AL107" i="6"/>
  <c r="AL113" i="6"/>
  <c r="AL134" i="6"/>
  <c r="AL137" i="6"/>
  <c r="AL145" i="6"/>
  <c r="AL147" i="6"/>
  <c r="AL158" i="6"/>
  <c r="AL159" i="6"/>
  <c r="AL165" i="6"/>
  <c r="AL170" i="6"/>
  <c r="AL171" i="6"/>
  <c r="AL178" i="6"/>
  <c r="AL181" i="6"/>
  <c r="AL187" i="6"/>
  <c r="AL188" i="6"/>
  <c r="AL189" i="6"/>
  <c r="AL191" i="6"/>
  <c r="AL194" i="6"/>
  <c r="AL198" i="6"/>
  <c r="AL218" i="6"/>
  <c r="AL222" i="6"/>
  <c r="AL225" i="6"/>
  <c r="AL230" i="6"/>
  <c r="AL238" i="6"/>
  <c r="AL243" i="6"/>
  <c r="AL258" i="6"/>
  <c r="AL265" i="6"/>
  <c r="AL268" i="6"/>
  <c r="AL288" i="6"/>
  <c r="AL301" i="6"/>
  <c r="AL302" i="6"/>
  <c r="AL305" i="6"/>
  <c r="AL337" i="6"/>
  <c r="AL409" i="6"/>
  <c r="AL455" i="6"/>
  <c r="AL250" i="6"/>
  <c r="AL254" i="6"/>
  <c r="AL257" i="6"/>
  <c r="AL263" i="6"/>
  <c r="AL276" i="6"/>
  <c r="AL280" i="6"/>
  <c r="AL282" i="6"/>
  <c r="AL303" i="6"/>
  <c r="AL308" i="6"/>
  <c r="AL320" i="6"/>
  <c r="AL321" i="6"/>
  <c r="AL328" i="6"/>
  <c r="AL343" i="6"/>
  <c r="AL359" i="6"/>
  <c r="AL361" i="6"/>
  <c r="AL375" i="6"/>
  <c r="AL377" i="6"/>
  <c r="AL396" i="6"/>
  <c r="AL426" i="6"/>
  <c r="AL435" i="6"/>
  <c r="AL459" i="6"/>
  <c r="AL470" i="6"/>
  <c r="AL477" i="6"/>
  <c r="AL479" i="6"/>
  <c r="AL481" i="6"/>
  <c r="AL1261" i="13"/>
  <c r="AL1265" i="13"/>
  <c r="AL312" i="6"/>
  <c r="AL313" i="6"/>
  <c r="AL324" i="6"/>
  <c r="AL330" i="6"/>
  <c r="AL342" i="6"/>
  <c r="AL348" i="6"/>
  <c r="AL370" i="6"/>
  <c r="AL374" i="6"/>
  <c r="AL378" i="6"/>
  <c r="AL388" i="6"/>
  <c r="AL400" i="6"/>
  <c r="AL406" i="6"/>
  <c r="AL418" i="6"/>
  <c r="AL448" i="6"/>
  <c r="AL452" i="6"/>
  <c r="AL460" i="6"/>
  <c r="AL468" i="6"/>
  <c r="AL1222" i="13"/>
  <c r="AL1267" i="13"/>
  <c r="AL850" i="13"/>
  <c r="AL1248" i="13"/>
  <c r="AL1196" i="13"/>
  <c r="AL1210" i="13"/>
  <c r="AL1221" i="13"/>
  <c r="AL1276" i="13"/>
  <c r="AL1281" i="13"/>
  <c r="AL1098" i="13"/>
  <c r="AL1100" i="13"/>
  <c r="AL1181" i="13"/>
  <c r="AL1195" i="13"/>
  <c r="AL1204" i="13"/>
  <c r="AL1243" i="13"/>
  <c r="AL1269" i="13"/>
  <c r="AL1274" i="13"/>
  <c r="AL1278" i="13"/>
  <c r="AL1283" i="13"/>
  <c r="AL1289" i="13"/>
  <c r="AL60" i="13"/>
  <c r="AL79" i="13"/>
  <c r="AL83" i="13"/>
  <c r="AL88" i="13"/>
  <c r="AL92" i="13"/>
  <c r="AL96" i="13"/>
  <c r="AL101" i="13"/>
  <c r="AL143" i="13"/>
  <c r="AL147" i="13"/>
  <c r="AL151" i="13"/>
  <c r="AL156" i="13"/>
  <c r="AL175" i="13"/>
  <c r="AL179" i="13"/>
  <c r="AL184" i="13"/>
  <c r="AL245" i="13"/>
  <c r="AL248" i="13"/>
  <c r="AL253" i="13"/>
  <c r="AL256" i="13"/>
  <c r="AL281" i="13"/>
  <c r="AL284" i="13"/>
  <c r="AL288" i="13"/>
  <c r="AL292" i="13"/>
  <c r="AL305" i="13"/>
  <c r="AL309" i="13"/>
  <c r="AL316" i="13"/>
  <c r="AL348" i="13"/>
  <c r="AL8" i="13"/>
  <c r="AL22" i="13"/>
  <c r="AL26" i="13"/>
  <c r="AL36" i="13"/>
  <c r="AL89" i="13"/>
  <c r="AL93" i="13"/>
  <c r="AL102" i="13"/>
  <c r="AL111" i="13"/>
  <c r="AL121" i="13"/>
  <c r="AL140" i="13"/>
  <c r="AL166" i="13"/>
  <c r="AL181" i="13"/>
  <c r="AL185" i="13"/>
  <c r="AL195" i="13"/>
  <c r="AL199" i="13"/>
  <c r="AL209" i="13"/>
  <c r="AL219" i="13"/>
  <c r="AL301" i="13"/>
  <c r="AL342" i="13"/>
  <c r="AL344" i="13"/>
  <c r="AL369" i="13"/>
  <c r="AL424" i="13"/>
  <c r="AL450" i="13"/>
  <c r="AL472" i="13"/>
  <c r="AL486" i="13"/>
  <c r="AL511" i="13"/>
  <c r="AL525" i="13"/>
  <c r="AL534" i="13"/>
  <c r="AL543" i="13"/>
  <c r="AL608" i="13"/>
  <c r="AL618" i="13"/>
  <c r="AL622" i="13"/>
  <c r="AL629" i="13"/>
  <c r="AL633" i="13"/>
  <c r="AL653" i="13"/>
  <c r="AL655" i="13"/>
  <c r="AL674" i="13"/>
  <c r="AL679" i="13"/>
  <c r="AL681" i="13"/>
  <c r="AL684" i="13"/>
  <c r="AL708" i="13"/>
  <c r="AL711" i="13"/>
  <c r="AL715" i="13"/>
  <c r="AL740" i="13"/>
  <c r="AL742" i="13"/>
  <c r="AL744" i="13"/>
  <c r="AL746" i="13"/>
  <c r="AL748" i="13"/>
  <c r="AL751" i="13"/>
  <c r="AL784" i="13"/>
  <c r="AL823" i="13"/>
  <c r="AL825" i="13"/>
  <c r="AL827" i="13"/>
  <c r="AL845" i="13"/>
  <c r="AL862" i="13"/>
  <c r="AL867" i="13"/>
  <c r="AL869" i="13"/>
  <c r="AL871" i="13"/>
  <c r="AL873" i="13"/>
  <c r="AL875" i="13"/>
  <c r="AL877" i="13"/>
  <c r="AL898" i="13"/>
  <c r="AL900" i="13"/>
  <c r="AL927" i="13"/>
  <c r="AL935" i="13"/>
  <c r="AL975" i="13"/>
  <c r="AL984" i="13"/>
  <c r="AL988" i="13"/>
  <c r="AL993" i="13"/>
  <c r="AL997" i="13"/>
  <c r="AL1024" i="13"/>
  <c r="AL1028" i="13"/>
  <c r="AL1032" i="13"/>
  <c r="AL1035" i="13"/>
  <c r="AL1037" i="13"/>
  <c r="AL1055" i="13"/>
  <c r="AL1285" i="13"/>
  <c r="AL346" i="13"/>
  <c r="AL365" i="13"/>
  <c r="AL409" i="13"/>
  <c r="AL439" i="13"/>
  <c r="AL442" i="13"/>
  <c r="AL510" i="13"/>
  <c r="AL512" i="13"/>
  <c r="AL523" i="13"/>
  <c r="AL540" i="13"/>
  <c r="AL544" i="13"/>
  <c r="AL558" i="13"/>
  <c r="AL562" i="13"/>
  <c r="AL568" i="13"/>
  <c r="AL582" i="13"/>
  <c r="AL586" i="13"/>
  <c r="AL590" i="13"/>
  <c r="AL595" i="13"/>
  <c r="AL614" i="13"/>
  <c r="AL628" i="13"/>
  <c r="AL632" i="13"/>
  <c r="AL649" i="13"/>
  <c r="AL698" i="13"/>
  <c r="AL702" i="13"/>
  <c r="AL705" i="13"/>
  <c r="AL709" i="13"/>
  <c r="AL732" i="13"/>
  <c r="AL734" i="13"/>
  <c r="AL737" i="13"/>
  <c r="AL739" i="13"/>
  <c r="AL741" i="13"/>
  <c r="AL743" i="13"/>
  <c r="AL745" i="13"/>
  <c r="AL747" i="13"/>
  <c r="AL774" i="13"/>
  <c r="AL778" i="13"/>
  <c r="AL812" i="13"/>
  <c r="AL814" i="13"/>
  <c r="AL839" i="13"/>
  <c r="AL843" i="13"/>
  <c r="AL852" i="13"/>
  <c r="AL854" i="13"/>
  <c r="AL856" i="13"/>
  <c r="AL858" i="13"/>
  <c r="AL897" i="13"/>
  <c r="AL907" i="13"/>
  <c r="AL909" i="13"/>
  <c r="AL911" i="13"/>
  <c r="AL913" i="13"/>
  <c r="AL915" i="13"/>
  <c r="AL917" i="13"/>
  <c r="AL919" i="13"/>
  <c r="AL921" i="13"/>
  <c r="AL923" i="13"/>
  <c r="AL925" i="13"/>
  <c r="AL950" i="13"/>
  <c r="AL980" i="13"/>
  <c r="AL983" i="13"/>
  <c r="AL985" i="13"/>
  <c r="AL990" i="13"/>
  <c r="AL994" i="13"/>
  <c r="AL998" i="13"/>
  <c r="AL1018" i="13"/>
  <c r="AL1021" i="13"/>
  <c r="AL1025" i="13"/>
  <c r="AL1029" i="13"/>
  <c r="AL1033" i="13"/>
  <c r="AL1058" i="13"/>
  <c r="AL1070" i="13"/>
  <c r="AL1072" i="13"/>
  <c r="AL1080" i="13"/>
  <c r="AL1087" i="13"/>
  <c r="AL1089" i="13"/>
  <c r="AL1095" i="13"/>
  <c r="AL1117" i="13"/>
  <c r="AL1144" i="13"/>
  <c r="AL1146" i="13"/>
  <c r="AL1155" i="13"/>
  <c r="AL1158" i="13"/>
  <c r="AL58" i="13"/>
  <c r="AL78" i="13"/>
  <c r="AL82" i="13"/>
  <c r="AL95" i="13"/>
  <c r="AL124" i="13"/>
  <c r="AL142" i="13"/>
  <c r="AL146" i="13"/>
  <c r="AL150" i="13"/>
  <c r="AL155" i="13"/>
  <c r="AL178" i="13"/>
  <c r="AL183" i="13"/>
  <c r="AL202" i="13"/>
  <c r="AL204" i="13"/>
  <c r="AL260" i="13"/>
  <c r="AL317" i="13"/>
  <c r="AL319" i="13"/>
  <c r="AL322" i="13"/>
  <c r="AL324" i="13"/>
  <c r="AL326" i="13"/>
  <c r="AL328" i="13"/>
  <c r="AL330" i="13"/>
  <c r="AL349" i="13"/>
  <c r="AL371" i="13"/>
  <c r="AL425" i="13"/>
  <c r="AL430" i="13"/>
  <c r="AL434" i="13"/>
  <c r="AL451" i="13"/>
  <c r="AL474" i="13"/>
  <c r="AL478" i="13"/>
  <c r="AL482" i="13"/>
  <c r="AL492" i="13"/>
  <c r="AL494" i="13"/>
  <c r="AL496" i="13"/>
  <c r="AL498" i="13"/>
  <c r="AL513" i="13"/>
  <c r="AL547" i="13"/>
  <c r="AL551" i="13"/>
  <c r="AL565" i="13"/>
  <c r="AL579" i="13"/>
  <c r="AL598" i="13"/>
  <c r="AL607" i="13"/>
  <c r="AL625" i="13"/>
  <c r="AL34" i="13"/>
  <c r="AL40" i="13"/>
  <c r="AL54" i="13"/>
  <c r="AL63" i="13"/>
  <c r="AL10" i="13"/>
  <c r="AL14" i="13"/>
  <c r="AL18" i="13"/>
  <c r="AL28" i="13"/>
  <c r="AL37" i="13"/>
  <c r="AL44" i="13"/>
  <c r="AL48" i="13"/>
  <c r="AL52" i="13"/>
  <c r="AL62" i="13"/>
  <c r="AL145" i="13"/>
  <c r="AL149" i="13"/>
  <c r="AL153" i="13"/>
  <c r="AL167" i="13"/>
  <c r="AL177" i="13"/>
  <c r="AL205" i="13"/>
  <c r="AL211" i="13"/>
  <c r="AL215" i="13"/>
  <c r="AL236" i="13"/>
  <c r="AL252" i="13"/>
  <c r="AL257" i="13"/>
  <c r="AL265" i="13"/>
  <c r="AL269" i="13"/>
  <c r="AL272" i="13"/>
  <c r="AL276" i="13"/>
  <c r="AL297" i="13"/>
  <c r="AL300" i="13"/>
  <c r="AL325" i="13"/>
  <c r="AL329" i="13"/>
  <c r="AL336" i="13"/>
  <c r="AL364" i="13"/>
  <c r="AL378" i="13"/>
  <c r="AL408" i="13"/>
  <c r="AL431" i="13"/>
  <c r="AL433" i="13"/>
  <c r="AL435" i="13"/>
  <c r="AL438" i="13"/>
  <c r="AL454" i="13"/>
  <c r="AL463" i="13"/>
  <c r="AL473" i="13"/>
  <c r="AL483" i="13"/>
  <c r="AL499" i="13"/>
  <c r="AL522" i="13"/>
  <c r="AL524" i="13"/>
  <c r="AL535" i="13"/>
  <c r="AL538" i="13"/>
  <c r="AL550" i="13"/>
  <c r="AL564" i="13"/>
  <c r="AL592" i="13"/>
  <c r="AL596" i="13"/>
  <c r="AL601" i="13"/>
  <c r="AL615" i="13"/>
  <c r="AL624" i="13"/>
  <c r="AL635" i="13"/>
  <c r="AL644" i="13"/>
  <c r="AL654" i="13"/>
  <c r="AL688" i="13"/>
  <c r="AL697" i="13"/>
  <c r="AL710" i="13"/>
  <c r="AL714" i="13"/>
  <c r="AL719" i="13"/>
  <c r="AL752" i="13"/>
  <c r="AL754" i="13"/>
  <c r="AL761" i="13"/>
  <c r="AL765" i="13"/>
  <c r="AL790" i="13"/>
  <c r="AL803" i="13"/>
  <c r="AL805" i="13"/>
  <c r="AL807" i="13"/>
  <c r="AL809" i="13"/>
  <c r="AL811" i="13"/>
  <c r="AL824" i="13"/>
  <c r="AL826" i="13"/>
  <c r="AL846" i="13"/>
  <c r="AL848" i="13"/>
  <c r="AL868" i="13"/>
  <c r="AL870" i="13"/>
  <c r="AL872" i="13"/>
  <c r="AL874" i="13"/>
  <c r="AL876" i="13"/>
  <c r="AL878" i="13"/>
  <c r="AL901" i="13"/>
  <c r="AL903" i="13"/>
  <c r="AL928" i="13"/>
  <c r="AL933" i="13"/>
  <c r="AL939" i="13"/>
  <c r="AL943" i="13"/>
  <c r="AL957" i="13"/>
  <c r="AL961" i="13"/>
  <c r="AL965" i="13"/>
  <c r="AL969" i="13"/>
  <c r="AL973" i="13"/>
  <c r="AL978" i="13"/>
  <c r="AL982" i="13"/>
  <c r="AL987" i="13"/>
  <c r="AL992" i="13"/>
  <c r="AL996" i="13"/>
  <c r="AL1000" i="13"/>
  <c r="AL1007" i="13"/>
  <c r="AL1036" i="13"/>
  <c r="AL1040" i="13"/>
  <c r="AL1043" i="13"/>
  <c r="AL1054" i="13"/>
  <c r="AL1060" i="13"/>
  <c r="AL1065" i="13"/>
  <c r="AL1067" i="13"/>
  <c r="AL1069" i="13"/>
  <c r="AL1079" i="13"/>
  <c r="AL1090" i="13"/>
  <c r="AL1092" i="13"/>
  <c r="AL1096" i="13"/>
  <c r="AL1103" i="13"/>
  <c r="AL1105" i="13"/>
  <c r="AL1114" i="13"/>
  <c r="AL1147" i="13"/>
  <c r="AL1151" i="13"/>
  <c r="AL1154" i="13"/>
  <c r="AL1159" i="13"/>
  <c r="AL1171" i="13"/>
  <c r="AL1185" i="13"/>
  <c r="AL1188" i="13"/>
  <c r="AL1212" i="13"/>
  <c r="AL1215" i="13"/>
  <c r="AL1228" i="13"/>
  <c r="AL1238" i="13"/>
  <c r="AL1280" i="13"/>
  <c r="AL1287" i="13"/>
  <c r="AL638" i="13"/>
  <c r="AL648" i="13"/>
  <c r="AL667" i="13"/>
  <c r="AL669" i="13"/>
  <c r="AL686" i="13"/>
  <c r="AL699" i="13"/>
  <c r="AL722" i="13"/>
  <c r="AL724" i="13"/>
  <c r="AL728" i="13"/>
  <c r="AL731" i="13"/>
  <c r="AL733" i="13"/>
  <c r="AL735" i="13"/>
  <c r="AL770" i="13"/>
  <c r="AL804" i="13"/>
  <c r="AL806" i="13"/>
  <c r="AL808" i="13"/>
  <c r="AL810" i="13"/>
  <c r="AL828" i="13"/>
  <c r="AL830" i="13"/>
  <c r="AL832" i="13"/>
  <c r="AL835" i="13"/>
  <c r="AL880" i="13"/>
  <c r="AL882" i="13"/>
  <c r="AL884" i="13"/>
  <c r="AL887" i="13"/>
  <c r="AL889" i="13"/>
  <c r="AL891" i="13"/>
  <c r="AL893" i="13"/>
  <c r="AL895" i="13"/>
  <c r="AL938" i="13"/>
  <c r="AL942" i="13"/>
  <c r="AL951" i="13"/>
  <c r="AL956" i="13"/>
  <c r="AL960" i="13"/>
  <c r="AL964" i="13"/>
  <c r="AL968" i="13"/>
  <c r="AL972" i="13"/>
  <c r="AL977" i="13"/>
  <c r="AL981" i="13"/>
  <c r="AL991" i="13"/>
  <c r="AL995" i="13"/>
  <c r="AL999" i="13"/>
  <c r="AL1006" i="13"/>
  <c r="AL1015" i="13"/>
  <c r="AL1019" i="13"/>
  <c r="AL1022" i="13"/>
  <c r="AL1030" i="13"/>
  <c r="AL1045" i="13"/>
  <c r="AL1078" i="13"/>
  <c r="AL1108" i="13"/>
  <c r="AL1134" i="13"/>
  <c r="AL1138" i="13"/>
  <c r="AL1187" i="13"/>
  <c r="AL1191" i="13"/>
  <c r="AL1198" i="13"/>
  <c r="AL1206" i="13"/>
  <c r="AL1218" i="13"/>
  <c r="AL1229" i="13"/>
  <c r="AL1232" i="13"/>
  <c r="AL1253" i="13"/>
  <c r="AL1254" i="13"/>
  <c r="AL1264" i="13"/>
  <c r="AL1273" i="13"/>
  <c r="AL905" i="13"/>
  <c r="AL1271" i="13"/>
  <c r="AL66" i="13"/>
  <c r="AL72" i="13"/>
  <c r="AL76" i="13"/>
  <c r="AL86" i="13"/>
  <c r="AL125" i="13"/>
  <c r="AL119" i="13"/>
  <c r="AL187" i="13"/>
  <c r="AL21" i="13"/>
  <c r="AL24" i="13"/>
  <c r="AL25" i="13"/>
  <c r="AL30" i="13"/>
  <c r="AL31" i="13"/>
  <c r="AL33" i="13"/>
  <c r="AL43" i="13"/>
  <c r="AL47" i="13"/>
  <c r="AL51" i="13"/>
  <c r="AL57" i="13"/>
  <c r="AL65" i="13"/>
  <c r="AL69" i="13"/>
  <c r="AL71" i="13"/>
  <c r="AL75" i="13"/>
  <c r="AL85" i="13"/>
  <c r="AL98" i="13"/>
  <c r="AL104" i="13"/>
  <c r="AL105" i="13"/>
  <c r="AL108" i="13"/>
  <c r="AL109" i="13"/>
  <c r="AL114" i="13"/>
  <c r="AL116" i="13"/>
  <c r="AL117" i="13"/>
  <c r="AL123" i="13"/>
  <c r="AL127" i="13"/>
  <c r="AL131" i="13"/>
  <c r="AL135" i="13"/>
  <c r="AL137" i="13"/>
  <c r="AL159" i="13"/>
  <c r="AL163" i="13"/>
  <c r="AL169" i="13"/>
  <c r="AL173" i="13"/>
  <c r="AL189" i="13"/>
  <c r="AL203" i="13"/>
  <c r="AL222" i="13"/>
  <c r="AL372" i="13"/>
  <c r="AL380" i="13"/>
  <c r="AL381" i="13"/>
  <c r="AL389" i="13"/>
  <c r="AL393" i="13"/>
  <c r="AL397" i="13"/>
  <c r="AL401" i="13"/>
  <c r="AL405" i="13"/>
  <c r="AL413" i="13"/>
  <c r="AL417" i="13"/>
  <c r="AL421" i="13"/>
  <c r="AL432" i="13"/>
  <c r="AL444" i="13"/>
  <c r="AL445" i="13"/>
  <c r="AL452" i="13"/>
  <c r="AL453" i="13"/>
  <c r="AL468" i="13"/>
  <c r="AL484" i="13"/>
  <c r="AL485" i="13"/>
  <c r="AL502" i="13"/>
  <c r="AL312" i="13"/>
  <c r="AL313" i="13"/>
  <c r="AL345" i="13"/>
  <c r="AL352" i="13"/>
  <c r="AL356" i="13"/>
  <c r="AL360" i="13"/>
  <c r="AL361" i="13"/>
  <c r="AL426" i="13"/>
  <c r="AL427" i="13"/>
  <c r="AL449" i="13"/>
  <c r="AL457" i="13"/>
  <c r="AL193" i="13"/>
  <c r="AL196" i="13"/>
  <c r="AL197" i="13"/>
  <c r="AL207" i="13"/>
  <c r="AL221" i="13"/>
  <c r="AL232" i="13"/>
  <c r="AL233" i="13"/>
  <c r="AL235" i="13"/>
  <c r="AL239" i="13"/>
  <c r="AL241" i="13"/>
  <c r="AL264" i="13"/>
  <c r="AL280" i="13"/>
  <c r="AL285" i="13"/>
  <c r="AL289" i="13"/>
  <c r="AL293" i="13"/>
  <c r="AL448" i="13"/>
  <c r="AL455" i="13"/>
  <c r="AL456" i="13"/>
  <c r="AL458" i="13"/>
  <c r="AL459" i="13"/>
  <c r="AL201" i="13"/>
  <c r="AL225" i="13"/>
  <c r="AL244" i="13"/>
  <c r="AL255" i="13"/>
  <c r="AL262" i="13"/>
  <c r="AL266" i="13"/>
  <c r="AL267" i="13"/>
  <c r="AL282" i="13"/>
  <c r="AL283" i="13"/>
  <c r="AL287" i="13"/>
  <c r="AL291" i="13"/>
  <c r="AL315" i="13"/>
  <c r="AL323" i="13"/>
  <c r="AL327" i="13"/>
  <c r="AL331" i="13"/>
  <c r="AL334" i="13"/>
  <c r="AL338" i="13"/>
  <c r="AL339" i="13"/>
  <c r="AL368" i="13"/>
  <c r="AL373" i="13"/>
  <c r="AL384" i="13"/>
  <c r="AL385" i="13"/>
  <c r="AL571" i="13"/>
  <c r="AL577" i="13"/>
  <c r="AL581" i="13"/>
  <c r="AL591" i="13"/>
  <c r="AL603" i="13"/>
  <c r="AL613" i="13"/>
  <c r="AL617" i="13"/>
  <c r="AL631" i="13"/>
  <c r="AL651" i="13"/>
  <c r="AL657" i="13"/>
  <c r="AL659" i="13"/>
  <c r="AL663" i="13"/>
  <c r="AL675" i="13"/>
  <c r="AL687" i="13"/>
  <c r="AL695" i="13"/>
  <c r="AL696" i="13"/>
  <c r="AL704" i="13"/>
  <c r="AL712" i="13"/>
  <c r="AL716" i="13"/>
  <c r="AL723" i="13"/>
  <c r="AL727" i="13"/>
  <c r="AL566" i="13"/>
  <c r="AL477" i="13"/>
  <c r="AL481" i="13"/>
  <c r="AL489" i="13"/>
  <c r="AL508" i="13"/>
  <c r="AL509" i="13"/>
  <c r="AL516" i="13"/>
  <c r="AL520" i="13"/>
  <c r="AL521" i="13"/>
  <c r="AL528" i="13"/>
  <c r="AL532" i="13"/>
  <c r="AL533" i="13"/>
  <c r="AL542" i="13"/>
  <c r="AL546" i="13"/>
  <c r="AL555" i="13"/>
  <c r="AL556" i="13"/>
  <c r="AL559" i="13"/>
  <c r="AL560" i="13"/>
  <c r="AL563" i="13"/>
  <c r="AL570" i="13"/>
  <c r="AL576" i="13"/>
  <c r="AL580" i="13"/>
  <c r="AL612" i="13"/>
  <c r="AL616" i="13"/>
  <c r="AL634" i="13"/>
  <c r="AL636" i="13"/>
  <c r="AL639" i="13"/>
  <c r="AL640" i="13"/>
  <c r="AL645" i="13"/>
  <c r="AL650" i="13"/>
  <c r="AL662" i="13"/>
  <c r="AL673" i="13"/>
  <c r="AL678" i="13"/>
  <c r="AL680" i="13"/>
  <c r="AL685" i="13"/>
  <c r="AL693" i="13"/>
  <c r="AL694" i="13"/>
  <c r="AL700" i="13"/>
  <c r="AL721" i="13"/>
  <c r="AL726" i="13"/>
  <c r="AL461" i="13"/>
  <c r="AL465" i="13"/>
  <c r="AL475" i="13"/>
  <c r="AL476" i="13"/>
  <c r="AL479" i="13"/>
  <c r="AL480" i="13"/>
  <c r="AL487" i="13"/>
  <c r="AL488" i="13"/>
  <c r="AL493" i="13"/>
  <c r="AL497" i="13"/>
  <c r="AL504" i="13"/>
  <c r="AL505" i="13"/>
  <c r="AL553" i="13"/>
  <c r="AL573" i="13"/>
  <c r="AL583" i="13"/>
  <c r="AL587" i="13"/>
  <c r="AL593" i="13"/>
  <c r="AL594" i="13"/>
  <c r="AL600" i="13"/>
  <c r="AL605" i="13"/>
  <c r="AL606" i="13"/>
  <c r="AL609" i="13"/>
  <c r="AL619" i="13"/>
  <c r="AL623" i="13"/>
  <c r="AL664" i="13"/>
  <c r="AL670" i="13"/>
  <c r="AL672" i="13"/>
  <c r="AL677" i="13"/>
  <c r="AL691" i="13"/>
  <c r="AL692" i="13"/>
  <c r="AL725" i="13"/>
  <c r="AL729" i="13"/>
  <c r="AL730" i="13"/>
  <c r="AL763" i="13"/>
  <c r="AL767" i="13"/>
  <c r="AL768" i="13"/>
  <c r="AL779" i="13"/>
  <c r="AL780" i="13"/>
  <c r="AL782" i="13"/>
  <c r="AL786" i="13"/>
  <c r="AL837" i="13"/>
  <c r="AL838" i="13"/>
  <c r="AL902" i="13"/>
  <c r="AL906" i="13"/>
  <c r="AL910" i="13"/>
  <c r="AL914" i="13"/>
  <c r="AL918" i="13"/>
  <c r="AL922" i="13"/>
  <c r="AL926" i="13"/>
  <c r="AL929" i="13"/>
  <c r="AL930" i="13"/>
  <c r="AL931" i="13"/>
  <c r="AL940" i="13"/>
  <c r="AL944" i="13"/>
  <c r="AL758" i="13"/>
  <c r="AL769" i="13"/>
  <c r="AL781" i="13"/>
  <c r="AL785" i="13"/>
  <c r="AL794" i="13"/>
  <c r="AL798" i="13"/>
  <c r="AL813" i="13"/>
  <c r="AL818" i="13"/>
  <c r="AL829" i="13"/>
  <c r="AL833" i="13"/>
  <c r="AL834" i="13"/>
  <c r="AL842" i="13"/>
  <c r="AL849" i="13"/>
  <c r="AL853" i="13"/>
  <c r="AL857" i="13"/>
  <c r="AL881" i="13"/>
  <c r="AL885" i="13"/>
  <c r="AL886" i="13"/>
  <c r="AL932" i="13"/>
  <c r="AL934" i="13"/>
  <c r="AL937" i="13"/>
  <c r="AL947" i="13"/>
  <c r="AL948" i="13"/>
  <c r="AL952" i="13"/>
  <c r="AL953" i="13"/>
  <c r="AL736" i="13"/>
  <c r="AL749" i="13"/>
  <c r="AL750" i="13"/>
  <c r="AL753" i="13"/>
  <c r="AL756" i="13"/>
  <c r="AL757" i="13"/>
  <c r="AL762" i="13"/>
  <c r="AL766" i="13"/>
  <c r="AL772" i="13"/>
  <c r="AL773" i="13"/>
  <c r="AL776" i="13"/>
  <c r="AL777" i="13"/>
  <c r="AL783" i="13"/>
  <c r="AL787" i="13"/>
  <c r="AL788" i="13"/>
  <c r="AL789" i="13"/>
  <c r="AL792" i="13"/>
  <c r="AL793" i="13"/>
  <c r="AL796" i="13"/>
  <c r="AL797" i="13"/>
  <c r="AL800" i="13"/>
  <c r="AL801" i="13"/>
  <c r="AL802" i="13"/>
  <c r="AL815" i="13"/>
  <c r="AL816" i="13"/>
  <c r="AL817" i="13"/>
  <c r="AL820" i="13"/>
  <c r="AL821" i="13"/>
  <c r="AL822" i="13"/>
  <c r="AL831" i="13"/>
  <c r="AL840" i="13"/>
  <c r="AL841" i="13"/>
  <c r="AL844" i="13"/>
  <c r="AL847" i="13"/>
  <c r="AL851" i="13"/>
  <c r="AL855" i="13"/>
  <c r="AL860" i="13"/>
  <c r="AL861" i="13"/>
  <c r="AL864" i="13"/>
  <c r="AL865" i="13"/>
  <c r="AL866" i="13"/>
  <c r="AL879" i="13"/>
  <c r="AL883" i="13"/>
  <c r="AL890" i="13"/>
  <c r="AL894" i="13"/>
  <c r="AL941" i="13"/>
  <c r="AL945" i="13"/>
  <c r="AL954" i="13"/>
  <c r="AL738" i="13"/>
  <c r="AL755" i="13"/>
  <c r="AL759" i="13"/>
  <c r="AL760" i="13"/>
  <c r="AL764" i="13"/>
  <c r="AL771" i="13"/>
  <c r="AL775" i="13"/>
  <c r="AL791" i="13"/>
  <c r="AL795" i="13"/>
  <c r="AL799" i="13"/>
  <c r="AL819" i="13"/>
  <c r="AL836" i="13"/>
  <c r="AL859" i="13"/>
  <c r="AL863" i="13"/>
  <c r="AL888" i="13"/>
  <c r="AL892" i="13"/>
  <c r="AL896" i="13"/>
  <c r="AL899" i="13"/>
  <c r="AL904" i="13"/>
  <c r="AL908" i="13"/>
  <c r="AL912" i="13"/>
  <c r="AL916" i="13"/>
  <c r="AL920" i="13"/>
  <c r="AL924" i="13"/>
  <c r="AL936" i="13"/>
  <c r="AL946" i="13"/>
  <c r="AL949" i="13"/>
  <c r="AL979" i="13"/>
  <c r="AL1056" i="13"/>
  <c r="AL1066" i="13"/>
  <c r="AL1071" i="13"/>
  <c r="AL1077" i="13"/>
  <c r="AL955" i="13"/>
  <c r="AL959" i="13"/>
  <c r="AL963" i="13"/>
  <c r="AL967" i="13"/>
  <c r="AL971" i="13"/>
  <c r="AL989" i="13"/>
  <c r="AL1003" i="13"/>
  <c r="AL1004" i="13"/>
  <c r="AL1008" i="13"/>
  <c r="AL1013" i="13"/>
  <c r="AL1014" i="13"/>
  <c r="AL1017" i="13"/>
  <c r="AL1023" i="13"/>
  <c r="AL1026" i="13"/>
  <c r="AL1027" i="13"/>
  <c r="AL1031" i="13"/>
  <c r="AL1034" i="13"/>
  <c r="AL1041" i="13"/>
  <c r="AL1042" i="13"/>
  <c r="AL1046" i="13"/>
  <c r="AL1047" i="13"/>
  <c r="AL1048" i="13"/>
  <c r="AL1053" i="13"/>
  <c r="AL958" i="13"/>
  <c r="AL962" i="13"/>
  <c r="AL966" i="13"/>
  <c r="AL970" i="13"/>
  <c r="AL974" i="13"/>
  <c r="AL976" i="13"/>
  <c r="AL986" i="13"/>
  <c r="AL1001" i="13"/>
  <c r="AL1002" i="13"/>
  <c r="AL1005" i="13"/>
  <c r="AL1009" i="13"/>
  <c r="AL1010" i="13"/>
  <c r="AL1011" i="13"/>
  <c r="AL1012" i="13"/>
  <c r="AL1016" i="13"/>
  <c r="AL1020" i="13"/>
  <c r="AL1038" i="13"/>
  <c r="AL1039" i="13"/>
  <c r="AL1044" i="13"/>
  <c r="AL1049" i="13"/>
  <c r="AL1050" i="13"/>
  <c r="AL1051" i="13"/>
  <c r="AL1076" i="13"/>
  <c r="AL1149" i="13"/>
  <c r="AL1084" i="13"/>
  <c r="AL1091" i="13"/>
  <c r="AL1097" i="13"/>
  <c r="AL1119" i="13"/>
  <c r="AL1177" i="13"/>
  <c r="AL1178" i="13"/>
  <c r="AL1179" i="13"/>
  <c r="AL1074" i="13"/>
  <c r="AL1082" i="13"/>
  <c r="AL1083" i="13"/>
  <c r="AL1101" i="13"/>
  <c r="AL1113" i="13"/>
  <c r="AL1132" i="13"/>
  <c r="AL1136" i="13"/>
  <c r="AL1140" i="13"/>
  <c r="AL1141" i="13"/>
  <c r="AL1167" i="13"/>
  <c r="AL1173" i="13"/>
  <c r="AL1081" i="13"/>
  <c r="AL1099" i="13"/>
  <c r="AL1110" i="13"/>
  <c r="AL1116" i="13"/>
  <c r="AL1120" i="13"/>
  <c r="AL1145" i="13"/>
  <c r="AL1166" i="13"/>
  <c r="AL1193" i="13"/>
  <c r="AL1165" i="13"/>
  <c r="AL1169" i="13"/>
  <c r="AL1180" i="13"/>
  <c r="AL1200" i="13"/>
  <c r="AL1203" i="13"/>
  <c r="AL1207" i="13"/>
  <c r="AL1266" i="13"/>
  <c r="AL1244" i="13"/>
  <c r="AL1220" i="13"/>
  <c r="AL1226" i="13"/>
  <c r="AL1227" i="13"/>
  <c r="AL1234" i="13"/>
  <c r="AL1235" i="13"/>
  <c r="AL1239" i="13"/>
  <c r="AL1241" i="13"/>
  <c r="AL1242" i="13"/>
  <c r="AL1255" i="13"/>
  <c r="AL1230" i="13"/>
  <c r="AL1251" i="13"/>
  <c r="AL19" i="13"/>
  <c r="AL11" i="13"/>
  <c r="AL27" i="13"/>
  <c r="AL29" i="13"/>
  <c r="AL41" i="13"/>
  <c r="AL45" i="13"/>
  <c r="AL49" i="13"/>
  <c r="AL53" i="13"/>
  <c r="AL55" i="13"/>
  <c r="AL59" i="13"/>
  <c r="AL61" i="13"/>
  <c r="AL67" i="13"/>
  <c r="AL73" i="13"/>
  <c r="AL87" i="13"/>
  <c r="AL97" i="13"/>
  <c r="AL99" i="13"/>
  <c r="AL103" i="13"/>
  <c r="AL112" i="13"/>
  <c r="AL113" i="13"/>
  <c r="AL115" i="13"/>
  <c r="AL122" i="13"/>
  <c r="AL128" i="13"/>
  <c r="AL129" i="13"/>
  <c r="AL132" i="13"/>
  <c r="AL133" i="13"/>
  <c r="AL138" i="13"/>
  <c r="AL139" i="13"/>
  <c r="AL141" i="13"/>
  <c r="AL154" i="13"/>
  <c r="AL157" i="13"/>
  <c r="AL160" i="13"/>
  <c r="AL161" i="13"/>
  <c r="AL164" i="13"/>
  <c r="AL165" i="13"/>
  <c r="AL170" i="13"/>
  <c r="AL171" i="13"/>
  <c r="AL190" i="13"/>
  <c r="AL191" i="13"/>
  <c r="AL200" i="13"/>
  <c r="AL206" i="13"/>
  <c r="AL208" i="13"/>
  <c r="AL212" i="13"/>
  <c r="AL213" i="13"/>
  <c r="AL216" i="13"/>
  <c r="AL217" i="13"/>
  <c r="AL228" i="13"/>
  <c r="AL229" i="13"/>
  <c r="AL237" i="13"/>
  <c r="AL243" i="13"/>
  <c r="AL249" i="13"/>
  <c r="AL254" i="13"/>
  <c r="AL261" i="13"/>
  <c r="AL268" i="13"/>
  <c r="AL273" i="13"/>
  <c r="AL277" i="13"/>
  <c r="AL286" i="13"/>
  <c r="AL290" i="13"/>
  <c r="AL15" i="13"/>
  <c r="AL23" i="13"/>
  <c r="AL35" i="13"/>
  <c r="AL9" i="13"/>
  <c r="AL12" i="13"/>
  <c r="AL13" i="13"/>
  <c r="AL16" i="13"/>
  <c r="AL17" i="13"/>
  <c r="AL20" i="13"/>
  <c r="AL32" i="13"/>
  <c r="AL38" i="13"/>
  <c r="AL39" i="13"/>
  <c r="AL64" i="13"/>
  <c r="AL70" i="13"/>
  <c r="AL77" i="13"/>
  <c r="AL80" i="13"/>
  <c r="AL81" i="13"/>
  <c r="AL84" i="13"/>
  <c r="AL90" i="13"/>
  <c r="AL91" i="13"/>
  <c r="AL106" i="13"/>
  <c r="AL107" i="13"/>
  <c r="AL110" i="13"/>
  <c r="AL136" i="13"/>
  <c r="AL144" i="13"/>
  <c r="AL148" i="13"/>
  <c r="AL152" i="13"/>
  <c r="AL168" i="13"/>
  <c r="AL174" i="13"/>
  <c r="AL176" i="13"/>
  <c r="AL182" i="13"/>
  <c r="AL194" i="13"/>
  <c r="AL210" i="13"/>
  <c r="AL220" i="13"/>
  <c r="AL227" i="13"/>
  <c r="AL231" i="13"/>
  <c r="AL234" i="13"/>
  <c r="AL240" i="13"/>
  <c r="AL242" i="13"/>
  <c r="AL247" i="13"/>
  <c r="AL251" i="13"/>
  <c r="AL259" i="13"/>
  <c r="AL271" i="13"/>
  <c r="AL275" i="13"/>
  <c r="AL298" i="13"/>
  <c r="AL42" i="13"/>
  <c r="AL46" i="13"/>
  <c r="AL50" i="13"/>
  <c r="AL56" i="13"/>
  <c r="AL68" i="13"/>
  <c r="AL74" i="13"/>
  <c r="AL94" i="13"/>
  <c r="AL100" i="13"/>
  <c r="AL118" i="13"/>
  <c r="AL120" i="13"/>
  <c r="AL126" i="13"/>
  <c r="AL130" i="13"/>
  <c r="AL134" i="13"/>
  <c r="AL158" i="13"/>
  <c r="AL162" i="13"/>
  <c r="AL172" i="13"/>
  <c r="AL180" i="13"/>
  <c r="AL186" i="13"/>
  <c r="AL188" i="13"/>
  <c r="AL192" i="13"/>
  <c r="AL198" i="13"/>
  <c r="AL214" i="13"/>
  <c r="AL218" i="13"/>
  <c r="AL223" i="13"/>
  <c r="AL224" i="13"/>
  <c r="AL226" i="13"/>
  <c r="AL230" i="13"/>
  <c r="AL238" i="13"/>
  <c r="AL246" i="13"/>
  <c r="AL250" i="13"/>
  <c r="AL258" i="13"/>
  <c r="AL263" i="13"/>
  <c r="AL270" i="13"/>
  <c r="AL274" i="13"/>
  <c r="AL278" i="13"/>
  <c r="AL279" i="13"/>
  <c r="AL335" i="13"/>
  <c r="AL343" i="13"/>
  <c r="AL347" i="13"/>
  <c r="AL350" i="13"/>
  <c r="AL354" i="13"/>
  <c r="AL358" i="13"/>
  <c r="AL359" i="13"/>
  <c r="AL362" i="13"/>
  <c r="AL363" i="13"/>
  <c r="AL366" i="13"/>
  <c r="AL367" i="13"/>
  <c r="AL379" i="13"/>
  <c r="AL382" i="13"/>
  <c r="AL383" i="13"/>
  <c r="AL443" i="13"/>
  <c r="AL446" i="13"/>
  <c r="AL294" i="13"/>
  <c r="AL295" i="13"/>
  <c r="AL296" i="13"/>
  <c r="AL299" i="13"/>
  <c r="AL302" i="13"/>
  <c r="AL303" i="13"/>
  <c r="AL304" i="13"/>
  <c r="AL307" i="13"/>
  <c r="AL308" i="13"/>
  <c r="AL311" i="13"/>
  <c r="AL314" i="13"/>
  <c r="AL318" i="13"/>
  <c r="AL332" i="13"/>
  <c r="AL333" i="13"/>
  <c r="AL340" i="13"/>
  <c r="AL341" i="13"/>
  <c r="AL353" i="13"/>
  <c r="AL357" i="13"/>
  <c r="AL370" i="13"/>
  <c r="AL375" i="13"/>
  <c r="AL376" i="13"/>
  <c r="AL377" i="13"/>
  <c r="AL387" i="13"/>
  <c r="AL388" i="13"/>
  <c r="AL391" i="13"/>
  <c r="AL392" i="13"/>
  <c r="AL395" i="13"/>
  <c r="AL396" i="13"/>
  <c r="AL399" i="13"/>
  <c r="AL400" i="13"/>
  <c r="AL403" i="13"/>
  <c r="AL404" i="13"/>
  <c r="AL407" i="13"/>
  <c r="AL410" i="13"/>
  <c r="AL411" i="13"/>
  <c r="AL412" i="13"/>
  <c r="AL415" i="13"/>
  <c r="AL416" i="13"/>
  <c r="AL419" i="13"/>
  <c r="AL420" i="13"/>
  <c r="AL423" i="13"/>
  <c r="AL440" i="13"/>
  <c r="AL441" i="13"/>
  <c r="AL460" i="13"/>
  <c r="AL464" i="13"/>
  <c r="AL469" i="13"/>
  <c r="AL500" i="13"/>
  <c r="AL501" i="13"/>
  <c r="AL517" i="13"/>
  <c r="AL529" i="13"/>
  <c r="AL536" i="13"/>
  <c r="AL537" i="13"/>
  <c r="AL548" i="13"/>
  <c r="AL552" i="13"/>
  <c r="AL554" i="13"/>
  <c r="AL572" i="13"/>
  <c r="AL574" i="13"/>
  <c r="AL578" i="13"/>
  <c r="AL584" i="13"/>
  <c r="AL588" i="13"/>
  <c r="AL602" i="13"/>
  <c r="AL604" i="13"/>
  <c r="AL610" i="13"/>
  <c r="AL620" i="13"/>
  <c r="AL626" i="13"/>
  <c r="AL630" i="13"/>
  <c r="AL637" i="13"/>
  <c r="AL641" i="13"/>
  <c r="AL642" i="13"/>
  <c r="AL646" i="13"/>
  <c r="AL652" i="13"/>
  <c r="AL656" i="13"/>
  <c r="AL658" i="13"/>
  <c r="AL665" i="13"/>
  <c r="AL666" i="13"/>
  <c r="AL668" i="13"/>
  <c r="AL676" i="13"/>
  <c r="AL682" i="13"/>
  <c r="AL689" i="13"/>
  <c r="AL690" i="13"/>
  <c r="AL701" i="13"/>
  <c r="AL706" i="13"/>
  <c r="AL713" i="13"/>
  <c r="AL717" i="13"/>
  <c r="AL718" i="13"/>
  <c r="AL306" i="13"/>
  <c r="AL310" i="13"/>
  <c r="AL320" i="13"/>
  <c r="AL321" i="13"/>
  <c r="AL337" i="13"/>
  <c r="AL351" i="13"/>
  <c r="AL355" i="13"/>
  <c r="AL374" i="13"/>
  <c r="AL386" i="13"/>
  <c r="AL390" i="13"/>
  <c r="AL394" i="13"/>
  <c r="AL398" i="13"/>
  <c r="AL402" i="13"/>
  <c r="AL406" i="13"/>
  <c r="AL414" i="13"/>
  <c r="AL418" i="13"/>
  <c r="AL422" i="13"/>
  <c r="AL428" i="13"/>
  <c r="AL429" i="13"/>
  <c r="AL436" i="13"/>
  <c r="AL437" i="13"/>
  <c r="AL462" i="13"/>
  <c r="AL466" i="13"/>
  <c r="AL467" i="13"/>
  <c r="AL471" i="13"/>
  <c r="AL490" i="13"/>
  <c r="AL491" i="13"/>
  <c r="AL506" i="13"/>
  <c r="AL507" i="13"/>
  <c r="AL515" i="13"/>
  <c r="AL519" i="13"/>
  <c r="AL527" i="13"/>
  <c r="AL531" i="13"/>
  <c r="AL541" i="13"/>
  <c r="AL545" i="13"/>
  <c r="AL557" i="13"/>
  <c r="AL447" i="13"/>
  <c r="AL470" i="13"/>
  <c r="AL495" i="13"/>
  <c r="AL503" i="13"/>
  <c r="AL514" i="13"/>
  <c r="AL518" i="13"/>
  <c r="AL526" i="13"/>
  <c r="AL530" i="13"/>
  <c r="AL539" i="13"/>
  <c r="AL549" i="13"/>
  <c r="AL561" i="13"/>
  <c r="AL567" i="13"/>
  <c r="AL569" i="13"/>
  <c r="AL575" i="13"/>
  <c r="AL585" i="13"/>
  <c r="AL589" i="13"/>
  <c r="AL597" i="13"/>
  <c r="AL599" i="13"/>
  <c r="AL611" i="13"/>
  <c r="AL621" i="13"/>
  <c r="AL627" i="13"/>
  <c r="AL643" i="13"/>
  <c r="AL647" i="13"/>
  <c r="AL660" i="13"/>
  <c r="AL661" i="13"/>
  <c r="AL671" i="13"/>
  <c r="AL683" i="13"/>
  <c r="AL703" i="13"/>
  <c r="AL707" i="13"/>
  <c r="AL720" i="13"/>
  <c r="AL1231" i="13"/>
  <c r="AL1256" i="13"/>
  <c r="AL1272" i="13"/>
  <c r="AL1052" i="13"/>
  <c r="AL1059" i="13"/>
  <c r="AL1062" i="13"/>
  <c r="AL1075" i="13"/>
  <c r="AL1104" i="13"/>
  <c r="AL1109" i="13"/>
  <c r="AL1111" i="13"/>
  <c r="AL1115" i="13"/>
  <c r="AL1121" i="13"/>
  <c r="AL1122" i="13"/>
  <c r="AL1123" i="13"/>
  <c r="AL1127" i="13"/>
  <c r="AL1150" i="13"/>
  <c r="AL1163" i="13"/>
  <c r="AL1170" i="13"/>
  <c r="AL1175" i="13"/>
  <c r="AL1182" i="13"/>
  <c r="AL1183" i="13"/>
  <c r="AL1186" i="13"/>
  <c r="AL1192" i="13"/>
  <c r="AL1194" i="13"/>
  <c r="AL1201" i="13"/>
  <c r="AL1202" i="13"/>
  <c r="AL1208" i="13"/>
  <c r="AL1213" i="13"/>
  <c r="AL1214" i="13"/>
  <c r="AL1216" i="13"/>
  <c r="AL1219" i="13"/>
  <c r="AL1224" i="13"/>
  <c r="AL1225" i="13"/>
  <c r="AL1237" i="13"/>
  <c r="AL1240" i="13"/>
  <c r="AL1247" i="13"/>
  <c r="AL1249" i="13"/>
  <c r="AL1250" i="13"/>
  <c r="AL1268" i="13"/>
  <c r="AL1277" i="13"/>
  <c r="AL1284" i="13"/>
  <c r="AL1288" i="13"/>
  <c r="AL1057" i="13"/>
  <c r="AL1061" i="13"/>
  <c r="AL1063" i="13"/>
  <c r="AL1064" i="13"/>
  <c r="AL1068" i="13"/>
  <c r="AL1073" i="13"/>
  <c r="AL1085" i="13"/>
  <c r="AL1086" i="13"/>
  <c r="AL1088" i="13"/>
  <c r="AL1093" i="13"/>
  <c r="AL1094" i="13"/>
  <c r="AL1102" i="13"/>
  <c r="AL1106" i="13"/>
  <c r="AL1107" i="13"/>
  <c r="AL1125" i="13"/>
  <c r="AL1126" i="13"/>
  <c r="AL1129" i="13"/>
  <c r="AL1130" i="13"/>
  <c r="AL1131" i="13"/>
  <c r="AL1135" i="13"/>
  <c r="AL1139" i="13"/>
  <c r="AL1142" i="13"/>
  <c r="AL1143" i="13"/>
  <c r="AL1148" i="13"/>
  <c r="AL1161" i="13"/>
  <c r="AL1162" i="13"/>
  <c r="AL1168" i="13"/>
  <c r="AL1172" i="13"/>
  <c r="AL1174" i="13"/>
  <c r="AL1189" i="13"/>
  <c r="AL1190" i="13"/>
  <c r="AL1199" i="13"/>
  <c r="AL1205" i="13"/>
  <c r="AL1211" i="13"/>
  <c r="AL1233" i="13"/>
  <c r="AL1236" i="13"/>
  <c r="AL1245" i="13"/>
  <c r="AL1246" i="13"/>
  <c r="AL1252" i="13"/>
  <c r="AL1257" i="13"/>
  <c r="AL1258" i="13"/>
  <c r="AL1259" i="13"/>
  <c r="AL1260" i="13"/>
  <c r="AL1275" i="13"/>
  <c r="AL1279" i="13"/>
  <c r="AL1282" i="13"/>
  <c r="AL1286" i="13"/>
  <c r="AL1112" i="13"/>
  <c r="AL1118" i="13"/>
  <c r="AL1124" i="13"/>
  <c r="AL1128" i="13"/>
  <c r="AL1133" i="13"/>
  <c r="AL1137" i="13"/>
  <c r="AL1152" i="13"/>
  <c r="AL1153" i="13"/>
  <c r="AL1156" i="13"/>
  <c r="AL1157" i="13"/>
  <c r="AL1160" i="13"/>
  <c r="AL1164" i="13"/>
  <c r="AL1176" i="13"/>
  <c r="AL1184" i="13"/>
  <c r="AL1197" i="13"/>
  <c r="AL1209" i="13"/>
  <c r="AL1217" i="13"/>
  <c r="AL1223" i="13"/>
  <c r="AL1262" i="13"/>
  <c r="AL1263" i="13"/>
  <c r="AL123" i="6"/>
  <c r="AL139" i="6"/>
  <c r="AL127" i="6"/>
  <c r="AL143" i="6"/>
  <c r="AL195" i="6"/>
  <c r="AL203" i="6"/>
  <c r="AL211" i="6"/>
  <c r="AL219" i="6"/>
  <c r="AL227" i="6"/>
  <c r="AL247" i="6"/>
  <c r="AL183" i="6"/>
  <c r="AL235" i="6"/>
  <c r="AL259" i="6"/>
  <c r="AL267" i="6"/>
  <c r="AL279" i="6"/>
  <c r="AL269" i="6"/>
  <c r="AL289" i="6"/>
  <c r="AL304" i="6"/>
  <c r="AL338" i="6"/>
  <c r="AL344" i="6"/>
  <c r="AL356" i="6"/>
  <c r="AL360" i="6"/>
  <c r="AL368" i="6"/>
  <c r="AL424" i="6"/>
  <c r="AL273" i="6"/>
  <c r="AL281" i="6"/>
  <c r="AL293" i="6"/>
  <c r="AL310" i="6"/>
  <c r="AL326" i="6"/>
  <c r="AL316" i="6"/>
  <c r="AL336" i="6"/>
  <c r="AL346" i="6"/>
  <c r="AL354" i="6"/>
  <c r="AL362" i="6"/>
  <c r="AL364" i="6"/>
  <c r="AL390" i="6"/>
  <c r="AL410" i="6"/>
  <c r="AL414" i="6"/>
  <c r="AL420" i="6"/>
  <c r="AL416" i="6"/>
  <c r="AL478" i="6"/>
  <c r="AL432" i="6"/>
  <c r="AL434" i="6"/>
  <c r="AL436" i="6"/>
  <c r="AL444" i="6"/>
  <c r="AL458" i="6"/>
  <c r="AL466" i="6"/>
  <c r="AL476" i="6"/>
  <c r="AL366" i="6"/>
  <c r="AL376" i="6"/>
  <c r="AL384" i="6"/>
  <c r="AL392" i="6"/>
  <c r="AL394" i="6"/>
  <c r="AL404" i="6"/>
  <c r="AL412" i="6"/>
  <c r="AL422" i="6"/>
  <c r="AL430" i="6"/>
  <c r="AL442" i="6"/>
  <c r="AL454" i="6"/>
  <c r="AL456" i="6"/>
  <c r="AL464" i="6"/>
  <c r="AL472" i="6"/>
  <c r="AL474" i="6"/>
  <c r="AL482" i="6"/>
  <c r="BT60" i="17418"/>
  <c r="BT59" i="17418"/>
  <c r="BT58" i="17418"/>
  <c r="BT57" i="17418"/>
  <c r="BT56" i="17418"/>
  <c r="BT55" i="17418"/>
  <c r="BT54" i="17418"/>
  <c r="BT53" i="17418"/>
  <c r="BT52" i="17418"/>
  <c r="BT51" i="17418"/>
  <c r="BT50" i="17418"/>
  <c r="BT49" i="17418"/>
  <c r="BT48" i="17418"/>
  <c r="BT47" i="17418"/>
  <c r="BT46" i="17418"/>
  <c r="BT45" i="17418"/>
  <c r="BT44" i="17418"/>
  <c r="BT43" i="17418"/>
  <c r="BT42" i="17418"/>
  <c r="BT41" i="17418"/>
  <c r="BT40" i="17418"/>
  <c r="BT38" i="17418"/>
  <c r="BT37" i="17418"/>
  <c r="BT36" i="17418"/>
  <c r="BT35" i="17418"/>
  <c r="BT33" i="17418"/>
  <c r="BT31" i="17418"/>
  <c r="BT27" i="17418"/>
  <c r="BT26" i="17418"/>
  <c r="BT25" i="17418"/>
  <c r="BT24" i="17418"/>
  <c r="BT23" i="17418"/>
  <c r="BS60" i="17418"/>
  <c r="BS59" i="17418"/>
  <c r="BS58" i="17418"/>
  <c r="BS57" i="17418"/>
  <c r="BS56" i="17418"/>
  <c r="BS55" i="17418"/>
  <c r="BS54" i="17418"/>
  <c r="BS53" i="17418"/>
  <c r="BS52" i="17418"/>
  <c r="BS51" i="17418"/>
  <c r="BS50" i="17418"/>
  <c r="BS49" i="17418"/>
  <c r="BS48" i="17418"/>
  <c r="BS47" i="17418"/>
  <c r="BS46" i="17418"/>
  <c r="BS45" i="17418"/>
  <c r="BS44" i="17418"/>
  <c r="BS43" i="17418"/>
  <c r="BS42" i="17418"/>
  <c r="BS41" i="17418"/>
  <c r="BS40" i="17418"/>
  <c r="BS38" i="17418"/>
  <c r="BS37" i="17418"/>
  <c r="BS36" i="17418"/>
  <c r="BS35" i="17418"/>
  <c r="BS33" i="17418"/>
  <c r="BS31" i="17418"/>
  <c r="BS27" i="17418"/>
  <c r="BS26" i="17418"/>
  <c r="BS25" i="17418"/>
  <c r="BS24" i="17418"/>
  <c r="BS23" i="17418"/>
  <c r="BR60" i="17418"/>
  <c r="BR59" i="17418"/>
  <c r="BR58" i="17418"/>
  <c r="BR57" i="17418"/>
  <c r="BR56" i="17418"/>
  <c r="BR55" i="17418"/>
  <c r="BR54" i="17418"/>
  <c r="BR53" i="17418"/>
  <c r="BR52" i="17418"/>
  <c r="BR51" i="17418"/>
  <c r="BR50" i="17418"/>
  <c r="BR49" i="17418"/>
  <c r="BR48" i="17418"/>
  <c r="BR47" i="17418"/>
  <c r="BR46" i="17418"/>
  <c r="BR45" i="17418"/>
  <c r="BR44" i="17418"/>
  <c r="BR43" i="17418"/>
  <c r="BR42" i="17418"/>
  <c r="BR41" i="17418"/>
  <c r="BR40" i="17418"/>
  <c r="BR38" i="17418"/>
  <c r="BR37" i="17418"/>
  <c r="BR36" i="17418"/>
  <c r="BR35" i="17418"/>
  <c r="BR33" i="17418"/>
  <c r="BR31" i="17418"/>
  <c r="BR27" i="17418"/>
  <c r="BR26" i="17418"/>
  <c r="BR25" i="17418"/>
  <c r="BR24" i="17418"/>
  <c r="BR23" i="17418"/>
  <c r="BQ60" i="17418"/>
  <c r="BQ59" i="17418"/>
  <c r="BQ58" i="17418"/>
  <c r="BQ57" i="17418"/>
  <c r="BQ56" i="17418"/>
  <c r="BQ55" i="17418"/>
  <c r="BQ54" i="17418"/>
  <c r="BQ53" i="17418"/>
  <c r="BQ52" i="17418"/>
  <c r="BQ51" i="17418"/>
  <c r="BQ50" i="17418"/>
  <c r="BQ49" i="17418"/>
  <c r="BQ48" i="17418"/>
  <c r="BQ47" i="17418"/>
  <c r="BQ46" i="17418"/>
  <c r="BQ45" i="17418"/>
  <c r="BQ44" i="17418"/>
  <c r="BQ43" i="17418"/>
  <c r="BQ42" i="17418"/>
  <c r="BQ41" i="17418"/>
  <c r="BQ40" i="17418"/>
  <c r="BQ38" i="17418"/>
  <c r="BQ37" i="17418"/>
  <c r="BQ36" i="17418"/>
  <c r="BQ35" i="17418"/>
  <c r="BQ33" i="17418"/>
  <c r="BQ31" i="17418"/>
  <c r="BQ27" i="17418"/>
  <c r="BQ26" i="17418"/>
  <c r="BQ25" i="17418"/>
  <c r="BQ24" i="17418"/>
  <c r="BQ23" i="17418"/>
  <c r="BP60" i="17418"/>
  <c r="BP59" i="17418"/>
  <c r="BP58" i="17418"/>
  <c r="BP57" i="17418"/>
  <c r="BP56" i="17418"/>
  <c r="BP55" i="17418"/>
  <c r="BP54" i="17418"/>
  <c r="BP53" i="17418"/>
  <c r="BP52" i="17418"/>
  <c r="BP51" i="17418"/>
  <c r="BP50" i="17418"/>
  <c r="BP49" i="17418"/>
  <c r="BP48" i="17418"/>
  <c r="BP47" i="17418"/>
  <c r="BP46" i="17418"/>
  <c r="BP45" i="17418"/>
  <c r="BP44" i="17418"/>
  <c r="BP43" i="17418"/>
  <c r="BP42" i="17418"/>
  <c r="BP41" i="17418"/>
  <c r="BP40" i="17418"/>
  <c r="BP38" i="17418"/>
  <c r="BP37" i="17418"/>
  <c r="BP36" i="17418"/>
  <c r="BP35" i="17418"/>
  <c r="BP33" i="17418"/>
  <c r="BP31" i="17418"/>
  <c r="BP27" i="17418"/>
  <c r="BP26" i="17418"/>
  <c r="BP25" i="17418"/>
  <c r="BP24" i="17418"/>
  <c r="BP23" i="17418"/>
  <c r="HO10" i="17418"/>
  <c r="HP10" i="17418" s="1"/>
  <c r="HQ10" i="17418" s="1"/>
  <c r="HR10" i="17418" s="1"/>
  <c r="HS10" i="17418" s="1"/>
  <c r="HT10" i="17418" s="1"/>
  <c r="HU10" i="17418" s="1"/>
  <c r="HV10" i="17418" s="1"/>
  <c r="HW10" i="17418" s="1"/>
  <c r="HX10" i="17418" s="1"/>
  <c r="HY10" i="17418" s="1"/>
  <c r="HZ10" i="17418" s="1"/>
  <c r="IA10" i="17418" s="1"/>
  <c r="IB10" i="17418" s="1"/>
  <c r="IC10" i="17418" s="1"/>
  <c r="ID10" i="17418" s="1"/>
  <c r="IE10" i="17418" s="1"/>
  <c r="IF10" i="17418" s="1"/>
  <c r="IG10" i="17418" s="1"/>
  <c r="IH10" i="17418" s="1"/>
  <c r="II10" i="17418" s="1"/>
  <c r="IJ10" i="17418" s="1"/>
  <c r="IK10" i="17418" s="1"/>
  <c r="IL10" i="17418" s="1"/>
  <c r="IM10" i="17418" s="1"/>
  <c r="IN10" i="17418" s="1"/>
  <c r="IO10" i="17418" s="1"/>
  <c r="IP10" i="17418" s="1"/>
  <c r="IQ10" i="17418" s="1"/>
  <c r="IR10" i="17418" s="1"/>
  <c r="IS10" i="17418" s="1"/>
  <c r="IT10" i="17418" s="1"/>
  <c r="IU10" i="17418" s="1"/>
  <c r="IV10" i="17418" s="1"/>
  <c r="IW10" i="17418" s="1"/>
  <c r="IX10" i="17418" s="1"/>
  <c r="IY10" i="17418" s="1"/>
  <c r="IZ10" i="17418" s="1"/>
  <c r="JA10" i="17418" s="1"/>
  <c r="JB10" i="17418" s="1"/>
  <c r="JC10" i="17418" s="1"/>
  <c r="JD10" i="17418" s="1"/>
  <c r="JE10" i="17418" s="1"/>
  <c r="JF10" i="17418" s="1"/>
  <c r="JG10" i="17418" s="1"/>
  <c r="JH10" i="17418" s="1"/>
  <c r="JI10" i="17418" s="1"/>
  <c r="F72" i="17419"/>
  <c r="HQ37" i="17418" l="1"/>
  <c r="HT37" i="17418"/>
  <c r="HP37" i="17418"/>
  <c r="HS37" i="17418"/>
  <c r="JS37" i="17418"/>
  <c r="HN37" i="17418"/>
  <c r="HV37" i="17418"/>
  <c r="HR37" i="17418"/>
  <c r="HO37" i="17418"/>
  <c r="HT27" i="17418"/>
  <c r="HP27" i="17418"/>
  <c r="HV27" i="17418"/>
  <c r="HQ27" i="17418"/>
  <c r="HS27" i="17418"/>
  <c r="HR27" i="17418"/>
  <c r="HU27" i="17418"/>
  <c r="HN27" i="17418"/>
  <c r="HS36" i="17418"/>
  <c r="HO36" i="17418"/>
  <c r="HV36" i="17418"/>
  <c r="HR36" i="17418"/>
  <c r="HN36" i="17418"/>
  <c r="JS36" i="17418"/>
  <c r="HQ36" i="17418"/>
  <c r="HP36" i="17418"/>
  <c r="HU36" i="17418"/>
  <c r="HT36" i="17418"/>
  <c r="G1174" i="1"/>
  <c r="H1174" i="1" s="1"/>
  <c r="G1173" i="1"/>
  <c r="G1170" i="1"/>
  <c r="H1170" i="1" s="1"/>
  <c r="G1167" i="1"/>
  <c r="H1167" i="1" s="1"/>
  <c r="G1166" i="1"/>
  <c r="H1166" i="1" s="1"/>
  <c r="G1165" i="1"/>
  <c r="H1165" i="1" s="1"/>
  <c r="G1163" i="1"/>
  <c r="H1163" i="1" s="1"/>
  <c r="G1162" i="1"/>
  <c r="H1162" i="1" s="1"/>
  <c r="G1161" i="1"/>
  <c r="H1161" i="1" s="1"/>
  <c r="G1160" i="1"/>
  <c r="H1160" i="1" s="1"/>
  <c r="G1155" i="1"/>
  <c r="H1155" i="1" s="1"/>
  <c r="G1153" i="1"/>
  <c r="H1153" i="1" s="1"/>
  <c r="G1152" i="1"/>
  <c r="H1152" i="1" s="1"/>
  <c r="G1151" i="1"/>
  <c r="H1151" i="1" s="1"/>
  <c r="G1150" i="1"/>
  <c r="H1150" i="1" s="1"/>
  <c r="G1149" i="1"/>
  <c r="H1149" i="1" s="1"/>
  <c r="G1148" i="1"/>
  <c r="H1148" i="1" s="1"/>
  <c r="G1147" i="1"/>
  <c r="H1147" i="1" s="1"/>
  <c r="G1144" i="1"/>
  <c r="H1144" i="1" s="1"/>
  <c r="G1137" i="1"/>
  <c r="H1137" i="1" s="1"/>
  <c r="G1136" i="1"/>
  <c r="H1136" i="1" s="1"/>
  <c r="G1135" i="1"/>
  <c r="H1135" i="1" s="1"/>
  <c r="G1130" i="1"/>
  <c r="H1130" i="1" s="1"/>
  <c r="G1129" i="1"/>
  <c r="H1129" i="1" s="1"/>
  <c r="G1128" i="1"/>
  <c r="H1128" i="1" s="1"/>
  <c r="G1125" i="1"/>
  <c r="H1125" i="1" s="1"/>
  <c r="G1121" i="1"/>
  <c r="H1121" i="1" s="1"/>
  <c r="G1120" i="1"/>
  <c r="H1120" i="1" s="1"/>
  <c r="G1118" i="1"/>
  <c r="H1118" i="1" s="1"/>
  <c r="G1115" i="1"/>
  <c r="H1115" i="1" s="1"/>
  <c r="G1114" i="1"/>
  <c r="H1114" i="1" s="1"/>
  <c r="G1112" i="1"/>
  <c r="H1112" i="1" s="1"/>
  <c r="G1110" i="1"/>
  <c r="H1110" i="1" s="1"/>
  <c r="G1108" i="1"/>
  <c r="H1108" i="1" s="1"/>
  <c r="G1107" i="1"/>
  <c r="H1107" i="1" s="1"/>
  <c r="G1105" i="1"/>
  <c r="H1105" i="1" s="1"/>
  <c r="G1103" i="1"/>
  <c r="H1103" i="1" s="1"/>
  <c r="G1102" i="1"/>
  <c r="H1102" i="1" s="1"/>
  <c r="G1101" i="1"/>
  <c r="H1101" i="1" s="1"/>
  <c r="G1099" i="1"/>
  <c r="H1099" i="1" s="1"/>
  <c r="G1098" i="1"/>
  <c r="H1098" i="1" s="1"/>
  <c r="G1097" i="1"/>
  <c r="H1097" i="1" s="1"/>
  <c r="G1096" i="1"/>
  <c r="H1096" i="1" s="1"/>
  <c r="G1095" i="1"/>
  <c r="H1095" i="1" s="1"/>
  <c r="G1094" i="1"/>
  <c r="H1094" i="1" s="1"/>
  <c r="G1093" i="1"/>
  <c r="H1093" i="1" s="1"/>
  <c r="G1092" i="1"/>
  <c r="H1092" i="1" s="1"/>
  <c r="G1088" i="1"/>
  <c r="H1088" i="1" s="1"/>
  <c r="G1087" i="1"/>
  <c r="H1087" i="1" s="1"/>
  <c r="G1086" i="1"/>
  <c r="H1086" i="1" s="1"/>
  <c r="G1084" i="1"/>
  <c r="H1084" i="1" s="1"/>
  <c r="G1082" i="1"/>
  <c r="H1082" i="1" s="1"/>
  <c r="G1080" i="1"/>
  <c r="H1080" i="1" s="1"/>
  <c r="G1079" i="1"/>
  <c r="H1079" i="1" s="1"/>
  <c r="G1076" i="1"/>
  <c r="H1076" i="1" s="1"/>
  <c r="G1075" i="1"/>
  <c r="H1075" i="1" s="1"/>
  <c r="G1072" i="1"/>
  <c r="H1072" i="1" s="1"/>
  <c r="G1070" i="1"/>
  <c r="H1070" i="1" s="1"/>
  <c r="G1068" i="1"/>
  <c r="H1068" i="1" s="1"/>
  <c r="G1067" i="1"/>
  <c r="H1067" i="1" s="1"/>
  <c r="G1066" i="1"/>
  <c r="H1066" i="1" s="1"/>
  <c r="G1065" i="1"/>
  <c r="H1065" i="1" s="1"/>
  <c r="G1064" i="1"/>
  <c r="G1061" i="1"/>
  <c r="H1061" i="1" s="1"/>
  <c r="G1059" i="1"/>
  <c r="H1059" i="1" s="1"/>
  <c r="G1057" i="1"/>
  <c r="H1057" i="1" s="1"/>
  <c r="G1056" i="1"/>
  <c r="G1051" i="1"/>
  <c r="H1051" i="1" s="1"/>
  <c r="G1047" i="1"/>
  <c r="H1047" i="1" s="1"/>
  <c r="G1046" i="1"/>
  <c r="H1046" i="1" s="1"/>
  <c r="G1045" i="1"/>
  <c r="H1045" i="1" s="1"/>
  <c r="G1044" i="1"/>
  <c r="H1044" i="1" s="1"/>
  <c r="G1043" i="1"/>
  <c r="H1043" i="1" s="1"/>
  <c r="G1042" i="1"/>
  <c r="H1042" i="1" s="1"/>
  <c r="G1041" i="1"/>
  <c r="H1041" i="1" s="1"/>
  <c r="G1040" i="1"/>
  <c r="H1040" i="1" s="1"/>
  <c r="G1039" i="1"/>
  <c r="H1039" i="1" s="1"/>
  <c r="G1038" i="1"/>
  <c r="H1038" i="1" s="1"/>
  <c r="G1037" i="1"/>
  <c r="H1037" i="1" s="1"/>
  <c r="G1035" i="1"/>
  <c r="H1035" i="1" s="1"/>
  <c r="G1034" i="1"/>
  <c r="H1034" i="1" s="1"/>
  <c r="G1033" i="1"/>
  <c r="H1033" i="1" s="1"/>
  <c r="G1032" i="1"/>
  <c r="H1032" i="1" s="1"/>
  <c r="G1031" i="1"/>
  <c r="H1031" i="1" s="1"/>
  <c r="G1030" i="1"/>
  <c r="H1030" i="1" s="1"/>
  <c r="G1029" i="1"/>
  <c r="H1029" i="1" s="1"/>
  <c r="G1025" i="1"/>
  <c r="H1025" i="1" s="1"/>
  <c r="G1023" i="1"/>
  <c r="H1023" i="1" s="1"/>
  <c r="G1021" i="1"/>
  <c r="H1021" i="1" s="1"/>
  <c r="G1019" i="1"/>
  <c r="H1019" i="1" s="1"/>
  <c r="G1016" i="1"/>
  <c r="H1016" i="1" s="1"/>
  <c r="G1014" i="1"/>
  <c r="H1014" i="1" s="1"/>
  <c r="G1012" i="1"/>
  <c r="H1012" i="1" s="1"/>
  <c r="G1010" i="1"/>
  <c r="H1010" i="1" s="1"/>
  <c r="G1009" i="1"/>
  <c r="H1009" i="1" s="1"/>
  <c r="G1007" i="1"/>
  <c r="H1007" i="1" s="1"/>
  <c r="G1006" i="1"/>
  <c r="H1006" i="1" s="1"/>
  <c r="G1005" i="1"/>
  <c r="H1005" i="1" s="1"/>
  <c r="G1004" i="1"/>
  <c r="G1003" i="1"/>
  <c r="G1002" i="1"/>
  <c r="H1002" i="1" s="1"/>
  <c r="G1000" i="1"/>
  <c r="H1000" i="1" s="1"/>
  <c r="G997" i="1"/>
  <c r="H997" i="1" s="1"/>
  <c r="G991" i="1"/>
  <c r="H991" i="1" s="1"/>
  <c r="G988" i="1"/>
  <c r="H988" i="1" s="1"/>
  <c r="G986" i="1"/>
  <c r="H986" i="1" s="1"/>
  <c r="G981" i="1"/>
  <c r="H981" i="1" s="1"/>
  <c r="G978" i="1"/>
  <c r="H978" i="1" s="1"/>
  <c r="G974" i="1"/>
  <c r="H974" i="1" s="1"/>
  <c r="G973" i="1"/>
  <c r="H973" i="1" s="1"/>
  <c r="G972" i="1"/>
  <c r="H972" i="1" s="1"/>
  <c r="G971" i="1"/>
  <c r="H971" i="1" s="1"/>
  <c r="G969" i="1"/>
  <c r="H969" i="1" s="1"/>
  <c r="G968" i="1"/>
  <c r="H968" i="1" s="1"/>
  <c r="G966" i="1"/>
  <c r="H966" i="1" s="1"/>
  <c r="G965" i="1"/>
  <c r="H965" i="1" s="1"/>
  <c r="G964" i="1"/>
  <c r="G963" i="1"/>
  <c r="H963" i="1" s="1"/>
  <c r="G961" i="1"/>
  <c r="H961" i="1" s="1"/>
  <c r="G959" i="1"/>
  <c r="H959" i="1" s="1"/>
  <c r="G957" i="1"/>
  <c r="H957" i="1" s="1"/>
  <c r="G956" i="1"/>
  <c r="H956" i="1" s="1"/>
  <c r="G954" i="1"/>
  <c r="G953" i="1"/>
  <c r="H953" i="1" s="1"/>
  <c r="J1633" i="1"/>
  <c r="J1632" i="1"/>
  <c r="J1631" i="1"/>
  <c r="G1631" i="1"/>
  <c r="E179" i="17412" s="1"/>
  <c r="J1630" i="1"/>
  <c r="J1629" i="1"/>
  <c r="J1628" i="1"/>
  <c r="J1627" i="1"/>
  <c r="G1627" i="1"/>
  <c r="E175" i="17412" s="1"/>
  <c r="J1626" i="1"/>
  <c r="J1625" i="1"/>
  <c r="G1625" i="1"/>
  <c r="E173" i="17412" s="1"/>
  <c r="J1624" i="1"/>
  <c r="J1623" i="1"/>
  <c r="J1622" i="1"/>
  <c r="G1622" i="1"/>
  <c r="E170" i="17412" s="1"/>
  <c r="J1621" i="1"/>
  <c r="J1620" i="1"/>
  <c r="G1620" i="1"/>
  <c r="E168" i="17412" s="1"/>
  <c r="J1619" i="1"/>
  <c r="J1618" i="1"/>
  <c r="J1617" i="1"/>
  <c r="J1616" i="1"/>
  <c r="J1615" i="1"/>
  <c r="J1614" i="1"/>
  <c r="J1613" i="1"/>
  <c r="G1613" i="1"/>
  <c r="E161" i="17412" s="1"/>
  <c r="J1612" i="1"/>
  <c r="J1611" i="1"/>
  <c r="J1610" i="1"/>
  <c r="G1610" i="1"/>
  <c r="E158" i="17412" s="1"/>
  <c r="J1609" i="1"/>
  <c r="J1608" i="1"/>
  <c r="J1607" i="1"/>
  <c r="J1606" i="1"/>
  <c r="J1605" i="1"/>
  <c r="J1604" i="1"/>
  <c r="J1603" i="1"/>
  <c r="G1603" i="1"/>
  <c r="E151" i="17412" s="1"/>
  <c r="J1602" i="1"/>
  <c r="J1601" i="1"/>
  <c r="J1600" i="1"/>
  <c r="J1599" i="1"/>
  <c r="J1598" i="1"/>
  <c r="J1597" i="1"/>
  <c r="J1596" i="1"/>
  <c r="J1595" i="1"/>
  <c r="J1594" i="1"/>
  <c r="G1594" i="1"/>
  <c r="E142" i="17412" s="1"/>
  <c r="J1593" i="1"/>
  <c r="J1592" i="1"/>
  <c r="J1591" i="1"/>
  <c r="J1590" i="1"/>
  <c r="G1590" i="1"/>
  <c r="E138" i="17412" s="1"/>
  <c r="J1589" i="1"/>
  <c r="J1588" i="1"/>
  <c r="J1587" i="1"/>
  <c r="J1586" i="1"/>
  <c r="J1585" i="1"/>
  <c r="J1584" i="1"/>
  <c r="J1583" i="1"/>
  <c r="G1583" i="1"/>
  <c r="E131" i="17412" s="1"/>
  <c r="J1582" i="1"/>
  <c r="J1581" i="1"/>
  <c r="J1580" i="1"/>
  <c r="J1579" i="1"/>
  <c r="G1579" i="1"/>
  <c r="E127" i="17412" s="1"/>
  <c r="J1578" i="1"/>
  <c r="J1577" i="1"/>
  <c r="J1576" i="1"/>
  <c r="J1575" i="1"/>
  <c r="J1574" i="1"/>
  <c r="J1573" i="1"/>
  <c r="G1573" i="1"/>
  <c r="E121" i="17412" s="1"/>
  <c r="J1572" i="1"/>
  <c r="J1571" i="1"/>
  <c r="J1570" i="1"/>
  <c r="J1569" i="1"/>
  <c r="G1569" i="1"/>
  <c r="E117" i="17412" s="1"/>
  <c r="J1568" i="1"/>
  <c r="J1567" i="1"/>
  <c r="J1566" i="1"/>
  <c r="J1565" i="1"/>
  <c r="G1565" i="1"/>
  <c r="E113" i="17412" s="1"/>
  <c r="J1564" i="1"/>
  <c r="J1563" i="1"/>
  <c r="J1562" i="1"/>
  <c r="J1561" i="1"/>
  <c r="J1560" i="1"/>
  <c r="J1559" i="1"/>
  <c r="J1558" i="1"/>
  <c r="J1557" i="1"/>
  <c r="J1556" i="1"/>
  <c r="J1555" i="1"/>
  <c r="J1554" i="1"/>
  <c r="J1553" i="1"/>
  <c r="J1552" i="1"/>
  <c r="J1551" i="1"/>
  <c r="G1551" i="1"/>
  <c r="E99" i="17412" s="1"/>
  <c r="J1550" i="1"/>
  <c r="J1549" i="1"/>
  <c r="J1548" i="1"/>
  <c r="J1547" i="1"/>
  <c r="J1546" i="1"/>
  <c r="J1545" i="1"/>
  <c r="G1545" i="1"/>
  <c r="E93" i="17412" s="1"/>
  <c r="J1544" i="1"/>
  <c r="J1543" i="1"/>
  <c r="J1542" i="1"/>
  <c r="J1541" i="1"/>
  <c r="J1540" i="1"/>
  <c r="J1539" i="1"/>
  <c r="J1538" i="1"/>
  <c r="J1537" i="1"/>
  <c r="J1536" i="1"/>
  <c r="G1536" i="1"/>
  <c r="E84" i="17412" s="1"/>
  <c r="J1535" i="1"/>
  <c r="J1534" i="1"/>
  <c r="J1533" i="1"/>
  <c r="J1532" i="1"/>
  <c r="J1531" i="1"/>
  <c r="J1530" i="1"/>
  <c r="J1529" i="1"/>
  <c r="J1528" i="1"/>
  <c r="G1528" i="1"/>
  <c r="E76" i="17412" s="1"/>
  <c r="J1527" i="1"/>
  <c r="J1526" i="1"/>
  <c r="J1525" i="1"/>
  <c r="G1525" i="1"/>
  <c r="E73" i="17412" s="1"/>
  <c r="J1524" i="1"/>
  <c r="J1523" i="1"/>
  <c r="J1522" i="1"/>
  <c r="J1521" i="1"/>
  <c r="J1520" i="1"/>
  <c r="J1519" i="1"/>
  <c r="G1519" i="1"/>
  <c r="E67" i="17412" s="1"/>
  <c r="J1518" i="1"/>
  <c r="J1517" i="1"/>
  <c r="J1516" i="1"/>
  <c r="J1515" i="1"/>
  <c r="J1514" i="1"/>
  <c r="G1514" i="1"/>
  <c r="E62" i="17412" s="1"/>
  <c r="J1513" i="1"/>
  <c r="J1512" i="1"/>
  <c r="G1512" i="1"/>
  <c r="E60" i="17412" s="1"/>
  <c r="J1511" i="1"/>
  <c r="J1510" i="1"/>
  <c r="J1509" i="1"/>
  <c r="J1508" i="1"/>
  <c r="G1508" i="1"/>
  <c r="E56" i="17412" s="1"/>
  <c r="J1507" i="1"/>
  <c r="J1506" i="1"/>
  <c r="J1505" i="1"/>
  <c r="G1505" i="1"/>
  <c r="E53" i="17412" s="1"/>
  <c r="J1504" i="1"/>
  <c r="G1504" i="1"/>
  <c r="E52" i="17412" s="1"/>
  <c r="J1503" i="1"/>
  <c r="J1502" i="1"/>
  <c r="J1501" i="1"/>
  <c r="J1500" i="1"/>
  <c r="J1499" i="1"/>
  <c r="J1498" i="1"/>
  <c r="J1497" i="1"/>
  <c r="J1496" i="1"/>
  <c r="J1495" i="1"/>
  <c r="J1494" i="1"/>
  <c r="J1493" i="1"/>
  <c r="J1491" i="1"/>
  <c r="J1490" i="1"/>
  <c r="G1490" i="1"/>
  <c r="E38" i="17412" s="1"/>
  <c r="J1489" i="1"/>
  <c r="G1489" i="1"/>
  <c r="E37" i="17412" s="1"/>
  <c r="J1488" i="1"/>
  <c r="J1487" i="1"/>
  <c r="J1486" i="1"/>
  <c r="J1485" i="1"/>
  <c r="J1484" i="1"/>
  <c r="J1483" i="1"/>
  <c r="J1481" i="1"/>
  <c r="J1480" i="1"/>
  <c r="J1479" i="1"/>
  <c r="G1479" i="1"/>
  <c r="E27" i="17412" s="1"/>
  <c r="J1478" i="1"/>
  <c r="J1477" i="1"/>
  <c r="J1476" i="1"/>
  <c r="G1476" i="1"/>
  <c r="E24" i="17412" s="1"/>
  <c r="J1475" i="1"/>
  <c r="G1475" i="1"/>
  <c r="E23" i="17412" s="1"/>
  <c r="J1474" i="1"/>
  <c r="G1474" i="1"/>
  <c r="E22" i="17412" s="1"/>
  <c r="J1473" i="1"/>
  <c r="G1473" i="1"/>
  <c r="E21" i="17412" s="1"/>
  <c r="J1472" i="1"/>
  <c r="J1471" i="1"/>
  <c r="J1470" i="1"/>
  <c r="J1469" i="1"/>
  <c r="J1468" i="1"/>
  <c r="J1467" i="1"/>
  <c r="G1467" i="1"/>
  <c r="E15" i="17412" s="1"/>
  <c r="J1466" i="1"/>
  <c r="J1465" i="1"/>
  <c r="J1464" i="1"/>
  <c r="J1463" i="1"/>
  <c r="J1462" i="1"/>
  <c r="J1461" i="1"/>
  <c r="J1460" i="1"/>
  <c r="G1460" i="1"/>
  <c r="E7" i="17412" s="1"/>
  <c r="O482" i="4" l="1"/>
  <c r="Q482" i="4" s="1"/>
  <c r="O481" i="4"/>
  <c r="Q481" i="4" s="1"/>
  <c r="O480" i="4"/>
  <c r="Q480" i="4" s="1"/>
  <c r="O478" i="4"/>
  <c r="Q478" i="4" s="1"/>
  <c r="O479" i="4" l="1"/>
  <c r="Q479" i="4" l="1"/>
  <c r="P479" i="4"/>
  <c r="O1283" i="13"/>
  <c r="M1287" i="13"/>
  <c r="O1287" i="13" s="1"/>
  <c r="O1289" i="13"/>
  <c r="L1289" i="13"/>
  <c r="K1289" i="13"/>
  <c r="J1289" i="13"/>
  <c r="H1289" i="13"/>
  <c r="O1288" i="13"/>
  <c r="L1288" i="13"/>
  <c r="K1288" i="13"/>
  <c r="J1288" i="13"/>
  <c r="H1288" i="13"/>
  <c r="L1287" i="13"/>
  <c r="K1287" i="13"/>
  <c r="J1287" i="13"/>
  <c r="H1287" i="13"/>
  <c r="O1286" i="13"/>
  <c r="L1286" i="13"/>
  <c r="K1286" i="13"/>
  <c r="J1286" i="13"/>
  <c r="H1286" i="13"/>
  <c r="K1285" i="13"/>
  <c r="J1285" i="13"/>
  <c r="H1285" i="13"/>
  <c r="O1284" i="13"/>
  <c r="K1284" i="13"/>
  <c r="J1284" i="13"/>
  <c r="H1284" i="13"/>
  <c r="K1283" i="13"/>
  <c r="J1283" i="13"/>
  <c r="H1283" i="13"/>
  <c r="O1282" i="13"/>
  <c r="K1282" i="13"/>
  <c r="J1282" i="13"/>
  <c r="H1282" i="13"/>
  <c r="O1281" i="13"/>
  <c r="K1281" i="13"/>
  <c r="J1281" i="13"/>
  <c r="H1281" i="13"/>
  <c r="O1280" i="13"/>
  <c r="K1280" i="13"/>
  <c r="J1280" i="13"/>
  <c r="H1280" i="13"/>
  <c r="O1279" i="13"/>
  <c r="K1279" i="13"/>
  <c r="J1279" i="13"/>
  <c r="H1279" i="13"/>
  <c r="R479" i="4" l="1"/>
  <c r="G688" i="1"/>
  <c r="H688" i="1" s="1"/>
  <c r="AF1284" i="13"/>
  <c r="AH1284" i="13"/>
  <c r="AN1284" i="13" s="1"/>
  <c r="AH1285" i="13"/>
  <c r="AN1285" i="13" s="1"/>
  <c r="AF1285" i="13"/>
  <c r="AH1279" i="13"/>
  <c r="AN1279" i="13" s="1"/>
  <c r="AF1279" i="13"/>
  <c r="AH1280" i="13"/>
  <c r="AN1280" i="13" s="1"/>
  <c r="AF1280" i="13"/>
  <c r="AH1281" i="13"/>
  <c r="AN1281" i="13" s="1"/>
  <c r="AF1281" i="13"/>
  <c r="AF1282" i="13"/>
  <c r="AH1282" i="13"/>
  <c r="AN1282" i="13" s="1"/>
  <c r="AF1283" i="13"/>
  <c r="AH1283" i="13"/>
  <c r="AN1283" i="13" s="1"/>
  <c r="AF1286" i="13"/>
  <c r="AH1286" i="13"/>
  <c r="AN1286" i="13" s="1"/>
  <c r="AH1287" i="13"/>
  <c r="AN1287" i="13" s="1"/>
  <c r="AF1287" i="13"/>
  <c r="AH1288" i="13"/>
  <c r="AN1288" i="13" s="1"/>
  <c r="AF1288" i="13"/>
  <c r="AF1289" i="13"/>
  <c r="AH1289" i="13"/>
  <c r="AN1289" i="13" s="1"/>
  <c r="P1289" i="13"/>
  <c r="P1288" i="13"/>
  <c r="P1287" i="13"/>
  <c r="P1286" i="13"/>
  <c r="O1278" i="13"/>
  <c r="J1278" i="13"/>
  <c r="H1278" i="13"/>
  <c r="O1277" i="13"/>
  <c r="J1277" i="13"/>
  <c r="H1277" i="13"/>
  <c r="O1276" i="13"/>
  <c r="M1276" i="13"/>
  <c r="J1276" i="13"/>
  <c r="H1276" i="13"/>
  <c r="O1275" i="13"/>
  <c r="M1275" i="13"/>
  <c r="J1275" i="13"/>
  <c r="H1275" i="13"/>
  <c r="O1274" i="13"/>
  <c r="J1274" i="13"/>
  <c r="H1274" i="13"/>
  <c r="M1273" i="13"/>
  <c r="O1273" i="13" s="1"/>
  <c r="J1273" i="13"/>
  <c r="H1273" i="13"/>
  <c r="O1272" i="13"/>
  <c r="M1272" i="13"/>
  <c r="J1272" i="13"/>
  <c r="H1272" i="13"/>
  <c r="O1271" i="13"/>
  <c r="J1271" i="13"/>
  <c r="H1271" i="13"/>
  <c r="O327" i="4"/>
  <c r="Q327" i="4" s="1"/>
  <c r="M477" i="4"/>
  <c r="O477" i="4" s="1"/>
  <c r="M476" i="4"/>
  <c r="O476" i="4" s="1"/>
  <c r="O475" i="4"/>
  <c r="Q475" i="4" s="1"/>
  <c r="O474" i="4"/>
  <c r="Q474" i="4" s="1"/>
  <c r="O473" i="4"/>
  <c r="Q473" i="4" s="1"/>
  <c r="O472" i="4"/>
  <c r="Q472" i="4" s="1"/>
  <c r="O471" i="4"/>
  <c r="Q471" i="4" s="1"/>
  <c r="O470" i="4"/>
  <c r="Q470" i="4" s="1"/>
  <c r="O469" i="4"/>
  <c r="Q469" i="4" s="1"/>
  <c r="O468" i="4"/>
  <c r="Q468" i="4" s="1"/>
  <c r="O467" i="4"/>
  <c r="Q467" i="4" s="1"/>
  <c r="O466" i="4"/>
  <c r="Q466" i="4" s="1"/>
  <c r="Q476" i="4" l="1"/>
  <c r="R476" i="4" s="1"/>
  <c r="P476" i="4"/>
  <c r="Q477" i="4"/>
  <c r="R477" i="4" s="1"/>
  <c r="P477" i="4"/>
  <c r="AF1274" i="13"/>
  <c r="AH1274" i="13"/>
  <c r="AH1272" i="13"/>
  <c r="AF1272" i="13"/>
  <c r="AF1273" i="13"/>
  <c r="AH1273" i="13"/>
  <c r="AH1271" i="13"/>
  <c r="AF1271" i="13"/>
  <c r="AF1278" i="13"/>
  <c r="AH1278" i="13"/>
  <c r="AH1275" i="13"/>
  <c r="AF1275" i="13"/>
  <c r="AH1276" i="13"/>
  <c r="AF1276" i="13"/>
  <c r="AF1277" i="13"/>
  <c r="AH1277" i="13"/>
  <c r="O27" i="17418" l="1"/>
  <c r="L27" i="17418"/>
  <c r="J27" i="17418"/>
  <c r="O26" i="17418"/>
  <c r="L26" i="17418"/>
  <c r="J26" i="17418"/>
  <c r="O25" i="17418"/>
  <c r="L25" i="17418"/>
  <c r="J25" i="17418"/>
  <c r="O24" i="17418"/>
  <c r="L24" i="17418"/>
  <c r="J24" i="17418"/>
  <c r="O23" i="17418"/>
  <c r="L23" i="17418"/>
  <c r="J23" i="17418"/>
  <c r="L15" i="17418"/>
  <c r="G19" i="17418"/>
  <c r="H19" i="17418"/>
  <c r="H14" i="17418"/>
  <c r="G14" i="17418"/>
  <c r="Q19" i="17418" l="1"/>
  <c r="Q18" i="17418" s="1"/>
  <c r="P24" i="17418"/>
  <c r="BO24" i="17418"/>
  <c r="P23" i="17418"/>
  <c r="BO23" i="17418"/>
  <c r="P27" i="17418"/>
  <c r="BO27" i="17418"/>
  <c r="HO27" i="17418" s="1"/>
  <c r="P26" i="17418"/>
  <c r="BO26" i="17418"/>
  <c r="P25" i="17418"/>
  <c r="BO25" i="17418"/>
  <c r="O442" i="4"/>
  <c r="O455" i="4"/>
  <c r="O452" i="4"/>
  <c r="Q451" i="4"/>
  <c r="O453" i="4"/>
  <c r="Q453" i="4" s="1"/>
  <c r="O445" i="4"/>
  <c r="O448" i="4"/>
  <c r="Q448" i="4" s="1"/>
  <c r="O447" i="4"/>
  <c r="Q447" i="4" s="1"/>
  <c r="O446" i="4"/>
  <c r="O444" i="4"/>
  <c r="Q444" i="4" s="1"/>
  <c r="O443" i="4"/>
  <c r="O441" i="4"/>
  <c r="Q441" i="4" s="1"/>
  <c r="O440" i="4"/>
  <c r="Q440" i="4" s="1"/>
  <c r="O438" i="4"/>
  <c r="Q438" i="4" s="1"/>
  <c r="O437" i="4"/>
  <c r="Q437" i="4" s="1"/>
  <c r="O1268" i="13"/>
  <c r="O1266" i="13"/>
  <c r="M436" i="4"/>
  <c r="O436" i="4" s="1"/>
  <c r="O435" i="4"/>
  <c r="Q435" i="4" s="1"/>
  <c r="O434" i="4"/>
  <c r="Q434" i="4" s="1"/>
  <c r="O433" i="4"/>
  <c r="Q433" i="4" s="1"/>
  <c r="O432" i="4"/>
  <c r="Q432" i="4" s="1"/>
  <c r="O431" i="4"/>
  <c r="Q431" i="4" s="1"/>
  <c r="O430" i="4"/>
  <c r="O439" i="4"/>
  <c r="O428" i="4"/>
  <c r="Q419" i="4"/>
  <c r="Q417" i="4"/>
  <c r="O429" i="4"/>
  <c r="O424" i="4"/>
  <c r="Q424" i="4" s="1"/>
  <c r="O423" i="4"/>
  <c r="Q423" i="4" s="1"/>
  <c r="Q422" i="4"/>
  <c r="Q421" i="4"/>
  <c r="Q420" i="4" l="1"/>
  <c r="E1327" i="13"/>
  <c r="Q1327" i="13" s="1"/>
  <c r="R1327" i="13" s="1"/>
  <c r="E1325" i="13"/>
  <c r="Q1325" i="13" s="1"/>
  <c r="R1325" i="13" s="1"/>
  <c r="E1326" i="13"/>
  <c r="Q1326" i="13" s="1"/>
  <c r="Q439" i="4"/>
  <c r="P439" i="4"/>
  <c r="Q455" i="4"/>
  <c r="P455" i="4"/>
  <c r="Q442" i="4"/>
  <c r="P442" i="4"/>
  <c r="Q429" i="4"/>
  <c r="R429" i="4" s="1"/>
  <c r="P429" i="4"/>
  <c r="P428" i="4"/>
  <c r="Q428" i="4"/>
  <c r="R428" i="4" s="1"/>
  <c r="P446" i="4"/>
  <c r="Q446" i="4"/>
  <c r="Q452" i="4"/>
  <c r="P452" i="4"/>
  <c r="Q430" i="4"/>
  <c r="P430" i="4"/>
  <c r="Q443" i="4"/>
  <c r="P443" i="4"/>
  <c r="Q436" i="4"/>
  <c r="R436" i="4" s="1"/>
  <c r="P436" i="4"/>
  <c r="Q445" i="4"/>
  <c r="G808" i="1" s="1"/>
  <c r="H808" i="1" s="1"/>
  <c r="P445" i="4"/>
  <c r="F505" i="1"/>
  <c r="H505" i="1" s="1"/>
  <c r="F503" i="1"/>
  <c r="H503" i="1" s="1"/>
  <c r="F501" i="1"/>
  <c r="H501" i="1" s="1"/>
  <c r="R455" i="4" l="1"/>
  <c r="G353" i="1"/>
  <c r="H353" i="1" s="1"/>
  <c r="G349" i="1"/>
  <c r="H349" i="1" s="1"/>
  <c r="G352" i="1"/>
  <c r="H352" i="1" s="1"/>
  <c r="G348" i="1"/>
  <c r="H348" i="1" s="1"/>
  <c r="R446" i="4"/>
  <c r="G759" i="1"/>
  <c r="H759" i="1" s="1"/>
  <c r="R443" i="4"/>
  <c r="G784" i="1"/>
  <c r="H784" i="1" s="1"/>
  <c r="R452" i="4"/>
  <c r="G345" i="1"/>
  <c r="H345" i="1" s="1"/>
  <c r="G344" i="1"/>
  <c r="H344" i="1" s="1"/>
  <c r="R430" i="4"/>
  <c r="G782" i="1"/>
  <c r="H782" i="1" s="1"/>
  <c r="R442" i="4"/>
  <c r="G785" i="1"/>
  <c r="H785" i="1" s="1"/>
  <c r="R439" i="4"/>
  <c r="G783" i="1"/>
  <c r="H783" i="1" s="1"/>
  <c r="R445" i="4"/>
  <c r="I180" i="17412" l="1"/>
  <c r="H180" i="17412"/>
  <c r="F180" i="17412"/>
  <c r="G180" i="17412" s="1"/>
  <c r="I179" i="17412"/>
  <c r="H179" i="17412"/>
  <c r="F179" i="17412"/>
  <c r="C179" i="17412"/>
  <c r="I178" i="17412"/>
  <c r="H178" i="17412"/>
  <c r="F178" i="17412"/>
  <c r="G178" i="17412" s="1"/>
  <c r="I177" i="17412"/>
  <c r="H177" i="17412"/>
  <c r="F177" i="17412"/>
  <c r="C177" i="17412"/>
  <c r="I176" i="17412"/>
  <c r="H176" i="17412"/>
  <c r="F176" i="17412"/>
  <c r="C176" i="17412"/>
  <c r="I175" i="17412"/>
  <c r="H175" i="17412"/>
  <c r="F175" i="17412"/>
  <c r="C175" i="17412"/>
  <c r="I174" i="17412"/>
  <c r="H174" i="17412"/>
  <c r="F174" i="17412"/>
  <c r="G174" i="17412" s="1"/>
  <c r="C174" i="17412"/>
  <c r="I173" i="17412"/>
  <c r="H173" i="17412"/>
  <c r="F173" i="17412"/>
  <c r="C173" i="17412"/>
  <c r="I172" i="17412"/>
  <c r="H172" i="17412"/>
  <c r="F172" i="17412"/>
  <c r="C172" i="17412"/>
  <c r="I171" i="17412"/>
  <c r="H171" i="17412"/>
  <c r="F171" i="17412"/>
  <c r="G171" i="17412" s="1"/>
  <c r="C171" i="17412"/>
  <c r="I170" i="17412"/>
  <c r="H170" i="17412"/>
  <c r="F170" i="17412"/>
  <c r="G170" i="17412" s="1"/>
  <c r="I169" i="17412"/>
  <c r="H169" i="17412"/>
  <c r="F169" i="17412"/>
  <c r="G169" i="17412" s="1"/>
  <c r="C169" i="17412"/>
  <c r="I168" i="17412"/>
  <c r="H168" i="17412"/>
  <c r="F168" i="17412"/>
  <c r="G168" i="17412" s="1"/>
  <c r="I167" i="17412"/>
  <c r="H167" i="17412"/>
  <c r="F167" i="17412"/>
  <c r="I166" i="17412"/>
  <c r="H166" i="17412"/>
  <c r="F166" i="17412"/>
  <c r="C166" i="17412"/>
  <c r="I165" i="17412"/>
  <c r="H165" i="17412"/>
  <c r="F165" i="17412"/>
  <c r="G165" i="17412" s="1"/>
  <c r="C165" i="17412"/>
  <c r="I164" i="17412"/>
  <c r="H164" i="17412"/>
  <c r="F164" i="17412"/>
  <c r="C164" i="17412"/>
  <c r="I163" i="17412"/>
  <c r="H163" i="17412"/>
  <c r="F163" i="17412"/>
  <c r="C163" i="17412"/>
  <c r="I162" i="17412"/>
  <c r="H162" i="17412"/>
  <c r="F162" i="17412"/>
  <c r="G162" i="17412" s="1"/>
  <c r="C162" i="17412"/>
  <c r="I161" i="17412"/>
  <c r="H161" i="17412"/>
  <c r="F161" i="17412"/>
  <c r="G161" i="17412" s="1"/>
  <c r="C161" i="17412"/>
  <c r="I160" i="17412"/>
  <c r="H160" i="17412"/>
  <c r="F160" i="17412"/>
  <c r="C160" i="17412"/>
  <c r="I159" i="17412"/>
  <c r="H159" i="17412"/>
  <c r="F159" i="17412"/>
  <c r="C159" i="17412"/>
  <c r="I158" i="17412"/>
  <c r="H158" i="17412"/>
  <c r="F158" i="17412"/>
  <c r="G158" i="17412" s="1"/>
  <c r="C158" i="17412"/>
  <c r="I157" i="17412"/>
  <c r="H157" i="17412"/>
  <c r="F157" i="17412"/>
  <c r="G157" i="17412" s="1"/>
  <c r="C157" i="17412"/>
  <c r="I156" i="17412"/>
  <c r="H156" i="17412"/>
  <c r="F156" i="17412"/>
  <c r="C156" i="17412"/>
  <c r="I155" i="17412"/>
  <c r="H155" i="17412"/>
  <c r="F155" i="17412"/>
  <c r="G155" i="17412" s="1"/>
  <c r="I154" i="17412"/>
  <c r="H154" i="17412"/>
  <c r="F154" i="17412"/>
  <c r="G154" i="17412" s="1"/>
  <c r="I153" i="17412"/>
  <c r="H153" i="17412"/>
  <c r="F153" i="17412"/>
  <c r="G153" i="17412" s="1"/>
  <c r="C153" i="17412"/>
  <c r="I152" i="17412"/>
  <c r="H152" i="17412"/>
  <c r="F152" i="17412"/>
  <c r="G152" i="17412" s="1"/>
  <c r="C152" i="17412"/>
  <c r="I151" i="17412"/>
  <c r="H151" i="17412"/>
  <c r="F151" i="17412"/>
  <c r="G151" i="17412" s="1"/>
  <c r="C151" i="17412"/>
  <c r="I150" i="17412"/>
  <c r="H150" i="17412"/>
  <c r="F150" i="17412"/>
  <c r="I149" i="17412"/>
  <c r="H149" i="17412"/>
  <c r="F149" i="17412"/>
  <c r="G149" i="17412" s="1"/>
  <c r="C149" i="17412"/>
  <c r="I148" i="17412"/>
  <c r="H148" i="17412"/>
  <c r="F148" i="17412"/>
  <c r="G148" i="17412" s="1"/>
  <c r="I147" i="17412"/>
  <c r="H147" i="17412"/>
  <c r="F147" i="17412"/>
  <c r="G147" i="17412" s="1"/>
  <c r="C147" i="17412"/>
  <c r="I146" i="17412"/>
  <c r="H146" i="17412"/>
  <c r="F146" i="17412"/>
  <c r="G146" i="17412" s="1"/>
  <c r="C146" i="17412"/>
  <c r="I145" i="17412"/>
  <c r="H145" i="17412"/>
  <c r="F145" i="17412"/>
  <c r="G145" i="17412" s="1"/>
  <c r="C145" i="17412"/>
  <c r="I144" i="17412"/>
  <c r="H144" i="17412"/>
  <c r="F144" i="17412"/>
  <c r="C144" i="17412"/>
  <c r="I143" i="17412"/>
  <c r="H143" i="17412"/>
  <c r="F143" i="17412"/>
  <c r="G143" i="17412" s="1"/>
  <c r="C143" i="17412"/>
  <c r="I142" i="17412"/>
  <c r="H142" i="17412"/>
  <c r="F142" i="17412"/>
  <c r="G142" i="17412" s="1"/>
  <c r="C142" i="17412"/>
  <c r="I141" i="17412"/>
  <c r="H141" i="17412"/>
  <c r="F141" i="17412"/>
  <c r="G141" i="17412" s="1"/>
  <c r="C141" i="17412"/>
  <c r="I140" i="17412"/>
  <c r="H140" i="17412"/>
  <c r="F140" i="17412"/>
  <c r="C140" i="17412"/>
  <c r="I139" i="17412"/>
  <c r="H139" i="17412"/>
  <c r="F139" i="17412"/>
  <c r="C139" i="17412"/>
  <c r="I138" i="17412"/>
  <c r="H138" i="17412"/>
  <c r="F138" i="17412"/>
  <c r="G138" i="17412" s="1"/>
  <c r="I137" i="17412"/>
  <c r="H137" i="17412"/>
  <c r="F137" i="17412"/>
  <c r="I136" i="17412"/>
  <c r="H136" i="17412"/>
  <c r="F136" i="17412"/>
  <c r="C136" i="17412"/>
  <c r="I135" i="17412"/>
  <c r="H135" i="17412"/>
  <c r="F135" i="17412"/>
  <c r="G135" i="17412" s="1"/>
  <c r="I134" i="17412"/>
  <c r="H134" i="17412"/>
  <c r="F134" i="17412"/>
  <c r="G134" i="17412" s="1"/>
  <c r="I133" i="17412"/>
  <c r="H133" i="17412"/>
  <c r="F133" i="17412"/>
  <c r="G133" i="17412" s="1"/>
  <c r="C133" i="17412"/>
  <c r="I132" i="17412"/>
  <c r="H132" i="17412"/>
  <c r="F132" i="17412"/>
  <c r="C132" i="17412"/>
  <c r="I131" i="17412"/>
  <c r="H131" i="17412"/>
  <c r="F131" i="17412"/>
  <c r="G131" i="17412" s="1"/>
  <c r="C131" i="17412"/>
  <c r="I130" i="17412"/>
  <c r="H130" i="17412"/>
  <c r="F130" i="17412"/>
  <c r="C130" i="17412"/>
  <c r="I129" i="17412"/>
  <c r="H129" i="17412"/>
  <c r="F129" i="17412"/>
  <c r="I128" i="17412"/>
  <c r="H128" i="17412"/>
  <c r="F128" i="17412"/>
  <c r="G128" i="17412" s="1"/>
  <c r="C128" i="17412"/>
  <c r="I127" i="17412"/>
  <c r="H127" i="17412"/>
  <c r="F127" i="17412"/>
  <c r="C127" i="17412"/>
  <c r="I126" i="17412"/>
  <c r="H126" i="17412"/>
  <c r="F126" i="17412"/>
  <c r="G126" i="17412" s="1"/>
  <c r="C126" i="17412"/>
  <c r="I125" i="17412"/>
  <c r="H125" i="17412"/>
  <c r="F125" i="17412"/>
  <c r="I124" i="17412"/>
  <c r="H124" i="17412"/>
  <c r="F124" i="17412"/>
  <c r="C124" i="17412"/>
  <c r="I123" i="17412"/>
  <c r="H123" i="17412"/>
  <c r="F123" i="17412"/>
  <c r="G123" i="17412" s="1"/>
  <c r="C123" i="17412"/>
  <c r="I122" i="17412"/>
  <c r="H122" i="17412"/>
  <c r="F122" i="17412"/>
  <c r="C122" i="17412"/>
  <c r="I121" i="17412"/>
  <c r="H121" i="17412"/>
  <c r="F121" i="17412"/>
  <c r="G121" i="17412" s="1"/>
  <c r="C121" i="17412"/>
  <c r="I120" i="17412"/>
  <c r="H120" i="17412"/>
  <c r="F120" i="17412"/>
  <c r="C120" i="17412"/>
  <c r="I119" i="17412"/>
  <c r="H119" i="17412"/>
  <c r="F119" i="17412"/>
  <c r="G119" i="17412" s="1"/>
  <c r="I118" i="17412"/>
  <c r="H118" i="17412"/>
  <c r="F118" i="17412"/>
  <c r="G118" i="17412" s="1"/>
  <c r="C118" i="17412"/>
  <c r="I117" i="17412"/>
  <c r="H117" i="17412"/>
  <c r="F117" i="17412"/>
  <c r="I116" i="17412"/>
  <c r="H116" i="17412"/>
  <c r="F116" i="17412"/>
  <c r="G116" i="17412" s="1"/>
  <c r="C116" i="17412"/>
  <c r="I115" i="17412"/>
  <c r="H115" i="17412"/>
  <c r="F115" i="17412"/>
  <c r="G115" i="17412" s="1"/>
  <c r="I114" i="17412"/>
  <c r="H114" i="17412"/>
  <c r="F114" i="17412"/>
  <c r="G114" i="17412" s="1"/>
  <c r="C114" i="17412"/>
  <c r="I113" i="17412"/>
  <c r="H113" i="17412"/>
  <c r="F113" i="17412"/>
  <c r="G113" i="17412" s="1"/>
  <c r="C113" i="17412"/>
  <c r="I112" i="17412"/>
  <c r="H112" i="17412"/>
  <c r="F112" i="17412"/>
  <c r="G112" i="17412" s="1"/>
  <c r="C112" i="17412"/>
  <c r="I111" i="17412"/>
  <c r="H111" i="17412"/>
  <c r="F111" i="17412"/>
  <c r="G111" i="17412" s="1"/>
  <c r="I110" i="17412"/>
  <c r="H110" i="17412"/>
  <c r="F110" i="17412"/>
  <c r="G110" i="17412" s="1"/>
  <c r="C110" i="17412"/>
  <c r="I109" i="17412"/>
  <c r="H109" i="17412"/>
  <c r="F109" i="17412"/>
  <c r="G109" i="17412" s="1"/>
  <c r="C109" i="17412"/>
  <c r="I108" i="17412"/>
  <c r="H108" i="17412"/>
  <c r="F108" i="17412"/>
  <c r="C108" i="17412"/>
  <c r="I107" i="17412"/>
  <c r="H107" i="17412"/>
  <c r="F107" i="17412"/>
  <c r="C107" i="17412"/>
  <c r="I106" i="17412"/>
  <c r="H106" i="17412"/>
  <c r="F106" i="17412"/>
  <c r="G106" i="17412" s="1"/>
  <c r="C106" i="17412"/>
  <c r="I105" i="17412"/>
  <c r="H105" i="17412"/>
  <c r="F105" i="17412"/>
  <c r="G105" i="17412" s="1"/>
  <c r="C105" i="17412"/>
  <c r="I104" i="17412"/>
  <c r="H104" i="17412"/>
  <c r="F104" i="17412"/>
  <c r="G104" i="17412" s="1"/>
  <c r="C104" i="17412"/>
  <c r="I103" i="17412"/>
  <c r="H103" i="17412"/>
  <c r="F103" i="17412"/>
  <c r="G103" i="17412" s="1"/>
  <c r="C103" i="17412"/>
  <c r="I102" i="17412"/>
  <c r="H102" i="17412"/>
  <c r="F102" i="17412"/>
  <c r="G102" i="17412" s="1"/>
  <c r="C102" i="17412"/>
  <c r="I101" i="17412"/>
  <c r="H101" i="17412"/>
  <c r="F101" i="17412"/>
  <c r="G101" i="17412" s="1"/>
  <c r="C101" i="17412"/>
  <c r="I100" i="17412"/>
  <c r="H100" i="17412"/>
  <c r="F100" i="17412"/>
  <c r="I99" i="17412"/>
  <c r="H99" i="17412"/>
  <c r="F99" i="17412"/>
  <c r="G99" i="17412" s="1"/>
  <c r="C99" i="17412"/>
  <c r="I98" i="17412"/>
  <c r="H98" i="17412"/>
  <c r="F98" i="17412"/>
  <c r="C98" i="17412"/>
  <c r="I97" i="17412"/>
  <c r="H97" i="17412"/>
  <c r="F97" i="17412"/>
  <c r="G97" i="17412" s="1"/>
  <c r="C97" i="17412"/>
  <c r="I96" i="17412"/>
  <c r="H96" i="17412"/>
  <c r="F96" i="17412"/>
  <c r="C96" i="17412"/>
  <c r="I95" i="17412"/>
  <c r="H95" i="17412"/>
  <c r="F95" i="17412"/>
  <c r="G95" i="17412" s="1"/>
  <c r="C95" i="17412"/>
  <c r="I94" i="17412"/>
  <c r="H94" i="17412"/>
  <c r="F94" i="17412"/>
  <c r="G94" i="17412" s="1"/>
  <c r="D94" i="17412" s="1"/>
  <c r="F1546" i="1" s="1"/>
  <c r="L1317" i="13" s="1"/>
  <c r="C94" i="17412"/>
  <c r="I93" i="17412"/>
  <c r="H93" i="17412"/>
  <c r="F93" i="17412"/>
  <c r="C93" i="17412"/>
  <c r="I92" i="17412"/>
  <c r="H92" i="17412"/>
  <c r="F92" i="17412"/>
  <c r="C92" i="17412"/>
  <c r="I91" i="17412"/>
  <c r="H91" i="17412"/>
  <c r="F91" i="17412"/>
  <c r="G91" i="17412" s="1"/>
  <c r="I90" i="17412"/>
  <c r="H90" i="17412"/>
  <c r="F90" i="17412"/>
  <c r="C90" i="17412"/>
  <c r="I89" i="17412"/>
  <c r="H89" i="17412"/>
  <c r="F89" i="17412"/>
  <c r="G89" i="17412" s="1"/>
  <c r="C89" i="17412"/>
  <c r="I88" i="17412"/>
  <c r="H88" i="17412"/>
  <c r="F88" i="17412"/>
  <c r="G88" i="17412" s="1"/>
  <c r="I87" i="17412"/>
  <c r="H87" i="17412"/>
  <c r="F87" i="17412"/>
  <c r="C87" i="17412"/>
  <c r="I86" i="17412"/>
  <c r="H86" i="17412"/>
  <c r="F86" i="17412"/>
  <c r="C86" i="17412"/>
  <c r="I85" i="17412"/>
  <c r="H85" i="17412"/>
  <c r="F85" i="17412"/>
  <c r="G85" i="17412" s="1"/>
  <c r="C85" i="17412"/>
  <c r="I84" i="17412"/>
  <c r="H84" i="17412"/>
  <c r="F84" i="17412"/>
  <c r="G84" i="17412" s="1"/>
  <c r="C84" i="17412"/>
  <c r="I83" i="17412"/>
  <c r="H83" i="17412"/>
  <c r="F83" i="17412"/>
  <c r="G83" i="17412" s="1"/>
  <c r="I82" i="17412"/>
  <c r="H82" i="17412"/>
  <c r="F82" i="17412"/>
  <c r="G82" i="17412" s="1"/>
  <c r="I81" i="17412"/>
  <c r="H81" i="17412"/>
  <c r="F81" i="17412"/>
  <c r="G81" i="17412" s="1"/>
  <c r="C81" i="17412"/>
  <c r="I80" i="17412"/>
  <c r="H80" i="17412"/>
  <c r="F80" i="17412"/>
  <c r="C80" i="17412"/>
  <c r="I79" i="17412"/>
  <c r="H79" i="17412"/>
  <c r="F79" i="17412"/>
  <c r="G79" i="17412" s="1"/>
  <c r="C79" i="17412"/>
  <c r="I78" i="17412"/>
  <c r="H78" i="17412"/>
  <c r="F78" i="17412"/>
  <c r="G78" i="17412" s="1"/>
  <c r="C78" i="17412"/>
  <c r="I77" i="17412"/>
  <c r="H77" i="17412"/>
  <c r="F77" i="17412"/>
  <c r="I76" i="17412"/>
  <c r="H76" i="17412"/>
  <c r="F76" i="17412"/>
  <c r="G76" i="17412" s="1"/>
  <c r="I75" i="17412"/>
  <c r="H75" i="17412"/>
  <c r="F75" i="17412"/>
  <c r="C75" i="17412"/>
  <c r="I74" i="17412"/>
  <c r="H74" i="17412"/>
  <c r="F74" i="17412"/>
  <c r="G74" i="17412" s="1"/>
  <c r="C74" i="17412"/>
  <c r="I73" i="17412"/>
  <c r="H73" i="17412"/>
  <c r="F73" i="17412"/>
  <c r="G73" i="17412" s="1"/>
  <c r="C73" i="17412"/>
  <c r="I72" i="17412"/>
  <c r="H72" i="17412"/>
  <c r="F72" i="17412"/>
  <c r="G72" i="17412" s="1"/>
  <c r="C72" i="17412"/>
  <c r="I71" i="17412"/>
  <c r="H71" i="17412"/>
  <c r="F71" i="17412"/>
  <c r="G71" i="17412" s="1"/>
  <c r="C71" i="17412"/>
  <c r="I70" i="17412"/>
  <c r="H70" i="17412"/>
  <c r="F70" i="17412"/>
  <c r="G70" i="17412" s="1"/>
  <c r="C70" i="17412"/>
  <c r="I69" i="17412"/>
  <c r="H69" i="17412"/>
  <c r="F69" i="17412"/>
  <c r="G69" i="17412" s="1"/>
  <c r="C69" i="17412"/>
  <c r="I68" i="17412"/>
  <c r="H68" i="17412"/>
  <c r="F68" i="17412"/>
  <c r="C68" i="17412"/>
  <c r="I67" i="17412"/>
  <c r="H67" i="17412"/>
  <c r="F67" i="17412"/>
  <c r="C67" i="17412"/>
  <c r="I66" i="17412"/>
  <c r="H66" i="17412"/>
  <c r="F66" i="17412"/>
  <c r="G66" i="17412" s="1"/>
  <c r="C66" i="17412"/>
  <c r="I65" i="17412"/>
  <c r="H65" i="17412"/>
  <c r="F65" i="17412"/>
  <c r="I64" i="17412"/>
  <c r="H64" i="17412"/>
  <c r="F64" i="17412"/>
  <c r="C64" i="17412"/>
  <c r="I63" i="17412"/>
  <c r="H63" i="17412"/>
  <c r="F63" i="17412"/>
  <c r="G63" i="17412" s="1"/>
  <c r="I62" i="17412"/>
  <c r="H62" i="17412"/>
  <c r="F62" i="17412"/>
  <c r="C62" i="17412"/>
  <c r="I61" i="17412"/>
  <c r="H61" i="17412"/>
  <c r="F61" i="17412"/>
  <c r="G61" i="17412" s="1"/>
  <c r="C61" i="17412"/>
  <c r="I60" i="17412"/>
  <c r="H60" i="17412"/>
  <c r="F60" i="17412"/>
  <c r="G60" i="17412" s="1"/>
  <c r="C60" i="17412"/>
  <c r="I59" i="17412"/>
  <c r="H59" i="17412"/>
  <c r="G59" i="17412"/>
  <c r="F59" i="17412"/>
  <c r="C59" i="17412"/>
  <c r="I58" i="17412"/>
  <c r="H58" i="17412"/>
  <c r="F58" i="17412"/>
  <c r="I57" i="17412"/>
  <c r="H57" i="17412"/>
  <c r="F57" i="17412"/>
  <c r="G57" i="17412" s="1"/>
  <c r="I56" i="17412"/>
  <c r="H56" i="17412"/>
  <c r="F56" i="17412"/>
  <c r="I55" i="17412"/>
  <c r="H55" i="17412"/>
  <c r="F55" i="17412"/>
  <c r="G55" i="17412" s="1"/>
  <c r="C55" i="17412"/>
  <c r="I54" i="17412"/>
  <c r="H54" i="17412"/>
  <c r="F54" i="17412"/>
  <c r="G54" i="17412" s="1"/>
  <c r="I53" i="17412"/>
  <c r="H53" i="17412"/>
  <c r="F53" i="17412"/>
  <c r="G53" i="17412" s="1"/>
  <c r="C53" i="17412"/>
  <c r="I52" i="17412"/>
  <c r="H52" i="17412"/>
  <c r="F52" i="17412"/>
  <c r="G52" i="17412" s="1"/>
  <c r="C52" i="17412"/>
  <c r="I51" i="17412"/>
  <c r="H51" i="17412"/>
  <c r="F51" i="17412"/>
  <c r="G51" i="17412" s="1"/>
  <c r="C51" i="17412"/>
  <c r="I50" i="17412"/>
  <c r="H50" i="17412"/>
  <c r="F50" i="17412"/>
  <c r="I49" i="17412"/>
  <c r="H49" i="17412"/>
  <c r="F49" i="17412"/>
  <c r="G49" i="17412" s="1"/>
  <c r="I48" i="17412"/>
  <c r="H48" i="17412"/>
  <c r="F48" i="17412"/>
  <c r="I47" i="17412"/>
  <c r="H47" i="17412"/>
  <c r="F47" i="17412"/>
  <c r="G47" i="17412" s="1"/>
  <c r="I46" i="17412"/>
  <c r="H46" i="17412"/>
  <c r="F46" i="17412"/>
  <c r="C46" i="17412"/>
  <c r="I45" i="17412"/>
  <c r="H45" i="17412"/>
  <c r="F45" i="17412"/>
  <c r="C45" i="17412"/>
  <c r="I44" i="17412"/>
  <c r="H44" i="17412"/>
  <c r="F44" i="17412"/>
  <c r="G44" i="17412" s="1"/>
  <c r="C44" i="17412"/>
  <c r="I43" i="17412"/>
  <c r="H43" i="17412"/>
  <c r="F43" i="17412"/>
  <c r="C43" i="17412"/>
  <c r="I42" i="17412"/>
  <c r="H42" i="17412"/>
  <c r="F42" i="17412"/>
  <c r="C42" i="17412"/>
  <c r="I41" i="17412"/>
  <c r="H41" i="17412"/>
  <c r="F41" i="17412"/>
  <c r="G41" i="17412" s="1"/>
  <c r="I40" i="17412"/>
  <c r="H40" i="17412"/>
  <c r="F40" i="17412"/>
  <c r="C40" i="17412"/>
  <c r="I39" i="17412"/>
  <c r="H39" i="17412"/>
  <c r="F39" i="17412"/>
  <c r="C39" i="17412"/>
  <c r="I38" i="17412"/>
  <c r="H38" i="17412"/>
  <c r="F38" i="17412"/>
  <c r="C38" i="17412"/>
  <c r="I37" i="17412"/>
  <c r="H37" i="17412"/>
  <c r="F37" i="17412"/>
  <c r="G37" i="17412" s="1"/>
  <c r="I36" i="17412"/>
  <c r="H36" i="17412"/>
  <c r="F36" i="17412"/>
  <c r="C36" i="17412"/>
  <c r="I35" i="17412"/>
  <c r="H35" i="17412"/>
  <c r="F35" i="17412"/>
  <c r="I34" i="17412"/>
  <c r="H34" i="17412"/>
  <c r="F34" i="17412"/>
  <c r="G34" i="17412" s="1"/>
  <c r="C34" i="17412"/>
  <c r="I33" i="17412"/>
  <c r="H33" i="17412"/>
  <c r="F33" i="17412"/>
  <c r="I32" i="17412"/>
  <c r="H32" i="17412"/>
  <c r="F32" i="17412"/>
  <c r="G32" i="17412" s="1"/>
  <c r="C32" i="17412"/>
  <c r="I31" i="17412"/>
  <c r="H31" i="17412"/>
  <c r="F31" i="17412"/>
  <c r="G31" i="17412" s="1"/>
  <c r="C31" i="17412"/>
  <c r="I30" i="17412"/>
  <c r="H30" i="17412"/>
  <c r="F30" i="17412"/>
  <c r="I29" i="17412"/>
  <c r="H29" i="17412"/>
  <c r="F29" i="17412"/>
  <c r="G29" i="17412" s="1"/>
  <c r="C29" i="17412"/>
  <c r="I28" i="17412"/>
  <c r="H28" i="17412"/>
  <c r="F28" i="17412"/>
  <c r="G28" i="17412" s="1"/>
  <c r="C28" i="17412"/>
  <c r="I27" i="17412"/>
  <c r="H27" i="17412"/>
  <c r="F27" i="17412"/>
  <c r="C27" i="17412"/>
  <c r="I26" i="17412"/>
  <c r="H26" i="17412"/>
  <c r="F26" i="17412"/>
  <c r="C26" i="17412"/>
  <c r="I25" i="17412"/>
  <c r="H25" i="17412"/>
  <c r="F25" i="17412"/>
  <c r="G25" i="17412" s="1"/>
  <c r="I24" i="17412"/>
  <c r="H24" i="17412"/>
  <c r="F24" i="17412"/>
  <c r="C24" i="17412"/>
  <c r="I23" i="17412"/>
  <c r="H23" i="17412"/>
  <c r="F23" i="17412"/>
  <c r="G23" i="17412" s="1"/>
  <c r="C23" i="17412"/>
  <c r="I22" i="17412"/>
  <c r="H22" i="17412"/>
  <c r="F22" i="17412"/>
  <c r="G22" i="17412" s="1"/>
  <c r="C22" i="17412"/>
  <c r="I21" i="17412"/>
  <c r="H21" i="17412"/>
  <c r="F21" i="17412"/>
  <c r="G21" i="17412" s="1"/>
  <c r="I20" i="17412"/>
  <c r="H20" i="17412"/>
  <c r="F20" i="17412"/>
  <c r="G20" i="17412" s="1"/>
  <c r="C20" i="17412"/>
  <c r="I19" i="17412"/>
  <c r="H19" i="17412"/>
  <c r="F19" i="17412"/>
  <c r="G19" i="17412" s="1"/>
  <c r="C19" i="17412"/>
  <c r="I18" i="17412"/>
  <c r="H18" i="17412"/>
  <c r="F18" i="17412"/>
  <c r="G18" i="17412" s="1"/>
  <c r="I17" i="17412"/>
  <c r="H17" i="17412"/>
  <c r="F17" i="17412"/>
  <c r="G17" i="17412" s="1"/>
  <c r="I16" i="17412"/>
  <c r="H16" i="17412"/>
  <c r="F16" i="17412"/>
  <c r="C16" i="17412"/>
  <c r="I15" i="17412"/>
  <c r="H15" i="17412"/>
  <c r="F15" i="17412"/>
  <c r="C15" i="17412"/>
  <c r="I14" i="17412"/>
  <c r="H14" i="17412"/>
  <c r="F14" i="17412"/>
  <c r="G14" i="17412" s="1"/>
  <c r="I13" i="17412"/>
  <c r="H13" i="17412"/>
  <c r="F13" i="17412"/>
  <c r="I12" i="17412"/>
  <c r="H12" i="17412"/>
  <c r="F12" i="17412"/>
  <c r="C12" i="17412"/>
  <c r="I11" i="17412"/>
  <c r="H11" i="17412"/>
  <c r="F11" i="17412"/>
  <c r="G11" i="17412" s="1"/>
  <c r="C11" i="17412"/>
  <c r="I10" i="17412"/>
  <c r="H10" i="17412"/>
  <c r="F10" i="17412"/>
  <c r="I9" i="17412"/>
  <c r="H9" i="17412"/>
  <c r="F9" i="17412"/>
  <c r="C9" i="17412"/>
  <c r="I8" i="17412"/>
  <c r="H8" i="17412"/>
  <c r="F8" i="17412"/>
  <c r="G8" i="17412" s="1"/>
  <c r="C8" i="17412"/>
  <c r="I7" i="17412"/>
  <c r="H7" i="17412"/>
  <c r="F7" i="17412"/>
  <c r="I6" i="17412"/>
  <c r="H6" i="17412"/>
  <c r="F6" i="17412"/>
  <c r="C6" i="17412"/>
  <c r="O38" i="12"/>
  <c r="K35" i="12"/>
  <c r="J35" i="12"/>
  <c r="I35" i="12"/>
  <c r="H35" i="12"/>
  <c r="K34" i="12"/>
  <c r="J34" i="12"/>
  <c r="I34" i="12"/>
  <c r="H34" i="12"/>
  <c r="K33" i="12"/>
  <c r="J33" i="12"/>
  <c r="I33" i="12"/>
  <c r="H33" i="12"/>
  <c r="O32" i="12"/>
  <c r="K32" i="12"/>
  <c r="J32" i="12"/>
  <c r="I32" i="12"/>
  <c r="H32" i="12"/>
  <c r="K31" i="12"/>
  <c r="J31" i="12"/>
  <c r="I31" i="12"/>
  <c r="H31" i="12"/>
  <c r="K30" i="12"/>
  <c r="J30" i="12"/>
  <c r="I30" i="12"/>
  <c r="H30" i="12"/>
  <c r="K29" i="12"/>
  <c r="J29" i="12"/>
  <c r="I29" i="12"/>
  <c r="H29" i="12"/>
  <c r="K28" i="12"/>
  <c r="J28" i="12"/>
  <c r="I28" i="12"/>
  <c r="H28" i="12"/>
  <c r="O27" i="12"/>
  <c r="K27" i="12"/>
  <c r="J27" i="12"/>
  <c r="I27" i="12"/>
  <c r="H27" i="12"/>
  <c r="F26" i="12"/>
  <c r="I26" i="12" s="1"/>
  <c r="K18" i="12"/>
  <c r="J18" i="12"/>
  <c r="I18" i="12"/>
  <c r="H18" i="12"/>
  <c r="N17" i="12"/>
  <c r="O17" i="12" s="1"/>
  <c r="N16" i="12"/>
  <c r="N15" i="12"/>
  <c r="F14" i="12"/>
  <c r="I14" i="12" s="1"/>
  <c r="K13" i="12"/>
  <c r="J13" i="12"/>
  <c r="I13" i="12"/>
  <c r="H13" i="12"/>
  <c r="L66" i="14"/>
  <c r="L65" i="14"/>
  <c r="L64" i="14"/>
  <c r="L63" i="14"/>
  <c r="L62" i="14"/>
  <c r="L61" i="14"/>
  <c r="E61" i="14"/>
  <c r="H61" i="14" s="1"/>
  <c r="N61" i="14" s="1"/>
  <c r="L60" i="14"/>
  <c r="L59" i="14"/>
  <c r="L58" i="14"/>
  <c r="L57" i="14"/>
  <c r="L56" i="14"/>
  <c r="L55" i="14"/>
  <c r="L54" i="14"/>
  <c r="L53" i="14"/>
  <c r="L52" i="14"/>
  <c r="L51" i="14"/>
  <c r="E51" i="14"/>
  <c r="F51" i="14" s="1"/>
  <c r="L50" i="14"/>
  <c r="L49" i="14"/>
  <c r="L48" i="14"/>
  <c r="L47" i="14"/>
  <c r="L46" i="14"/>
  <c r="L45" i="14"/>
  <c r="L44" i="14"/>
  <c r="L43" i="14"/>
  <c r="L42" i="14"/>
  <c r="L41" i="14"/>
  <c r="E41" i="14"/>
  <c r="F41" i="14" s="1"/>
  <c r="G41" i="14" s="1"/>
  <c r="L40" i="14"/>
  <c r="L39" i="14"/>
  <c r="L38" i="14"/>
  <c r="L37" i="14"/>
  <c r="L36" i="14"/>
  <c r="L35" i="14"/>
  <c r="L34" i="14"/>
  <c r="L33" i="14"/>
  <c r="L32" i="14"/>
  <c r="L31" i="14"/>
  <c r="E31" i="14"/>
  <c r="H31" i="14" s="1"/>
  <c r="N31" i="14" s="1"/>
  <c r="L30" i="14"/>
  <c r="L29" i="14"/>
  <c r="L28" i="14"/>
  <c r="L27" i="14"/>
  <c r="L26" i="14"/>
  <c r="L25" i="14"/>
  <c r="L24" i="14"/>
  <c r="L23" i="14"/>
  <c r="L22" i="14"/>
  <c r="L21" i="14"/>
  <c r="E21" i="14"/>
  <c r="H21" i="14" s="1"/>
  <c r="N21" i="14" s="1"/>
  <c r="L20" i="14"/>
  <c r="L19" i="14"/>
  <c r="L18" i="14"/>
  <c r="L17" i="14"/>
  <c r="L16" i="14"/>
  <c r="L15" i="14"/>
  <c r="L14" i="14"/>
  <c r="L13" i="14"/>
  <c r="E13" i="14"/>
  <c r="F13" i="14" s="1"/>
  <c r="G13" i="14" s="1"/>
  <c r="M13" i="14" s="1"/>
  <c r="L12" i="14"/>
  <c r="E12" i="14"/>
  <c r="H12" i="14" s="1"/>
  <c r="N12" i="14" s="1"/>
  <c r="L11" i="14"/>
  <c r="E11" i="14"/>
  <c r="E15" i="14" s="1"/>
  <c r="L10" i="14"/>
  <c r="H10" i="14"/>
  <c r="N10" i="14" s="1"/>
  <c r="F10" i="14"/>
  <c r="G10" i="14" s="1"/>
  <c r="L9" i="14"/>
  <c r="L8" i="14"/>
  <c r="H8" i="14"/>
  <c r="N8" i="14" s="1"/>
  <c r="F8" i="14"/>
  <c r="G8" i="14" s="1"/>
  <c r="J8" i="14" s="1"/>
  <c r="L7" i="14"/>
  <c r="F7" i="14"/>
  <c r="F34" i="17419"/>
  <c r="F33" i="17419"/>
  <c r="E289" i="17418"/>
  <c r="E288" i="17418"/>
  <c r="E287" i="17418"/>
  <c r="E286" i="17418"/>
  <c r="E285" i="17418"/>
  <c r="E284" i="17418"/>
  <c r="E283" i="17418"/>
  <c r="E282" i="17418"/>
  <c r="E281" i="17418"/>
  <c r="E280" i="17418"/>
  <c r="E279" i="17418"/>
  <c r="E278" i="17418"/>
  <c r="E277" i="17418"/>
  <c r="E276" i="17418"/>
  <c r="E275" i="17418"/>
  <c r="E274" i="17418"/>
  <c r="E273" i="17418"/>
  <c r="E272" i="17418"/>
  <c r="E271" i="17418"/>
  <c r="E270" i="17418"/>
  <c r="E269" i="17418"/>
  <c r="E268" i="17418"/>
  <c r="E267" i="17418"/>
  <c r="E266" i="17418"/>
  <c r="E265" i="17418"/>
  <c r="E264" i="17418"/>
  <c r="E263" i="17418"/>
  <c r="E262" i="17418"/>
  <c r="E261" i="17418"/>
  <c r="E260" i="17418"/>
  <c r="E259" i="17418"/>
  <c r="E258" i="17418"/>
  <c r="E257" i="17418"/>
  <c r="E256" i="17418"/>
  <c r="E255" i="17418"/>
  <c r="E254" i="17418"/>
  <c r="E253" i="17418"/>
  <c r="E252" i="17418"/>
  <c r="E251" i="17418"/>
  <c r="E250" i="17418"/>
  <c r="E249" i="17418"/>
  <c r="E248" i="17418"/>
  <c r="E247" i="17418"/>
  <c r="E246" i="17418"/>
  <c r="E245" i="17418"/>
  <c r="E244" i="17418"/>
  <c r="E243" i="17418"/>
  <c r="E242" i="17418"/>
  <c r="E241" i="17418"/>
  <c r="E240" i="17418"/>
  <c r="E239" i="17418"/>
  <c r="E238" i="17418"/>
  <c r="O60" i="17418"/>
  <c r="P59" i="17418"/>
  <c r="O59" i="17418"/>
  <c r="O58" i="17418"/>
  <c r="P57" i="17418"/>
  <c r="O57" i="17418"/>
  <c r="O56" i="17418"/>
  <c r="O55" i="17418"/>
  <c r="O54" i="17418"/>
  <c r="O53" i="17418"/>
  <c r="O52" i="17418"/>
  <c r="O51" i="17418"/>
  <c r="O50" i="17418"/>
  <c r="O49" i="17418"/>
  <c r="O48" i="17418"/>
  <c r="O47" i="17418"/>
  <c r="O46" i="17418"/>
  <c r="O45" i="17418"/>
  <c r="O44" i="17418"/>
  <c r="O43" i="17418"/>
  <c r="P42" i="17418"/>
  <c r="O42" i="17418"/>
  <c r="O41" i="17418"/>
  <c r="P40" i="17418"/>
  <c r="O40" i="17418"/>
  <c r="O39" i="17418"/>
  <c r="P38" i="17418"/>
  <c r="O38" i="17418"/>
  <c r="O37" i="17418"/>
  <c r="L37" i="17418"/>
  <c r="P36" i="17418"/>
  <c r="O36" i="17418"/>
  <c r="L36" i="17418"/>
  <c r="P35" i="17418"/>
  <c r="O35" i="17418"/>
  <c r="O34" i="17418"/>
  <c r="P33" i="17418"/>
  <c r="O33" i="17418"/>
  <c r="L32" i="17418"/>
  <c r="P31" i="17418"/>
  <c r="O31" i="17418"/>
  <c r="P30" i="17418"/>
  <c r="O30" i="17418"/>
  <c r="P29" i="17418"/>
  <c r="O29" i="17418"/>
  <c r="O28" i="17418"/>
  <c r="L20" i="17418"/>
  <c r="L19" i="17418"/>
  <c r="L18" i="17418"/>
  <c r="L17" i="17418"/>
  <c r="L16" i="17418"/>
  <c r="G11" i="17418"/>
  <c r="H11" i="17418" s="1"/>
  <c r="I11" i="17418" s="1"/>
  <c r="J11" i="17418" s="1"/>
  <c r="F4" i="17418"/>
  <c r="F3" i="17418"/>
  <c r="F2" i="17418"/>
  <c r="M14" i="17417"/>
  <c r="M13" i="17417"/>
  <c r="M12" i="17417"/>
  <c r="M11" i="17417"/>
  <c r="M10" i="17417"/>
  <c r="M9" i="17417"/>
  <c r="M8" i="17417"/>
  <c r="M7" i="17417"/>
  <c r="M6" i="17417"/>
  <c r="M5" i="17417"/>
  <c r="M4" i="17417"/>
  <c r="M3" i="17417"/>
  <c r="M2" i="17417"/>
  <c r="E41" i="17413"/>
  <c r="E40" i="17413"/>
  <c r="G35" i="17413"/>
  <c r="F35" i="17413" s="1"/>
  <c r="G34" i="17413"/>
  <c r="F34" i="17413" s="1"/>
  <c r="G33" i="17413"/>
  <c r="F33" i="17413" s="1"/>
  <c r="G32" i="17413"/>
  <c r="G31" i="17413"/>
  <c r="E31" i="17413"/>
  <c r="G30" i="17413"/>
  <c r="E30" i="17413"/>
  <c r="G29" i="17413"/>
  <c r="E29" i="17413"/>
  <c r="G28" i="17413"/>
  <c r="E28" i="17413"/>
  <c r="G27" i="17413"/>
  <c r="E27" i="17413"/>
  <c r="G26" i="17413"/>
  <c r="E26" i="17413"/>
  <c r="E25" i="17413"/>
  <c r="E24" i="17413"/>
  <c r="E15" i="17413"/>
  <c r="E14" i="17413"/>
  <c r="E13" i="17413"/>
  <c r="E12" i="17413"/>
  <c r="E11" i="17413"/>
  <c r="E10" i="17413"/>
  <c r="B4" i="17413"/>
  <c r="B3" i="17413"/>
  <c r="B2" i="17413"/>
  <c r="B4" i="17419" s="1"/>
  <c r="J106" i="10"/>
  <c r="H106" i="10"/>
  <c r="F106" i="10"/>
  <c r="E106" i="10"/>
  <c r="D106" i="10"/>
  <c r="C106" i="10"/>
  <c r="J105" i="10"/>
  <c r="H105" i="10"/>
  <c r="F105" i="10"/>
  <c r="E105" i="10"/>
  <c r="D105" i="10"/>
  <c r="C105" i="10"/>
  <c r="J104" i="10"/>
  <c r="H104" i="10"/>
  <c r="F104" i="10"/>
  <c r="E104" i="10"/>
  <c r="D104" i="10"/>
  <c r="C104" i="10"/>
  <c r="J103" i="10"/>
  <c r="H103" i="10"/>
  <c r="F103" i="10"/>
  <c r="E103" i="10"/>
  <c r="D103" i="10"/>
  <c r="C103" i="10"/>
  <c r="J102" i="10"/>
  <c r="H102" i="10"/>
  <c r="F102" i="10"/>
  <c r="E102" i="10"/>
  <c r="D102" i="10"/>
  <c r="C102" i="10"/>
  <c r="J101" i="10"/>
  <c r="H101" i="10"/>
  <c r="F101" i="10"/>
  <c r="E101" i="10"/>
  <c r="D101" i="10"/>
  <c r="C101" i="10"/>
  <c r="J100" i="10"/>
  <c r="H100" i="10"/>
  <c r="F100" i="10"/>
  <c r="E100" i="10"/>
  <c r="D100" i="10"/>
  <c r="C100" i="10"/>
  <c r="J99" i="10"/>
  <c r="H99" i="10"/>
  <c r="F99" i="10"/>
  <c r="E99" i="10"/>
  <c r="D99" i="10"/>
  <c r="C99" i="10"/>
  <c r="J98" i="10"/>
  <c r="H98" i="10"/>
  <c r="F98" i="10"/>
  <c r="E98" i="10"/>
  <c r="D98" i="10"/>
  <c r="C98" i="10"/>
  <c r="J97" i="10"/>
  <c r="H97" i="10"/>
  <c r="F97" i="10"/>
  <c r="E97" i="10"/>
  <c r="D97" i="10"/>
  <c r="C97" i="10"/>
  <c r="J96" i="10"/>
  <c r="H96" i="10"/>
  <c r="F96" i="10"/>
  <c r="E96" i="10"/>
  <c r="D96" i="10"/>
  <c r="C96" i="10"/>
  <c r="J95" i="10"/>
  <c r="H95" i="10"/>
  <c r="F95" i="10"/>
  <c r="E95" i="10"/>
  <c r="D95" i="10"/>
  <c r="C95" i="10"/>
  <c r="J94" i="10"/>
  <c r="H94" i="10"/>
  <c r="F94" i="10"/>
  <c r="E94" i="10"/>
  <c r="D94" i="10"/>
  <c r="C94" i="10"/>
  <c r="J93" i="10"/>
  <c r="H93" i="10"/>
  <c r="F93" i="10"/>
  <c r="E93" i="10"/>
  <c r="D93" i="10"/>
  <c r="C93" i="10"/>
  <c r="J92" i="10"/>
  <c r="H92" i="10"/>
  <c r="F92" i="10"/>
  <c r="E92" i="10"/>
  <c r="D92" i="10"/>
  <c r="C92" i="10"/>
  <c r="J91" i="10"/>
  <c r="H91" i="10"/>
  <c r="F91" i="10"/>
  <c r="E91" i="10"/>
  <c r="D91" i="10"/>
  <c r="C91" i="10"/>
  <c r="J90" i="10"/>
  <c r="H90" i="10"/>
  <c r="F90" i="10"/>
  <c r="E90" i="10"/>
  <c r="D90" i="10"/>
  <c r="C90" i="10"/>
  <c r="J89" i="10"/>
  <c r="H89" i="10"/>
  <c r="F89" i="10"/>
  <c r="E89" i="10"/>
  <c r="D89" i="10"/>
  <c r="C89" i="10"/>
  <c r="J88" i="10"/>
  <c r="H88" i="10"/>
  <c r="F88" i="10"/>
  <c r="E88" i="10"/>
  <c r="D88" i="10"/>
  <c r="C88" i="10"/>
  <c r="J87" i="10"/>
  <c r="H87" i="10"/>
  <c r="F87" i="10"/>
  <c r="E87" i="10"/>
  <c r="D87" i="10"/>
  <c r="C87" i="10"/>
  <c r="J86" i="10"/>
  <c r="H86" i="10"/>
  <c r="F86" i="10"/>
  <c r="E86" i="10"/>
  <c r="D86" i="10"/>
  <c r="C86" i="10"/>
  <c r="J85" i="10"/>
  <c r="H85" i="10"/>
  <c r="F85" i="10"/>
  <c r="E85" i="10"/>
  <c r="D85" i="10"/>
  <c r="C85" i="10"/>
  <c r="J84" i="10"/>
  <c r="H84" i="10"/>
  <c r="F84" i="10"/>
  <c r="E84" i="10"/>
  <c r="D84" i="10"/>
  <c r="C84" i="10"/>
  <c r="J83" i="10"/>
  <c r="H83" i="10"/>
  <c r="F83" i="10"/>
  <c r="E83" i="10"/>
  <c r="D83" i="10"/>
  <c r="C83" i="10"/>
  <c r="J82" i="10"/>
  <c r="H82" i="10"/>
  <c r="F82" i="10"/>
  <c r="E82" i="10"/>
  <c r="D82" i="10"/>
  <c r="C82" i="10"/>
  <c r="J81" i="10"/>
  <c r="H81" i="10"/>
  <c r="F81" i="10"/>
  <c r="E81" i="10"/>
  <c r="D81" i="10"/>
  <c r="C81" i="10"/>
  <c r="J80" i="10"/>
  <c r="H80" i="10"/>
  <c r="F80" i="10"/>
  <c r="E80" i="10"/>
  <c r="D80" i="10"/>
  <c r="C80" i="10"/>
  <c r="J79" i="10"/>
  <c r="H79" i="10"/>
  <c r="F79" i="10"/>
  <c r="E79" i="10"/>
  <c r="D79" i="10"/>
  <c r="C79" i="10"/>
  <c r="J78" i="10"/>
  <c r="H78" i="10"/>
  <c r="F78" i="10"/>
  <c r="E78" i="10"/>
  <c r="D78" i="10"/>
  <c r="C78" i="10"/>
  <c r="J77" i="10"/>
  <c r="H77" i="10"/>
  <c r="F77" i="10"/>
  <c r="E77" i="10"/>
  <c r="D77" i="10"/>
  <c r="C77" i="10"/>
  <c r="J76" i="10"/>
  <c r="H76" i="10"/>
  <c r="F76" i="10"/>
  <c r="E76" i="10"/>
  <c r="D76" i="10"/>
  <c r="C76" i="10"/>
  <c r="J75" i="10"/>
  <c r="H75" i="10"/>
  <c r="F75" i="10"/>
  <c r="E75" i="10"/>
  <c r="D75" i="10"/>
  <c r="C75" i="10"/>
  <c r="J74" i="10"/>
  <c r="H74" i="10"/>
  <c r="F74" i="10"/>
  <c r="E74" i="10"/>
  <c r="D74" i="10"/>
  <c r="C74" i="10"/>
  <c r="J73" i="10"/>
  <c r="H73" i="10"/>
  <c r="F73" i="10"/>
  <c r="E73" i="10"/>
  <c r="D73" i="10"/>
  <c r="C73" i="10"/>
  <c r="J72" i="10"/>
  <c r="H72" i="10"/>
  <c r="F72" i="10"/>
  <c r="E72" i="10"/>
  <c r="D72" i="10"/>
  <c r="C72" i="10"/>
  <c r="J71" i="10"/>
  <c r="H71" i="10"/>
  <c r="F71" i="10"/>
  <c r="E71" i="10"/>
  <c r="D71" i="10"/>
  <c r="C71" i="10"/>
  <c r="J70" i="10"/>
  <c r="H70" i="10"/>
  <c r="F70" i="10"/>
  <c r="E70" i="10"/>
  <c r="D70" i="10"/>
  <c r="C70" i="10"/>
  <c r="J69" i="10"/>
  <c r="H69" i="10"/>
  <c r="F69" i="10"/>
  <c r="E69" i="10"/>
  <c r="D69" i="10"/>
  <c r="C69" i="10"/>
  <c r="J68" i="10"/>
  <c r="H68" i="10"/>
  <c r="F68" i="10"/>
  <c r="E68" i="10"/>
  <c r="D68" i="10"/>
  <c r="C68" i="10"/>
  <c r="J67" i="10"/>
  <c r="H67" i="10"/>
  <c r="F67" i="10"/>
  <c r="E67" i="10"/>
  <c r="D67" i="10"/>
  <c r="C67" i="10"/>
  <c r="J66" i="10"/>
  <c r="H66" i="10"/>
  <c r="F66" i="10"/>
  <c r="E66" i="10"/>
  <c r="D66" i="10"/>
  <c r="C66" i="10"/>
  <c r="J65" i="10"/>
  <c r="H65" i="10"/>
  <c r="F65" i="10"/>
  <c r="E65" i="10"/>
  <c r="D65" i="10"/>
  <c r="C65" i="10"/>
  <c r="J64" i="10"/>
  <c r="H64" i="10"/>
  <c r="F64" i="10"/>
  <c r="E64" i="10"/>
  <c r="D64" i="10"/>
  <c r="C64" i="10"/>
  <c r="J63" i="10"/>
  <c r="H63" i="10"/>
  <c r="F63" i="10"/>
  <c r="E63" i="10"/>
  <c r="D63" i="10"/>
  <c r="C63" i="10"/>
  <c r="J62" i="10"/>
  <c r="H62" i="10"/>
  <c r="F62" i="10"/>
  <c r="E62" i="10"/>
  <c r="D62" i="10"/>
  <c r="C62" i="10"/>
  <c r="B50" i="10"/>
  <c r="B51" i="10" s="1"/>
  <c r="B52" i="10" s="1"/>
  <c r="B53" i="10" s="1"/>
  <c r="B54" i="10" s="1"/>
  <c r="B55" i="10" s="1"/>
  <c r="B56" i="10" s="1"/>
  <c r="J22" i="10"/>
  <c r="F22" i="10"/>
  <c r="E22" i="10"/>
  <c r="D22" i="10"/>
  <c r="C22" i="10"/>
  <c r="J21" i="10"/>
  <c r="F21" i="10"/>
  <c r="E21" i="10"/>
  <c r="D21" i="10"/>
  <c r="C21" i="10"/>
  <c r="J20" i="10"/>
  <c r="F20" i="10"/>
  <c r="E20" i="10"/>
  <c r="D20" i="10"/>
  <c r="C20" i="10"/>
  <c r="J19" i="10"/>
  <c r="F19" i="10"/>
  <c r="E19" i="10"/>
  <c r="D19" i="10"/>
  <c r="C19" i="10"/>
  <c r="J18" i="10"/>
  <c r="F18" i="10"/>
  <c r="E18" i="10"/>
  <c r="D18" i="10"/>
  <c r="C18" i="10"/>
  <c r="J17" i="10"/>
  <c r="H17" i="10"/>
  <c r="F17" i="10"/>
  <c r="E17" i="10"/>
  <c r="D17" i="10"/>
  <c r="C17" i="10"/>
  <c r="J16" i="10"/>
  <c r="H16" i="10"/>
  <c r="F16" i="10"/>
  <c r="E16" i="10"/>
  <c r="D16" i="10"/>
  <c r="C16" i="10"/>
  <c r="J15" i="10"/>
  <c r="H15" i="10"/>
  <c r="F15" i="10"/>
  <c r="E15" i="10"/>
  <c r="D15" i="10"/>
  <c r="C15" i="10"/>
  <c r="J14" i="10"/>
  <c r="H14" i="10"/>
  <c r="F14" i="10"/>
  <c r="E14" i="10"/>
  <c r="D14" i="10"/>
  <c r="C14" i="10"/>
  <c r="D4" i="10"/>
  <c r="D3" i="10"/>
  <c r="D2" i="10"/>
  <c r="X65" i="7"/>
  <c r="T65" i="7"/>
  <c r="P65" i="7"/>
  <c r="L65" i="7"/>
  <c r="H65" i="7"/>
  <c r="D65" i="7"/>
  <c r="B5" i="7"/>
  <c r="O482" i="6"/>
  <c r="K482" i="6"/>
  <c r="J482" i="6"/>
  <c r="H482" i="6"/>
  <c r="AF482" i="6" s="1"/>
  <c r="O481" i="6"/>
  <c r="K481" i="6"/>
  <c r="J481" i="6"/>
  <c r="H481" i="6"/>
  <c r="AF481" i="6" s="1"/>
  <c r="O480" i="6"/>
  <c r="K480" i="6"/>
  <c r="J480" i="6"/>
  <c r="H480" i="6"/>
  <c r="AF480" i="6" s="1"/>
  <c r="O479" i="6"/>
  <c r="K479" i="6"/>
  <c r="J479" i="6"/>
  <c r="H479" i="6"/>
  <c r="AF479" i="6" s="1"/>
  <c r="O478" i="6"/>
  <c r="K478" i="6"/>
  <c r="J478" i="6"/>
  <c r="H478" i="6"/>
  <c r="AF478" i="6" s="1"/>
  <c r="O477" i="6"/>
  <c r="L477" i="6"/>
  <c r="K477" i="6"/>
  <c r="J477" i="6"/>
  <c r="H477" i="6"/>
  <c r="AF477" i="6" s="1"/>
  <c r="O476" i="6"/>
  <c r="L476" i="6"/>
  <c r="K476" i="6"/>
  <c r="J476" i="6"/>
  <c r="H476" i="6"/>
  <c r="AF476" i="6" s="1"/>
  <c r="O475" i="6"/>
  <c r="L475" i="6"/>
  <c r="K475" i="6"/>
  <c r="J475" i="6"/>
  <c r="H475" i="6"/>
  <c r="AF475" i="6" s="1"/>
  <c r="O474" i="6"/>
  <c r="L474" i="6"/>
  <c r="K474" i="6"/>
  <c r="J474" i="6"/>
  <c r="H474" i="6"/>
  <c r="AF474" i="6" s="1"/>
  <c r="O473" i="6"/>
  <c r="L473" i="6"/>
  <c r="K473" i="6"/>
  <c r="J473" i="6"/>
  <c r="H473" i="6"/>
  <c r="AF473" i="6" s="1"/>
  <c r="O472" i="6"/>
  <c r="L472" i="6"/>
  <c r="K472" i="6"/>
  <c r="J472" i="6"/>
  <c r="H472" i="6"/>
  <c r="AF472" i="6" s="1"/>
  <c r="O471" i="6"/>
  <c r="L471" i="6"/>
  <c r="K471" i="6"/>
  <c r="J471" i="6"/>
  <c r="H471" i="6"/>
  <c r="AF471" i="6" s="1"/>
  <c r="K470" i="6"/>
  <c r="J470" i="6"/>
  <c r="H470" i="6"/>
  <c r="AF470" i="6" s="1"/>
  <c r="K469" i="6"/>
  <c r="J469" i="6"/>
  <c r="H469" i="6"/>
  <c r="AF469" i="6" s="1"/>
  <c r="M468" i="6"/>
  <c r="M469" i="6" s="1"/>
  <c r="K468" i="6"/>
  <c r="J468" i="6"/>
  <c r="H468" i="6"/>
  <c r="AF468" i="6" s="1"/>
  <c r="O467" i="6"/>
  <c r="K467" i="6"/>
  <c r="J467" i="6"/>
  <c r="H467" i="6"/>
  <c r="AF467" i="6" s="1"/>
  <c r="N466" i="6"/>
  <c r="M466" i="6"/>
  <c r="M465" i="6" s="1"/>
  <c r="K466" i="6"/>
  <c r="J466" i="6"/>
  <c r="H466" i="6"/>
  <c r="AF466" i="6" s="1"/>
  <c r="K465" i="6"/>
  <c r="J465" i="6"/>
  <c r="H465" i="6"/>
  <c r="AF465" i="6" s="1"/>
  <c r="O464" i="6"/>
  <c r="K464" i="6"/>
  <c r="J464" i="6"/>
  <c r="H464" i="6"/>
  <c r="AF464" i="6" s="1"/>
  <c r="M463" i="6"/>
  <c r="N458" i="6" s="1"/>
  <c r="O463" i="6" s="1"/>
  <c r="K463" i="6"/>
  <c r="J463" i="6"/>
  <c r="H463" i="6"/>
  <c r="AF463" i="6" s="1"/>
  <c r="K462" i="6"/>
  <c r="J462" i="6"/>
  <c r="H462" i="6"/>
  <c r="AF462" i="6" s="1"/>
  <c r="K461" i="6"/>
  <c r="J461" i="6"/>
  <c r="H461" i="6"/>
  <c r="AF461" i="6" s="1"/>
  <c r="O460" i="6"/>
  <c r="K460" i="6"/>
  <c r="J460" i="6"/>
  <c r="H460" i="6"/>
  <c r="AF460" i="6" s="1"/>
  <c r="K459" i="6"/>
  <c r="J459" i="6"/>
  <c r="H459" i="6"/>
  <c r="AF459" i="6" s="1"/>
  <c r="O458" i="6"/>
  <c r="K458" i="6"/>
  <c r="J458" i="6"/>
  <c r="H458" i="6"/>
  <c r="AF458" i="6" s="1"/>
  <c r="K457" i="6"/>
  <c r="J457" i="6"/>
  <c r="H457" i="6"/>
  <c r="AF457" i="6" s="1"/>
  <c r="K456" i="6"/>
  <c r="J456" i="6"/>
  <c r="H456" i="6"/>
  <c r="AF456" i="6" s="1"/>
  <c r="M455" i="6"/>
  <c r="M456" i="6" s="1"/>
  <c r="M457" i="6" s="1"/>
  <c r="M459" i="6" s="1"/>
  <c r="M461" i="6" s="1"/>
  <c r="K455" i="6"/>
  <c r="J455" i="6"/>
  <c r="H455" i="6"/>
  <c r="AF455" i="6" s="1"/>
  <c r="O454" i="6"/>
  <c r="K454" i="6"/>
  <c r="J454" i="6"/>
  <c r="H454" i="6"/>
  <c r="AF454" i="6" s="1"/>
  <c r="O453" i="6"/>
  <c r="K453" i="6"/>
  <c r="J453" i="6"/>
  <c r="H453" i="6"/>
  <c r="AF453" i="6" s="1"/>
  <c r="O452" i="6"/>
  <c r="K452" i="6"/>
  <c r="J452" i="6"/>
  <c r="H452" i="6"/>
  <c r="AF452" i="6" s="1"/>
  <c r="O451" i="6"/>
  <c r="K451" i="6"/>
  <c r="J451" i="6"/>
  <c r="H451" i="6"/>
  <c r="AF451" i="6" s="1"/>
  <c r="O450" i="6"/>
  <c r="K450" i="6"/>
  <c r="J450" i="6"/>
  <c r="H450" i="6"/>
  <c r="AF450" i="6" s="1"/>
  <c r="O449" i="6"/>
  <c r="L449" i="6"/>
  <c r="K449" i="6"/>
  <c r="J449" i="6"/>
  <c r="H449" i="6"/>
  <c r="AF449" i="6" s="1"/>
  <c r="O448" i="6"/>
  <c r="L448" i="6"/>
  <c r="K448" i="6"/>
  <c r="J448" i="6"/>
  <c r="H448" i="6"/>
  <c r="AF448" i="6" s="1"/>
  <c r="O447" i="6"/>
  <c r="L447" i="6"/>
  <c r="K447" i="6"/>
  <c r="J447" i="6"/>
  <c r="H447" i="6"/>
  <c r="AF447" i="6" s="1"/>
  <c r="O446" i="6"/>
  <c r="K446" i="6"/>
  <c r="J446" i="6"/>
  <c r="H446" i="6"/>
  <c r="AF446" i="6" s="1"/>
  <c r="E446" i="6"/>
  <c r="Q446" i="6" s="1"/>
  <c r="O445" i="6"/>
  <c r="K445" i="6"/>
  <c r="J445" i="6"/>
  <c r="H445" i="6"/>
  <c r="AF445" i="6" s="1"/>
  <c r="E445" i="6"/>
  <c r="Q445" i="6" s="1"/>
  <c r="O444" i="6"/>
  <c r="L444" i="6"/>
  <c r="K444" i="6"/>
  <c r="J444" i="6"/>
  <c r="H444" i="6"/>
  <c r="AF444" i="6" s="1"/>
  <c r="E444" i="6"/>
  <c r="O443" i="6"/>
  <c r="K443" i="6"/>
  <c r="J443" i="6"/>
  <c r="H443" i="6"/>
  <c r="AF443" i="6" s="1"/>
  <c r="E443" i="6"/>
  <c r="Q443" i="6" s="1"/>
  <c r="G1581" i="1" s="1"/>
  <c r="E129" i="17412" s="1"/>
  <c r="O442" i="6"/>
  <c r="K442" i="6"/>
  <c r="J442" i="6"/>
  <c r="H442" i="6"/>
  <c r="AF442" i="6" s="1"/>
  <c r="E442" i="6"/>
  <c r="Q442" i="6" s="1"/>
  <c r="O441" i="6"/>
  <c r="K441" i="6"/>
  <c r="J441" i="6"/>
  <c r="H441" i="6"/>
  <c r="AF441" i="6" s="1"/>
  <c r="E441" i="6"/>
  <c r="Q441" i="6" s="1"/>
  <c r="O440" i="6"/>
  <c r="K440" i="6"/>
  <c r="J440" i="6"/>
  <c r="H440" i="6"/>
  <c r="AF440" i="6" s="1"/>
  <c r="E440" i="6"/>
  <c r="Q440" i="6" s="1"/>
  <c r="G1501" i="1" s="1"/>
  <c r="E49" i="17412" s="1"/>
  <c r="O439" i="6"/>
  <c r="K439" i="6"/>
  <c r="J439" i="6"/>
  <c r="H439" i="6"/>
  <c r="AF439" i="6" s="1"/>
  <c r="E439" i="6"/>
  <c r="Q439" i="6" s="1"/>
  <c r="O438" i="6"/>
  <c r="K438" i="6"/>
  <c r="J438" i="6"/>
  <c r="H438" i="6"/>
  <c r="AF438" i="6" s="1"/>
  <c r="E438" i="6"/>
  <c r="Q438" i="6" s="1"/>
  <c r="O437" i="6"/>
  <c r="K437" i="6"/>
  <c r="J437" i="6"/>
  <c r="H437" i="6"/>
  <c r="AF437" i="6" s="1"/>
  <c r="E437" i="6"/>
  <c r="Q437" i="6" s="1"/>
  <c r="O436" i="6"/>
  <c r="K436" i="6"/>
  <c r="J436" i="6"/>
  <c r="H436" i="6"/>
  <c r="AF436" i="6" s="1"/>
  <c r="E436" i="6"/>
  <c r="Q436" i="6" s="1"/>
  <c r="O435" i="6"/>
  <c r="K435" i="6"/>
  <c r="J435" i="6"/>
  <c r="H435" i="6"/>
  <c r="AF435" i="6" s="1"/>
  <c r="E435" i="6"/>
  <c r="Q435" i="6" s="1"/>
  <c r="O434" i="6"/>
  <c r="K434" i="6"/>
  <c r="J434" i="6"/>
  <c r="H434" i="6"/>
  <c r="AF434" i="6" s="1"/>
  <c r="O433" i="6"/>
  <c r="K433" i="6"/>
  <c r="J433" i="6"/>
  <c r="H433" i="6"/>
  <c r="AF433" i="6" s="1"/>
  <c r="O432" i="6"/>
  <c r="K432" i="6"/>
  <c r="J432" i="6"/>
  <c r="H432" i="6"/>
  <c r="AF432" i="6" s="1"/>
  <c r="M431" i="6"/>
  <c r="O431" i="6" s="1"/>
  <c r="K431" i="6"/>
  <c r="J431" i="6"/>
  <c r="H431" i="6"/>
  <c r="AF431" i="6" s="1"/>
  <c r="N430" i="6"/>
  <c r="K430" i="6"/>
  <c r="J430" i="6"/>
  <c r="H430" i="6"/>
  <c r="AF430" i="6" s="1"/>
  <c r="O429" i="6"/>
  <c r="K429" i="6"/>
  <c r="J429" i="6"/>
  <c r="H429" i="6"/>
  <c r="AF429" i="6" s="1"/>
  <c r="M428" i="6"/>
  <c r="O428" i="6" s="1"/>
  <c r="K428" i="6"/>
  <c r="J428" i="6"/>
  <c r="H428" i="6"/>
  <c r="AF428" i="6" s="1"/>
  <c r="M427" i="6"/>
  <c r="M426" i="6" s="1"/>
  <c r="K427" i="6"/>
  <c r="J427" i="6"/>
  <c r="H427" i="6"/>
  <c r="AF427" i="6" s="1"/>
  <c r="N426" i="6"/>
  <c r="K426" i="6"/>
  <c r="J426" i="6"/>
  <c r="H426" i="6"/>
  <c r="AF426" i="6" s="1"/>
  <c r="O425" i="6"/>
  <c r="K425" i="6"/>
  <c r="J425" i="6"/>
  <c r="H425" i="6"/>
  <c r="AF425" i="6" s="1"/>
  <c r="O424" i="6"/>
  <c r="K424" i="6"/>
  <c r="J424" i="6"/>
  <c r="H424" i="6"/>
  <c r="AF424" i="6" s="1"/>
  <c r="M423" i="6"/>
  <c r="O423" i="6" s="1"/>
  <c r="K423" i="6"/>
  <c r="J423" i="6"/>
  <c r="H423" i="6"/>
  <c r="AF423" i="6" s="1"/>
  <c r="N422" i="6"/>
  <c r="M422" i="6"/>
  <c r="K422" i="6"/>
  <c r="J422" i="6"/>
  <c r="H422" i="6"/>
  <c r="AF422" i="6" s="1"/>
  <c r="K421" i="6"/>
  <c r="J421" i="6"/>
  <c r="H421" i="6"/>
  <c r="AF421" i="6" s="1"/>
  <c r="K420" i="6"/>
  <c r="J420" i="6"/>
  <c r="H420" i="6"/>
  <c r="AF420" i="6" s="1"/>
  <c r="O419" i="6"/>
  <c r="K419" i="6"/>
  <c r="J419" i="6"/>
  <c r="H419" i="6"/>
  <c r="AF419" i="6" s="1"/>
  <c r="M418" i="6"/>
  <c r="M417" i="6" s="1"/>
  <c r="K418" i="6"/>
  <c r="J418" i="6"/>
  <c r="H418" i="6"/>
  <c r="AF418" i="6" s="1"/>
  <c r="N417" i="6"/>
  <c r="K417" i="6"/>
  <c r="J417" i="6"/>
  <c r="H417" i="6"/>
  <c r="AF417" i="6" s="1"/>
  <c r="O416" i="6"/>
  <c r="K416" i="6"/>
  <c r="J416" i="6"/>
  <c r="H416" i="6"/>
  <c r="AF416" i="6" s="1"/>
  <c r="E416" i="6"/>
  <c r="Q416" i="6" s="1"/>
  <c r="M415" i="6"/>
  <c r="O415" i="6" s="1"/>
  <c r="K415" i="6"/>
  <c r="J415" i="6"/>
  <c r="H415" i="6"/>
  <c r="AF415" i="6" s="1"/>
  <c r="E415" i="6"/>
  <c r="N414" i="6"/>
  <c r="K414" i="6"/>
  <c r="J414" i="6"/>
  <c r="H414" i="6"/>
  <c r="AF414" i="6" s="1"/>
  <c r="E414" i="6"/>
  <c r="O413" i="6"/>
  <c r="K413" i="6"/>
  <c r="J413" i="6"/>
  <c r="H413" i="6"/>
  <c r="AF413" i="6" s="1"/>
  <c r="E413" i="6"/>
  <c r="Q413" i="6" s="1"/>
  <c r="O412" i="6"/>
  <c r="K412" i="6"/>
  <c r="J412" i="6"/>
  <c r="H412" i="6"/>
  <c r="AF412" i="6" s="1"/>
  <c r="E412" i="6"/>
  <c r="Q412" i="6" s="1"/>
  <c r="O411" i="6"/>
  <c r="K411" i="6"/>
  <c r="J411" i="6"/>
  <c r="H411" i="6"/>
  <c r="AF411" i="6" s="1"/>
  <c r="M410" i="6"/>
  <c r="O410" i="6" s="1"/>
  <c r="K410" i="6"/>
  <c r="J410" i="6"/>
  <c r="H410" i="6"/>
  <c r="AF410" i="6" s="1"/>
  <c r="N409" i="6"/>
  <c r="M409" i="6"/>
  <c r="K409" i="6"/>
  <c r="J409" i="6"/>
  <c r="H409" i="6"/>
  <c r="AF409" i="6" s="1"/>
  <c r="M408" i="6"/>
  <c r="K408" i="6"/>
  <c r="J408" i="6"/>
  <c r="H408" i="6"/>
  <c r="AF408" i="6" s="1"/>
  <c r="K407" i="6"/>
  <c r="J407" i="6"/>
  <c r="H407" i="6"/>
  <c r="AF407" i="6" s="1"/>
  <c r="K406" i="6"/>
  <c r="J406" i="6"/>
  <c r="H406" i="6"/>
  <c r="AF406" i="6" s="1"/>
  <c r="O405" i="6"/>
  <c r="K405" i="6"/>
  <c r="J405" i="6"/>
  <c r="H405" i="6"/>
  <c r="AF405" i="6" s="1"/>
  <c r="E405" i="6"/>
  <c r="Q405" i="6" s="1"/>
  <c r="G1589" i="1" s="1"/>
  <c r="E137" i="17412" s="1"/>
  <c r="N404" i="6"/>
  <c r="M404" i="6"/>
  <c r="K404" i="6"/>
  <c r="J404" i="6"/>
  <c r="H404" i="6"/>
  <c r="AF404" i="6" s="1"/>
  <c r="E404" i="6"/>
  <c r="O403" i="6"/>
  <c r="K403" i="6"/>
  <c r="J403" i="6"/>
  <c r="H403" i="6"/>
  <c r="AF403" i="6" s="1"/>
  <c r="E403" i="6"/>
  <c r="Q403" i="6" s="1"/>
  <c r="M402" i="6"/>
  <c r="O402" i="6" s="1"/>
  <c r="K402" i="6"/>
  <c r="J402" i="6"/>
  <c r="H402" i="6"/>
  <c r="AF402" i="6" s="1"/>
  <c r="E402" i="6"/>
  <c r="Q402" i="6" s="1"/>
  <c r="N401" i="6"/>
  <c r="N399" i="6" s="1"/>
  <c r="M401" i="6"/>
  <c r="K401" i="6"/>
  <c r="J401" i="6"/>
  <c r="H401" i="6"/>
  <c r="AF401" i="6" s="1"/>
  <c r="E401" i="6"/>
  <c r="M400" i="6"/>
  <c r="M399" i="6" s="1"/>
  <c r="K400" i="6"/>
  <c r="J400" i="6"/>
  <c r="H400" i="6"/>
  <c r="AF400" i="6" s="1"/>
  <c r="E400" i="6"/>
  <c r="K399" i="6"/>
  <c r="J399" i="6"/>
  <c r="H399" i="6"/>
  <c r="AF399" i="6" s="1"/>
  <c r="E399" i="6"/>
  <c r="O398" i="6"/>
  <c r="K398" i="6"/>
  <c r="J398" i="6"/>
  <c r="H398" i="6"/>
  <c r="AF398" i="6" s="1"/>
  <c r="M397" i="6"/>
  <c r="O397" i="6" s="1"/>
  <c r="K397" i="6"/>
  <c r="J397" i="6"/>
  <c r="H397" i="6"/>
  <c r="AF397" i="6" s="1"/>
  <c r="N396" i="6"/>
  <c r="M396" i="6"/>
  <c r="K396" i="6"/>
  <c r="J396" i="6"/>
  <c r="H396" i="6"/>
  <c r="AF396" i="6" s="1"/>
  <c r="K395" i="6"/>
  <c r="J395" i="6"/>
  <c r="H395" i="6"/>
  <c r="AF395" i="6" s="1"/>
  <c r="K394" i="6"/>
  <c r="J394" i="6"/>
  <c r="H394" i="6"/>
  <c r="AF394" i="6" s="1"/>
  <c r="K393" i="6"/>
  <c r="J393" i="6"/>
  <c r="H393" i="6"/>
  <c r="AF393" i="6" s="1"/>
  <c r="O392" i="6"/>
  <c r="K392" i="6"/>
  <c r="J392" i="6"/>
  <c r="H392" i="6"/>
  <c r="AF392" i="6" s="1"/>
  <c r="M391" i="6"/>
  <c r="K391" i="6"/>
  <c r="J391" i="6"/>
  <c r="H391" i="6"/>
  <c r="AF391" i="6" s="1"/>
  <c r="K390" i="6"/>
  <c r="J390" i="6"/>
  <c r="H390" i="6"/>
  <c r="AF390" i="6" s="1"/>
  <c r="N389" i="6"/>
  <c r="M389" i="6"/>
  <c r="K389" i="6"/>
  <c r="J389" i="6"/>
  <c r="H389" i="6"/>
  <c r="AF389" i="6" s="1"/>
  <c r="M388" i="6"/>
  <c r="K388" i="6"/>
  <c r="J388" i="6"/>
  <c r="H388" i="6"/>
  <c r="AF388" i="6" s="1"/>
  <c r="O387" i="6"/>
  <c r="K387" i="6"/>
  <c r="J387" i="6"/>
  <c r="H387" i="6"/>
  <c r="AF387" i="6" s="1"/>
  <c r="O386" i="6"/>
  <c r="K386" i="6"/>
  <c r="J386" i="6"/>
  <c r="H386" i="6"/>
  <c r="AF386" i="6" s="1"/>
  <c r="O385" i="6"/>
  <c r="K385" i="6"/>
  <c r="J385" i="6"/>
  <c r="H385" i="6"/>
  <c r="AF385" i="6" s="1"/>
  <c r="N384" i="6"/>
  <c r="O383" i="6" s="1"/>
  <c r="K384" i="6"/>
  <c r="J384" i="6"/>
  <c r="H384" i="6"/>
  <c r="AF384" i="6" s="1"/>
  <c r="K383" i="6"/>
  <c r="J383" i="6"/>
  <c r="H383" i="6"/>
  <c r="AF383" i="6" s="1"/>
  <c r="K382" i="6"/>
  <c r="J382" i="6"/>
  <c r="H382" i="6"/>
  <c r="AF382" i="6" s="1"/>
  <c r="O381" i="6"/>
  <c r="K381" i="6"/>
  <c r="J381" i="6"/>
  <c r="H381" i="6"/>
  <c r="AF381" i="6" s="1"/>
  <c r="M380" i="6"/>
  <c r="O380" i="6" s="1"/>
  <c r="K380" i="6"/>
  <c r="J380" i="6"/>
  <c r="H380" i="6"/>
  <c r="AF380" i="6" s="1"/>
  <c r="N379" i="6"/>
  <c r="M379" i="6"/>
  <c r="M377" i="6" s="1"/>
  <c r="O377" i="6" s="1"/>
  <c r="K379" i="6"/>
  <c r="J379" i="6"/>
  <c r="H379" i="6"/>
  <c r="AF379" i="6" s="1"/>
  <c r="K378" i="6"/>
  <c r="J378" i="6"/>
  <c r="H378" i="6"/>
  <c r="AF378" i="6" s="1"/>
  <c r="K377" i="6"/>
  <c r="J377" i="6"/>
  <c r="H377" i="6"/>
  <c r="AF377" i="6" s="1"/>
  <c r="N376" i="6"/>
  <c r="K376" i="6"/>
  <c r="J376" i="6"/>
  <c r="H376" i="6"/>
  <c r="AF376" i="6" s="1"/>
  <c r="O375" i="6"/>
  <c r="K375" i="6"/>
  <c r="J375" i="6"/>
  <c r="H375" i="6"/>
  <c r="AF375" i="6" s="1"/>
  <c r="M374" i="6"/>
  <c r="O374" i="6" s="1"/>
  <c r="K374" i="6"/>
  <c r="J374" i="6"/>
  <c r="H374" i="6"/>
  <c r="AF374" i="6" s="1"/>
  <c r="N373" i="6"/>
  <c r="M373" i="6"/>
  <c r="K373" i="6"/>
  <c r="J373" i="6"/>
  <c r="H373" i="6"/>
  <c r="AF373" i="6" s="1"/>
  <c r="O372" i="6"/>
  <c r="K372" i="6"/>
  <c r="J372" i="6"/>
  <c r="H372" i="6"/>
  <c r="AF372" i="6" s="1"/>
  <c r="O371" i="6"/>
  <c r="K371" i="6"/>
  <c r="J371" i="6"/>
  <c r="H371" i="6"/>
  <c r="AF371" i="6" s="1"/>
  <c r="O370" i="6"/>
  <c r="K370" i="6"/>
  <c r="J370" i="6"/>
  <c r="H370" i="6"/>
  <c r="AF370" i="6" s="1"/>
  <c r="O369" i="6"/>
  <c r="K369" i="6"/>
  <c r="J369" i="6"/>
  <c r="H369" i="6"/>
  <c r="AF369" i="6" s="1"/>
  <c r="O368" i="6"/>
  <c r="K368" i="6"/>
  <c r="J368" i="6"/>
  <c r="H368" i="6"/>
  <c r="AF368" i="6" s="1"/>
  <c r="L367" i="6"/>
  <c r="K367" i="6"/>
  <c r="J367" i="6"/>
  <c r="H367" i="6"/>
  <c r="AF367" i="6" s="1"/>
  <c r="O366" i="6"/>
  <c r="K366" i="6"/>
  <c r="J366" i="6"/>
  <c r="H366" i="6"/>
  <c r="AF366" i="6" s="1"/>
  <c r="O365" i="6"/>
  <c r="K365" i="6"/>
  <c r="J365" i="6"/>
  <c r="H365" i="6"/>
  <c r="AF365" i="6" s="1"/>
  <c r="O364" i="6"/>
  <c r="K364" i="6"/>
  <c r="J364" i="6"/>
  <c r="H364" i="6"/>
  <c r="AF364" i="6" s="1"/>
  <c r="O363" i="6"/>
  <c r="K363" i="6"/>
  <c r="J363" i="6"/>
  <c r="H363" i="6"/>
  <c r="AF363" i="6" s="1"/>
  <c r="O362" i="6"/>
  <c r="K362" i="6"/>
  <c r="J362" i="6"/>
  <c r="H362" i="6"/>
  <c r="AF362" i="6" s="1"/>
  <c r="N361" i="6"/>
  <c r="M361" i="6"/>
  <c r="K361" i="6"/>
  <c r="J361" i="6"/>
  <c r="H361" i="6"/>
  <c r="AF361" i="6" s="1"/>
  <c r="M360" i="6"/>
  <c r="O360" i="6" s="1"/>
  <c r="K360" i="6"/>
  <c r="J360" i="6"/>
  <c r="H360" i="6"/>
  <c r="AF360" i="6" s="1"/>
  <c r="O359" i="6"/>
  <c r="L359" i="6"/>
  <c r="K359" i="6"/>
  <c r="J359" i="6"/>
  <c r="H359" i="6"/>
  <c r="AF359" i="6" s="1"/>
  <c r="E359" i="6"/>
  <c r="O358" i="6"/>
  <c r="K358" i="6"/>
  <c r="J358" i="6"/>
  <c r="H358" i="6"/>
  <c r="AF358" i="6" s="1"/>
  <c r="E358" i="6"/>
  <c r="Q358" i="6" s="1"/>
  <c r="O357" i="6"/>
  <c r="K357" i="6"/>
  <c r="J357" i="6"/>
  <c r="H357" i="6"/>
  <c r="AF357" i="6" s="1"/>
  <c r="E357" i="6"/>
  <c r="Q357" i="6" s="1"/>
  <c r="O356" i="6"/>
  <c r="K356" i="6"/>
  <c r="J356" i="6"/>
  <c r="H356" i="6"/>
  <c r="AF356" i="6" s="1"/>
  <c r="E356" i="6"/>
  <c r="Q356" i="6" s="1"/>
  <c r="O355" i="6"/>
  <c r="K355" i="6"/>
  <c r="J355" i="6"/>
  <c r="H355" i="6"/>
  <c r="AF355" i="6" s="1"/>
  <c r="E355" i="6"/>
  <c r="Q355" i="6" s="1"/>
  <c r="O354" i="6"/>
  <c r="K354" i="6"/>
  <c r="J354" i="6"/>
  <c r="H354" i="6"/>
  <c r="AF354" i="6" s="1"/>
  <c r="E354" i="6"/>
  <c r="Q354" i="6" s="1"/>
  <c r="O353" i="6"/>
  <c r="K353" i="6"/>
  <c r="J353" i="6"/>
  <c r="H353" i="6"/>
  <c r="AF353" i="6" s="1"/>
  <c r="E353" i="6"/>
  <c r="Q353" i="6" s="1"/>
  <c r="O352" i="6"/>
  <c r="K352" i="6"/>
  <c r="J352" i="6"/>
  <c r="H352" i="6"/>
  <c r="AF352" i="6" s="1"/>
  <c r="E352" i="6"/>
  <c r="Q352" i="6" s="1"/>
  <c r="O351" i="6"/>
  <c r="K351" i="6"/>
  <c r="J351" i="6"/>
  <c r="H351" i="6"/>
  <c r="AF351" i="6" s="1"/>
  <c r="E351" i="6"/>
  <c r="Q351" i="6" s="1"/>
  <c r="O350" i="6"/>
  <c r="K350" i="6"/>
  <c r="J350" i="6"/>
  <c r="H350" i="6"/>
  <c r="AF350" i="6" s="1"/>
  <c r="E350" i="6"/>
  <c r="Q350" i="6" s="1"/>
  <c r="O349" i="6"/>
  <c r="K349" i="6"/>
  <c r="J349" i="6"/>
  <c r="H349" i="6"/>
  <c r="AF349" i="6" s="1"/>
  <c r="E349" i="6"/>
  <c r="Q349" i="6" s="1"/>
  <c r="O348" i="6"/>
  <c r="K348" i="6"/>
  <c r="J348" i="6"/>
  <c r="H348" i="6"/>
  <c r="AF348" i="6" s="1"/>
  <c r="E348" i="6"/>
  <c r="Q348" i="6" s="1"/>
  <c r="O347" i="6"/>
  <c r="K347" i="6"/>
  <c r="J347" i="6"/>
  <c r="H347" i="6"/>
  <c r="AF347" i="6" s="1"/>
  <c r="E347" i="6"/>
  <c r="Q347" i="6" s="1"/>
  <c r="O346" i="6"/>
  <c r="K346" i="6"/>
  <c r="J346" i="6"/>
  <c r="H346" i="6"/>
  <c r="AF346" i="6" s="1"/>
  <c r="E346" i="6"/>
  <c r="Q346" i="6" s="1"/>
  <c r="O345" i="6"/>
  <c r="K345" i="6"/>
  <c r="J345" i="6"/>
  <c r="H345" i="6"/>
  <c r="AF345" i="6" s="1"/>
  <c r="E345" i="6"/>
  <c r="Q345" i="6" s="1"/>
  <c r="O344" i="6"/>
  <c r="K344" i="6"/>
  <c r="J344" i="6"/>
  <c r="H344" i="6"/>
  <c r="AF344" i="6" s="1"/>
  <c r="E344" i="6"/>
  <c r="Q344" i="6" s="1"/>
  <c r="O343" i="6"/>
  <c r="K343" i="6"/>
  <c r="J343" i="6"/>
  <c r="H343" i="6"/>
  <c r="AF343" i="6" s="1"/>
  <c r="E343" i="6"/>
  <c r="Q343" i="6" s="1"/>
  <c r="O342" i="6"/>
  <c r="K342" i="6"/>
  <c r="J342" i="6"/>
  <c r="H342" i="6"/>
  <c r="AF342" i="6" s="1"/>
  <c r="E342" i="6"/>
  <c r="Q342" i="6" s="1"/>
  <c r="O341" i="6"/>
  <c r="K341" i="6"/>
  <c r="J341" i="6"/>
  <c r="H341" i="6"/>
  <c r="AF341" i="6" s="1"/>
  <c r="E341" i="6"/>
  <c r="Q341" i="6" s="1"/>
  <c r="O340" i="6"/>
  <c r="K340" i="6"/>
  <c r="J340" i="6"/>
  <c r="H340" i="6"/>
  <c r="AF340" i="6" s="1"/>
  <c r="E340" i="6"/>
  <c r="Q340" i="6" s="1"/>
  <c r="O339" i="6"/>
  <c r="K339" i="6"/>
  <c r="J339" i="6"/>
  <c r="H339" i="6"/>
  <c r="AF339" i="6" s="1"/>
  <c r="E339" i="6"/>
  <c r="Q339" i="6" s="1"/>
  <c r="O338" i="6"/>
  <c r="L338" i="6"/>
  <c r="K338" i="6"/>
  <c r="J338" i="6"/>
  <c r="H338" i="6"/>
  <c r="AF338" i="6" s="1"/>
  <c r="K337" i="6"/>
  <c r="J337" i="6"/>
  <c r="H337" i="6"/>
  <c r="AF337" i="6" s="1"/>
  <c r="K336" i="6"/>
  <c r="J336" i="6"/>
  <c r="H336" i="6"/>
  <c r="AF336" i="6" s="1"/>
  <c r="M335" i="6"/>
  <c r="M336" i="6" s="1"/>
  <c r="O336" i="6" s="1"/>
  <c r="K335" i="6"/>
  <c r="J335" i="6"/>
  <c r="H335" i="6"/>
  <c r="AF335" i="6" s="1"/>
  <c r="O334" i="6"/>
  <c r="K334" i="6"/>
  <c r="J334" i="6"/>
  <c r="H334" i="6"/>
  <c r="AF334" i="6" s="1"/>
  <c r="N333" i="6"/>
  <c r="M333" i="6"/>
  <c r="M332" i="6" s="1"/>
  <c r="K333" i="6"/>
  <c r="J333" i="6"/>
  <c r="H333" i="6"/>
  <c r="AF333" i="6" s="1"/>
  <c r="K332" i="6"/>
  <c r="J332" i="6"/>
  <c r="H332" i="6"/>
  <c r="AF332" i="6" s="1"/>
  <c r="O331" i="6"/>
  <c r="K331" i="6"/>
  <c r="J331" i="6"/>
  <c r="H331" i="6"/>
  <c r="AF331" i="6" s="1"/>
  <c r="M330" i="6"/>
  <c r="N325" i="6" s="1"/>
  <c r="K330" i="6"/>
  <c r="J330" i="6"/>
  <c r="H330" i="6"/>
  <c r="AF330" i="6" s="1"/>
  <c r="K329" i="6"/>
  <c r="J329" i="6"/>
  <c r="H329" i="6"/>
  <c r="AF329" i="6" s="1"/>
  <c r="K328" i="6"/>
  <c r="J328" i="6"/>
  <c r="H328" i="6"/>
  <c r="AF328" i="6" s="1"/>
  <c r="CA327" i="6"/>
  <c r="BZ327" i="6"/>
  <c r="BY327" i="6"/>
  <c r="BX327" i="6"/>
  <c r="BV327" i="6"/>
  <c r="BT327" i="6"/>
  <c r="BS327" i="6"/>
  <c r="BR327" i="6"/>
  <c r="BQ327" i="6"/>
  <c r="BP327" i="6"/>
  <c r="BO327" i="6"/>
  <c r="BN327" i="6"/>
  <c r="BM327" i="6"/>
  <c r="BK327" i="6"/>
  <c r="BJ327" i="6"/>
  <c r="BI327" i="6"/>
  <c r="BH327" i="6"/>
  <c r="BG327" i="6"/>
  <c r="BF327" i="6"/>
  <c r="BE327" i="6"/>
  <c r="BD327" i="6"/>
  <c r="BC327" i="6"/>
  <c r="AY327" i="6"/>
  <c r="AX327" i="6"/>
  <c r="AW327" i="6"/>
  <c r="AU327" i="6"/>
  <c r="AT327" i="6"/>
  <c r="AS327" i="6"/>
  <c r="O327" i="6"/>
  <c r="K327" i="6"/>
  <c r="J327" i="6"/>
  <c r="H327" i="6"/>
  <c r="AF327" i="6" s="1"/>
  <c r="CA326" i="6"/>
  <c r="BZ326" i="6"/>
  <c r="BY326" i="6"/>
  <c r="BX326" i="6"/>
  <c r="BV326" i="6"/>
  <c r="BT326" i="6"/>
  <c r="BS326" i="6"/>
  <c r="BR326" i="6"/>
  <c r="BQ326" i="6"/>
  <c r="BP326" i="6"/>
  <c r="BO326" i="6"/>
  <c r="BN326" i="6"/>
  <c r="BM326" i="6"/>
  <c r="BK326" i="6"/>
  <c r="BJ326" i="6"/>
  <c r="BI326" i="6"/>
  <c r="BH326" i="6"/>
  <c r="BG326" i="6"/>
  <c r="BF326" i="6"/>
  <c r="BE326" i="6"/>
  <c r="BD326" i="6"/>
  <c r="BC326" i="6"/>
  <c r="AY326" i="6"/>
  <c r="AX326" i="6"/>
  <c r="AW326" i="6"/>
  <c r="AU326" i="6"/>
  <c r="AT326" i="6"/>
  <c r="AS326" i="6"/>
  <c r="K326" i="6"/>
  <c r="J326" i="6"/>
  <c r="H326" i="6"/>
  <c r="AF326" i="6" s="1"/>
  <c r="CA325" i="6"/>
  <c r="BZ325" i="6"/>
  <c r="BY325" i="6"/>
  <c r="BX325" i="6"/>
  <c r="BV325" i="6"/>
  <c r="BT325" i="6"/>
  <c r="BS325" i="6"/>
  <c r="BR325" i="6"/>
  <c r="BQ325" i="6"/>
  <c r="BP325" i="6"/>
  <c r="BO325" i="6"/>
  <c r="BN325" i="6"/>
  <c r="BM325" i="6"/>
  <c r="BK325" i="6"/>
  <c r="BJ325" i="6"/>
  <c r="BI325" i="6"/>
  <c r="BH325" i="6"/>
  <c r="BG325" i="6"/>
  <c r="BF325" i="6"/>
  <c r="BE325" i="6"/>
  <c r="BD325" i="6"/>
  <c r="BC325" i="6"/>
  <c r="AY325" i="6"/>
  <c r="AX325" i="6"/>
  <c r="AW325" i="6"/>
  <c r="AU325" i="6"/>
  <c r="AT325" i="6"/>
  <c r="AS325" i="6"/>
  <c r="K325" i="6"/>
  <c r="J325" i="6"/>
  <c r="H325" i="6"/>
  <c r="AF325" i="6" s="1"/>
  <c r="CA324" i="6"/>
  <c r="BZ324" i="6"/>
  <c r="BY324" i="6"/>
  <c r="BX324" i="6"/>
  <c r="BV324" i="6"/>
  <c r="BT324" i="6"/>
  <c r="BS324" i="6"/>
  <c r="BR324" i="6"/>
  <c r="BQ324" i="6"/>
  <c r="BP324" i="6"/>
  <c r="BO324" i="6"/>
  <c r="BN324" i="6"/>
  <c r="BM324" i="6"/>
  <c r="BK324" i="6"/>
  <c r="BJ324" i="6"/>
  <c r="BI324" i="6"/>
  <c r="BH324" i="6"/>
  <c r="BG324" i="6"/>
  <c r="BF324" i="6"/>
  <c r="BE324" i="6"/>
  <c r="BD324" i="6"/>
  <c r="BC324" i="6"/>
  <c r="AY324" i="6"/>
  <c r="AX324" i="6"/>
  <c r="AW324" i="6"/>
  <c r="AU324" i="6"/>
  <c r="AT324" i="6"/>
  <c r="AS324" i="6"/>
  <c r="K324" i="6"/>
  <c r="J324" i="6"/>
  <c r="H324" i="6"/>
  <c r="AF324" i="6" s="1"/>
  <c r="CA323" i="6"/>
  <c r="BZ323" i="6"/>
  <c r="BY323" i="6"/>
  <c r="BX323" i="6"/>
  <c r="BV323" i="6"/>
  <c r="BT323" i="6"/>
  <c r="BS323" i="6"/>
  <c r="BR323" i="6"/>
  <c r="BQ323" i="6"/>
  <c r="BP323" i="6"/>
  <c r="BO323" i="6"/>
  <c r="BN323" i="6"/>
  <c r="BM323" i="6"/>
  <c r="BK323" i="6"/>
  <c r="BJ323" i="6"/>
  <c r="BI323" i="6"/>
  <c r="BH323" i="6"/>
  <c r="BG323" i="6"/>
  <c r="BF323" i="6"/>
  <c r="BE323" i="6"/>
  <c r="BD323" i="6"/>
  <c r="BC323" i="6"/>
  <c r="AY323" i="6"/>
  <c r="AX323" i="6"/>
  <c r="AW323" i="6"/>
  <c r="AU323" i="6"/>
  <c r="AT323" i="6"/>
  <c r="AS323" i="6"/>
  <c r="K323" i="6"/>
  <c r="J323" i="6"/>
  <c r="H323" i="6"/>
  <c r="AF323" i="6" s="1"/>
  <c r="CA322" i="6"/>
  <c r="BZ322" i="6"/>
  <c r="BY322" i="6"/>
  <c r="BX322" i="6"/>
  <c r="BV322" i="6"/>
  <c r="BT322" i="6"/>
  <c r="BS322" i="6"/>
  <c r="BR322" i="6"/>
  <c r="BQ322" i="6"/>
  <c r="BP322" i="6"/>
  <c r="BO322" i="6"/>
  <c r="BN322" i="6"/>
  <c r="BM322" i="6"/>
  <c r="BK322" i="6"/>
  <c r="BJ322" i="6"/>
  <c r="BI322" i="6"/>
  <c r="BH322" i="6"/>
  <c r="BG322" i="6"/>
  <c r="BF322" i="6"/>
  <c r="BE322" i="6"/>
  <c r="BD322" i="6"/>
  <c r="BC322" i="6"/>
  <c r="AY322" i="6"/>
  <c r="AX322" i="6"/>
  <c r="AW322" i="6"/>
  <c r="AU322" i="6"/>
  <c r="AT322" i="6"/>
  <c r="AS322" i="6"/>
  <c r="M322" i="6"/>
  <c r="M323" i="6" s="1"/>
  <c r="K322" i="6"/>
  <c r="J322" i="6"/>
  <c r="H322" i="6"/>
  <c r="AF322" i="6" s="1"/>
  <c r="CA321" i="6"/>
  <c r="BZ321" i="6"/>
  <c r="BY321" i="6"/>
  <c r="BX321" i="6"/>
  <c r="BV321" i="6"/>
  <c r="BT321" i="6"/>
  <c r="BS321" i="6"/>
  <c r="BR321" i="6"/>
  <c r="BQ321" i="6"/>
  <c r="BP321" i="6"/>
  <c r="BO321" i="6"/>
  <c r="BN321" i="6"/>
  <c r="BM321" i="6"/>
  <c r="BK321" i="6"/>
  <c r="BJ321" i="6"/>
  <c r="BI321" i="6"/>
  <c r="BH321" i="6"/>
  <c r="BG321" i="6"/>
  <c r="BF321" i="6"/>
  <c r="BE321" i="6"/>
  <c r="BD321" i="6"/>
  <c r="BC321" i="6"/>
  <c r="AY321" i="6"/>
  <c r="AX321" i="6"/>
  <c r="AW321" i="6"/>
  <c r="AU321" i="6"/>
  <c r="AT321" i="6"/>
  <c r="AS321" i="6"/>
  <c r="O321" i="6"/>
  <c r="L321" i="6"/>
  <c r="K321" i="6"/>
  <c r="J321" i="6"/>
  <c r="H321" i="6"/>
  <c r="AF321" i="6" s="1"/>
  <c r="CA320" i="6"/>
  <c r="BZ320" i="6"/>
  <c r="BY320" i="6"/>
  <c r="BX320" i="6"/>
  <c r="BV320" i="6"/>
  <c r="BT320" i="6"/>
  <c r="BS320" i="6"/>
  <c r="BR320" i="6"/>
  <c r="BQ320" i="6"/>
  <c r="BP320" i="6"/>
  <c r="BO320" i="6"/>
  <c r="BN320" i="6"/>
  <c r="BM320" i="6"/>
  <c r="BK320" i="6"/>
  <c r="BJ320" i="6"/>
  <c r="BI320" i="6"/>
  <c r="BH320" i="6"/>
  <c r="BG320" i="6"/>
  <c r="BF320" i="6"/>
  <c r="BE320" i="6"/>
  <c r="BD320" i="6"/>
  <c r="BC320" i="6"/>
  <c r="AY320" i="6"/>
  <c r="AX320" i="6"/>
  <c r="AW320" i="6"/>
  <c r="AU320" i="6"/>
  <c r="AT320" i="6"/>
  <c r="AS320" i="6"/>
  <c r="K320" i="6"/>
  <c r="J320" i="6"/>
  <c r="H320" i="6"/>
  <c r="AF320" i="6" s="1"/>
  <c r="CA319" i="6"/>
  <c r="BZ319" i="6"/>
  <c r="BY319" i="6"/>
  <c r="BX319" i="6"/>
  <c r="BV319" i="6"/>
  <c r="BT319" i="6"/>
  <c r="BS319" i="6"/>
  <c r="BR319" i="6"/>
  <c r="BQ319" i="6"/>
  <c r="BP319" i="6"/>
  <c r="BO319" i="6"/>
  <c r="BN319" i="6"/>
  <c r="BM319" i="6"/>
  <c r="BK319" i="6"/>
  <c r="BJ319" i="6"/>
  <c r="BI319" i="6"/>
  <c r="BH319" i="6"/>
  <c r="BG319" i="6"/>
  <c r="BF319" i="6"/>
  <c r="BE319" i="6"/>
  <c r="BD319" i="6"/>
  <c r="BC319" i="6"/>
  <c r="AY319" i="6"/>
  <c r="AX319" i="6"/>
  <c r="AW319" i="6"/>
  <c r="AU319" i="6"/>
  <c r="AT319" i="6"/>
  <c r="AS319" i="6"/>
  <c r="K319" i="6"/>
  <c r="J319" i="6"/>
  <c r="H319" i="6"/>
  <c r="AF319" i="6" s="1"/>
  <c r="CA318" i="6"/>
  <c r="BZ318" i="6"/>
  <c r="BY318" i="6"/>
  <c r="BX318" i="6"/>
  <c r="BV318" i="6"/>
  <c r="BT318" i="6"/>
  <c r="BS318" i="6"/>
  <c r="BR318" i="6"/>
  <c r="BQ318" i="6"/>
  <c r="BP318" i="6"/>
  <c r="BO318" i="6"/>
  <c r="BN318" i="6"/>
  <c r="BM318" i="6"/>
  <c r="BK318" i="6"/>
  <c r="BJ318" i="6"/>
  <c r="BI318" i="6"/>
  <c r="BH318" i="6"/>
  <c r="BG318" i="6"/>
  <c r="BF318" i="6"/>
  <c r="BE318" i="6"/>
  <c r="BD318" i="6"/>
  <c r="BC318" i="6"/>
  <c r="AY318" i="6"/>
  <c r="AX318" i="6"/>
  <c r="AW318" i="6"/>
  <c r="AU318" i="6"/>
  <c r="AT318" i="6"/>
  <c r="AS318" i="6"/>
  <c r="M318" i="6"/>
  <c r="K318" i="6"/>
  <c r="J318" i="6"/>
  <c r="H318" i="6"/>
  <c r="AF318" i="6" s="1"/>
  <c r="CA317" i="6"/>
  <c r="BZ317" i="6"/>
  <c r="BY317" i="6"/>
  <c r="BX317" i="6"/>
  <c r="BV317" i="6"/>
  <c r="BT317" i="6"/>
  <c r="BS317" i="6"/>
  <c r="BR317" i="6"/>
  <c r="BQ317" i="6"/>
  <c r="BP317" i="6"/>
  <c r="BO317" i="6"/>
  <c r="BN317" i="6"/>
  <c r="BM317" i="6"/>
  <c r="BK317" i="6"/>
  <c r="BJ317" i="6"/>
  <c r="BI317" i="6"/>
  <c r="BH317" i="6"/>
  <c r="BG317" i="6"/>
  <c r="BF317" i="6"/>
  <c r="BE317" i="6"/>
  <c r="BD317" i="6"/>
  <c r="BC317" i="6"/>
  <c r="AY317" i="6"/>
  <c r="AX317" i="6"/>
  <c r="AW317" i="6"/>
  <c r="AU317" i="6"/>
  <c r="AT317" i="6"/>
  <c r="AS317" i="6"/>
  <c r="O317" i="6"/>
  <c r="K317" i="6"/>
  <c r="J317" i="6"/>
  <c r="H317" i="6"/>
  <c r="AF317" i="6" s="1"/>
  <c r="CA316" i="6"/>
  <c r="BZ316" i="6"/>
  <c r="BY316" i="6"/>
  <c r="BX316" i="6"/>
  <c r="BV316" i="6"/>
  <c r="BT316" i="6"/>
  <c r="BS316" i="6"/>
  <c r="BR316" i="6"/>
  <c r="BQ316" i="6"/>
  <c r="BP316" i="6"/>
  <c r="BO316" i="6"/>
  <c r="BN316" i="6"/>
  <c r="BM316" i="6"/>
  <c r="BK316" i="6"/>
  <c r="BJ316" i="6"/>
  <c r="BI316" i="6"/>
  <c r="BH316" i="6"/>
  <c r="BG316" i="6"/>
  <c r="BF316" i="6"/>
  <c r="BE316" i="6"/>
  <c r="BD316" i="6"/>
  <c r="BC316" i="6"/>
  <c r="AY316" i="6"/>
  <c r="AX316" i="6"/>
  <c r="AW316" i="6"/>
  <c r="AU316" i="6"/>
  <c r="AT316" i="6"/>
  <c r="AS316" i="6"/>
  <c r="N316" i="6"/>
  <c r="M316" i="6"/>
  <c r="M315" i="6" s="1"/>
  <c r="K316" i="6"/>
  <c r="J316" i="6"/>
  <c r="H316" i="6"/>
  <c r="AF316" i="6" s="1"/>
  <c r="CA315" i="6"/>
  <c r="BZ315" i="6"/>
  <c r="BY315" i="6"/>
  <c r="BX315" i="6"/>
  <c r="BV315" i="6"/>
  <c r="BT315" i="6"/>
  <c r="BS315" i="6"/>
  <c r="BR315" i="6"/>
  <c r="BQ315" i="6"/>
  <c r="BP315" i="6"/>
  <c r="BO315" i="6"/>
  <c r="BN315" i="6"/>
  <c r="BM315" i="6"/>
  <c r="BK315" i="6"/>
  <c r="BJ315" i="6"/>
  <c r="BI315" i="6"/>
  <c r="BH315" i="6"/>
  <c r="BG315" i="6"/>
  <c r="BF315" i="6"/>
  <c r="BE315" i="6"/>
  <c r="BD315" i="6"/>
  <c r="BC315" i="6"/>
  <c r="AY315" i="6"/>
  <c r="AX315" i="6"/>
  <c r="AW315" i="6"/>
  <c r="AU315" i="6"/>
  <c r="AT315" i="6"/>
  <c r="AS315" i="6"/>
  <c r="K315" i="6"/>
  <c r="J315" i="6"/>
  <c r="H315" i="6"/>
  <c r="AF315" i="6" s="1"/>
  <c r="CA314" i="6"/>
  <c r="BZ314" i="6"/>
  <c r="BY314" i="6"/>
  <c r="BX314" i="6"/>
  <c r="BV314" i="6"/>
  <c r="BT314" i="6"/>
  <c r="BS314" i="6"/>
  <c r="BR314" i="6"/>
  <c r="BQ314" i="6"/>
  <c r="BP314" i="6"/>
  <c r="BO314" i="6"/>
  <c r="BN314" i="6"/>
  <c r="BM314" i="6"/>
  <c r="BK314" i="6"/>
  <c r="BJ314" i="6"/>
  <c r="BI314" i="6"/>
  <c r="BH314" i="6"/>
  <c r="BG314" i="6"/>
  <c r="BF314" i="6"/>
  <c r="BE314" i="6"/>
  <c r="BD314" i="6"/>
  <c r="BC314" i="6"/>
  <c r="AY314" i="6"/>
  <c r="AX314" i="6"/>
  <c r="AW314" i="6"/>
  <c r="AU314" i="6"/>
  <c r="AT314" i="6"/>
  <c r="AS314" i="6"/>
  <c r="O314" i="6"/>
  <c r="K314" i="6"/>
  <c r="J314" i="6"/>
  <c r="H314" i="6"/>
  <c r="AF314" i="6" s="1"/>
  <c r="CA313" i="6"/>
  <c r="BZ313" i="6"/>
  <c r="BY313" i="6"/>
  <c r="BX313" i="6"/>
  <c r="BV313" i="6"/>
  <c r="BT313" i="6"/>
  <c r="BS313" i="6"/>
  <c r="BR313" i="6"/>
  <c r="BQ313" i="6"/>
  <c r="BP313" i="6"/>
  <c r="BO313" i="6"/>
  <c r="BN313" i="6"/>
  <c r="BM313" i="6"/>
  <c r="BK313" i="6"/>
  <c r="BJ313" i="6"/>
  <c r="BI313" i="6"/>
  <c r="BH313" i="6"/>
  <c r="BG313" i="6"/>
  <c r="BF313" i="6"/>
  <c r="BE313" i="6"/>
  <c r="BD313" i="6"/>
  <c r="BC313" i="6"/>
  <c r="AY313" i="6"/>
  <c r="AX313" i="6"/>
  <c r="AW313" i="6"/>
  <c r="AU313" i="6"/>
  <c r="AT313" i="6"/>
  <c r="AS313" i="6"/>
  <c r="M313" i="6"/>
  <c r="N308" i="6" s="1"/>
  <c r="O308" i="6" s="1"/>
  <c r="K313" i="6"/>
  <c r="J313" i="6"/>
  <c r="H313" i="6"/>
  <c r="AF313" i="6" s="1"/>
  <c r="CA312" i="6"/>
  <c r="BZ312" i="6"/>
  <c r="BY312" i="6"/>
  <c r="BX312" i="6"/>
  <c r="BV312" i="6"/>
  <c r="BT312" i="6"/>
  <c r="BS312" i="6"/>
  <c r="BR312" i="6"/>
  <c r="BQ312" i="6"/>
  <c r="BP312" i="6"/>
  <c r="BO312" i="6"/>
  <c r="BN312" i="6"/>
  <c r="BM312" i="6"/>
  <c r="BK312" i="6"/>
  <c r="BJ312" i="6"/>
  <c r="BI312" i="6"/>
  <c r="BH312" i="6"/>
  <c r="BG312" i="6"/>
  <c r="BF312" i="6"/>
  <c r="BE312" i="6"/>
  <c r="BD312" i="6"/>
  <c r="BC312" i="6"/>
  <c r="AY312" i="6"/>
  <c r="AX312" i="6"/>
  <c r="AW312" i="6"/>
  <c r="AU312" i="6"/>
  <c r="AT312" i="6"/>
  <c r="AS312" i="6"/>
  <c r="K312" i="6"/>
  <c r="J312" i="6"/>
  <c r="H312" i="6"/>
  <c r="AF312" i="6" s="1"/>
  <c r="CA311" i="6"/>
  <c r="BZ311" i="6"/>
  <c r="BY311" i="6"/>
  <c r="BX311" i="6"/>
  <c r="BV311" i="6"/>
  <c r="BT311" i="6"/>
  <c r="BS311" i="6"/>
  <c r="BR311" i="6"/>
  <c r="BQ311" i="6"/>
  <c r="BP311" i="6"/>
  <c r="BO311" i="6"/>
  <c r="BN311" i="6"/>
  <c r="BM311" i="6"/>
  <c r="BK311" i="6"/>
  <c r="BJ311" i="6"/>
  <c r="BI311" i="6"/>
  <c r="BH311" i="6"/>
  <c r="BG311" i="6"/>
  <c r="BF311" i="6"/>
  <c r="BE311" i="6"/>
  <c r="BD311" i="6"/>
  <c r="BC311" i="6"/>
  <c r="AY311" i="6"/>
  <c r="AX311" i="6"/>
  <c r="AW311" i="6"/>
  <c r="AU311" i="6"/>
  <c r="AT311" i="6"/>
  <c r="AS311" i="6"/>
  <c r="K311" i="6"/>
  <c r="J311" i="6"/>
  <c r="H311" i="6"/>
  <c r="AF311" i="6" s="1"/>
  <c r="CA310" i="6"/>
  <c r="BZ310" i="6"/>
  <c r="BY310" i="6"/>
  <c r="BX310" i="6"/>
  <c r="BV310" i="6"/>
  <c r="BT310" i="6"/>
  <c r="BS310" i="6"/>
  <c r="BR310" i="6"/>
  <c r="BQ310" i="6"/>
  <c r="BP310" i="6"/>
  <c r="BO310" i="6"/>
  <c r="BN310" i="6"/>
  <c r="BM310" i="6"/>
  <c r="BK310" i="6"/>
  <c r="BJ310" i="6"/>
  <c r="BI310" i="6"/>
  <c r="BH310" i="6"/>
  <c r="BG310" i="6"/>
  <c r="BF310" i="6"/>
  <c r="BE310" i="6"/>
  <c r="BD310" i="6"/>
  <c r="BC310" i="6"/>
  <c r="AY310" i="6"/>
  <c r="AX310" i="6"/>
  <c r="AW310" i="6"/>
  <c r="AU310" i="6"/>
  <c r="AT310" i="6"/>
  <c r="AS310" i="6"/>
  <c r="O310" i="6"/>
  <c r="K310" i="6"/>
  <c r="J310" i="6"/>
  <c r="H310" i="6"/>
  <c r="AF310" i="6" s="1"/>
  <c r="CA309" i="6"/>
  <c r="BZ309" i="6"/>
  <c r="BY309" i="6"/>
  <c r="BX309" i="6"/>
  <c r="BV309" i="6"/>
  <c r="BT309" i="6"/>
  <c r="BS309" i="6"/>
  <c r="BR309" i="6"/>
  <c r="BQ309" i="6"/>
  <c r="BP309" i="6"/>
  <c r="BO309" i="6"/>
  <c r="BN309" i="6"/>
  <c r="BM309" i="6"/>
  <c r="BK309" i="6"/>
  <c r="BJ309" i="6"/>
  <c r="BI309" i="6"/>
  <c r="BH309" i="6"/>
  <c r="BG309" i="6"/>
  <c r="BF309" i="6"/>
  <c r="BE309" i="6"/>
  <c r="BD309" i="6"/>
  <c r="BC309" i="6"/>
  <c r="AY309" i="6"/>
  <c r="AX309" i="6"/>
  <c r="AW309" i="6"/>
  <c r="AU309" i="6"/>
  <c r="AT309" i="6"/>
  <c r="AS309" i="6"/>
  <c r="K309" i="6"/>
  <c r="J309" i="6"/>
  <c r="H309" i="6"/>
  <c r="AF309" i="6" s="1"/>
  <c r="CA308" i="6"/>
  <c r="BZ308" i="6"/>
  <c r="BY308" i="6"/>
  <c r="BX308" i="6"/>
  <c r="BV308" i="6"/>
  <c r="BT308" i="6"/>
  <c r="BS308" i="6"/>
  <c r="BR308" i="6"/>
  <c r="BQ308" i="6"/>
  <c r="BP308" i="6"/>
  <c r="BO308" i="6"/>
  <c r="BN308" i="6"/>
  <c r="BM308" i="6"/>
  <c r="BK308" i="6"/>
  <c r="BJ308" i="6"/>
  <c r="BI308" i="6"/>
  <c r="BH308" i="6"/>
  <c r="BG308" i="6"/>
  <c r="BF308" i="6"/>
  <c r="BE308" i="6"/>
  <c r="BD308" i="6"/>
  <c r="BC308" i="6"/>
  <c r="AY308" i="6"/>
  <c r="AX308" i="6"/>
  <c r="AW308" i="6"/>
  <c r="AU308" i="6"/>
  <c r="AT308" i="6"/>
  <c r="AS308" i="6"/>
  <c r="K308" i="6"/>
  <c r="J308" i="6"/>
  <c r="H308" i="6"/>
  <c r="AF308" i="6" s="1"/>
  <c r="CA307" i="6"/>
  <c r="BZ307" i="6"/>
  <c r="BY307" i="6"/>
  <c r="BX307" i="6"/>
  <c r="BV307" i="6"/>
  <c r="BT307" i="6"/>
  <c r="BS307" i="6"/>
  <c r="BR307" i="6"/>
  <c r="BQ307" i="6"/>
  <c r="BP307" i="6"/>
  <c r="BO307" i="6"/>
  <c r="BN307" i="6"/>
  <c r="BM307" i="6"/>
  <c r="BK307" i="6"/>
  <c r="BJ307" i="6"/>
  <c r="BI307" i="6"/>
  <c r="BH307" i="6"/>
  <c r="BG307" i="6"/>
  <c r="BF307" i="6"/>
  <c r="BE307" i="6"/>
  <c r="BD307" i="6"/>
  <c r="BC307" i="6"/>
  <c r="AY307" i="6"/>
  <c r="AX307" i="6"/>
  <c r="AW307" i="6"/>
  <c r="AU307" i="6"/>
  <c r="AT307" i="6"/>
  <c r="AS307" i="6"/>
  <c r="K307" i="6"/>
  <c r="J307" i="6"/>
  <c r="H307" i="6"/>
  <c r="AF307" i="6" s="1"/>
  <c r="CA306" i="6"/>
  <c r="BZ306" i="6"/>
  <c r="BY306" i="6"/>
  <c r="BX306" i="6"/>
  <c r="BV306" i="6"/>
  <c r="BT306" i="6"/>
  <c r="BS306" i="6"/>
  <c r="BR306" i="6"/>
  <c r="BQ306" i="6"/>
  <c r="BP306" i="6"/>
  <c r="BO306" i="6"/>
  <c r="BN306" i="6"/>
  <c r="BM306" i="6"/>
  <c r="BK306" i="6"/>
  <c r="BJ306" i="6"/>
  <c r="BI306" i="6"/>
  <c r="BH306" i="6"/>
  <c r="BG306" i="6"/>
  <c r="BF306" i="6"/>
  <c r="BE306" i="6"/>
  <c r="BD306" i="6"/>
  <c r="BC306" i="6"/>
  <c r="AY306" i="6"/>
  <c r="AX306" i="6"/>
  <c r="AW306" i="6"/>
  <c r="AU306" i="6"/>
  <c r="AT306" i="6"/>
  <c r="AS306" i="6"/>
  <c r="K306" i="6"/>
  <c r="J306" i="6"/>
  <c r="H306" i="6"/>
  <c r="AF306" i="6" s="1"/>
  <c r="CA305" i="6"/>
  <c r="BZ305" i="6"/>
  <c r="BY305" i="6"/>
  <c r="BX305" i="6"/>
  <c r="BV305" i="6"/>
  <c r="BT305" i="6"/>
  <c r="BS305" i="6"/>
  <c r="BR305" i="6"/>
  <c r="BQ305" i="6"/>
  <c r="BP305" i="6"/>
  <c r="BO305" i="6"/>
  <c r="BN305" i="6"/>
  <c r="BM305" i="6"/>
  <c r="BK305" i="6"/>
  <c r="BJ305" i="6"/>
  <c r="BI305" i="6"/>
  <c r="BH305" i="6"/>
  <c r="BG305" i="6"/>
  <c r="BF305" i="6"/>
  <c r="BE305" i="6"/>
  <c r="BD305" i="6"/>
  <c r="BC305" i="6"/>
  <c r="AY305" i="6"/>
  <c r="AX305" i="6"/>
  <c r="AW305" i="6"/>
  <c r="AU305" i="6"/>
  <c r="AT305" i="6"/>
  <c r="AS305" i="6"/>
  <c r="M305" i="6"/>
  <c r="K305" i="6"/>
  <c r="J305" i="6"/>
  <c r="H305" i="6"/>
  <c r="AF305" i="6" s="1"/>
  <c r="CA304" i="6"/>
  <c r="BZ304" i="6"/>
  <c r="BY304" i="6"/>
  <c r="BX304" i="6"/>
  <c r="BV304" i="6"/>
  <c r="BT304" i="6"/>
  <c r="BS304" i="6"/>
  <c r="BR304" i="6"/>
  <c r="BQ304" i="6"/>
  <c r="BP304" i="6"/>
  <c r="BO304" i="6"/>
  <c r="BN304" i="6"/>
  <c r="BM304" i="6"/>
  <c r="BK304" i="6"/>
  <c r="BJ304" i="6"/>
  <c r="BI304" i="6"/>
  <c r="BH304" i="6"/>
  <c r="BG304" i="6"/>
  <c r="BF304" i="6"/>
  <c r="BE304" i="6"/>
  <c r="BD304" i="6"/>
  <c r="BC304" i="6"/>
  <c r="AY304" i="6"/>
  <c r="AX304" i="6"/>
  <c r="AW304" i="6"/>
  <c r="AU304" i="6"/>
  <c r="AT304" i="6"/>
  <c r="AS304" i="6"/>
  <c r="O304" i="6"/>
  <c r="L304" i="6"/>
  <c r="K304" i="6"/>
  <c r="J304" i="6"/>
  <c r="H304" i="6"/>
  <c r="AF304" i="6" s="1"/>
  <c r="CA303" i="6"/>
  <c r="BZ303" i="6"/>
  <c r="BY303" i="6"/>
  <c r="BX303" i="6"/>
  <c r="BV303" i="6"/>
  <c r="BT303" i="6"/>
  <c r="BS303" i="6"/>
  <c r="BR303" i="6"/>
  <c r="BQ303" i="6"/>
  <c r="BP303" i="6"/>
  <c r="BO303" i="6"/>
  <c r="BN303" i="6"/>
  <c r="BM303" i="6"/>
  <c r="BK303" i="6"/>
  <c r="BJ303" i="6"/>
  <c r="BI303" i="6"/>
  <c r="BH303" i="6"/>
  <c r="BG303" i="6"/>
  <c r="BF303" i="6"/>
  <c r="BE303" i="6"/>
  <c r="BD303" i="6"/>
  <c r="BC303" i="6"/>
  <c r="AY303" i="6"/>
  <c r="AX303" i="6"/>
  <c r="AW303" i="6"/>
  <c r="AU303" i="6"/>
  <c r="AT303" i="6"/>
  <c r="AS303" i="6"/>
  <c r="K303" i="6"/>
  <c r="J303" i="6"/>
  <c r="H303" i="6"/>
  <c r="AF303" i="6" s="1"/>
  <c r="CA302" i="6"/>
  <c r="BZ302" i="6"/>
  <c r="BY302" i="6"/>
  <c r="BX302" i="6"/>
  <c r="BV302" i="6"/>
  <c r="BT302" i="6"/>
  <c r="BS302" i="6"/>
  <c r="BR302" i="6"/>
  <c r="BQ302" i="6"/>
  <c r="BP302" i="6"/>
  <c r="BO302" i="6"/>
  <c r="BN302" i="6"/>
  <c r="BM302" i="6"/>
  <c r="BK302" i="6"/>
  <c r="BJ302" i="6"/>
  <c r="BI302" i="6"/>
  <c r="BH302" i="6"/>
  <c r="BG302" i="6"/>
  <c r="BF302" i="6"/>
  <c r="BE302" i="6"/>
  <c r="BD302" i="6"/>
  <c r="BC302" i="6"/>
  <c r="AY302" i="6"/>
  <c r="AX302" i="6"/>
  <c r="AW302" i="6"/>
  <c r="AU302" i="6"/>
  <c r="AT302" i="6"/>
  <c r="AS302" i="6"/>
  <c r="K302" i="6"/>
  <c r="J302" i="6"/>
  <c r="H302" i="6"/>
  <c r="AF302" i="6" s="1"/>
  <c r="CA301" i="6"/>
  <c r="BZ301" i="6"/>
  <c r="BY301" i="6"/>
  <c r="BX301" i="6"/>
  <c r="BV301" i="6"/>
  <c r="BT301" i="6"/>
  <c r="BS301" i="6"/>
  <c r="BR301" i="6"/>
  <c r="BQ301" i="6"/>
  <c r="BP301" i="6"/>
  <c r="BO301" i="6"/>
  <c r="BN301" i="6"/>
  <c r="BM301" i="6"/>
  <c r="BK301" i="6"/>
  <c r="BJ301" i="6"/>
  <c r="BI301" i="6"/>
  <c r="BH301" i="6"/>
  <c r="BG301" i="6"/>
  <c r="BF301" i="6"/>
  <c r="BE301" i="6"/>
  <c r="BD301" i="6"/>
  <c r="BC301" i="6"/>
  <c r="AY301" i="6"/>
  <c r="AX301" i="6"/>
  <c r="AW301" i="6"/>
  <c r="AU301" i="6"/>
  <c r="AT301" i="6"/>
  <c r="AS301" i="6"/>
  <c r="M301" i="6"/>
  <c r="K301" i="6"/>
  <c r="J301" i="6"/>
  <c r="H301" i="6"/>
  <c r="AF301" i="6" s="1"/>
  <c r="CA300" i="6"/>
  <c r="BZ300" i="6"/>
  <c r="BY300" i="6"/>
  <c r="BX300" i="6"/>
  <c r="BV300" i="6"/>
  <c r="BT300" i="6"/>
  <c r="BS300" i="6"/>
  <c r="BR300" i="6"/>
  <c r="BQ300" i="6"/>
  <c r="BP300" i="6"/>
  <c r="BO300" i="6"/>
  <c r="BN300" i="6"/>
  <c r="BM300" i="6"/>
  <c r="BK300" i="6"/>
  <c r="BJ300" i="6"/>
  <c r="BI300" i="6"/>
  <c r="BH300" i="6"/>
  <c r="BG300" i="6"/>
  <c r="BF300" i="6"/>
  <c r="BE300" i="6"/>
  <c r="BD300" i="6"/>
  <c r="BC300" i="6"/>
  <c r="AY300" i="6"/>
  <c r="AX300" i="6"/>
  <c r="AW300" i="6"/>
  <c r="AU300" i="6"/>
  <c r="AT300" i="6"/>
  <c r="AS300" i="6"/>
  <c r="O300" i="6"/>
  <c r="K300" i="6"/>
  <c r="J300" i="6"/>
  <c r="H300" i="6"/>
  <c r="AF300" i="6" s="1"/>
  <c r="CA299" i="6"/>
  <c r="BZ299" i="6"/>
  <c r="BY299" i="6"/>
  <c r="BX299" i="6"/>
  <c r="BV299" i="6"/>
  <c r="BT299" i="6"/>
  <c r="BS299" i="6"/>
  <c r="BR299" i="6"/>
  <c r="BQ299" i="6"/>
  <c r="BP299" i="6"/>
  <c r="BO299" i="6"/>
  <c r="BN299" i="6"/>
  <c r="BM299" i="6"/>
  <c r="BK299" i="6"/>
  <c r="BJ299" i="6"/>
  <c r="BI299" i="6"/>
  <c r="BH299" i="6"/>
  <c r="BG299" i="6"/>
  <c r="BF299" i="6"/>
  <c r="BE299" i="6"/>
  <c r="BD299" i="6"/>
  <c r="BC299" i="6"/>
  <c r="AY299" i="6"/>
  <c r="AX299" i="6"/>
  <c r="AW299" i="6"/>
  <c r="AU299" i="6"/>
  <c r="AT299" i="6"/>
  <c r="AS299" i="6"/>
  <c r="N299" i="6"/>
  <c r="M299" i="6"/>
  <c r="M298" i="6" s="1"/>
  <c r="K299" i="6"/>
  <c r="J299" i="6"/>
  <c r="H299" i="6"/>
  <c r="AF299" i="6" s="1"/>
  <c r="CA298" i="6"/>
  <c r="BZ298" i="6"/>
  <c r="BY298" i="6"/>
  <c r="BX298" i="6"/>
  <c r="BV298" i="6"/>
  <c r="BT298" i="6"/>
  <c r="BS298" i="6"/>
  <c r="BR298" i="6"/>
  <c r="BQ298" i="6"/>
  <c r="BP298" i="6"/>
  <c r="BO298" i="6"/>
  <c r="BN298" i="6"/>
  <c r="BM298" i="6"/>
  <c r="BK298" i="6"/>
  <c r="BJ298" i="6"/>
  <c r="BI298" i="6"/>
  <c r="BH298" i="6"/>
  <c r="BG298" i="6"/>
  <c r="BF298" i="6"/>
  <c r="BE298" i="6"/>
  <c r="BD298" i="6"/>
  <c r="BC298" i="6"/>
  <c r="AY298" i="6"/>
  <c r="AX298" i="6"/>
  <c r="AW298" i="6"/>
  <c r="AU298" i="6"/>
  <c r="AT298" i="6"/>
  <c r="AS298" i="6"/>
  <c r="K298" i="6"/>
  <c r="J298" i="6"/>
  <c r="H298" i="6"/>
  <c r="AF298" i="6" s="1"/>
  <c r="CA297" i="6"/>
  <c r="BZ297" i="6"/>
  <c r="BY297" i="6"/>
  <c r="BX297" i="6"/>
  <c r="BV297" i="6"/>
  <c r="BT297" i="6"/>
  <c r="BS297" i="6"/>
  <c r="BR297" i="6"/>
  <c r="BQ297" i="6"/>
  <c r="BP297" i="6"/>
  <c r="BO297" i="6"/>
  <c r="BN297" i="6"/>
  <c r="BM297" i="6"/>
  <c r="BK297" i="6"/>
  <c r="BJ297" i="6"/>
  <c r="BI297" i="6"/>
  <c r="BH297" i="6"/>
  <c r="BG297" i="6"/>
  <c r="BF297" i="6"/>
  <c r="BE297" i="6"/>
  <c r="BD297" i="6"/>
  <c r="BC297" i="6"/>
  <c r="AY297" i="6"/>
  <c r="AX297" i="6"/>
  <c r="AW297" i="6"/>
  <c r="AU297" i="6"/>
  <c r="AT297" i="6"/>
  <c r="AS297" i="6"/>
  <c r="O297" i="6"/>
  <c r="K297" i="6"/>
  <c r="J297" i="6"/>
  <c r="H297" i="6"/>
  <c r="AF297" i="6" s="1"/>
  <c r="CA296" i="6"/>
  <c r="BZ296" i="6"/>
  <c r="BY296" i="6"/>
  <c r="BX296" i="6"/>
  <c r="BV296" i="6"/>
  <c r="BT296" i="6"/>
  <c r="BS296" i="6"/>
  <c r="BR296" i="6"/>
  <c r="BQ296" i="6"/>
  <c r="BP296" i="6"/>
  <c r="BO296" i="6"/>
  <c r="BN296" i="6"/>
  <c r="BM296" i="6"/>
  <c r="BK296" i="6"/>
  <c r="BJ296" i="6"/>
  <c r="BI296" i="6"/>
  <c r="BH296" i="6"/>
  <c r="BG296" i="6"/>
  <c r="BF296" i="6"/>
  <c r="BE296" i="6"/>
  <c r="BD296" i="6"/>
  <c r="BC296" i="6"/>
  <c r="AY296" i="6"/>
  <c r="AX296" i="6"/>
  <c r="AW296" i="6"/>
  <c r="AU296" i="6"/>
  <c r="AT296" i="6"/>
  <c r="AS296" i="6"/>
  <c r="M296" i="6"/>
  <c r="N291" i="6" s="1"/>
  <c r="K296" i="6"/>
  <c r="J296" i="6"/>
  <c r="H296" i="6"/>
  <c r="AF296" i="6" s="1"/>
  <c r="CA295" i="6"/>
  <c r="BZ295" i="6"/>
  <c r="BY295" i="6"/>
  <c r="BX295" i="6"/>
  <c r="BV295" i="6"/>
  <c r="BT295" i="6"/>
  <c r="BS295" i="6"/>
  <c r="BR295" i="6"/>
  <c r="BQ295" i="6"/>
  <c r="BP295" i="6"/>
  <c r="BO295" i="6"/>
  <c r="BN295" i="6"/>
  <c r="BM295" i="6"/>
  <c r="BK295" i="6"/>
  <c r="BJ295" i="6"/>
  <c r="BI295" i="6"/>
  <c r="BH295" i="6"/>
  <c r="BG295" i="6"/>
  <c r="BF295" i="6"/>
  <c r="BE295" i="6"/>
  <c r="BD295" i="6"/>
  <c r="BC295" i="6"/>
  <c r="AY295" i="6"/>
  <c r="AX295" i="6"/>
  <c r="AW295" i="6"/>
  <c r="AU295" i="6"/>
  <c r="AT295" i="6"/>
  <c r="AS295" i="6"/>
  <c r="K295" i="6"/>
  <c r="J295" i="6"/>
  <c r="H295" i="6"/>
  <c r="AF295" i="6" s="1"/>
  <c r="CA294" i="6"/>
  <c r="BZ294" i="6"/>
  <c r="BY294" i="6"/>
  <c r="BX294" i="6"/>
  <c r="BV294" i="6"/>
  <c r="BT294" i="6"/>
  <c r="BS294" i="6"/>
  <c r="BR294" i="6"/>
  <c r="BQ294" i="6"/>
  <c r="BP294" i="6"/>
  <c r="BO294" i="6"/>
  <c r="BN294" i="6"/>
  <c r="BM294" i="6"/>
  <c r="BK294" i="6"/>
  <c r="BJ294" i="6"/>
  <c r="BI294" i="6"/>
  <c r="BH294" i="6"/>
  <c r="BG294" i="6"/>
  <c r="BF294" i="6"/>
  <c r="BE294" i="6"/>
  <c r="BD294" i="6"/>
  <c r="BC294" i="6"/>
  <c r="AY294" i="6"/>
  <c r="AX294" i="6"/>
  <c r="AW294" i="6"/>
  <c r="AU294" i="6"/>
  <c r="AT294" i="6"/>
  <c r="AS294" i="6"/>
  <c r="K294" i="6"/>
  <c r="J294" i="6"/>
  <c r="H294" i="6"/>
  <c r="AF294" i="6" s="1"/>
  <c r="CA293" i="6"/>
  <c r="BZ293" i="6"/>
  <c r="BY293" i="6"/>
  <c r="BX293" i="6"/>
  <c r="BV293" i="6"/>
  <c r="BT293" i="6"/>
  <c r="BS293" i="6"/>
  <c r="BR293" i="6"/>
  <c r="BQ293" i="6"/>
  <c r="BP293" i="6"/>
  <c r="BO293" i="6"/>
  <c r="BN293" i="6"/>
  <c r="BM293" i="6"/>
  <c r="BK293" i="6"/>
  <c r="BJ293" i="6"/>
  <c r="BI293" i="6"/>
  <c r="BH293" i="6"/>
  <c r="BG293" i="6"/>
  <c r="BF293" i="6"/>
  <c r="BE293" i="6"/>
  <c r="BD293" i="6"/>
  <c r="BC293" i="6"/>
  <c r="AY293" i="6"/>
  <c r="AX293" i="6"/>
  <c r="AW293" i="6"/>
  <c r="AU293" i="6"/>
  <c r="AT293" i="6"/>
  <c r="AS293" i="6"/>
  <c r="O293" i="6"/>
  <c r="K293" i="6"/>
  <c r="J293" i="6"/>
  <c r="H293" i="6"/>
  <c r="AF293" i="6" s="1"/>
  <c r="CA292" i="6"/>
  <c r="BZ292" i="6"/>
  <c r="BY292" i="6"/>
  <c r="BX292" i="6"/>
  <c r="BV292" i="6"/>
  <c r="BT292" i="6"/>
  <c r="BS292" i="6"/>
  <c r="BR292" i="6"/>
  <c r="BQ292" i="6"/>
  <c r="BP292" i="6"/>
  <c r="BO292" i="6"/>
  <c r="BN292" i="6"/>
  <c r="BM292" i="6"/>
  <c r="BK292" i="6"/>
  <c r="BJ292" i="6"/>
  <c r="BI292" i="6"/>
  <c r="BH292" i="6"/>
  <c r="BG292" i="6"/>
  <c r="BF292" i="6"/>
  <c r="BE292" i="6"/>
  <c r="BD292" i="6"/>
  <c r="BC292" i="6"/>
  <c r="AY292" i="6"/>
  <c r="AX292" i="6"/>
  <c r="AW292" i="6"/>
  <c r="AU292" i="6"/>
  <c r="AT292" i="6"/>
  <c r="AS292" i="6"/>
  <c r="K292" i="6"/>
  <c r="J292" i="6"/>
  <c r="H292" i="6"/>
  <c r="AF292" i="6" s="1"/>
  <c r="CA291" i="6"/>
  <c r="BZ291" i="6"/>
  <c r="BY291" i="6"/>
  <c r="BX291" i="6"/>
  <c r="BV291" i="6"/>
  <c r="BT291" i="6"/>
  <c r="BS291" i="6"/>
  <c r="BR291" i="6"/>
  <c r="BQ291" i="6"/>
  <c r="BP291" i="6"/>
  <c r="BO291" i="6"/>
  <c r="BN291" i="6"/>
  <c r="BM291" i="6"/>
  <c r="BK291" i="6"/>
  <c r="BJ291" i="6"/>
  <c r="BI291" i="6"/>
  <c r="BH291" i="6"/>
  <c r="BG291" i="6"/>
  <c r="BF291" i="6"/>
  <c r="BE291" i="6"/>
  <c r="BD291" i="6"/>
  <c r="BC291" i="6"/>
  <c r="AY291" i="6"/>
  <c r="AX291" i="6"/>
  <c r="AW291" i="6"/>
  <c r="AU291" i="6"/>
  <c r="AT291" i="6"/>
  <c r="AS291" i="6"/>
  <c r="K291" i="6"/>
  <c r="J291" i="6"/>
  <c r="H291" i="6"/>
  <c r="AF291" i="6" s="1"/>
  <c r="CA290" i="6"/>
  <c r="BZ290" i="6"/>
  <c r="BY290" i="6"/>
  <c r="BX290" i="6"/>
  <c r="BV290" i="6"/>
  <c r="BT290" i="6"/>
  <c r="BS290" i="6"/>
  <c r="BR290" i="6"/>
  <c r="BQ290" i="6"/>
  <c r="BP290" i="6"/>
  <c r="BO290" i="6"/>
  <c r="BN290" i="6"/>
  <c r="BM290" i="6"/>
  <c r="BK290" i="6"/>
  <c r="BJ290" i="6"/>
  <c r="BI290" i="6"/>
  <c r="BH290" i="6"/>
  <c r="BG290" i="6"/>
  <c r="BF290" i="6"/>
  <c r="BE290" i="6"/>
  <c r="BD290" i="6"/>
  <c r="BC290" i="6"/>
  <c r="AY290" i="6"/>
  <c r="AX290" i="6"/>
  <c r="AW290" i="6"/>
  <c r="AU290" i="6"/>
  <c r="AT290" i="6"/>
  <c r="AS290" i="6"/>
  <c r="K290" i="6"/>
  <c r="J290" i="6"/>
  <c r="H290" i="6"/>
  <c r="AF290" i="6" s="1"/>
  <c r="CA289" i="6"/>
  <c r="BZ289" i="6"/>
  <c r="BY289" i="6"/>
  <c r="BX289" i="6"/>
  <c r="BV289" i="6"/>
  <c r="BT289" i="6"/>
  <c r="BS289" i="6"/>
  <c r="BR289" i="6"/>
  <c r="BQ289" i="6"/>
  <c r="BP289" i="6"/>
  <c r="BO289" i="6"/>
  <c r="BN289" i="6"/>
  <c r="BM289" i="6"/>
  <c r="BK289" i="6"/>
  <c r="BJ289" i="6"/>
  <c r="BI289" i="6"/>
  <c r="BH289" i="6"/>
  <c r="BG289" i="6"/>
  <c r="BF289" i="6"/>
  <c r="BE289" i="6"/>
  <c r="BD289" i="6"/>
  <c r="BC289" i="6"/>
  <c r="AY289" i="6"/>
  <c r="AX289" i="6"/>
  <c r="AW289" i="6"/>
  <c r="AU289" i="6"/>
  <c r="AT289" i="6"/>
  <c r="AS289" i="6"/>
  <c r="K289" i="6"/>
  <c r="J289" i="6"/>
  <c r="H289" i="6"/>
  <c r="AF289" i="6" s="1"/>
  <c r="CA288" i="6"/>
  <c r="BZ288" i="6"/>
  <c r="BY288" i="6"/>
  <c r="BX288" i="6"/>
  <c r="BV288" i="6"/>
  <c r="BT288" i="6"/>
  <c r="BS288" i="6"/>
  <c r="BR288" i="6"/>
  <c r="BQ288" i="6"/>
  <c r="BP288" i="6"/>
  <c r="BO288" i="6"/>
  <c r="BN288" i="6"/>
  <c r="BM288" i="6"/>
  <c r="BK288" i="6"/>
  <c r="BJ288" i="6"/>
  <c r="BI288" i="6"/>
  <c r="BH288" i="6"/>
  <c r="BG288" i="6"/>
  <c r="BF288" i="6"/>
  <c r="BE288" i="6"/>
  <c r="BD288" i="6"/>
  <c r="BC288" i="6"/>
  <c r="AY288" i="6"/>
  <c r="AX288" i="6"/>
  <c r="AW288" i="6"/>
  <c r="AU288" i="6"/>
  <c r="AT288" i="6"/>
  <c r="AS288" i="6"/>
  <c r="M288" i="6"/>
  <c r="K288" i="6"/>
  <c r="J288" i="6"/>
  <c r="H288" i="6"/>
  <c r="AF288" i="6" s="1"/>
  <c r="O287" i="6"/>
  <c r="K287" i="6"/>
  <c r="J287" i="6"/>
  <c r="H287" i="6"/>
  <c r="AF287" i="6" s="1"/>
  <c r="O286" i="6"/>
  <c r="K286" i="6"/>
  <c r="J286" i="6"/>
  <c r="H286" i="6"/>
  <c r="AF286" i="6" s="1"/>
  <c r="O285" i="6"/>
  <c r="K285" i="6"/>
  <c r="J285" i="6"/>
  <c r="H285" i="6"/>
  <c r="AF285" i="6" s="1"/>
  <c r="O284" i="6"/>
  <c r="K284" i="6"/>
  <c r="J284" i="6"/>
  <c r="H284" i="6"/>
  <c r="AF284" i="6" s="1"/>
  <c r="O283" i="6"/>
  <c r="K283" i="6"/>
  <c r="J283" i="6"/>
  <c r="H283" i="6"/>
  <c r="AF283" i="6" s="1"/>
  <c r="O282" i="6"/>
  <c r="K282" i="6"/>
  <c r="J282" i="6"/>
  <c r="H282" i="6"/>
  <c r="AF282" i="6" s="1"/>
  <c r="O281" i="6"/>
  <c r="K281" i="6"/>
  <c r="J281" i="6"/>
  <c r="H281" i="6"/>
  <c r="AF281" i="6" s="1"/>
  <c r="O280" i="6"/>
  <c r="K280" i="6"/>
  <c r="J280" i="6"/>
  <c r="H280" i="6"/>
  <c r="AF280" i="6" s="1"/>
  <c r="O279" i="6"/>
  <c r="L279" i="6"/>
  <c r="K279" i="6"/>
  <c r="J279" i="6"/>
  <c r="H279" i="6"/>
  <c r="AF279" i="6" s="1"/>
  <c r="O278" i="6"/>
  <c r="K278" i="6"/>
  <c r="J278" i="6"/>
  <c r="H278" i="6"/>
  <c r="AF278" i="6" s="1"/>
  <c r="O277" i="6"/>
  <c r="K277" i="6"/>
  <c r="J277" i="6"/>
  <c r="H277" i="6"/>
  <c r="AF277" i="6" s="1"/>
  <c r="O276" i="6"/>
  <c r="K276" i="6"/>
  <c r="J276" i="6"/>
  <c r="H276" i="6"/>
  <c r="AF276" i="6" s="1"/>
  <c r="O275" i="6"/>
  <c r="L275" i="6"/>
  <c r="K275" i="6"/>
  <c r="J275" i="6"/>
  <c r="H275" i="6"/>
  <c r="AF275" i="6" s="1"/>
  <c r="K274" i="6"/>
  <c r="J274" i="6"/>
  <c r="H274" i="6"/>
  <c r="AF274" i="6" s="1"/>
  <c r="O273" i="6"/>
  <c r="O274" i="6" s="1"/>
  <c r="K273" i="6"/>
  <c r="J273" i="6"/>
  <c r="H273" i="6"/>
  <c r="AF273" i="6" s="1"/>
  <c r="K272" i="6"/>
  <c r="J272" i="6"/>
  <c r="H272" i="6"/>
  <c r="AF272" i="6" s="1"/>
  <c r="O271" i="6"/>
  <c r="K271" i="6"/>
  <c r="J271" i="6"/>
  <c r="H271" i="6"/>
  <c r="AF271" i="6" s="1"/>
  <c r="O270" i="6"/>
  <c r="K270" i="6"/>
  <c r="J270" i="6"/>
  <c r="H270" i="6"/>
  <c r="AF270" i="6" s="1"/>
  <c r="O269" i="6"/>
  <c r="K269" i="6"/>
  <c r="J269" i="6"/>
  <c r="H269" i="6"/>
  <c r="AF269" i="6" s="1"/>
  <c r="O268" i="6"/>
  <c r="L268" i="6"/>
  <c r="K268" i="6"/>
  <c r="J268" i="6"/>
  <c r="H268" i="6"/>
  <c r="AF268" i="6" s="1"/>
  <c r="O267" i="6"/>
  <c r="K267" i="6"/>
  <c r="J267" i="6"/>
  <c r="H267" i="6"/>
  <c r="AF267" i="6" s="1"/>
  <c r="O266" i="6"/>
  <c r="K266" i="6"/>
  <c r="J266" i="6"/>
  <c r="H266" i="6"/>
  <c r="AF266" i="6" s="1"/>
  <c r="O265" i="6"/>
  <c r="K265" i="6"/>
  <c r="J265" i="6"/>
  <c r="H265" i="6"/>
  <c r="AF265" i="6" s="1"/>
  <c r="O264" i="6"/>
  <c r="K264" i="6"/>
  <c r="J264" i="6"/>
  <c r="H264" i="6"/>
  <c r="AF264" i="6" s="1"/>
  <c r="O263" i="6"/>
  <c r="K263" i="6"/>
  <c r="J263" i="6"/>
  <c r="H263" i="6"/>
  <c r="AF263" i="6" s="1"/>
  <c r="O262" i="6"/>
  <c r="K262" i="6"/>
  <c r="J262" i="6"/>
  <c r="H262" i="6"/>
  <c r="AF262" i="6" s="1"/>
  <c r="O261" i="6"/>
  <c r="K261" i="6"/>
  <c r="J261" i="6"/>
  <c r="H261" i="6"/>
  <c r="AF261" i="6" s="1"/>
  <c r="O260" i="6"/>
  <c r="K260" i="6"/>
  <c r="J260" i="6"/>
  <c r="H260" i="6"/>
  <c r="AF260" i="6" s="1"/>
  <c r="O259" i="6"/>
  <c r="K259" i="6"/>
  <c r="J259" i="6"/>
  <c r="H259" i="6"/>
  <c r="AF259" i="6" s="1"/>
  <c r="O258" i="6"/>
  <c r="K258" i="6"/>
  <c r="J258" i="6"/>
  <c r="H258" i="6"/>
  <c r="AF258" i="6" s="1"/>
  <c r="O257" i="6"/>
  <c r="K257" i="6"/>
  <c r="J257" i="6"/>
  <c r="H257" i="6"/>
  <c r="AF257" i="6" s="1"/>
  <c r="K256" i="6"/>
  <c r="J256" i="6"/>
  <c r="H256" i="6"/>
  <c r="AF256" i="6" s="1"/>
  <c r="O255" i="6"/>
  <c r="O256" i="6" s="1"/>
  <c r="O253" i="6" s="1"/>
  <c r="K255" i="6"/>
  <c r="J255" i="6"/>
  <c r="H255" i="6"/>
  <c r="AF255" i="6" s="1"/>
  <c r="K254" i="6"/>
  <c r="J254" i="6"/>
  <c r="H254" i="6"/>
  <c r="AF254" i="6" s="1"/>
  <c r="K253" i="6"/>
  <c r="J253" i="6"/>
  <c r="H253" i="6"/>
  <c r="AF253" i="6" s="1"/>
  <c r="O252" i="6"/>
  <c r="K252" i="6"/>
  <c r="J252" i="6"/>
  <c r="H252" i="6"/>
  <c r="AF252" i="6" s="1"/>
  <c r="O251" i="6"/>
  <c r="O250" i="6" s="1"/>
  <c r="K251" i="6"/>
  <c r="J251" i="6"/>
  <c r="H251" i="6"/>
  <c r="AF251" i="6" s="1"/>
  <c r="K250" i="6"/>
  <c r="J250" i="6"/>
  <c r="H250" i="6"/>
  <c r="AF250" i="6" s="1"/>
  <c r="O249" i="6"/>
  <c r="O248" i="6" s="1"/>
  <c r="O247" i="6" s="1"/>
  <c r="K249" i="6"/>
  <c r="J249" i="6"/>
  <c r="H249" i="6"/>
  <c r="AF249" i="6" s="1"/>
  <c r="K248" i="6"/>
  <c r="J248" i="6"/>
  <c r="H248" i="6"/>
  <c r="AF248" i="6" s="1"/>
  <c r="K247" i="6"/>
  <c r="J247" i="6"/>
  <c r="H247" i="6"/>
  <c r="AF247" i="6" s="1"/>
  <c r="O246" i="6"/>
  <c r="K246" i="6"/>
  <c r="J246" i="6"/>
  <c r="H246" i="6"/>
  <c r="AF246" i="6" s="1"/>
  <c r="O245" i="6"/>
  <c r="O244" i="6" s="1"/>
  <c r="K245" i="6"/>
  <c r="J245" i="6"/>
  <c r="H245" i="6"/>
  <c r="AF245" i="6" s="1"/>
  <c r="K244" i="6"/>
  <c r="J244" i="6"/>
  <c r="H244" i="6"/>
  <c r="AF244" i="6" s="1"/>
  <c r="O243" i="6"/>
  <c r="O242" i="6" s="1"/>
  <c r="K243" i="6"/>
  <c r="J243" i="6"/>
  <c r="H243" i="6"/>
  <c r="AF243" i="6" s="1"/>
  <c r="K242" i="6"/>
  <c r="J242" i="6"/>
  <c r="H242" i="6"/>
  <c r="AF242" i="6" s="1"/>
  <c r="O241" i="6"/>
  <c r="L241" i="6"/>
  <c r="K241" i="6"/>
  <c r="J241" i="6"/>
  <c r="H241" i="6"/>
  <c r="AF241" i="6" s="1"/>
  <c r="O240" i="6"/>
  <c r="K240" i="6"/>
  <c r="J240" i="6"/>
  <c r="H240" i="6"/>
  <c r="AF240" i="6" s="1"/>
  <c r="O239" i="6"/>
  <c r="K239" i="6"/>
  <c r="J239" i="6"/>
  <c r="H239" i="6"/>
  <c r="AF239" i="6" s="1"/>
  <c r="O238" i="6"/>
  <c r="K238" i="6"/>
  <c r="J238" i="6"/>
  <c r="H238" i="6"/>
  <c r="AF238" i="6" s="1"/>
  <c r="O237" i="6"/>
  <c r="K237" i="6"/>
  <c r="J237" i="6"/>
  <c r="H237" i="6"/>
  <c r="AF237" i="6" s="1"/>
  <c r="O236" i="6"/>
  <c r="K236" i="6"/>
  <c r="J236" i="6"/>
  <c r="H236" i="6"/>
  <c r="AF236" i="6" s="1"/>
  <c r="O235" i="6"/>
  <c r="K235" i="6"/>
  <c r="J235" i="6"/>
  <c r="H235" i="6"/>
  <c r="AF235" i="6" s="1"/>
  <c r="O234" i="6"/>
  <c r="K234" i="6"/>
  <c r="J234" i="6"/>
  <c r="H234" i="6"/>
  <c r="AF234" i="6" s="1"/>
  <c r="O233" i="6"/>
  <c r="K233" i="6"/>
  <c r="J233" i="6"/>
  <c r="H233" i="6"/>
  <c r="AF233" i="6" s="1"/>
  <c r="O232" i="6"/>
  <c r="K232" i="6"/>
  <c r="J232" i="6"/>
  <c r="H232" i="6"/>
  <c r="AF232" i="6" s="1"/>
  <c r="O231" i="6"/>
  <c r="K231" i="6"/>
  <c r="J231" i="6"/>
  <c r="H231" i="6"/>
  <c r="AF231" i="6" s="1"/>
  <c r="O230" i="6"/>
  <c r="K230" i="6"/>
  <c r="J230" i="6"/>
  <c r="H230" i="6"/>
  <c r="AF230" i="6" s="1"/>
  <c r="O229" i="6"/>
  <c r="O228" i="6" s="1"/>
  <c r="O227" i="6" s="1"/>
  <c r="K229" i="6"/>
  <c r="J229" i="6"/>
  <c r="H229" i="6"/>
  <c r="AF229" i="6" s="1"/>
  <c r="K228" i="6"/>
  <c r="J228" i="6"/>
  <c r="H228" i="6"/>
  <c r="AF228" i="6" s="1"/>
  <c r="K227" i="6"/>
  <c r="J227" i="6"/>
  <c r="H227" i="6"/>
  <c r="AF227" i="6" s="1"/>
  <c r="O226" i="6"/>
  <c r="O225" i="6" s="1"/>
  <c r="O224" i="6" s="1"/>
  <c r="K226" i="6"/>
  <c r="J226" i="6"/>
  <c r="H226" i="6"/>
  <c r="AF226" i="6" s="1"/>
  <c r="K225" i="6"/>
  <c r="J225" i="6"/>
  <c r="H225" i="6"/>
  <c r="AF225" i="6" s="1"/>
  <c r="K224" i="6"/>
  <c r="J224" i="6"/>
  <c r="H224" i="6"/>
  <c r="AF224" i="6" s="1"/>
  <c r="K223" i="6"/>
  <c r="J223" i="6"/>
  <c r="H223" i="6"/>
  <c r="AF223" i="6" s="1"/>
  <c r="K222" i="6"/>
  <c r="J222" i="6"/>
  <c r="H222" i="6"/>
  <c r="AF222" i="6" s="1"/>
  <c r="K221" i="6"/>
  <c r="J221" i="6"/>
  <c r="H221" i="6"/>
  <c r="AF221" i="6" s="1"/>
  <c r="L220" i="6"/>
  <c r="K220" i="6"/>
  <c r="J220" i="6"/>
  <c r="H220" i="6"/>
  <c r="AF220" i="6" s="1"/>
  <c r="L219" i="6"/>
  <c r="K219" i="6"/>
  <c r="J219" i="6"/>
  <c r="H219" i="6"/>
  <c r="AF219" i="6" s="1"/>
  <c r="L218" i="6"/>
  <c r="K218" i="6"/>
  <c r="J218" i="6"/>
  <c r="H218" i="6"/>
  <c r="AF218" i="6" s="1"/>
  <c r="L217" i="6"/>
  <c r="K217" i="6"/>
  <c r="J217" i="6"/>
  <c r="H217" i="6"/>
  <c r="AF217" i="6" s="1"/>
  <c r="L216" i="6"/>
  <c r="K216" i="6"/>
  <c r="J216" i="6"/>
  <c r="H216" i="6"/>
  <c r="AF216" i="6" s="1"/>
  <c r="L215" i="6"/>
  <c r="K215" i="6"/>
  <c r="J215" i="6"/>
  <c r="H215" i="6"/>
  <c r="AF215" i="6" s="1"/>
  <c r="L214" i="6"/>
  <c r="K214" i="6"/>
  <c r="J214" i="6"/>
  <c r="H214" i="6"/>
  <c r="AF214" i="6" s="1"/>
  <c r="L213" i="6"/>
  <c r="K213" i="6"/>
  <c r="J213" i="6"/>
  <c r="H213" i="6"/>
  <c r="AF213" i="6" s="1"/>
  <c r="M212" i="6"/>
  <c r="L212" i="6"/>
  <c r="K212" i="6"/>
  <c r="J212" i="6"/>
  <c r="H212" i="6"/>
  <c r="AF212" i="6" s="1"/>
  <c r="O211" i="6"/>
  <c r="L211" i="6"/>
  <c r="K211" i="6"/>
  <c r="J211" i="6"/>
  <c r="H211" i="6"/>
  <c r="AF211" i="6" s="1"/>
  <c r="O210" i="6"/>
  <c r="L210" i="6"/>
  <c r="K210" i="6"/>
  <c r="J210" i="6"/>
  <c r="H210" i="6"/>
  <c r="AF210" i="6" s="1"/>
  <c r="O209" i="6"/>
  <c r="L209" i="6"/>
  <c r="K209" i="6"/>
  <c r="J209" i="6"/>
  <c r="H209" i="6"/>
  <c r="AF209" i="6" s="1"/>
  <c r="O208" i="6"/>
  <c r="L208" i="6"/>
  <c r="K208" i="6"/>
  <c r="J208" i="6"/>
  <c r="H208" i="6"/>
  <c r="AF208" i="6" s="1"/>
  <c r="O207" i="6"/>
  <c r="L207" i="6"/>
  <c r="K207" i="6"/>
  <c r="J207" i="6"/>
  <c r="H207" i="6"/>
  <c r="AF207" i="6" s="1"/>
  <c r="O206" i="6"/>
  <c r="L206" i="6"/>
  <c r="K206" i="6"/>
  <c r="J206" i="6"/>
  <c r="H206" i="6"/>
  <c r="AF206" i="6" s="1"/>
  <c r="L205" i="6"/>
  <c r="K205" i="6"/>
  <c r="J205" i="6"/>
  <c r="H205" i="6"/>
  <c r="AF205" i="6" s="1"/>
  <c r="L204" i="6"/>
  <c r="K204" i="6"/>
  <c r="J204" i="6"/>
  <c r="H204" i="6"/>
  <c r="AF204" i="6" s="1"/>
  <c r="M203" i="6"/>
  <c r="L203" i="6"/>
  <c r="K203" i="6"/>
  <c r="J203" i="6"/>
  <c r="H203" i="6"/>
  <c r="AF203" i="6" s="1"/>
  <c r="L202" i="6"/>
  <c r="K202" i="6"/>
  <c r="J202" i="6"/>
  <c r="H202" i="6"/>
  <c r="AF202" i="6" s="1"/>
  <c r="L201" i="6"/>
  <c r="K201" i="6"/>
  <c r="J201" i="6"/>
  <c r="H201" i="6"/>
  <c r="AF201" i="6" s="1"/>
  <c r="L200" i="6"/>
  <c r="K200" i="6"/>
  <c r="J200" i="6"/>
  <c r="H200" i="6"/>
  <c r="AF200" i="6" s="1"/>
  <c r="O199" i="6"/>
  <c r="O200" i="6" s="1"/>
  <c r="O201" i="6" s="1"/>
  <c r="L199" i="6"/>
  <c r="K199" i="6"/>
  <c r="J199" i="6"/>
  <c r="H199" i="6"/>
  <c r="AF199" i="6" s="1"/>
  <c r="O198" i="6"/>
  <c r="L198" i="6"/>
  <c r="K198" i="6"/>
  <c r="J198" i="6"/>
  <c r="H198" i="6"/>
  <c r="AF198" i="6" s="1"/>
  <c r="L197" i="6"/>
  <c r="K197" i="6"/>
  <c r="J197" i="6"/>
  <c r="H197" i="6"/>
  <c r="AF197" i="6" s="1"/>
  <c r="O196" i="6"/>
  <c r="O197" i="6" s="1"/>
  <c r="K196" i="6"/>
  <c r="J196" i="6"/>
  <c r="H196" i="6"/>
  <c r="AF196" i="6" s="1"/>
  <c r="K195" i="6"/>
  <c r="J195" i="6"/>
  <c r="H195" i="6"/>
  <c r="AF195" i="6" s="1"/>
  <c r="K194" i="6"/>
  <c r="J194" i="6"/>
  <c r="H194" i="6"/>
  <c r="AF194" i="6" s="1"/>
  <c r="K193" i="6"/>
  <c r="J193" i="6"/>
  <c r="H193" i="6"/>
  <c r="AF193" i="6" s="1"/>
  <c r="K192" i="6"/>
  <c r="J192" i="6"/>
  <c r="H192" i="6"/>
  <c r="AF192" i="6" s="1"/>
  <c r="K191" i="6"/>
  <c r="J191" i="6"/>
  <c r="H191" i="6"/>
  <c r="AF191" i="6" s="1"/>
  <c r="K190" i="6"/>
  <c r="J190" i="6"/>
  <c r="H190" i="6"/>
  <c r="AF190" i="6" s="1"/>
  <c r="O189" i="6"/>
  <c r="O192" i="6" s="1"/>
  <c r="K189" i="6"/>
  <c r="J189" i="6"/>
  <c r="H189" i="6"/>
  <c r="AF189" i="6" s="1"/>
  <c r="K188" i="6"/>
  <c r="J188" i="6"/>
  <c r="H188" i="6"/>
  <c r="AF188" i="6" s="1"/>
  <c r="K187" i="6"/>
  <c r="J187" i="6"/>
  <c r="H187" i="6"/>
  <c r="AF187" i="6" s="1"/>
  <c r="K186" i="6"/>
  <c r="J186" i="6"/>
  <c r="H186" i="6"/>
  <c r="AF186" i="6" s="1"/>
  <c r="O185" i="6"/>
  <c r="O191" i="6" s="1"/>
  <c r="O190" i="6" s="1"/>
  <c r="K185" i="6"/>
  <c r="J185" i="6"/>
  <c r="H185" i="6"/>
  <c r="AF185" i="6" s="1"/>
  <c r="K184" i="6"/>
  <c r="J184" i="6"/>
  <c r="H184" i="6"/>
  <c r="AF184" i="6" s="1"/>
  <c r="O183" i="6"/>
  <c r="O182" i="6" s="1"/>
  <c r="K183" i="6"/>
  <c r="J183" i="6"/>
  <c r="H183" i="6"/>
  <c r="AF183" i="6" s="1"/>
  <c r="K182" i="6"/>
  <c r="J182" i="6"/>
  <c r="H182" i="6"/>
  <c r="AF182" i="6" s="1"/>
  <c r="K181" i="6"/>
  <c r="J181" i="6"/>
  <c r="H181" i="6"/>
  <c r="AF181" i="6" s="1"/>
  <c r="K180" i="6"/>
  <c r="J180" i="6"/>
  <c r="H180" i="6"/>
  <c r="AF180" i="6" s="1"/>
  <c r="K179" i="6"/>
  <c r="J179" i="6"/>
  <c r="H179" i="6"/>
  <c r="AF179" i="6" s="1"/>
  <c r="K178" i="6"/>
  <c r="J178" i="6"/>
  <c r="H178" i="6"/>
  <c r="AF178" i="6" s="1"/>
  <c r="K177" i="6"/>
  <c r="J177" i="6"/>
  <c r="H177" i="6"/>
  <c r="AF177" i="6" s="1"/>
  <c r="L176" i="6"/>
  <c r="K176" i="6"/>
  <c r="J176" i="6"/>
  <c r="H176" i="6"/>
  <c r="AF176" i="6" s="1"/>
  <c r="L175" i="6"/>
  <c r="K175" i="6"/>
  <c r="J175" i="6"/>
  <c r="H175" i="6"/>
  <c r="AF175" i="6" s="1"/>
  <c r="L174" i="6"/>
  <c r="K174" i="6"/>
  <c r="J174" i="6"/>
  <c r="H174" i="6"/>
  <c r="AF174" i="6" s="1"/>
  <c r="L173" i="6"/>
  <c r="K173" i="6"/>
  <c r="J173" i="6"/>
  <c r="H173" i="6"/>
  <c r="AF173" i="6" s="1"/>
  <c r="L172" i="6"/>
  <c r="K172" i="6"/>
  <c r="J172" i="6"/>
  <c r="H172" i="6"/>
  <c r="AF172" i="6" s="1"/>
  <c r="L171" i="6"/>
  <c r="K171" i="6"/>
  <c r="J171" i="6"/>
  <c r="H171" i="6"/>
  <c r="AF171" i="6" s="1"/>
  <c r="L170" i="6"/>
  <c r="K170" i="6"/>
  <c r="J170" i="6"/>
  <c r="H170" i="6"/>
  <c r="AF170" i="6" s="1"/>
  <c r="L169" i="6"/>
  <c r="K169" i="6"/>
  <c r="J169" i="6"/>
  <c r="H169" i="6"/>
  <c r="AF169" i="6" s="1"/>
  <c r="M168" i="6"/>
  <c r="L168" i="6"/>
  <c r="K168" i="6"/>
  <c r="J168" i="6"/>
  <c r="H168" i="6"/>
  <c r="AF168" i="6" s="1"/>
  <c r="O167" i="6"/>
  <c r="L167" i="6"/>
  <c r="K167" i="6"/>
  <c r="J167" i="6"/>
  <c r="H167" i="6"/>
  <c r="AF167" i="6" s="1"/>
  <c r="O166" i="6"/>
  <c r="L166" i="6"/>
  <c r="K166" i="6"/>
  <c r="J166" i="6"/>
  <c r="H166" i="6"/>
  <c r="AF166" i="6" s="1"/>
  <c r="O165" i="6"/>
  <c r="L165" i="6"/>
  <c r="K165" i="6"/>
  <c r="J165" i="6"/>
  <c r="H165" i="6"/>
  <c r="AF165" i="6" s="1"/>
  <c r="O164" i="6"/>
  <c r="L164" i="6"/>
  <c r="K164" i="6"/>
  <c r="J164" i="6"/>
  <c r="H164" i="6"/>
  <c r="AF164" i="6" s="1"/>
  <c r="O163" i="6"/>
  <c r="L163" i="6"/>
  <c r="K163" i="6"/>
  <c r="J163" i="6"/>
  <c r="H163" i="6"/>
  <c r="AF163" i="6" s="1"/>
  <c r="O162" i="6"/>
  <c r="L162" i="6"/>
  <c r="K162" i="6"/>
  <c r="J162" i="6"/>
  <c r="H162" i="6"/>
  <c r="AF162" i="6" s="1"/>
  <c r="L161" i="6"/>
  <c r="K161" i="6"/>
  <c r="J161" i="6"/>
  <c r="H161" i="6"/>
  <c r="AF161" i="6" s="1"/>
  <c r="L160" i="6"/>
  <c r="K160" i="6"/>
  <c r="J160" i="6"/>
  <c r="H160" i="6"/>
  <c r="AF160" i="6" s="1"/>
  <c r="M159" i="6"/>
  <c r="L159" i="6"/>
  <c r="K159" i="6"/>
  <c r="J159" i="6"/>
  <c r="H159" i="6"/>
  <c r="AF159" i="6" s="1"/>
  <c r="L158" i="6"/>
  <c r="K158" i="6"/>
  <c r="J158" i="6"/>
  <c r="H158" i="6"/>
  <c r="AF158" i="6" s="1"/>
  <c r="L157" i="6"/>
  <c r="K157" i="6"/>
  <c r="J157" i="6"/>
  <c r="H157" i="6"/>
  <c r="AF157" i="6" s="1"/>
  <c r="L156" i="6"/>
  <c r="K156" i="6"/>
  <c r="J156" i="6"/>
  <c r="H156" i="6"/>
  <c r="AF156" i="6" s="1"/>
  <c r="O155" i="6"/>
  <c r="O156" i="6" s="1"/>
  <c r="O157" i="6" s="1"/>
  <c r="L155" i="6"/>
  <c r="K155" i="6"/>
  <c r="J155" i="6"/>
  <c r="H155" i="6"/>
  <c r="AF155" i="6" s="1"/>
  <c r="O154" i="6"/>
  <c r="L154" i="6"/>
  <c r="K154" i="6"/>
  <c r="J154" i="6"/>
  <c r="H154" i="6"/>
  <c r="AF154" i="6" s="1"/>
  <c r="L153" i="6"/>
  <c r="K153" i="6"/>
  <c r="J153" i="6"/>
  <c r="H153" i="6"/>
  <c r="AF153" i="6" s="1"/>
  <c r="O152" i="6"/>
  <c r="K152" i="6"/>
  <c r="J152" i="6"/>
  <c r="H152" i="6"/>
  <c r="AF152" i="6" s="1"/>
  <c r="K151" i="6"/>
  <c r="J151" i="6"/>
  <c r="H151" i="6"/>
  <c r="AF151" i="6" s="1"/>
  <c r="K150" i="6"/>
  <c r="J150" i="6"/>
  <c r="H150" i="6"/>
  <c r="AF150" i="6" s="1"/>
  <c r="K149" i="6"/>
  <c r="J149" i="6"/>
  <c r="H149" i="6"/>
  <c r="AF149" i="6" s="1"/>
  <c r="K148" i="6"/>
  <c r="J148" i="6"/>
  <c r="H148" i="6"/>
  <c r="AF148" i="6" s="1"/>
  <c r="K147" i="6"/>
  <c r="J147" i="6"/>
  <c r="H147" i="6"/>
  <c r="AF147" i="6" s="1"/>
  <c r="K146" i="6"/>
  <c r="J146" i="6"/>
  <c r="H146" i="6"/>
  <c r="AF146" i="6" s="1"/>
  <c r="O145" i="6"/>
  <c r="O148" i="6" s="1"/>
  <c r="K145" i="6"/>
  <c r="J145" i="6"/>
  <c r="H145" i="6"/>
  <c r="AF145" i="6" s="1"/>
  <c r="K144" i="6"/>
  <c r="J144" i="6"/>
  <c r="H144" i="6"/>
  <c r="AF144" i="6" s="1"/>
  <c r="K143" i="6"/>
  <c r="J143" i="6"/>
  <c r="H143" i="6"/>
  <c r="AF143" i="6" s="1"/>
  <c r="K142" i="6"/>
  <c r="J142" i="6"/>
  <c r="H142" i="6"/>
  <c r="AF142" i="6" s="1"/>
  <c r="O141" i="6"/>
  <c r="O147" i="6" s="1"/>
  <c r="O146" i="6" s="1"/>
  <c r="K141" i="6"/>
  <c r="J141" i="6"/>
  <c r="H141" i="6"/>
  <c r="AF141" i="6" s="1"/>
  <c r="K140" i="6"/>
  <c r="J140" i="6"/>
  <c r="H140" i="6"/>
  <c r="AF140" i="6" s="1"/>
  <c r="K139" i="6"/>
  <c r="J139" i="6"/>
  <c r="H139" i="6"/>
  <c r="AF139" i="6" s="1"/>
  <c r="K138" i="6"/>
  <c r="J138" i="6"/>
  <c r="H138" i="6"/>
  <c r="AF138" i="6" s="1"/>
  <c r="L137" i="6"/>
  <c r="K137" i="6"/>
  <c r="J137" i="6"/>
  <c r="H137" i="6"/>
  <c r="AF137" i="6" s="1"/>
  <c r="L136" i="6"/>
  <c r="K136" i="6"/>
  <c r="J136" i="6"/>
  <c r="H136" i="6"/>
  <c r="AF136" i="6" s="1"/>
  <c r="L135" i="6"/>
  <c r="K135" i="6"/>
  <c r="J135" i="6"/>
  <c r="H135" i="6"/>
  <c r="AF135" i="6" s="1"/>
  <c r="L134" i="6"/>
  <c r="K134" i="6"/>
  <c r="J134" i="6"/>
  <c r="H134" i="6"/>
  <c r="AF134" i="6" s="1"/>
  <c r="L133" i="6"/>
  <c r="K133" i="6"/>
  <c r="J133" i="6"/>
  <c r="H133" i="6"/>
  <c r="AF133" i="6" s="1"/>
  <c r="L132" i="6"/>
  <c r="K132" i="6"/>
  <c r="J132" i="6"/>
  <c r="H132" i="6"/>
  <c r="AF132" i="6" s="1"/>
  <c r="L131" i="6"/>
  <c r="K131" i="6"/>
  <c r="J131" i="6"/>
  <c r="H131" i="6"/>
  <c r="AF131" i="6" s="1"/>
  <c r="L130" i="6"/>
  <c r="K130" i="6"/>
  <c r="J130" i="6"/>
  <c r="H130" i="6"/>
  <c r="AF130" i="6" s="1"/>
  <c r="M129" i="6"/>
  <c r="L129" i="6"/>
  <c r="K129" i="6"/>
  <c r="J129" i="6"/>
  <c r="H129" i="6"/>
  <c r="AF129" i="6" s="1"/>
  <c r="O128" i="6"/>
  <c r="L128" i="6"/>
  <c r="K128" i="6"/>
  <c r="J128" i="6"/>
  <c r="H128" i="6"/>
  <c r="AF128" i="6" s="1"/>
  <c r="O127" i="6"/>
  <c r="L127" i="6"/>
  <c r="K127" i="6"/>
  <c r="J127" i="6"/>
  <c r="H127" i="6"/>
  <c r="AF127" i="6" s="1"/>
  <c r="O126" i="6"/>
  <c r="L126" i="6"/>
  <c r="K126" i="6"/>
  <c r="J126" i="6"/>
  <c r="H126" i="6"/>
  <c r="AF126" i="6" s="1"/>
  <c r="O125" i="6"/>
  <c r="L125" i="6"/>
  <c r="K125" i="6"/>
  <c r="J125" i="6"/>
  <c r="H125" i="6"/>
  <c r="AF125" i="6" s="1"/>
  <c r="O124" i="6"/>
  <c r="L124" i="6"/>
  <c r="K124" i="6"/>
  <c r="J124" i="6"/>
  <c r="H124" i="6"/>
  <c r="AF124" i="6" s="1"/>
  <c r="O123" i="6"/>
  <c r="L123" i="6"/>
  <c r="K123" i="6"/>
  <c r="J123" i="6"/>
  <c r="H123" i="6"/>
  <c r="AF123" i="6" s="1"/>
  <c r="L122" i="6"/>
  <c r="K122" i="6"/>
  <c r="J122" i="6"/>
  <c r="H122" i="6"/>
  <c r="AF122" i="6" s="1"/>
  <c r="L121" i="6"/>
  <c r="K121" i="6"/>
  <c r="J121" i="6"/>
  <c r="H121" i="6"/>
  <c r="AF121" i="6" s="1"/>
  <c r="M120" i="6"/>
  <c r="L120" i="6"/>
  <c r="K120" i="6"/>
  <c r="J120" i="6"/>
  <c r="H120" i="6"/>
  <c r="AF120" i="6" s="1"/>
  <c r="L119" i="6"/>
  <c r="K119" i="6"/>
  <c r="J119" i="6"/>
  <c r="H119" i="6"/>
  <c r="AF119" i="6" s="1"/>
  <c r="L118" i="6"/>
  <c r="K118" i="6"/>
  <c r="J118" i="6"/>
  <c r="H118" i="6"/>
  <c r="AF118" i="6" s="1"/>
  <c r="L117" i="6"/>
  <c r="K117" i="6"/>
  <c r="J117" i="6"/>
  <c r="H117" i="6"/>
  <c r="AF117" i="6" s="1"/>
  <c r="O116" i="6"/>
  <c r="O117" i="6" s="1"/>
  <c r="O118" i="6" s="1"/>
  <c r="L116" i="6"/>
  <c r="K116" i="6"/>
  <c r="J116" i="6"/>
  <c r="H116" i="6"/>
  <c r="AF116" i="6" s="1"/>
  <c r="O115" i="6"/>
  <c r="L115" i="6"/>
  <c r="K115" i="6"/>
  <c r="J115" i="6"/>
  <c r="H115" i="6"/>
  <c r="AF115" i="6" s="1"/>
  <c r="L114" i="6"/>
  <c r="P114" i="6" s="1"/>
  <c r="K114" i="6"/>
  <c r="J114" i="6"/>
  <c r="H114" i="6"/>
  <c r="AF114" i="6" s="1"/>
  <c r="K113" i="6"/>
  <c r="J113" i="6"/>
  <c r="H113" i="6"/>
  <c r="AF113" i="6" s="1"/>
  <c r="O112" i="6"/>
  <c r="O111" i="6" s="1"/>
  <c r="K112" i="6"/>
  <c r="J112" i="6"/>
  <c r="H112" i="6"/>
  <c r="AF112" i="6" s="1"/>
  <c r="K111" i="6"/>
  <c r="J111" i="6"/>
  <c r="H111" i="6"/>
  <c r="AF111" i="6" s="1"/>
  <c r="K110" i="6"/>
  <c r="J110" i="6"/>
  <c r="H110" i="6"/>
  <c r="AF110" i="6" s="1"/>
  <c r="K109" i="6"/>
  <c r="J109" i="6"/>
  <c r="H109" i="6"/>
  <c r="AF109" i="6" s="1"/>
  <c r="K108" i="6"/>
  <c r="J108" i="6"/>
  <c r="H108" i="6"/>
  <c r="AF108" i="6" s="1"/>
  <c r="K107" i="6"/>
  <c r="J107" i="6"/>
  <c r="H107" i="6"/>
  <c r="AF107" i="6" s="1"/>
  <c r="K106" i="6"/>
  <c r="J106" i="6"/>
  <c r="H106" i="6"/>
  <c r="AF106" i="6" s="1"/>
  <c r="O105" i="6"/>
  <c r="O108" i="6" s="1"/>
  <c r="K105" i="6"/>
  <c r="J105" i="6"/>
  <c r="H105" i="6"/>
  <c r="AF105" i="6" s="1"/>
  <c r="K104" i="6"/>
  <c r="J104" i="6"/>
  <c r="H104" i="6"/>
  <c r="AF104" i="6" s="1"/>
  <c r="K103" i="6"/>
  <c r="J103" i="6"/>
  <c r="H103" i="6"/>
  <c r="AF103" i="6" s="1"/>
  <c r="K102" i="6"/>
  <c r="J102" i="6"/>
  <c r="H102" i="6"/>
  <c r="AF102" i="6" s="1"/>
  <c r="O101" i="6"/>
  <c r="O102" i="6" s="1"/>
  <c r="O103" i="6" s="1"/>
  <c r="O110" i="6" s="1"/>
  <c r="O109" i="6" s="1"/>
  <c r="K101" i="6"/>
  <c r="J101" i="6"/>
  <c r="H101" i="6"/>
  <c r="AF101" i="6" s="1"/>
  <c r="K100" i="6"/>
  <c r="J100" i="6"/>
  <c r="H100" i="6"/>
  <c r="AF100" i="6" s="1"/>
  <c r="O99" i="6"/>
  <c r="K99" i="6"/>
  <c r="J99" i="6"/>
  <c r="H99" i="6"/>
  <c r="AF99" i="6" s="1"/>
  <c r="K98" i="6"/>
  <c r="J98" i="6"/>
  <c r="H98" i="6"/>
  <c r="AF98" i="6" s="1"/>
  <c r="K97" i="6"/>
  <c r="J97" i="6"/>
  <c r="H97" i="6"/>
  <c r="AF97" i="6" s="1"/>
  <c r="K96" i="6"/>
  <c r="J96" i="6"/>
  <c r="H96" i="6"/>
  <c r="AF96" i="6" s="1"/>
  <c r="K95" i="6"/>
  <c r="J95" i="6"/>
  <c r="H95" i="6"/>
  <c r="AF95" i="6" s="1"/>
  <c r="K94" i="6"/>
  <c r="J94" i="6"/>
  <c r="H94" i="6"/>
  <c r="AF94" i="6" s="1"/>
  <c r="O93" i="6"/>
  <c r="O94" i="6" s="1"/>
  <c r="K93" i="6"/>
  <c r="J93" i="6"/>
  <c r="H93" i="6"/>
  <c r="AF93" i="6" s="1"/>
  <c r="O92" i="6"/>
  <c r="O90" i="6" s="1"/>
  <c r="K92" i="6"/>
  <c r="J92" i="6"/>
  <c r="H92" i="6"/>
  <c r="AF92" i="6" s="1"/>
  <c r="K91" i="6"/>
  <c r="J91" i="6"/>
  <c r="H91" i="6"/>
  <c r="AF91" i="6" s="1"/>
  <c r="K90" i="6"/>
  <c r="J90" i="6"/>
  <c r="H90" i="6"/>
  <c r="AF90" i="6" s="1"/>
  <c r="K89" i="6"/>
  <c r="J89" i="6"/>
  <c r="H89" i="6"/>
  <c r="AF89" i="6" s="1"/>
  <c r="K88" i="6"/>
  <c r="J88" i="6"/>
  <c r="H88" i="6"/>
  <c r="AF88" i="6" s="1"/>
  <c r="O87" i="6"/>
  <c r="O86" i="6" s="1"/>
  <c r="O85" i="6" s="1"/>
  <c r="K87" i="6"/>
  <c r="J87" i="6"/>
  <c r="H87" i="6"/>
  <c r="AF87" i="6" s="1"/>
  <c r="K86" i="6"/>
  <c r="J86" i="6"/>
  <c r="H86" i="6"/>
  <c r="AF86" i="6" s="1"/>
  <c r="K85" i="6"/>
  <c r="J85" i="6"/>
  <c r="H85" i="6"/>
  <c r="AF85" i="6" s="1"/>
  <c r="K84" i="6"/>
  <c r="J84" i="6"/>
  <c r="H84" i="6"/>
  <c r="AF84" i="6" s="1"/>
  <c r="E84" i="6"/>
  <c r="K83" i="6"/>
  <c r="J83" i="6"/>
  <c r="H83" i="6"/>
  <c r="AF83" i="6" s="1"/>
  <c r="E83" i="6"/>
  <c r="K82" i="6"/>
  <c r="J82" i="6"/>
  <c r="H82" i="6"/>
  <c r="AF82" i="6" s="1"/>
  <c r="E82" i="6"/>
  <c r="O81" i="6"/>
  <c r="K81" i="6"/>
  <c r="J81" i="6"/>
  <c r="H81" i="6"/>
  <c r="AF81" i="6" s="1"/>
  <c r="E81" i="6"/>
  <c r="Q81" i="6" s="1"/>
  <c r="K80" i="6"/>
  <c r="J80" i="6"/>
  <c r="H80" i="6"/>
  <c r="AF80" i="6" s="1"/>
  <c r="E80" i="6"/>
  <c r="K79" i="6"/>
  <c r="J79" i="6"/>
  <c r="H79" i="6"/>
  <c r="AF79" i="6" s="1"/>
  <c r="E79" i="6"/>
  <c r="K78" i="6"/>
  <c r="J78" i="6"/>
  <c r="H78" i="6"/>
  <c r="AF78" i="6" s="1"/>
  <c r="E78" i="6"/>
  <c r="K77" i="6"/>
  <c r="J77" i="6"/>
  <c r="H77" i="6"/>
  <c r="AF77" i="6" s="1"/>
  <c r="E77" i="6"/>
  <c r="K76" i="6"/>
  <c r="J76" i="6"/>
  <c r="H76" i="6"/>
  <c r="AF76" i="6" s="1"/>
  <c r="E76" i="6"/>
  <c r="Q76" i="6" s="1"/>
  <c r="O75" i="6"/>
  <c r="O74" i="6" s="1"/>
  <c r="K75" i="6"/>
  <c r="J75" i="6"/>
  <c r="H75" i="6"/>
  <c r="AF75" i="6" s="1"/>
  <c r="K74" i="6"/>
  <c r="J74" i="6"/>
  <c r="H74" i="6"/>
  <c r="AF74" i="6" s="1"/>
  <c r="O73" i="6"/>
  <c r="O72" i="6" s="1"/>
  <c r="K73" i="6"/>
  <c r="J73" i="6"/>
  <c r="H73" i="6"/>
  <c r="AF73" i="6" s="1"/>
  <c r="K72" i="6"/>
  <c r="J72" i="6"/>
  <c r="H72" i="6"/>
  <c r="AF72" i="6" s="1"/>
  <c r="K71" i="6"/>
  <c r="J71" i="6"/>
  <c r="H71" i="6"/>
  <c r="AF71" i="6" s="1"/>
  <c r="E71" i="6"/>
  <c r="Q71" i="6" s="1"/>
  <c r="K70" i="6"/>
  <c r="J70" i="6"/>
  <c r="H70" i="6"/>
  <c r="AF70" i="6" s="1"/>
  <c r="E70" i="6"/>
  <c r="Q70" i="6" s="1"/>
  <c r="K69" i="6"/>
  <c r="J69" i="6"/>
  <c r="H69" i="6"/>
  <c r="AF69" i="6" s="1"/>
  <c r="E69" i="6"/>
  <c r="Q69" i="6" s="1"/>
  <c r="K68" i="6"/>
  <c r="J68" i="6"/>
  <c r="H68" i="6"/>
  <c r="AF68" i="6" s="1"/>
  <c r="E68" i="6"/>
  <c r="Q68" i="6" s="1"/>
  <c r="O67" i="6"/>
  <c r="O66" i="6" s="1"/>
  <c r="O65" i="6" s="1"/>
  <c r="K67" i="6"/>
  <c r="J67" i="6"/>
  <c r="H67" i="6"/>
  <c r="AF67" i="6" s="1"/>
  <c r="K66" i="6"/>
  <c r="J66" i="6"/>
  <c r="H66" i="6"/>
  <c r="AF66" i="6" s="1"/>
  <c r="K65" i="6"/>
  <c r="J65" i="6"/>
  <c r="H65" i="6"/>
  <c r="AF65" i="6" s="1"/>
  <c r="O64" i="6"/>
  <c r="O63" i="6" s="1"/>
  <c r="O61" i="6" s="1"/>
  <c r="K64" i="6"/>
  <c r="J64" i="6"/>
  <c r="H64" i="6"/>
  <c r="AF64" i="6" s="1"/>
  <c r="K63" i="6"/>
  <c r="J63" i="6"/>
  <c r="H63" i="6"/>
  <c r="AF63" i="6" s="1"/>
  <c r="K62" i="6"/>
  <c r="J62" i="6"/>
  <c r="H62" i="6"/>
  <c r="AF62" i="6" s="1"/>
  <c r="K61" i="6"/>
  <c r="J61" i="6"/>
  <c r="H61" i="6"/>
  <c r="AF61" i="6" s="1"/>
  <c r="O60" i="6"/>
  <c r="O59" i="6" s="1"/>
  <c r="K60" i="6"/>
  <c r="J60" i="6"/>
  <c r="H60" i="6"/>
  <c r="AF60" i="6" s="1"/>
  <c r="K59" i="6"/>
  <c r="J59" i="6"/>
  <c r="H59" i="6"/>
  <c r="AF59" i="6" s="1"/>
  <c r="O58" i="6"/>
  <c r="K58" i="6"/>
  <c r="J58" i="6"/>
  <c r="H58" i="6"/>
  <c r="AF58" i="6" s="1"/>
  <c r="O57" i="6"/>
  <c r="K57" i="6"/>
  <c r="J57" i="6"/>
  <c r="H57" i="6"/>
  <c r="AF57" i="6" s="1"/>
  <c r="O56" i="6"/>
  <c r="O55" i="6" s="1"/>
  <c r="O54" i="6" s="1"/>
  <c r="K56" i="6"/>
  <c r="J56" i="6"/>
  <c r="H56" i="6"/>
  <c r="AF56" i="6" s="1"/>
  <c r="K55" i="6"/>
  <c r="J55" i="6"/>
  <c r="H55" i="6"/>
  <c r="AF55" i="6" s="1"/>
  <c r="K54" i="6"/>
  <c r="J54" i="6"/>
  <c r="H54" i="6"/>
  <c r="AF54" i="6" s="1"/>
  <c r="O53" i="6"/>
  <c r="K53" i="6"/>
  <c r="J53" i="6"/>
  <c r="H53" i="6"/>
  <c r="AF53" i="6" s="1"/>
  <c r="O52" i="6"/>
  <c r="K52" i="6"/>
  <c r="J52" i="6"/>
  <c r="H52" i="6"/>
  <c r="AF52" i="6" s="1"/>
  <c r="O51" i="6"/>
  <c r="K51" i="6"/>
  <c r="J51" i="6"/>
  <c r="H51" i="6"/>
  <c r="AF51" i="6" s="1"/>
  <c r="O50" i="6"/>
  <c r="O49" i="6" s="1"/>
  <c r="O48" i="6" s="1"/>
  <c r="K50" i="6"/>
  <c r="J50" i="6"/>
  <c r="H50" i="6"/>
  <c r="AF50" i="6" s="1"/>
  <c r="K49" i="6"/>
  <c r="J49" i="6"/>
  <c r="H49" i="6"/>
  <c r="AF49" i="6" s="1"/>
  <c r="K48" i="6"/>
  <c r="J48" i="6"/>
  <c r="H48" i="6"/>
  <c r="AF48" i="6" s="1"/>
  <c r="O47" i="6"/>
  <c r="O46" i="6" s="1"/>
  <c r="O45" i="6" s="1"/>
  <c r="K47" i="6"/>
  <c r="J47" i="6"/>
  <c r="H47" i="6"/>
  <c r="AF47" i="6" s="1"/>
  <c r="K46" i="6"/>
  <c r="J46" i="6"/>
  <c r="H46" i="6"/>
  <c r="AF46" i="6" s="1"/>
  <c r="K45" i="6"/>
  <c r="J45" i="6"/>
  <c r="H45" i="6"/>
  <c r="AF45" i="6" s="1"/>
  <c r="O44" i="6"/>
  <c r="O43" i="6" s="1"/>
  <c r="O42" i="6" s="1"/>
  <c r="K44" i="6"/>
  <c r="J44" i="6"/>
  <c r="H44" i="6"/>
  <c r="AF44" i="6" s="1"/>
  <c r="K43" i="6"/>
  <c r="J43" i="6"/>
  <c r="H43" i="6"/>
  <c r="AF43" i="6" s="1"/>
  <c r="K42" i="6"/>
  <c r="J42" i="6"/>
  <c r="H42" i="6"/>
  <c r="AF42" i="6" s="1"/>
  <c r="O41" i="6"/>
  <c r="O40" i="6" s="1"/>
  <c r="O39" i="6" s="1"/>
  <c r="K41" i="6"/>
  <c r="J41" i="6"/>
  <c r="H41" i="6"/>
  <c r="AF41" i="6" s="1"/>
  <c r="K40" i="6"/>
  <c r="J40" i="6"/>
  <c r="H40" i="6"/>
  <c r="AF40" i="6" s="1"/>
  <c r="K39" i="6"/>
  <c r="J39" i="6"/>
  <c r="H39" i="6"/>
  <c r="AF39" i="6" s="1"/>
  <c r="O38" i="6"/>
  <c r="L38" i="6"/>
  <c r="K38" i="6"/>
  <c r="J38" i="6"/>
  <c r="H38" i="6"/>
  <c r="AF38" i="6" s="1"/>
  <c r="O37" i="6"/>
  <c r="O36" i="6" s="1"/>
  <c r="K37" i="6"/>
  <c r="J37" i="6"/>
  <c r="H37" i="6"/>
  <c r="AF37" i="6" s="1"/>
  <c r="K36" i="6"/>
  <c r="J36" i="6"/>
  <c r="H36" i="6"/>
  <c r="AF36" i="6" s="1"/>
  <c r="K35" i="6"/>
  <c r="J35" i="6"/>
  <c r="H35" i="6"/>
  <c r="AF35" i="6" s="1"/>
  <c r="O34" i="6"/>
  <c r="O35" i="6" s="1"/>
  <c r="K34" i="6"/>
  <c r="J34" i="6"/>
  <c r="H34" i="6"/>
  <c r="AF34" i="6" s="1"/>
  <c r="K33" i="6"/>
  <c r="J33" i="6"/>
  <c r="H33" i="6"/>
  <c r="AF33" i="6" s="1"/>
  <c r="K32" i="6"/>
  <c r="J32" i="6"/>
  <c r="H32" i="6"/>
  <c r="AF32" i="6" s="1"/>
  <c r="K31" i="6"/>
  <c r="J31" i="6"/>
  <c r="H31" i="6"/>
  <c r="AF31" i="6" s="1"/>
  <c r="K30" i="6"/>
  <c r="J30" i="6"/>
  <c r="H30" i="6"/>
  <c r="AF30" i="6" s="1"/>
  <c r="O29" i="6"/>
  <c r="O30" i="6" s="1"/>
  <c r="O31" i="6" s="1"/>
  <c r="K29" i="6"/>
  <c r="J29" i="6"/>
  <c r="H29" i="6"/>
  <c r="AF29" i="6" s="1"/>
  <c r="O28" i="6"/>
  <c r="L28" i="6"/>
  <c r="K28" i="6"/>
  <c r="J28" i="6"/>
  <c r="H28" i="6"/>
  <c r="AF28" i="6" s="1"/>
  <c r="E28" i="6"/>
  <c r="O27" i="6"/>
  <c r="L27" i="6"/>
  <c r="K27" i="6"/>
  <c r="J27" i="6"/>
  <c r="H27" i="6"/>
  <c r="AF27" i="6" s="1"/>
  <c r="O26" i="6"/>
  <c r="K26" i="6"/>
  <c r="J26" i="6"/>
  <c r="H26" i="6"/>
  <c r="AF26" i="6" s="1"/>
  <c r="O25" i="6"/>
  <c r="K25" i="6"/>
  <c r="J25" i="6"/>
  <c r="H25" i="6"/>
  <c r="AF25" i="6" s="1"/>
  <c r="O24" i="6"/>
  <c r="K24" i="6"/>
  <c r="J24" i="6"/>
  <c r="H24" i="6"/>
  <c r="AF24" i="6" s="1"/>
  <c r="O23" i="6"/>
  <c r="K23" i="6"/>
  <c r="J23" i="6"/>
  <c r="H23" i="6"/>
  <c r="AF23" i="6" s="1"/>
  <c r="O22" i="6"/>
  <c r="K22" i="6"/>
  <c r="J22" i="6"/>
  <c r="H22" i="6"/>
  <c r="AF22" i="6" s="1"/>
  <c r="O21" i="6"/>
  <c r="K21" i="6"/>
  <c r="J21" i="6"/>
  <c r="H21" i="6"/>
  <c r="AF21" i="6" s="1"/>
  <c r="O20" i="6"/>
  <c r="K20" i="6"/>
  <c r="J20" i="6"/>
  <c r="H20" i="6"/>
  <c r="AF20" i="6" s="1"/>
  <c r="O19" i="6"/>
  <c r="K19" i="6"/>
  <c r="J19" i="6"/>
  <c r="H19" i="6"/>
  <c r="AF19" i="6" s="1"/>
  <c r="O18" i="6"/>
  <c r="K18" i="6"/>
  <c r="J18" i="6"/>
  <c r="H18" i="6"/>
  <c r="AF18" i="6" s="1"/>
  <c r="O17" i="6"/>
  <c r="K17" i="6"/>
  <c r="J17" i="6"/>
  <c r="H17" i="6"/>
  <c r="AF17" i="6" s="1"/>
  <c r="O16" i="6"/>
  <c r="K16" i="6"/>
  <c r="J16" i="6"/>
  <c r="H16" i="6"/>
  <c r="AF16" i="6" s="1"/>
  <c r="O15" i="6"/>
  <c r="K15" i="6"/>
  <c r="J15" i="6"/>
  <c r="H15" i="6"/>
  <c r="AF15" i="6" s="1"/>
  <c r="O14" i="6"/>
  <c r="K14" i="6"/>
  <c r="J14" i="6"/>
  <c r="H14" i="6"/>
  <c r="AF14" i="6" s="1"/>
  <c r="O13" i="6"/>
  <c r="K13" i="6"/>
  <c r="J13" i="6"/>
  <c r="H13" i="6"/>
  <c r="AF13" i="6" s="1"/>
  <c r="O12" i="6"/>
  <c r="K12" i="6"/>
  <c r="J12" i="6"/>
  <c r="H12" i="6"/>
  <c r="AF12" i="6" s="1"/>
  <c r="O11" i="6"/>
  <c r="K11" i="6"/>
  <c r="J11" i="6"/>
  <c r="H11" i="6"/>
  <c r="AF11" i="6" s="1"/>
  <c r="O10" i="6"/>
  <c r="K10" i="6"/>
  <c r="J10" i="6"/>
  <c r="H10" i="6"/>
  <c r="AF10" i="6" s="1"/>
  <c r="O9" i="6"/>
  <c r="K9" i="6"/>
  <c r="J9" i="6"/>
  <c r="H9" i="6"/>
  <c r="AF9" i="6" s="1"/>
  <c r="O8" i="6"/>
  <c r="K8" i="6"/>
  <c r="J8" i="6"/>
  <c r="H8" i="6"/>
  <c r="AF8" i="6" s="1"/>
  <c r="AM7" i="6"/>
  <c r="AM8" i="6" s="1"/>
  <c r="AM9" i="6" s="1"/>
  <c r="AM10" i="6" s="1"/>
  <c r="AM11" i="6" s="1"/>
  <c r="AM12" i="6" s="1"/>
  <c r="AM13" i="6" s="1"/>
  <c r="AM14" i="6" s="1"/>
  <c r="AM15" i="6" s="1"/>
  <c r="AM16" i="6" s="1"/>
  <c r="AM17" i="6" s="1"/>
  <c r="AM18" i="6" s="1"/>
  <c r="AM19" i="6" s="1"/>
  <c r="AM20" i="6" s="1"/>
  <c r="AM21" i="6" s="1"/>
  <c r="AM22" i="6" s="1"/>
  <c r="AM23" i="6" s="1"/>
  <c r="AM24" i="6" s="1"/>
  <c r="AM25" i="6" s="1"/>
  <c r="AM26" i="6" s="1"/>
  <c r="AM27" i="6" s="1"/>
  <c r="AK7" i="6"/>
  <c r="AI7" i="6"/>
  <c r="AG7" i="6"/>
  <c r="AE7" i="6"/>
  <c r="AD7" i="6"/>
  <c r="AC7" i="6"/>
  <c r="AB7" i="6"/>
  <c r="AA7" i="6"/>
  <c r="Z7" i="6"/>
  <c r="O7" i="6"/>
  <c r="K7" i="6"/>
  <c r="J7" i="6"/>
  <c r="H7" i="6"/>
  <c r="AF7" i="6" s="1"/>
  <c r="D2" i="6"/>
  <c r="O1270" i="13"/>
  <c r="J1270" i="13"/>
  <c r="H1270" i="13"/>
  <c r="O1269" i="13"/>
  <c r="J1269" i="13"/>
  <c r="H1269" i="13"/>
  <c r="L1268" i="13"/>
  <c r="K1268" i="13"/>
  <c r="J1268" i="13"/>
  <c r="H1268" i="13"/>
  <c r="O1267" i="13"/>
  <c r="K1267" i="13"/>
  <c r="J1267" i="13"/>
  <c r="H1267" i="13"/>
  <c r="L1266" i="13"/>
  <c r="K1266" i="13"/>
  <c r="J1266" i="13"/>
  <c r="H1266" i="13"/>
  <c r="O1265" i="13"/>
  <c r="K1265" i="13"/>
  <c r="J1265" i="13"/>
  <c r="H1265" i="13"/>
  <c r="O1264" i="13"/>
  <c r="K1264" i="13"/>
  <c r="J1264" i="13"/>
  <c r="H1264" i="13"/>
  <c r="O1263" i="13"/>
  <c r="K1263" i="13"/>
  <c r="J1263" i="13"/>
  <c r="H1263" i="13"/>
  <c r="O1262" i="13"/>
  <c r="K1262" i="13"/>
  <c r="J1262" i="13"/>
  <c r="H1262" i="13"/>
  <c r="O1261" i="13"/>
  <c r="K1261" i="13"/>
  <c r="J1261" i="13"/>
  <c r="H1261" i="13"/>
  <c r="O1260" i="13"/>
  <c r="K1260" i="13"/>
  <c r="J1260" i="13"/>
  <c r="H1260" i="13"/>
  <c r="O1259" i="13"/>
  <c r="K1259" i="13"/>
  <c r="J1259" i="13"/>
  <c r="H1259" i="13"/>
  <c r="O1258" i="13"/>
  <c r="K1258" i="13"/>
  <c r="J1258" i="13"/>
  <c r="H1258" i="13"/>
  <c r="O1257" i="13"/>
  <c r="K1257" i="13"/>
  <c r="J1257" i="13"/>
  <c r="H1257" i="13"/>
  <c r="N1256" i="13"/>
  <c r="O1256" i="13" s="1"/>
  <c r="L1256" i="13"/>
  <c r="K1256" i="13"/>
  <c r="J1256" i="13"/>
  <c r="H1256" i="13"/>
  <c r="N1255" i="13"/>
  <c r="O1255" i="13" s="1"/>
  <c r="L1255" i="13"/>
  <c r="K1255" i="13"/>
  <c r="J1255" i="13"/>
  <c r="H1255" i="13"/>
  <c r="O1254" i="13"/>
  <c r="K1254" i="13"/>
  <c r="J1254" i="13"/>
  <c r="H1254" i="13"/>
  <c r="O1253" i="13"/>
  <c r="K1253" i="13"/>
  <c r="J1253" i="13"/>
  <c r="H1253" i="13"/>
  <c r="O1252" i="13"/>
  <c r="L1252" i="13"/>
  <c r="K1252" i="13"/>
  <c r="J1252" i="13"/>
  <c r="H1252" i="13"/>
  <c r="O1251" i="13"/>
  <c r="K1251" i="13"/>
  <c r="J1251" i="13"/>
  <c r="H1251" i="13"/>
  <c r="O1250" i="13"/>
  <c r="K1250" i="13"/>
  <c r="J1250" i="13"/>
  <c r="H1250" i="13"/>
  <c r="O1249" i="13"/>
  <c r="K1249" i="13"/>
  <c r="J1249" i="13"/>
  <c r="H1249" i="13"/>
  <c r="O1248" i="13"/>
  <c r="K1248" i="13"/>
  <c r="J1248" i="13"/>
  <c r="H1248" i="13"/>
  <c r="O1247" i="13"/>
  <c r="K1247" i="13"/>
  <c r="J1247" i="13"/>
  <c r="H1247" i="13"/>
  <c r="O1246" i="13"/>
  <c r="K1246" i="13"/>
  <c r="J1246" i="13"/>
  <c r="H1246" i="13"/>
  <c r="O1245" i="13"/>
  <c r="K1245" i="13"/>
  <c r="J1245" i="13"/>
  <c r="H1245" i="13"/>
  <c r="O1244" i="13"/>
  <c r="K1244" i="13"/>
  <c r="J1244" i="13"/>
  <c r="H1244" i="13"/>
  <c r="O1243" i="13"/>
  <c r="K1243" i="13"/>
  <c r="J1243" i="13"/>
  <c r="H1243" i="13"/>
  <c r="O1242" i="13"/>
  <c r="K1242" i="13"/>
  <c r="J1242" i="13"/>
  <c r="H1242" i="13"/>
  <c r="O1241" i="13"/>
  <c r="K1241" i="13"/>
  <c r="J1241" i="13"/>
  <c r="H1241" i="13"/>
  <c r="O1240" i="13"/>
  <c r="K1240" i="13"/>
  <c r="J1240" i="13"/>
  <c r="H1240" i="13"/>
  <c r="O1239" i="13"/>
  <c r="K1239" i="13"/>
  <c r="J1239" i="13"/>
  <c r="H1239" i="13"/>
  <c r="O1238" i="13"/>
  <c r="K1238" i="13"/>
  <c r="J1238" i="13"/>
  <c r="H1238" i="13"/>
  <c r="O1237" i="13"/>
  <c r="K1237" i="13"/>
  <c r="J1237" i="13"/>
  <c r="H1237" i="13"/>
  <c r="O1236" i="13"/>
  <c r="K1236" i="13"/>
  <c r="J1236" i="13"/>
  <c r="H1236" i="13"/>
  <c r="O1235" i="13"/>
  <c r="K1235" i="13"/>
  <c r="J1235" i="13"/>
  <c r="H1235" i="13"/>
  <c r="O1234" i="13"/>
  <c r="K1234" i="13"/>
  <c r="J1234" i="13"/>
  <c r="H1234" i="13"/>
  <c r="L1233" i="13"/>
  <c r="K1233" i="13"/>
  <c r="J1233" i="13"/>
  <c r="H1233" i="13"/>
  <c r="O1232" i="13"/>
  <c r="K1232" i="13"/>
  <c r="J1232" i="13"/>
  <c r="H1232" i="13"/>
  <c r="O1231" i="13"/>
  <c r="K1231" i="13"/>
  <c r="J1231" i="13"/>
  <c r="H1231" i="13"/>
  <c r="O1230" i="13"/>
  <c r="K1230" i="13"/>
  <c r="J1230" i="13"/>
  <c r="H1230" i="13"/>
  <c r="O1229" i="13"/>
  <c r="K1229" i="13"/>
  <c r="J1229" i="13"/>
  <c r="H1229" i="13"/>
  <c r="O1228" i="13"/>
  <c r="K1228" i="13"/>
  <c r="J1228" i="13"/>
  <c r="H1228" i="13"/>
  <c r="O1227" i="13"/>
  <c r="K1227" i="13"/>
  <c r="J1227" i="13"/>
  <c r="H1227" i="13"/>
  <c r="O1226" i="13"/>
  <c r="K1226" i="13"/>
  <c r="J1226" i="13"/>
  <c r="H1226" i="13"/>
  <c r="O1225" i="13"/>
  <c r="K1225" i="13"/>
  <c r="J1225" i="13"/>
  <c r="H1225" i="13"/>
  <c r="O1224" i="13"/>
  <c r="K1224" i="13"/>
  <c r="J1224" i="13"/>
  <c r="H1224" i="13"/>
  <c r="O1223" i="13"/>
  <c r="K1223" i="13"/>
  <c r="J1223" i="13"/>
  <c r="H1223" i="13"/>
  <c r="O1222" i="13"/>
  <c r="K1222" i="13"/>
  <c r="J1222" i="13"/>
  <c r="H1222" i="13"/>
  <c r="O1221" i="13"/>
  <c r="K1221" i="13"/>
  <c r="J1221" i="13"/>
  <c r="H1221" i="13"/>
  <c r="O1220" i="13"/>
  <c r="K1220" i="13"/>
  <c r="J1220" i="13"/>
  <c r="H1220" i="13"/>
  <c r="O1219" i="13"/>
  <c r="K1219" i="13"/>
  <c r="J1219" i="13"/>
  <c r="H1219" i="13"/>
  <c r="O1218" i="13"/>
  <c r="K1218" i="13"/>
  <c r="J1218" i="13"/>
  <c r="H1218" i="13"/>
  <c r="O1217" i="13"/>
  <c r="K1217" i="13"/>
  <c r="J1217" i="13"/>
  <c r="H1217" i="13"/>
  <c r="O1216" i="13"/>
  <c r="K1216" i="13"/>
  <c r="J1216" i="13"/>
  <c r="H1216" i="13"/>
  <c r="O1215" i="13"/>
  <c r="K1215" i="13"/>
  <c r="J1215" i="13"/>
  <c r="H1215" i="13"/>
  <c r="O1214" i="13"/>
  <c r="K1214" i="13"/>
  <c r="J1214" i="13"/>
  <c r="H1214" i="13"/>
  <c r="O1213" i="13"/>
  <c r="J1213" i="13"/>
  <c r="H1213" i="13"/>
  <c r="O1212" i="13"/>
  <c r="J1212" i="13"/>
  <c r="H1212" i="13"/>
  <c r="O1211" i="13"/>
  <c r="K1211" i="13"/>
  <c r="J1211" i="13"/>
  <c r="H1211" i="13"/>
  <c r="O1210" i="13"/>
  <c r="K1210" i="13"/>
  <c r="J1210" i="13"/>
  <c r="H1210" i="13"/>
  <c r="O1209" i="13"/>
  <c r="K1209" i="13"/>
  <c r="J1209" i="13"/>
  <c r="H1209" i="13"/>
  <c r="O1208" i="13"/>
  <c r="L1208" i="13"/>
  <c r="K1208" i="13"/>
  <c r="J1208" i="13"/>
  <c r="H1208" i="13"/>
  <c r="O1207" i="13"/>
  <c r="L1207" i="13"/>
  <c r="K1207" i="13"/>
  <c r="J1207" i="13"/>
  <c r="H1207" i="13"/>
  <c r="O1206" i="13"/>
  <c r="K1206" i="13"/>
  <c r="J1206" i="13"/>
  <c r="H1206" i="13"/>
  <c r="O1205" i="13"/>
  <c r="K1205" i="13"/>
  <c r="J1205" i="13"/>
  <c r="H1205" i="13"/>
  <c r="O1204" i="13"/>
  <c r="K1204" i="13"/>
  <c r="J1204" i="13"/>
  <c r="H1204" i="13"/>
  <c r="O1203" i="13"/>
  <c r="K1203" i="13"/>
  <c r="J1203" i="13"/>
  <c r="H1203" i="13"/>
  <c r="O1202" i="13"/>
  <c r="K1202" i="13"/>
  <c r="J1202" i="13"/>
  <c r="H1202" i="13"/>
  <c r="O1201" i="13"/>
  <c r="K1201" i="13"/>
  <c r="J1201" i="13"/>
  <c r="H1201" i="13"/>
  <c r="O1200" i="13"/>
  <c r="K1200" i="13"/>
  <c r="J1200" i="13"/>
  <c r="H1200" i="13"/>
  <c r="O1199" i="13"/>
  <c r="K1199" i="13"/>
  <c r="J1199" i="13"/>
  <c r="H1199" i="13"/>
  <c r="O1198" i="13"/>
  <c r="K1198" i="13"/>
  <c r="J1198" i="13"/>
  <c r="H1198" i="13"/>
  <c r="O1197" i="13"/>
  <c r="K1197" i="13"/>
  <c r="J1197" i="13"/>
  <c r="H1197" i="13"/>
  <c r="O1196" i="13"/>
  <c r="K1196" i="13"/>
  <c r="J1196" i="13"/>
  <c r="H1196" i="13"/>
  <c r="O1195" i="13"/>
  <c r="K1195" i="13"/>
  <c r="J1195" i="13"/>
  <c r="H1195" i="13"/>
  <c r="O1194" i="13"/>
  <c r="K1194" i="13"/>
  <c r="J1194" i="13"/>
  <c r="H1194" i="13"/>
  <c r="O1193" i="13"/>
  <c r="K1193" i="13"/>
  <c r="J1193" i="13"/>
  <c r="H1193" i="13"/>
  <c r="O1192" i="13"/>
  <c r="K1192" i="13"/>
  <c r="J1192" i="13"/>
  <c r="H1192" i="13"/>
  <c r="O1191" i="13"/>
  <c r="K1191" i="13"/>
  <c r="J1191" i="13"/>
  <c r="H1191" i="13"/>
  <c r="O1190" i="13"/>
  <c r="K1190" i="13"/>
  <c r="J1190" i="13"/>
  <c r="H1190" i="13"/>
  <c r="O1189" i="13"/>
  <c r="K1189" i="13"/>
  <c r="J1189" i="13"/>
  <c r="H1189" i="13"/>
  <c r="O1188" i="13"/>
  <c r="K1188" i="13"/>
  <c r="J1188" i="13"/>
  <c r="H1188" i="13"/>
  <c r="O1187" i="13"/>
  <c r="K1187" i="13"/>
  <c r="J1187" i="13"/>
  <c r="H1187" i="13"/>
  <c r="O1186" i="13"/>
  <c r="K1186" i="13"/>
  <c r="J1186" i="13"/>
  <c r="H1186" i="13"/>
  <c r="O1185" i="13"/>
  <c r="K1185" i="13"/>
  <c r="J1185" i="13"/>
  <c r="H1185" i="13"/>
  <c r="O1184" i="13"/>
  <c r="K1184" i="13"/>
  <c r="J1184" i="13"/>
  <c r="H1184" i="13"/>
  <c r="O1183" i="13"/>
  <c r="K1183" i="13"/>
  <c r="J1183" i="13"/>
  <c r="H1183" i="13"/>
  <c r="O1182" i="13"/>
  <c r="K1182" i="13"/>
  <c r="J1182" i="13"/>
  <c r="H1182" i="13"/>
  <c r="O1181" i="13"/>
  <c r="K1181" i="13"/>
  <c r="J1181" i="13"/>
  <c r="H1181" i="13"/>
  <c r="O1180" i="13"/>
  <c r="J1180" i="13"/>
  <c r="H1180" i="13"/>
  <c r="O1179" i="13"/>
  <c r="J1179" i="13"/>
  <c r="H1179" i="13"/>
  <c r="O1178" i="13"/>
  <c r="J1178" i="13"/>
  <c r="H1178" i="13"/>
  <c r="O1177" i="13"/>
  <c r="K1177" i="13"/>
  <c r="J1177" i="13"/>
  <c r="H1177" i="13"/>
  <c r="O1176" i="13"/>
  <c r="K1176" i="13"/>
  <c r="J1176" i="13"/>
  <c r="H1176" i="13"/>
  <c r="O1175" i="13"/>
  <c r="K1175" i="13"/>
  <c r="J1175" i="13"/>
  <c r="H1175" i="13"/>
  <c r="O1174" i="13"/>
  <c r="K1174" i="13"/>
  <c r="J1174" i="13"/>
  <c r="H1174" i="13"/>
  <c r="O1173" i="13"/>
  <c r="K1173" i="13"/>
  <c r="J1173" i="13"/>
  <c r="H1173" i="13"/>
  <c r="O1172" i="13"/>
  <c r="K1172" i="13"/>
  <c r="J1172" i="13"/>
  <c r="H1172" i="13"/>
  <c r="O1171" i="13"/>
  <c r="K1171" i="13"/>
  <c r="J1171" i="13"/>
  <c r="H1171" i="13"/>
  <c r="O1170" i="13"/>
  <c r="K1170" i="13"/>
  <c r="J1170" i="13"/>
  <c r="H1170" i="13"/>
  <c r="O1169" i="13"/>
  <c r="K1169" i="13"/>
  <c r="J1169" i="13"/>
  <c r="H1169" i="13"/>
  <c r="O1168" i="13"/>
  <c r="K1168" i="13"/>
  <c r="J1168" i="13"/>
  <c r="H1168" i="13"/>
  <c r="O1167" i="13"/>
  <c r="L1167" i="13"/>
  <c r="K1167" i="13"/>
  <c r="J1167" i="13"/>
  <c r="H1167" i="13"/>
  <c r="O1166" i="13"/>
  <c r="L1166" i="13"/>
  <c r="K1166" i="13"/>
  <c r="J1166" i="13"/>
  <c r="H1166" i="13"/>
  <c r="O1165" i="13"/>
  <c r="L1165" i="13"/>
  <c r="K1165" i="13"/>
  <c r="J1165" i="13"/>
  <c r="H1165" i="13"/>
  <c r="O1164" i="13"/>
  <c r="L1164" i="13"/>
  <c r="K1164" i="13"/>
  <c r="J1164" i="13"/>
  <c r="H1164" i="13"/>
  <c r="O1163" i="13"/>
  <c r="K1163" i="13"/>
  <c r="J1163" i="13"/>
  <c r="H1163" i="13"/>
  <c r="O1162" i="13"/>
  <c r="K1162" i="13"/>
  <c r="J1162" i="13"/>
  <c r="H1162" i="13"/>
  <c r="O1161" i="13"/>
  <c r="K1161" i="13"/>
  <c r="J1161" i="13"/>
  <c r="H1161" i="13"/>
  <c r="O1160" i="13"/>
  <c r="K1160" i="13"/>
  <c r="J1160" i="13"/>
  <c r="H1160" i="13"/>
  <c r="O1159" i="13"/>
  <c r="L1159" i="13"/>
  <c r="K1159" i="13"/>
  <c r="J1159" i="13"/>
  <c r="H1159" i="13"/>
  <c r="O1158" i="13"/>
  <c r="L1158" i="13"/>
  <c r="K1158" i="13"/>
  <c r="J1158" i="13"/>
  <c r="H1158" i="13"/>
  <c r="O1157" i="13"/>
  <c r="L1157" i="13"/>
  <c r="K1157" i="13"/>
  <c r="J1157" i="13"/>
  <c r="H1157" i="13"/>
  <c r="O1156" i="13"/>
  <c r="L1156" i="13"/>
  <c r="K1156" i="13"/>
  <c r="J1156" i="13"/>
  <c r="H1156" i="13"/>
  <c r="O1155" i="13"/>
  <c r="L1155" i="13"/>
  <c r="K1155" i="13"/>
  <c r="J1155" i="13"/>
  <c r="H1155" i="13"/>
  <c r="E1155" i="13"/>
  <c r="O1154" i="13"/>
  <c r="L1154" i="13"/>
  <c r="K1154" i="13"/>
  <c r="J1154" i="13"/>
  <c r="H1154" i="13"/>
  <c r="E1154" i="13"/>
  <c r="O1153" i="13"/>
  <c r="K1153" i="13"/>
  <c r="J1153" i="13"/>
  <c r="H1153" i="13"/>
  <c r="E1153" i="13"/>
  <c r="Q1153" i="13" s="1"/>
  <c r="O1152" i="13"/>
  <c r="K1152" i="13"/>
  <c r="J1152" i="13"/>
  <c r="H1152" i="13"/>
  <c r="E1152" i="13"/>
  <c r="Q1152" i="13" s="1"/>
  <c r="O1151" i="13"/>
  <c r="K1151" i="13"/>
  <c r="J1151" i="13"/>
  <c r="H1151" i="13"/>
  <c r="E1151" i="13"/>
  <c r="Q1151" i="13" s="1"/>
  <c r="O1150" i="13"/>
  <c r="K1150" i="13"/>
  <c r="J1150" i="13"/>
  <c r="H1150" i="13"/>
  <c r="E1150" i="13"/>
  <c r="Q1150" i="13" s="1"/>
  <c r="O1149" i="13"/>
  <c r="K1149" i="13"/>
  <c r="J1149" i="13"/>
  <c r="H1149" i="13"/>
  <c r="E1149" i="13"/>
  <c r="Q1149" i="13" s="1"/>
  <c r="O1148" i="13"/>
  <c r="L1148" i="13"/>
  <c r="K1148" i="13"/>
  <c r="J1148" i="13"/>
  <c r="H1148" i="13"/>
  <c r="E1148" i="13"/>
  <c r="O1147" i="13"/>
  <c r="L1147" i="13"/>
  <c r="K1147" i="13"/>
  <c r="J1147" i="13"/>
  <c r="H1147" i="13"/>
  <c r="E1147" i="13"/>
  <c r="O1146" i="13"/>
  <c r="K1146" i="13"/>
  <c r="J1146" i="13"/>
  <c r="H1146" i="13"/>
  <c r="E1146" i="13"/>
  <c r="Q1146" i="13" s="1"/>
  <c r="O1145" i="13"/>
  <c r="L1145" i="13"/>
  <c r="K1145" i="13"/>
  <c r="J1145" i="13"/>
  <c r="H1145" i="13"/>
  <c r="O1144" i="13"/>
  <c r="L1144" i="13"/>
  <c r="K1144" i="13"/>
  <c r="J1144" i="13"/>
  <c r="H1144" i="13"/>
  <c r="M1143" i="13"/>
  <c r="O1143" i="13" s="1"/>
  <c r="L1143" i="13"/>
  <c r="K1143" i="13"/>
  <c r="J1143" i="13"/>
  <c r="H1143" i="13"/>
  <c r="O1142" i="13"/>
  <c r="L1142" i="13"/>
  <c r="K1142" i="13"/>
  <c r="J1142" i="13"/>
  <c r="H1142" i="13"/>
  <c r="O1141" i="13"/>
  <c r="L1141" i="13"/>
  <c r="K1141" i="13"/>
  <c r="J1141" i="13"/>
  <c r="H1141" i="13"/>
  <c r="O1140" i="13"/>
  <c r="L1140" i="13"/>
  <c r="K1140" i="13"/>
  <c r="J1140" i="13"/>
  <c r="H1140" i="13"/>
  <c r="O1139" i="13"/>
  <c r="M1139" i="13"/>
  <c r="M1136" i="13" s="1"/>
  <c r="O1136" i="13" s="1"/>
  <c r="J1139" i="13"/>
  <c r="H1139" i="13"/>
  <c r="E1139" i="13"/>
  <c r="Q1139" i="13" s="1"/>
  <c r="O1138" i="13"/>
  <c r="K1138" i="13"/>
  <c r="J1138" i="13"/>
  <c r="H1138" i="13"/>
  <c r="E1138" i="13"/>
  <c r="Q1138" i="13" s="1"/>
  <c r="G1605" i="1" s="1"/>
  <c r="M1137" i="13"/>
  <c r="O1137" i="13" s="1"/>
  <c r="K1137" i="13"/>
  <c r="J1137" i="13"/>
  <c r="H1137" i="13"/>
  <c r="E1137" i="13"/>
  <c r="K1136" i="13"/>
  <c r="J1136" i="13"/>
  <c r="H1136" i="13"/>
  <c r="E1136" i="13"/>
  <c r="M1135" i="13"/>
  <c r="M1134" i="13" s="1"/>
  <c r="K1135" i="13"/>
  <c r="J1135" i="13"/>
  <c r="H1135" i="13"/>
  <c r="E1135" i="13"/>
  <c r="K1134" i="13"/>
  <c r="J1134" i="13"/>
  <c r="H1134" i="13"/>
  <c r="E1134" i="13"/>
  <c r="K1133" i="13"/>
  <c r="J1133" i="13"/>
  <c r="H1133" i="13"/>
  <c r="E1133" i="13"/>
  <c r="K1132" i="13"/>
  <c r="J1132" i="13"/>
  <c r="H1132" i="13"/>
  <c r="E1132" i="13"/>
  <c r="K1131" i="13"/>
  <c r="J1131" i="13"/>
  <c r="H1131" i="13"/>
  <c r="E1131" i="13"/>
  <c r="K1130" i="13"/>
  <c r="J1130" i="13"/>
  <c r="H1130" i="13"/>
  <c r="E1130" i="13"/>
  <c r="O1129" i="13"/>
  <c r="K1129" i="13"/>
  <c r="J1129" i="13"/>
  <c r="H1129" i="13"/>
  <c r="O1128" i="13"/>
  <c r="K1128" i="13"/>
  <c r="J1128" i="13"/>
  <c r="H1128" i="13"/>
  <c r="O1127" i="13"/>
  <c r="K1127" i="13"/>
  <c r="J1127" i="13"/>
  <c r="H1127" i="13"/>
  <c r="O1126" i="13"/>
  <c r="K1126" i="13"/>
  <c r="J1126" i="13"/>
  <c r="H1126" i="13"/>
  <c r="O1125" i="13"/>
  <c r="J1125" i="13"/>
  <c r="H1125" i="13"/>
  <c r="O1124" i="13"/>
  <c r="J1124" i="13"/>
  <c r="H1124" i="13"/>
  <c r="O1123" i="13"/>
  <c r="L1123" i="13"/>
  <c r="K1123" i="13"/>
  <c r="J1123" i="13"/>
  <c r="H1123" i="13"/>
  <c r="O1122" i="13"/>
  <c r="L1122" i="13"/>
  <c r="K1122" i="13"/>
  <c r="J1122" i="13"/>
  <c r="H1122" i="13"/>
  <c r="O1121" i="13"/>
  <c r="L1121" i="13"/>
  <c r="K1121" i="13"/>
  <c r="J1121" i="13"/>
  <c r="H1121" i="13"/>
  <c r="O1120" i="13"/>
  <c r="K1120" i="13"/>
  <c r="J1120" i="13"/>
  <c r="H1120" i="13"/>
  <c r="O1119" i="13"/>
  <c r="K1119" i="13"/>
  <c r="J1119" i="13"/>
  <c r="H1119" i="13"/>
  <c r="O1118" i="13"/>
  <c r="K1118" i="13"/>
  <c r="J1118" i="13"/>
  <c r="H1118" i="13"/>
  <c r="O1117" i="13"/>
  <c r="L1117" i="13"/>
  <c r="K1117" i="13"/>
  <c r="J1117" i="13"/>
  <c r="H1117" i="13"/>
  <c r="O1116" i="13"/>
  <c r="L1116" i="13"/>
  <c r="K1116" i="13"/>
  <c r="J1116" i="13"/>
  <c r="H1116" i="13"/>
  <c r="O1115" i="13"/>
  <c r="K1115" i="13"/>
  <c r="J1115" i="13"/>
  <c r="H1115" i="13"/>
  <c r="O1114" i="13"/>
  <c r="K1114" i="13"/>
  <c r="J1114" i="13"/>
  <c r="H1114" i="13"/>
  <c r="O1113" i="13"/>
  <c r="K1113" i="13"/>
  <c r="J1113" i="13"/>
  <c r="H1113" i="13"/>
  <c r="O1112" i="13"/>
  <c r="L1112" i="13"/>
  <c r="K1112" i="13"/>
  <c r="J1112" i="13"/>
  <c r="H1112" i="13"/>
  <c r="O1111" i="13"/>
  <c r="L1111" i="13"/>
  <c r="K1111" i="13"/>
  <c r="J1111" i="13"/>
  <c r="H1111" i="13"/>
  <c r="O1110" i="13"/>
  <c r="L1110" i="13"/>
  <c r="K1110" i="13"/>
  <c r="J1110" i="13"/>
  <c r="H1110" i="13"/>
  <c r="O1109" i="13"/>
  <c r="L1109" i="13"/>
  <c r="K1109" i="13"/>
  <c r="J1109" i="13"/>
  <c r="H1109" i="13"/>
  <c r="O1108" i="13"/>
  <c r="K1108" i="13"/>
  <c r="J1108" i="13"/>
  <c r="H1108" i="13"/>
  <c r="O1107" i="13"/>
  <c r="K1107" i="13"/>
  <c r="J1107" i="13"/>
  <c r="H1107" i="13"/>
  <c r="O1106" i="13"/>
  <c r="K1106" i="13"/>
  <c r="J1106" i="13"/>
  <c r="H1106" i="13"/>
  <c r="O1105" i="13"/>
  <c r="L1105" i="13"/>
  <c r="K1105" i="13"/>
  <c r="J1105" i="13"/>
  <c r="H1105" i="13"/>
  <c r="O1104" i="13"/>
  <c r="L1104" i="13"/>
  <c r="K1104" i="13"/>
  <c r="J1104" i="13"/>
  <c r="H1104" i="13"/>
  <c r="O1103" i="13"/>
  <c r="L1103" i="13"/>
  <c r="K1103" i="13"/>
  <c r="J1103" i="13"/>
  <c r="H1103" i="13"/>
  <c r="O1102" i="13"/>
  <c r="L1102" i="13"/>
  <c r="K1102" i="13"/>
  <c r="J1102" i="13"/>
  <c r="H1102" i="13"/>
  <c r="O1101" i="13"/>
  <c r="L1101" i="13"/>
  <c r="K1101" i="13"/>
  <c r="J1101" i="13"/>
  <c r="H1101" i="13"/>
  <c r="O1100" i="13"/>
  <c r="L1100" i="13"/>
  <c r="K1100" i="13"/>
  <c r="J1100" i="13"/>
  <c r="H1100" i="13"/>
  <c r="O1099" i="13"/>
  <c r="L1099" i="13"/>
  <c r="K1099" i="13"/>
  <c r="J1099" i="13"/>
  <c r="H1099" i="13"/>
  <c r="O1098" i="13"/>
  <c r="K1098" i="13"/>
  <c r="J1098" i="13"/>
  <c r="H1098" i="13"/>
  <c r="O1097" i="13"/>
  <c r="K1097" i="13"/>
  <c r="J1097" i="13"/>
  <c r="H1097" i="13"/>
  <c r="O1096" i="13"/>
  <c r="J1096" i="13"/>
  <c r="H1096" i="13"/>
  <c r="O1095" i="13"/>
  <c r="J1095" i="13"/>
  <c r="H1095" i="13"/>
  <c r="O1094" i="13"/>
  <c r="J1094" i="13"/>
  <c r="H1094" i="13"/>
  <c r="O1093" i="13"/>
  <c r="J1093" i="13"/>
  <c r="H1093" i="13"/>
  <c r="O1092" i="13"/>
  <c r="L1092" i="13"/>
  <c r="K1092" i="13"/>
  <c r="J1092" i="13"/>
  <c r="H1092" i="13"/>
  <c r="O1091" i="13"/>
  <c r="K1091" i="13"/>
  <c r="J1091" i="13"/>
  <c r="H1091" i="13"/>
  <c r="O1090" i="13"/>
  <c r="K1090" i="13"/>
  <c r="J1090" i="13"/>
  <c r="H1090" i="13"/>
  <c r="O1089" i="13"/>
  <c r="K1089" i="13"/>
  <c r="J1089" i="13"/>
  <c r="H1089" i="13"/>
  <c r="O1088" i="13"/>
  <c r="L1088" i="13"/>
  <c r="K1088" i="13"/>
  <c r="J1088" i="13"/>
  <c r="H1088" i="13"/>
  <c r="O1087" i="13"/>
  <c r="K1087" i="13"/>
  <c r="J1087" i="13"/>
  <c r="H1087" i="13"/>
  <c r="O1086" i="13"/>
  <c r="K1086" i="13"/>
  <c r="J1086" i="13"/>
  <c r="H1086" i="13"/>
  <c r="O1085" i="13"/>
  <c r="K1085" i="13"/>
  <c r="J1085" i="13"/>
  <c r="H1085" i="13"/>
  <c r="O1084" i="13"/>
  <c r="L1084" i="13"/>
  <c r="K1084" i="13"/>
  <c r="J1084" i="13"/>
  <c r="H1084" i="13"/>
  <c r="O1083" i="13"/>
  <c r="L1083" i="13"/>
  <c r="K1083" i="13"/>
  <c r="J1083" i="13"/>
  <c r="H1083" i="13"/>
  <c r="O1082" i="13"/>
  <c r="L1082" i="13"/>
  <c r="K1082" i="13"/>
  <c r="J1082" i="13"/>
  <c r="H1082" i="13"/>
  <c r="O1081" i="13"/>
  <c r="K1081" i="13"/>
  <c r="J1081" i="13"/>
  <c r="H1081" i="13"/>
  <c r="O1080" i="13"/>
  <c r="K1080" i="13"/>
  <c r="J1080" i="13"/>
  <c r="H1080" i="13"/>
  <c r="O1079" i="13"/>
  <c r="K1079" i="13"/>
  <c r="J1079" i="13"/>
  <c r="H1079" i="13"/>
  <c r="O1078" i="13"/>
  <c r="K1078" i="13"/>
  <c r="J1078" i="13"/>
  <c r="H1078" i="13"/>
  <c r="O1077" i="13"/>
  <c r="K1077" i="13"/>
  <c r="J1077" i="13"/>
  <c r="H1077" i="13"/>
  <c r="O1076" i="13"/>
  <c r="J1076" i="13"/>
  <c r="H1076" i="13"/>
  <c r="O1075" i="13"/>
  <c r="J1075" i="13"/>
  <c r="H1075" i="13"/>
  <c r="O1074" i="13"/>
  <c r="M1074" i="13"/>
  <c r="J1074" i="13"/>
  <c r="H1074" i="13"/>
  <c r="O1073" i="13"/>
  <c r="M1073" i="13"/>
  <c r="J1073" i="13"/>
  <c r="H1073" i="13"/>
  <c r="O1072" i="13"/>
  <c r="J1072" i="13"/>
  <c r="H1072" i="13"/>
  <c r="M1071" i="13"/>
  <c r="O1071" i="13" s="1"/>
  <c r="J1071" i="13"/>
  <c r="H1071" i="13"/>
  <c r="O1070" i="13"/>
  <c r="M1070" i="13"/>
  <c r="J1070" i="13"/>
  <c r="H1070" i="13"/>
  <c r="O1069" i="13"/>
  <c r="J1069" i="13"/>
  <c r="H1069" i="13"/>
  <c r="O1068" i="13"/>
  <c r="J1068" i="13"/>
  <c r="H1068" i="13"/>
  <c r="M1067" i="13"/>
  <c r="O1067" i="13" s="1"/>
  <c r="J1067" i="13"/>
  <c r="H1067" i="13"/>
  <c r="M1066" i="13"/>
  <c r="O1066" i="13" s="1"/>
  <c r="J1066" i="13"/>
  <c r="H1066" i="13"/>
  <c r="O1065" i="13"/>
  <c r="J1065" i="13"/>
  <c r="H1065" i="13"/>
  <c r="O1064" i="13"/>
  <c r="J1064" i="13"/>
  <c r="H1064" i="13"/>
  <c r="M1063" i="13"/>
  <c r="O1063" i="13" s="1"/>
  <c r="J1063" i="13"/>
  <c r="H1063" i="13"/>
  <c r="O1062" i="13"/>
  <c r="J1062" i="13"/>
  <c r="H1062" i="13"/>
  <c r="O1061" i="13"/>
  <c r="K1061" i="13"/>
  <c r="J1061" i="13"/>
  <c r="H1061" i="13"/>
  <c r="O1060" i="13"/>
  <c r="K1060" i="13"/>
  <c r="J1060" i="13"/>
  <c r="H1060" i="13"/>
  <c r="O1059" i="13"/>
  <c r="K1059" i="13"/>
  <c r="J1059" i="13"/>
  <c r="H1059" i="13"/>
  <c r="O1058" i="13"/>
  <c r="K1058" i="13"/>
  <c r="J1058" i="13"/>
  <c r="H1058" i="13"/>
  <c r="O1057" i="13"/>
  <c r="K1057" i="13"/>
  <c r="J1057" i="13"/>
  <c r="H1057" i="13"/>
  <c r="O1056" i="13"/>
  <c r="K1056" i="13"/>
  <c r="J1056" i="13"/>
  <c r="H1056" i="13"/>
  <c r="O1055" i="13"/>
  <c r="K1055" i="13"/>
  <c r="J1055" i="13"/>
  <c r="H1055" i="13"/>
  <c r="O1054" i="13"/>
  <c r="K1054" i="13"/>
  <c r="J1054" i="13"/>
  <c r="H1054" i="13"/>
  <c r="O1053" i="13"/>
  <c r="K1053" i="13"/>
  <c r="J1053" i="13"/>
  <c r="H1053" i="13"/>
  <c r="O1052" i="13"/>
  <c r="L1052" i="13"/>
  <c r="K1052" i="13"/>
  <c r="J1052" i="13"/>
  <c r="H1052" i="13"/>
  <c r="O1051" i="13"/>
  <c r="L1051" i="13"/>
  <c r="K1051" i="13"/>
  <c r="J1051" i="13"/>
  <c r="H1051" i="13"/>
  <c r="O1050" i="13"/>
  <c r="K1050" i="13"/>
  <c r="J1050" i="13"/>
  <c r="H1050" i="13"/>
  <c r="O1049" i="13"/>
  <c r="K1049" i="13"/>
  <c r="J1049" i="13"/>
  <c r="H1049" i="13"/>
  <c r="O1048" i="13"/>
  <c r="L1048" i="13"/>
  <c r="K1048" i="13"/>
  <c r="J1048" i="13"/>
  <c r="H1048" i="13"/>
  <c r="O1047" i="13"/>
  <c r="K1047" i="13"/>
  <c r="J1047" i="13"/>
  <c r="H1047" i="13"/>
  <c r="O1046" i="13"/>
  <c r="K1046" i="13"/>
  <c r="J1046" i="13"/>
  <c r="H1046" i="13"/>
  <c r="O1045" i="13"/>
  <c r="K1045" i="13"/>
  <c r="J1045" i="13"/>
  <c r="H1045" i="13"/>
  <c r="O1044" i="13"/>
  <c r="K1044" i="13"/>
  <c r="J1044" i="13"/>
  <c r="H1044" i="13"/>
  <c r="O1043" i="13"/>
  <c r="L1043" i="13"/>
  <c r="K1043" i="13"/>
  <c r="J1043" i="13"/>
  <c r="H1043" i="13"/>
  <c r="O1042" i="13"/>
  <c r="L1042" i="13"/>
  <c r="K1042" i="13"/>
  <c r="J1042" i="13"/>
  <c r="H1042" i="13"/>
  <c r="O1041" i="13"/>
  <c r="L1041" i="13"/>
  <c r="K1041" i="13"/>
  <c r="J1041" i="13"/>
  <c r="H1041" i="13"/>
  <c r="O1040" i="13"/>
  <c r="L1040" i="13"/>
  <c r="K1040" i="13"/>
  <c r="J1040" i="13"/>
  <c r="H1040" i="13"/>
  <c r="O1039" i="13"/>
  <c r="L1039" i="13"/>
  <c r="K1039" i="13"/>
  <c r="J1039" i="13"/>
  <c r="H1039" i="13"/>
  <c r="O1038" i="13"/>
  <c r="K1038" i="13"/>
  <c r="J1038" i="13"/>
  <c r="H1038" i="13"/>
  <c r="M1037" i="13"/>
  <c r="M1036" i="13" s="1"/>
  <c r="K1037" i="13"/>
  <c r="J1037" i="13"/>
  <c r="H1037" i="13"/>
  <c r="K1036" i="13"/>
  <c r="J1036" i="13"/>
  <c r="H1036" i="13"/>
  <c r="N1035" i="13"/>
  <c r="K1035" i="13"/>
  <c r="J1035" i="13"/>
  <c r="H1035" i="13"/>
  <c r="K1034" i="13"/>
  <c r="J1034" i="13"/>
  <c r="H1034" i="13"/>
  <c r="O1033" i="13"/>
  <c r="L1033" i="13"/>
  <c r="K1033" i="13"/>
  <c r="J1033" i="13"/>
  <c r="H1033" i="13"/>
  <c r="O1032" i="13"/>
  <c r="L1032" i="13"/>
  <c r="K1032" i="13"/>
  <c r="J1032" i="13"/>
  <c r="H1032" i="13"/>
  <c r="O1031" i="13"/>
  <c r="L1031" i="13"/>
  <c r="K1031" i="13"/>
  <c r="J1031" i="13"/>
  <c r="H1031" i="13"/>
  <c r="O1030" i="13"/>
  <c r="L1030" i="13"/>
  <c r="K1030" i="13"/>
  <c r="J1030" i="13"/>
  <c r="H1030" i="13"/>
  <c r="O1029" i="13"/>
  <c r="L1029" i="13"/>
  <c r="K1029" i="13"/>
  <c r="J1029" i="13"/>
  <c r="H1029" i="13"/>
  <c r="O1028" i="13"/>
  <c r="L1028" i="13"/>
  <c r="K1028" i="13"/>
  <c r="J1028" i="13"/>
  <c r="H1028" i="13"/>
  <c r="O1027" i="13"/>
  <c r="L1027" i="13"/>
  <c r="K1027" i="13"/>
  <c r="J1027" i="13"/>
  <c r="H1027" i="13"/>
  <c r="O1026" i="13"/>
  <c r="L1026" i="13"/>
  <c r="K1026" i="13"/>
  <c r="J1026" i="13"/>
  <c r="H1026" i="13"/>
  <c r="O1025" i="13"/>
  <c r="K1025" i="13"/>
  <c r="J1025" i="13"/>
  <c r="H1025" i="13"/>
  <c r="O1024" i="13"/>
  <c r="K1024" i="13"/>
  <c r="J1024" i="13"/>
  <c r="H1024" i="13"/>
  <c r="O1023" i="13"/>
  <c r="K1023" i="13"/>
  <c r="J1023" i="13"/>
  <c r="H1023" i="13"/>
  <c r="O1022" i="13"/>
  <c r="K1022" i="13"/>
  <c r="J1022" i="13"/>
  <c r="H1022" i="13"/>
  <c r="O1021" i="13"/>
  <c r="K1021" i="13"/>
  <c r="J1021" i="13"/>
  <c r="H1021" i="13"/>
  <c r="O1020" i="13"/>
  <c r="K1020" i="13"/>
  <c r="J1020" i="13"/>
  <c r="H1020" i="13"/>
  <c r="O1019" i="13"/>
  <c r="K1019" i="13"/>
  <c r="J1019" i="13"/>
  <c r="H1019" i="13"/>
  <c r="K1018" i="13"/>
  <c r="J1018" i="13"/>
  <c r="H1018" i="13"/>
  <c r="K1017" i="13"/>
  <c r="J1017" i="13"/>
  <c r="H1017" i="13"/>
  <c r="O1016" i="13"/>
  <c r="K1016" i="13"/>
  <c r="J1016" i="13"/>
  <c r="H1016" i="13"/>
  <c r="O1015" i="13"/>
  <c r="K1015" i="13"/>
  <c r="J1015" i="13"/>
  <c r="H1015" i="13"/>
  <c r="O1014" i="13"/>
  <c r="K1014" i="13"/>
  <c r="J1014" i="13"/>
  <c r="H1014" i="13"/>
  <c r="O1013" i="13"/>
  <c r="K1013" i="13"/>
  <c r="J1013" i="13"/>
  <c r="H1013" i="13"/>
  <c r="O1012" i="13"/>
  <c r="K1012" i="13"/>
  <c r="J1012" i="13"/>
  <c r="H1012" i="13"/>
  <c r="O1011" i="13"/>
  <c r="K1011" i="13"/>
  <c r="J1011" i="13"/>
  <c r="H1011" i="13"/>
  <c r="O1010" i="13"/>
  <c r="K1010" i="13"/>
  <c r="J1010" i="13"/>
  <c r="H1010" i="13"/>
  <c r="O1009" i="13"/>
  <c r="L1009" i="13"/>
  <c r="K1009" i="13"/>
  <c r="J1009" i="13"/>
  <c r="H1009" i="13"/>
  <c r="E1009" i="13"/>
  <c r="O1008" i="13"/>
  <c r="L1008" i="13"/>
  <c r="K1008" i="13"/>
  <c r="J1008" i="13"/>
  <c r="H1008" i="13"/>
  <c r="E1008" i="13"/>
  <c r="O1007" i="13"/>
  <c r="L1007" i="13"/>
  <c r="K1007" i="13"/>
  <c r="J1007" i="13"/>
  <c r="H1007" i="13"/>
  <c r="E1007" i="13"/>
  <c r="O1006" i="13"/>
  <c r="L1006" i="13"/>
  <c r="K1006" i="13"/>
  <c r="J1006" i="13"/>
  <c r="H1006" i="13"/>
  <c r="E1006" i="13"/>
  <c r="O1005" i="13"/>
  <c r="K1005" i="13"/>
  <c r="J1005" i="13"/>
  <c r="H1005" i="13"/>
  <c r="E1005" i="13"/>
  <c r="Q1005" i="13" s="1"/>
  <c r="O1004" i="13"/>
  <c r="K1004" i="13"/>
  <c r="J1004" i="13"/>
  <c r="H1004" i="13"/>
  <c r="E1004" i="13"/>
  <c r="Q1004" i="13" s="1"/>
  <c r="O1003" i="13"/>
  <c r="K1003" i="13"/>
  <c r="J1003" i="13"/>
  <c r="H1003" i="13"/>
  <c r="E1003" i="13"/>
  <c r="Q1003" i="13" s="1"/>
  <c r="O1002" i="13"/>
  <c r="K1002" i="13"/>
  <c r="J1002" i="13"/>
  <c r="H1002" i="13"/>
  <c r="E1002" i="13"/>
  <c r="Q1002" i="13" s="1"/>
  <c r="O1001" i="13"/>
  <c r="K1001" i="13"/>
  <c r="J1001" i="13"/>
  <c r="H1001" i="13"/>
  <c r="E1001" i="13"/>
  <c r="Q1001" i="13" s="1"/>
  <c r="O1000" i="13"/>
  <c r="K1000" i="13"/>
  <c r="J1000" i="13"/>
  <c r="H1000" i="13"/>
  <c r="E1000" i="13"/>
  <c r="Q1000" i="13" s="1"/>
  <c r="M999" i="13"/>
  <c r="O999" i="13" s="1"/>
  <c r="L999" i="13"/>
  <c r="K999" i="13"/>
  <c r="J999" i="13"/>
  <c r="H999" i="13"/>
  <c r="M998" i="13"/>
  <c r="O998" i="13" s="1"/>
  <c r="L998" i="13"/>
  <c r="K998" i="13"/>
  <c r="J998" i="13"/>
  <c r="H998" i="13"/>
  <c r="O997" i="13"/>
  <c r="K997" i="13"/>
  <c r="J997" i="13"/>
  <c r="H997" i="13"/>
  <c r="O996" i="13"/>
  <c r="K996" i="13"/>
  <c r="J996" i="13"/>
  <c r="H996" i="13"/>
  <c r="O995" i="13"/>
  <c r="K995" i="13"/>
  <c r="J995" i="13"/>
  <c r="H995" i="13"/>
  <c r="O994" i="13"/>
  <c r="K994" i="13"/>
  <c r="J994" i="13"/>
  <c r="H994" i="13"/>
  <c r="O993" i="13"/>
  <c r="K993" i="13"/>
  <c r="J993" i="13"/>
  <c r="H993" i="13"/>
  <c r="O992" i="13"/>
  <c r="K992" i="13"/>
  <c r="J992" i="13"/>
  <c r="H992" i="13"/>
  <c r="O991" i="13"/>
  <c r="K991" i="13"/>
  <c r="J991" i="13"/>
  <c r="H991" i="13"/>
  <c r="O990" i="13"/>
  <c r="K990" i="13"/>
  <c r="J990" i="13"/>
  <c r="H990" i="13"/>
  <c r="O989" i="13"/>
  <c r="K989" i="13"/>
  <c r="J989" i="13"/>
  <c r="H989" i="13"/>
  <c r="O988" i="13"/>
  <c r="K988" i="13"/>
  <c r="J988" i="13"/>
  <c r="H988" i="13"/>
  <c r="O987" i="13"/>
  <c r="L987" i="13"/>
  <c r="K987" i="13"/>
  <c r="J987" i="13"/>
  <c r="H987" i="13"/>
  <c r="O986" i="13"/>
  <c r="L986" i="13"/>
  <c r="K986" i="13"/>
  <c r="J986" i="13"/>
  <c r="H986" i="13"/>
  <c r="O985" i="13"/>
  <c r="K985" i="13"/>
  <c r="J985" i="13"/>
  <c r="H985" i="13"/>
  <c r="O984" i="13"/>
  <c r="K984" i="13"/>
  <c r="J984" i="13"/>
  <c r="H984" i="13"/>
  <c r="N983" i="13"/>
  <c r="N982" i="13" s="1"/>
  <c r="O982" i="13" s="1"/>
  <c r="K983" i="13"/>
  <c r="J983" i="13"/>
  <c r="H983" i="13"/>
  <c r="K982" i="13"/>
  <c r="J982" i="13"/>
  <c r="H982" i="13"/>
  <c r="O981" i="13"/>
  <c r="K981" i="13"/>
  <c r="J981" i="13"/>
  <c r="H981" i="13"/>
  <c r="N980" i="13"/>
  <c r="O980" i="13" s="1"/>
  <c r="K980" i="13"/>
  <c r="J980" i="13"/>
  <c r="H980" i="13"/>
  <c r="M979" i="13"/>
  <c r="M978" i="13" s="1"/>
  <c r="K979" i="13"/>
  <c r="J979" i="13"/>
  <c r="H979" i="13"/>
  <c r="K978" i="13"/>
  <c r="J978" i="13"/>
  <c r="H978" i="13"/>
  <c r="N977" i="13"/>
  <c r="K977" i="13"/>
  <c r="J977" i="13"/>
  <c r="H977" i="13"/>
  <c r="K976" i="13"/>
  <c r="J976" i="13"/>
  <c r="H976" i="13"/>
  <c r="N975" i="13"/>
  <c r="K975" i="13"/>
  <c r="J975" i="13"/>
  <c r="H975" i="13"/>
  <c r="N974" i="13"/>
  <c r="K974" i="13"/>
  <c r="J974" i="13"/>
  <c r="H974" i="13"/>
  <c r="O973" i="13"/>
  <c r="L973" i="13"/>
  <c r="K973" i="13"/>
  <c r="J973" i="13"/>
  <c r="H973" i="13"/>
  <c r="O972" i="13"/>
  <c r="K972" i="13"/>
  <c r="J972" i="13"/>
  <c r="H972" i="13"/>
  <c r="O971" i="13"/>
  <c r="K971" i="13"/>
  <c r="J971" i="13"/>
  <c r="H971" i="13"/>
  <c r="O970" i="13"/>
  <c r="K970" i="13"/>
  <c r="J970" i="13"/>
  <c r="H970" i="13"/>
  <c r="O969" i="13"/>
  <c r="K969" i="13"/>
  <c r="J969" i="13"/>
  <c r="H969" i="13"/>
  <c r="O968" i="13"/>
  <c r="K968" i="13"/>
  <c r="J968" i="13"/>
  <c r="H968" i="13"/>
  <c r="O967" i="13"/>
  <c r="K967" i="13"/>
  <c r="J967" i="13"/>
  <c r="H967" i="13"/>
  <c r="O966" i="13"/>
  <c r="K966" i="13"/>
  <c r="J966" i="13"/>
  <c r="H966" i="13"/>
  <c r="O965" i="13"/>
  <c r="L965" i="13"/>
  <c r="K965" i="13"/>
  <c r="J965" i="13"/>
  <c r="H965" i="13"/>
  <c r="O964" i="13"/>
  <c r="K964" i="13"/>
  <c r="J964" i="13"/>
  <c r="H964" i="13"/>
  <c r="O963" i="13"/>
  <c r="K963" i="13"/>
  <c r="J963" i="13"/>
  <c r="H963" i="13"/>
  <c r="O962" i="13"/>
  <c r="K962" i="13"/>
  <c r="J962" i="13"/>
  <c r="H962" i="13"/>
  <c r="O961" i="13"/>
  <c r="K961" i="13"/>
  <c r="J961" i="13"/>
  <c r="H961" i="13"/>
  <c r="O960" i="13"/>
  <c r="K960" i="13"/>
  <c r="J960" i="13"/>
  <c r="H960" i="13"/>
  <c r="O959" i="13"/>
  <c r="K959" i="13"/>
  <c r="J959" i="13"/>
  <c r="H959" i="13"/>
  <c r="O958" i="13"/>
  <c r="K958" i="13"/>
  <c r="J958" i="13"/>
  <c r="H958" i="13"/>
  <c r="O957" i="13"/>
  <c r="K957" i="13"/>
  <c r="J957" i="13"/>
  <c r="H957" i="13"/>
  <c r="O956" i="13"/>
  <c r="K956" i="13"/>
  <c r="J956" i="13"/>
  <c r="H956" i="13"/>
  <c r="O955" i="13"/>
  <c r="K955" i="13"/>
  <c r="J955" i="13"/>
  <c r="H955" i="13"/>
  <c r="O954" i="13"/>
  <c r="K954" i="13"/>
  <c r="J954" i="13"/>
  <c r="H954" i="13"/>
  <c r="O953" i="13"/>
  <c r="K953" i="13"/>
  <c r="J953" i="13"/>
  <c r="H953" i="13"/>
  <c r="O952" i="13"/>
  <c r="L952" i="13"/>
  <c r="K952" i="13"/>
  <c r="J952" i="13"/>
  <c r="H952" i="13"/>
  <c r="O951" i="13"/>
  <c r="K951" i="13"/>
  <c r="J951" i="13"/>
  <c r="H951" i="13"/>
  <c r="M950" i="13"/>
  <c r="O950" i="13" s="1"/>
  <c r="K950" i="13"/>
  <c r="J950" i="13"/>
  <c r="H950" i="13"/>
  <c r="O949" i="13"/>
  <c r="K949" i="13"/>
  <c r="J949" i="13"/>
  <c r="H949" i="13"/>
  <c r="O948" i="13"/>
  <c r="K948" i="13"/>
  <c r="J948" i="13"/>
  <c r="H948" i="13"/>
  <c r="O947" i="13"/>
  <c r="K947" i="13"/>
  <c r="J947" i="13"/>
  <c r="H947" i="13"/>
  <c r="O946" i="13"/>
  <c r="K946" i="13"/>
  <c r="J946" i="13"/>
  <c r="H946" i="13"/>
  <c r="O945" i="13"/>
  <c r="K945" i="13"/>
  <c r="J945" i="13"/>
  <c r="H945" i="13"/>
  <c r="O944" i="13"/>
  <c r="L944" i="13"/>
  <c r="K944" i="13"/>
  <c r="J944" i="13"/>
  <c r="H944" i="13"/>
  <c r="O943" i="13"/>
  <c r="K943" i="13"/>
  <c r="J943" i="13"/>
  <c r="H943" i="13"/>
  <c r="M942" i="13"/>
  <c r="O942" i="13" s="1"/>
  <c r="K942" i="13"/>
  <c r="J942" i="13"/>
  <c r="H942" i="13"/>
  <c r="O941" i="13"/>
  <c r="K941" i="13"/>
  <c r="J941" i="13"/>
  <c r="H941" i="13"/>
  <c r="O940" i="13"/>
  <c r="K940" i="13"/>
  <c r="J940" i="13"/>
  <c r="H940" i="13"/>
  <c r="O939" i="13"/>
  <c r="K939" i="13"/>
  <c r="J939" i="13"/>
  <c r="H939" i="13"/>
  <c r="O938" i="13"/>
  <c r="K938" i="13"/>
  <c r="J938" i="13"/>
  <c r="H938" i="13"/>
  <c r="O937" i="13"/>
  <c r="K937" i="13"/>
  <c r="J937" i="13"/>
  <c r="H937" i="13"/>
  <c r="O936" i="13"/>
  <c r="K936" i="13"/>
  <c r="J936" i="13"/>
  <c r="H936" i="13"/>
  <c r="O935" i="13"/>
  <c r="K935" i="13"/>
  <c r="J935" i="13"/>
  <c r="H935" i="13"/>
  <c r="O934" i="13"/>
  <c r="K934" i="13"/>
  <c r="J934" i="13"/>
  <c r="H934" i="13"/>
  <c r="O933" i="13"/>
  <c r="K933" i="13"/>
  <c r="J933" i="13"/>
  <c r="H933" i="13"/>
  <c r="O932" i="13"/>
  <c r="L932" i="13"/>
  <c r="K932" i="13"/>
  <c r="J932" i="13"/>
  <c r="H932" i="13"/>
  <c r="O931" i="13"/>
  <c r="K931" i="13"/>
  <c r="J931" i="13"/>
  <c r="H931" i="13"/>
  <c r="N930" i="13"/>
  <c r="M930" i="13"/>
  <c r="K930" i="13"/>
  <c r="J930" i="13"/>
  <c r="H930" i="13"/>
  <c r="M929" i="13"/>
  <c r="O929" i="13" s="1"/>
  <c r="L929" i="13"/>
  <c r="K929" i="13"/>
  <c r="J929" i="13"/>
  <c r="H929" i="13"/>
  <c r="O928" i="13"/>
  <c r="L928" i="13"/>
  <c r="K928" i="13"/>
  <c r="J928" i="13"/>
  <c r="H928" i="13"/>
  <c r="O927" i="13"/>
  <c r="K927" i="13"/>
  <c r="J927" i="13"/>
  <c r="H927" i="13"/>
  <c r="O926" i="13"/>
  <c r="K926" i="13"/>
  <c r="J926" i="13"/>
  <c r="H926" i="13"/>
  <c r="O925" i="13"/>
  <c r="L925" i="13"/>
  <c r="K925" i="13"/>
  <c r="J925" i="13"/>
  <c r="H925" i="13"/>
  <c r="O924" i="13"/>
  <c r="L924" i="13"/>
  <c r="K924" i="13"/>
  <c r="J924" i="13"/>
  <c r="H924" i="13"/>
  <c r="O923" i="13"/>
  <c r="L923" i="13"/>
  <c r="K923" i="13"/>
  <c r="J923" i="13"/>
  <c r="H923" i="13"/>
  <c r="O922" i="13"/>
  <c r="L922" i="13"/>
  <c r="K922" i="13"/>
  <c r="J922" i="13"/>
  <c r="H922" i="13"/>
  <c r="O921" i="13"/>
  <c r="L921" i="13"/>
  <c r="K921" i="13"/>
  <c r="J921" i="13"/>
  <c r="H921" i="13"/>
  <c r="O920" i="13"/>
  <c r="L920" i="13"/>
  <c r="K920" i="13"/>
  <c r="J920" i="13"/>
  <c r="H920" i="13"/>
  <c r="O919" i="13"/>
  <c r="K919" i="13"/>
  <c r="J919" i="13"/>
  <c r="H919" i="13"/>
  <c r="O918" i="13"/>
  <c r="K918" i="13"/>
  <c r="J918" i="13"/>
  <c r="H918" i="13"/>
  <c r="O917" i="13"/>
  <c r="K917" i="13"/>
  <c r="J917" i="13"/>
  <c r="H917" i="13"/>
  <c r="O916" i="13"/>
  <c r="K916" i="13"/>
  <c r="J916" i="13"/>
  <c r="H916" i="13"/>
  <c r="O915" i="13"/>
  <c r="K915" i="13"/>
  <c r="J915" i="13"/>
  <c r="H915" i="13"/>
  <c r="O914" i="13"/>
  <c r="K914" i="13"/>
  <c r="J914" i="13"/>
  <c r="H914" i="13"/>
  <c r="O913" i="13"/>
  <c r="K913" i="13"/>
  <c r="J913" i="13"/>
  <c r="H913" i="13"/>
  <c r="O912" i="13"/>
  <c r="K912" i="13"/>
  <c r="J912" i="13"/>
  <c r="H912" i="13"/>
  <c r="O911" i="13"/>
  <c r="K911" i="13"/>
  <c r="J911" i="13"/>
  <c r="H911" i="13"/>
  <c r="O910" i="13"/>
  <c r="K910" i="13"/>
  <c r="J910" i="13"/>
  <c r="H910" i="13"/>
  <c r="O909" i="13"/>
  <c r="K909" i="13"/>
  <c r="J909" i="13"/>
  <c r="H909" i="13"/>
  <c r="O908" i="13"/>
  <c r="K908" i="13"/>
  <c r="J908" i="13"/>
  <c r="H908" i="13"/>
  <c r="O907" i="13"/>
  <c r="K907" i="13"/>
  <c r="J907" i="13"/>
  <c r="H907" i="13"/>
  <c r="O906" i="13"/>
  <c r="K906" i="13"/>
  <c r="J906" i="13"/>
  <c r="H906" i="13"/>
  <c r="O905" i="13"/>
  <c r="K905" i="13"/>
  <c r="J905" i="13"/>
  <c r="H905" i="13"/>
  <c r="O904" i="13"/>
  <c r="K904" i="13"/>
  <c r="J904" i="13"/>
  <c r="H904" i="13"/>
  <c r="O903" i="13"/>
  <c r="K903" i="13"/>
  <c r="J903" i="13"/>
  <c r="H903" i="13"/>
  <c r="O902" i="13"/>
  <c r="J902" i="13"/>
  <c r="H902" i="13"/>
  <c r="O901" i="13"/>
  <c r="J901" i="13"/>
  <c r="H901" i="13"/>
  <c r="O900" i="13"/>
  <c r="K900" i="13"/>
  <c r="J900" i="13"/>
  <c r="H900" i="13"/>
  <c r="O899" i="13"/>
  <c r="K899" i="13"/>
  <c r="J899" i="13"/>
  <c r="H899" i="13"/>
  <c r="O898" i="13"/>
  <c r="K898" i="13"/>
  <c r="J898" i="13"/>
  <c r="H898" i="13"/>
  <c r="O897" i="13"/>
  <c r="L897" i="13"/>
  <c r="K897" i="13"/>
  <c r="J897" i="13"/>
  <c r="H897" i="13"/>
  <c r="O896" i="13"/>
  <c r="L896" i="13"/>
  <c r="K896" i="13"/>
  <c r="J896" i="13"/>
  <c r="H896" i="13"/>
  <c r="O895" i="13"/>
  <c r="L895" i="13"/>
  <c r="K895" i="13"/>
  <c r="J895" i="13"/>
  <c r="H895" i="13"/>
  <c r="O894" i="13"/>
  <c r="L894" i="13"/>
  <c r="K894" i="13"/>
  <c r="J894" i="13"/>
  <c r="H894" i="13"/>
  <c r="M893" i="13"/>
  <c r="O893" i="13" s="1"/>
  <c r="K893" i="13"/>
  <c r="J893" i="13"/>
  <c r="H893" i="13"/>
  <c r="K892" i="13"/>
  <c r="J892" i="13"/>
  <c r="H892" i="13"/>
  <c r="K891" i="13"/>
  <c r="J891" i="13"/>
  <c r="H891" i="13"/>
  <c r="N890" i="13"/>
  <c r="N889" i="13" s="1"/>
  <c r="K890" i="13"/>
  <c r="J890" i="13"/>
  <c r="H890" i="13"/>
  <c r="K889" i="13"/>
  <c r="J889" i="13"/>
  <c r="H889" i="13"/>
  <c r="K888" i="13"/>
  <c r="J888" i="13"/>
  <c r="H888" i="13"/>
  <c r="K887" i="13"/>
  <c r="J887" i="13"/>
  <c r="H887" i="13"/>
  <c r="K886" i="13"/>
  <c r="J886" i="13"/>
  <c r="H886" i="13"/>
  <c r="K885" i="13"/>
  <c r="J885" i="13"/>
  <c r="H885" i="13"/>
  <c r="O884" i="13"/>
  <c r="J884" i="13"/>
  <c r="H884" i="13"/>
  <c r="O883" i="13"/>
  <c r="J883" i="13"/>
  <c r="H883" i="13"/>
  <c r="O882" i="13"/>
  <c r="K882" i="13"/>
  <c r="J882" i="13"/>
  <c r="H882" i="13"/>
  <c r="O881" i="13"/>
  <c r="K881" i="13"/>
  <c r="J881" i="13"/>
  <c r="H881" i="13"/>
  <c r="O880" i="13"/>
  <c r="K880" i="13"/>
  <c r="J880" i="13"/>
  <c r="H880" i="13"/>
  <c r="O879" i="13"/>
  <c r="L879" i="13"/>
  <c r="K879" i="13"/>
  <c r="J879" i="13"/>
  <c r="H879" i="13"/>
  <c r="O878" i="13"/>
  <c r="L878" i="13"/>
  <c r="K878" i="13"/>
  <c r="J878" i="13"/>
  <c r="H878" i="13"/>
  <c r="M877" i="13"/>
  <c r="O877" i="13" s="1"/>
  <c r="L877" i="13"/>
  <c r="K877" i="13"/>
  <c r="J877" i="13"/>
  <c r="H877" i="13"/>
  <c r="O876" i="13"/>
  <c r="L876" i="13"/>
  <c r="K876" i="13"/>
  <c r="J876" i="13"/>
  <c r="H876" i="13"/>
  <c r="O875" i="13"/>
  <c r="L875" i="13"/>
  <c r="K875" i="13"/>
  <c r="J875" i="13"/>
  <c r="H875" i="13"/>
  <c r="O874" i="13"/>
  <c r="L874" i="13"/>
  <c r="K874" i="13"/>
  <c r="J874" i="13"/>
  <c r="H874" i="13"/>
  <c r="O873" i="13"/>
  <c r="L873" i="13"/>
  <c r="K873" i="13"/>
  <c r="J873" i="13"/>
  <c r="H873" i="13"/>
  <c r="O872" i="13"/>
  <c r="L872" i="13"/>
  <c r="K872" i="13"/>
  <c r="J872" i="13"/>
  <c r="H872" i="13"/>
  <c r="O871" i="13"/>
  <c r="L871" i="13"/>
  <c r="K871" i="13"/>
  <c r="J871" i="13"/>
  <c r="H871" i="13"/>
  <c r="O870" i="13"/>
  <c r="K870" i="13"/>
  <c r="J870" i="13"/>
  <c r="H870" i="13"/>
  <c r="K869" i="13"/>
  <c r="J869" i="13"/>
  <c r="H869" i="13"/>
  <c r="O868" i="13"/>
  <c r="K868" i="13"/>
  <c r="J868" i="13"/>
  <c r="H868" i="13"/>
  <c r="O867" i="13"/>
  <c r="K867" i="13"/>
  <c r="J867" i="13"/>
  <c r="H867" i="13"/>
  <c r="O866" i="13"/>
  <c r="K866" i="13"/>
  <c r="J866" i="13"/>
  <c r="H866" i="13"/>
  <c r="O865" i="13"/>
  <c r="K865" i="13"/>
  <c r="J865" i="13"/>
  <c r="H865" i="13"/>
  <c r="O864" i="13"/>
  <c r="J864" i="13"/>
  <c r="H864" i="13"/>
  <c r="O863" i="13"/>
  <c r="J863" i="13"/>
  <c r="H863" i="13"/>
  <c r="O862" i="13"/>
  <c r="K862" i="13"/>
  <c r="J862" i="13"/>
  <c r="H862" i="13"/>
  <c r="O861" i="13"/>
  <c r="K861" i="13"/>
  <c r="J861" i="13"/>
  <c r="H861" i="13"/>
  <c r="O860" i="13"/>
  <c r="K860" i="13"/>
  <c r="J860" i="13"/>
  <c r="H860" i="13"/>
  <c r="O859" i="13"/>
  <c r="L859" i="13"/>
  <c r="K859" i="13"/>
  <c r="J859" i="13"/>
  <c r="H859" i="13"/>
  <c r="O858" i="13"/>
  <c r="L858" i="13"/>
  <c r="K858" i="13"/>
  <c r="J858" i="13"/>
  <c r="H858" i="13"/>
  <c r="O857" i="13"/>
  <c r="L857" i="13"/>
  <c r="K857" i="13"/>
  <c r="J857" i="13"/>
  <c r="H857" i="13"/>
  <c r="O856" i="13"/>
  <c r="L856" i="13"/>
  <c r="K856" i="13"/>
  <c r="J856" i="13"/>
  <c r="H856" i="13"/>
  <c r="O855" i="13"/>
  <c r="L855" i="13"/>
  <c r="K855" i="13"/>
  <c r="J855" i="13"/>
  <c r="H855" i="13"/>
  <c r="O854" i="13"/>
  <c r="L854" i="13"/>
  <c r="K854" i="13"/>
  <c r="J854" i="13"/>
  <c r="H854" i="13"/>
  <c r="O853" i="13"/>
  <c r="L853" i="13"/>
  <c r="K853" i="13"/>
  <c r="J853" i="13"/>
  <c r="H853" i="13"/>
  <c r="O852" i="13"/>
  <c r="L852" i="13"/>
  <c r="K852" i="13"/>
  <c r="J852" i="13"/>
  <c r="H852" i="13"/>
  <c r="O851" i="13"/>
  <c r="L851" i="13"/>
  <c r="K851" i="13"/>
  <c r="J851" i="13"/>
  <c r="H851" i="13"/>
  <c r="O850" i="13"/>
  <c r="K850" i="13"/>
  <c r="J850" i="13"/>
  <c r="H850" i="13"/>
  <c r="O849" i="13"/>
  <c r="K849" i="13"/>
  <c r="J849" i="13"/>
  <c r="H849" i="13"/>
  <c r="O848" i="13"/>
  <c r="K848" i="13"/>
  <c r="J848" i="13"/>
  <c r="H848" i="13"/>
  <c r="O847" i="13"/>
  <c r="K847" i="13"/>
  <c r="J847" i="13"/>
  <c r="H847" i="13"/>
  <c r="O846" i="13"/>
  <c r="K846" i="13"/>
  <c r="J846" i="13"/>
  <c r="H846" i="13"/>
  <c r="O845" i="13"/>
  <c r="K845" i="13"/>
  <c r="J845" i="13"/>
  <c r="H845" i="13"/>
  <c r="O844" i="13"/>
  <c r="K844" i="13"/>
  <c r="J844" i="13"/>
  <c r="H844" i="13"/>
  <c r="O843" i="13"/>
  <c r="K843" i="13"/>
  <c r="J843" i="13"/>
  <c r="H843" i="13"/>
  <c r="O842" i="13"/>
  <c r="K842" i="13"/>
  <c r="J842" i="13"/>
  <c r="H842" i="13"/>
  <c r="K841" i="13"/>
  <c r="J841" i="13"/>
  <c r="H841" i="13"/>
  <c r="K840" i="13"/>
  <c r="J840" i="13"/>
  <c r="H840" i="13"/>
  <c r="O839" i="13"/>
  <c r="K839" i="13"/>
  <c r="J839" i="13"/>
  <c r="H839" i="13"/>
  <c r="O838" i="13"/>
  <c r="K838" i="13"/>
  <c r="J838" i="13"/>
  <c r="H838" i="13"/>
  <c r="O837" i="13"/>
  <c r="K837" i="13"/>
  <c r="J837" i="13"/>
  <c r="H837" i="13"/>
  <c r="O836" i="13"/>
  <c r="K836" i="13"/>
  <c r="J836" i="13"/>
  <c r="H836" i="13"/>
  <c r="O835" i="13"/>
  <c r="L835" i="13"/>
  <c r="K835" i="13"/>
  <c r="J835" i="13"/>
  <c r="H835" i="13"/>
  <c r="M834" i="13"/>
  <c r="K834" i="13"/>
  <c r="J834" i="13"/>
  <c r="H834" i="13"/>
  <c r="K833" i="13"/>
  <c r="J833" i="13"/>
  <c r="H833" i="13"/>
  <c r="O832" i="13"/>
  <c r="L832" i="13"/>
  <c r="K832" i="13"/>
  <c r="J832" i="13"/>
  <c r="H832" i="13"/>
  <c r="O831" i="13"/>
  <c r="L831" i="13"/>
  <c r="K831" i="13"/>
  <c r="J831" i="13"/>
  <c r="H831" i="13"/>
  <c r="O830" i="13"/>
  <c r="K830" i="13"/>
  <c r="J830" i="13"/>
  <c r="H830" i="13"/>
  <c r="O829" i="13"/>
  <c r="K829" i="13"/>
  <c r="J829" i="13"/>
  <c r="H829" i="13"/>
  <c r="O828" i="13"/>
  <c r="K828" i="13"/>
  <c r="J828" i="13"/>
  <c r="H828" i="13"/>
  <c r="O827" i="13"/>
  <c r="K827" i="13"/>
  <c r="J827" i="13"/>
  <c r="H827" i="13"/>
  <c r="O826" i="13"/>
  <c r="L826" i="13"/>
  <c r="K826" i="13"/>
  <c r="J826" i="13"/>
  <c r="H826" i="13"/>
  <c r="O825" i="13"/>
  <c r="K825" i="13"/>
  <c r="J825" i="13"/>
  <c r="H825" i="13"/>
  <c r="M824" i="13"/>
  <c r="K824" i="13"/>
  <c r="J824" i="13"/>
  <c r="H824" i="13"/>
  <c r="K823" i="13"/>
  <c r="J823" i="13"/>
  <c r="H823" i="13"/>
  <c r="N822" i="13"/>
  <c r="K822" i="13"/>
  <c r="J822" i="13"/>
  <c r="H822" i="13"/>
  <c r="K821" i="13"/>
  <c r="J821" i="13"/>
  <c r="H821" i="13"/>
  <c r="O820" i="13"/>
  <c r="L820" i="13"/>
  <c r="K820" i="13"/>
  <c r="J820" i="13"/>
  <c r="H820" i="13"/>
  <c r="O819" i="13"/>
  <c r="K819" i="13"/>
  <c r="J819" i="13"/>
  <c r="H819" i="13"/>
  <c r="O818" i="13"/>
  <c r="K818" i="13"/>
  <c r="J818" i="13"/>
  <c r="H818" i="13"/>
  <c r="O817" i="13"/>
  <c r="K817" i="13"/>
  <c r="J817" i="13"/>
  <c r="H817" i="13"/>
  <c r="N816" i="13"/>
  <c r="O815" i="13" s="1"/>
  <c r="K816" i="13"/>
  <c r="J816" i="13"/>
  <c r="H816" i="13"/>
  <c r="K815" i="13"/>
  <c r="J815" i="13"/>
  <c r="H815" i="13"/>
  <c r="O814" i="13"/>
  <c r="J814" i="13"/>
  <c r="H814" i="13"/>
  <c r="O813" i="13"/>
  <c r="K813" i="13"/>
  <c r="J813" i="13"/>
  <c r="H813" i="13"/>
  <c r="O812" i="13"/>
  <c r="L812" i="13"/>
  <c r="K812" i="13"/>
  <c r="J812" i="13"/>
  <c r="H812" i="13"/>
  <c r="O811" i="13"/>
  <c r="L811" i="13"/>
  <c r="K811" i="13"/>
  <c r="J811" i="13"/>
  <c r="H811" i="13"/>
  <c r="O810" i="13"/>
  <c r="L810" i="13"/>
  <c r="K810" i="13"/>
  <c r="J810" i="13"/>
  <c r="H810" i="13"/>
  <c r="E810" i="13"/>
  <c r="O809" i="13"/>
  <c r="K809" i="13"/>
  <c r="J809" i="13"/>
  <c r="H809" i="13"/>
  <c r="E809" i="13"/>
  <c r="Q809" i="13" s="1"/>
  <c r="G1592" i="1" s="1"/>
  <c r="E140" i="17412" s="1"/>
  <c r="M808" i="13"/>
  <c r="M807" i="13" s="1"/>
  <c r="K808" i="13"/>
  <c r="J808" i="13"/>
  <c r="H808" i="13"/>
  <c r="E808" i="13"/>
  <c r="K807" i="13"/>
  <c r="J807" i="13"/>
  <c r="H807" i="13"/>
  <c r="E807" i="13"/>
  <c r="N806" i="13"/>
  <c r="K806" i="13"/>
  <c r="J806" i="13"/>
  <c r="H806" i="13"/>
  <c r="E806" i="13"/>
  <c r="K805" i="13"/>
  <c r="J805" i="13"/>
  <c r="H805" i="13"/>
  <c r="E805" i="13"/>
  <c r="K804" i="13"/>
  <c r="J804" i="13"/>
  <c r="H804" i="13"/>
  <c r="E804" i="13"/>
  <c r="N803" i="13"/>
  <c r="N802" i="13" s="1"/>
  <c r="K803" i="13"/>
  <c r="J803" i="13"/>
  <c r="H803" i="13"/>
  <c r="E803" i="13"/>
  <c r="K802" i="13"/>
  <c r="J802" i="13"/>
  <c r="H802" i="13"/>
  <c r="E802" i="13"/>
  <c r="K801" i="13"/>
  <c r="J801" i="13"/>
  <c r="H801" i="13"/>
  <c r="E801" i="13"/>
  <c r="O800" i="13"/>
  <c r="J800" i="13"/>
  <c r="H800" i="13"/>
  <c r="E800" i="13"/>
  <c r="O799" i="13"/>
  <c r="L799" i="13"/>
  <c r="K799" i="13"/>
  <c r="J799" i="13"/>
  <c r="H799" i="13"/>
  <c r="E799" i="13"/>
  <c r="O798" i="13"/>
  <c r="K798" i="13"/>
  <c r="J798" i="13"/>
  <c r="H798" i="13"/>
  <c r="E798" i="13"/>
  <c r="Q798" i="13" s="1"/>
  <c r="G1571" i="1" s="1"/>
  <c r="E119" i="17412" s="1"/>
  <c r="N797" i="13"/>
  <c r="N796" i="13" s="1"/>
  <c r="M797" i="13"/>
  <c r="M796" i="13" s="1"/>
  <c r="K797" i="13"/>
  <c r="J797" i="13"/>
  <c r="H797" i="13"/>
  <c r="E797" i="13"/>
  <c r="K796" i="13"/>
  <c r="J796" i="13"/>
  <c r="H796" i="13"/>
  <c r="E796" i="13"/>
  <c r="K795" i="13"/>
  <c r="J795" i="13"/>
  <c r="H795" i="13"/>
  <c r="E795" i="13"/>
  <c r="K794" i="13"/>
  <c r="J794" i="13"/>
  <c r="H794" i="13"/>
  <c r="E794" i="13"/>
  <c r="N793" i="13"/>
  <c r="K793" i="13"/>
  <c r="J793" i="13"/>
  <c r="H793" i="13"/>
  <c r="E793" i="13"/>
  <c r="K792" i="13"/>
  <c r="J792" i="13"/>
  <c r="H792" i="13"/>
  <c r="E792" i="13"/>
  <c r="K791" i="13"/>
  <c r="J791" i="13"/>
  <c r="H791" i="13"/>
  <c r="E791" i="13"/>
  <c r="K790" i="13"/>
  <c r="J790" i="13"/>
  <c r="H790" i="13"/>
  <c r="E790" i="13"/>
  <c r="K789" i="13"/>
  <c r="J789" i="13"/>
  <c r="H789" i="13"/>
  <c r="E789" i="13"/>
  <c r="K788" i="13"/>
  <c r="J788" i="13"/>
  <c r="H788" i="13"/>
  <c r="E788" i="13"/>
  <c r="K787" i="13"/>
  <c r="J787" i="13"/>
  <c r="H787" i="13"/>
  <c r="E787" i="13"/>
  <c r="O786" i="13"/>
  <c r="L786" i="13"/>
  <c r="K786" i="13"/>
  <c r="J786" i="13"/>
  <c r="H786" i="13"/>
  <c r="O785" i="13"/>
  <c r="K785" i="13"/>
  <c r="J785" i="13"/>
  <c r="H785" i="13"/>
  <c r="N784" i="13"/>
  <c r="N783" i="13" s="1"/>
  <c r="M784" i="13"/>
  <c r="M783" i="13" s="1"/>
  <c r="K784" i="13"/>
  <c r="J784" i="13"/>
  <c r="H784" i="13"/>
  <c r="K783" i="13"/>
  <c r="J783" i="13"/>
  <c r="H783" i="13"/>
  <c r="K782" i="13"/>
  <c r="J782" i="13"/>
  <c r="H782" i="13"/>
  <c r="N781" i="13"/>
  <c r="N780" i="13" s="1"/>
  <c r="N779" i="13" s="1"/>
  <c r="K781" i="13"/>
  <c r="J781" i="13"/>
  <c r="H781" i="13"/>
  <c r="K780" i="13"/>
  <c r="J780" i="13"/>
  <c r="H780" i="13"/>
  <c r="K779" i="13"/>
  <c r="J779" i="13"/>
  <c r="H779" i="13"/>
  <c r="K778" i="13"/>
  <c r="J778" i="13"/>
  <c r="H778" i="13"/>
  <c r="O777" i="13"/>
  <c r="J777" i="13"/>
  <c r="H777" i="13"/>
  <c r="M776" i="13"/>
  <c r="O776" i="13" s="1"/>
  <c r="K776" i="13"/>
  <c r="J776" i="13"/>
  <c r="H776" i="13"/>
  <c r="O775" i="13"/>
  <c r="K775" i="13"/>
  <c r="J775" i="13"/>
  <c r="H775" i="13"/>
  <c r="O774" i="13"/>
  <c r="K774" i="13"/>
  <c r="J774" i="13"/>
  <c r="H774" i="13"/>
  <c r="O773" i="13"/>
  <c r="L773" i="13"/>
  <c r="K773" i="13"/>
  <c r="J773" i="13"/>
  <c r="H773" i="13"/>
  <c r="M772" i="13"/>
  <c r="O772" i="13" s="1"/>
  <c r="L772" i="13"/>
  <c r="K772" i="13"/>
  <c r="J772" i="13"/>
  <c r="H772" i="13"/>
  <c r="N771" i="13"/>
  <c r="O771" i="13" s="1"/>
  <c r="L771" i="13"/>
  <c r="K771" i="13"/>
  <c r="J771" i="13"/>
  <c r="H771" i="13"/>
  <c r="O770" i="13"/>
  <c r="L770" i="13"/>
  <c r="K770" i="13"/>
  <c r="J770" i="13"/>
  <c r="H770" i="13"/>
  <c r="O769" i="13"/>
  <c r="J769" i="13"/>
  <c r="H769" i="13"/>
  <c r="K768" i="13"/>
  <c r="J768" i="13"/>
  <c r="H768" i="13"/>
  <c r="N767" i="13"/>
  <c r="N768" i="13" s="1"/>
  <c r="M767" i="13"/>
  <c r="M768" i="13" s="1"/>
  <c r="K767" i="13"/>
  <c r="J767" i="13"/>
  <c r="H767" i="13"/>
  <c r="O766" i="13"/>
  <c r="K766" i="13"/>
  <c r="J766" i="13"/>
  <c r="H766" i="13"/>
  <c r="N765" i="13"/>
  <c r="M765" i="13"/>
  <c r="O760" i="13" s="1"/>
  <c r="K765" i="13"/>
  <c r="J765" i="13"/>
  <c r="H765" i="13"/>
  <c r="K764" i="13"/>
  <c r="J764" i="13"/>
  <c r="H764" i="13"/>
  <c r="K763" i="13"/>
  <c r="J763" i="13"/>
  <c r="H763" i="13"/>
  <c r="O762" i="13"/>
  <c r="K762" i="13"/>
  <c r="J762" i="13"/>
  <c r="H762" i="13"/>
  <c r="K761" i="13"/>
  <c r="J761" i="13"/>
  <c r="H761" i="13"/>
  <c r="K760" i="13"/>
  <c r="J760" i="13"/>
  <c r="H760" i="13"/>
  <c r="O759" i="13"/>
  <c r="K759" i="13"/>
  <c r="J759" i="13"/>
  <c r="H759" i="13"/>
  <c r="O758" i="13"/>
  <c r="J758" i="13"/>
  <c r="H758" i="13"/>
  <c r="E758" i="13"/>
  <c r="K757" i="13"/>
  <c r="J757" i="13"/>
  <c r="H757" i="13"/>
  <c r="E757" i="13"/>
  <c r="N756" i="13"/>
  <c r="N757" i="13" s="1"/>
  <c r="M756" i="13"/>
  <c r="K756" i="13"/>
  <c r="J756" i="13"/>
  <c r="H756" i="13"/>
  <c r="E756" i="13"/>
  <c r="O755" i="13"/>
  <c r="K755" i="13"/>
  <c r="J755" i="13"/>
  <c r="H755" i="13"/>
  <c r="E755" i="13"/>
  <c r="Q755" i="13" s="1"/>
  <c r="N754" i="13"/>
  <c r="N750" i="13" s="1"/>
  <c r="O750" i="13" s="1"/>
  <c r="M754" i="13"/>
  <c r="K754" i="13"/>
  <c r="J754" i="13"/>
  <c r="H754" i="13"/>
  <c r="E754" i="13"/>
  <c r="K753" i="13"/>
  <c r="J753" i="13"/>
  <c r="H753" i="13"/>
  <c r="E753" i="13"/>
  <c r="K752" i="13"/>
  <c r="J752" i="13"/>
  <c r="H752" i="13"/>
  <c r="E752" i="13"/>
  <c r="O751" i="13"/>
  <c r="K751" i="13"/>
  <c r="J751" i="13"/>
  <c r="H751" i="13"/>
  <c r="E751" i="13"/>
  <c r="Q751" i="13" s="1"/>
  <c r="K750" i="13"/>
  <c r="J750" i="13"/>
  <c r="H750" i="13"/>
  <c r="E750" i="13"/>
  <c r="K749" i="13"/>
  <c r="J749" i="13"/>
  <c r="H749" i="13"/>
  <c r="E749" i="13"/>
  <c r="O748" i="13"/>
  <c r="K748" i="13"/>
  <c r="J748" i="13"/>
  <c r="H748" i="13"/>
  <c r="E748" i="13"/>
  <c r="Q748" i="13" s="1"/>
  <c r="N747" i="13"/>
  <c r="N746" i="13" s="1"/>
  <c r="M747" i="13"/>
  <c r="M745" i="13" s="1"/>
  <c r="O745" i="13" s="1"/>
  <c r="K747" i="13"/>
  <c r="J747" i="13"/>
  <c r="H747" i="13"/>
  <c r="K746" i="13"/>
  <c r="J746" i="13"/>
  <c r="H746" i="13"/>
  <c r="K745" i="13"/>
  <c r="J745" i="13"/>
  <c r="H745" i="13"/>
  <c r="O744" i="13"/>
  <c r="K744" i="13"/>
  <c r="J744" i="13"/>
  <c r="H744" i="13"/>
  <c r="M743" i="13"/>
  <c r="M742" i="13" s="1"/>
  <c r="M741" i="13" s="1"/>
  <c r="M740" i="13" s="1"/>
  <c r="M739" i="13" s="1"/>
  <c r="K743" i="13"/>
  <c r="J743" i="13"/>
  <c r="H743" i="13"/>
  <c r="N742" i="13"/>
  <c r="N741" i="13" s="1"/>
  <c r="K742" i="13"/>
  <c r="J742" i="13"/>
  <c r="H742" i="13"/>
  <c r="K741" i="13"/>
  <c r="J741" i="13"/>
  <c r="H741" i="13"/>
  <c r="K740" i="13"/>
  <c r="J740" i="13"/>
  <c r="H740" i="13"/>
  <c r="K739" i="13"/>
  <c r="J739" i="13"/>
  <c r="H739" i="13"/>
  <c r="K738" i="13"/>
  <c r="J738" i="13"/>
  <c r="H738" i="13"/>
  <c r="K737" i="13"/>
  <c r="J737" i="13"/>
  <c r="H737" i="13"/>
  <c r="K736" i="13"/>
  <c r="J736" i="13"/>
  <c r="H736" i="13"/>
  <c r="M735" i="13"/>
  <c r="O735" i="13" s="1"/>
  <c r="K735" i="13"/>
  <c r="J735" i="13"/>
  <c r="H735" i="13"/>
  <c r="O734" i="13"/>
  <c r="K734" i="13"/>
  <c r="J734" i="13"/>
  <c r="H734" i="13"/>
  <c r="O733" i="13"/>
  <c r="K733" i="13"/>
  <c r="J733" i="13"/>
  <c r="H733" i="13"/>
  <c r="O732" i="13"/>
  <c r="L732" i="13"/>
  <c r="K732" i="13"/>
  <c r="J732" i="13"/>
  <c r="H732" i="13"/>
  <c r="O731" i="13"/>
  <c r="L731" i="13"/>
  <c r="K731" i="13"/>
  <c r="J731" i="13"/>
  <c r="H731" i="13"/>
  <c r="O730" i="13"/>
  <c r="L730" i="13"/>
  <c r="K730" i="13"/>
  <c r="J730" i="13"/>
  <c r="H730" i="13"/>
  <c r="O729" i="13"/>
  <c r="L729" i="13"/>
  <c r="K729" i="13"/>
  <c r="J729" i="13"/>
  <c r="H729" i="13"/>
  <c r="N728" i="13"/>
  <c r="M728" i="13"/>
  <c r="M726" i="13" s="1"/>
  <c r="K728" i="13"/>
  <c r="J728" i="13"/>
  <c r="H728" i="13"/>
  <c r="E728" i="13"/>
  <c r="K727" i="13"/>
  <c r="J727" i="13"/>
  <c r="H727" i="13"/>
  <c r="E727" i="13"/>
  <c r="K726" i="13"/>
  <c r="J726" i="13"/>
  <c r="H726" i="13"/>
  <c r="E726" i="13"/>
  <c r="O725" i="13"/>
  <c r="K725" i="13"/>
  <c r="J725" i="13"/>
  <c r="H725" i="13"/>
  <c r="E725" i="13"/>
  <c r="Q725" i="13" s="1"/>
  <c r="M724" i="13"/>
  <c r="O724" i="13" s="1"/>
  <c r="K724" i="13"/>
  <c r="J724" i="13"/>
  <c r="H724" i="13"/>
  <c r="E724" i="13"/>
  <c r="N723" i="13"/>
  <c r="N722" i="13" s="1"/>
  <c r="N721" i="13" s="1"/>
  <c r="N720" i="13" s="1"/>
  <c r="N719" i="13" s="1"/>
  <c r="N717" i="13" s="1"/>
  <c r="K723" i="13"/>
  <c r="J723" i="13"/>
  <c r="H723" i="13"/>
  <c r="E723" i="13"/>
  <c r="K722" i="13"/>
  <c r="J722" i="13"/>
  <c r="H722" i="13"/>
  <c r="E722" i="13"/>
  <c r="K721" i="13"/>
  <c r="J721" i="13"/>
  <c r="H721" i="13"/>
  <c r="E721" i="13"/>
  <c r="K720" i="13"/>
  <c r="J720" i="13"/>
  <c r="H720" i="13"/>
  <c r="E720" i="13"/>
  <c r="K719" i="13"/>
  <c r="J719" i="13"/>
  <c r="H719" i="13"/>
  <c r="E719" i="13"/>
  <c r="K718" i="13"/>
  <c r="J718" i="13"/>
  <c r="H718" i="13"/>
  <c r="E718" i="13"/>
  <c r="K717" i="13"/>
  <c r="J717" i="13"/>
  <c r="H717" i="13"/>
  <c r="E717" i="13"/>
  <c r="O716" i="13"/>
  <c r="K716" i="13"/>
  <c r="J716" i="13"/>
  <c r="H716" i="13"/>
  <c r="O715" i="13"/>
  <c r="K715" i="13"/>
  <c r="J715" i="13"/>
  <c r="H715" i="13"/>
  <c r="O714" i="13"/>
  <c r="K714" i="13"/>
  <c r="J714" i="13"/>
  <c r="H714" i="13"/>
  <c r="O713" i="13"/>
  <c r="K713" i="13"/>
  <c r="J713" i="13"/>
  <c r="H713" i="13"/>
  <c r="O712" i="13"/>
  <c r="K712" i="13"/>
  <c r="J712" i="13"/>
  <c r="H712" i="13"/>
  <c r="O711" i="13"/>
  <c r="K711" i="13"/>
  <c r="J711" i="13"/>
  <c r="H711" i="13"/>
  <c r="O710" i="13"/>
  <c r="K710" i="13"/>
  <c r="J710" i="13"/>
  <c r="H710" i="13"/>
  <c r="O709" i="13"/>
  <c r="K709" i="13"/>
  <c r="J709" i="13"/>
  <c r="H709" i="13"/>
  <c r="M708" i="13"/>
  <c r="O708" i="13" s="1"/>
  <c r="K708" i="13"/>
  <c r="J708" i="13"/>
  <c r="H708" i="13"/>
  <c r="E708" i="13"/>
  <c r="N707" i="13"/>
  <c r="O707" i="13" s="1"/>
  <c r="K707" i="13"/>
  <c r="J707" i="13"/>
  <c r="H707" i="13"/>
  <c r="E707" i="13"/>
  <c r="N706" i="13"/>
  <c r="O706" i="13" s="1"/>
  <c r="K706" i="13"/>
  <c r="J706" i="13"/>
  <c r="H706" i="13"/>
  <c r="E706" i="13"/>
  <c r="O705" i="13"/>
  <c r="L705" i="13"/>
  <c r="K705" i="13"/>
  <c r="J705" i="13"/>
  <c r="H705" i="13"/>
  <c r="E705" i="13"/>
  <c r="O704" i="13"/>
  <c r="L704" i="13"/>
  <c r="K704" i="13"/>
  <c r="J704" i="13"/>
  <c r="H704" i="13"/>
  <c r="E704" i="13"/>
  <c r="O703" i="13"/>
  <c r="L703" i="13"/>
  <c r="K703" i="13"/>
  <c r="J703" i="13"/>
  <c r="H703" i="13"/>
  <c r="E703" i="13"/>
  <c r="N702" i="13"/>
  <c r="O702" i="13" s="1"/>
  <c r="L702" i="13"/>
  <c r="K702" i="13"/>
  <c r="J702" i="13"/>
  <c r="H702" i="13"/>
  <c r="E702" i="13"/>
  <c r="O701" i="13"/>
  <c r="J701" i="13"/>
  <c r="H701" i="13"/>
  <c r="O700" i="13"/>
  <c r="J700" i="13"/>
  <c r="H700" i="13"/>
  <c r="O699" i="13"/>
  <c r="J699" i="13"/>
  <c r="H699" i="13"/>
  <c r="O698" i="13"/>
  <c r="K698" i="13"/>
  <c r="J698" i="13"/>
  <c r="H698" i="13"/>
  <c r="O697" i="13"/>
  <c r="L697" i="13"/>
  <c r="K697" i="13"/>
  <c r="J697" i="13"/>
  <c r="H697" i="13"/>
  <c r="O696" i="13"/>
  <c r="J696" i="13"/>
  <c r="H696" i="13"/>
  <c r="O695" i="13"/>
  <c r="J695" i="13"/>
  <c r="H695" i="13"/>
  <c r="O694" i="13"/>
  <c r="J694" i="13"/>
  <c r="H694" i="13"/>
  <c r="O693" i="13"/>
  <c r="J693" i="13"/>
  <c r="H693" i="13"/>
  <c r="O692" i="13"/>
  <c r="K692" i="13"/>
  <c r="J692" i="13"/>
  <c r="H692" i="13"/>
  <c r="O691" i="13"/>
  <c r="K691" i="13"/>
  <c r="J691" i="13"/>
  <c r="H691" i="13"/>
  <c r="M690" i="13"/>
  <c r="O690" i="13" s="1"/>
  <c r="K690" i="13"/>
  <c r="J690" i="13"/>
  <c r="H690" i="13"/>
  <c r="M689" i="13"/>
  <c r="O689" i="13" s="1"/>
  <c r="K689" i="13"/>
  <c r="J689" i="13"/>
  <c r="H689" i="13"/>
  <c r="O688" i="13"/>
  <c r="K688" i="13"/>
  <c r="J688" i="13"/>
  <c r="H688" i="13"/>
  <c r="M687" i="13"/>
  <c r="O687" i="13" s="1"/>
  <c r="K687" i="13"/>
  <c r="J687" i="13"/>
  <c r="H687" i="13"/>
  <c r="N686" i="13"/>
  <c r="K686" i="13"/>
  <c r="J686" i="13"/>
  <c r="H686" i="13"/>
  <c r="O685" i="13"/>
  <c r="K685" i="13"/>
  <c r="J685" i="13"/>
  <c r="H685" i="13"/>
  <c r="M684" i="13"/>
  <c r="O684" i="13" s="1"/>
  <c r="K684" i="13"/>
  <c r="J684" i="13"/>
  <c r="H684" i="13"/>
  <c r="N683" i="13"/>
  <c r="K683" i="13"/>
  <c r="J683" i="13"/>
  <c r="H683" i="13"/>
  <c r="O682" i="13"/>
  <c r="K682" i="13"/>
  <c r="J682" i="13"/>
  <c r="H682" i="13"/>
  <c r="M681" i="13"/>
  <c r="O681" i="13" s="1"/>
  <c r="K681" i="13"/>
  <c r="J681" i="13"/>
  <c r="H681" i="13"/>
  <c r="N680" i="13"/>
  <c r="N679" i="13" s="1"/>
  <c r="K680" i="13"/>
  <c r="J680" i="13"/>
  <c r="H680" i="13"/>
  <c r="K679" i="13"/>
  <c r="J679" i="13"/>
  <c r="H679" i="13"/>
  <c r="K678" i="13"/>
  <c r="J678" i="13"/>
  <c r="H678" i="13"/>
  <c r="O677" i="13"/>
  <c r="L677" i="13"/>
  <c r="K677" i="13"/>
  <c r="J677" i="13"/>
  <c r="H677" i="13"/>
  <c r="O676" i="13"/>
  <c r="K676" i="13"/>
  <c r="J676" i="13"/>
  <c r="H676" i="13"/>
  <c r="N675" i="13"/>
  <c r="M675" i="13"/>
  <c r="M674" i="13" s="1"/>
  <c r="M673" i="13" s="1"/>
  <c r="M672" i="13" s="1"/>
  <c r="K675" i="13"/>
  <c r="J675" i="13"/>
  <c r="H675" i="13"/>
  <c r="K674" i="13"/>
  <c r="J674" i="13"/>
  <c r="H674" i="13"/>
  <c r="K673" i="13"/>
  <c r="J673" i="13"/>
  <c r="H673" i="13"/>
  <c r="K672" i="13"/>
  <c r="J672" i="13"/>
  <c r="H672" i="13"/>
  <c r="N671" i="13"/>
  <c r="N670" i="13" s="1"/>
  <c r="K671" i="13"/>
  <c r="J671" i="13"/>
  <c r="H671" i="13"/>
  <c r="K670" i="13"/>
  <c r="J670" i="13"/>
  <c r="H670" i="13"/>
  <c r="K669" i="13"/>
  <c r="J669" i="13"/>
  <c r="H669" i="13"/>
  <c r="N668" i="13"/>
  <c r="M668" i="13"/>
  <c r="J668" i="13"/>
  <c r="H668" i="13"/>
  <c r="M667" i="13"/>
  <c r="O667" i="13" s="1"/>
  <c r="J667" i="13"/>
  <c r="H667" i="13"/>
  <c r="O666" i="13"/>
  <c r="J666" i="13"/>
  <c r="H666" i="13"/>
  <c r="N665" i="13"/>
  <c r="O665" i="13" s="1"/>
  <c r="K665" i="13"/>
  <c r="J665" i="13"/>
  <c r="H665" i="13"/>
  <c r="O664" i="13"/>
  <c r="L664" i="13"/>
  <c r="K664" i="13"/>
  <c r="J664" i="13"/>
  <c r="H664" i="13"/>
  <c r="O663" i="13"/>
  <c r="L663" i="13"/>
  <c r="K663" i="13"/>
  <c r="J663" i="13"/>
  <c r="H663" i="13"/>
  <c r="N662" i="13"/>
  <c r="M662" i="13"/>
  <c r="L662" i="13"/>
  <c r="K662" i="13"/>
  <c r="J662" i="13"/>
  <c r="H662" i="13"/>
  <c r="O661" i="13"/>
  <c r="K661" i="13"/>
  <c r="J661" i="13"/>
  <c r="H661" i="13"/>
  <c r="M660" i="13"/>
  <c r="O660" i="13" s="1"/>
  <c r="K660" i="13"/>
  <c r="J660" i="13"/>
  <c r="H660" i="13"/>
  <c r="K659" i="13"/>
  <c r="J659" i="13"/>
  <c r="H659" i="13"/>
  <c r="K658" i="13"/>
  <c r="J658" i="13"/>
  <c r="H658" i="13"/>
  <c r="N657" i="13"/>
  <c r="N656" i="13" s="1"/>
  <c r="K657" i="13"/>
  <c r="J657" i="13"/>
  <c r="H657" i="13"/>
  <c r="K656" i="13"/>
  <c r="J656" i="13"/>
  <c r="H656" i="13"/>
  <c r="N655" i="13"/>
  <c r="O655" i="13" s="1"/>
  <c r="K655" i="13"/>
  <c r="J655" i="13"/>
  <c r="H655" i="13"/>
  <c r="O654" i="13"/>
  <c r="K654" i="13"/>
  <c r="J654" i="13"/>
  <c r="H654" i="13"/>
  <c r="O653" i="13"/>
  <c r="J653" i="13"/>
  <c r="H653" i="13"/>
  <c r="O652" i="13"/>
  <c r="J652" i="13"/>
  <c r="H652" i="13"/>
  <c r="M651" i="13"/>
  <c r="O651" i="13" s="1"/>
  <c r="L651" i="13"/>
  <c r="K651" i="13"/>
  <c r="J651" i="13"/>
  <c r="H651" i="13"/>
  <c r="N650" i="13"/>
  <c r="O650" i="13" s="1"/>
  <c r="J650" i="13"/>
  <c r="H650" i="13"/>
  <c r="N649" i="13"/>
  <c r="O649" i="13" s="1"/>
  <c r="J649" i="13"/>
  <c r="H649" i="13"/>
  <c r="O648" i="13"/>
  <c r="J648" i="13"/>
  <c r="H648" i="13"/>
  <c r="O647" i="13"/>
  <c r="J647" i="13"/>
  <c r="H647" i="13"/>
  <c r="O646" i="13"/>
  <c r="K646" i="13"/>
  <c r="J646" i="13"/>
  <c r="H646" i="13"/>
  <c r="O645" i="13"/>
  <c r="K645" i="13"/>
  <c r="J645" i="13"/>
  <c r="H645" i="13"/>
  <c r="O644" i="13"/>
  <c r="K644" i="13"/>
  <c r="J644" i="13"/>
  <c r="H644" i="13"/>
  <c r="O643" i="13"/>
  <c r="K643" i="13"/>
  <c r="J643" i="13"/>
  <c r="H643" i="13"/>
  <c r="O642" i="13"/>
  <c r="K642" i="13"/>
  <c r="J642" i="13"/>
  <c r="H642" i="13"/>
  <c r="O641" i="13"/>
  <c r="K641" i="13"/>
  <c r="J641" i="13"/>
  <c r="H641" i="13"/>
  <c r="J640" i="13"/>
  <c r="H640" i="13"/>
  <c r="J639" i="13"/>
  <c r="H639" i="13"/>
  <c r="O638" i="13"/>
  <c r="O639" i="13" s="1"/>
  <c r="O640" i="13" s="1"/>
  <c r="J638" i="13"/>
  <c r="H638" i="13"/>
  <c r="J637" i="13"/>
  <c r="H637" i="13"/>
  <c r="O636" i="13"/>
  <c r="J636" i="13"/>
  <c r="H636" i="13"/>
  <c r="O635" i="13"/>
  <c r="J635" i="13"/>
  <c r="H635" i="13"/>
  <c r="O634" i="13"/>
  <c r="J634" i="13"/>
  <c r="H634" i="13"/>
  <c r="N633" i="13"/>
  <c r="K633" i="13"/>
  <c r="J633" i="13"/>
  <c r="H633" i="13"/>
  <c r="K632" i="13"/>
  <c r="J632" i="13"/>
  <c r="H632" i="13"/>
  <c r="M631" i="13"/>
  <c r="O631" i="13" s="1"/>
  <c r="K631" i="13"/>
  <c r="J631" i="13"/>
  <c r="H631" i="13"/>
  <c r="O630" i="13"/>
  <c r="K630" i="13"/>
  <c r="J630" i="13"/>
  <c r="H630" i="13"/>
  <c r="M629" i="13"/>
  <c r="O629" i="13" s="1"/>
  <c r="K629" i="13"/>
  <c r="J629" i="13"/>
  <c r="H629" i="13"/>
  <c r="N628" i="13"/>
  <c r="N627" i="13" s="1"/>
  <c r="M628" i="13"/>
  <c r="K628" i="13"/>
  <c r="J628" i="13"/>
  <c r="H628" i="13"/>
  <c r="M627" i="13"/>
  <c r="M626" i="13" s="1"/>
  <c r="M625" i="13" s="1"/>
  <c r="K627" i="13"/>
  <c r="J627" i="13"/>
  <c r="H627" i="13"/>
  <c r="N626" i="13"/>
  <c r="K626" i="13"/>
  <c r="J626" i="13"/>
  <c r="H626" i="13"/>
  <c r="K625" i="13"/>
  <c r="J625" i="13"/>
  <c r="H625" i="13"/>
  <c r="O624" i="13"/>
  <c r="J624" i="13"/>
  <c r="H624" i="13"/>
  <c r="O623" i="13"/>
  <c r="J623" i="13"/>
  <c r="H623" i="13"/>
  <c r="O622" i="13"/>
  <c r="M622" i="13"/>
  <c r="J622" i="13"/>
  <c r="H622" i="13"/>
  <c r="O621" i="13"/>
  <c r="M621" i="13"/>
  <c r="J621" i="13"/>
  <c r="H621" i="13"/>
  <c r="O620" i="13"/>
  <c r="J620" i="13"/>
  <c r="H620" i="13"/>
  <c r="M619" i="13"/>
  <c r="O619" i="13" s="1"/>
  <c r="J619" i="13"/>
  <c r="H619" i="13"/>
  <c r="O618" i="13"/>
  <c r="M618" i="13"/>
  <c r="J618" i="13"/>
  <c r="H618" i="13"/>
  <c r="O617" i="13"/>
  <c r="J617" i="13"/>
  <c r="H617" i="13"/>
  <c r="O616" i="13"/>
  <c r="J616" i="13"/>
  <c r="H616" i="13"/>
  <c r="O615" i="13"/>
  <c r="J615" i="13"/>
  <c r="H615" i="13"/>
  <c r="O614" i="13"/>
  <c r="M614" i="13"/>
  <c r="J614" i="13"/>
  <c r="H614" i="13"/>
  <c r="O613" i="13"/>
  <c r="M613" i="13"/>
  <c r="J613" i="13"/>
  <c r="H613" i="13"/>
  <c r="O612" i="13"/>
  <c r="J612" i="13"/>
  <c r="H612" i="13"/>
  <c r="M611" i="13"/>
  <c r="O611" i="13" s="1"/>
  <c r="J611" i="13"/>
  <c r="H611" i="13"/>
  <c r="O610" i="13"/>
  <c r="M610" i="13"/>
  <c r="J610" i="13"/>
  <c r="H610" i="13"/>
  <c r="O609" i="13"/>
  <c r="J609" i="13"/>
  <c r="H609" i="13"/>
  <c r="O608" i="13"/>
  <c r="J608" i="13"/>
  <c r="H608" i="13"/>
  <c r="M607" i="13"/>
  <c r="O607" i="13" s="1"/>
  <c r="J607" i="13"/>
  <c r="H607" i="13"/>
  <c r="M606" i="13"/>
  <c r="O606" i="13" s="1"/>
  <c r="J606" i="13"/>
  <c r="H606" i="13"/>
  <c r="O605" i="13"/>
  <c r="J605" i="13"/>
  <c r="H605" i="13"/>
  <c r="O604" i="13"/>
  <c r="J604" i="13"/>
  <c r="H604" i="13"/>
  <c r="M603" i="13"/>
  <c r="O603" i="13" s="1"/>
  <c r="J603" i="13"/>
  <c r="H603" i="13"/>
  <c r="O602" i="13"/>
  <c r="J602" i="13"/>
  <c r="H602" i="13"/>
  <c r="J601" i="13"/>
  <c r="H601" i="13"/>
  <c r="J600" i="13"/>
  <c r="H600" i="13"/>
  <c r="N599" i="13"/>
  <c r="N600" i="13" s="1"/>
  <c r="N601" i="13" s="1"/>
  <c r="O601" i="13" s="1"/>
  <c r="M599" i="13"/>
  <c r="M600" i="13" s="1"/>
  <c r="O600" i="13" s="1"/>
  <c r="J599" i="13"/>
  <c r="H599" i="13"/>
  <c r="O598" i="13"/>
  <c r="J598" i="13"/>
  <c r="H598" i="13"/>
  <c r="O597" i="13"/>
  <c r="J597" i="13"/>
  <c r="H597" i="13"/>
  <c r="O596" i="13"/>
  <c r="J596" i="13"/>
  <c r="H596" i="13"/>
  <c r="O595" i="13"/>
  <c r="J595" i="13"/>
  <c r="H595" i="13"/>
  <c r="O594" i="13"/>
  <c r="J594" i="13"/>
  <c r="H594" i="13"/>
  <c r="O593" i="13"/>
  <c r="J593" i="13"/>
  <c r="H593" i="13"/>
  <c r="O592" i="13"/>
  <c r="J592" i="13"/>
  <c r="H592" i="13"/>
  <c r="O591" i="13"/>
  <c r="J591" i="13"/>
  <c r="H591" i="13"/>
  <c r="O590" i="13"/>
  <c r="J590" i="13"/>
  <c r="H590" i="13"/>
  <c r="O589" i="13"/>
  <c r="K589" i="13"/>
  <c r="J589" i="13"/>
  <c r="H589" i="13"/>
  <c r="N588" i="13"/>
  <c r="M588" i="13"/>
  <c r="K588" i="13"/>
  <c r="J588" i="13"/>
  <c r="H588" i="13"/>
  <c r="N587" i="13"/>
  <c r="O587" i="13" s="1"/>
  <c r="K587" i="13"/>
  <c r="J587" i="13"/>
  <c r="H587" i="13"/>
  <c r="N586" i="13"/>
  <c r="O586" i="13" s="1"/>
  <c r="K586" i="13"/>
  <c r="J586" i="13"/>
  <c r="H586" i="13"/>
  <c r="N585" i="13"/>
  <c r="M585" i="13"/>
  <c r="O581" i="13" s="1"/>
  <c r="K585" i="13"/>
  <c r="J585" i="13"/>
  <c r="H585" i="13"/>
  <c r="N584" i="13"/>
  <c r="M584" i="13"/>
  <c r="K584" i="13"/>
  <c r="J584" i="13"/>
  <c r="H584" i="13"/>
  <c r="N583" i="13"/>
  <c r="K583" i="13"/>
  <c r="J583" i="13"/>
  <c r="H583" i="13"/>
  <c r="N582" i="13"/>
  <c r="M582" i="13"/>
  <c r="K582" i="13"/>
  <c r="J582" i="13"/>
  <c r="H582" i="13"/>
  <c r="K581" i="13"/>
  <c r="J581" i="13"/>
  <c r="H581" i="13"/>
  <c r="O580" i="13"/>
  <c r="K580" i="13"/>
  <c r="J580" i="13"/>
  <c r="H580" i="13"/>
  <c r="N579" i="13"/>
  <c r="M579" i="13"/>
  <c r="K579" i="13"/>
  <c r="J579" i="13"/>
  <c r="H579" i="13"/>
  <c r="N578" i="13"/>
  <c r="O578" i="13" s="1"/>
  <c r="K578" i="13"/>
  <c r="J578" i="13"/>
  <c r="H578" i="13"/>
  <c r="N577" i="13"/>
  <c r="O577" i="13" s="1"/>
  <c r="K577" i="13"/>
  <c r="J577" i="13"/>
  <c r="H577" i="13"/>
  <c r="N576" i="13"/>
  <c r="M576" i="13"/>
  <c r="O572" i="13" s="1"/>
  <c r="K576" i="13"/>
  <c r="J576" i="13"/>
  <c r="H576" i="13"/>
  <c r="N575" i="13"/>
  <c r="M575" i="13"/>
  <c r="K575" i="13"/>
  <c r="J575" i="13"/>
  <c r="H575" i="13"/>
  <c r="N574" i="13"/>
  <c r="K574" i="13"/>
  <c r="J574" i="13"/>
  <c r="H574" i="13"/>
  <c r="N573" i="13"/>
  <c r="M573" i="13"/>
  <c r="K573" i="13"/>
  <c r="J573" i="13"/>
  <c r="H573" i="13"/>
  <c r="K572" i="13"/>
  <c r="J572" i="13"/>
  <c r="H572" i="13"/>
  <c r="O571" i="13"/>
  <c r="L571" i="13"/>
  <c r="K571" i="13"/>
  <c r="J571" i="13"/>
  <c r="H571" i="13"/>
  <c r="E571" i="13"/>
  <c r="O570" i="13"/>
  <c r="L570" i="13"/>
  <c r="K570" i="13"/>
  <c r="J570" i="13"/>
  <c r="H570" i="13"/>
  <c r="E570" i="13"/>
  <c r="O569" i="13"/>
  <c r="K569" i="13"/>
  <c r="J569" i="13"/>
  <c r="H569" i="13"/>
  <c r="E569" i="13"/>
  <c r="Q569" i="13" s="1"/>
  <c r="O568" i="13"/>
  <c r="K568" i="13"/>
  <c r="J568" i="13"/>
  <c r="H568" i="13"/>
  <c r="E568" i="13"/>
  <c r="Q568" i="13" s="1"/>
  <c r="O567" i="13"/>
  <c r="K567" i="13"/>
  <c r="J567" i="13"/>
  <c r="H567" i="13"/>
  <c r="E567" i="13"/>
  <c r="Q567" i="13" s="1"/>
  <c r="O566" i="13"/>
  <c r="K566" i="13"/>
  <c r="J566" i="13"/>
  <c r="H566" i="13"/>
  <c r="E566" i="13"/>
  <c r="Q566" i="13" s="1"/>
  <c r="O565" i="13"/>
  <c r="K565" i="13"/>
  <c r="J565" i="13"/>
  <c r="H565" i="13"/>
  <c r="E565" i="13"/>
  <c r="Q565" i="13" s="1"/>
  <c r="O564" i="13"/>
  <c r="K564" i="13"/>
  <c r="J564" i="13"/>
  <c r="H564" i="13"/>
  <c r="E564" i="13"/>
  <c r="Q564" i="13" s="1"/>
  <c r="O563" i="13"/>
  <c r="K563" i="13"/>
  <c r="J563" i="13"/>
  <c r="H563" i="13"/>
  <c r="E563" i="13"/>
  <c r="Q563" i="13" s="1"/>
  <c r="O562" i="13"/>
  <c r="M562" i="13"/>
  <c r="M559" i="13" s="1"/>
  <c r="O559" i="13" s="1"/>
  <c r="J562" i="13"/>
  <c r="H562" i="13"/>
  <c r="O561" i="13"/>
  <c r="K561" i="13"/>
  <c r="J561" i="13"/>
  <c r="H561" i="13"/>
  <c r="M560" i="13"/>
  <c r="O560" i="13" s="1"/>
  <c r="K560" i="13"/>
  <c r="J560" i="13"/>
  <c r="H560" i="13"/>
  <c r="K559" i="13"/>
  <c r="J559" i="13"/>
  <c r="H559" i="13"/>
  <c r="M558" i="13"/>
  <c r="M557" i="13" s="1"/>
  <c r="K558" i="13"/>
  <c r="J558" i="13"/>
  <c r="H558" i="13"/>
  <c r="K557" i="13"/>
  <c r="J557" i="13"/>
  <c r="H557" i="13"/>
  <c r="K556" i="13"/>
  <c r="J556" i="13"/>
  <c r="H556" i="13"/>
  <c r="K555" i="13"/>
  <c r="J555" i="13"/>
  <c r="H555" i="13"/>
  <c r="K554" i="13"/>
  <c r="J554" i="13"/>
  <c r="H554" i="13"/>
  <c r="K553" i="13"/>
  <c r="J553" i="13"/>
  <c r="H553" i="13"/>
  <c r="O552" i="13"/>
  <c r="J552" i="13"/>
  <c r="H552" i="13"/>
  <c r="O551" i="13"/>
  <c r="J551" i="13"/>
  <c r="H551" i="13"/>
  <c r="O550" i="13"/>
  <c r="K550" i="13"/>
  <c r="J550" i="13"/>
  <c r="H550" i="13"/>
  <c r="O549" i="13"/>
  <c r="K549" i="13"/>
  <c r="J549" i="13"/>
  <c r="H549" i="13"/>
  <c r="O548" i="13"/>
  <c r="K548" i="13"/>
  <c r="J548" i="13"/>
  <c r="H548" i="13"/>
  <c r="O547" i="13"/>
  <c r="L547" i="13"/>
  <c r="K547" i="13"/>
  <c r="J547" i="13"/>
  <c r="H547" i="13"/>
  <c r="O546" i="13"/>
  <c r="L546" i="13"/>
  <c r="K546" i="13"/>
  <c r="J546" i="13"/>
  <c r="H546" i="13"/>
  <c r="O545" i="13"/>
  <c r="J545" i="13"/>
  <c r="H545" i="13"/>
  <c r="O544" i="13"/>
  <c r="J544" i="13"/>
  <c r="H544" i="13"/>
  <c r="O543" i="13"/>
  <c r="K543" i="13"/>
  <c r="J543" i="13"/>
  <c r="H543" i="13"/>
  <c r="O542" i="13"/>
  <c r="K542" i="13"/>
  <c r="J542" i="13"/>
  <c r="H542" i="13"/>
  <c r="O541" i="13"/>
  <c r="K541" i="13"/>
  <c r="J541" i="13"/>
  <c r="H541" i="13"/>
  <c r="O540" i="13"/>
  <c r="L540" i="13"/>
  <c r="K540" i="13"/>
  <c r="J540" i="13"/>
  <c r="H540" i="13"/>
  <c r="O539" i="13"/>
  <c r="L539" i="13"/>
  <c r="K539" i="13"/>
  <c r="J539" i="13"/>
  <c r="H539" i="13"/>
  <c r="O538" i="13"/>
  <c r="L538" i="13"/>
  <c r="K538" i="13"/>
  <c r="J538" i="13"/>
  <c r="H538" i="13"/>
  <c r="O537" i="13"/>
  <c r="L537" i="13"/>
  <c r="K537" i="13"/>
  <c r="J537" i="13"/>
  <c r="H537" i="13"/>
  <c r="O536" i="13"/>
  <c r="K536" i="13"/>
  <c r="J536" i="13"/>
  <c r="H536" i="13"/>
  <c r="O535" i="13"/>
  <c r="K535" i="13"/>
  <c r="J535" i="13"/>
  <c r="H535" i="13"/>
  <c r="O534" i="13"/>
  <c r="K534" i="13"/>
  <c r="J534" i="13"/>
  <c r="H534" i="13"/>
  <c r="O533" i="13"/>
  <c r="K533" i="13"/>
  <c r="J533" i="13"/>
  <c r="H533" i="13"/>
  <c r="O532" i="13"/>
  <c r="K532" i="13"/>
  <c r="J532" i="13"/>
  <c r="H532" i="13"/>
  <c r="O531" i="13"/>
  <c r="K531" i="13"/>
  <c r="J531" i="13"/>
  <c r="H531" i="13"/>
  <c r="O530" i="13"/>
  <c r="K530" i="13"/>
  <c r="J530" i="13"/>
  <c r="H530" i="13"/>
  <c r="O529" i="13"/>
  <c r="O528" i="13" s="1"/>
  <c r="O527" i="13" s="1"/>
  <c r="K529" i="13"/>
  <c r="J529" i="13"/>
  <c r="H529" i="13"/>
  <c r="K528" i="13"/>
  <c r="J528" i="13"/>
  <c r="H528" i="13"/>
  <c r="K527" i="13"/>
  <c r="J527" i="13"/>
  <c r="H527" i="13"/>
  <c r="O526" i="13"/>
  <c r="K526" i="13"/>
  <c r="J526" i="13"/>
  <c r="H526" i="13"/>
  <c r="O525" i="13"/>
  <c r="K525" i="13"/>
  <c r="J525" i="13"/>
  <c r="H525" i="13"/>
  <c r="O524" i="13"/>
  <c r="K524" i="13"/>
  <c r="J524" i="13"/>
  <c r="H524" i="13"/>
  <c r="O523" i="13"/>
  <c r="K523" i="13"/>
  <c r="J523" i="13"/>
  <c r="H523" i="13"/>
  <c r="K522" i="13"/>
  <c r="J522" i="13"/>
  <c r="H522" i="13"/>
  <c r="K521" i="13"/>
  <c r="J521" i="13"/>
  <c r="H521" i="13"/>
  <c r="O520" i="13"/>
  <c r="O521" i="13" s="1"/>
  <c r="L520" i="13"/>
  <c r="K520" i="13"/>
  <c r="J520" i="13"/>
  <c r="H520" i="13"/>
  <c r="O519" i="13"/>
  <c r="K519" i="13"/>
  <c r="J519" i="13"/>
  <c r="H519" i="13"/>
  <c r="O518" i="13"/>
  <c r="K518" i="13"/>
  <c r="J518" i="13"/>
  <c r="H518" i="13"/>
  <c r="O517" i="13"/>
  <c r="O516" i="13" s="1"/>
  <c r="O515" i="13" s="1"/>
  <c r="K517" i="13"/>
  <c r="J517" i="13"/>
  <c r="H517" i="13"/>
  <c r="K516" i="13"/>
  <c r="J516" i="13"/>
  <c r="H516" i="13"/>
  <c r="K515" i="13"/>
  <c r="J515" i="13"/>
  <c r="H515" i="13"/>
  <c r="O514" i="13"/>
  <c r="K514" i="13"/>
  <c r="J514" i="13"/>
  <c r="H514" i="13"/>
  <c r="O513" i="13"/>
  <c r="K513" i="13"/>
  <c r="J513" i="13"/>
  <c r="H513" i="13"/>
  <c r="O512" i="13"/>
  <c r="K512" i="13"/>
  <c r="J512" i="13"/>
  <c r="H512" i="13"/>
  <c r="O511" i="13"/>
  <c r="K511" i="13"/>
  <c r="J511" i="13"/>
  <c r="H511" i="13"/>
  <c r="K510" i="13"/>
  <c r="J510" i="13"/>
  <c r="H510" i="13"/>
  <c r="K509" i="13"/>
  <c r="J509" i="13"/>
  <c r="H509" i="13"/>
  <c r="O508" i="13"/>
  <c r="O509" i="13" s="1"/>
  <c r="L508" i="13"/>
  <c r="K508" i="13"/>
  <c r="J508" i="13"/>
  <c r="H508" i="13"/>
  <c r="O507" i="13"/>
  <c r="O506" i="13" s="1"/>
  <c r="K507" i="13"/>
  <c r="J507" i="13"/>
  <c r="H507" i="13"/>
  <c r="K506" i="13"/>
  <c r="J506" i="13"/>
  <c r="H506" i="13"/>
  <c r="K505" i="13"/>
  <c r="J505" i="13"/>
  <c r="H505" i="13"/>
  <c r="E505" i="13"/>
  <c r="O504" i="13"/>
  <c r="O505" i="13" s="1"/>
  <c r="K504" i="13"/>
  <c r="J504" i="13"/>
  <c r="H504" i="13"/>
  <c r="E504" i="13"/>
  <c r="Q504" i="13" s="1"/>
  <c r="O503" i="13"/>
  <c r="K503" i="13"/>
  <c r="J503" i="13"/>
  <c r="H503" i="13"/>
  <c r="E503" i="13"/>
  <c r="Q503" i="13" s="1"/>
  <c r="K502" i="13"/>
  <c r="J502" i="13"/>
  <c r="H502" i="13"/>
  <c r="E502" i="13"/>
  <c r="K501" i="13"/>
  <c r="J501" i="13"/>
  <c r="H501" i="13"/>
  <c r="E501" i="13"/>
  <c r="O500" i="13"/>
  <c r="O501" i="13" s="1"/>
  <c r="O502" i="13" s="1"/>
  <c r="K500" i="13"/>
  <c r="J500" i="13"/>
  <c r="H500" i="13"/>
  <c r="E500" i="13"/>
  <c r="Q500" i="13" s="1"/>
  <c r="O499" i="13"/>
  <c r="K499" i="13"/>
  <c r="J499" i="13"/>
  <c r="H499" i="13"/>
  <c r="E499" i="13"/>
  <c r="Q499" i="13" s="1"/>
  <c r="G1744" i="1" s="1"/>
  <c r="K498" i="13"/>
  <c r="J498" i="13"/>
  <c r="H498" i="13"/>
  <c r="E498" i="13"/>
  <c r="Q498" i="13" s="1"/>
  <c r="K497" i="13"/>
  <c r="J497" i="13"/>
  <c r="H497" i="13"/>
  <c r="E497" i="13"/>
  <c r="K496" i="13"/>
  <c r="J496" i="13"/>
  <c r="H496" i="13"/>
  <c r="E496" i="13"/>
  <c r="M495" i="13"/>
  <c r="O495" i="13" s="1"/>
  <c r="O496" i="13" s="1"/>
  <c r="O497" i="13" s="1"/>
  <c r="K495" i="13"/>
  <c r="J495" i="13"/>
  <c r="H495" i="13"/>
  <c r="E495" i="13"/>
  <c r="O494" i="13"/>
  <c r="K494" i="13"/>
  <c r="J494" i="13"/>
  <c r="H494" i="13"/>
  <c r="E494" i="13"/>
  <c r="Q494" i="13" s="1"/>
  <c r="O493" i="13"/>
  <c r="K493" i="13"/>
  <c r="J493" i="13"/>
  <c r="H493" i="13"/>
  <c r="E493" i="13"/>
  <c r="Q493" i="13" s="1"/>
  <c r="G1743" i="1" s="1"/>
  <c r="K492" i="13"/>
  <c r="J492" i="13"/>
  <c r="H492" i="13"/>
  <c r="E492" i="13"/>
  <c r="O491" i="13"/>
  <c r="O492" i="13" s="1"/>
  <c r="K491" i="13"/>
  <c r="J491" i="13"/>
  <c r="H491" i="13"/>
  <c r="E491" i="13"/>
  <c r="Q491" i="13" s="1"/>
  <c r="O490" i="13"/>
  <c r="K490" i="13"/>
  <c r="J490" i="13"/>
  <c r="H490" i="13"/>
  <c r="E490" i="13"/>
  <c r="Q490" i="13" s="1"/>
  <c r="O489" i="13"/>
  <c r="K489" i="13"/>
  <c r="J489" i="13"/>
  <c r="H489" i="13"/>
  <c r="E489" i="13"/>
  <c r="Q489" i="13" s="1"/>
  <c r="O488" i="13"/>
  <c r="K488" i="13"/>
  <c r="J488" i="13"/>
  <c r="H488" i="13"/>
  <c r="E488" i="13"/>
  <c r="Q488" i="13" s="1"/>
  <c r="G1739" i="1" s="1"/>
  <c r="O487" i="13"/>
  <c r="K487" i="13"/>
  <c r="J487" i="13"/>
  <c r="H487" i="13"/>
  <c r="E487" i="13"/>
  <c r="Q487" i="13" s="1"/>
  <c r="K486" i="13"/>
  <c r="J486" i="13"/>
  <c r="H486" i="13"/>
  <c r="E486" i="13"/>
  <c r="K485" i="13"/>
  <c r="J485" i="13"/>
  <c r="H485" i="13"/>
  <c r="E485" i="13"/>
  <c r="O484" i="13"/>
  <c r="O485" i="13" s="1"/>
  <c r="O486" i="13" s="1"/>
  <c r="K484" i="13"/>
  <c r="J484" i="13"/>
  <c r="H484" i="13"/>
  <c r="E484" i="13"/>
  <c r="Q484" i="13" s="1"/>
  <c r="O483" i="13"/>
  <c r="K483" i="13"/>
  <c r="J483" i="13"/>
  <c r="H483" i="13"/>
  <c r="E483" i="13"/>
  <c r="Q483" i="13" s="1"/>
  <c r="G1737" i="1" s="1"/>
  <c r="O482" i="13"/>
  <c r="K482" i="13"/>
  <c r="J482" i="13"/>
  <c r="H482" i="13"/>
  <c r="E482" i="13"/>
  <c r="Q482" i="13" s="1"/>
  <c r="O481" i="13"/>
  <c r="K481" i="13"/>
  <c r="J481" i="13"/>
  <c r="H481" i="13"/>
  <c r="E481" i="13"/>
  <c r="Q481" i="13" s="1"/>
  <c r="K480" i="13"/>
  <c r="J480" i="13"/>
  <c r="H480" i="13"/>
  <c r="E480" i="13"/>
  <c r="N479" i="13"/>
  <c r="O479" i="13" s="1"/>
  <c r="K479" i="13"/>
  <c r="J479" i="13"/>
  <c r="H479" i="13"/>
  <c r="E479" i="13"/>
  <c r="O478" i="13"/>
  <c r="K478" i="13"/>
  <c r="J478" i="13"/>
  <c r="H478" i="13"/>
  <c r="E478" i="13"/>
  <c r="Q478" i="13" s="1"/>
  <c r="O477" i="13"/>
  <c r="K477" i="13"/>
  <c r="J477" i="13"/>
  <c r="H477" i="13"/>
  <c r="E477" i="13"/>
  <c r="Q477" i="13" s="1"/>
  <c r="O476" i="13"/>
  <c r="K476" i="13"/>
  <c r="J476" i="13"/>
  <c r="H476" i="13"/>
  <c r="E476" i="13"/>
  <c r="Q476" i="13" s="1"/>
  <c r="O475" i="13"/>
  <c r="K475" i="13"/>
  <c r="J475" i="13"/>
  <c r="H475" i="13"/>
  <c r="E475" i="13"/>
  <c r="Q475" i="13" s="1"/>
  <c r="O474" i="13"/>
  <c r="K474" i="13"/>
  <c r="J474" i="13"/>
  <c r="H474" i="13"/>
  <c r="E474" i="13"/>
  <c r="Q474" i="13" s="1"/>
  <c r="O473" i="13"/>
  <c r="K473" i="13"/>
  <c r="J473" i="13"/>
  <c r="H473" i="13"/>
  <c r="E473" i="13"/>
  <c r="Q473" i="13" s="1"/>
  <c r="O472" i="13"/>
  <c r="K472" i="13"/>
  <c r="J472" i="13"/>
  <c r="H472" i="13"/>
  <c r="E472" i="13"/>
  <c r="Q472" i="13" s="1"/>
  <c r="G1730" i="1" s="1"/>
  <c r="O471" i="13"/>
  <c r="K471" i="13"/>
  <c r="J471" i="13"/>
  <c r="H471" i="13"/>
  <c r="E471" i="13"/>
  <c r="Q471" i="13" s="1"/>
  <c r="G1729" i="1" s="1"/>
  <c r="O470" i="13"/>
  <c r="K470" i="13"/>
  <c r="J470" i="13"/>
  <c r="H470" i="13"/>
  <c r="E470" i="13"/>
  <c r="Q470" i="13" s="1"/>
  <c r="G1728" i="1" s="1"/>
  <c r="K469" i="13"/>
  <c r="J469" i="13"/>
  <c r="H469" i="13"/>
  <c r="E469" i="13"/>
  <c r="K468" i="13"/>
  <c r="J468" i="13"/>
  <c r="H468" i="13"/>
  <c r="E468" i="13"/>
  <c r="N467" i="13"/>
  <c r="O467" i="13" s="1"/>
  <c r="K467" i="13"/>
  <c r="J467" i="13"/>
  <c r="H467" i="13"/>
  <c r="E467" i="13"/>
  <c r="O466" i="13"/>
  <c r="K466" i="13"/>
  <c r="J466" i="13"/>
  <c r="H466" i="13"/>
  <c r="E466" i="13"/>
  <c r="Q466" i="13" s="1"/>
  <c r="G1724" i="1" s="1"/>
  <c r="K465" i="13"/>
  <c r="J465" i="13"/>
  <c r="H465" i="13"/>
  <c r="K464" i="13"/>
  <c r="J464" i="13"/>
  <c r="H464" i="13"/>
  <c r="K463" i="13"/>
  <c r="J463" i="13"/>
  <c r="H463" i="13"/>
  <c r="K462" i="13"/>
  <c r="J462" i="13"/>
  <c r="H462" i="13"/>
  <c r="K461" i="13"/>
  <c r="J461" i="13"/>
  <c r="H461" i="13"/>
  <c r="K460" i="13"/>
  <c r="J460" i="13"/>
  <c r="H460" i="13"/>
  <c r="K459" i="13"/>
  <c r="J459" i="13"/>
  <c r="H459" i="13"/>
  <c r="O458" i="13"/>
  <c r="K458" i="13"/>
  <c r="J458" i="13"/>
  <c r="H458" i="13"/>
  <c r="K457" i="13"/>
  <c r="J457" i="13"/>
  <c r="H457" i="13"/>
  <c r="K456" i="13"/>
  <c r="J456" i="13"/>
  <c r="H456" i="13"/>
  <c r="K455" i="13"/>
  <c r="J455" i="13"/>
  <c r="H455" i="13"/>
  <c r="K454" i="13"/>
  <c r="J454" i="13"/>
  <c r="H454" i="13"/>
  <c r="K453" i="13"/>
  <c r="J453" i="13"/>
  <c r="H453" i="13"/>
  <c r="K452" i="13"/>
  <c r="J452" i="13"/>
  <c r="H452" i="13"/>
  <c r="J451" i="13"/>
  <c r="H451" i="13"/>
  <c r="L450" i="13"/>
  <c r="K450" i="13"/>
  <c r="J450" i="13"/>
  <c r="H450" i="13"/>
  <c r="K449" i="13"/>
  <c r="J449" i="13"/>
  <c r="H449" i="13"/>
  <c r="K448" i="13"/>
  <c r="J448" i="13"/>
  <c r="H448" i="13"/>
  <c r="K447" i="13"/>
  <c r="J447" i="13"/>
  <c r="H447" i="13"/>
  <c r="K446" i="13"/>
  <c r="J446" i="13"/>
  <c r="H446" i="13"/>
  <c r="K445" i="13"/>
  <c r="J445" i="13"/>
  <c r="H445" i="13"/>
  <c r="K444" i="13"/>
  <c r="J444" i="13"/>
  <c r="H444" i="13"/>
  <c r="K443" i="13"/>
  <c r="J443" i="13"/>
  <c r="H443" i="13"/>
  <c r="K442" i="13"/>
  <c r="J442" i="13"/>
  <c r="H442" i="13"/>
  <c r="K441" i="13"/>
  <c r="J441" i="13"/>
  <c r="H441" i="13"/>
  <c r="K440" i="13"/>
  <c r="J440" i="13"/>
  <c r="H440" i="13"/>
  <c r="K439" i="13"/>
  <c r="J439" i="13"/>
  <c r="H439" i="13"/>
  <c r="L438" i="13"/>
  <c r="K438" i="13"/>
  <c r="J438" i="13"/>
  <c r="H438" i="13"/>
  <c r="K437" i="13"/>
  <c r="J437" i="13"/>
  <c r="H437" i="13"/>
  <c r="K436" i="13"/>
  <c r="J436" i="13"/>
  <c r="H436" i="13"/>
  <c r="K435" i="13"/>
  <c r="J435" i="13"/>
  <c r="H435" i="13"/>
  <c r="K434" i="13"/>
  <c r="J434" i="13"/>
  <c r="H434" i="13"/>
  <c r="L433" i="13"/>
  <c r="K433" i="13"/>
  <c r="J433" i="13"/>
  <c r="H433" i="13"/>
  <c r="L432" i="13"/>
  <c r="K432" i="13"/>
  <c r="J432" i="13"/>
  <c r="H432" i="13"/>
  <c r="K431" i="13"/>
  <c r="J431" i="13"/>
  <c r="H431" i="13"/>
  <c r="K430" i="13"/>
  <c r="J430" i="13"/>
  <c r="H430" i="13"/>
  <c r="K429" i="13"/>
  <c r="J429" i="13"/>
  <c r="H429" i="13"/>
  <c r="K428" i="13"/>
  <c r="J428" i="13"/>
  <c r="H428" i="13"/>
  <c r="K427" i="13"/>
  <c r="J427" i="13"/>
  <c r="H427" i="13"/>
  <c r="O426" i="13"/>
  <c r="L426" i="13"/>
  <c r="K426" i="13"/>
  <c r="J426" i="13"/>
  <c r="H426" i="13"/>
  <c r="K425" i="13"/>
  <c r="J425" i="13"/>
  <c r="H425" i="13"/>
  <c r="K424" i="13"/>
  <c r="J424" i="13"/>
  <c r="H424" i="13"/>
  <c r="L423" i="13"/>
  <c r="K423" i="13"/>
  <c r="J423" i="13"/>
  <c r="H423" i="13"/>
  <c r="O422" i="13"/>
  <c r="L422" i="13"/>
  <c r="K422" i="13"/>
  <c r="J422" i="13"/>
  <c r="H422" i="13"/>
  <c r="O421" i="13"/>
  <c r="L421" i="13"/>
  <c r="K421" i="13"/>
  <c r="J421" i="13"/>
  <c r="H421" i="13"/>
  <c r="O420" i="13"/>
  <c r="L420" i="13"/>
  <c r="K420" i="13"/>
  <c r="J420" i="13"/>
  <c r="H420" i="13"/>
  <c r="L419" i="13"/>
  <c r="K419" i="13"/>
  <c r="J419" i="13"/>
  <c r="H419" i="13"/>
  <c r="L418" i="13"/>
  <c r="P418" i="13" s="1"/>
  <c r="K418" i="13"/>
  <c r="J418" i="13"/>
  <c r="H418" i="13"/>
  <c r="O417" i="13"/>
  <c r="L417" i="13"/>
  <c r="K417" i="13"/>
  <c r="J417" i="13"/>
  <c r="H417" i="13"/>
  <c r="O416" i="13"/>
  <c r="L416" i="13"/>
  <c r="K416" i="13"/>
  <c r="J416" i="13"/>
  <c r="H416" i="13"/>
  <c r="K415" i="13"/>
  <c r="J415" i="13"/>
  <c r="H415" i="13"/>
  <c r="K414" i="13"/>
  <c r="J414" i="13"/>
  <c r="H414" i="13"/>
  <c r="O413" i="13"/>
  <c r="K413" i="13"/>
  <c r="J413" i="13"/>
  <c r="H413" i="13"/>
  <c r="O412" i="13"/>
  <c r="K412" i="13"/>
  <c r="J412" i="13"/>
  <c r="H412" i="13"/>
  <c r="O411" i="13"/>
  <c r="K411" i="13"/>
  <c r="J411" i="13"/>
  <c r="H411" i="13"/>
  <c r="O410" i="13"/>
  <c r="K410" i="13"/>
  <c r="J410" i="13"/>
  <c r="H410" i="13"/>
  <c r="L409" i="13"/>
  <c r="P409" i="13" s="1"/>
  <c r="K409" i="13"/>
  <c r="J409" i="13"/>
  <c r="H409" i="13"/>
  <c r="K408" i="13"/>
  <c r="J408" i="13"/>
  <c r="H408" i="13"/>
  <c r="K407" i="13"/>
  <c r="J407" i="13"/>
  <c r="H407" i="13"/>
  <c r="L406" i="13"/>
  <c r="P406" i="13" s="1"/>
  <c r="K406" i="13"/>
  <c r="J406" i="13"/>
  <c r="H406" i="13"/>
  <c r="O405" i="13"/>
  <c r="K405" i="13"/>
  <c r="J405" i="13"/>
  <c r="H405" i="13"/>
  <c r="O404" i="13"/>
  <c r="L404" i="13"/>
  <c r="K404" i="13"/>
  <c r="J404" i="13"/>
  <c r="H404" i="13"/>
  <c r="O403" i="13"/>
  <c r="K403" i="13"/>
  <c r="J403" i="13"/>
  <c r="H403" i="13"/>
  <c r="O402" i="13"/>
  <c r="K402" i="13"/>
  <c r="J402" i="13"/>
  <c r="H402" i="13"/>
  <c r="O401" i="13"/>
  <c r="K401" i="13"/>
  <c r="J401" i="13"/>
  <c r="H401" i="13"/>
  <c r="O400" i="13"/>
  <c r="K400" i="13"/>
  <c r="J400" i="13"/>
  <c r="H400" i="13"/>
  <c r="O399" i="13"/>
  <c r="K399" i="13"/>
  <c r="J399" i="13"/>
  <c r="H399" i="13"/>
  <c r="O398" i="13"/>
  <c r="K398" i="13"/>
  <c r="J398" i="13"/>
  <c r="H398" i="13"/>
  <c r="O397" i="13"/>
  <c r="K397" i="13"/>
  <c r="J397" i="13"/>
  <c r="H397" i="13"/>
  <c r="O396" i="13"/>
  <c r="K396" i="13"/>
  <c r="J396" i="13"/>
  <c r="H396" i="13"/>
  <c r="O395" i="13"/>
  <c r="K395" i="13"/>
  <c r="J395" i="13"/>
  <c r="H395" i="13"/>
  <c r="O394" i="13"/>
  <c r="K394" i="13"/>
  <c r="J394" i="13"/>
  <c r="H394" i="13"/>
  <c r="O393" i="13"/>
  <c r="K393" i="13"/>
  <c r="J393" i="13"/>
  <c r="H393" i="13"/>
  <c r="O392" i="13"/>
  <c r="K392" i="13"/>
  <c r="J392" i="13"/>
  <c r="H392" i="13"/>
  <c r="O391" i="13"/>
  <c r="K391" i="13"/>
  <c r="J391" i="13"/>
  <c r="H391" i="13"/>
  <c r="O390" i="13"/>
  <c r="K390" i="13"/>
  <c r="J390" i="13"/>
  <c r="H390" i="13"/>
  <c r="O389" i="13"/>
  <c r="K389" i="13"/>
  <c r="J389" i="13"/>
  <c r="H389" i="13"/>
  <c r="O388" i="13"/>
  <c r="K388" i="13"/>
  <c r="J388" i="13"/>
  <c r="H388" i="13"/>
  <c r="O387" i="13"/>
  <c r="K387" i="13"/>
  <c r="J387" i="13"/>
  <c r="H387" i="13"/>
  <c r="O386" i="13"/>
  <c r="K386" i="13"/>
  <c r="J386" i="13"/>
  <c r="H386" i="13"/>
  <c r="O385" i="13"/>
  <c r="K385" i="13"/>
  <c r="J385" i="13"/>
  <c r="H385" i="13"/>
  <c r="O384" i="13"/>
  <c r="K384" i="13"/>
  <c r="J384" i="13"/>
  <c r="H384" i="13"/>
  <c r="K383" i="13"/>
  <c r="J383" i="13"/>
  <c r="H383" i="13"/>
  <c r="K382" i="13"/>
  <c r="J382" i="13"/>
  <c r="H382" i="13"/>
  <c r="O381" i="13"/>
  <c r="K381" i="13"/>
  <c r="J381" i="13"/>
  <c r="H381" i="13"/>
  <c r="O380" i="13"/>
  <c r="K380" i="13"/>
  <c r="J380" i="13"/>
  <c r="H380" i="13"/>
  <c r="O379" i="13"/>
  <c r="K379" i="13"/>
  <c r="J379" i="13"/>
  <c r="H379" i="13"/>
  <c r="K378" i="13"/>
  <c r="J378" i="13"/>
  <c r="H378" i="13"/>
  <c r="K377" i="13"/>
  <c r="J377" i="13"/>
  <c r="H377" i="13"/>
  <c r="K376" i="13"/>
  <c r="J376" i="13"/>
  <c r="H376" i="13"/>
  <c r="K375" i="13"/>
  <c r="J375" i="13"/>
  <c r="H375" i="13"/>
  <c r="K374" i="13"/>
  <c r="J374" i="13"/>
  <c r="H374" i="13"/>
  <c r="K373" i="13"/>
  <c r="J373" i="13"/>
  <c r="H373" i="13"/>
  <c r="K372" i="13"/>
  <c r="J372" i="13"/>
  <c r="H372" i="13"/>
  <c r="K371" i="13"/>
  <c r="J371" i="13"/>
  <c r="H371" i="13"/>
  <c r="K370" i="13"/>
  <c r="J370" i="13"/>
  <c r="H370" i="13"/>
  <c r="K369" i="13"/>
  <c r="J369" i="13"/>
  <c r="H369" i="13"/>
  <c r="K368" i="13"/>
  <c r="J368" i="13"/>
  <c r="H368" i="13"/>
  <c r="K367" i="13"/>
  <c r="J367" i="13"/>
  <c r="H367" i="13"/>
  <c r="K366" i="13"/>
  <c r="J366" i="13"/>
  <c r="H366" i="13"/>
  <c r="K365" i="13"/>
  <c r="J365" i="13"/>
  <c r="H365" i="13"/>
  <c r="K364" i="13"/>
  <c r="J364" i="13"/>
  <c r="H364" i="13"/>
  <c r="K363" i="13"/>
  <c r="J363" i="13"/>
  <c r="H363" i="13"/>
  <c r="K362" i="13"/>
  <c r="J362" i="13"/>
  <c r="H362" i="13"/>
  <c r="K361" i="13"/>
  <c r="J361" i="13"/>
  <c r="H361" i="13"/>
  <c r="K360" i="13"/>
  <c r="J360" i="13"/>
  <c r="H360" i="13"/>
  <c r="O359" i="13"/>
  <c r="L359" i="13"/>
  <c r="K359" i="13"/>
  <c r="J359" i="13"/>
  <c r="H359" i="13"/>
  <c r="E359" i="13"/>
  <c r="O358" i="13"/>
  <c r="J358" i="13"/>
  <c r="H358" i="13"/>
  <c r="E358" i="13"/>
  <c r="O357" i="13"/>
  <c r="J357" i="13"/>
  <c r="H357" i="13"/>
  <c r="E357" i="13"/>
  <c r="O356" i="13"/>
  <c r="L356" i="13"/>
  <c r="K356" i="13"/>
  <c r="J356" i="13"/>
  <c r="H356" i="13"/>
  <c r="E356" i="13"/>
  <c r="O355" i="13"/>
  <c r="K355" i="13"/>
  <c r="J355" i="13"/>
  <c r="H355" i="13"/>
  <c r="E355" i="13"/>
  <c r="Q355" i="13" s="1"/>
  <c r="O354" i="13"/>
  <c r="K354" i="13"/>
  <c r="J354" i="13"/>
  <c r="H354" i="13"/>
  <c r="E354" i="13"/>
  <c r="Q354" i="13" s="1"/>
  <c r="O353" i="13"/>
  <c r="K353" i="13"/>
  <c r="J353" i="13"/>
  <c r="H353" i="13"/>
  <c r="E353" i="13"/>
  <c r="Q353" i="13" s="1"/>
  <c r="O352" i="13"/>
  <c r="K352" i="13"/>
  <c r="J352" i="13"/>
  <c r="H352" i="13"/>
  <c r="E352" i="13"/>
  <c r="Q352" i="13" s="1"/>
  <c r="O351" i="13"/>
  <c r="K351" i="13"/>
  <c r="J351" i="13"/>
  <c r="H351" i="13"/>
  <c r="E351" i="13"/>
  <c r="Q351" i="13" s="1"/>
  <c r="O350" i="13"/>
  <c r="K350" i="13"/>
  <c r="J350" i="13"/>
  <c r="H350" i="13"/>
  <c r="E350" i="13"/>
  <c r="Q350" i="13" s="1"/>
  <c r="O349" i="13"/>
  <c r="K349" i="13"/>
  <c r="J349" i="13"/>
  <c r="H349" i="13"/>
  <c r="E349" i="13"/>
  <c r="Q349" i="13" s="1"/>
  <c r="O348" i="13"/>
  <c r="K348" i="13"/>
  <c r="J348" i="13"/>
  <c r="H348" i="13"/>
  <c r="E348" i="13"/>
  <c r="Q348" i="13" s="1"/>
  <c r="O347" i="13"/>
  <c r="K347" i="13"/>
  <c r="J347" i="13"/>
  <c r="H347" i="13"/>
  <c r="E347" i="13"/>
  <c r="Q347" i="13" s="1"/>
  <c r="O346" i="13"/>
  <c r="L346" i="13"/>
  <c r="K346" i="13"/>
  <c r="J346" i="13"/>
  <c r="H346" i="13"/>
  <c r="O345" i="13"/>
  <c r="K345" i="13"/>
  <c r="J345" i="13"/>
  <c r="H345" i="13"/>
  <c r="O344" i="13"/>
  <c r="K344" i="13"/>
  <c r="J344" i="13"/>
  <c r="H344" i="13"/>
  <c r="O343" i="13"/>
  <c r="K343" i="13"/>
  <c r="J343" i="13"/>
  <c r="H343" i="13"/>
  <c r="O342" i="13"/>
  <c r="K342" i="13"/>
  <c r="J342" i="13"/>
  <c r="H342" i="13"/>
  <c r="O341" i="13"/>
  <c r="K341" i="13"/>
  <c r="J341" i="13"/>
  <c r="H341" i="13"/>
  <c r="O340" i="13"/>
  <c r="K340" i="13"/>
  <c r="J340" i="13"/>
  <c r="H340" i="13"/>
  <c r="O339" i="13"/>
  <c r="K339" i="13"/>
  <c r="J339" i="13"/>
  <c r="H339" i="13"/>
  <c r="O338" i="13"/>
  <c r="L338" i="13"/>
  <c r="K338" i="13"/>
  <c r="J338" i="13"/>
  <c r="H338" i="13"/>
  <c r="O337" i="13"/>
  <c r="K337" i="13"/>
  <c r="J337" i="13"/>
  <c r="H337" i="13"/>
  <c r="O336" i="13"/>
  <c r="K336" i="13"/>
  <c r="J336" i="13"/>
  <c r="H336" i="13"/>
  <c r="O335" i="13"/>
  <c r="K335" i="13"/>
  <c r="J335" i="13"/>
  <c r="H335" i="13"/>
  <c r="O334" i="13"/>
  <c r="K334" i="13"/>
  <c r="J334" i="13"/>
  <c r="H334" i="13"/>
  <c r="O333" i="13"/>
  <c r="K333" i="13"/>
  <c r="J333" i="13"/>
  <c r="H333" i="13"/>
  <c r="O332" i="13"/>
  <c r="K332" i="13"/>
  <c r="J332" i="13"/>
  <c r="H332" i="13"/>
  <c r="O331" i="13"/>
  <c r="K331" i="13"/>
  <c r="J331" i="13"/>
  <c r="H331" i="13"/>
  <c r="O330" i="13"/>
  <c r="L330" i="13"/>
  <c r="K330" i="13"/>
  <c r="J330" i="13"/>
  <c r="H330" i="13"/>
  <c r="E330" i="13"/>
  <c r="K329" i="13"/>
  <c r="J329" i="13"/>
  <c r="H329" i="13"/>
  <c r="E329" i="13"/>
  <c r="Q329" i="13" s="1"/>
  <c r="O328" i="13"/>
  <c r="K328" i="13"/>
  <c r="J328" i="13"/>
  <c r="H328" i="13"/>
  <c r="E328" i="13"/>
  <c r="Q328" i="13" s="1"/>
  <c r="K327" i="13"/>
  <c r="J327" i="13"/>
  <c r="H327" i="13"/>
  <c r="E327" i="13"/>
  <c r="Q327" i="13" s="1"/>
  <c r="K326" i="13"/>
  <c r="J326" i="13"/>
  <c r="H326" i="13"/>
  <c r="E326" i="13"/>
  <c r="Q326" i="13" s="1"/>
  <c r="G1498" i="1" s="1"/>
  <c r="E46" i="17412" s="1"/>
  <c r="K325" i="13"/>
  <c r="J325" i="13"/>
  <c r="H325" i="13"/>
  <c r="E325" i="13"/>
  <c r="Q325" i="13" s="1"/>
  <c r="G1578" i="1" s="1"/>
  <c r="K324" i="13"/>
  <c r="J324" i="13"/>
  <c r="H324" i="13"/>
  <c r="E324" i="13"/>
  <c r="Q324" i="13" s="1"/>
  <c r="G1585" i="1" s="1"/>
  <c r="E133" i="17412" s="1"/>
  <c r="K323" i="13"/>
  <c r="J323" i="13"/>
  <c r="H323" i="13"/>
  <c r="E323" i="13"/>
  <c r="Q323" i="13" s="1"/>
  <c r="K322" i="13"/>
  <c r="J322" i="13"/>
  <c r="H322" i="13"/>
  <c r="E322" i="13"/>
  <c r="Q322" i="13" s="1"/>
  <c r="K321" i="13"/>
  <c r="J321" i="13"/>
  <c r="H321" i="13"/>
  <c r="E321" i="13"/>
  <c r="Q321" i="13" s="1"/>
  <c r="K320" i="13"/>
  <c r="J320" i="13"/>
  <c r="H320" i="13"/>
  <c r="E320" i="13"/>
  <c r="Q320" i="13" s="1"/>
  <c r="K319" i="13"/>
  <c r="J319" i="13"/>
  <c r="H319" i="13"/>
  <c r="E319" i="13"/>
  <c r="Q319" i="13" s="1"/>
  <c r="O318" i="13"/>
  <c r="L318" i="13"/>
  <c r="K318" i="13"/>
  <c r="J318" i="13"/>
  <c r="H318" i="13"/>
  <c r="O317" i="13"/>
  <c r="K317" i="13"/>
  <c r="J317" i="13"/>
  <c r="H317" i="13"/>
  <c r="O316" i="13"/>
  <c r="K316" i="13"/>
  <c r="J316" i="13"/>
  <c r="H316" i="13"/>
  <c r="O315" i="13"/>
  <c r="K315" i="13"/>
  <c r="J315" i="13"/>
  <c r="H315" i="13"/>
  <c r="O314" i="13"/>
  <c r="K314" i="13"/>
  <c r="J314" i="13"/>
  <c r="H314" i="13"/>
  <c r="O313" i="13"/>
  <c r="K313" i="13"/>
  <c r="J313" i="13"/>
  <c r="H313" i="13"/>
  <c r="O312" i="13"/>
  <c r="K312" i="13"/>
  <c r="J312" i="13"/>
  <c r="H312" i="13"/>
  <c r="O311" i="13"/>
  <c r="K311" i="13"/>
  <c r="J311" i="13"/>
  <c r="H311" i="13"/>
  <c r="O310" i="13"/>
  <c r="L310" i="13"/>
  <c r="K310" i="13"/>
  <c r="J310" i="13"/>
  <c r="H310" i="13"/>
  <c r="O309" i="13"/>
  <c r="L309" i="13"/>
  <c r="K309" i="13"/>
  <c r="J309" i="13"/>
  <c r="H309" i="13"/>
  <c r="O308" i="13"/>
  <c r="K308" i="13"/>
  <c r="J308" i="13"/>
  <c r="H308" i="13"/>
  <c r="O307" i="13"/>
  <c r="K307" i="13"/>
  <c r="J307" i="13"/>
  <c r="H307" i="13"/>
  <c r="O306" i="13"/>
  <c r="K306" i="13"/>
  <c r="J306" i="13"/>
  <c r="H306" i="13"/>
  <c r="O305" i="13"/>
  <c r="K305" i="13"/>
  <c r="J305" i="13"/>
  <c r="H305" i="13"/>
  <c r="O304" i="13"/>
  <c r="K304" i="13"/>
  <c r="J304" i="13"/>
  <c r="H304" i="13"/>
  <c r="O303" i="13"/>
  <c r="K303" i="13"/>
  <c r="J303" i="13"/>
  <c r="H303" i="13"/>
  <c r="O302" i="13"/>
  <c r="K302" i="13"/>
  <c r="J302" i="13"/>
  <c r="H302" i="13"/>
  <c r="O301" i="13"/>
  <c r="K301" i="13"/>
  <c r="J301" i="13"/>
  <c r="H301" i="13"/>
  <c r="E301" i="13"/>
  <c r="Q301" i="13" s="1"/>
  <c r="O300" i="13"/>
  <c r="K300" i="13"/>
  <c r="J300" i="13"/>
  <c r="H300" i="13"/>
  <c r="E300" i="13"/>
  <c r="Q300" i="13" s="1"/>
  <c r="O299" i="13"/>
  <c r="K299" i="13"/>
  <c r="J299" i="13"/>
  <c r="H299" i="13"/>
  <c r="E299" i="13"/>
  <c r="Q299" i="13" s="1"/>
  <c r="O298" i="13"/>
  <c r="K298" i="13"/>
  <c r="J298" i="13"/>
  <c r="H298" i="13"/>
  <c r="E298" i="13"/>
  <c r="Q298" i="13" s="1"/>
  <c r="O297" i="13"/>
  <c r="K297" i="13"/>
  <c r="J297" i="13"/>
  <c r="H297" i="13"/>
  <c r="E297" i="13"/>
  <c r="Q297" i="13" s="1"/>
  <c r="O296" i="13"/>
  <c r="K296" i="13"/>
  <c r="J296" i="13"/>
  <c r="H296" i="13"/>
  <c r="E296" i="13"/>
  <c r="Q296" i="13" s="1"/>
  <c r="O295" i="13"/>
  <c r="K295" i="13"/>
  <c r="J295" i="13"/>
  <c r="H295" i="13"/>
  <c r="E295" i="13"/>
  <c r="Q295" i="13" s="1"/>
  <c r="O294" i="13"/>
  <c r="K294" i="13"/>
  <c r="J294" i="13"/>
  <c r="H294" i="13"/>
  <c r="E294" i="13"/>
  <c r="Q294" i="13" s="1"/>
  <c r="O293" i="13"/>
  <c r="L293" i="13"/>
  <c r="K293" i="13"/>
  <c r="J293" i="13"/>
  <c r="H293" i="13"/>
  <c r="O292" i="13"/>
  <c r="L292" i="13"/>
  <c r="K292" i="13"/>
  <c r="J292" i="13"/>
  <c r="H292" i="13"/>
  <c r="O291" i="13"/>
  <c r="L291" i="13"/>
  <c r="K291" i="13"/>
  <c r="J291" i="13"/>
  <c r="H291" i="13"/>
  <c r="O290" i="13"/>
  <c r="L290" i="13"/>
  <c r="K290" i="13"/>
  <c r="J290" i="13"/>
  <c r="H290" i="13"/>
  <c r="O289" i="13"/>
  <c r="L289" i="13"/>
  <c r="K289" i="13"/>
  <c r="J289" i="13"/>
  <c r="H289" i="13"/>
  <c r="O288" i="13"/>
  <c r="L288" i="13"/>
  <c r="K288" i="13"/>
  <c r="J288" i="13"/>
  <c r="H288" i="13"/>
  <c r="O287" i="13"/>
  <c r="L287" i="13"/>
  <c r="K287" i="13"/>
  <c r="J287" i="13"/>
  <c r="H287" i="13"/>
  <c r="O286" i="13"/>
  <c r="K286" i="13"/>
  <c r="J286" i="13"/>
  <c r="H286" i="13"/>
  <c r="O285" i="13"/>
  <c r="K285" i="13"/>
  <c r="J285" i="13"/>
  <c r="H285" i="13"/>
  <c r="O284" i="13"/>
  <c r="K284" i="13"/>
  <c r="J284" i="13"/>
  <c r="H284" i="13"/>
  <c r="O283" i="13"/>
  <c r="K283" i="13"/>
  <c r="J283" i="13"/>
  <c r="H283" i="13"/>
  <c r="O282" i="13"/>
  <c r="K282" i="13"/>
  <c r="J282" i="13"/>
  <c r="H282" i="13"/>
  <c r="O281" i="13"/>
  <c r="L281" i="13"/>
  <c r="K281" i="13"/>
  <c r="J281" i="13"/>
  <c r="H281" i="13"/>
  <c r="O280" i="13"/>
  <c r="K280" i="13"/>
  <c r="J280" i="13"/>
  <c r="H280" i="13"/>
  <c r="O279" i="13"/>
  <c r="K279" i="13"/>
  <c r="J279" i="13"/>
  <c r="H279" i="13"/>
  <c r="O278" i="13"/>
  <c r="K278" i="13"/>
  <c r="J278" i="13"/>
  <c r="H278" i="13"/>
  <c r="O277" i="13"/>
  <c r="L277" i="13"/>
  <c r="K277" i="13"/>
  <c r="J277" i="13"/>
  <c r="H277" i="13"/>
  <c r="O276" i="13"/>
  <c r="K276" i="13"/>
  <c r="J276" i="13"/>
  <c r="H276" i="13"/>
  <c r="M275" i="13"/>
  <c r="O275" i="13" s="1"/>
  <c r="K275" i="13"/>
  <c r="J275" i="13"/>
  <c r="H275" i="13"/>
  <c r="O274" i="13"/>
  <c r="K274" i="13"/>
  <c r="J274" i="13"/>
  <c r="H274" i="13"/>
  <c r="O273" i="13"/>
  <c r="K273" i="13"/>
  <c r="J273" i="13"/>
  <c r="H273" i="13"/>
  <c r="M272" i="13"/>
  <c r="O272" i="13" s="1"/>
  <c r="K272" i="13"/>
  <c r="J272" i="13"/>
  <c r="H272" i="13"/>
  <c r="O271" i="13"/>
  <c r="K271" i="13"/>
  <c r="J271" i="13"/>
  <c r="H271" i="13"/>
  <c r="O270" i="13"/>
  <c r="K270" i="13"/>
  <c r="J270" i="13"/>
  <c r="H270" i="13"/>
  <c r="O269" i="13"/>
  <c r="K269" i="13"/>
  <c r="J269" i="13"/>
  <c r="H269" i="13"/>
  <c r="O268" i="13"/>
  <c r="L268" i="13"/>
  <c r="K268" i="13"/>
  <c r="J268" i="13"/>
  <c r="H268" i="13"/>
  <c r="J267" i="13"/>
  <c r="H267" i="13"/>
  <c r="J266" i="13"/>
  <c r="H266" i="13"/>
  <c r="O265" i="13"/>
  <c r="L265" i="13"/>
  <c r="K265" i="13"/>
  <c r="J265" i="13"/>
  <c r="H265" i="13"/>
  <c r="O264" i="13"/>
  <c r="L264" i="13"/>
  <c r="K264" i="13"/>
  <c r="J264" i="13"/>
  <c r="H264" i="13"/>
  <c r="O263" i="13"/>
  <c r="K263" i="13"/>
  <c r="J263" i="13"/>
  <c r="H263" i="13"/>
  <c r="O262" i="13"/>
  <c r="K262" i="13"/>
  <c r="J262" i="13"/>
  <c r="H262" i="13"/>
  <c r="O261" i="13"/>
  <c r="K261" i="13"/>
  <c r="J261" i="13"/>
  <c r="H261" i="13"/>
  <c r="O260" i="13"/>
  <c r="K260" i="13"/>
  <c r="J260" i="13"/>
  <c r="H260" i="13"/>
  <c r="O259" i="13"/>
  <c r="K259" i="13"/>
  <c r="J259" i="13"/>
  <c r="H259" i="13"/>
  <c r="O258" i="13"/>
  <c r="K258" i="13"/>
  <c r="J258" i="13"/>
  <c r="H258" i="13"/>
  <c r="O257" i="13"/>
  <c r="K257" i="13"/>
  <c r="J257" i="13"/>
  <c r="H257" i="13"/>
  <c r="O256" i="13"/>
  <c r="K256" i="13"/>
  <c r="J256" i="13"/>
  <c r="H256" i="13"/>
  <c r="O255" i="13"/>
  <c r="L255" i="13"/>
  <c r="K255" i="13"/>
  <c r="J255" i="13"/>
  <c r="H255" i="13"/>
  <c r="O254" i="13"/>
  <c r="K254" i="13"/>
  <c r="J254" i="13"/>
  <c r="H254" i="13"/>
  <c r="O253" i="13"/>
  <c r="K253" i="13"/>
  <c r="J253" i="13"/>
  <c r="H253" i="13"/>
  <c r="O252" i="13"/>
  <c r="K252" i="13"/>
  <c r="J252" i="13"/>
  <c r="H252" i="13"/>
  <c r="O251" i="13"/>
  <c r="J251" i="13"/>
  <c r="H251" i="13"/>
  <c r="O250" i="13"/>
  <c r="J250" i="13"/>
  <c r="H250" i="13"/>
  <c r="O249" i="13"/>
  <c r="J249" i="13"/>
  <c r="H249" i="13"/>
  <c r="O248" i="13"/>
  <c r="K248" i="13"/>
  <c r="J248" i="13"/>
  <c r="H248" i="13"/>
  <c r="O247" i="13"/>
  <c r="K247" i="13"/>
  <c r="J247" i="13"/>
  <c r="H247" i="13"/>
  <c r="O246" i="13"/>
  <c r="K246" i="13"/>
  <c r="J246" i="13"/>
  <c r="H246" i="13"/>
  <c r="O245" i="13"/>
  <c r="K245" i="13"/>
  <c r="J245" i="13"/>
  <c r="H245" i="13"/>
  <c r="O244" i="13"/>
  <c r="L244" i="13"/>
  <c r="K244" i="13"/>
  <c r="J244" i="13"/>
  <c r="H244" i="13"/>
  <c r="O243" i="13"/>
  <c r="K243" i="13"/>
  <c r="J243" i="13"/>
  <c r="H243" i="13"/>
  <c r="O242" i="13"/>
  <c r="K242" i="13"/>
  <c r="J242" i="13"/>
  <c r="H242" i="13"/>
  <c r="O241" i="13"/>
  <c r="K241" i="13"/>
  <c r="J241" i="13"/>
  <c r="H241" i="13"/>
  <c r="O240" i="13"/>
  <c r="K240" i="13"/>
  <c r="J240" i="13"/>
  <c r="H240" i="13"/>
  <c r="O239" i="13"/>
  <c r="K239" i="13"/>
  <c r="J239" i="13"/>
  <c r="H239" i="13"/>
  <c r="O238" i="13"/>
  <c r="L238" i="13"/>
  <c r="K238" i="13"/>
  <c r="J238" i="13"/>
  <c r="H238" i="13"/>
  <c r="E238" i="13"/>
  <c r="O237" i="13"/>
  <c r="K237" i="13"/>
  <c r="J237" i="13"/>
  <c r="H237" i="13"/>
  <c r="E237" i="13"/>
  <c r="Q237" i="13" s="1"/>
  <c r="O236" i="13"/>
  <c r="K236" i="13"/>
  <c r="J236" i="13"/>
  <c r="H236" i="13"/>
  <c r="E236" i="13"/>
  <c r="Q236" i="13" s="1"/>
  <c r="O235" i="13"/>
  <c r="K235" i="13"/>
  <c r="J235" i="13"/>
  <c r="H235" i="13"/>
  <c r="E235" i="13"/>
  <c r="Q235" i="13" s="1"/>
  <c r="O234" i="13"/>
  <c r="K234" i="13"/>
  <c r="J234" i="13"/>
  <c r="H234" i="13"/>
  <c r="E234" i="13"/>
  <c r="Q234" i="13" s="1"/>
  <c r="O233" i="13"/>
  <c r="K233" i="13"/>
  <c r="J233" i="13"/>
  <c r="H233" i="13"/>
  <c r="E233" i="13"/>
  <c r="Q233" i="13" s="1"/>
  <c r="O232" i="13"/>
  <c r="K232" i="13"/>
  <c r="J232" i="13"/>
  <c r="H232" i="13"/>
  <c r="E232" i="13"/>
  <c r="Q232" i="13" s="1"/>
  <c r="O231" i="13"/>
  <c r="K231" i="13"/>
  <c r="J231" i="13"/>
  <c r="H231" i="13"/>
  <c r="E231" i="13"/>
  <c r="Q231" i="13" s="1"/>
  <c r="O230" i="13"/>
  <c r="L230" i="13"/>
  <c r="K230" i="13"/>
  <c r="J230" i="13"/>
  <c r="H230" i="13"/>
  <c r="O229" i="13"/>
  <c r="K229" i="13"/>
  <c r="J229" i="13"/>
  <c r="H229" i="13"/>
  <c r="O228" i="13"/>
  <c r="K228" i="13"/>
  <c r="J228" i="13"/>
  <c r="H228" i="13"/>
  <c r="O227" i="13"/>
  <c r="K227" i="13"/>
  <c r="J227" i="13"/>
  <c r="H227" i="13"/>
  <c r="O226" i="13"/>
  <c r="K226" i="13"/>
  <c r="J226" i="13"/>
  <c r="H226" i="13"/>
  <c r="O225" i="13"/>
  <c r="K225" i="13"/>
  <c r="J225" i="13"/>
  <c r="H225" i="13"/>
  <c r="O224" i="13"/>
  <c r="K224" i="13"/>
  <c r="J224" i="13"/>
  <c r="H224" i="13"/>
  <c r="O223" i="13"/>
  <c r="L223" i="13"/>
  <c r="K223" i="13"/>
  <c r="J223" i="13"/>
  <c r="H223" i="13"/>
  <c r="O222" i="13"/>
  <c r="K222" i="13"/>
  <c r="J222" i="13"/>
  <c r="H222" i="13"/>
  <c r="K221" i="13"/>
  <c r="J221" i="13"/>
  <c r="H221" i="13"/>
  <c r="O220" i="13"/>
  <c r="K220" i="13"/>
  <c r="J220" i="13"/>
  <c r="H220" i="13"/>
  <c r="O219" i="13"/>
  <c r="K219" i="13"/>
  <c r="J219" i="13"/>
  <c r="H219" i="13"/>
  <c r="O218" i="13"/>
  <c r="K218" i="13"/>
  <c r="J218" i="13"/>
  <c r="H218" i="13"/>
  <c r="O217" i="13"/>
  <c r="L217" i="13"/>
  <c r="K217" i="13"/>
  <c r="J217" i="13"/>
  <c r="H217" i="13"/>
  <c r="E217" i="13"/>
  <c r="O216" i="13"/>
  <c r="K216" i="13"/>
  <c r="J216" i="13"/>
  <c r="H216" i="13"/>
  <c r="E216" i="13"/>
  <c r="Q216" i="13" s="1"/>
  <c r="O215" i="13"/>
  <c r="K215" i="13"/>
  <c r="J215" i="13"/>
  <c r="H215" i="13"/>
  <c r="E215" i="13"/>
  <c r="Q215" i="13" s="1"/>
  <c r="O214" i="13"/>
  <c r="K214" i="13"/>
  <c r="J214" i="13"/>
  <c r="H214" i="13"/>
  <c r="E214" i="13"/>
  <c r="Q214" i="13" s="1"/>
  <c r="O213" i="13"/>
  <c r="K213" i="13"/>
  <c r="J213" i="13"/>
  <c r="H213" i="13"/>
  <c r="E213" i="13"/>
  <c r="Q213" i="13" s="1"/>
  <c r="O212" i="13"/>
  <c r="K212" i="13"/>
  <c r="J212" i="13"/>
  <c r="H212" i="13"/>
  <c r="E212" i="13"/>
  <c r="Q212" i="13" s="1"/>
  <c r="O211" i="13"/>
  <c r="K211" i="13"/>
  <c r="J211" i="13"/>
  <c r="H211" i="13"/>
  <c r="E211" i="13"/>
  <c r="Q211" i="13" s="1"/>
  <c r="O210" i="13"/>
  <c r="K210" i="13"/>
  <c r="J210" i="13"/>
  <c r="H210" i="13"/>
  <c r="E210" i="13"/>
  <c r="Q210" i="13" s="1"/>
  <c r="O209" i="13"/>
  <c r="L209" i="13"/>
  <c r="K209" i="13"/>
  <c r="J209" i="13"/>
  <c r="H209" i="13"/>
  <c r="E209" i="13"/>
  <c r="O208" i="13"/>
  <c r="L208" i="13"/>
  <c r="K208" i="13"/>
  <c r="J208" i="13"/>
  <c r="H208" i="13"/>
  <c r="E208" i="13"/>
  <c r="O207" i="13"/>
  <c r="K207" i="13"/>
  <c r="J207" i="13"/>
  <c r="H207" i="13"/>
  <c r="E207" i="13"/>
  <c r="Q207" i="13" s="1"/>
  <c r="O206" i="13"/>
  <c r="K206" i="13"/>
  <c r="J206" i="13"/>
  <c r="H206" i="13"/>
  <c r="E206" i="13"/>
  <c r="Q206" i="13" s="1"/>
  <c r="O205" i="13"/>
  <c r="L205" i="13"/>
  <c r="K205" i="13"/>
  <c r="J205" i="13"/>
  <c r="H205" i="13"/>
  <c r="O204" i="13"/>
  <c r="K204" i="13"/>
  <c r="J204" i="13"/>
  <c r="H204" i="13"/>
  <c r="O203" i="13"/>
  <c r="K203" i="13"/>
  <c r="J203" i="13"/>
  <c r="H203" i="13"/>
  <c r="O202" i="13"/>
  <c r="K202" i="13"/>
  <c r="J202" i="13"/>
  <c r="H202" i="13"/>
  <c r="O201" i="13"/>
  <c r="K201" i="13"/>
  <c r="J201" i="13"/>
  <c r="H201" i="13"/>
  <c r="O200" i="13"/>
  <c r="K200" i="13"/>
  <c r="J200" i="13"/>
  <c r="H200" i="13"/>
  <c r="O199" i="13"/>
  <c r="L199" i="13"/>
  <c r="K199" i="13"/>
  <c r="J199" i="13"/>
  <c r="H199" i="13"/>
  <c r="O198" i="13"/>
  <c r="K198" i="13"/>
  <c r="J198" i="13"/>
  <c r="H198" i="13"/>
  <c r="O197" i="13"/>
  <c r="K197" i="13"/>
  <c r="J197" i="13"/>
  <c r="H197" i="13"/>
  <c r="O196" i="13"/>
  <c r="K196" i="13"/>
  <c r="J196" i="13"/>
  <c r="H196" i="13"/>
  <c r="O195" i="13"/>
  <c r="K195" i="13"/>
  <c r="J195" i="13"/>
  <c r="H195" i="13"/>
  <c r="O194" i="13"/>
  <c r="K194" i="13"/>
  <c r="J194" i="13"/>
  <c r="H194" i="13"/>
  <c r="O193" i="13"/>
  <c r="K193" i="13"/>
  <c r="J193" i="13"/>
  <c r="H193" i="13"/>
  <c r="O192" i="13"/>
  <c r="K192" i="13"/>
  <c r="J192" i="13"/>
  <c r="H192" i="13"/>
  <c r="O191" i="13"/>
  <c r="L191" i="13"/>
  <c r="K191" i="13"/>
  <c r="J191" i="13"/>
  <c r="H191" i="13"/>
  <c r="O190" i="13"/>
  <c r="L190" i="13"/>
  <c r="K190" i="13"/>
  <c r="J190" i="13"/>
  <c r="H190" i="13"/>
  <c r="O189" i="13"/>
  <c r="K189" i="13"/>
  <c r="J189" i="13"/>
  <c r="H189" i="13"/>
  <c r="O188" i="13"/>
  <c r="K188" i="13"/>
  <c r="J188" i="13"/>
  <c r="H188" i="13"/>
  <c r="O187" i="13"/>
  <c r="K187" i="13"/>
  <c r="J187" i="13"/>
  <c r="H187" i="13"/>
  <c r="O186" i="13"/>
  <c r="K186" i="13"/>
  <c r="J186" i="13"/>
  <c r="H186" i="13"/>
  <c r="O185" i="13"/>
  <c r="K185" i="13"/>
  <c r="J185" i="13"/>
  <c r="H185" i="13"/>
  <c r="O184" i="13"/>
  <c r="L184" i="13"/>
  <c r="K184" i="13"/>
  <c r="J184" i="13"/>
  <c r="H184" i="13"/>
  <c r="K183" i="13"/>
  <c r="J183" i="13"/>
  <c r="H183" i="13"/>
  <c r="O182" i="13"/>
  <c r="K182" i="13"/>
  <c r="J182" i="13"/>
  <c r="H182" i="13"/>
  <c r="K181" i="13"/>
  <c r="J181" i="13"/>
  <c r="H181" i="13"/>
  <c r="K180" i="13"/>
  <c r="J180" i="13"/>
  <c r="H180" i="13"/>
  <c r="O179" i="13"/>
  <c r="K179" i="13"/>
  <c r="J179" i="13"/>
  <c r="H179" i="13"/>
  <c r="O178" i="13"/>
  <c r="L178" i="13"/>
  <c r="K178" i="13"/>
  <c r="J178" i="13"/>
  <c r="H178" i="13"/>
  <c r="O177" i="13"/>
  <c r="K177" i="13"/>
  <c r="J177" i="13"/>
  <c r="H177" i="13"/>
  <c r="O176" i="13"/>
  <c r="K176" i="13"/>
  <c r="J176" i="13"/>
  <c r="H176" i="13"/>
  <c r="O175" i="13"/>
  <c r="K175" i="13"/>
  <c r="H175" i="13"/>
  <c r="O174" i="13"/>
  <c r="K174" i="13"/>
  <c r="J174" i="13"/>
  <c r="H174" i="13"/>
  <c r="O173" i="13"/>
  <c r="L173" i="13"/>
  <c r="K173" i="13"/>
  <c r="J173" i="13"/>
  <c r="H173" i="13"/>
  <c r="O172" i="13"/>
  <c r="K172" i="13"/>
  <c r="J172" i="13"/>
  <c r="H172" i="13"/>
  <c r="O171" i="13"/>
  <c r="K171" i="13"/>
  <c r="J171" i="13"/>
  <c r="H171" i="13"/>
  <c r="O170" i="13"/>
  <c r="K170" i="13"/>
  <c r="J170" i="13"/>
  <c r="H170" i="13"/>
  <c r="O169" i="13"/>
  <c r="K169" i="13"/>
  <c r="J169" i="13"/>
  <c r="H169" i="13"/>
  <c r="O168" i="13"/>
  <c r="K168" i="13"/>
  <c r="J168" i="13"/>
  <c r="H168" i="13"/>
  <c r="O167" i="13"/>
  <c r="L167" i="13"/>
  <c r="K167" i="13"/>
  <c r="J167" i="13"/>
  <c r="H167" i="13"/>
  <c r="O166" i="13"/>
  <c r="L166" i="13"/>
  <c r="K166" i="13"/>
  <c r="J166" i="13"/>
  <c r="H166" i="13"/>
  <c r="O165" i="13"/>
  <c r="L165" i="13"/>
  <c r="K165" i="13"/>
  <c r="J165" i="13"/>
  <c r="H165" i="13"/>
  <c r="O164" i="13"/>
  <c r="L164" i="13"/>
  <c r="K164" i="13"/>
  <c r="J164" i="13"/>
  <c r="H164" i="13"/>
  <c r="O163" i="13"/>
  <c r="L163" i="13"/>
  <c r="K163" i="13"/>
  <c r="J163" i="13"/>
  <c r="H163" i="13"/>
  <c r="O162" i="13"/>
  <c r="L162" i="13"/>
  <c r="K162" i="13"/>
  <c r="J162" i="13"/>
  <c r="H162" i="13"/>
  <c r="O161" i="13"/>
  <c r="L161" i="13"/>
  <c r="K161" i="13"/>
  <c r="J161" i="13"/>
  <c r="H161" i="13"/>
  <c r="O160" i="13"/>
  <c r="K160" i="13"/>
  <c r="J160" i="13"/>
  <c r="H160" i="13"/>
  <c r="O159" i="13"/>
  <c r="K159" i="13"/>
  <c r="J159" i="13"/>
  <c r="H159" i="13"/>
  <c r="O158" i="13"/>
  <c r="K158" i="13"/>
  <c r="J158" i="13"/>
  <c r="H158" i="13"/>
  <c r="O157" i="13"/>
  <c r="K157" i="13"/>
  <c r="J157" i="13"/>
  <c r="H157" i="13"/>
  <c r="K156" i="13"/>
  <c r="J156" i="13"/>
  <c r="H156" i="13"/>
  <c r="O155" i="13"/>
  <c r="L155" i="13"/>
  <c r="K155" i="13"/>
  <c r="J155" i="13"/>
  <c r="H155" i="13"/>
  <c r="E155" i="13"/>
  <c r="O154" i="13"/>
  <c r="K154" i="13"/>
  <c r="J154" i="13"/>
  <c r="H154" i="13"/>
  <c r="E154" i="13"/>
  <c r="Q154" i="13" s="1"/>
  <c r="O153" i="13"/>
  <c r="K153" i="13"/>
  <c r="J153" i="13"/>
  <c r="H153" i="13"/>
  <c r="E153" i="13"/>
  <c r="Q153" i="13" s="1"/>
  <c r="O152" i="13"/>
  <c r="L152" i="13"/>
  <c r="K152" i="13"/>
  <c r="J152" i="13"/>
  <c r="H152" i="13"/>
  <c r="E152" i="13"/>
  <c r="O151" i="13"/>
  <c r="J151" i="13"/>
  <c r="H151" i="13"/>
  <c r="E151" i="13"/>
  <c r="O150" i="13"/>
  <c r="J150" i="13"/>
  <c r="H150" i="13"/>
  <c r="E150" i="13"/>
  <c r="O149" i="13"/>
  <c r="L149" i="13"/>
  <c r="K149" i="13"/>
  <c r="J149" i="13"/>
  <c r="H149" i="13"/>
  <c r="E149" i="13"/>
  <c r="O148" i="13"/>
  <c r="L148" i="13"/>
  <c r="K148" i="13"/>
  <c r="J148" i="13"/>
  <c r="H148" i="13"/>
  <c r="E148" i="13"/>
  <c r="O147" i="13"/>
  <c r="K147" i="13"/>
  <c r="J147" i="13"/>
  <c r="H147" i="13"/>
  <c r="E147" i="13"/>
  <c r="Q147" i="13" s="1"/>
  <c r="O146" i="13"/>
  <c r="K146" i="13"/>
  <c r="J146" i="13"/>
  <c r="H146" i="13"/>
  <c r="E146" i="13"/>
  <c r="Q146" i="13" s="1"/>
  <c r="O145" i="13"/>
  <c r="K145" i="13"/>
  <c r="J145" i="13"/>
  <c r="H145" i="13"/>
  <c r="E145" i="13"/>
  <c r="Q145" i="13" s="1"/>
  <c r="O144" i="13"/>
  <c r="K144" i="13"/>
  <c r="J144" i="13"/>
  <c r="H144" i="13"/>
  <c r="E144" i="13"/>
  <c r="Q144" i="13" s="1"/>
  <c r="O143" i="13"/>
  <c r="K143" i="13"/>
  <c r="J143" i="13"/>
  <c r="H143" i="13"/>
  <c r="E143" i="13"/>
  <c r="Q143" i="13" s="1"/>
  <c r="O142" i="13"/>
  <c r="K142" i="13"/>
  <c r="J142" i="13"/>
  <c r="H142" i="13"/>
  <c r="E142" i="13"/>
  <c r="Q142" i="13" s="1"/>
  <c r="O141" i="13"/>
  <c r="K141" i="13"/>
  <c r="J141" i="13"/>
  <c r="H141" i="13"/>
  <c r="E141" i="13"/>
  <c r="Q141" i="13" s="1"/>
  <c r="O140" i="13"/>
  <c r="K140" i="13"/>
  <c r="J140" i="13"/>
  <c r="H140" i="13"/>
  <c r="E140" i="13"/>
  <c r="Q140" i="13" s="1"/>
  <c r="O139" i="13"/>
  <c r="K139" i="13"/>
  <c r="J139" i="13"/>
  <c r="H139" i="13"/>
  <c r="E139" i="13"/>
  <c r="Q139" i="13" s="1"/>
  <c r="O138" i="13"/>
  <c r="L138" i="13"/>
  <c r="K138" i="13"/>
  <c r="J138" i="13"/>
  <c r="H138" i="13"/>
  <c r="E138" i="13"/>
  <c r="O137" i="13"/>
  <c r="L137" i="13"/>
  <c r="K137" i="13"/>
  <c r="J137" i="13"/>
  <c r="H137" i="13"/>
  <c r="E137" i="13"/>
  <c r="O136" i="13"/>
  <c r="K136" i="13"/>
  <c r="J136" i="13"/>
  <c r="H136" i="13"/>
  <c r="E136" i="13"/>
  <c r="Q136" i="13" s="1"/>
  <c r="O135" i="13"/>
  <c r="K135" i="13"/>
  <c r="J135" i="13"/>
  <c r="H135" i="13"/>
  <c r="E135" i="13"/>
  <c r="Q135" i="13" s="1"/>
  <c r="O134" i="13"/>
  <c r="L134" i="13"/>
  <c r="K134" i="13"/>
  <c r="J134" i="13"/>
  <c r="H134" i="13"/>
  <c r="E134" i="13"/>
  <c r="O133" i="13"/>
  <c r="J133" i="13"/>
  <c r="H133" i="13"/>
  <c r="E133" i="13"/>
  <c r="O132" i="13"/>
  <c r="J132" i="13"/>
  <c r="H132" i="13"/>
  <c r="E132" i="13"/>
  <c r="O131" i="13"/>
  <c r="L131" i="13"/>
  <c r="K131" i="13"/>
  <c r="J131" i="13"/>
  <c r="H131" i="13"/>
  <c r="E131" i="13"/>
  <c r="O130" i="13"/>
  <c r="K130" i="13"/>
  <c r="J130" i="13"/>
  <c r="H130" i="13"/>
  <c r="E130" i="13"/>
  <c r="Q130" i="13" s="1"/>
  <c r="O129" i="13"/>
  <c r="K129" i="13"/>
  <c r="J129" i="13"/>
  <c r="H129" i="13"/>
  <c r="E129" i="13"/>
  <c r="Q129" i="13" s="1"/>
  <c r="O128" i="13"/>
  <c r="K128" i="13"/>
  <c r="J128" i="13"/>
  <c r="H128" i="13"/>
  <c r="E128" i="13"/>
  <c r="Q128" i="13" s="1"/>
  <c r="O127" i="13"/>
  <c r="K127" i="13"/>
  <c r="J127" i="13"/>
  <c r="H127" i="13"/>
  <c r="E127" i="13"/>
  <c r="Q127" i="13" s="1"/>
  <c r="O126" i="13"/>
  <c r="K126" i="13"/>
  <c r="J126" i="13"/>
  <c r="H126" i="13"/>
  <c r="E126" i="13"/>
  <c r="Q126" i="13" s="1"/>
  <c r="O125" i="13"/>
  <c r="K125" i="13"/>
  <c r="J125" i="13"/>
  <c r="H125" i="13"/>
  <c r="E125" i="13"/>
  <c r="Q125" i="13" s="1"/>
  <c r="O124" i="13"/>
  <c r="K124" i="13"/>
  <c r="J124" i="13"/>
  <c r="H124" i="13"/>
  <c r="E124" i="13"/>
  <c r="Q124" i="13" s="1"/>
  <c r="O123" i="13"/>
  <c r="K123" i="13"/>
  <c r="J123" i="13"/>
  <c r="H123" i="13"/>
  <c r="E123" i="13"/>
  <c r="Q123" i="13" s="1"/>
  <c r="O122" i="13"/>
  <c r="K122" i="13"/>
  <c r="J122" i="13"/>
  <c r="H122" i="13"/>
  <c r="E122" i="13"/>
  <c r="Q122" i="13" s="1"/>
  <c r="O121" i="13"/>
  <c r="L121" i="13"/>
  <c r="K121" i="13"/>
  <c r="J121" i="13"/>
  <c r="H121" i="13"/>
  <c r="O120" i="13"/>
  <c r="K120" i="13"/>
  <c r="J120" i="13"/>
  <c r="H120" i="13"/>
  <c r="O119" i="13"/>
  <c r="K119" i="13"/>
  <c r="J119" i="13"/>
  <c r="H119" i="13"/>
  <c r="O118" i="13"/>
  <c r="K118" i="13"/>
  <c r="J118" i="13"/>
  <c r="H118" i="13"/>
  <c r="N117" i="13"/>
  <c r="O117" i="13" s="1"/>
  <c r="L117" i="13"/>
  <c r="K117" i="13"/>
  <c r="J117" i="13"/>
  <c r="H117" i="13"/>
  <c r="O116" i="13"/>
  <c r="K116" i="13"/>
  <c r="J116" i="13"/>
  <c r="H116" i="13"/>
  <c r="O115" i="13"/>
  <c r="K115" i="13"/>
  <c r="J115" i="13"/>
  <c r="H115" i="13"/>
  <c r="O114" i="13"/>
  <c r="K114" i="13"/>
  <c r="J114" i="13"/>
  <c r="H114" i="13"/>
  <c r="O113" i="13"/>
  <c r="K113" i="13"/>
  <c r="J113" i="13"/>
  <c r="H113" i="13"/>
  <c r="O112" i="13"/>
  <c r="L112" i="13"/>
  <c r="K112" i="13"/>
  <c r="J112" i="13"/>
  <c r="H112" i="13"/>
  <c r="O111" i="13"/>
  <c r="L111" i="13"/>
  <c r="K111" i="13"/>
  <c r="J111" i="13"/>
  <c r="H111" i="13"/>
  <c r="O110" i="13"/>
  <c r="K110" i="13"/>
  <c r="J110" i="13"/>
  <c r="H110" i="13"/>
  <c r="O109" i="13"/>
  <c r="L109" i="13"/>
  <c r="K109" i="13"/>
  <c r="J109" i="13"/>
  <c r="H109" i="13"/>
  <c r="O108" i="13"/>
  <c r="J108" i="13"/>
  <c r="H108" i="13"/>
  <c r="O107" i="13"/>
  <c r="J107" i="13"/>
  <c r="H107" i="13"/>
  <c r="O106" i="13"/>
  <c r="L106" i="13"/>
  <c r="K106" i="13"/>
  <c r="J106" i="13"/>
  <c r="H106" i="13"/>
  <c r="O105" i="13"/>
  <c r="K105" i="13"/>
  <c r="J105" i="13"/>
  <c r="H105" i="13"/>
  <c r="O104" i="13"/>
  <c r="K104" i="13"/>
  <c r="J104" i="13"/>
  <c r="H104" i="13"/>
  <c r="O103" i="13"/>
  <c r="K103" i="13"/>
  <c r="J103" i="13"/>
  <c r="H103" i="13"/>
  <c r="O102" i="13"/>
  <c r="K102" i="13"/>
  <c r="J102" i="13"/>
  <c r="H102" i="13"/>
  <c r="O101" i="13"/>
  <c r="K101" i="13"/>
  <c r="J101" i="13"/>
  <c r="H101" i="13"/>
  <c r="O100" i="13"/>
  <c r="K100" i="13"/>
  <c r="J100" i="13"/>
  <c r="H100" i="13"/>
  <c r="O99" i="13"/>
  <c r="K99" i="13"/>
  <c r="J99" i="13"/>
  <c r="H99" i="13"/>
  <c r="O98" i="13"/>
  <c r="K98" i="13"/>
  <c r="J98" i="13"/>
  <c r="H98" i="13"/>
  <c r="O97" i="13"/>
  <c r="K97" i="13"/>
  <c r="J97" i="13"/>
  <c r="H97" i="13"/>
  <c r="O96" i="13"/>
  <c r="L96" i="13"/>
  <c r="K96" i="13"/>
  <c r="J96" i="13"/>
  <c r="H96" i="13"/>
  <c r="O95" i="13"/>
  <c r="J95" i="13"/>
  <c r="H95" i="13"/>
  <c r="O94" i="13"/>
  <c r="J94" i="13"/>
  <c r="H94" i="13"/>
  <c r="O93" i="13"/>
  <c r="L93" i="13"/>
  <c r="K93" i="13"/>
  <c r="J93" i="13"/>
  <c r="H93" i="13"/>
  <c r="O92" i="13"/>
  <c r="K92" i="13"/>
  <c r="J92" i="13"/>
  <c r="H92" i="13"/>
  <c r="O91" i="13"/>
  <c r="K91" i="13"/>
  <c r="J91" i="13"/>
  <c r="H91" i="13"/>
  <c r="O90" i="13"/>
  <c r="K90" i="13"/>
  <c r="J90" i="13"/>
  <c r="H90" i="13"/>
  <c r="O89" i="13"/>
  <c r="K89" i="13"/>
  <c r="J89" i="13"/>
  <c r="H89" i="13"/>
  <c r="O88" i="13"/>
  <c r="K88" i="13"/>
  <c r="J88" i="13"/>
  <c r="H88" i="13"/>
  <c r="O87" i="13"/>
  <c r="K87" i="13"/>
  <c r="J87" i="13"/>
  <c r="H87" i="13"/>
  <c r="K86" i="13"/>
  <c r="J86" i="13"/>
  <c r="H86" i="13"/>
  <c r="K85" i="13"/>
  <c r="J85" i="13"/>
  <c r="H85" i="13"/>
  <c r="K84" i="13"/>
  <c r="J84" i="13"/>
  <c r="H84" i="13"/>
  <c r="O83" i="13"/>
  <c r="L83" i="13"/>
  <c r="K83" i="13"/>
  <c r="J83" i="13"/>
  <c r="H83" i="13"/>
  <c r="O82" i="13"/>
  <c r="K82" i="13"/>
  <c r="J82" i="13"/>
  <c r="H82" i="13"/>
  <c r="O81" i="13"/>
  <c r="K81" i="13"/>
  <c r="J81" i="13"/>
  <c r="H81" i="13"/>
  <c r="O80" i="13"/>
  <c r="K80" i="13"/>
  <c r="J80" i="13"/>
  <c r="H80" i="13"/>
  <c r="K79" i="13"/>
  <c r="J79" i="13"/>
  <c r="H79" i="13"/>
  <c r="K78" i="13"/>
  <c r="J78" i="13"/>
  <c r="H78" i="13"/>
  <c r="K77" i="13"/>
  <c r="J77" i="13"/>
  <c r="H77" i="13"/>
  <c r="K76" i="13"/>
  <c r="J76" i="13"/>
  <c r="H76" i="13"/>
  <c r="O75" i="13"/>
  <c r="L75" i="13"/>
  <c r="K75" i="13"/>
  <c r="J75" i="13"/>
  <c r="H75" i="13"/>
  <c r="O74" i="13"/>
  <c r="K74" i="13"/>
  <c r="J74" i="13"/>
  <c r="H74" i="13"/>
  <c r="O73" i="13"/>
  <c r="K73" i="13"/>
  <c r="J73" i="13"/>
  <c r="H73" i="13"/>
  <c r="K72" i="13"/>
  <c r="J72" i="13"/>
  <c r="H72" i="13"/>
  <c r="O71" i="13"/>
  <c r="K71" i="13"/>
  <c r="J71" i="13"/>
  <c r="H71" i="13"/>
  <c r="O70" i="13"/>
  <c r="K70" i="13"/>
  <c r="J70" i="13"/>
  <c r="H70" i="13"/>
  <c r="K69" i="13"/>
  <c r="J69" i="13"/>
  <c r="H69" i="13"/>
  <c r="O68" i="13"/>
  <c r="L68" i="13"/>
  <c r="K68" i="13"/>
  <c r="J68" i="13"/>
  <c r="H68" i="13"/>
  <c r="O67" i="13"/>
  <c r="K67" i="13"/>
  <c r="J67" i="13"/>
  <c r="H67" i="13"/>
  <c r="O66" i="13"/>
  <c r="K66" i="13"/>
  <c r="J66" i="13"/>
  <c r="H66" i="13"/>
  <c r="O65" i="13"/>
  <c r="K65" i="13"/>
  <c r="J65" i="13"/>
  <c r="H65" i="13"/>
  <c r="O64" i="13"/>
  <c r="K64" i="13"/>
  <c r="J64" i="13"/>
  <c r="H64" i="13"/>
  <c r="O63" i="13"/>
  <c r="L63" i="13"/>
  <c r="K63" i="13"/>
  <c r="J63" i="13"/>
  <c r="H63" i="13"/>
  <c r="O62" i="13"/>
  <c r="K62" i="13"/>
  <c r="J62" i="13"/>
  <c r="H62" i="13"/>
  <c r="O61" i="13"/>
  <c r="K61" i="13"/>
  <c r="J61" i="13"/>
  <c r="H61" i="13"/>
  <c r="O60" i="13"/>
  <c r="K60" i="13"/>
  <c r="J60" i="13"/>
  <c r="H60" i="13"/>
  <c r="O59" i="13"/>
  <c r="K59" i="13"/>
  <c r="J59" i="13"/>
  <c r="H59" i="13"/>
  <c r="O58" i="13"/>
  <c r="L58" i="13"/>
  <c r="K58" i="13"/>
  <c r="J58" i="13"/>
  <c r="H58" i="13"/>
  <c r="O57" i="13"/>
  <c r="L57" i="13"/>
  <c r="K57" i="13"/>
  <c r="J57" i="13"/>
  <c r="H57" i="13"/>
  <c r="O56" i="13"/>
  <c r="K56" i="13"/>
  <c r="J56" i="13"/>
  <c r="H56" i="13"/>
  <c r="O55" i="13"/>
  <c r="K55" i="13"/>
  <c r="J55" i="13"/>
  <c r="H55" i="13"/>
  <c r="O54" i="13"/>
  <c r="K54" i="13"/>
  <c r="J54" i="13"/>
  <c r="H54" i="13"/>
  <c r="K53" i="13"/>
  <c r="J53" i="13"/>
  <c r="H53" i="13"/>
  <c r="O52" i="13"/>
  <c r="L52" i="13"/>
  <c r="K52" i="13"/>
  <c r="J52" i="13"/>
  <c r="H52" i="13"/>
  <c r="O51" i="13"/>
  <c r="L51" i="13"/>
  <c r="K51" i="13"/>
  <c r="J51" i="13"/>
  <c r="H51" i="13"/>
  <c r="O50" i="13"/>
  <c r="L50" i="13"/>
  <c r="K50" i="13"/>
  <c r="J50" i="13"/>
  <c r="H50" i="13"/>
  <c r="L49" i="13"/>
  <c r="P49" i="13" s="1"/>
  <c r="K49" i="13"/>
  <c r="J49" i="13"/>
  <c r="H49" i="13"/>
  <c r="L48" i="13"/>
  <c r="P48" i="13" s="1"/>
  <c r="K48" i="13"/>
  <c r="J48" i="13"/>
  <c r="H48" i="13"/>
  <c r="O47" i="13"/>
  <c r="L47" i="13"/>
  <c r="K47" i="13"/>
  <c r="J47" i="13"/>
  <c r="H47" i="13"/>
  <c r="O46" i="13"/>
  <c r="L46" i="13"/>
  <c r="K46" i="13"/>
  <c r="J46" i="13"/>
  <c r="H46" i="13"/>
  <c r="K45" i="13"/>
  <c r="J45" i="13"/>
  <c r="H45" i="13"/>
  <c r="K44" i="13"/>
  <c r="J44" i="13"/>
  <c r="H44" i="13"/>
  <c r="O43" i="13"/>
  <c r="K43" i="13"/>
  <c r="J43" i="13"/>
  <c r="H43" i="13"/>
  <c r="O42" i="13"/>
  <c r="K42" i="13"/>
  <c r="J42" i="13"/>
  <c r="H42" i="13"/>
  <c r="O41" i="13"/>
  <c r="K41" i="13"/>
  <c r="J41" i="13"/>
  <c r="H41" i="13"/>
  <c r="O40" i="13"/>
  <c r="K40" i="13"/>
  <c r="J40" i="13"/>
  <c r="H40" i="13"/>
  <c r="O39" i="13"/>
  <c r="L39" i="13"/>
  <c r="K39" i="13"/>
  <c r="J39" i="13"/>
  <c r="H39" i="13"/>
  <c r="O38" i="13"/>
  <c r="K38" i="13"/>
  <c r="J38" i="13"/>
  <c r="H38" i="13"/>
  <c r="O37" i="13"/>
  <c r="K37" i="13"/>
  <c r="J37" i="13"/>
  <c r="H37" i="13"/>
  <c r="L36" i="13"/>
  <c r="P36" i="13" s="1"/>
  <c r="K36" i="13"/>
  <c r="J36" i="13"/>
  <c r="H36" i="13"/>
  <c r="K35" i="13"/>
  <c r="J35" i="13"/>
  <c r="H35" i="13"/>
  <c r="O34" i="13"/>
  <c r="K34" i="13"/>
  <c r="J34" i="13"/>
  <c r="H34" i="13"/>
  <c r="O33" i="13"/>
  <c r="K33" i="13"/>
  <c r="J33" i="13"/>
  <c r="H33" i="13"/>
  <c r="O32" i="13"/>
  <c r="K32" i="13"/>
  <c r="J32" i="13"/>
  <c r="H32" i="13"/>
  <c r="O31" i="13"/>
  <c r="K31" i="13"/>
  <c r="J31" i="13"/>
  <c r="H31" i="13"/>
  <c r="O30" i="13"/>
  <c r="L30" i="13"/>
  <c r="K30" i="13"/>
  <c r="J30" i="13"/>
  <c r="H30" i="13"/>
  <c r="K29" i="13"/>
  <c r="J29" i="13"/>
  <c r="H29" i="13"/>
  <c r="K28" i="13"/>
  <c r="J28" i="13"/>
  <c r="H28" i="13"/>
  <c r="K27" i="13"/>
  <c r="J27" i="13"/>
  <c r="H27" i="13"/>
  <c r="O26" i="13"/>
  <c r="L26" i="13"/>
  <c r="K26" i="13"/>
  <c r="J26" i="13"/>
  <c r="H26" i="13"/>
  <c r="O25" i="13"/>
  <c r="K25" i="13"/>
  <c r="J25" i="13"/>
  <c r="H25" i="13"/>
  <c r="O24" i="13"/>
  <c r="K24" i="13"/>
  <c r="J24" i="13"/>
  <c r="H24" i="13"/>
  <c r="O23" i="13"/>
  <c r="K23" i="13"/>
  <c r="J23" i="13"/>
  <c r="H23" i="13"/>
  <c r="O22" i="13"/>
  <c r="K22" i="13"/>
  <c r="J22" i="13"/>
  <c r="H22" i="13"/>
  <c r="O21" i="13"/>
  <c r="K21" i="13"/>
  <c r="J21" i="13"/>
  <c r="H21" i="13"/>
  <c r="O20" i="13"/>
  <c r="K20" i="13"/>
  <c r="J20" i="13"/>
  <c r="H20" i="13"/>
  <c r="O19" i="13"/>
  <c r="L19" i="13"/>
  <c r="K19" i="13"/>
  <c r="J19" i="13"/>
  <c r="H19" i="13"/>
  <c r="O18" i="13"/>
  <c r="J18" i="13"/>
  <c r="H18" i="13"/>
  <c r="O17" i="13"/>
  <c r="J17" i="13"/>
  <c r="H17" i="13"/>
  <c r="O16" i="13"/>
  <c r="L16" i="13"/>
  <c r="K16" i="13"/>
  <c r="J16" i="13"/>
  <c r="H16" i="13"/>
  <c r="O15" i="13"/>
  <c r="K15" i="13"/>
  <c r="J15" i="13"/>
  <c r="H15" i="13"/>
  <c r="O14" i="13"/>
  <c r="K14" i="13"/>
  <c r="J14" i="13"/>
  <c r="H14" i="13"/>
  <c r="O13" i="13"/>
  <c r="K13" i="13"/>
  <c r="J13" i="13"/>
  <c r="H13" i="13"/>
  <c r="O12" i="13"/>
  <c r="K12" i="13"/>
  <c r="J12" i="13"/>
  <c r="H12" i="13"/>
  <c r="O11" i="13"/>
  <c r="K11" i="13"/>
  <c r="J11" i="13"/>
  <c r="H11" i="13"/>
  <c r="O10" i="13"/>
  <c r="K10" i="13"/>
  <c r="J10" i="13"/>
  <c r="H10" i="13"/>
  <c r="O9" i="13"/>
  <c r="K9" i="13"/>
  <c r="J9" i="13"/>
  <c r="H9" i="13"/>
  <c r="O8" i="13"/>
  <c r="K8" i="13"/>
  <c r="J8" i="13"/>
  <c r="H8" i="13"/>
  <c r="AM7" i="13"/>
  <c r="AM8" i="13" s="1"/>
  <c r="AM9" i="13" s="1"/>
  <c r="AM10" i="13" s="1"/>
  <c r="AM11" i="13" s="1"/>
  <c r="AM12" i="13" s="1"/>
  <c r="AM13" i="13" s="1"/>
  <c r="AM14" i="13" s="1"/>
  <c r="AM15" i="13" s="1"/>
  <c r="AM16" i="13" s="1"/>
  <c r="AM17" i="13" s="1"/>
  <c r="AM18" i="13" s="1"/>
  <c r="AM19" i="13" s="1"/>
  <c r="AK7" i="13"/>
  <c r="AI7" i="13"/>
  <c r="AG7" i="13"/>
  <c r="AE7" i="13"/>
  <c r="AD7" i="13"/>
  <c r="AC7" i="13"/>
  <c r="AB7" i="13"/>
  <c r="AA7" i="13"/>
  <c r="Z7" i="13"/>
  <c r="O7" i="13"/>
  <c r="K7" i="13"/>
  <c r="J7" i="13"/>
  <c r="H7" i="13"/>
  <c r="AF7" i="13" s="1"/>
  <c r="D2" i="13"/>
  <c r="O416" i="4"/>
  <c r="O415" i="4"/>
  <c r="Q415" i="4" s="1"/>
  <c r="G750" i="1" s="1"/>
  <c r="O414" i="4"/>
  <c r="O413" i="4"/>
  <c r="O412" i="4"/>
  <c r="O411" i="4"/>
  <c r="Q411" i="4" s="1"/>
  <c r="G746" i="1" s="1"/>
  <c r="O410" i="4"/>
  <c r="O409" i="4"/>
  <c r="O408" i="4"/>
  <c r="Q408" i="4" s="1"/>
  <c r="O407" i="4"/>
  <c r="Q407" i="4" s="1"/>
  <c r="O400" i="4"/>
  <c r="Q399" i="4"/>
  <c r="G1902" i="1" s="1"/>
  <c r="O398" i="4"/>
  <c r="Q398" i="4" s="1"/>
  <c r="O397" i="4"/>
  <c r="O396" i="4"/>
  <c r="Q396" i="4" s="1"/>
  <c r="O395" i="4"/>
  <c r="Q395" i="4" s="1"/>
  <c r="O394" i="4"/>
  <c r="Q394" i="4" s="1"/>
  <c r="O393" i="4"/>
  <c r="Q393" i="4" s="1"/>
  <c r="O392" i="4"/>
  <c r="Q392" i="4" s="1"/>
  <c r="O391" i="4"/>
  <c r="Q391" i="4" s="1"/>
  <c r="O390" i="4"/>
  <c r="Q390" i="4" s="1"/>
  <c r="O389" i="4"/>
  <c r="Q389" i="4" s="1"/>
  <c r="O388" i="4"/>
  <c r="Q388" i="4" s="1"/>
  <c r="O387" i="4"/>
  <c r="Q387" i="4" s="1"/>
  <c r="M385" i="4"/>
  <c r="O384" i="4"/>
  <c r="Q384" i="4" s="1"/>
  <c r="O383" i="4"/>
  <c r="Q383" i="4" s="1"/>
  <c r="O382" i="4"/>
  <c r="Q382" i="4" s="1"/>
  <c r="O381" i="4"/>
  <c r="Q381" i="4" s="1"/>
  <c r="Q380" i="4"/>
  <c r="G1892" i="1"/>
  <c r="G1891" i="1"/>
  <c r="O379" i="4"/>
  <c r="Q379" i="4" s="1"/>
  <c r="O378" i="4"/>
  <c r="Q378" i="4" s="1"/>
  <c r="O377" i="4"/>
  <c r="O376" i="4"/>
  <c r="O375" i="4"/>
  <c r="Q375" i="4" s="1"/>
  <c r="O374" i="4"/>
  <c r="Q374" i="4" s="1"/>
  <c r="O373" i="4"/>
  <c r="Q373" i="4" s="1"/>
  <c r="O372" i="4"/>
  <c r="Q372" i="4" s="1"/>
  <c r="O371" i="4"/>
  <c r="Q371" i="4" s="1"/>
  <c r="O370" i="4"/>
  <c r="Q370" i="4" s="1"/>
  <c r="O369" i="4"/>
  <c r="Q369" i="4" s="1"/>
  <c r="O368" i="4"/>
  <c r="Q368" i="4" s="1"/>
  <c r="O367" i="4"/>
  <c r="Q367" i="4" s="1"/>
  <c r="O366" i="4"/>
  <c r="Q366" i="4" s="1"/>
  <c r="O365" i="4"/>
  <c r="Q365" i="4" s="1"/>
  <c r="O364" i="4"/>
  <c r="Q364" i="4" s="1"/>
  <c r="O363" i="4"/>
  <c r="Q363" i="4" s="1"/>
  <c r="O362" i="4"/>
  <c r="Q362" i="4" s="1"/>
  <c r="O361" i="4"/>
  <c r="Q361" i="4" s="1"/>
  <c r="O358" i="4"/>
  <c r="Q358" i="4" s="1"/>
  <c r="N357" i="4"/>
  <c r="O360" i="4" s="1"/>
  <c r="Q360" i="4" s="1"/>
  <c r="G1862" i="1"/>
  <c r="O356" i="4"/>
  <c r="O355" i="4"/>
  <c r="O354" i="4"/>
  <c r="O353" i="4"/>
  <c r="O352" i="4"/>
  <c r="O351" i="4"/>
  <c r="O350" i="4"/>
  <c r="O349" i="4"/>
  <c r="O348" i="4"/>
  <c r="N347" i="4"/>
  <c r="O347" i="4" s="1"/>
  <c r="Q347" i="4" s="1"/>
  <c r="O346" i="4"/>
  <c r="Q346" i="4" s="1"/>
  <c r="O345" i="4"/>
  <c r="O344" i="4"/>
  <c r="Q344" i="4" s="1"/>
  <c r="M343" i="4"/>
  <c r="O343" i="4" s="1"/>
  <c r="Q343" i="4" s="1"/>
  <c r="O342" i="4"/>
  <c r="Q342" i="4" s="1"/>
  <c r="O341" i="4"/>
  <c r="Q341" i="4" s="1"/>
  <c r="O340" i="4"/>
  <c r="Q340" i="4" s="1"/>
  <c r="O339" i="4"/>
  <c r="Q339" i="4" s="1"/>
  <c r="M338" i="4"/>
  <c r="O338" i="4" s="1"/>
  <c r="M337" i="4"/>
  <c r="O337" i="4" s="1"/>
  <c r="O336" i="4"/>
  <c r="Q336" i="4" s="1"/>
  <c r="O335" i="4"/>
  <c r="Q335" i="4" s="1"/>
  <c r="O334" i="4"/>
  <c r="Q334" i="4" s="1"/>
  <c r="O333" i="4"/>
  <c r="Q333" i="4" s="1"/>
  <c r="O332" i="4"/>
  <c r="Q332" i="4" s="1"/>
  <c r="O331" i="4"/>
  <c r="Q331" i="4" s="1"/>
  <c r="O330" i="4"/>
  <c r="Q330" i="4" s="1"/>
  <c r="O329" i="4"/>
  <c r="Q329" i="4" s="1"/>
  <c r="O328" i="4"/>
  <c r="Q328" i="4" s="1"/>
  <c r="O326" i="4"/>
  <c r="Q326" i="4" s="1"/>
  <c r="M325" i="4"/>
  <c r="O325" i="4" s="1"/>
  <c r="O324" i="4"/>
  <c r="O323" i="4"/>
  <c r="O322" i="4"/>
  <c r="O321" i="4"/>
  <c r="O320" i="4"/>
  <c r="O319" i="4"/>
  <c r="O318" i="4"/>
  <c r="O317" i="4"/>
  <c r="O316" i="4"/>
  <c r="O315" i="4"/>
  <c r="Q315" i="4" s="1"/>
  <c r="O314" i="4"/>
  <c r="Q314" i="4" s="1"/>
  <c r="O313" i="4"/>
  <c r="Q313" i="4" s="1"/>
  <c r="O312" i="4"/>
  <c r="Q312" i="4" s="1"/>
  <c r="O311" i="4"/>
  <c r="Q311" i="4" s="1"/>
  <c r="O310" i="4"/>
  <c r="Q310" i="4" s="1"/>
  <c r="O309" i="4"/>
  <c r="Q309" i="4" s="1"/>
  <c r="O308" i="4"/>
  <c r="Q308" i="4" s="1"/>
  <c r="O307" i="4"/>
  <c r="Q307" i="4" s="1"/>
  <c r="O306" i="4"/>
  <c r="Q306" i="4" s="1"/>
  <c r="O305" i="4"/>
  <c r="Q305" i="4" s="1"/>
  <c r="O304" i="4"/>
  <c r="Q304" i="4" s="1"/>
  <c r="O303" i="4"/>
  <c r="Q303" i="4" s="1"/>
  <c r="M300" i="4"/>
  <c r="O302" i="4" s="1"/>
  <c r="Q302" i="4" s="1"/>
  <c r="O299" i="4"/>
  <c r="Q299" i="4" s="1"/>
  <c r="O298" i="4"/>
  <c r="Q298" i="4" s="1"/>
  <c r="O297" i="4"/>
  <c r="Q297" i="4" s="1"/>
  <c r="O296" i="4"/>
  <c r="Q296" i="4" s="1"/>
  <c r="O295" i="4"/>
  <c r="Q295" i="4" s="1"/>
  <c r="O294" i="4"/>
  <c r="Q294" i="4" s="1"/>
  <c r="O293" i="4"/>
  <c r="Q293" i="4" s="1"/>
  <c r="O292" i="4"/>
  <c r="Q292" i="4" s="1"/>
  <c r="O291" i="4"/>
  <c r="Q291" i="4" s="1"/>
  <c r="O290" i="4"/>
  <c r="Q290" i="4" s="1"/>
  <c r="O289" i="4"/>
  <c r="Q289" i="4" s="1"/>
  <c r="O288" i="4"/>
  <c r="Q288" i="4" s="1"/>
  <c r="O287" i="4"/>
  <c r="Q287" i="4" s="1"/>
  <c r="O286" i="4"/>
  <c r="Q286" i="4" s="1"/>
  <c r="O285" i="4"/>
  <c r="G1781" i="1"/>
  <c r="G1754" i="1"/>
  <c r="G1748" i="1"/>
  <c r="G1008" i="1"/>
  <c r="H1008" i="1" s="1"/>
  <c r="O284" i="4"/>
  <c r="Q284" i="4" s="1"/>
  <c r="O283" i="4"/>
  <c r="Q283" i="4" s="1"/>
  <c r="O282" i="4"/>
  <c r="Q282" i="4" s="1"/>
  <c r="O281" i="4"/>
  <c r="Q281" i="4" s="1"/>
  <c r="O280" i="4"/>
  <c r="O279" i="4"/>
  <c r="Q279" i="4" s="1"/>
  <c r="O278" i="4"/>
  <c r="O277" i="4"/>
  <c r="O276" i="4"/>
  <c r="O275" i="4"/>
  <c r="O274" i="4"/>
  <c r="O273" i="4"/>
  <c r="Q273" i="4" s="1"/>
  <c r="G1711" i="1"/>
  <c r="G960" i="1"/>
  <c r="H960" i="1" s="1"/>
  <c r="G1036" i="1"/>
  <c r="H1036" i="1" s="1"/>
  <c r="G1106" i="1"/>
  <c r="H1106" i="1" s="1"/>
  <c r="G1109" i="1"/>
  <c r="H1109" i="1" s="1"/>
  <c r="G987" i="1"/>
  <c r="H987" i="1" s="1"/>
  <c r="G1119" i="1"/>
  <c r="H1119" i="1" s="1"/>
  <c r="G977" i="1"/>
  <c r="H977" i="1" s="1"/>
  <c r="G1531" i="1"/>
  <c r="E79" i="17412" s="1"/>
  <c r="G993" i="1"/>
  <c r="H993" i="1" s="1"/>
  <c r="G1706" i="1"/>
  <c r="G1703" i="1"/>
  <c r="G1699" i="1"/>
  <c r="G1524" i="1"/>
  <c r="E72" i="17412" s="1"/>
  <c r="G1117" i="1"/>
  <c r="H1117" i="1" s="1"/>
  <c r="G999" i="1"/>
  <c r="H999" i="1" s="1"/>
  <c r="N251" i="4"/>
  <c r="O250" i="4"/>
  <c r="N249" i="4"/>
  <c r="O249" i="4" s="1"/>
  <c r="O248" i="4"/>
  <c r="O245" i="4"/>
  <c r="O244" i="4"/>
  <c r="O243" i="4"/>
  <c r="O242" i="4"/>
  <c r="O241" i="4"/>
  <c r="O240" i="4"/>
  <c r="O239" i="4"/>
  <c r="O238" i="4"/>
  <c r="O237" i="4"/>
  <c r="O236" i="4"/>
  <c r="N234" i="4"/>
  <c r="O234" i="4" s="1"/>
  <c r="O225" i="4"/>
  <c r="M223" i="4"/>
  <c r="O223" i="4" s="1"/>
  <c r="M222" i="4"/>
  <c r="O222" i="4" s="1"/>
  <c r="M221" i="4"/>
  <c r="O221" i="4" s="1"/>
  <c r="Q221" i="4" s="1"/>
  <c r="M219" i="4"/>
  <c r="O219" i="4" s="1"/>
  <c r="M217" i="4"/>
  <c r="O217" i="4" s="1"/>
  <c r="Q217" i="4" s="1"/>
  <c r="G1050" i="1" s="1"/>
  <c r="M216" i="4"/>
  <c r="O216" i="4" s="1"/>
  <c r="M214" i="4"/>
  <c r="O214" i="4" s="1"/>
  <c r="M213" i="4"/>
  <c r="O213" i="4" s="1"/>
  <c r="M210" i="4"/>
  <c r="O210" i="4" s="1"/>
  <c r="M209" i="4"/>
  <c r="M208" i="4"/>
  <c r="O208" i="4" s="1"/>
  <c r="M207" i="4"/>
  <c r="O207" i="4" s="1"/>
  <c r="O205" i="4"/>
  <c r="M204" i="4"/>
  <c r="N203" i="4"/>
  <c r="O203" i="4" s="1"/>
  <c r="N201" i="4"/>
  <c r="M212" i="4" s="1"/>
  <c r="O212" i="4" s="1"/>
  <c r="O200" i="4"/>
  <c r="N199" i="4"/>
  <c r="N198" i="4"/>
  <c r="N197" i="4"/>
  <c r="N196" i="4"/>
  <c r="N195" i="4"/>
  <c r="N194" i="4"/>
  <c r="N193" i="4"/>
  <c r="N192" i="4"/>
  <c r="N191" i="4"/>
  <c r="N190" i="4"/>
  <c r="N189" i="4"/>
  <c r="N188" i="4"/>
  <c r="N187" i="4"/>
  <c r="N186" i="4"/>
  <c r="N185" i="4"/>
  <c r="N184" i="4"/>
  <c r="N183" i="4"/>
  <c r="N181" i="4"/>
  <c r="N180" i="4"/>
  <c r="N179" i="4"/>
  <c r="N178" i="4"/>
  <c r="N177" i="4"/>
  <c r="N176" i="4"/>
  <c r="N175" i="4"/>
  <c r="N174" i="4"/>
  <c r="N173" i="4"/>
  <c r="N171" i="4"/>
  <c r="N170" i="4"/>
  <c r="N169" i="4"/>
  <c r="N168" i="4"/>
  <c r="N167" i="4"/>
  <c r="N166" i="4"/>
  <c r="N165" i="4"/>
  <c r="N164" i="4"/>
  <c r="N163" i="4"/>
  <c r="N162" i="4"/>
  <c r="N161" i="4"/>
  <c r="N160" i="4"/>
  <c r="N159" i="4"/>
  <c r="N158" i="4"/>
  <c r="N157" i="4"/>
  <c r="N155" i="4"/>
  <c r="N153" i="4"/>
  <c r="N152" i="4"/>
  <c r="N151" i="4"/>
  <c r="N150" i="4"/>
  <c r="N149" i="4"/>
  <c r="N148" i="4"/>
  <c r="N146" i="4"/>
  <c r="N145" i="4"/>
  <c r="N144" i="4"/>
  <c r="N143" i="4"/>
  <c r="N142" i="4"/>
  <c r="N141" i="4"/>
  <c r="N140" i="4"/>
  <c r="G984" i="1"/>
  <c r="H984" i="1" s="1"/>
  <c r="G982" i="1"/>
  <c r="H982" i="1" s="1"/>
  <c r="G989" i="1"/>
  <c r="H989" i="1" s="1"/>
  <c r="O139" i="4"/>
  <c r="O138" i="4"/>
  <c r="O137" i="4"/>
  <c r="Q137" i="4" s="1"/>
  <c r="O136" i="4"/>
  <c r="Q136" i="4" s="1"/>
  <c r="O135" i="4"/>
  <c r="Q135" i="4" s="1"/>
  <c r="O134" i="4"/>
  <c r="Q134" i="4" s="1"/>
  <c r="O133" i="4"/>
  <c r="Q133" i="4" s="1"/>
  <c r="G955" i="1"/>
  <c r="H955" i="1" s="1"/>
  <c r="N44" i="4"/>
  <c r="O44" i="4" s="1"/>
  <c r="Q44" i="4" s="1"/>
  <c r="O43" i="4"/>
  <c r="Q43" i="4" s="1"/>
  <c r="G1897" i="1" s="1"/>
  <c r="O42" i="4"/>
  <c r="Q42" i="4" s="1"/>
  <c r="O41" i="4"/>
  <c r="Q41" i="4" s="1"/>
  <c r="G1660" i="1"/>
  <c r="O26" i="4"/>
  <c r="Q26" i="4" s="1"/>
  <c r="O25" i="4"/>
  <c r="Q25" i="4" s="1"/>
  <c r="O24" i="4"/>
  <c r="Q24" i="4" s="1"/>
  <c r="O23" i="4"/>
  <c r="Q23" i="4" s="1"/>
  <c r="O22" i="4"/>
  <c r="Q22" i="4" s="1"/>
  <c r="O21" i="4"/>
  <c r="Q21" i="4" s="1"/>
  <c r="O20" i="4"/>
  <c r="Q20" i="4" s="1"/>
  <c r="O19" i="4"/>
  <c r="Q19" i="4" s="1"/>
  <c r="O18" i="4"/>
  <c r="Q18" i="4" s="1"/>
  <c r="O17" i="4"/>
  <c r="O16" i="4"/>
  <c r="O15" i="4"/>
  <c r="Q15" i="4" s="1"/>
  <c r="O14" i="4"/>
  <c r="Q14" i="4" s="1"/>
  <c r="O13" i="4"/>
  <c r="Q13" i="4" s="1"/>
  <c r="O12" i="4"/>
  <c r="O11" i="4"/>
  <c r="Q11" i="4" s="1"/>
  <c r="O10" i="4"/>
  <c r="O9" i="4"/>
  <c r="Q9" i="4" s="1"/>
  <c r="O8" i="4"/>
  <c r="Q8" i="4" s="1"/>
  <c r="AM7" i="4"/>
  <c r="AM8" i="4" s="1"/>
  <c r="AM9" i="4" s="1"/>
  <c r="AM10" i="4" s="1"/>
  <c r="AM11" i="4" s="1"/>
  <c r="AM12" i="4" s="1"/>
  <c r="AM13" i="4" s="1"/>
  <c r="AM14" i="4" s="1"/>
  <c r="AM15" i="4" s="1"/>
  <c r="AK7" i="4"/>
  <c r="AI7" i="4"/>
  <c r="AG7" i="4"/>
  <c r="AE7" i="4"/>
  <c r="AD7" i="4"/>
  <c r="AC7" i="4"/>
  <c r="AB7" i="4"/>
  <c r="AA7" i="4"/>
  <c r="Z7" i="4"/>
  <c r="O7" i="4"/>
  <c r="J7" i="4"/>
  <c r="H7" i="4"/>
  <c r="E7" i="4"/>
  <c r="D2" i="4"/>
  <c r="B56" i="8"/>
  <c r="B55" i="8"/>
  <c r="B52" i="8"/>
  <c r="B50" i="8"/>
  <c r="M48" i="8"/>
  <c r="B47" i="8"/>
  <c r="B46" i="8"/>
  <c r="B45" i="8"/>
  <c r="B51" i="8"/>
  <c r="B43" i="8"/>
  <c r="B42" i="8"/>
  <c r="B41" i="8"/>
  <c r="B40" i="8"/>
  <c r="B39" i="8"/>
  <c r="B38" i="8"/>
  <c r="B37" i="8"/>
  <c r="B36" i="8"/>
  <c r="B35" i="8"/>
  <c r="B34" i="8"/>
  <c r="B33" i="8"/>
  <c r="O32" i="8"/>
  <c r="N32" i="8"/>
  <c r="P32" i="8" s="1"/>
  <c r="B32" i="8"/>
  <c r="B31" i="8"/>
  <c r="B30" i="8"/>
  <c r="B29" i="8"/>
  <c r="B28" i="8"/>
  <c r="E247" i="4"/>
  <c r="Q247" i="4" s="1"/>
  <c r="E235" i="4"/>
  <c r="Q235" i="4" s="1"/>
  <c r="E202" i="4"/>
  <c r="Q202" i="4" s="1"/>
  <c r="R202" i="4" s="1"/>
  <c r="O27" i="8"/>
  <c r="H27" i="8"/>
  <c r="B27" i="8"/>
  <c r="B26" i="8"/>
  <c r="B25" i="8"/>
  <c r="B24" i="8"/>
  <c r="B23" i="8"/>
  <c r="B12" i="8"/>
  <c r="B11" i="8"/>
  <c r="G9" i="8"/>
  <c r="H9" i="8" s="1"/>
  <c r="I9" i="8" s="1"/>
  <c r="J9" i="8" s="1"/>
  <c r="K9" i="8" s="1"/>
  <c r="L9" i="8" s="1"/>
  <c r="M9" i="8" s="1"/>
  <c r="B6" i="8"/>
  <c r="F4" i="8"/>
  <c r="F3" i="8"/>
  <c r="F2" i="8"/>
  <c r="G1918" i="1"/>
  <c r="G1917" i="1"/>
  <c r="G1916" i="1"/>
  <c r="G1915" i="1"/>
  <c r="G1914" i="1"/>
  <c r="G1913" i="1"/>
  <c r="G1912" i="1"/>
  <c r="G1911" i="1"/>
  <c r="G1910" i="1"/>
  <c r="G1909" i="1"/>
  <c r="G1908" i="1"/>
  <c r="G1907" i="1"/>
  <c r="G1906" i="1"/>
  <c r="G1889" i="1"/>
  <c r="G1881" i="1"/>
  <c r="G1879" i="1"/>
  <c r="G1878" i="1"/>
  <c r="G1875" i="1"/>
  <c r="G1871" i="1"/>
  <c r="E1861" i="1"/>
  <c r="E1860" i="1"/>
  <c r="E1859" i="1"/>
  <c r="E1858" i="1"/>
  <c r="E1857" i="1"/>
  <c r="E1856" i="1"/>
  <c r="E1855" i="1"/>
  <c r="G1854" i="1"/>
  <c r="E1854" i="1"/>
  <c r="E1853" i="1"/>
  <c r="K680" i="4" s="1"/>
  <c r="E1852" i="1"/>
  <c r="K382" i="4" s="1"/>
  <c r="E1851" i="1"/>
  <c r="E1850" i="1"/>
  <c r="E1849" i="1"/>
  <c r="E1848" i="1"/>
  <c r="E1847" i="1"/>
  <c r="E1846" i="1"/>
  <c r="E1845" i="1"/>
  <c r="K387" i="4" s="1"/>
  <c r="E1844" i="1"/>
  <c r="E1843" i="1"/>
  <c r="K344" i="4" s="1"/>
  <c r="E1842" i="1"/>
  <c r="E1841" i="1"/>
  <c r="E1840" i="1"/>
  <c r="K560" i="4" s="1"/>
  <c r="E1839" i="1"/>
  <c r="K685" i="4" s="1"/>
  <c r="E1838" i="1"/>
  <c r="K291" i="4" s="1"/>
  <c r="E1837" i="1"/>
  <c r="E1836" i="1"/>
  <c r="E1835" i="1"/>
  <c r="K554" i="4" s="1"/>
  <c r="E1834" i="1"/>
  <c r="E1833" i="1"/>
  <c r="E1832" i="1"/>
  <c r="E1831" i="1"/>
  <c r="E1830" i="1"/>
  <c r="E1829" i="1"/>
  <c r="K814" i="13" s="1"/>
  <c r="G1828" i="1"/>
  <c r="E1828" i="1"/>
  <c r="G1827" i="1"/>
  <c r="E1827" i="1"/>
  <c r="E1826" i="1"/>
  <c r="K800" i="13" s="1"/>
  <c r="E1825" i="1"/>
  <c r="K682" i="4" s="1"/>
  <c r="E1824" i="1"/>
  <c r="E1823" i="1"/>
  <c r="E1822" i="1"/>
  <c r="E1821" i="1"/>
  <c r="K371" i="4" s="1"/>
  <c r="E1820" i="1"/>
  <c r="K1096" i="13" s="1"/>
  <c r="E1819" i="1"/>
  <c r="K368" i="4" s="1"/>
  <c r="E1818" i="1"/>
  <c r="K1093" i="13" s="1"/>
  <c r="E1817" i="1"/>
  <c r="K369" i="4" s="1"/>
  <c r="E1816" i="1"/>
  <c r="K1094" i="13" s="1"/>
  <c r="E1815" i="1"/>
  <c r="K370" i="4" s="1"/>
  <c r="E1814" i="1"/>
  <c r="K1095" i="13" s="1"/>
  <c r="E1813" i="1"/>
  <c r="G1812" i="1"/>
  <c r="E1812" i="1"/>
  <c r="G1811" i="1"/>
  <c r="E1811" i="1"/>
  <c r="E1810" i="1"/>
  <c r="E1809" i="1"/>
  <c r="G1808" i="1"/>
  <c r="E1808" i="1"/>
  <c r="E1807" i="1"/>
  <c r="G1806" i="1"/>
  <c r="E1806" i="1"/>
  <c r="E1805" i="1"/>
  <c r="E1804" i="1"/>
  <c r="E1803" i="1"/>
  <c r="E1802" i="1"/>
  <c r="E1801" i="1"/>
  <c r="E1800" i="1"/>
  <c r="E1799" i="1"/>
  <c r="E1798" i="1"/>
  <c r="E1797" i="1"/>
  <c r="E1796" i="1"/>
  <c r="E1795" i="1"/>
  <c r="G1794" i="1"/>
  <c r="E1794" i="1"/>
  <c r="E1793" i="1"/>
  <c r="E1792" i="1"/>
  <c r="K287" i="4" s="1"/>
  <c r="E1791" i="1"/>
  <c r="K650" i="13" s="1"/>
  <c r="E1790" i="1"/>
  <c r="K649" i="13" s="1"/>
  <c r="E1789" i="1"/>
  <c r="K648" i="13" s="1"/>
  <c r="E1788" i="1"/>
  <c r="K286" i="4" s="1"/>
  <c r="E1787" i="1"/>
  <c r="E1786" i="1"/>
  <c r="K637" i="13" s="1"/>
  <c r="G1785" i="1"/>
  <c r="E1785" i="1"/>
  <c r="E1784" i="1"/>
  <c r="K681" i="4" s="1"/>
  <c r="E1783" i="1"/>
  <c r="G1782" i="1"/>
  <c r="E1782" i="1"/>
  <c r="E1781" i="1"/>
  <c r="E1780" i="1"/>
  <c r="E1779" i="1"/>
  <c r="E1778" i="1"/>
  <c r="K1278" i="13" s="1"/>
  <c r="G1777" i="1"/>
  <c r="E1777" i="1"/>
  <c r="E1776" i="1"/>
  <c r="K1273" i="13" s="1"/>
  <c r="E1775" i="1"/>
  <c r="E1774" i="1"/>
  <c r="K601" i="13" s="1"/>
  <c r="E1773" i="1"/>
  <c r="K1272" i="13" s="1"/>
  <c r="E1772" i="1"/>
  <c r="K1271" i="13" s="1"/>
  <c r="E1771" i="1"/>
  <c r="E1770" i="1"/>
  <c r="K595" i="13" s="1"/>
  <c r="E1769" i="1"/>
  <c r="K1277" i="13" s="1"/>
  <c r="E1768" i="1"/>
  <c r="K1276" i="13" s="1"/>
  <c r="E1767" i="1"/>
  <c r="E1766" i="1"/>
  <c r="E1765" i="1"/>
  <c r="K590" i="13" s="1"/>
  <c r="E1764" i="1"/>
  <c r="E1763" i="1"/>
  <c r="G1762" i="1"/>
  <c r="E1762" i="1"/>
  <c r="G1761" i="1"/>
  <c r="E1761" i="1"/>
  <c r="G1760" i="1"/>
  <c r="G1759" i="1"/>
  <c r="G1723" i="1"/>
  <c r="G1722" i="1"/>
  <c r="G1721" i="1"/>
  <c r="G1720" i="1"/>
  <c r="G1719" i="1"/>
  <c r="G1716" i="1"/>
  <c r="G1715" i="1"/>
  <c r="E1714" i="1"/>
  <c r="E1713" i="1"/>
  <c r="E1712" i="1"/>
  <c r="E1711" i="1"/>
  <c r="E1710" i="1"/>
  <c r="E1709" i="1"/>
  <c r="E1708" i="1"/>
  <c r="E1707" i="1"/>
  <c r="E1706" i="1"/>
  <c r="E1705" i="1"/>
  <c r="E1704" i="1"/>
  <c r="K13" i="4" s="1"/>
  <c r="E1703" i="1"/>
  <c r="E1702" i="1"/>
  <c r="E1701" i="1"/>
  <c r="K384" i="4" s="1"/>
  <c r="E1700" i="1"/>
  <c r="E1699" i="1"/>
  <c r="E1698" i="1"/>
  <c r="E1697" i="1"/>
  <c r="E1696" i="1"/>
  <c r="K83" i="4" s="1"/>
  <c r="E1695" i="1"/>
  <c r="K78" i="4" s="1"/>
  <c r="G1694" i="1"/>
  <c r="E1694" i="1"/>
  <c r="E1693" i="1"/>
  <c r="E1692" i="1"/>
  <c r="G1691" i="1"/>
  <c r="E1691" i="1"/>
  <c r="E1690" i="1"/>
  <c r="E1689" i="1"/>
  <c r="G1688" i="1"/>
  <c r="E1688" i="1"/>
  <c r="G1687" i="1"/>
  <c r="E1687" i="1"/>
  <c r="E1686" i="1"/>
  <c r="E1685" i="1"/>
  <c r="E1684" i="1"/>
  <c r="E1683" i="1"/>
  <c r="K69" i="4" s="1"/>
  <c r="E1682" i="1"/>
  <c r="K59" i="4" s="1"/>
  <c r="E1681" i="1"/>
  <c r="E1680" i="1"/>
  <c r="G1679" i="1"/>
  <c r="E1679" i="1"/>
  <c r="E1678" i="1"/>
  <c r="E1677" i="1"/>
  <c r="G1676" i="1"/>
  <c r="E1676" i="1"/>
  <c r="G1675" i="1"/>
  <c r="E1675" i="1"/>
  <c r="E1674" i="1"/>
  <c r="E1673" i="1"/>
  <c r="E1672" i="1"/>
  <c r="E1671" i="1"/>
  <c r="K33" i="4" s="1"/>
  <c r="E1670" i="1"/>
  <c r="K34" i="4" s="1"/>
  <c r="E1669" i="1"/>
  <c r="E1668" i="1"/>
  <c r="G1667" i="1"/>
  <c r="E1667" i="1"/>
  <c r="G1666" i="1"/>
  <c r="E1666" i="1"/>
  <c r="G1665" i="1"/>
  <c r="E1665" i="1"/>
  <c r="G1664" i="1"/>
  <c r="E1664" i="1"/>
  <c r="E1663" i="1"/>
  <c r="K72" i="4" s="1"/>
  <c r="E1662" i="1"/>
  <c r="K509" i="4" s="1"/>
  <c r="E1661" i="1"/>
  <c r="E1660" i="1"/>
  <c r="K29" i="4" s="1"/>
  <c r="E1659" i="1"/>
  <c r="K516" i="4" s="1"/>
  <c r="E1658" i="1"/>
  <c r="E1657" i="1"/>
  <c r="E1656" i="1"/>
  <c r="E1655" i="1"/>
  <c r="E1654" i="1"/>
  <c r="E1653" i="1"/>
  <c r="E1652" i="1"/>
  <c r="E1651" i="1"/>
  <c r="E1650" i="1"/>
  <c r="E1649" i="1"/>
  <c r="E1648" i="1"/>
  <c r="B1647" i="1"/>
  <c r="J1642" i="1"/>
  <c r="J1641" i="1"/>
  <c r="J1640" i="1"/>
  <c r="J1639" i="1"/>
  <c r="J1638" i="1"/>
  <c r="J1637" i="1"/>
  <c r="J1636" i="1"/>
  <c r="J1635" i="1"/>
  <c r="S37" i="17412"/>
  <c r="S179" i="17412"/>
  <c r="R38" i="17412"/>
  <c r="R73" i="17412"/>
  <c r="R142" i="17412"/>
  <c r="R113" i="17412"/>
  <c r="J1459" i="1"/>
  <c r="G1456" i="1"/>
  <c r="H1456" i="1" s="1"/>
  <c r="G1455" i="1"/>
  <c r="H1455" i="1" s="1"/>
  <c r="F1183" i="1"/>
  <c r="F1182" i="1"/>
  <c r="F1180" i="1"/>
  <c r="F1179" i="1"/>
  <c r="F1176" i="1"/>
  <c r="F1175" i="1"/>
  <c r="F1173" i="1"/>
  <c r="H1173" i="1" s="1"/>
  <c r="F1089" i="1"/>
  <c r="F1064" i="1"/>
  <c r="H1064" i="1" s="1"/>
  <c r="F1063" i="1"/>
  <c r="F1056" i="1"/>
  <c r="H1056" i="1" s="1"/>
  <c r="F1050" i="1"/>
  <c r="F1004" i="1"/>
  <c r="H1004" i="1" s="1"/>
  <c r="F1003" i="1"/>
  <c r="H1003" i="1" s="1"/>
  <c r="F964" i="1"/>
  <c r="H964" i="1" s="1"/>
  <c r="F954" i="1"/>
  <c r="H954" i="1" s="1"/>
  <c r="F952" i="1"/>
  <c r="B950" i="1"/>
  <c r="F758" i="1"/>
  <c r="H758" i="1" s="1"/>
  <c r="F750" i="1"/>
  <c r="L415" i="4" s="1"/>
  <c r="F746" i="1"/>
  <c r="L411" i="4" s="1"/>
  <c r="F733" i="1"/>
  <c r="H733" i="1" s="1"/>
  <c r="F732" i="1"/>
  <c r="H732" i="1" s="1"/>
  <c r="F731" i="1"/>
  <c r="H731" i="1" s="1"/>
  <c r="F730" i="1"/>
  <c r="H730" i="1" s="1"/>
  <c r="F729" i="1"/>
  <c r="H729" i="1" s="1"/>
  <c r="F728" i="1"/>
  <c r="H728" i="1" s="1"/>
  <c r="F727" i="1"/>
  <c r="H727" i="1" s="1"/>
  <c r="F726" i="1"/>
  <c r="H726" i="1" s="1"/>
  <c r="F725" i="1"/>
  <c r="H725" i="1" s="1"/>
  <c r="F724" i="1"/>
  <c r="H724" i="1" s="1"/>
  <c r="F723" i="1"/>
  <c r="H723" i="1" s="1"/>
  <c r="F722" i="1"/>
  <c r="H722" i="1" s="1"/>
  <c r="F677" i="1"/>
  <c r="H677" i="1" s="1"/>
  <c r="F653" i="1"/>
  <c r="H653" i="1" s="1"/>
  <c r="F623" i="1"/>
  <c r="H623" i="1" s="1"/>
  <c r="F620" i="1"/>
  <c r="H620" i="1" s="1"/>
  <c r="F576" i="1"/>
  <c r="H576" i="1" s="1"/>
  <c r="F575" i="1"/>
  <c r="H575" i="1" s="1"/>
  <c r="F574" i="1"/>
  <c r="H574" i="1" s="1"/>
  <c r="F573" i="1"/>
  <c r="H573" i="1" s="1"/>
  <c r="F572" i="1"/>
  <c r="H572" i="1" s="1"/>
  <c r="F571" i="1"/>
  <c r="H571" i="1" s="1"/>
  <c r="F570" i="1"/>
  <c r="H570" i="1" s="1"/>
  <c r="F569" i="1"/>
  <c r="H569" i="1" s="1"/>
  <c r="F568" i="1"/>
  <c r="H568" i="1" s="1"/>
  <c r="F567" i="1"/>
  <c r="H567" i="1" s="1"/>
  <c r="F566" i="1"/>
  <c r="H566" i="1" s="1"/>
  <c r="F565" i="1"/>
  <c r="H565" i="1" s="1"/>
  <c r="F458" i="1"/>
  <c r="H458" i="1" s="1"/>
  <c r="F415" i="1"/>
  <c r="H415" i="1" s="1"/>
  <c r="F324" i="1"/>
  <c r="H324" i="1" s="1"/>
  <c r="F321" i="1"/>
  <c r="H321" i="1" s="1"/>
  <c r="F277" i="1"/>
  <c r="H277" i="1" s="1"/>
  <c r="F201" i="1"/>
  <c r="F188" i="1"/>
  <c r="H188" i="1" s="1"/>
  <c r="F187" i="1"/>
  <c r="H187" i="1" s="1"/>
  <c r="F185" i="1"/>
  <c r="H185" i="1" s="1"/>
  <c r="F184" i="1"/>
  <c r="H184" i="1" s="1"/>
  <c r="F121" i="1"/>
  <c r="H121" i="1" s="1"/>
  <c r="F116" i="1"/>
  <c r="H116" i="1" s="1"/>
  <c r="F115" i="1"/>
  <c r="H115" i="1" s="1"/>
  <c r="F100" i="1"/>
  <c r="F99" i="1"/>
  <c r="H99" i="1" s="1"/>
  <c r="F98" i="1"/>
  <c r="H98" i="1" s="1"/>
  <c r="F97" i="1"/>
  <c r="H97" i="1" s="1"/>
  <c r="B76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J161" i="4" s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B14" i="1"/>
  <c r="B6" i="1"/>
  <c r="D3" i="1"/>
  <c r="L38" i="9"/>
  <c r="M38" i="9" s="1"/>
  <c r="N38" i="9" s="1"/>
  <c r="S37" i="9"/>
  <c r="L37" i="9"/>
  <c r="M37" i="9" s="1"/>
  <c r="N37" i="9" s="1"/>
  <c r="S36" i="9"/>
  <c r="S35" i="9"/>
  <c r="S34" i="9"/>
  <c r="L31" i="9"/>
  <c r="M31" i="9" s="1"/>
  <c r="N31" i="9" s="1"/>
  <c r="S30" i="9"/>
  <c r="K46" i="12" s="1"/>
  <c r="S29" i="9"/>
  <c r="S28" i="9"/>
  <c r="S27" i="9"/>
  <c r="T18" i="14" s="1"/>
  <c r="S23" i="9"/>
  <c r="S22" i="9"/>
  <c r="S21" i="9"/>
  <c r="K20" i="9"/>
  <c r="S16" i="9"/>
  <c r="M16" i="9"/>
  <c r="N16" i="9" s="1"/>
  <c r="L16" i="9"/>
  <c r="S15" i="9"/>
  <c r="L15" i="9"/>
  <c r="S14" i="9"/>
  <c r="L14" i="9"/>
  <c r="M14" i="9" s="1"/>
  <c r="N14" i="9" s="1"/>
  <c r="S13" i="9"/>
  <c r="S12" i="9"/>
  <c r="S11" i="9"/>
  <c r="M11" i="9"/>
  <c r="N11" i="9" s="1"/>
  <c r="S10" i="9"/>
  <c r="S9" i="9"/>
  <c r="S8" i="9"/>
  <c r="S7" i="9"/>
  <c r="S6" i="9"/>
  <c r="S5" i="9"/>
  <c r="K28" i="4" l="1"/>
  <c r="K515" i="4"/>
  <c r="J26" i="12"/>
  <c r="T32" i="14"/>
  <c r="G46" i="12"/>
  <c r="H746" i="1"/>
  <c r="H750" i="1"/>
  <c r="H13" i="14"/>
  <c r="N13" i="14" s="1"/>
  <c r="R7" i="17418"/>
  <c r="K688" i="4"/>
  <c r="K557" i="4"/>
  <c r="K689" i="4"/>
  <c r="K558" i="4"/>
  <c r="K609" i="4"/>
  <c r="K559" i="4"/>
  <c r="K605" i="4"/>
  <c r="K555" i="4"/>
  <c r="O16" i="12"/>
  <c r="H26" i="12"/>
  <c r="T488" i="6"/>
  <c r="W488" i="6"/>
  <c r="T487" i="6"/>
  <c r="T486" i="6"/>
  <c r="AN486" i="6"/>
  <c r="AN1478" i="13" s="1"/>
  <c r="W486" i="6"/>
  <c r="V486" i="6"/>
  <c r="X486" i="6"/>
  <c r="W487" i="6"/>
  <c r="AN488" i="6"/>
  <c r="V488" i="6"/>
  <c r="V487" i="6"/>
  <c r="X488" i="6"/>
  <c r="X487" i="6"/>
  <c r="AN487" i="6"/>
  <c r="U487" i="6"/>
  <c r="U488" i="6"/>
  <c r="U486" i="6"/>
  <c r="N18" i="12"/>
  <c r="S38" i="9"/>
  <c r="O15" i="12"/>
  <c r="W483" i="6"/>
  <c r="U485" i="6"/>
  <c r="U484" i="6"/>
  <c r="X485" i="6"/>
  <c r="T485" i="6"/>
  <c r="X484" i="6"/>
  <c r="T484" i="6"/>
  <c r="X483" i="6"/>
  <c r="T483" i="6"/>
  <c r="V484" i="6"/>
  <c r="V483" i="6"/>
  <c r="W485" i="6"/>
  <c r="W484" i="6"/>
  <c r="V485" i="6"/>
  <c r="AN484" i="6"/>
  <c r="U483" i="6"/>
  <c r="AN483" i="6"/>
  <c r="AN485" i="6"/>
  <c r="L204" i="4"/>
  <c r="L985" i="4"/>
  <c r="L217" i="4"/>
  <c r="P217" i="4" s="1"/>
  <c r="L221" i="4"/>
  <c r="P221" i="4" s="1"/>
  <c r="J16" i="12"/>
  <c r="I16" i="12"/>
  <c r="H16" i="12"/>
  <c r="K16" i="12"/>
  <c r="J47" i="12"/>
  <c r="Q66" i="14"/>
  <c r="Q62" i="14"/>
  <c r="Q57" i="14"/>
  <c r="Q53" i="14"/>
  <c r="Q48" i="14"/>
  <c r="Q44" i="14"/>
  <c r="Q39" i="14"/>
  <c r="Q35" i="14"/>
  <c r="Q31" i="14"/>
  <c r="Q30" i="14"/>
  <c r="Q26" i="14"/>
  <c r="Q22" i="14"/>
  <c r="Q17" i="14"/>
  <c r="Q14" i="14"/>
  <c r="Q13" i="14"/>
  <c r="Q10" i="14"/>
  <c r="Q9" i="14"/>
  <c r="I47" i="12"/>
  <c r="Q63" i="14"/>
  <c r="Q58" i="14"/>
  <c r="Q54" i="14"/>
  <c r="Q49" i="14"/>
  <c r="Q45" i="14"/>
  <c r="Q41" i="14"/>
  <c r="Q40" i="14"/>
  <c r="Q36" i="14"/>
  <c r="Q32" i="14"/>
  <c r="Q27" i="14"/>
  <c r="Q23" i="14"/>
  <c r="Q18" i="14"/>
  <c r="Q15" i="14"/>
  <c r="H47" i="12"/>
  <c r="Q64" i="14"/>
  <c r="Q59" i="14"/>
  <c r="Q55" i="14"/>
  <c r="Q51" i="14"/>
  <c r="Q50" i="14"/>
  <c r="Q46" i="14"/>
  <c r="Q42" i="14"/>
  <c r="Q37" i="14"/>
  <c r="Q33" i="14"/>
  <c r="Q28" i="14"/>
  <c r="Q24" i="14"/>
  <c r="Q19" i="14"/>
  <c r="Q12" i="14"/>
  <c r="Q11" i="14"/>
  <c r="K47" i="12"/>
  <c r="G47" i="12"/>
  <c r="Q65" i="14"/>
  <c r="Q61" i="14"/>
  <c r="Q60" i="14"/>
  <c r="Q56" i="14"/>
  <c r="Q52" i="14"/>
  <c r="Q47" i="14"/>
  <c r="Q43" i="14"/>
  <c r="Q38" i="14"/>
  <c r="Q34" i="14"/>
  <c r="Q29" i="14"/>
  <c r="Q25" i="14"/>
  <c r="Q21" i="14"/>
  <c r="Q20" i="14"/>
  <c r="Q16" i="14"/>
  <c r="Q8" i="14"/>
  <c r="Q7" i="14"/>
  <c r="K17" i="12"/>
  <c r="J17" i="12"/>
  <c r="I17" i="12"/>
  <c r="H17" i="12"/>
  <c r="G7" i="14"/>
  <c r="T9" i="14"/>
  <c r="J10" i="14"/>
  <c r="T10" i="14"/>
  <c r="T13" i="14"/>
  <c r="T14" i="14"/>
  <c r="E16" i="14"/>
  <c r="T17" i="14"/>
  <c r="T22" i="14"/>
  <c r="T26" i="14"/>
  <c r="T30" i="14"/>
  <c r="T31" i="14"/>
  <c r="J14" i="12"/>
  <c r="K26" i="12"/>
  <c r="H46" i="12"/>
  <c r="D103" i="17412"/>
  <c r="F1555" i="1" s="1"/>
  <c r="L246" i="4" s="1"/>
  <c r="P246" i="4" s="1"/>
  <c r="T7" i="14"/>
  <c r="T8" i="14"/>
  <c r="H14" i="14"/>
  <c r="N14" i="14" s="1"/>
  <c r="T16" i="14"/>
  <c r="T20" i="14"/>
  <c r="T21" i="14"/>
  <c r="T25" i="14"/>
  <c r="T29" i="14"/>
  <c r="K14" i="12"/>
  <c r="I46" i="12"/>
  <c r="S31" i="9"/>
  <c r="T35" i="14" s="1"/>
  <c r="S24" i="9"/>
  <c r="J45" i="12" s="1"/>
  <c r="H7" i="14"/>
  <c r="N7" i="14" s="1"/>
  <c r="F11" i="14"/>
  <c r="G11" i="14" s="1"/>
  <c r="M11" i="14" s="1"/>
  <c r="T11" i="14"/>
  <c r="T12" i="14"/>
  <c r="T19" i="14"/>
  <c r="T24" i="14"/>
  <c r="T28" i="14"/>
  <c r="T46" i="14"/>
  <c r="T59" i="14"/>
  <c r="H14" i="12"/>
  <c r="J46" i="12"/>
  <c r="L21" i="9"/>
  <c r="H11" i="14"/>
  <c r="N11" i="14" s="1"/>
  <c r="I13" i="14"/>
  <c r="T15" i="14"/>
  <c r="T23" i="14"/>
  <c r="T27" i="14"/>
  <c r="T41" i="14"/>
  <c r="T58" i="14"/>
  <c r="D14" i="17412"/>
  <c r="F1466" i="1" s="1"/>
  <c r="D17" i="17412"/>
  <c r="F1469" i="1" s="1"/>
  <c r="D20" i="17412"/>
  <c r="F1472" i="1" s="1"/>
  <c r="D34" i="17412"/>
  <c r="F1486" i="1" s="1"/>
  <c r="D59" i="17412"/>
  <c r="F1511" i="1" s="1"/>
  <c r="D61" i="17412"/>
  <c r="F1513" i="1" s="1"/>
  <c r="D78" i="17412"/>
  <c r="F1530" i="1" s="1"/>
  <c r="D123" i="17412"/>
  <c r="F1575" i="1" s="1"/>
  <c r="B42" i="17422"/>
  <c r="D36" i="17422"/>
  <c r="C33" i="17422"/>
  <c r="B30" i="17422"/>
  <c r="D42" i="17422"/>
  <c r="B39" i="17422"/>
  <c r="B33" i="17422"/>
  <c r="C27" i="17422"/>
  <c r="C42" i="17422"/>
  <c r="C36" i="17422"/>
  <c r="D30" i="17422"/>
  <c r="B27" i="17422"/>
  <c r="D39" i="17422"/>
  <c r="B36" i="17422"/>
  <c r="C30" i="17422"/>
  <c r="D27" i="17422"/>
  <c r="C39" i="17422"/>
  <c r="D33" i="17422"/>
  <c r="D169" i="17412"/>
  <c r="F1621" i="1" s="1"/>
  <c r="D31" i="17412"/>
  <c r="F1483" i="1" s="1"/>
  <c r="D41" i="17412"/>
  <c r="F1493" i="1" s="1"/>
  <c r="D51" i="17412"/>
  <c r="F1503" i="1" s="1"/>
  <c r="T69" i="17412"/>
  <c r="D109" i="17412"/>
  <c r="F1561" i="1" s="1"/>
  <c r="D28" i="17412"/>
  <c r="F1480" i="1" s="1"/>
  <c r="L245" i="4" s="1"/>
  <c r="P245" i="4" s="1"/>
  <c r="D53" i="17412"/>
  <c r="F1505" i="1" s="1"/>
  <c r="H1505" i="1" s="1"/>
  <c r="D21" i="17412"/>
  <c r="F1473" i="1" s="1"/>
  <c r="H1473" i="1" s="1"/>
  <c r="D23" i="17412"/>
  <c r="F1475" i="1" s="1"/>
  <c r="H1475" i="1" s="1"/>
  <c r="D69" i="17412"/>
  <c r="F1521" i="1" s="1"/>
  <c r="D70" i="17412"/>
  <c r="F1522" i="1" s="1"/>
  <c r="D128" i="17412"/>
  <c r="F1580" i="1" s="1"/>
  <c r="D147" i="17412"/>
  <c r="F1599" i="1" s="1"/>
  <c r="L442" i="13" s="1"/>
  <c r="G38" i="17412"/>
  <c r="D38" i="17412" s="1"/>
  <c r="F1490" i="1" s="1"/>
  <c r="H1490" i="1" s="1"/>
  <c r="D101" i="17412"/>
  <c r="F1553" i="1" s="1"/>
  <c r="G129" i="17412"/>
  <c r="D129" i="17412" s="1"/>
  <c r="F1581" i="1" s="1"/>
  <c r="D131" i="17412"/>
  <c r="F1583" i="1" s="1"/>
  <c r="H1583" i="1" s="1"/>
  <c r="G139" i="17412"/>
  <c r="D139" i="17412" s="1"/>
  <c r="F1591" i="1" s="1"/>
  <c r="L120" i="13" s="1"/>
  <c r="P120" i="13" s="1"/>
  <c r="R235" i="4"/>
  <c r="G1143" i="1"/>
  <c r="H1143" i="1" s="1"/>
  <c r="D143" i="17412"/>
  <c r="F1595" i="1" s="1"/>
  <c r="L466" i="4" s="1"/>
  <c r="R466" i="4" s="1"/>
  <c r="D153" i="17412"/>
  <c r="F1605" i="1" s="1"/>
  <c r="L1138" i="13" s="1"/>
  <c r="P1138" i="13" s="1"/>
  <c r="D118" i="17412"/>
  <c r="F1570" i="1" s="1"/>
  <c r="L241" i="4" s="1"/>
  <c r="P241" i="4" s="1"/>
  <c r="D134" i="17412"/>
  <c r="F1586" i="1" s="1"/>
  <c r="L676" i="13" s="1"/>
  <c r="P676" i="13" s="1"/>
  <c r="H15" i="14"/>
  <c r="N15" i="14" s="1"/>
  <c r="F15" i="14"/>
  <c r="G15" i="14" s="1"/>
  <c r="G51" i="14"/>
  <c r="M51" i="14" s="1"/>
  <c r="J7" i="14"/>
  <c r="I11" i="14"/>
  <c r="F12" i="14"/>
  <c r="G12" i="14" s="1"/>
  <c r="I12" i="14" s="1"/>
  <c r="F14" i="14"/>
  <c r="F21" i="14"/>
  <c r="F31" i="14"/>
  <c r="H41" i="14"/>
  <c r="N41" i="14" s="1"/>
  <c r="H51" i="14"/>
  <c r="N51" i="14" s="1"/>
  <c r="F61" i="14"/>
  <c r="G61" i="14" s="1"/>
  <c r="J11" i="14"/>
  <c r="J13" i="14"/>
  <c r="G14" i="14"/>
  <c r="M14" i="14" s="1"/>
  <c r="G21" i="14"/>
  <c r="M21" i="14" s="1"/>
  <c r="J41" i="14"/>
  <c r="I7" i="14"/>
  <c r="M7" i="14"/>
  <c r="I8" i="14"/>
  <c r="M8" i="14"/>
  <c r="I10" i="14"/>
  <c r="M10" i="14"/>
  <c r="K11" i="14"/>
  <c r="K13" i="14"/>
  <c r="I41" i="14"/>
  <c r="M41" i="14"/>
  <c r="K7" i="14"/>
  <c r="K8" i="14"/>
  <c r="K10" i="14"/>
  <c r="K41" i="14"/>
  <c r="M430" i="6"/>
  <c r="R60" i="17418"/>
  <c r="Q60" i="17418"/>
  <c r="P207" i="4"/>
  <c r="Q207" i="4"/>
  <c r="Q208" i="4"/>
  <c r="P208" i="4"/>
  <c r="Q216" i="4"/>
  <c r="P216" i="4"/>
  <c r="M215" i="4"/>
  <c r="O215" i="4" s="1"/>
  <c r="Q215" i="4" s="1"/>
  <c r="O209" i="4"/>
  <c r="T69" i="7"/>
  <c r="E245" i="4"/>
  <c r="Q245" i="4" s="1"/>
  <c r="E243" i="4"/>
  <c r="Q243" i="4" s="1"/>
  <c r="E241" i="4"/>
  <c r="Q241" i="4" s="1"/>
  <c r="E246" i="4"/>
  <c r="Q246" i="4" s="1"/>
  <c r="E242" i="4"/>
  <c r="Q242" i="4" s="1"/>
  <c r="G1557" i="1" s="1"/>
  <c r="E244" i="4"/>
  <c r="Q244" i="4" s="1"/>
  <c r="G1488" i="1" s="1"/>
  <c r="E36" i="17412" s="1"/>
  <c r="H32" i="17418"/>
  <c r="E200" i="4"/>
  <c r="Q200" i="4" s="1"/>
  <c r="E198" i="4"/>
  <c r="E196" i="4"/>
  <c r="E194" i="4"/>
  <c r="E192" i="4"/>
  <c r="E190" i="4"/>
  <c r="E188" i="4"/>
  <c r="E186" i="4"/>
  <c r="E184" i="4"/>
  <c r="E182" i="4"/>
  <c r="E180" i="4"/>
  <c r="E178" i="4"/>
  <c r="E176" i="4"/>
  <c r="E174" i="4"/>
  <c r="E172" i="4"/>
  <c r="E170" i="4"/>
  <c r="E168" i="4"/>
  <c r="E166" i="4"/>
  <c r="E164" i="4"/>
  <c r="E162" i="4"/>
  <c r="E160" i="4"/>
  <c r="E158" i="4"/>
  <c r="E156" i="4"/>
  <c r="E154" i="4"/>
  <c r="E152" i="4"/>
  <c r="E150" i="4"/>
  <c r="E148" i="4"/>
  <c r="E146" i="4"/>
  <c r="E144" i="4"/>
  <c r="E142" i="4"/>
  <c r="E140" i="4"/>
  <c r="E199" i="4"/>
  <c r="E197" i="4"/>
  <c r="E193" i="4"/>
  <c r="E191" i="4"/>
  <c r="E187" i="4"/>
  <c r="E185" i="4"/>
  <c r="E181" i="4"/>
  <c r="E179" i="4"/>
  <c r="E175" i="4"/>
  <c r="E173" i="4"/>
  <c r="E169" i="4"/>
  <c r="E167" i="4"/>
  <c r="E163" i="4"/>
  <c r="E161" i="4"/>
  <c r="E157" i="4"/>
  <c r="E155" i="4"/>
  <c r="E151" i="4"/>
  <c r="E149" i="4"/>
  <c r="E145" i="4"/>
  <c r="E143" i="4"/>
  <c r="E201" i="4"/>
  <c r="E195" i="4"/>
  <c r="E189" i="4"/>
  <c r="E183" i="4"/>
  <c r="E177" i="4"/>
  <c r="E171" i="4"/>
  <c r="E165" i="4"/>
  <c r="E159" i="4"/>
  <c r="E153" i="4"/>
  <c r="E147" i="4"/>
  <c r="E141" i="4"/>
  <c r="E239" i="4"/>
  <c r="Q239" i="4" s="1"/>
  <c r="E237" i="4"/>
  <c r="Q237" i="4" s="1"/>
  <c r="R237" i="4" s="1"/>
  <c r="E234" i="4"/>
  <c r="Q234" i="4" s="1"/>
  <c r="R234" i="4" s="1"/>
  <c r="E232" i="4"/>
  <c r="Q232" i="4" s="1"/>
  <c r="E230" i="4"/>
  <c r="Q230" i="4" s="1"/>
  <c r="E228" i="4"/>
  <c r="Q228" i="4" s="1"/>
  <c r="E226" i="4"/>
  <c r="Q226" i="4" s="1"/>
  <c r="E224" i="4"/>
  <c r="Q224" i="4" s="1"/>
  <c r="E240" i="4"/>
  <c r="Q240" i="4" s="1"/>
  <c r="E238" i="4"/>
  <c r="Q238" i="4" s="1"/>
  <c r="E233" i="4"/>
  <c r="Q233" i="4" s="1"/>
  <c r="E231" i="4"/>
  <c r="Q231" i="4" s="1"/>
  <c r="E227" i="4"/>
  <c r="Q227" i="4" s="1"/>
  <c r="E225" i="4"/>
  <c r="Q225" i="4" s="1"/>
  <c r="E236" i="4"/>
  <c r="Q236" i="4" s="1"/>
  <c r="E229" i="4"/>
  <c r="Q229" i="4" s="1"/>
  <c r="L606" i="4"/>
  <c r="P606" i="4" s="1"/>
  <c r="L687" i="4"/>
  <c r="K604" i="4"/>
  <c r="K684" i="4"/>
  <c r="K552" i="4"/>
  <c r="K610" i="4"/>
  <c r="K549" i="4"/>
  <c r="K607" i="4"/>
  <c r="K550" i="4"/>
  <c r="K608" i="4"/>
  <c r="L548" i="4"/>
  <c r="L540" i="4"/>
  <c r="K539" i="4"/>
  <c r="K547" i="4"/>
  <c r="K543" i="4"/>
  <c r="K551" i="4"/>
  <c r="K538" i="4"/>
  <c r="K546" i="4"/>
  <c r="K533" i="4"/>
  <c r="K541" i="4"/>
  <c r="K534" i="4"/>
  <c r="K542" i="4"/>
  <c r="K373" i="4"/>
  <c r="K544" i="4"/>
  <c r="P1317" i="13"/>
  <c r="R1317" i="13"/>
  <c r="K531" i="4"/>
  <c r="K536" i="4"/>
  <c r="L524" i="4"/>
  <c r="L532" i="4"/>
  <c r="L518" i="4"/>
  <c r="K523" i="4"/>
  <c r="K530" i="4"/>
  <c r="K527" i="4"/>
  <c r="K535" i="4"/>
  <c r="K519" i="4"/>
  <c r="K525" i="4"/>
  <c r="K520" i="4"/>
  <c r="K526" i="4"/>
  <c r="K309" i="4"/>
  <c r="K521" i="4"/>
  <c r="K514" i="4"/>
  <c r="K517" i="4"/>
  <c r="N468" i="13"/>
  <c r="N469" i="13" s="1"/>
  <c r="O469" i="13" s="1"/>
  <c r="O930" i="13"/>
  <c r="AH263" i="4"/>
  <c r="AH8" i="4"/>
  <c r="AH128" i="4"/>
  <c r="K44" i="4"/>
  <c r="K503" i="4"/>
  <c r="Q138" i="4"/>
  <c r="P138" i="4"/>
  <c r="Q285" i="4"/>
  <c r="R285" i="4" s="1"/>
  <c r="P285" i="4"/>
  <c r="Q319" i="4"/>
  <c r="P319" i="4"/>
  <c r="Q323" i="4"/>
  <c r="P323" i="4"/>
  <c r="Q376" i="4"/>
  <c r="G343" i="1" s="1"/>
  <c r="H343" i="1" s="1"/>
  <c r="P376" i="4"/>
  <c r="Q397" i="4"/>
  <c r="G365" i="1" s="1"/>
  <c r="H365" i="1" s="1"/>
  <c r="P397" i="4"/>
  <c r="Q400" i="4"/>
  <c r="P400" i="4"/>
  <c r="Q404" i="4"/>
  <c r="P404" i="4"/>
  <c r="Q412" i="4"/>
  <c r="P412" i="4"/>
  <c r="Q416" i="4"/>
  <c r="P416" i="4"/>
  <c r="Q139" i="4"/>
  <c r="P139" i="4"/>
  <c r="P250" i="4"/>
  <c r="Q250" i="4"/>
  <c r="R250" i="4" s="1"/>
  <c r="Q316" i="4"/>
  <c r="P316" i="4"/>
  <c r="Q320" i="4"/>
  <c r="P320" i="4"/>
  <c r="Q324" i="4"/>
  <c r="P324" i="4"/>
  <c r="Q337" i="4"/>
  <c r="P337" i="4"/>
  <c r="P345" i="4"/>
  <c r="Q345" i="4"/>
  <c r="G844" i="1" s="1"/>
  <c r="H844" i="1" s="1"/>
  <c r="Q348" i="4"/>
  <c r="R348" i="4" s="1"/>
  <c r="P348" i="4"/>
  <c r="Q377" i="4"/>
  <c r="R377" i="4" s="1"/>
  <c r="P377" i="4"/>
  <c r="Q401" i="4"/>
  <c r="P401" i="4"/>
  <c r="Q405" i="4"/>
  <c r="P405" i="4"/>
  <c r="Q409" i="4"/>
  <c r="P409" i="4"/>
  <c r="Q413" i="4"/>
  <c r="P413" i="4"/>
  <c r="P317" i="4"/>
  <c r="Q317" i="4"/>
  <c r="Q321" i="4"/>
  <c r="P321" i="4"/>
  <c r="Q325" i="4"/>
  <c r="R325" i="4" s="1"/>
  <c r="P325" i="4"/>
  <c r="P338" i="4"/>
  <c r="Q338" i="4"/>
  <c r="R338" i="4" s="1"/>
  <c r="Q402" i="4"/>
  <c r="P402" i="4"/>
  <c r="Q406" i="4"/>
  <c r="P406" i="4"/>
  <c r="Q410" i="4"/>
  <c r="P410" i="4"/>
  <c r="Q414" i="4"/>
  <c r="P414" i="4"/>
  <c r="Q318" i="4"/>
  <c r="P318" i="4"/>
  <c r="P322" i="4"/>
  <c r="Q322" i="4"/>
  <c r="Q403" i="4"/>
  <c r="P403" i="4"/>
  <c r="W9" i="14"/>
  <c r="J142" i="4"/>
  <c r="W13" i="14"/>
  <c r="J146" i="4"/>
  <c r="W17" i="14"/>
  <c r="J150" i="4"/>
  <c r="W21" i="14"/>
  <c r="J154" i="4"/>
  <c r="W25" i="14"/>
  <c r="J158" i="4"/>
  <c r="J175" i="13"/>
  <c r="J162" i="4"/>
  <c r="W33" i="14"/>
  <c r="J166" i="4"/>
  <c r="W37" i="14"/>
  <c r="J170" i="4"/>
  <c r="W41" i="14"/>
  <c r="J174" i="4"/>
  <c r="W45" i="14"/>
  <c r="J178" i="4"/>
  <c r="W49" i="14"/>
  <c r="J182" i="4"/>
  <c r="W53" i="14"/>
  <c r="J186" i="4"/>
  <c r="W57" i="14"/>
  <c r="J190" i="4"/>
  <c r="W61" i="14"/>
  <c r="J194" i="4"/>
  <c r="W65" i="14"/>
  <c r="J198" i="4"/>
  <c r="W10" i="14"/>
  <c r="J143" i="4"/>
  <c r="W14" i="14"/>
  <c r="J147" i="4"/>
  <c r="W18" i="14"/>
  <c r="J151" i="4"/>
  <c r="W22" i="14"/>
  <c r="J155" i="4"/>
  <c r="W26" i="14"/>
  <c r="J159" i="4"/>
  <c r="W30" i="14"/>
  <c r="J163" i="4"/>
  <c r="W34" i="14"/>
  <c r="J167" i="4"/>
  <c r="W38" i="14"/>
  <c r="J171" i="4"/>
  <c r="W42" i="14"/>
  <c r="J175" i="4"/>
  <c r="W46" i="14"/>
  <c r="J179" i="4"/>
  <c r="W50" i="14"/>
  <c r="J183" i="4"/>
  <c r="W54" i="14"/>
  <c r="J187" i="4"/>
  <c r="W58" i="14"/>
  <c r="J191" i="4"/>
  <c r="W62" i="14"/>
  <c r="J195" i="4"/>
  <c r="W66" i="14"/>
  <c r="J199" i="4"/>
  <c r="L395" i="4"/>
  <c r="L366" i="4"/>
  <c r="W7" i="14"/>
  <c r="J140" i="4"/>
  <c r="W11" i="14"/>
  <c r="J144" i="4"/>
  <c r="W15" i="14"/>
  <c r="J148" i="4"/>
  <c r="W19" i="14"/>
  <c r="J152" i="4"/>
  <c r="W23" i="14"/>
  <c r="J156" i="4"/>
  <c r="W27" i="14"/>
  <c r="J160" i="4"/>
  <c r="W31" i="14"/>
  <c r="J164" i="4"/>
  <c r="W35" i="14"/>
  <c r="J168" i="4"/>
  <c r="W39" i="14"/>
  <c r="J172" i="4"/>
  <c r="W43" i="14"/>
  <c r="J176" i="4"/>
  <c r="W47" i="14"/>
  <c r="J180" i="4"/>
  <c r="W51" i="14"/>
  <c r="J184" i="4"/>
  <c r="W55" i="14"/>
  <c r="J188" i="4"/>
  <c r="W59" i="14"/>
  <c r="J192" i="4"/>
  <c r="W63" i="14"/>
  <c r="J196" i="4"/>
  <c r="W8" i="14"/>
  <c r="J141" i="4"/>
  <c r="W12" i="14"/>
  <c r="J145" i="4"/>
  <c r="W16" i="14"/>
  <c r="J149" i="4"/>
  <c r="W20" i="14"/>
  <c r="J153" i="4"/>
  <c r="W24" i="14"/>
  <c r="J157" i="4"/>
  <c r="W32" i="14"/>
  <c r="J165" i="4"/>
  <c r="W36" i="14"/>
  <c r="J169" i="4"/>
  <c r="W40" i="14"/>
  <c r="J173" i="4"/>
  <c r="W44" i="14"/>
  <c r="J177" i="4"/>
  <c r="W48" i="14"/>
  <c r="J181" i="4"/>
  <c r="W52" i="14"/>
  <c r="J185" i="4"/>
  <c r="W56" i="14"/>
  <c r="J189" i="4"/>
  <c r="W60" i="14"/>
  <c r="J193" i="4"/>
  <c r="W64" i="14"/>
  <c r="J197" i="4"/>
  <c r="L232" i="4"/>
  <c r="L87" i="4"/>
  <c r="G1738" i="1"/>
  <c r="L306" i="4"/>
  <c r="L300" i="4"/>
  <c r="Q17" i="4"/>
  <c r="R17" i="4" s="1"/>
  <c r="P17" i="4"/>
  <c r="Q219" i="4"/>
  <c r="R219" i="4" s="1"/>
  <c r="P219" i="4"/>
  <c r="P238" i="4"/>
  <c r="Q276" i="4"/>
  <c r="Q351" i="4"/>
  <c r="R351" i="4" s="1"/>
  <c r="P351" i="4"/>
  <c r="Q355" i="4"/>
  <c r="R355" i="4" s="1"/>
  <c r="P355" i="4"/>
  <c r="P411" i="4"/>
  <c r="R411" i="4"/>
  <c r="P415" i="4"/>
  <c r="R415" i="4"/>
  <c r="Q10" i="4"/>
  <c r="R10" i="4" s="1"/>
  <c r="P10" i="4"/>
  <c r="Q212" i="4"/>
  <c r="R212" i="4" s="1"/>
  <c r="P212" i="4"/>
  <c r="Q210" i="4"/>
  <c r="R210" i="4" s="1"/>
  <c r="P210" i="4"/>
  <c r="Q214" i="4"/>
  <c r="R214" i="4" s="1"/>
  <c r="P214" i="4"/>
  <c r="P234" i="4"/>
  <c r="P239" i="4"/>
  <c r="Q248" i="4"/>
  <c r="R248" i="4" s="1"/>
  <c r="P248" i="4"/>
  <c r="Q277" i="4"/>
  <c r="Q280" i="4"/>
  <c r="R280" i="4" s="1"/>
  <c r="P280" i="4"/>
  <c r="Q352" i="4"/>
  <c r="R352" i="4" s="1"/>
  <c r="P352" i="4"/>
  <c r="Q356" i="4"/>
  <c r="R356" i="4" s="1"/>
  <c r="P356" i="4"/>
  <c r="Q203" i="4"/>
  <c r="R203" i="4" s="1"/>
  <c r="P203" i="4"/>
  <c r="Q211" i="4"/>
  <c r="R211" i="4" s="1"/>
  <c r="P211" i="4"/>
  <c r="Q222" i="4"/>
  <c r="R222" i="4" s="1"/>
  <c r="P222" i="4"/>
  <c r="P236" i="4"/>
  <c r="P240" i="4"/>
  <c r="Q274" i="4"/>
  <c r="Q349" i="4"/>
  <c r="R349" i="4" s="1"/>
  <c r="P349" i="4"/>
  <c r="Q353" i="4"/>
  <c r="R353" i="4" s="1"/>
  <c r="P353" i="4"/>
  <c r="Q12" i="4"/>
  <c r="R12" i="4" s="1"/>
  <c r="P12" i="4"/>
  <c r="Q16" i="4"/>
  <c r="R16" i="4" s="1"/>
  <c r="P16" i="4"/>
  <c r="Q205" i="4"/>
  <c r="R205" i="4" s="1"/>
  <c r="P205" i="4"/>
  <c r="Q213" i="4"/>
  <c r="R213" i="4" s="1"/>
  <c r="P213" i="4"/>
  <c r="Q223" i="4"/>
  <c r="R223" i="4" s="1"/>
  <c r="P223" i="4"/>
  <c r="P237" i="4"/>
  <c r="Q275" i="4"/>
  <c r="Q278" i="4"/>
  <c r="R278" i="4" s="1"/>
  <c r="P278" i="4"/>
  <c r="F278" i="4" s="1"/>
  <c r="Q350" i="4"/>
  <c r="R350" i="4" s="1"/>
  <c r="P350" i="4"/>
  <c r="Q354" i="4"/>
  <c r="R354" i="4" s="1"/>
  <c r="P354" i="4"/>
  <c r="K133" i="4"/>
  <c r="K49" i="4"/>
  <c r="K45" i="4"/>
  <c r="K38" i="4"/>
  <c r="K260" i="4"/>
  <c r="K67" i="4"/>
  <c r="K55" i="4"/>
  <c r="K27" i="4"/>
  <c r="K279" i="4"/>
  <c r="K127" i="4"/>
  <c r="K128" i="4"/>
  <c r="K263" i="4"/>
  <c r="K8" i="4"/>
  <c r="K261" i="4"/>
  <c r="K130" i="4"/>
  <c r="K30" i="4"/>
  <c r="K282" i="4"/>
  <c r="K19" i="4"/>
  <c r="K21" i="4"/>
  <c r="K70" i="4"/>
  <c r="K284" i="4"/>
  <c r="K264" i="4"/>
  <c r="K132" i="4"/>
  <c r="K15" i="4"/>
  <c r="K31" i="4"/>
  <c r="K65" i="4"/>
  <c r="K22" i="4"/>
  <c r="K62" i="4"/>
  <c r="K23" i="4"/>
  <c r="K66" i="4"/>
  <c r="K24" i="4"/>
  <c r="K25" i="4"/>
  <c r="K64" i="4"/>
  <c r="K26" i="4"/>
  <c r="K63" i="4"/>
  <c r="K281" i="4"/>
  <c r="K18" i="4"/>
  <c r="K262" i="4"/>
  <c r="K32" i="4"/>
  <c r="K131" i="4"/>
  <c r="K20" i="4"/>
  <c r="K283" i="4"/>
  <c r="K68" i="4"/>
  <c r="K14" i="4"/>
  <c r="K57" i="4"/>
  <c r="K51" i="4"/>
  <c r="K39" i="4"/>
  <c r="K42" i="4"/>
  <c r="K40" i="4"/>
  <c r="K58" i="4"/>
  <c r="K52" i="4"/>
  <c r="K53" i="4"/>
  <c r="K46" i="4"/>
  <c r="K60" i="4"/>
  <c r="K50" i="4"/>
  <c r="K56" i="4"/>
  <c r="K47" i="4"/>
  <c r="K265" i="4"/>
  <c r="K129" i="4"/>
  <c r="K71" i="4"/>
  <c r="K73" i="4"/>
  <c r="K9" i="4"/>
  <c r="K266" i="4"/>
  <c r="K125" i="4"/>
  <c r="K117" i="4"/>
  <c r="K109" i="4"/>
  <c r="K101" i="4"/>
  <c r="K134" i="4"/>
  <c r="K220" i="4"/>
  <c r="K77" i="4"/>
  <c r="K80" i="4"/>
  <c r="K346" i="4"/>
  <c r="K347" i="4"/>
  <c r="K360" i="4"/>
  <c r="K305" i="4"/>
  <c r="K297" i="4"/>
  <c r="K482" i="4"/>
  <c r="K375" i="4"/>
  <c r="K340" i="4"/>
  <c r="K292" i="4"/>
  <c r="K372" i="4"/>
  <c r="K478" i="4"/>
  <c r="K298" i="4"/>
  <c r="K11" i="4"/>
  <c r="K289" i="4"/>
  <c r="K342" i="4"/>
  <c r="K294" i="4"/>
  <c r="K374" i="4"/>
  <c r="K296" i="4"/>
  <c r="K385" i="4"/>
  <c r="K407" i="4"/>
  <c r="K301" i="4"/>
  <c r="K307" i="4"/>
  <c r="K302" i="4"/>
  <c r="K308" i="4"/>
  <c r="K359" i="4"/>
  <c r="K339" i="4"/>
  <c r="K357" i="4"/>
  <c r="K341" i="4"/>
  <c r="K293" i="4"/>
  <c r="K288" i="4"/>
  <c r="K358" i="4"/>
  <c r="K290" i="4"/>
  <c r="K343" i="4"/>
  <c r="K299" i="4"/>
  <c r="K295" i="4"/>
  <c r="G1901" i="1"/>
  <c r="O573" i="13"/>
  <c r="G983" i="1"/>
  <c r="H983" i="1" s="1"/>
  <c r="S22" i="14"/>
  <c r="S24" i="14"/>
  <c r="S26" i="14"/>
  <c r="S27" i="14"/>
  <c r="S29" i="14"/>
  <c r="S64" i="14"/>
  <c r="H45" i="12"/>
  <c r="S8" i="14"/>
  <c r="S12" i="14"/>
  <c r="S17" i="14"/>
  <c r="S19" i="14"/>
  <c r="S51" i="14"/>
  <c r="S58" i="14"/>
  <c r="I45" i="12"/>
  <c r="S7" i="14"/>
  <c r="S10" i="14"/>
  <c r="S14" i="14"/>
  <c r="S31" i="14"/>
  <c r="S32" i="14"/>
  <c r="S33" i="14"/>
  <c r="S34" i="14"/>
  <c r="S35" i="14"/>
  <c r="S36" i="14"/>
  <c r="S37" i="14"/>
  <c r="S38" i="14"/>
  <c r="S39" i="14"/>
  <c r="S40" i="14"/>
  <c r="G45" i="12"/>
  <c r="K45" i="12"/>
  <c r="S13" i="14"/>
  <c r="S21" i="14"/>
  <c r="S23" i="14"/>
  <c r="S25" i="14"/>
  <c r="S28" i="14"/>
  <c r="S30" i="14"/>
  <c r="S61" i="14"/>
  <c r="S62" i="14"/>
  <c r="S63" i="14"/>
  <c r="S65" i="14"/>
  <c r="S66" i="14"/>
  <c r="S9" i="14"/>
  <c r="S16" i="14"/>
  <c r="S18" i="14"/>
  <c r="S20" i="14"/>
  <c r="S52" i="14"/>
  <c r="S53" i="14"/>
  <c r="S54" i="14"/>
  <c r="S55" i="14"/>
  <c r="S56" i="14"/>
  <c r="S57" i="14"/>
  <c r="S59" i="14"/>
  <c r="S60" i="14"/>
  <c r="S11" i="14"/>
  <c r="S15" i="14"/>
  <c r="S41" i="14"/>
  <c r="S42" i="14"/>
  <c r="S43" i="14"/>
  <c r="S44" i="14"/>
  <c r="S45" i="14"/>
  <c r="S46" i="14"/>
  <c r="S47" i="14"/>
  <c r="S48" i="14"/>
  <c r="S49" i="14"/>
  <c r="S50" i="14"/>
  <c r="S17" i="9"/>
  <c r="K44" i="12" s="1"/>
  <c r="R44" i="14"/>
  <c r="R33" i="14"/>
  <c r="J44" i="12"/>
  <c r="R47" i="14"/>
  <c r="R18" i="14"/>
  <c r="R14" i="14"/>
  <c r="R50" i="14"/>
  <c r="R42" i="14"/>
  <c r="R61" i="14"/>
  <c r="R49" i="14"/>
  <c r="R15" i="14"/>
  <c r="R11" i="14"/>
  <c r="AN10" i="6"/>
  <c r="AN30" i="6"/>
  <c r="AN19" i="6"/>
  <c r="AN45" i="6"/>
  <c r="AN15" i="6"/>
  <c r="AN66" i="6"/>
  <c r="AN67" i="6"/>
  <c r="AN54" i="6"/>
  <c r="AN48" i="6"/>
  <c r="AN65" i="6"/>
  <c r="AN55" i="6"/>
  <c r="AN53" i="6"/>
  <c r="AN69" i="6"/>
  <c r="AN26" i="6"/>
  <c r="AN46" i="6"/>
  <c r="AN17" i="6"/>
  <c r="AN39" i="6"/>
  <c r="AN72" i="6"/>
  <c r="AN21" i="6"/>
  <c r="AN44" i="6"/>
  <c r="AN49" i="6"/>
  <c r="AN70" i="6"/>
  <c r="AN8" i="6"/>
  <c r="AN25" i="6"/>
  <c r="AN43" i="6"/>
  <c r="AN75" i="6"/>
  <c r="AN86" i="6"/>
  <c r="AN60" i="6"/>
  <c r="AN71" i="6"/>
  <c r="AN226" i="6"/>
  <c r="AN248" i="6"/>
  <c r="AN281" i="6"/>
  <c r="AN228" i="6"/>
  <c r="AN339" i="6"/>
  <c r="AN350" i="6"/>
  <c r="AN371" i="6"/>
  <c r="AN351" i="6"/>
  <c r="AN243" i="6"/>
  <c r="AN235" i="6"/>
  <c r="AN249" i="6"/>
  <c r="AN262" i="6"/>
  <c r="AN236" i="6"/>
  <c r="AN261" i="6"/>
  <c r="AN363" i="6"/>
  <c r="AN1274" i="13" s="1"/>
  <c r="AN28" i="6"/>
  <c r="AN37" i="6"/>
  <c r="AN42" i="6"/>
  <c r="AN12" i="6"/>
  <c r="AN29" i="6"/>
  <c r="AN13" i="6"/>
  <c r="AN16" i="6"/>
  <c r="AN41" i="6"/>
  <c r="AN87" i="6"/>
  <c r="AN59" i="6"/>
  <c r="AN11" i="6"/>
  <c r="AN20" i="6"/>
  <c r="AN31" i="6"/>
  <c r="AN40" i="6"/>
  <c r="AN73" i="6"/>
  <c r="AN50" i="6"/>
  <c r="AN68" i="6"/>
  <c r="AN229" i="6"/>
  <c r="AN52" i="6"/>
  <c r="AN38" i="6"/>
  <c r="AN51" i="6"/>
  <c r="AN247" i="6"/>
  <c r="AN57" i="6"/>
  <c r="AN47" i="6"/>
  <c r="AN56" i="6"/>
  <c r="AN251" i="6"/>
  <c r="AN250" i="6"/>
  <c r="AN266" i="6"/>
  <c r="AN340" i="6"/>
  <c r="AN439" i="6"/>
  <c r="AN475" i="6"/>
  <c r="AN413" i="6"/>
  <c r="AN443" i="6"/>
  <c r="AN367" i="6"/>
  <c r="AN242" i="6"/>
  <c r="AN240" i="6"/>
  <c r="AN259" i="6"/>
  <c r="AN286" i="6"/>
  <c r="AN435" i="6"/>
  <c r="AN244" i="6"/>
  <c r="AN445" i="6"/>
  <c r="AN478" i="6"/>
  <c r="AN283" i="6"/>
  <c r="AN365" i="6"/>
  <c r="AN394" i="6"/>
  <c r="AN447" i="6"/>
  <c r="AN412" i="6"/>
  <c r="AN368" i="6"/>
  <c r="AN1275" i="13" s="1"/>
  <c r="AN442" i="6"/>
  <c r="AN474" i="6"/>
  <c r="AN452" i="6"/>
  <c r="AN480" i="6"/>
  <c r="AN22" i="6"/>
  <c r="AN24" i="6"/>
  <c r="AN14" i="6"/>
  <c r="AN18" i="6"/>
  <c r="AN85" i="6"/>
  <c r="AN280" i="6"/>
  <c r="AN263" i="6"/>
  <c r="AN345" i="6"/>
  <c r="AN230" i="6"/>
  <c r="AN268" i="6"/>
  <c r="AN343" i="6"/>
  <c r="AN479" i="6"/>
  <c r="AN353" i="6"/>
  <c r="AN233" i="6"/>
  <c r="AN246" i="6"/>
  <c r="AN264" i="6"/>
  <c r="AN260" i="6"/>
  <c r="AN224" i="6"/>
  <c r="AN245" i="6"/>
  <c r="AN285" i="6"/>
  <c r="AN354" i="6"/>
  <c r="AN366" i="6"/>
  <c r="AN387" i="6"/>
  <c r="AN341" i="6"/>
  <c r="AN370" i="6"/>
  <c r="AN1276" i="13" s="1"/>
  <c r="AN448" i="6"/>
  <c r="AN344" i="6"/>
  <c r="AN438" i="6"/>
  <c r="AN434" i="6"/>
  <c r="AN372" i="6"/>
  <c r="AN440" i="6"/>
  <c r="AN36" i="6"/>
  <c r="AN58" i="6"/>
  <c r="AN9" i="6"/>
  <c r="AN227" i="6"/>
  <c r="AN231" i="6"/>
  <c r="AN278" i="6"/>
  <c r="AN241" i="6"/>
  <c r="AN284" i="6"/>
  <c r="AN347" i="6"/>
  <c r="AN395" i="6"/>
  <c r="AN234" i="6"/>
  <c r="AN252" i="6"/>
  <c r="AN267" i="6"/>
  <c r="AN225" i="6"/>
  <c r="AN276" i="6"/>
  <c r="AN346" i="6"/>
  <c r="AN349" i="6"/>
  <c r="AN348" i="6"/>
  <c r="AN453" i="6"/>
  <c r="AN451" i="6"/>
  <c r="AN441" i="6"/>
  <c r="AN477" i="6"/>
  <c r="AN386" i="6"/>
  <c r="AN1272" i="13" s="1"/>
  <c r="AN436" i="6"/>
  <c r="AN476" i="6"/>
  <c r="AN454" i="6"/>
  <c r="AN482" i="6"/>
  <c r="AN23" i="6"/>
  <c r="AN27" i="6"/>
  <c r="AN74" i="6"/>
  <c r="AN232" i="6"/>
  <c r="AN239" i="6"/>
  <c r="AN282" i="6"/>
  <c r="AN265" i="6"/>
  <c r="AN287" i="6"/>
  <c r="AN355" i="6"/>
  <c r="AN449" i="6"/>
  <c r="AN238" i="6"/>
  <c r="AN258" i="6"/>
  <c r="AN237" i="6"/>
  <c r="AN279" i="6"/>
  <c r="AN369" i="6"/>
  <c r="AN257" i="6"/>
  <c r="AN277" i="6"/>
  <c r="AN433" i="6"/>
  <c r="AN356" i="6"/>
  <c r="AN342" i="6"/>
  <c r="AN358" i="6"/>
  <c r="AN437" i="6"/>
  <c r="AN473" i="6"/>
  <c r="AN357" i="6"/>
  <c r="AN393" i="6"/>
  <c r="AN352" i="6"/>
  <c r="AN446" i="6"/>
  <c r="AN481" i="6"/>
  <c r="AN444" i="6"/>
  <c r="AN364" i="6"/>
  <c r="AN450" i="6"/>
  <c r="M378" i="6"/>
  <c r="O378" i="6" s="1"/>
  <c r="O399" i="6"/>
  <c r="AN359" i="6"/>
  <c r="D18" i="17412"/>
  <c r="F1470" i="1" s="1"/>
  <c r="D54" i="17412"/>
  <c r="F1506" i="1" s="1"/>
  <c r="D72" i="17412"/>
  <c r="F1524" i="1" s="1"/>
  <c r="H1524" i="1" s="1"/>
  <c r="D112" i="17412"/>
  <c r="F1564" i="1" s="1"/>
  <c r="T128" i="17412"/>
  <c r="T133" i="17412"/>
  <c r="T141" i="17412"/>
  <c r="T151" i="17412"/>
  <c r="T155" i="17412"/>
  <c r="G6" i="17412"/>
  <c r="T6" i="17412" s="1"/>
  <c r="G7" i="17412"/>
  <c r="D7" i="17412" s="1"/>
  <c r="F1460" i="1" s="1"/>
  <c r="H1460" i="1" s="1"/>
  <c r="G12" i="17412"/>
  <c r="T12" i="17412" s="1"/>
  <c r="G13" i="17412"/>
  <c r="D13" i="17412" s="1"/>
  <c r="F1465" i="1" s="1"/>
  <c r="T14" i="17412"/>
  <c r="T20" i="17412"/>
  <c r="T21" i="17412"/>
  <c r="G26" i="17412"/>
  <c r="T26" i="17412" s="1"/>
  <c r="T28" i="17412"/>
  <c r="T31" i="17412"/>
  <c r="T34" i="17412"/>
  <c r="G40" i="17412"/>
  <c r="D40" i="17412" s="1"/>
  <c r="F1492" i="1" s="1"/>
  <c r="T41" i="17412"/>
  <c r="G45" i="17412"/>
  <c r="D45" i="17412" s="1"/>
  <c r="F1497" i="1" s="1"/>
  <c r="T51" i="17412"/>
  <c r="T59" i="17412"/>
  <c r="G64" i="17412"/>
  <c r="T64" i="17412" s="1"/>
  <c r="G65" i="17412"/>
  <c r="D65" i="17412" s="1"/>
  <c r="F1517" i="1" s="1"/>
  <c r="T70" i="17412"/>
  <c r="D79" i="17412"/>
  <c r="F1531" i="1" s="1"/>
  <c r="H1531" i="1" s="1"/>
  <c r="T84" i="17412"/>
  <c r="T95" i="17412"/>
  <c r="G96" i="17412"/>
  <c r="D96" i="17412" s="1"/>
  <c r="F1548" i="1" s="1"/>
  <c r="L431" i="13" s="1"/>
  <c r="T103" i="17412"/>
  <c r="D105" i="17412"/>
  <c r="F1557" i="1" s="1"/>
  <c r="L242" i="4" s="1"/>
  <c r="P242" i="4" s="1"/>
  <c r="T110" i="17412"/>
  <c r="D115" i="17412"/>
  <c r="F1567" i="1" s="1"/>
  <c r="L685" i="13" s="1"/>
  <c r="D121" i="17412"/>
  <c r="F1573" i="1" s="1"/>
  <c r="H1573" i="1" s="1"/>
  <c r="T123" i="17412"/>
  <c r="D126" i="17412"/>
  <c r="F1578" i="1" s="1"/>
  <c r="L325" i="13" s="1"/>
  <c r="P325" i="13" s="1"/>
  <c r="T134" i="17412"/>
  <c r="D138" i="17412"/>
  <c r="F1590" i="1" s="1"/>
  <c r="H1590" i="1" s="1"/>
  <c r="D152" i="17412"/>
  <c r="F1604" i="1" s="1"/>
  <c r="T157" i="17412"/>
  <c r="G159" i="17412"/>
  <c r="D159" i="17412" s="1"/>
  <c r="F1611" i="1" s="1"/>
  <c r="G163" i="17412"/>
  <c r="D163" i="17412" s="1"/>
  <c r="F1615" i="1" s="1"/>
  <c r="L369" i="13" s="1"/>
  <c r="P369" i="13" s="1"/>
  <c r="T165" i="17412"/>
  <c r="D168" i="17412"/>
  <c r="F1620" i="1" s="1"/>
  <c r="H1620" i="1" s="1"/>
  <c r="G175" i="17412"/>
  <c r="D175" i="17412" s="1"/>
  <c r="F1627" i="1" s="1"/>
  <c r="H1627" i="1" s="1"/>
  <c r="G179" i="17412"/>
  <c r="T179" i="17412" s="1"/>
  <c r="G9" i="17412"/>
  <c r="T9" i="17412" s="1"/>
  <c r="G10" i="17412"/>
  <c r="D10" i="17412" s="1"/>
  <c r="F1462" i="1" s="1"/>
  <c r="L469" i="6" s="1"/>
  <c r="G16" i="17412"/>
  <c r="D16" i="17412" s="1"/>
  <c r="F1468" i="1" s="1"/>
  <c r="L38" i="13" s="1"/>
  <c r="T17" i="17412"/>
  <c r="T18" i="17412"/>
  <c r="T23" i="17412"/>
  <c r="G35" i="17412"/>
  <c r="D35" i="17412" s="1"/>
  <c r="F1487" i="1" s="1"/>
  <c r="L362" i="4" s="1"/>
  <c r="T38" i="17412"/>
  <c r="G43" i="17412"/>
  <c r="D43" i="17412" s="1"/>
  <c r="F1495" i="1" s="1"/>
  <c r="L276" i="4" s="1"/>
  <c r="P276" i="4" s="1"/>
  <c r="T53" i="17412"/>
  <c r="T54" i="17412"/>
  <c r="T61" i="17412"/>
  <c r="G67" i="17412"/>
  <c r="T67" i="17412" s="1"/>
  <c r="T72" i="17412"/>
  <c r="T79" i="17412"/>
  <c r="G80" i="17412"/>
  <c r="D80" i="17412" s="1"/>
  <c r="F1532" i="1" s="1"/>
  <c r="D82" i="17412"/>
  <c r="F1534" i="1" s="1"/>
  <c r="L951" i="13" s="1"/>
  <c r="P951" i="13" s="1"/>
  <c r="T82" i="17412"/>
  <c r="D84" i="17412"/>
  <c r="F1536" i="1" s="1"/>
  <c r="H1536" i="1" s="1"/>
  <c r="D95" i="17412"/>
  <c r="F1547" i="1" s="1"/>
  <c r="L29" i="13" s="1"/>
  <c r="G98" i="17412"/>
  <c r="D98" i="17412" s="1"/>
  <c r="F1550" i="1" s="1"/>
  <c r="D102" i="17412"/>
  <c r="F1554" i="1" s="1"/>
  <c r="L435" i="13" s="1"/>
  <c r="T102" i="17412"/>
  <c r="T105" i="17412"/>
  <c r="D110" i="17412"/>
  <c r="F1562" i="1" s="1"/>
  <c r="T112" i="17412"/>
  <c r="T115" i="17412"/>
  <c r="T131" i="17412"/>
  <c r="G136" i="17412"/>
  <c r="D136" i="17412" s="1"/>
  <c r="F1588" i="1" s="1"/>
  <c r="T139" i="17412"/>
  <c r="T143" i="17412"/>
  <c r="T147" i="17412"/>
  <c r="T148" i="17412"/>
  <c r="T153" i="17412"/>
  <c r="D155" i="17412"/>
  <c r="F1607" i="1" s="1"/>
  <c r="L682" i="13" s="1"/>
  <c r="G166" i="17412"/>
  <c r="D166" i="17412" s="1"/>
  <c r="F1618" i="1" s="1"/>
  <c r="T169" i="17412"/>
  <c r="G172" i="17412"/>
  <c r="D172" i="17412" s="1"/>
  <c r="F1624" i="1" s="1"/>
  <c r="T174" i="17412"/>
  <c r="G176" i="17412"/>
  <c r="D176" i="17412" s="1"/>
  <c r="F1628" i="1" s="1"/>
  <c r="AF465" i="13"/>
  <c r="AH465" i="13"/>
  <c r="AN465" i="13" s="1"/>
  <c r="AH471" i="13"/>
  <c r="AN471" i="13" s="1"/>
  <c r="AF471" i="13"/>
  <c r="AH484" i="13"/>
  <c r="AF484" i="13"/>
  <c r="AH905" i="13"/>
  <c r="AN905" i="13" s="1"/>
  <c r="AF905" i="13"/>
  <c r="AH1256" i="13"/>
  <c r="AN1256" i="13" s="1"/>
  <c r="AF1256" i="13"/>
  <c r="AH1270" i="13"/>
  <c r="AN1270" i="13" s="1"/>
  <c r="AF1270" i="13"/>
  <c r="AH251" i="13"/>
  <c r="AN251" i="13" s="1"/>
  <c r="AF251" i="13"/>
  <c r="AF464" i="13"/>
  <c r="AH464" i="13"/>
  <c r="AN464" i="13" s="1"/>
  <c r="AF467" i="13"/>
  <c r="AH467" i="13"/>
  <c r="AH485" i="13"/>
  <c r="AN485" i="13" s="1"/>
  <c r="AF485" i="13"/>
  <c r="AF486" i="13"/>
  <c r="AH486" i="13"/>
  <c r="AN486" i="13" s="1"/>
  <c r="AF487" i="13"/>
  <c r="AH487" i="13"/>
  <c r="AF505" i="13"/>
  <c r="AH505" i="13"/>
  <c r="AN505" i="13" s="1"/>
  <c r="AF1162" i="13"/>
  <c r="AH1162" i="13"/>
  <c r="AN1162" i="13" s="1"/>
  <c r="AH1174" i="13"/>
  <c r="AN1174" i="13" s="1"/>
  <c r="AF1174" i="13"/>
  <c r="AF1175" i="13"/>
  <c r="AH1175" i="13"/>
  <c r="AN1175" i="13" s="1"/>
  <c r="AF1239" i="13"/>
  <c r="AH1239" i="13"/>
  <c r="AN1239" i="13" s="1"/>
  <c r="AF1240" i="13"/>
  <c r="AH1240" i="13"/>
  <c r="AN1240" i="13" s="1"/>
  <c r="AH1241" i="13"/>
  <c r="AN1241" i="13" s="1"/>
  <c r="AF1241" i="13"/>
  <c r="AH1242" i="13"/>
  <c r="AN1242" i="13" s="1"/>
  <c r="AF1242" i="13"/>
  <c r="AF1243" i="13"/>
  <c r="AH1243" i="13"/>
  <c r="AN1243" i="13" s="1"/>
  <c r="AH1244" i="13"/>
  <c r="AN1244" i="13" s="1"/>
  <c r="AF1244" i="13"/>
  <c r="AH1245" i="13"/>
  <c r="AN1245" i="13" s="1"/>
  <c r="AF1245" i="13"/>
  <c r="AH1246" i="13"/>
  <c r="AN1246" i="13" s="1"/>
  <c r="AF1246" i="13"/>
  <c r="AF1247" i="13"/>
  <c r="AH1247" i="13"/>
  <c r="AN1247" i="13" s="1"/>
  <c r="AH1248" i="13"/>
  <c r="AN1248" i="13" s="1"/>
  <c r="AF1248" i="13"/>
  <c r="AF1249" i="13"/>
  <c r="AH1249" i="13"/>
  <c r="AN1249" i="13" s="1"/>
  <c r="AF1250" i="13"/>
  <c r="AH1250" i="13"/>
  <c r="AN1250" i="13" s="1"/>
  <c r="AF1251" i="13"/>
  <c r="AH1251" i="13"/>
  <c r="AN1251" i="13" s="1"/>
  <c r="AH1252" i="13"/>
  <c r="AN1252" i="13" s="1"/>
  <c r="AF1252" i="13"/>
  <c r="AH1257" i="13"/>
  <c r="AN1257" i="13" s="1"/>
  <c r="AF1257" i="13"/>
  <c r="AH1258" i="13"/>
  <c r="AN1258" i="13" s="1"/>
  <c r="AF1258" i="13"/>
  <c r="AF1259" i="13"/>
  <c r="AH1259" i="13"/>
  <c r="AN1259" i="13" s="1"/>
  <c r="AF1260" i="13"/>
  <c r="AH1260" i="13"/>
  <c r="AN1260" i="13" s="1"/>
  <c r="AF1261" i="13"/>
  <c r="AH1261" i="13"/>
  <c r="AN1261" i="13" s="1"/>
  <c r="AH1262" i="13"/>
  <c r="AN1262" i="13" s="1"/>
  <c r="AF1262" i="13"/>
  <c r="AH1263" i="13"/>
  <c r="AN1263" i="13" s="1"/>
  <c r="AF1263" i="13"/>
  <c r="AF1264" i="13"/>
  <c r="AH1264" i="13"/>
  <c r="AN1264" i="13" s="1"/>
  <c r="AF1265" i="13"/>
  <c r="AH1265" i="13"/>
  <c r="AN1265" i="13" s="1"/>
  <c r="AH1266" i="13"/>
  <c r="AN1266" i="13" s="1"/>
  <c r="AF1266" i="13"/>
  <c r="AH1267" i="13"/>
  <c r="AN1267" i="13" s="1"/>
  <c r="AF1267" i="13"/>
  <c r="AH1268" i="13"/>
  <c r="AN1268" i="13" s="1"/>
  <c r="AF1268" i="13"/>
  <c r="AF1269" i="13"/>
  <c r="AH1269" i="13"/>
  <c r="AN1269" i="13" s="1"/>
  <c r="AF39" i="13"/>
  <c r="AH39" i="13"/>
  <c r="AN39" i="13" s="1"/>
  <c r="AF250" i="13"/>
  <c r="AH250" i="13"/>
  <c r="AN250" i="13" s="1"/>
  <c r="AH463" i="13"/>
  <c r="AN463" i="13" s="1"/>
  <c r="AF463" i="13"/>
  <c r="AF468" i="13"/>
  <c r="AH468" i="13"/>
  <c r="AH488" i="13"/>
  <c r="AF488" i="13"/>
  <c r="AH500" i="13"/>
  <c r="AF500" i="13"/>
  <c r="AH850" i="13"/>
  <c r="AN850" i="13" s="1"/>
  <c r="AF850" i="13"/>
  <c r="AH1184" i="13"/>
  <c r="AN1184" i="13" s="1"/>
  <c r="AF1184" i="13"/>
  <c r="AH1253" i="13"/>
  <c r="AN1253" i="13" s="1"/>
  <c r="AF1253" i="13"/>
  <c r="AH1254" i="13"/>
  <c r="AN1254" i="13" s="1"/>
  <c r="AF1254" i="13"/>
  <c r="AF1255" i="13"/>
  <c r="AH1255" i="13"/>
  <c r="AN1255" i="13" s="1"/>
  <c r="AF249" i="13"/>
  <c r="AH249" i="13"/>
  <c r="AN249" i="13" s="1"/>
  <c r="AF469" i="13"/>
  <c r="AH469" i="13"/>
  <c r="AN469" i="13" s="1"/>
  <c r="AH470" i="13"/>
  <c r="AN470" i="13" s="1"/>
  <c r="AF470" i="13"/>
  <c r="AH501" i="13"/>
  <c r="AN501" i="13" s="1"/>
  <c r="AF501" i="13"/>
  <c r="AF502" i="13"/>
  <c r="AH502" i="13"/>
  <c r="AN502" i="13" s="1"/>
  <c r="AH503" i="13"/>
  <c r="AF503" i="13"/>
  <c r="L1284" i="13"/>
  <c r="P1284" i="13" s="1"/>
  <c r="L1304" i="13"/>
  <c r="AH8" i="13"/>
  <c r="AN8" i="13" s="1"/>
  <c r="AF8" i="13"/>
  <c r="AH9" i="13"/>
  <c r="AN9" i="13" s="1"/>
  <c r="AF9" i="13"/>
  <c r="AF10" i="13"/>
  <c r="AH10" i="13"/>
  <c r="AN10" i="13" s="1"/>
  <c r="AF11" i="13"/>
  <c r="AH11" i="13"/>
  <c r="AN11" i="13" s="1"/>
  <c r="AF12" i="13"/>
  <c r="AH12" i="13"/>
  <c r="AN12" i="13" s="1"/>
  <c r="AH13" i="13"/>
  <c r="AN13" i="13" s="1"/>
  <c r="AF13" i="13"/>
  <c r="AH14" i="13"/>
  <c r="AN14" i="13" s="1"/>
  <c r="AF14" i="13"/>
  <c r="AF15" i="13"/>
  <c r="AH15" i="13"/>
  <c r="AN15" i="13" s="1"/>
  <c r="AF16" i="13"/>
  <c r="AH16" i="13"/>
  <c r="AN16" i="13" s="1"/>
  <c r="AH18" i="13"/>
  <c r="AF18" i="13"/>
  <c r="AH20" i="13"/>
  <c r="AN20" i="13" s="1"/>
  <c r="AF20" i="13"/>
  <c r="AH21" i="13"/>
  <c r="AN21" i="13" s="1"/>
  <c r="AF21" i="13"/>
  <c r="AH22" i="13"/>
  <c r="AN22" i="13" s="1"/>
  <c r="AF22" i="13"/>
  <c r="AF23" i="13"/>
  <c r="AH23" i="13"/>
  <c r="AN23" i="13" s="1"/>
  <c r="AF24" i="13"/>
  <c r="AH24" i="13"/>
  <c r="AN24" i="13" s="1"/>
  <c r="AH25" i="13"/>
  <c r="AN25" i="13" s="1"/>
  <c r="AF25" i="13"/>
  <c r="AH26" i="13"/>
  <c r="AN26" i="13" s="1"/>
  <c r="AF26" i="13"/>
  <c r="AH28" i="13"/>
  <c r="AN28" i="13" s="1"/>
  <c r="AF28" i="13"/>
  <c r="AF51" i="13"/>
  <c r="AH51" i="13"/>
  <c r="AN51" i="13" s="1"/>
  <c r="AF64" i="13"/>
  <c r="AH64" i="13"/>
  <c r="AN64" i="13" s="1"/>
  <c r="AF65" i="13"/>
  <c r="AH65" i="13"/>
  <c r="AN65" i="13" s="1"/>
  <c r="AH66" i="13"/>
  <c r="AN66" i="13" s="1"/>
  <c r="AF66" i="13"/>
  <c r="AH67" i="13"/>
  <c r="AN67" i="13" s="1"/>
  <c r="AF67" i="13"/>
  <c r="AF68" i="13"/>
  <c r="AH68" i="13"/>
  <c r="AN68" i="13" s="1"/>
  <c r="AF70" i="13"/>
  <c r="AH70" i="13"/>
  <c r="AN70" i="13" s="1"/>
  <c r="AF71" i="13"/>
  <c r="AH71" i="13"/>
  <c r="AN71" i="13" s="1"/>
  <c r="AH72" i="13"/>
  <c r="AN72" i="13" s="1"/>
  <c r="AF72" i="13"/>
  <c r="AH76" i="13"/>
  <c r="AN76" i="13" s="1"/>
  <c r="AF76" i="13"/>
  <c r="AF80" i="13"/>
  <c r="AH80" i="13"/>
  <c r="AN80" i="13" s="1"/>
  <c r="AH81" i="13"/>
  <c r="AN81" i="13" s="1"/>
  <c r="AF81" i="13"/>
  <c r="AH82" i="13"/>
  <c r="AN82" i="13" s="1"/>
  <c r="AF82" i="13"/>
  <c r="AF83" i="13"/>
  <c r="AH83" i="13"/>
  <c r="AN83" i="13" s="1"/>
  <c r="AH96" i="13"/>
  <c r="AN96" i="13" s="1"/>
  <c r="AF96" i="13"/>
  <c r="AF109" i="13"/>
  <c r="AH109" i="13"/>
  <c r="AN109" i="13" s="1"/>
  <c r="AF123" i="13"/>
  <c r="AH123" i="13"/>
  <c r="AN123" i="13" s="1"/>
  <c r="AF127" i="13"/>
  <c r="AH127" i="13"/>
  <c r="AN127" i="13" s="1"/>
  <c r="AF131" i="13"/>
  <c r="AH131" i="13"/>
  <c r="AN131" i="13" s="1"/>
  <c r="AF135" i="13"/>
  <c r="AH135" i="13"/>
  <c r="AN135" i="13" s="1"/>
  <c r="AH138" i="13"/>
  <c r="AN138" i="13" s="1"/>
  <c r="AF138" i="13"/>
  <c r="AH141" i="13"/>
  <c r="AN141" i="13" s="1"/>
  <c r="AF141" i="13"/>
  <c r="AH145" i="13"/>
  <c r="AN145" i="13" s="1"/>
  <c r="AF145" i="13"/>
  <c r="AH156" i="13"/>
  <c r="AN156" i="13" s="1"/>
  <c r="AF156" i="13"/>
  <c r="AF162" i="13"/>
  <c r="AH162" i="13"/>
  <c r="AN162" i="13" s="1"/>
  <c r="AH166" i="13"/>
  <c r="AN166" i="13" s="1"/>
  <c r="AF166" i="13"/>
  <c r="AF184" i="13"/>
  <c r="AH184" i="13"/>
  <c r="AN184" i="13" s="1"/>
  <c r="AF200" i="13"/>
  <c r="AH200" i="13"/>
  <c r="AN200" i="13" s="1"/>
  <c r="AF201" i="13"/>
  <c r="AH201" i="13"/>
  <c r="AN201" i="13" s="1"/>
  <c r="AH202" i="13"/>
  <c r="AN202" i="13" s="1"/>
  <c r="AF202" i="13"/>
  <c r="AH203" i="13"/>
  <c r="AN203" i="13" s="1"/>
  <c r="AF203" i="13"/>
  <c r="AF204" i="13"/>
  <c r="AH204" i="13"/>
  <c r="AN204" i="13" s="1"/>
  <c r="AF205" i="13"/>
  <c r="AH205" i="13"/>
  <c r="AN205" i="13" s="1"/>
  <c r="AH208" i="13"/>
  <c r="AN208" i="13" s="1"/>
  <c r="AF208" i="13"/>
  <c r="AF210" i="13"/>
  <c r="AH210" i="13"/>
  <c r="AN210" i="13" s="1"/>
  <c r="AF214" i="13"/>
  <c r="AH214" i="13"/>
  <c r="AN214" i="13" s="1"/>
  <c r="AF218" i="13"/>
  <c r="AH218" i="13"/>
  <c r="AN218" i="13" s="1"/>
  <c r="AF219" i="13"/>
  <c r="AH219" i="13"/>
  <c r="AN219" i="13" s="1"/>
  <c r="AF220" i="13"/>
  <c r="AH220" i="13"/>
  <c r="AN220" i="13" s="1"/>
  <c r="AH221" i="13"/>
  <c r="AN221" i="13" s="1"/>
  <c r="AF221" i="13"/>
  <c r="AF224" i="13"/>
  <c r="AH224" i="13"/>
  <c r="AN224" i="13" s="1"/>
  <c r="AF225" i="13"/>
  <c r="AH225" i="13"/>
  <c r="AN225" i="13" s="1"/>
  <c r="AF226" i="13"/>
  <c r="AH226" i="13"/>
  <c r="AN226" i="13" s="1"/>
  <c r="AH227" i="13"/>
  <c r="AN227" i="13" s="1"/>
  <c r="AF227" i="13"/>
  <c r="AH228" i="13"/>
  <c r="AN228" i="13" s="1"/>
  <c r="AF228" i="13"/>
  <c r="AF229" i="13"/>
  <c r="AH229" i="13"/>
  <c r="AN229" i="13" s="1"/>
  <c r="AF230" i="13"/>
  <c r="AH230" i="13"/>
  <c r="AN230" i="13" s="1"/>
  <c r="AH233" i="13"/>
  <c r="AN233" i="13" s="1"/>
  <c r="AF233" i="13"/>
  <c r="AF237" i="13"/>
  <c r="AH237" i="13"/>
  <c r="AN237" i="13" s="1"/>
  <c r="AH252" i="13"/>
  <c r="AN252" i="13" s="1"/>
  <c r="AF252" i="13"/>
  <c r="AH253" i="13"/>
  <c r="AN253" i="13" s="1"/>
  <c r="AF253" i="13"/>
  <c r="AH254" i="13"/>
  <c r="AN254" i="13" s="1"/>
  <c r="AF254" i="13"/>
  <c r="AF255" i="13"/>
  <c r="AH255" i="13"/>
  <c r="AN255" i="13" s="1"/>
  <c r="AF269" i="13"/>
  <c r="AH269" i="13"/>
  <c r="AN269" i="13" s="1"/>
  <c r="AF270" i="13"/>
  <c r="AH270" i="13"/>
  <c r="AN270" i="13" s="1"/>
  <c r="AH271" i="13"/>
  <c r="AN271" i="13" s="1"/>
  <c r="AF271" i="13"/>
  <c r="AH272" i="13"/>
  <c r="AN272" i="13" s="1"/>
  <c r="AF272" i="13"/>
  <c r="AF273" i="13"/>
  <c r="AH273" i="13"/>
  <c r="AN273" i="13" s="1"/>
  <c r="AF274" i="13"/>
  <c r="AH274" i="13"/>
  <c r="AN274" i="13" s="1"/>
  <c r="AH275" i="13"/>
  <c r="AN275" i="13" s="1"/>
  <c r="AF275" i="13"/>
  <c r="AH276" i="13"/>
  <c r="AN276" i="13" s="1"/>
  <c r="AF276" i="13"/>
  <c r="AF277" i="13"/>
  <c r="AH277" i="13"/>
  <c r="AN277" i="13" s="1"/>
  <c r="AH289" i="13"/>
  <c r="AN289" i="13" s="1"/>
  <c r="AF289" i="13"/>
  <c r="AH293" i="13"/>
  <c r="AN293" i="13" s="1"/>
  <c r="AF293" i="13"/>
  <c r="AF296" i="13"/>
  <c r="AH296" i="13"/>
  <c r="AN296" i="13" s="1"/>
  <c r="AH300" i="13"/>
  <c r="AN300" i="13" s="1"/>
  <c r="AF300" i="13"/>
  <c r="AF339" i="13"/>
  <c r="AH339" i="13"/>
  <c r="AN339" i="13" s="1"/>
  <c r="AF340" i="13"/>
  <c r="AH340" i="13"/>
  <c r="AN340" i="13" s="1"/>
  <c r="AF341" i="13"/>
  <c r="AH341" i="13"/>
  <c r="AN341" i="13" s="1"/>
  <c r="AF342" i="13"/>
  <c r="AH342" i="13"/>
  <c r="AN342" i="13" s="1"/>
  <c r="AF343" i="13"/>
  <c r="AH343" i="13"/>
  <c r="AN343" i="13" s="1"/>
  <c r="AH344" i="13"/>
  <c r="AN344" i="13" s="1"/>
  <c r="AF344" i="13"/>
  <c r="AH345" i="13"/>
  <c r="AN345" i="13" s="1"/>
  <c r="AF345" i="13"/>
  <c r="AF346" i="13"/>
  <c r="AH346" i="13"/>
  <c r="AN346" i="13" s="1"/>
  <c r="AF349" i="13"/>
  <c r="AH349" i="13"/>
  <c r="AN349" i="13" s="1"/>
  <c r="AF353" i="13"/>
  <c r="AH353" i="13"/>
  <c r="AN353" i="13" s="1"/>
  <c r="AH362" i="13"/>
  <c r="AN362" i="13" s="1"/>
  <c r="AF362" i="13"/>
  <c r="AF366" i="13"/>
  <c r="AH366" i="13"/>
  <c r="AN366" i="13" s="1"/>
  <c r="AH370" i="13"/>
  <c r="AN370" i="13" s="1"/>
  <c r="AF370" i="13"/>
  <c r="AF374" i="13"/>
  <c r="AH374" i="13"/>
  <c r="AN374" i="13" s="1"/>
  <c r="AH378" i="13"/>
  <c r="AN378" i="13" s="1"/>
  <c r="AF378" i="13"/>
  <c r="AH409" i="13"/>
  <c r="AN409" i="13" s="1"/>
  <c r="AF409" i="13"/>
  <c r="AH410" i="13"/>
  <c r="AN410" i="13" s="1"/>
  <c r="AF410" i="13"/>
  <c r="AH411" i="13"/>
  <c r="AN411" i="13" s="1"/>
  <c r="AF411" i="13"/>
  <c r="AH412" i="13"/>
  <c r="AN412" i="13" s="1"/>
  <c r="AF412" i="13"/>
  <c r="AF413" i="13"/>
  <c r="AH413" i="13"/>
  <c r="AN413" i="13" s="1"/>
  <c r="AF414" i="13"/>
  <c r="AH414" i="13"/>
  <c r="AN414" i="13" s="1"/>
  <c r="AF418" i="13"/>
  <c r="AH418" i="13"/>
  <c r="AN418" i="13" s="1"/>
  <c r="AH419" i="13"/>
  <c r="AN419" i="13" s="1"/>
  <c r="AF419" i="13"/>
  <c r="AH420" i="13"/>
  <c r="AN420" i="13" s="1"/>
  <c r="AF420" i="13"/>
  <c r="AH429" i="13"/>
  <c r="AN429" i="13" s="1"/>
  <c r="AF429" i="13"/>
  <c r="AH435" i="13"/>
  <c r="AN435" i="13" s="1"/>
  <c r="AF435" i="13"/>
  <c r="AH440" i="13"/>
  <c r="AN440" i="13" s="1"/>
  <c r="AF440" i="13"/>
  <c r="AF444" i="13"/>
  <c r="AH444" i="13"/>
  <c r="AN444" i="13" s="1"/>
  <c r="AH448" i="13"/>
  <c r="AN448" i="13" s="1"/>
  <c r="AF448" i="13"/>
  <c r="AF452" i="13"/>
  <c r="AH452" i="13"/>
  <c r="AN452" i="13" s="1"/>
  <c r="AH456" i="13"/>
  <c r="AN456" i="13" s="1"/>
  <c r="AF456" i="13"/>
  <c r="AF461" i="13"/>
  <c r="AH461" i="13"/>
  <c r="AN461" i="13" s="1"/>
  <c r="AH466" i="13"/>
  <c r="AN466" i="13" s="1"/>
  <c r="AF466" i="13"/>
  <c r="AF475" i="13"/>
  <c r="AH475" i="13"/>
  <c r="AN475" i="13" s="1"/>
  <c r="AF479" i="13"/>
  <c r="AH479" i="13"/>
  <c r="AN479" i="13" s="1"/>
  <c r="AH490" i="13"/>
  <c r="AN490" i="13" s="1"/>
  <c r="AF490" i="13"/>
  <c r="AH495" i="13"/>
  <c r="AN495" i="13" s="1"/>
  <c r="AF495" i="13"/>
  <c r="AF504" i="13"/>
  <c r="AH504" i="13"/>
  <c r="AN504" i="13" s="1"/>
  <c r="AF506" i="13"/>
  <c r="AH506" i="13"/>
  <c r="AN506" i="13" s="1"/>
  <c r="AH509" i="13"/>
  <c r="AN509" i="13" s="1"/>
  <c r="AF509" i="13"/>
  <c r="AH517" i="13"/>
  <c r="AN517" i="13" s="1"/>
  <c r="AF517" i="13"/>
  <c r="AF518" i="13"/>
  <c r="AH518" i="13"/>
  <c r="AN518" i="13" s="1"/>
  <c r="AF519" i="13"/>
  <c r="AH519" i="13"/>
  <c r="AH520" i="13"/>
  <c r="AN520" i="13" s="1"/>
  <c r="AF520" i="13"/>
  <c r="AH522" i="13"/>
  <c r="AN522" i="13" s="1"/>
  <c r="AF522" i="13"/>
  <c r="AF540" i="13"/>
  <c r="AH540" i="13"/>
  <c r="AN540" i="13" s="1"/>
  <c r="AF545" i="13"/>
  <c r="AH545" i="13"/>
  <c r="AN545" i="13" s="1"/>
  <c r="AH547" i="13"/>
  <c r="AN547" i="13" s="1"/>
  <c r="AF547" i="13"/>
  <c r="AH552" i="13"/>
  <c r="AN552" i="13" s="1"/>
  <c r="AF552" i="13"/>
  <c r="AH556" i="13"/>
  <c r="AN556" i="13" s="1"/>
  <c r="AF556" i="13"/>
  <c r="AH565" i="13"/>
  <c r="AN565" i="13" s="1"/>
  <c r="AF565" i="13"/>
  <c r="AF569" i="13"/>
  <c r="AH569" i="13"/>
  <c r="AN569" i="13" s="1"/>
  <c r="AF572" i="13"/>
  <c r="AH572" i="13"/>
  <c r="AN572" i="13" s="1"/>
  <c r="AF574" i="13"/>
  <c r="AH574" i="13"/>
  <c r="AN574" i="13" s="1"/>
  <c r="AF575" i="13"/>
  <c r="AH575" i="13"/>
  <c r="AN575" i="13" s="1"/>
  <c r="AH585" i="13"/>
  <c r="AN585" i="13" s="1"/>
  <c r="AF585" i="13"/>
  <c r="AH592" i="13"/>
  <c r="AN592" i="13" s="1"/>
  <c r="AF592" i="13"/>
  <c r="AH596" i="13"/>
  <c r="AF596" i="13"/>
  <c r="AH603" i="13"/>
  <c r="AF603" i="13"/>
  <c r="AH607" i="13"/>
  <c r="AF607" i="13"/>
  <c r="AH612" i="13"/>
  <c r="AN612" i="13" s="1"/>
  <c r="AF612" i="13"/>
  <c r="AH618" i="13"/>
  <c r="AF618" i="13"/>
  <c r="AF619" i="13"/>
  <c r="AH619" i="13"/>
  <c r="AH625" i="13"/>
  <c r="AN625" i="13" s="1"/>
  <c r="AF625" i="13"/>
  <c r="AF629" i="13"/>
  <c r="AH629" i="13"/>
  <c r="AN629" i="13" s="1"/>
  <c r="AH630" i="13"/>
  <c r="AN630" i="13" s="1"/>
  <c r="AF630" i="13"/>
  <c r="AH631" i="13"/>
  <c r="AN631" i="13" s="1"/>
  <c r="AF631" i="13"/>
  <c r="AF632" i="13"/>
  <c r="AH632" i="13"/>
  <c r="AN632" i="13" s="1"/>
  <c r="AH637" i="13"/>
  <c r="AF637" i="13"/>
  <c r="AF648" i="13"/>
  <c r="AH648" i="13"/>
  <c r="AF654" i="13"/>
  <c r="AH654" i="13"/>
  <c r="AN654" i="13" s="1"/>
  <c r="AH655" i="13"/>
  <c r="AN655" i="13" s="1"/>
  <c r="AF655" i="13"/>
  <c r="AH656" i="13"/>
  <c r="AN656" i="13" s="1"/>
  <c r="AF656" i="13"/>
  <c r="AF664" i="13"/>
  <c r="AH664" i="13"/>
  <c r="AN664" i="13" s="1"/>
  <c r="AF667" i="13"/>
  <c r="AH667" i="13"/>
  <c r="AH673" i="13"/>
  <c r="AN673" i="13" s="1"/>
  <c r="AF673" i="13"/>
  <c r="AH678" i="13"/>
  <c r="AN678" i="13" s="1"/>
  <c r="AF678" i="13"/>
  <c r="AH695" i="13"/>
  <c r="AN695" i="13" s="1"/>
  <c r="AF695" i="13"/>
  <c r="AF717" i="13"/>
  <c r="AH717" i="13"/>
  <c r="AN717" i="13" s="1"/>
  <c r="AF718" i="13"/>
  <c r="AH718" i="13"/>
  <c r="AN718" i="13" s="1"/>
  <c r="AF719" i="13"/>
  <c r="AH719" i="13"/>
  <c r="AN719" i="13" s="1"/>
  <c r="AF720" i="13"/>
  <c r="AH720" i="13"/>
  <c r="AN720" i="13" s="1"/>
  <c r="AH721" i="13"/>
  <c r="AN721" i="13" s="1"/>
  <c r="AF721" i="13"/>
  <c r="AH722" i="13"/>
  <c r="AN722" i="13" s="1"/>
  <c r="AF722" i="13"/>
  <c r="AH723" i="13"/>
  <c r="AN723" i="13" s="1"/>
  <c r="AF723" i="13"/>
  <c r="AF729" i="13"/>
  <c r="AH729" i="13"/>
  <c r="AN729" i="13" s="1"/>
  <c r="AH733" i="13"/>
  <c r="AN733" i="13" s="1"/>
  <c r="AF733" i="13"/>
  <c r="AF734" i="13"/>
  <c r="AH734" i="13"/>
  <c r="AN734" i="13" s="1"/>
  <c r="AF735" i="13"/>
  <c r="AH735" i="13"/>
  <c r="AN735" i="13" s="1"/>
  <c r="AH736" i="13"/>
  <c r="AN736" i="13" s="1"/>
  <c r="AF736" i="13"/>
  <c r="AH740" i="13"/>
  <c r="AN740" i="13" s="1"/>
  <c r="AF740" i="13"/>
  <c r="AF747" i="13"/>
  <c r="AH747" i="13"/>
  <c r="AN747" i="13" s="1"/>
  <c r="AH752" i="13"/>
  <c r="AN752" i="13" s="1"/>
  <c r="AF752" i="13"/>
  <c r="AH753" i="13"/>
  <c r="AN753" i="13" s="1"/>
  <c r="AF753" i="13"/>
  <c r="AH754" i="13"/>
  <c r="AN754" i="13" s="1"/>
  <c r="AF754" i="13"/>
  <c r="AF759" i="13"/>
  <c r="AH759" i="13"/>
  <c r="AN759" i="13" s="1"/>
  <c r="AF760" i="13"/>
  <c r="AH760" i="13"/>
  <c r="AN760" i="13" s="1"/>
  <c r="AF765" i="13"/>
  <c r="AH765" i="13"/>
  <c r="AN765" i="13" s="1"/>
  <c r="AF770" i="13"/>
  <c r="AH770" i="13"/>
  <c r="AN770" i="13" s="1"/>
  <c r="AH774" i="13"/>
  <c r="AN774" i="13" s="1"/>
  <c r="AF774" i="13"/>
  <c r="AF775" i="13"/>
  <c r="AH775" i="13"/>
  <c r="AN775" i="13" s="1"/>
  <c r="AF776" i="13"/>
  <c r="AH776" i="13"/>
  <c r="AN776" i="13" s="1"/>
  <c r="AH777" i="13"/>
  <c r="AF777" i="13"/>
  <c r="AH781" i="13"/>
  <c r="AN781" i="13" s="1"/>
  <c r="AF781" i="13"/>
  <c r="AF782" i="13"/>
  <c r="AH782" i="13"/>
  <c r="AN782" i="13" s="1"/>
  <c r="AH798" i="13"/>
  <c r="AN798" i="13" s="1"/>
  <c r="AF798" i="13"/>
  <c r="AH804" i="13"/>
  <c r="AN804" i="13" s="1"/>
  <c r="AF804" i="13"/>
  <c r="AF805" i="13"/>
  <c r="AH805" i="13"/>
  <c r="AN805" i="13" s="1"/>
  <c r="AF806" i="13"/>
  <c r="AH806" i="13"/>
  <c r="AN806" i="13" s="1"/>
  <c r="AH811" i="13"/>
  <c r="AN811" i="13" s="1"/>
  <c r="AF811" i="13"/>
  <c r="AF816" i="13"/>
  <c r="AH816" i="13"/>
  <c r="AN816" i="13" s="1"/>
  <c r="AH817" i="13"/>
  <c r="AN817" i="13" s="1"/>
  <c r="AF817" i="13"/>
  <c r="AH818" i="13"/>
  <c r="AN818" i="13" s="1"/>
  <c r="AF818" i="13"/>
  <c r="AF819" i="13"/>
  <c r="AH819" i="13"/>
  <c r="AN819" i="13" s="1"/>
  <c r="AF820" i="13"/>
  <c r="AH820" i="13"/>
  <c r="AN820" i="13" s="1"/>
  <c r="AH822" i="13"/>
  <c r="AN822" i="13" s="1"/>
  <c r="AF822" i="13"/>
  <c r="AH823" i="13"/>
  <c r="AN823" i="13" s="1"/>
  <c r="AF823" i="13"/>
  <c r="AH827" i="13"/>
  <c r="AN827" i="13" s="1"/>
  <c r="AF827" i="13"/>
  <c r="AH828" i="13"/>
  <c r="AN828" i="13" s="1"/>
  <c r="AF828" i="13"/>
  <c r="AH829" i="13"/>
  <c r="AN829" i="13" s="1"/>
  <c r="AF829" i="13"/>
  <c r="AF830" i="13"/>
  <c r="AH830" i="13"/>
  <c r="AN830" i="13" s="1"/>
  <c r="AF831" i="13"/>
  <c r="AH831" i="13"/>
  <c r="AN831" i="13" s="1"/>
  <c r="AH853" i="13"/>
  <c r="AN853" i="13" s="1"/>
  <c r="AF853" i="13"/>
  <c r="AH857" i="13"/>
  <c r="AN857" i="13" s="1"/>
  <c r="AF857" i="13"/>
  <c r="AF874" i="13"/>
  <c r="AH874" i="13"/>
  <c r="AN874" i="13" s="1"/>
  <c r="AH886" i="13"/>
  <c r="AN886" i="13" s="1"/>
  <c r="AF886" i="13"/>
  <c r="AH890" i="13"/>
  <c r="AN890" i="13" s="1"/>
  <c r="AF890" i="13"/>
  <c r="AH891" i="13"/>
  <c r="AN891" i="13" s="1"/>
  <c r="AF891" i="13"/>
  <c r="AF896" i="13"/>
  <c r="AH896" i="13"/>
  <c r="AN896" i="13" s="1"/>
  <c r="AF903" i="13"/>
  <c r="AH903" i="13"/>
  <c r="AN903" i="13" s="1"/>
  <c r="AF904" i="13"/>
  <c r="AH904" i="13"/>
  <c r="AN904" i="13" s="1"/>
  <c r="AH906" i="13"/>
  <c r="AN906" i="13" s="1"/>
  <c r="AF906" i="13"/>
  <c r="AF907" i="13"/>
  <c r="AH907" i="13"/>
  <c r="AN907" i="13" s="1"/>
  <c r="AF908" i="13"/>
  <c r="AH908" i="13"/>
  <c r="AN908" i="13" s="1"/>
  <c r="AH909" i="13"/>
  <c r="AN909" i="13" s="1"/>
  <c r="AF909" i="13"/>
  <c r="AH910" i="13"/>
  <c r="AN910" i="13" s="1"/>
  <c r="AF910" i="13"/>
  <c r="AF911" i="13"/>
  <c r="AH911" i="13"/>
  <c r="AN911" i="13" s="1"/>
  <c r="AF912" i="13"/>
  <c r="AH912" i="13"/>
  <c r="AN912" i="13" s="1"/>
  <c r="AH913" i="13"/>
  <c r="AN913" i="13" s="1"/>
  <c r="AF913" i="13"/>
  <c r="AH914" i="13"/>
  <c r="AN914" i="13" s="1"/>
  <c r="AF914" i="13"/>
  <c r="AF915" i="13"/>
  <c r="AH915" i="13"/>
  <c r="AN915" i="13" s="1"/>
  <c r="AF916" i="13"/>
  <c r="AH916" i="13"/>
  <c r="AN916" i="13" s="1"/>
  <c r="AH917" i="13"/>
  <c r="AN917" i="13" s="1"/>
  <c r="AF917" i="13"/>
  <c r="AH918" i="13"/>
  <c r="AN918" i="13" s="1"/>
  <c r="AF918" i="13"/>
  <c r="AF919" i="13"/>
  <c r="AH919" i="13"/>
  <c r="AN919" i="13" s="1"/>
  <c r="AF920" i="13"/>
  <c r="AH920" i="13"/>
  <c r="AN920" i="13" s="1"/>
  <c r="AF924" i="13"/>
  <c r="AH924" i="13"/>
  <c r="AN924" i="13" s="1"/>
  <c r="AH930" i="13"/>
  <c r="AN930" i="13" s="1"/>
  <c r="AF930" i="13"/>
  <c r="AH953" i="13"/>
  <c r="AN953" i="13" s="1"/>
  <c r="AF953" i="13"/>
  <c r="AH954" i="13"/>
  <c r="AN954" i="13" s="1"/>
  <c r="AF954" i="13"/>
  <c r="AH955" i="13"/>
  <c r="AN955" i="13" s="1"/>
  <c r="AF955" i="13"/>
  <c r="AF956" i="13"/>
  <c r="AH956" i="13"/>
  <c r="AN956" i="13" s="1"/>
  <c r="AF957" i="13"/>
  <c r="AH957" i="13"/>
  <c r="AN957" i="13" s="1"/>
  <c r="AH958" i="13"/>
  <c r="AN958" i="13" s="1"/>
  <c r="AF958" i="13"/>
  <c r="AH959" i="13"/>
  <c r="AN959" i="13" s="1"/>
  <c r="AF959" i="13"/>
  <c r="AF960" i="13"/>
  <c r="AH960" i="13"/>
  <c r="AN960" i="13" s="1"/>
  <c r="AF961" i="13"/>
  <c r="AH961" i="13"/>
  <c r="AN961" i="13" s="1"/>
  <c r="AH962" i="13"/>
  <c r="AN962" i="13" s="1"/>
  <c r="AF962" i="13"/>
  <c r="AH963" i="13"/>
  <c r="AN963" i="13" s="1"/>
  <c r="AF963" i="13"/>
  <c r="AF964" i="13"/>
  <c r="AH964" i="13"/>
  <c r="AN964" i="13" s="1"/>
  <c r="AF965" i="13"/>
  <c r="AH965" i="13"/>
  <c r="AN965" i="13" s="1"/>
  <c r="AH979" i="13"/>
  <c r="AN979" i="13" s="1"/>
  <c r="AF979" i="13"/>
  <c r="AF980" i="13"/>
  <c r="AH980" i="13"/>
  <c r="AN980" i="13" s="1"/>
  <c r="AF981" i="13"/>
  <c r="AH981" i="13"/>
  <c r="AN981" i="13" s="1"/>
  <c r="AH982" i="13"/>
  <c r="AN982" i="13" s="1"/>
  <c r="AF982" i="13"/>
  <c r="AF987" i="13"/>
  <c r="AH987" i="13"/>
  <c r="AN987" i="13" s="1"/>
  <c r="AH1003" i="13"/>
  <c r="AN1003" i="13" s="1"/>
  <c r="AF1003" i="13"/>
  <c r="AF1028" i="13"/>
  <c r="AH1028" i="13"/>
  <c r="AN1028" i="13" s="1"/>
  <c r="AF1032" i="13"/>
  <c r="AH1032" i="13"/>
  <c r="AN1032" i="13" s="1"/>
  <c r="AH1037" i="13"/>
  <c r="AN1037" i="13" s="1"/>
  <c r="AF1037" i="13"/>
  <c r="AF1038" i="13"/>
  <c r="AH1038" i="13"/>
  <c r="AN1038" i="13" s="1"/>
  <c r="AF1039" i="13"/>
  <c r="AH1039" i="13"/>
  <c r="AN1039" i="13" s="1"/>
  <c r="AF1043" i="13"/>
  <c r="AH1043" i="13"/>
  <c r="AN1043" i="13" s="1"/>
  <c r="AH1053" i="13"/>
  <c r="AN1053" i="13" s="1"/>
  <c r="AF1053" i="13"/>
  <c r="AH1054" i="13"/>
  <c r="AN1054" i="13" s="1"/>
  <c r="AF1054" i="13"/>
  <c r="AH1055" i="13"/>
  <c r="AN1055" i="13" s="1"/>
  <c r="AF1055" i="13"/>
  <c r="AH1056" i="13"/>
  <c r="AN1056" i="13" s="1"/>
  <c r="AF1056" i="13"/>
  <c r="AH1057" i="13"/>
  <c r="AN1057" i="13" s="1"/>
  <c r="AF1057" i="13"/>
  <c r="AF1058" i="13"/>
  <c r="AH1058" i="13"/>
  <c r="AN1058" i="13" s="1"/>
  <c r="AF1059" i="13"/>
  <c r="AH1059" i="13"/>
  <c r="AN1059" i="13" s="1"/>
  <c r="AH1060" i="13"/>
  <c r="AN1060" i="13" s="1"/>
  <c r="AF1060" i="13"/>
  <c r="AF1061" i="13"/>
  <c r="AH1061" i="13"/>
  <c r="AN1061" i="13" s="1"/>
  <c r="AF1062" i="13"/>
  <c r="AH1062" i="13"/>
  <c r="AN1062" i="13" s="1"/>
  <c r="AH1066" i="13"/>
  <c r="AN1066" i="13" s="1"/>
  <c r="AF1066" i="13"/>
  <c r="AH1070" i="13"/>
  <c r="AF1070" i="13"/>
  <c r="AH1071" i="13"/>
  <c r="AF1071" i="13"/>
  <c r="AH1077" i="13"/>
  <c r="AN1077" i="13" s="1"/>
  <c r="AF1077" i="13"/>
  <c r="AH1078" i="13"/>
  <c r="AN1078" i="13" s="1"/>
  <c r="AF1078" i="13"/>
  <c r="AF1079" i="13"/>
  <c r="AH1079" i="13"/>
  <c r="AN1079" i="13" s="1"/>
  <c r="AF1080" i="13"/>
  <c r="AH1080" i="13"/>
  <c r="AN1080" i="13" s="1"/>
  <c r="AF1081" i="13"/>
  <c r="AH1081" i="13"/>
  <c r="AN1081" i="13" s="1"/>
  <c r="AF1082" i="13"/>
  <c r="AH1082" i="13"/>
  <c r="AN1082" i="13" s="1"/>
  <c r="AH1089" i="13"/>
  <c r="AN1089" i="13" s="1"/>
  <c r="AF1089" i="13"/>
  <c r="AH1090" i="13"/>
  <c r="AN1090" i="13" s="1"/>
  <c r="AF1090" i="13"/>
  <c r="AH1091" i="13"/>
  <c r="AN1091" i="13" s="1"/>
  <c r="AF1091" i="13"/>
  <c r="AF1092" i="13"/>
  <c r="AH1092" i="13"/>
  <c r="AN1092" i="13" s="1"/>
  <c r="AF1094" i="13"/>
  <c r="AH1094" i="13"/>
  <c r="AF1100" i="13"/>
  <c r="AH1100" i="13"/>
  <c r="AN1100" i="13" s="1"/>
  <c r="AF1104" i="13"/>
  <c r="AH1104" i="13"/>
  <c r="AN1104" i="13" s="1"/>
  <c r="AF1111" i="13"/>
  <c r="AH1111" i="13"/>
  <c r="AN1111" i="13" s="1"/>
  <c r="AH1118" i="13"/>
  <c r="AN1118" i="13" s="1"/>
  <c r="AF1118" i="13"/>
  <c r="AH1119" i="13"/>
  <c r="AN1119" i="13" s="1"/>
  <c r="AF1119" i="13"/>
  <c r="AF1120" i="13"/>
  <c r="AH1120" i="13"/>
  <c r="AN1120" i="13" s="1"/>
  <c r="AF1121" i="13"/>
  <c r="AH1121" i="13"/>
  <c r="AN1121" i="13" s="1"/>
  <c r="AH1138" i="13"/>
  <c r="AN1138" i="13" s="1"/>
  <c r="AF1138" i="13"/>
  <c r="AH1143" i="13"/>
  <c r="AN1143" i="13" s="1"/>
  <c r="AF1143" i="13"/>
  <c r="AF1146" i="13"/>
  <c r="AH1146" i="13"/>
  <c r="AN1146" i="13" s="1"/>
  <c r="AH1152" i="13"/>
  <c r="AN1152" i="13" s="1"/>
  <c r="AF1152" i="13"/>
  <c r="AH1155" i="13"/>
  <c r="AN1155" i="13" s="1"/>
  <c r="AF1155" i="13"/>
  <c r="AF1159" i="13"/>
  <c r="AH1159" i="13"/>
  <c r="AN1159" i="13" s="1"/>
  <c r="AH1167" i="13"/>
  <c r="AN1167" i="13" s="1"/>
  <c r="AF1167" i="13"/>
  <c r="AH1179" i="13"/>
  <c r="AN1179" i="13" s="1"/>
  <c r="AF1179" i="13"/>
  <c r="AF1208" i="13"/>
  <c r="AH1208" i="13"/>
  <c r="AN1208" i="13" s="1"/>
  <c r="AH1213" i="13"/>
  <c r="AN1213" i="13" s="1"/>
  <c r="AF1213" i="13"/>
  <c r="AH17" i="13"/>
  <c r="AF17" i="13"/>
  <c r="AF27" i="13"/>
  <c r="AH27" i="13"/>
  <c r="AN27" i="13" s="1"/>
  <c r="AF46" i="13"/>
  <c r="AH46" i="13"/>
  <c r="AN46" i="13" s="1"/>
  <c r="AH52" i="13"/>
  <c r="AN52" i="13" s="1"/>
  <c r="AF52" i="13"/>
  <c r="AH54" i="13"/>
  <c r="AN54" i="13" s="1"/>
  <c r="AF54" i="13"/>
  <c r="AH55" i="13"/>
  <c r="AN55" i="13" s="1"/>
  <c r="AF55" i="13"/>
  <c r="AF56" i="13"/>
  <c r="AH56" i="13"/>
  <c r="AN56" i="13" s="1"/>
  <c r="AH57" i="13"/>
  <c r="AN57" i="13" s="1"/>
  <c r="AF57" i="13"/>
  <c r="AF69" i="13"/>
  <c r="AH69" i="13"/>
  <c r="AN69" i="13" s="1"/>
  <c r="AF79" i="13"/>
  <c r="AH79" i="13"/>
  <c r="AN79" i="13" s="1"/>
  <c r="AF84" i="13"/>
  <c r="AH84" i="13"/>
  <c r="AN84" i="13" s="1"/>
  <c r="AF85" i="13"/>
  <c r="AH85" i="13"/>
  <c r="AN85" i="13" s="1"/>
  <c r="AH86" i="13"/>
  <c r="AN86" i="13" s="1"/>
  <c r="AF86" i="13"/>
  <c r="AH87" i="13"/>
  <c r="AN87" i="13" s="1"/>
  <c r="AF87" i="13"/>
  <c r="AH88" i="13"/>
  <c r="AN88" i="13" s="1"/>
  <c r="AF88" i="13"/>
  <c r="AF89" i="13"/>
  <c r="AH89" i="13"/>
  <c r="AN89" i="13" s="1"/>
  <c r="AH90" i="13"/>
  <c r="AN90" i="13" s="1"/>
  <c r="AF90" i="13"/>
  <c r="AH91" i="13"/>
  <c r="AN91" i="13" s="1"/>
  <c r="AF91" i="13"/>
  <c r="AF92" i="13"/>
  <c r="AH92" i="13"/>
  <c r="AN92" i="13" s="1"/>
  <c r="AF93" i="13"/>
  <c r="AH93" i="13"/>
  <c r="AN93" i="13" s="1"/>
  <c r="AH95" i="13"/>
  <c r="AF95" i="13"/>
  <c r="AF97" i="13"/>
  <c r="AH97" i="13"/>
  <c r="AN97" i="13" s="1"/>
  <c r="AF98" i="13"/>
  <c r="AH98" i="13"/>
  <c r="AN98" i="13" s="1"/>
  <c r="AF99" i="13"/>
  <c r="AH99" i="13"/>
  <c r="AN99" i="13" s="1"/>
  <c r="AF100" i="13"/>
  <c r="AH100" i="13"/>
  <c r="AN100" i="13" s="1"/>
  <c r="AH101" i="13"/>
  <c r="AN101" i="13" s="1"/>
  <c r="AF101" i="13"/>
  <c r="AH102" i="13"/>
  <c r="AN102" i="13" s="1"/>
  <c r="AF102" i="13"/>
  <c r="AF103" i="13"/>
  <c r="AH103" i="13"/>
  <c r="AN103" i="13" s="1"/>
  <c r="AF104" i="13"/>
  <c r="AH104" i="13"/>
  <c r="AN104" i="13" s="1"/>
  <c r="AH105" i="13"/>
  <c r="AN105" i="13" s="1"/>
  <c r="AF105" i="13"/>
  <c r="AH106" i="13"/>
  <c r="AN106" i="13" s="1"/>
  <c r="AF106" i="13"/>
  <c r="AF108" i="13"/>
  <c r="AH108" i="13"/>
  <c r="AH110" i="13"/>
  <c r="AN110" i="13" s="1"/>
  <c r="AF110" i="13"/>
  <c r="AH111" i="13"/>
  <c r="AN111" i="13" s="1"/>
  <c r="AF111" i="13"/>
  <c r="AH118" i="13"/>
  <c r="AN118" i="13" s="1"/>
  <c r="AF118" i="13"/>
  <c r="AH119" i="13"/>
  <c r="AN119" i="13" s="1"/>
  <c r="AF119" i="13"/>
  <c r="AH120" i="13"/>
  <c r="AN120" i="13" s="1"/>
  <c r="AF120" i="13"/>
  <c r="AF121" i="13"/>
  <c r="AH121" i="13"/>
  <c r="AN121" i="13" s="1"/>
  <c r="AH124" i="13"/>
  <c r="AN124" i="13" s="1"/>
  <c r="AF124" i="13"/>
  <c r="AH128" i="13"/>
  <c r="AN128" i="13" s="1"/>
  <c r="AF128" i="13"/>
  <c r="AF136" i="13"/>
  <c r="AH136" i="13"/>
  <c r="AN136" i="13" s="1"/>
  <c r="AH142" i="13"/>
  <c r="AN142" i="13" s="1"/>
  <c r="AF142" i="13"/>
  <c r="AH146" i="13"/>
  <c r="AN146" i="13" s="1"/>
  <c r="AF146" i="13"/>
  <c r="AH149" i="13"/>
  <c r="AN149" i="13" s="1"/>
  <c r="AF149" i="13"/>
  <c r="AH153" i="13"/>
  <c r="AN153" i="13" s="1"/>
  <c r="AF153" i="13"/>
  <c r="AF163" i="13"/>
  <c r="AH163" i="13"/>
  <c r="AN163" i="13" s="1"/>
  <c r="AF167" i="13"/>
  <c r="AH167" i="13"/>
  <c r="AN167" i="13" s="1"/>
  <c r="AH182" i="13"/>
  <c r="AN182" i="13" s="1"/>
  <c r="AF182" i="13"/>
  <c r="AF183" i="13"/>
  <c r="AH183" i="13"/>
  <c r="AN183" i="13" s="1"/>
  <c r="AH185" i="13"/>
  <c r="AN185" i="13" s="1"/>
  <c r="AF185" i="13"/>
  <c r="AH186" i="13"/>
  <c r="AN186" i="13" s="1"/>
  <c r="AF186" i="13"/>
  <c r="AH187" i="13"/>
  <c r="AN187" i="13" s="1"/>
  <c r="AF187" i="13"/>
  <c r="AH188" i="13"/>
  <c r="AN188" i="13" s="1"/>
  <c r="AF188" i="13"/>
  <c r="AF189" i="13"/>
  <c r="AH189" i="13"/>
  <c r="AN189" i="13" s="1"/>
  <c r="AF190" i="13"/>
  <c r="AH190" i="13"/>
  <c r="AN190" i="13" s="1"/>
  <c r="AF211" i="13"/>
  <c r="AH211" i="13"/>
  <c r="AN211" i="13" s="1"/>
  <c r="AF215" i="13"/>
  <c r="AH215" i="13"/>
  <c r="AN215" i="13" s="1"/>
  <c r="AH234" i="13"/>
  <c r="AN234" i="13" s="1"/>
  <c r="AF234" i="13"/>
  <c r="AF238" i="13"/>
  <c r="AH238" i="13"/>
  <c r="AN238" i="13" s="1"/>
  <c r="AF256" i="13"/>
  <c r="AH256" i="13"/>
  <c r="AN256" i="13" s="1"/>
  <c r="AF257" i="13"/>
  <c r="AH257" i="13"/>
  <c r="AN257" i="13" s="1"/>
  <c r="AF258" i="13"/>
  <c r="AH258" i="13"/>
  <c r="AN258" i="13" s="1"/>
  <c r="AH259" i="13"/>
  <c r="AN259" i="13" s="1"/>
  <c r="AF259" i="13"/>
  <c r="AH260" i="13"/>
  <c r="AN260" i="13" s="1"/>
  <c r="AF260" i="13"/>
  <c r="AF261" i="13"/>
  <c r="AH261" i="13"/>
  <c r="AN261" i="13" s="1"/>
  <c r="AF262" i="13"/>
  <c r="AH262" i="13"/>
  <c r="AN262" i="13" s="1"/>
  <c r="AF263" i="13"/>
  <c r="AH263" i="13"/>
  <c r="AN263" i="13" s="1"/>
  <c r="AH264" i="13"/>
  <c r="AN264" i="13" s="1"/>
  <c r="AF264" i="13"/>
  <c r="AF267" i="13"/>
  <c r="AH267" i="13"/>
  <c r="AF278" i="13"/>
  <c r="AH278" i="13"/>
  <c r="AN278" i="13" s="1"/>
  <c r="AF279" i="13"/>
  <c r="AH279" i="13"/>
  <c r="AN279" i="13" s="1"/>
  <c r="AH280" i="13"/>
  <c r="AN280" i="13" s="1"/>
  <c r="AF280" i="13"/>
  <c r="AH281" i="13"/>
  <c r="AN281" i="13" s="1"/>
  <c r="AF281" i="13"/>
  <c r="AH290" i="13"/>
  <c r="AN290" i="13" s="1"/>
  <c r="AF290" i="13"/>
  <c r="AF297" i="13"/>
  <c r="AH297" i="13"/>
  <c r="AN297" i="13" s="1"/>
  <c r="AH301" i="13"/>
  <c r="AN301" i="13" s="1"/>
  <c r="AF301" i="13"/>
  <c r="AH302" i="13"/>
  <c r="AN302" i="13" s="1"/>
  <c r="AF302" i="13"/>
  <c r="AH303" i="13"/>
  <c r="AN303" i="13" s="1"/>
  <c r="AF303" i="13"/>
  <c r="AF304" i="13"/>
  <c r="AH304" i="13"/>
  <c r="AN304" i="13" s="1"/>
  <c r="AF305" i="13"/>
  <c r="AH305" i="13"/>
  <c r="AN305" i="13" s="1"/>
  <c r="AH306" i="13"/>
  <c r="AN306" i="13" s="1"/>
  <c r="AF306" i="13"/>
  <c r="AH307" i="13"/>
  <c r="AN307" i="13" s="1"/>
  <c r="AF307" i="13"/>
  <c r="AF308" i="13"/>
  <c r="AH308" i="13"/>
  <c r="AN308" i="13" s="1"/>
  <c r="AF309" i="13"/>
  <c r="AH309" i="13"/>
  <c r="AN309" i="13" s="1"/>
  <c r="AH319" i="13"/>
  <c r="AN319" i="13" s="1"/>
  <c r="AF319" i="13"/>
  <c r="AH320" i="13"/>
  <c r="AN320" i="13" s="1"/>
  <c r="AF320" i="13"/>
  <c r="AH321" i="13"/>
  <c r="AN321" i="13" s="1"/>
  <c r="AF321" i="13"/>
  <c r="AH322" i="13"/>
  <c r="AN322" i="13" s="1"/>
  <c r="AF322" i="13"/>
  <c r="AF323" i="13"/>
  <c r="AH323" i="13"/>
  <c r="AN323" i="13" s="1"/>
  <c r="AF324" i="13"/>
  <c r="AH324" i="13"/>
  <c r="AN324" i="13" s="1"/>
  <c r="AH325" i="13"/>
  <c r="AN325" i="13" s="1"/>
  <c r="AF325" i="13"/>
  <c r="AH326" i="13"/>
  <c r="AN326" i="13" s="1"/>
  <c r="AF326" i="13"/>
  <c r="AF327" i="13"/>
  <c r="AH327" i="13"/>
  <c r="AN327" i="13" s="1"/>
  <c r="AF328" i="13"/>
  <c r="AH328" i="13"/>
  <c r="AN328" i="13" s="1"/>
  <c r="AF350" i="13"/>
  <c r="AH350" i="13"/>
  <c r="AN350" i="13" s="1"/>
  <c r="AF354" i="13"/>
  <c r="AH354" i="13"/>
  <c r="AN354" i="13" s="1"/>
  <c r="AF357" i="13"/>
  <c r="AH357" i="13"/>
  <c r="AF358" i="13"/>
  <c r="AH358" i="13"/>
  <c r="AH359" i="13"/>
  <c r="AN359" i="13" s="1"/>
  <c r="AF359" i="13"/>
  <c r="AH361" i="13"/>
  <c r="AN361" i="13" s="1"/>
  <c r="AF361" i="13"/>
  <c r="AF365" i="13"/>
  <c r="AH365" i="13"/>
  <c r="AN365" i="13" s="1"/>
  <c r="AH369" i="13"/>
  <c r="AN369" i="13" s="1"/>
  <c r="AF369" i="13"/>
  <c r="AF373" i="13"/>
  <c r="AH373" i="13"/>
  <c r="AN373" i="13" s="1"/>
  <c r="AH377" i="13"/>
  <c r="AN377" i="13" s="1"/>
  <c r="AF377" i="13"/>
  <c r="AF384" i="13"/>
  <c r="AH384" i="13"/>
  <c r="AN384" i="13" s="1"/>
  <c r="AF385" i="13"/>
  <c r="AH385" i="13"/>
  <c r="AN385" i="13" s="1"/>
  <c r="AF386" i="13"/>
  <c r="AH386" i="13"/>
  <c r="AN386" i="13" s="1"/>
  <c r="AH387" i="13"/>
  <c r="AN387" i="13" s="1"/>
  <c r="AF387" i="13"/>
  <c r="AH388" i="13"/>
  <c r="AN388" i="13" s="1"/>
  <c r="AF388" i="13"/>
  <c r="AF389" i="13"/>
  <c r="AH389" i="13"/>
  <c r="AN389" i="13" s="1"/>
  <c r="AF390" i="13"/>
  <c r="AH390" i="13"/>
  <c r="AN390" i="13" s="1"/>
  <c r="AH391" i="13"/>
  <c r="AN391" i="13" s="1"/>
  <c r="AF391" i="13"/>
  <c r="AH392" i="13"/>
  <c r="AN392" i="13" s="1"/>
  <c r="AF392" i="13"/>
  <c r="AF393" i="13"/>
  <c r="AH393" i="13"/>
  <c r="AN393" i="13" s="1"/>
  <c r="AF394" i="13"/>
  <c r="AH394" i="13"/>
  <c r="AN394" i="13" s="1"/>
  <c r="AH395" i="13"/>
  <c r="AN395" i="13" s="1"/>
  <c r="AF395" i="13"/>
  <c r="AH396" i="13"/>
  <c r="AN396" i="13" s="1"/>
  <c r="AF396" i="13"/>
  <c r="AF397" i="13"/>
  <c r="AH397" i="13"/>
  <c r="AN397" i="13" s="1"/>
  <c r="AF398" i="13"/>
  <c r="AH398" i="13"/>
  <c r="AN398" i="13" s="1"/>
  <c r="AH399" i="13"/>
  <c r="AN399" i="13" s="1"/>
  <c r="AF399" i="13"/>
  <c r="AH400" i="13"/>
  <c r="AN400" i="13" s="1"/>
  <c r="AF400" i="13"/>
  <c r="AF401" i="13"/>
  <c r="AH401" i="13"/>
  <c r="AN401" i="13" s="1"/>
  <c r="AF402" i="13"/>
  <c r="AH402" i="13"/>
  <c r="AN402" i="13" s="1"/>
  <c r="AH403" i="13"/>
  <c r="AN403" i="13" s="1"/>
  <c r="AF403" i="13"/>
  <c r="AH404" i="13"/>
  <c r="AN404" i="13" s="1"/>
  <c r="AF404" i="13"/>
  <c r="AH408" i="13"/>
  <c r="AN408" i="13" s="1"/>
  <c r="AF408" i="13"/>
  <c r="AF421" i="13"/>
  <c r="AH421" i="13"/>
  <c r="AN421" i="13" s="1"/>
  <c r="AH426" i="13"/>
  <c r="AN426" i="13" s="1"/>
  <c r="AF426" i="13"/>
  <c r="AH428" i="13"/>
  <c r="AN428" i="13" s="1"/>
  <c r="AF428" i="13"/>
  <c r="AF432" i="13"/>
  <c r="AH432" i="13"/>
  <c r="AN432" i="13" s="1"/>
  <c r="AF433" i="13"/>
  <c r="AH433" i="13"/>
  <c r="AN433" i="13" s="1"/>
  <c r="AH434" i="13"/>
  <c r="AN434" i="13" s="1"/>
  <c r="AF434" i="13"/>
  <c r="AH438" i="13"/>
  <c r="AN438" i="13" s="1"/>
  <c r="AF438" i="13"/>
  <c r="AH439" i="13"/>
  <c r="AN439" i="13" s="1"/>
  <c r="AF439" i="13"/>
  <c r="AF443" i="13"/>
  <c r="AH443" i="13"/>
  <c r="AN443" i="13" s="1"/>
  <c r="AF447" i="13"/>
  <c r="AH447" i="13"/>
  <c r="AN447" i="13" s="1"/>
  <c r="AF455" i="13"/>
  <c r="AH455" i="13"/>
  <c r="AN455" i="13" s="1"/>
  <c r="AF460" i="13"/>
  <c r="AH460" i="13"/>
  <c r="AN460" i="13" s="1"/>
  <c r="AH472" i="13"/>
  <c r="AN472" i="13" s="1"/>
  <c r="AF472" i="13"/>
  <c r="AF476" i="13"/>
  <c r="AH476" i="13"/>
  <c r="AN476" i="13" s="1"/>
  <c r="AF480" i="13"/>
  <c r="AH480" i="13"/>
  <c r="AH481" i="13"/>
  <c r="AN481" i="13" s="1"/>
  <c r="AF481" i="13"/>
  <c r="AH491" i="13"/>
  <c r="AF491" i="13"/>
  <c r="AF496" i="13"/>
  <c r="AH496" i="13"/>
  <c r="AF497" i="13"/>
  <c r="AH497" i="13"/>
  <c r="AN497" i="13" s="1"/>
  <c r="AH498" i="13"/>
  <c r="AN498" i="13" s="1"/>
  <c r="AF498" i="13"/>
  <c r="AH499" i="13"/>
  <c r="AN499" i="13" s="1"/>
  <c r="AF499" i="13"/>
  <c r="AH516" i="13"/>
  <c r="AN516" i="13" s="1"/>
  <c r="AF516" i="13"/>
  <c r="AH521" i="13"/>
  <c r="AN521" i="13" s="1"/>
  <c r="AF521" i="13"/>
  <c r="AH529" i="13"/>
  <c r="AN529" i="13" s="1"/>
  <c r="AF529" i="13"/>
  <c r="AF530" i="13"/>
  <c r="AH530" i="13"/>
  <c r="AN530" i="13" s="1"/>
  <c r="AF531" i="13"/>
  <c r="AH531" i="13"/>
  <c r="AH532" i="13"/>
  <c r="AN532" i="13" s="1"/>
  <c r="AF532" i="13"/>
  <c r="AH533" i="13"/>
  <c r="AF533" i="13"/>
  <c r="AH534" i="13"/>
  <c r="AN534" i="13" s="1"/>
  <c r="AF534" i="13"/>
  <c r="AH535" i="13"/>
  <c r="AN535" i="13" s="1"/>
  <c r="AF535" i="13"/>
  <c r="AH536" i="13"/>
  <c r="AN536" i="13" s="1"/>
  <c r="AF536" i="13"/>
  <c r="AH537" i="13"/>
  <c r="AN537" i="13" s="1"/>
  <c r="AF537" i="13"/>
  <c r="AF541" i="13"/>
  <c r="AH541" i="13"/>
  <c r="AN541" i="13" s="1"/>
  <c r="AH542" i="13"/>
  <c r="AN542" i="13" s="1"/>
  <c r="AF542" i="13"/>
  <c r="AH543" i="13"/>
  <c r="AN543" i="13" s="1"/>
  <c r="AF543" i="13"/>
  <c r="AF544" i="13"/>
  <c r="AH544" i="13"/>
  <c r="AH548" i="13"/>
  <c r="AN548" i="13" s="1"/>
  <c r="AF548" i="13"/>
  <c r="AF549" i="13"/>
  <c r="AH549" i="13"/>
  <c r="AN549" i="13" s="1"/>
  <c r="AF550" i="13"/>
  <c r="AH550" i="13"/>
  <c r="AN550" i="13" s="1"/>
  <c r="AH551" i="13"/>
  <c r="AF551" i="13"/>
  <c r="AF555" i="13"/>
  <c r="AH555" i="13"/>
  <c r="AN555" i="13" s="1"/>
  <c r="AH560" i="13"/>
  <c r="AN560" i="13" s="1"/>
  <c r="AF560" i="13"/>
  <c r="AH561" i="13"/>
  <c r="AN561" i="13" s="1"/>
  <c r="AF561" i="13"/>
  <c r="AF562" i="13"/>
  <c r="AH562" i="13"/>
  <c r="AH566" i="13"/>
  <c r="AN566" i="13" s="1"/>
  <c r="AF566" i="13"/>
  <c r="AH570" i="13"/>
  <c r="AN570" i="13" s="1"/>
  <c r="AF570" i="13"/>
  <c r="AH576" i="13"/>
  <c r="AN576" i="13" s="1"/>
  <c r="AF576" i="13"/>
  <c r="AH586" i="13"/>
  <c r="AN586" i="13" s="1"/>
  <c r="AF586" i="13"/>
  <c r="AF587" i="13"/>
  <c r="AH587" i="13"/>
  <c r="AN587" i="13" s="1"/>
  <c r="AF588" i="13"/>
  <c r="AH588" i="13"/>
  <c r="AN588" i="13" s="1"/>
  <c r="AH591" i="13"/>
  <c r="AN591" i="13" s="1"/>
  <c r="AF591" i="13"/>
  <c r="AH595" i="13"/>
  <c r="AF595" i="13"/>
  <c r="AF599" i="13"/>
  <c r="AH599" i="13"/>
  <c r="AF600" i="13"/>
  <c r="AH600" i="13"/>
  <c r="AN600" i="13" s="1"/>
  <c r="AH602" i="13"/>
  <c r="AN602" i="13" s="1"/>
  <c r="AF602" i="13"/>
  <c r="AF606" i="13"/>
  <c r="AH606" i="13"/>
  <c r="AN606" i="13" s="1"/>
  <c r="AF610" i="13"/>
  <c r="AH610" i="13"/>
  <c r="AN610" i="13" s="1"/>
  <c r="AF611" i="13"/>
  <c r="AH611" i="13"/>
  <c r="AH617" i="13"/>
  <c r="AF617" i="13"/>
  <c r="AF624" i="13"/>
  <c r="AH624" i="13"/>
  <c r="AH636" i="13"/>
  <c r="AF636" i="13"/>
  <c r="AF639" i="13"/>
  <c r="AH639" i="13"/>
  <c r="AN639" i="13" s="1"/>
  <c r="AH641" i="13"/>
  <c r="AN641" i="13" s="1"/>
  <c r="AF641" i="13"/>
  <c r="AH642" i="13"/>
  <c r="AN642" i="13" s="1"/>
  <c r="AF642" i="13"/>
  <c r="AF643" i="13"/>
  <c r="AH643" i="13"/>
  <c r="AN643" i="13" s="1"/>
  <c r="AF644" i="13"/>
  <c r="AH644" i="13"/>
  <c r="AN644" i="13" s="1"/>
  <c r="AH645" i="13"/>
  <c r="AN645" i="13" s="1"/>
  <c r="AF645" i="13"/>
  <c r="AH646" i="13"/>
  <c r="AN646" i="13" s="1"/>
  <c r="AF646" i="13"/>
  <c r="AF647" i="13"/>
  <c r="AH647" i="13"/>
  <c r="AN647" i="13" s="1"/>
  <c r="AH651" i="13"/>
  <c r="AN651" i="13" s="1"/>
  <c r="AF651" i="13"/>
  <c r="AF653" i="13"/>
  <c r="AH653" i="13"/>
  <c r="AN653" i="13" s="1"/>
  <c r="AF660" i="13"/>
  <c r="AH660" i="13"/>
  <c r="AN660" i="13" s="1"/>
  <c r="AF661" i="13"/>
  <c r="AH661" i="13"/>
  <c r="AN661" i="13" s="1"/>
  <c r="AH662" i="13"/>
  <c r="AN662" i="13" s="1"/>
  <c r="AF662" i="13"/>
  <c r="AF665" i="13"/>
  <c r="AH665" i="13"/>
  <c r="AN665" i="13" s="1"/>
  <c r="AF666" i="13"/>
  <c r="AH666" i="13"/>
  <c r="AN666" i="13" s="1"/>
  <c r="AF671" i="13"/>
  <c r="AH671" i="13"/>
  <c r="AN671" i="13" s="1"/>
  <c r="AF672" i="13"/>
  <c r="AH672" i="13"/>
  <c r="AN672" i="13" s="1"/>
  <c r="AH694" i="13"/>
  <c r="AN694" i="13" s="1"/>
  <c r="AF694" i="13"/>
  <c r="AH701" i="13"/>
  <c r="AN701" i="13" s="1"/>
  <c r="AF701" i="13"/>
  <c r="AH702" i="13"/>
  <c r="AN702" i="13" s="1"/>
  <c r="AF702" i="13"/>
  <c r="AF704" i="13"/>
  <c r="AH704" i="13"/>
  <c r="AN704" i="13" s="1"/>
  <c r="AH706" i="13"/>
  <c r="AN706" i="13" s="1"/>
  <c r="AF706" i="13"/>
  <c r="AF724" i="13"/>
  <c r="AH724" i="13"/>
  <c r="AN724" i="13" s="1"/>
  <c r="AF730" i="13"/>
  <c r="AH730" i="13"/>
  <c r="AN730" i="13" s="1"/>
  <c r="AF739" i="13"/>
  <c r="AH739" i="13"/>
  <c r="AN739" i="13" s="1"/>
  <c r="AF746" i="13"/>
  <c r="AH746" i="13"/>
  <c r="AN746" i="13" s="1"/>
  <c r="AH757" i="13"/>
  <c r="AN757" i="13" s="1"/>
  <c r="AF757" i="13"/>
  <c r="AH758" i="13"/>
  <c r="AN758" i="13" s="1"/>
  <c r="AF758" i="13"/>
  <c r="AF764" i="13"/>
  <c r="AH764" i="13"/>
  <c r="AN764" i="13" s="1"/>
  <c r="AH766" i="13"/>
  <c r="AN766" i="13" s="1"/>
  <c r="AF766" i="13"/>
  <c r="AH767" i="13"/>
  <c r="AN767" i="13" s="1"/>
  <c r="AF767" i="13"/>
  <c r="AH769" i="13"/>
  <c r="AN769" i="13" s="1"/>
  <c r="AF769" i="13"/>
  <c r="AF771" i="13"/>
  <c r="AH771" i="13"/>
  <c r="AN771" i="13" s="1"/>
  <c r="AH780" i="13"/>
  <c r="AN780" i="13" s="1"/>
  <c r="AF780" i="13"/>
  <c r="AF787" i="13"/>
  <c r="AH787" i="13"/>
  <c r="AN787" i="13" s="1"/>
  <c r="AF788" i="13"/>
  <c r="AH788" i="13"/>
  <c r="AN788" i="13" s="1"/>
  <c r="AH789" i="13"/>
  <c r="AN789" i="13" s="1"/>
  <c r="AF789" i="13"/>
  <c r="AH790" i="13"/>
  <c r="AN790" i="13" s="1"/>
  <c r="AF790" i="13"/>
  <c r="AF791" i="13"/>
  <c r="AH791" i="13"/>
  <c r="AN791" i="13" s="1"/>
  <c r="AF792" i="13"/>
  <c r="AH792" i="13"/>
  <c r="AN792" i="13" s="1"/>
  <c r="AH793" i="13"/>
  <c r="AN793" i="13" s="1"/>
  <c r="AF793" i="13"/>
  <c r="AF799" i="13"/>
  <c r="AH799" i="13"/>
  <c r="AN799" i="13" s="1"/>
  <c r="AH807" i="13"/>
  <c r="AN807" i="13" s="1"/>
  <c r="AF807" i="13"/>
  <c r="AH808" i="13"/>
  <c r="AN808" i="13" s="1"/>
  <c r="AF808" i="13"/>
  <c r="AH812" i="13"/>
  <c r="AN812" i="13" s="1"/>
  <c r="AF812" i="13"/>
  <c r="AF815" i="13"/>
  <c r="AH815" i="13"/>
  <c r="AN815" i="13" s="1"/>
  <c r="AH821" i="13"/>
  <c r="AN821" i="13" s="1"/>
  <c r="AF821" i="13"/>
  <c r="AH832" i="13"/>
  <c r="AN832" i="13" s="1"/>
  <c r="AF832" i="13"/>
  <c r="AH834" i="13"/>
  <c r="AN834" i="13" s="1"/>
  <c r="AF834" i="13"/>
  <c r="AH835" i="13"/>
  <c r="AN835" i="13" s="1"/>
  <c r="AF835" i="13"/>
  <c r="AF854" i="13"/>
  <c r="AH854" i="13"/>
  <c r="AN854" i="13" s="1"/>
  <c r="AF858" i="13"/>
  <c r="AH858" i="13"/>
  <c r="AN858" i="13" s="1"/>
  <c r="AH865" i="13"/>
  <c r="AN865" i="13" s="1"/>
  <c r="AF865" i="13"/>
  <c r="AH866" i="13"/>
  <c r="AN866" i="13" s="1"/>
  <c r="AF866" i="13"/>
  <c r="AH867" i="13"/>
  <c r="AN867" i="13" s="1"/>
  <c r="AF867" i="13"/>
  <c r="AH868" i="13"/>
  <c r="AN868" i="13" s="1"/>
  <c r="AF868" i="13"/>
  <c r="AF869" i="13"/>
  <c r="AH869" i="13"/>
  <c r="AN869" i="13" s="1"/>
  <c r="AF870" i="13"/>
  <c r="AH870" i="13"/>
  <c r="AN870" i="13" s="1"/>
  <c r="AH871" i="13"/>
  <c r="AN871" i="13" s="1"/>
  <c r="AF871" i="13"/>
  <c r="AH875" i="13"/>
  <c r="AN875" i="13" s="1"/>
  <c r="AF875" i="13"/>
  <c r="AF878" i="13"/>
  <c r="AH878" i="13"/>
  <c r="AN878" i="13" s="1"/>
  <c r="AH885" i="13"/>
  <c r="AN885" i="13" s="1"/>
  <c r="AF885" i="13"/>
  <c r="AF889" i="13"/>
  <c r="AH889" i="13"/>
  <c r="AN889" i="13" s="1"/>
  <c r="AF897" i="13"/>
  <c r="AH897" i="13"/>
  <c r="AN897" i="13" s="1"/>
  <c r="AH902" i="13"/>
  <c r="AN902" i="13" s="1"/>
  <c r="AF902" i="13"/>
  <c r="AH921" i="13"/>
  <c r="AN921" i="13" s="1"/>
  <c r="AF921" i="13"/>
  <c r="AH925" i="13"/>
  <c r="AN925" i="13" s="1"/>
  <c r="AF925" i="13"/>
  <c r="AH931" i="13"/>
  <c r="AN931" i="13" s="1"/>
  <c r="AF931" i="13"/>
  <c r="AH932" i="13"/>
  <c r="AN932" i="13" s="1"/>
  <c r="AF932" i="13"/>
  <c r="AH966" i="13"/>
  <c r="AN966" i="13" s="1"/>
  <c r="AF966" i="13"/>
  <c r="AH967" i="13"/>
  <c r="AN967" i="13" s="1"/>
  <c r="AF967" i="13"/>
  <c r="AF968" i="13"/>
  <c r="AH968" i="13"/>
  <c r="AN968" i="13" s="1"/>
  <c r="AF969" i="13"/>
  <c r="AH969" i="13"/>
  <c r="AN969" i="13" s="1"/>
  <c r="AH970" i="13"/>
  <c r="AN970" i="13" s="1"/>
  <c r="AF970" i="13"/>
  <c r="AH971" i="13"/>
  <c r="AN971" i="13" s="1"/>
  <c r="AF971" i="13"/>
  <c r="AF972" i="13"/>
  <c r="AH972" i="13"/>
  <c r="AN972" i="13" s="1"/>
  <c r="AF973" i="13"/>
  <c r="AH973" i="13"/>
  <c r="AN973" i="13" s="1"/>
  <c r="AH977" i="13"/>
  <c r="AN977" i="13" s="1"/>
  <c r="AF977" i="13"/>
  <c r="AH978" i="13"/>
  <c r="AN978" i="13" s="1"/>
  <c r="AF978" i="13"/>
  <c r="AH988" i="13"/>
  <c r="AN988" i="13" s="1"/>
  <c r="AF988" i="13"/>
  <c r="AH989" i="13"/>
  <c r="AN989" i="13" s="1"/>
  <c r="AF989" i="13"/>
  <c r="AH990" i="13"/>
  <c r="AN990" i="13" s="1"/>
  <c r="AF990" i="13"/>
  <c r="AH991" i="13"/>
  <c r="AN991" i="13" s="1"/>
  <c r="AF991" i="13"/>
  <c r="AF992" i="13"/>
  <c r="AH992" i="13"/>
  <c r="AN992" i="13" s="1"/>
  <c r="AF993" i="13"/>
  <c r="AH993" i="13"/>
  <c r="AN993" i="13" s="1"/>
  <c r="AH994" i="13"/>
  <c r="AN994" i="13" s="1"/>
  <c r="AF994" i="13"/>
  <c r="AH995" i="13"/>
  <c r="AN995" i="13" s="1"/>
  <c r="AF995" i="13"/>
  <c r="AF996" i="13"/>
  <c r="AH996" i="13"/>
  <c r="AN996" i="13" s="1"/>
  <c r="AF997" i="13"/>
  <c r="AH997" i="13"/>
  <c r="AN997" i="13" s="1"/>
  <c r="AH998" i="13"/>
  <c r="AN998" i="13" s="1"/>
  <c r="AF998" i="13"/>
  <c r="AF1000" i="13"/>
  <c r="AH1000" i="13"/>
  <c r="AN1000" i="13" s="1"/>
  <c r="AH1004" i="13"/>
  <c r="AN1004" i="13" s="1"/>
  <c r="AF1004" i="13"/>
  <c r="AH1007" i="13"/>
  <c r="AN1007" i="13" s="1"/>
  <c r="AF1007" i="13"/>
  <c r="AF1009" i="13"/>
  <c r="AH1009" i="13"/>
  <c r="AN1009" i="13" s="1"/>
  <c r="AF1029" i="13"/>
  <c r="AH1029" i="13"/>
  <c r="AN1029" i="13" s="1"/>
  <c r="AF1033" i="13"/>
  <c r="AH1033" i="13"/>
  <c r="AN1033" i="13" s="1"/>
  <c r="AH1035" i="13"/>
  <c r="AN1035" i="13" s="1"/>
  <c r="AF1035" i="13"/>
  <c r="AH1036" i="13"/>
  <c r="AN1036" i="13" s="1"/>
  <c r="AF1036" i="13"/>
  <c r="AH1040" i="13"/>
  <c r="AN1040" i="13" s="1"/>
  <c r="AF1040" i="13"/>
  <c r="AF1044" i="13"/>
  <c r="AH1044" i="13"/>
  <c r="AN1044" i="13" s="1"/>
  <c r="AF1045" i="13"/>
  <c r="AH1045" i="13"/>
  <c r="AN1045" i="13" s="1"/>
  <c r="AH1046" i="13"/>
  <c r="AN1046" i="13" s="1"/>
  <c r="AF1046" i="13"/>
  <c r="AH1047" i="13"/>
  <c r="AN1047" i="13" s="1"/>
  <c r="AF1047" i="13"/>
  <c r="AH1048" i="13"/>
  <c r="AN1048" i="13" s="1"/>
  <c r="AF1048" i="13"/>
  <c r="AF1065" i="13"/>
  <c r="AH1065" i="13"/>
  <c r="AN1065" i="13" s="1"/>
  <c r="AH1069" i="13"/>
  <c r="AF1069" i="13"/>
  <c r="AH1076" i="13"/>
  <c r="AF1076" i="13"/>
  <c r="AH1083" i="13"/>
  <c r="AN1083" i="13" s="1"/>
  <c r="AF1083" i="13"/>
  <c r="AF1093" i="13"/>
  <c r="AH1093" i="13"/>
  <c r="AH1101" i="13"/>
  <c r="AN1101" i="13" s="1"/>
  <c r="AF1101" i="13"/>
  <c r="AF1105" i="13"/>
  <c r="AH1105" i="13"/>
  <c r="AN1105" i="13" s="1"/>
  <c r="AF1112" i="13"/>
  <c r="AH1112" i="13"/>
  <c r="AN1112" i="13" s="1"/>
  <c r="AF1122" i="13"/>
  <c r="AH1122" i="13"/>
  <c r="AN1122" i="13" s="1"/>
  <c r="AF1126" i="13"/>
  <c r="AH1126" i="13"/>
  <c r="AN1126" i="13" s="1"/>
  <c r="AF1127" i="13"/>
  <c r="AH1127" i="13"/>
  <c r="AN1127" i="13" s="1"/>
  <c r="AH1128" i="13"/>
  <c r="AN1128" i="13" s="1"/>
  <c r="AF1128" i="13"/>
  <c r="AH1129" i="13"/>
  <c r="AN1129" i="13" s="1"/>
  <c r="AF1129" i="13"/>
  <c r="AF1139" i="13"/>
  <c r="AH1139" i="13"/>
  <c r="AN1139" i="13" s="1"/>
  <c r="AF1140" i="13"/>
  <c r="AH1140" i="13"/>
  <c r="AN1140" i="13" s="1"/>
  <c r="AH1144" i="13"/>
  <c r="AN1144" i="13" s="1"/>
  <c r="AF1144" i="13"/>
  <c r="AF1147" i="13"/>
  <c r="AH1147" i="13"/>
  <c r="AN1147" i="13" s="1"/>
  <c r="AH1149" i="13"/>
  <c r="AN1149" i="13" s="1"/>
  <c r="AF1149" i="13"/>
  <c r="AH1153" i="13"/>
  <c r="AN1153" i="13" s="1"/>
  <c r="AF1153" i="13"/>
  <c r="AH1156" i="13"/>
  <c r="AN1156" i="13" s="1"/>
  <c r="AF1156" i="13"/>
  <c r="AH1160" i="13"/>
  <c r="AN1160" i="13" s="1"/>
  <c r="AF1160" i="13"/>
  <c r="AH1161" i="13"/>
  <c r="AN1161" i="13" s="1"/>
  <c r="AF1161" i="13"/>
  <c r="AF1163" i="13"/>
  <c r="AH1163" i="13"/>
  <c r="AN1163" i="13" s="1"/>
  <c r="AF1164" i="13"/>
  <c r="AH1164" i="13"/>
  <c r="AN1164" i="13" s="1"/>
  <c r="AF1168" i="13"/>
  <c r="AH1168" i="13"/>
  <c r="AN1168" i="13" s="1"/>
  <c r="AF1169" i="13"/>
  <c r="AH1169" i="13"/>
  <c r="AN1169" i="13" s="1"/>
  <c r="AH1170" i="13"/>
  <c r="AN1170" i="13" s="1"/>
  <c r="AF1170" i="13"/>
  <c r="AH1171" i="13"/>
  <c r="AN1171" i="13" s="1"/>
  <c r="AF1171" i="13"/>
  <c r="AH1172" i="13"/>
  <c r="AN1172" i="13" s="1"/>
  <c r="AF1172" i="13"/>
  <c r="AH1173" i="13"/>
  <c r="AN1173" i="13" s="1"/>
  <c r="AF1173" i="13"/>
  <c r="AH1176" i="13"/>
  <c r="AN1176" i="13" s="1"/>
  <c r="AF1176" i="13"/>
  <c r="AH1177" i="13"/>
  <c r="AN1177" i="13" s="1"/>
  <c r="AF1177" i="13"/>
  <c r="AH1178" i="13"/>
  <c r="AN1178" i="13" s="1"/>
  <c r="AF1178" i="13"/>
  <c r="AF1209" i="13"/>
  <c r="AH1209" i="13"/>
  <c r="AN1209" i="13" s="1"/>
  <c r="AF1210" i="13"/>
  <c r="AH1210" i="13"/>
  <c r="AN1210" i="13" s="1"/>
  <c r="AH1211" i="13"/>
  <c r="AN1211" i="13" s="1"/>
  <c r="AF1211" i="13"/>
  <c r="AH1212" i="13"/>
  <c r="AF1212" i="13"/>
  <c r="AF1224" i="13"/>
  <c r="AH1224" i="13"/>
  <c r="AN1224" i="13" s="1"/>
  <c r="AF1225" i="13"/>
  <c r="AH1225" i="13"/>
  <c r="AN1225" i="13" s="1"/>
  <c r="AF1226" i="13"/>
  <c r="AH1226" i="13"/>
  <c r="AN1226" i="13" s="1"/>
  <c r="AH1227" i="13"/>
  <c r="AN1227" i="13" s="1"/>
  <c r="AF1227" i="13"/>
  <c r="AH1228" i="13"/>
  <c r="AN1228" i="13" s="1"/>
  <c r="AF1228" i="13"/>
  <c r="AH1229" i="13"/>
  <c r="AN1229" i="13" s="1"/>
  <c r="AF1229" i="13"/>
  <c r="AF1230" i="13"/>
  <c r="AH1230" i="13"/>
  <c r="AN1230" i="13" s="1"/>
  <c r="AF1231" i="13"/>
  <c r="AH1231" i="13"/>
  <c r="AN1231" i="13" s="1"/>
  <c r="AF1232" i="13"/>
  <c r="AH1232" i="13"/>
  <c r="AN1232" i="13" s="1"/>
  <c r="AF1233" i="13"/>
  <c r="AH1233" i="13"/>
  <c r="AN1233" i="13" s="1"/>
  <c r="AF30" i="13"/>
  <c r="AH30" i="13"/>
  <c r="AN30" i="13" s="1"/>
  <c r="AH36" i="13"/>
  <c r="AN36" i="13" s="1"/>
  <c r="AF36" i="13"/>
  <c r="AF37" i="13"/>
  <c r="AH37" i="13"/>
  <c r="AN37" i="13" s="1"/>
  <c r="AF38" i="13"/>
  <c r="AH38" i="13"/>
  <c r="AN38" i="13" s="1"/>
  <c r="AH45" i="13"/>
  <c r="AN45" i="13" s="1"/>
  <c r="AF45" i="13"/>
  <c r="AF47" i="13"/>
  <c r="AH47" i="13"/>
  <c r="AN47" i="13" s="1"/>
  <c r="AH53" i="13"/>
  <c r="AN53" i="13" s="1"/>
  <c r="AF53" i="13"/>
  <c r="AH58" i="13"/>
  <c r="AN58" i="13" s="1"/>
  <c r="AF58" i="13"/>
  <c r="AF78" i="13"/>
  <c r="AH78" i="13"/>
  <c r="AN78" i="13" s="1"/>
  <c r="AF94" i="13"/>
  <c r="AH94" i="13"/>
  <c r="AF107" i="13"/>
  <c r="AH107" i="13"/>
  <c r="AH112" i="13"/>
  <c r="AN112" i="13" s="1"/>
  <c r="AF112" i="13"/>
  <c r="AH125" i="13"/>
  <c r="AN125" i="13" s="1"/>
  <c r="AF125" i="13"/>
  <c r="AH129" i="13"/>
  <c r="AN129" i="13" s="1"/>
  <c r="AF129" i="13"/>
  <c r="AH132" i="13"/>
  <c r="AF132" i="13"/>
  <c r="AH133" i="13"/>
  <c r="AF133" i="13"/>
  <c r="AF134" i="13"/>
  <c r="AH134" i="13"/>
  <c r="AN134" i="13" s="1"/>
  <c r="AF137" i="13"/>
  <c r="AH137" i="13"/>
  <c r="AN137" i="13" s="1"/>
  <c r="AH139" i="13"/>
  <c r="AN139" i="13" s="1"/>
  <c r="AF139" i="13"/>
  <c r="AF143" i="13"/>
  <c r="AH143" i="13"/>
  <c r="AN143" i="13" s="1"/>
  <c r="AF147" i="13"/>
  <c r="AH147" i="13"/>
  <c r="AN147" i="13" s="1"/>
  <c r="AH154" i="13"/>
  <c r="AN154" i="13" s="1"/>
  <c r="AF154" i="13"/>
  <c r="AH164" i="13"/>
  <c r="AN164" i="13" s="1"/>
  <c r="AF164" i="13"/>
  <c r="AF168" i="13"/>
  <c r="AH168" i="13"/>
  <c r="AN168" i="13" s="1"/>
  <c r="AF169" i="13"/>
  <c r="AH169" i="13"/>
  <c r="AN169" i="13" s="1"/>
  <c r="AH170" i="13"/>
  <c r="AN170" i="13" s="1"/>
  <c r="AF170" i="13"/>
  <c r="AH171" i="13"/>
  <c r="AN171" i="13" s="1"/>
  <c r="AF171" i="13"/>
  <c r="AF172" i="13"/>
  <c r="AH172" i="13"/>
  <c r="AN172" i="13" s="1"/>
  <c r="AF173" i="13"/>
  <c r="AH173" i="13"/>
  <c r="AN173" i="13" s="1"/>
  <c r="AH176" i="13"/>
  <c r="AN176" i="13" s="1"/>
  <c r="AF176" i="13"/>
  <c r="AF177" i="13"/>
  <c r="AH177" i="13"/>
  <c r="AN177" i="13" s="1"/>
  <c r="AF178" i="13"/>
  <c r="AH178" i="13"/>
  <c r="AN178" i="13" s="1"/>
  <c r="AH181" i="13"/>
  <c r="AN181" i="13" s="1"/>
  <c r="AF181" i="13"/>
  <c r="AF191" i="13"/>
  <c r="AH191" i="13"/>
  <c r="AN191" i="13" s="1"/>
  <c r="AH206" i="13"/>
  <c r="AN206" i="13" s="1"/>
  <c r="AF206" i="13"/>
  <c r="AF209" i="13"/>
  <c r="AH209" i="13"/>
  <c r="AN209" i="13" s="1"/>
  <c r="AH212" i="13"/>
  <c r="AN212" i="13" s="1"/>
  <c r="AF212" i="13"/>
  <c r="AH216" i="13"/>
  <c r="AN216" i="13" s="1"/>
  <c r="AF216" i="13"/>
  <c r="AH231" i="13"/>
  <c r="AN231" i="13" s="1"/>
  <c r="AF231" i="13"/>
  <c r="AH235" i="13"/>
  <c r="AN235" i="13" s="1"/>
  <c r="AF235" i="13"/>
  <c r="AH239" i="13"/>
  <c r="AN239" i="13" s="1"/>
  <c r="AF239" i="13"/>
  <c r="AH240" i="13"/>
  <c r="AN240" i="13" s="1"/>
  <c r="AF240" i="13"/>
  <c r="AH241" i="13"/>
  <c r="AN241" i="13" s="1"/>
  <c r="AF241" i="13"/>
  <c r="AH242" i="13"/>
  <c r="AN242" i="13" s="1"/>
  <c r="AF242" i="13"/>
  <c r="AH243" i="13"/>
  <c r="AN243" i="13" s="1"/>
  <c r="AF243" i="13"/>
  <c r="AF244" i="13"/>
  <c r="AH244" i="13"/>
  <c r="AN244" i="13" s="1"/>
  <c r="AH265" i="13"/>
  <c r="AN265" i="13" s="1"/>
  <c r="AF265" i="13"/>
  <c r="AF282" i="13"/>
  <c r="AH282" i="13"/>
  <c r="AN282" i="13" s="1"/>
  <c r="AF283" i="13"/>
  <c r="AH283" i="13"/>
  <c r="AN283" i="13" s="1"/>
  <c r="AF284" i="13"/>
  <c r="AH284" i="13"/>
  <c r="AN284" i="13" s="1"/>
  <c r="AH285" i="13"/>
  <c r="AN285" i="13" s="1"/>
  <c r="AF285" i="13"/>
  <c r="AH286" i="13"/>
  <c r="AN286" i="13" s="1"/>
  <c r="AF286" i="13"/>
  <c r="AF287" i="13"/>
  <c r="AH287" i="13"/>
  <c r="AN287" i="13" s="1"/>
  <c r="AF291" i="13"/>
  <c r="AH291" i="13"/>
  <c r="AN291" i="13" s="1"/>
  <c r="AH294" i="13"/>
  <c r="AN294" i="13" s="1"/>
  <c r="AF294" i="13"/>
  <c r="AH298" i="13"/>
  <c r="AN298" i="13" s="1"/>
  <c r="AF298" i="13"/>
  <c r="AH310" i="13"/>
  <c r="AN310" i="13" s="1"/>
  <c r="AF310" i="13"/>
  <c r="AH329" i="13"/>
  <c r="AN329" i="13" s="1"/>
  <c r="AF329" i="13"/>
  <c r="AH330" i="13"/>
  <c r="AN330" i="13" s="1"/>
  <c r="AF330" i="13"/>
  <c r="AF347" i="13"/>
  <c r="AH347" i="13"/>
  <c r="AN347" i="13" s="1"/>
  <c r="AH351" i="13"/>
  <c r="AN351" i="13" s="1"/>
  <c r="AF351" i="13"/>
  <c r="AH355" i="13"/>
  <c r="AN355" i="13" s="1"/>
  <c r="AF355" i="13"/>
  <c r="AH360" i="13"/>
  <c r="AN360" i="13" s="1"/>
  <c r="AF360" i="13"/>
  <c r="AF364" i="13"/>
  <c r="AH364" i="13"/>
  <c r="AN364" i="13" s="1"/>
  <c r="AF368" i="13"/>
  <c r="AH368" i="13"/>
  <c r="AN368" i="13" s="1"/>
  <c r="AF372" i="13"/>
  <c r="AH372" i="13"/>
  <c r="AN372" i="13" s="1"/>
  <c r="AH376" i="13"/>
  <c r="AN376" i="13" s="1"/>
  <c r="AF376" i="13"/>
  <c r="AF383" i="13"/>
  <c r="AH383" i="13"/>
  <c r="AN383" i="13" s="1"/>
  <c r="AF405" i="13"/>
  <c r="AH405" i="13"/>
  <c r="AN405" i="13" s="1"/>
  <c r="AF406" i="13"/>
  <c r="AH406" i="13"/>
  <c r="AN406" i="13" s="1"/>
  <c r="AH407" i="13"/>
  <c r="AN407" i="13" s="1"/>
  <c r="AF407" i="13"/>
  <c r="AH416" i="13"/>
  <c r="AN416" i="13" s="1"/>
  <c r="AF416" i="13"/>
  <c r="AF422" i="13"/>
  <c r="AH422" i="13"/>
  <c r="AN422" i="13" s="1"/>
  <c r="AH425" i="13"/>
  <c r="AN425" i="13" s="1"/>
  <c r="AF425" i="13"/>
  <c r="AH427" i="13"/>
  <c r="AN427" i="13" s="1"/>
  <c r="AF427" i="13"/>
  <c r="AH431" i="13"/>
  <c r="AN431" i="13" s="1"/>
  <c r="AF431" i="13"/>
  <c r="AH437" i="13"/>
  <c r="AN437" i="13" s="1"/>
  <c r="AF437" i="13"/>
  <c r="AH442" i="13"/>
  <c r="AN442" i="13" s="1"/>
  <c r="AF442" i="13"/>
  <c r="AF446" i="13"/>
  <c r="AH446" i="13"/>
  <c r="AN446" i="13" s="1"/>
  <c r="AF450" i="13"/>
  <c r="AH450" i="13"/>
  <c r="AN450" i="13" s="1"/>
  <c r="AF451" i="13"/>
  <c r="AH451" i="13"/>
  <c r="AF454" i="13"/>
  <c r="AH454" i="13"/>
  <c r="AN454" i="13" s="1"/>
  <c r="AF458" i="13"/>
  <c r="AH458" i="13"/>
  <c r="AN458" i="13" s="1"/>
  <c r="AF459" i="13"/>
  <c r="AH459" i="13"/>
  <c r="AN459" i="13" s="1"/>
  <c r="AH473" i="13"/>
  <c r="AN473" i="13" s="1"/>
  <c r="AF473" i="13"/>
  <c r="AH477" i="13"/>
  <c r="AF477" i="13"/>
  <c r="AH482" i="13"/>
  <c r="AN482" i="13" s="1"/>
  <c r="AF482" i="13"/>
  <c r="AF492" i="13"/>
  <c r="AH492" i="13"/>
  <c r="AF493" i="13"/>
  <c r="AH493" i="13"/>
  <c r="AH511" i="13"/>
  <c r="AN511" i="13" s="1"/>
  <c r="AF511" i="13"/>
  <c r="AF512" i="13"/>
  <c r="AH512" i="13"/>
  <c r="AN512" i="13" s="1"/>
  <c r="AF513" i="13"/>
  <c r="AH513" i="13"/>
  <c r="AN513" i="13" s="1"/>
  <c r="AF514" i="13"/>
  <c r="AH514" i="13"/>
  <c r="AN514" i="13" s="1"/>
  <c r="AF515" i="13"/>
  <c r="AH515" i="13"/>
  <c r="AH528" i="13"/>
  <c r="AN528" i="13" s="1"/>
  <c r="AF528" i="13"/>
  <c r="AH538" i="13"/>
  <c r="AN538" i="13" s="1"/>
  <c r="AF538" i="13"/>
  <c r="AF554" i="13"/>
  <c r="AH554" i="13"/>
  <c r="AN554" i="13" s="1"/>
  <c r="AF558" i="13"/>
  <c r="AH558" i="13"/>
  <c r="AN558" i="13" s="1"/>
  <c r="AF559" i="13"/>
  <c r="AH559" i="13"/>
  <c r="AN559" i="13" s="1"/>
  <c r="AF563" i="13"/>
  <c r="AH563" i="13"/>
  <c r="AN563" i="13" s="1"/>
  <c r="AF567" i="13"/>
  <c r="AH567" i="13"/>
  <c r="AN567" i="13" s="1"/>
  <c r="AH577" i="13"/>
  <c r="AN577" i="13" s="1"/>
  <c r="AF577" i="13"/>
  <c r="AF578" i="13"/>
  <c r="AH578" i="13"/>
  <c r="AN578" i="13" s="1"/>
  <c r="AF579" i="13"/>
  <c r="AH579" i="13"/>
  <c r="AN579" i="13" s="1"/>
  <c r="AH582" i="13"/>
  <c r="AN582" i="13" s="1"/>
  <c r="AF582" i="13"/>
  <c r="AH589" i="13"/>
  <c r="AN589" i="13" s="1"/>
  <c r="AF589" i="13"/>
  <c r="AH590" i="13"/>
  <c r="AF590" i="13"/>
  <c r="AF594" i="13"/>
  <c r="AH594" i="13"/>
  <c r="AH598" i="13"/>
  <c r="AN598" i="13" s="1"/>
  <c r="AF598" i="13"/>
  <c r="AF605" i="13"/>
  <c r="AH605" i="13"/>
  <c r="AN605" i="13" s="1"/>
  <c r="AF609" i="13"/>
  <c r="AH609" i="13"/>
  <c r="AH616" i="13"/>
  <c r="AF616" i="13"/>
  <c r="AH621" i="13"/>
  <c r="AN621" i="13" s="1"/>
  <c r="AF621" i="13"/>
  <c r="AH622" i="13"/>
  <c r="AN622" i="13" s="1"/>
  <c r="AF622" i="13"/>
  <c r="AF623" i="13"/>
  <c r="AH623" i="13"/>
  <c r="AH635" i="13"/>
  <c r="AN635" i="13" s="1"/>
  <c r="AF635" i="13"/>
  <c r="AF638" i="13"/>
  <c r="AH638" i="13"/>
  <c r="AN638" i="13" s="1"/>
  <c r="AH650" i="13"/>
  <c r="AF650" i="13"/>
  <c r="AH652" i="13"/>
  <c r="AF652" i="13"/>
  <c r="AH659" i="13"/>
  <c r="AN659" i="13" s="1"/>
  <c r="AF659" i="13"/>
  <c r="AF670" i="13"/>
  <c r="AH670" i="13"/>
  <c r="AN670" i="13" s="1"/>
  <c r="AH675" i="13"/>
  <c r="AN675" i="13" s="1"/>
  <c r="AF675" i="13"/>
  <c r="AH680" i="13"/>
  <c r="AN680" i="13" s="1"/>
  <c r="AF680" i="13"/>
  <c r="AH681" i="13"/>
  <c r="AN681" i="13" s="1"/>
  <c r="AF681" i="13"/>
  <c r="AF682" i="13"/>
  <c r="AH682" i="13"/>
  <c r="AN682" i="13" s="1"/>
  <c r="AF683" i="13"/>
  <c r="AH683" i="13"/>
  <c r="AN683" i="13" s="1"/>
  <c r="AF684" i="13"/>
  <c r="AH684" i="13"/>
  <c r="AN684" i="13" s="1"/>
  <c r="AH685" i="13"/>
  <c r="AN685" i="13" s="1"/>
  <c r="AF685" i="13"/>
  <c r="AH686" i="13"/>
  <c r="AN686" i="13" s="1"/>
  <c r="AF686" i="13"/>
  <c r="AH687" i="13"/>
  <c r="AN687" i="13" s="1"/>
  <c r="AF687" i="13"/>
  <c r="AH688" i="13"/>
  <c r="AN688" i="13" s="1"/>
  <c r="AF688" i="13"/>
  <c r="AF689" i="13"/>
  <c r="AH689" i="13"/>
  <c r="AN689" i="13" s="1"/>
  <c r="AF690" i="13"/>
  <c r="AH690" i="13"/>
  <c r="AN690" i="13" s="1"/>
  <c r="AF691" i="13"/>
  <c r="AH691" i="13"/>
  <c r="AN691" i="13" s="1"/>
  <c r="AF692" i="13"/>
  <c r="AH692" i="13"/>
  <c r="AN692" i="13" s="1"/>
  <c r="AH693" i="13"/>
  <c r="AN693" i="13" s="1"/>
  <c r="AF693" i="13"/>
  <c r="AH697" i="13"/>
  <c r="AN697" i="13" s="1"/>
  <c r="AF697" i="13"/>
  <c r="AF700" i="13"/>
  <c r="AH700" i="13"/>
  <c r="AH707" i="13"/>
  <c r="AN707" i="13" s="1"/>
  <c r="AF707" i="13"/>
  <c r="AF725" i="13"/>
  <c r="AH725" i="13"/>
  <c r="AN725" i="13" s="1"/>
  <c r="AF731" i="13"/>
  <c r="AH731" i="13"/>
  <c r="AN731" i="13" s="1"/>
  <c r="AF738" i="13"/>
  <c r="AH738" i="13"/>
  <c r="AN738" i="13" s="1"/>
  <c r="AF742" i="13"/>
  <c r="AH742" i="13"/>
  <c r="AN742" i="13" s="1"/>
  <c r="AF743" i="13"/>
  <c r="AH743" i="13"/>
  <c r="AN743" i="13" s="1"/>
  <c r="AH744" i="13"/>
  <c r="AN744" i="13" s="1"/>
  <c r="AF744" i="13"/>
  <c r="AH745" i="13"/>
  <c r="AN745" i="13" s="1"/>
  <c r="AF745" i="13"/>
  <c r="AH748" i="13"/>
  <c r="AN748" i="13" s="1"/>
  <c r="AF748" i="13"/>
  <c r="AF755" i="13"/>
  <c r="AH755" i="13"/>
  <c r="AN755" i="13" s="1"/>
  <c r="AH762" i="13"/>
  <c r="AN762" i="13" s="1"/>
  <c r="AF762" i="13"/>
  <c r="AH763" i="13"/>
  <c r="AN763" i="13" s="1"/>
  <c r="AF763" i="13"/>
  <c r="AH768" i="13"/>
  <c r="AN768" i="13" s="1"/>
  <c r="AF768" i="13"/>
  <c r="AF772" i="13"/>
  <c r="AH772" i="13"/>
  <c r="AN772" i="13" s="1"/>
  <c r="AH779" i="13"/>
  <c r="AN779" i="13" s="1"/>
  <c r="AF779" i="13"/>
  <c r="AH784" i="13"/>
  <c r="AN784" i="13" s="1"/>
  <c r="AF784" i="13"/>
  <c r="AH794" i="13"/>
  <c r="AN794" i="13" s="1"/>
  <c r="AF794" i="13"/>
  <c r="AF795" i="13"/>
  <c r="AH795" i="13"/>
  <c r="AN795" i="13" s="1"/>
  <c r="AF796" i="13"/>
  <c r="AH796" i="13"/>
  <c r="AN796" i="13" s="1"/>
  <c r="AH797" i="13"/>
  <c r="AN797" i="13" s="1"/>
  <c r="AF797" i="13"/>
  <c r="AF809" i="13"/>
  <c r="AH809" i="13"/>
  <c r="AN809" i="13" s="1"/>
  <c r="AH813" i="13"/>
  <c r="AN813" i="13" s="1"/>
  <c r="AF813" i="13"/>
  <c r="AF814" i="13"/>
  <c r="AH814" i="13"/>
  <c r="AN814" i="13" s="1"/>
  <c r="AH833" i="13"/>
  <c r="AN833" i="13" s="1"/>
  <c r="AF833" i="13"/>
  <c r="AF836" i="13"/>
  <c r="AH836" i="13"/>
  <c r="AN836" i="13" s="1"/>
  <c r="AF837" i="13"/>
  <c r="AH837" i="13"/>
  <c r="AN837" i="13" s="1"/>
  <c r="AF838" i="13"/>
  <c r="AH838" i="13"/>
  <c r="AN838" i="13" s="1"/>
  <c r="AF839" i="13"/>
  <c r="AH839" i="13"/>
  <c r="AN839" i="13" s="1"/>
  <c r="AF840" i="13"/>
  <c r="AH840" i="13"/>
  <c r="AN840" i="13" s="1"/>
  <c r="AH841" i="13"/>
  <c r="AN841" i="13" s="1"/>
  <c r="AF841" i="13"/>
  <c r="AH842" i="13"/>
  <c r="AN842" i="13" s="1"/>
  <c r="AF842" i="13"/>
  <c r="AF843" i="13"/>
  <c r="AH843" i="13"/>
  <c r="AN843" i="13" s="1"/>
  <c r="AF844" i="13"/>
  <c r="AH844" i="13"/>
  <c r="AN844" i="13" s="1"/>
  <c r="AF845" i="13"/>
  <c r="AH845" i="13"/>
  <c r="AN845" i="13" s="1"/>
  <c r="AF846" i="13"/>
  <c r="AH846" i="13"/>
  <c r="AN846" i="13" s="1"/>
  <c r="AF847" i="13"/>
  <c r="AH847" i="13"/>
  <c r="AN847" i="13" s="1"/>
  <c r="AH848" i="13"/>
  <c r="AN848" i="13" s="1"/>
  <c r="AF848" i="13"/>
  <c r="AH849" i="13"/>
  <c r="AN849" i="13" s="1"/>
  <c r="AF849" i="13"/>
  <c r="AF851" i="13"/>
  <c r="AH851" i="13"/>
  <c r="AN851" i="13" s="1"/>
  <c r="AF855" i="13"/>
  <c r="AH855" i="13"/>
  <c r="AN855" i="13" s="1"/>
  <c r="AF859" i="13"/>
  <c r="AH859" i="13"/>
  <c r="AN859" i="13" s="1"/>
  <c r="AF864" i="13"/>
  <c r="AH864" i="13"/>
  <c r="AN864" i="13" s="1"/>
  <c r="AH872" i="13"/>
  <c r="AN872" i="13" s="1"/>
  <c r="AF872" i="13"/>
  <c r="AH876" i="13"/>
  <c r="AN876" i="13" s="1"/>
  <c r="AF876" i="13"/>
  <c r="AF879" i="13"/>
  <c r="AH879" i="13"/>
  <c r="AN879" i="13" s="1"/>
  <c r="AH884" i="13"/>
  <c r="AN884" i="13" s="1"/>
  <c r="AF884" i="13"/>
  <c r="AF888" i="13"/>
  <c r="AH888" i="13"/>
  <c r="AN888" i="13" s="1"/>
  <c r="AF893" i="13"/>
  <c r="AH893" i="13"/>
  <c r="AN893" i="13" s="1"/>
  <c r="AH894" i="13"/>
  <c r="AN894" i="13" s="1"/>
  <c r="AF894" i="13"/>
  <c r="AF898" i="13"/>
  <c r="AH898" i="13"/>
  <c r="AN898" i="13" s="1"/>
  <c r="AF899" i="13"/>
  <c r="AH899" i="13"/>
  <c r="AN899" i="13" s="1"/>
  <c r="AF900" i="13"/>
  <c r="AH900" i="13"/>
  <c r="AN900" i="13" s="1"/>
  <c r="AH901" i="13"/>
  <c r="AN901" i="13" s="1"/>
  <c r="AF901" i="13"/>
  <c r="AH922" i="13"/>
  <c r="AN922" i="13" s="1"/>
  <c r="AF922" i="13"/>
  <c r="AH926" i="13"/>
  <c r="AN926" i="13" s="1"/>
  <c r="AF926" i="13"/>
  <c r="AH927" i="13"/>
  <c r="AN927" i="13" s="1"/>
  <c r="AF927" i="13"/>
  <c r="AH928" i="13"/>
  <c r="AN928" i="13" s="1"/>
  <c r="AF928" i="13"/>
  <c r="AH933" i="13"/>
  <c r="AN933" i="13" s="1"/>
  <c r="AF933" i="13"/>
  <c r="AH934" i="13"/>
  <c r="AN934" i="13" s="1"/>
  <c r="AF934" i="13"/>
  <c r="AF935" i="13"/>
  <c r="AH935" i="13"/>
  <c r="AN935" i="13" s="1"/>
  <c r="AF936" i="13"/>
  <c r="AH936" i="13"/>
  <c r="AN936" i="13" s="1"/>
  <c r="AH937" i="13"/>
  <c r="AN937" i="13" s="1"/>
  <c r="AF937" i="13"/>
  <c r="AH938" i="13"/>
  <c r="AN938" i="13" s="1"/>
  <c r="AF938" i="13"/>
  <c r="AH939" i="13"/>
  <c r="AN939" i="13" s="1"/>
  <c r="AF939" i="13"/>
  <c r="AF940" i="13"/>
  <c r="AH940" i="13"/>
  <c r="AN940" i="13" s="1"/>
  <c r="AF941" i="13"/>
  <c r="AH941" i="13"/>
  <c r="AN941" i="13" s="1"/>
  <c r="AH942" i="13"/>
  <c r="AN942" i="13" s="1"/>
  <c r="AF942" i="13"/>
  <c r="AH943" i="13"/>
  <c r="AN943" i="13" s="1"/>
  <c r="AF943" i="13"/>
  <c r="AF944" i="13"/>
  <c r="AH944" i="13"/>
  <c r="AN944" i="13" s="1"/>
  <c r="AH974" i="13"/>
  <c r="AN974" i="13" s="1"/>
  <c r="AF974" i="13"/>
  <c r="AH975" i="13"/>
  <c r="AN975" i="13" s="1"/>
  <c r="AF975" i="13"/>
  <c r="AH976" i="13"/>
  <c r="AN976" i="13" s="1"/>
  <c r="AF976" i="13"/>
  <c r="AF1001" i="13"/>
  <c r="AH1001" i="13"/>
  <c r="AN1001" i="13" s="1"/>
  <c r="AF1005" i="13"/>
  <c r="AH1005" i="13"/>
  <c r="AN1005" i="13" s="1"/>
  <c r="AF1010" i="13"/>
  <c r="AH1010" i="13"/>
  <c r="AN1010" i="13" s="1"/>
  <c r="AF1011" i="13"/>
  <c r="AH1011" i="13"/>
  <c r="AN1011" i="13" s="1"/>
  <c r="AF1012" i="13"/>
  <c r="AH1012" i="13"/>
  <c r="AN1012" i="13" s="1"/>
  <c r="AH1013" i="13"/>
  <c r="AN1013" i="13" s="1"/>
  <c r="AF1013" i="13"/>
  <c r="AH1014" i="13"/>
  <c r="AN1014" i="13" s="1"/>
  <c r="AF1014" i="13"/>
  <c r="AF1015" i="13"/>
  <c r="AH1015" i="13"/>
  <c r="AN1015" i="13" s="1"/>
  <c r="AF1016" i="13"/>
  <c r="AH1016" i="13"/>
  <c r="AN1016" i="13" s="1"/>
  <c r="AH1017" i="13"/>
  <c r="AN1017" i="13" s="1"/>
  <c r="AF1017" i="13"/>
  <c r="AH1018" i="13"/>
  <c r="AN1018" i="13" s="1"/>
  <c r="AF1018" i="13"/>
  <c r="AF1019" i="13"/>
  <c r="AH1019" i="13"/>
  <c r="AN1019" i="13" s="1"/>
  <c r="AF1020" i="13"/>
  <c r="AH1020" i="13"/>
  <c r="AN1020" i="13" s="1"/>
  <c r="AF1021" i="13"/>
  <c r="AH1021" i="13"/>
  <c r="AN1021" i="13" s="1"/>
  <c r="AH1022" i="13"/>
  <c r="AN1022" i="13" s="1"/>
  <c r="AF1022" i="13"/>
  <c r="AH1023" i="13"/>
  <c r="AN1023" i="13" s="1"/>
  <c r="AF1023" i="13"/>
  <c r="AF1024" i="13"/>
  <c r="AH1024" i="13"/>
  <c r="AN1024" i="13" s="1"/>
  <c r="AF1025" i="13"/>
  <c r="AH1025" i="13"/>
  <c r="AN1025" i="13" s="1"/>
  <c r="AH1026" i="13"/>
  <c r="AN1026" i="13" s="1"/>
  <c r="AF1026" i="13"/>
  <c r="AH1030" i="13"/>
  <c r="AN1030" i="13" s="1"/>
  <c r="AF1030" i="13"/>
  <c r="AH1034" i="13"/>
  <c r="AN1034" i="13" s="1"/>
  <c r="AF1034" i="13"/>
  <c r="AH1041" i="13"/>
  <c r="AN1041" i="13" s="1"/>
  <c r="AF1041" i="13"/>
  <c r="AF1049" i="13"/>
  <c r="AH1049" i="13"/>
  <c r="AN1049" i="13" s="1"/>
  <c r="AF1050" i="13"/>
  <c r="AH1050" i="13"/>
  <c r="AN1050" i="13" s="1"/>
  <c r="AF1051" i="13"/>
  <c r="AH1051" i="13"/>
  <c r="AN1051" i="13" s="1"/>
  <c r="AF1064" i="13"/>
  <c r="AH1064" i="13"/>
  <c r="AN1064" i="13" s="1"/>
  <c r="AF1068" i="13"/>
  <c r="AH1068" i="13"/>
  <c r="AF1073" i="13"/>
  <c r="AH1073" i="13"/>
  <c r="AN1073" i="13" s="1"/>
  <c r="AF1074" i="13"/>
  <c r="AH1074" i="13"/>
  <c r="AN1074" i="13" s="1"/>
  <c r="AH1075" i="13"/>
  <c r="AF1075" i="13"/>
  <c r="AH1084" i="13"/>
  <c r="AN1084" i="13" s="1"/>
  <c r="AF1084" i="13"/>
  <c r="AF1096" i="13"/>
  <c r="AH1096" i="13"/>
  <c r="AH1102" i="13"/>
  <c r="AN1102" i="13" s="1"/>
  <c r="AF1102" i="13"/>
  <c r="AH1106" i="13"/>
  <c r="AN1106" i="13" s="1"/>
  <c r="AF1106" i="13"/>
  <c r="AH1107" i="13"/>
  <c r="AN1107" i="13" s="1"/>
  <c r="AF1107" i="13"/>
  <c r="AH1108" i="13"/>
  <c r="AN1108" i="13" s="1"/>
  <c r="AF1108" i="13"/>
  <c r="AF1109" i="13"/>
  <c r="AH1109" i="13"/>
  <c r="AN1109" i="13" s="1"/>
  <c r="AH1113" i="13"/>
  <c r="AN1113" i="13" s="1"/>
  <c r="AF1113" i="13"/>
  <c r="AH1114" i="13"/>
  <c r="AN1114" i="13" s="1"/>
  <c r="AF1114" i="13"/>
  <c r="AF1115" i="13"/>
  <c r="AH1115" i="13"/>
  <c r="AN1115" i="13" s="1"/>
  <c r="AF1116" i="13"/>
  <c r="AH1116" i="13"/>
  <c r="AN1116" i="13" s="1"/>
  <c r="AF1123" i="13"/>
  <c r="AH1123" i="13"/>
  <c r="AN1123" i="13" s="1"/>
  <c r="AH1125" i="13"/>
  <c r="AN1125" i="13" s="1"/>
  <c r="AF1125" i="13"/>
  <c r="AF1130" i="13"/>
  <c r="AH1130" i="13"/>
  <c r="AN1130" i="13" s="1"/>
  <c r="AF1131" i="13"/>
  <c r="AH1131" i="13"/>
  <c r="AN1131" i="13" s="1"/>
  <c r="AF1132" i="13"/>
  <c r="AH1132" i="13"/>
  <c r="AN1132" i="13" s="1"/>
  <c r="AH1133" i="13"/>
  <c r="AN1133" i="13" s="1"/>
  <c r="AF1133" i="13"/>
  <c r="AH1134" i="13"/>
  <c r="AN1134" i="13" s="1"/>
  <c r="AF1134" i="13"/>
  <c r="AF1135" i="13"/>
  <c r="AH1135" i="13"/>
  <c r="AN1135" i="13" s="1"/>
  <c r="AF1141" i="13"/>
  <c r="AH1141" i="13"/>
  <c r="AN1141" i="13" s="1"/>
  <c r="AF1145" i="13"/>
  <c r="AH1145" i="13"/>
  <c r="AN1145" i="13" s="1"/>
  <c r="AF1150" i="13"/>
  <c r="AH1150" i="13"/>
  <c r="AN1150" i="13" s="1"/>
  <c r="AH1154" i="13"/>
  <c r="AN1154" i="13" s="1"/>
  <c r="AF1154" i="13"/>
  <c r="AH1157" i="13"/>
  <c r="AN1157" i="13" s="1"/>
  <c r="AF1157" i="13"/>
  <c r="AF1165" i="13"/>
  <c r="AH1165" i="13"/>
  <c r="AN1165" i="13" s="1"/>
  <c r="AH1181" i="13"/>
  <c r="AN1181" i="13" s="1"/>
  <c r="AF1181" i="13"/>
  <c r="AH1182" i="13"/>
  <c r="AN1182" i="13" s="1"/>
  <c r="AF1182" i="13"/>
  <c r="AH1183" i="13"/>
  <c r="AN1183" i="13" s="1"/>
  <c r="AF1183" i="13"/>
  <c r="AF1185" i="13"/>
  <c r="AH1185" i="13"/>
  <c r="AN1185" i="13" s="1"/>
  <c r="AH1214" i="13"/>
  <c r="AN1214" i="13" s="1"/>
  <c r="AF1214" i="13"/>
  <c r="AH1215" i="13"/>
  <c r="AN1215" i="13" s="1"/>
  <c r="AF1215" i="13"/>
  <c r="AH1216" i="13"/>
  <c r="AN1216" i="13" s="1"/>
  <c r="AF1216" i="13"/>
  <c r="AH1234" i="13"/>
  <c r="AN1234" i="13" s="1"/>
  <c r="AF1234" i="13"/>
  <c r="AH1235" i="13"/>
  <c r="AN1235" i="13" s="1"/>
  <c r="AF1235" i="13"/>
  <c r="AH1236" i="13"/>
  <c r="AN1236" i="13" s="1"/>
  <c r="AF1236" i="13"/>
  <c r="AH1237" i="13"/>
  <c r="AN1237" i="13" s="1"/>
  <c r="AF1237" i="13"/>
  <c r="AF1238" i="13"/>
  <c r="AH1238" i="13"/>
  <c r="AN1238" i="13" s="1"/>
  <c r="AF19" i="13"/>
  <c r="AH19" i="13"/>
  <c r="AN19" i="13" s="1"/>
  <c r="AH29" i="13"/>
  <c r="AN29" i="13" s="1"/>
  <c r="AF29" i="13"/>
  <c r="AF31" i="13"/>
  <c r="AH31" i="13"/>
  <c r="AN31" i="13" s="1"/>
  <c r="AF32" i="13"/>
  <c r="AH32" i="13"/>
  <c r="AN32" i="13" s="1"/>
  <c r="AF33" i="13"/>
  <c r="AH33" i="13"/>
  <c r="AN33" i="13" s="1"/>
  <c r="AH34" i="13"/>
  <c r="AN34" i="13" s="1"/>
  <c r="AF34" i="13"/>
  <c r="AH35" i="13"/>
  <c r="AN35" i="13" s="1"/>
  <c r="AF35" i="13"/>
  <c r="AH40" i="13"/>
  <c r="AN40" i="13" s="1"/>
  <c r="AF40" i="13"/>
  <c r="AH41" i="13"/>
  <c r="AN41" i="13" s="1"/>
  <c r="AF41" i="13"/>
  <c r="AF42" i="13"/>
  <c r="AH42" i="13"/>
  <c r="AN42" i="13" s="1"/>
  <c r="AF43" i="13"/>
  <c r="AH43" i="13"/>
  <c r="AN43" i="13" s="1"/>
  <c r="AH44" i="13"/>
  <c r="AN44" i="13" s="1"/>
  <c r="AF44" i="13"/>
  <c r="AH48" i="13"/>
  <c r="AN48" i="13" s="1"/>
  <c r="AF48" i="13"/>
  <c r="AH49" i="13"/>
  <c r="AN49" i="13" s="1"/>
  <c r="AF49" i="13"/>
  <c r="AF50" i="13"/>
  <c r="AH50" i="13"/>
  <c r="AN50" i="13" s="1"/>
  <c r="AF59" i="13"/>
  <c r="AH59" i="13"/>
  <c r="AN59" i="13" s="1"/>
  <c r="AH60" i="13"/>
  <c r="AN60" i="13" s="1"/>
  <c r="AF60" i="13"/>
  <c r="AF61" i="13"/>
  <c r="AH61" i="13"/>
  <c r="AN61" i="13" s="1"/>
  <c r="AH62" i="13"/>
  <c r="AN62" i="13" s="1"/>
  <c r="AF62" i="13"/>
  <c r="AF63" i="13"/>
  <c r="AH63" i="13"/>
  <c r="AN63" i="13" s="1"/>
  <c r="AH73" i="13"/>
  <c r="AN73" i="13" s="1"/>
  <c r="AF73" i="13"/>
  <c r="AF74" i="13"/>
  <c r="AH74" i="13"/>
  <c r="AN74" i="13" s="1"/>
  <c r="AH75" i="13"/>
  <c r="AN75" i="13" s="1"/>
  <c r="AF75" i="13"/>
  <c r="AH77" i="13"/>
  <c r="AN77" i="13" s="1"/>
  <c r="AF77" i="13"/>
  <c r="AF113" i="13"/>
  <c r="AH113" i="13"/>
  <c r="AN113" i="13" s="1"/>
  <c r="AF114" i="13"/>
  <c r="AH114" i="13"/>
  <c r="AN114" i="13" s="1"/>
  <c r="AF115" i="13"/>
  <c r="AH115" i="13"/>
  <c r="AN115" i="13" s="1"/>
  <c r="AF116" i="13"/>
  <c r="AH116" i="13"/>
  <c r="AN116" i="13" s="1"/>
  <c r="AF117" i="13"/>
  <c r="AH117" i="13"/>
  <c r="AN117" i="13" s="1"/>
  <c r="AF122" i="13"/>
  <c r="AH122" i="13"/>
  <c r="AN122" i="13" s="1"/>
  <c r="AF126" i="13"/>
  <c r="AH126" i="13"/>
  <c r="AN126" i="13" s="1"/>
  <c r="AF130" i="13"/>
  <c r="AH130" i="13"/>
  <c r="AN130" i="13" s="1"/>
  <c r="AH140" i="13"/>
  <c r="AN140" i="13" s="1"/>
  <c r="AF140" i="13"/>
  <c r="AF144" i="13"/>
  <c r="AH144" i="13"/>
  <c r="AN144" i="13" s="1"/>
  <c r="AF148" i="13"/>
  <c r="AH148" i="13"/>
  <c r="AN148" i="13" s="1"/>
  <c r="AH150" i="13"/>
  <c r="AF150" i="13"/>
  <c r="AF151" i="13"/>
  <c r="AH151" i="13"/>
  <c r="AF152" i="13"/>
  <c r="AH152" i="13"/>
  <c r="AN152" i="13" s="1"/>
  <c r="AH155" i="13"/>
  <c r="AN155" i="13" s="1"/>
  <c r="AF155" i="13"/>
  <c r="AH157" i="13"/>
  <c r="AN157" i="13" s="1"/>
  <c r="AF157" i="13"/>
  <c r="AF158" i="13"/>
  <c r="AH158" i="13"/>
  <c r="AN158" i="13" s="1"/>
  <c r="AF159" i="13"/>
  <c r="AH159" i="13"/>
  <c r="AN159" i="13" s="1"/>
  <c r="AH160" i="13"/>
  <c r="AN160" i="13" s="1"/>
  <c r="AF160" i="13"/>
  <c r="AH161" i="13"/>
  <c r="AN161" i="13" s="1"/>
  <c r="AF161" i="13"/>
  <c r="AH165" i="13"/>
  <c r="AN165" i="13" s="1"/>
  <c r="AF165" i="13"/>
  <c r="AH174" i="13"/>
  <c r="AN174" i="13" s="1"/>
  <c r="AF174" i="13"/>
  <c r="AH175" i="13"/>
  <c r="AN175" i="13" s="1"/>
  <c r="AF175" i="13"/>
  <c r="AH179" i="13"/>
  <c r="AN179" i="13" s="1"/>
  <c r="AF179" i="13"/>
  <c r="AH180" i="13"/>
  <c r="AN180" i="13" s="1"/>
  <c r="AF180" i="13"/>
  <c r="AH192" i="13"/>
  <c r="AN192" i="13" s="1"/>
  <c r="AF192" i="13"/>
  <c r="AH193" i="13"/>
  <c r="AN193" i="13" s="1"/>
  <c r="AF193" i="13"/>
  <c r="AH194" i="13"/>
  <c r="AN194" i="13" s="1"/>
  <c r="AF194" i="13"/>
  <c r="AF195" i="13"/>
  <c r="AH195" i="13"/>
  <c r="AN195" i="13" s="1"/>
  <c r="AF196" i="13"/>
  <c r="AH196" i="13"/>
  <c r="AN196" i="13" s="1"/>
  <c r="AH197" i="13"/>
  <c r="AN197" i="13" s="1"/>
  <c r="AF197" i="13"/>
  <c r="AH198" i="13"/>
  <c r="AN198" i="13" s="1"/>
  <c r="AF198" i="13"/>
  <c r="AF199" i="13"/>
  <c r="AH199" i="13"/>
  <c r="AN199" i="13" s="1"/>
  <c r="AH207" i="13"/>
  <c r="AN207" i="13" s="1"/>
  <c r="AF207" i="13"/>
  <c r="AH213" i="13"/>
  <c r="AN213" i="13" s="1"/>
  <c r="AF213" i="13"/>
  <c r="AH217" i="13"/>
  <c r="AN217" i="13" s="1"/>
  <c r="AF217" i="13"/>
  <c r="AH222" i="13"/>
  <c r="AN222" i="13" s="1"/>
  <c r="AF222" i="13"/>
  <c r="AF223" i="13"/>
  <c r="AH223" i="13"/>
  <c r="AN223" i="13" s="1"/>
  <c r="AH232" i="13"/>
  <c r="AN232" i="13" s="1"/>
  <c r="AF232" i="13"/>
  <c r="AH236" i="13"/>
  <c r="AN236" i="13" s="1"/>
  <c r="AF236" i="13"/>
  <c r="AF245" i="13"/>
  <c r="AH245" i="13"/>
  <c r="AN245" i="13" s="1"/>
  <c r="AF246" i="13"/>
  <c r="AH246" i="13"/>
  <c r="AN246" i="13" s="1"/>
  <c r="AH247" i="13"/>
  <c r="AN247" i="13" s="1"/>
  <c r="AF247" i="13"/>
  <c r="AH248" i="13"/>
  <c r="AN248" i="13" s="1"/>
  <c r="AF248" i="13"/>
  <c r="AF266" i="13"/>
  <c r="AH266" i="13"/>
  <c r="AF268" i="13"/>
  <c r="AH268" i="13"/>
  <c r="AN268" i="13" s="1"/>
  <c r="AF288" i="13"/>
  <c r="AH288" i="13"/>
  <c r="AN288" i="13" s="1"/>
  <c r="AF292" i="13"/>
  <c r="AH292" i="13"/>
  <c r="AN292" i="13" s="1"/>
  <c r="AH295" i="13"/>
  <c r="AN295" i="13" s="1"/>
  <c r="AF295" i="13"/>
  <c r="AH299" i="13"/>
  <c r="AN299" i="13" s="1"/>
  <c r="AF299" i="13"/>
  <c r="AH311" i="13"/>
  <c r="AN311" i="13" s="1"/>
  <c r="AF311" i="13"/>
  <c r="AH312" i="13"/>
  <c r="AN312" i="13" s="1"/>
  <c r="AF312" i="13"/>
  <c r="AH313" i="13"/>
  <c r="AN313" i="13" s="1"/>
  <c r="AF313" i="13"/>
  <c r="AH314" i="13"/>
  <c r="AN314" i="13" s="1"/>
  <c r="AF314" i="13"/>
  <c r="AF315" i="13"/>
  <c r="AH315" i="13"/>
  <c r="AN315" i="13" s="1"/>
  <c r="AF316" i="13"/>
  <c r="AH316" i="13"/>
  <c r="AN316" i="13" s="1"/>
  <c r="AH317" i="13"/>
  <c r="AN317" i="13" s="1"/>
  <c r="AF317" i="13"/>
  <c r="AH318" i="13"/>
  <c r="AN318" i="13" s="1"/>
  <c r="AF318" i="13"/>
  <c r="AF331" i="13"/>
  <c r="AH331" i="13"/>
  <c r="AN331" i="13" s="1"/>
  <c r="AF332" i="13"/>
  <c r="AH332" i="13"/>
  <c r="AN332" i="13" s="1"/>
  <c r="AF333" i="13"/>
  <c r="AH333" i="13"/>
  <c r="AN333" i="13" s="1"/>
  <c r="AF334" i="13"/>
  <c r="AH334" i="13"/>
  <c r="AN334" i="13" s="1"/>
  <c r="AF335" i="13"/>
  <c r="AH335" i="13"/>
  <c r="AN335" i="13" s="1"/>
  <c r="AH336" i="13"/>
  <c r="AN336" i="13" s="1"/>
  <c r="AF336" i="13"/>
  <c r="AH337" i="13"/>
  <c r="AN337" i="13" s="1"/>
  <c r="AF337" i="13"/>
  <c r="AF338" i="13"/>
  <c r="AH338" i="13"/>
  <c r="AN338" i="13" s="1"/>
  <c r="AF348" i="13"/>
  <c r="AH348" i="13"/>
  <c r="AN348" i="13" s="1"/>
  <c r="AH352" i="13"/>
  <c r="AN352" i="13" s="1"/>
  <c r="AF352" i="13"/>
  <c r="AH356" i="13"/>
  <c r="AN356" i="13" s="1"/>
  <c r="AF356" i="13"/>
  <c r="AF363" i="13"/>
  <c r="AH363" i="13"/>
  <c r="AN363" i="13" s="1"/>
  <c r="AF367" i="13"/>
  <c r="AH367" i="13"/>
  <c r="AN367" i="13" s="1"/>
  <c r="AH371" i="13"/>
  <c r="AN371" i="13" s="1"/>
  <c r="AF371" i="13"/>
  <c r="AH375" i="13"/>
  <c r="AN375" i="13" s="1"/>
  <c r="AF375" i="13"/>
  <c r="AF379" i="13"/>
  <c r="AH379" i="13"/>
  <c r="AN379" i="13" s="1"/>
  <c r="AF380" i="13"/>
  <c r="AH380" i="13"/>
  <c r="AN380" i="13" s="1"/>
  <c r="AF381" i="13"/>
  <c r="AH381" i="13"/>
  <c r="AN381" i="13" s="1"/>
  <c r="AF382" i="13"/>
  <c r="AH382" i="13"/>
  <c r="AN382" i="13" s="1"/>
  <c r="AH415" i="13"/>
  <c r="AN415" i="13" s="1"/>
  <c r="AF415" i="13"/>
  <c r="AF417" i="13"/>
  <c r="AH417" i="13"/>
  <c r="AN417" i="13" s="1"/>
  <c r="AH423" i="13"/>
  <c r="AN423" i="13" s="1"/>
  <c r="AF423" i="13"/>
  <c r="AH424" i="13"/>
  <c r="AN424" i="13" s="1"/>
  <c r="AF424" i="13"/>
  <c r="AH430" i="13"/>
  <c r="AN430" i="13" s="1"/>
  <c r="AF430" i="13"/>
  <c r="AH436" i="13"/>
  <c r="AN436" i="13" s="1"/>
  <c r="AF436" i="13"/>
  <c r="AH441" i="13"/>
  <c r="AN441" i="13" s="1"/>
  <c r="AF441" i="13"/>
  <c r="AF445" i="13"/>
  <c r="AH445" i="13"/>
  <c r="AN445" i="13" s="1"/>
  <c r="AH449" i="13"/>
  <c r="AN449" i="13" s="1"/>
  <c r="AF449" i="13"/>
  <c r="AF453" i="13"/>
  <c r="AH453" i="13"/>
  <c r="AN453" i="13" s="1"/>
  <c r="AH457" i="13"/>
  <c r="AN457" i="13" s="1"/>
  <c r="AF457" i="13"/>
  <c r="AH462" i="13"/>
  <c r="AN462" i="13" s="1"/>
  <c r="AF462" i="13"/>
  <c r="AH474" i="13"/>
  <c r="AN474" i="13" s="1"/>
  <c r="AF474" i="13"/>
  <c r="AH478" i="13"/>
  <c r="AN478" i="13" s="1"/>
  <c r="AF478" i="13"/>
  <c r="AH483" i="13"/>
  <c r="AN483" i="13" s="1"/>
  <c r="AF483" i="13"/>
  <c r="AH489" i="13"/>
  <c r="AF489" i="13"/>
  <c r="AH494" i="13"/>
  <c r="AF494" i="13"/>
  <c r="AF507" i="13"/>
  <c r="AH507" i="13"/>
  <c r="AN507" i="13" s="1"/>
  <c r="AH508" i="13"/>
  <c r="AN508" i="13" s="1"/>
  <c r="AF508" i="13"/>
  <c r="AH510" i="13"/>
  <c r="AN510" i="13" s="1"/>
  <c r="AF510" i="13"/>
  <c r="AH523" i="13"/>
  <c r="AN523" i="13" s="1"/>
  <c r="AF523" i="13"/>
  <c r="AF524" i="13"/>
  <c r="AH524" i="13"/>
  <c r="AN524" i="13" s="1"/>
  <c r="AF525" i="13"/>
  <c r="AH525" i="13"/>
  <c r="AN525" i="13" s="1"/>
  <c r="AF526" i="13"/>
  <c r="AH526" i="13"/>
  <c r="AN526" i="13" s="1"/>
  <c r="AF527" i="13"/>
  <c r="AH527" i="13"/>
  <c r="AF539" i="13"/>
  <c r="AH539" i="13"/>
  <c r="AN539" i="13" s="1"/>
  <c r="AH546" i="13"/>
  <c r="AN546" i="13" s="1"/>
  <c r="AF546" i="13"/>
  <c r="AF553" i="13"/>
  <c r="AH553" i="13"/>
  <c r="AN553" i="13" s="1"/>
  <c r="AH557" i="13"/>
  <c r="AN557" i="13" s="1"/>
  <c r="AF557" i="13"/>
  <c r="AF564" i="13"/>
  <c r="AH564" i="13"/>
  <c r="AN564" i="13" s="1"/>
  <c r="AF568" i="13"/>
  <c r="AH568" i="13"/>
  <c r="AN568" i="13" s="1"/>
  <c r="AH571" i="13"/>
  <c r="AN571" i="13" s="1"/>
  <c r="AF571" i="13"/>
  <c r="AF573" i="13"/>
  <c r="AH573" i="13"/>
  <c r="AN573" i="13" s="1"/>
  <c r="AH580" i="13"/>
  <c r="AN580" i="13" s="1"/>
  <c r="AF580" i="13"/>
  <c r="AH581" i="13"/>
  <c r="AN581" i="13" s="1"/>
  <c r="AF581" i="13"/>
  <c r="AF583" i="13"/>
  <c r="AH583" i="13"/>
  <c r="AN583" i="13" s="1"/>
  <c r="AF584" i="13"/>
  <c r="AH584" i="13"/>
  <c r="AN584" i="13" s="1"/>
  <c r="AF593" i="13"/>
  <c r="AH593" i="13"/>
  <c r="AN593" i="13" s="1"/>
  <c r="AH597" i="13"/>
  <c r="AN597" i="13" s="1"/>
  <c r="AF597" i="13"/>
  <c r="AH601" i="13"/>
  <c r="AF601" i="13"/>
  <c r="AH604" i="13"/>
  <c r="AN604" i="13" s="1"/>
  <c r="AF604" i="13"/>
  <c r="AH608" i="13"/>
  <c r="AF608" i="13"/>
  <c r="AH613" i="13"/>
  <c r="AN613" i="13" s="1"/>
  <c r="AF613" i="13"/>
  <c r="AF614" i="13"/>
  <c r="AH614" i="13"/>
  <c r="AN614" i="13" s="1"/>
  <c r="AF615" i="13"/>
  <c r="AH615" i="13"/>
  <c r="AF620" i="13"/>
  <c r="AH620" i="13"/>
  <c r="AN620" i="13" s="1"/>
  <c r="AH626" i="13"/>
  <c r="AN626" i="13" s="1"/>
  <c r="AF626" i="13"/>
  <c r="AH627" i="13"/>
  <c r="AN627" i="13" s="1"/>
  <c r="AF627" i="13"/>
  <c r="AF628" i="13"/>
  <c r="AH628" i="13"/>
  <c r="AN628" i="13" s="1"/>
  <c r="AF633" i="13"/>
  <c r="AH633" i="13"/>
  <c r="AN633" i="13" s="1"/>
  <c r="AH634" i="13"/>
  <c r="AF634" i="13"/>
  <c r="AH640" i="13"/>
  <c r="AN640" i="13" s="1"/>
  <c r="AF640" i="13"/>
  <c r="AF649" i="13"/>
  <c r="AH649" i="13"/>
  <c r="AH657" i="13"/>
  <c r="AN657" i="13" s="1"/>
  <c r="AF657" i="13"/>
  <c r="AH658" i="13"/>
  <c r="AN658" i="13" s="1"/>
  <c r="AF658" i="13"/>
  <c r="AH663" i="13"/>
  <c r="AN663" i="13" s="1"/>
  <c r="AF663" i="13"/>
  <c r="AF668" i="13"/>
  <c r="AH668" i="13"/>
  <c r="AF669" i="13"/>
  <c r="AH669" i="13"/>
  <c r="AN669" i="13" s="1"/>
  <c r="AH674" i="13"/>
  <c r="AN674" i="13" s="1"/>
  <c r="AF674" i="13"/>
  <c r="AF676" i="13"/>
  <c r="AH676" i="13"/>
  <c r="AN676" i="13" s="1"/>
  <c r="AF677" i="13"/>
  <c r="AH677" i="13"/>
  <c r="AN677" i="13" s="1"/>
  <c r="AH679" i="13"/>
  <c r="AN679" i="13" s="1"/>
  <c r="AF679" i="13"/>
  <c r="AH696" i="13"/>
  <c r="AN696" i="13" s="1"/>
  <c r="AF696" i="13"/>
  <c r="AH698" i="13"/>
  <c r="AN698" i="13" s="1"/>
  <c r="AF698" i="13"/>
  <c r="AF699" i="13"/>
  <c r="AH699" i="13"/>
  <c r="AN699" i="13" s="1"/>
  <c r="AH703" i="13"/>
  <c r="AN703" i="13" s="1"/>
  <c r="AF703" i="13"/>
  <c r="AF705" i="13"/>
  <c r="AH705" i="13"/>
  <c r="AN705" i="13" s="1"/>
  <c r="AF708" i="13"/>
  <c r="AH708" i="13"/>
  <c r="AN708" i="13" s="1"/>
  <c r="AF709" i="13"/>
  <c r="AH709" i="13"/>
  <c r="AN709" i="13" s="1"/>
  <c r="AF710" i="13"/>
  <c r="AH710" i="13"/>
  <c r="AN710" i="13" s="1"/>
  <c r="AH711" i="13"/>
  <c r="AN711" i="13" s="1"/>
  <c r="AF711" i="13"/>
  <c r="AH712" i="13"/>
  <c r="AN712" i="13" s="1"/>
  <c r="AF712" i="13"/>
  <c r="AF713" i="13"/>
  <c r="AH713" i="13"/>
  <c r="AN713" i="13" s="1"/>
  <c r="AF714" i="13"/>
  <c r="AH714" i="13"/>
  <c r="AN714" i="13" s="1"/>
  <c r="AH715" i="13"/>
  <c r="AN715" i="13" s="1"/>
  <c r="AF715" i="13"/>
  <c r="AH716" i="13"/>
  <c r="AN716" i="13" s="1"/>
  <c r="AF716" i="13"/>
  <c r="AH726" i="13"/>
  <c r="AN726" i="13" s="1"/>
  <c r="AF726" i="13"/>
  <c r="AH727" i="13"/>
  <c r="AN727" i="13" s="1"/>
  <c r="AF727" i="13"/>
  <c r="AF728" i="13"/>
  <c r="AH728" i="13"/>
  <c r="AN728" i="13" s="1"/>
  <c r="AH732" i="13"/>
  <c r="AN732" i="13" s="1"/>
  <c r="AF732" i="13"/>
  <c r="AF737" i="13"/>
  <c r="AH737" i="13"/>
  <c r="AN737" i="13" s="1"/>
  <c r="AH741" i="13"/>
  <c r="AN741" i="13" s="1"/>
  <c r="AF741" i="13"/>
  <c r="AH749" i="13"/>
  <c r="AN749" i="13" s="1"/>
  <c r="AF749" i="13"/>
  <c r="AH750" i="13"/>
  <c r="AN750" i="13" s="1"/>
  <c r="AF750" i="13"/>
  <c r="AH751" i="13"/>
  <c r="AN751" i="13" s="1"/>
  <c r="AF751" i="13"/>
  <c r="AF756" i="13"/>
  <c r="AH756" i="13"/>
  <c r="AN756" i="13" s="1"/>
  <c r="AF761" i="13"/>
  <c r="AH761" i="13"/>
  <c r="AN761" i="13" s="1"/>
  <c r="AH773" i="13"/>
  <c r="AN773" i="13" s="1"/>
  <c r="AF773" i="13"/>
  <c r="AH778" i="13"/>
  <c r="AN778" i="13" s="1"/>
  <c r="AF778" i="13"/>
  <c r="AF783" i="13"/>
  <c r="AH783" i="13"/>
  <c r="AN783" i="13" s="1"/>
  <c r="AH785" i="13"/>
  <c r="AN785" i="13" s="1"/>
  <c r="AF785" i="13"/>
  <c r="AF786" i="13"/>
  <c r="AH786" i="13"/>
  <c r="AN786" i="13" s="1"/>
  <c r="AF800" i="13"/>
  <c r="AH800" i="13"/>
  <c r="AN800" i="13" s="1"/>
  <c r="AH801" i="13"/>
  <c r="AN801" i="13" s="1"/>
  <c r="AF801" i="13"/>
  <c r="AH802" i="13"/>
  <c r="AN802" i="13" s="1"/>
  <c r="AF802" i="13"/>
  <c r="AH803" i="13"/>
  <c r="AN803" i="13" s="1"/>
  <c r="AF803" i="13"/>
  <c r="AF810" i="13"/>
  <c r="AH810" i="13"/>
  <c r="AN810" i="13" s="1"/>
  <c r="AH824" i="13"/>
  <c r="AN824" i="13" s="1"/>
  <c r="AF824" i="13"/>
  <c r="AF825" i="13"/>
  <c r="AH825" i="13"/>
  <c r="AN825" i="13" s="1"/>
  <c r="AF826" i="13"/>
  <c r="AH826" i="13"/>
  <c r="AN826" i="13" s="1"/>
  <c r="AH852" i="13"/>
  <c r="AN852" i="13" s="1"/>
  <c r="AF852" i="13"/>
  <c r="AH856" i="13"/>
  <c r="AN856" i="13" s="1"/>
  <c r="AF856" i="13"/>
  <c r="AF860" i="13"/>
  <c r="AH860" i="13"/>
  <c r="AN860" i="13" s="1"/>
  <c r="AH861" i="13"/>
  <c r="AN861" i="13" s="1"/>
  <c r="AF861" i="13"/>
  <c r="AH862" i="13"/>
  <c r="AN862" i="13" s="1"/>
  <c r="AF862" i="13"/>
  <c r="AF863" i="13"/>
  <c r="AH863" i="13"/>
  <c r="AN863" i="13" s="1"/>
  <c r="AF873" i="13"/>
  <c r="AH873" i="13"/>
  <c r="AN873" i="13" s="1"/>
  <c r="AF877" i="13"/>
  <c r="AH877" i="13"/>
  <c r="AN877" i="13" s="1"/>
  <c r="AH880" i="13"/>
  <c r="AN880" i="13" s="1"/>
  <c r="AF880" i="13"/>
  <c r="AH881" i="13"/>
  <c r="AN881" i="13" s="1"/>
  <c r="AF881" i="13"/>
  <c r="AF882" i="13"/>
  <c r="AH882" i="13"/>
  <c r="AN882" i="13" s="1"/>
  <c r="AF883" i="13"/>
  <c r="AH883" i="13"/>
  <c r="AN883" i="13" s="1"/>
  <c r="AH887" i="13"/>
  <c r="AN887" i="13" s="1"/>
  <c r="AF887" i="13"/>
  <c r="AF892" i="13"/>
  <c r="AH892" i="13"/>
  <c r="AN892" i="13" s="1"/>
  <c r="AH895" i="13"/>
  <c r="AN895" i="13" s="1"/>
  <c r="AF895" i="13"/>
  <c r="AF923" i="13"/>
  <c r="AH923" i="13"/>
  <c r="AN923" i="13" s="1"/>
  <c r="AH929" i="13"/>
  <c r="AN929" i="13" s="1"/>
  <c r="AF929" i="13"/>
  <c r="AF945" i="13"/>
  <c r="AH945" i="13"/>
  <c r="AN945" i="13" s="1"/>
  <c r="AF946" i="13"/>
  <c r="AH946" i="13"/>
  <c r="AN946" i="13" s="1"/>
  <c r="AH947" i="13"/>
  <c r="AN947" i="13" s="1"/>
  <c r="AF947" i="13"/>
  <c r="AH948" i="13"/>
  <c r="AN948" i="13" s="1"/>
  <c r="AF948" i="13"/>
  <c r="AF949" i="13"/>
  <c r="AH949" i="13"/>
  <c r="AN949" i="13" s="1"/>
  <c r="AF950" i="13"/>
  <c r="AH950" i="13"/>
  <c r="AN950" i="13" s="1"/>
  <c r="AH951" i="13"/>
  <c r="AN951" i="13" s="1"/>
  <c r="AF951" i="13"/>
  <c r="AH952" i="13"/>
  <c r="AN952" i="13" s="1"/>
  <c r="AF952" i="13"/>
  <c r="AH983" i="13"/>
  <c r="AN983" i="13" s="1"/>
  <c r="AF983" i="13"/>
  <c r="AH984" i="13"/>
  <c r="AN984" i="13" s="1"/>
  <c r="AF984" i="13"/>
  <c r="AH985" i="13"/>
  <c r="AN985" i="13" s="1"/>
  <c r="AF985" i="13"/>
  <c r="AF986" i="13"/>
  <c r="AH986" i="13"/>
  <c r="AN986" i="13" s="1"/>
  <c r="AH999" i="13"/>
  <c r="AN999" i="13" s="1"/>
  <c r="AF999" i="13"/>
  <c r="AF1002" i="13"/>
  <c r="AH1002" i="13"/>
  <c r="AN1002" i="13" s="1"/>
  <c r="AF1006" i="13"/>
  <c r="AH1006" i="13"/>
  <c r="AN1006" i="13" s="1"/>
  <c r="AH1008" i="13"/>
  <c r="AN1008" i="13" s="1"/>
  <c r="AF1008" i="13"/>
  <c r="AH1027" i="13"/>
  <c r="AN1027" i="13" s="1"/>
  <c r="AF1027" i="13"/>
  <c r="AH1031" i="13"/>
  <c r="AN1031" i="13" s="1"/>
  <c r="AF1031" i="13"/>
  <c r="AH1042" i="13"/>
  <c r="AN1042" i="13" s="1"/>
  <c r="AF1042" i="13"/>
  <c r="AF1052" i="13"/>
  <c r="AH1052" i="13"/>
  <c r="AN1052" i="13" s="1"/>
  <c r="AF1063" i="13"/>
  <c r="AH1063" i="13"/>
  <c r="AF1067" i="13"/>
  <c r="AH1067" i="13"/>
  <c r="AF1072" i="13"/>
  <c r="AH1072" i="13"/>
  <c r="AN1072" i="13" s="1"/>
  <c r="AH1085" i="13"/>
  <c r="AN1085" i="13" s="1"/>
  <c r="AF1085" i="13"/>
  <c r="AH1086" i="13"/>
  <c r="AN1086" i="13" s="1"/>
  <c r="AF1086" i="13"/>
  <c r="AF1087" i="13"/>
  <c r="AH1087" i="13"/>
  <c r="AN1087" i="13" s="1"/>
  <c r="AF1088" i="13"/>
  <c r="AH1088" i="13"/>
  <c r="AN1088" i="13" s="1"/>
  <c r="AF1095" i="13"/>
  <c r="AH1095" i="13"/>
  <c r="AH1097" i="13"/>
  <c r="AN1097" i="13" s="1"/>
  <c r="AF1097" i="13"/>
  <c r="AH1098" i="13"/>
  <c r="AN1098" i="13" s="1"/>
  <c r="AF1098" i="13"/>
  <c r="AF1099" i="13"/>
  <c r="AH1099" i="13"/>
  <c r="AN1099" i="13" s="1"/>
  <c r="AH1103" i="13"/>
  <c r="AN1103" i="13" s="1"/>
  <c r="AF1103" i="13"/>
  <c r="AF1110" i="13"/>
  <c r="AH1110" i="13"/>
  <c r="AN1110" i="13" s="1"/>
  <c r="AF1117" i="13"/>
  <c r="AH1117" i="13"/>
  <c r="AN1117" i="13" s="1"/>
  <c r="AH1124" i="13"/>
  <c r="AN1124" i="13" s="1"/>
  <c r="AF1124" i="13"/>
  <c r="AF1136" i="13"/>
  <c r="AH1136" i="13"/>
  <c r="AN1136" i="13" s="1"/>
  <c r="AH1137" i="13"/>
  <c r="AN1137" i="13" s="1"/>
  <c r="AF1137" i="13"/>
  <c r="AH1142" i="13"/>
  <c r="AN1142" i="13" s="1"/>
  <c r="AF1142" i="13"/>
  <c r="AH1148" i="13"/>
  <c r="AN1148" i="13" s="1"/>
  <c r="AF1148" i="13"/>
  <c r="AF1151" i="13"/>
  <c r="AH1151" i="13"/>
  <c r="AN1151" i="13" s="1"/>
  <c r="AF1158" i="13"/>
  <c r="AH1158" i="13"/>
  <c r="AN1158" i="13" s="1"/>
  <c r="AH1166" i="13"/>
  <c r="AN1166" i="13" s="1"/>
  <c r="AF1166" i="13"/>
  <c r="AF1180" i="13"/>
  <c r="AH1180" i="13"/>
  <c r="AN1180" i="13" s="1"/>
  <c r="AH1186" i="13"/>
  <c r="AN1186" i="13" s="1"/>
  <c r="AF1186" i="13"/>
  <c r="AH1187" i="13"/>
  <c r="AN1187" i="13" s="1"/>
  <c r="AF1187" i="13"/>
  <c r="AH1188" i="13"/>
  <c r="AN1188" i="13" s="1"/>
  <c r="AF1188" i="13"/>
  <c r="AF1189" i="13"/>
  <c r="AH1189" i="13"/>
  <c r="AN1189" i="13" s="1"/>
  <c r="AF1190" i="13"/>
  <c r="AH1190" i="13"/>
  <c r="AN1190" i="13" s="1"/>
  <c r="AH1191" i="13"/>
  <c r="AN1191" i="13" s="1"/>
  <c r="AF1191" i="13"/>
  <c r="AH1192" i="13"/>
  <c r="AN1192" i="13" s="1"/>
  <c r="AF1192" i="13"/>
  <c r="AH1193" i="13"/>
  <c r="AN1193" i="13" s="1"/>
  <c r="AF1193" i="13"/>
  <c r="AH1194" i="13"/>
  <c r="AN1194" i="13" s="1"/>
  <c r="AF1194" i="13"/>
  <c r="AH1195" i="13"/>
  <c r="AN1195" i="13" s="1"/>
  <c r="AF1195" i="13"/>
  <c r="AF1196" i="13"/>
  <c r="AH1196" i="13"/>
  <c r="AN1196" i="13" s="1"/>
  <c r="AF1197" i="13"/>
  <c r="AH1197" i="13"/>
  <c r="AN1197" i="13" s="1"/>
  <c r="AF1198" i="13"/>
  <c r="AH1198" i="13"/>
  <c r="AN1198" i="13" s="1"/>
  <c r="AF1199" i="13"/>
  <c r="AH1199" i="13"/>
  <c r="AN1199" i="13" s="1"/>
  <c r="AH1200" i="13"/>
  <c r="AN1200" i="13" s="1"/>
  <c r="AF1200" i="13"/>
  <c r="AH1201" i="13"/>
  <c r="AN1201" i="13" s="1"/>
  <c r="AF1201" i="13"/>
  <c r="AH1202" i="13"/>
  <c r="AN1202" i="13" s="1"/>
  <c r="AF1202" i="13"/>
  <c r="AF1203" i="13"/>
  <c r="AH1203" i="13"/>
  <c r="AN1203" i="13" s="1"/>
  <c r="AF1204" i="13"/>
  <c r="AH1204" i="13"/>
  <c r="AN1204" i="13" s="1"/>
  <c r="AH1205" i="13"/>
  <c r="AN1205" i="13" s="1"/>
  <c r="AF1205" i="13"/>
  <c r="AH1206" i="13"/>
  <c r="AN1206" i="13" s="1"/>
  <c r="AF1206" i="13"/>
  <c r="AF1207" i="13"/>
  <c r="AH1207" i="13"/>
  <c r="AN1207" i="13" s="1"/>
  <c r="AF1217" i="13"/>
  <c r="AH1217" i="13"/>
  <c r="AN1217" i="13" s="1"/>
  <c r="AF1218" i="13"/>
  <c r="AH1218" i="13"/>
  <c r="AN1218" i="13" s="1"/>
  <c r="AH1219" i="13"/>
  <c r="AN1219" i="13" s="1"/>
  <c r="AF1219" i="13"/>
  <c r="AH1220" i="13"/>
  <c r="AN1220" i="13" s="1"/>
  <c r="AF1220" i="13"/>
  <c r="AH1221" i="13"/>
  <c r="AN1221" i="13" s="1"/>
  <c r="AF1221" i="13"/>
  <c r="AF1222" i="13"/>
  <c r="AH1222" i="13"/>
  <c r="AN1222" i="13" s="1"/>
  <c r="AF1223" i="13"/>
  <c r="AH1223" i="13"/>
  <c r="AN1223" i="13" s="1"/>
  <c r="K1274" i="13"/>
  <c r="K1293" i="13"/>
  <c r="K1275" i="13"/>
  <c r="G985" i="1"/>
  <c r="H985" i="1" s="1"/>
  <c r="Q15" i="17418"/>
  <c r="Q41" i="17418"/>
  <c r="Q42" i="17418"/>
  <c r="R43" i="17418"/>
  <c r="Q46" i="17418"/>
  <c r="R47" i="17418"/>
  <c r="Q50" i="17418"/>
  <c r="R51" i="17418"/>
  <c r="Q54" i="17418"/>
  <c r="R55" i="17418"/>
  <c r="I9" i="17419"/>
  <c r="I42" i="17419"/>
  <c r="I63" i="17419" s="1"/>
  <c r="Q24" i="17418"/>
  <c r="Q27" i="17418"/>
  <c r="Q23" i="17418"/>
  <c r="Q26" i="17418"/>
  <c r="Q25" i="17418"/>
  <c r="R15" i="17418"/>
  <c r="Q29" i="17418"/>
  <c r="Q30" i="17418"/>
  <c r="Q31" i="17418"/>
  <c r="Q34" i="17418"/>
  <c r="Q35" i="17418"/>
  <c r="Q39" i="17418"/>
  <c r="Q40" i="17418"/>
  <c r="R41" i="17418"/>
  <c r="R42" i="17418"/>
  <c r="Q45" i="17418"/>
  <c r="R46" i="17418"/>
  <c r="Q49" i="17418"/>
  <c r="R50" i="17418"/>
  <c r="Q53" i="17418"/>
  <c r="R54" i="17418"/>
  <c r="Q58" i="17418"/>
  <c r="Q59" i="17418"/>
  <c r="R27" i="17418"/>
  <c r="R23" i="17418"/>
  <c r="R26" i="17418"/>
  <c r="R25" i="17418"/>
  <c r="R24" i="17418"/>
  <c r="R29" i="17418"/>
  <c r="R30" i="17418"/>
  <c r="R31" i="17418"/>
  <c r="Q33" i="17418"/>
  <c r="R34" i="17418"/>
  <c r="R35" i="17418"/>
  <c r="Q36" i="17418"/>
  <c r="Q37" i="17418"/>
  <c r="Q38" i="17418"/>
  <c r="R39" i="17418"/>
  <c r="R40" i="17418"/>
  <c r="Q44" i="17418"/>
  <c r="R45" i="17418"/>
  <c r="Q48" i="17418"/>
  <c r="R49" i="17418"/>
  <c r="Q52" i="17418"/>
  <c r="R53" i="17418"/>
  <c r="Q56" i="17418"/>
  <c r="Q57" i="17418"/>
  <c r="R58" i="17418"/>
  <c r="R59" i="17418"/>
  <c r="S7" i="17418"/>
  <c r="R33" i="17418"/>
  <c r="R36" i="17418"/>
  <c r="R37" i="17418"/>
  <c r="R38" i="17418"/>
  <c r="Q43" i="17418"/>
  <c r="R44" i="17418"/>
  <c r="Q47" i="17418"/>
  <c r="R48" i="17418"/>
  <c r="Q51" i="17418"/>
  <c r="R52" i="17418"/>
  <c r="Q55" i="17418"/>
  <c r="R56" i="17418"/>
  <c r="R57" i="17418"/>
  <c r="H42" i="17419"/>
  <c r="H63" i="17419" s="1"/>
  <c r="AL7" i="6"/>
  <c r="O582" i="13"/>
  <c r="O400" i="6"/>
  <c r="Q400" i="6" s="1"/>
  <c r="O430" i="6"/>
  <c r="O466" i="6"/>
  <c r="O468" i="6"/>
  <c r="O418" i="6"/>
  <c r="O396" i="6"/>
  <c r="E126" i="17412"/>
  <c r="H1605" i="1"/>
  <c r="E153" i="17412"/>
  <c r="R153" i="17412" s="1"/>
  <c r="G122" i="17412"/>
  <c r="D122" i="17412" s="1"/>
  <c r="F1574" i="1" s="1"/>
  <c r="G137" i="17412"/>
  <c r="D137" i="17412" s="1"/>
  <c r="F1589" i="1" s="1"/>
  <c r="G144" i="17412"/>
  <c r="D144" i="17412" s="1"/>
  <c r="F1596" i="1" s="1"/>
  <c r="G160" i="17412"/>
  <c r="D160" i="17412" s="1"/>
  <c r="F1612" i="1" s="1"/>
  <c r="D8" i="17412"/>
  <c r="F1461" i="1" s="1"/>
  <c r="D11" i="17412"/>
  <c r="F1463" i="1" s="1"/>
  <c r="L21" i="6" s="1"/>
  <c r="G15" i="17412"/>
  <c r="D15" i="17412" s="1"/>
  <c r="F1467" i="1" s="1"/>
  <c r="H1467" i="1" s="1"/>
  <c r="D19" i="17412"/>
  <c r="F1471" i="1" s="1"/>
  <c r="L394" i="13" s="1"/>
  <c r="D22" i="17412"/>
  <c r="F1474" i="1" s="1"/>
  <c r="H1474" i="1" s="1"/>
  <c r="G24" i="17412"/>
  <c r="D24" i="17412" s="1"/>
  <c r="F1476" i="1" s="1"/>
  <c r="H1476" i="1" s="1"/>
  <c r="D25" i="17412"/>
  <c r="F1477" i="1" s="1"/>
  <c r="L768" i="13" s="1"/>
  <c r="G27" i="17412"/>
  <c r="D27" i="17412" s="1"/>
  <c r="F1479" i="1" s="1"/>
  <c r="H1479" i="1" s="1"/>
  <c r="D29" i="17412"/>
  <c r="F1481" i="1" s="1"/>
  <c r="L842" i="13" s="1"/>
  <c r="G30" i="17412"/>
  <c r="D30" i="17412" s="1"/>
  <c r="F1482" i="1" s="1"/>
  <c r="D32" i="17412"/>
  <c r="F1484" i="1" s="1"/>
  <c r="L22" i="13" s="1"/>
  <c r="P22" i="13" s="1"/>
  <c r="G33" i="17412"/>
  <c r="D33" i="17412" s="1"/>
  <c r="F1485" i="1" s="1"/>
  <c r="L314" i="4" s="1"/>
  <c r="G36" i="17412"/>
  <c r="T36" i="17412" s="1"/>
  <c r="D37" i="17412"/>
  <c r="F1489" i="1" s="1"/>
  <c r="H1489" i="1" s="1"/>
  <c r="G39" i="17412"/>
  <c r="D39" i="17412" s="1"/>
  <c r="F1491" i="1" s="1"/>
  <c r="G42" i="17412"/>
  <c r="D42" i="17412" s="1"/>
  <c r="F1494" i="1" s="1"/>
  <c r="D44" i="17412"/>
  <c r="F1496" i="1" s="1"/>
  <c r="G46" i="17412"/>
  <c r="D46" i="17412" s="1"/>
  <c r="F1498" i="1" s="1"/>
  <c r="D47" i="17412"/>
  <c r="F1499" i="1" s="1"/>
  <c r="G48" i="17412"/>
  <c r="D48" i="17412" s="1"/>
  <c r="F1500" i="1" s="1"/>
  <c r="D49" i="17412"/>
  <c r="F1501" i="1" s="1"/>
  <c r="L440" i="6" s="1"/>
  <c r="R440" i="6" s="1"/>
  <c r="G50" i="17412"/>
  <c r="D50" i="17412" s="1"/>
  <c r="F1502" i="1" s="1"/>
  <c r="L462" i="6" s="1"/>
  <c r="D52" i="17412"/>
  <c r="F1504" i="1" s="1"/>
  <c r="H1504" i="1" s="1"/>
  <c r="D55" i="17412"/>
  <c r="F1507" i="1" s="1"/>
  <c r="L26" i="6" s="1"/>
  <c r="G56" i="17412"/>
  <c r="D56" i="17412" s="1"/>
  <c r="F1508" i="1" s="1"/>
  <c r="H1508" i="1" s="1"/>
  <c r="D57" i="17412"/>
  <c r="F1509" i="1" s="1"/>
  <c r="G58" i="17412"/>
  <c r="D58" i="17412" s="1"/>
  <c r="F1510" i="1" s="1"/>
  <c r="D60" i="17412"/>
  <c r="F1512" i="1" s="1"/>
  <c r="H1512" i="1" s="1"/>
  <c r="G62" i="17412"/>
  <c r="T62" i="17412" s="1"/>
  <c r="D63" i="17412"/>
  <c r="F1515" i="1" s="1"/>
  <c r="L936" i="13" s="1"/>
  <c r="D66" i="17412"/>
  <c r="F1518" i="1" s="1"/>
  <c r="G68" i="17412"/>
  <c r="T68" i="17412" s="1"/>
  <c r="D74" i="17412"/>
  <c r="F1526" i="1" s="1"/>
  <c r="G75" i="17412"/>
  <c r="D75" i="17412" s="1"/>
  <c r="F1527" i="1" s="1"/>
  <c r="D76" i="17412"/>
  <c r="F1528" i="1" s="1"/>
  <c r="H1528" i="1" s="1"/>
  <c r="T76" i="17412"/>
  <c r="T78" i="17412"/>
  <c r="D83" i="17412"/>
  <c r="F1535" i="1" s="1"/>
  <c r="T83" i="17412"/>
  <c r="D85" i="17412"/>
  <c r="F1537" i="1" s="1"/>
  <c r="L343" i="13" s="1"/>
  <c r="P343" i="13" s="1"/>
  <c r="T85" i="17412"/>
  <c r="G86" i="17412"/>
  <c r="T86" i="17412" s="1"/>
  <c r="D89" i="17412"/>
  <c r="F1541" i="1" s="1"/>
  <c r="L316" i="13" s="1"/>
  <c r="G90" i="17412"/>
  <c r="D90" i="17412" s="1"/>
  <c r="F1542" i="1" s="1"/>
  <c r="D91" i="17412"/>
  <c r="F1543" i="1" s="1"/>
  <c r="T91" i="17412"/>
  <c r="G92" i="17412"/>
  <c r="D92" i="17412" s="1"/>
  <c r="F1544" i="1" s="1"/>
  <c r="T94" i="17412"/>
  <c r="G100" i="17412"/>
  <c r="D100" i="17412" s="1"/>
  <c r="F1552" i="1" s="1"/>
  <c r="D104" i="17412"/>
  <c r="F1556" i="1" s="1"/>
  <c r="T104" i="17412"/>
  <c r="D106" i="17412"/>
  <c r="F1558" i="1" s="1"/>
  <c r="T106" i="17412"/>
  <c r="G107" i="17412"/>
  <c r="D107" i="17412" s="1"/>
  <c r="F1559" i="1" s="1"/>
  <c r="T109" i="17412"/>
  <c r="D114" i="17412"/>
  <c r="F1566" i="1" s="1"/>
  <c r="L446" i="13" s="1"/>
  <c r="D116" i="17412"/>
  <c r="F1568" i="1" s="1"/>
  <c r="L390" i="4" s="1"/>
  <c r="T116" i="17412"/>
  <c r="T118" i="17412"/>
  <c r="D119" i="17412"/>
  <c r="F1571" i="1" s="1"/>
  <c r="L798" i="13" s="1"/>
  <c r="R798" i="13" s="1"/>
  <c r="G120" i="17412"/>
  <c r="T120" i="17412" s="1"/>
  <c r="T126" i="17412"/>
  <c r="T129" i="17412"/>
  <c r="G132" i="17412"/>
  <c r="T132" i="17412" s="1"/>
  <c r="D142" i="17412"/>
  <c r="F1594" i="1" s="1"/>
  <c r="H1594" i="1" s="1"/>
  <c r="T145" i="17412"/>
  <c r="D149" i="17412"/>
  <c r="F1601" i="1" s="1"/>
  <c r="L247" i="13" s="1"/>
  <c r="P247" i="13" s="1"/>
  <c r="G150" i="17412"/>
  <c r="T150" i="17412" s="1"/>
  <c r="T154" i="17412"/>
  <c r="D158" i="17412"/>
  <c r="F1610" i="1" s="1"/>
  <c r="H1610" i="1" s="1"/>
  <c r="T161" i="17412"/>
  <c r="G164" i="17412"/>
  <c r="T164" i="17412" s="1"/>
  <c r="T170" i="17412"/>
  <c r="G173" i="17412"/>
  <c r="T173" i="17412" s="1"/>
  <c r="T8" i="17412"/>
  <c r="T11" i="17412"/>
  <c r="T19" i="17412"/>
  <c r="T22" i="17412"/>
  <c r="T25" i="17412"/>
  <c r="T29" i="17412"/>
  <c r="T32" i="17412"/>
  <c r="T37" i="17412"/>
  <c r="T44" i="17412"/>
  <c r="T47" i="17412"/>
  <c r="T49" i="17412"/>
  <c r="T52" i="17412"/>
  <c r="T55" i="17412"/>
  <c r="T57" i="17412"/>
  <c r="T60" i="17412"/>
  <c r="T63" i="17412"/>
  <c r="T66" i="17412"/>
  <c r="T74" i="17412"/>
  <c r="T89" i="17412"/>
  <c r="T114" i="17412"/>
  <c r="T119" i="17412"/>
  <c r="G127" i="17412"/>
  <c r="T127" i="17412" s="1"/>
  <c r="G130" i="17412"/>
  <c r="T130" i="17412" s="1"/>
  <c r="D146" i="17412"/>
  <c r="F1598" i="1" s="1"/>
  <c r="L82" i="4" s="1"/>
  <c r="D162" i="17412"/>
  <c r="F1614" i="1" s="1"/>
  <c r="D171" i="17412"/>
  <c r="F1623" i="1" s="1"/>
  <c r="G177" i="17412"/>
  <c r="T177" i="17412" s="1"/>
  <c r="D178" i="17412"/>
  <c r="F1630" i="1" s="1"/>
  <c r="D71" i="17412"/>
  <c r="F1523" i="1" s="1"/>
  <c r="T71" i="17412"/>
  <c r="D73" i="17412"/>
  <c r="F1525" i="1" s="1"/>
  <c r="T73" i="17412"/>
  <c r="G77" i="17412"/>
  <c r="T77" i="17412" s="1"/>
  <c r="D81" i="17412"/>
  <c r="F1533" i="1" s="1"/>
  <c r="L335" i="13" s="1"/>
  <c r="P335" i="13" s="1"/>
  <c r="T81" i="17412"/>
  <c r="G87" i="17412"/>
  <c r="D87" i="17412" s="1"/>
  <c r="F1539" i="1" s="1"/>
  <c r="D88" i="17412"/>
  <c r="F1540" i="1" s="1"/>
  <c r="L674" i="13" s="1"/>
  <c r="T88" i="17412"/>
  <c r="G93" i="17412"/>
  <c r="T93" i="17412" s="1"/>
  <c r="D97" i="17412"/>
  <c r="F1549" i="1" s="1"/>
  <c r="L1152" i="13" s="1"/>
  <c r="R1152" i="13" s="1"/>
  <c r="T97" i="17412"/>
  <c r="D99" i="17412"/>
  <c r="F1551" i="1" s="1"/>
  <c r="H1551" i="1" s="1"/>
  <c r="T99" i="17412"/>
  <c r="T101" i="17412"/>
  <c r="G108" i="17412"/>
  <c r="T108" i="17412" s="1"/>
  <c r="D111" i="17412"/>
  <c r="F1563" i="1" s="1"/>
  <c r="T111" i="17412"/>
  <c r="D113" i="17412"/>
  <c r="F1565" i="1" s="1"/>
  <c r="H1565" i="1" s="1"/>
  <c r="T113" i="17412"/>
  <c r="G117" i="17412"/>
  <c r="D117" i="17412" s="1"/>
  <c r="F1569" i="1" s="1"/>
  <c r="H1569" i="1" s="1"/>
  <c r="T121" i="17412"/>
  <c r="G124" i="17412"/>
  <c r="T124" i="17412" s="1"/>
  <c r="G125" i="17412"/>
  <c r="T125" i="17412" s="1"/>
  <c r="T135" i="17412"/>
  <c r="G140" i="17412"/>
  <c r="T140" i="17412" s="1"/>
  <c r="G156" i="17412"/>
  <c r="T156" i="17412" s="1"/>
  <c r="G167" i="17412"/>
  <c r="T167" i="17412" s="1"/>
  <c r="D133" i="17412"/>
  <c r="F1585" i="1" s="1"/>
  <c r="L324" i="13" s="1"/>
  <c r="R324" i="13" s="1"/>
  <c r="D135" i="17412"/>
  <c r="F1587" i="1" s="1"/>
  <c r="L797" i="13" s="1"/>
  <c r="T136" i="17412"/>
  <c r="T138" i="17412"/>
  <c r="D141" i="17412"/>
  <c r="F1593" i="1" s="1"/>
  <c r="T142" i="17412"/>
  <c r="D145" i="17412"/>
  <c r="F1597" i="1" s="1"/>
  <c r="T146" i="17412"/>
  <c r="D148" i="17412"/>
  <c r="F1600" i="1" s="1"/>
  <c r="T149" i="17412"/>
  <c r="D151" i="17412"/>
  <c r="F1603" i="1" s="1"/>
  <c r="H1603" i="1" s="1"/>
  <c r="T152" i="17412"/>
  <c r="D154" i="17412"/>
  <c r="F1606" i="1" s="1"/>
  <c r="L725" i="13" s="1"/>
  <c r="P725" i="13" s="1"/>
  <c r="D157" i="17412"/>
  <c r="F1609" i="1" s="1"/>
  <c r="L177" i="6" s="1"/>
  <c r="P177" i="6" s="1"/>
  <c r="T158" i="17412"/>
  <c r="D161" i="17412"/>
  <c r="F1613" i="1" s="1"/>
  <c r="H1613" i="1" s="1"/>
  <c r="T162" i="17412"/>
  <c r="D165" i="17412"/>
  <c r="F1617" i="1" s="1"/>
  <c r="L93" i="6" s="1"/>
  <c r="T166" i="17412"/>
  <c r="T168" i="17412"/>
  <c r="D170" i="17412"/>
  <c r="F1622" i="1" s="1"/>
  <c r="H1622" i="1" s="1"/>
  <c r="T171" i="17412"/>
  <c r="D174" i="17412"/>
  <c r="F1626" i="1" s="1"/>
  <c r="T178" i="17412"/>
  <c r="T180" i="17412"/>
  <c r="D180" i="17412"/>
  <c r="F1633" i="1" s="1"/>
  <c r="H1050" i="1"/>
  <c r="O382" i="6"/>
  <c r="P115" i="6"/>
  <c r="O335" i="6"/>
  <c r="M376" i="6"/>
  <c r="O376" i="6" s="1"/>
  <c r="W8" i="6"/>
  <c r="M414" i="6"/>
  <c r="O426" i="6"/>
  <c r="O455" i="6"/>
  <c r="P126" i="6"/>
  <c r="O33" i="6"/>
  <c r="O32" i="6" s="1"/>
  <c r="O91" i="6"/>
  <c r="O89" i="6" s="1"/>
  <c r="O88" i="6" s="1"/>
  <c r="P211" i="6"/>
  <c r="O322" i="6"/>
  <c r="Q359" i="6"/>
  <c r="P359" i="6"/>
  <c r="U359" i="6" s="1"/>
  <c r="O373" i="6"/>
  <c r="V24" i="6"/>
  <c r="X9" i="6"/>
  <c r="AN7" i="6"/>
  <c r="G1628" i="1"/>
  <c r="G1464" i="1"/>
  <c r="Q133" i="13"/>
  <c r="Q150" i="13"/>
  <c r="X10" i="6"/>
  <c r="V10" i="6"/>
  <c r="W11" i="6"/>
  <c r="X14" i="6"/>
  <c r="V14" i="6"/>
  <c r="W15" i="6"/>
  <c r="X18" i="6"/>
  <c r="V18" i="6"/>
  <c r="W19" i="6"/>
  <c r="X21" i="6"/>
  <c r="V21" i="6"/>
  <c r="W22" i="6"/>
  <c r="X27" i="6"/>
  <c r="V27" i="6"/>
  <c r="W28" i="6"/>
  <c r="X42" i="6"/>
  <c r="V45" i="6"/>
  <c r="W46" i="6"/>
  <c r="V50" i="6"/>
  <c r="V53" i="6"/>
  <c r="W55" i="6"/>
  <c r="W62" i="6"/>
  <c r="X8" i="6"/>
  <c r="V8" i="6"/>
  <c r="X11" i="6"/>
  <c r="V11" i="6"/>
  <c r="W12" i="6"/>
  <c r="X15" i="6"/>
  <c r="V15" i="6"/>
  <c r="W16" i="6"/>
  <c r="X19" i="6"/>
  <c r="V19" i="6"/>
  <c r="X20" i="6"/>
  <c r="V20" i="6"/>
  <c r="X32" i="6"/>
  <c r="V33" i="6"/>
  <c r="X36" i="6"/>
  <c r="V37" i="6"/>
  <c r="W64" i="6"/>
  <c r="V80" i="6"/>
  <c r="W7" i="6"/>
  <c r="W9" i="6"/>
  <c r="X12" i="6"/>
  <c r="V12" i="6"/>
  <c r="W13" i="6"/>
  <c r="X16" i="6"/>
  <c r="V16" i="6"/>
  <c r="W17" i="6"/>
  <c r="W23" i="6"/>
  <c r="V26" i="6"/>
  <c r="V29" i="6"/>
  <c r="X43" i="6"/>
  <c r="X50" i="6"/>
  <c r="X53" i="6"/>
  <c r="U55" i="6"/>
  <c r="U57" i="6"/>
  <c r="V61" i="6"/>
  <c r="X7" i="6"/>
  <c r="V7" i="6"/>
  <c r="V9" i="6"/>
  <c r="W10" i="6"/>
  <c r="X13" i="6"/>
  <c r="V13" i="6"/>
  <c r="W14" i="6"/>
  <c r="X17" i="6"/>
  <c r="V17" i="6"/>
  <c r="W18" i="6"/>
  <c r="X22" i="6"/>
  <c r="V22" i="6"/>
  <c r="W25" i="6"/>
  <c r="W41" i="6"/>
  <c r="W70" i="6"/>
  <c r="O82" i="6"/>
  <c r="O79" i="6" s="1"/>
  <c r="Q79" i="6" s="1"/>
  <c r="O77" i="6"/>
  <c r="O121" i="6"/>
  <c r="O122" i="6"/>
  <c r="O119" i="6"/>
  <c r="O120" i="6"/>
  <c r="O131" i="6"/>
  <c r="O132" i="6"/>
  <c r="O175" i="6"/>
  <c r="O186" i="6"/>
  <c r="O187" i="6" s="1"/>
  <c r="O323" i="6"/>
  <c r="M324" i="6"/>
  <c r="O389" i="6"/>
  <c r="O404" i="6"/>
  <c r="W21" i="6"/>
  <c r="P125" i="6"/>
  <c r="O142" i="6"/>
  <c r="O143" i="6" s="1"/>
  <c r="P156" i="6"/>
  <c r="O299" i="6"/>
  <c r="N298" i="6"/>
  <c r="O298" i="6" s="1"/>
  <c r="O313" i="6"/>
  <c r="O330" i="6"/>
  <c r="O325" i="6"/>
  <c r="N388" i="6"/>
  <c r="O388" i="6" s="1"/>
  <c r="P124" i="6"/>
  <c r="O254" i="6"/>
  <c r="O384" i="6"/>
  <c r="M390" i="6"/>
  <c r="O390" i="6" s="1"/>
  <c r="O391" i="6"/>
  <c r="O408" i="6"/>
  <c r="M407" i="6"/>
  <c r="M406" i="6" s="1"/>
  <c r="O406" i="6" s="1"/>
  <c r="M421" i="6"/>
  <c r="O422" i="6"/>
  <c r="P123" i="6"/>
  <c r="P209" i="6"/>
  <c r="O316" i="6"/>
  <c r="O379" i="6"/>
  <c r="O456" i="6"/>
  <c r="N465" i="6"/>
  <c r="O465" i="6" s="1"/>
  <c r="O361" i="6"/>
  <c r="Q444" i="6"/>
  <c r="G196" i="1" s="1"/>
  <c r="H196" i="1" s="1"/>
  <c r="P472" i="6"/>
  <c r="O816" i="13"/>
  <c r="P663" i="13"/>
  <c r="G1876" i="1"/>
  <c r="U39" i="6"/>
  <c r="W40" i="6"/>
  <c r="U47" i="6"/>
  <c r="W49" i="6"/>
  <c r="X51" i="6"/>
  <c r="V58" i="6"/>
  <c r="V74" i="6"/>
  <c r="U29" i="6"/>
  <c r="W31" i="6"/>
  <c r="X35" i="6"/>
  <c r="V44" i="6"/>
  <c r="W47" i="6"/>
  <c r="U49" i="6"/>
  <c r="X59" i="6"/>
  <c r="V293" i="6"/>
  <c r="U283" i="6"/>
  <c r="V276" i="6"/>
  <c r="U297" i="6"/>
  <c r="W265" i="6"/>
  <c r="W258" i="6"/>
  <c r="W255" i="6"/>
  <c r="U253" i="6"/>
  <c r="V248" i="6"/>
  <c r="X296" i="6"/>
  <c r="U286" i="6"/>
  <c r="X283" i="6"/>
  <c r="V278" i="6"/>
  <c r="X274" i="6"/>
  <c r="X266" i="6"/>
  <c r="V263" i="6"/>
  <c r="W259" i="6"/>
  <c r="W256" i="6"/>
  <c r="U254" i="6"/>
  <c r="X253" i="6"/>
  <c r="U251" i="6"/>
  <c r="U302" i="6"/>
  <c r="W281" i="6"/>
  <c r="W273" i="6"/>
  <c r="W270" i="6"/>
  <c r="V267" i="6"/>
  <c r="V257" i="6"/>
  <c r="W249" i="6"/>
  <c r="X245" i="6"/>
  <c r="X239" i="6"/>
  <c r="V295" i="6"/>
  <c r="X287" i="6"/>
  <c r="W284" i="6"/>
  <c r="W271" i="6"/>
  <c r="V265" i="6"/>
  <c r="X259" i="6"/>
  <c r="V258" i="6"/>
  <c r="V254" i="6"/>
  <c r="V253" i="6"/>
  <c r="U252" i="6"/>
  <c r="V250" i="6"/>
  <c r="V249" i="6"/>
  <c r="U248" i="6"/>
  <c r="X246" i="6"/>
  <c r="U244" i="6"/>
  <c r="V242" i="6"/>
  <c r="V237" i="6"/>
  <c r="X279" i="6"/>
  <c r="V266" i="6"/>
  <c r="X261" i="6"/>
  <c r="V260" i="6"/>
  <c r="X256" i="6"/>
  <c r="U255" i="6"/>
  <c r="W247" i="6"/>
  <c r="W246" i="6"/>
  <c r="X243" i="6"/>
  <c r="U242" i="6"/>
  <c r="X240" i="6"/>
  <c r="X238" i="6"/>
  <c r="X236" i="6"/>
  <c r="W235" i="6"/>
  <c r="W234" i="6"/>
  <c r="V233" i="6"/>
  <c r="X231" i="6"/>
  <c r="W230" i="6"/>
  <c r="V229" i="6"/>
  <c r="V228" i="6"/>
  <c r="W227" i="6"/>
  <c r="W226" i="6"/>
  <c r="W225" i="6"/>
  <c r="W224" i="6"/>
  <c r="X223" i="6"/>
  <c r="V222" i="6"/>
  <c r="X221" i="6"/>
  <c r="W220" i="6"/>
  <c r="W219" i="6"/>
  <c r="V275" i="6"/>
  <c r="W263" i="6"/>
  <c r="V256" i="6"/>
  <c r="V251" i="6"/>
  <c r="X244" i="6"/>
  <c r="W238" i="6"/>
  <c r="V226" i="6"/>
  <c r="V220" i="6"/>
  <c r="W218" i="6"/>
  <c r="X215" i="6"/>
  <c r="X206" i="6"/>
  <c r="V202" i="6"/>
  <c r="W199" i="6"/>
  <c r="W198" i="6"/>
  <c r="W197" i="6"/>
  <c r="X193" i="6"/>
  <c r="X189" i="6"/>
  <c r="X185" i="6"/>
  <c r="X181" i="6"/>
  <c r="V176" i="6"/>
  <c r="V174" i="6"/>
  <c r="W170" i="6"/>
  <c r="V166" i="6"/>
  <c r="V164" i="6"/>
  <c r="W160" i="6"/>
  <c r="X156" i="6"/>
  <c r="X147" i="6"/>
  <c r="V145" i="6"/>
  <c r="W272" i="6"/>
  <c r="X264" i="6"/>
  <c r="U246" i="6"/>
  <c r="W236" i="6"/>
  <c r="V234" i="6"/>
  <c r="V230" i="6"/>
  <c r="U228" i="6"/>
  <c r="V227" i="6"/>
  <c r="X216" i="6"/>
  <c r="V212" i="6"/>
  <c r="W211" i="6"/>
  <c r="W210" i="6"/>
  <c r="W209" i="6"/>
  <c r="W208" i="6"/>
  <c r="X207" i="6"/>
  <c r="V203" i="6"/>
  <c r="W201" i="6"/>
  <c r="W200" i="6"/>
  <c r="X194" i="6"/>
  <c r="X190" i="6"/>
  <c r="X186" i="6"/>
  <c r="U184" i="6"/>
  <c r="X182" i="6"/>
  <c r="W175" i="6"/>
  <c r="W171" i="6"/>
  <c r="V167" i="6"/>
  <c r="W165" i="6"/>
  <c r="W163" i="6"/>
  <c r="W162" i="6"/>
  <c r="W161" i="6"/>
  <c r="X157" i="6"/>
  <c r="V153" i="6"/>
  <c r="W286" i="6"/>
  <c r="V268" i="6"/>
  <c r="V240" i="6"/>
  <c r="X232" i="6"/>
  <c r="W231" i="6"/>
  <c r="W221" i="6"/>
  <c r="X217" i="6"/>
  <c r="W216" i="6"/>
  <c r="X214" i="6"/>
  <c r="V211" i="6"/>
  <c r="V210" i="6"/>
  <c r="V209" i="6"/>
  <c r="V208" i="6"/>
  <c r="W207" i="6"/>
  <c r="X204" i="6"/>
  <c r="V201" i="6"/>
  <c r="V200" i="6"/>
  <c r="X195" i="6"/>
  <c r="W194" i="6"/>
  <c r="X191" i="6"/>
  <c r="W190" i="6"/>
  <c r="X187" i="6"/>
  <c r="W186" i="6"/>
  <c r="X183" i="6"/>
  <c r="W182" i="6"/>
  <c r="X180" i="6"/>
  <c r="X179" i="6"/>
  <c r="V175" i="6"/>
  <c r="X173" i="6"/>
  <c r="W172" i="6"/>
  <c r="V171" i="6"/>
  <c r="X168" i="6"/>
  <c r="V165" i="6"/>
  <c r="V163" i="6"/>
  <c r="V162" i="6"/>
  <c r="V161" i="6"/>
  <c r="X159" i="6"/>
  <c r="X158" i="6"/>
  <c r="W157" i="6"/>
  <c r="X155" i="6"/>
  <c r="W150" i="6"/>
  <c r="X148" i="6"/>
  <c r="X146" i="6"/>
  <c r="W143" i="6"/>
  <c r="V142" i="6"/>
  <c r="X140" i="6"/>
  <c r="V139" i="6"/>
  <c r="X138" i="6"/>
  <c r="W137" i="6"/>
  <c r="W136" i="6"/>
  <c r="W135" i="6"/>
  <c r="W134" i="6"/>
  <c r="X133" i="6"/>
  <c r="X132" i="6"/>
  <c r="X131" i="6"/>
  <c r="X130" i="6"/>
  <c r="V128" i="6"/>
  <c r="V127" i="6"/>
  <c r="W126" i="6"/>
  <c r="X289" i="6"/>
  <c r="V262" i="6"/>
  <c r="U229" i="6"/>
  <c r="X198" i="6"/>
  <c r="U182" i="6"/>
  <c r="W180" i="6"/>
  <c r="X177" i="6"/>
  <c r="V172" i="6"/>
  <c r="W164" i="6"/>
  <c r="V118" i="6"/>
  <c r="V116" i="6"/>
  <c r="X103" i="6"/>
  <c r="V101" i="6"/>
  <c r="V94" i="6"/>
  <c r="W91" i="6"/>
  <c r="X87" i="6"/>
  <c r="U84" i="6"/>
  <c r="X81" i="6"/>
  <c r="U80" i="6"/>
  <c r="X77" i="6"/>
  <c r="U74" i="6"/>
  <c r="V72" i="6"/>
  <c r="V70" i="6"/>
  <c r="W66" i="6"/>
  <c r="X62" i="6"/>
  <c r="U61" i="6"/>
  <c r="U58" i="6"/>
  <c r="V235" i="6"/>
  <c r="V225" i="6"/>
  <c r="V224" i="6"/>
  <c r="W223" i="6"/>
  <c r="V214" i="6"/>
  <c r="X197" i="6"/>
  <c r="X196" i="6"/>
  <c r="W195" i="6"/>
  <c r="X192" i="6"/>
  <c r="W191" i="6"/>
  <c r="W187" i="6"/>
  <c r="W176" i="6"/>
  <c r="W174" i="6"/>
  <c r="W173" i="6"/>
  <c r="X169" i="6"/>
  <c r="W168" i="6"/>
  <c r="X160" i="6"/>
  <c r="W159" i="6"/>
  <c r="X154" i="6"/>
  <c r="X151" i="6"/>
  <c r="V149" i="6"/>
  <c r="W142" i="6"/>
  <c r="V136" i="6"/>
  <c r="W132" i="6"/>
  <c r="W128" i="6"/>
  <c r="X120" i="6"/>
  <c r="W119" i="6"/>
  <c r="W117" i="6"/>
  <c r="V113" i="6"/>
  <c r="V112" i="6"/>
  <c r="W110" i="6"/>
  <c r="W109" i="6"/>
  <c r="U100" i="6"/>
  <c r="V99" i="6"/>
  <c r="V97" i="6"/>
  <c r="W96" i="6"/>
  <c r="U94" i="6"/>
  <c r="W92" i="6"/>
  <c r="X88" i="6"/>
  <c r="U86" i="6"/>
  <c r="W83" i="6"/>
  <c r="W82" i="6"/>
  <c r="W79" i="6"/>
  <c r="W78" i="6"/>
  <c r="U76" i="6"/>
  <c r="V75" i="6"/>
  <c r="W73" i="6"/>
  <c r="U72" i="6"/>
  <c r="W71" i="6"/>
  <c r="U70" i="6"/>
  <c r="V247" i="6"/>
  <c r="X218" i="6"/>
  <c r="W217" i="6"/>
  <c r="X205" i="6"/>
  <c r="W204" i="6"/>
  <c r="W202" i="6"/>
  <c r="X188" i="6"/>
  <c r="W183" i="6"/>
  <c r="V178" i="6"/>
  <c r="X170" i="6"/>
  <c r="W158" i="6"/>
  <c r="V155" i="6"/>
  <c r="V150" i="6"/>
  <c r="V148" i="6"/>
  <c r="W146" i="6"/>
  <c r="X144" i="6"/>
  <c r="V143" i="6"/>
  <c r="V141" i="6"/>
  <c r="W140" i="6"/>
  <c r="V135" i="6"/>
  <c r="X134" i="6"/>
  <c r="W131" i="6"/>
  <c r="W127" i="6"/>
  <c r="X125" i="6"/>
  <c r="X124" i="6"/>
  <c r="X123" i="6"/>
  <c r="X121" i="6"/>
  <c r="W120" i="6"/>
  <c r="V119" i="6"/>
  <c r="V117" i="6"/>
  <c r="X115" i="6"/>
  <c r="X114" i="6"/>
  <c r="X111" i="6"/>
  <c r="V110" i="6"/>
  <c r="V109" i="6"/>
  <c r="V108" i="6"/>
  <c r="W106" i="6"/>
  <c r="W105" i="6"/>
  <c r="X104" i="6"/>
  <c r="X102" i="6"/>
  <c r="U99" i="6"/>
  <c r="V98" i="6"/>
  <c r="U97" i="6"/>
  <c r="V96" i="6"/>
  <c r="W95" i="6"/>
  <c r="V269" i="6"/>
  <c r="W243" i="6"/>
  <c r="V219" i="6"/>
  <c r="X213" i="6"/>
  <c r="X199" i="6"/>
  <c r="X184" i="6"/>
  <c r="W179" i="6"/>
  <c r="W166" i="6"/>
  <c r="X137" i="6"/>
  <c r="V134" i="6"/>
  <c r="X129" i="6"/>
  <c r="W124" i="6"/>
  <c r="W114" i="6"/>
  <c r="V106" i="6"/>
  <c r="W101" i="6"/>
  <c r="W89" i="6"/>
  <c r="U88" i="6"/>
  <c r="X86" i="6"/>
  <c r="V85" i="6"/>
  <c r="U83" i="6"/>
  <c r="V67" i="6"/>
  <c r="X66" i="6"/>
  <c r="U60" i="6"/>
  <c r="X55" i="6"/>
  <c r="W54" i="6"/>
  <c r="U52" i="6"/>
  <c r="W45" i="6"/>
  <c r="X41" i="6"/>
  <c r="U34" i="6"/>
  <c r="W20" i="6"/>
  <c r="W123" i="6"/>
  <c r="X122" i="6"/>
  <c r="W111" i="6"/>
  <c r="V104" i="6"/>
  <c r="U98" i="6"/>
  <c r="V95" i="6"/>
  <c r="W93" i="6"/>
  <c r="V92" i="6"/>
  <c r="X91" i="6"/>
  <c r="U87" i="6"/>
  <c r="U85" i="6"/>
  <c r="X80" i="6"/>
  <c r="U75" i="6"/>
  <c r="X74" i="6"/>
  <c r="V73" i="6"/>
  <c r="W72" i="6"/>
  <c r="V71" i="6"/>
  <c r="X69" i="6"/>
  <c r="V66" i="6"/>
  <c r="X65" i="6"/>
  <c r="X63" i="6"/>
  <c r="V59" i="6"/>
  <c r="X56" i="6"/>
  <c r="U54" i="6"/>
  <c r="V51" i="6"/>
  <c r="V49" i="6"/>
  <c r="W48" i="6"/>
  <c r="V46" i="6"/>
  <c r="W42" i="6"/>
  <c r="U40" i="6"/>
  <c r="X38" i="6"/>
  <c r="V36" i="6"/>
  <c r="U33" i="6"/>
  <c r="V31" i="6"/>
  <c r="W30" i="6"/>
  <c r="V28" i="6"/>
  <c r="V25" i="6"/>
  <c r="V23" i="6"/>
  <c r="W130" i="6"/>
  <c r="X126" i="6"/>
  <c r="W121" i="6"/>
  <c r="W118" i="6"/>
  <c r="W116" i="6"/>
  <c r="W102" i="6"/>
  <c r="X100" i="6"/>
  <c r="U96" i="6"/>
  <c r="W94" i="6"/>
  <c r="V93" i="6"/>
  <c r="X90" i="6"/>
  <c r="X84" i="6"/>
  <c r="U81" i="6"/>
  <c r="V79" i="6"/>
  <c r="V78" i="6"/>
  <c r="U77" i="6"/>
  <c r="X76" i="6"/>
  <c r="U73" i="6"/>
  <c r="U71" i="6"/>
  <c r="W69" i="6"/>
  <c r="W68" i="6"/>
  <c r="U65" i="6"/>
  <c r="W63" i="6"/>
  <c r="U59" i="6"/>
  <c r="X57" i="6"/>
  <c r="W56" i="6"/>
  <c r="X52" i="6"/>
  <c r="U51" i="6"/>
  <c r="V48" i="6"/>
  <c r="U46" i="6"/>
  <c r="X44" i="6"/>
  <c r="W43" i="6"/>
  <c r="V42" i="6"/>
  <c r="U41" i="6"/>
  <c r="X39" i="6"/>
  <c r="W38" i="6"/>
  <c r="V35" i="6"/>
  <c r="X34" i="6"/>
  <c r="V32" i="6"/>
  <c r="U31" i="6"/>
  <c r="V30" i="6"/>
  <c r="W29" i="6"/>
  <c r="T28" i="6"/>
  <c r="W26" i="6"/>
  <c r="W24" i="6"/>
  <c r="W145" i="6"/>
  <c r="W125" i="6"/>
  <c r="W115" i="6"/>
  <c r="X107" i="6"/>
  <c r="V105" i="6"/>
  <c r="W90" i="6"/>
  <c r="X89" i="6"/>
  <c r="W88" i="6"/>
  <c r="V84" i="6"/>
  <c r="V83" i="6"/>
  <c r="V82" i="6"/>
  <c r="U79" i="6"/>
  <c r="V68" i="6"/>
  <c r="W67" i="6"/>
  <c r="X64" i="6"/>
  <c r="U63" i="6"/>
  <c r="U62" i="6"/>
  <c r="X61" i="6"/>
  <c r="X60" i="6"/>
  <c r="X58" i="6"/>
  <c r="W57" i="6"/>
  <c r="U56" i="6"/>
  <c r="X54" i="6"/>
  <c r="U53" i="6"/>
  <c r="V52" i="6"/>
  <c r="U50" i="6"/>
  <c r="U48" i="6"/>
  <c r="V47" i="6"/>
  <c r="X45" i="6"/>
  <c r="W44" i="6"/>
  <c r="V43" i="6"/>
  <c r="X40" i="6"/>
  <c r="W39" i="6"/>
  <c r="X37" i="6"/>
  <c r="U35" i="6"/>
  <c r="V34" i="6"/>
  <c r="X33" i="6"/>
  <c r="U32" i="6"/>
  <c r="U30" i="6"/>
  <c r="S28" i="6"/>
  <c r="O83" i="6"/>
  <c r="O80" i="6" s="1"/>
  <c r="Q80" i="6" s="1"/>
  <c r="O84" i="6"/>
  <c r="O78" i="6" s="1"/>
  <c r="Q78" i="6" s="1"/>
  <c r="X30" i="6"/>
  <c r="W36" i="6"/>
  <c r="V40" i="6"/>
  <c r="U44" i="6"/>
  <c r="X48" i="6"/>
  <c r="W51" i="6"/>
  <c r="V54" i="6"/>
  <c r="V60" i="6"/>
  <c r="V64" i="6"/>
  <c r="U68" i="6"/>
  <c r="X71" i="6"/>
  <c r="X73" i="6"/>
  <c r="X75" i="6"/>
  <c r="W86" i="6"/>
  <c r="V89" i="6"/>
  <c r="U90" i="6"/>
  <c r="X92" i="6"/>
  <c r="X93" i="6"/>
  <c r="X98" i="6"/>
  <c r="O97" i="6"/>
  <c r="O96" i="6" s="1"/>
  <c r="O100" i="6"/>
  <c r="O98" i="6" s="1"/>
  <c r="O95" i="6" s="1"/>
  <c r="V107" i="6"/>
  <c r="V115" i="6"/>
  <c r="V125" i="6"/>
  <c r="X135" i="6"/>
  <c r="X142" i="6"/>
  <c r="W153" i="6"/>
  <c r="X23" i="6"/>
  <c r="X25" i="6"/>
  <c r="W27" i="6"/>
  <c r="X28" i="6"/>
  <c r="X31" i="6"/>
  <c r="W33" i="6"/>
  <c r="W37" i="6"/>
  <c r="V39" i="6"/>
  <c r="U43" i="6"/>
  <c r="X46" i="6"/>
  <c r="X49" i="6"/>
  <c r="V57" i="6"/>
  <c r="W58" i="6"/>
  <c r="W60" i="6"/>
  <c r="W61" i="6"/>
  <c r="U69" i="6"/>
  <c r="V76" i="6"/>
  <c r="X85" i="6"/>
  <c r="V90" i="6"/>
  <c r="U93" i="6"/>
  <c r="U95" i="6"/>
  <c r="W99" i="6"/>
  <c r="V100" i="6"/>
  <c r="V102" i="6"/>
  <c r="W103" i="6"/>
  <c r="X106" i="6"/>
  <c r="W107" i="6"/>
  <c r="X108" i="6"/>
  <c r="X117" i="6"/>
  <c r="X119" i="6"/>
  <c r="V126" i="6"/>
  <c r="V130" i="6"/>
  <c r="W133" i="6"/>
  <c r="W138" i="6"/>
  <c r="W139" i="6"/>
  <c r="W34" i="6"/>
  <c r="V38" i="6"/>
  <c r="U42" i="6"/>
  <c r="W52" i="6"/>
  <c r="V56" i="6"/>
  <c r="V63" i="6"/>
  <c r="V65" i="6"/>
  <c r="X67" i="6"/>
  <c r="V69" i="6"/>
  <c r="W76" i="6"/>
  <c r="W77" i="6"/>
  <c r="W81" i="6"/>
  <c r="X82" i="6"/>
  <c r="X83" i="6"/>
  <c r="V91" i="6"/>
  <c r="W97" i="6"/>
  <c r="X99" i="6"/>
  <c r="W112" i="6"/>
  <c r="W113" i="6"/>
  <c r="V122" i="6"/>
  <c r="V123" i="6"/>
  <c r="X128" i="6"/>
  <c r="X136" i="6"/>
  <c r="X139" i="6"/>
  <c r="X141" i="6"/>
  <c r="X143" i="6"/>
  <c r="W167" i="6"/>
  <c r="X24" i="6"/>
  <c r="X26" i="6"/>
  <c r="Q28" i="6"/>
  <c r="R28" i="6" s="1"/>
  <c r="G28" i="6" s="1"/>
  <c r="X29" i="6"/>
  <c r="W32" i="6"/>
  <c r="W35" i="6"/>
  <c r="V41" i="6"/>
  <c r="U45" i="6"/>
  <c r="X47" i="6"/>
  <c r="W50" i="6"/>
  <c r="W53" i="6"/>
  <c r="V55" i="6"/>
  <c r="O62" i="6"/>
  <c r="U64" i="6"/>
  <c r="W65" i="6"/>
  <c r="U67" i="6"/>
  <c r="X68" i="6"/>
  <c r="W75" i="6"/>
  <c r="X78" i="6"/>
  <c r="X79" i="6"/>
  <c r="Q82" i="6"/>
  <c r="V86" i="6"/>
  <c r="W87" i="6"/>
  <c r="U89" i="6"/>
  <c r="X96" i="6"/>
  <c r="X109" i="6"/>
  <c r="X110" i="6"/>
  <c r="X112" i="6"/>
  <c r="V114" i="6"/>
  <c r="W122" i="6"/>
  <c r="V124" i="6"/>
  <c r="V129" i="6"/>
  <c r="V137" i="6"/>
  <c r="W147" i="6"/>
  <c r="W177" i="6"/>
  <c r="U181" i="6"/>
  <c r="U183" i="6"/>
  <c r="V184" i="6"/>
  <c r="V199" i="6"/>
  <c r="W203" i="6"/>
  <c r="X211" i="6"/>
  <c r="X212" i="6"/>
  <c r="V213" i="6"/>
  <c r="X227" i="6"/>
  <c r="X97" i="6"/>
  <c r="W100" i="6"/>
  <c r="V111" i="6"/>
  <c r="O113" i="6"/>
  <c r="X113" i="6"/>
  <c r="V121" i="6"/>
  <c r="W129" i="6"/>
  <c r="V131" i="6"/>
  <c r="V140" i="6"/>
  <c r="V144" i="6"/>
  <c r="V146" i="6"/>
  <c r="O151" i="6"/>
  <c r="O153" i="6"/>
  <c r="V152" i="6"/>
  <c r="X153" i="6"/>
  <c r="W156" i="6"/>
  <c r="X167" i="6"/>
  <c r="V170" i="6"/>
  <c r="X172" i="6"/>
  <c r="W184" i="6"/>
  <c r="V188" i="6"/>
  <c r="W189" i="6"/>
  <c r="W193" i="6"/>
  <c r="X200" i="6"/>
  <c r="X201" i="6"/>
  <c r="X203" i="6"/>
  <c r="V205" i="6"/>
  <c r="W206" i="6"/>
  <c r="X210" i="6"/>
  <c r="W215" i="6"/>
  <c r="V218" i="6"/>
  <c r="W248" i="6"/>
  <c r="X70" i="6"/>
  <c r="X72" i="6"/>
  <c r="W74" i="6"/>
  <c r="U78" i="6"/>
  <c r="W80" i="6"/>
  <c r="U82" i="6"/>
  <c r="Q84" i="6"/>
  <c r="W84" i="6"/>
  <c r="V88" i="6"/>
  <c r="U92" i="6"/>
  <c r="X94" i="6"/>
  <c r="X101" i="6"/>
  <c r="W104" i="6"/>
  <c r="O107" i="6"/>
  <c r="O106" i="6" s="1"/>
  <c r="X116" i="6"/>
  <c r="X118" i="6"/>
  <c r="V120" i="6"/>
  <c r="O220" i="6"/>
  <c r="P220" i="6" s="1"/>
  <c r="O219" i="6"/>
  <c r="O173" i="6"/>
  <c r="O172" i="6"/>
  <c r="O171" i="6"/>
  <c r="P171" i="6" s="1"/>
  <c r="O170" i="6"/>
  <c r="O221" i="6"/>
  <c r="O217" i="6"/>
  <c r="O214" i="6"/>
  <c r="O168" i="6"/>
  <c r="O137" i="6"/>
  <c r="O136" i="6"/>
  <c r="O135" i="6"/>
  <c r="O134" i="6"/>
  <c r="O218" i="6"/>
  <c r="O213" i="6"/>
  <c r="O176" i="6"/>
  <c r="O174" i="6"/>
  <c r="O169" i="6"/>
  <c r="O215" i="6"/>
  <c r="O212" i="6"/>
  <c r="O129" i="6"/>
  <c r="V132" i="6"/>
  <c r="O133" i="6"/>
  <c r="X145" i="6"/>
  <c r="V151" i="6"/>
  <c r="V154" i="6"/>
  <c r="V159" i="6"/>
  <c r="V160" i="6"/>
  <c r="X162" i="6"/>
  <c r="X163" i="6"/>
  <c r="V169" i="6"/>
  <c r="X171" i="6"/>
  <c r="V173" i="6"/>
  <c r="X175" i="6"/>
  <c r="W178" i="6"/>
  <c r="U180" i="6"/>
  <c r="W181" i="6"/>
  <c r="W188" i="6"/>
  <c r="V192" i="6"/>
  <c r="V196" i="6"/>
  <c r="V197" i="6"/>
  <c r="W205" i="6"/>
  <c r="X209" i="6"/>
  <c r="W222" i="6"/>
  <c r="V223" i="6"/>
  <c r="X230" i="6"/>
  <c r="X234" i="6"/>
  <c r="W59" i="6"/>
  <c r="V62" i="6"/>
  <c r="U66" i="6"/>
  <c r="V77" i="6"/>
  <c r="V81" i="6"/>
  <c r="W85" i="6"/>
  <c r="V87" i="6"/>
  <c r="U91" i="6"/>
  <c r="X95" i="6"/>
  <c r="W98" i="6"/>
  <c r="V103" i="6"/>
  <c r="O104" i="6"/>
  <c r="X105" i="6"/>
  <c r="W108" i="6"/>
  <c r="X127" i="6"/>
  <c r="O130" i="6"/>
  <c r="P130" i="6" s="1"/>
  <c r="V133" i="6"/>
  <c r="V138" i="6"/>
  <c r="W141" i="6"/>
  <c r="W149" i="6"/>
  <c r="X150" i="6"/>
  <c r="W151" i="6"/>
  <c r="X152" i="6"/>
  <c r="X161" i="6"/>
  <c r="X165" i="6"/>
  <c r="W169" i="6"/>
  <c r="V177" i="6"/>
  <c r="V180" i="6"/>
  <c r="W185" i="6"/>
  <c r="W192" i="6"/>
  <c r="W196" i="6"/>
  <c r="V198" i="6"/>
  <c r="O204" i="6"/>
  <c r="O205" i="6"/>
  <c r="O202" i="6"/>
  <c r="O203" i="6"/>
  <c r="P203" i="6" s="1"/>
  <c r="X208" i="6"/>
  <c r="W212" i="6"/>
  <c r="O216" i="6"/>
  <c r="X228" i="6"/>
  <c r="W233" i="6"/>
  <c r="W244" i="6"/>
  <c r="X258" i="6"/>
  <c r="M289" i="6"/>
  <c r="O288" i="6"/>
  <c r="O296" i="6"/>
  <c r="O291" i="6"/>
  <c r="X298" i="6"/>
  <c r="O469" i="6"/>
  <c r="M470" i="6"/>
  <c r="O470" i="6" s="1"/>
  <c r="W144" i="6"/>
  <c r="W154" i="6"/>
  <c r="V158" i="6"/>
  <c r="V168" i="6"/>
  <c r="V179" i="6"/>
  <c r="V183" i="6"/>
  <c r="O184" i="6"/>
  <c r="O180" i="6" s="1"/>
  <c r="V187" i="6"/>
  <c r="V191" i="6"/>
  <c r="V195" i="6"/>
  <c r="V204" i="6"/>
  <c r="P205" i="6"/>
  <c r="W213" i="6"/>
  <c r="V217" i="6"/>
  <c r="X220" i="6"/>
  <c r="V221" i="6"/>
  <c r="X222" i="6"/>
  <c r="X226" i="6"/>
  <c r="U227" i="6"/>
  <c r="W229" i="6"/>
  <c r="V231" i="6"/>
  <c r="V232" i="6"/>
  <c r="X233" i="6"/>
  <c r="X241" i="6"/>
  <c r="U245" i="6"/>
  <c r="X254" i="6"/>
  <c r="W257" i="6"/>
  <c r="X265" i="6"/>
  <c r="W148" i="6"/>
  <c r="W155" i="6"/>
  <c r="V157" i="6"/>
  <c r="O161" i="6"/>
  <c r="O160" i="6"/>
  <c r="O159" i="6"/>
  <c r="X164" i="6"/>
  <c r="X166" i="6"/>
  <c r="X174" i="6"/>
  <c r="X176" i="6"/>
  <c r="V182" i="6"/>
  <c r="V186" i="6"/>
  <c r="V190" i="6"/>
  <c r="V194" i="6"/>
  <c r="X202" i="6"/>
  <c r="V207" i="6"/>
  <c r="W214" i="6"/>
  <c r="V216" i="6"/>
  <c r="X219" i="6"/>
  <c r="X224" i="6"/>
  <c r="X225" i="6"/>
  <c r="U226" i="6"/>
  <c r="X229" i="6"/>
  <c r="W232" i="6"/>
  <c r="X235" i="6"/>
  <c r="V236" i="6"/>
  <c r="W237" i="6"/>
  <c r="W242" i="6"/>
  <c r="X247" i="6"/>
  <c r="X252" i="6"/>
  <c r="V264" i="6"/>
  <c r="W267" i="6"/>
  <c r="U282" i="6"/>
  <c r="P117" i="6"/>
  <c r="P119" i="6"/>
  <c r="V147" i="6"/>
  <c r="X149" i="6"/>
  <c r="W152" i="6"/>
  <c r="V156" i="6"/>
  <c r="O158" i="6"/>
  <c r="X178" i="6"/>
  <c r="V181" i="6"/>
  <c r="V185" i="6"/>
  <c r="V189" i="6"/>
  <c r="V193" i="6"/>
  <c r="O195" i="6"/>
  <c r="V206" i="6"/>
  <c r="P207" i="6"/>
  <c r="V215" i="6"/>
  <c r="U224" i="6"/>
  <c r="U225" i="6"/>
  <c r="W228" i="6"/>
  <c r="V238" i="6"/>
  <c r="W239" i="6"/>
  <c r="V241" i="6"/>
  <c r="X242" i="6"/>
  <c r="U243" i="6"/>
  <c r="V244" i="6"/>
  <c r="W245" i="6"/>
  <c r="U249" i="6"/>
  <c r="X255" i="6"/>
  <c r="X237" i="6"/>
  <c r="V243" i="6"/>
  <c r="U247" i="6"/>
  <c r="X248" i="6"/>
  <c r="X249" i="6"/>
  <c r="U250" i="6"/>
  <c r="W251" i="6"/>
  <c r="X257" i="6"/>
  <c r="V261" i="6"/>
  <c r="W262" i="6"/>
  <c r="W268" i="6"/>
  <c r="W285" i="6"/>
  <c r="U294" i="6"/>
  <c r="M302" i="6"/>
  <c r="O301" i="6"/>
  <c r="N332" i="6"/>
  <c r="O332" i="6" s="1"/>
  <c r="O333" i="6"/>
  <c r="W240" i="6"/>
  <c r="V246" i="6"/>
  <c r="X251" i="6"/>
  <c r="V259" i="6"/>
  <c r="W260" i="6"/>
  <c r="W261" i="6"/>
  <c r="X263" i="6"/>
  <c r="W266" i="6"/>
  <c r="W282" i="6"/>
  <c r="M306" i="6"/>
  <c r="O305" i="6"/>
  <c r="M326" i="6"/>
  <c r="O324" i="6"/>
  <c r="P201" i="6"/>
  <c r="V239" i="6"/>
  <c r="W241" i="6"/>
  <c r="V245" i="6"/>
  <c r="W250" i="6"/>
  <c r="V252" i="6"/>
  <c r="W253" i="6"/>
  <c r="M319" i="6"/>
  <c r="O318" i="6"/>
  <c r="X250" i="6"/>
  <c r="W252" i="6"/>
  <c r="X260" i="6"/>
  <c r="W264" i="6"/>
  <c r="W269" i="6"/>
  <c r="V274" i="6"/>
  <c r="N315" i="6"/>
  <c r="O315" i="6" s="1"/>
  <c r="M337" i="6"/>
  <c r="O337" i="6" s="1"/>
  <c r="P338" i="6"/>
  <c r="W331" i="6" s="1"/>
  <c r="O421" i="6"/>
  <c r="M420" i="6"/>
  <c r="O420" i="6" s="1"/>
  <c r="X262" i="6"/>
  <c r="X267" i="6"/>
  <c r="O272" i="6"/>
  <c r="U277" i="6"/>
  <c r="W280" i="6"/>
  <c r="X300" i="6"/>
  <c r="O409" i="6"/>
  <c r="O417" i="6"/>
  <c r="O459" i="6"/>
  <c r="P321" i="6"/>
  <c r="W310" i="6" s="1"/>
  <c r="Q399" i="6"/>
  <c r="O401" i="6"/>
  <c r="Q401" i="6" s="1"/>
  <c r="O414" i="6"/>
  <c r="O427" i="6"/>
  <c r="O461" i="6"/>
  <c r="M462" i="6"/>
  <c r="O462" i="6" s="1"/>
  <c r="O457" i="6"/>
  <c r="P474" i="6"/>
  <c r="P476" i="6"/>
  <c r="Q404" i="6"/>
  <c r="Q415" i="6"/>
  <c r="Q132" i="13"/>
  <c r="Q155" i="13"/>
  <c r="P155" i="13"/>
  <c r="U155" i="13" s="1"/>
  <c r="P811" i="13"/>
  <c r="P1048" i="13"/>
  <c r="U1047" i="13" s="1"/>
  <c r="Q131" i="13"/>
  <c r="Q149" i="13"/>
  <c r="G125" i="1" s="1"/>
  <c r="H125" i="1" s="1"/>
  <c r="P854" i="13"/>
  <c r="P291" i="13"/>
  <c r="Q134" i="13"/>
  <c r="R134" i="13" s="1"/>
  <c r="O675" i="13"/>
  <c r="O764" i="13"/>
  <c r="O728" i="13"/>
  <c r="O1135" i="13"/>
  <c r="Q1135" i="13" s="1"/>
  <c r="M723" i="13"/>
  <c r="M722" i="13" s="1"/>
  <c r="O722" i="13" s="1"/>
  <c r="Q722" i="13" s="1"/>
  <c r="N727" i="13"/>
  <c r="E61" i="10"/>
  <c r="X482" i="6"/>
  <c r="U481" i="6"/>
  <c r="V480" i="6"/>
  <c r="W479" i="6"/>
  <c r="X478" i="6"/>
  <c r="T477" i="6"/>
  <c r="X476" i="6"/>
  <c r="S476" i="6"/>
  <c r="W475" i="6"/>
  <c r="V474" i="6"/>
  <c r="T473" i="6"/>
  <c r="X472" i="6"/>
  <c r="U470" i="6"/>
  <c r="V469" i="6"/>
  <c r="X468" i="6"/>
  <c r="V465" i="6"/>
  <c r="U462" i="6"/>
  <c r="V461" i="6"/>
  <c r="X460" i="6"/>
  <c r="X459" i="6"/>
  <c r="U457" i="6"/>
  <c r="V456" i="6"/>
  <c r="X455" i="6"/>
  <c r="U454" i="6"/>
  <c r="V453" i="6"/>
  <c r="W452" i="6"/>
  <c r="X451" i="6"/>
  <c r="T450" i="6"/>
  <c r="W449" i="6"/>
  <c r="V448" i="6"/>
  <c r="T447" i="6"/>
  <c r="X446" i="6"/>
  <c r="S446" i="6"/>
  <c r="W445" i="6"/>
  <c r="V444" i="6"/>
  <c r="V443" i="6"/>
  <c r="X442" i="6"/>
  <c r="V441" i="6"/>
  <c r="X440" i="6"/>
  <c r="V439" i="6"/>
  <c r="X438" i="6"/>
  <c r="V437" i="6"/>
  <c r="W482" i="6"/>
  <c r="X481" i="6"/>
  <c r="U480" i="6"/>
  <c r="V479" i="6"/>
  <c r="W478" i="6"/>
  <c r="X477" i="6"/>
  <c r="S477" i="6"/>
  <c r="W476" i="6"/>
  <c r="V475" i="6"/>
  <c r="T474" i="6"/>
  <c r="X473" i="6"/>
  <c r="S473" i="6"/>
  <c r="V472" i="6"/>
  <c r="X471" i="6"/>
  <c r="U469" i="6"/>
  <c r="V468" i="6"/>
  <c r="X467" i="6"/>
  <c r="X466" i="6"/>
  <c r="U465" i="6"/>
  <c r="X464" i="6"/>
  <c r="X463" i="6"/>
  <c r="U461" i="6"/>
  <c r="V460" i="6"/>
  <c r="V459" i="6"/>
  <c r="X458" i="6"/>
  <c r="U456" i="6"/>
  <c r="V455" i="6"/>
  <c r="X454" i="6"/>
  <c r="U453" i="6"/>
  <c r="V452" i="6"/>
  <c r="W451" i="6"/>
  <c r="X450" i="6"/>
  <c r="S450" i="6"/>
  <c r="V449" i="6"/>
  <c r="T448" i="6"/>
  <c r="X447" i="6"/>
  <c r="S447" i="6"/>
  <c r="W446" i="6"/>
  <c r="V445" i="6"/>
  <c r="T444" i="6"/>
  <c r="U443" i="6"/>
  <c r="W442" i="6"/>
  <c r="U441" i="6"/>
  <c r="W440" i="6"/>
  <c r="U439" i="6"/>
  <c r="W438" i="6"/>
  <c r="U437" i="6"/>
  <c r="W436" i="6"/>
  <c r="U435" i="6"/>
  <c r="W434" i="6"/>
  <c r="X433" i="6"/>
  <c r="U432" i="6"/>
  <c r="V431" i="6"/>
  <c r="X430" i="6"/>
  <c r="W429" i="6"/>
  <c r="U482" i="6"/>
  <c r="W480" i="6"/>
  <c r="U478" i="6"/>
  <c r="V476" i="6"/>
  <c r="T475" i="6"/>
  <c r="W474" i="6"/>
  <c r="V473" i="6"/>
  <c r="V471" i="6"/>
  <c r="V470" i="6"/>
  <c r="U468" i="6"/>
  <c r="V466" i="6"/>
  <c r="X465" i="6"/>
  <c r="U464" i="6"/>
  <c r="X462" i="6"/>
  <c r="V458" i="6"/>
  <c r="V457" i="6"/>
  <c r="U455" i="6"/>
  <c r="X453" i="6"/>
  <c r="V451" i="6"/>
  <c r="X449" i="6"/>
  <c r="X448" i="6"/>
  <c r="W447" i="6"/>
  <c r="V442" i="6"/>
  <c r="W441" i="6"/>
  <c r="X439" i="6"/>
  <c r="X436" i="6"/>
  <c r="X435" i="6"/>
  <c r="X434" i="6"/>
  <c r="W433" i="6"/>
  <c r="W432" i="6"/>
  <c r="W431" i="6"/>
  <c r="W430" i="6"/>
  <c r="U428" i="6"/>
  <c r="W427" i="6"/>
  <c r="U426" i="6"/>
  <c r="X425" i="6"/>
  <c r="U424" i="6"/>
  <c r="V423" i="6"/>
  <c r="X422" i="6"/>
  <c r="W421" i="6"/>
  <c r="U420" i="6"/>
  <c r="W419" i="6"/>
  <c r="X418" i="6"/>
  <c r="V417" i="6"/>
  <c r="U416" i="6"/>
  <c r="W415" i="6"/>
  <c r="V414" i="6"/>
  <c r="V413" i="6"/>
  <c r="X412" i="6"/>
  <c r="V411" i="6"/>
  <c r="W410" i="6"/>
  <c r="U409" i="6"/>
  <c r="W481" i="6"/>
  <c r="X479" i="6"/>
  <c r="W477" i="6"/>
  <c r="T476" i="6"/>
  <c r="S475" i="6"/>
  <c r="S474" i="6"/>
  <c r="U471" i="6"/>
  <c r="U466" i="6"/>
  <c r="V463" i="6"/>
  <c r="V462" i="6"/>
  <c r="U460" i="6"/>
  <c r="U458" i="6"/>
  <c r="W453" i="6"/>
  <c r="U451" i="6"/>
  <c r="T449" i="6"/>
  <c r="W448" i="6"/>
  <c r="V447" i="6"/>
  <c r="X445" i="6"/>
  <c r="X444" i="6"/>
  <c r="U442" i="6"/>
  <c r="V440" i="6"/>
  <c r="W439" i="6"/>
  <c r="X437" i="6"/>
  <c r="V436" i="6"/>
  <c r="W435" i="6"/>
  <c r="V434" i="6"/>
  <c r="V433" i="6"/>
  <c r="V432" i="6"/>
  <c r="U431" i="6"/>
  <c r="V430" i="6"/>
  <c r="X429" i="6"/>
  <c r="X428" i="6"/>
  <c r="V427" i="6"/>
  <c r="X426" i="6"/>
  <c r="W425" i="6"/>
  <c r="X424" i="6"/>
  <c r="U423" i="6"/>
  <c r="W422" i="6"/>
  <c r="V421" i="6"/>
  <c r="X420" i="6"/>
  <c r="V419" i="6"/>
  <c r="W418" i="6"/>
  <c r="U417" i="6"/>
  <c r="X416" i="6"/>
  <c r="V415" i="6"/>
  <c r="U414" i="6"/>
  <c r="U413" i="6"/>
  <c r="W412" i="6"/>
  <c r="U411" i="6"/>
  <c r="V410" i="6"/>
  <c r="V481" i="6"/>
  <c r="U479" i="6"/>
  <c r="V477" i="6"/>
  <c r="X474" i="6"/>
  <c r="X470" i="6"/>
  <c r="V467" i="6"/>
  <c r="V464" i="6"/>
  <c r="U459" i="6"/>
  <c r="V450" i="6"/>
  <c r="S449" i="6"/>
  <c r="T445" i="6"/>
  <c r="S444" i="6"/>
  <c r="W443" i="6"/>
  <c r="X441" i="6"/>
  <c r="V435" i="6"/>
  <c r="U429" i="6"/>
  <c r="W428" i="6"/>
  <c r="U427" i="6"/>
  <c r="X423" i="6"/>
  <c r="X419" i="6"/>
  <c r="X417" i="6"/>
  <c r="V416" i="6"/>
  <c r="W413" i="6"/>
  <c r="U410" i="6"/>
  <c r="W473" i="6"/>
  <c r="U467" i="6"/>
  <c r="U463" i="6"/>
  <c r="X457" i="6"/>
  <c r="W454" i="6"/>
  <c r="S448" i="6"/>
  <c r="S445" i="6"/>
  <c r="U440" i="6"/>
  <c r="V438" i="6"/>
  <c r="U434" i="6"/>
  <c r="U430" i="6"/>
  <c r="V428" i="6"/>
  <c r="V425" i="6"/>
  <c r="W423" i="6"/>
  <c r="W420" i="6"/>
  <c r="U419" i="6"/>
  <c r="V418" i="6"/>
  <c r="W417" i="6"/>
  <c r="X411" i="6"/>
  <c r="V408" i="6"/>
  <c r="X407" i="6"/>
  <c r="V406" i="6"/>
  <c r="X405" i="6"/>
  <c r="V404" i="6"/>
  <c r="V403" i="6"/>
  <c r="X402" i="6"/>
  <c r="W401" i="6"/>
  <c r="W400" i="6"/>
  <c r="V399" i="6"/>
  <c r="V398" i="6"/>
  <c r="W397" i="6"/>
  <c r="U396" i="6"/>
  <c r="X395" i="6"/>
  <c r="X394" i="6"/>
  <c r="X393" i="6"/>
  <c r="X392" i="6"/>
  <c r="U391" i="6"/>
  <c r="W390" i="6"/>
  <c r="U389" i="6"/>
  <c r="X388" i="6"/>
  <c r="W387" i="6"/>
  <c r="X386" i="6"/>
  <c r="U385" i="6"/>
  <c r="V384" i="6"/>
  <c r="X383" i="6"/>
  <c r="U382" i="6"/>
  <c r="V381" i="6"/>
  <c r="W380" i="6"/>
  <c r="U379" i="6"/>
  <c r="X378" i="6"/>
  <c r="V377" i="6"/>
  <c r="X376" i="6"/>
  <c r="W375" i="6"/>
  <c r="X374" i="6"/>
  <c r="V373" i="6"/>
  <c r="U372" i="6"/>
  <c r="V371" i="6"/>
  <c r="W370" i="6"/>
  <c r="X369" i="6"/>
  <c r="U368" i="6"/>
  <c r="U367" i="6"/>
  <c r="U366" i="6"/>
  <c r="U365" i="6"/>
  <c r="U364" i="6"/>
  <c r="U363" i="6"/>
  <c r="V482" i="6"/>
  <c r="X475" i="6"/>
  <c r="U472" i="6"/>
  <c r="X461" i="6"/>
  <c r="X456" i="6"/>
  <c r="U452" i="6"/>
  <c r="W450" i="6"/>
  <c r="T446" i="6"/>
  <c r="W444" i="6"/>
  <c r="X443" i="6"/>
  <c r="W437" i="6"/>
  <c r="U436" i="6"/>
  <c r="X431" i="6"/>
  <c r="V429" i="6"/>
  <c r="X427" i="6"/>
  <c r="V426" i="6"/>
  <c r="V424" i="6"/>
  <c r="U422" i="6"/>
  <c r="U421" i="6"/>
  <c r="W416" i="6"/>
  <c r="U415" i="6"/>
  <c r="W414" i="6"/>
  <c r="X413" i="6"/>
  <c r="U412" i="6"/>
  <c r="X410" i="6"/>
  <c r="W409" i="6"/>
  <c r="X408" i="6"/>
  <c r="V407" i="6"/>
  <c r="X406" i="6"/>
  <c r="V405" i="6"/>
  <c r="X404" i="6"/>
  <c r="X403" i="6"/>
  <c r="V402" i="6"/>
  <c r="U401" i="6"/>
  <c r="U400" i="6"/>
  <c r="X399" i="6"/>
  <c r="X398" i="6"/>
  <c r="U397" i="6"/>
  <c r="W396" i="6"/>
  <c r="V395" i="6"/>
  <c r="V394" i="6"/>
  <c r="V393" i="6"/>
  <c r="V392" i="6"/>
  <c r="W391" i="6"/>
  <c r="U390" i="6"/>
  <c r="W389" i="6"/>
  <c r="V388" i="6"/>
  <c r="U387" i="6"/>
  <c r="V386" i="6"/>
  <c r="W385" i="6"/>
  <c r="X384" i="6"/>
  <c r="V383" i="6"/>
  <c r="W382" i="6"/>
  <c r="X381" i="6"/>
  <c r="X469" i="6"/>
  <c r="V454" i="6"/>
  <c r="X452" i="6"/>
  <c r="W426" i="6"/>
  <c r="X421" i="6"/>
  <c r="X415" i="6"/>
  <c r="W407" i="6"/>
  <c r="W406" i="6"/>
  <c r="U405" i="6"/>
  <c r="U403" i="6"/>
  <c r="U398" i="6"/>
  <c r="X397" i="6"/>
  <c r="U394" i="6"/>
  <c r="V391" i="6"/>
  <c r="V389" i="6"/>
  <c r="W388" i="6"/>
  <c r="V387" i="6"/>
  <c r="V385" i="6"/>
  <c r="W383" i="6"/>
  <c r="U381" i="6"/>
  <c r="U378" i="6"/>
  <c r="W377" i="6"/>
  <c r="W376" i="6"/>
  <c r="W374" i="6"/>
  <c r="V372" i="6"/>
  <c r="U371" i="6"/>
  <c r="W369" i="6"/>
  <c r="W368" i="6"/>
  <c r="V367" i="6"/>
  <c r="X364" i="6"/>
  <c r="V363" i="6"/>
  <c r="V362" i="6"/>
  <c r="W361" i="6"/>
  <c r="V360" i="6"/>
  <c r="V358" i="6"/>
  <c r="W357" i="6"/>
  <c r="X356" i="6"/>
  <c r="V354" i="6"/>
  <c r="W353" i="6"/>
  <c r="X352" i="6"/>
  <c r="V350" i="6"/>
  <c r="W349" i="6"/>
  <c r="X348" i="6"/>
  <c r="V346" i="6"/>
  <c r="W345" i="6"/>
  <c r="X344" i="6"/>
  <c r="V342" i="6"/>
  <c r="W341" i="6"/>
  <c r="X340" i="6"/>
  <c r="U338" i="6"/>
  <c r="V337" i="6"/>
  <c r="X336" i="6"/>
  <c r="U335" i="6"/>
  <c r="V334" i="6"/>
  <c r="V333" i="6"/>
  <c r="V331" i="6"/>
  <c r="V330" i="6"/>
  <c r="X329" i="6"/>
  <c r="U327" i="6"/>
  <c r="U326" i="6"/>
  <c r="V325" i="6"/>
  <c r="X324" i="6"/>
  <c r="U322" i="6"/>
  <c r="V321" i="6"/>
  <c r="X320" i="6"/>
  <c r="U318" i="6"/>
  <c r="V317" i="6"/>
  <c r="V316" i="6"/>
  <c r="V314" i="6"/>
  <c r="V313" i="6"/>
  <c r="X312" i="6"/>
  <c r="U310" i="6"/>
  <c r="U309" i="6"/>
  <c r="V308" i="6"/>
  <c r="X307" i="6"/>
  <c r="U305" i="6"/>
  <c r="V304" i="6"/>
  <c r="X303" i="6"/>
  <c r="U301" i="6"/>
  <c r="V300" i="6"/>
  <c r="V299" i="6"/>
  <c r="V297" i="6"/>
  <c r="V296" i="6"/>
  <c r="X295" i="6"/>
  <c r="U293" i="6"/>
  <c r="U292" i="6"/>
  <c r="V291" i="6"/>
  <c r="X290" i="6"/>
  <c r="U288" i="6"/>
  <c r="W287" i="6"/>
  <c r="X286" i="6"/>
  <c r="U285" i="6"/>
  <c r="V284" i="6"/>
  <c r="W283" i="6"/>
  <c r="X282" i="6"/>
  <c r="U281" i="6"/>
  <c r="V280" i="6"/>
  <c r="V279" i="6"/>
  <c r="X278" i="6"/>
  <c r="X277" i="6"/>
  <c r="X276" i="6"/>
  <c r="X275" i="6"/>
  <c r="V446" i="6"/>
  <c r="U425" i="6"/>
  <c r="W424" i="6"/>
  <c r="V420" i="6"/>
  <c r="U418" i="6"/>
  <c r="X414" i="6"/>
  <c r="V412" i="6"/>
  <c r="X409" i="6"/>
  <c r="U408" i="6"/>
  <c r="W404" i="6"/>
  <c r="W402" i="6"/>
  <c r="V401" i="6"/>
  <c r="V400" i="6"/>
  <c r="W399" i="6"/>
  <c r="X396" i="6"/>
  <c r="W395" i="6"/>
  <c r="U393" i="6"/>
  <c r="W392" i="6"/>
  <c r="V390" i="6"/>
  <c r="W386" i="6"/>
  <c r="U384" i="6"/>
  <c r="V382" i="6"/>
  <c r="V380" i="6"/>
  <c r="W379" i="6"/>
  <c r="W378" i="6"/>
  <c r="U376" i="6"/>
  <c r="V375" i="6"/>
  <c r="U374" i="6"/>
  <c r="W373" i="6"/>
  <c r="X372" i="6"/>
  <c r="X371" i="6"/>
  <c r="V370" i="6"/>
  <c r="U369" i="6"/>
  <c r="X366" i="6"/>
  <c r="V365" i="6"/>
  <c r="X362" i="6"/>
  <c r="U361" i="6"/>
  <c r="X360" i="6"/>
  <c r="V359" i="6"/>
  <c r="X358" i="6"/>
  <c r="V356" i="6"/>
  <c r="W355" i="6"/>
  <c r="X354" i="6"/>
  <c r="V352" i="6"/>
  <c r="W351" i="6"/>
  <c r="X350" i="6"/>
  <c r="V348" i="6"/>
  <c r="W347" i="6"/>
  <c r="X346" i="6"/>
  <c r="V344" i="6"/>
  <c r="W343" i="6"/>
  <c r="X342" i="6"/>
  <c r="V340" i="6"/>
  <c r="W339" i="6"/>
  <c r="X338" i="6"/>
  <c r="U336" i="6"/>
  <c r="V332" i="6"/>
  <c r="U329" i="6"/>
  <c r="V328" i="6"/>
  <c r="X327" i="6"/>
  <c r="X326" i="6"/>
  <c r="U324" i="6"/>
  <c r="V323" i="6"/>
  <c r="X322" i="6"/>
  <c r="U320" i="6"/>
  <c r="V319" i="6"/>
  <c r="X318" i="6"/>
  <c r="V315" i="6"/>
  <c r="U312" i="6"/>
  <c r="V311" i="6"/>
  <c r="X310" i="6"/>
  <c r="X309" i="6"/>
  <c r="U307" i="6"/>
  <c r="V306" i="6"/>
  <c r="X305" i="6"/>
  <c r="U303" i="6"/>
  <c r="V302" i="6"/>
  <c r="X301" i="6"/>
  <c r="V298" i="6"/>
  <c r="U295" i="6"/>
  <c r="X480" i="6"/>
  <c r="V478" i="6"/>
  <c r="V422" i="6"/>
  <c r="U407" i="6"/>
  <c r="X401" i="6"/>
  <c r="V396" i="6"/>
  <c r="X391" i="6"/>
  <c r="X387" i="6"/>
  <c r="W381" i="6"/>
  <c r="X380" i="6"/>
  <c r="X375" i="6"/>
  <c r="U370" i="6"/>
  <c r="V369" i="6"/>
  <c r="X368" i="6"/>
  <c r="W362" i="6"/>
  <c r="V357" i="6"/>
  <c r="X355" i="6"/>
  <c r="W354" i="6"/>
  <c r="V349" i="6"/>
  <c r="X347" i="6"/>
  <c r="W346" i="6"/>
  <c r="V341" i="6"/>
  <c r="X339" i="6"/>
  <c r="V338" i="6"/>
  <c r="X334" i="6"/>
  <c r="X332" i="6"/>
  <c r="U331" i="6"/>
  <c r="X330" i="6"/>
  <c r="V329" i="6"/>
  <c r="X325" i="6"/>
  <c r="V324" i="6"/>
  <c r="U319" i="6"/>
  <c r="X317" i="6"/>
  <c r="X315" i="6"/>
  <c r="U314" i="6"/>
  <c r="X313" i="6"/>
  <c r="V312" i="6"/>
  <c r="X308" i="6"/>
  <c r="V307" i="6"/>
  <c r="V409" i="6"/>
  <c r="W405" i="6"/>
  <c r="U392" i="6"/>
  <c r="X390" i="6"/>
  <c r="X385" i="6"/>
  <c r="U380" i="6"/>
  <c r="V378" i="6"/>
  <c r="U375" i="6"/>
  <c r="V374" i="6"/>
  <c r="W372" i="6"/>
  <c r="V368" i="6"/>
  <c r="X367" i="6"/>
  <c r="U362" i="6"/>
  <c r="X361" i="6"/>
  <c r="V355" i="6"/>
  <c r="X353" i="6"/>
  <c r="W352" i="6"/>
  <c r="V347" i="6"/>
  <c r="X345" i="6"/>
  <c r="W344" i="6"/>
  <c r="V339" i="6"/>
  <c r="X337" i="6"/>
  <c r="V336" i="6"/>
  <c r="U334" i="6"/>
  <c r="X333" i="6"/>
  <c r="U332" i="6"/>
  <c r="U330" i="6"/>
  <c r="X328" i="6"/>
  <c r="V327" i="6"/>
  <c r="U325" i="6"/>
  <c r="X323" i="6"/>
  <c r="V322" i="6"/>
  <c r="U317" i="6"/>
  <c r="X316" i="6"/>
  <c r="U315" i="6"/>
  <c r="U313" i="6"/>
  <c r="X311" i="6"/>
  <c r="V310" i="6"/>
  <c r="U308" i="6"/>
  <c r="X306" i="6"/>
  <c r="V305" i="6"/>
  <c r="U300" i="6"/>
  <c r="X299" i="6"/>
  <c r="U298" i="6"/>
  <c r="U296" i="6"/>
  <c r="X291" i="6"/>
  <c r="V290" i="6"/>
  <c r="V289" i="6"/>
  <c r="X288" i="6"/>
  <c r="V287" i="6"/>
  <c r="V286" i="6"/>
  <c r="V285" i="6"/>
  <c r="U284" i="6"/>
  <c r="X281" i="6"/>
  <c r="X280" i="6"/>
  <c r="U279" i="6"/>
  <c r="U278" i="6"/>
  <c r="W275" i="6"/>
  <c r="W274" i="6"/>
  <c r="V273" i="6"/>
  <c r="V272" i="6"/>
  <c r="V271" i="6"/>
  <c r="V270" i="6"/>
  <c r="W411" i="6"/>
  <c r="U404" i="6"/>
  <c r="W403" i="6"/>
  <c r="U395" i="6"/>
  <c r="W394" i="6"/>
  <c r="W393" i="6"/>
  <c r="X389" i="6"/>
  <c r="U388" i="6"/>
  <c r="U386" i="6"/>
  <c r="W384" i="6"/>
  <c r="X379" i="6"/>
  <c r="X377" i="6"/>
  <c r="V376" i="6"/>
  <c r="X373" i="6"/>
  <c r="W371" i="6"/>
  <c r="V366" i="6"/>
  <c r="X365" i="6"/>
  <c r="V361" i="6"/>
  <c r="W360" i="6"/>
  <c r="W359" i="6"/>
  <c r="W358" i="6"/>
  <c r="V353" i="6"/>
  <c r="X351" i="6"/>
  <c r="W350" i="6"/>
  <c r="V345" i="6"/>
  <c r="X343" i="6"/>
  <c r="W342" i="6"/>
  <c r="U337" i="6"/>
  <c r="X335" i="6"/>
  <c r="U333" i="6"/>
  <c r="U328" i="6"/>
  <c r="U323" i="6"/>
  <c r="X321" i="6"/>
  <c r="V320" i="6"/>
  <c r="U316" i="6"/>
  <c r="U311" i="6"/>
  <c r="U306" i="6"/>
  <c r="X304" i="6"/>
  <c r="V303" i="6"/>
  <c r="U299" i="6"/>
  <c r="X294" i="6"/>
  <c r="X292" i="6"/>
  <c r="U291" i="6"/>
  <c r="U290" i="6"/>
  <c r="U289" i="6"/>
  <c r="V288" i="6"/>
  <c r="U287" i="6"/>
  <c r="U438" i="6"/>
  <c r="U433" i="6"/>
  <c r="X432" i="6"/>
  <c r="W408" i="6"/>
  <c r="U406" i="6"/>
  <c r="U402" i="6"/>
  <c r="X400" i="6"/>
  <c r="U399" i="6"/>
  <c r="W398" i="6"/>
  <c r="V397" i="6"/>
  <c r="U383" i="6"/>
  <c r="X382" i="6"/>
  <c r="V379" i="6"/>
  <c r="U377" i="6"/>
  <c r="U373" i="6"/>
  <c r="X370" i="6"/>
  <c r="V364" i="6"/>
  <c r="X363" i="6"/>
  <c r="U360" i="6"/>
  <c r="X357" i="6"/>
  <c r="W356" i="6"/>
  <c r="V351" i="6"/>
  <c r="X349" i="6"/>
  <c r="W348" i="6"/>
  <c r="V343" i="6"/>
  <c r="X341" i="6"/>
  <c r="W340" i="6"/>
  <c r="V335" i="6"/>
  <c r="X331" i="6"/>
  <c r="V326" i="6"/>
  <c r="U321" i="6"/>
  <c r="X319" i="6"/>
  <c r="V318" i="6"/>
  <c r="X314" i="6"/>
  <c r="V309" i="6"/>
  <c r="U304" i="6"/>
  <c r="X302" i="6"/>
  <c r="V301" i="6"/>
  <c r="X297" i="6"/>
  <c r="V294" i="6"/>
  <c r="X293" i="6"/>
  <c r="V292" i="6"/>
  <c r="X285" i="6"/>
  <c r="X284" i="6"/>
  <c r="V283" i="6"/>
  <c r="V282" i="6"/>
  <c r="V281" i="6"/>
  <c r="U280" i="6"/>
  <c r="V277" i="6"/>
  <c r="U276" i="6"/>
  <c r="X273" i="6"/>
  <c r="X272" i="6"/>
  <c r="X271" i="6"/>
  <c r="X270" i="6"/>
  <c r="X269" i="6"/>
  <c r="X268" i="6"/>
  <c r="U256" i="6"/>
  <c r="V255" i="6"/>
  <c r="W254" i="6"/>
  <c r="X359" i="6"/>
  <c r="P164" i="13"/>
  <c r="P290" i="13"/>
  <c r="O585" i="13"/>
  <c r="O628" i="13"/>
  <c r="P770" i="13"/>
  <c r="Q330" i="13"/>
  <c r="R330" i="13" s="1"/>
  <c r="P330" i="13"/>
  <c r="U321" i="13" s="1"/>
  <c r="P539" i="13"/>
  <c r="O662" i="13"/>
  <c r="P662" i="13" s="1"/>
  <c r="O756" i="13"/>
  <c r="Q756" i="13" s="1"/>
  <c r="P872" i="13"/>
  <c r="P965" i="13"/>
  <c r="P1039" i="13"/>
  <c r="U1038" i="13" s="1"/>
  <c r="P1051" i="13"/>
  <c r="P173" i="13"/>
  <c r="U170" i="13" s="1"/>
  <c r="Q238" i="13"/>
  <c r="R238" i="13" s="1"/>
  <c r="E13" i="10"/>
  <c r="E9" i="10"/>
  <c r="C11" i="10"/>
  <c r="D12" i="10"/>
  <c r="C10" i="10"/>
  <c r="D11" i="10"/>
  <c r="E12" i="10"/>
  <c r="C9" i="10"/>
  <c r="D10" i="10"/>
  <c r="E11" i="10"/>
  <c r="C13" i="10"/>
  <c r="D9" i="10"/>
  <c r="E10" i="10"/>
  <c r="C12" i="10"/>
  <c r="Q208" i="13"/>
  <c r="R208" i="13" s="1"/>
  <c r="P208" i="13"/>
  <c r="Q209" i="13"/>
  <c r="G584" i="1" s="1"/>
  <c r="H584" i="1" s="1"/>
  <c r="P209" i="13"/>
  <c r="Q217" i="13"/>
  <c r="R217" i="13" s="1"/>
  <c r="P217" i="13"/>
  <c r="U216" i="13" s="1"/>
  <c r="P287" i="13"/>
  <c r="P63" i="13"/>
  <c r="U60" i="13" s="1"/>
  <c r="P68" i="13"/>
  <c r="U67" i="13" s="1"/>
  <c r="P93" i="13"/>
  <c r="Q138" i="13"/>
  <c r="G131" i="1" s="1"/>
  <c r="H131" i="1" s="1"/>
  <c r="P165" i="13"/>
  <c r="P191" i="13"/>
  <c r="AL7" i="13"/>
  <c r="O627" i="13"/>
  <c r="O747" i="13"/>
  <c r="M757" i="13"/>
  <c r="O757" i="13" s="1"/>
  <c r="Q757" i="13" s="1"/>
  <c r="O767" i="13"/>
  <c r="P856" i="13"/>
  <c r="P895" i="13"/>
  <c r="Q492" i="13"/>
  <c r="Q571" i="13"/>
  <c r="G208" i="1" s="1"/>
  <c r="H208" i="1" s="1"/>
  <c r="P651" i="13"/>
  <c r="W654" i="13" s="1"/>
  <c r="P664" i="13"/>
  <c r="W666" i="13" s="1"/>
  <c r="O752" i="13"/>
  <c r="Q752" i="13" s="1"/>
  <c r="O796" i="13"/>
  <c r="Q796" i="13" s="1"/>
  <c r="P826" i="13"/>
  <c r="U821" i="13" s="1"/>
  <c r="P944" i="13"/>
  <c r="U943" i="13" s="1"/>
  <c r="P852" i="13"/>
  <c r="Q357" i="13"/>
  <c r="P547" i="13"/>
  <c r="O579" i="13"/>
  <c r="O588" i="13"/>
  <c r="Q758" i="13"/>
  <c r="O768" i="13"/>
  <c r="P999" i="13"/>
  <c r="P973" i="13"/>
  <c r="Q1008" i="13"/>
  <c r="G181" i="1" s="1"/>
  <c r="H181" i="1" s="1"/>
  <c r="Q1009" i="13"/>
  <c r="R1009" i="13" s="1"/>
  <c r="P1009" i="13"/>
  <c r="Q1155" i="13"/>
  <c r="R1155" i="13" s="1"/>
  <c r="P288" i="13"/>
  <c r="P338" i="13"/>
  <c r="U337" i="13" s="1"/>
  <c r="Q359" i="13"/>
  <c r="R359" i="13" s="1"/>
  <c r="P359" i="13"/>
  <c r="V356" i="13" s="1"/>
  <c r="P404" i="13"/>
  <c r="P422" i="13"/>
  <c r="Q467" i="13"/>
  <c r="P268" i="13"/>
  <c r="V263" i="13" s="1"/>
  <c r="P292" i="13"/>
  <c r="Q356" i="13"/>
  <c r="R356" i="13" s="1"/>
  <c r="P356" i="13"/>
  <c r="Q358" i="13"/>
  <c r="O584" i="13"/>
  <c r="O668" i="13"/>
  <c r="O753" i="13"/>
  <c r="Q753" i="13" s="1"/>
  <c r="O749" i="13"/>
  <c r="Q749" i="13" s="1"/>
  <c r="O576" i="13"/>
  <c r="M683" i="13"/>
  <c r="O683" i="13" s="1"/>
  <c r="Q707" i="13"/>
  <c r="Q708" i="13"/>
  <c r="O723" i="13"/>
  <c r="Q723" i="13" s="1"/>
  <c r="O743" i="13"/>
  <c r="O754" i="13"/>
  <c r="Q754" i="13" s="1"/>
  <c r="P537" i="13"/>
  <c r="O558" i="13"/>
  <c r="O574" i="13"/>
  <c r="N674" i="13"/>
  <c r="N673" i="13" s="1"/>
  <c r="O673" i="13" s="1"/>
  <c r="Q703" i="13"/>
  <c r="Q704" i="13"/>
  <c r="Q705" i="13"/>
  <c r="M746" i="13"/>
  <c r="O746" i="13" s="1"/>
  <c r="M794" i="13"/>
  <c r="O794" i="13" s="1"/>
  <c r="Q794" i="13" s="1"/>
  <c r="M795" i="13"/>
  <c r="M793" i="13" s="1"/>
  <c r="M791" i="13" s="1"/>
  <c r="M789" i="13" s="1"/>
  <c r="M787" i="13" s="1"/>
  <c r="O795" i="13"/>
  <c r="Q795" i="13" s="1"/>
  <c r="O824" i="13"/>
  <c r="M823" i="13"/>
  <c r="O834" i="13"/>
  <c r="M833" i="13"/>
  <c r="O833" i="13" s="1"/>
  <c r="O575" i="13"/>
  <c r="O583" i="13"/>
  <c r="O599" i="13"/>
  <c r="P732" i="13"/>
  <c r="O765" i="13"/>
  <c r="O797" i="13"/>
  <c r="Q800" i="13"/>
  <c r="E447" i="6" s="1"/>
  <c r="Q447" i="6" s="1"/>
  <c r="G263" i="1" s="1"/>
  <c r="H263" i="1" s="1"/>
  <c r="P832" i="13"/>
  <c r="P858" i="13"/>
  <c r="P1028" i="13"/>
  <c r="O1037" i="13"/>
  <c r="Q1006" i="13"/>
  <c r="R1006" i="13" s="1"/>
  <c r="Q1007" i="13"/>
  <c r="R1007" i="13" s="1"/>
  <c r="P1007" i="13"/>
  <c r="P1040" i="13"/>
  <c r="P1042" i="13"/>
  <c r="P1103" i="13"/>
  <c r="M21" i="9"/>
  <c r="N21" i="9" s="1"/>
  <c r="L8" i="9"/>
  <c r="M15" i="9"/>
  <c r="N15" i="9" s="1"/>
  <c r="AH7" i="13"/>
  <c r="AN7" i="13" s="1"/>
  <c r="P96" i="13"/>
  <c r="V85" i="13" s="1"/>
  <c r="P112" i="13"/>
  <c r="P149" i="13"/>
  <c r="Q152" i="13"/>
  <c r="R152" i="13" s="1"/>
  <c r="P57" i="13"/>
  <c r="Q137" i="13"/>
  <c r="R137" i="13" s="1"/>
  <c r="P39" i="13"/>
  <c r="U34" i="13" s="1"/>
  <c r="P58" i="13"/>
  <c r="P117" i="13"/>
  <c r="U117" i="13" s="1"/>
  <c r="Q148" i="13"/>
  <c r="R148" i="13" s="1"/>
  <c r="P148" i="13"/>
  <c r="P163" i="13"/>
  <c r="Q151" i="13"/>
  <c r="P162" i="13"/>
  <c r="P166" i="13"/>
  <c r="P184" i="13"/>
  <c r="U180" i="13" s="1"/>
  <c r="P205" i="13"/>
  <c r="U203" i="13" s="1"/>
  <c r="P265" i="13"/>
  <c r="P289" i="13"/>
  <c r="P293" i="13"/>
  <c r="P346" i="13"/>
  <c r="U345" i="13" s="1"/>
  <c r="P420" i="13"/>
  <c r="O468" i="13"/>
  <c r="Q486" i="13"/>
  <c r="O557" i="13"/>
  <c r="M556" i="13"/>
  <c r="P421" i="13"/>
  <c r="Q485" i="13"/>
  <c r="Q501" i="13"/>
  <c r="Q479" i="13"/>
  <c r="O480" i="13"/>
  <c r="O672" i="13"/>
  <c r="M671" i="13"/>
  <c r="M727" i="13"/>
  <c r="O727" i="13" s="1"/>
  <c r="Q727" i="13" s="1"/>
  <c r="O726" i="13"/>
  <c r="Q726" i="13" s="1"/>
  <c r="O741" i="13"/>
  <c r="N740" i="13"/>
  <c r="Q469" i="13"/>
  <c r="Q497" i="13"/>
  <c r="G1718" i="1" s="1"/>
  <c r="M738" i="13"/>
  <c r="M737" i="13" s="1"/>
  <c r="M782" i="13"/>
  <c r="O783" i="13"/>
  <c r="Q495" i="13"/>
  <c r="Q496" i="13"/>
  <c r="N625" i="13"/>
  <c r="O625" i="13" s="1"/>
  <c r="O626" i="13"/>
  <c r="M632" i="13"/>
  <c r="N761" i="13"/>
  <c r="O761" i="13" s="1"/>
  <c r="O784" i="13"/>
  <c r="Q502" i="13"/>
  <c r="Q505" i="13"/>
  <c r="P538" i="13"/>
  <c r="P540" i="13"/>
  <c r="Q570" i="13"/>
  <c r="R570" i="13" s="1"/>
  <c r="M659" i="13"/>
  <c r="P677" i="13"/>
  <c r="U676" i="13" s="1"/>
  <c r="P729" i="13"/>
  <c r="O763" i="13"/>
  <c r="P773" i="13"/>
  <c r="P546" i="13"/>
  <c r="Q702" i="13"/>
  <c r="P702" i="13"/>
  <c r="Q724" i="13"/>
  <c r="Q728" i="13"/>
  <c r="Q750" i="13"/>
  <c r="N792" i="13"/>
  <c r="O807" i="13"/>
  <c r="Q807" i="13" s="1"/>
  <c r="M806" i="13"/>
  <c r="M805" i="13" s="1"/>
  <c r="O978" i="13"/>
  <c r="M977" i="13"/>
  <c r="M976" i="13" s="1"/>
  <c r="M680" i="13"/>
  <c r="M679" i="13" s="1"/>
  <c r="M686" i="13"/>
  <c r="O686" i="13" s="1"/>
  <c r="Q706" i="13"/>
  <c r="P731" i="13"/>
  <c r="O742" i="13"/>
  <c r="P772" i="13"/>
  <c r="N888" i="13"/>
  <c r="O808" i="13"/>
  <c r="Q808" i="13" s="1"/>
  <c r="P831" i="13"/>
  <c r="M892" i="13"/>
  <c r="P896" i="13"/>
  <c r="P897" i="13"/>
  <c r="P929" i="13"/>
  <c r="Q799" i="13"/>
  <c r="G202" i="1" s="1"/>
  <c r="H202" i="1" s="1"/>
  <c r="Q810" i="13"/>
  <c r="G145" i="1" s="1"/>
  <c r="H145" i="1" s="1"/>
  <c r="P857" i="13"/>
  <c r="P894" i="13"/>
  <c r="O979" i="13"/>
  <c r="O983" i="13"/>
  <c r="O1036" i="13"/>
  <c r="M1035" i="13"/>
  <c r="M1034" i="13" s="1"/>
  <c r="O1034" i="13" s="1"/>
  <c r="P1029" i="13"/>
  <c r="P1041" i="13"/>
  <c r="P1043" i="13"/>
  <c r="P1052" i="13"/>
  <c r="O1134" i="13"/>
  <c r="Q1134" i="13" s="1"/>
  <c r="M1133" i="13"/>
  <c r="P1117" i="13"/>
  <c r="Q1137" i="13"/>
  <c r="Q1147" i="13"/>
  <c r="R1147" i="13" s="1"/>
  <c r="Q1136" i="13"/>
  <c r="Q1148" i="13"/>
  <c r="R1148" i="13" s="1"/>
  <c r="P1112" i="13"/>
  <c r="P1116" i="13"/>
  <c r="P1140" i="13"/>
  <c r="Q1154" i="13"/>
  <c r="G516" i="1" s="1"/>
  <c r="H516" i="1" s="1"/>
  <c r="P1208" i="13"/>
  <c r="P1256" i="13"/>
  <c r="G1903" i="1"/>
  <c r="G1741" i="1"/>
  <c r="G1894" i="1"/>
  <c r="W28" i="14"/>
  <c r="W29" i="14"/>
  <c r="E50" i="10"/>
  <c r="D51" i="10"/>
  <c r="C52" i="10"/>
  <c r="C49" i="10"/>
  <c r="E51" i="10"/>
  <c r="D52" i="10"/>
  <c r="C53" i="10"/>
  <c r="C54" i="10"/>
  <c r="C55" i="10"/>
  <c r="C56" i="10"/>
  <c r="C57" i="10"/>
  <c r="C58" i="10"/>
  <c r="C59" i="10"/>
  <c r="C60" i="10"/>
  <c r="C61" i="10"/>
  <c r="D49" i="10"/>
  <c r="C50" i="10"/>
  <c r="E52" i="10"/>
  <c r="D53" i="10"/>
  <c r="D54" i="10"/>
  <c r="D55" i="10"/>
  <c r="D56" i="10"/>
  <c r="D57" i="10"/>
  <c r="D58" i="10"/>
  <c r="D59" i="10"/>
  <c r="D60" i="10"/>
  <c r="D61" i="10"/>
  <c r="E49" i="10"/>
  <c r="D50" i="10"/>
  <c r="C51" i="10"/>
  <c r="E53" i="10"/>
  <c r="E54" i="10"/>
  <c r="E55" i="10"/>
  <c r="E56" i="10"/>
  <c r="E57" i="10"/>
  <c r="E58" i="10"/>
  <c r="E59" i="10"/>
  <c r="E60" i="10"/>
  <c r="O300" i="4"/>
  <c r="Q300" i="4" s="1"/>
  <c r="G1026" i="1"/>
  <c r="H1026" i="1" s="1"/>
  <c r="G1745" i="1"/>
  <c r="O251" i="4"/>
  <c r="B44" i="8"/>
  <c r="G1874" i="1"/>
  <c r="B49" i="8"/>
  <c r="F27" i="17413"/>
  <c r="F29" i="17413"/>
  <c r="F31" i="17413"/>
  <c r="F38" i="17422"/>
  <c r="AE38" i="17422" s="1"/>
  <c r="G53" i="8"/>
  <c r="G1127" i="1"/>
  <c r="H1127" i="1" s="1"/>
  <c r="G1091" i="1"/>
  <c r="H1091" i="1" s="1"/>
  <c r="G1133" i="1"/>
  <c r="H1133" i="1" s="1"/>
  <c r="G996" i="1"/>
  <c r="H996" i="1" s="1"/>
  <c r="N27" i="8"/>
  <c r="P27" i="8" s="1"/>
  <c r="F26" i="17413"/>
  <c r="F28" i="17413"/>
  <c r="F30" i="17413"/>
  <c r="G1896" i="1"/>
  <c r="G1020" i="1"/>
  <c r="H1020" i="1" s="1"/>
  <c r="G1145" i="1"/>
  <c r="H1145" i="1" s="1"/>
  <c r="L355" i="13"/>
  <c r="P355" i="13" s="1"/>
  <c r="L405" i="13"/>
  <c r="P405" i="13" s="1"/>
  <c r="L105" i="13"/>
  <c r="P105" i="13" s="1"/>
  <c r="L15" i="13"/>
  <c r="P15" i="13" s="1"/>
  <c r="L147" i="13"/>
  <c r="R147" i="13" s="1"/>
  <c r="L130" i="13"/>
  <c r="R130" i="13" s="1"/>
  <c r="P92" i="13"/>
  <c r="O201" i="4"/>
  <c r="G1077" i="1"/>
  <c r="H1077" i="1" s="1"/>
  <c r="E223" i="13"/>
  <c r="Q223" i="13" s="1"/>
  <c r="R223" i="13" s="1"/>
  <c r="G1011" i="1"/>
  <c r="H1011" i="1" s="1"/>
  <c r="L450" i="6"/>
  <c r="P450" i="6" s="1"/>
  <c r="L1115" i="13"/>
  <c r="P1115" i="13" s="1"/>
  <c r="L953" i="13"/>
  <c r="P953" i="13" s="1"/>
  <c r="L813" i="13"/>
  <c r="P813" i="13" s="1"/>
  <c r="L1146" i="13"/>
  <c r="P1146" i="13" s="1"/>
  <c r="L830" i="13"/>
  <c r="P830" i="13" s="1"/>
  <c r="O301" i="4"/>
  <c r="Q301" i="4" s="1"/>
  <c r="E1043" i="13"/>
  <c r="Q1043" i="13" s="1"/>
  <c r="G1171" i="1" s="1"/>
  <c r="H1171" i="1" s="1"/>
  <c r="O359" i="4"/>
  <c r="Q359" i="4" s="1"/>
  <c r="E544" i="13" s="1"/>
  <c r="Q544" i="13" s="1"/>
  <c r="O357" i="4"/>
  <c r="Q357" i="4" s="1"/>
  <c r="G1123" i="1"/>
  <c r="H1123" i="1" s="1"/>
  <c r="G1124" i="1"/>
  <c r="H1124" i="1" s="1"/>
  <c r="G1027" i="1"/>
  <c r="H1027" i="1" s="1"/>
  <c r="O385" i="4"/>
  <c r="Q385" i="4" s="1"/>
  <c r="O386" i="4"/>
  <c r="Q386" i="4" s="1"/>
  <c r="G1740" i="1"/>
  <c r="G1734" i="1"/>
  <c r="E1107" i="13"/>
  <c r="Q1107" i="13" s="1"/>
  <c r="E307" i="13"/>
  <c r="Q307" i="13" s="1"/>
  <c r="G1526" i="1"/>
  <c r="G1733" i="1"/>
  <c r="G1732" i="1"/>
  <c r="E614" i="13"/>
  <c r="Q614" i="13" s="1"/>
  <c r="G1078" i="1"/>
  <c r="H1078" i="1" s="1"/>
  <c r="G1131" i="1"/>
  <c r="H1131" i="1" s="1"/>
  <c r="G1884" i="1"/>
  <c r="G1062" i="1"/>
  <c r="H1062" i="1" s="1"/>
  <c r="G1179" i="1"/>
  <c r="H1179" i="1" s="1"/>
  <c r="G1178" i="1"/>
  <c r="H1178" i="1" s="1"/>
  <c r="AL7" i="4"/>
  <c r="E79" i="13"/>
  <c r="Q79" i="13" s="1"/>
  <c r="G1001" i="1"/>
  <c r="H1001" i="1" s="1"/>
  <c r="E522" i="13"/>
  <c r="Q522" i="13" s="1"/>
  <c r="G1756" i="1"/>
  <c r="G1865" i="1"/>
  <c r="E1059" i="13"/>
  <c r="Q1059" i="13" s="1"/>
  <c r="G1073" i="1"/>
  <c r="H1073" i="1" s="1"/>
  <c r="G995" i="1"/>
  <c r="H995" i="1" s="1"/>
  <c r="G1053" i="1"/>
  <c r="H1053" i="1" s="1"/>
  <c r="G1132" i="1"/>
  <c r="H1132" i="1" s="1"/>
  <c r="G1081" i="1"/>
  <c r="H1081" i="1" s="1"/>
  <c r="E1034" i="13"/>
  <c r="E1046" i="13"/>
  <c r="Q1046" i="13" s="1"/>
  <c r="G1090" i="1"/>
  <c r="H1090" i="1" s="1"/>
  <c r="G1141" i="1"/>
  <c r="H1141" i="1" s="1"/>
  <c r="G1085" i="1"/>
  <c r="H1085" i="1" s="1"/>
  <c r="G1180" i="1"/>
  <c r="H1180" i="1" s="1"/>
  <c r="G1175" i="1"/>
  <c r="H1175" i="1" s="1"/>
  <c r="G1183" i="1"/>
  <c r="H1183" i="1" s="1"/>
  <c r="AF7" i="4"/>
  <c r="E14" i="13"/>
  <c r="Q14" i="13" s="1"/>
  <c r="Q7" i="4"/>
  <c r="AH7" i="4"/>
  <c r="G1028" i="1"/>
  <c r="H1028" i="1" s="1"/>
  <c r="G1013" i="1"/>
  <c r="H1013" i="1" s="1"/>
  <c r="G1698" i="1"/>
  <c r="G1063" i="1"/>
  <c r="H1063" i="1" s="1"/>
  <c r="G1100" i="1"/>
  <c r="H1100" i="1" s="1"/>
  <c r="G1074" i="1"/>
  <c r="H1074" i="1" s="1"/>
  <c r="E362" i="13"/>
  <c r="Q362" i="13" s="1"/>
  <c r="G1060" i="1"/>
  <c r="H1060" i="1" s="1"/>
  <c r="E637" i="13"/>
  <c r="Q637" i="13" s="1"/>
  <c r="E655" i="13"/>
  <c r="Q655" i="13" s="1"/>
  <c r="E824" i="13"/>
  <c r="E887" i="13"/>
  <c r="E981" i="13"/>
  <c r="Q981" i="13" s="1"/>
  <c r="G1779" i="1"/>
  <c r="E690" i="13"/>
  <c r="Q690" i="13" s="1"/>
  <c r="G1905" i="1"/>
  <c r="E1049" i="13"/>
  <c r="Q1049" i="13" s="1"/>
  <c r="G1116" i="1"/>
  <c r="H1116" i="1" s="1"/>
  <c r="G1054" i="1"/>
  <c r="H1054" i="1" s="1"/>
  <c r="G967" i="1"/>
  <c r="H967" i="1" s="1"/>
  <c r="G1156" i="1"/>
  <c r="H1156" i="1" s="1"/>
  <c r="G1122" i="1"/>
  <c r="H1122" i="1" s="1"/>
  <c r="G1048" i="1"/>
  <c r="H1048" i="1" s="1"/>
  <c r="G1126" i="1"/>
  <c r="H1126" i="1" s="1"/>
  <c r="G1058" i="1"/>
  <c r="H1058" i="1" s="1"/>
  <c r="G1049" i="1"/>
  <c r="H1049" i="1" s="1"/>
  <c r="G980" i="1"/>
  <c r="H980" i="1" s="1"/>
  <c r="G1052" i="1"/>
  <c r="H1052" i="1" s="1"/>
  <c r="G951" i="1"/>
  <c r="H951" i="1" s="1"/>
  <c r="G962" i="1"/>
  <c r="H962" i="1" s="1"/>
  <c r="G1181" i="1"/>
  <c r="H1181" i="1" s="1"/>
  <c r="G1182" i="1"/>
  <c r="H1182" i="1" s="1"/>
  <c r="G1633" i="1"/>
  <c r="S119" i="17412"/>
  <c r="G958" i="1"/>
  <c r="H958" i="1" s="1"/>
  <c r="G1572" i="1"/>
  <c r="E120" i="17412" s="1"/>
  <c r="S120" i="17412" s="1"/>
  <c r="G1710" i="1"/>
  <c r="B48" i="8"/>
  <c r="G1702" i="1"/>
  <c r="G1677" i="1"/>
  <c r="Q32" i="17418"/>
  <c r="R32" i="17418"/>
  <c r="M286" i="17418"/>
  <c r="M284" i="17418"/>
  <c r="M282" i="17418"/>
  <c r="M280" i="17418"/>
  <c r="M278" i="17418"/>
  <c r="M276" i="17418"/>
  <c r="M274" i="17418"/>
  <c r="M272" i="17418"/>
  <c r="M287" i="17418"/>
  <c r="M279" i="17418"/>
  <c r="M271" i="17418"/>
  <c r="M269" i="17418"/>
  <c r="M267" i="17418"/>
  <c r="M265" i="17418"/>
  <c r="M263" i="17418"/>
  <c r="M261" i="17418"/>
  <c r="M259" i="17418"/>
  <c r="M257" i="17418"/>
  <c r="M255" i="17418"/>
  <c r="M253" i="17418"/>
  <c r="M251" i="17418"/>
  <c r="M249" i="17418"/>
  <c r="M247" i="17418"/>
  <c r="M245" i="17418"/>
  <c r="M243" i="17418"/>
  <c r="M241" i="17418"/>
  <c r="M239" i="17418"/>
  <c r="M289" i="17418"/>
  <c r="M285" i="17418"/>
  <c r="M275" i="17418"/>
  <c r="M277" i="17418"/>
  <c r="M266" i="17418"/>
  <c r="M258" i="17418"/>
  <c r="M250" i="17418"/>
  <c r="M242" i="17418"/>
  <c r="M268" i="17418"/>
  <c r="M260" i="17418"/>
  <c r="M252" i="17418"/>
  <c r="M288" i="17418"/>
  <c r="M273" i="17418"/>
  <c r="M283" i="17418"/>
  <c r="M281" i="17418"/>
  <c r="M264" i="17418"/>
  <c r="M262" i="17418"/>
  <c r="M248" i="17418"/>
  <c r="M254" i="17418"/>
  <c r="M256" i="17418"/>
  <c r="M246" i="17418"/>
  <c r="M244" i="17418"/>
  <c r="M240" i="17418"/>
  <c r="M238" i="17418"/>
  <c r="M270" i="17418"/>
  <c r="E178" i="13"/>
  <c r="Q178" i="13" s="1"/>
  <c r="R178" i="13" s="1"/>
  <c r="E176" i="13"/>
  <c r="Q176" i="13" s="1"/>
  <c r="E177" i="13"/>
  <c r="Q177" i="13" s="1"/>
  <c r="G1472" i="1" s="1"/>
  <c r="E175" i="13"/>
  <c r="Q175" i="13" s="1"/>
  <c r="E174" i="13"/>
  <c r="Q174" i="13" s="1"/>
  <c r="G1670" i="1"/>
  <c r="E80" i="13"/>
  <c r="Q80" i="13" s="1"/>
  <c r="E184" i="13"/>
  <c r="Q184" i="13" s="1"/>
  <c r="R184" i="13" s="1"/>
  <c r="E182" i="13"/>
  <c r="Q182" i="13" s="1"/>
  <c r="E180" i="13"/>
  <c r="Q180" i="13" s="1"/>
  <c r="E179" i="13"/>
  <c r="Q179" i="13" s="1"/>
  <c r="E183" i="13"/>
  <c r="Q183" i="13" s="1"/>
  <c r="E181" i="13"/>
  <c r="Q181" i="13" s="1"/>
  <c r="G1671" i="1"/>
  <c r="E229" i="13"/>
  <c r="Q229" i="13" s="1"/>
  <c r="E224" i="13"/>
  <c r="Q224" i="13" s="1"/>
  <c r="E225" i="13"/>
  <c r="Q225" i="13" s="1"/>
  <c r="E230" i="13"/>
  <c r="Q230" i="13" s="1"/>
  <c r="R230" i="13" s="1"/>
  <c r="E228" i="13"/>
  <c r="Q228" i="13" s="1"/>
  <c r="E226" i="13"/>
  <c r="Q226" i="13" s="1"/>
  <c r="E227" i="13"/>
  <c r="Q227" i="13" s="1"/>
  <c r="G1678" i="1"/>
  <c r="G1689" i="1"/>
  <c r="E312" i="13"/>
  <c r="Q312" i="13" s="1"/>
  <c r="E199" i="13"/>
  <c r="Q199" i="13" s="1"/>
  <c r="R199" i="13" s="1"/>
  <c r="E196" i="13"/>
  <c r="Q196" i="13" s="1"/>
  <c r="E192" i="13"/>
  <c r="Q192" i="13" s="1"/>
  <c r="E197" i="13"/>
  <c r="Q197" i="13" s="1"/>
  <c r="E193" i="13"/>
  <c r="Q193" i="13" s="1"/>
  <c r="E194" i="13"/>
  <c r="Q194" i="13" s="1"/>
  <c r="E198" i="13"/>
  <c r="Q198" i="13" s="1"/>
  <c r="E195" i="13"/>
  <c r="Q195" i="13" s="1"/>
  <c r="G1673" i="1"/>
  <c r="E451" i="13"/>
  <c r="Q451" i="13" s="1"/>
  <c r="G1712" i="1"/>
  <c r="E364" i="13"/>
  <c r="Q364" i="13" s="1"/>
  <c r="E363" i="13"/>
  <c r="Q363" i="13" s="1"/>
  <c r="E365" i="13"/>
  <c r="Q365" i="13" s="1"/>
  <c r="G1478" i="1" s="1"/>
  <c r="G1696" i="1"/>
  <c r="G1695" i="1"/>
  <c r="E29" i="13"/>
  <c r="Q29" i="13" s="1"/>
  <c r="G1547" i="1" s="1"/>
  <c r="E28" i="13"/>
  <c r="Q28" i="13" s="1"/>
  <c r="E30" i="13"/>
  <c r="Q30" i="13" s="1"/>
  <c r="R30" i="13" s="1"/>
  <c r="E27" i="13"/>
  <c r="Q27" i="13" s="1"/>
  <c r="G1650" i="1"/>
  <c r="E255" i="13"/>
  <c r="Q255" i="13" s="1"/>
  <c r="R255" i="13" s="1"/>
  <c r="E252" i="13"/>
  <c r="Q252" i="13" s="1"/>
  <c r="E253" i="13"/>
  <c r="Q253" i="13" s="1"/>
  <c r="E254" i="13"/>
  <c r="Q254" i="13" s="1"/>
  <c r="G1682" i="1"/>
  <c r="G1686" i="1"/>
  <c r="E433" i="13"/>
  <c r="Q433" i="13" s="1"/>
  <c r="R433" i="13" s="1"/>
  <c r="E430" i="13"/>
  <c r="Q430" i="13" s="1"/>
  <c r="E428" i="13"/>
  <c r="Q428" i="13" s="1"/>
  <c r="E434" i="13"/>
  <c r="Q434" i="13" s="1"/>
  <c r="E432" i="13"/>
  <c r="Q432" i="13" s="1"/>
  <c r="E431" i="13"/>
  <c r="Q431" i="13" s="1"/>
  <c r="E429" i="13"/>
  <c r="Q429" i="13" s="1"/>
  <c r="E427" i="13"/>
  <c r="Q427" i="13" s="1"/>
  <c r="G1707" i="1"/>
  <c r="E377" i="13"/>
  <c r="Q377" i="13" s="1"/>
  <c r="E378" i="13"/>
  <c r="Q378" i="13" s="1"/>
  <c r="G1597" i="1" s="1"/>
  <c r="E376" i="13"/>
  <c r="Q376" i="13" s="1"/>
  <c r="G1700" i="1"/>
  <c r="E1162" i="13"/>
  <c r="Q1162" i="13" s="1"/>
  <c r="E1157" i="13"/>
  <c r="Q1157" i="13" s="1"/>
  <c r="R1157" i="13" s="1"/>
  <c r="E1158" i="13"/>
  <c r="Q1158" i="13" s="1"/>
  <c r="R1158" i="13" s="1"/>
  <c r="E1163" i="13"/>
  <c r="Q1163" i="13" s="1"/>
  <c r="E1159" i="13"/>
  <c r="Q1159" i="13" s="1"/>
  <c r="R1159" i="13" s="1"/>
  <c r="E1161" i="13"/>
  <c r="Q1161" i="13" s="1"/>
  <c r="E1160" i="13"/>
  <c r="Q1160" i="13" s="1"/>
  <c r="E1156" i="13"/>
  <c r="Q1156" i="13" s="1"/>
  <c r="G1880" i="1"/>
  <c r="E338" i="13"/>
  <c r="Q338" i="13" s="1"/>
  <c r="R338" i="13" s="1"/>
  <c r="E336" i="13"/>
  <c r="Q336" i="13" s="1"/>
  <c r="E333" i="13"/>
  <c r="Q333" i="13" s="1"/>
  <c r="E334" i="13"/>
  <c r="Q334" i="13" s="1"/>
  <c r="E337" i="13"/>
  <c r="Q337" i="13" s="1"/>
  <c r="E335" i="13"/>
  <c r="Q335" i="13" s="1"/>
  <c r="G1533" i="1" s="1"/>
  <c r="E331" i="13"/>
  <c r="Q331" i="13" s="1"/>
  <c r="E332" i="13"/>
  <c r="Q332" i="13" s="1"/>
  <c r="G1692" i="1"/>
  <c r="E1115" i="13"/>
  <c r="Q1115" i="13" s="1"/>
  <c r="G1872" i="1"/>
  <c r="E383" i="13"/>
  <c r="Q383" i="13" s="1"/>
  <c r="E382" i="13"/>
  <c r="Q382" i="13" s="1"/>
  <c r="E448" i="13"/>
  <c r="Q448" i="13" s="1"/>
  <c r="E443" i="13"/>
  <c r="Q443" i="13" s="1"/>
  <c r="E447" i="13"/>
  <c r="Q447" i="13" s="1"/>
  <c r="E444" i="13"/>
  <c r="Q444" i="13" s="1"/>
  <c r="E450" i="13"/>
  <c r="Q450" i="13" s="1"/>
  <c r="R450" i="13" s="1"/>
  <c r="E446" i="13"/>
  <c r="Q446" i="13" s="1"/>
  <c r="E449" i="13"/>
  <c r="Q449" i="13" s="1"/>
  <c r="E445" i="13"/>
  <c r="Q445" i="13" s="1"/>
  <c r="E533" i="13"/>
  <c r="Q533" i="13" s="1"/>
  <c r="E532" i="13"/>
  <c r="Q532" i="13" s="1"/>
  <c r="E52" i="6" s="1"/>
  <c r="Q52" i="6" s="1"/>
  <c r="E686" i="13"/>
  <c r="Q686" i="13" s="1"/>
  <c r="E1041" i="13"/>
  <c r="Q1041" i="13" s="1"/>
  <c r="R1041" i="13" s="1"/>
  <c r="E1042" i="13"/>
  <c r="Q1042" i="13" s="1"/>
  <c r="G1154" i="1" s="1"/>
  <c r="H1154" i="1" s="1"/>
  <c r="E1237" i="13"/>
  <c r="Q1237" i="13" s="1"/>
  <c r="E1236" i="13"/>
  <c r="Q1236" i="13" s="1"/>
  <c r="E1235" i="13"/>
  <c r="Q1235" i="13" s="1"/>
  <c r="E1234" i="13"/>
  <c r="Q1234" i="13" s="1"/>
  <c r="E1238" i="13"/>
  <c r="Q1238" i="13" s="1"/>
  <c r="E835" i="13"/>
  <c r="Q835" i="13" s="1"/>
  <c r="G227" i="1" s="1"/>
  <c r="H227" i="1" s="1"/>
  <c r="E1058" i="13"/>
  <c r="Q1058" i="13" s="1"/>
  <c r="E1057" i="13"/>
  <c r="Q1057" i="13" s="1"/>
  <c r="S161" i="17412"/>
  <c r="R161" i="17412"/>
  <c r="S79" i="17412"/>
  <c r="R79" i="17412"/>
  <c r="R93" i="17412"/>
  <c r="R151" i="17412"/>
  <c r="S151" i="17412"/>
  <c r="S117" i="17412"/>
  <c r="R117" i="17412"/>
  <c r="S138" i="17412"/>
  <c r="R138" i="17412"/>
  <c r="G267" i="4"/>
  <c r="E612" i="13"/>
  <c r="Q612" i="13" s="1"/>
  <c r="E616" i="13"/>
  <c r="Q616" i="13" s="1"/>
  <c r="E634" i="13"/>
  <c r="Q634" i="13" s="1"/>
  <c r="E759" i="13"/>
  <c r="Q759" i="13" s="1"/>
  <c r="E825" i="13"/>
  <c r="Q825" i="13" s="1"/>
  <c r="E1051" i="13"/>
  <c r="Q1051" i="13" s="1"/>
  <c r="R1051" i="13" s="1"/>
  <c r="E105" i="13"/>
  <c r="Q105" i="13" s="1"/>
  <c r="E104" i="13"/>
  <c r="Q104" i="13" s="1"/>
  <c r="E103" i="13"/>
  <c r="Q103" i="13" s="1"/>
  <c r="E102" i="13"/>
  <c r="Q102" i="13" s="1"/>
  <c r="E101" i="13"/>
  <c r="Q101" i="13" s="1"/>
  <c r="E99" i="13"/>
  <c r="Q99" i="13" s="1"/>
  <c r="E107" i="13"/>
  <c r="Q107" i="13" s="1"/>
  <c r="E98" i="13"/>
  <c r="Q98" i="13" s="1"/>
  <c r="E108" i="13"/>
  <c r="Q108" i="13" s="1"/>
  <c r="E100" i="13"/>
  <c r="Q100" i="13" s="1"/>
  <c r="E97" i="13"/>
  <c r="Q97" i="13" s="1"/>
  <c r="E106" i="13"/>
  <c r="Q106" i="13" s="1"/>
  <c r="R106" i="13" s="1"/>
  <c r="E109" i="13"/>
  <c r="Q109" i="13" s="1"/>
  <c r="R109" i="13" s="1"/>
  <c r="E247" i="13"/>
  <c r="Q247" i="13" s="1"/>
  <c r="E248" i="13"/>
  <c r="Q248" i="13" s="1"/>
  <c r="E286" i="13"/>
  <c r="Q286" i="13" s="1"/>
  <c r="E282" i="13"/>
  <c r="Q282" i="13" s="1"/>
  <c r="E283" i="13"/>
  <c r="Q283" i="13" s="1"/>
  <c r="E293" i="13"/>
  <c r="Q293" i="13" s="1"/>
  <c r="R293" i="13" s="1"/>
  <c r="E292" i="13"/>
  <c r="Q292" i="13" s="1"/>
  <c r="R292" i="13" s="1"/>
  <c r="E291" i="13"/>
  <c r="Q291" i="13" s="1"/>
  <c r="R291" i="13" s="1"/>
  <c r="E290" i="13"/>
  <c r="Q290" i="13" s="1"/>
  <c r="G112" i="1" s="1"/>
  <c r="H112" i="1" s="1"/>
  <c r="E289" i="13"/>
  <c r="Q289" i="13" s="1"/>
  <c r="R289" i="13" s="1"/>
  <c r="E288" i="13"/>
  <c r="Q288" i="13" s="1"/>
  <c r="R288" i="13" s="1"/>
  <c r="E287" i="13"/>
  <c r="Q287" i="13" s="1"/>
  <c r="R287" i="13" s="1"/>
  <c r="E284" i="13"/>
  <c r="Q284" i="13" s="1"/>
  <c r="E285" i="13"/>
  <c r="Q285" i="13" s="1"/>
  <c r="E375" i="13"/>
  <c r="Q375" i="13" s="1"/>
  <c r="E374" i="13"/>
  <c r="Q374" i="13" s="1"/>
  <c r="E373" i="13"/>
  <c r="Q373" i="13" s="1"/>
  <c r="E405" i="13"/>
  <c r="Q405" i="13" s="1"/>
  <c r="E389" i="13"/>
  <c r="Q389" i="13" s="1"/>
  <c r="E406" i="13"/>
  <c r="Q406" i="13" s="1"/>
  <c r="R406" i="13" s="1"/>
  <c r="E403" i="13"/>
  <c r="Q403" i="13" s="1"/>
  <c r="E401" i="13"/>
  <c r="Q401" i="13" s="1"/>
  <c r="E399" i="13"/>
  <c r="Q399" i="13" s="1"/>
  <c r="E397" i="13"/>
  <c r="Q397" i="13" s="1"/>
  <c r="G1461" i="1" s="1"/>
  <c r="E395" i="13"/>
  <c r="Q395" i="13" s="1"/>
  <c r="G1556" i="1" s="1"/>
  <c r="E393" i="13"/>
  <c r="Q393" i="13" s="1"/>
  <c r="G1550" i="1" s="1"/>
  <c r="E390" i="13"/>
  <c r="Q390" i="13" s="1"/>
  <c r="E386" i="13"/>
  <c r="Q386" i="13" s="1"/>
  <c r="E385" i="13"/>
  <c r="Q385" i="13" s="1"/>
  <c r="E384" i="13"/>
  <c r="Q384" i="13" s="1"/>
  <c r="E391" i="13"/>
  <c r="Q391" i="13" s="1"/>
  <c r="E387" i="13"/>
  <c r="Q387" i="13" s="1"/>
  <c r="E404" i="13"/>
  <c r="Q404" i="13" s="1"/>
  <c r="R404" i="13" s="1"/>
  <c r="E402" i="13"/>
  <c r="Q402" i="13" s="1"/>
  <c r="E400" i="13"/>
  <c r="Q400" i="13" s="1"/>
  <c r="E398" i="13"/>
  <c r="Q398" i="13" s="1"/>
  <c r="E396" i="13"/>
  <c r="Q396" i="13" s="1"/>
  <c r="G1521" i="1" s="1"/>
  <c r="E394" i="13"/>
  <c r="Q394" i="13" s="1"/>
  <c r="E392" i="13"/>
  <c r="Q392" i="13" s="1"/>
  <c r="G1574" i="1" s="1"/>
  <c r="E122" i="17412" s="1"/>
  <c r="E388" i="13"/>
  <c r="Q388" i="13" s="1"/>
  <c r="E1129" i="13"/>
  <c r="Q1129" i="13" s="1"/>
  <c r="E436" i="13"/>
  <c r="Q436" i="13" s="1"/>
  <c r="E424" i="13"/>
  <c r="Q424" i="13" s="1"/>
  <c r="E426" i="13"/>
  <c r="Q426" i="13" s="1"/>
  <c r="E425" i="13"/>
  <c r="Q425" i="13" s="1"/>
  <c r="E423" i="13"/>
  <c r="Q423" i="13" s="1"/>
  <c r="R423" i="13" s="1"/>
  <c r="E219" i="13"/>
  <c r="Q219" i="13" s="1"/>
  <c r="E222" i="13"/>
  <c r="Q222" i="13" s="1"/>
  <c r="G268" i="4"/>
  <c r="E441" i="13"/>
  <c r="Q441" i="13" s="1"/>
  <c r="E442" i="13"/>
  <c r="Q442" i="13" s="1"/>
  <c r="G1599" i="1" s="1"/>
  <c r="E439" i="13"/>
  <c r="Q439" i="13" s="1"/>
  <c r="E440" i="13"/>
  <c r="Q440" i="13" s="1"/>
  <c r="G278" i="4"/>
  <c r="E552" i="13"/>
  <c r="Q552" i="13" s="1"/>
  <c r="E549" i="13"/>
  <c r="Q549" i="13" s="1"/>
  <c r="E550" i="13"/>
  <c r="Q550" i="13" s="1"/>
  <c r="E551" i="13"/>
  <c r="Q551" i="13" s="1"/>
  <c r="E548" i="13"/>
  <c r="Q548" i="13" s="1"/>
  <c r="E547" i="13"/>
  <c r="Q547" i="13" s="1"/>
  <c r="R547" i="13" s="1"/>
  <c r="E546" i="13"/>
  <c r="Q546" i="13" s="1"/>
  <c r="E624" i="13"/>
  <c r="Q624" i="13" s="1"/>
  <c r="E622" i="13"/>
  <c r="Q622" i="13" s="1"/>
  <c r="E621" i="13"/>
  <c r="Q621" i="13" s="1"/>
  <c r="E620" i="13"/>
  <c r="Q620" i="13" s="1"/>
  <c r="E619" i="13"/>
  <c r="Q619" i="13" s="1"/>
  <c r="E618" i="13"/>
  <c r="Q618" i="13" s="1"/>
  <c r="E623" i="13"/>
  <c r="Q623" i="13" s="1"/>
  <c r="E617" i="13"/>
  <c r="Q617" i="13" s="1"/>
  <c r="E653" i="13"/>
  <c r="Q653" i="13" s="1"/>
  <c r="E679" i="13"/>
  <c r="E974" i="13"/>
  <c r="E975" i="13"/>
  <c r="E991" i="13"/>
  <c r="Q991" i="13" s="1"/>
  <c r="E1045" i="13"/>
  <c r="Q1045" i="13" s="1"/>
  <c r="E1048" i="13"/>
  <c r="Q1048" i="13" s="1"/>
  <c r="R1048" i="13" s="1"/>
  <c r="E1047" i="13"/>
  <c r="Q1047" i="13" s="1"/>
  <c r="E1108" i="13"/>
  <c r="Q1108" i="13" s="1"/>
  <c r="E1104" i="13"/>
  <c r="Q1104" i="13" s="1"/>
  <c r="G582" i="1" s="1"/>
  <c r="H582" i="1" s="1"/>
  <c r="E1103" i="13"/>
  <c r="Q1103" i="13" s="1"/>
  <c r="G581" i="1" s="1"/>
  <c r="H581" i="1" s="1"/>
  <c r="E1105" i="13"/>
  <c r="Q1105" i="13" s="1"/>
  <c r="R1105" i="13" s="1"/>
  <c r="E1100" i="13"/>
  <c r="Q1100" i="13" s="1"/>
  <c r="G386" i="1" s="1"/>
  <c r="H386" i="1" s="1"/>
  <c r="E1101" i="13"/>
  <c r="Q1101" i="13" s="1"/>
  <c r="G387" i="1" s="1"/>
  <c r="H387" i="1" s="1"/>
  <c r="E1098" i="13"/>
  <c r="Q1098" i="13" s="1"/>
  <c r="E1114" i="13"/>
  <c r="Q1114" i="13" s="1"/>
  <c r="E1113" i="13"/>
  <c r="Q1113" i="13" s="1"/>
  <c r="E1112" i="13"/>
  <c r="Q1112" i="13" s="1"/>
  <c r="R1112" i="13" s="1"/>
  <c r="E1111" i="13"/>
  <c r="Q1111" i="13" s="1"/>
  <c r="R1111" i="13" s="1"/>
  <c r="E1110" i="13"/>
  <c r="Q1110" i="13" s="1"/>
  <c r="E1109" i="13"/>
  <c r="Q1109" i="13" s="1"/>
  <c r="G151" i="1" s="1"/>
  <c r="H151" i="1" s="1"/>
  <c r="E1183" i="13"/>
  <c r="Q1183" i="13" s="1"/>
  <c r="E1181" i="13"/>
  <c r="Q1181" i="13" s="1"/>
  <c r="E1184" i="13"/>
  <c r="Q1184" i="13" s="1"/>
  <c r="E1185" i="13"/>
  <c r="Q1185" i="13" s="1"/>
  <c r="E1182" i="13"/>
  <c r="Q1182" i="13" s="1"/>
  <c r="E1192" i="13"/>
  <c r="Q1192" i="13" s="1"/>
  <c r="E1194" i="13"/>
  <c r="Q1194" i="13" s="1"/>
  <c r="E1195" i="13"/>
  <c r="Q1195" i="13" s="1"/>
  <c r="E1193" i="13"/>
  <c r="Q1193" i="13" s="1"/>
  <c r="E1191" i="13"/>
  <c r="Q1191" i="13" s="1"/>
  <c r="E1256" i="13"/>
  <c r="Q1256" i="13" s="1"/>
  <c r="R1256" i="13" s="1"/>
  <c r="E1255" i="13"/>
  <c r="Q1255" i="13" s="1"/>
  <c r="R1255" i="13" s="1"/>
  <c r="E1254" i="13"/>
  <c r="Q1254" i="13" s="1"/>
  <c r="E1253" i="13"/>
  <c r="Q1253" i="13" s="1"/>
  <c r="E507" i="13"/>
  <c r="Q507" i="13" s="1"/>
  <c r="E506" i="13"/>
  <c r="Q506" i="13" s="1"/>
  <c r="E511" i="13"/>
  <c r="Q511" i="13" s="1"/>
  <c r="E509" i="13"/>
  <c r="Q509" i="13" s="1"/>
  <c r="E508" i="13"/>
  <c r="Q508" i="13" s="1"/>
  <c r="R508" i="13" s="1"/>
  <c r="E510" i="13"/>
  <c r="Q510" i="13" s="1"/>
  <c r="E517" i="13"/>
  <c r="Q517" i="13" s="1"/>
  <c r="E516" i="13"/>
  <c r="Q516" i="13" s="1"/>
  <c r="E515" i="13"/>
  <c r="Q515" i="13" s="1"/>
  <c r="E514" i="13"/>
  <c r="Q514" i="13" s="1"/>
  <c r="E513" i="13"/>
  <c r="Q513" i="13" s="1"/>
  <c r="E512" i="13"/>
  <c r="Q512" i="13" s="1"/>
  <c r="E519" i="13"/>
  <c r="Q519" i="13" s="1"/>
  <c r="E518" i="13"/>
  <c r="Q518" i="13" s="1"/>
  <c r="E520" i="13"/>
  <c r="Q520" i="13" s="1"/>
  <c r="R520" i="13" s="1"/>
  <c r="E531" i="13"/>
  <c r="Q531" i="13" s="1"/>
  <c r="E530" i="13"/>
  <c r="Q530" i="13" s="1"/>
  <c r="E528" i="13"/>
  <c r="Q528" i="13" s="1"/>
  <c r="E527" i="13"/>
  <c r="Q527" i="13" s="1"/>
  <c r="E526" i="13"/>
  <c r="Q526" i="13" s="1"/>
  <c r="E524" i="13"/>
  <c r="Q524" i="13" s="1"/>
  <c r="E557" i="13"/>
  <c r="Q557" i="13" s="1"/>
  <c r="E556" i="13"/>
  <c r="E555" i="13"/>
  <c r="E562" i="13"/>
  <c r="Q562" i="13" s="1"/>
  <c r="E554" i="13"/>
  <c r="E560" i="13"/>
  <c r="Q560" i="13" s="1"/>
  <c r="E559" i="13"/>
  <c r="Q559" i="13" s="1"/>
  <c r="E553" i="13"/>
  <c r="E561" i="13"/>
  <c r="Q561" i="13" s="1"/>
  <c r="E558" i="13"/>
  <c r="Q558" i="13" s="1"/>
  <c r="E1072" i="13"/>
  <c r="Q1072" i="13" s="1"/>
  <c r="E1071" i="13"/>
  <c r="Q1071" i="13" s="1"/>
  <c r="E1070" i="13"/>
  <c r="Q1070" i="13" s="1"/>
  <c r="E1075" i="13"/>
  <c r="Q1075" i="13" s="1"/>
  <c r="E1074" i="13"/>
  <c r="Q1074" i="13" s="1"/>
  <c r="E1073" i="13"/>
  <c r="Q1073" i="13" s="1"/>
  <c r="E1076" i="13"/>
  <c r="Q1076" i="13" s="1"/>
  <c r="E1069" i="13"/>
  <c r="Q1069" i="13" s="1"/>
  <c r="E1169" i="13"/>
  <c r="Q1169" i="13" s="1"/>
  <c r="E1165" i="13"/>
  <c r="Q1165" i="13" s="1"/>
  <c r="R1165" i="13" s="1"/>
  <c r="E1170" i="13"/>
  <c r="Q1170" i="13" s="1"/>
  <c r="E1166" i="13"/>
  <c r="Q1166" i="13" s="1"/>
  <c r="R1166" i="13" s="1"/>
  <c r="E1167" i="13"/>
  <c r="Q1167" i="13" s="1"/>
  <c r="R1167" i="13" s="1"/>
  <c r="E1171" i="13"/>
  <c r="Q1171" i="13" s="1"/>
  <c r="E1168" i="13"/>
  <c r="Q1168" i="13" s="1"/>
  <c r="E1164" i="13"/>
  <c r="Q1164" i="13" s="1"/>
  <c r="R1164" i="13" s="1"/>
  <c r="E1174" i="13"/>
  <c r="Q1174" i="13" s="1"/>
  <c r="E1172" i="13"/>
  <c r="Q1172" i="13" s="1"/>
  <c r="E1176" i="13"/>
  <c r="Q1176" i="13" s="1"/>
  <c r="E1175" i="13"/>
  <c r="Q1175" i="13" s="1"/>
  <c r="E847" i="13"/>
  <c r="Q847" i="13" s="1"/>
  <c r="E855" i="13"/>
  <c r="Q855" i="13" s="1"/>
  <c r="E1090" i="13"/>
  <c r="Q1090" i="13" s="1"/>
  <c r="E1091" i="13"/>
  <c r="Q1091" i="13" s="1"/>
  <c r="E1092" i="13"/>
  <c r="Q1092" i="13" s="1"/>
  <c r="R1092" i="13" s="1"/>
  <c r="E1089" i="13"/>
  <c r="Q1089" i="13" s="1"/>
  <c r="E1064" i="13"/>
  <c r="Q1064" i="13" s="1"/>
  <c r="E1063" i="13"/>
  <c r="Q1063" i="13" s="1"/>
  <c r="E1062" i="13"/>
  <c r="Q1062" i="13" s="1"/>
  <c r="E1065" i="13"/>
  <c r="Q1065" i="13" s="1"/>
  <c r="E1068" i="13"/>
  <c r="Q1068" i="13" s="1"/>
  <c r="E1067" i="13"/>
  <c r="Q1067" i="13" s="1"/>
  <c r="E1066" i="13"/>
  <c r="Q1066" i="13" s="1"/>
  <c r="E1218" i="13"/>
  <c r="Q1218" i="13" s="1"/>
  <c r="E1217" i="13"/>
  <c r="Q1217" i="13" s="1"/>
  <c r="E1216" i="13"/>
  <c r="Q1216" i="13" s="1"/>
  <c r="E1215" i="13"/>
  <c r="Q1215" i="13" s="1"/>
  <c r="E1214" i="13"/>
  <c r="Q1214" i="13" s="1"/>
  <c r="E1264" i="13"/>
  <c r="Q1264" i="13" s="1"/>
  <c r="E1257" i="13"/>
  <c r="Q1257" i="13" s="1"/>
  <c r="E1265" i="13"/>
  <c r="Q1265" i="13" s="1"/>
  <c r="E1259" i="13"/>
  <c r="Q1259" i="13" s="1"/>
  <c r="E1258" i="13"/>
  <c r="Q1258" i="13" s="1"/>
  <c r="E1261" i="13"/>
  <c r="Q1261" i="13" s="1"/>
  <c r="E1260" i="13"/>
  <c r="Q1260" i="13" s="1"/>
  <c r="E1263" i="13"/>
  <c r="Q1263" i="13" s="1"/>
  <c r="E1262" i="13"/>
  <c r="Q1262" i="13" s="1"/>
  <c r="E1270" i="13"/>
  <c r="Q1270" i="13" s="1"/>
  <c r="E1268" i="13"/>
  <c r="Q1268" i="13" s="1"/>
  <c r="G552" i="1" s="1"/>
  <c r="H552" i="1" s="1"/>
  <c r="E1269" i="13"/>
  <c r="Q1269" i="13" s="1"/>
  <c r="E1266" i="13"/>
  <c r="Q1266" i="13" s="1"/>
  <c r="E1267" i="13"/>
  <c r="Q1267" i="13" s="1"/>
  <c r="E1251" i="13"/>
  <c r="Q1251" i="13" s="1"/>
  <c r="E1250" i="13"/>
  <c r="Q1250" i="13" s="1"/>
  <c r="P109" i="13"/>
  <c r="V99" i="13" s="1"/>
  <c r="E47" i="6"/>
  <c r="Q47" i="6" s="1"/>
  <c r="E46" i="6"/>
  <c r="Q46" i="6" s="1"/>
  <c r="E45" i="6"/>
  <c r="Q45" i="6" s="1"/>
  <c r="E44" i="6"/>
  <c r="Q44" i="6" s="1"/>
  <c r="E43" i="6"/>
  <c r="Q43" i="6" s="1"/>
  <c r="E42" i="6"/>
  <c r="Q42" i="6" s="1"/>
  <c r="E56" i="6"/>
  <c r="Q56" i="6" s="1"/>
  <c r="E55" i="6"/>
  <c r="Q55" i="6" s="1"/>
  <c r="E54" i="6"/>
  <c r="Q54" i="6" s="1"/>
  <c r="E1225" i="13"/>
  <c r="Q1225" i="13" s="1"/>
  <c r="E1224" i="13"/>
  <c r="Q1224" i="13" s="1"/>
  <c r="E1226" i="13"/>
  <c r="Q1226" i="13" s="1"/>
  <c r="E1244" i="13"/>
  <c r="Q1244" i="13" s="1"/>
  <c r="E1246" i="13"/>
  <c r="Q1246" i="13" s="1"/>
  <c r="E1245" i="13"/>
  <c r="Q1245" i="13" s="1"/>
  <c r="P106" i="13"/>
  <c r="E31" i="6"/>
  <c r="Q31" i="6" s="1"/>
  <c r="E30" i="6"/>
  <c r="Q30" i="6" s="1"/>
  <c r="E29" i="6"/>
  <c r="Q29" i="6" s="1"/>
  <c r="E226" i="6"/>
  <c r="Q226" i="6" s="1"/>
  <c r="E225" i="6"/>
  <c r="Q225" i="6" s="1"/>
  <c r="E224" i="6"/>
  <c r="Q224" i="6" s="1"/>
  <c r="E1204" i="13"/>
  <c r="Q1204" i="13" s="1"/>
  <c r="E1205" i="13"/>
  <c r="Q1205" i="13" s="1"/>
  <c r="G1602" i="1" s="1"/>
  <c r="E150" i="17412" s="1"/>
  <c r="S150" i="17412" s="1"/>
  <c r="E1200" i="13"/>
  <c r="Q1200" i="13" s="1"/>
  <c r="E1199" i="13"/>
  <c r="Q1199" i="13" s="1"/>
  <c r="E1198" i="13"/>
  <c r="Q1198" i="13" s="1"/>
  <c r="E1197" i="13"/>
  <c r="Q1197" i="13" s="1"/>
  <c r="E1203" i="13"/>
  <c r="Q1203" i="13" s="1"/>
  <c r="E1202" i="13"/>
  <c r="Q1202" i="13" s="1"/>
  <c r="E1201" i="13"/>
  <c r="Q1201" i="13" s="1"/>
  <c r="E1206" i="13"/>
  <c r="Q1206" i="13" s="1"/>
  <c r="E1196" i="13"/>
  <c r="Q1196" i="13" s="1"/>
  <c r="E1222" i="13"/>
  <c r="Q1222" i="13" s="1"/>
  <c r="E1221" i="13"/>
  <c r="Q1221" i="13" s="1"/>
  <c r="E1223" i="13"/>
  <c r="Q1223" i="13" s="1"/>
  <c r="E1228" i="13"/>
  <c r="Q1228" i="13" s="1"/>
  <c r="E1229" i="13"/>
  <c r="Q1229" i="13" s="1"/>
  <c r="E1227" i="13"/>
  <c r="Q1227" i="13" s="1"/>
  <c r="E1233" i="13"/>
  <c r="Q1233" i="13" s="1"/>
  <c r="R1233" i="13" s="1"/>
  <c r="E1232" i="13"/>
  <c r="Q1232" i="13" s="1"/>
  <c r="E1231" i="13"/>
  <c r="Q1231" i="13" s="1"/>
  <c r="E1230" i="13"/>
  <c r="Q1230" i="13" s="1"/>
  <c r="E50" i="6"/>
  <c r="Q50" i="6" s="1"/>
  <c r="E49" i="6"/>
  <c r="Q49" i="6" s="1"/>
  <c r="E48" i="6"/>
  <c r="Q48" i="6" s="1"/>
  <c r="E58" i="6"/>
  <c r="Q58" i="6" s="1"/>
  <c r="E57" i="6"/>
  <c r="Q57" i="6" s="1"/>
  <c r="E60" i="6"/>
  <c r="Q60" i="6" s="1"/>
  <c r="E59" i="6"/>
  <c r="Q59" i="6" s="1"/>
  <c r="E87" i="6"/>
  <c r="Q87" i="6" s="1"/>
  <c r="E86" i="6"/>
  <c r="Q86" i="6" s="1"/>
  <c r="E85" i="6"/>
  <c r="Q85" i="6" s="1"/>
  <c r="E92" i="6"/>
  <c r="Q92" i="6" s="1"/>
  <c r="E91" i="6"/>
  <c r="Q91" i="6" s="1"/>
  <c r="E90" i="6"/>
  <c r="Q90" i="6" s="1"/>
  <c r="E89" i="6"/>
  <c r="Q89" i="6" s="1"/>
  <c r="E88" i="6"/>
  <c r="Q88" i="6" s="1"/>
  <c r="E93" i="6"/>
  <c r="Q93" i="6" s="1"/>
  <c r="E94" i="6"/>
  <c r="Q94" i="6" s="1"/>
  <c r="E100" i="6"/>
  <c r="Q100" i="6" s="1"/>
  <c r="E99" i="6"/>
  <c r="Q99" i="6" s="1"/>
  <c r="E98" i="6"/>
  <c r="Q98" i="6" s="1"/>
  <c r="E97" i="6"/>
  <c r="Q97" i="6" s="1"/>
  <c r="E96" i="6"/>
  <c r="Q96" i="6" s="1"/>
  <c r="E95" i="6"/>
  <c r="Q95" i="6" s="1"/>
  <c r="E138" i="6"/>
  <c r="Q138" i="6" s="1"/>
  <c r="E134" i="6"/>
  <c r="Q134" i="6" s="1"/>
  <c r="R134" i="6" s="1"/>
  <c r="E130" i="6"/>
  <c r="Q130" i="6" s="1"/>
  <c r="R130" i="6" s="1"/>
  <c r="E129" i="6"/>
  <c r="Q129" i="6" s="1"/>
  <c r="R129" i="6" s="1"/>
  <c r="E125" i="6"/>
  <c r="Q125" i="6" s="1"/>
  <c r="E121" i="6"/>
  <c r="Q121" i="6" s="1"/>
  <c r="E120" i="6"/>
  <c r="Q120" i="6" s="1"/>
  <c r="E115" i="6"/>
  <c r="Q115" i="6" s="1"/>
  <c r="E112" i="6"/>
  <c r="Q112" i="6" s="1"/>
  <c r="E107" i="6"/>
  <c r="Q107" i="6" s="1"/>
  <c r="E140" i="6"/>
  <c r="Q140" i="6" s="1"/>
  <c r="E135" i="6"/>
  <c r="Q135" i="6" s="1"/>
  <c r="E131" i="6"/>
  <c r="Q131" i="6" s="1"/>
  <c r="R131" i="6" s="1"/>
  <c r="E126" i="6"/>
  <c r="Q126" i="6" s="1"/>
  <c r="E122" i="6"/>
  <c r="Q122" i="6" s="1"/>
  <c r="E116" i="6"/>
  <c r="Q116" i="6" s="1"/>
  <c r="E113" i="6"/>
  <c r="Q113" i="6" s="1"/>
  <c r="E108" i="6"/>
  <c r="Q108" i="6" s="1"/>
  <c r="E105" i="6"/>
  <c r="Q105" i="6" s="1"/>
  <c r="E103" i="6"/>
  <c r="Q103" i="6" s="1"/>
  <c r="E101" i="6"/>
  <c r="Q101" i="6" s="1"/>
  <c r="E136" i="6"/>
  <c r="Q136" i="6" s="1"/>
  <c r="R136" i="6" s="1"/>
  <c r="E132" i="6"/>
  <c r="Q132" i="6" s="1"/>
  <c r="R132" i="6" s="1"/>
  <c r="E127" i="6"/>
  <c r="Q127" i="6" s="1"/>
  <c r="E123" i="6"/>
  <c r="Q123" i="6" s="1"/>
  <c r="E117" i="6"/>
  <c r="Q117" i="6" s="1"/>
  <c r="E114" i="6"/>
  <c r="Q114" i="6" s="1"/>
  <c r="R114" i="6" s="1"/>
  <c r="E110" i="6"/>
  <c r="Q110" i="6" s="1"/>
  <c r="E109" i="6"/>
  <c r="Q109" i="6" s="1"/>
  <c r="E139" i="6"/>
  <c r="Q139" i="6" s="1"/>
  <c r="E137" i="6"/>
  <c r="Q137" i="6" s="1"/>
  <c r="R137" i="6" s="1"/>
  <c r="E133" i="6"/>
  <c r="Q133" i="6" s="1"/>
  <c r="R133" i="6" s="1"/>
  <c r="E128" i="6"/>
  <c r="Q128" i="6" s="1"/>
  <c r="E124" i="6"/>
  <c r="Q124" i="6" s="1"/>
  <c r="E119" i="6"/>
  <c r="Q119" i="6" s="1"/>
  <c r="E118" i="6"/>
  <c r="Q118" i="6" s="1"/>
  <c r="E111" i="6"/>
  <c r="Q111" i="6" s="1"/>
  <c r="E106" i="6"/>
  <c r="Q106" i="6" s="1"/>
  <c r="E104" i="6"/>
  <c r="Q104" i="6" s="1"/>
  <c r="E102" i="6"/>
  <c r="Q102" i="6" s="1"/>
  <c r="E178" i="6"/>
  <c r="Q178" i="6" s="1"/>
  <c r="E176" i="6"/>
  <c r="Q176" i="6" s="1"/>
  <c r="R176" i="6" s="1"/>
  <c r="E172" i="6"/>
  <c r="Q172" i="6" s="1"/>
  <c r="R172" i="6" s="1"/>
  <c r="E171" i="6"/>
  <c r="Q171" i="6" s="1"/>
  <c r="R171" i="6" s="1"/>
  <c r="E166" i="6"/>
  <c r="Q166" i="6" s="1"/>
  <c r="R166" i="6" s="1"/>
  <c r="E162" i="6"/>
  <c r="Q162" i="6" s="1"/>
  <c r="R162" i="6" s="1"/>
  <c r="E157" i="6"/>
  <c r="Q157" i="6" s="1"/>
  <c r="R157" i="6" s="1"/>
  <c r="E156" i="6"/>
  <c r="Q156" i="6" s="1"/>
  <c r="R156" i="6" s="1"/>
  <c r="E152" i="6"/>
  <c r="Q152" i="6" s="1"/>
  <c r="E148" i="6"/>
  <c r="Q148" i="6" s="1"/>
  <c r="E144" i="6"/>
  <c r="E142" i="6"/>
  <c r="Q142" i="6" s="1"/>
  <c r="E177" i="6"/>
  <c r="Q177" i="6" s="1"/>
  <c r="E173" i="6"/>
  <c r="Q173" i="6" s="1"/>
  <c r="R173" i="6" s="1"/>
  <c r="E167" i="6"/>
  <c r="Q167" i="6" s="1"/>
  <c r="R167" i="6" s="1"/>
  <c r="E163" i="6"/>
  <c r="Q163" i="6" s="1"/>
  <c r="R163" i="6" s="1"/>
  <c r="E158" i="6"/>
  <c r="Q158" i="6" s="1"/>
  <c r="R158" i="6" s="1"/>
  <c r="E153" i="6"/>
  <c r="Q153" i="6" s="1"/>
  <c r="R153" i="6" s="1"/>
  <c r="E149" i="6"/>
  <c r="E179" i="6"/>
  <c r="Q179" i="6" s="1"/>
  <c r="E174" i="6"/>
  <c r="Q174" i="6" s="1"/>
  <c r="R174" i="6" s="1"/>
  <c r="E169" i="6"/>
  <c r="Q169" i="6" s="1"/>
  <c r="R169" i="6" s="1"/>
  <c r="E168" i="6"/>
  <c r="Q168" i="6" s="1"/>
  <c r="R168" i="6" s="1"/>
  <c r="E164" i="6"/>
  <c r="Q164" i="6" s="1"/>
  <c r="R164" i="6" s="1"/>
  <c r="E160" i="6"/>
  <c r="Q160" i="6" s="1"/>
  <c r="R160" i="6" s="1"/>
  <c r="E159" i="6"/>
  <c r="Q159" i="6" s="1"/>
  <c r="R159" i="6" s="1"/>
  <c r="E154" i="6"/>
  <c r="Q154" i="6" s="1"/>
  <c r="R154" i="6" s="1"/>
  <c r="E150" i="6"/>
  <c r="E145" i="6"/>
  <c r="Q145" i="6" s="1"/>
  <c r="E143" i="6"/>
  <c r="Q143" i="6" s="1"/>
  <c r="E141" i="6"/>
  <c r="Q141" i="6" s="1"/>
  <c r="E175" i="6"/>
  <c r="Q175" i="6" s="1"/>
  <c r="R175" i="6" s="1"/>
  <c r="E170" i="6"/>
  <c r="Q170" i="6" s="1"/>
  <c r="R170" i="6" s="1"/>
  <c r="E165" i="6"/>
  <c r="Q165" i="6" s="1"/>
  <c r="R165" i="6" s="1"/>
  <c r="E161" i="6"/>
  <c r="Q161" i="6" s="1"/>
  <c r="R161" i="6" s="1"/>
  <c r="E155" i="6"/>
  <c r="Q155" i="6" s="1"/>
  <c r="R155" i="6" s="1"/>
  <c r="E151" i="6"/>
  <c r="Q151" i="6" s="1"/>
  <c r="E147" i="6"/>
  <c r="Q147" i="6" s="1"/>
  <c r="E146" i="6"/>
  <c r="Q146" i="6" s="1"/>
  <c r="E223" i="6"/>
  <c r="Q223" i="6" s="1"/>
  <c r="E221" i="6"/>
  <c r="Q221" i="6" s="1"/>
  <c r="E220" i="6"/>
  <c r="Q220" i="6" s="1"/>
  <c r="R220" i="6" s="1"/>
  <c r="E216" i="6"/>
  <c r="Q216" i="6" s="1"/>
  <c r="R216" i="6" s="1"/>
  <c r="E211" i="6"/>
  <c r="Q211" i="6" s="1"/>
  <c r="R211" i="6" s="1"/>
  <c r="E207" i="6"/>
  <c r="Q207" i="6" s="1"/>
  <c r="R207" i="6" s="1"/>
  <c r="E202" i="6"/>
  <c r="Q202" i="6" s="1"/>
  <c r="R202" i="6" s="1"/>
  <c r="E201" i="6"/>
  <c r="Q201" i="6" s="1"/>
  <c r="R201" i="6" s="1"/>
  <c r="E196" i="6"/>
  <c r="Q196" i="6" s="1"/>
  <c r="E192" i="6"/>
  <c r="Q192" i="6" s="1"/>
  <c r="E191" i="6"/>
  <c r="Q191" i="6" s="1"/>
  <c r="E217" i="6"/>
  <c r="Q217" i="6" s="1"/>
  <c r="R217" i="6" s="1"/>
  <c r="E213" i="6"/>
  <c r="Q213" i="6" s="1"/>
  <c r="R213" i="6" s="1"/>
  <c r="E212" i="6"/>
  <c r="Q212" i="6" s="1"/>
  <c r="R212" i="6" s="1"/>
  <c r="E208" i="6"/>
  <c r="Q208" i="6" s="1"/>
  <c r="R208" i="6" s="1"/>
  <c r="E204" i="6"/>
  <c r="Q204" i="6" s="1"/>
  <c r="R204" i="6" s="1"/>
  <c r="E203" i="6"/>
  <c r="Q203" i="6" s="1"/>
  <c r="R203" i="6" s="1"/>
  <c r="E197" i="6"/>
  <c r="Q197" i="6" s="1"/>
  <c r="R197" i="6" s="1"/>
  <c r="E193" i="6"/>
  <c r="E188" i="6"/>
  <c r="E186" i="6"/>
  <c r="Q186" i="6" s="1"/>
  <c r="E222" i="6"/>
  <c r="Q222" i="6" s="1"/>
  <c r="E218" i="6"/>
  <c r="Q218" i="6" s="1"/>
  <c r="R218" i="6" s="1"/>
  <c r="E214" i="6"/>
  <c r="Q214" i="6" s="1"/>
  <c r="R214" i="6" s="1"/>
  <c r="E209" i="6"/>
  <c r="Q209" i="6" s="1"/>
  <c r="R209" i="6" s="1"/>
  <c r="E205" i="6"/>
  <c r="Q205" i="6" s="1"/>
  <c r="R205" i="6" s="1"/>
  <c r="E198" i="6"/>
  <c r="Q198" i="6" s="1"/>
  <c r="R198" i="6" s="1"/>
  <c r="E194" i="6"/>
  <c r="E219" i="6"/>
  <c r="Q219" i="6" s="1"/>
  <c r="R219" i="6" s="1"/>
  <c r="E215" i="6"/>
  <c r="Q215" i="6" s="1"/>
  <c r="R215" i="6" s="1"/>
  <c r="E210" i="6"/>
  <c r="Q210" i="6" s="1"/>
  <c r="R210" i="6" s="1"/>
  <c r="E206" i="6"/>
  <c r="Q206" i="6" s="1"/>
  <c r="R206" i="6" s="1"/>
  <c r="E200" i="6"/>
  <c r="Q200" i="6" s="1"/>
  <c r="R200" i="6" s="1"/>
  <c r="E199" i="6"/>
  <c r="Q199" i="6" s="1"/>
  <c r="R199" i="6" s="1"/>
  <c r="E195" i="6"/>
  <c r="Q195" i="6" s="1"/>
  <c r="E190" i="6"/>
  <c r="Q190" i="6" s="1"/>
  <c r="E189" i="6"/>
  <c r="Q189" i="6" s="1"/>
  <c r="E187" i="6"/>
  <c r="Q187" i="6" s="1"/>
  <c r="E185" i="6"/>
  <c r="Q185" i="6" s="1"/>
  <c r="P241" i="6"/>
  <c r="U237" i="6" s="1"/>
  <c r="P118" i="6"/>
  <c r="P199" i="6"/>
  <c r="P448" i="6"/>
  <c r="R444" i="6"/>
  <c r="L397" i="13"/>
  <c r="P397" i="13" s="1"/>
  <c r="L1037" i="13"/>
  <c r="P1037" i="13" s="1"/>
  <c r="L442" i="6"/>
  <c r="R442" i="6" s="1"/>
  <c r="L177" i="13"/>
  <c r="L34" i="6"/>
  <c r="P34" i="6" s="1"/>
  <c r="L23" i="13"/>
  <c r="L243" i="13"/>
  <c r="P243" i="13" s="1"/>
  <c r="L229" i="13"/>
  <c r="L222" i="13"/>
  <c r="P222" i="13" s="1"/>
  <c r="L402" i="13"/>
  <c r="P402" i="13" s="1"/>
  <c r="L462" i="13"/>
  <c r="P462" i="13" s="1"/>
  <c r="L203" i="13"/>
  <c r="L235" i="13"/>
  <c r="R235" i="13" s="1"/>
  <c r="L204" i="13"/>
  <c r="L396" i="13"/>
  <c r="P396" i="13" s="1"/>
  <c r="L1241" i="13"/>
  <c r="P1241" i="13" s="1"/>
  <c r="L74" i="13"/>
  <c r="P74" i="13" s="1"/>
  <c r="T73" i="13" s="1"/>
  <c r="L67" i="13"/>
  <c r="P67" i="13" s="1"/>
  <c r="L425" i="13"/>
  <c r="L66" i="13"/>
  <c r="P66" i="13" s="1"/>
  <c r="L55" i="13"/>
  <c r="P55" i="13" s="1"/>
  <c r="L393" i="13"/>
  <c r="P393" i="13" s="1"/>
  <c r="L1098" i="13"/>
  <c r="P1098" i="13" s="1"/>
  <c r="L395" i="13"/>
  <c r="P395" i="13" s="1"/>
  <c r="L315" i="13"/>
  <c r="L559" i="13"/>
  <c r="P559" i="13" s="1"/>
  <c r="L399" i="13"/>
  <c r="P399" i="13" s="1"/>
  <c r="L841" i="13"/>
  <c r="L228" i="13"/>
  <c r="L242" i="13"/>
  <c r="P242" i="13" s="1"/>
  <c r="L81" i="6"/>
  <c r="R81" i="6" s="1"/>
  <c r="L115" i="13"/>
  <c r="P115" i="13" s="1"/>
  <c r="L297" i="13"/>
  <c r="R297" i="13" s="1"/>
  <c r="L198" i="13"/>
  <c r="P198" i="13" s="1"/>
  <c r="L381" i="13"/>
  <c r="P381" i="13" s="1"/>
  <c r="L403" i="13"/>
  <c r="P403" i="13" s="1"/>
  <c r="L392" i="6"/>
  <c r="P392" i="6" s="1"/>
  <c r="L1126" i="13"/>
  <c r="P1126" i="13" s="1"/>
  <c r="L1038" i="13"/>
  <c r="P1038" i="13" s="1"/>
  <c r="L757" i="13"/>
  <c r="L280" i="13"/>
  <c r="L560" i="13"/>
  <c r="P560" i="13" s="1"/>
  <c r="L535" i="13"/>
  <c r="P535" i="13" s="1"/>
  <c r="T535" i="13" s="1"/>
  <c r="L35" i="13"/>
  <c r="P842" i="13"/>
  <c r="L183" i="13"/>
  <c r="L457" i="13"/>
  <c r="L383" i="13"/>
  <c r="P383" i="13" s="1"/>
  <c r="T383" i="13" s="1"/>
  <c r="L588" i="13"/>
  <c r="P588" i="13" s="1"/>
  <c r="L579" i="13"/>
  <c r="P579" i="13" s="1"/>
  <c r="L783" i="13"/>
  <c r="L673" i="13"/>
  <c r="L754" i="13"/>
  <c r="L726" i="13"/>
  <c r="P726" i="13" s="1"/>
  <c r="L765" i="13"/>
  <c r="P765" i="13" s="1"/>
  <c r="L745" i="13"/>
  <c r="L691" i="13"/>
  <c r="P691" i="13" s="1"/>
  <c r="L47" i="6"/>
  <c r="L248" i="13"/>
  <c r="L237" i="13"/>
  <c r="L766" i="13"/>
  <c r="P766" i="13" s="1"/>
  <c r="L755" i="13"/>
  <c r="P755" i="13" s="1"/>
  <c r="L692" i="13"/>
  <c r="L727" i="13"/>
  <c r="L633" i="13"/>
  <c r="L746" i="13"/>
  <c r="L447" i="13"/>
  <c r="L236" i="13"/>
  <c r="L767" i="13"/>
  <c r="P767" i="13" s="1"/>
  <c r="L756" i="13"/>
  <c r="P756" i="13" s="1"/>
  <c r="T949" i="13"/>
  <c r="L415" i="13"/>
  <c r="P415" i="13" s="1"/>
  <c r="L45" i="13"/>
  <c r="P45" i="13" s="1"/>
  <c r="L796" i="13"/>
  <c r="P796" i="13" s="1"/>
  <c r="L964" i="13"/>
  <c r="P964" i="13" s="1"/>
  <c r="L849" i="13"/>
  <c r="P849" i="13" s="1"/>
  <c r="T855" i="13" s="1"/>
  <c r="L286" i="13"/>
  <c r="L160" i="13"/>
  <c r="L808" i="13"/>
  <c r="P435" i="13"/>
  <c r="T438" i="13" s="1"/>
  <c r="L569" i="13"/>
  <c r="L308" i="13"/>
  <c r="L254" i="13"/>
  <c r="L221" i="13"/>
  <c r="L189" i="13"/>
  <c r="L234" i="13"/>
  <c r="R234" i="13" s="1"/>
  <c r="L688" i="13"/>
  <c r="P688" i="13" s="1"/>
  <c r="L630" i="13"/>
  <c r="P630" i="13" s="1"/>
  <c r="L1223" i="13"/>
  <c r="P1223" i="13" s="1"/>
  <c r="L580" i="13"/>
  <c r="P580" i="13" s="1"/>
  <c r="L589" i="13"/>
  <c r="P589" i="13" s="1"/>
  <c r="L981" i="13"/>
  <c r="L661" i="13"/>
  <c r="L645" i="13"/>
  <c r="P645" i="13" s="1"/>
  <c r="L414" i="13"/>
  <c r="L301" i="13"/>
  <c r="L44" i="13"/>
  <c r="L567" i="13"/>
  <c r="L306" i="13"/>
  <c r="L216" i="13"/>
  <c r="P216" i="13" s="1"/>
  <c r="L188" i="13"/>
  <c r="P188" i="13" s="1"/>
  <c r="L171" i="13"/>
  <c r="P442" i="13"/>
  <c r="L317" i="13"/>
  <c r="L561" i="13"/>
  <c r="P561" i="13" s="1"/>
  <c r="L744" i="13"/>
  <c r="P744" i="13" s="1"/>
  <c r="P682" i="13"/>
  <c r="T682" i="13" s="1"/>
  <c r="L985" i="13"/>
  <c r="P985" i="13" s="1"/>
  <c r="L441" i="13"/>
  <c r="P441" i="13" s="1"/>
  <c r="L176" i="13"/>
  <c r="P176" i="13" s="1"/>
  <c r="P75" i="13"/>
  <c r="U73" i="13" s="1"/>
  <c r="P111" i="13"/>
  <c r="P178" i="13"/>
  <c r="U177" i="13" s="1"/>
  <c r="P199" i="13"/>
  <c r="U196" i="13" s="1"/>
  <c r="P223" i="13"/>
  <c r="U219" i="13" s="1"/>
  <c r="P244" i="13"/>
  <c r="U239" i="13" s="1"/>
  <c r="P419" i="13"/>
  <c r="P508" i="13"/>
  <c r="W511" i="13" s="1"/>
  <c r="P281" i="13"/>
  <c r="U281" i="13" s="1"/>
  <c r="P309" i="13"/>
  <c r="P310" i="13"/>
  <c r="P318" i="13"/>
  <c r="U318" i="13" s="1"/>
  <c r="P520" i="13"/>
  <c r="W520" i="13" s="1"/>
  <c r="P570" i="13"/>
  <c r="P571" i="13"/>
  <c r="P438" i="13"/>
  <c r="U436" i="13" s="1"/>
  <c r="L825" i="13"/>
  <c r="P825" i="13" s="1"/>
  <c r="L819" i="13"/>
  <c r="P819" i="13" s="1"/>
  <c r="L912" i="13"/>
  <c r="P912" i="13" s="1"/>
  <c r="L904" i="13"/>
  <c r="P904" i="13" s="1"/>
  <c r="L1017" i="13"/>
  <c r="L1078" i="13"/>
  <c r="L454" i="6"/>
  <c r="P454" i="6" s="1"/>
  <c r="T454" i="6" s="1"/>
  <c r="L957" i="13"/>
  <c r="L1185" i="13"/>
  <c r="P1185" i="13" s="1"/>
  <c r="L1190" i="13"/>
  <c r="P1190" i="13" s="1"/>
  <c r="L1195" i="13"/>
  <c r="L1005" i="13"/>
  <c r="L972" i="13"/>
  <c r="P972" i="13" s="1"/>
  <c r="L1061" i="13"/>
  <c r="P1061" i="13" s="1"/>
  <c r="L1047" i="13"/>
  <c r="L1091" i="13"/>
  <c r="L1087" i="13"/>
  <c r="P1087" i="13" s="1"/>
  <c r="T1087" i="13" s="1"/>
  <c r="L1081" i="13"/>
  <c r="L1025" i="13"/>
  <c r="L943" i="13"/>
  <c r="L919" i="13"/>
  <c r="P919" i="13" s="1"/>
  <c r="L893" i="13"/>
  <c r="L870" i="13"/>
  <c r="L1170" i="13"/>
  <c r="L1162" i="13"/>
  <c r="L102" i="6"/>
  <c r="P102" i="6" s="1"/>
  <c r="L1097" i="13"/>
  <c r="P1097" i="13" s="1"/>
  <c r="L1127" i="13"/>
  <c r="P1127" i="13" s="1"/>
  <c r="L1136" i="13"/>
  <c r="L1016" i="13"/>
  <c r="L997" i="13"/>
  <c r="P997" i="13" s="1"/>
  <c r="L911" i="13"/>
  <c r="P911" i="13" s="1"/>
  <c r="L829" i="13"/>
  <c r="P829" i="13" s="1"/>
  <c r="T832" i="13" s="1"/>
  <c r="L1176" i="13"/>
  <c r="L1191" i="13"/>
  <c r="L1186" i="13"/>
  <c r="L994" i="13"/>
  <c r="P994" i="13" s="1"/>
  <c r="L892" i="13"/>
  <c r="P786" i="13"/>
  <c r="U786" i="13" s="1"/>
  <c r="P875" i="13"/>
  <c r="P876" i="13"/>
  <c r="P878" i="13"/>
  <c r="P936" i="13"/>
  <c r="T933" i="13" s="1"/>
  <c r="P952" i="13"/>
  <c r="U949" i="13" s="1"/>
  <c r="P879" i="13"/>
  <c r="P1032" i="13"/>
  <c r="P1033" i="13"/>
  <c r="P1111" i="13"/>
  <c r="P1026" i="13"/>
  <c r="P1083" i="13"/>
  <c r="P1084" i="13"/>
  <c r="L1222" i="13"/>
  <c r="P1222" i="13" s="1"/>
  <c r="L1217" i="13"/>
  <c r="P1217" i="13" s="1"/>
  <c r="L1237" i="13"/>
  <c r="P1237" i="13" s="1"/>
  <c r="L18" i="6"/>
  <c r="P18" i="6" s="1"/>
  <c r="L63" i="6"/>
  <c r="L1244" i="13"/>
  <c r="P1244" i="13" s="1"/>
  <c r="L1228" i="13"/>
  <c r="P1228" i="13" s="1"/>
  <c r="T1228" i="13" s="1"/>
  <c r="L1149" i="13"/>
  <c r="L1118" i="13"/>
  <c r="L391" i="6"/>
  <c r="P391" i="6" s="1"/>
  <c r="L1181" i="13"/>
  <c r="L1218" i="13"/>
  <c r="P1218" i="13" s="1"/>
  <c r="L1259" i="13"/>
  <c r="P1259" i="13" s="1"/>
  <c r="L348" i="6"/>
  <c r="P348" i="6" s="1"/>
  <c r="L16" i="6"/>
  <c r="P16" i="6" s="1"/>
  <c r="L354" i="6"/>
  <c r="R354" i="6" s="1"/>
  <c r="L22" i="6"/>
  <c r="P22" i="6" s="1"/>
  <c r="L355" i="6"/>
  <c r="P355" i="6" s="1"/>
  <c r="L23" i="6"/>
  <c r="P23" i="6" s="1"/>
  <c r="P1092" i="13"/>
  <c r="U1092" i="13" s="1"/>
  <c r="P1099" i="13"/>
  <c r="P1100" i="13"/>
  <c r="P1142" i="13"/>
  <c r="P1144" i="13"/>
  <c r="P1154" i="13"/>
  <c r="P1155" i="13"/>
  <c r="P1156" i="13"/>
  <c r="P1157" i="13"/>
  <c r="P1164" i="13"/>
  <c r="P1167" i="13"/>
  <c r="P135" i="6"/>
  <c r="P214" i="6"/>
  <c r="L353" i="6"/>
  <c r="P353" i="6" s="1"/>
  <c r="L336" i="6"/>
  <c r="L302" i="6"/>
  <c r="L264" i="6"/>
  <c r="P264" i="6" s="1"/>
  <c r="L237" i="6"/>
  <c r="P237" i="6" s="1"/>
  <c r="L319" i="6"/>
  <c r="L82" i="6"/>
  <c r="P82" i="6" s="1"/>
  <c r="L41" i="6"/>
  <c r="P41" i="6" s="1"/>
  <c r="T40" i="6" s="1"/>
  <c r="L37" i="6"/>
  <c r="P37" i="6" s="1"/>
  <c r="L464" i="6"/>
  <c r="P464" i="6" s="1"/>
  <c r="L413" i="6"/>
  <c r="R413" i="6" s="1"/>
  <c r="L350" i="6"/>
  <c r="L234" i="6"/>
  <c r="P234" i="6" s="1"/>
  <c r="L70" i="6"/>
  <c r="L261" i="6"/>
  <c r="L183" i="6"/>
  <c r="P183" i="6" s="1"/>
  <c r="L303" i="6"/>
  <c r="L470" i="6"/>
  <c r="P470" i="6" s="1"/>
  <c r="L337" i="6"/>
  <c r="L320" i="6"/>
  <c r="L239" i="6"/>
  <c r="L99" i="6"/>
  <c r="P99" i="6" s="1"/>
  <c r="L83" i="6"/>
  <c r="L255" i="6"/>
  <c r="P255" i="6" s="1"/>
  <c r="L410" i="6"/>
  <c r="P410" i="6" s="1"/>
  <c r="L100" i="6"/>
  <c r="P100" i="6" s="1"/>
  <c r="L84" i="6"/>
  <c r="P84" i="6" s="1"/>
  <c r="L380" i="6"/>
  <c r="P380" i="6" s="1"/>
  <c r="L256" i="6"/>
  <c r="P256" i="6" s="1"/>
  <c r="L262" i="6"/>
  <c r="P262" i="6" s="1"/>
  <c r="L235" i="6"/>
  <c r="P235" i="6" s="1"/>
  <c r="L332" i="6"/>
  <c r="P332" i="6" s="1"/>
  <c r="L465" i="6"/>
  <c r="P465" i="6" s="1"/>
  <c r="L298" i="6"/>
  <c r="P298" i="6" s="1"/>
  <c r="L315" i="6"/>
  <c r="P315" i="6" s="1"/>
  <c r="L1247" i="13"/>
  <c r="P1247" i="13" s="1"/>
  <c r="L1225" i="13"/>
  <c r="L187" i="6"/>
  <c r="L143" i="6"/>
  <c r="P143" i="6" s="1"/>
  <c r="L188" i="6"/>
  <c r="L144" i="6"/>
  <c r="L103" i="6"/>
  <c r="P103" i="6" s="1"/>
  <c r="L186" i="6"/>
  <c r="P186" i="6" s="1"/>
  <c r="L142" i="6"/>
  <c r="P142" i="6" s="1"/>
  <c r="L104" i="6"/>
  <c r="P104" i="6" s="1"/>
  <c r="L31" i="6"/>
  <c r="L92" i="6"/>
  <c r="P92" i="6" s="1"/>
  <c r="L252" i="6"/>
  <c r="P252" i="6" s="1"/>
  <c r="L398" i="6"/>
  <c r="L375" i="6"/>
  <c r="P375" i="6" s="1"/>
  <c r="L362" i="6"/>
  <c r="P362" i="6" s="1"/>
  <c r="L403" i="6"/>
  <c r="R403" i="6" s="1"/>
  <c r="L467" i="6"/>
  <c r="P467" i="6" s="1"/>
  <c r="L334" i="6"/>
  <c r="P334" i="6" s="1"/>
  <c r="L317" i="6"/>
  <c r="P317" i="6" s="1"/>
  <c r="L20" i="6"/>
  <c r="P20" i="6" s="1"/>
  <c r="L352" i="6"/>
  <c r="L300" i="6"/>
  <c r="P300" i="6" s="1"/>
  <c r="L267" i="6"/>
  <c r="P267" i="6" s="1"/>
  <c r="L240" i="6"/>
  <c r="P240" i="6" s="1"/>
  <c r="L432" i="6"/>
  <c r="P432" i="6" s="1"/>
  <c r="L429" i="6"/>
  <c r="P429" i="6" s="1"/>
  <c r="T429" i="6" s="1"/>
  <c r="L424" i="6"/>
  <c r="L385" i="6"/>
  <c r="P385" i="6" s="1"/>
  <c r="L384" i="6"/>
  <c r="L463" i="6"/>
  <c r="P463" i="6" s="1"/>
  <c r="L138" i="6"/>
  <c r="L221" i="6"/>
  <c r="P221" i="6" s="1"/>
  <c r="P27" i="6"/>
  <c r="U12" i="6" s="1"/>
  <c r="P120" i="6"/>
  <c r="P137" i="6"/>
  <c r="P158" i="6"/>
  <c r="P160" i="6"/>
  <c r="P208" i="6"/>
  <c r="P279" i="6"/>
  <c r="W278" i="6" s="1"/>
  <c r="P471" i="6"/>
  <c r="P304" i="6"/>
  <c r="W293" i="6" s="1"/>
  <c r="P166" i="6"/>
  <c r="P168" i="6"/>
  <c r="P169" i="6"/>
  <c r="P210" i="6"/>
  <c r="P212" i="6"/>
  <c r="P218" i="6"/>
  <c r="P444" i="6"/>
  <c r="F202" i="4"/>
  <c r="P16" i="13"/>
  <c r="P19" i="13"/>
  <c r="V10" i="13" s="1"/>
  <c r="P26" i="13"/>
  <c r="W24" i="13" s="1"/>
  <c r="P38" i="13"/>
  <c r="P161" i="13"/>
  <c r="P190" i="13"/>
  <c r="P83" i="13"/>
  <c r="U82" i="13" s="1"/>
  <c r="P152" i="13"/>
  <c r="P167" i="13"/>
  <c r="P50" i="13"/>
  <c r="P51" i="13"/>
  <c r="P52" i="13"/>
  <c r="P450" i="13"/>
  <c r="U449" i="13" s="1"/>
  <c r="P230" i="13"/>
  <c r="P238" i="13"/>
  <c r="U236" i="13" s="1"/>
  <c r="P277" i="13"/>
  <c r="U269" i="13" s="1"/>
  <c r="P255" i="13"/>
  <c r="U255" i="13" s="1"/>
  <c r="P264" i="13"/>
  <c r="P426" i="13"/>
  <c r="P433" i="13"/>
  <c r="P697" i="13"/>
  <c r="P871" i="13"/>
  <c r="P920" i="13"/>
  <c r="P924" i="13"/>
  <c r="P851" i="13"/>
  <c r="P859" i="13"/>
  <c r="P873" i="13"/>
  <c r="P874" i="13"/>
  <c r="P877" i="13"/>
  <c r="P923" i="13"/>
  <c r="P730" i="13"/>
  <c r="P812" i="13"/>
  <c r="P922" i="13"/>
  <c r="P810" i="13"/>
  <c r="P835" i="13"/>
  <c r="P853" i="13"/>
  <c r="P855" i="13"/>
  <c r="P921" i="13"/>
  <c r="P925" i="13"/>
  <c r="P1006" i="13"/>
  <c r="P1008" i="13"/>
  <c r="P1027" i="13"/>
  <c r="P1030" i="13"/>
  <c r="P1082" i="13"/>
  <c r="P1088" i="13"/>
  <c r="P1104" i="13"/>
  <c r="P1105" i="13"/>
  <c r="P1109" i="13"/>
  <c r="P1121" i="13"/>
  <c r="P1143" i="13"/>
  <c r="P1145" i="13"/>
  <c r="P1148" i="13"/>
  <c r="P932" i="13"/>
  <c r="U930" i="13" s="1"/>
  <c r="T945" i="13"/>
  <c r="P998" i="13"/>
  <c r="P1031" i="13"/>
  <c r="P1101" i="13"/>
  <c r="P1141" i="13"/>
  <c r="P1147" i="13"/>
  <c r="P1166" i="13"/>
  <c r="P1123" i="13"/>
  <c r="P1159" i="13"/>
  <c r="P1102" i="13"/>
  <c r="P1110" i="13"/>
  <c r="P1122" i="13"/>
  <c r="P1158" i="13"/>
  <c r="P1165" i="13"/>
  <c r="P1266" i="13"/>
  <c r="P1268" i="13"/>
  <c r="P162" i="6"/>
  <c r="P164" i="6"/>
  <c r="P204" i="6"/>
  <c r="P206" i="6"/>
  <c r="P275" i="6"/>
  <c r="U275" i="6" s="1"/>
  <c r="P1207" i="13"/>
  <c r="P1233" i="13"/>
  <c r="P21" i="6"/>
  <c r="P129" i="6"/>
  <c r="P131" i="6"/>
  <c r="P154" i="6"/>
  <c r="P173" i="6"/>
  <c r="P197" i="6"/>
  <c r="U339" i="6"/>
  <c r="P477" i="6"/>
  <c r="P1255" i="13"/>
  <c r="P133" i="6"/>
  <c r="P175" i="6"/>
  <c r="P447" i="6"/>
  <c r="P116" i="6"/>
  <c r="P216" i="6"/>
  <c r="P449" i="6"/>
  <c r="P473" i="6"/>
  <c r="P475" i="6"/>
  <c r="S38" i="17412"/>
  <c r="S142" i="17412"/>
  <c r="R37" i="17412"/>
  <c r="S113" i="17412"/>
  <c r="S73" i="17412"/>
  <c r="R179" i="17412"/>
  <c r="K1075" i="13"/>
  <c r="K1067" i="13"/>
  <c r="K623" i="13"/>
  <c r="K615" i="13"/>
  <c r="K594" i="13"/>
  <c r="K607" i="13"/>
  <c r="K1070" i="13"/>
  <c r="K636" i="13"/>
  <c r="K647" i="13"/>
  <c r="K618" i="13"/>
  <c r="K610" i="13"/>
  <c r="K597" i="13"/>
  <c r="K696" i="13"/>
  <c r="K701" i="13"/>
  <c r="K699" i="13"/>
  <c r="K668" i="13"/>
  <c r="K653" i="13"/>
  <c r="K666" i="13"/>
  <c r="K1213" i="13"/>
  <c r="K902" i="13"/>
  <c r="K884" i="13"/>
  <c r="K864" i="13"/>
  <c r="K552" i="13"/>
  <c r="K545" i="13"/>
  <c r="K1212" i="13"/>
  <c r="K1139" i="13"/>
  <c r="K901" i="13"/>
  <c r="K883" i="13"/>
  <c r="K863" i="13"/>
  <c r="K777" i="13"/>
  <c r="K562" i="13"/>
  <c r="K551" i="13"/>
  <c r="K544" i="13"/>
  <c r="K151" i="13"/>
  <c r="K150" i="13"/>
  <c r="K266" i="13"/>
  <c r="K451" i="13"/>
  <c r="K267" i="13"/>
  <c r="K358" i="13"/>
  <c r="K357" i="13"/>
  <c r="K133" i="13"/>
  <c r="K132" i="13"/>
  <c r="K108" i="13"/>
  <c r="K107" i="13"/>
  <c r="K95" i="13"/>
  <c r="K94" i="13"/>
  <c r="K18" i="13"/>
  <c r="K17" i="13"/>
  <c r="K1269" i="13"/>
  <c r="K1178" i="13"/>
  <c r="K1124" i="13"/>
  <c r="K1072" i="13"/>
  <c r="K1064" i="13"/>
  <c r="K638" i="13"/>
  <c r="K598" i="13"/>
  <c r="K591" i="13"/>
  <c r="K693" i="13"/>
  <c r="K620" i="13"/>
  <c r="K612" i="13"/>
  <c r="K604" i="13"/>
  <c r="K249" i="13"/>
  <c r="K1270" i="13"/>
  <c r="K1179" i="13"/>
  <c r="K1125" i="13"/>
  <c r="K1073" i="13"/>
  <c r="K1065" i="13"/>
  <c r="K639" i="13"/>
  <c r="K599" i="13"/>
  <c r="K592" i="13"/>
  <c r="K694" i="13"/>
  <c r="K621" i="13"/>
  <c r="K613" i="13"/>
  <c r="K605" i="13"/>
  <c r="K250" i="13"/>
  <c r="K1062" i="13"/>
  <c r="K602" i="13"/>
  <c r="K769" i="13"/>
  <c r="K758" i="13"/>
  <c r="K1076" i="13"/>
  <c r="K1068" i="13"/>
  <c r="K624" i="13"/>
  <c r="K616" i="13"/>
  <c r="K608" i="13"/>
  <c r="K1180" i="13"/>
  <c r="K1074" i="13"/>
  <c r="K1066" i="13"/>
  <c r="K640" i="13"/>
  <c r="K593" i="13"/>
  <c r="K695" i="13"/>
  <c r="K622" i="13"/>
  <c r="K614" i="13"/>
  <c r="K606" i="13"/>
  <c r="K600" i="13"/>
  <c r="K251" i="13"/>
  <c r="K1069" i="13"/>
  <c r="K634" i="13"/>
  <c r="K617" i="13"/>
  <c r="K609" i="13"/>
  <c r="K596" i="13"/>
  <c r="K700" i="13"/>
  <c r="K652" i="13"/>
  <c r="K667" i="13"/>
  <c r="K1071" i="13"/>
  <c r="K1063" i="13"/>
  <c r="K619" i="13"/>
  <c r="K611" i="13"/>
  <c r="K603" i="13"/>
  <c r="K635" i="13"/>
  <c r="K7" i="4"/>
  <c r="F248" i="4"/>
  <c r="F267" i="4"/>
  <c r="F268" i="4"/>
  <c r="U409" i="13"/>
  <c r="U407" i="13"/>
  <c r="U408" i="13"/>
  <c r="P29" i="13"/>
  <c r="P30" i="13"/>
  <c r="P46" i="13"/>
  <c r="P47" i="13"/>
  <c r="P121" i="13"/>
  <c r="P131" i="13"/>
  <c r="P134" i="13"/>
  <c r="P137" i="13"/>
  <c r="P138" i="13"/>
  <c r="R155" i="13"/>
  <c r="R325" i="13"/>
  <c r="P416" i="13"/>
  <c r="P417" i="13"/>
  <c r="P423" i="13"/>
  <c r="P432" i="13"/>
  <c r="P703" i="13"/>
  <c r="P704" i="13"/>
  <c r="P705" i="13"/>
  <c r="P771" i="13"/>
  <c r="P798" i="13"/>
  <c r="P799" i="13"/>
  <c r="P820" i="13"/>
  <c r="P928" i="13"/>
  <c r="T952" i="13"/>
  <c r="T951" i="13"/>
  <c r="T950" i="13"/>
  <c r="P986" i="13"/>
  <c r="P987" i="13"/>
  <c r="R1138" i="13"/>
  <c r="P26" i="6"/>
  <c r="P28" i="6"/>
  <c r="P38" i="6"/>
  <c r="P127" i="6"/>
  <c r="P128" i="6"/>
  <c r="P1252" i="13"/>
  <c r="P121" i="6"/>
  <c r="P122" i="6"/>
  <c r="P153" i="6"/>
  <c r="P155" i="6"/>
  <c r="P157" i="6"/>
  <c r="P170" i="6"/>
  <c r="P172" i="6"/>
  <c r="P174" i="6"/>
  <c r="P176" i="6"/>
  <c r="P198" i="6"/>
  <c r="P200" i="6"/>
  <c r="P202" i="6"/>
  <c r="P213" i="6"/>
  <c r="P215" i="6"/>
  <c r="P217" i="6"/>
  <c r="P219" i="6"/>
  <c r="P268" i="6"/>
  <c r="P132" i="6"/>
  <c r="P134" i="6"/>
  <c r="P136" i="6"/>
  <c r="P159" i="6"/>
  <c r="P161" i="6"/>
  <c r="P163" i="6"/>
  <c r="P165" i="6"/>
  <c r="P167" i="6"/>
  <c r="P440" i="6"/>
  <c r="P462" i="6"/>
  <c r="U340" i="6"/>
  <c r="U341" i="6"/>
  <c r="U342" i="6"/>
  <c r="U343" i="6"/>
  <c r="U344" i="6"/>
  <c r="U345" i="6"/>
  <c r="U346" i="6"/>
  <c r="U347" i="6"/>
  <c r="U348" i="6"/>
  <c r="U349" i="6"/>
  <c r="U350" i="6"/>
  <c r="U351" i="6"/>
  <c r="U352" i="6"/>
  <c r="U353" i="6"/>
  <c r="U354" i="6"/>
  <c r="U355" i="6"/>
  <c r="U356" i="6"/>
  <c r="U357" i="6"/>
  <c r="U358" i="6"/>
  <c r="P367" i="6"/>
  <c r="F32" i="17413"/>
  <c r="R359" i="6"/>
  <c r="R175" i="17412"/>
  <c r="S175" i="17412"/>
  <c r="Q14" i="17418" l="1"/>
  <c r="I14" i="14"/>
  <c r="R606" i="4"/>
  <c r="S17" i="17418"/>
  <c r="S22" i="17418"/>
  <c r="S20" i="17418" s="1"/>
  <c r="S16" i="17418"/>
  <c r="S21" i="17418"/>
  <c r="S19" i="17418"/>
  <c r="S18" i="17418" s="1"/>
  <c r="R22" i="17418"/>
  <c r="R20" i="17418" s="1"/>
  <c r="R17" i="17418"/>
  <c r="G32" i="17422" s="1"/>
  <c r="AF32" i="17422" s="1"/>
  <c r="R16" i="17418"/>
  <c r="R21" i="17418"/>
  <c r="R19" i="17418"/>
  <c r="R18" i="17418" s="1"/>
  <c r="W1086" i="4"/>
  <c r="X1084" i="4"/>
  <c r="T1084" i="4"/>
  <c r="W1082" i="4"/>
  <c r="AO1085" i="4"/>
  <c r="W1085" i="4"/>
  <c r="AO1083" i="4"/>
  <c r="W1083" i="4"/>
  <c r="AO1081" i="4"/>
  <c r="W1081" i="4"/>
  <c r="X1086" i="4"/>
  <c r="T1086" i="4"/>
  <c r="V1085" i="4"/>
  <c r="U1084" i="4"/>
  <c r="V1083" i="4"/>
  <c r="X1082" i="4"/>
  <c r="T1082" i="4"/>
  <c r="V1081" i="4"/>
  <c r="T1083" i="4"/>
  <c r="U1083" i="4"/>
  <c r="V1086" i="4"/>
  <c r="U1081" i="4"/>
  <c r="X1081" i="4"/>
  <c r="AO1084" i="4"/>
  <c r="X1085" i="4"/>
  <c r="V1082" i="4"/>
  <c r="U1085" i="4"/>
  <c r="X1083" i="4"/>
  <c r="U1086" i="4"/>
  <c r="AO1082" i="4"/>
  <c r="V1084" i="4"/>
  <c r="U1082" i="4"/>
  <c r="W1084" i="4"/>
  <c r="AO1086" i="4"/>
  <c r="T1081" i="4"/>
  <c r="T1085" i="4"/>
  <c r="AO1037" i="4"/>
  <c r="W1037" i="4"/>
  <c r="V1037" i="4"/>
  <c r="U1037" i="4"/>
  <c r="T1037" i="4"/>
  <c r="X1037" i="4"/>
  <c r="U1080" i="4"/>
  <c r="V1079" i="4"/>
  <c r="V1078" i="4"/>
  <c r="U1077" i="4"/>
  <c r="V1080" i="4"/>
  <c r="AO1079" i="4"/>
  <c r="W1079" i="4"/>
  <c r="AO1078" i="4"/>
  <c r="W1078" i="4"/>
  <c r="V1077" i="4"/>
  <c r="T1077" i="4"/>
  <c r="U1078" i="4"/>
  <c r="AO1077" i="4"/>
  <c r="T1079" i="4"/>
  <c r="X1077" i="4"/>
  <c r="AO1080" i="4"/>
  <c r="T1080" i="4"/>
  <c r="W1077" i="4"/>
  <c r="X1079" i="4"/>
  <c r="T1078" i="4"/>
  <c r="W1080" i="4"/>
  <c r="X1080" i="4"/>
  <c r="U1079" i="4"/>
  <c r="X1078" i="4"/>
  <c r="T1438" i="13"/>
  <c r="V485" i="4"/>
  <c r="AO484" i="4"/>
  <c r="W484" i="4"/>
  <c r="X483" i="4"/>
  <c r="T483" i="4"/>
  <c r="U485" i="4"/>
  <c r="V484" i="4"/>
  <c r="AO483" i="4"/>
  <c r="W483" i="4"/>
  <c r="W485" i="4"/>
  <c r="X485" i="4"/>
  <c r="T484" i="4"/>
  <c r="U484" i="4"/>
  <c r="U483" i="4"/>
  <c r="V483" i="4"/>
  <c r="X484" i="4"/>
  <c r="AO485" i="4"/>
  <c r="T485" i="4"/>
  <c r="W450" i="4"/>
  <c r="V450" i="4"/>
  <c r="U450" i="4"/>
  <c r="T450" i="4"/>
  <c r="X450" i="4"/>
  <c r="AO450" i="4"/>
  <c r="W449" i="4"/>
  <c r="V449" i="4"/>
  <c r="T449" i="4"/>
  <c r="U449" i="4"/>
  <c r="X449" i="4"/>
  <c r="AO449" i="4"/>
  <c r="X454" i="4"/>
  <c r="T454" i="4"/>
  <c r="AO454" i="4"/>
  <c r="W454" i="4"/>
  <c r="V454" i="4"/>
  <c r="U454" i="4"/>
  <c r="X1069" i="4"/>
  <c r="T1069" i="4"/>
  <c r="W1069" i="4"/>
  <c r="X1070" i="4"/>
  <c r="T1070" i="4"/>
  <c r="X1072" i="4"/>
  <c r="T1072" i="4"/>
  <c r="AO1070" i="4"/>
  <c r="W1070" i="4"/>
  <c r="X1071" i="4"/>
  <c r="T1071" i="4"/>
  <c r="U1068" i="4"/>
  <c r="AO1072" i="4"/>
  <c r="W1072" i="4"/>
  <c r="W1071" i="4"/>
  <c r="X1068" i="4"/>
  <c r="T1068" i="4"/>
  <c r="V1069" i="4"/>
  <c r="V1070" i="4"/>
  <c r="AO1068" i="4"/>
  <c r="V1072" i="4"/>
  <c r="V1068" i="4"/>
  <c r="W1068" i="4"/>
  <c r="U1069" i="4"/>
  <c r="V1071" i="4"/>
  <c r="U1071" i="4"/>
  <c r="AO1069" i="4"/>
  <c r="AO1071" i="4"/>
  <c r="U1070" i="4"/>
  <c r="U1072" i="4"/>
  <c r="AO1076" i="4"/>
  <c r="W1076" i="4"/>
  <c r="AO1074" i="4"/>
  <c r="W1074" i="4"/>
  <c r="U1073" i="4"/>
  <c r="X1075" i="4"/>
  <c r="T1075" i="4"/>
  <c r="X1073" i="4"/>
  <c r="T1073" i="4"/>
  <c r="W1075" i="4"/>
  <c r="X1076" i="4"/>
  <c r="T1076" i="4"/>
  <c r="X1074" i="4"/>
  <c r="T1074" i="4"/>
  <c r="AO1073" i="4"/>
  <c r="V1074" i="4"/>
  <c r="U1075" i="4"/>
  <c r="V1073" i="4"/>
  <c r="W1073" i="4"/>
  <c r="V1075" i="4"/>
  <c r="AO1075" i="4"/>
  <c r="U1074" i="4"/>
  <c r="V1076" i="4"/>
  <c r="U1076" i="4"/>
  <c r="X1067" i="4"/>
  <c r="T1067" i="4"/>
  <c r="X1065" i="4"/>
  <c r="T1065" i="4"/>
  <c r="X1063" i="4"/>
  <c r="T1063" i="4"/>
  <c r="X1061" i="4"/>
  <c r="T1061" i="4"/>
  <c r="V1060" i="4"/>
  <c r="X1066" i="4"/>
  <c r="T1066" i="4"/>
  <c r="X1064" i="4"/>
  <c r="T1064" i="4"/>
  <c r="X1062" i="4"/>
  <c r="T1062" i="4"/>
  <c r="U1067" i="4"/>
  <c r="AO1066" i="4"/>
  <c r="W1066" i="4"/>
  <c r="U1065" i="4"/>
  <c r="AO1064" i="4"/>
  <c r="W1064" i="4"/>
  <c r="U1063" i="4"/>
  <c r="AO1062" i="4"/>
  <c r="W1062" i="4"/>
  <c r="U1061" i="4"/>
  <c r="AO1060" i="4"/>
  <c r="W1060" i="4"/>
  <c r="AO1061" i="4"/>
  <c r="X1060" i="4"/>
  <c r="V1066" i="4"/>
  <c r="U1062" i="4"/>
  <c r="W1065" i="4"/>
  <c r="W1061" i="4"/>
  <c r="V1064" i="4"/>
  <c r="U1060" i="4"/>
  <c r="V1061" i="4"/>
  <c r="V1065" i="4"/>
  <c r="W1063" i="4"/>
  <c r="U1066" i="4"/>
  <c r="V1067" i="4"/>
  <c r="AO1063" i="4"/>
  <c r="V1062" i="4"/>
  <c r="U1064" i="4"/>
  <c r="AO1067" i="4"/>
  <c r="T1060" i="4"/>
  <c r="V1063" i="4"/>
  <c r="AO1065" i="4"/>
  <c r="W1067" i="4"/>
  <c r="X713" i="4"/>
  <c r="T713" i="4"/>
  <c r="X711" i="4"/>
  <c r="T711" i="4"/>
  <c r="X709" i="4"/>
  <c r="T709" i="4"/>
  <c r="W714" i="4"/>
  <c r="X712" i="4"/>
  <c r="T712" i="4"/>
  <c r="X710" i="4"/>
  <c r="T710" i="4"/>
  <c r="X701" i="4"/>
  <c r="T701" i="4"/>
  <c r="AO700" i="4"/>
  <c r="W700" i="4"/>
  <c r="U699" i="4"/>
  <c r="AO698" i="4"/>
  <c r="W698" i="4"/>
  <c r="U697" i="4"/>
  <c r="AO696" i="4"/>
  <c r="W696" i="4"/>
  <c r="V714" i="4"/>
  <c r="U713" i="4"/>
  <c r="AO712" i="4"/>
  <c r="W712" i="4"/>
  <c r="U711" i="4"/>
  <c r="AO710" i="4"/>
  <c r="X699" i="4"/>
  <c r="W710" i="4"/>
  <c r="U709" i="4"/>
  <c r="W701" i="4"/>
  <c r="V700" i="4"/>
  <c r="T699" i="4"/>
  <c r="AO701" i="4"/>
  <c r="X697" i="4"/>
  <c r="T697" i="4"/>
  <c r="V698" i="4"/>
  <c r="V696" i="4"/>
  <c r="V697" i="4"/>
  <c r="T700" i="4"/>
  <c r="U700" i="4"/>
  <c r="U710" i="4"/>
  <c r="T696" i="4"/>
  <c r="X698" i="4"/>
  <c r="AO711" i="4"/>
  <c r="W713" i="4"/>
  <c r="U698" i="4"/>
  <c r="V711" i="4"/>
  <c r="V710" i="4"/>
  <c r="X700" i="4"/>
  <c r="T714" i="4"/>
  <c r="AO697" i="4"/>
  <c r="U701" i="4"/>
  <c r="V712" i="4"/>
  <c r="X696" i="4"/>
  <c r="V701" i="4"/>
  <c r="W711" i="4"/>
  <c r="V699" i="4"/>
  <c r="W709" i="4"/>
  <c r="AO714" i="4"/>
  <c r="T698" i="4"/>
  <c r="AO709" i="4"/>
  <c r="AO699" i="4"/>
  <c r="X714" i="4"/>
  <c r="W697" i="4"/>
  <c r="V713" i="4"/>
  <c r="V709" i="4"/>
  <c r="W699" i="4"/>
  <c r="U712" i="4"/>
  <c r="U696" i="4"/>
  <c r="U714" i="4"/>
  <c r="AO713" i="4"/>
  <c r="AO1438" i="13"/>
  <c r="W1438" i="13"/>
  <c r="U1438" i="13"/>
  <c r="V1438" i="13"/>
  <c r="W1493" i="13"/>
  <c r="X1438" i="13"/>
  <c r="T1493" i="13"/>
  <c r="AO1493" i="13"/>
  <c r="X1493" i="13"/>
  <c r="V1493" i="13"/>
  <c r="W1012" i="4"/>
  <c r="S1012" i="4"/>
  <c r="T1012" i="4"/>
  <c r="V1012" i="4"/>
  <c r="U1012" i="4"/>
  <c r="Q824" i="13"/>
  <c r="T516" i="4"/>
  <c r="W516" i="4"/>
  <c r="S516" i="4"/>
  <c r="V516" i="4"/>
  <c r="V1375" i="13"/>
  <c r="AO1379" i="13"/>
  <c r="U1375" i="13"/>
  <c r="U1379" i="13"/>
  <c r="V1379" i="13"/>
  <c r="W1374" i="13"/>
  <c r="W1379" i="13"/>
  <c r="W1375" i="13"/>
  <c r="T1379" i="13"/>
  <c r="T1375" i="13"/>
  <c r="X1375" i="13"/>
  <c r="AO1375" i="13"/>
  <c r="X1379" i="13"/>
  <c r="T1374" i="13"/>
  <c r="AO1374" i="13"/>
  <c r="V1374" i="13"/>
  <c r="U1374" i="13"/>
  <c r="X1374" i="13"/>
  <c r="W1366" i="13"/>
  <c r="V1376" i="13"/>
  <c r="U1381" i="13"/>
  <c r="T1377" i="13"/>
  <c r="V1378" i="13"/>
  <c r="T1373" i="13"/>
  <c r="AO1380" i="13"/>
  <c r="W1372" i="13"/>
  <c r="AO1376" i="13"/>
  <c r="U1380" i="13"/>
  <c r="X1372" i="13"/>
  <c r="V1377" i="13"/>
  <c r="W1373" i="13"/>
  <c r="T1380" i="13"/>
  <c r="AO1371" i="13"/>
  <c r="AN598" i="4" s="1"/>
  <c r="X1377" i="13"/>
  <c r="X1371" i="13"/>
  <c r="AV598" i="4" s="1"/>
  <c r="U1373" i="13"/>
  <c r="X1380" i="13"/>
  <c r="W1371" i="13"/>
  <c r="AO1372" i="13"/>
  <c r="V1381" i="13"/>
  <c r="V1373" i="13"/>
  <c r="T1378" i="13"/>
  <c r="W1381" i="13"/>
  <c r="V1372" i="13"/>
  <c r="U1376" i="13"/>
  <c r="T1381" i="13"/>
  <c r="W1380" i="13"/>
  <c r="AO1373" i="13"/>
  <c r="U1371" i="13"/>
  <c r="W1378" i="13"/>
  <c r="V1371" i="13"/>
  <c r="T1376" i="13"/>
  <c r="X1378" i="13"/>
  <c r="AO1381" i="13"/>
  <c r="W1377" i="13"/>
  <c r="X1381" i="13"/>
  <c r="U1377" i="13"/>
  <c r="X1373" i="13"/>
  <c r="U1372" i="13"/>
  <c r="U1378" i="13"/>
  <c r="T1371" i="13"/>
  <c r="W1376" i="13"/>
  <c r="AO1378" i="13"/>
  <c r="T1372" i="13"/>
  <c r="X1376" i="13"/>
  <c r="V1380" i="13"/>
  <c r="AO1377" i="13"/>
  <c r="U1368" i="13"/>
  <c r="X1364" i="13"/>
  <c r="V1365" i="13"/>
  <c r="T1364" i="13"/>
  <c r="T1367" i="13"/>
  <c r="T1365" i="13"/>
  <c r="X1366" i="13"/>
  <c r="V1369" i="13"/>
  <c r="V1364" i="13"/>
  <c r="W1369" i="13"/>
  <c r="W1407" i="13"/>
  <c r="X1369" i="13"/>
  <c r="V1368" i="13"/>
  <c r="U1369" i="13"/>
  <c r="X1367" i="13"/>
  <c r="V1363" i="13"/>
  <c r="X1365" i="13"/>
  <c r="V1367" i="13"/>
  <c r="V1370" i="13"/>
  <c r="W1367" i="13"/>
  <c r="AO1369" i="13"/>
  <c r="W1363" i="13"/>
  <c r="W1365" i="13"/>
  <c r="AO1366" i="13"/>
  <c r="AO1370" i="13"/>
  <c r="U1370" i="13"/>
  <c r="U1366" i="13"/>
  <c r="X1370" i="13"/>
  <c r="U1365" i="13"/>
  <c r="T1370" i="13"/>
  <c r="T1368" i="13"/>
  <c r="T1363" i="13"/>
  <c r="AO1367" i="13"/>
  <c r="AO1363" i="13"/>
  <c r="AN597" i="4" s="1"/>
  <c r="AO598" i="4" s="1"/>
  <c r="AO1365" i="13"/>
  <c r="W1364" i="13"/>
  <c r="T1369" i="13"/>
  <c r="AO1364" i="13"/>
  <c r="AO1368" i="13"/>
  <c r="U1367" i="13"/>
  <c r="V1366" i="13"/>
  <c r="U1363" i="13"/>
  <c r="T1366" i="13"/>
  <c r="X1368" i="13"/>
  <c r="X1363" i="13"/>
  <c r="AV597" i="4" s="1"/>
  <c r="W1370" i="13"/>
  <c r="U1364" i="13"/>
  <c r="W1368" i="13"/>
  <c r="T598" i="4"/>
  <c r="V597" i="4"/>
  <c r="W598" i="4"/>
  <c r="U597" i="4"/>
  <c r="U598" i="4"/>
  <c r="T597" i="4"/>
  <c r="W597" i="4"/>
  <c r="V598" i="4"/>
  <c r="W1013" i="4"/>
  <c r="V1013" i="4"/>
  <c r="T1013" i="4"/>
  <c r="U1013" i="4"/>
  <c r="U1407" i="13"/>
  <c r="X1407" i="13"/>
  <c r="V1407" i="13"/>
  <c r="AO1407" i="13"/>
  <c r="T1011" i="4"/>
  <c r="W1011" i="4"/>
  <c r="U1011" i="4"/>
  <c r="V1011" i="4"/>
  <c r="W1413" i="13"/>
  <c r="L114" i="4"/>
  <c r="L106" i="4"/>
  <c r="L137" i="4"/>
  <c r="W1010" i="4"/>
  <c r="V1010" i="4"/>
  <c r="T1010" i="4"/>
  <c r="U1010" i="4"/>
  <c r="Q1034" i="13"/>
  <c r="V1405" i="13"/>
  <c r="V1404" i="13"/>
  <c r="W1409" i="13"/>
  <c r="AO1413" i="13"/>
  <c r="X1408" i="13"/>
  <c r="AO1408" i="13"/>
  <c r="X1409" i="13"/>
  <c r="X1413" i="13"/>
  <c r="X1412" i="13"/>
  <c r="X1405" i="13"/>
  <c r="V1406" i="13"/>
  <c r="X1410" i="13"/>
  <c r="W1411" i="13"/>
  <c r="W1412" i="13"/>
  <c r="W1404" i="13"/>
  <c r="W1410" i="13"/>
  <c r="AO1404" i="13"/>
  <c r="AO1410" i="13"/>
  <c r="AO1406" i="13"/>
  <c r="X1404" i="13"/>
  <c r="U1411" i="13"/>
  <c r="V1408" i="13"/>
  <c r="X1411" i="13"/>
  <c r="L1418" i="13"/>
  <c r="L1409" i="13"/>
  <c r="V1412" i="13"/>
  <c r="X1406" i="13"/>
  <c r="AO1412" i="13"/>
  <c r="AO1409" i="13"/>
  <c r="U1406" i="13"/>
  <c r="AO1405" i="13"/>
  <c r="V1410" i="13"/>
  <c r="W1406" i="13"/>
  <c r="U1404" i="13"/>
  <c r="U1409" i="13"/>
  <c r="U1405" i="13"/>
  <c r="W1408" i="13"/>
  <c r="V1413" i="13"/>
  <c r="V1409" i="13"/>
  <c r="AO1411" i="13"/>
  <c r="V1411" i="13"/>
  <c r="U1413" i="13"/>
  <c r="W1405" i="13"/>
  <c r="U1408" i="13"/>
  <c r="U1412" i="13"/>
  <c r="U1410" i="13"/>
  <c r="T510" i="4"/>
  <c r="U510" i="4"/>
  <c r="W510" i="4"/>
  <c r="V510" i="4"/>
  <c r="T508" i="4"/>
  <c r="W507" i="4"/>
  <c r="T509" i="4"/>
  <c r="W508" i="4"/>
  <c r="T507" i="4"/>
  <c r="W509" i="4"/>
  <c r="U508" i="4"/>
  <c r="U509" i="4"/>
  <c r="V509" i="4"/>
  <c r="V508" i="4"/>
  <c r="V507" i="4"/>
  <c r="U507" i="4"/>
  <c r="G603" i="1"/>
  <c r="H603" i="1" s="1"/>
  <c r="G598" i="1"/>
  <c r="H598" i="1" s="1"/>
  <c r="T137" i="17412"/>
  <c r="R38" i="14"/>
  <c r="R24" i="14"/>
  <c r="R10" i="14"/>
  <c r="R41" i="14"/>
  <c r="R22" i="14"/>
  <c r="G44" i="12"/>
  <c r="G35" i="17422"/>
  <c r="AF35" i="17422" s="1"/>
  <c r="R27" i="14"/>
  <c r="H44" i="12"/>
  <c r="R53" i="14"/>
  <c r="R36" i="14"/>
  <c r="R9" i="14"/>
  <c r="R55" i="14"/>
  <c r="F35" i="17422"/>
  <c r="AE35" i="17422" s="1"/>
  <c r="G611" i="1"/>
  <c r="H611" i="1" s="1"/>
  <c r="G38" i="17422"/>
  <c r="AF38" i="17422" s="1"/>
  <c r="G608" i="1"/>
  <c r="H608" i="1" s="1"/>
  <c r="R124" i="6"/>
  <c r="G607" i="1"/>
  <c r="H607" i="1" s="1"/>
  <c r="R117" i="6"/>
  <c r="G602" i="1"/>
  <c r="H602" i="1" s="1"/>
  <c r="R126" i="6"/>
  <c r="G610" i="1"/>
  <c r="H610" i="1" s="1"/>
  <c r="R1156" i="13"/>
  <c r="G562" i="1"/>
  <c r="H562" i="1" s="1"/>
  <c r="R432" i="13"/>
  <c r="R705" i="13"/>
  <c r="R322" i="4"/>
  <c r="G285" i="1"/>
  <c r="H285" i="1" s="1"/>
  <c r="G612" i="1"/>
  <c r="H612" i="1" s="1"/>
  <c r="R123" i="6"/>
  <c r="G606" i="1"/>
  <c r="H606" i="1" s="1"/>
  <c r="R125" i="6"/>
  <c r="G609" i="1"/>
  <c r="H609" i="1" s="1"/>
  <c r="G150" i="1"/>
  <c r="H150" i="1" s="1"/>
  <c r="R546" i="13"/>
  <c r="G589" i="1"/>
  <c r="H589" i="1" s="1"/>
  <c r="R704" i="13"/>
  <c r="R131" i="13"/>
  <c r="G88" i="1"/>
  <c r="H88" i="1" s="1"/>
  <c r="R414" i="4"/>
  <c r="G749" i="1"/>
  <c r="H749" i="1" s="1"/>
  <c r="R406" i="4"/>
  <c r="G743" i="1"/>
  <c r="H743" i="1" s="1"/>
  <c r="R321" i="4"/>
  <c r="G284" i="1"/>
  <c r="H284" i="1" s="1"/>
  <c r="R413" i="4"/>
  <c r="G748" i="1"/>
  <c r="H748" i="1" s="1"/>
  <c r="R405" i="4"/>
  <c r="G742" i="1"/>
  <c r="H742" i="1" s="1"/>
  <c r="R324" i="4"/>
  <c r="G287" i="1"/>
  <c r="H287" i="1" s="1"/>
  <c r="R316" i="4"/>
  <c r="G279" i="1"/>
  <c r="H279" i="1" s="1"/>
  <c r="R139" i="4"/>
  <c r="R412" i="4"/>
  <c r="G747" i="1"/>
  <c r="H747" i="1" s="1"/>
  <c r="R400" i="4"/>
  <c r="G737" i="1"/>
  <c r="H737" i="1" s="1"/>
  <c r="R319" i="4"/>
  <c r="G282" i="1"/>
  <c r="H282" i="1" s="1"/>
  <c r="R138" i="4"/>
  <c r="G605" i="1"/>
  <c r="H605" i="1" s="1"/>
  <c r="G601" i="1"/>
  <c r="H601" i="1" s="1"/>
  <c r="R115" i="6"/>
  <c r="G600" i="1"/>
  <c r="H600" i="1" s="1"/>
  <c r="R702" i="13"/>
  <c r="R703" i="13"/>
  <c r="R317" i="4"/>
  <c r="G280" i="1"/>
  <c r="H280" i="1" s="1"/>
  <c r="R119" i="6"/>
  <c r="G596" i="1"/>
  <c r="H596" i="1" s="1"/>
  <c r="G599" i="1"/>
  <c r="H599" i="1" s="1"/>
  <c r="G597" i="1"/>
  <c r="H597" i="1" s="1"/>
  <c r="R403" i="4"/>
  <c r="G740" i="1"/>
  <c r="H740" i="1" s="1"/>
  <c r="R318" i="4"/>
  <c r="G281" i="1"/>
  <c r="H281" i="1" s="1"/>
  <c r="R410" i="4"/>
  <c r="G745" i="1"/>
  <c r="H745" i="1" s="1"/>
  <c r="R402" i="4"/>
  <c r="G739" i="1"/>
  <c r="H739" i="1" s="1"/>
  <c r="R409" i="4"/>
  <c r="G744" i="1"/>
  <c r="H744" i="1" s="1"/>
  <c r="R401" i="4"/>
  <c r="G738" i="1"/>
  <c r="H738" i="1" s="1"/>
  <c r="R337" i="4"/>
  <c r="R320" i="4"/>
  <c r="G283" i="1"/>
  <c r="H283" i="1" s="1"/>
  <c r="R416" i="4"/>
  <c r="G751" i="1"/>
  <c r="H751" i="1" s="1"/>
  <c r="R404" i="4"/>
  <c r="G741" i="1"/>
  <c r="H741" i="1" s="1"/>
  <c r="R323" i="4"/>
  <c r="G286" i="1"/>
  <c r="H286" i="1" s="1"/>
  <c r="W1001" i="4"/>
  <c r="AO1000" i="4"/>
  <c r="W1000" i="4"/>
  <c r="AO1002" i="4"/>
  <c r="W1002" i="4"/>
  <c r="T1000" i="4"/>
  <c r="X1001" i="4"/>
  <c r="T1001" i="4"/>
  <c r="X1002" i="4"/>
  <c r="T1002" i="4"/>
  <c r="X1000" i="4"/>
  <c r="U1000" i="4"/>
  <c r="V1000" i="4"/>
  <c r="V1001" i="4"/>
  <c r="AO1001" i="4"/>
  <c r="V1002" i="4"/>
  <c r="U1001" i="4"/>
  <c r="U1002" i="4"/>
  <c r="AO995" i="4"/>
  <c r="W995" i="4"/>
  <c r="X994" i="4"/>
  <c r="T994" i="4"/>
  <c r="V999" i="4"/>
  <c r="AO998" i="4"/>
  <c r="W998" i="4"/>
  <c r="X997" i="4"/>
  <c r="T997" i="4"/>
  <c r="U996" i="4"/>
  <c r="V998" i="4"/>
  <c r="AO997" i="4"/>
  <c r="W997" i="4"/>
  <c r="X996" i="4"/>
  <c r="T996" i="4"/>
  <c r="X995" i="4"/>
  <c r="T995" i="4"/>
  <c r="U994" i="4"/>
  <c r="U999" i="4"/>
  <c r="V994" i="4"/>
  <c r="AO994" i="4"/>
  <c r="AO996" i="4"/>
  <c r="X999" i="4"/>
  <c r="V997" i="4"/>
  <c r="X998" i="4"/>
  <c r="V995" i="4"/>
  <c r="W994" i="4"/>
  <c r="AO999" i="4"/>
  <c r="W996" i="4"/>
  <c r="U998" i="4"/>
  <c r="V996" i="4"/>
  <c r="W999" i="4"/>
  <c r="U997" i="4"/>
  <c r="U995" i="4"/>
  <c r="T999" i="4"/>
  <c r="T998" i="4"/>
  <c r="U1458" i="13"/>
  <c r="V1457" i="13"/>
  <c r="V1456" i="13"/>
  <c r="W1457" i="13"/>
  <c r="AO1456" i="13"/>
  <c r="U1456" i="13"/>
  <c r="X1456" i="13"/>
  <c r="V974" i="4"/>
  <c r="W974" i="4"/>
  <c r="S974" i="4"/>
  <c r="T974" i="4"/>
  <c r="U974" i="4"/>
  <c r="X1458" i="13"/>
  <c r="V1455" i="13"/>
  <c r="AO1455" i="13"/>
  <c r="AO1458" i="13"/>
  <c r="T1455" i="13"/>
  <c r="U1455" i="13"/>
  <c r="T1457" i="13"/>
  <c r="T1458" i="13"/>
  <c r="W1458" i="13"/>
  <c r="X1455" i="13"/>
  <c r="V1458" i="13"/>
  <c r="X1457" i="13"/>
  <c r="W1456" i="13"/>
  <c r="W1455" i="13"/>
  <c r="AO1457" i="13"/>
  <c r="U1457" i="13"/>
  <c r="T1456" i="13"/>
  <c r="AO1038" i="4"/>
  <c r="W1038" i="4"/>
  <c r="X1035" i="4"/>
  <c r="T1035" i="4"/>
  <c r="X1038" i="4"/>
  <c r="T1038" i="4"/>
  <c r="AO1036" i="4"/>
  <c r="W1036" i="4"/>
  <c r="U1035" i="4"/>
  <c r="V1036" i="4"/>
  <c r="X1036" i="4"/>
  <c r="U1036" i="4"/>
  <c r="AO1035" i="4"/>
  <c r="W1035" i="4"/>
  <c r="U1038" i="4"/>
  <c r="T1036" i="4"/>
  <c r="V1035" i="4"/>
  <c r="V1038" i="4"/>
  <c r="X1033" i="4"/>
  <c r="T1033" i="4"/>
  <c r="AO1032" i="4"/>
  <c r="W1032" i="4"/>
  <c r="X1032" i="4"/>
  <c r="T1032" i="4"/>
  <c r="W1034" i="4"/>
  <c r="X1034" i="4"/>
  <c r="T1034" i="4"/>
  <c r="AO1034" i="4"/>
  <c r="U1033" i="4"/>
  <c r="U1032" i="4"/>
  <c r="AO1033" i="4"/>
  <c r="U1034" i="4"/>
  <c r="V1034" i="4"/>
  <c r="W1033" i="4"/>
  <c r="V1033" i="4"/>
  <c r="V1032" i="4"/>
  <c r="R345" i="4"/>
  <c r="W561" i="4"/>
  <c r="W562" i="4"/>
  <c r="W563" i="4"/>
  <c r="V562" i="4"/>
  <c r="T561" i="4"/>
  <c r="V563" i="4"/>
  <c r="T563" i="4"/>
  <c r="T562" i="4"/>
  <c r="V561" i="4"/>
  <c r="P518" i="4"/>
  <c r="U516" i="4" s="1"/>
  <c r="R518" i="4"/>
  <c r="T554" i="4"/>
  <c r="T556" i="4"/>
  <c r="V555" i="4"/>
  <c r="V553" i="4"/>
  <c r="T560" i="4"/>
  <c r="W559" i="4"/>
  <c r="W557" i="4"/>
  <c r="W555" i="4"/>
  <c r="W553" i="4"/>
  <c r="W560" i="4"/>
  <c r="V559" i="4"/>
  <c r="T558" i="4"/>
  <c r="V557" i="4"/>
  <c r="V554" i="4"/>
  <c r="T559" i="4"/>
  <c r="T555" i="4"/>
  <c r="T557" i="4"/>
  <c r="V556" i="4"/>
  <c r="V558" i="4"/>
  <c r="T553" i="4"/>
  <c r="W556" i="4"/>
  <c r="W558" i="4"/>
  <c r="V560" i="4"/>
  <c r="W554" i="4"/>
  <c r="U488" i="4"/>
  <c r="X488" i="4"/>
  <c r="V488" i="4"/>
  <c r="W488" i="4"/>
  <c r="V1005" i="4"/>
  <c r="W1005" i="4"/>
  <c r="T1004" i="4"/>
  <c r="W1004" i="4"/>
  <c r="T1005" i="4"/>
  <c r="V1004" i="4"/>
  <c r="V1025" i="4"/>
  <c r="T1021" i="4"/>
  <c r="W1021" i="4"/>
  <c r="S1021" i="4"/>
  <c r="W1025" i="4"/>
  <c r="S1025" i="4"/>
  <c r="T1025" i="4"/>
  <c r="U1025" i="4"/>
  <c r="U1021" i="4"/>
  <c r="V1021" i="4"/>
  <c r="R221" i="4"/>
  <c r="V253" i="4"/>
  <c r="AO252" i="4"/>
  <c r="AO253" i="4"/>
  <c r="W253" i="4"/>
  <c r="S253" i="4"/>
  <c r="X252" i="4"/>
  <c r="T252" i="4"/>
  <c r="W252" i="4"/>
  <c r="S252" i="4"/>
  <c r="V252" i="4"/>
  <c r="T253" i="4"/>
  <c r="U252" i="4"/>
  <c r="X253" i="4"/>
  <c r="U253" i="4"/>
  <c r="AN1212" i="13"/>
  <c r="AN551" i="13"/>
  <c r="AN618" i="13"/>
  <c r="F20" i="12"/>
  <c r="F22" i="12"/>
  <c r="F21" i="12"/>
  <c r="V1505" i="13"/>
  <c r="AN636" i="13"/>
  <c r="AN1070" i="13"/>
  <c r="AN777" i="13"/>
  <c r="AN562" i="13"/>
  <c r="AN544" i="13"/>
  <c r="J14" i="14"/>
  <c r="W1024" i="4"/>
  <c r="S1024" i="4"/>
  <c r="T1024" i="4"/>
  <c r="U1024" i="4"/>
  <c r="V1024" i="4"/>
  <c r="AO583" i="4"/>
  <c r="W583" i="4"/>
  <c r="X591" i="4"/>
  <c r="T591" i="4"/>
  <c r="V583" i="4"/>
  <c r="W591" i="4"/>
  <c r="T583" i="4"/>
  <c r="V591" i="4"/>
  <c r="AO591" i="4"/>
  <c r="U583" i="4"/>
  <c r="X583" i="4"/>
  <c r="U591" i="4"/>
  <c r="X1505" i="13"/>
  <c r="T1507" i="13"/>
  <c r="AO1504" i="13"/>
  <c r="X1506" i="13"/>
  <c r="X1503" i="13"/>
  <c r="AO1502" i="13"/>
  <c r="AN1009" i="4" s="1"/>
  <c r="AO1503" i="13"/>
  <c r="AO1505" i="13"/>
  <c r="U1504" i="13"/>
  <c r="V1504" i="13"/>
  <c r="AO1506" i="13"/>
  <c r="T1505" i="13"/>
  <c r="U1505" i="13"/>
  <c r="W1502" i="13"/>
  <c r="W1503" i="13"/>
  <c r="W1506" i="13"/>
  <c r="U1502" i="13"/>
  <c r="V1506" i="13"/>
  <c r="T1502" i="13"/>
  <c r="T1009" i="4"/>
  <c r="W1009" i="4"/>
  <c r="V1009" i="4"/>
  <c r="W1346" i="13"/>
  <c r="W1504" i="13"/>
  <c r="W1507" i="13"/>
  <c r="AO1507" i="13"/>
  <c r="V1502" i="13"/>
  <c r="V1507" i="13"/>
  <c r="X1502" i="13"/>
  <c r="AV1009" i="4" s="1"/>
  <c r="U1506" i="13"/>
  <c r="X1507" i="13"/>
  <c r="X1504" i="13"/>
  <c r="T1504" i="13"/>
  <c r="T1506" i="13"/>
  <c r="T1503" i="13"/>
  <c r="W1505" i="13"/>
  <c r="U1503" i="13"/>
  <c r="V1503" i="13"/>
  <c r="U1507" i="13"/>
  <c r="T1346" i="13"/>
  <c r="V1346" i="13"/>
  <c r="X1346" i="13"/>
  <c r="AO1346" i="13"/>
  <c r="U1346" i="13"/>
  <c r="X980" i="4"/>
  <c r="T980" i="4"/>
  <c r="W980" i="4"/>
  <c r="U980" i="4"/>
  <c r="V980" i="4"/>
  <c r="AO980" i="4"/>
  <c r="U1059" i="4"/>
  <c r="V1059" i="4"/>
  <c r="W1058" i="4"/>
  <c r="W1059" i="4"/>
  <c r="X1059" i="4"/>
  <c r="X1058" i="4"/>
  <c r="T1059" i="4"/>
  <c r="T1058" i="4"/>
  <c r="U1058" i="4"/>
  <c r="V1058" i="4"/>
  <c r="W1054" i="4"/>
  <c r="V1054" i="4"/>
  <c r="T1054" i="4"/>
  <c r="X1054" i="4"/>
  <c r="W1048" i="4"/>
  <c r="W1045" i="4"/>
  <c r="W1047" i="4"/>
  <c r="W1046" i="4"/>
  <c r="T1048" i="4"/>
  <c r="V1047" i="4"/>
  <c r="V1046" i="4"/>
  <c r="T1045" i="4"/>
  <c r="T1046" i="4"/>
  <c r="T1047" i="4"/>
  <c r="V1045" i="4"/>
  <c r="V1048" i="4"/>
  <c r="W1043" i="4"/>
  <c r="V1044" i="4"/>
  <c r="T1050" i="4"/>
  <c r="W1055" i="4"/>
  <c r="U1049" i="4"/>
  <c r="T1053" i="4"/>
  <c r="T1049" i="4"/>
  <c r="W1042" i="4"/>
  <c r="W1053" i="4"/>
  <c r="V1042" i="4"/>
  <c r="T1040" i="4"/>
  <c r="T1041" i="4"/>
  <c r="V1041" i="4"/>
  <c r="U1031" i="4"/>
  <c r="W1040" i="4"/>
  <c r="V1040" i="4"/>
  <c r="T1031" i="4"/>
  <c r="S1031" i="4"/>
  <c r="V1031" i="4"/>
  <c r="V1039" i="4"/>
  <c r="T1043" i="4"/>
  <c r="V1051" i="4"/>
  <c r="W1051" i="4"/>
  <c r="W1057" i="4"/>
  <c r="U1051" i="4"/>
  <c r="T1044" i="4"/>
  <c r="V1057" i="4"/>
  <c r="V1052" i="4"/>
  <c r="W1044" i="4"/>
  <c r="T1057" i="4"/>
  <c r="V1056" i="4"/>
  <c r="W1049" i="4"/>
  <c r="T1055" i="4"/>
  <c r="W1050" i="4"/>
  <c r="V1043" i="4"/>
  <c r="T1056" i="4"/>
  <c r="T1051" i="4"/>
  <c r="W1041" i="4"/>
  <c r="T1052" i="4"/>
  <c r="W1056" i="4"/>
  <c r="W1031" i="4"/>
  <c r="T1039" i="4"/>
  <c r="W1039" i="4"/>
  <c r="U1057" i="4"/>
  <c r="V1049" i="4"/>
  <c r="W1052" i="4"/>
  <c r="T1042" i="4"/>
  <c r="V1055" i="4"/>
  <c r="V1050" i="4"/>
  <c r="U1050" i="4"/>
  <c r="V1053" i="4"/>
  <c r="W1500" i="13"/>
  <c r="T1501" i="13"/>
  <c r="X1500" i="13"/>
  <c r="T1500" i="13"/>
  <c r="U1500" i="13"/>
  <c r="X1501" i="13"/>
  <c r="V1500" i="13"/>
  <c r="U1501" i="13"/>
  <c r="W1501" i="13"/>
  <c r="AO1501" i="13"/>
  <c r="V1501" i="13"/>
  <c r="AO1500" i="13"/>
  <c r="V1492" i="13"/>
  <c r="AO1491" i="13"/>
  <c r="W1492" i="13"/>
  <c r="V1496" i="13"/>
  <c r="AO1495" i="13"/>
  <c r="W1494" i="13"/>
  <c r="V1491" i="13"/>
  <c r="AO1494" i="13"/>
  <c r="W1491" i="13"/>
  <c r="W1496" i="13"/>
  <c r="T1494" i="13"/>
  <c r="T1496" i="13"/>
  <c r="T1030" i="4"/>
  <c r="W1030" i="4"/>
  <c r="S1030" i="4"/>
  <c r="U1030" i="4"/>
  <c r="V1030" i="4"/>
  <c r="T1492" i="13"/>
  <c r="V1495" i="13"/>
  <c r="AO1496" i="13"/>
  <c r="V1494" i="13"/>
  <c r="AO1492" i="13"/>
  <c r="W1495" i="13"/>
  <c r="T1491" i="13"/>
  <c r="T1495" i="13"/>
  <c r="AO1488" i="13"/>
  <c r="T1487" i="13"/>
  <c r="X1486" i="13"/>
  <c r="W1487" i="13"/>
  <c r="AO1487" i="13"/>
  <c r="U1488" i="13"/>
  <c r="U1486" i="13"/>
  <c r="X1487" i="13"/>
  <c r="U1487" i="13"/>
  <c r="W1486" i="13"/>
  <c r="T1488" i="13"/>
  <c r="W1488" i="13"/>
  <c r="V1488" i="13"/>
  <c r="V1487" i="13"/>
  <c r="V1486" i="13"/>
  <c r="AO1486" i="13"/>
  <c r="X1488" i="13"/>
  <c r="T1486" i="13"/>
  <c r="O33" i="12"/>
  <c r="R246" i="4"/>
  <c r="W1472" i="13"/>
  <c r="V1473" i="13"/>
  <c r="U1473" i="13"/>
  <c r="W1473" i="13"/>
  <c r="T1473" i="13"/>
  <c r="AN1465" i="13"/>
  <c r="AN1472" i="13"/>
  <c r="AO1473" i="13" s="1"/>
  <c r="W1029" i="4"/>
  <c r="S1029" i="4"/>
  <c r="U1028" i="4"/>
  <c r="W1027" i="4"/>
  <c r="S1027" i="4"/>
  <c r="U1026" i="4"/>
  <c r="V1029" i="4"/>
  <c r="T1028" i="4"/>
  <c r="V1027" i="4"/>
  <c r="T1026" i="4"/>
  <c r="W1026" i="4"/>
  <c r="U1029" i="4"/>
  <c r="V1028" i="4"/>
  <c r="W1028" i="4"/>
  <c r="S1026" i="4"/>
  <c r="S1028" i="4"/>
  <c r="T1029" i="4"/>
  <c r="T1027" i="4"/>
  <c r="U1027" i="4"/>
  <c r="V1026" i="4"/>
  <c r="U1472" i="13"/>
  <c r="W1466" i="13"/>
  <c r="AO1481" i="13"/>
  <c r="AN1029" i="4" s="1"/>
  <c r="V1476" i="13"/>
  <c r="V1472" i="13"/>
  <c r="W1497" i="13"/>
  <c r="V1498" i="13"/>
  <c r="U1480" i="13"/>
  <c r="V1478" i="13"/>
  <c r="W1470" i="13"/>
  <c r="V1480" i="13"/>
  <c r="X1483" i="13"/>
  <c r="W1499" i="13"/>
  <c r="AO1484" i="13"/>
  <c r="X1482" i="13"/>
  <c r="U1475" i="13"/>
  <c r="U1497" i="13"/>
  <c r="W1474" i="13"/>
  <c r="AO1475" i="13"/>
  <c r="W1478" i="13"/>
  <c r="AO1479" i="13"/>
  <c r="U1482" i="13"/>
  <c r="X1489" i="13"/>
  <c r="T1477" i="13"/>
  <c r="T1479" i="13"/>
  <c r="V1481" i="13"/>
  <c r="V1485" i="13"/>
  <c r="T1498" i="13"/>
  <c r="T1467" i="13"/>
  <c r="T1469" i="13"/>
  <c r="T1471" i="13"/>
  <c r="U1466" i="13"/>
  <c r="U1470" i="13"/>
  <c r="AO1498" i="13"/>
  <c r="V1467" i="13"/>
  <c r="AO1485" i="13"/>
  <c r="U1474" i="13"/>
  <c r="X1485" i="13"/>
  <c r="V1469" i="13"/>
  <c r="W1467" i="13"/>
  <c r="V1470" i="13"/>
  <c r="AO1482" i="13"/>
  <c r="T1475" i="13"/>
  <c r="W1498" i="13"/>
  <c r="V1497" i="13"/>
  <c r="AO1483" i="13"/>
  <c r="T1484" i="13"/>
  <c r="U1477" i="13"/>
  <c r="AO1480" i="13"/>
  <c r="V1490" i="13"/>
  <c r="W1482" i="13"/>
  <c r="U1476" i="13"/>
  <c r="V1474" i="13"/>
  <c r="U1498" i="13"/>
  <c r="AO1474" i="13"/>
  <c r="AN1028" i="4" s="1"/>
  <c r="W1477" i="13"/>
  <c r="AO1478" i="13"/>
  <c r="U1483" i="13"/>
  <c r="X1490" i="13"/>
  <c r="V1475" i="13"/>
  <c r="V1482" i="13"/>
  <c r="T1489" i="13"/>
  <c r="T1499" i="13"/>
  <c r="U1467" i="13"/>
  <c r="U1471" i="13"/>
  <c r="V1468" i="13"/>
  <c r="W1490" i="13"/>
  <c r="V1499" i="13"/>
  <c r="W1483" i="13"/>
  <c r="T1482" i="13"/>
  <c r="X1481" i="13"/>
  <c r="AV1029" i="4" s="1"/>
  <c r="AO1489" i="13"/>
  <c r="V1479" i="13"/>
  <c r="T1485" i="13"/>
  <c r="W1471" i="13"/>
  <c r="W1469" i="13"/>
  <c r="W1481" i="13"/>
  <c r="V1477" i="13"/>
  <c r="AO1497" i="13"/>
  <c r="AO1469" i="13"/>
  <c r="T1474" i="13"/>
  <c r="U1489" i="13"/>
  <c r="U1499" i="13"/>
  <c r="W1476" i="13"/>
  <c r="AO1477" i="13"/>
  <c r="W1480" i="13"/>
  <c r="U1484" i="13"/>
  <c r="T1476" i="13"/>
  <c r="T1478" i="13"/>
  <c r="T1480" i="13"/>
  <c r="V1483" i="13"/>
  <c r="T1490" i="13"/>
  <c r="T1466" i="13"/>
  <c r="T1468" i="13"/>
  <c r="T1470" i="13"/>
  <c r="T1472" i="13"/>
  <c r="U1468" i="13"/>
  <c r="V1466" i="13"/>
  <c r="V1489" i="13"/>
  <c r="AO1499" i="13"/>
  <c r="V1471" i="13"/>
  <c r="W1484" i="13"/>
  <c r="X1484" i="13"/>
  <c r="T1481" i="13"/>
  <c r="W1468" i="13"/>
  <c r="AO1490" i="13"/>
  <c r="W1485" i="13"/>
  <c r="U1478" i="13"/>
  <c r="W1489" i="13"/>
  <c r="U1479" i="13"/>
  <c r="T1483" i="13"/>
  <c r="U1490" i="13"/>
  <c r="W1475" i="13"/>
  <c r="AO1476" i="13"/>
  <c r="W1479" i="13"/>
  <c r="U1481" i="13"/>
  <c r="U1485" i="13"/>
  <c r="V1484" i="13"/>
  <c r="T1497" i="13"/>
  <c r="U1469" i="13"/>
  <c r="X1453" i="13"/>
  <c r="W1460" i="13"/>
  <c r="V1462" i="13"/>
  <c r="V1461" i="13"/>
  <c r="W1459" i="13"/>
  <c r="W1462" i="13"/>
  <c r="AO1463" i="13"/>
  <c r="U1462" i="13"/>
  <c r="V1465" i="13"/>
  <c r="V1464" i="13"/>
  <c r="W1465" i="13"/>
  <c r="T1460" i="13"/>
  <c r="T1462" i="13"/>
  <c r="T1464" i="13"/>
  <c r="U1459" i="13"/>
  <c r="W1461" i="13"/>
  <c r="AO1462" i="13"/>
  <c r="AO1459" i="13"/>
  <c r="AN1026" i="4" s="1"/>
  <c r="U1461" i="13"/>
  <c r="V1460" i="13"/>
  <c r="AO1465" i="13"/>
  <c r="AO1460" i="13"/>
  <c r="U1460" i="13"/>
  <c r="AO1461" i="13"/>
  <c r="W1464" i="13"/>
  <c r="V1463" i="13"/>
  <c r="U1464" i="13"/>
  <c r="V1459" i="13"/>
  <c r="U1463" i="13"/>
  <c r="T1459" i="13"/>
  <c r="T1461" i="13"/>
  <c r="T1463" i="13"/>
  <c r="T1465" i="13"/>
  <c r="U1465" i="13"/>
  <c r="W1463" i="13"/>
  <c r="AO1464" i="13"/>
  <c r="V1454" i="13"/>
  <c r="U1453" i="13"/>
  <c r="T1454" i="13"/>
  <c r="AO1453" i="13"/>
  <c r="X1454" i="13"/>
  <c r="V1453" i="13"/>
  <c r="W1454" i="13"/>
  <c r="T1453" i="13"/>
  <c r="W1453" i="13"/>
  <c r="U1454" i="13"/>
  <c r="AO1454" i="13"/>
  <c r="AO1428" i="13"/>
  <c r="X1448" i="13"/>
  <c r="T1447" i="13"/>
  <c r="T1444" i="13"/>
  <c r="W1444" i="13"/>
  <c r="X1452" i="13"/>
  <c r="T1443" i="13"/>
  <c r="AO1445" i="13"/>
  <c r="X1447" i="13"/>
  <c r="U1439" i="13"/>
  <c r="U1428" i="13"/>
  <c r="V1443" i="13"/>
  <c r="V1452" i="13"/>
  <c r="V1447" i="13"/>
  <c r="X1428" i="13"/>
  <c r="W1440" i="13"/>
  <c r="T1442" i="13"/>
  <c r="U1443" i="13"/>
  <c r="U1452" i="13"/>
  <c r="U1447" i="13"/>
  <c r="V1439" i="13"/>
  <c r="X1444" i="13"/>
  <c r="AO1452" i="13"/>
  <c r="X1446" i="13"/>
  <c r="X1445" i="13"/>
  <c r="T1449" i="13"/>
  <c r="X1451" i="13"/>
  <c r="T1446" i="13"/>
  <c r="T1445" i="13"/>
  <c r="AO1448" i="13"/>
  <c r="W1447" i="13"/>
  <c r="W1446" i="13"/>
  <c r="T1452" i="13"/>
  <c r="W1452" i="13"/>
  <c r="AO1447" i="13"/>
  <c r="V1449" i="13"/>
  <c r="V1444" i="13"/>
  <c r="V1448" i="13"/>
  <c r="W1439" i="13"/>
  <c r="T1440" i="13"/>
  <c r="AO1440" i="13"/>
  <c r="X1442" i="13"/>
  <c r="U1449" i="13"/>
  <c r="U1444" i="13"/>
  <c r="U1448" i="13"/>
  <c r="X1449" i="13"/>
  <c r="AO1449" i="13"/>
  <c r="X1450" i="13"/>
  <c r="W1450" i="13"/>
  <c r="AO1441" i="13"/>
  <c r="X1443" i="13"/>
  <c r="T1450" i="13"/>
  <c r="AO1450" i="13"/>
  <c r="AO1444" i="13"/>
  <c r="W1451" i="13"/>
  <c r="W1442" i="13"/>
  <c r="V1442" i="13"/>
  <c r="W1449" i="13"/>
  <c r="AO1451" i="13"/>
  <c r="AO1446" i="13"/>
  <c r="V1450" i="13"/>
  <c r="V1445" i="13"/>
  <c r="AO1439" i="13"/>
  <c r="AN973" i="4" s="1"/>
  <c r="X1440" i="13"/>
  <c r="T1441" i="13"/>
  <c r="U1441" i="13"/>
  <c r="U1450" i="13"/>
  <c r="U1445" i="13"/>
  <c r="W1428" i="13"/>
  <c r="W1441" i="13"/>
  <c r="V1440" i="13"/>
  <c r="X1439" i="13"/>
  <c r="AV973" i="4" s="1"/>
  <c r="T1448" i="13"/>
  <c r="W1448" i="13"/>
  <c r="V1428" i="13"/>
  <c r="T1439" i="13"/>
  <c r="W1445" i="13"/>
  <c r="T1451" i="13"/>
  <c r="W1443" i="13"/>
  <c r="U1440" i="13"/>
  <c r="V1441" i="13"/>
  <c r="AO1443" i="13"/>
  <c r="AO1442" i="13"/>
  <c r="V1451" i="13"/>
  <c r="V1446" i="13"/>
  <c r="T1428" i="13"/>
  <c r="X1441" i="13"/>
  <c r="U1442" i="13"/>
  <c r="U1451" i="13"/>
  <c r="U1446" i="13"/>
  <c r="T1429" i="13"/>
  <c r="U975" i="4"/>
  <c r="W973" i="4"/>
  <c r="S973" i="4"/>
  <c r="U972" i="4"/>
  <c r="V973" i="4"/>
  <c r="T972" i="4"/>
  <c r="T975" i="4"/>
  <c r="V972" i="4"/>
  <c r="W972" i="4"/>
  <c r="U973" i="4"/>
  <c r="S972" i="4"/>
  <c r="V975" i="4"/>
  <c r="S975" i="4"/>
  <c r="T973" i="4"/>
  <c r="W975" i="4"/>
  <c r="U1429" i="13"/>
  <c r="X1429" i="13"/>
  <c r="AO1429" i="13"/>
  <c r="V1429" i="13"/>
  <c r="W1429" i="13"/>
  <c r="W1425" i="13"/>
  <c r="W1421" i="13"/>
  <c r="U1421" i="13"/>
  <c r="AO1421" i="13"/>
  <c r="AN1014" i="4" s="1"/>
  <c r="U1426" i="13"/>
  <c r="W1426" i="13"/>
  <c r="T1421" i="13"/>
  <c r="AO1426" i="13"/>
  <c r="U1425" i="13"/>
  <c r="X1427" i="13"/>
  <c r="AV972" i="4" s="1"/>
  <c r="T1427" i="13"/>
  <c r="U1427" i="13"/>
  <c r="AO1431" i="13"/>
  <c r="V1427" i="13"/>
  <c r="T1431" i="13"/>
  <c r="W1437" i="13"/>
  <c r="V1437" i="13"/>
  <c r="X1432" i="13"/>
  <c r="AO1432" i="13"/>
  <c r="V1435" i="13"/>
  <c r="T1437" i="13"/>
  <c r="T1436" i="13"/>
  <c r="V1432" i="13"/>
  <c r="T1434" i="13"/>
  <c r="V1421" i="13"/>
  <c r="V1425" i="13"/>
  <c r="AO1425" i="13"/>
  <c r="X1424" i="13"/>
  <c r="T1423" i="13"/>
  <c r="W1422" i="13"/>
  <c r="X1422" i="13"/>
  <c r="V1423" i="13"/>
  <c r="W1423" i="13"/>
  <c r="AO1427" i="13"/>
  <c r="AN972" i="4" s="1"/>
  <c r="U1431" i="13"/>
  <c r="V1430" i="13"/>
  <c r="X1431" i="13"/>
  <c r="U1432" i="13"/>
  <c r="V1436" i="13"/>
  <c r="X1435" i="13"/>
  <c r="T1433" i="13"/>
  <c r="X1437" i="13"/>
  <c r="X1436" i="13"/>
  <c r="X1434" i="13"/>
  <c r="U1422" i="13"/>
  <c r="T1424" i="13"/>
  <c r="T1422" i="13"/>
  <c r="W1424" i="13"/>
  <c r="AO1423" i="13"/>
  <c r="X1423" i="13"/>
  <c r="X1425" i="13"/>
  <c r="U1424" i="13"/>
  <c r="T1426" i="13"/>
  <c r="T1430" i="13"/>
  <c r="U1430" i="13"/>
  <c r="X1430" i="13"/>
  <c r="T1432" i="13"/>
  <c r="W1430" i="13"/>
  <c r="U1433" i="13"/>
  <c r="AO1437" i="13"/>
  <c r="U1436" i="13"/>
  <c r="W1434" i="13"/>
  <c r="X1433" i="13"/>
  <c r="W1436" i="13"/>
  <c r="W1435" i="13"/>
  <c r="U1437" i="13"/>
  <c r="W1433" i="13"/>
  <c r="V1424" i="13"/>
  <c r="X1426" i="13"/>
  <c r="X1421" i="13"/>
  <c r="AV1014" i="4" s="1"/>
  <c r="T1425" i="13"/>
  <c r="V1426" i="13"/>
  <c r="U1423" i="13"/>
  <c r="AO1422" i="13"/>
  <c r="AO1424" i="13"/>
  <c r="V1422" i="13"/>
  <c r="W1427" i="13"/>
  <c r="V1431" i="13"/>
  <c r="W1431" i="13"/>
  <c r="T1435" i="13"/>
  <c r="AO1430" i="13"/>
  <c r="AO1434" i="13"/>
  <c r="V1433" i="13"/>
  <c r="U1435" i="13"/>
  <c r="V1434" i="13"/>
  <c r="U1434" i="13"/>
  <c r="AO1436" i="13"/>
  <c r="AO1435" i="13"/>
  <c r="W1432" i="13"/>
  <c r="AO1433" i="13"/>
  <c r="R217" i="4"/>
  <c r="AO661" i="4"/>
  <c r="W661" i="4"/>
  <c r="X663" i="4"/>
  <c r="T663" i="4"/>
  <c r="AO662" i="4"/>
  <c r="W662" i="4"/>
  <c r="V661" i="4"/>
  <c r="U660" i="4"/>
  <c r="AO659" i="4"/>
  <c r="W659" i="4"/>
  <c r="U658" i="4"/>
  <c r="AO657" i="4"/>
  <c r="W657" i="4"/>
  <c r="U656" i="4"/>
  <c r="AO655" i="4"/>
  <c r="W655" i="4"/>
  <c r="AO663" i="4"/>
  <c r="W663" i="4"/>
  <c r="V662" i="4"/>
  <c r="X660" i="4"/>
  <c r="T660" i="4"/>
  <c r="V659" i="4"/>
  <c r="X658" i="4"/>
  <c r="T658" i="4"/>
  <c r="V657" i="4"/>
  <c r="X656" i="4"/>
  <c r="T656" i="4"/>
  <c r="V655" i="4"/>
  <c r="W660" i="4"/>
  <c r="T661" i="4"/>
  <c r="V663" i="4"/>
  <c r="T657" i="4"/>
  <c r="U659" i="4"/>
  <c r="X661" i="4"/>
  <c r="U655" i="4"/>
  <c r="X657" i="4"/>
  <c r="U662" i="4"/>
  <c r="AO656" i="4"/>
  <c r="AO658" i="4"/>
  <c r="T655" i="4"/>
  <c r="T659" i="4"/>
  <c r="T662" i="4"/>
  <c r="AO660" i="4"/>
  <c r="W656" i="4"/>
  <c r="W658" i="4"/>
  <c r="X655" i="4"/>
  <c r="X659" i="4"/>
  <c r="X662" i="4"/>
  <c r="V656" i="4"/>
  <c r="V658" i="4"/>
  <c r="U661" i="4"/>
  <c r="U657" i="4"/>
  <c r="V660" i="4"/>
  <c r="U663" i="4"/>
  <c r="W596" i="4"/>
  <c r="AO589" i="4"/>
  <c r="AO596" i="4"/>
  <c r="U595" i="4"/>
  <c r="AO594" i="4"/>
  <c r="W594" i="4"/>
  <c r="U593" i="4"/>
  <c r="AO592" i="4"/>
  <c r="W592" i="4"/>
  <c r="U590" i="4"/>
  <c r="W589" i="4"/>
  <c r="U588" i="4"/>
  <c r="V596" i="4"/>
  <c r="X595" i="4"/>
  <c r="T595" i="4"/>
  <c r="V594" i="4"/>
  <c r="X593" i="4"/>
  <c r="T593" i="4"/>
  <c r="V592" i="4"/>
  <c r="X590" i="4"/>
  <c r="T590" i="4"/>
  <c r="V589" i="4"/>
  <c r="X588" i="4"/>
  <c r="T588" i="4"/>
  <c r="X596" i="4"/>
  <c r="V588" i="4"/>
  <c r="AO593" i="4"/>
  <c r="AO590" i="4"/>
  <c r="X589" i="4"/>
  <c r="T592" i="4"/>
  <c r="U596" i="4"/>
  <c r="U589" i="4"/>
  <c r="V593" i="4"/>
  <c r="V595" i="4"/>
  <c r="AO588" i="4"/>
  <c r="W593" i="4"/>
  <c r="W588" i="4"/>
  <c r="X592" i="4"/>
  <c r="T589" i="4"/>
  <c r="U594" i="4"/>
  <c r="U592" i="4"/>
  <c r="AO595" i="4"/>
  <c r="X594" i="4"/>
  <c r="T596" i="4"/>
  <c r="T594" i="4"/>
  <c r="V590" i="4"/>
  <c r="W590" i="4"/>
  <c r="W595" i="4"/>
  <c r="U1420" i="13"/>
  <c r="W1419" i="13"/>
  <c r="AO1416" i="13"/>
  <c r="V1416" i="13"/>
  <c r="W1415" i="13"/>
  <c r="V1420" i="13"/>
  <c r="W1418" i="13"/>
  <c r="X1414" i="13"/>
  <c r="X1416" i="13"/>
  <c r="X1418" i="13"/>
  <c r="X1420" i="13"/>
  <c r="U1415" i="13"/>
  <c r="U1419" i="13"/>
  <c r="AO1420" i="13"/>
  <c r="V1419" i="13"/>
  <c r="V1414" i="13"/>
  <c r="V1417" i="13"/>
  <c r="V1415" i="13"/>
  <c r="U1416" i="13"/>
  <c r="S1020" i="4"/>
  <c r="T1020" i="4"/>
  <c r="V1018" i="4"/>
  <c r="T1022" i="4"/>
  <c r="T1023" i="4"/>
  <c r="S1023" i="4"/>
  <c r="S1018" i="4"/>
  <c r="V1019" i="4"/>
  <c r="V1023" i="4"/>
  <c r="S1022" i="4"/>
  <c r="S1019" i="4"/>
  <c r="V1022" i="4"/>
  <c r="U1022" i="4"/>
  <c r="V1020" i="4"/>
  <c r="U1019" i="4"/>
  <c r="W1022" i="4"/>
  <c r="T1019" i="4"/>
  <c r="W1020" i="4"/>
  <c r="U1020" i="4"/>
  <c r="W1023" i="4"/>
  <c r="W1018" i="4"/>
  <c r="U1018" i="4"/>
  <c r="W1019" i="4"/>
  <c r="U1023" i="4"/>
  <c r="T1018" i="4"/>
  <c r="P1418" i="13"/>
  <c r="T1419" i="13" s="1"/>
  <c r="R1418" i="13"/>
  <c r="X1403" i="13"/>
  <c r="AO1418" i="13"/>
  <c r="W1417" i="13"/>
  <c r="AO1417" i="13"/>
  <c r="AO1415" i="13"/>
  <c r="W1416" i="13"/>
  <c r="X1415" i="13"/>
  <c r="X1417" i="13"/>
  <c r="X1419" i="13"/>
  <c r="U1417" i="13"/>
  <c r="V1418" i="13"/>
  <c r="AO1419" i="13"/>
  <c r="W1414" i="13"/>
  <c r="AO1414" i="13"/>
  <c r="W1420" i="13"/>
  <c r="U1414" i="13"/>
  <c r="U1418" i="13"/>
  <c r="U1398" i="13"/>
  <c r="V1395" i="13"/>
  <c r="W1401" i="13"/>
  <c r="U1403" i="13"/>
  <c r="V1403" i="13"/>
  <c r="AO1402" i="13"/>
  <c r="AO1394" i="13"/>
  <c r="X1394" i="13"/>
  <c r="W1397" i="13"/>
  <c r="AO1398" i="13"/>
  <c r="X1401" i="13"/>
  <c r="W1403" i="13"/>
  <c r="X1397" i="13"/>
  <c r="W1399" i="13"/>
  <c r="L1387" i="13"/>
  <c r="R1387" i="13" s="1"/>
  <c r="L1398" i="13"/>
  <c r="AO1403" i="13"/>
  <c r="W1395" i="13"/>
  <c r="W1393" i="13"/>
  <c r="V1397" i="13"/>
  <c r="W1394" i="13"/>
  <c r="V1394" i="13"/>
  <c r="U1396" i="13"/>
  <c r="X1400" i="13"/>
  <c r="X1395" i="13"/>
  <c r="U1395" i="13"/>
  <c r="AO1397" i="13"/>
  <c r="V1399" i="13"/>
  <c r="AO1399" i="13"/>
  <c r="X1402" i="13"/>
  <c r="L1388" i="13"/>
  <c r="P1388" i="13" s="1"/>
  <c r="L1399" i="13"/>
  <c r="U1397" i="13"/>
  <c r="AO1393" i="13"/>
  <c r="AO1401" i="13"/>
  <c r="V1402" i="13"/>
  <c r="U1399" i="13"/>
  <c r="X1393" i="13"/>
  <c r="V1393" i="13"/>
  <c r="U1393" i="13"/>
  <c r="W1396" i="13"/>
  <c r="U1400" i="13"/>
  <c r="W1402" i="13"/>
  <c r="X1396" i="13"/>
  <c r="X1398" i="13"/>
  <c r="V1400" i="13"/>
  <c r="U1402" i="13"/>
  <c r="V1401" i="13"/>
  <c r="AO1400" i="13"/>
  <c r="AO1396" i="13"/>
  <c r="AO1395" i="13"/>
  <c r="V1396" i="13"/>
  <c r="V1398" i="13"/>
  <c r="X1399" i="13"/>
  <c r="W1400" i="13"/>
  <c r="U1394" i="13"/>
  <c r="W1398" i="13"/>
  <c r="U1401" i="13"/>
  <c r="T1016" i="4"/>
  <c r="T1014" i="4"/>
  <c r="V1017" i="4"/>
  <c r="W1015" i="4"/>
  <c r="S1015" i="4"/>
  <c r="W1017" i="4"/>
  <c r="S1017" i="4"/>
  <c r="T1015" i="4"/>
  <c r="W1014" i="4"/>
  <c r="W1016" i="4"/>
  <c r="T1017" i="4"/>
  <c r="V1016" i="4"/>
  <c r="S1014" i="4"/>
  <c r="V1015" i="4"/>
  <c r="V1014" i="4"/>
  <c r="S1016" i="4"/>
  <c r="P1387" i="13"/>
  <c r="X1362" i="13"/>
  <c r="V1387" i="13"/>
  <c r="V1389" i="13"/>
  <c r="AO1388" i="13"/>
  <c r="V1390" i="13"/>
  <c r="U1389" i="13"/>
  <c r="W1392" i="13"/>
  <c r="W1388" i="13"/>
  <c r="X1384" i="13"/>
  <c r="AO1384" i="13"/>
  <c r="V1388" i="13"/>
  <c r="U1386" i="13"/>
  <c r="U1388" i="13"/>
  <c r="V1385" i="13"/>
  <c r="U1387" i="13"/>
  <c r="U1390" i="13"/>
  <c r="AO1383" i="13"/>
  <c r="X1388" i="13"/>
  <c r="AO1386" i="13"/>
  <c r="X1382" i="13"/>
  <c r="V1382" i="13"/>
  <c r="U1383" i="13"/>
  <c r="U1385" i="13"/>
  <c r="X1390" i="13"/>
  <c r="X1389" i="13"/>
  <c r="X1391" i="13"/>
  <c r="U1384" i="13"/>
  <c r="V1391" i="13"/>
  <c r="W1386" i="13"/>
  <c r="X1386" i="13"/>
  <c r="W1385" i="13"/>
  <c r="AO1391" i="13"/>
  <c r="AO1385" i="13"/>
  <c r="AO1382" i="13"/>
  <c r="X1383" i="13"/>
  <c r="V1386" i="13"/>
  <c r="W1389" i="13"/>
  <c r="U1391" i="13"/>
  <c r="W1387" i="13"/>
  <c r="W1390" i="13"/>
  <c r="AO1392" i="13"/>
  <c r="V1392" i="13"/>
  <c r="W1383" i="13"/>
  <c r="W1391" i="13"/>
  <c r="V1384" i="13"/>
  <c r="U1382" i="13"/>
  <c r="V1383" i="13"/>
  <c r="W1382" i="13"/>
  <c r="W1384" i="13"/>
  <c r="X1387" i="13"/>
  <c r="AO1389" i="13"/>
  <c r="U1392" i="13"/>
  <c r="X1385" i="13"/>
  <c r="AO1387" i="13"/>
  <c r="AO1390" i="13"/>
  <c r="X1392" i="13"/>
  <c r="W1361" i="13"/>
  <c r="AO1361" i="13"/>
  <c r="V1361" i="13"/>
  <c r="AO1360" i="13"/>
  <c r="V1360" i="13"/>
  <c r="W1360" i="13"/>
  <c r="W1362" i="13"/>
  <c r="W1355" i="13"/>
  <c r="V1362" i="13"/>
  <c r="X1361" i="13"/>
  <c r="X1360" i="13"/>
  <c r="AO1362" i="13"/>
  <c r="W1356" i="13"/>
  <c r="AO1359" i="13"/>
  <c r="V1357" i="13"/>
  <c r="W1358" i="13"/>
  <c r="V1359" i="13"/>
  <c r="X1354" i="13"/>
  <c r="X1357" i="13"/>
  <c r="X1359" i="13"/>
  <c r="W1359" i="13"/>
  <c r="AO1355" i="13"/>
  <c r="W1357" i="13"/>
  <c r="W1354" i="13"/>
  <c r="AO1358" i="13"/>
  <c r="V1358" i="13"/>
  <c r="AO1356" i="13"/>
  <c r="V1354" i="13"/>
  <c r="AO1357" i="13"/>
  <c r="X1356" i="13"/>
  <c r="X1358" i="13"/>
  <c r="X1355" i="13"/>
  <c r="AO1354" i="13"/>
  <c r="V1356" i="13"/>
  <c r="V1355" i="13"/>
  <c r="X1349" i="13"/>
  <c r="L274" i="4"/>
  <c r="P274" i="4" s="1"/>
  <c r="L122" i="4"/>
  <c r="X1348" i="13"/>
  <c r="V1352" i="13"/>
  <c r="AO1353" i="13"/>
  <c r="W1352" i="13"/>
  <c r="V1349" i="13"/>
  <c r="AO1352" i="13"/>
  <c r="AO1349" i="13"/>
  <c r="U1351" i="13"/>
  <c r="X1352" i="13"/>
  <c r="W1350" i="13"/>
  <c r="W1353" i="13"/>
  <c r="AO1350" i="13"/>
  <c r="W1351" i="13"/>
  <c r="AO1351" i="13"/>
  <c r="U1350" i="13"/>
  <c r="T1350" i="13"/>
  <c r="U1352" i="13"/>
  <c r="T1351" i="13"/>
  <c r="T1353" i="13"/>
  <c r="AO1348" i="13"/>
  <c r="V1350" i="13"/>
  <c r="U1348" i="13"/>
  <c r="U1349" i="13"/>
  <c r="V1348" i="13"/>
  <c r="U1353" i="13"/>
  <c r="X1351" i="13"/>
  <c r="X1353" i="13"/>
  <c r="T1349" i="13"/>
  <c r="V1351" i="13"/>
  <c r="V1353" i="13"/>
  <c r="T1348" i="13"/>
  <c r="X1350" i="13"/>
  <c r="W1349" i="13"/>
  <c r="W1348" i="13"/>
  <c r="T1352" i="13"/>
  <c r="T992" i="4"/>
  <c r="T1008" i="4"/>
  <c r="V993" i="4"/>
  <c r="U991" i="4"/>
  <c r="V1006" i="4"/>
  <c r="W1008" i="4"/>
  <c r="U993" i="4"/>
  <c r="V1008" i="4"/>
  <c r="T993" i="4"/>
  <c r="W991" i="4"/>
  <c r="S991" i="4"/>
  <c r="W1006" i="4"/>
  <c r="W1007" i="4"/>
  <c r="V991" i="4"/>
  <c r="T1006" i="4"/>
  <c r="V992" i="4"/>
  <c r="S993" i="4"/>
  <c r="V1007" i="4"/>
  <c r="T1003" i="4"/>
  <c r="T1007" i="4"/>
  <c r="V1003" i="4"/>
  <c r="U992" i="4"/>
  <c r="W992" i="4"/>
  <c r="S992" i="4"/>
  <c r="W1003" i="4"/>
  <c r="T991" i="4"/>
  <c r="W993" i="4"/>
  <c r="V1343" i="13"/>
  <c r="T1342" i="13"/>
  <c r="T1344" i="13"/>
  <c r="T1347" i="13"/>
  <c r="W1342" i="13"/>
  <c r="AO1343" i="13"/>
  <c r="W1347" i="13"/>
  <c r="V1345" i="13"/>
  <c r="V1344" i="13"/>
  <c r="X1342" i="13"/>
  <c r="X1344" i="13"/>
  <c r="X1347" i="13"/>
  <c r="W1341" i="13"/>
  <c r="AO1342" i="13"/>
  <c r="W1345" i="13"/>
  <c r="AO1347" i="13"/>
  <c r="V1347" i="13"/>
  <c r="T1341" i="13"/>
  <c r="T1343" i="13"/>
  <c r="T1345" i="13"/>
  <c r="AO1341" i="13"/>
  <c r="AN991" i="4" s="1"/>
  <c r="W1344" i="13"/>
  <c r="AO1345" i="13"/>
  <c r="V1342" i="13"/>
  <c r="V1341" i="13"/>
  <c r="X1341" i="13"/>
  <c r="AV991" i="4" s="1"/>
  <c r="X1343" i="13"/>
  <c r="X1345" i="13"/>
  <c r="W1343" i="13"/>
  <c r="AO1344" i="13"/>
  <c r="AO990" i="4"/>
  <c r="S990" i="4"/>
  <c r="V990" i="4"/>
  <c r="U990" i="4"/>
  <c r="X990" i="4"/>
  <c r="L229" i="4"/>
  <c r="L227" i="4"/>
  <c r="L182" i="13"/>
  <c r="P182" i="13" s="1"/>
  <c r="L228" i="4"/>
  <c r="P228" i="4" s="1"/>
  <c r="L361" i="4"/>
  <c r="L226" i="4"/>
  <c r="P226" i="4" s="1"/>
  <c r="L988" i="4"/>
  <c r="P985" i="4"/>
  <c r="W990" i="4" s="1"/>
  <c r="R985" i="4"/>
  <c r="V989" i="4"/>
  <c r="U986" i="4"/>
  <c r="U987" i="4"/>
  <c r="U985" i="4"/>
  <c r="V986" i="4"/>
  <c r="V985" i="4"/>
  <c r="S987" i="4"/>
  <c r="S989" i="4"/>
  <c r="X988" i="4"/>
  <c r="S986" i="4"/>
  <c r="S985" i="4"/>
  <c r="V987" i="4"/>
  <c r="S988" i="4"/>
  <c r="V988" i="4"/>
  <c r="X989" i="4"/>
  <c r="AO988" i="4"/>
  <c r="AO989" i="4"/>
  <c r="L506" i="4"/>
  <c r="L92" i="4"/>
  <c r="L98" i="4"/>
  <c r="L326" i="4"/>
  <c r="U989" i="4"/>
  <c r="U988" i="4"/>
  <c r="AO984" i="4"/>
  <c r="W984" i="4"/>
  <c r="V984" i="4"/>
  <c r="U984" i="4"/>
  <c r="X984" i="4"/>
  <c r="T984" i="4"/>
  <c r="U981" i="4"/>
  <c r="V979" i="4"/>
  <c r="AO978" i="4"/>
  <c r="W978" i="4"/>
  <c r="X977" i="4"/>
  <c r="T977" i="4"/>
  <c r="V976" i="4"/>
  <c r="X983" i="4"/>
  <c r="T983" i="4"/>
  <c r="V982" i="4"/>
  <c r="U977" i="4"/>
  <c r="AO976" i="4"/>
  <c r="W976" i="4"/>
  <c r="AO983" i="4"/>
  <c r="W983" i="4"/>
  <c r="U982" i="4"/>
  <c r="V981" i="4"/>
  <c r="AO979" i="4"/>
  <c r="W979" i="4"/>
  <c r="X978" i="4"/>
  <c r="T978" i="4"/>
  <c r="V978" i="4"/>
  <c r="V983" i="4"/>
  <c r="X979" i="4"/>
  <c r="AO981" i="4"/>
  <c r="X981" i="4"/>
  <c r="T976" i="4"/>
  <c r="U976" i="4"/>
  <c r="U983" i="4"/>
  <c r="U978" i="4"/>
  <c r="W981" i="4"/>
  <c r="AO982" i="4"/>
  <c r="X982" i="4"/>
  <c r="V977" i="4"/>
  <c r="T979" i="4"/>
  <c r="W977" i="4"/>
  <c r="T981" i="4"/>
  <c r="W982" i="4"/>
  <c r="T982" i="4"/>
  <c r="X976" i="4"/>
  <c r="AO977" i="4"/>
  <c r="U979" i="4"/>
  <c r="M61" i="14"/>
  <c r="K61" i="14"/>
  <c r="J61" i="14"/>
  <c r="T946" i="13"/>
  <c r="T61" i="14"/>
  <c r="T47" i="14"/>
  <c r="T66" i="14"/>
  <c r="T48" i="14"/>
  <c r="R21" i="14"/>
  <c r="R56" i="14"/>
  <c r="R35" i="14"/>
  <c r="R64" i="14"/>
  <c r="R29" i="14"/>
  <c r="R58" i="14"/>
  <c r="R30" i="14"/>
  <c r="R62" i="14"/>
  <c r="I61" i="14"/>
  <c r="O41" i="14"/>
  <c r="P41" i="14" s="1"/>
  <c r="O8" i="14"/>
  <c r="P8" i="14" s="1"/>
  <c r="O13" i="14"/>
  <c r="P13" i="14" s="1"/>
  <c r="T54" i="14"/>
  <c r="T40" i="14"/>
  <c r="T55" i="14"/>
  <c r="T42" i="14"/>
  <c r="T60" i="14"/>
  <c r="T43" i="14"/>
  <c r="T62" i="14"/>
  <c r="T44" i="14"/>
  <c r="H16" i="14"/>
  <c r="N16" i="14" s="1"/>
  <c r="F16" i="14"/>
  <c r="O39" i="12"/>
  <c r="O40" i="12" s="1"/>
  <c r="F25" i="12" s="1"/>
  <c r="F23" i="12"/>
  <c r="T49" i="14"/>
  <c r="T36" i="14"/>
  <c r="T51" i="14"/>
  <c r="T37" i="14"/>
  <c r="T56" i="14"/>
  <c r="T38" i="14"/>
  <c r="T57" i="14"/>
  <c r="T39" i="14"/>
  <c r="D26" i="17412"/>
  <c r="F1478" i="1" s="1"/>
  <c r="L365" i="13" s="1"/>
  <c r="P365" i="13" s="1"/>
  <c r="T363" i="13" s="1"/>
  <c r="K14" i="14"/>
  <c r="O14" i="14" s="1"/>
  <c r="P14" i="14" s="1"/>
  <c r="J21" i="14"/>
  <c r="T63" i="14"/>
  <c r="T45" i="14"/>
  <c r="T64" i="14"/>
  <c r="T50" i="14"/>
  <c r="T33" i="14"/>
  <c r="T65" i="14"/>
  <c r="T52" i="14"/>
  <c r="T34" i="14"/>
  <c r="T53" i="14"/>
  <c r="T948" i="13"/>
  <c r="T947" i="13"/>
  <c r="F32" i="17422"/>
  <c r="AE32" i="17422" s="1"/>
  <c r="F29" i="17422"/>
  <c r="AE29" i="17422" s="1"/>
  <c r="G29" i="17422"/>
  <c r="AF29" i="17422" s="1"/>
  <c r="V577" i="4"/>
  <c r="W577" i="4"/>
  <c r="T578" i="4"/>
  <c r="T572" i="4"/>
  <c r="V575" i="4"/>
  <c r="V573" i="4"/>
  <c r="T579" i="4"/>
  <c r="T576" i="4"/>
  <c r="W573" i="4"/>
  <c r="V578" i="4"/>
  <c r="T573" i="4"/>
  <c r="T574" i="4"/>
  <c r="U572" i="4"/>
  <c r="T575" i="4"/>
  <c r="U575" i="4"/>
  <c r="W576" i="4"/>
  <c r="U573" i="4"/>
  <c r="W572" i="4"/>
  <c r="U574" i="4"/>
  <c r="V579" i="4"/>
  <c r="U577" i="4"/>
  <c r="W574" i="4"/>
  <c r="U579" i="4"/>
  <c r="V572" i="4"/>
  <c r="U576" i="4"/>
  <c r="V574" i="4"/>
  <c r="U578" i="4"/>
  <c r="W578" i="4"/>
  <c r="T577" i="4"/>
  <c r="W575" i="4"/>
  <c r="W579" i="4"/>
  <c r="V576" i="4"/>
  <c r="P466" i="4"/>
  <c r="X833" i="4"/>
  <c r="AO828" i="4"/>
  <c r="U833" i="4"/>
  <c r="U827" i="4"/>
  <c r="T831" i="4"/>
  <c r="X827" i="4"/>
  <c r="W832" i="4"/>
  <c r="W830" i="4"/>
  <c r="AO829" i="4"/>
  <c r="V833" i="4"/>
  <c r="W827" i="4"/>
  <c r="X832" i="4"/>
  <c r="W829" i="4"/>
  <c r="W833" i="4"/>
  <c r="S832" i="4"/>
  <c r="W828" i="4"/>
  <c r="X831" i="4"/>
  <c r="T828" i="4"/>
  <c r="AO830" i="4"/>
  <c r="V834" i="4"/>
  <c r="U831" i="4"/>
  <c r="V827" i="4"/>
  <c r="T830" i="4"/>
  <c r="AO833" i="4"/>
  <c r="S829" i="4"/>
  <c r="S833" i="4"/>
  <c r="U830" i="4"/>
  <c r="AO827" i="4"/>
  <c r="V830" i="4"/>
  <c r="AO834" i="4"/>
  <c r="S830" i="4"/>
  <c r="T827" i="4"/>
  <c r="U829" i="4"/>
  <c r="T833" i="4"/>
  <c r="X829" i="4"/>
  <c r="T834" i="4"/>
  <c r="AO831" i="4"/>
  <c r="U834" i="4"/>
  <c r="X830" i="4"/>
  <c r="U832" i="4"/>
  <c r="W831" i="4"/>
  <c r="X828" i="4"/>
  <c r="T829" i="4"/>
  <c r="W834" i="4"/>
  <c r="V828" i="4"/>
  <c r="S834" i="4"/>
  <c r="S828" i="4"/>
  <c r="AO832" i="4"/>
  <c r="V832" i="4"/>
  <c r="S827" i="4"/>
  <c r="T832" i="4"/>
  <c r="X834" i="4"/>
  <c r="S831" i="4"/>
  <c r="U828" i="4"/>
  <c r="V829" i="4"/>
  <c r="V831" i="4"/>
  <c r="T13" i="17412"/>
  <c r="T117" i="17412"/>
  <c r="D179" i="17412"/>
  <c r="F1631" i="1" s="1"/>
  <c r="H1631" i="1" s="1"/>
  <c r="D167" i="17412"/>
  <c r="F1619" i="1" s="1"/>
  <c r="L443" i="6"/>
  <c r="H1581" i="1"/>
  <c r="T45" i="17412"/>
  <c r="L129" i="13"/>
  <c r="R129" i="13" s="1"/>
  <c r="L263" i="13"/>
  <c r="L275" i="13"/>
  <c r="L312" i="6"/>
  <c r="L14" i="13"/>
  <c r="L146" i="13"/>
  <c r="R146" i="13" s="1"/>
  <c r="L104" i="13"/>
  <c r="L354" i="13"/>
  <c r="P354" i="13" s="1"/>
  <c r="L91" i="13"/>
  <c r="P91" i="13" s="1"/>
  <c r="L328" i="13"/>
  <c r="L295" i="6"/>
  <c r="L329" i="6"/>
  <c r="T122" i="17412"/>
  <c r="T160" i="17412"/>
  <c r="T98" i="17412"/>
  <c r="T65" i="17412"/>
  <c r="D12" i="17412"/>
  <c r="F1464" i="1" s="1"/>
  <c r="G26" i="17422"/>
  <c r="AF26" i="17422" s="1"/>
  <c r="F26" i="17422"/>
  <c r="AE26" i="17422" s="1"/>
  <c r="S52" i="17418"/>
  <c r="R269" i="17418"/>
  <c r="Q239" i="17418"/>
  <c r="S34" i="17418"/>
  <c r="Q251" i="17418"/>
  <c r="R239" i="17418"/>
  <c r="R251" i="17418"/>
  <c r="R263" i="17418"/>
  <c r="Q263" i="17418"/>
  <c r="Q269" i="17418"/>
  <c r="Q271" i="17418"/>
  <c r="R271" i="17418"/>
  <c r="M15" i="14"/>
  <c r="K15" i="14"/>
  <c r="J15" i="14"/>
  <c r="I15" i="14"/>
  <c r="I51" i="14"/>
  <c r="O11" i="14"/>
  <c r="P11" i="14" s="1"/>
  <c r="J12" i="14"/>
  <c r="J51" i="14"/>
  <c r="I21" i="14"/>
  <c r="K12" i="14"/>
  <c r="K51" i="14"/>
  <c r="O7" i="14"/>
  <c r="P7" i="14" s="1"/>
  <c r="K21" i="14"/>
  <c r="M12" i="14"/>
  <c r="O12" i="14" s="1"/>
  <c r="P12" i="14" s="1"/>
  <c r="O10" i="14"/>
  <c r="P10" i="14" s="1"/>
  <c r="G31" i="14"/>
  <c r="I31" i="14" s="1"/>
  <c r="W455" i="6"/>
  <c r="M205" i="4"/>
  <c r="M218" i="4" s="1"/>
  <c r="O218" i="4" s="1"/>
  <c r="Q218" i="4" s="1"/>
  <c r="N204" i="4"/>
  <c r="O204" i="4" s="1"/>
  <c r="Q204" i="4" s="1"/>
  <c r="W1329" i="13"/>
  <c r="U855" i="4"/>
  <c r="W855" i="4"/>
  <c r="V855" i="4"/>
  <c r="T855" i="4"/>
  <c r="V859" i="4"/>
  <c r="U866" i="4"/>
  <c r="W866" i="4"/>
  <c r="T859" i="4"/>
  <c r="V866" i="4"/>
  <c r="W867" i="4"/>
  <c r="U859" i="4"/>
  <c r="T866" i="4"/>
  <c r="V867" i="4"/>
  <c r="U867" i="4"/>
  <c r="T867" i="4"/>
  <c r="V864" i="4"/>
  <c r="V863" i="4"/>
  <c r="U863" i="4"/>
  <c r="W863" i="4"/>
  <c r="T864" i="4"/>
  <c r="W864" i="4"/>
  <c r="T863" i="4"/>
  <c r="U864" i="4"/>
  <c r="V860" i="4"/>
  <c r="T860" i="4"/>
  <c r="U860" i="4"/>
  <c r="U861" i="4"/>
  <c r="V861" i="4"/>
  <c r="T861" i="4"/>
  <c r="W857" i="4"/>
  <c r="V856" i="4"/>
  <c r="U857" i="4"/>
  <c r="T858" i="4"/>
  <c r="W856" i="4"/>
  <c r="V857" i="4"/>
  <c r="U856" i="4"/>
  <c r="U858" i="4"/>
  <c r="T856" i="4"/>
  <c r="T857" i="4"/>
  <c r="V858" i="4"/>
  <c r="X247" i="4"/>
  <c r="AO247" i="4"/>
  <c r="W247" i="4"/>
  <c r="V247" i="4"/>
  <c r="U247" i="4"/>
  <c r="S36" i="17418"/>
  <c r="BY36" i="17418" s="1"/>
  <c r="HY36" i="17418" s="1"/>
  <c r="S58" i="17418"/>
  <c r="S49" i="17418"/>
  <c r="S26" i="17418"/>
  <c r="BY26" i="17418" s="1"/>
  <c r="T7" i="17418"/>
  <c r="S57" i="17418"/>
  <c r="S39" i="17418"/>
  <c r="S53" i="17418"/>
  <c r="S25" i="17418"/>
  <c r="FS25" i="17418" s="1"/>
  <c r="S32" i="17418"/>
  <c r="S42" i="17418"/>
  <c r="S29" i="17418"/>
  <c r="S38" i="17418"/>
  <c r="S51" i="17418"/>
  <c r="S60" i="17418"/>
  <c r="S37" i="17418"/>
  <c r="S50" i="17418"/>
  <c r="S47" i="17418"/>
  <c r="S48" i="17418"/>
  <c r="S23" i="17418"/>
  <c r="JM23" i="17418" s="1"/>
  <c r="S56" i="17418"/>
  <c r="S15" i="17418"/>
  <c r="S33" i="17418"/>
  <c r="S40" i="17418"/>
  <c r="S41" i="17418"/>
  <c r="S44" i="17418"/>
  <c r="S54" i="17418"/>
  <c r="S55" i="17418"/>
  <c r="J42" i="17419"/>
  <c r="J63" i="17419" s="1"/>
  <c r="S27" i="17418"/>
  <c r="S35" i="17418"/>
  <c r="S31" i="17418"/>
  <c r="S45" i="17418"/>
  <c r="S30" i="17418"/>
  <c r="S43" i="17418"/>
  <c r="S46" i="17418"/>
  <c r="J9" i="17419"/>
  <c r="S59" i="17418"/>
  <c r="S24" i="17418"/>
  <c r="HP24" i="17418" s="1"/>
  <c r="S286" i="17418"/>
  <c r="G1634" i="1"/>
  <c r="L214" i="13"/>
  <c r="L416" i="6"/>
  <c r="L196" i="13"/>
  <c r="L395" i="6"/>
  <c r="P395" i="6" s="1"/>
  <c r="T395" i="6" s="1"/>
  <c r="L568" i="13"/>
  <c r="L307" i="13"/>
  <c r="T96" i="17412"/>
  <c r="D156" i="17412"/>
  <c r="F1608" i="1" s="1"/>
  <c r="L586" i="13" s="1"/>
  <c r="P586" i="13" s="1"/>
  <c r="T10" i="17412"/>
  <c r="T159" i="17412"/>
  <c r="L246" i="6"/>
  <c r="P246" i="6" s="1"/>
  <c r="L445" i="13"/>
  <c r="L434" i="13"/>
  <c r="T175" i="17412"/>
  <c r="L105" i="6"/>
  <c r="L44" i="6"/>
  <c r="P44" i="6" s="1"/>
  <c r="L358" i="6"/>
  <c r="R358" i="6" s="1"/>
  <c r="L15" i="6"/>
  <c r="P15" i="6" s="1"/>
  <c r="L448" i="13"/>
  <c r="L460" i="13"/>
  <c r="L87" i="6"/>
  <c r="L249" i="6"/>
  <c r="L266" i="6"/>
  <c r="P266" i="6" s="1"/>
  <c r="L347" i="6"/>
  <c r="P347" i="6" s="1"/>
  <c r="L285" i="6"/>
  <c r="P285" i="6" s="1"/>
  <c r="L1264" i="13"/>
  <c r="P1264" i="13" s="1"/>
  <c r="D132" i="17412"/>
  <c r="F1584" i="1" s="1"/>
  <c r="D64" i="17412"/>
  <c r="F1516" i="1" s="1"/>
  <c r="L62" i="13" s="1"/>
  <c r="P62" i="13" s="1"/>
  <c r="D6" i="17412"/>
  <c r="F1459" i="1" s="1"/>
  <c r="X235" i="4"/>
  <c r="S235" i="4"/>
  <c r="V235" i="4"/>
  <c r="AO235" i="4"/>
  <c r="U235" i="4"/>
  <c r="W235" i="4"/>
  <c r="P215" i="4"/>
  <c r="U492" i="4"/>
  <c r="W492" i="4"/>
  <c r="V492" i="4"/>
  <c r="X492" i="4"/>
  <c r="S492" i="4"/>
  <c r="T492" i="4"/>
  <c r="AO492" i="4"/>
  <c r="R216" i="4"/>
  <c r="G1022" i="1"/>
  <c r="H1022" i="1" s="1"/>
  <c r="R208" i="4"/>
  <c r="G1024" i="1"/>
  <c r="H1024" i="1" s="1"/>
  <c r="R207" i="4"/>
  <c r="G1017" i="1"/>
  <c r="H1017" i="1" s="1"/>
  <c r="R215" i="4"/>
  <c r="G1018" i="1"/>
  <c r="H1018" i="1" s="1"/>
  <c r="R240" i="4"/>
  <c r="G1172" i="1"/>
  <c r="H1172" i="1" s="1"/>
  <c r="AO418" i="4"/>
  <c r="U418" i="4"/>
  <c r="V418" i="4"/>
  <c r="X418" i="4"/>
  <c r="W418" i="4"/>
  <c r="R397" i="4"/>
  <c r="S957" i="4"/>
  <c r="W900" i="4"/>
  <c r="V909" i="4"/>
  <c r="X895" i="4"/>
  <c r="X897" i="4"/>
  <c r="X899" i="4"/>
  <c r="X901" i="4"/>
  <c r="U912" i="4"/>
  <c r="U913" i="4"/>
  <c r="AO908" i="4"/>
  <c r="T910" i="4"/>
  <c r="W896" i="4"/>
  <c r="S901" i="4"/>
  <c r="X911" i="4"/>
  <c r="T896" i="4"/>
  <c r="T898" i="4"/>
  <c r="T900" i="4"/>
  <c r="T902" i="4"/>
  <c r="U916" i="4"/>
  <c r="U917" i="4"/>
  <c r="S909" i="4"/>
  <c r="X910" i="4"/>
  <c r="AO892" i="4"/>
  <c r="S894" i="4"/>
  <c r="W909" i="4"/>
  <c r="U914" i="4"/>
  <c r="W898" i="4"/>
  <c r="T914" i="4"/>
  <c r="T895" i="4"/>
  <c r="T897" i="4"/>
  <c r="T899" i="4"/>
  <c r="T901" i="4"/>
  <c r="U907" i="4"/>
  <c r="V904" i="4"/>
  <c r="AO909" i="4"/>
  <c r="S967" i="4"/>
  <c r="AO898" i="4"/>
  <c r="V913" i="4"/>
  <c r="X896" i="4"/>
  <c r="X898" i="4"/>
  <c r="X900" i="4"/>
  <c r="X902" i="4"/>
  <c r="U903" i="4"/>
  <c r="V908" i="4"/>
  <c r="X879" i="4"/>
  <c r="X880" i="4"/>
  <c r="X971" i="4"/>
  <c r="X969" i="4"/>
  <c r="U966" i="4"/>
  <c r="AO962" i="4"/>
  <c r="W961" i="4"/>
  <c r="X959" i="4"/>
  <c r="V956" i="4"/>
  <c r="S954" i="4"/>
  <c r="W970" i="4"/>
  <c r="S969" i="4"/>
  <c r="T967" i="4"/>
  <c r="S959" i="4"/>
  <c r="T958" i="4"/>
  <c r="X957" i="4"/>
  <c r="V962" i="4"/>
  <c r="T957" i="4"/>
  <c r="V960" i="4"/>
  <c r="AO965" i="4"/>
  <c r="AO956" i="4"/>
  <c r="V966" i="4"/>
  <c r="AO968" i="4"/>
  <c r="AO957" i="4"/>
  <c r="V959" i="4"/>
  <c r="S875" i="4"/>
  <c r="AO895" i="4"/>
  <c r="T971" i="4"/>
  <c r="T969" i="4"/>
  <c r="U965" i="4"/>
  <c r="W962" i="4"/>
  <c r="S961" i="4"/>
  <c r="T959" i="4"/>
  <c r="V955" i="4"/>
  <c r="AO971" i="4"/>
  <c r="S970" i="4"/>
  <c r="X968" i="4"/>
  <c r="X966" i="4"/>
  <c r="X958" i="4"/>
  <c r="X965" i="4"/>
  <c r="U956" i="4"/>
  <c r="V961" i="4"/>
  <c r="V954" i="4"/>
  <c r="U959" i="4"/>
  <c r="W963" i="4"/>
  <c r="X954" i="4"/>
  <c r="T963" i="4"/>
  <c r="W964" i="4"/>
  <c r="W955" i="4"/>
  <c r="S968" i="4"/>
  <c r="U962" i="4"/>
  <c r="V967" i="4"/>
  <c r="W956" i="4"/>
  <c r="U971" i="4"/>
  <c r="T956" i="4"/>
  <c r="X962" i="4"/>
  <c r="U970" i="4"/>
  <c r="AO950" i="4"/>
  <c r="U939" i="4"/>
  <c r="U951" i="4"/>
  <c r="T930" i="4"/>
  <c r="T940" i="4"/>
  <c r="W918" i="4"/>
  <c r="W932" i="4"/>
  <c r="V924" i="4"/>
  <c r="X935" i="4"/>
  <c r="AO952" i="4"/>
  <c r="AO944" i="4"/>
  <c r="AO948" i="4"/>
  <c r="AO932" i="4"/>
  <c r="S940" i="4"/>
  <c r="U947" i="4"/>
  <c r="X929" i="4"/>
  <c r="T939" i="4"/>
  <c r="T933" i="4"/>
  <c r="S946" i="4"/>
  <c r="T942" i="4"/>
  <c r="AO946" i="4"/>
  <c r="X950" i="4"/>
  <c r="S928" i="4"/>
  <c r="U929" i="4"/>
  <c r="X951" i="4"/>
  <c r="S933" i="4"/>
  <c r="S951" i="4"/>
  <c r="X945" i="4"/>
  <c r="U945" i="4"/>
  <c r="X921" i="4"/>
  <c r="U925" i="4"/>
  <c r="U918" i="4"/>
  <c r="AO921" i="4"/>
  <c r="T945" i="4"/>
  <c r="T919" i="4"/>
  <c r="V935" i="4"/>
  <c r="U927" i="4"/>
  <c r="U946" i="4"/>
  <c r="T936" i="4"/>
  <c r="X952" i="4"/>
  <c r="AO939" i="4"/>
  <c r="T921" i="4"/>
  <c r="S925" i="4"/>
  <c r="V931" i="4"/>
  <c r="AO930" i="4"/>
  <c r="S921" i="4"/>
  <c r="T948" i="4"/>
  <c r="W934" i="4"/>
  <c r="S935" i="4"/>
  <c r="W939" i="4"/>
  <c r="U944" i="4"/>
  <c r="X937" i="4"/>
  <c r="S937" i="4"/>
  <c r="U961" i="4"/>
  <c r="X970" i="4"/>
  <c r="U968" i="4"/>
  <c r="V964" i="4"/>
  <c r="S962" i="4"/>
  <c r="X960" i="4"/>
  <c r="U958" i="4"/>
  <c r="AO954" i="4"/>
  <c r="W971" i="4"/>
  <c r="AO969" i="4"/>
  <c r="T968" i="4"/>
  <c r="AO960" i="4"/>
  <c r="T966" i="4"/>
  <c r="U964" i="4"/>
  <c r="U955" i="4"/>
  <c r="AO959" i="4"/>
  <c r="AO967" i="4"/>
  <c r="X955" i="4"/>
  <c r="T962" i="4"/>
  <c r="V968" i="4"/>
  <c r="S965" i="4"/>
  <c r="V958" i="4"/>
  <c r="S963" i="4"/>
  <c r="T954" i="4"/>
  <c r="AO966" i="4"/>
  <c r="T970" i="4"/>
  <c r="U967" i="4"/>
  <c r="V963" i="4"/>
  <c r="AO961" i="4"/>
  <c r="T960" i="4"/>
  <c r="U957" i="4"/>
  <c r="W954" i="4"/>
  <c r="S971" i="4"/>
  <c r="W969" i="4"/>
  <c r="X967" i="4"/>
  <c r="W960" i="4"/>
  <c r="S960" i="4"/>
  <c r="U963" i="4"/>
  <c r="T965" i="4"/>
  <c r="W959" i="4"/>
  <c r="X963" i="4"/>
  <c r="W968" i="4"/>
  <c r="W957" i="4"/>
  <c r="S966" i="4"/>
  <c r="AO970" i="4"/>
  <c r="T955" i="4"/>
  <c r="X961" i="4"/>
  <c r="V965" i="4"/>
  <c r="V969" i="4"/>
  <c r="U954" i="4"/>
  <c r="AO963" i="4"/>
  <c r="V971" i="4"/>
  <c r="W967" i="4"/>
  <c r="W965" i="4"/>
  <c r="S956" i="4"/>
  <c r="AO958" i="4"/>
  <c r="V970" i="4"/>
  <c r="V957" i="4"/>
  <c r="AO964" i="4"/>
  <c r="X933" i="4"/>
  <c r="T931" i="4"/>
  <c r="S950" i="4"/>
  <c r="T949" i="4"/>
  <c r="U921" i="4"/>
  <c r="V943" i="4"/>
  <c r="U932" i="4"/>
  <c r="T925" i="4"/>
  <c r="X931" i="4"/>
  <c r="T929" i="4"/>
  <c r="S948" i="4"/>
  <c r="W946" i="4"/>
  <c r="W944" i="4"/>
  <c r="X940" i="4"/>
  <c r="V946" i="4"/>
  <c r="S905" i="4"/>
  <c r="X943" i="4"/>
  <c r="S918" i="4"/>
  <c r="V951" i="4"/>
  <c r="W941" i="4"/>
  <c r="T938" i="4"/>
  <c r="S949" i="4"/>
  <c r="V918" i="4"/>
  <c r="S922" i="4"/>
  <c r="U924" i="4"/>
  <c r="X930" i="4"/>
  <c r="V925" i="4"/>
  <c r="T920" i="4"/>
  <c r="AO934" i="4"/>
  <c r="AO941" i="4"/>
  <c r="V942" i="4"/>
  <c r="W937" i="4"/>
  <c r="U938" i="4"/>
  <c r="V921" i="4"/>
  <c r="X926" i="4"/>
  <c r="X922" i="4"/>
  <c r="S947" i="4"/>
  <c r="X944" i="4"/>
  <c r="X942" i="4"/>
  <c r="AO919" i="4"/>
  <c r="W921" i="4"/>
  <c r="W927" i="4"/>
  <c r="S927" i="4"/>
  <c r="W949" i="4"/>
  <c r="V937" i="4"/>
  <c r="X953" i="4"/>
  <c r="X941" i="4"/>
  <c r="X923" i="4"/>
  <c r="S929" i="4"/>
  <c r="X946" i="4"/>
  <c r="W922" i="4"/>
  <c r="W874" i="4"/>
  <c r="X907" i="4"/>
  <c r="AO904" i="4"/>
  <c r="T912" i="4"/>
  <c r="U896" i="4"/>
  <c r="W895" i="4"/>
  <c r="W899" i="4"/>
  <c r="U900" i="4"/>
  <c r="AO915" i="4"/>
  <c r="S913" i="4"/>
  <c r="AO907" i="4"/>
  <c r="X903" i="4"/>
  <c r="S916" i="4"/>
  <c r="S912" i="4"/>
  <c r="S908" i="4"/>
  <c r="W903" i="4"/>
  <c r="V899" i="4"/>
  <c r="W912" i="4"/>
  <c r="U905" i="4"/>
  <c r="V910" i="4"/>
  <c r="U906" i="4"/>
  <c r="S902" i="4"/>
  <c r="V898" i="4"/>
  <c r="V894" i="4"/>
  <c r="T903" i="4"/>
  <c r="S896" i="4"/>
  <c r="V916" i="4"/>
  <c r="W908" i="4"/>
  <c r="AO897" i="4"/>
  <c r="AO901" i="4"/>
  <c r="S958" i="4"/>
  <c r="S964" i="4"/>
  <c r="W958" i="4"/>
  <c r="X964" i="4"/>
  <c r="T961" i="4"/>
  <c r="T964" i="4"/>
  <c r="AO955" i="4"/>
  <c r="X947" i="4"/>
  <c r="V923" i="4"/>
  <c r="V927" i="4"/>
  <c r="W928" i="4"/>
  <c r="V922" i="4"/>
  <c r="V926" i="4"/>
  <c r="V936" i="4"/>
  <c r="S952" i="4"/>
  <c r="S944" i="4"/>
  <c r="U953" i="4"/>
  <c r="U934" i="4"/>
  <c r="T947" i="4"/>
  <c r="AO942" i="4"/>
  <c r="V928" i="4"/>
  <c r="V947" i="4"/>
  <c r="V930" i="4"/>
  <c r="X934" i="4"/>
  <c r="S932" i="4"/>
  <c r="U942" i="4"/>
  <c r="AO949" i="4"/>
  <c r="U926" i="4"/>
  <c r="X927" i="4"/>
  <c r="T946" i="4"/>
  <c r="V953" i="4"/>
  <c r="U920" i="4"/>
  <c r="AO943" i="4"/>
  <c r="T926" i="4"/>
  <c r="T952" i="4"/>
  <c r="W943" i="4"/>
  <c r="AO928" i="4"/>
  <c r="T927" i="4"/>
  <c r="AO927" i="4"/>
  <c r="W920" i="4"/>
  <c r="AO935" i="4"/>
  <c r="X928" i="4"/>
  <c r="AO951" i="4"/>
  <c r="S953" i="4"/>
  <c r="U933" i="4"/>
  <c r="AO926" i="4"/>
  <c r="V932" i="4"/>
  <c r="V920" i="4"/>
  <c r="V929" i="4"/>
  <c r="U950" i="4"/>
  <c r="S945" i="4"/>
  <c r="AO953" i="4"/>
  <c r="T937" i="4"/>
  <c r="V940" i="4"/>
  <c r="W924" i="4"/>
  <c r="W929" i="4"/>
  <c r="S923" i="4"/>
  <c r="W894" i="4"/>
  <c r="W910" i="4"/>
  <c r="X916" i="4"/>
  <c r="W902" i="4"/>
  <c r="AO910" i="4"/>
  <c r="T916" i="4"/>
  <c r="X909" i="4"/>
  <c r="X917" i="4"/>
  <c r="W914" i="4"/>
  <c r="V911" i="4"/>
  <c r="X905" i="4"/>
  <c r="U894" i="4"/>
  <c r="AO914" i="4"/>
  <c r="S910" i="4"/>
  <c r="W906" i="4"/>
  <c r="V901" i="4"/>
  <c r="S915" i="4"/>
  <c r="W907" i="4"/>
  <c r="T913" i="4"/>
  <c r="U908" i="4"/>
  <c r="T904" i="4"/>
  <c r="AO912" i="4"/>
  <c r="V896" i="4"/>
  <c r="W911" i="4"/>
  <c r="S898" i="4"/>
  <c r="T894" i="4"/>
  <c r="AO902" i="4"/>
  <c r="U902" i="4"/>
  <c r="U904" i="4"/>
  <c r="T909" i="4"/>
  <c r="AO906" i="4"/>
  <c r="X956" i="4"/>
  <c r="S955" i="4"/>
  <c r="U943" i="4"/>
  <c r="T922" i="4"/>
  <c r="AO925" i="4"/>
  <c r="U949" i="4"/>
  <c r="V938" i="4"/>
  <c r="U941" i="4"/>
  <c r="W942" i="4"/>
  <c r="V934" i="4"/>
  <c r="T941" i="4"/>
  <c r="T953" i="4"/>
  <c r="T923" i="4"/>
  <c r="U931" i="4"/>
  <c r="AO920" i="4"/>
  <c r="T934" i="4"/>
  <c r="W951" i="4"/>
  <c r="X918" i="4"/>
  <c r="S919" i="4"/>
  <c r="U937" i="4"/>
  <c r="U952" i="4"/>
  <c r="AO923" i="4"/>
  <c r="S920" i="4"/>
  <c r="V952" i="4"/>
  <c r="T918" i="4"/>
  <c r="AO937" i="4"/>
  <c r="AO924" i="4"/>
  <c r="X912" i="4"/>
  <c r="U910" i="4"/>
  <c r="W897" i="4"/>
  <c r="X906" i="4"/>
  <c r="X913" i="4"/>
  <c r="X904" i="4"/>
  <c r="W913" i="4"/>
  <c r="V905" i="4"/>
  <c r="AO913" i="4"/>
  <c r="V912" i="4"/>
  <c r="AO894" i="4"/>
  <c r="V895" i="4"/>
  <c r="S897" i="4"/>
  <c r="X915" i="4"/>
  <c r="AO899" i="4"/>
  <c r="U911" i="4"/>
  <c r="W888" i="4"/>
  <c r="U893" i="4"/>
  <c r="U969" i="4"/>
  <c r="X948" i="4"/>
  <c r="T924" i="4"/>
  <c r="V944" i="4"/>
  <c r="AO940" i="4"/>
  <c r="AO938" i="4"/>
  <c r="W940" i="4"/>
  <c r="T950" i="4"/>
  <c r="V933" i="4"/>
  <c r="W926" i="4"/>
  <c r="V941" i="4"/>
  <c r="S938" i="4"/>
  <c r="U919" i="4"/>
  <c r="U930" i="4"/>
  <c r="S943" i="4"/>
  <c r="W935" i="4"/>
  <c r="S934" i="4"/>
  <c r="S931" i="4"/>
  <c r="T944" i="4"/>
  <c r="V939" i="4"/>
  <c r="X949" i="4"/>
  <c r="U935" i="4"/>
  <c r="U940" i="4"/>
  <c r="X939" i="4"/>
  <c r="S926" i="4"/>
  <c r="X920" i="4"/>
  <c r="V903" i="4"/>
  <c r="T907" i="4"/>
  <c r="W901" i="4"/>
  <c r="AO917" i="4"/>
  <c r="AO911" i="4"/>
  <c r="S903" i="4"/>
  <c r="T911" i="4"/>
  <c r="V902" i="4"/>
  <c r="S911" i="4"/>
  <c r="U909" i="4"/>
  <c r="W915" i="4"/>
  <c r="X914" i="4"/>
  <c r="S895" i="4"/>
  <c r="W904" i="4"/>
  <c r="V914" i="4"/>
  <c r="S904" i="4"/>
  <c r="X886" i="4"/>
  <c r="X883" i="4"/>
  <c r="U874" i="4"/>
  <c r="T884" i="4"/>
  <c r="U890" i="4"/>
  <c r="X882" i="4"/>
  <c r="T877" i="4"/>
  <c r="S879" i="4"/>
  <c r="T886" i="4"/>
  <c r="T888" i="4"/>
  <c r="X893" i="4"/>
  <c r="S876" i="4"/>
  <c r="V886" i="4"/>
  <c r="S880" i="4"/>
  <c r="AO884" i="4"/>
  <c r="U875" i="4"/>
  <c r="W893" i="4"/>
  <c r="AO893" i="4"/>
  <c r="X878" i="4"/>
  <c r="AO887" i="4"/>
  <c r="W890" i="4"/>
  <c r="AO876" i="4"/>
  <c r="AO874" i="4"/>
  <c r="X876" i="4"/>
  <c r="U885" i="4"/>
  <c r="AO891" i="4"/>
  <c r="T874" i="4"/>
  <c r="S890" i="4"/>
  <c r="T875" i="4"/>
  <c r="AO888" i="4"/>
  <c r="T873" i="4"/>
  <c r="T887" i="4"/>
  <c r="W885" i="4"/>
  <c r="S878" i="4"/>
  <c r="U876" i="4"/>
  <c r="V893" i="4"/>
  <c r="X889" i="4"/>
  <c r="S893" i="4"/>
  <c r="U887" i="4"/>
  <c r="AO880" i="4"/>
  <c r="S892" i="4"/>
  <c r="X881" i="4"/>
  <c r="W882" i="4"/>
  <c r="AO882" i="4"/>
  <c r="V879" i="4"/>
  <c r="W876" i="4"/>
  <c r="V880" i="4"/>
  <c r="V875" i="4"/>
  <c r="S885" i="4"/>
  <c r="AO875" i="4"/>
  <c r="S884" i="4"/>
  <c r="V878" i="4"/>
  <c r="X877" i="4"/>
  <c r="AO885" i="4"/>
  <c r="W875" i="4"/>
  <c r="V892" i="4"/>
  <c r="AO889" i="4"/>
  <c r="T878" i="4"/>
  <c r="T893" i="4"/>
  <c r="U880" i="4"/>
  <c r="U960" i="4"/>
  <c r="T951" i="4"/>
  <c r="V948" i="4"/>
  <c r="T935" i="4"/>
  <c r="S936" i="4"/>
  <c r="X925" i="4"/>
  <c r="W950" i="4"/>
  <c r="W948" i="4"/>
  <c r="T906" i="4"/>
  <c r="X919" i="4"/>
  <c r="W945" i="4"/>
  <c r="S941" i="4"/>
  <c r="S924" i="4"/>
  <c r="W938" i="4"/>
  <c r="W953" i="4"/>
  <c r="X938" i="4"/>
  <c r="W925" i="4"/>
  <c r="U923" i="4"/>
  <c r="AO947" i="4"/>
  <c r="X936" i="4"/>
  <c r="T928" i="4"/>
  <c r="W930" i="4"/>
  <c r="S939" i="4"/>
  <c r="V949" i="4"/>
  <c r="S930" i="4"/>
  <c r="W923" i="4"/>
  <c r="W877" i="4"/>
  <c r="W905" i="4"/>
  <c r="U898" i="4"/>
  <c r="AO905" i="4"/>
  <c r="S917" i="4"/>
  <c r="T908" i="4"/>
  <c r="W917" i="4"/>
  <c r="X908" i="4"/>
  <c r="V900" i="4"/>
  <c r="V906" i="4"/>
  <c r="V907" i="4"/>
  <c r="S900" i="4"/>
  <c r="AO903" i="4"/>
  <c r="T917" i="4"/>
  <c r="AO900" i="4"/>
  <c r="U897" i="4"/>
  <c r="X894" i="4"/>
  <c r="U883" i="4"/>
  <c r="S891" i="4"/>
  <c r="X875" i="4"/>
  <c r="U892" i="4"/>
  <c r="X874" i="4"/>
  <c r="U877" i="4"/>
  <c r="T891" i="4"/>
  <c r="X887" i="4"/>
  <c r="V873" i="4"/>
  <c r="T880" i="4"/>
  <c r="AO883" i="4"/>
  <c r="W880" i="4"/>
  <c r="U878" i="4"/>
  <c r="V884" i="4"/>
  <c r="U882" i="4"/>
  <c r="S888" i="4"/>
  <c r="W878" i="4"/>
  <c r="X888" i="4"/>
  <c r="S889" i="4"/>
  <c r="W892" i="4"/>
  <c r="W883" i="4"/>
  <c r="X873" i="4"/>
  <c r="X892" i="4"/>
  <c r="T876" i="4"/>
  <c r="W889" i="4"/>
  <c r="T879" i="4"/>
  <c r="AO881" i="4"/>
  <c r="T881" i="4"/>
  <c r="W886" i="4"/>
  <c r="AO877" i="4"/>
  <c r="AO878" i="4"/>
  <c r="W966" i="4"/>
  <c r="V945" i="4"/>
  <c r="T932" i="4"/>
  <c r="V950" i="4"/>
  <c r="AO931" i="4"/>
  <c r="AO936" i="4"/>
  <c r="W952" i="4"/>
  <c r="T943" i="4"/>
  <c r="S942" i="4"/>
  <c r="X924" i="4"/>
  <c r="AO933" i="4"/>
  <c r="W936" i="4"/>
  <c r="W919" i="4"/>
  <c r="U922" i="4"/>
  <c r="W933" i="4"/>
  <c r="W947" i="4"/>
  <c r="W931" i="4"/>
  <c r="V919" i="4"/>
  <c r="U928" i="4"/>
  <c r="U948" i="4"/>
  <c r="AO929" i="4"/>
  <c r="AO922" i="4"/>
  <c r="U936" i="4"/>
  <c r="AO945" i="4"/>
  <c r="AO918" i="4"/>
  <c r="X932" i="4"/>
  <c r="U901" i="4"/>
  <c r="AO896" i="4"/>
  <c r="V917" i="4"/>
  <c r="U915" i="4"/>
  <c r="V915" i="4"/>
  <c r="S906" i="4"/>
  <c r="T915" i="4"/>
  <c r="S907" i="4"/>
  <c r="W916" i="4"/>
  <c r="AO916" i="4"/>
  <c r="T905" i="4"/>
  <c r="V897" i="4"/>
  <c r="S899" i="4"/>
  <c r="S914" i="4"/>
  <c r="U899" i="4"/>
  <c r="U895" i="4"/>
  <c r="X885" i="4"/>
  <c r="U881" i="4"/>
  <c r="V891" i="4"/>
  <c r="U889" i="4"/>
  <c r="U873" i="4"/>
  <c r="V889" i="4"/>
  <c r="X890" i="4"/>
  <c r="S873" i="4"/>
  <c r="AO879" i="4"/>
  <c r="X891" i="4"/>
  <c r="T889" i="4"/>
  <c r="U884" i="4"/>
  <c r="V874" i="4"/>
  <c r="V890" i="4"/>
  <c r="AO873" i="4"/>
  <c r="S883" i="4"/>
  <c r="T890" i="4"/>
  <c r="W884" i="4"/>
  <c r="W879" i="4"/>
  <c r="S881" i="4"/>
  <c r="V882" i="4"/>
  <c r="S887" i="4"/>
  <c r="V887" i="4"/>
  <c r="W891" i="4"/>
  <c r="T882" i="4"/>
  <c r="S882" i="4"/>
  <c r="T885" i="4"/>
  <c r="T883" i="4"/>
  <c r="V876" i="4"/>
  <c r="U879" i="4"/>
  <c r="U891" i="4"/>
  <c r="X884" i="4"/>
  <c r="W887" i="4"/>
  <c r="AO886" i="4"/>
  <c r="AO890" i="4"/>
  <c r="V888" i="4"/>
  <c r="V877" i="4"/>
  <c r="T892" i="4"/>
  <c r="S886" i="4"/>
  <c r="V881" i="4"/>
  <c r="W881" i="4"/>
  <c r="U888" i="4"/>
  <c r="U886" i="4"/>
  <c r="V883" i="4"/>
  <c r="V885" i="4"/>
  <c r="S877" i="4"/>
  <c r="S874" i="4"/>
  <c r="W873" i="4"/>
  <c r="U821" i="4"/>
  <c r="U826" i="4"/>
  <c r="AO842" i="4"/>
  <c r="X840" i="4"/>
  <c r="W841" i="4"/>
  <c r="W848" i="4"/>
  <c r="U844" i="4"/>
  <c r="V870" i="4"/>
  <c r="S847" i="4"/>
  <c r="U872" i="4"/>
  <c r="U852" i="4"/>
  <c r="V871" i="4"/>
  <c r="X839" i="4"/>
  <c r="AO826" i="4"/>
  <c r="S840" i="4"/>
  <c r="W839" i="4"/>
  <c r="S836" i="4"/>
  <c r="X853" i="4"/>
  <c r="V851" i="4"/>
  <c r="U845" i="4"/>
  <c r="U850" i="4"/>
  <c r="V853" i="4"/>
  <c r="U854" i="4"/>
  <c r="X842" i="4"/>
  <c r="U835" i="4"/>
  <c r="T839" i="4"/>
  <c r="U836" i="4"/>
  <c r="T845" i="4"/>
  <c r="X870" i="4"/>
  <c r="W851" i="4"/>
  <c r="W850" i="4"/>
  <c r="W844" i="4"/>
  <c r="T872" i="4"/>
  <c r="AO870" i="4"/>
  <c r="U853" i="4"/>
  <c r="T850" i="4"/>
  <c r="S843" i="4"/>
  <c r="U842" i="4"/>
  <c r="T842" i="4"/>
  <c r="X838" i="4"/>
  <c r="X848" i="4"/>
  <c r="S846" i="4"/>
  <c r="S872" i="4"/>
  <c r="AO852" i="4"/>
  <c r="T847" i="4"/>
  <c r="W871" i="4"/>
  <c r="V854" i="4"/>
  <c r="V872" i="4"/>
  <c r="V825" i="4"/>
  <c r="U823" i="4"/>
  <c r="S818" i="4"/>
  <c r="W821" i="4"/>
  <c r="S816" i="4"/>
  <c r="V815" i="4"/>
  <c r="X824" i="4"/>
  <c r="U819" i="4"/>
  <c r="AO818" i="4"/>
  <c r="AO823" i="4"/>
  <c r="AO824" i="4"/>
  <c r="T817" i="4"/>
  <c r="W815" i="4"/>
  <c r="T821" i="4"/>
  <c r="AO813" i="4"/>
  <c r="X818" i="4"/>
  <c r="W825" i="4"/>
  <c r="V816" i="4"/>
  <c r="X816" i="4"/>
  <c r="T822" i="4"/>
  <c r="U816" i="4"/>
  <c r="AO820" i="4"/>
  <c r="S815" i="4"/>
  <c r="S797" i="4"/>
  <c r="T809" i="4"/>
  <c r="W805" i="4"/>
  <c r="T802" i="4"/>
  <c r="AO796" i="4"/>
  <c r="S808" i="4"/>
  <c r="U812" i="4"/>
  <c r="X805" i="4"/>
  <c r="AO801" i="4"/>
  <c r="T796" i="4"/>
  <c r="T807" i="4"/>
  <c r="AO837" i="4"/>
  <c r="V835" i="4"/>
  <c r="X837" i="4"/>
  <c r="AO839" i="4"/>
  <c r="X836" i="4"/>
  <c r="S851" i="4"/>
  <c r="W849" i="4"/>
  <c r="V846" i="4"/>
  <c r="X871" i="4"/>
  <c r="W869" i="4"/>
  <c r="AO849" i="4"/>
  <c r="W862" i="4"/>
  <c r="V840" i="4"/>
  <c r="W842" i="4"/>
  <c r="V837" i="4"/>
  <c r="S826" i="4"/>
  <c r="X844" i="4"/>
  <c r="T869" i="4"/>
  <c r="U862" i="4"/>
  <c r="V847" i="4"/>
  <c r="T844" i="4"/>
  <c r="T853" i="4"/>
  <c r="X850" i="4"/>
  <c r="V838" i="4"/>
  <c r="X841" i="4"/>
  <c r="U839" i="4"/>
  <c r="V836" i="4"/>
  <c r="U847" i="4"/>
  <c r="S845" i="4"/>
  <c r="S869" i="4"/>
  <c r="V848" i="4"/>
  <c r="T870" i="4"/>
  <c r="T835" i="4"/>
  <c r="T837" i="4"/>
  <c r="U838" i="4"/>
  <c r="AO843" i="4"/>
  <c r="AO835" i="4"/>
  <c r="W852" i="4"/>
  <c r="S848" i="4"/>
  <c r="AO845" i="4"/>
  <c r="T871" i="4"/>
  <c r="W853" i="4"/>
  <c r="S868" i="4"/>
  <c r="U820" i="4"/>
  <c r="W824" i="4"/>
  <c r="S820" i="4"/>
  <c r="T814" i="4"/>
  <c r="T815" i="4"/>
  <c r="U822" i="4"/>
  <c r="S825" i="4"/>
  <c r="V819" i="4"/>
  <c r="AO819" i="4"/>
  <c r="S822" i="4"/>
  <c r="W822" i="4"/>
  <c r="U825" i="4"/>
  <c r="X825" i="4"/>
  <c r="X819" i="4"/>
  <c r="W814" i="4"/>
  <c r="U818" i="4"/>
  <c r="AO815" i="4"/>
  <c r="V813" i="4"/>
  <c r="T813" i="4"/>
  <c r="V821" i="4"/>
  <c r="V818" i="4"/>
  <c r="S813" i="4"/>
  <c r="T825" i="4"/>
  <c r="W801" i="4"/>
  <c r="T797" i="4"/>
  <c r="X809" i="4"/>
  <c r="U804" i="4"/>
  <c r="X798" i="4"/>
  <c r="T808" i="4"/>
  <c r="T799" i="4"/>
  <c r="AO808" i="4"/>
  <c r="X803" i="4"/>
  <c r="V800" i="4"/>
  <c r="V808" i="4"/>
  <c r="W837" i="4"/>
  <c r="U840" i="4"/>
  <c r="W826" i="4"/>
  <c r="U841" i="4"/>
  <c r="AO846" i="4"/>
  <c r="T862" i="4"/>
  <c r="T854" i="4"/>
  <c r="W847" i="4"/>
  <c r="S871" i="4"/>
  <c r="AO851" i="4"/>
  <c r="W868" i="4"/>
  <c r="V862" i="4"/>
  <c r="X851" i="4"/>
  <c r="S839" i="4"/>
  <c r="X843" i="4"/>
  <c r="S837" i="4"/>
  <c r="U843" i="4"/>
  <c r="X846" i="4"/>
  <c r="X845" i="4"/>
  <c r="V869" i="4"/>
  <c r="S853" i="4"/>
  <c r="V845" i="4"/>
  <c r="U869" i="4"/>
  <c r="U849" i="4"/>
  <c r="W840" i="4"/>
  <c r="AO847" i="4"/>
  <c r="V839" i="4"/>
  <c r="V842" i="4"/>
  <c r="T836" i="4"/>
  <c r="T848" i="4"/>
  <c r="U846" i="4"/>
  <c r="AO850" i="4"/>
  <c r="X849" i="4"/>
  <c r="U870" i="4"/>
  <c r="X868" i="4"/>
  <c r="T865" i="4"/>
  <c r="X826" i="4"/>
  <c r="S838" i="4"/>
  <c r="S835" i="4"/>
  <c r="T840" i="4"/>
  <c r="V826" i="4"/>
  <c r="W870" i="4"/>
  <c r="V852" i="4"/>
  <c r="X847" i="4"/>
  <c r="W872" i="4"/>
  <c r="AO872" i="4"/>
  <c r="AO871" i="4"/>
  <c r="T852" i="4"/>
  <c r="X821" i="4"/>
  <c r="X822" i="4"/>
  <c r="AO816" i="4"/>
  <c r="T820" i="4"/>
  <c r="T824" i="4"/>
  <c r="W816" i="4"/>
  <c r="AO817" i="4"/>
  <c r="W811" i="4"/>
  <c r="V814" i="4"/>
  <c r="X813" i="4"/>
  <c r="AO814" i="4"/>
  <c r="W813" i="4"/>
  <c r="X823" i="4"/>
  <c r="T818" i="4"/>
  <c r="AO821" i="4"/>
  <c r="U814" i="4"/>
  <c r="S823" i="4"/>
  <c r="AO825" i="4"/>
  <c r="X820" i="4"/>
  <c r="V820" i="4"/>
  <c r="U815" i="4"/>
  <c r="W817" i="4"/>
  <c r="T823" i="4"/>
  <c r="X802" i="4"/>
  <c r="W799" i="4"/>
  <c r="U810" i="4"/>
  <c r="AO806" i="4"/>
  <c r="X799" i="4"/>
  <c r="U808" i="4"/>
  <c r="V801" i="4"/>
  <c r="X812" i="4"/>
  <c r="W806" i="4"/>
  <c r="AO802" i="4"/>
  <c r="X796" i="4"/>
  <c r="V809" i="4"/>
  <c r="W835" i="4"/>
  <c r="S841" i="4"/>
  <c r="T826" i="4"/>
  <c r="V841" i="4"/>
  <c r="V844" i="4"/>
  <c r="AO844" i="4"/>
  <c r="V865" i="4"/>
  <c r="T849" i="4"/>
  <c r="T846" i="4"/>
  <c r="X872" i="4"/>
  <c r="AO869" i="4"/>
  <c r="T851" i="4"/>
  <c r="T841" i="4"/>
  <c r="AO838" i="4"/>
  <c r="V843" i="4"/>
  <c r="W843" i="4"/>
  <c r="T843" i="4"/>
  <c r="V850" i="4"/>
  <c r="U848" i="4"/>
  <c r="S844" i="4"/>
  <c r="V868" i="4"/>
  <c r="S849" i="4"/>
  <c r="U871" i="4"/>
  <c r="X869" i="4"/>
  <c r="T868" i="4"/>
  <c r="S842" i="4"/>
  <c r="X835" i="4"/>
  <c r="W836" i="4"/>
  <c r="AO840" i="4"/>
  <c r="AO836" i="4"/>
  <c r="AO868" i="4"/>
  <c r="AO848" i="4"/>
  <c r="U868" i="4"/>
  <c r="S852" i="4"/>
  <c r="U851" i="4"/>
  <c r="AO853" i="4"/>
  <c r="U837" i="4"/>
  <c r="T838" i="4"/>
  <c r="AO841" i="4"/>
  <c r="W838" i="4"/>
  <c r="W846" i="4"/>
  <c r="U865" i="4"/>
  <c r="W854" i="4"/>
  <c r="S850" i="4"/>
  <c r="W845" i="4"/>
  <c r="S870" i="4"/>
  <c r="W865" i="4"/>
  <c r="X852" i="4"/>
  <c r="V849" i="4"/>
  <c r="S824" i="4"/>
  <c r="T816" i="4"/>
  <c r="W823" i="4"/>
  <c r="T819" i="4"/>
  <c r="X814" i="4"/>
  <c r="X815" i="4"/>
  <c r="S819" i="4"/>
  <c r="U824" i="4"/>
  <c r="V823" i="4"/>
  <c r="W819" i="4"/>
  <c r="V817" i="4"/>
  <c r="W820" i="4"/>
  <c r="S814" i="4"/>
  <c r="U817" i="4"/>
  <c r="AO822" i="4"/>
  <c r="V824" i="4"/>
  <c r="S821" i="4"/>
  <c r="X817" i="4"/>
  <c r="S817" i="4"/>
  <c r="U813" i="4"/>
  <c r="V822" i="4"/>
  <c r="W818" i="4"/>
  <c r="X797" i="4"/>
  <c r="W810" i="4"/>
  <c r="T803" i="4"/>
  <c r="U798" i="4"/>
  <c r="S809" i="4"/>
  <c r="V799" i="4"/>
  <c r="T812" i="4"/>
  <c r="AO804" i="4"/>
  <c r="W797" i="4"/>
  <c r="X810" i="4"/>
  <c r="U805" i="4"/>
  <c r="AO803" i="4"/>
  <c r="W812" i="4"/>
  <c r="X800" i="4"/>
  <c r="AO809" i="4"/>
  <c r="W804" i="4"/>
  <c r="V798" i="4"/>
  <c r="W807" i="4"/>
  <c r="V806" i="4"/>
  <c r="AO811" i="4"/>
  <c r="X801" i="4"/>
  <c r="W796" i="4"/>
  <c r="S807" i="4"/>
  <c r="V796" i="4"/>
  <c r="U796" i="4"/>
  <c r="W808" i="4"/>
  <c r="AO799" i="4"/>
  <c r="V812" i="4"/>
  <c r="AO798" i="4"/>
  <c r="W809" i="4"/>
  <c r="U806" i="4"/>
  <c r="W803" i="4"/>
  <c r="AO797" i="4"/>
  <c r="X808" i="4"/>
  <c r="T811" i="4"/>
  <c r="AO805" i="4"/>
  <c r="V803" i="4"/>
  <c r="T810" i="4"/>
  <c r="T806" i="4"/>
  <c r="T800" i="4"/>
  <c r="S811" i="4"/>
  <c r="V805" i="4"/>
  <c r="S812" i="4"/>
  <c r="T805" i="4"/>
  <c r="T798" i="4"/>
  <c r="V810" i="4"/>
  <c r="X804" i="4"/>
  <c r="AO800" i="4"/>
  <c r="S810" i="4"/>
  <c r="W800" i="4"/>
  <c r="V807" i="4"/>
  <c r="V802" i="4"/>
  <c r="U797" i="4"/>
  <c r="X807" i="4"/>
  <c r="V804" i="4"/>
  <c r="V811" i="4"/>
  <c r="AO807" i="4"/>
  <c r="T801" i="4"/>
  <c r="U809" i="4"/>
  <c r="W802" i="4"/>
  <c r="V797" i="4"/>
  <c r="AO810" i="4"/>
  <c r="T804" i="4"/>
  <c r="U811" i="4"/>
  <c r="S796" i="4"/>
  <c r="U807" i="4"/>
  <c r="S798" i="4"/>
  <c r="W798" i="4"/>
  <c r="AO812" i="4"/>
  <c r="X806" i="4"/>
  <c r="X811" i="4"/>
  <c r="R149" i="13"/>
  <c r="R239" i="4"/>
  <c r="G1142" i="1"/>
  <c r="H1142" i="1" s="1"/>
  <c r="R241" i="4"/>
  <c r="G1570" i="1"/>
  <c r="R245" i="4"/>
  <c r="G1480" i="1"/>
  <c r="H1578" i="1"/>
  <c r="L1204" i="13"/>
  <c r="P324" i="13"/>
  <c r="R238" i="4"/>
  <c r="G1134" i="1"/>
  <c r="H1134" i="1" s="1"/>
  <c r="P204" i="4"/>
  <c r="U1046" i="13"/>
  <c r="T795" i="4"/>
  <c r="T793" i="4"/>
  <c r="W790" i="4"/>
  <c r="W795" i="4"/>
  <c r="W788" i="4"/>
  <c r="V789" i="4"/>
  <c r="W793" i="4"/>
  <c r="T787" i="4"/>
  <c r="W787" i="4"/>
  <c r="T789" i="4"/>
  <c r="V791" i="4"/>
  <c r="V787" i="4"/>
  <c r="V795" i="4"/>
  <c r="V788" i="4"/>
  <c r="T791" i="4"/>
  <c r="V794" i="4"/>
  <c r="T790" i="4"/>
  <c r="V793" i="4"/>
  <c r="W791" i="4"/>
  <c r="V792" i="4"/>
  <c r="V790" i="4"/>
  <c r="W794" i="4"/>
  <c r="W792" i="4"/>
  <c r="W789" i="4"/>
  <c r="T792" i="4"/>
  <c r="T794" i="4"/>
  <c r="T788" i="4"/>
  <c r="U786" i="4"/>
  <c r="V784" i="4"/>
  <c r="S786" i="4"/>
  <c r="W786" i="4"/>
  <c r="T786" i="4"/>
  <c r="V786" i="4"/>
  <c r="U784" i="4"/>
  <c r="X784" i="4"/>
  <c r="W783" i="4"/>
  <c r="AO784" i="4"/>
  <c r="V785" i="4"/>
  <c r="X785" i="4"/>
  <c r="X783" i="4"/>
  <c r="W785" i="4"/>
  <c r="W784" i="4"/>
  <c r="T785" i="4"/>
  <c r="T783" i="4"/>
  <c r="U785" i="4"/>
  <c r="V783" i="4"/>
  <c r="AO785" i="4"/>
  <c r="T784" i="4"/>
  <c r="U783" i="4"/>
  <c r="T779" i="4"/>
  <c r="U781" i="4"/>
  <c r="U782" i="4"/>
  <c r="W782" i="4"/>
  <c r="V776" i="4"/>
  <c r="U778" i="4"/>
  <c r="W781" i="4"/>
  <c r="V779" i="4"/>
  <c r="T778" i="4"/>
  <c r="V778" i="4"/>
  <c r="T776" i="4"/>
  <c r="U777" i="4"/>
  <c r="U776" i="4"/>
  <c r="U774" i="4"/>
  <c r="S774" i="4"/>
  <c r="S772" i="4"/>
  <c r="S773" i="4"/>
  <c r="U770" i="4"/>
  <c r="W771" i="4"/>
  <c r="S770" i="4"/>
  <c r="V770" i="4"/>
  <c r="U465" i="4"/>
  <c r="T464" i="4"/>
  <c r="X465" i="4"/>
  <c r="V464" i="4"/>
  <c r="AO463" i="4"/>
  <c r="V769" i="4"/>
  <c r="V782" i="4"/>
  <c r="T782" i="4"/>
  <c r="AO782" i="4"/>
  <c r="T781" i="4"/>
  <c r="V781" i="4"/>
  <c r="X781" i="4"/>
  <c r="AO780" i="4"/>
  <c r="U779" i="4"/>
  <c r="S778" i="4"/>
  <c r="AO778" i="4"/>
  <c r="X777" i="4"/>
  <c r="T777" i="4"/>
  <c r="W774" i="4"/>
  <c r="W773" i="4"/>
  <c r="V773" i="4"/>
  <c r="T771" i="4"/>
  <c r="W770" i="4"/>
  <c r="S769" i="4"/>
  <c r="V463" i="4"/>
  <c r="X466" i="4"/>
  <c r="AO464" i="4"/>
  <c r="AO783" i="4"/>
  <c r="X782" i="4"/>
  <c r="AO779" i="4"/>
  <c r="T780" i="4"/>
  <c r="X779" i="4"/>
  <c r="U780" i="4"/>
  <c r="W779" i="4"/>
  <c r="V774" i="4"/>
  <c r="W778" i="4"/>
  <c r="T772" i="4"/>
  <c r="W776" i="4"/>
  <c r="V777" i="4"/>
  <c r="T775" i="4"/>
  <c r="U775" i="4"/>
  <c r="S775" i="4"/>
  <c r="U772" i="4"/>
  <c r="U773" i="4"/>
  <c r="V771" i="4"/>
  <c r="X770" i="4"/>
  <c r="T769" i="4"/>
  <c r="T463" i="4"/>
  <c r="W464" i="4"/>
  <c r="W465" i="4"/>
  <c r="W463" i="4"/>
  <c r="T465" i="4"/>
  <c r="AO465" i="4"/>
  <c r="W769" i="4"/>
  <c r="W780" i="4"/>
  <c r="V780" i="4"/>
  <c r="X780" i="4"/>
  <c r="AO781" i="4"/>
  <c r="X778" i="4"/>
  <c r="AO777" i="4"/>
  <c r="W775" i="4"/>
  <c r="W777" i="4"/>
  <c r="S777" i="4"/>
  <c r="T773" i="4"/>
  <c r="T774" i="4"/>
  <c r="W772" i="4"/>
  <c r="V772" i="4"/>
  <c r="S771" i="4"/>
  <c r="U771" i="4"/>
  <c r="T770" i="4"/>
  <c r="AO770" i="4"/>
  <c r="X463" i="4"/>
  <c r="V466" i="4"/>
  <c r="W466" i="4"/>
  <c r="X464" i="4"/>
  <c r="V465" i="4"/>
  <c r="U769" i="4"/>
  <c r="S776" i="4"/>
  <c r="V775" i="4"/>
  <c r="X769" i="4"/>
  <c r="U464" i="4"/>
  <c r="U463" i="4"/>
  <c r="AO769" i="4"/>
  <c r="U461" i="4"/>
  <c r="V461" i="4"/>
  <c r="W461" i="4"/>
  <c r="V456" i="4"/>
  <c r="AO460" i="4"/>
  <c r="AO462" i="4"/>
  <c r="U462" i="4"/>
  <c r="V457" i="4"/>
  <c r="V459" i="4"/>
  <c r="U459" i="4"/>
  <c r="AO457" i="4"/>
  <c r="U767" i="4"/>
  <c r="U766" i="4"/>
  <c r="V763" i="4"/>
  <c r="W761" i="4"/>
  <c r="U758" i="4"/>
  <c r="U750" i="4"/>
  <c r="T744" i="4"/>
  <c r="V744" i="4"/>
  <c r="W742" i="4"/>
  <c r="U737" i="4"/>
  <c r="U732" i="4"/>
  <c r="T731" i="4"/>
  <c r="U728" i="4"/>
  <c r="V725" i="4"/>
  <c r="W763" i="4"/>
  <c r="U763" i="4"/>
  <c r="T760" i="4"/>
  <c r="U755" i="4"/>
  <c r="U754" i="4"/>
  <c r="W751" i="4"/>
  <c r="T746" i="4"/>
  <c r="W739" i="4"/>
  <c r="W729" i="4"/>
  <c r="W732" i="4"/>
  <c r="V726" i="4"/>
  <c r="U725" i="4"/>
  <c r="U722" i="4"/>
  <c r="AO719" i="4"/>
  <c r="W715" i="4"/>
  <c r="W706" i="4"/>
  <c r="T704" i="4"/>
  <c r="V704" i="4"/>
  <c r="X768" i="4"/>
  <c r="AO766" i="4"/>
  <c r="T763" i="4"/>
  <c r="U759" i="4"/>
  <c r="V758" i="4"/>
  <c r="T747" i="4"/>
  <c r="V749" i="4"/>
  <c r="W741" i="4"/>
  <c r="V738" i="4"/>
  <c r="T729" i="4"/>
  <c r="AO731" i="4"/>
  <c r="U727" i="4"/>
  <c r="T721" i="4"/>
  <c r="X717" i="4"/>
  <c r="T717" i="4"/>
  <c r="W708" i="4"/>
  <c r="U695" i="4"/>
  <c r="U756" i="4"/>
  <c r="T745" i="4"/>
  <c r="W757" i="4"/>
  <c r="V740" i="4"/>
  <c r="T726" i="4"/>
  <c r="U716" i="4"/>
  <c r="T695" i="4"/>
  <c r="T716" i="4"/>
  <c r="X704" i="4"/>
  <c r="U741" i="4"/>
  <c r="U731" i="4"/>
  <c r="V717" i="4"/>
  <c r="X705" i="4"/>
  <c r="V722" i="4"/>
  <c r="V707" i="4"/>
  <c r="AO765" i="4"/>
  <c r="U744" i="4"/>
  <c r="U734" i="4"/>
  <c r="V765" i="4"/>
  <c r="V720" i="4"/>
  <c r="V730" i="4"/>
  <c r="AO706" i="4"/>
  <c r="AO466" i="4"/>
  <c r="AO461" i="4"/>
  <c r="W458" i="4"/>
  <c r="T459" i="4"/>
  <c r="W456" i="4"/>
  <c r="X462" i="4"/>
  <c r="V458" i="4"/>
  <c r="T457" i="4"/>
  <c r="V460" i="4"/>
  <c r="AO456" i="4"/>
  <c r="W767" i="4"/>
  <c r="V766" i="4"/>
  <c r="AO764" i="4"/>
  <c r="W760" i="4"/>
  <c r="W753" i="4"/>
  <c r="V752" i="4"/>
  <c r="V750" i="4"/>
  <c r="V746" i="4"/>
  <c r="U738" i="4"/>
  <c r="T736" i="4"/>
  <c r="V731" i="4"/>
  <c r="X732" i="4"/>
  <c r="V729" i="4"/>
  <c r="V723" i="4"/>
  <c r="T762" i="4"/>
  <c r="T765" i="4"/>
  <c r="W759" i="4"/>
  <c r="V753" i="4"/>
  <c r="U751" i="4"/>
  <c r="W748" i="4"/>
  <c r="W738" i="4"/>
  <c r="T739" i="4"/>
  <c r="U736" i="4"/>
  <c r="AO732" i="4"/>
  <c r="T728" i="4"/>
  <c r="U723" i="4"/>
  <c r="T720" i="4"/>
  <c r="AO718" i="4"/>
  <c r="T715" i="4"/>
  <c r="W705" i="4"/>
  <c r="W704" i="4"/>
  <c r="AO768" i="4"/>
  <c r="U768" i="4"/>
  <c r="X763" i="4"/>
  <c r="W765" i="4"/>
  <c r="U757" i="4"/>
  <c r="U753" i="4"/>
  <c r="W752" i="4"/>
  <c r="U749" i="4"/>
  <c r="T742" i="4"/>
  <c r="T737" i="4"/>
  <c r="X731" i="4"/>
  <c r="AO730" i="4"/>
  <c r="U724" i="4"/>
  <c r="W722" i="4"/>
  <c r="V718" i="4"/>
  <c r="V716" i="4"/>
  <c r="W707" i="4"/>
  <c r="T768" i="4"/>
  <c r="T754" i="4"/>
  <c r="U743" i="4"/>
  <c r="W747" i="4"/>
  <c r="V735" i="4"/>
  <c r="V721" i="4"/>
  <c r="AO708" i="4"/>
  <c r="AO704" i="4"/>
  <c r="X708" i="4"/>
  <c r="AO695" i="4"/>
  <c r="W754" i="4"/>
  <c r="V728" i="4"/>
  <c r="X718" i="4"/>
  <c r="W737" i="4"/>
  <c r="U720" i="4"/>
  <c r="T706" i="4"/>
  <c r="W758" i="4"/>
  <c r="W743" i="4"/>
  <c r="W726" i="4"/>
  <c r="U747" i="4"/>
  <c r="U718" i="4"/>
  <c r="V724" i="4"/>
  <c r="T461" i="4"/>
  <c r="W462" i="4"/>
  <c r="X458" i="4"/>
  <c r="X460" i="4"/>
  <c r="X456" i="4"/>
  <c r="V462" i="4"/>
  <c r="T462" i="4"/>
  <c r="X457" i="4"/>
  <c r="T460" i="4"/>
  <c r="AO458" i="4"/>
  <c r="T767" i="4"/>
  <c r="V762" i="4"/>
  <c r="X764" i="4"/>
  <c r="U761" i="4"/>
  <c r="V754" i="4"/>
  <c r="T751" i="4"/>
  <c r="U748" i="4"/>
  <c r="U742" i="4"/>
  <c r="U739" i="4"/>
  <c r="W735" i="4"/>
  <c r="X730" i="4"/>
  <c r="V732" i="4"/>
  <c r="W728" i="4"/>
  <c r="AO767" i="4"/>
  <c r="U765" i="4"/>
  <c r="T761" i="4"/>
  <c r="W756" i="4"/>
  <c r="T755" i="4"/>
  <c r="T750" i="4"/>
  <c r="U746" i="4"/>
  <c r="T741" i="4"/>
  <c r="T740" i="4"/>
  <c r="W730" i="4"/>
  <c r="V733" i="4"/>
  <c r="U729" i="4"/>
  <c r="W723" i="4"/>
  <c r="W716" i="4"/>
  <c r="U717" i="4"/>
  <c r="T708" i="4"/>
  <c r="AO705" i="4"/>
  <c r="T705" i="4"/>
  <c r="X767" i="4"/>
  <c r="V767" i="4"/>
  <c r="W762" i="4"/>
  <c r="AO762" i="4"/>
  <c r="T759" i="4"/>
  <c r="V755" i="4"/>
  <c r="T748" i="4"/>
  <c r="W745" i="4"/>
  <c r="T743" i="4"/>
  <c r="W734" i="4"/>
  <c r="W731" i="4"/>
  <c r="U726" i="4"/>
  <c r="W724" i="4"/>
  <c r="AO716" i="4"/>
  <c r="V719" i="4"/>
  <c r="AO715" i="4"/>
  <c r="U707" i="4"/>
  <c r="U762" i="4"/>
  <c r="V748" i="4"/>
  <c r="W764" i="4"/>
  <c r="V751" i="4"/>
  <c r="W733" i="4"/>
  <c r="AO717" i="4"/>
  <c r="AO707" i="4"/>
  <c r="X719" i="4"/>
  <c r="U705" i="4"/>
  <c r="T766" i="4"/>
  <c r="U752" i="4"/>
  <c r="W725" i="4"/>
  <c r="V715" i="4"/>
  <c r="U730" i="4"/>
  <c r="T719" i="4"/>
  <c r="V695" i="4"/>
  <c r="V756" i="4"/>
  <c r="W740" i="4"/>
  <c r="W721" i="4"/>
  <c r="W736" i="4"/>
  <c r="V708" i="4"/>
  <c r="W717" i="4"/>
  <c r="X461" i="4"/>
  <c r="U460" i="4"/>
  <c r="W460" i="4"/>
  <c r="AO459" i="4"/>
  <c r="T456" i="4"/>
  <c r="W457" i="4"/>
  <c r="X459" i="4"/>
  <c r="T458" i="4"/>
  <c r="W459" i="4"/>
  <c r="V768" i="4"/>
  <c r="W766" i="4"/>
  <c r="U764" i="4"/>
  <c r="T764" i="4"/>
  <c r="T757" i="4"/>
  <c r="W755" i="4"/>
  <c r="T752" i="4"/>
  <c r="W746" i="4"/>
  <c r="T738" i="4"/>
  <c r="V739" i="4"/>
  <c r="V736" i="4"/>
  <c r="T733" i="4"/>
  <c r="U733" i="4"/>
  <c r="T727" i="4"/>
  <c r="X765" i="4"/>
  <c r="X762" i="4"/>
  <c r="V760" i="4"/>
  <c r="V757" i="4"/>
  <c r="W744" i="4"/>
  <c r="T749" i="4"/>
  <c r="U745" i="4"/>
  <c r="V742" i="4"/>
  <c r="V737" i="4"/>
  <c r="V734" i="4"/>
  <c r="T732" i="4"/>
  <c r="W727" i="4"/>
  <c r="U721" i="4"/>
  <c r="T718" i="4"/>
  <c r="U708" i="4"/>
  <c r="U704" i="4"/>
  <c r="V706" i="4"/>
  <c r="X695" i="4"/>
  <c r="W768" i="4"/>
  <c r="X766" i="4"/>
  <c r="AO763" i="4"/>
  <c r="V761" i="4"/>
  <c r="T758" i="4"/>
  <c r="T753" i="4"/>
  <c r="W749" i="4"/>
  <c r="V745" i="4"/>
  <c r="U740" i="4"/>
  <c r="T735" i="4"/>
  <c r="T724" i="4"/>
  <c r="V727" i="4"/>
  <c r="T723" i="4"/>
  <c r="W720" i="4"/>
  <c r="U719" i="4"/>
  <c r="U706" i="4"/>
  <c r="X707" i="4"/>
  <c r="V759" i="4"/>
  <c r="V741" i="4"/>
  <c r="U760" i="4"/>
  <c r="W750" i="4"/>
  <c r="T734" i="4"/>
  <c r="U715" i="4"/>
  <c r="V705" i="4"/>
  <c r="X716" i="4"/>
  <c r="T707" i="4"/>
  <c r="V764" i="4"/>
  <c r="V743" i="4"/>
  <c r="W718" i="4"/>
  <c r="X706" i="4"/>
  <c r="T725" i="4"/>
  <c r="W719" i="4"/>
  <c r="T756" i="4"/>
  <c r="V747" i="4"/>
  <c r="U735" i="4"/>
  <c r="T722" i="4"/>
  <c r="T730" i="4"/>
  <c r="W695" i="4"/>
  <c r="X715" i="4"/>
  <c r="U466" i="4"/>
  <c r="U457" i="4"/>
  <c r="U458" i="4"/>
  <c r="U456" i="4"/>
  <c r="R236" i="4"/>
  <c r="G992" i="1"/>
  <c r="H992" i="1" s="1"/>
  <c r="U790" i="4"/>
  <c r="U794" i="4"/>
  <c r="U787" i="4"/>
  <c r="U792" i="4"/>
  <c r="U793" i="4"/>
  <c r="U791" i="4"/>
  <c r="U795" i="4"/>
  <c r="U788" i="4"/>
  <c r="U789" i="4"/>
  <c r="E543" i="13"/>
  <c r="Q543" i="13" s="1"/>
  <c r="R274" i="4"/>
  <c r="G979" i="1"/>
  <c r="H979" i="1" s="1"/>
  <c r="G1055" i="1"/>
  <c r="H1055" i="1" s="1"/>
  <c r="G1158" i="1"/>
  <c r="H1158" i="1" s="1"/>
  <c r="R281" i="17418"/>
  <c r="W328" i="6"/>
  <c r="W311" i="6"/>
  <c r="AO703" i="4"/>
  <c r="V681" i="4"/>
  <c r="T683" i="4"/>
  <c r="S686" i="4"/>
  <c r="T685" i="4"/>
  <c r="T692" i="4"/>
  <c r="T688" i="4"/>
  <c r="V680" i="4"/>
  <c r="W694" i="4"/>
  <c r="U690" i="4"/>
  <c r="W687" i="4"/>
  <c r="V693" i="4"/>
  <c r="T682" i="4"/>
  <c r="U703" i="4"/>
  <c r="W680" i="4"/>
  <c r="W683" i="4"/>
  <c r="V691" i="4"/>
  <c r="X691" i="4"/>
  <c r="T681" i="4"/>
  <c r="W689" i="4"/>
  <c r="V688" i="4"/>
  <c r="AO694" i="4"/>
  <c r="X654" i="4"/>
  <c r="V671" i="4"/>
  <c r="AO678" i="4"/>
  <c r="U671" i="4"/>
  <c r="T646" i="4"/>
  <c r="V646" i="4"/>
  <c r="V703" i="4"/>
  <c r="AO691" i="4"/>
  <c r="W686" i="4"/>
  <c r="AO702" i="4"/>
  <c r="T689" i="4"/>
  <c r="S679" i="4"/>
  <c r="W691" i="4"/>
  <c r="W681" i="4"/>
  <c r="W679" i="4"/>
  <c r="X694" i="4"/>
  <c r="U702" i="4"/>
  <c r="S682" i="4"/>
  <c r="V683" i="4"/>
  <c r="T693" i="4"/>
  <c r="V682" i="4"/>
  <c r="W693" i="4"/>
  <c r="U694" i="4"/>
  <c r="W682" i="4"/>
  <c r="X702" i="4"/>
  <c r="V690" i="4"/>
  <c r="V686" i="4"/>
  <c r="AO692" i="4"/>
  <c r="U678" i="4"/>
  <c r="W678" i="4"/>
  <c r="AO671" i="4"/>
  <c r="W646" i="4"/>
  <c r="U654" i="4"/>
  <c r="AO690" i="4"/>
  <c r="V679" i="4"/>
  <c r="W688" i="4"/>
  <c r="U691" i="4"/>
  <c r="V687" i="4"/>
  <c r="T680" i="4"/>
  <c r="AO693" i="4"/>
  <c r="T703" i="4"/>
  <c r="W685" i="4"/>
  <c r="V702" i="4"/>
  <c r="S688" i="4"/>
  <c r="S687" i="4"/>
  <c r="U693" i="4"/>
  <c r="S684" i="4"/>
  <c r="T694" i="4"/>
  <c r="T691" i="4"/>
  <c r="V685" i="4"/>
  <c r="W692" i="4"/>
  <c r="X692" i="4"/>
  <c r="X693" i="4"/>
  <c r="T686" i="4"/>
  <c r="X703" i="4"/>
  <c r="T678" i="4"/>
  <c r="W671" i="4"/>
  <c r="X678" i="4"/>
  <c r="W654" i="4"/>
  <c r="T654" i="4"/>
  <c r="V684" i="4"/>
  <c r="S685" i="4"/>
  <c r="X690" i="4"/>
  <c r="S681" i="4"/>
  <c r="W684" i="4"/>
  <c r="V692" i="4"/>
  <c r="V689" i="4"/>
  <c r="W690" i="4"/>
  <c r="S702" i="4"/>
  <c r="T679" i="4"/>
  <c r="T702" i="4"/>
  <c r="W703" i="4"/>
  <c r="T690" i="4"/>
  <c r="S680" i="4"/>
  <c r="V694" i="4"/>
  <c r="T687" i="4"/>
  <c r="S683" i="4"/>
  <c r="T684" i="4"/>
  <c r="S689" i="4"/>
  <c r="U692" i="4"/>
  <c r="W702" i="4"/>
  <c r="T671" i="4"/>
  <c r="V678" i="4"/>
  <c r="X671" i="4"/>
  <c r="AO654" i="4"/>
  <c r="V654" i="4"/>
  <c r="P687" i="4"/>
  <c r="R687" i="4"/>
  <c r="T1332" i="13"/>
  <c r="AO1334" i="13"/>
  <c r="T1339" i="13"/>
  <c r="AO1333" i="13"/>
  <c r="AO1338" i="13"/>
  <c r="AN645" i="4" s="1"/>
  <c r="AO646" i="4" s="1"/>
  <c r="W1339" i="13"/>
  <c r="W1334" i="13"/>
  <c r="AO1332" i="13"/>
  <c r="V1340" i="13"/>
  <c r="AO1340" i="13"/>
  <c r="X1337" i="13"/>
  <c r="V1334" i="13"/>
  <c r="S1333" i="13"/>
  <c r="X1333" i="13"/>
  <c r="V1327" i="13"/>
  <c r="V1325" i="13"/>
  <c r="AO1326" i="13"/>
  <c r="X1325" i="13"/>
  <c r="AO1327" i="13"/>
  <c r="S1328" i="13"/>
  <c r="V1329" i="13"/>
  <c r="V1331" i="13"/>
  <c r="V1330" i="13"/>
  <c r="X1331" i="13"/>
  <c r="AV614" i="4" s="1"/>
  <c r="X1334" i="13"/>
  <c r="AO1339" i="13"/>
  <c r="T1338" i="13"/>
  <c r="S1336" i="13"/>
  <c r="W1332" i="13"/>
  <c r="X1338" i="13"/>
  <c r="AV645" i="4" s="1"/>
  <c r="V1333" i="13"/>
  <c r="W1337" i="13"/>
  <c r="W1335" i="13"/>
  <c r="W1338" i="13"/>
  <c r="T1337" i="13"/>
  <c r="S1338" i="13"/>
  <c r="T1333" i="13"/>
  <c r="S1332" i="13"/>
  <c r="W1326" i="13"/>
  <c r="T1326" i="13"/>
  <c r="T1327" i="13"/>
  <c r="AO1331" i="13"/>
  <c r="AN614" i="4" s="1"/>
  <c r="AO614" i="4" s="1"/>
  <c r="X1327" i="13"/>
  <c r="T1331" i="13"/>
  <c r="S1329" i="13"/>
  <c r="W1328" i="13"/>
  <c r="X1328" i="13"/>
  <c r="S1331" i="13"/>
  <c r="AO1336" i="13"/>
  <c r="T1335" i="13"/>
  <c r="S1340" i="13"/>
  <c r="W1336" i="13"/>
  <c r="S1339" i="13"/>
  <c r="S1334" i="13"/>
  <c r="W1333" i="13"/>
  <c r="S1337" i="13"/>
  <c r="T1340" i="13"/>
  <c r="AO1337" i="13"/>
  <c r="W1340" i="13"/>
  <c r="V1339" i="13"/>
  <c r="S1335" i="13"/>
  <c r="S1325" i="13"/>
  <c r="AO1328" i="13"/>
  <c r="AO1325" i="13"/>
  <c r="X1326" i="13"/>
  <c r="W1325" i="13"/>
  <c r="AO1330" i="13"/>
  <c r="S1330" i="13"/>
  <c r="V1328" i="13"/>
  <c r="X1329" i="13"/>
  <c r="T1329" i="13"/>
  <c r="T1328" i="13"/>
  <c r="V1336" i="13"/>
  <c r="V1332" i="13"/>
  <c r="X1335" i="13"/>
  <c r="V1338" i="13"/>
  <c r="V1337" i="13"/>
  <c r="X1332" i="13"/>
  <c r="T1334" i="13"/>
  <c r="X1339" i="13"/>
  <c r="X1340" i="13"/>
  <c r="AO1335" i="13"/>
  <c r="X1336" i="13"/>
  <c r="T1336" i="13"/>
  <c r="V1335" i="13"/>
  <c r="S1326" i="13"/>
  <c r="AO1329" i="13"/>
  <c r="T1325" i="13"/>
  <c r="S1327" i="13"/>
  <c r="W1327" i="13"/>
  <c r="V1326" i="13"/>
  <c r="W1331" i="13"/>
  <c r="T1330" i="13"/>
  <c r="W1330" i="13"/>
  <c r="X1330" i="13"/>
  <c r="U670" i="4"/>
  <c r="U669" i="4"/>
  <c r="U664" i="4"/>
  <c r="U667" i="4"/>
  <c r="U666" i="4"/>
  <c r="U665" i="4"/>
  <c r="U668" i="4"/>
  <c r="AO665" i="4"/>
  <c r="V651" i="4"/>
  <c r="X650" i="4"/>
  <c r="T650" i="4"/>
  <c r="W651" i="4"/>
  <c r="U652" i="4"/>
  <c r="V653" i="4"/>
  <c r="W649" i="4"/>
  <c r="U647" i="4"/>
  <c r="T648" i="4"/>
  <c r="W645" i="4"/>
  <c r="W647" i="4"/>
  <c r="T643" i="4"/>
  <c r="W642" i="4"/>
  <c r="V643" i="4"/>
  <c r="T639" i="4"/>
  <c r="U640" i="4"/>
  <c r="W639" i="4"/>
  <c r="V639" i="4"/>
  <c r="T636" i="4"/>
  <c r="U633" i="4"/>
  <c r="T633" i="4"/>
  <c r="U635" i="4"/>
  <c r="T638" i="4"/>
  <c r="W636" i="4"/>
  <c r="V635" i="4"/>
  <c r="AO670" i="4"/>
  <c r="U650" i="4"/>
  <c r="U653" i="4"/>
  <c r="X649" i="4"/>
  <c r="AO648" i="4"/>
  <c r="V647" i="4"/>
  <c r="V640" i="4"/>
  <c r="T642" i="4"/>
  <c r="W637" i="4"/>
  <c r="U637" i="4"/>
  <c r="W635" i="4"/>
  <c r="W634" i="4"/>
  <c r="AO669" i="4"/>
  <c r="AO668" i="4"/>
  <c r="W652" i="4"/>
  <c r="U651" i="4"/>
  <c r="V652" i="4"/>
  <c r="V650" i="4"/>
  <c r="AO650" i="4"/>
  <c r="T651" i="4"/>
  <c r="T649" i="4"/>
  <c r="AO647" i="4"/>
  <c r="U648" i="4"/>
  <c r="X648" i="4"/>
  <c r="T644" i="4"/>
  <c r="W644" i="4"/>
  <c r="V644" i="4"/>
  <c r="V642" i="4"/>
  <c r="V637" i="4"/>
  <c r="T640" i="4"/>
  <c r="W641" i="4"/>
  <c r="W638" i="4"/>
  <c r="V641" i="4"/>
  <c r="U639" i="4"/>
  <c r="U634" i="4"/>
  <c r="V636" i="4"/>
  <c r="T635" i="4"/>
  <c r="V634" i="4"/>
  <c r="AO666" i="4"/>
  <c r="AO667" i="4"/>
  <c r="AO653" i="4"/>
  <c r="W653" i="4"/>
  <c r="T653" i="4"/>
  <c r="X652" i="4"/>
  <c r="AO651" i="4"/>
  <c r="T652" i="4"/>
  <c r="AO649" i="4"/>
  <c r="U649" i="4"/>
  <c r="U638" i="4"/>
  <c r="X647" i="4"/>
  <c r="V648" i="4"/>
  <c r="W648" i="4"/>
  <c r="T641" i="4"/>
  <c r="W643" i="4"/>
  <c r="U641" i="4"/>
  <c r="V638" i="4"/>
  <c r="V633" i="4"/>
  <c r="T634" i="4"/>
  <c r="AO664" i="4"/>
  <c r="X653" i="4"/>
  <c r="AO652" i="4"/>
  <c r="X651" i="4"/>
  <c r="W650" i="4"/>
  <c r="V649" i="4"/>
  <c r="T645" i="4"/>
  <c r="T647" i="4"/>
  <c r="V645" i="4"/>
  <c r="T637" i="4"/>
  <c r="U642" i="4"/>
  <c r="W640" i="4"/>
  <c r="U636" i="4"/>
  <c r="W633" i="4"/>
  <c r="W632" i="4"/>
  <c r="V627" i="4"/>
  <c r="W624" i="4"/>
  <c r="W620" i="4"/>
  <c r="T617" i="4"/>
  <c r="W616" i="4"/>
  <c r="W612" i="4"/>
  <c r="S604" i="4"/>
  <c r="T607" i="4"/>
  <c r="T570" i="4"/>
  <c r="U601" i="4"/>
  <c r="W586" i="4"/>
  <c r="AO582" i="4"/>
  <c r="T632" i="4"/>
  <c r="T627" i="4"/>
  <c r="X586" i="4"/>
  <c r="U619" i="4"/>
  <c r="V616" i="4"/>
  <c r="U570" i="4"/>
  <c r="T608" i="4"/>
  <c r="V610" i="4"/>
  <c r="V599" i="4"/>
  <c r="W601" i="4"/>
  <c r="U602" i="4"/>
  <c r="AO580" i="4"/>
  <c r="AO587" i="4"/>
  <c r="W567" i="4"/>
  <c r="V632" i="4"/>
  <c r="W628" i="4"/>
  <c r="AO624" i="4"/>
  <c r="U622" i="4"/>
  <c r="U614" i="4"/>
  <c r="T585" i="4"/>
  <c r="V613" i="4"/>
  <c r="T606" i="4"/>
  <c r="V608" i="4"/>
  <c r="V569" i="4"/>
  <c r="W570" i="4"/>
  <c r="T601" i="4"/>
  <c r="U567" i="4"/>
  <c r="T628" i="4"/>
  <c r="V626" i="4"/>
  <c r="T621" i="4"/>
  <c r="V618" i="4"/>
  <c r="W615" i="4"/>
  <c r="U613" i="4"/>
  <c r="T604" i="4"/>
  <c r="S610" i="4"/>
  <c r="T568" i="4"/>
  <c r="X587" i="4"/>
  <c r="AO581" i="4"/>
  <c r="U565" i="4"/>
  <c r="S609" i="4"/>
  <c r="W566" i="4"/>
  <c r="V617" i="4"/>
  <c r="V604" i="4"/>
  <c r="AO584" i="4"/>
  <c r="U631" i="4"/>
  <c r="T629" i="4"/>
  <c r="AO626" i="4"/>
  <c r="U620" i="4"/>
  <c r="V614" i="4"/>
  <c r="X584" i="4"/>
  <c r="T613" i="4"/>
  <c r="V605" i="4"/>
  <c r="W607" i="4"/>
  <c r="W600" i="4"/>
  <c r="T571" i="4"/>
  <c r="X582" i="4"/>
  <c r="V565" i="4"/>
  <c r="T631" i="4"/>
  <c r="T626" i="4"/>
  <c r="W621" i="4"/>
  <c r="W618" i="4"/>
  <c r="W614" i="4"/>
  <c r="T599" i="4"/>
  <c r="W609" i="4"/>
  <c r="S603" i="4"/>
  <c r="U571" i="4"/>
  <c r="V582" i="4"/>
  <c r="V602" i="4"/>
  <c r="U581" i="4"/>
  <c r="T567" i="4"/>
  <c r="V566" i="4"/>
  <c r="U630" i="4"/>
  <c r="V629" i="4"/>
  <c r="V624" i="4"/>
  <c r="V601" i="4"/>
  <c r="T614" i="4"/>
  <c r="V581" i="4"/>
  <c r="U611" i="4"/>
  <c r="W602" i="4"/>
  <c r="T580" i="4"/>
  <c r="U582" i="4"/>
  <c r="U627" i="4"/>
  <c r="V587" i="4"/>
  <c r="T602" i="4"/>
  <c r="U632" i="4"/>
  <c r="W627" i="4"/>
  <c r="V623" i="4"/>
  <c r="T618" i="4"/>
  <c r="U615" i="4"/>
  <c r="X580" i="4"/>
  <c r="T611" i="4"/>
  <c r="T603" i="4"/>
  <c r="T609" i="4"/>
  <c r="T569" i="4"/>
  <c r="V586" i="4"/>
  <c r="T581" i="4"/>
  <c r="T565" i="4"/>
  <c r="W629" i="4"/>
  <c r="V625" i="4"/>
  <c r="V620" i="4"/>
  <c r="V580" i="4"/>
  <c r="T616" i="4"/>
  <c r="T612" i="4"/>
  <c r="S607" i="4"/>
  <c r="W604" i="4"/>
  <c r="V585" i="4"/>
  <c r="X585" i="4"/>
  <c r="V600" i="4"/>
  <c r="AO585" i="4"/>
  <c r="T566" i="4"/>
  <c r="W565" i="4"/>
  <c r="V630" i="4"/>
  <c r="T625" i="4"/>
  <c r="V621" i="4"/>
  <c r="T619" i="4"/>
  <c r="T615" i="4"/>
  <c r="W613" i="4"/>
  <c r="T605" i="4"/>
  <c r="V609" i="4"/>
  <c r="U569" i="4"/>
  <c r="W584" i="4"/>
  <c r="T584" i="4"/>
  <c r="U586" i="4"/>
  <c r="V631" i="4"/>
  <c r="V628" i="4"/>
  <c r="T623" i="4"/>
  <c r="T620" i="4"/>
  <c r="U616" i="4"/>
  <c r="U568" i="4"/>
  <c r="S608" i="4"/>
  <c r="W610" i="4"/>
  <c r="V568" i="4"/>
  <c r="W571" i="4"/>
  <c r="U600" i="4"/>
  <c r="U584" i="4"/>
  <c r="V603" i="4"/>
  <c r="AO625" i="4"/>
  <c r="V622" i="4"/>
  <c r="V606" i="4"/>
  <c r="W581" i="4"/>
  <c r="W599" i="4"/>
  <c r="W630" i="4"/>
  <c r="W626" i="4"/>
  <c r="W622" i="4"/>
  <c r="W619" i="4"/>
  <c r="W617" i="4"/>
  <c r="U599" i="4"/>
  <c r="V611" i="4"/>
  <c r="S606" i="4"/>
  <c r="W605" i="4"/>
  <c r="T586" i="4"/>
  <c r="V570" i="4"/>
  <c r="AO586" i="4"/>
  <c r="U566" i="4"/>
  <c r="U628" i="4"/>
  <c r="W623" i="4"/>
  <c r="V571" i="4"/>
  <c r="V615" i="4"/>
  <c r="W587" i="4"/>
  <c r="W611" i="4"/>
  <c r="S605" i="4"/>
  <c r="T610" i="4"/>
  <c r="T582" i="4"/>
  <c r="W568" i="4"/>
  <c r="T600" i="4"/>
  <c r="U585" i="4"/>
  <c r="V567" i="4"/>
  <c r="W631" i="4"/>
  <c r="U629" i="4"/>
  <c r="W625" i="4"/>
  <c r="T622" i="4"/>
  <c r="V619" i="4"/>
  <c r="W569" i="4"/>
  <c r="V612" i="4"/>
  <c r="W606" i="4"/>
  <c r="V607" i="4"/>
  <c r="X581" i="4"/>
  <c r="W585" i="4"/>
  <c r="V584" i="4"/>
  <c r="U587" i="4"/>
  <c r="T630" i="4"/>
  <c r="T624" i="4"/>
  <c r="U621" i="4"/>
  <c r="U618" i="4"/>
  <c r="U617" i="4"/>
  <c r="U612" i="4"/>
  <c r="W603" i="4"/>
  <c r="W608" i="4"/>
  <c r="W582" i="4"/>
  <c r="W580" i="4"/>
  <c r="T587" i="4"/>
  <c r="U580" i="4"/>
  <c r="T511" i="4"/>
  <c r="W546" i="4"/>
  <c r="V549" i="4"/>
  <c r="V551" i="4"/>
  <c r="V548" i="4"/>
  <c r="V564" i="4"/>
  <c r="S548" i="4"/>
  <c r="S549" i="4"/>
  <c r="T547" i="4"/>
  <c r="T531" i="4"/>
  <c r="U511" i="4"/>
  <c r="V513" i="4"/>
  <c r="S521" i="4"/>
  <c r="S529" i="4"/>
  <c r="V521" i="4"/>
  <c r="W536" i="4"/>
  <c r="S537" i="4"/>
  <c r="W539" i="4"/>
  <c r="S541" i="4"/>
  <c r="S513" i="4"/>
  <c r="S514" i="4"/>
  <c r="S528" i="4"/>
  <c r="W527" i="4"/>
  <c r="S536" i="4"/>
  <c r="T535" i="4"/>
  <c r="T543" i="4"/>
  <c r="V543" i="4"/>
  <c r="AO511" i="4"/>
  <c r="V515" i="4"/>
  <c r="W528" i="4"/>
  <c r="V528" i="4"/>
  <c r="S532" i="4"/>
  <c r="V533" i="4"/>
  <c r="W537" i="4"/>
  <c r="W538" i="4"/>
  <c r="T540" i="4"/>
  <c r="AO512" i="4"/>
  <c r="T519" i="4"/>
  <c r="W515" i="4"/>
  <c r="V529" i="4"/>
  <c r="S526" i="4"/>
  <c r="S534" i="4"/>
  <c r="V541" i="4"/>
  <c r="W543" i="4"/>
  <c r="V504" i="4"/>
  <c r="W506" i="4"/>
  <c r="S546" i="4"/>
  <c r="W550" i="4"/>
  <c r="S552" i="4"/>
  <c r="S550" i="4"/>
  <c r="V552" i="4"/>
  <c r="T548" i="4"/>
  <c r="X511" i="4"/>
  <c r="W531" i="4"/>
  <c r="W514" i="4"/>
  <c r="V536" i="4"/>
  <c r="T541" i="4"/>
  <c r="T515" i="4"/>
  <c r="W535" i="4"/>
  <c r="V511" i="4"/>
  <c r="T523" i="4"/>
  <c r="T536" i="4"/>
  <c r="V542" i="4"/>
  <c r="W521" i="4"/>
  <c r="T533" i="4"/>
  <c r="U504" i="4"/>
  <c r="T546" i="4"/>
  <c r="V550" i="4"/>
  <c r="S551" i="4"/>
  <c r="W564" i="4"/>
  <c r="W551" i="4"/>
  <c r="T550" i="4"/>
  <c r="T551" i="4"/>
  <c r="W549" i="4"/>
  <c r="V505" i="4"/>
  <c r="V531" i="4"/>
  <c r="W518" i="4"/>
  <c r="V517" i="4"/>
  <c r="T528" i="4"/>
  <c r="T529" i="4"/>
  <c r="V532" i="4"/>
  <c r="W533" i="4"/>
  <c r="T539" i="4"/>
  <c r="V538" i="4"/>
  <c r="X512" i="4"/>
  <c r="T517" i="4"/>
  <c r="S515" i="4"/>
  <c r="V523" i="4"/>
  <c r="T525" i="4"/>
  <c r="W530" i="4"/>
  <c r="S540" i="4"/>
  <c r="S539" i="4"/>
  <c r="W505" i="4"/>
  <c r="W513" i="4"/>
  <c r="V512" i="4"/>
  <c r="T526" i="4"/>
  <c r="T527" i="4"/>
  <c r="S530" i="4"/>
  <c r="T532" i="4"/>
  <c r="V545" i="4"/>
  <c r="V544" i="4"/>
  <c r="S511" i="4"/>
  <c r="T513" i="4"/>
  <c r="W517" i="4"/>
  <c r="V522" i="4"/>
  <c r="W526" i="4"/>
  <c r="W525" i="4"/>
  <c r="W532" i="4"/>
  <c r="S538" i="4"/>
  <c r="W512" i="4"/>
  <c r="V506" i="4"/>
  <c r="U506" i="4"/>
  <c r="T549" i="4"/>
  <c r="V514" i="4"/>
  <c r="W523" i="4"/>
  <c r="S522" i="4"/>
  <c r="T530" i="4"/>
  <c r="S544" i="4"/>
  <c r="T538" i="4"/>
  <c r="S518" i="4"/>
  <c r="V527" i="4"/>
  <c r="W529" i="4"/>
  <c r="S533" i="4"/>
  <c r="W545" i="4"/>
  <c r="T518" i="4"/>
  <c r="S519" i="4"/>
  <c r="W524" i="4"/>
  <c r="S535" i="4"/>
  <c r="W540" i="4"/>
  <c r="T542" i="4"/>
  <c r="V519" i="4"/>
  <c r="T514" i="4"/>
  <c r="V525" i="4"/>
  <c r="S524" i="4"/>
  <c r="V540" i="4"/>
  <c r="W541" i="4"/>
  <c r="W504" i="4"/>
  <c r="V546" i="4"/>
  <c r="W552" i="4"/>
  <c r="T564" i="4"/>
  <c r="V547" i="4"/>
  <c r="T552" i="4"/>
  <c r="W548" i="4"/>
  <c r="W547" i="4"/>
  <c r="S547" i="4"/>
  <c r="T545" i="4"/>
  <c r="S531" i="4"/>
  <c r="V518" i="4"/>
  <c r="S520" i="4"/>
  <c r="T524" i="4"/>
  <c r="V526" i="4"/>
  <c r="V530" i="4"/>
  <c r="T537" i="4"/>
  <c r="T544" i="4"/>
  <c r="S543" i="4"/>
  <c r="U512" i="4"/>
  <c r="W519" i="4"/>
  <c r="T521" i="4"/>
  <c r="W522" i="4"/>
  <c r="S523" i="4"/>
  <c r="V535" i="4"/>
  <c r="W544" i="4"/>
  <c r="W542" i="4"/>
  <c r="T512" i="4"/>
  <c r="V520" i="4"/>
  <c r="W520" i="4"/>
  <c r="T522" i="4"/>
  <c r="S527" i="4"/>
  <c r="W534" i="4"/>
  <c r="V537" i="4"/>
  <c r="S545" i="4"/>
  <c r="S542" i="4"/>
  <c r="S512" i="4"/>
  <c r="S517" i="4"/>
  <c r="T520" i="4"/>
  <c r="S525" i="4"/>
  <c r="V524" i="4"/>
  <c r="T534" i="4"/>
  <c r="V534" i="4"/>
  <c r="V539" i="4"/>
  <c r="W511" i="4"/>
  <c r="U505" i="4"/>
  <c r="AO623" i="4"/>
  <c r="W665" i="4"/>
  <c r="V669" i="4"/>
  <c r="AO677" i="4"/>
  <c r="T675" i="4"/>
  <c r="T672" i="4"/>
  <c r="AO674" i="4"/>
  <c r="AO676" i="4"/>
  <c r="X677" i="4"/>
  <c r="U672" i="4"/>
  <c r="V675" i="4"/>
  <c r="U677" i="4"/>
  <c r="X670" i="4"/>
  <c r="X665" i="4"/>
  <c r="X668" i="4"/>
  <c r="W668" i="4"/>
  <c r="T668" i="4"/>
  <c r="V670" i="4"/>
  <c r="T670" i="4"/>
  <c r="T677" i="4"/>
  <c r="V676" i="4"/>
  <c r="T674" i="4"/>
  <c r="AO675" i="4"/>
  <c r="AO672" i="4"/>
  <c r="U676" i="4"/>
  <c r="U674" i="4"/>
  <c r="U675" i="4"/>
  <c r="W667" i="4"/>
  <c r="V664" i="4"/>
  <c r="T669" i="4"/>
  <c r="V665" i="4"/>
  <c r="X666" i="4"/>
  <c r="X667" i="4"/>
  <c r="W677" i="4"/>
  <c r="X674" i="4"/>
  <c r="V677" i="4"/>
  <c r="W674" i="4"/>
  <c r="T673" i="4"/>
  <c r="V674" i="4"/>
  <c r="X676" i="4"/>
  <c r="T676" i="4"/>
  <c r="W673" i="4"/>
  <c r="T667" i="4"/>
  <c r="W669" i="4"/>
  <c r="T666" i="4"/>
  <c r="W664" i="4"/>
  <c r="V667" i="4"/>
  <c r="W666" i="4"/>
  <c r="V666" i="4"/>
  <c r="V672" i="4"/>
  <c r="W670" i="4"/>
  <c r="X672" i="4"/>
  <c r="X675" i="4"/>
  <c r="V673" i="4"/>
  <c r="W675" i="4"/>
  <c r="W672" i="4"/>
  <c r="U673" i="4"/>
  <c r="AO673" i="4"/>
  <c r="W676" i="4"/>
  <c r="X673" i="4"/>
  <c r="T665" i="4"/>
  <c r="X669" i="4"/>
  <c r="T664" i="4"/>
  <c r="X664" i="4"/>
  <c r="V668" i="4"/>
  <c r="W318" i="6"/>
  <c r="W317" i="6"/>
  <c r="W324" i="6"/>
  <c r="W320" i="6"/>
  <c r="W336" i="6"/>
  <c r="V262" i="13"/>
  <c r="W308" i="6"/>
  <c r="W323" i="6"/>
  <c r="U1045" i="13"/>
  <c r="W312" i="6"/>
  <c r="U1044" i="13"/>
  <c r="W321" i="6"/>
  <c r="W316" i="6"/>
  <c r="W332" i="6"/>
  <c r="V264" i="13"/>
  <c r="V351" i="13"/>
  <c r="W330" i="6"/>
  <c r="U1048" i="13"/>
  <c r="W313" i="6"/>
  <c r="W307" i="6"/>
  <c r="V355" i="13"/>
  <c r="R365" i="13"/>
  <c r="V257" i="13"/>
  <c r="U65" i="13"/>
  <c r="U215" i="13"/>
  <c r="U1034" i="13"/>
  <c r="U1039" i="13"/>
  <c r="V267" i="13"/>
  <c r="U210" i="13"/>
  <c r="U35" i="13"/>
  <c r="V357" i="13"/>
  <c r="U1036" i="13"/>
  <c r="U214" i="13"/>
  <c r="U32" i="13"/>
  <c r="U1035" i="13"/>
  <c r="U183" i="13"/>
  <c r="P540" i="4"/>
  <c r="R540" i="4"/>
  <c r="L1137" i="13"/>
  <c r="P1137" i="13" s="1"/>
  <c r="L1018" i="13"/>
  <c r="P1018" i="13" s="1"/>
  <c r="P548" i="4"/>
  <c r="R548" i="4"/>
  <c r="U213" i="13"/>
  <c r="R571" i="13"/>
  <c r="E75" i="6"/>
  <c r="Q75" i="6" s="1"/>
  <c r="X1315" i="13"/>
  <c r="X1323" i="13"/>
  <c r="X1316" i="13"/>
  <c r="V1320" i="13"/>
  <c r="W1312" i="13"/>
  <c r="V1317" i="13"/>
  <c r="X1321" i="13"/>
  <c r="V1324" i="13"/>
  <c r="V1321" i="13"/>
  <c r="W1314" i="13"/>
  <c r="V1316" i="13"/>
  <c r="W1315" i="13"/>
  <c r="X1319" i="13"/>
  <c r="X1313" i="13"/>
  <c r="W1317" i="13"/>
  <c r="V1319" i="13"/>
  <c r="X1314" i="13"/>
  <c r="W1316" i="13"/>
  <c r="V1312" i="13"/>
  <c r="X1320" i="13"/>
  <c r="V1314" i="13"/>
  <c r="W1318" i="13"/>
  <c r="X1324" i="13"/>
  <c r="X1318" i="13"/>
  <c r="W1320" i="13"/>
  <c r="X1312" i="13"/>
  <c r="AV528" i="4" s="1"/>
  <c r="X1317" i="13"/>
  <c r="V1315" i="13"/>
  <c r="W1319" i="13"/>
  <c r="W1322" i="13"/>
  <c r="V1322" i="13"/>
  <c r="W1324" i="13"/>
  <c r="V1318" i="13"/>
  <c r="W1321" i="13"/>
  <c r="V1313" i="13"/>
  <c r="W1313" i="13"/>
  <c r="X1322" i="13"/>
  <c r="V1323" i="13"/>
  <c r="W1323" i="13"/>
  <c r="U1043" i="13"/>
  <c r="P532" i="4"/>
  <c r="R532" i="4"/>
  <c r="P524" i="4"/>
  <c r="R524" i="4"/>
  <c r="V258" i="13"/>
  <c r="U211" i="13"/>
  <c r="U217" i="13"/>
  <c r="U33" i="13"/>
  <c r="V350" i="13"/>
  <c r="U64" i="13"/>
  <c r="U1314" i="13"/>
  <c r="U1324" i="13"/>
  <c r="U1313" i="13"/>
  <c r="U1323" i="13"/>
  <c r="U1322" i="13"/>
  <c r="U1321" i="13"/>
  <c r="U1320" i="13"/>
  <c r="U1319" i="13"/>
  <c r="U1318" i="13"/>
  <c r="U1317" i="13"/>
  <c r="U1316" i="13"/>
  <c r="U1315" i="13"/>
  <c r="U1312" i="13"/>
  <c r="AO1316" i="13"/>
  <c r="AO1320" i="13"/>
  <c r="AO1324" i="13"/>
  <c r="AO1314" i="13"/>
  <c r="AO1318" i="13"/>
  <c r="AO1323" i="13"/>
  <c r="AO1322" i="13"/>
  <c r="AO1315" i="13"/>
  <c r="AO1319" i="13"/>
  <c r="AO1317" i="13"/>
  <c r="AO1312" i="13"/>
  <c r="AO1321" i="13"/>
  <c r="AO1313" i="13"/>
  <c r="V268" i="13"/>
  <c r="V260" i="13"/>
  <c r="V265" i="13"/>
  <c r="V347" i="13"/>
  <c r="V353" i="13"/>
  <c r="V358" i="13"/>
  <c r="U66" i="13"/>
  <c r="W334" i="6"/>
  <c r="V256" i="13"/>
  <c r="V261" i="13"/>
  <c r="U173" i="13"/>
  <c r="V349" i="13"/>
  <c r="V354" i="13"/>
  <c r="V359" i="13"/>
  <c r="W305" i="6"/>
  <c r="W306" i="6"/>
  <c r="W315" i="6"/>
  <c r="W314" i="6"/>
  <c r="W329" i="6"/>
  <c r="R808" i="13"/>
  <c r="U402" i="13"/>
  <c r="U538" i="13"/>
  <c r="U1037" i="13"/>
  <c r="U154" i="13"/>
  <c r="U387" i="13"/>
  <c r="U1049" i="13"/>
  <c r="U677" i="13"/>
  <c r="P130" i="13"/>
  <c r="U1256" i="13"/>
  <c r="U98" i="13"/>
  <c r="U657" i="13"/>
  <c r="U661" i="13"/>
  <c r="U660" i="13"/>
  <c r="U662" i="13"/>
  <c r="U659" i="13"/>
  <c r="U658" i="13"/>
  <c r="U663" i="13"/>
  <c r="U1040" i="13"/>
  <c r="U262" i="13"/>
  <c r="U185" i="13"/>
  <c r="U355" i="13"/>
  <c r="U395" i="13"/>
  <c r="U84" i="13"/>
  <c r="R1115" i="13"/>
  <c r="R560" i="13"/>
  <c r="U284" i="13"/>
  <c r="U826" i="13"/>
  <c r="U289" i="13"/>
  <c r="U391" i="13"/>
  <c r="U182" i="13"/>
  <c r="U673" i="13"/>
  <c r="U401" i="13"/>
  <c r="U893" i="13"/>
  <c r="U290" i="13"/>
  <c r="U537" i="13"/>
  <c r="U1050" i="13"/>
  <c r="U393" i="13"/>
  <c r="U824" i="13"/>
  <c r="U656" i="13"/>
  <c r="U671" i="13"/>
  <c r="V266" i="13"/>
  <c r="V259" i="13"/>
  <c r="U153" i="13"/>
  <c r="U212" i="13"/>
  <c r="U31" i="13"/>
  <c r="U385" i="13"/>
  <c r="U398" i="13"/>
  <c r="V348" i="13"/>
  <c r="V352" i="13"/>
  <c r="U59" i="13"/>
  <c r="U36" i="13"/>
  <c r="P506" i="4"/>
  <c r="R506" i="4"/>
  <c r="U292" i="13"/>
  <c r="U822" i="13"/>
  <c r="W655" i="13"/>
  <c r="U672" i="13"/>
  <c r="U184" i="13"/>
  <c r="V102" i="13"/>
  <c r="U386" i="13"/>
  <c r="U831" i="13"/>
  <c r="U278" i="4"/>
  <c r="V498" i="4"/>
  <c r="X500" i="4"/>
  <c r="X499" i="4"/>
  <c r="V496" i="4"/>
  <c r="X494" i="4"/>
  <c r="U256" i="4"/>
  <c r="V257" i="4"/>
  <c r="V491" i="4"/>
  <c r="S480" i="4"/>
  <c r="W474" i="4"/>
  <c r="X467" i="4"/>
  <c r="W452" i="4"/>
  <c r="T446" i="4"/>
  <c r="V441" i="4"/>
  <c r="V437" i="4"/>
  <c r="U433" i="4"/>
  <c r="V429" i="4"/>
  <c r="V424" i="4"/>
  <c r="X417" i="4"/>
  <c r="V413" i="4"/>
  <c r="V409" i="4"/>
  <c r="V405" i="4"/>
  <c r="V401" i="4"/>
  <c r="V397" i="4"/>
  <c r="W490" i="4"/>
  <c r="V482" i="4"/>
  <c r="W478" i="4"/>
  <c r="V474" i="4"/>
  <c r="X468" i="4"/>
  <c r="V455" i="4"/>
  <c r="V444" i="4"/>
  <c r="T440" i="4"/>
  <c r="T436" i="4"/>
  <c r="T432" i="4"/>
  <c r="X427" i="4"/>
  <c r="W422" i="4"/>
  <c r="T416" i="4"/>
  <c r="T412" i="4"/>
  <c r="T408" i="4"/>
  <c r="T404" i="4"/>
  <c r="T400" i="4"/>
  <c r="V396" i="4"/>
  <c r="V392" i="4"/>
  <c r="V388" i="4"/>
  <c r="V479" i="4"/>
  <c r="X469" i="4"/>
  <c r="T452" i="4"/>
  <c r="X440" i="4"/>
  <c r="W432" i="4"/>
  <c r="W423" i="4"/>
  <c r="S413" i="4"/>
  <c r="U391" i="4"/>
  <c r="U386" i="4"/>
  <c r="T383" i="4"/>
  <c r="S380" i="4"/>
  <c r="T376" i="4"/>
  <c r="W372" i="4"/>
  <c r="V369" i="4"/>
  <c r="U366" i="4"/>
  <c r="U362" i="4"/>
  <c r="V358" i="4"/>
  <c r="U355" i="4"/>
  <c r="S491" i="4"/>
  <c r="T479" i="4"/>
  <c r="W469" i="4"/>
  <c r="W440" i="4"/>
  <c r="V432" i="4"/>
  <c r="V423" i="4"/>
  <c r="W412" i="4"/>
  <c r="W404" i="4"/>
  <c r="X396" i="4"/>
  <c r="X390" i="4"/>
  <c r="T386" i="4"/>
  <c r="S383" i="4"/>
  <c r="X379" i="4"/>
  <c r="W375" i="4"/>
  <c r="V372" i="4"/>
  <c r="U369" i="4"/>
  <c r="X365" i="4"/>
  <c r="X361" i="4"/>
  <c r="U358" i="4"/>
  <c r="T355" i="4"/>
  <c r="S352" i="4"/>
  <c r="V490" i="4"/>
  <c r="X451" i="4"/>
  <c r="X437" i="4"/>
  <c r="W499" i="4"/>
  <c r="U499" i="4"/>
  <c r="V499" i="4"/>
  <c r="S497" i="4"/>
  <c r="AO499" i="4"/>
  <c r="V497" i="4"/>
  <c r="S496" i="4"/>
  <c r="W257" i="4"/>
  <c r="S257" i="4"/>
  <c r="T255" i="4"/>
  <c r="V486" i="4"/>
  <c r="S479" i="4"/>
  <c r="V473" i="4"/>
  <c r="V451" i="4"/>
  <c r="W444" i="4"/>
  <c r="V440" i="4"/>
  <c r="V436" i="4"/>
  <c r="U432" i="4"/>
  <c r="V428" i="4"/>
  <c r="X422" i="4"/>
  <c r="V416" i="4"/>
  <c r="V412" i="4"/>
  <c r="V408" i="4"/>
  <c r="V404" i="4"/>
  <c r="V400" i="4"/>
  <c r="W396" i="4"/>
  <c r="U489" i="4"/>
  <c r="W481" i="4"/>
  <c r="W477" i="4"/>
  <c r="X472" i="4"/>
  <c r="W467" i="4"/>
  <c r="V448" i="4"/>
  <c r="T443" i="4"/>
  <c r="T439" i="4"/>
  <c r="T435" i="4"/>
  <c r="T431" i="4"/>
  <c r="W426" i="4"/>
  <c r="V421" i="4"/>
  <c r="T415" i="4"/>
  <c r="T411" i="4"/>
  <c r="T407" i="4"/>
  <c r="T403" i="4"/>
  <c r="T399" i="4"/>
  <c r="V395" i="4"/>
  <c r="V391" i="4"/>
  <c r="U387" i="4"/>
  <c r="V477" i="4"/>
  <c r="V467" i="4"/>
  <c r="T448" i="4"/>
  <c r="X438" i="4"/>
  <c r="X430" i="4"/>
  <c r="X420" i="4"/>
  <c r="S411" i="4"/>
  <c r="U395" i="4"/>
  <c r="X389" i="4"/>
  <c r="V385" i="4"/>
  <c r="U382" i="4"/>
  <c r="T379" i="4"/>
  <c r="T375" i="4"/>
  <c r="S372" i="4"/>
  <c r="W368" i="4"/>
  <c r="U365" i="4"/>
  <c r="U361" i="4"/>
  <c r="W357" i="4"/>
  <c r="V354" i="4"/>
  <c r="W489" i="4"/>
  <c r="T477" i="4"/>
  <c r="W447" i="4"/>
  <c r="W438" i="4"/>
  <c r="W430" i="4"/>
  <c r="W420" i="4"/>
  <c r="W410" i="4"/>
  <c r="W402" i="4"/>
  <c r="X394" i="4"/>
  <c r="W389" i="4"/>
  <c r="U385" i="4"/>
  <c r="T382" i="4"/>
  <c r="X378" i="4"/>
  <c r="S375" i="4"/>
  <c r="W371" i="4"/>
  <c r="V368" i="4"/>
  <c r="X364" i="4"/>
  <c r="W360" i="4"/>
  <c r="V357" i="4"/>
  <c r="U354" i="4"/>
  <c r="T351" i="4"/>
  <c r="V480" i="4"/>
  <c r="T453" i="4"/>
  <c r="W433" i="4"/>
  <c r="S414" i="4"/>
  <c r="W386" i="4"/>
  <c r="U380" i="4"/>
  <c r="T373" i="4"/>
  <c r="W366" i="4"/>
  <c r="S359" i="4"/>
  <c r="V352" i="4"/>
  <c r="V348" i="4"/>
  <c r="T345" i="4"/>
  <c r="W341" i="4"/>
  <c r="W338" i="4"/>
  <c r="V333" i="4"/>
  <c r="X327" i="4"/>
  <c r="W322" i="4"/>
  <c r="V317" i="4"/>
  <c r="X311" i="4"/>
  <c r="T307" i="4"/>
  <c r="T303" i="4"/>
  <c r="T299" i="4"/>
  <c r="W295" i="4"/>
  <c r="V292" i="4"/>
  <c r="U289" i="4"/>
  <c r="V285" i="4"/>
  <c r="AO500" i="4"/>
  <c r="W500" i="4"/>
  <c r="W498" i="4"/>
  <c r="X498" i="4"/>
  <c r="T497" i="4"/>
  <c r="V256" i="4"/>
  <c r="S482" i="4"/>
  <c r="V469" i="4"/>
  <c r="V447" i="4"/>
  <c r="V438" i="4"/>
  <c r="V430" i="4"/>
  <c r="V420" i="4"/>
  <c r="V410" i="4"/>
  <c r="V402" i="4"/>
  <c r="U491" i="4"/>
  <c r="W479" i="4"/>
  <c r="V470" i="4"/>
  <c r="V452" i="4"/>
  <c r="T441" i="4"/>
  <c r="T433" i="4"/>
  <c r="X423" i="4"/>
  <c r="T413" i="4"/>
  <c r="T405" i="4"/>
  <c r="T397" i="4"/>
  <c r="V389" i="4"/>
  <c r="W472" i="4"/>
  <c r="X442" i="4"/>
  <c r="V426" i="4"/>
  <c r="S407" i="4"/>
  <c r="W392" i="4"/>
  <c r="S384" i="4"/>
  <c r="T377" i="4"/>
  <c r="U370" i="4"/>
  <c r="U363" i="4"/>
  <c r="T356" i="4"/>
  <c r="T481" i="4"/>
  <c r="X453" i="4"/>
  <c r="V434" i="4"/>
  <c r="W414" i="4"/>
  <c r="W398" i="4"/>
  <c r="S387" i="4"/>
  <c r="V380" i="4"/>
  <c r="U373" i="4"/>
  <c r="X366" i="4"/>
  <c r="T359" i="4"/>
  <c r="X352" i="4"/>
  <c r="V471" i="4"/>
  <c r="X424" i="4"/>
  <c r="T385" i="4"/>
  <c r="W376" i="4"/>
  <c r="U368" i="4"/>
  <c r="U357" i="4"/>
  <c r="V350" i="4"/>
  <c r="T346" i="4"/>
  <c r="S341" i="4"/>
  <c r="X335" i="4"/>
  <c r="V329" i="4"/>
  <c r="V321" i="4"/>
  <c r="W314" i="4"/>
  <c r="T308" i="4"/>
  <c r="T302" i="4"/>
  <c r="U297" i="4"/>
  <c r="U293" i="4"/>
  <c r="V288" i="4"/>
  <c r="V283" i="4"/>
  <c r="V279" i="4"/>
  <c r="U276" i="4"/>
  <c r="U272" i="4"/>
  <c r="T268" i="4"/>
  <c r="U264" i="4"/>
  <c r="U260" i="4"/>
  <c r="X250" i="4"/>
  <c r="W246" i="4"/>
  <c r="V243" i="4"/>
  <c r="X239" i="4"/>
  <c r="V233" i="4"/>
  <c r="S228" i="4"/>
  <c r="T223" i="4"/>
  <c r="T219" i="4"/>
  <c r="S214" i="4"/>
  <c r="T480" i="4"/>
  <c r="X452" i="4"/>
  <c r="V433" i="4"/>
  <c r="W413" i="4"/>
  <c r="W397" i="4"/>
  <c r="V386" i="4"/>
  <c r="T380" i="4"/>
  <c r="S373" i="4"/>
  <c r="V366" i="4"/>
  <c r="W358" i="4"/>
  <c r="U352" i="4"/>
  <c r="U348" i="4"/>
  <c r="S345" i="4"/>
  <c r="V341" i="4"/>
  <c r="V338" i="4"/>
  <c r="X332" i="4"/>
  <c r="W327" i="4"/>
  <c r="V322" i="4"/>
  <c r="X316" i="4"/>
  <c r="W311" i="4"/>
  <c r="S307" i="4"/>
  <c r="S303" i="4"/>
  <c r="S299" i="4"/>
  <c r="V295" i="4"/>
  <c r="U292" i="4"/>
  <c r="T289" i="4"/>
  <c r="U285" i="4"/>
  <c r="U281" i="4"/>
  <c r="X277" i="4"/>
  <c r="X273" i="4"/>
  <c r="X269" i="4"/>
  <c r="T266" i="4"/>
  <c r="T262" i="4"/>
  <c r="T258" i="4"/>
  <c r="S249" i="4"/>
  <c r="X244" i="4"/>
  <c r="W241" i="4"/>
  <c r="X236" i="4"/>
  <c r="V230" i="4"/>
  <c r="S225" i="4"/>
  <c r="U221" i="4"/>
  <c r="W468" i="4"/>
  <c r="X439" i="4"/>
  <c r="V422" i="4"/>
  <c r="T482" i="4"/>
  <c r="W403" i="4"/>
  <c r="V382" i="4"/>
  <c r="S369" i="4"/>
  <c r="X354" i="4"/>
  <c r="U346" i="4"/>
  <c r="V339" i="4"/>
  <c r="W329" i="4"/>
  <c r="X318" i="4"/>
  <c r="V308" i="4"/>
  <c r="V300" i="4"/>
  <c r="V293" i="4"/>
  <c r="S287" i="4"/>
  <c r="U498" i="4"/>
  <c r="AO498" i="4"/>
  <c r="W496" i="4"/>
  <c r="U493" i="4"/>
  <c r="U254" i="4"/>
  <c r="S478" i="4"/>
  <c r="W455" i="4"/>
  <c r="V443" i="4"/>
  <c r="U435" i="4"/>
  <c r="X426" i="4"/>
  <c r="V415" i="4"/>
  <c r="V407" i="4"/>
  <c r="V399" i="4"/>
  <c r="W487" i="4"/>
  <c r="X476" i="4"/>
  <c r="T447" i="4"/>
  <c r="T438" i="4"/>
  <c r="T430" i="4"/>
  <c r="X419" i="4"/>
  <c r="T410" i="4"/>
  <c r="T402" i="4"/>
  <c r="V394" i="4"/>
  <c r="V487" i="4"/>
  <c r="T451" i="4"/>
  <c r="X436" i="4"/>
  <c r="V417" i="4"/>
  <c r="W388" i="4"/>
  <c r="V381" i="4"/>
  <c r="U374" i="4"/>
  <c r="S368" i="4"/>
  <c r="T360" i="4"/>
  <c r="X353" i="4"/>
  <c r="X474" i="4"/>
  <c r="T445" i="4"/>
  <c r="W428" i="4"/>
  <c r="W408" i="4"/>
  <c r="W393" i="4"/>
  <c r="V384" i="4"/>
  <c r="X377" i="4"/>
  <c r="S371" i="4"/>
  <c r="X363" i="4"/>
  <c r="X356" i="4"/>
  <c r="U350" i="4"/>
  <c r="W446" i="4"/>
  <c r="W419" i="4"/>
  <c r="W394" i="4"/>
  <c r="V383" i="4"/>
  <c r="W374" i="4"/>
  <c r="W364" i="4"/>
  <c r="X355" i="4"/>
  <c r="U349" i="4"/>
  <c r="T344" i="4"/>
  <c r="T340" i="4"/>
  <c r="W334" i="4"/>
  <c r="W326" i="4"/>
  <c r="X319" i="4"/>
  <c r="V313" i="4"/>
  <c r="T306" i="4"/>
  <c r="T301" i="4"/>
  <c r="V296" i="4"/>
  <c r="W291" i="4"/>
  <c r="V287" i="4"/>
  <c r="V282" i="4"/>
  <c r="X278" i="4"/>
  <c r="U275" i="4"/>
  <c r="U271" i="4"/>
  <c r="V267" i="4"/>
  <c r="U263" i="4"/>
  <c r="U259" i="4"/>
  <c r="S250" i="4"/>
  <c r="X245" i="4"/>
  <c r="W242" i="4"/>
  <c r="V238" i="4"/>
  <c r="S232" i="4"/>
  <c r="X226" i="4"/>
  <c r="U222" i="4"/>
  <c r="S218" i="4"/>
  <c r="V212" i="4"/>
  <c r="V476" i="4"/>
  <c r="V446" i="4"/>
  <c r="W429" i="4"/>
  <c r="W409" i="4"/>
  <c r="U394" i="4"/>
  <c r="S385" i="4"/>
  <c r="V378" i="4"/>
  <c r="U371" i="4"/>
  <c r="V364" i="4"/>
  <c r="T357" i="4"/>
  <c r="U351" i="4"/>
  <c r="V347" i="4"/>
  <c r="S344" i="4"/>
  <c r="W340" i="4"/>
  <c r="V500" i="4"/>
  <c r="U500" i="4"/>
  <c r="T499" i="4"/>
  <c r="T498" i="4"/>
  <c r="S255" i="4"/>
  <c r="W254" i="4"/>
  <c r="W482" i="4"/>
  <c r="W470" i="4"/>
  <c r="W448" i="4"/>
  <c r="V439" i="4"/>
  <c r="V431" i="4"/>
  <c r="W421" i="4"/>
  <c r="V411" i="4"/>
  <c r="V403" i="4"/>
  <c r="W395" i="4"/>
  <c r="W480" i="4"/>
  <c r="W471" i="4"/>
  <c r="V453" i="4"/>
  <c r="T442" i="4"/>
  <c r="T434" i="4"/>
  <c r="V425" i="4"/>
  <c r="T414" i="4"/>
  <c r="T406" i="4"/>
  <c r="T398" i="4"/>
  <c r="V390" i="4"/>
  <c r="V475" i="4"/>
  <c r="V445" i="4"/>
  <c r="X428" i="4"/>
  <c r="S409" i="4"/>
  <c r="X393" i="4"/>
  <c r="W384" i="4"/>
  <c r="T378" i="4"/>
  <c r="T371" i="4"/>
  <c r="U364" i="4"/>
  <c r="S357" i="4"/>
  <c r="U487" i="4"/>
  <c r="X455" i="4"/>
  <c r="W436" i="4"/>
  <c r="W416" i="4"/>
  <c r="W400" i="4"/>
  <c r="U388" i="4"/>
  <c r="U381" i="4"/>
  <c r="T374" i="4"/>
  <c r="X367" i="4"/>
  <c r="S360" i="4"/>
  <c r="V353" i="4"/>
  <c r="W476" i="4"/>
  <c r="X429" i="4"/>
  <c r="U389" i="4"/>
  <c r="W378" i="4"/>
  <c r="S370" i="4"/>
  <c r="V360" i="4"/>
  <c r="V351" i="4"/>
  <c r="S347" i="4"/>
  <c r="V342" i="4"/>
  <c r="V337" i="4"/>
  <c r="W330" i="4"/>
  <c r="X323" i="4"/>
  <c r="X315" i="4"/>
  <c r="T500" i="4"/>
  <c r="U434" i="4"/>
  <c r="V398" i="4"/>
  <c r="W445" i="4"/>
  <c r="T409" i="4"/>
  <c r="T387" i="4"/>
  <c r="U359" i="4"/>
  <c r="X425" i="4"/>
  <c r="X376" i="4"/>
  <c r="V349" i="4"/>
  <c r="S382" i="4"/>
  <c r="W347" i="4"/>
  <c r="V325" i="4"/>
  <c r="T305" i="4"/>
  <c r="S295" i="4"/>
  <c r="V286" i="4"/>
  <c r="S278" i="4"/>
  <c r="U270" i="4"/>
  <c r="U262" i="4"/>
  <c r="T249" i="4"/>
  <c r="X241" i="4"/>
  <c r="X230" i="4"/>
  <c r="V221" i="4"/>
  <c r="U490" i="4"/>
  <c r="W441" i="4"/>
  <c r="W405" i="4"/>
  <c r="U383" i="4"/>
  <c r="W369" i="4"/>
  <c r="V355" i="4"/>
  <c r="W346" i="4"/>
  <c r="S340" i="4"/>
  <c r="V334" i="4"/>
  <c r="V326" i="4"/>
  <c r="W319" i="4"/>
  <c r="X312" i="4"/>
  <c r="S306" i="4"/>
  <c r="S301" i="4"/>
  <c r="U296" i="4"/>
  <c r="V291" i="4"/>
  <c r="U287" i="4"/>
  <c r="U282" i="4"/>
  <c r="X276" i="4"/>
  <c r="X271" i="4"/>
  <c r="T267" i="4"/>
  <c r="T261" i="4"/>
  <c r="V250" i="4"/>
  <c r="W245" i="4"/>
  <c r="X240" i="4"/>
  <c r="S233" i="4"/>
  <c r="V226" i="4"/>
  <c r="U482" i="4"/>
  <c r="W427" i="4"/>
  <c r="U390" i="4"/>
  <c r="T372" i="4"/>
  <c r="X351" i="4"/>
  <c r="W342" i="4"/>
  <c r="V332" i="4"/>
  <c r="V316" i="4"/>
  <c r="V304" i="4"/>
  <c r="T295" i="4"/>
  <c r="S285" i="4"/>
  <c r="V277" i="4"/>
  <c r="V269" i="4"/>
  <c r="T478" i="4"/>
  <c r="T381" i="4"/>
  <c r="W367" i="4"/>
  <c r="U353" i="4"/>
  <c r="W345" i="4"/>
  <c r="S339" i="4"/>
  <c r="W328" i="4"/>
  <c r="X317" i="4"/>
  <c r="X475" i="4"/>
  <c r="W425" i="4"/>
  <c r="U486" i="4"/>
  <c r="T437" i="4"/>
  <c r="T401" i="4"/>
  <c r="W434" i="4"/>
  <c r="W380" i="4"/>
  <c r="S353" i="4"/>
  <c r="W406" i="4"/>
  <c r="T370" i="4"/>
  <c r="X441" i="4"/>
  <c r="V371" i="4"/>
  <c r="U343" i="4"/>
  <c r="W318" i="4"/>
  <c r="T304" i="4"/>
  <c r="T294" i="4"/>
  <c r="V284" i="4"/>
  <c r="U277" i="4"/>
  <c r="U269" i="4"/>
  <c r="U261" i="4"/>
  <c r="U248" i="4"/>
  <c r="V229" i="4"/>
  <c r="V220" i="4"/>
  <c r="W486" i="4"/>
  <c r="W437" i="4"/>
  <c r="W401" i="4"/>
  <c r="W381" i="4"/>
  <c r="T368" i="4"/>
  <c r="S354" i="4"/>
  <c r="S346" i="4"/>
  <c r="T339" i="4"/>
  <c r="W331" i="4"/>
  <c r="X324" i="4"/>
  <c r="V318" i="4"/>
  <c r="V310" i="4"/>
  <c r="S305" i="4"/>
  <c r="S300" i="4"/>
  <c r="W294" i="4"/>
  <c r="W290" i="4"/>
  <c r="U286" i="4"/>
  <c r="U280" i="4"/>
  <c r="X275" i="4"/>
  <c r="X270" i="4"/>
  <c r="T265" i="4"/>
  <c r="T260" i="4"/>
  <c r="X249" i="4"/>
  <c r="V239" i="4"/>
  <c r="X231" i="4"/>
  <c r="X223" i="4"/>
  <c r="V478" i="4"/>
  <c r="T444" i="4"/>
  <c r="S416" i="4"/>
  <c r="V435" i="4"/>
  <c r="W385" i="4"/>
  <c r="V365" i="4"/>
  <c r="X349" i="4"/>
  <c r="T341" i="4"/>
  <c r="X326" i="4"/>
  <c r="W313" i="4"/>
  <c r="V302" i="4"/>
  <c r="S292" i="4"/>
  <c r="S283" i="4"/>
  <c r="V275" i="4"/>
  <c r="W267" i="4"/>
  <c r="U393" i="4"/>
  <c r="W377" i="4"/>
  <c r="W363" i="4"/>
  <c r="S351" i="4"/>
  <c r="W343" i="4"/>
  <c r="W336" i="4"/>
  <c r="X325" i="4"/>
  <c r="V315" i="4"/>
  <c r="W305" i="4"/>
  <c r="W297" i="4"/>
  <c r="U291" i="4"/>
  <c r="T284" i="4"/>
  <c r="W497" i="4"/>
  <c r="V414" i="4"/>
  <c r="W475" i="4"/>
  <c r="V393" i="4"/>
  <c r="S415" i="4"/>
  <c r="V373" i="4"/>
  <c r="V472" i="4"/>
  <c r="U392" i="4"/>
  <c r="X362" i="4"/>
  <c r="S410" i="4"/>
  <c r="W362" i="4"/>
  <c r="U339" i="4"/>
  <c r="W310" i="4"/>
  <c r="T300" i="4"/>
  <c r="S291" i="4"/>
  <c r="V281" i="4"/>
  <c r="U274" i="4"/>
  <c r="U266" i="4"/>
  <c r="U258" i="4"/>
  <c r="S237" i="4"/>
  <c r="V225" i="4"/>
  <c r="V216" i="4"/>
  <c r="X470" i="4"/>
  <c r="W424" i="4"/>
  <c r="W391" i="4"/>
  <c r="V376" i="4"/>
  <c r="V362" i="4"/>
  <c r="T350" i="4"/>
  <c r="T343" i="4"/>
  <c r="X336" i="4"/>
  <c r="V330" i="4"/>
  <c r="W323" i="4"/>
  <c r="W315" i="4"/>
  <c r="S309" i="4"/>
  <c r="S304" i="4"/>
  <c r="S298" i="4"/>
  <c r="S294" i="4"/>
  <c r="S290" i="4"/>
  <c r="U284" i="4"/>
  <c r="U279" i="4"/>
  <c r="X274" i="4"/>
  <c r="X268" i="4"/>
  <c r="T264" i="4"/>
  <c r="T259" i="4"/>
  <c r="T248" i="4"/>
  <c r="U243" i="4"/>
  <c r="S238" i="4"/>
  <c r="S229" i="4"/>
  <c r="S223" i="4"/>
  <c r="X473" i="4"/>
  <c r="W435" i="4"/>
  <c r="S412" i="4"/>
  <c r="W415" i="4"/>
  <c r="V379" i="4"/>
  <c r="V361" i="4"/>
  <c r="S348" i="4"/>
  <c r="W337" i="4"/>
  <c r="V324" i="4"/>
  <c r="X310" i="4"/>
  <c r="V298" i="4"/>
  <c r="U290" i="4"/>
  <c r="S281" i="4"/>
  <c r="V273" i="4"/>
  <c r="V265" i="4"/>
  <c r="W431" i="4"/>
  <c r="W387" i="4"/>
  <c r="S374" i="4"/>
  <c r="W359" i="4"/>
  <c r="S349" i="4"/>
  <c r="T342" i="4"/>
  <c r="X333" i="4"/>
  <c r="V323" i="4"/>
  <c r="W312" i="4"/>
  <c r="W303" i="4"/>
  <c r="T296" i="4"/>
  <c r="W289" i="4"/>
  <c r="T496" i="4"/>
  <c r="S494" i="4"/>
  <c r="U255" i="4"/>
  <c r="V442" i="4"/>
  <c r="V406" i="4"/>
  <c r="U451" i="4"/>
  <c r="W417" i="4"/>
  <c r="V481" i="4"/>
  <c r="U367" i="4"/>
  <c r="W442" i="4"/>
  <c r="W383" i="4"/>
  <c r="S356" i="4"/>
  <c r="X391" i="4"/>
  <c r="T354" i="4"/>
  <c r="X331" i="4"/>
  <c r="T309" i="4"/>
  <c r="T298" i="4"/>
  <c r="T290" i="4"/>
  <c r="V280" i="4"/>
  <c r="U273" i="4"/>
  <c r="U265" i="4"/>
  <c r="V251" i="4"/>
  <c r="U244" i="4"/>
  <c r="X234" i="4"/>
  <c r="S224" i="4"/>
  <c r="T215" i="4"/>
  <c r="W451" i="4"/>
  <c r="V419" i="4"/>
  <c r="X388" i="4"/>
  <c r="V374" i="4"/>
  <c r="U360" i="4"/>
  <c r="T349" i="4"/>
  <c r="U342" i="4"/>
  <c r="W335" i="4"/>
  <c r="X328" i="4"/>
  <c r="X320" i="4"/>
  <c r="V314" i="4"/>
  <c r="S308" i="4"/>
  <c r="S302" i="4"/>
  <c r="T297" i="4"/>
  <c r="T293" i="4"/>
  <c r="U288" i="4"/>
  <c r="U283" i="4"/>
  <c r="W278" i="4"/>
  <c r="X272" i="4"/>
  <c r="S268" i="4"/>
  <c r="T263" i="4"/>
  <c r="U251" i="4"/>
  <c r="V246" i="4"/>
  <c r="V242" i="4"/>
  <c r="V234" i="4"/>
  <c r="X227" i="4"/>
  <c r="T222" i="4"/>
  <c r="T455" i="4"/>
  <c r="X431" i="4"/>
  <c r="S408" i="4"/>
  <c r="X395" i="4"/>
  <c r="U375" i="4"/>
  <c r="S358" i="4"/>
  <c r="V344" i="4"/>
  <c r="X334" i="4"/>
  <c r="W321" i="4"/>
  <c r="V306" i="4"/>
  <c r="W296" i="4"/>
  <c r="W288" i="4"/>
  <c r="S279" i="4"/>
  <c r="V271" i="4"/>
  <c r="V263" i="4"/>
  <c r="W411" i="4"/>
  <c r="U384" i="4"/>
  <c r="W370" i="4"/>
  <c r="V356" i="4"/>
  <c r="U347" i="4"/>
  <c r="V340" i="4"/>
  <c r="V331" i="4"/>
  <c r="W320" i="4"/>
  <c r="W309" i="4"/>
  <c r="W301" i="4"/>
  <c r="V294" i="4"/>
  <c r="T288" i="4"/>
  <c r="W299" i="4"/>
  <c r="T280" i="4"/>
  <c r="W272" i="4"/>
  <c r="S265" i="4"/>
  <c r="T251" i="4"/>
  <c r="X243" i="4"/>
  <c r="S234" i="4"/>
  <c r="V223" i="4"/>
  <c r="S217" i="4"/>
  <c r="T210" i="4"/>
  <c r="S205" i="4"/>
  <c r="W200" i="4"/>
  <c r="V195" i="4"/>
  <c r="X189" i="4"/>
  <c r="W184" i="4"/>
  <c r="V179" i="4"/>
  <c r="X173" i="4"/>
  <c r="W168" i="4"/>
  <c r="V163" i="4"/>
  <c r="W382" i="4"/>
  <c r="T369" i="4"/>
  <c r="S355" i="4"/>
  <c r="V346" i="4"/>
  <c r="W339" i="4"/>
  <c r="X329" i="4"/>
  <c r="V319" i="4"/>
  <c r="W308" i="4"/>
  <c r="W300" i="4"/>
  <c r="W293" i="4"/>
  <c r="T287" i="4"/>
  <c r="T279" i="4"/>
  <c r="W271" i="4"/>
  <c r="S264" i="4"/>
  <c r="U250" i="4"/>
  <c r="X232" i="4"/>
  <c r="X222" i="4"/>
  <c r="S216" i="4"/>
  <c r="V209" i="4"/>
  <c r="V363" i="4"/>
  <c r="W325" i="4"/>
  <c r="T291" i="4"/>
  <c r="V261" i="4"/>
  <c r="U241" i="4"/>
  <c r="S221" i="4"/>
  <c r="T208" i="4"/>
  <c r="S202" i="4"/>
  <c r="X194" i="4"/>
  <c r="X187" i="4"/>
  <c r="X180" i="4"/>
  <c r="W173" i="4"/>
  <c r="W166" i="4"/>
  <c r="V160" i="4"/>
  <c r="X154" i="4"/>
  <c r="W149" i="4"/>
  <c r="V144" i="4"/>
  <c r="X138" i="4"/>
  <c r="W373" i="4"/>
  <c r="W333" i="4"/>
  <c r="S296" i="4"/>
  <c r="V266" i="4"/>
  <c r="W243" i="4"/>
  <c r="U223" i="4"/>
  <c r="S210" i="4"/>
  <c r="X202" i="4"/>
  <c r="V196" i="4"/>
  <c r="V189" i="4"/>
  <c r="V182" i="4"/>
  <c r="X174" i="4"/>
  <c r="X167" i="4"/>
  <c r="V161" i="4"/>
  <c r="X155" i="4"/>
  <c r="W150" i="4"/>
  <c r="V145" i="4"/>
  <c r="X139" i="4"/>
  <c r="V134" i="4"/>
  <c r="S131" i="4"/>
  <c r="S127" i="4"/>
  <c r="V120" i="4"/>
  <c r="V112" i="4"/>
  <c r="V104" i="4"/>
  <c r="V96" i="4"/>
  <c r="V90" i="4"/>
  <c r="X84" i="4"/>
  <c r="V79" i="4"/>
  <c r="U74" i="4"/>
  <c r="S70" i="4"/>
  <c r="S66" i="4"/>
  <c r="S62" i="4"/>
  <c r="S58" i="4"/>
  <c r="S54" i="4"/>
  <c r="S50" i="4"/>
  <c r="U46" i="4"/>
  <c r="T43" i="4"/>
  <c r="S40" i="4"/>
  <c r="W36" i="4"/>
  <c r="S33" i="4"/>
  <c r="T29" i="4"/>
  <c r="S26" i="4"/>
  <c r="W491" i="4"/>
  <c r="U356" i="4"/>
  <c r="V320" i="4"/>
  <c r="S288" i="4"/>
  <c r="V259" i="4"/>
  <c r="X238" i="4"/>
  <c r="S219" i="4"/>
  <c r="T207" i="4"/>
  <c r="V201" i="4"/>
  <c r="V194" i="4"/>
  <c r="X186" i="4"/>
  <c r="X179" i="4"/>
  <c r="X172" i="4"/>
  <c r="W165" i="4"/>
  <c r="W159" i="4"/>
  <c r="V154" i="4"/>
  <c r="X148" i="4"/>
  <c r="W143" i="4"/>
  <c r="V138" i="4"/>
  <c r="V133" i="4"/>
  <c r="V299" i="4"/>
  <c r="T211" i="4"/>
  <c r="X182" i="4"/>
  <c r="W156" i="4"/>
  <c r="V136" i="4"/>
  <c r="V129" i="4"/>
  <c r="W122" i="4"/>
  <c r="W111" i="4"/>
  <c r="V101" i="4"/>
  <c r="X91" i="4"/>
  <c r="W84" i="4"/>
  <c r="V77" i="4"/>
  <c r="T71" i="4"/>
  <c r="V65" i="4"/>
  <c r="V60" i="4"/>
  <c r="T55" i="4"/>
  <c r="W49" i="4"/>
  <c r="V328" i="4"/>
  <c r="X221" i="4"/>
  <c r="V188" i="4"/>
  <c r="W160" i="4"/>
  <c r="V139" i="4"/>
  <c r="V130" i="4"/>
  <c r="W124" i="4"/>
  <c r="W113" i="4"/>
  <c r="V103" i="4"/>
  <c r="V93" i="4"/>
  <c r="X85" i="4"/>
  <c r="W78" i="4"/>
  <c r="T72" i="4"/>
  <c r="V66" i="4"/>
  <c r="U61" i="4"/>
  <c r="T56" i="4"/>
  <c r="W50" i="4"/>
  <c r="S46" i="4"/>
  <c r="W41" i="4"/>
  <c r="V37" i="4"/>
  <c r="V32" i="4"/>
  <c r="W28" i="4"/>
  <c r="V24" i="4"/>
  <c r="V20" i="4"/>
  <c r="V16" i="4"/>
  <c r="V12" i="4"/>
  <c r="V8" i="4"/>
  <c r="S286" i="4"/>
  <c r="S207" i="4"/>
  <c r="W179" i="4"/>
  <c r="X153" i="4"/>
  <c r="W134" i="4"/>
  <c r="S293" i="4"/>
  <c r="V278" i="4"/>
  <c r="W270" i="4"/>
  <c r="S263" i="4"/>
  <c r="V249" i="4"/>
  <c r="U242" i="4"/>
  <c r="V231" i="4"/>
  <c r="S222" i="4"/>
  <c r="S215" i="4"/>
  <c r="S209" i="4"/>
  <c r="V203" i="4"/>
  <c r="V199" i="4"/>
  <c r="X193" i="4"/>
  <c r="W188" i="4"/>
  <c r="V183" i="4"/>
  <c r="X177" i="4"/>
  <c r="W172" i="4"/>
  <c r="V167" i="4"/>
  <c r="V468" i="4"/>
  <c r="U396" i="4"/>
  <c r="W379" i="4"/>
  <c r="W365" i="4"/>
  <c r="T352" i="4"/>
  <c r="W344" i="4"/>
  <c r="X337" i="4"/>
  <c r="V327" i="4"/>
  <c r="W316" i="4"/>
  <c r="W306" i="4"/>
  <c r="W298" i="4"/>
  <c r="T292" i="4"/>
  <c r="T285" i="4"/>
  <c r="W277" i="4"/>
  <c r="W269" i="4"/>
  <c r="S262" i="4"/>
  <c r="X248" i="4"/>
  <c r="V241" i="4"/>
  <c r="S230" i="4"/>
  <c r="T221" i="4"/>
  <c r="T214" i="4"/>
  <c r="W443" i="4"/>
  <c r="X350" i="4"/>
  <c r="X314" i="4"/>
  <c r="S284" i="4"/>
  <c r="X251" i="4"/>
  <c r="S236" i="4"/>
  <c r="T217" i="4"/>
  <c r="V206" i="4"/>
  <c r="V200" i="4"/>
  <c r="V193" i="4"/>
  <c r="V186" i="4"/>
  <c r="X178" i="4"/>
  <c r="X171" i="4"/>
  <c r="X164" i="4"/>
  <c r="X158" i="4"/>
  <c r="W153" i="4"/>
  <c r="V148" i="4"/>
  <c r="X142" i="4"/>
  <c r="W137" i="4"/>
  <c r="V359" i="4"/>
  <c r="X322" i="4"/>
  <c r="V289" i="4"/>
  <c r="V260" i="4"/>
  <c r="S240" i="4"/>
  <c r="S220" i="4"/>
  <c r="S208" i="4"/>
  <c r="W201" i="4"/>
  <c r="W194" i="4"/>
  <c r="W187" i="4"/>
  <c r="V180" i="4"/>
  <c r="V173" i="4"/>
  <c r="V166" i="4"/>
  <c r="X159" i="4"/>
  <c r="W154" i="4"/>
  <c r="V149" i="4"/>
  <c r="X143" i="4"/>
  <c r="W138" i="4"/>
  <c r="W133" i="4"/>
  <c r="S130" i="4"/>
  <c r="S126" i="4"/>
  <c r="V118" i="4"/>
  <c r="V110" i="4"/>
  <c r="V102" i="4"/>
  <c r="V94" i="4"/>
  <c r="X88" i="4"/>
  <c r="V83" i="4"/>
  <c r="U78" i="4"/>
  <c r="S73" i="4"/>
  <c r="S69" i="4"/>
  <c r="S65" i="4"/>
  <c r="S61" i="4"/>
  <c r="S57" i="4"/>
  <c r="S53" i="4"/>
  <c r="S49" i="4"/>
  <c r="V45" i="4"/>
  <c r="U42" i="4"/>
  <c r="T39" i="4"/>
  <c r="W35" i="4"/>
  <c r="T32" i="4"/>
  <c r="U28" i="4"/>
  <c r="T25" i="4"/>
  <c r="W407" i="4"/>
  <c r="T347" i="4"/>
  <c r="V309" i="4"/>
  <c r="S280" i="4"/>
  <c r="T250" i="4"/>
  <c r="V232" i="4"/>
  <c r="V215" i="4"/>
  <c r="V205" i="4"/>
  <c r="W199" i="4"/>
  <c r="V192" i="4"/>
  <c r="V185" i="4"/>
  <c r="V178" i="4"/>
  <c r="X170" i="4"/>
  <c r="X163" i="4"/>
  <c r="V158" i="4"/>
  <c r="X152" i="4"/>
  <c r="W147" i="4"/>
  <c r="V142" i="4"/>
  <c r="X136" i="4"/>
  <c r="W132" i="4"/>
  <c r="V270" i="4"/>
  <c r="T203" i="4"/>
  <c r="X175" i="4"/>
  <c r="V151" i="4"/>
  <c r="S134" i="4"/>
  <c r="T128" i="4"/>
  <c r="W119" i="4"/>
  <c r="V109" i="4"/>
  <c r="W98" i="4"/>
  <c r="X89" i="4"/>
  <c r="W82" i="4"/>
  <c r="W75" i="4"/>
  <c r="V69" i="4"/>
  <c r="U64" i="4"/>
  <c r="T59" i="4"/>
  <c r="W53" i="4"/>
  <c r="V48" i="4"/>
  <c r="W292" i="4"/>
  <c r="V208" i="4"/>
  <c r="V181" i="4"/>
  <c r="V155" i="4"/>
  <c r="V135" i="4"/>
  <c r="T129" i="4"/>
  <c r="W121" i="4"/>
  <c r="V111" i="4"/>
  <c r="W100" i="4"/>
  <c r="V91" i="4"/>
  <c r="V84" i="4"/>
  <c r="U77" i="4"/>
  <c r="V70" i="4"/>
  <c r="U65" i="4"/>
  <c r="T60" i="4"/>
  <c r="W54" i="4"/>
  <c r="V49" i="4"/>
  <c r="S45" i="4"/>
  <c r="V40" i="4"/>
  <c r="T36" i="4"/>
  <c r="V31" i="4"/>
  <c r="W27" i="4"/>
  <c r="U23" i="4"/>
  <c r="V19" i="4"/>
  <c r="V15" i="4"/>
  <c r="V11" i="4"/>
  <c r="W473" i="4"/>
  <c r="V258" i="4"/>
  <c r="X200" i="4"/>
  <c r="V172" i="4"/>
  <c r="W148" i="4"/>
  <c r="T133" i="4"/>
  <c r="T286" i="4"/>
  <c r="W276" i="4"/>
  <c r="V268" i="4"/>
  <c r="S261" i="4"/>
  <c r="S248" i="4"/>
  <c r="V240" i="4"/>
  <c r="X228" i="4"/>
  <c r="T220" i="4"/>
  <c r="T213" i="4"/>
  <c r="V207" i="4"/>
  <c r="V202" i="4"/>
  <c r="X197" i="4"/>
  <c r="W192" i="4"/>
  <c r="V187" i="4"/>
  <c r="X181" i="4"/>
  <c r="W176" i="4"/>
  <c r="V171" i="4"/>
  <c r="X165" i="4"/>
  <c r="W439" i="4"/>
  <c r="W390" i="4"/>
  <c r="V375" i="4"/>
  <c r="W361" i="4"/>
  <c r="S350" i="4"/>
  <c r="S343" i="4"/>
  <c r="V335" i="4"/>
  <c r="W324" i="4"/>
  <c r="X313" i="4"/>
  <c r="W304" i="4"/>
  <c r="S297" i="4"/>
  <c r="V290" i="4"/>
  <c r="T283" i="4"/>
  <c r="W275" i="4"/>
  <c r="X267" i="4"/>
  <c r="S260" i="4"/>
  <c r="U246" i="4"/>
  <c r="S239" i="4"/>
  <c r="V227" i="4"/>
  <c r="V219" i="4"/>
  <c r="T212" i="4"/>
  <c r="X392" i="4"/>
  <c r="V343" i="4"/>
  <c r="V305" i="4"/>
  <c r="V276" i="4"/>
  <c r="V248" i="4"/>
  <c r="X229" i="4"/>
  <c r="V213" i="4"/>
  <c r="V204" i="4"/>
  <c r="W198" i="4"/>
  <c r="W191" i="4"/>
  <c r="V184" i="4"/>
  <c r="V177" i="4"/>
  <c r="V170" i="4"/>
  <c r="X162" i="4"/>
  <c r="W157" i="4"/>
  <c r="V152" i="4"/>
  <c r="X146" i="4"/>
  <c r="W141" i="4"/>
  <c r="V427" i="4"/>
  <c r="X348" i="4"/>
  <c r="V312" i="4"/>
  <c r="S282" i="4"/>
  <c r="S251" i="4"/>
  <c r="X233" i="4"/>
  <c r="T216" i="4"/>
  <c r="S206" i="4"/>
  <c r="X199" i="4"/>
  <c r="X192" i="4"/>
  <c r="W185" i="4"/>
  <c r="W178" i="4"/>
  <c r="W171" i="4"/>
  <c r="V164" i="4"/>
  <c r="W158" i="4"/>
  <c r="V153" i="4"/>
  <c r="X147" i="4"/>
  <c r="W142" i="4"/>
  <c r="V137" i="4"/>
  <c r="S133" i="4"/>
  <c r="S129" i="4"/>
  <c r="V124" i="4"/>
  <c r="V116" i="4"/>
  <c r="V108" i="4"/>
  <c r="V100" i="4"/>
  <c r="X92" i="4"/>
  <c r="W87" i="4"/>
  <c r="U82" i="4"/>
  <c r="W76" i="4"/>
  <c r="S72" i="4"/>
  <c r="S68" i="4"/>
  <c r="S64" i="4"/>
  <c r="S60" i="4"/>
  <c r="S56" i="4"/>
  <c r="S52" i="4"/>
  <c r="S48" i="4"/>
  <c r="W44" i="4"/>
  <c r="V41" i="4"/>
  <c r="U38" i="4"/>
  <c r="V34" i="4"/>
  <c r="U31" i="4"/>
  <c r="V27" i="4"/>
  <c r="U24" i="4"/>
  <c r="T384" i="4"/>
  <c r="U340" i="4"/>
  <c r="V301" i="4"/>
  <c r="V272" i="4"/>
  <c r="S227" i="4"/>
  <c r="S212" i="4"/>
  <c r="S204" i="4"/>
  <c r="W197" i="4"/>
  <c r="W190" i="4"/>
  <c r="W183" i="4"/>
  <c r="V176" i="4"/>
  <c r="V169" i="4"/>
  <c r="V162" i="4"/>
  <c r="X156" i="4"/>
  <c r="W151" i="4"/>
  <c r="V146" i="4"/>
  <c r="X140" i="4"/>
  <c r="W135" i="4"/>
  <c r="S381" i="4"/>
  <c r="U245" i="4"/>
  <c r="V197" i="4"/>
  <c r="X168" i="4"/>
  <c r="X145" i="4"/>
  <c r="T132" i="4"/>
  <c r="W126" i="4"/>
  <c r="V117" i="4"/>
  <c r="W106" i="4"/>
  <c r="W95" i="4"/>
  <c r="V88" i="4"/>
  <c r="U81" i="4"/>
  <c r="V73" i="4"/>
  <c r="U68" i="4"/>
  <c r="T63" i="4"/>
  <c r="W57" i="4"/>
  <c r="V52" i="4"/>
  <c r="U47" i="4"/>
  <c r="V262" i="4"/>
  <c r="T202" i="4"/>
  <c r="V174" i="4"/>
  <c r="X149" i="4"/>
  <c r="U133" i="4"/>
  <c r="W127" i="4"/>
  <c r="V119" i="4"/>
  <c r="W108" i="4"/>
  <c r="W97" i="4"/>
  <c r="W89" i="4"/>
  <c r="V82" i="4"/>
  <c r="U75" i="4"/>
  <c r="U69" i="4"/>
  <c r="T64" i="4"/>
  <c r="W58" i="4"/>
  <c r="V53" i="4"/>
  <c r="T48" i="4"/>
  <c r="W43" i="4"/>
  <c r="V39" i="4"/>
  <c r="W34" i="4"/>
  <c r="U30" i="4"/>
  <c r="V26" i="4"/>
  <c r="V22" i="4"/>
  <c r="V18" i="4"/>
  <c r="V14" i="4"/>
  <c r="V10" i="4"/>
  <c r="T353" i="4"/>
  <c r="V237" i="4"/>
  <c r="W193" i="4"/>
  <c r="V165" i="4"/>
  <c r="V143" i="4"/>
  <c r="V131" i="4"/>
  <c r="T126" i="4"/>
  <c r="W307" i="4"/>
  <c r="T282" i="4"/>
  <c r="W274" i="4"/>
  <c r="S267" i="4"/>
  <c r="S259" i="4"/>
  <c r="V245" i="4"/>
  <c r="X237" i="4"/>
  <c r="S226" i="4"/>
  <c r="V218" i="4"/>
  <c r="V211" i="4"/>
  <c r="T206" i="4"/>
  <c r="X201" i="4"/>
  <c r="W196" i="4"/>
  <c r="V191" i="4"/>
  <c r="X185" i="4"/>
  <c r="W180" i="4"/>
  <c r="V175" i="4"/>
  <c r="X169" i="4"/>
  <c r="W164" i="4"/>
  <c r="X421" i="4"/>
  <c r="S386" i="4"/>
  <c r="U372" i="4"/>
  <c r="T358" i="4"/>
  <c r="T348" i="4"/>
  <c r="U341" i="4"/>
  <c r="W332" i="4"/>
  <c r="X321" i="4"/>
  <c r="V311" i="4"/>
  <c r="W302" i="4"/>
  <c r="U295" i="4"/>
  <c r="S289" i="4"/>
  <c r="T281" i="4"/>
  <c r="W273" i="4"/>
  <c r="S266" i="4"/>
  <c r="S258" i="4"/>
  <c r="W244" i="4"/>
  <c r="V236" i="4"/>
  <c r="X224" i="4"/>
  <c r="V217" i="4"/>
  <c r="S211" i="4"/>
  <c r="V377" i="4"/>
  <c r="V336" i="4"/>
  <c r="V297" i="4"/>
  <c r="U268" i="4"/>
  <c r="V244" i="4"/>
  <c r="V224" i="4"/>
  <c r="V210" i="4"/>
  <c r="S203" i="4"/>
  <c r="X196" i="4"/>
  <c r="W189" i="4"/>
  <c r="W182" i="4"/>
  <c r="W175" i="4"/>
  <c r="V168" i="4"/>
  <c r="W161" i="4"/>
  <c r="V156" i="4"/>
  <c r="X150" i="4"/>
  <c r="W145" i="4"/>
  <c r="V140" i="4"/>
  <c r="V387" i="4"/>
  <c r="S342" i="4"/>
  <c r="V303" i="4"/>
  <c r="V274" i="4"/>
  <c r="X246" i="4"/>
  <c r="V228" i="4"/>
  <c r="S213" i="4"/>
  <c r="T204" i="4"/>
  <c r="V198" i="4"/>
  <c r="X190" i="4"/>
  <c r="X183" i="4"/>
  <c r="X176" i="4"/>
  <c r="W169" i="4"/>
  <c r="W162" i="4"/>
  <c r="V157" i="4"/>
  <c r="X151" i="4"/>
  <c r="W146" i="4"/>
  <c r="V141" i="4"/>
  <c r="X135" i="4"/>
  <c r="S132" i="4"/>
  <c r="S128" i="4"/>
  <c r="V122" i="4"/>
  <c r="V114" i="4"/>
  <c r="V106" i="4"/>
  <c r="V98" i="4"/>
  <c r="W91" i="4"/>
  <c r="V86" i="4"/>
  <c r="W80" i="4"/>
  <c r="V75" i="4"/>
  <c r="S71" i="4"/>
  <c r="S67" i="4"/>
  <c r="S63" i="4"/>
  <c r="S59" i="4"/>
  <c r="S55" i="4"/>
  <c r="S51" i="4"/>
  <c r="T47" i="4"/>
  <c r="S44" i="4"/>
  <c r="W40" i="4"/>
  <c r="W37" i="4"/>
  <c r="W33" i="4"/>
  <c r="V30" i="4"/>
  <c r="W26" i="4"/>
  <c r="V23" i="4"/>
  <c r="V370" i="4"/>
  <c r="X330" i="4"/>
  <c r="U294" i="4"/>
  <c r="V264" i="4"/>
  <c r="X242" i="4"/>
  <c r="V222" i="4"/>
  <c r="T209" i="4"/>
  <c r="U202" i="4"/>
  <c r="X195" i="4"/>
  <c r="X188" i="4"/>
  <c r="W181" i="4"/>
  <c r="W174" i="4"/>
  <c r="W167" i="4"/>
  <c r="X160" i="4"/>
  <c r="W155" i="4"/>
  <c r="V150" i="4"/>
  <c r="X144" i="4"/>
  <c r="W139" i="4"/>
  <c r="U134" i="4"/>
  <c r="X338" i="4"/>
  <c r="X225" i="4"/>
  <c r="V190" i="4"/>
  <c r="X161" i="4"/>
  <c r="W140" i="4"/>
  <c r="W130" i="4"/>
  <c r="V125" i="4"/>
  <c r="W114" i="4"/>
  <c r="W103" i="4"/>
  <c r="W93" i="4"/>
  <c r="W86" i="4"/>
  <c r="U79" i="4"/>
  <c r="U72" i="4"/>
  <c r="T67" i="4"/>
  <c r="V61" i="4"/>
  <c r="V56" i="4"/>
  <c r="T51" i="4"/>
  <c r="V367" i="4"/>
  <c r="W195" i="4"/>
  <c r="X166" i="4"/>
  <c r="W144" i="4"/>
  <c r="W131" i="4"/>
  <c r="V126" i="4"/>
  <c r="W116" i="4"/>
  <c r="W105" i="4"/>
  <c r="V95" i="4"/>
  <c r="X87" i="4"/>
  <c r="V80" i="4"/>
  <c r="U73" i="4"/>
  <c r="T68" i="4"/>
  <c r="V62" i="4"/>
  <c r="V57" i="4"/>
  <c r="T52" i="4"/>
  <c r="S47" i="4"/>
  <c r="W42" i="4"/>
  <c r="V38" i="4"/>
  <c r="V33" i="4"/>
  <c r="W29" i="4"/>
  <c r="V25" i="4"/>
  <c r="V21" i="4"/>
  <c r="V17" i="4"/>
  <c r="V13" i="4"/>
  <c r="V9" i="4"/>
  <c r="W317" i="4"/>
  <c r="T218" i="4"/>
  <c r="W186" i="4"/>
  <c r="V159" i="4"/>
  <c r="X137" i="4"/>
  <c r="T130" i="4"/>
  <c r="V127" i="4"/>
  <c r="W115" i="4"/>
  <c r="V105" i="4"/>
  <c r="W94" i="4"/>
  <c r="V87" i="4"/>
  <c r="U80" i="4"/>
  <c r="T73" i="4"/>
  <c r="V67" i="4"/>
  <c r="U62" i="4"/>
  <c r="T57" i="4"/>
  <c r="W51" i="4"/>
  <c r="W46" i="4"/>
  <c r="V42" i="4"/>
  <c r="T38" i="4"/>
  <c r="U33" i="4"/>
  <c r="V307" i="4"/>
  <c r="W136" i="4"/>
  <c r="W101" i="4"/>
  <c r="U71" i="4"/>
  <c r="T50" i="4"/>
  <c r="W39" i="4"/>
  <c r="W30" i="4"/>
  <c r="S25" i="4"/>
  <c r="S20" i="4"/>
  <c r="U14" i="4"/>
  <c r="T9" i="4"/>
  <c r="W177" i="4"/>
  <c r="W120" i="4"/>
  <c r="U83" i="4"/>
  <c r="V59" i="4"/>
  <c r="U43" i="4"/>
  <c r="T34" i="4"/>
  <c r="U27" i="4"/>
  <c r="T22" i="4"/>
  <c r="S17" i="4"/>
  <c r="U11" i="4"/>
  <c r="T12" i="4"/>
  <c r="W399" i="4"/>
  <c r="V147" i="4"/>
  <c r="V107" i="4"/>
  <c r="V74" i="4"/>
  <c r="W52" i="4"/>
  <c r="S41" i="4"/>
  <c r="W31" i="4"/>
  <c r="T24" i="4"/>
  <c r="T19" i="4"/>
  <c r="S14" i="4"/>
  <c r="U8" i="4"/>
  <c r="W163" i="4"/>
  <c r="V115" i="4"/>
  <c r="W79" i="4"/>
  <c r="W56" i="4"/>
  <c r="T42" i="4"/>
  <c r="T33" i="4"/>
  <c r="S27" i="4"/>
  <c r="U21" i="4"/>
  <c r="T16" i="4"/>
  <c r="W268" i="4"/>
  <c r="U95" i="4"/>
  <c r="U101" i="4"/>
  <c r="U53" i="4"/>
  <c r="U106" i="4"/>
  <c r="U104" i="4"/>
  <c r="U90" i="4"/>
  <c r="U92" i="4"/>
  <c r="W73" i="4"/>
  <c r="U436" i="4"/>
  <c r="U425" i="4"/>
  <c r="U426" i="4"/>
  <c r="U423" i="4"/>
  <c r="W62" i="4"/>
  <c r="U110" i="4"/>
  <c r="U115" i="4"/>
  <c r="U121" i="4"/>
  <c r="W63" i="4"/>
  <c r="W123" i="4"/>
  <c r="V113" i="4"/>
  <c r="W102" i="4"/>
  <c r="W92" i="4"/>
  <c r="W85" i="4"/>
  <c r="V78" i="4"/>
  <c r="V71" i="4"/>
  <c r="U66" i="4"/>
  <c r="T61" i="4"/>
  <c r="W55" i="4"/>
  <c r="V50" i="4"/>
  <c r="W45" i="4"/>
  <c r="U41" i="4"/>
  <c r="T37" i="4"/>
  <c r="U32" i="4"/>
  <c r="V214" i="4"/>
  <c r="W129" i="4"/>
  <c r="V92" i="4"/>
  <c r="T66" i="4"/>
  <c r="T46" i="4"/>
  <c r="X37" i="4"/>
  <c r="U29" i="4"/>
  <c r="W23" i="4"/>
  <c r="U18" i="4"/>
  <c r="T13" i="4"/>
  <c r="S8" i="4"/>
  <c r="W152" i="4"/>
  <c r="W109" i="4"/>
  <c r="U76" i="4"/>
  <c r="T54" i="4"/>
  <c r="T41" i="4"/>
  <c r="S32" i="4"/>
  <c r="T26" i="4"/>
  <c r="S21" i="4"/>
  <c r="U15" i="4"/>
  <c r="T10" i="4"/>
  <c r="S11" i="4"/>
  <c r="U249" i="4"/>
  <c r="V132" i="4"/>
  <c r="W96" i="4"/>
  <c r="V68" i="4"/>
  <c r="V47" i="4"/>
  <c r="W38" i="4"/>
  <c r="V28" i="4"/>
  <c r="S23" i="4"/>
  <c r="S18" i="4"/>
  <c r="U12" i="4"/>
  <c r="V345" i="4"/>
  <c r="X141" i="4"/>
  <c r="W104" i="4"/>
  <c r="V72" i="4"/>
  <c r="V51" i="4"/>
  <c r="T40" i="4"/>
  <c r="S31" i="4"/>
  <c r="U25" i="4"/>
  <c r="T20" i="4"/>
  <c r="S15" i="4"/>
  <c r="U97" i="4"/>
  <c r="U100" i="4"/>
  <c r="U52" i="4"/>
  <c r="U102" i="4"/>
  <c r="U107" i="4"/>
  <c r="U89" i="4"/>
  <c r="W72" i="4"/>
  <c r="W69" i="4"/>
  <c r="U344" i="4"/>
  <c r="U438" i="4"/>
  <c r="U421" i="4"/>
  <c r="U420" i="4"/>
  <c r="U424" i="4"/>
  <c r="W66" i="4"/>
  <c r="U113" i="4"/>
  <c r="U111" i="4"/>
  <c r="U120" i="4"/>
  <c r="W67" i="4"/>
  <c r="V121" i="4"/>
  <c r="W110" i="4"/>
  <c r="W99" i="4"/>
  <c r="X90" i="4"/>
  <c r="W83" i="4"/>
  <c r="V76" i="4"/>
  <c r="U70" i="4"/>
  <c r="T65" i="4"/>
  <c r="W59" i="4"/>
  <c r="V54" i="4"/>
  <c r="T49" i="4"/>
  <c r="V44" i="4"/>
  <c r="U40" i="4"/>
  <c r="X35" i="4"/>
  <c r="T31" i="4"/>
  <c r="X184" i="4"/>
  <c r="V123" i="4"/>
  <c r="V85" i="4"/>
  <c r="W60" i="4"/>
  <c r="T44" i="4"/>
  <c r="T35" i="4"/>
  <c r="S28" i="4"/>
  <c r="U22" i="4"/>
  <c r="T17" i="4"/>
  <c r="S12" i="4"/>
  <c r="T278" i="4"/>
  <c r="T134" i="4"/>
  <c r="V99" i="4"/>
  <c r="T70" i="4"/>
  <c r="W48" i="4"/>
  <c r="S39" i="4"/>
  <c r="S30" i="4"/>
  <c r="W24" i="4"/>
  <c r="U19" i="4"/>
  <c r="T14" i="4"/>
  <c r="S9" i="4"/>
  <c r="U9" i="4"/>
  <c r="X198" i="4"/>
  <c r="T127" i="4"/>
  <c r="W88" i="4"/>
  <c r="U63" i="4"/>
  <c r="T45" i="4"/>
  <c r="V36" i="4"/>
  <c r="T27" i="4"/>
  <c r="S22" i="4"/>
  <c r="U16" i="4"/>
  <c r="T11" i="4"/>
  <c r="S231" i="4"/>
  <c r="T131" i="4"/>
  <c r="X93" i="4"/>
  <c r="U67" i="4"/>
  <c r="V46" i="4"/>
  <c r="S38" i="4"/>
  <c r="V29" i="4"/>
  <c r="S24" i="4"/>
  <c r="S19" i="4"/>
  <c r="U98" i="4"/>
  <c r="U96" i="4"/>
  <c r="U50" i="4"/>
  <c r="U48" i="4"/>
  <c r="U103" i="4"/>
  <c r="U108" i="4"/>
  <c r="U93" i="4"/>
  <c r="W68" i="4"/>
  <c r="W65" i="4"/>
  <c r="U345" i="4"/>
  <c r="U428" i="4"/>
  <c r="U419" i="4"/>
  <c r="U422" i="4"/>
  <c r="W70" i="4"/>
  <c r="U112" i="4"/>
  <c r="U122" i="4"/>
  <c r="U124" i="4"/>
  <c r="W71" i="4"/>
  <c r="W128" i="4"/>
  <c r="W118" i="4"/>
  <c r="W107" i="4"/>
  <c r="V97" i="4"/>
  <c r="V89" i="4"/>
  <c r="W81" i="4"/>
  <c r="W74" i="4"/>
  <c r="T69" i="4"/>
  <c r="V63" i="4"/>
  <c r="V58" i="4"/>
  <c r="T53" i="4"/>
  <c r="W47" i="4"/>
  <c r="V43" i="4"/>
  <c r="U39" i="4"/>
  <c r="U34" i="4"/>
  <c r="T30" i="4"/>
  <c r="X157" i="4"/>
  <c r="W112" i="4"/>
  <c r="W77" i="4"/>
  <c r="V55" i="4"/>
  <c r="S42" i="4"/>
  <c r="W32" i="4"/>
  <c r="U26" i="4"/>
  <c r="T21" i="4"/>
  <c r="S16" i="4"/>
  <c r="U10" i="4"/>
  <c r="T205" i="4"/>
  <c r="V128" i="4"/>
  <c r="W90" i="4"/>
  <c r="V64" i="4"/>
  <c r="U45" i="4"/>
  <c r="X36" i="4"/>
  <c r="S29" i="4"/>
  <c r="T23" i="4"/>
  <c r="T18" i="4"/>
  <c r="S13" i="4"/>
  <c r="U13" i="4"/>
  <c r="T8" i="4"/>
  <c r="W170" i="4"/>
  <c r="W117" i="4"/>
  <c r="V81" i="4"/>
  <c r="T58" i="4"/>
  <c r="S43" i="4"/>
  <c r="S34" i="4"/>
  <c r="W25" i="4"/>
  <c r="U20" i="4"/>
  <c r="T15" i="4"/>
  <c r="S10" i="4"/>
  <c r="X191" i="4"/>
  <c r="W125" i="4"/>
  <c r="X86" i="4"/>
  <c r="T62" i="4"/>
  <c r="U44" i="4"/>
  <c r="V35" i="4"/>
  <c r="T28" i="4"/>
  <c r="W22" i="4"/>
  <c r="U17" i="4"/>
  <c r="U119" i="4"/>
  <c r="U94" i="4"/>
  <c r="U99" i="4"/>
  <c r="U49" i="4"/>
  <c r="U51" i="4"/>
  <c r="U105" i="4"/>
  <c r="U109" i="4"/>
  <c r="U91" i="4"/>
  <c r="W64" i="4"/>
  <c r="W61" i="4"/>
  <c r="U437" i="4"/>
  <c r="U427" i="4"/>
  <c r="U417" i="4"/>
  <c r="U114" i="4"/>
  <c r="U117" i="4"/>
  <c r="U118" i="4"/>
  <c r="U125" i="4"/>
  <c r="U116" i="4"/>
  <c r="U123" i="4"/>
  <c r="U267" i="4"/>
  <c r="U496" i="4"/>
  <c r="V494" i="4"/>
  <c r="X495" i="4"/>
  <c r="S477" i="4"/>
  <c r="W256" i="4"/>
  <c r="V495" i="4"/>
  <c r="V255" i="4"/>
  <c r="W494" i="4"/>
  <c r="T491" i="4"/>
  <c r="W259" i="4"/>
  <c r="U453" i="4"/>
  <c r="U132" i="4"/>
  <c r="U128" i="4"/>
  <c r="U376" i="4"/>
  <c r="U323" i="4"/>
  <c r="U88" i="4"/>
  <c r="U452" i="4"/>
  <c r="U468" i="4"/>
  <c r="U475" i="4"/>
  <c r="U469" i="4"/>
  <c r="U59" i="4"/>
  <c r="W285" i="4"/>
  <c r="U447" i="4"/>
  <c r="U313" i="4"/>
  <c r="U404" i="4"/>
  <c r="U403" i="4"/>
  <c r="U398" i="4"/>
  <c r="U137" i="4"/>
  <c r="U312" i="4"/>
  <c r="U441" i="4"/>
  <c r="U314" i="4"/>
  <c r="U431" i="4"/>
  <c r="U322" i="4"/>
  <c r="U36" i="4"/>
  <c r="U316" i="4"/>
  <c r="U317" i="4"/>
  <c r="W202" i="4"/>
  <c r="U497" i="4"/>
  <c r="AO494" i="4"/>
  <c r="W453" i="4"/>
  <c r="S481" i="4"/>
  <c r="T256" i="4"/>
  <c r="S254" i="4"/>
  <c r="T495" i="4"/>
  <c r="T257" i="4"/>
  <c r="S256" i="4"/>
  <c r="U495" i="4"/>
  <c r="W262" i="4"/>
  <c r="U319" i="4"/>
  <c r="U455" i="4"/>
  <c r="U131" i="4"/>
  <c r="U378" i="4"/>
  <c r="U325" i="4"/>
  <c r="U86" i="4"/>
  <c r="U87" i="4"/>
  <c r="U448" i="4"/>
  <c r="U474" i="4"/>
  <c r="U467" i="4"/>
  <c r="U58" i="4"/>
  <c r="U57" i="4"/>
  <c r="W287" i="4"/>
  <c r="U443" i="4"/>
  <c r="U310" i="4"/>
  <c r="U400" i="4"/>
  <c r="U402" i="4"/>
  <c r="U397" i="4"/>
  <c r="U135" i="4"/>
  <c r="U324" i="4"/>
  <c r="U439" i="4"/>
  <c r="U320" i="4"/>
  <c r="U430" i="4"/>
  <c r="U37" i="4"/>
  <c r="W264" i="4"/>
  <c r="U494" i="4"/>
  <c r="V489" i="4"/>
  <c r="U257" i="4"/>
  <c r="W493" i="4"/>
  <c r="T254" i="4"/>
  <c r="V493" i="4"/>
  <c r="W263" i="4"/>
  <c r="W266" i="4"/>
  <c r="W258" i="4"/>
  <c r="U130" i="4"/>
  <c r="U129" i="4"/>
  <c r="U379" i="4"/>
  <c r="U321" i="4"/>
  <c r="U85" i="4"/>
  <c r="U35" i="4"/>
  <c r="U476" i="4"/>
  <c r="U470" i="4"/>
  <c r="U473" i="4"/>
  <c r="U54" i="4"/>
  <c r="U56" i="4"/>
  <c r="W286" i="4"/>
  <c r="U446" i="4"/>
  <c r="U406" i="4"/>
  <c r="U401" i="4"/>
  <c r="U139" i="4"/>
  <c r="U440" i="4"/>
  <c r="W265" i="4"/>
  <c r="AO495" i="4"/>
  <c r="T494" i="4"/>
  <c r="X471" i="4"/>
  <c r="W255" i="4"/>
  <c r="W495" i="4"/>
  <c r="V254" i="4"/>
  <c r="S495" i="4"/>
  <c r="S493" i="4"/>
  <c r="W261" i="4"/>
  <c r="W260" i="4"/>
  <c r="U126" i="4"/>
  <c r="U127" i="4"/>
  <c r="U377" i="4"/>
  <c r="U318" i="4"/>
  <c r="U84" i="4"/>
  <c r="U472" i="4"/>
  <c r="U471" i="4"/>
  <c r="U60" i="4"/>
  <c r="U55" i="4"/>
  <c r="U445" i="4"/>
  <c r="U444" i="4"/>
  <c r="U311" i="4"/>
  <c r="U405" i="4"/>
  <c r="U399" i="4"/>
  <c r="U138" i="4"/>
  <c r="U136" i="4"/>
  <c r="U315" i="4"/>
  <c r="U442" i="4"/>
  <c r="U429" i="4"/>
  <c r="W248" i="4"/>
  <c r="R376" i="4"/>
  <c r="V502" i="4"/>
  <c r="S503" i="4"/>
  <c r="T501" i="4"/>
  <c r="W501" i="4"/>
  <c r="W502" i="4"/>
  <c r="T503" i="4"/>
  <c r="T502" i="4"/>
  <c r="S502" i="4"/>
  <c r="W503" i="4"/>
  <c r="V501" i="4"/>
  <c r="V503" i="4"/>
  <c r="S501" i="4"/>
  <c r="U285" i="13"/>
  <c r="W668" i="13"/>
  <c r="U205" i="13"/>
  <c r="W665" i="13"/>
  <c r="E450" i="6"/>
  <c r="Q450" i="6" s="1"/>
  <c r="E66" i="6"/>
  <c r="Q66" i="6" s="1"/>
  <c r="E65" i="6"/>
  <c r="Q65" i="6" s="1"/>
  <c r="R810" i="13"/>
  <c r="U829" i="13"/>
  <c r="W1043" i="13"/>
  <c r="U888" i="13"/>
  <c r="U206" i="13"/>
  <c r="U536" i="13"/>
  <c r="U895" i="13"/>
  <c r="U1042" i="13"/>
  <c r="U403" i="13"/>
  <c r="U286" i="13"/>
  <c r="U280" i="13"/>
  <c r="T534" i="13"/>
  <c r="U346" i="13"/>
  <c r="P808" i="13"/>
  <c r="U825" i="13"/>
  <c r="T435" i="13"/>
  <c r="U669" i="13"/>
  <c r="U675" i="13"/>
  <c r="T364" i="13"/>
  <c r="T365" i="13"/>
  <c r="U172" i="13"/>
  <c r="V108" i="13"/>
  <c r="U102" i="13"/>
  <c r="U390" i="13"/>
  <c r="U397" i="13"/>
  <c r="U68" i="13"/>
  <c r="R402" i="13"/>
  <c r="R405" i="13"/>
  <c r="U358" i="13"/>
  <c r="T388" i="6"/>
  <c r="T1227" i="13"/>
  <c r="R1043" i="13"/>
  <c r="F1040" i="13"/>
  <c r="U939" i="13"/>
  <c r="V94" i="13"/>
  <c r="U335" i="13"/>
  <c r="U349" i="13"/>
  <c r="U324" i="13"/>
  <c r="R1008" i="13"/>
  <c r="U890" i="13"/>
  <c r="R448" i="13"/>
  <c r="U940" i="13"/>
  <c r="U200" i="13"/>
  <c r="U168" i="13"/>
  <c r="V88" i="13"/>
  <c r="U97" i="13"/>
  <c r="U340" i="13"/>
  <c r="U328" i="13"/>
  <c r="R254" i="13"/>
  <c r="E184" i="6"/>
  <c r="Q184" i="6" s="1"/>
  <c r="P413" i="6"/>
  <c r="U54" i="13"/>
  <c r="W1042" i="13"/>
  <c r="U209" i="13"/>
  <c r="U1041" i="13"/>
  <c r="U313" i="13"/>
  <c r="U404" i="13"/>
  <c r="U24" i="6"/>
  <c r="U311" i="13"/>
  <c r="U892" i="13"/>
  <c r="U282" i="13"/>
  <c r="U1051" i="13"/>
  <c r="U1154" i="13"/>
  <c r="T1107" i="13"/>
  <c r="U201" i="13"/>
  <c r="U193" i="13"/>
  <c r="U350" i="13"/>
  <c r="U331" i="13"/>
  <c r="U61" i="13"/>
  <c r="V92" i="13"/>
  <c r="V87" i="13"/>
  <c r="T70" i="13"/>
  <c r="U357" i="13"/>
  <c r="U336" i="13"/>
  <c r="U330" i="13"/>
  <c r="U322" i="13"/>
  <c r="U207" i="13"/>
  <c r="U1168" i="13"/>
  <c r="U894" i="13"/>
  <c r="U830" i="13"/>
  <c r="U53" i="13"/>
  <c r="W1040" i="13"/>
  <c r="F1042" i="13"/>
  <c r="U827" i="13"/>
  <c r="U823" i="13"/>
  <c r="U889" i="13"/>
  <c r="U937" i="13"/>
  <c r="U942" i="13"/>
  <c r="U670" i="13"/>
  <c r="U288" i="13"/>
  <c r="R355" i="13"/>
  <c r="W667" i="13"/>
  <c r="U202" i="13"/>
  <c r="U199" i="13"/>
  <c r="U169" i="13"/>
  <c r="V98" i="13"/>
  <c r="V91" i="13"/>
  <c r="V86" i="13"/>
  <c r="U105" i="13"/>
  <c r="U406" i="13"/>
  <c r="U389" i="13"/>
  <c r="U394" i="13"/>
  <c r="U399" i="13"/>
  <c r="U405" i="13"/>
  <c r="U351" i="13"/>
  <c r="U359" i="13"/>
  <c r="U343" i="13"/>
  <c r="U332" i="13"/>
  <c r="U338" i="13"/>
  <c r="U319" i="13"/>
  <c r="U326" i="13"/>
  <c r="U62" i="13"/>
  <c r="U56" i="13"/>
  <c r="U997" i="13"/>
  <c r="U114" i="13"/>
  <c r="R84" i="6"/>
  <c r="U342" i="13"/>
  <c r="U270" i="6"/>
  <c r="U946" i="13"/>
  <c r="U886" i="13"/>
  <c r="U941" i="13"/>
  <c r="U944" i="13"/>
  <c r="W664" i="13"/>
  <c r="U204" i="13"/>
  <c r="U171" i="13"/>
  <c r="V95" i="13"/>
  <c r="V90" i="13"/>
  <c r="V84" i="13"/>
  <c r="U354" i="13"/>
  <c r="U339" i="13"/>
  <c r="U344" i="13"/>
  <c r="U334" i="13"/>
  <c r="U320" i="13"/>
  <c r="U323" i="13"/>
  <c r="U325" i="13"/>
  <c r="T75" i="13"/>
  <c r="U63" i="13"/>
  <c r="U181" i="13"/>
  <c r="P147" i="13"/>
  <c r="U140" i="13" s="1"/>
  <c r="T97" i="6"/>
  <c r="U283" i="13"/>
  <c r="U1052" i="13"/>
  <c r="P82" i="4"/>
  <c r="R82" i="4"/>
  <c r="L426" i="4"/>
  <c r="L224" i="4"/>
  <c r="L489" i="4"/>
  <c r="L365" i="4"/>
  <c r="L200" i="4"/>
  <c r="P200" i="4" s="1"/>
  <c r="T171" i="4" s="1"/>
  <c r="P314" i="4"/>
  <c r="R314" i="4"/>
  <c r="P227" i="4"/>
  <c r="R227" i="4"/>
  <c r="L327" i="4"/>
  <c r="L275" i="4"/>
  <c r="P275" i="4" s="1"/>
  <c r="R276" i="4"/>
  <c r="R242" i="4"/>
  <c r="P87" i="4"/>
  <c r="R87" i="4"/>
  <c r="P122" i="4"/>
  <c r="R122" i="4"/>
  <c r="P366" i="4"/>
  <c r="R366" i="4"/>
  <c r="U187" i="13"/>
  <c r="L312" i="4"/>
  <c r="L225" i="4"/>
  <c r="P225" i="4" s="1"/>
  <c r="L393" i="4"/>
  <c r="L271" i="4"/>
  <c r="P229" i="4"/>
  <c r="R229" i="4"/>
  <c r="L336" i="4"/>
  <c r="L475" i="4"/>
  <c r="L391" i="4"/>
  <c r="P362" i="4"/>
  <c r="R362" i="4"/>
  <c r="L490" i="4"/>
  <c r="L427" i="4"/>
  <c r="L277" i="4"/>
  <c r="P277" i="4" s="1"/>
  <c r="L243" i="4"/>
  <c r="P243" i="4" s="1"/>
  <c r="L272" i="4"/>
  <c r="P92" i="4"/>
  <c r="R92" i="4"/>
  <c r="P98" i="4"/>
  <c r="R98" i="4"/>
  <c r="P326" i="4"/>
  <c r="R326" i="4"/>
  <c r="P395" i="4"/>
  <c r="R395" i="4"/>
  <c r="T391" i="6"/>
  <c r="T1037" i="13"/>
  <c r="L424" i="4"/>
  <c r="L334" i="4"/>
  <c r="L473" i="4"/>
  <c r="L123" i="4"/>
  <c r="L107" i="4"/>
  <c r="L115" i="4"/>
  <c r="L99" i="4"/>
  <c r="P137" i="4"/>
  <c r="R137" i="4"/>
  <c r="R114" i="4"/>
  <c r="P114" i="4"/>
  <c r="P232" i="4"/>
  <c r="R232" i="4"/>
  <c r="L378" i="13"/>
  <c r="P378" i="13" s="1"/>
  <c r="L76" i="4"/>
  <c r="R390" i="4"/>
  <c r="P390" i="4"/>
  <c r="L423" i="4"/>
  <c r="L333" i="4"/>
  <c r="L472" i="4"/>
  <c r="P106" i="4"/>
  <c r="R106" i="4"/>
  <c r="P361" i="4"/>
  <c r="R361" i="4"/>
  <c r="U1117" i="13"/>
  <c r="U1118" i="13"/>
  <c r="U948" i="13"/>
  <c r="U108" i="13"/>
  <c r="U101" i="13"/>
  <c r="U58" i="13"/>
  <c r="R177" i="13"/>
  <c r="E449" i="6"/>
  <c r="Q449" i="6" s="1"/>
  <c r="G445" i="1" s="1"/>
  <c r="H445" i="1" s="1"/>
  <c r="U1109" i="13"/>
  <c r="W276" i="6"/>
  <c r="U254" i="13"/>
  <c r="R354" i="13"/>
  <c r="R395" i="13"/>
  <c r="V104" i="13"/>
  <c r="U1155" i="13"/>
  <c r="T392" i="6"/>
  <c r="W652" i="13"/>
  <c r="R347" i="6"/>
  <c r="T96" i="6"/>
  <c r="U778" i="13"/>
  <c r="U887" i="13"/>
  <c r="R725" i="13"/>
  <c r="T436" i="13"/>
  <c r="U674" i="13"/>
  <c r="U291" i="13"/>
  <c r="U287" i="13"/>
  <c r="U179" i="13"/>
  <c r="V103" i="13"/>
  <c r="P129" i="13"/>
  <c r="U106" i="13"/>
  <c r="U100" i="13"/>
  <c r="U384" i="13"/>
  <c r="U388" i="13"/>
  <c r="U392" i="13"/>
  <c r="U396" i="13"/>
  <c r="U400" i="13"/>
  <c r="U116" i="13"/>
  <c r="R228" i="13"/>
  <c r="U832" i="13"/>
  <c r="U474" i="6"/>
  <c r="T389" i="6"/>
  <c r="T854" i="13"/>
  <c r="R196" i="13"/>
  <c r="U22" i="6"/>
  <c r="U315" i="13"/>
  <c r="U306" i="13"/>
  <c r="T1097" i="13"/>
  <c r="T390" i="6"/>
  <c r="U57" i="13"/>
  <c r="U885" i="13"/>
  <c r="U208" i="13"/>
  <c r="U475" i="6"/>
  <c r="R397" i="13"/>
  <c r="U70" i="13"/>
  <c r="U477" i="6"/>
  <c r="F474" i="6"/>
  <c r="U271" i="6"/>
  <c r="U274" i="6"/>
  <c r="R104" i="6"/>
  <c r="R561" i="13"/>
  <c r="R396" i="13"/>
  <c r="U69" i="13"/>
  <c r="U241" i="13"/>
  <c r="U273" i="6"/>
  <c r="U269" i="6"/>
  <c r="U272" i="6"/>
  <c r="R92" i="6"/>
  <c r="W523" i="13"/>
  <c r="U176" i="13"/>
  <c r="U72" i="13"/>
  <c r="U476" i="6"/>
  <c r="T452" i="6"/>
  <c r="E181" i="6"/>
  <c r="Q181" i="6" s="1"/>
  <c r="W456" i="6"/>
  <c r="W471" i="6"/>
  <c r="U253" i="13"/>
  <c r="U1121" i="13"/>
  <c r="T562" i="13"/>
  <c r="T95" i="6"/>
  <c r="R100" i="6"/>
  <c r="F1043" i="13"/>
  <c r="U1100" i="13"/>
  <c r="T686" i="13"/>
  <c r="T688" i="13"/>
  <c r="U241" i="6"/>
  <c r="U230" i="6"/>
  <c r="U238" i="6"/>
  <c r="U971" i="13"/>
  <c r="U969" i="13"/>
  <c r="U962" i="13"/>
  <c r="U972" i="13"/>
  <c r="P1047" i="13"/>
  <c r="R1047" i="13"/>
  <c r="U1125" i="13"/>
  <c r="T1102" i="13"/>
  <c r="U234" i="13"/>
  <c r="T426" i="6"/>
  <c r="W277" i="6"/>
  <c r="R82" i="6"/>
  <c r="U1129" i="13"/>
  <c r="R335" i="13"/>
  <c r="R393" i="13"/>
  <c r="U473" i="6"/>
  <c r="R355" i="6"/>
  <c r="T98" i="6"/>
  <c r="T99" i="6"/>
  <c r="R1042" i="13"/>
  <c r="W1041" i="13"/>
  <c r="F1041" i="13"/>
  <c r="U945" i="13"/>
  <c r="U828" i="13"/>
  <c r="W521" i="13"/>
  <c r="U891" i="13"/>
  <c r="W522" i="13"/>
  <c r="U938" i="13"/>
  <c r="U195" i="13"/>
  <c r="V107" i="13"/>
  <c r="V93" i="13"/>
  <c r="V89" i="13"/>
  <c r="U104" i="13"/>
  <c r="U347" i="13"/>
  <c r="U353" i="13"/>
  <c r="U341" i="13"/>
  <c r="U333" i="13"/>
  <c r="U329" i="13"/>
  <c r="U327" i="13"/>
  <c r="R1101" i="13"/>
  <c r="W651" i="13"/>
  <c r="U1124" i="13"/>
  <c r="U237" i="13"/>
  <c r="W279" i="6"/>
  <c r="U1127" i="13"/>
  <c r="U993" i="13"/>
  <c r="F476" i="6"/>
  <c r="U1113" i="13"/>
  <c r="U450" i="6"/>
  <c r="U1171" i="13"/>
  <c r="U1104" i="13"/>
  <c r="F1144" i="13"/>
  <c r="U563" i="13"/>
  <c r="U304" i="13"/>
  <c r="T1034" i="13"/>
  <c r="T560" i="13"/>
  <c r="T1098" i="13"/>
  <c r="T65" i="13"/>
  <c r="W464" i="6"/>
  <c r="U565" i="13"/>
  <c r="U1029" i="13"/>
  <c r="U1163" i="13"/>
  <c r="U449" i="6"/>
  <c r="U1123" i="13"/>
  <c r="U1028" i="13"/>
  <c r="T1099" i="13"/>
  <c r="U963" i="13"/>
  <c r="T851" i="13"/>
  <c r="U564" i="13"/>
  <c r="U305" i="13"/>
  <c r="U221" i="13"/>
  <c r="W461" i="6"/>
  <c r="W463" i="6"/>
  <c r="F450" i="6"/>
  <c r="W469" i="6"/>
  <c r="T451" i="6"/>
  <c r="U235" i="6"/>
  <c r="U236" i="6"/>
  <c r="U1160" i="13"/>
  <c r="T1106" i="13"/>
  <c r="T1101" i="13"/>
  <c r="U970" i="13"/>
  <c r="U960" i="13"/>
  <c r="W466" i="6"/>
  <c r="W458" i="6"/>
  <c r="W467" i="6"/>
  <c r="F449" i="6"/>
  <c r="U233" i="6"/>
  <c r="U234" i="6"/>
  <c r="T1105" i="13"/>
  <c r="U999" i="13"/>
  <c r="U968" i="13"/>
  <c r="U961" i="13"/>
  <c r="U569" i="13"/>
  <c r="U302" i="13"/>
  <c r="T559" i="13"/>
  <c r="U218" i="13"/>
  <c r="W465" i="6"/>
  <c r="W468" i="6"/>
  <c r="T453" i="6"/>
  <c r="U239" i="6"/>
  <c r="U231" i="6"/>
  <c r="U240" i="6"/>
  <c r="U232" i="6"/>
  <c r="U1167" i="13"/>
  <c r="U1103" i="13"/>
  <c r="T1103" i="13"/>
  <c r="U964" i="13"/>
  <c r="U567" i="13"/>
  <c r="T687" i="13"/>
  <c r="R383" i="13"/>
  <c r="U1149" i="13"/>
  <c r="U1112" i="13"/>
  <c r="U1159" i="13"/>
  <c r="U1153" i="13"/>
  <c r="T553" i="13"/>
  <c r="F1140" i="13"/>
  <c r="U1147" i="13"/>
  <c r="T558" i="13"/>
  <c r="T561" i="13"/>
  <c r="U242" i="13"/>
  <c r="U74" i="13"/>
  <c r="T69" i="13"/>
  <c r="T64" i="13"/>
  <c r="F477" i="6"/>
  <c r="F473" i="6"/>
  <c r="W303" i="6"/>
  <c r="U1145" i="13"/>
  <c r="F1141" i="13"/>
  <c r="U568" i="13"/>
  <c r="U316" i="13"/>
  <c r="U308" i="13"/>
  <c r="T555" i="13"/>
  <c r="R399" i="13"/>
  <c r="U223" i="13"/>
  <c r="U175" i="13"/>
  <c r="E182" i="6"/>
  <c r="Q182" i="6" s="1"/>
  <c r="U1143" i="13"/>
  <c r="U309" i="13"/>
  <c r="W21" i="13"/>
  <c r="R102" i="6"/>
  <c r="W223" i="4"/>
  <c r="U1142" i="13"/>
  <c r="U55" i="13"/>
  <c r="U276" i="13"/>
  <c r="W22" i="13"/>
  <c r="U1164" i="13"/>
  <c r="U1156" i="13"/>
  <c r="U1099" i="13"/>
  <c r="U1032" i="13"/>
  <c r="U994" i="13"/>
  <c r="U998" i="13"/>
  <c r="U1122" i="13"/>
  <c r="U1126" i="13"/>
  <c r="U1115" i="13"/>
  <c r="U1116" i="13"/>
  <c r="U265" i="13"/>
  <c r="U261" i="13"/>
  <c r="U229" i="13"/>
  <c r="U226" i="13"/>
  <c r="U188" i="13"/>
  <c r="U189" i="13"/>
  <c r="T37" i="6"/>
  <c r="T38" i="6"/>
  <c r="U950" i="13"/>
  <c r="U947" i="13"/>
  <c r="T831" i="13"/>
  <c r="T829" i="13"/>
  <c r="T1100" i="13"/>
  <c r="T1104" i="13"/>
  <c r="T1108" i="13"/>
  <c r="U566" i="13"/>
  <c r="U570" i="13"/>
  <c r="U303" i="13"/>
  <c r="U307" i="13"/>
  <c r="T852" i="13"/>
  <c r="T850" i="13"/>
  <c r="P394" i="13"/>
  <c r="R394" i="13"/>
  <c r="T557" i="13"/>
  <c r="T556" i="13"/>
  <c r="T554" i="13"/>
  <c r="V100" i="13"/>
  <c r="V106" i="13"/>
  <c r="U1107" i="13"/>
  <c r="U437" i="13"/>
  <c r="U317" i="13"/>
  <c r="U312" i="13"/>
  <c r="R182" i="13"/>
  <c r="W653" i="13"/>
  <c r="U39" i="13"/>
  <c r="U955" i="13"/>
  <c r="R1162" i="13"/>
  <c r="R138" i="13"/>
  <c r="E74" i="6"/>
  <c r="Q74" i="6" s="1"/>
  <c r="W221" i="4"/>
  <c r="Q209" i="4"/>
  <c r="R209" i="4" s="1"/>
  <c r="P209" i="4"/>
  <c r="W16" i="4"/>
  <c r="W21" i="4"/>
  <c r="W20" i="4"/>
  <c r="W17" i="4"/>
  <c r="W19" i="4"/>
  <c r="W353" i="4"/>
  <c r="W348" i="4"/>
  <c r="W349" i="4"/>
  <c r="W351" i="4"/>
  <c r="W350" i="4"/>
  <c r="W354" i="4"/>
  <c r="W356" i="4"/>
  <c r="W355" i="4"/>
  <c r="W352" i="4"/>
  <c r="W236" i="4"/>
  <c r="W224" i="4"/>
  <c r="W231" i="4"/>
  <c r="W240" i="4"/>
  <c r="W234" i="4"/>
  <c r="W226" i="4"/>
  <c r="W230" i="4"/>
  <c r="W239" i="4"/>
  <c r="W238" i="4"/>
  <c r="W225" i="4"/>
  <c r="W232" i="4"/>
  <c r="W229" i="4"/>
  <c r="W227" i="4"/>
  <c r="W233" i="4"/>
  <c r="W228" i="4"/>
  <c r="W237" i="4"/>
  <c r="W283" i="4"/>
  <c r="W280" i="4"/>
  <c r="W281" i="4"/>
  <c r="W279" i="4"/>
  <c r="W284" i="4"/>
  <c r="W282" i="4"/>
  <c r="W12" i="4"/>
  <c r="W9" i="4"/>
  <c r="W10" i="4"/>
  <c r="W13" i="4"/>
  <c r="W11" i="4"/>
  <c r="W15" i="4"/>
  <c r="W8" i="4"/>
  <c r="W14" i="4"/>
  <c r="Q201" i="4"/>
  <c r="P201" i="4"/>
  <c r="W222" i="4"/>
  <c r="U210" i="4"/>
  <c r="U209" i="4"/>
  <c r="U220" i="4"/>
  <c r="U203" i="4"/>
  <c r="U206" i="4"/>
  <c r="U216" i="4"/>
  <c r="U219" i="4"/>
  <c r="U205" i="4"/>
  <c r="U218" i="4"/>
  <c r="U212" i="4"/>
  <c r="U217" i="4"/>
  <c r="U208" i="4"/>
  <c r="U214" i="4"/>
  <c r="U211" i="4"/>
  <c r="U213" i="4"/>
  <c r="U204" i="4"/>
  <c r="U207" i="4"/>
  <c r="U215" i="4"/>
  <c r="U226" i="4"/>
  <c r="U238" i="4"/>
  <c r="U230" i="4"/>
  <c r="U234" i="4"/>
  <c r="U240" i="4"/>
  <c r="U239" i="4"/>
  <c r="U233" i="4"/>
  <c r="U237" i="4"/>
  <c r="U236" i="4"/>
  <c r="U228" i="4"/>
  <c r="U229" i="4"/>
  <c r="U231" i="4"/>
  <c r="U224" i="4"/>
  <c r="U227" i="4"/>
  <c r="U232" i="4"/>
  <c r="U225" i="4"/>
  <c r="W18" i="4"/>
  <c r="P300" i="4"/>
  <c r="R300" i="4"/>
  <c r="Q249" i="4"/>
  <c r="R249" i="4" s="1"/>
  <c r="P249" i="4"/>
  <c r="Q251" i="4"/>
  <c r="R251" i="4" s="1"/>
  <c r="G251" i="4" s="1"/>
  <c r="P251" i="4"/>
  <c r="F251" i="4" s="1"/>
  <c r="E180" i="6"/>
  <c r="Q180" i="6" s="1"/>
  <c r="U416" i="4"/>
  <c r="U414" i="4"/>
  <c r="U409" i="4"/>
  <c r="U412" i="4"/>
  <c r="U413" i="4"/>
  <c r="U407" i="4"/>
  <c r="U411" i="4"/>
  <c r="U410" i="4"/>
  <c r="U408" i="4"/>
  <c r="U415" i="4"/>
  <c r="P306" i="4"/>
  <c r="R306" i="4"/>
  <c r="U191" i="13"/>
  <c r="T68" i="13"/>
  <c r="U161" i="13"/>
  <c r="V14" i="13"/>
  <c r="U252" i="13"/>
  <c r="V7" i="13"/>
  <c r="U243" i="13"/>
  <c r="U178" i="13"/>
  <c r="U93" i="13"/>
  <c r="T67" i="13"/>
  <c r="T1035" i="13"/>
  <c r="U174" i="13"/>
  <c r="U162" i="13"/>
  <c r="U87" i="13"/>
  <c r="F356" i="4"/>
  <c r="F355" i="4"/>
  <c r="F354" i="4"/>
  <c r="F353" i="4"/>
  <c r="F352" i="4"/>
  <c r="F351" i="4"/>
  <c r="F350" i="4"/>
  <c r="F349" i="4"/>
  <c r="F348" i="4"/>
  <c r="F221" i="4"/>
  <c r="F222" i="4"/>
  <c r="F223" i="4"/>
  <c r="G223" i="4"/>
  <c r="G222" i="4"/>
  <c r="G221" i="4"/>
  <c r="V12" i="13"/>
  <c r="U156" i="13"/>
  <c r="U166" i="13"/>
  <c r="U92" i="13"/>
  <c r="U85" i="13"/>
  <c r="U233" i="13"/>
  <c r="V18" i="13"/>
  <c r="V11" i="13"/>
  <c r="U160" i="13"/>
  <c r="U91" i="13"/>
  <c r="V16" i="13"/>
  <c r="V8" i="13"/>
  <c r="U88" i="13"/>
  <c r="AO90" i="4"/>
  <c r="AO237" i="4"/>
  <c r="AO394" i="4"/>
  <c r="AO391" i="4"/>
  <c r="AO366" i="4"/>
  <c r="AO238" i="4"/>
  <c r="AO278" i="4"/>
  <c r="AO396" i="4"/>
  <c r="AO229" i="4"/>
  <c r="AO356" i="4"/>
  <c r="AO419" i="4"/>
  <c r="AO267" i="4"/>
  <c r="AO452" i="4"/>
  <c r="AO37" i="4"/>
  <c r="AO273" i="4"/>
  <c r="AO221" i="4"/>
  <c r="AO230" i="4"/>
  <c r="AO271" i="4"/>
  <c r="AO227" i="4"/>
  <c r="AO244" i="4"/>
  <c r="AO232" i="4"/>
  <c r="AO318" i="4"/>
  <c r="AO324" i="4"/>
  <c r="AO323" i="4"/>
  <c r="AO331" i="4"/>
  <c r="AO365" i="4"/>
  <c r="AO348" i="4"/>
  <c r="AO438" i="4"/>
  <c r="AO440" i="4"/>
  <c r="AO329" i="4"/>
  <c r="AO473" i="4"/>
  <c r="AO468" i="4"/>
  <c r="AO474" i="4"/>
  <c r="AO350" i="4"/>
  <c r="AO428" i="4"/>
  <c r="AO439" i="4"/>
  <c r="AO421" i="4"/>
  <c r="AO248" i="4"/>
  <c r="AO313" i="4"/>
  <c r="AO93" i="4"/>
  <c r="AO390" i="4"/>
  <c r="AO92" i="4"/>
  <c r="AO222" i="4"/>
  <c r="AO136" i="4"/>
  <c r="AO317" i="4"/>
  <c r="AO228" i="4"/>
  <c r="AO364" i="4"/>
  <c r="AO249" i="4"/>
  <c r="AO354" i="4"/>
  <c r="AO277" i="4"/>
  <c r="AO91" i="4"/>
  <c r="AO135" i="4"/>
  <c r="AO226" i="4"/>
  <c r="AO269" i="4"/>
  <c r="AO314" i="4"/>
  <c r="AO316" i="4"/>
  <c r="AO311" i="4"/>
  <c r="AO335" i="4"/>
  <c r="AO377" i="4"/>
  <c r="AO328" i="4"/>
  <c r="AO437" i="4"/>
  <c r="AO472" i="4"/>
  <c r="AO326" i="4"/>
  <c r="AO389" i="4"/>
  <c r="AO424" i="4"/>
  <c r="AO470" i="4"/>
  <c r="AO431" i="4"/>
  <c r="AO250" i="4"/>
  <c r="AO246" i="4"/>
  <c r="AO388" i="4"/>
  <c r="AO321" i="4"/>
  <c r="AO423" i="4"/>
  <c r="AO367" i="4"/>
  <c r="AO379" i="4"/>
  <c r="AO202" i="4"/>
  <c r="AO89" i="4"/>
  <c r="AO430" i="4"/>
  <c r="AO223" i="4"/>
  <c r="AO137" i="4"/>
  <c r="AO138" i="4"/>
  <c r="AO35" i="4"/>
  <c r="AO139" i="4"/>
  <c r="AO224" i="4"/>
  <c r="AO245" i="4"/>
  <c r="AO231" i="4"/>
  <c r="AO310" i="4"/>
  <c r="AO312" i="4"/>
  <c r="AO332" i="4"/>
  <c r="AO436" i="4"/>
  <c r="AO333" i="4"/>
  <c r="AO475" i="4"/>
  <c r="AO330" i="4"/>
  <c r="AO420" i="4"/>
  <c r="AO491" i="4"/>
  <c r="AO417" i="4"/>
  <c r="AO353" i="4"/>
  <c r="AO87" i="4"/>
  <c r="AO453" i="4"/>
  <c r="AO86" i="4"/>
  <c r="AO88" i="4"/>
  <c r="AO349" i="4"/>
  <c r="AO233" i="4"/>
  <c r="AO378" i="4"/>
  <c r="AO225" i="4"/>
  <c r="AO362" i="4"/>
  <c r="AO376" i="4"/>
  <c r="AO275" i="4"/>
  <c r="AO234" i="4"/>
  <c r="AO243" i="4"/>
  <c r="AO240" i="4"/>
  <c r="AO322" i="4"/>
  <c r="AO320" i="4"/>
  <c r="AO327" i="4"/>
  <c r="AO351" i="4"/>
  <c r="AO352" i="4"/>
  <c r="AO455" i="4"/>
  <c r="AO442" i="4"/>
  <c r="AO476" i="4"/>
  <c r="AO355" i="4"/>
  <c r="AO393" i="4"/>
  <c r="AO429" i="4"/>
  <c r="AO338" i="4"/>
  <c r="AO426" i="4"/>
  <c r="AO84" i="4"/>
  <c r="AO251" i="4"/>
  <c r="AO392" i="4"/>
  <c r="AO363" i="4"/>
  <c r="AO242" i="4"/>
  <c r="AO268" i="4"/>
  <c r="AO395" i="4"/>
  <c r="AO36" i="4"/>
  <c r="AO85" i="4"/>
  <c r="AO274" i="4"/>
  <c r="AO239" i="4"/>
  <c r="AO241" i="4"/>
  <c r="AO270" i="4"/>
  <c r="AO236" i="4"/>
  <c r="AO325" i="4"/>
  <c r="AO319" i="4"/>
  <c r="AO361" i="4"/>
  <c r="AO336" i="4"/>
  <c r="AO441" i="4"/>
  <c r="AO451" i="4"/>
  <c r="AO337" i="4"/>
  <c r="AO469" i="4"/>
  <c r="AO471" i="4"/>
  <c r="AO334" i="4"/>
  <c r="AO427" i="4"/>
  <c r="AO425" i="4"/>
  <c r="AO422" i="4"/>
  <c r="AO276" i="4"/>
  <c r="AO272" i="4"/>
  <c r="AO315" i="4"/>
  <c r="AO467" i="4"/>
  <c r="E67" i="6"/>
  <c r="Q67" i="6" s="1"/>
  <c r="U275" i="13"/>
  <c r="U271" i="13"/>
  <c r="W25" i="13"/>
  <c r="W20" i="13"/>
  <c r="U447" i="6"/>
  <c r="U1170" i="13"/>
  <c r="U1151" i="13"/>
  <c r="F1145" i="13"/>
  <c r="U1110" i="13"/>
  <c r="U1030" i="13"/>
  <c r="U270" i="13"/>
  <c r="E78" i="13"/>
  <c r="Q78" i="13" s="1"/>
  <c r="T828" i="13"/>
  <c r="U257" i="13"/>
  <c r="U268" i="13"/>
  <c r="U225" i="13"/>
  <c r="U83" i="13"/>
  <c r="U1162" i="13"/>
  <c r="U1097" i="13"/>
  <c r="U258" i="13"/>
  <c r="U230" i="13"/>
  <c r="U81" i="13"/>
  <c r="U165" i="13"/>
  <c r="U1152" i="13"/>
  <c r="T66" i="13"/>
  <c r="U973" i="13"/>
  <c r="U965" i="13"/>
  <c r="U966" i="13"/>
  <c r="U958" i="13"/>
  <c r="U967" i="13"/>
  <c r="F447" i="6"/>
  <c r="T393" i="6"/>
  <c r="P403" i="6"/>
  <c r="U25" i="6"/>
  <c r="U1157" i="13"/>
  <c r="U1144" i="13"/>
  <c r="U1106" i="13"/>
  <c r="U1031" i="13"/>
  <c r="U1150" i="13"/>
  <c r="T849" i="13"/>
  <c r="R755" i="13"/>
  <c r="U264" i="13"/>
  <c r="U256" i="13"/>
  <c r="F448" i="6"/>
  <c r="T36" i="6"/>
  <c r="U1165" i="13"/>
  <c r="U1169" i="13"/>
  <c r="U1161" i="13"/>
  <c r="U1141" i="13"/>
  <c r="U1111" i="13"/>
  <c r="U1102" i="13"/>
  <c r="U1098" i="13"/>
  <c r="T853" i="13"/>
  <c r="T830" i="13"/>
  <c r="P448" i="13"/>
  <c r="U279" i="13"/>
  <c r="U260" i="13"/>
  <c r="U267" i="13"/>
  <c r="U227" i="13"/>
  <c r="U80" i="13"/>
  <c r="R353" i="6"/>
  <c r="U448" i="6"/>
  <c r="T253" i="6"/>
  <c r="U23" i="6"/>
  <c r="U26" i="6"/>
  <c r="U1166" i="13"/>
  <c r="U1158" i="13"/>
  <c r="U1140" i="13"/>
  <c r="U1119" i="13"/>
  <c r="U1105" i="13"/>
  <c r="U1101" i="13"/>
  <c r="T1038" i="13"/>
  <c r="T1036" i="13"/>
  <c r="U1146" i="13"/>
  <c r="T856" i="13"/>
  <c r="R825" i="13"/>
  <c r="W510" i="13"/>
  <c r="T827" i="13"/>
  <c r="U278" i="13"/>
  <c r="U263" i="13"/>
  <c r="U259" i="13"/>
  <c r="U266" i="13"/>
  <c r="R403" i="13"/>
  <c r="U238" i="13"/>
  <c r="T382" i="13"/>
  <c r="U78" i="13"/>
  <c r="V15" i="13"/>
  <c r="U157" i="13"/>
  <c r="U95" i="13"/>
  <c r="U89" i="13"/>
  <c r="U79" i="13"/>
  <c r="U228" i="13"/>
  <c r="U224" i="13"/>
  <c r="U96" i="13"/>
  <c r="U86" i="13"/>
  <c r="U90" i="13"/>
  <c r="U94" i="13"/>
  <c r="U164" i="13"/>
  <c r="U158" i="13"/>
  <c r="W26" i="13"/>
  <c r="W23" i="13"/>
  <c r="V19" i="13"/>
  <c r="V9" i="13"/>
  <c r="V13" i="13"/>
  <c r="V17" i="13"/>
  <c r="U244" i="13"/>
  <c r="U240" i="13"/>
  <c r="U220" i="13"/>
  <c r="U222" i="13"/>
  <c r="U198" i="13"/>
  <c r="U197" i="13"/>
  <c r="U192" i="13"/>
  <c r="U71" i="13"/>
  <c r="U75" i="13"/>
  <c r="R328" i="13"/>
  <c r="P328" i="13"/>
  <c r="U99" i="13"/>
  <c r="U103" i="13"/>
  <c r="U107" i="13"/>
  <c r="V109" i="13"/>
  <c r="V97" i="13"/>
  <c r="V101" i="13"/>
  <c r="V105" i="13"/>
  <c r="U356" i="13"/>
  <c r="U352" i="13"/>
  <c r="U348" i="13"/>
  <c r="W338" i="6"/>
  <c r="W319" i="6"/>
  <c r="W309" i="6"/>
  <c r="U1148" i="13"/>
  <c r="F1142" i="13"/>
  <c r="U38" i="13"/>
  <c r="U37" i="13"/>
  <c r="R1154" i="13"/>
  <c r="U110" i="13"/>
  <c r="R183" i="13"/>
  <c r="W325" i="6"/>
  <c r="G1617" i="1"/>
  <c r="E165" i="17412" s="1"/>
  <c r="P469" i="6"/>
  <c r="U111" i="13"/>
  <c r="T74" i="13"/>
  <c r="U314" i="13"/>
  <c r="U231" i="13"/>
  <c r="U235" i="13"/>
  <c r="U232" i="13"/>
  <c r="E967" i="13"/>
  <c r="Q967" i="13" s="1"/>
  <c r="G1544" i="1"/>
  <c r="E92" i="17412" s="1"/>
  <c r="E1123" i="13"/>
  <c r="Q1123" i="13" s="1"/>
  <c r="G531" i="1" s="1"/>
  <c r="H531" i="1" s="1"/>
  <c r="E712" i="13"/>
  <c r="Q712" i="13" s="1"/>
  <c r="E845" i="13"/>
  <c r="Q845" i="13" s="1"/>
  <c r="E1143" i="13"/>
  <c r="Q1143" i="13" s="1"/>
  <c r="G271" i="1" s="1"/>
  <c r="H271" i="1" s="1"/>
  <c r="E1252" i="13"/>
  <c r="Q1252" i="13" s="1"/>
  <c r="G778" i="1" s="1"/>
  <c r="H778" i="1" s="1"/>
  <c r="E746" i="13"/>
  <c r="E1077" i="13"/>
  <c r="Q1077" i="13" s="1"/>
  <c r="E815" i="13"/>
  <c r="Q815" i="13" s="1"/>
  <c r="E1239" i="13"/>
  <c r="Q1239" i="13" s="1"/>
  <c r="E1241" i="13"/>
  <c r="Q1241" i="13" s="1"/>
  <c r="G1523" i="1" s="1"/>
  <c r="H1523" i="1" s="1"/>
  <c r="E1242" i="13"/>
  <c r="Q1242" i="13" s="1"/>
  <c r="E891" i="13"/>
  <c r="G1503" i="1"/>
  <c r="H1503" i="1" s="1"/>
  <c r="E851" i="13"/>
  <c r="Q851" i="13" s="1"/>
  <c r="E691" i="13"/>
  <c r="Q691" i="13" s="1"/>
  <c r="E651" i="13"/>
  <c r="Q651" i="13" s="1"/>
  <c r="R651" i="13" s="1"/>
  <c r="E220" i="13"/>
  <c r="Q220" i="13" s="1"/>
  <c r="E1053" i="13"/>
  <c r="Q1053" i="13" s="1"/>
  <c r="E1061" i="13"/>
  <c r="Q1061" i="13" s="1"/>
  <c r="R1061" i="13" s="1"/>
  <c r="E309" i="13"/>
  <c r="Q309" i="13" s="1"/>
  <c r="R309" i="13" s="1"/>
  <c r="E883" i="13"/>
  <c r="Q883" i="13" s="1"/>
  <c r="E311" i="13"/>
  <c r="Q311" i="13" s="1"/>
  <c r="E689" i="13"/>
  <c r="Q689" i="13" s="1"/>
  <c r="E1055" i="13"/>
  <c r="Q1055" i="13" s="1"/>
  <c r="E306" i="13"/>
  <c r="Q306" i="13" s="1"/>
  <c r="E1084" i="13"/>
  <c r="Q1084" i="13" s="1"/>
  <c r="G520" i="1" s="1"/>
  <c r="H520" i="1" s="1"/>
  <c r="E813" i="13"/>
  <c r="Q813" i="13" s="1"/>
  <c r="R813" i="13" s="1"/>
  <c r="E183" i="6"/>
  <c r="Q183" i="6" s="1"/>
  <c r="E381" i="13"/>
  <c r="Q381" i="13" s="1"/>
  <c r="E263" i="13"/>
  <c r="Q263" i="13" s="1"/>
  <c r="E627" i="13"/>
  <c r="Q627" i="13" s="1"/>
  <c r="E1173" i="13"/>
  <c r="Q1173" i="13" s="1"/>
  <c r="E744" i="13"/>
  <c r="Q744" i="13" s="1"/>
  <c r="E659" i="13"/>
  <c r="E711" i="13"/>
  <c r="Q711" i="13" s="1"/>
  <c r="E458" i="13"/>
  <c r="Q458" i="13" s="1"/>
  <c r="E666" i="13"/>
  <c r="Q666" i="13" s="1"/>
  <c r="E856" i="13"/>
  <c r="Q856" i="13" s="1"/>
  <c r="E852" i="13"/>
  <c r="Q852" i="13" s="1"/>
  <c r="E854" i="13"/>
  <c r="Q854" i="13" s="1"/>
  <c r="G1895" i="1"/>
  <c r="E1219" i="13"/>
  <c r="Q1219" i="13" s="1"/>
  <c r="E581" i="13"/>
  <c r="Q581" i="13" s="1"/>
  <c r="E587" i="13"/>
  <c r="Q587" i="13" s="1"/>
  <c r="E890" i="13"/>
  <c r="E895" i="13"/>
  <c r="Q895" i="13" s="1"/>
  <c r="R895" i="13" s="1"/>
  <c r="E885" i="13"/>
  <c r="E242" i="13"/>
  <c r="Q242" i="13" s="1"/>
  <c r="E243" i="13"/>
  <c r="Q243" i="13" s="1"/>
  <c r="E240" i="13"/>
  <c r="Q240" i="13" s="1"/>
  <c r="G1755" i="1"/>
  <c r="E521" i="13"/>
  <c r="Q521" i="13" s="1"/>
  <c r="E1120" i="13"/>
  <c r="Q1120" i="13" s="1"/>
  <c r="E1118" i="13"/>
  <c r="Q1118" i="13" s="1"/>
  <c r="E1117" i="13"/>
  <c r="Q1117" i="13" s="1"/>
  <c r="R1117" i="13" s="1"/>
  <c r="G1157" i="1"/>
  <c r="H1157" i="1" s="1"/>
  <c r="G1780" i="1"/>
  <c r="E610" i="13"/>
  <c r="Q610" i="13" s="1"/>
  <c r="E615" i="13"/>
  <c r="Q615" i="13" s="1"/>
  <c r="E609" i="13"/>
  <c r="Q609" i="13" s="1"/>
  <c r="E346" i="13"/>
  <c r="Q346" i="13" s="1"/>
  <c r="R346" i="13" s="1"/>
  <c r="E257" i="13"/>
  <c r="Q257" i="13" s="1"/>
  <c r="E266" i="13"/>
  <c r="Q266" i="13" s="1"/>
  <c r="R799" i="13"/>
  <c r="W335" i="6"/>
  <c r="W333" i="6"/>
  <c r="W326" i="6"/>
  <c r="W337" i="6"/>
  <c r="E848" i="13"/>
  <c r="Q848" i="13" s="1"/>
  <c r="E846" i="13"/>
  <c r="Q846" i="13" s="1"/>
  <c r="E1127" i="13"/>
  <c r="Q1127" i="13" s="1"/>
  <c r="E893" i="13"/>
  <c r="Q893" i="13" s="1"/>
  <c r="R893" i="13" s="1"/>
  <c r="E241" i="13"/>
  <c r="Q241" i="13" s="1"/>
  <c r="G994" i="1"/>
  <c r="H994" i="1" s="1"/>
  <c r="E696" i="13"/>
  <c r="Q696" i="13" s="1"/>
  <c r="E962" i="13"/>
  <c r="Q962" i="13" s="1"/>
  <c r="E823" i="13"/>
  <c r="E826" i="13"/>
  <c r="Q826" i="13" s="1"/>
  <c r="R826" i="13" s="1"/>
  <c r="E680" i="13"/>
  <c r="E1037" i="13"/>
  <c r="Q1037" i="13" s="1"/>
  <c r="G1466" i="1" s="1"/>
  <c r="E1035" i="13"/>
  <c r="E989" i="13"/>
  <c r="Q989" i="13" s="1"/>
  <c r="E781" i="13"/>
  <c r="E780" i="13"/>
  <c r="E1243" i="13"/>
  <c r="Q1243" i="13" s="1"/>
  <c r="G1527" i="1" s="1"/>
  <c r="E75" i="17412" s="1"/>
  <c r="E769" i="13"/>
  <c r="Q769" i="13" s="1"/>
  <c r="E760" i="13"/>
  <c r="Q760" i="13" s="1"/>
  <c r="G1159" i="1"/>
  <c r="H1159" i="1" s="1"/>
  <c r="W327" i="6"/>
  <c r="E250" i="13"/>
  <c r="Q250" i="13" s="1"/>
  <c r="E246" i="13"/>
  <c r="Q246" i="13" s="1"/>
  <c r="G1826" i="1"/>
  <c r="E448" i="6"/>
  <c r="Q448" i="6" s="1"/>
  <c r="G274" i="1" s="1"/>
  <c r="H274" i="1" s="1"/>
  <c r="E1220" i="13"/>
  <c r="Q1220" i="13" s="1"/>
  <c r="E849" i="13"/>
  <c r="Q849" i="13" s="1"/>
  <c r="E857" i="13"/>
  <c r="Q857" i="13" s="1"/>
  <c r="R857" i="13" s="1"/>
  <c r="E523" i="13"/>
  <c r="Q523" i="13" s="1"/>
  <c r="E654" i="13"/>
  <c r="Q654" i="13" s="1"/>
  <c r="E1122" i="13"/>
  <c r="Q1122" i="13" s="1"/>
  <c r="G362" i="1" s="1"/>
  <c r="H362" i="1" s="1"/>
  <c r="E264" i="13"/>
  <c r="Q264" i="13" s="1"/>
  <c r="E765" i="13"/>
  <c r="Q765" i="13" s="1"/>
  <c r="E589" i="13"/>
  <c r="Q589" i="13" s="1"/>
  <c r="E657" i="13"/>
  <c r="E784" i="13"/>
  <c r="Q784" i="13" s="1"/>
  <c r="E1119" i="13"/>
  <c r="Q1119" i="13" s="1"/>
  <c r="G1683" i="1"/>
  <c r="E244" i="13"/>
  <c r="Q244" i="13" s="1"/>
  <c r="R244" i="13" s="1"/>
  <c r="R14" i="13"/>
  <c r="E976" i="13"/>
  <c r="E635" i="13"/>
  <c r="Q635" i="13" s="1"/>
  <c r="E668" i="13"/>
  <c r="Q668" i="13" s="1"/>
  <c r="E766" i="13"/>
  <c r="Q766" i="13" s="1"/>
  <c r="R766" i="13" s="1"/>
  <c r="G1742" i="1"/>
  <c r="E1240" i="13"/>
  <c r="Q1240" i="13" s="1"/>
  <c r="E994" i="13"/>
  <c r="Q994" i="13" s="1"/>
  <c r="E850" i="13"/>
  <c r="Q850" i="13" s="1"/>
  <c r="E747" i="13"/>
  <c r="Q747" i="13" s="1"/>
  <c r="E734" i="13"/>
  <c r="Q734" i="13" s="1"/>
  <c r="E438" i="13"/>
  <c r="Q438" i="13" s="1"/>
  <c r="R438" i="13" s="1"/>
  <c r="E258" i="13"/>
  <c r="Q258" i="13" s="1"/>
  <c r="E84" i="13"/>
  <c r="Q84" i="13" s="1"/>
  <c r="E1078" i="13"/>
  <c r="Q1078" i="13" s="1"/>
  <c r="Q284" i="17418"/>
  <c r="E925" i="13"/>
  <c r="Q925" i="13" s="1"/>
  <c r="R925" i="13" s="1"/>
  <c r="E701" i="13"/>
  <c r="Q701" i="13" s="1"/>
  <c r="E714" i="13"/>
  <c r="Q714" i="13" s="1"/>
  <c r="E539" i="13"/>
  <c r="Q539" i="13" s="1"/>
  <c r="R539" i="13" s="1"/>
  <c r="E75" i="13"/>
  <c r="Q75" i="13" s="1"/>
  <c r="R75" i="13" s="1"/>
  <c r="E344" i="13"/>
  <c r="Q344" i="13" s="1"/>
  <c r="E1081" i="13"/>
  <c r="Q1081" i="13" s="1"/>
  <c r="R1081" i="13" s="1"/>
  <c r="E1033" i="13"/>
  <c r="Q1033" i="13" s="1"/>
  <c r="R1033" i="13" s="1"/>
  <c r="E1124" i="13"/>
  <c r="Q1124" i="13" s="1"/>
  <c r="E251" i="13"/>
  <c r="Q251" i="13" s="1"/>
  <c r="E464" i="13"/>
  <c r="Q464" i="13" s="1"/>
  <c r="E267" i="13"/>
  <c r="Q267" i="13" s="1"/>
  <c r="E821" i="13"/>
  <c r="E716" i="13"/>
  <c r="Q716" i="13" s="1"/>
  <c r="G1577" i="1" s="1"/>
  <c r="E125" i="17412" s="1"/>
  <c r="E785" i="13"/>
  <c r="Q785" i="13" s="1"/>
  <c r="E540" i="13"/>
  <c r="Q540" i="13" s="1"/>
  <c r="R540" i="13" s="1"/>
  <c r="E770" i="13"/>
  <c r="Q770" i="13" s="1"/>
  <c r="G522" i="1" s="1"/>
  <c r="H522" i="1" s="1"/>
  <c r="E61" i="13"/>
  <c r="Q61" i="13" s="1"/>
  <c r="E992" i="13"/>
  <c r="Q992" i="13" s="1"/>
  <c r="E200" i="13"/>
  <c r="Q200" i="13" s="1"/>
  <c r="E685" i="13"/>
  <c r="Q685" i="13" s="1"/>
  <c r="R685" i="13" s="1"/>
  <c r="E1145" i="13"/>
  <c r="Q1145" i="13" s="1"/>
  <c r="G275" i="1" s="1"/>
  <c r="H275" i="1" s="1"/>
  <c r="E682" i="13"/>
  <c r="Q682" i="13" s="1"/>
  <c r="E697" i="13"/>
  <c r="Q697" i="13" s="1"/>
  <c r="R697" i="13" s="1"/>
  <c r="G1657" i="1"/>
  <c r="E656" i="13"/>
  <c r="E66" i="13"/>
  <c r="Q66" i="13" s="1"/>
  <c r="R66" i="13" s="1"/>
  <c r="E990" i="13"/>
  <c r="Q990" i="13" s="1"/>
  <c r="E259" i="13"/>
  <c r="Q259" i="13" s="1"/>
  <c r="E260" i="13"/>
  <c r="Q260" i="13" s="1"/>
  <c r="E763" i="13"/>
  <c r="Q763" i="13" s="1"/>
  <c r="E762" i="13"/>
  <c r="Q762" i="13" s="1"/>
  <c r="E640" i="13"/>
  <c r="Q640" i="13" s="1"/>
  <c r="E878" i="13"/>
  <c r="Q878" i="13" s="1"/>
  <c r="R878" i="13" s="1"/>
  <c r="E605" i="13"/>
  <c r="Q605" i="13" s="1"/>
  <c r="E361" i="13"/>
  <c r="Q361" i="13" s="1"/>
  <c r="E304" i="13"/>
  <c r="Q304" i="13" s="1"/>
  <c r="E308" i="13"/>
  <c r="Q308" i="13" s="1"/>
  <c r="E81" i="13"/>
  <c r="Q81" i="13" s="1"/>
  <c r="E871" i="13"/>
  <c r="Q871" i="13" s="1"/>
  <c r="R871" i="13" s="1"/>
  <c r="E592" i="13"/>
  <c r="Q592" i="13" s="1"/>
  <c r="E545" i="13"/>
  <c r="Q545" i="13" s="1"/>
  <c r="E844" i="13"/>
  <c r="Q844" i="13" s="1"/>
  <c r="E853" i="13"/>
  <c r="Q853" i="13" s="1"/>
  <c r="E525" i="13"/>
  <c r="Q525" i="13" s="1"/>
  <c r="E529" i="13"/>
  <c r="Q529" i="13" s="1"/>
  <c r="E1097" i="13"/>
  <c r="Q1097" i="13" s="1"/>
  <c r="E999" i="13"/>
  <c r="Q999" i="13" s="1"/>
  <c r="R999" i="13" s="1"/>
  <c r="E678" i="13"/>
  <c r="G1486" i="1"/>
  <c r="E34" i="17412" s="1"/>
  <c r="E256" i="13"/>
  <c r="Q256" i="13" s="1"/>
  <c r="E261" i="13"/>
  <c r="Q261" i="13" s="1"/>
  <c r="E822" i="13"/>
  <c r="E764" i="13"/>
  <c r="Q764" i="13" s="1"/>
  <c r="E741" i="13"/>
  <c r="Q741" i="13" s="1"/>
  <c r="E1054" i="13"/>
  <c r="Q1054" i="13" s="1"/>
  <c r="E1038" i="13"/>
  <c r="Q1038" i="13" s="1"/>
  <c r="R1038" i="13" s="1"/>
  <c r="E658" i="13"/>
  <c r="E882" i="13"/>
  <c r="Q882" i="13" s="1"/>
  <c r="G1680" i="1"/>
  <c r="E239" i="13"/>
  <c r="Q239" i="13" s="1"/>
  <c r="E314" i="13"/>
  <c r="Q314" i="13" s="1"/>
  <c r="G1658" i="1"/>
  <c r="G1494" i="1"/>
  <c r="E42" i="17412" s="1"/>
  <c r="E628" i="13"/>
  <c r="Q628" i="13" s="1"/>
  <c r="E435" i="13"/>
  <c r="Q435" i="13" s="1"/>
  <c r="G1554" i="1" s="1"/>
  <c r="H1554" i="1" s="1"/>
  <c r="E277" i="13"/>
  <c r="Q277" i="13" s="1"/>
  <c r="R277" i="13" s="1"/>
  <c r="E660" i="13"/>
  <c r="Q660" i="13" s="1"/>
  <c r="E742" i="13"/>
  <c r="Q742" i="13" s="1"/>
  <c r="E86" i="13"/>
  <c r="Q86" i="13" s="1"/>
  <c r="G1877" i="1"/>
  <c r="E459" i="13"/>
  <c r="Q459" i="13" s="1"/>
  <c r="E407" i="13"/>
  <c r="Q407" i="13" s="1"/>
  <c r="E118" i="13"/>
  <c r="Q118" i="13" s="1"/>
  <c r="E818" i="13"/>
  <c r="Q818" i="13" s="1"/>
  <c r="E278" i="13"/>
  <c r="Q278" i="13" s="1"/>
  <c r="E710" i="13"/>
  <c r="Q710" i="13" s="1"/>
  <c r="U10" i="14"/>
  <c r="V10" i="14" s="1"/>
  <c r="U41" i="14"/>
  <c r="V41" i="14" s="1"/>
  <c r="R13" i="14"/>
  <c r="U13" i="14" s="1"/>
  <c r="V13" i="14" s="1"/>
  <c r="R23" i="14"/>
  <c r="R45" i="14"/>
  <c r="R60" i="14"/>
  <c r="R17" i="14"/>
  <c r="R39" i="14"/>
  <c r="R51" i="14"/>
  <c r="I44" i="12"/>
  <c r="R16" i="14"/>
  <c r="R32" i="14"/>
  <c r="R43" i="14"/>
  <c r="R65" i="14"/>
  <c r="R19" i="14"/>
  <c r="R31" i="14"/>
  <c r="R48" i="14"/>
  <c r="R66" i="14"/>
  <c r="R8" i="14"/>
  <c r="U8" i="14" s="1"/>
  <c r="V8" i="14" s="1"/>
  <c r="R20" i="14"/>
  <c r="R34" i="14"/>
  <c r="R52" i="14"/>
  <c r="R63" i="14"/>
  <c r="R28" i="14"/>
  <c r="R46" i="14"/>
  <c r="R57" i="14"/>
  <c r="R12" i="14"/>
  <c r="R25" i="14"/>
  <c r="R40" i="14"/>
  <c r="R54" i="14"/>
  <c r="R7" i="14"/>
  <c r="U7" i="14" s="1"/>
  <c r="V7" i="14" s="1"/>
  <c r="R26" i="14"/>
  <c r="R37" i="14"/>
  <c r="R59" i="14"/>
  <c r="U112" i="13"/>
  <c r="W322" i="6"/>
  <c r="G1140" i="1"/>
  <c r="H1140" i="1" s="1"/>
  <c r="E729" i="13"/>
  <c r="Q729" i="13" s="1"/>
  <c r="G191" i="1" s="1"/>
  <c r="H191" i="1" s="1"/>
  <c r="E732" i="13"/>
  <c r="Q732" i="13" s="1"/>
  <c r="R732" i="13" s="1"/>
  <c r="G1802" i="1"/>
  <c r="E692" i="13"/>
  <c r="Q692" i="13" s="1"/>
  <c r="E586" i="13"/>
  <c r="Q586" i="13" s="1"/>
  <c r="G1608" i="1" s="1"/>
  <c r="E585" i="13"/>
  <c r="Q585" i="13" s="1"/>
  <c r="E979" i="13"/>
  <c r="Q979" i="13" s="1"/>
  <c r="E977" i="13"/>
  <c r="G1842" i="1"/>
  <c r="E894" i="13"/>
  <c r="Q894" i="13" s="1"/>
  <c r="G512" i="1" s="1"/>
  <c r="H512" i="1" s="1"/>
  <c r="E892" i="13"/>
  <c r="E768" i="13"/>
  <c r="Q768" i="13" s="1"/>
  <c r="E767" i="13"/>
  <c r="Q767" i="13" s="1"/>
  <c r="G1517" i="1" s="1"/>
  <c r="E761" i="13"/>
  <c r="Q761" i="13" s="1"/>
  <c r="G1795" i="1"/>
  <c r="E652" i="13"/>
  <c r="Q652" i="13" s="1"/>
  <c r="G1787" i="1"/>
  <c r="E638" i="13"/>
  <c r="Q638" i="13" s="1"/>
  <c r="E903" i="13"/>
  <c r="Q903" i="13" s="1"/>
  <c r="E918" i="13"/>
  <c r="Q918" i="13" s="1"/>
  <c r="E812" i="13"/>
  <c r="Q812" i="13" s="1"/>
  <c r="G172" i="1" s="1"/>
  <c r="H172" i="1" s="1"/>
  <c r="E814" i="13"/>
  <c r="Q814" i="13" s="1"/>
  <c r="E419" i="13"/>
  <c r="Q419" i="13" s="1"/>
  <c r="R419" i="13" s="1"/>
  <c r="E417" i="13"/>
  <c r="Q417" i="13" s="1"/>
  <c r="R417" i="13" s="1"/>
  <c r="G1069" i="1"/>
  <c r="H1069" i="1" s="1"/>
  <c r="E18" i="13"/>
  <c r="Q18" i="13" s="1"/>
  <c r="E15" i="13"/>
  <c r="Q15" i="13" s="1"/>
  <c r="E996" i="13"/>
  <c r="Q996" i="13" s="1"/>
  <c r="E993" i="13"/>
  <c r="Q993" i="13" s="1"/>
  <c r="G990" i="1"/>
  <c r="H990" i="1" s="1"/>
  <c r="G1859" i="1"/>
  <c r="E1044" i="13"/>
  <c r="Q1044" i="13" s="1"/>
  <c r="G1861" i="1"/>
  <c r="E1060" i="13"/>
  <c r="Q1060" i="13" s="1"/>
  <c r="E1056" i="13"/>
  <c r="Q1056" i="13" s="1"/>
  <c r="E779" i="13"/>
  <c r="E782" i="13"/>
  <c r="E1125" i="13"/>
  <c r="Q1125" i="13" s="1"/>
  <c r="E1121" i="13"/>
  <c r="Q1121" i="13" s="1"/>
  <c r="G577" i="1" s="1"/>
  <c r="H577" i="1" s="1"/>
  <c r="G1867" i="1"/>
  <c r="E265" i="13"/>
  <c r="Q265" i="13" s="1"/>
  <c r="R265" i="13" s="1"/>
  <c r="E262" i="13"/>
  <c r="Q262" i="13" s="1"/>
  <c r="E268" i="13"/>
  <c r="Q268" i="13" s="1"/>
  <c r="R268" i="13" s="1"/>
  <c r="E83" i="13"/>
  <c r="Q83" i="13" s="1"/>
  <c r="R83" i="13" s="1"/>
  <c r="E76" i="13"/>
  <c r="Q76" i="13" s="1"/>
  <c r="E302" i="13"/>
  <c r="Q302" i="13" s="1"/>
  <c r="E305" i="13"/>
  <c r="Q305" i="13" s="1"/>
  <c r="G1870" i="1"/>
  <c r="E1102" i="13"/>
  <c r="Q1102" i="13" s="1"/>
  <c r="G388" i="1" s="1"/>
  <c r="H388" i="1" s="1"/>
  <c r="E1099" i="13"/>
  <c r="Q1099" i="13" s="1"/>
  <c r="G385" i="1" s="1"/>
  <c r="H385" i="1" s="1"/>
  <c r="E1106" i="13"/>
  <c r="Q1106" i="13" s="1"/>
  <c r="G1858" i="1"/>
  <c r="E1040" i="13"/>
  <c r="Q1040" i="13" s="1"/>
  <c r="G528" i="1" s="1"/>
  <c r="H528" i="1" s="1"/>
  <c r="E218" i="13"/>
  <c r="Q218" i="13" s="1"/>
  <c r="E221" i="13"/>
  <c r="Q221" i="13" s="1"/>
  <c r="E249" i="13"/>
  <c r="Q249" i="13" s="1"/>
  <c r="E245" i="13"/>
  <c r="Q245" i="13" s="1"/>
  <c r="E687" i="13"/>
  <c r="Q687" i="13" s="1"/>
  <c r="E366" i="13"/>
  <c r="Q366" i="13" s="1"/>
  <c r="E665" i="13"/>
  <c r="Q665" i="13" s="1"/>
  <c r="E345" i="13"/>
  <c r="Q345" i="13" s="1"/>
  <c r="E53" i="13"/>
  <c r="Q53" i="13" s="1"/>
  <c r="P797" i="13"/>
  <c r="AN379" i="6"/>
  <c r="AN378" i="6"/>
  <c r="AN380" i="6"/>
  <c r="AN377" i="6"/>
  <c r="AN381" i="6"/>
  <c r="AN376" i="6"/>
  <c r="AN595" i="13" s="1"/>
  <c r="AN35" i="6"/>
  <c r="AN32" i="6"/>
  <c r="AN515" i="13" s="1"/>
  <c r="AN34" i="6"/>
  <c r="AN33" i="6"/>
  <c r="AN427" i="6"/>
  <c r="AN429" i="6"/>
  <c r="AN426" i="6"/>
  <c r="AN649" i="13" s="1"/>
  <c r="AN428" i="6"/>
  <c r="AN94" i="13"/>
  <c r="E636" i="13"/>
  <c r="Q636" i="13" s="1"/>
  <c r="E639" i="13"/>
  <c r="Q639" i="13" s="1"/>
  <c r="E663" i="13"/>
  <c r="Q663" i="13" s="1"/>
  <c r="R663" i="13" s="1"/>
  <c r="E888" i="13"/>
  <c r="E889" i="13"/>
  <c r="E886" i="13"/>
  <c r="E778" i="13"/>
  <c r="E1116" i="13"/>
  <c r="Q1116" i="13" s="1"/>
  <c r="G442" i="1" s="1"/>
  <c r="H442" i="1" s="1"/>
  <c r="E411" i="13"/>
  <c r="Q411" i="13" s="1"/>
  <c r="E9" i="13"/>
  <c r="Q9" i="13" s="1"/>
  <c r="E360" i="13"/>
  <c r="Q360" i="13" s="1"/>
  <c r="E171" i="13"/>
  <c r="Q171" i="13" s="1"/>
  <c r="M721" i="13"/>
  <c r="O407" i="6"/>
  <c r="AN406" i="6" s="1"/>
  <c r="Q83" i="6"/>
  <c r="R83" i="6" s="1"/>
  <c r="AN183" i="6"/>
  <c r="AN181" i="6"/>
  <c r="AN180" i="6"/>
  <c r="AN492" i="13" s="1"/>
  <c r="AN182" i="6"/>
  <c r="AN184" i="6"/>
  <c r="AN132" i="6"/>
  <c r="AN119" i="6"/>
  <c r="AN135" i="6"/>
  <c r="AN112" i="6"/>
  <c r="AN130" i="6"/>
  <c r="AN133" i="6"/>
  <c r="AN126" i="6"/>
  <c r="AN140" i="6"/>
  <c r="AN114" i="6"/>
  <c r="AN131" i="6"/>
  <c r="AN113" i="6"/>
  <c r="AN108" i="6"/>
  <c r="AN116" i="6"/>
  <c r="AN106" i="6"/>
  <c r="AN104" i="6"/>
  <c r="AN101" i="6"/>
  <c r="AN489" i="13" s="1"/>
  <c r="AN136" i="6"/>
  <c r="AN117" i="6"/>
  <c r="AN105" i="6"/>
  <c r="AN139" i="6"/>
  <c r="AN137" i="6"/>
  <c r="AN128" i="6"/>
  <c r="AN115" i="6"/>
  <c r="AN120" i="6"/>
  <c r="AN110" i="6"/>
  <c r="AN122" i="6"/>
  <c r="AN103" i="6"/>
  <c r="AN124" i="6"/>
  <c r="AN118" i="6"/>
  <c r="AN102" i="6"/>
  <c r="AN123" i="6"/>
  <c r="AN121" i="6"/>
  <c r="AN107" i="6"/>
  <c r="AN109" i="6"/>
  <c r="AN138" i="6"/>
  <c r="AN127" i="6"/>
  <c r="AN134" i="6"/>
  <c r="AN125" i="6"/>
  <c r="AN129" i="6"/>
  <c r="AN111" i="6"/>
  <c r="AN255" i="6"/>
  <c r="AN254" i="6"/>
  <c r="AN256" i="6"/>
  <c r="AN253" i="6"/>
  <c r="AN531" i="13" s="1"/>
  <c r="AN83" i="6"/>
  <c r="AN77" i="6"/>
  <c r="AN78" i="6"/>
  <c r="AN76" i="6"/>
  <c r="AN80" i="6"/>
  <c r="AN84" i="6"/>
  <c r="AN81" i="6"/>
  <c r="AN79" i="6"/>
  <c r="AN82" i="6"/>
  <c r="AN494" i="13"/>
  <c r="AN150" i="13"/>
  <c r="AN133" i="13"/>
  <c r="AN399" i="6"/>
  <c r="E11" i="13"/>
  <c r="Q11" i="13" s="1"/>
  <c r="E736" i="13"/>
  <c r="G1164" i="1"/>
  <c r="H1164" i="1" s="1"/>
  <c r="AN416" i="6"/>
  <c r="AN414" i="6"/>
  <c r="AN415" i="6"/>
  <c r="AN274" i="6"/>
  <c r="AN269" i="6"/>
  <c r="AN533" i="13" s="1"/>
  <c r="AN272" i="6"/>
  <c r="AN273" i="6"/>
  <c r="AN270" i="6"/>
  <c r="AN275" i="6"/>
  <c r="AN271" i="6"/>
  <c r="AN63" i="6"/>
  <c r="AN64" i="6"/>
  <c r="AN61" i="6"/>
  <c r="AN477" i="13" s="1"/>
  <c r="AN62" i="6"/>
  <c r="AN374" i="6"/>
  <c r="AN373" i="6"/>
  <c r="AN1277" i="13" s="1"/>
  <c r="AN375" i="6"/>
  <c r="AN384" i="6"/>
  <c r="AN385" i="6"/>
  <c r="AN382" i="6"/>
  <c r="AN1271" i="13" s="1"/>
  <c r="AN383" i="6"/>
  <c r="AN266" i="13"/>
  <c r="AN151" i="13"/>
  <c r="AN451" i="13"/>
  <c r="AO451" i="13" s="1"/>
  <c r="AN107" i="13"/>
  <c r="AN95" i="13"/>
  <c r="AN17" i="13"/>
  <c r="AN417" i="6"/>
  <c r="AN637" i="13" s="1"/>
  <c r="AN418" i="6"/>
  <c r="AN419" i="6"/>
  <c r="AN423" i="6"/>
  <c r="AN422" i="6"/>
  <c r="AN424" i="6"/>
  <c r="AN421" i="6"/>
  <c r="AN425" i="6"/>
  <c r="AN420" i="6"/>
  <c r="AN648" i="13" s="1"/>
  <c r="AN98" i="6"/>
  <c r="AN100" i="6"/>
  <c r="AN97" i="6"/>
  <c r="AN99" i="6"/>
  <c r="AN96" i="6"/>
  <c r="AN95" i="6"/>
  <c r="AN488" i="13" s="1"/>
  <c r="AN361" i="6"/>
  <c r="AN360" i="6"/>
  <c r="AN590" i="13" s="1"/>
  <c r="AN362" i="6"/>
  <c r="AN389" i="6"/>
  <c r="AN388" i="6"/>
  <c r="AN601" i="13" s="1"/>
  <c r="AN392" i="6"/>
  <c r="AN390" i="6"/>
  <c r="AN391" i="6"/>
  <c r="AN93" i="6"/>
  <c r="AN90" i="6"/>
  <c r="AN91" i="6"/>
  <c r="AN94" i="6"/>
  <c r="AN92" i="6"/>
  <c r="AN89" i="6"/>
  <c r="AN88" i="6"/>
  <c r="AN503" i="13" s="1"/>
  <c r="AN469" i="6"/>
  <c r="AN464" i="6"/>
  <c r="AN457" i="6"/>
  <c r="AN472" i="6"/>
  <c r="AN470" i="6"/>
  <c r="AN463" i="6"/>
  <c r="AN462" i="6"/>
  <c r="AN471" i="6"/>
  <c r="AN455" i="6"/>
  <c r="AN1096" i="13" s="1"/>
  <c r="AO1096" i="13" s="1"/>
  <c r="AN371" i="4" s="1"/>
  <c r="AO371" i="4" s="1"/>
  <c r="AN458" i="6"/>
  <c r="AN461" i="6"/>
  <c r="AN467" i="6"/>
  <c r="AN465" i="6"/>
  <c r="AN468" i="6"/>
  <c r="AN459" i="6"/>
  <c r="AN460" i="6"/>
  <c r="AN466" i="6"/>
  <c r="AN456" i="6"/>
  <c r="AN398" i="6"/>
  <c r="AN397" i="6"/>
  <c r="AN396" i="6"/>
  <c r="AN1273" i="13" s="1"/>
  <c r="AN432" i="6"/>
  <c r="AN431" i="6"/>
  <c r="AN430" i="6"/>
  <c r="AN650" i="13" s="1"/>
  <c r="AN132" i="13"/>
  <c r="AN358" i="13"/>
  <c r="AN108" i="13"/>
  <c r="U1310" i="13"/>
  <c r="AN402" i="6"/>
  <c r="AN401" i="6"/>
  <c r="AN357" i="13"/>
  <c r="AN267" i="13"/>
  <c r="AN400" i="6"/>
  <c r="AN403" i="6"/>
  <c r="AN405" i="6"/>
  <c r="AN18" i="13"/>
  <c r="AN404" i="6"/>
  <c r="L1046" i="13"/>
  <c r="L1060" i="13"/>
  <c r="L1050" i="13"/>
  <c r="P1050" i="13" s="1"/>
  <c r="T371" i="13"/>
  <c r="T370" i="13"/>
  <c r="T369" i="13"/>
  <c r="T372" i="13"/>
  <c r="L301" i="6"/>
  <c r="P301" i="6" s="1"/>
  <c r="L356" i="6"/>
  <c r="L468" i="6"/>
  <c r="P468" i="6" s="1"/>
  <c r="L238" i="6"/>
  <c r="P238" i="6" s="1"/>
  <c r="L335" i="6"/>
  <c r="P335" i="6" s="1"/>
  <c r="L24" i="6"/>
  <c r="P24" i="6" s="1"/>
  <c r="L318" i="6"/>
  <c r="L265" i="6"/>
  <c r="P265" i="6" s="1"/>
  <c r="L465" i="13"/>
  <c r="P465" i="13" s="1"/>
  <c r="L82" i="13"/>
  <c r="P82" i="13" s="1"/>
  <c r="L261" i="13"/>
  <c r="P261" i="13" s="1"/>
  <c r="L352" i="13"/>
  <c r="L144" i="13"/>
  <c r="L127" i="13"/>
  <c r="L89" i="13"/>
  <c r="L102" i="13"/>
  <c r="L12" i="13"/>
  <c r="L400" i="13"/>
  <c r="L449" i="13"/>
  <c r="P449" i="13" s="1"/>
  <c r="L1263" i="13"/>
  <c r="P1263" i="13" s="1"/>
  <c r="L94" i="6"/>
  <c r="T176" i="17412"/>
  <c r="T35" i="17412"/>
  <c r="T163" i="17412"/>
  <c r="D67" i="17412"/>
  <c r="F1519" i="1" s="1"/>
  <c r="H1519" i="1" s="1"/>
  <c r="T87" i="17412"/>
  <c r="H1501" i="1"/>
  <c r="T172" i="17412"/>
  <c r="T80" i="17412"/>
  <c r="T16" i="17412"/>
  <c r="D9" i="17412"/>
  <c r="F1632" i="1" s="1"/>
  <c r="T144" i="17412"/>
  <c r="D130" i="17412"/>
  <c r="F1582" i="1" s="1"/>
  <c r="L274" i="13" s="1"/>
  <c r="P274" i="13" s="1"/>
  <c r="D77" i="17412"/>
  <c r="F1529" i="1" s="1"/>
  <c r="T40" i="17412"/>
  <c r="J1492" i="1" s="1"/>
  <c r="D108" i="17412"/>
  <c r="F1560" i="1" s="1"/>
  <c r="T43" i="17412"/>
  <c r="T7" i="17412"/>
  <c r="G1111" i="1"/>
  <c r="H1111" i="1" s="1"/>
  <c r="W1304" i="13"/>
  <c r="AO1308" i="13"/>
  <c r="V1302" i="13"/>
  <c r="V1303" i="13"/>
  <c r="W1301" i="13"/>
  <c r="W1305" i="13"/>
  <c r="W1300" i="13"/>
  <c r="V1305" i="13"/>
  <c r="X1307" i="13"/>
  <c r="W1308" i="13"/>
  <c r="V1310" i="13"/>
  <c r="U1306" i="13"/>
  <c r="X1308" i="13"/>
  <c r="X1306" i="13"/>
  <c r="W1310" i="13"/>
  <c r="AO1309" i="13"/>
  <c r="AN668" i="13"/>
  <c r="U1300" i="13"/>
  <c r="X1304" i="13"/>
  <c r="AO1306" i="13"/>
  <c r="W1302" i="13"/>
  <c r="X1305" i="13"/>
  <c r="X1300" i="13"/>
  <c r="AO1307" i="13"/>
  <c r="W1303" i="13"/>
  <c r="U1304" i="13"/>
  <c r="V1307" i="13"/>
  <c r="T1309" i="13"/>
  <c r="W1311" i="13"/>
  <c r="X1309" i="13"/>
  <c r="T1307" i="13"/>
  <c r="T1310" i="13"/>
  <c r="V1309" i="13"/>
  <c r="T1306" i="13"/>
  <c r="W1309" i="13"/>
  <c r="AN599" i="13"/>
  <c r="V1301" i="13"/>
  <c r="AO1304" i="13"/>
  <c r="AO1305" i="13"/>
  <c r="X1301" i="13"/>
  <c r="V1300" i="13"/>
  <c r="AO1301" i="13"/>
  <c r="U1303" i="13"/>
  <c r="X1302" i="13"/>
  <c r="U1307" i="13"/>
  <c r="W1306" i="13"/>
  <c r="T1311" i="13"/>
  <c r="V1311" i="13"/>
  <c r="X1311" i="13"/>
  <c r="U1309" i="13"/>
  <c r="T1308" i="13"/>
  <c r="X1310" i="13"/>
  <c r="AO1300" i="13"/>
  <c r="U1305" i="13"/>
  <c r="V1304" i="13"/>
  <c r="AO1302" i="13"/>
  <c r="U1302" i="13"/>
  <c r="X1303" i="13"/>
  <c r="U1301" i="13"/>
  <c r="AO1303" i="13"/>
  <c r="V1306" i="13"/>
  <c r="U1311" i="13"/>
  <c r="U1308" i="13"/>
  <c r="AO1311" i="13"/>
  <c r="W1307" i="13"/>
  <c r="AO1310" i="13"/>
  <c r="V1308" i="13"/>
  <c r="R150" i="17412"/>
  <c r="R120" i="17412"/>
  <c r="H1525" i="1"/>
  <c r="L1303" i="13"/>
  <c r="L1299" i="13"/>
  <c r="L1295" i="13"/>
  <c r="P1304" i="13"/>
  <c r="R1304" i="13"/>
  <c r="U293" i="13"/>
  <c r="Q468" i="13"/>
  <c r="AN468" i="13"/>
  <c r="AO1261" i="13"/>
  <c r="AO1232" i="13"/>
  <c r="AO1217" i="13"/>
  <c r="AO1209" i="13"/>
  <c r="AO1201" i="13"/>
  <c r="AO1170" i="13"/>
  <c r="AO985" i="13"/>
  <c r="AO269" i="13"/>
  <c r="AO521" i="13"/>
  <c r="AO57" i="13"/>
  <c r="AO336" i="13"/>
  <c r="AO303" i="13"/>
  <c r="AO876" i="13"/>
  <c r="AO1001" i="13"/>
  <c r="AO1098" i="13"/>
  <c r="AO441" i="13"/>
  <c r="AO79" i="13"/>
  <c r="AO38" i="13"/>
  <c r="AO1216" i="13"/>
  <c r="AO1028" i="13"/>
  <c r="AO749" i="13"/>
  <c r="AO762" i="13"/>
  <c r="AO337" i="13"/>
  <c r="AO52" i="13"/>
  <c r="AO288" i="13"/>
  <c r="AO541" i="13"/>
  <c r="AO511" i="13"/>
  <c r="AO828" i="13"/>
  <c r="AO899" i="13"/>
  <c r="AO1058" i="13"/>
  <c r="AO1085" i="13"/>
  <c r="AO47" i="13"/>
  <c r="AO1245" i="13"/>
  <c r="AO1231" i="13"/>
  <c r="AO1221" i="13"/>
  <c r="AO1249" i="13"/>
  <c r="AO1166" i="13"/>
  <c r="AO1143" i="13"/>
  <c r="AO1005" i="13"/>
  <c r="AO859" i="13"/>
  <c r="AO838" i="13"/>
  <c r="AO405" i="13"/>
  <c r="AO255" i="13"/>
  <c r="AO207" i="13"/>
  <c r="AO463" i="13"/>
  <c r="AO684" i="13"/>
  <c r="AO815" i="13"/>
  <c r="AO959" i="13"/>
  <c r="AO1149" i="13"/>
  <c r="AO1258" i="13"/>
  <c r="AO179" i="13"/>
  <c r="AN33" i="4" s="1"/>
  <c r="AO62" i="13"/>
  <c r="AO1284" i="13"/>
  <c r="AO1256" i="13"/>
  <c r="AO1202" i="13"/>
  <c r="AO1182" i="13"/>
  <c r="AO1156" i="13"/>
  <c r="AO846" i="13"/>
  <c r="AO206" i="13"/>
  <c r="AO422" i="13"/>
  <c r="AO537" i="13"/>
  <c r="AO384" i="13"/>
  <c r="AO857" i="13"/>
  <c r="AO1086" i="13"/>
  <c r="AO314" i="13"/>
  <c r="AO114" i="13"/>
  <c r="AO1171" i="13"/>
  <c r="AO1004" i="13"/>
  <c r="AO1027" i="13"/>
  <c r="AO1083" i="13"/>
  <c r="AO1007" i="13"/>
  <c r="AO984" i="13"/>
  <c r="AO948" i="13"/>
  <c r="AO871" i="13"/>
  <c r="AO813" i="13"/>
  <c r="AO841" i="13"/>
  <c r="AO879" i="13"/>
  <c r="AO750" i="13"/>
  <c r="AO566" i="13"/>
  <c r="AO409" i="13"/>
  <c r="AO321" i="13"/>
  <c r="AO216" i="13"/>
  <c r="AO168" i="13"/>
  <c r="AO40" i="13"/>
  <c r="AO29" i="13"/>
  <c r="AO346" i="13"/>
  <c r="AO211" i="13"/>
  <c r="AO300" i="13"/>
  <c r="AO364" i="13"/>
  <c r="AO428" i="13"/>
  <c r="AO547" i="13"/>
  <c r="AO331" i="13"/>
  <c r="AO395" i="13"/>
  <c r="AO459" i="13"/>
  <c r="AO523" i="13"/>
  <c r="AO577" i="13"/>
  <c r="AO633" i="13"/>
  <c r="AO572" i="13"/>
  <c r="AO707" i="13"/>
  <c r="AO776" i="13"/>
  <c r="AO840" i="13"/>
  <c r="AO811" i="13"/>
  <c r="AO938" i="13"/>
  <c r="AO1029" i="13"/>
  <c r="AO914" i="13"/>
  <c r="AO957" i="13"/>
  <c r="AO1017" i="13"/>
  <c r="AO1030" i="13"/>
  <c r="AO1002" i="13"/>
  <c r="AO1145" i="13"/>
  <c r="AO1196" i="13"/>
  <c r="AO1226" i="13"/>
  <c r="AO1225" i="13"/>
  <c r="AO1254" i="13"/>
  <c r="AO510" i="13"/>
  <c r="AO385" i="13"/>
  <c r="AO238" i="13"/>
  <c r="AO183" i="13"/>
  <c r="AO115" i="13"/>
  <c r="AO189" i="13"/>
  <c r="AO35" i="13"/>
  <c r="AO78" i="13"/>
  <c r="AO226" i="13"/>
  <c r="AO197" i="13"/>
  <c r="AO1162" i="13"/>
  <c r="AO1011" i="13"/>
  <c r="AO1003" i="13"/>
  <c r="AO920" i="13"/>
  <c r="AO1150" i="13"/>
  <c r="AO940" i="13"/>
  <c r="AO858" i="13"/>
  <c r="AN291" i="4" s="1"/>
  <c r="AO642" i="13"/>
  <c r="AO837" i="13"/>
  <c r="AO870" i="13"/>
  <c r="AO542" i="13"/>
  <c r="AO397" i="13"/>
  <c r="AO310" i="13"/>
  <c r="AO212" i="13"/>
  <c r="AO160" i="13"/>
  <c r="AO362" i="13"/>
  <c r="AO254" i="13"/>
  <c r="AO69" i="13"/>
  <c r="AO393" i="13"/>
  <c r="AO203" i="13"/>
  <c r="AO324" i="13"/>
  <c r="AO420" i="13"/>
  <c r="AO291" i="13"/>
  <c r="AO387" i="13"/>
  <c r="AO544" i="13"/>
  <c r="AO629" i="13"/>
  <c r="AO688" i="13"/>
  <c r="AO864" i="13"/>
  <c r="AO819" i="13"/>
  <c r="AO962" i="13"/>
  <c r="AO906" i="13"/>
  <c r="AO961" i="13"/>
  <c r="AO1053" i="13"/>
  <c r="AO994" i="13"/>
  <c r="AO1153" i="13"/>
  <c r="AO1259" i="13"/>
  <c r="AO1243" i="13"/>
  <c r="AO1262" i="13"/>
  <c r="AO453" i="13"/>
  <c r="AO250" i="13"/>
  <c r="AO175" i="13"/>
  <c r="AO30" i="13"/>
  <c r="AO46" i="13"/>
  <c r="AO119" i="13"/>
  <c r="AO67" i="13"/>
  <c r="AO1111" i="13"/>
  <c r="AO1079" i="13"/>
  <c r="AO1059" i="13"/>
  <c r="AO1167" i="13"/>
  <c r="AO999" i="13"/>
  <c r="AO936" i="13"/>
  <c r="AO734" i="13"/>
  <c r="AO582" i="13"/>
  <c r="AO369" i="13"/>
  <c r="AO218" i="13"/>
  <c r="AO156" i="13"/>
  <c r="AO76" i="13"/>
  <c r="AO345" i="13"/>
  <c r="AO235" i="13"/>
  <c r="AO33" i="13"/>
  <c r="AO298" i="13"/>
  <c r="AO360" i="13"/>
  <c r="AN78" i="4" s="1"/>
  <c r="AO456" i="13"/>
  <c r="AO295" i="13"/>
  <c r="AO423" i="13"/>
  <c r="AO1082" i="13"/>
  <c r="AO865" i="13"/>
  <c r="AO1109" i="13"/>
  <c r="AO1218" i="13"/>
  <c r="AO309" i="13"/>
  <c r="AO82" i="13"/>
  <c r="AO1296" i="13"/>
  <c r="AO1299" i="13"/>
  <c r="AO1253" i="13"/>
  <c r="AO1198" i="13"/>
  <c r="AO1174" i="13"/>
  <c r="AO1100" i="13"/>
  <c r="AO995" i="13"/>
  <c r="AO757" i="13"/>
  <c r="AO833" i="13"/>
  <c r="AO196" i="13"/>
  <c r="AO390" i="13"/>
  <c r="AO462" i="13"/>
  <c r="AO400" i="13"/>
  <c r="AO367" i="13"/>
  <c r="AO873" i="13"/>
  <c r="AO1114" i="13"/>
  <c r="AO1117" i="13"/>
  <c r="AO281" i="13"/>
  <c r="AO55" i="13"/>
  <c r="AO118" i="13"/>
  <c r="AN72" i="4" s="1"/>
  <c r="AO1260" i="13"/>
  <c r="AO1210" i="13"/>
  <c r="AO1186" i="13"/>
  <c r="AO1051" i="13"/>
  <c r="AO1044" i="13"/>
  <c r="AO862" i="13"/>
  <c r="AO915" i="13"/>
  <c r="AO222" i="13"/>
  <c r="AO41" i="13"/>
  <c r="AO319" i="13"/>
  <c r="AO1009" i="13"/>
  <c r="AO1181" i="13"/>
  <c r="AO1188" i="13"/>
  <c r="AO402" i="13"/>
  <c r="AO20" i="13"/>
  <c r="AO186" i="13"/>
  <c r="AO1265" i="13"/>
  <c r="AO1269" i="13"/>
  <c r="AO1194" i="13"/>
  <c r="AO1127" i="13"/>
  <c r="AO1178" i="13"/>
  <c r="AO924" i="13"/>
  <c r="AO317" i="13"/>
  <c r="AO36" i="13"/>
  <c r="AO304" i="13"/>
  <c r="AO565" i="13"/>
  <c r="AO576" i="13"/>
  <c r="AO844" i="13"/>
  <c r="AO942" i="13"/>
  <c r="AO1026" i="13"/>
  <c r="AO1238" i="13"/>
  <c r="AO509" i="13"/>
  <c r="AO111" i="13"/>
  <c r="AO170" i="13"/>
  <c r="AO1244" i="13"/>
  <c r="AO1236" i="13"/>
  <c r="AO1223" i="13"/>
  <c r="AO1155" i="13"/>
  <c r="AO1140" i="13"/>
  <c r="AO1048" i="13"/>
  <c r="AO989" i="13"/>
  <c r="AO630" i="13"/>
  <c r="AO325" i="13"/>
  <c r="AO277" i="13"/>
  <c r="AO448" i="13"/>
  <c r="AO415" i="13"/>
  <c r="AO643" i="13"/>
  <c r="AO689" i="13"/>
  <c r="AO767" i="13"/>
  <c r="AO935" i="13"/>
  <c r="AO1046" i="13"/>
  <c r="AO1237" i="13"/>
  <c r="AO225" i="13"/>
  <c r="AO173" i="13"/>
  <c r="AO228" i="13"/>
  <c r="AO1158" i="13"/>
  <c r="AO1056" i="13"/>
  <c r="AO991" i="13"/>
  <c r="AO912" i="13"/>
  <c r="AO1080" i="13"/>
  <c r="AO932" i="13"/>
  <c r="AO817" i="13"/>
  <c r="AO714" i="13"/>
  <c r="AO849" i="13"/>
  <c r="AO733" i="13"/>
  <c r="AO578" i="13"/>
  <c r="AO382" i="13"/>
  <c r="AO285" i="13"/>
  <c r="AO208" i="13"/>
  <c r="AO434" i="13"/>
  <c r="AO338" i="13"/>
  <c r="AO247" i="13"/>
  <c r="AO77" i="13"/>
  <c r="AO538" i="13"/>
  <c r="AO289" i="13"/>
  <c r="AO252" i="13"/>
  <c r="AN59" i="4" s="1"/>
  <c r="AO316" i="13"/>
  <c r="AO380" i="13"/>
  <c r="AO444" i="13"/>
  <c r="AO508" i="13"/>
  <c r="AN254" i="4" s="1"/>
  <c r="AO283" i="13"/>
  <c r="AO411" i="13"/>
  <c r="AO569" i="13"/>
  <c r="AO641" i="13"/>
  <c r="AN286" i="4" s="1"/>
  <c r="AO696" i="13"/>
  <c r="AO588" i="13"/>
  <c r="AO687" i="13"/>
  <c r="AO856" i="13"/>
  <c r="AO1022" i="13"/>
  <c r="AO763" i="13"/>
  <c r="AO827" i="13"/>
  <c r="AO954" i="13"/>
  <c r="AO853" i="13"/>
  <c r="AO933" i="13"/>
  <c r="AN557" i="4" s="1"/>
  <c r="AO965" i="13"/>
  <c r="AO1045" i="13"/>
  <c r="AO1078" i="13"/>
  <c r="AO1191" i="13"/>
  <c r="AO1211" i="13"/>
  <c r="AO1161" i="13"/>
  <c r="AO1230" i="13"/>
  <c r="AN859" i="4" s="1"/>
  <c r="AO1270" i="13"/>
  <c r="AO465" i="13"/>
  <c r="AO329" i="13"/>
  <c r="AO229" i="13"/>
  <c r="AO167" i="13"/>
  <c r="AO174" i="13"/>
  <c r="AN34" i="4" s="1"/>
  <c r="AO182" i="13"/>
  <c r="AO42" i="13"/>
  <c r="AO1087" i="13"/>
  <c r="AO1154" i="13"/>
  <c r="AO904" i="13"/>
  <c r="AO1019" i="13"/>
  <c r="AO987" i="13"/>
  <c r="AO911" i="13"/>
  <c r="AO769" i="13"/>
  <c r="AO626" i="13"/>
  <c r="AO709" i="13"/>
  <c r="AO845" i="13"/>
  <c r="AO567" i="13"/>
  <c r="AO457" i="13"/>
  <c r="AO370" i="13"/>
  <c r="AO273" i="13"/>
  <c r="AO204" i="13"/>
  <c r="AO80" i="13"/>
  <c r="AO241" i="13"/>
  <c r="AO37" i="13"/>
  <c r="AO306" i="13"/>
  <c r="AO436" i="13"/>
  <c r="AO323" i="13"/>
  <c r="AO403" i="13"/>
  <c r="AO752" i="13"/>
  <c r="AO716" i="13"/>
  <c r="AO695" i="13"/>
  <c r="AO683" i="13"/>
  <c r="AO896" i="13"/>
  <c r="AN344" i="4" s="1"/>
  <c r="AO345" i="4" s="1"/>
  <c r="AO755" i="13"/>
  <c r="AO835" i="13"/>
  <c r="AO922" i="13"/>
  <c r="AO969" i="13"/>
  <c r="AO1014" i="13"/>
  <c r="AO1018" i="13"/>
  <c r="AO1199" i="13"/>
  <c r="AO1172" i="13"/>
  <c r="AO1192" i="13"/>
  <c r="AO1204" i="13"/>
  <c r="AO1279" i="13"/>
  <c r="AN686" i="4" s="1"/>
  <c r="AO1239" i="13"/>
  <c r="AO394" i="13"/>
  <c r="AO234" i="13"/>
  <c r="AO159" i="13"/>
  <c r="AO246" i="13"/>
  <c r="AO194" i="13"/>
  <c r="AO166" i="13"/>
  <c r="AO110" i="13"/>
  <c r="AO58" i="13"/>
  <c r="AO1012" i="13"/>
  <c r="AO1207" i="13"/>
  <c r="AO1023" i="13"/>
  <c r="AO988" i="13"/>
  <c r="AN382" i="4" s="1"/>
  <c r="AO927" i="13"/>
  <c r="AO730" i="13"/>
  <c r="AO921" i="13"/>
  <c r="AO753" i="13"/>
  <c r="AO855" i="13"/>
  <c r="AO705" i="13"/>
  <c r="AO450" i="13"/>
  <c r="AO322" i="13"/>
  <c r="AO210" i="13"/>
  <c r="AO44" i="13"/>
  <c r="AO458" i="13"/>
  <c r="AO305" i="13"/>
  <c r="AO296" i="13"/>
  <c r="AO376" i="13"/>
  <c r="AO504" i="13"/>
  <c r="AO343" i="13"/>
  <c r="AO704" i="13"/>
  <c r="AO775" i="13"/>
  <c r="AO939" i="13"/>
  <c r="AO1054" i="13"/>
  <c r="AO1104" i="13"/>
  <c r="AO1287" i="13"/>
  <c r="AO217" i="13"/>
  <c r="AO1290" i="13"/>
  <c r="V1298" i="13"/>
  <c r="AO1241" i="13"/>
  <c r="AO1288" i="13"/>
  <c r="AO1183" i="13"/>
  <c r="AO1151" i="13"/>
  <c r="AO1008" i="13"/>
  <c r="AO917" i="13"/>
  <c r="AO905" i="13"/>
  <c r="AO693" i="13"/>
  <c r="AO437" i="13"/>
  <c r="AO301" i="13"/>
  <c r="AO240" i="13"/>
  <c r="AO464" i="13"/>
  <c r="AO431" i="13"/>
  <c r="AO943" i="13"/>
  <c r="AO1108" i="13"/>
  <c r="AO209" i="13"/>
  <c r="AO1248" i="13"/>
  <c r="AO1212" i="13"/>
  <c r="AO1163" i="13"/>
  <c r="AO1119" i="13"/>
  <c r="AO1092" i="13"/>
  <c r="AO960" i="13"/>
  <c r="AO710" i="13"/>
  <c r="AO505" i="13"/>
  <c r="AO180" i="13"/>
  <c r="AO373" i="13"/>
  <c r="AO401" i="13"/>
  <c r="AO416" i="13"/>
  <c r="AO383" i="13"/>
  <c r="AO627" i="13"/>
  <c r="AO735" i="13"/>
  <c r="AO902" i="13"/>
  <c r="AO990" i="13"/>
  <c r="AO1255" i="13"/>
  <c r="AO251" i="13"/>
  <c r="AO34" i="13"/>
  <c r="AO1285" i="13"/>
  <c r="AO1257" i="13"/>
  <c r="AN399" i="4" s="1"/>
  <c r="AO1224" i="13"/>
  <c r="AO1206" i="13"/>
  <c r="AO1289" i="13"/>
  <c r="AO1024" i="13"/>
  <c r="AO878" i="13"/>
  <c r="AO546" i="13"/>
  <c r="AO214" i="13"/>
  <c r="AO25" i="13"/>
  <c r="AO368" i="13"/>
  <c r="AO335" i="13"/>
  <c r="AO581" i="13"/>
  <c r="AO748" i="13"/>
  <c r="AO1042" i="13"/>
  <c r="AO1234" i="13"/>
  <c r="AN43" i="4" s="1"/>
  <c r="AO185" i="13"/>
  <c r="AO230" i="13"/>
  <c r="AO1281" i="13"/>
  <c r="AO1228" i="13"/>
  <c r="AO1215" i="13"/>
  <c r="AO1088" i="13"/>
  <c r="AO928" i="13"/>
  <c r="AO814" i="13"/>
  <c r="AO381" i="13"/>
  <c r="AO245" i="13"/>
  <c r="AO703" i="13"/>
  <c r="AO831" i="13"/>
  <c r="AO967" i="13"/>
  <c r="AO1189" i="13"/>
  <c r="AO1169" i="13"/>
  <c r="AO163" i="13"/>
  <c r="AO181" i="13"/>
  <c r="AO1195" i="13"/>
  <c r="AO1101" i="13"/>
  <c r="AO1020" i="13"/>
  <c r="AO1144" i="13"/>
  <c r="AO996" i="13"/>
  <c r="AO925" i="13"/>
  <c r="AO758" i="13"/>
  <c r="AO913" i="13"/>
  <c r="AO694" i="13"/>
  <c r="AO834" i="13"/>
  <c r="AO702" i="13"/>
  <c r="AO587" i="13"/>
  <c r="AO574" i="13"/>
  <c r="AO438" i="13"/>
  <c r="AO366" i="13"/>
  <c r="AO270" i="13"/>
  <c r="AO200" i="13"/>
  <c r="AO136" i="13"/>
  <c r="AO72" i="13"/>
  <c r="AO522" i="13"/>
  <c r="AO398" i="13"/>
  <c r="AO302" i="13"/>
  <c r="AO231" i="13"/>
  <c r="AO61" i="13"/>
  <c r="AO332" i="13"/>
  <c r="AO396" i="13"/>
  <c r="AO460" i="13"/>
  <c r="AO299" i="13"/>
  <c r="AO363" i="13"/>
  <c r="AN83" i="4" s="1"/>
  <c r="AO427" i="13"/>
  <c r="AO711" i="13"/>
  <c r="AO872" i="13"/>
  <c r="AO715" i="13"/>
  <c r="AO843" i="13"/>
  <c r="AO970" i="13"/>
  <c r="AO869" i="13"/>
  <c r="AO941" i="13"/>
  <c r="AO973" i="13"/>
  <c r="AO1061" i="13"/>
  <c r="AO1113" i="13"/>
  <c r="AO1106" i="13"/>
  <c r="AO1222" i="13"/>
  <c r="AO1286" i="13"/>
  <c r="AO442" i="13"/>
  <c r="AO290" i="13"/>
  <c r="AO213" i="13"/>
  <c r="AO83" i="13"/>
  <c r="AO74" i="13"/>
  <c r="AO158" i="13"/>
  <c r="AO154" i="13"/>
  <c r="AO70" i="13"/>
  <c r="AO1043" i="13"/>
  <c r="AO1152" i="13"/>
  <c r="AO1148" i="13"/>
  <c r="AO972" i="13"/>
  <c r="AO909" i="13"/>
  <c r="AO983" i="13"/>
  <c r="AO818" i="13"/>
  <c r="AO690" i="13"/>
  <c r="AO571" i="13"/>
  <c r="AO551" i="13"/>
  <c r="AO433" i="13"/>
  <c r="AO248" i="13"/>
  <c r="AO192" i="13"/>
  <c r="AO48" i="13"/>
  <c r="AO461" i="13"/>
  <c r="AO318" i="13"/>
  <c r="AO21" i="13"/>
  <c r="AO292" i="13"/>
  <c r="AO372" i="13"/>
  <c r="AO452" i="13"/>
  <c r="AO543" i="13"/>
  <c r="AO339" i="13"/>
  <c r="AO419" i="13"/>
  <c r="AO585" i="13"/>
  <c r="AO645" i="13"/>
  <c r="AO564" i="13"/>
  <c r="AO628" i="13"/>
  <c r="AO692" i="13"/>
  <c r="AO832" i="13"/>
  <c r="AO771" i="13"/>
  <c r="AO930" i="13"/>
  <c r="AN387" i="4" s="1"/>
  <c r="AO1118" i="13"/>
  <c r="AO937" i="13"/>
  <c r="AN558" i="4" s="1"/>
  <c r="AO1057" i="13"/>
  <c r="AO1049" i="13"/>
  <c r="AO1089" i="13"/>
  <c r="AO1251" i="13"/>
  <c r="AO334" i="13"/>
  <c r="AO221" i="13"/>
  <c r="AO162" i="13"/>
  <c r="AO22" i="13"/>
  <c r="AO224" i="13"/>
  <c r="AO1197" i="13"/>
  <c r="AO1160" i="13"/>
  <c r="AO1107" i="13"/>
  <c r="AO1032" i="13"/>
  <c r="AO916" i="13"/>
  <c r="AO1016" i="13"/>
  <c r="AO882" i="13"/>
  <c r="AO761" i="13"/>
  <c r="AO854" i="13"/>
  <c r="AO842" i="13"/>
  <c r="AO579" i="13"/>
  <c r="AO575" i="13"/>
  <c r="AO410" i="13"/>
  <c r="AO293" i="13"/>
  <c r="AO202" i="13"/>
  <c r="AO563" i="13"/>
  <c r="AO406" i="13"/>
  <c r="AO81" i="13"/>
  <c r="AO215" i="13"/>
  <c r="AO312" i="13"/>
  <c r="AO392" i="13"/>
  <c r="AO520" i="13"/>
  <c r="AN256" i="4" s="1"/>
  <c r="AO839" i="13"/>
  <c r="AO971" i="13"/>
  <c r="AO1203" i="13"/>
  <c r="AO1177" i="13"/>
  <c r="AN386" i="4" s="1"/>
  <c r="AO1233" i="13"/>
  <c r="AO1282" i="13"/>
  <c r="AO155" i="13"/>
  <c r="AO165" i="13"/>
  <c r="X1297" i="13"/>
  <c r="W1299" i="13"/>
  <c r="AO1295" i="13"/>
  <c r="V1296" i="13"/>
  <c r="W1295" i="13"/>
  <c r="V1297" i="13"/>
  <c r="U1297" i="13"/>
  <c r="V1290" i="13"/>
  <c r="U1298" i="13"/>
  <c r="X1296" i="13"/>
  <c r="V1293" i="13"/>
  <c r="U1296" i="13"/>
  <c r="AO1291" i="13"/>
  <c r="AO50" i="13"/>
  <c r="AO153" i="13"/>
  <c r="AO242" i="13"/>
  <c r="AO193" i="13"/>
  <c r="AO161" i="13"/>
  <c r="AO171" i="13"/>
  <c r="AO232" i="13"/>
  <c r="AO333" i="13"/>
  <c r="AO1266" i="13"/>
  <c r="AO1283" i="13"/>
  <c r="AO1208" i="13"/>
  <c r="AO1157" i="13"/>
  <c r="AO1025" i="13"/>
  <c r="AO963" i="13"/>
  <c r="AO931" i="13"/>
  <c r="AO1120" i="13"/>
  <c r="AO950" i="13"/>
  <c r="AO759" i="13"/>
  <c r="AO852" i="13"/>
  <c r="AO685" i="13"/>
  <c r="AO632" i="13"/>
  <c r="AO584" i="13"/>
  <c r="AO691" i="13"/>
  <c r="AO589" i="13"/>
  <c r="AO535" i="13"/>
  <c r="AO1297" i="13"/>
  <c r="W1294" i="13"/>
  <c r="W1297" i="13"/>
  <c r="V1295" i="13"/>
  <c r="W1291" i="13"/>
  <c r="V1291" i="13"/>
  <c r="X1295" i="13"/>
  <c r="AO1293" i="13"/>
  <c r="U1295" i="13"/>
  <c r="W1290" i="13"/>
  <c r="U1299" i="13"/>
  <c r="AO27" i="13"/>
  <c r="AO198" i="13"/>
  <c r="AO244" i="13"/>
  <c r="AO26" i="13"/>
  <c r="AO190" i="13"/>
  <c r="AO187" i="13"/>
  <c r="AO249" i="13"/>
  <c r="AO386" i="13"/>
  <c r="AO1250" i="13"/>
  <c r="AO1263" i="13"/>
  <c r="AO1213" i="13"/>
  <c r="AO1141" i="13"/>
  <c r="AO1176" i="13"/>
  <c r="AO998" i="13"/>
  <c r="AO1021" i="13"/>
  <c r="AO1010" i="13"/>
  <c r="AO955" i="13"/>
  <c r="AO910" i="13"/>
  <c r="AO993" i="13"/>
  <c r="AO934" i="13"/>
  <c r="AO926" i="13"/>
  <c r="AO836" i="13"/>
  <c r="AN554" i="4" s="1"/>
  <c r="AO772" i="13"/>
  <c r="AO568" i="13"/>
  <c r="AO631" i="13"/>
  <c r="AO573" i="13"/>
  <c r="AO455" i="13"/>
  <c r="AO391" i="13"/>
  <c r="AO327" i="13"/>
  <c r="AO545" i="13"/>
  <c r="AO424" i="13"/>
  <c r="AO1298" i="13"/>
  <c r="W1296" i="13"/>
  <c r="AO1294" i="13"/>
  <c r="V1294" i="13"/>
  <c r="X1299" i="13"/>
  <c r="V1292" i="13"/>
  <c r="X1294" i="13"/>
  <c r="U1294" i="13"/>
  <c r="W1293" i="13"/>
  <c r="AO1292" i="13"/>
  <c r="AO63" i="13"/>
  <c r="AO137" i="13"/>
  <c r="AO51" i="13"/>
  <c r="AO71" i="13"/>
  <c r="AO201" i="13"/>
  <c r="AO429" i="13"/>
  <c r="AO534" i="13"/>
  <c r="AN682" i="4" s="1"/>
  <c r="AO1247" i="13"/>
  <c r="AO1187" i="13"/>
  <c r="AO1125" i="13"/>
  <c r="AO1180" i="13"/>
  <c r="AO1168" i="13"/>
  <c r="AO1077" i="13"/>
  <c r="AO1184" i="13"/>
  <c r="AO1110" i="13"/>
  <c r="AO997" i="13"/>
  <c r="AO947" i="13"/>
  <c r="AO881" i="13"/>
  <c r="AO884" i="13"/>
  <c r="AO820" i="13"/>
  <c r="AO552" i="13"/>
  <c r="AO712" i="13"/>
  <c r="AO439" i="13"/>
  <c r="AO375" i="13"/>
  <c r="AO311" i="13"/>
  <c r="AO536" i="13"/>
  <c r="AN685" i="4" s="1"/>
  <c r="AO408" i="13"/>
  <c r="AO344" i="13"/>
  <c r="AO280" i="13"/>
  <c r="AO233" i="13"/>
  <c r="AO445" i="13"/>
  <c r="AO49" i="13"/>
  <c r="AO113" i="13"/>
  <c r="AN509" i="4" s="1"/>
  <c r="AO508" i="4" s="1"/>
  <c r="AO294" i="13"/>
  <c r="AO377" i="13"/>
  <c r="AO60" i="13"/>
  <c r="AO188" i="13"/>
  <c r="AO243" i="13"/>
  <c r="AO342" i="13"/>
  <c r="AO426" i="13"/>
  <c r="AO686" i="13"/>
  <c r="AO929" i="13"/>
  <c r="AO773" i="13"/>
  <c r="AO875" i="13"/>
  <c r="AO729" i="13"/>
  <c r="AO883" i="13"/>
  <c r="AO777" i="13"/>
  <c r="AO901" i="13"/>
  <c r="AO968" i="13"/>
  <c r="AO1146" i="13"/>
  <c r="AO1040" i="13"/>
  <c r="AO1128" i="13"/>
  <c r="AO23" i="13"/>
  <c r="AO178" i="13"/>
  <c r="AO138" i="13"/>
  <c r="AO54" i="13"/>
  <c r="AO75" i="13"/>
  <c r="AO205" i="13"/>
  <c r="AO278" i="13"/>
  <c r="AO430" i="13"/>
  <c r="AO549" i="13"/>
  <c r="AO1121" i="13"/>
  <c r="AO1165" i="13"/>
  <c r="AO1102" i="13"/>
  <c r="AO1164" i="13"/>
  <c r="AO1103" i="13"/>
  <c r="AO986" i="13"/>
  <c r="AO945" i="13"/>
  <c r="AO877" i="13"/>
  <c r="AO1090" i="13"/>
  <c r="AO851" i="13"/>
  <c r="AO880" i="13"/>
  <c r="AO816" i="13"/>
  <c r="AO732" i="13"/>
  <c r="AO548" i="13"/>
  <c r="AO708" i="13"/>
  <c r="AO435" i="13"/>
  <c r="AO371" i="13"/>
  <c r="AO307" i="13"/>
  <c r="AO404" i="13"/>
  <c r="AO340" i="13"/>
  <c r="AO276" i="13"/>
  <c r="AO237" i="13"/>
  <c r="AO446" i="13"/>
  <c r="AO53" i="13"/>
  <c r="AO117" i="13"/>
  <c r="AO297" i="13"/>
  <c r="AO378" i="13"/>
  <c r="AO64" i="13"/>
  <c r="AO1280" i="13"/>
  <c r="AO1220" i="13"/>
  <c r="AO1219" i="13"/>
  <c r="AN383" i="4" s="1"/>
  <c r="AO1052" i="13"/>
  <c r="AO1142" i="13"/>
  <c r="AO586" i="13"/>
  <c r="AO365" i="13"/>
  <c r="AO68" i="13"/>
  <c r="AO121" i="13"/>
  <c r="AO272" i="13"/>
  <c r="AO756" i="13"/>
  <c r="AO812" i="13"/>
  <c r="AO847" i="13"/>
  <c r="AO982" i="13"/>
  <c r="AO157" i="13"/>
  <c r="AO1227" i="13"/>
  <c r="AO1252" i="13"/>
  <c r="AO1175" i="13"/>
  <c r="AO1147" i="13"/>
  <c r="AO1124" i="13"/>
  <c r="AO897" i="13"/>
  <c r="AO866" i="13"/>
  <c r="AO421" i="13"/>
  <c r="AO116" i="13"/>
  <c r="AO274" i="13"/>
  <c r="AO223" i="13"/>
  <c r="AO447" i="13"/>
  <c r="AO764" i="13"/>
  <c r="AO951" i="13"/>
  <c r="AO1242" i="13"/>
  <c r="AO195" i="13"/>
  <c r="AO1268" i="13"/>
  <c r="AO1240" i="13"/>
  <c r="AO1159" i="13"/>
  <c r="AO1115" i="13"/>
  <c r="AO944" i="13"/>
  <c r="AO646" i="13"/>
  <c r="AO164" i="13"/>
  <c r="AO326" i="13"/>
  <c r="AO432" i="13"/>
  <c r="AO399" i="13"/>
  <c r="AO751" i="13"/>
  <c r="AO918" i="13"/>
  <c r="AO1006" i="13"/>
  <c r="AO1200" i="13"/>
  <c r="AO1229" i="13"/>
  <c r="AO236" i="13"/>
  <c r="AO31" i="13"/>
  <c r="AO39" i="13"/>
  <c r="AO1264" i="13"/>
  <c r="AO1235" i="13"/>
  <c r="AO1190" i="13"/>
  <c r="AO1205" i="13"/>
  <c r="AO1123" i="13"/>
  <c r="AO1105" i="13"/>
  <c r="AO908" i="13"/>
  <c r="AO919" i="13"/>
  <c r="AO713" i="13"/>
  <c r="AO570" i="13"/>
  <c r="AO282" i="13"/>
  <c r="AO73" i="13"/>
  <c r="AO320" i="13"/>
  <c r="AO287" i="13"/>
  <c r="AO540" i="13"/>
  <c r="AO860" i="13"/>
  <c r="AO958" i="13"/>
  <c r="AO1050" i="13"/>
  <c r="AO454" i="13"/>
  <c r="AO1126" i="13"/>
  <c r="AO1031" i="13"/>
  <c r="AO1060" i="13"/>
  <c r="AO1097" i="13"/>
  <c r="AO964" i="13"/>
  <c r="AO898" i="13"/>
  <c r="AO766" i="13"/>
  <c r="AO874" i="13"/>
  <c r="AO867" i="13"/>
  <c r="AO770" i="13"/>
  <c r="AO923" i="13"/>
  <c r="AO506" i="13"/>
  <c r="AO425" i="13"/>
  <c r="AO341" i="13"/>
  <c r="AO239" i="13"/>
  <c r="AO184" i="13"/>
  <c r="AO120" i="13"/>
  <c r="AO56" i="13"/>
  <c r="AO374" i="13"/>
  <c r="AO286" i="13"/>
  <c r="AO45" i="13"/>
  <c r="AO417" i="13"/>
  <c r="AO227" i="13"/>
  <c r="AO284" i="13"/>
  <c r="AO412" i="13"/>
  <c r="AO539" i="13"/>
  <c r="AN680" i="4" s="1"/>
  <c r="AO315" i="13"/>
  <c r="AO379" i="13"/>
  <c r="AN384" i="4" s="1"/>
  <c r="AO443" i="13"/>
  <c r="AO507" i="13"/>
  <c r="AO625" i="13"/>
  <c r="AO760" i="13"/>
  <c r="AO731" i="13"/>
  <c r="AO1099" i="13"/>
  <c r="AO949" i="13"/>
  <c r="AO1013" i="13"/>
  <c r="AO1112" i="13"/>
  <c r="AO1081" i="13"/>
  <c r="AO1173" i="13"/>
  <c r="AO1185" i="13"/>
  <c r="AO1129" i="13"/>
  <c r="AO1193" i="13"/>
  <c r="AO1267" i="13"/>
  <c r="AO418" i="13"/>
  <c r="AO199" i="13"/>
  <c r="AO135" i="13"/>
  <c r="AO32" i="13"/>
  <c r="AO43" i="13"/>
  <c r="AO66" i="13"/>
  <c r="AO59" i="13"/>
  <c r="AO1122" i="13"/>
  <c r="AO1015" i="13"/>
  <c r="AO1091" i="13"/>
  <c r="AO1055" i="13"/>
  <c r="AO1047" i="13"/>
  <c r="AO1000" i="13"/>
  <c r="AO956" i="13"/>
  <c r="AO829" i="13"/>
  <c r="AO863" i="13"/>
  <c r="AO754" i="13"/>
  <c r="AO907" i="13"/>
  <c r="AO774" i="13"/>
  <c r="AO550" i="13"/>
  <c r="AO583" i="13"/>
  <c r="AO413" i="13"/>
  <c r="AO330" i="13"/>
  <c r="AO220" i="13"/>
  <c r="AO176" i="13"/>
  <c r="AO112" i="13"/>
  <c r="AO28" i="13"/>
  <c r="AO414" i="13"/>
  <c r="AO219" i="13"/>
  <c r="AO308" i="13"/>
  <c r="AO388" i="13"/>
  <c r="AO275" i="13"/>
  <c r="AO580" i="13"/>
  <c r="AO644" i="13"/>
  <c r="AO768" i="13"/>
  <c r="AO848" i="13"/>
  <c r="AO1041" i="13"/>
  <c r="AO946" i="13"/>
  <c r="AO861" i="13"/>
  <c r="AO953" i="13"/>
  <c r="AO1033" i="13"/>
  <c r="AO1116" i="13"/>
  <c r="AO1214" i="13"/>
  <c r="AO1246" i="13"/>
  <c r="AO313" i="13"/>
  <c r="AO191" i="13"/>
  <c r="AO169" i="13"/>
  <c r="AO1179" i="13"/>
  <c r="AO1084" i="13"/>
  <c r="AO992" i="13"/>
  <c r="AO900" i="13"/>
  <c r="AO952" i="13"/>
  <c r="AO850" i="13"/>
  <c r="AO903" i="13"/>
  <c r="AO830" i="13"/>
  <c r="AO706" i="13"/>
  <c r="AO765" i="13"/>
  <c r="AO389" i="13"/>
  <c r="AO271" i="13"/>
  <c r="AO172" i="13"/>
  <c r="AO361" i="13"/>
  <c r="AO253" i="13"/>
  <c r="AO65" i="13"/>
  <c r="AO24" i="13"/>
  <c r="AO328" i="13"/>
  <c r="AO440" i="13"/>
  <c r="AO279" i="13"/>
  <c r="AO407" i="13"/>
  <c r="AN13" i="4" s="1"/>
  <c r="AO868" i="13"/>
  <c r="AO966" i="13"/>
  <c r="AO449" i="13"/>
  <c r="AO177" i="13"/>
  <c r="W1292" i="13"/>
  <c r="X1298" i="13"/>
  <c r="V1299" i="13"/>
  <c r="W1298" i="13"/>
  <c r="U10" i="13"/>
  <c r="U15" i="13"/>
  <c r="U11" i="13"/>
  <c r="U16" i="13"/>
  <c r="U7" i="13"/>
  <c r="U12" i="13"/>
  <c r="U18" i="13"/>
  <c r="U8" i="13"/>
  <c r="U14" i="13"/>
  <c r="R1146" i="13"/>
  <c r="G1555" i="1"/>
  <c r="H1555" i="1" s="1"/>
  <c r="G1083" i="1"/>
  <c r="H1083" i="1" s="1"/>
  <c r="G249" i="4"/>
  <c r="JM25" i="17418"/>
  <c r="BX37" i="17418"/>
  <c r="HX37" i="17418" s="1"/>
  <c r="DU37" i="17418"/>
  <c r="JU37" i="17418" s="1"/>
  <c r="FR37" i="17418"/>
  <c r="DT36" i="17418"/>
  <c r="JT36" i="17418" s="1"/>
  <c r="FQ36" i="17418"/>
  <c r="BW36" i="17418"/>
  <c r="HW36" i="17418" s="1"/>
  <c r="HO25" i="17418"/>
  <c r="DU25" i="17418"/>
  <c r="BX25" i="17418"/>
  <c r="FR25" i="17418"/>
  <c r="JL25" i="17418"/>
  <c r="DT27" i="17418"/>
  <c r="BW27" i="17418"/>
  <c r="HW27" i="17418" s="1"/>
  <c r="FQ27" i="17418"/>
  <c r="JK27" i="17418"/>
  <c r="DU24" i="17418"/>
  <c r="BX24" i="17418"/>
  <c r="HO24" i="17418"/>
  <c r="FR24" i="17418"/>
  <c r="JL24" i="17418"/>
  <c r="HO23" i="17418"/>
  <c r="DU23" i="17418"/>
  <c r="BX23" i="17418"/>
  <c r="FR23" i="17418"/>
  <c r="JL23" i="17418"/>
  <c r="HN26" i="17418"/>
  <c r="DT26" i="17418"/>
  <c r="BW26" i="17418"/>
  <c r="FQ26" i="17418"/>
  <c r="JK26" i="17418"/>
  <c r="HN25" i="17418"/>
  <c r="DT25" i="17418"/>
  <c r="BW25" i="17418"/>
  <c r="FQ25" i="17418"/>
  <c r="JK25" i="17418"/>
  <c r="DT24" i="17418"/>
  <c r="FQ24" i="17418"/>
  <c r="BW24" i="17418"/>
  <c r="HN24" i="17418"/>
  <c r="JK24" i="17418"/>
  <c r="DU27" i="17418"/>
  <c r="BX27" i="17418"/>
  <c r="HX27" i="17418" s="1"/>
  <c r="JL27" i="17418"/>
  <c r="FR27" i="17418"/>
  <c r="BY37" i="17418"/>
  <c r="HY37" i="17418" s="1"/>
  <c r="DV37" i="17418"/>
  <c r="JV37" i="17418" s="1"/>
  <c r="FS37" i="17418"/>
  <c r="DV27" i="17418"/>
  <c r="BY27" i="17418"/>
  <c r="HY27" i="17418" s="1"/>
  <c r="FS27" i="17418"/>
  <c r="JM27" i="17418"/>
  <c r="DU36" i="17418"/>
  <c r="JU36" i="17418" s="1"/>
  <c r="FR36" i="17418"/>
  <c r="BX36" i="17418"/>
  <c r="HX36" i="17418" s="1"/>
  <c r="DT37" i="17418"/>
  <c r="JT37" i="17418" s="1"/>
  <c r="FQ37" i="17418"/>
  <c r="BW37" i="17418"/>
  <c r="HW37" i="17418" s="1"/>
  <c r="HO26" i="17418"/>
  <c r="DU26" i="17418"/>
  <c r="BX26" i="17418"/>
  <c r="JL26" i="17418"/>
  <c r="FR26" i="17418"/>
  <c r="HN23" i="17418"/>
  <c r="DT23" i="17418"/>
  <c r="BW23" i="17418"/>
  <c r="JK23" i="17418"/>
  <c r="FQ23" i="17418"/>
  <c r="G1113" i="1"/>
  <c r="H1113" i="1" s="1"/>
  <c r="Q414" i="6"/>
  <c r="Q77" i="6"/>
  <c r="E102" i="17412"/>
  <c r="H1550" i="1"/>
  <c r="E98" i="17412"/>
  <c r="H1597" i="1"/>
  <c r="E145" i="17412"/>
  <c r="H1472" i="1"/>
  <c r="E20" i="17412"/>
  <c r="H1526" i="1"/>
  <c r="E74" i="17412"/>
  <c r="H1464" i="1"/>
  <c r="E12" i="17412"/>
  <c r="R12" i="17412" s="1"/>
  <c r="H1521" i="1"/>
  <c r="E69" i="17412"/>
  <c r="H1556" i="1"/>
  <c r="E104" i="17412"/>
  <c r="H1533" i="1"/>
  <c r="E81" i="17412"/>
  <c r="H1480" i="1"/>
  <c r="E28" i="17412"/>
  <c r="H1633" i="1"/>
  <c r="E180" i="17412"/>
  <c r="H1628" i="1"/>
  <c r="E176" i="17412"/>
  <c r="R176" i="17412" s="1"/>
  <c r="H1617" i="1"/>
  <c r="E71" i="17412"/>
  <c r="H1461" i="1"/>
  <c r="E8" i="17412"/>
  <c r="H1557" i="1"/>
  <c r="E105" i="17412"/>
  <c r="H1570" i="1"/>
  <c r="E118" i="17412"/>
  <c r="H1599" i="1"/>
  <c r="E147" i="17412"/>
  <c r="H1547" i="1"/>
  <c r="E95" i="17412"/>
  <c r="H1478" i="1"/>
  <c r="E26" i="17412"/>
  <c r="L286" i="6"/>
  <c r="P286" i="6" s="1"/>
  <c r="L984" i="13"/>
  <c r="P984" i="13" s="1"/>
  <c r="T987" i="13" s="1"/>
  <c r="L441" i="6"/>
  <c r="L784" i="13"/>
  <c r="P784" i="13" s="1"/>
  <c r="L1242" i="13"/>
  <c r="P1242" i="13" s="1"/>
  <c r="L996" i="13"/>
  <c r="P996" i="13" s="1"/>
  <c r="L56" i="6"/>
  <c r="P56" i="6" s="1"/>
  <c r="L229" i="6"/>
  <c r="L50" i="6"/>
  <c r="P50" i="6" s="1"/>
  <c r="T50" i="6" s="1"/>
  <c r="L313" i="6"/>
  <c r="P313" i="6" s="1"/>
  <c r="L296" i="6"/>
  <c r="P296" i="6" s="1"/>
  <c r="L273" i="6"/>
  <c r="L330" i="6"/>
  <c r="P330" i="6" s="1"/>
  <c r="L263" i="6"/>
  <c r="P263" i="6" s="1"/>
  <c r="L276" i="13"/>
  <c r="L236" i="6"/>
  <c r="P236" i="6" s="1"/>
  <c r="L329" i="13"/>
  <c r="R329" i="13" s="1"/>
  <c r="L344" i="13"/>
  <c r="L336" i="13"/>
  <c r="L715" i="13"/>
  <c r="L587" i="13"/>
  <c r="L660" i="13"/>
  <c r="P660" i="13" s="1"/>
  <c r="L979" i="13"/>
  <c r="L578" i="13"/>
  <c r="P578" i="13" s="1"/>
  <c r="L728" i="13"/>
  <c r="L372" i="6"/>
  <c r="P372" i="6" s="1"/>
  <c r="L807" i="13"/>
  <c r="L818" i="13"/>
  <c r="L369" i="6"/>
  <c r="P369" i="6" s="1"/>
  <c r="T368" i="6" s="1"/>
  <c r="L795" i="13"/>
  <c r="P795" i="13" s="1"/>
  <c r="L631" i="13"/>
  <c r="L482" i="6"/>
  <c r="P482" i="6" s="1"/>
  <c r="L277" i="6"/>
  <c r="P277" i="6" s="1"/>
  <c r="L747" i="13"/>
  <c r="P747" i="13" s="1"/>
  <c r="L1206" i="13"/>
  <c r="P1206" i="13" s="1"/>
  <c r="L824" i="13"/>
  <c r="L365" i="6"/>
  <c r="P365" i="6" s="1"/>
  <c r="L405" i="6"/>
  <c r="H1589" i="1"/>
  <c r="L398" i="13"/>
  <c r="L980" i="13"/>
  <c r="P980" i="13" s="1"/>
  <c r="L425" i="6"/>
  <c r="P425" i="6" s="1"/>
  <c r="L409" i="6"/>
  <c r="P409" i="6" s="1"/>
  <c r="L381" i="6"/>
  <c r="P381" i="6" s="1"/>
  <c r="L411" i="6"/>
  <c r="P411" i="6" s="1"/>
  <c r="L632" i="13"/>
  <c r="L379" i="6"/>
  <c r="L419" i="6"/>
  <c r="P419" i="6" s="1"/>
  <c r="L11" i="13"/>
  <c r="P11" i="13" s="1"/>
  <c r="L327" i="13"/>
  <c r="P327" i="13" s="1"/>
  <c r="L143" i="13"/>
  <c r="L1174" i="13"/>
  <c r="L274" i="6"/>
  <c r="P274" i="6" s="1"/>
  <c r="L297" i="6"/>
  <c r="P297" i="6" s="1"/>
  <c r="L75" i="6"/>
  <c r="L479" i="6"/>
  <c r="L1257" i="13"/>
  <c r="L351" i="13"/>
  <c r="L260" i="13"/>
  <c r="P260" i="13" s="1"/>
  <c r="L646" i="13"/>
  <c r="P646" i="13" s="1"/>
  <c r="L1238" i="13"/>
  <c r="P1238" i="13" s="1"/>
  <c r="L243" i="6"/>
  <c r="L351" i="6"/>
  <c r="L73" i="6"/>
  <c r="P73" i="6" s="1"/>
  <c r="L197" i="13"/>
  <c r="R197" i="13" s="1"/>
  <c r="L126" i="13"/>
  <c r="L215" i="13"/>
  <c r="L64" i="6"/>
  <c r="P64" i="6" s="1"/>
  <c r="L349" i="6"/>
  <c r="L71" i="6"/>
  <c r="L19" i="6"/>
  <c r="P19" i="6" s="1"/>
  <c r="L101" i="13"/>
  <c r="P101" i="13" s="1"/>
  <c r="L88" i="13"/>
  <c r="P88" i="13" s="1"/>
  <c r="L362" i="13"/>
  <c r="L172" i="13"/>
  <c r="L995" i="13"/>
  <c r="P995" i="13" s="1"/>
  <c r="L17" i="6"/>
  <c r="P17" i="6" s="1"/>
  <c r="L58" i="6"/>
  <c r="P58" i="6" s="1"/>
  <c r="T57" i="6" s="1"/>
  <c r="L314" i="6"/>
  <c r="L331" i="6"/>
  <c r="L184" i="6"/>
  <c r="P184" i="6" s="1"/>
  <c r="T181" i="6" s="1"/>
  <c r="L434" i="6"/>
  <c r="P434" i="6" s="1"/>
  <c r="L387" i="6"/>
  <c r="P387" i="6" s="1"/>
  <c r="L392" i="13"/>
  <c r="L366" i="6"/>
  <c r="P366" i="6" s="1"/>
  <c r="L931" i="13"/>
  <c r="P931" i="13" s="1"/>
  <c r="T931" i="13" s="1"/>
  <c r="L1243" i="13"/>
  <c r="P1243" i="13" s="1"/>
  <c r="L326" i="13"/>
  <c r="H1498" i="1"/>
  <c r="L507" i="13"/>
  <c r="P507" i="13" s="1"/>
  <c r="T507" i="13" s="1"/>
  <c r="L368" i="13"/>
  <c r="P368" i="13" s="1"/>
  <c r="L67" i="6"/>
  <c r="L53" i="6"/>
  <c r="P53" i="6" s="1"/>
  <c r="T51" i="6" s="1"/>
  <c r="L60" i="6"/>
  <c r="P60" i="6" s="1"/>
  <c r="T60" i="6" s="1"/>
  <c r="L577" i="13"/>
  <c r="P577" i="13" s="1"/>
  <c r="L226" i="6"/>
  <c r="P226" i="6" s="1"/>
  <c r="L505" i="13"/>
  <c r="R505" i="13" s="1"/>
  <c r="L271" i="6"/>
  <c r="P271" i="6" s="1"/>
  <c r="D124" i="17412"/>
  <c r="F1576" i="1" s="1"/>
  <c r="L116" i="13" s="1"/>
  <c r="P116" i="13" s="1"/>
  <c r="D177" i="17412"/>
  <c r="F1629" i="1" s="1"/>
  <c r="L1361" i="13" s="1"/>
  <c r="D127" i="17412"/>
  <c r="F1579" i="1" s="1"/>
  <c r="H1579" i="1" s="1"/>
  <c r="D93" i="17412"/>
  <c r="F1545" i="1" s="1"/>
  <c r="H1545" i="1" s="1"/>
  <c r="D164" i="17412"/>
  <c r="F1616" i="1" s="1"/>
  <c r="H1571" i="1"/>
  <c r="D120" i="17412"/>
  <c r="F1572" i="1" s="1"/>
  <c r="T92" i="17412"/>
  <c r="T75" i="17412"/>
  <c r="T58" i="17412"/>
  <c r="T46" i="17412"/>
  <c r="T33" i="17412"/>
  <c r="T15" i="17412"/>
  <c r="D36" i="17412"/>
  <c r="F1488" i="1" s="1"/>
  <c r="L244" i="4" s="1"/>
  <c r="P244" i="4" s="1"/>
  <c r="T244" i="4" s="1"/>
  <c r="D140" i="17412"/>
  <c r="F1592" i="1" s="1"/>
  <c r="D125" i="17412"/>
  <c r="F1577" i="1" s="1"/>
  <c r="L716" i="13" s="1"/>
  <c r="P716" i="13" s="1"/>
  <c r="D173" i="17412"/>
  <c r="F1625" i="1" s="1"/>
  <c r="H1625" i="1" s="1"/>
  <c r="D150" i="17412"/>
  <c r="F1602" i="1" s="1"/>
  <c r="L1205" i="13" s="1"/>
  <c r="P1205" i="13" s="1"/>
  <c r="H1585" i="1"/>
  <c r="T107" i="17412"/>
  <c r="T90" i="17412"/>
  <c r="T56" i="17412"/>
  <c r="T42" i="17412"/>
  <c r="T30" i="17412"/>
  <c r="J1482" i="1" s="1"/>
  <c r="D68" i="17412"/>
  <c r="F1520" i="1" s="1"/>
  <c r="D62" i="17412"/>
  <c r="F1514" i="1" s="1"/>
  <c r="H1514" i="1" s="1"/>
  <c r="H1527" i="1"/>
  <c r="H1544" i="1"/>
  <c r="T100" i="17412"/>
  <c r="T50" i="17412"/>
  <c r="T39" i="17412"/>
  <c r="T27" i="17412"/>
  <c r="D86" i="17412"/>
  <c r="F1538" i="1" s="1"/>
  <c r="H1574" i="1"/>
  <c r="T48" i="17412"/>
  <c r="T24" i="17412"/>
  <c r="E591" i="13"/>
  <c r="Q591" i="13" s="1"/>
  <c r="G1588" i="1"/>
  <c r="G1562" i="1"/>
  <c r="G1609" i="1"/>
  <c r="G1535" i="1"/>
  <c r="G1529" i="1"/>
  <c r="G1601" i="1"/>
  <c r="G1138" i="1"/>
  <c r="H1138" i="1" s="1"/>
  <c r="G1176" i="1"/>
  <c r="H1176" i="1" s="1"/>
  <c r="G1177" i="1"/>
  <c r="H1177" i="1" s="1"/>
  <c r="G1104" i="1"/>
  <c r="H1104" i="1" s="1"/>
  <c r="G1139" i="1"/>
  <c r="H1139" i="1" s="1"/>
  <c r="G1619" i="1"/>
  <c r="G1616" i="1"/>
  <c r="G1470" i="1"/>
  <c r="G1549" i="1"/>
  <c r="G976" i="1"/>
  <c r="H976" i="1" s="1"/>
  <c r="G1089" i="1"/>
  <c r="H1089" i="1" s="1"/>
  <c r="O674" i="13"/>
  <c r="P674" i="13" s="1"/>
  <c r="R851" i="13"/>
  <c r="R1110" i="13"/>
  <c r="R15" i="13"/>
  <c r="R450" i="6"/>
  <c r="R118" i="6"/>
  <c r="R128" i="6"/>
  <c r="R127" i="6"/>
  <c r="R116" i="6"/>
  <c r="R122" i="6"/>
  <c r="R135" i="6"/>
  <c r="R120" i="6"/>
  <c r="R121" i="6"/>
  <c r="S93" i="17412"/>
  <c r="R119" i="17412"/>
  <c r="S153" i="17412"/>
  <c r="E271" i="13"/>
  <c r="Q271" i="13" s="1"/>
  <c r="E595" i="13"/>
  <c r="Q595" i="13" s="1"/>
  <c r="E172" i="13"/>
  <c r="Q172" i="13" s="1"/>
  <c r="E185" i="13"/>
  <c r="Q185" i="13" s="1"/>
  <c r="E1142" i="13"/>
  <c r="Q1142" i="13" s="1"/>
  <c r="G270" i="1" s="1"/>
  <c r="H270" i="1" s="1"/>
  <c r="E44" i="13"/>
  <c r="Q44" i="13" s="1"/>
  <c r="E694" i="13"/>
  <c r="Q694" i="13" s="1"/>
  <c r="E906" i="13"/>
  <c r="Q906" i="13" s="1"/>
  <c r="G1792" i="1"/>
  <c r="G1681" i="1"/>
  <c r="E204" i="13"/>
  <c r="Q204" i="13" s="1"/>
  <c r="G1713" i="1"/>
  <c r="O150" i="6"/>
  <c r="O149" i="6" s="1"/>
  <c r="O144" i="6"/>
  <c r="P144" i="6" s="1"/>
  <c r="O188" i="6"/>
  <c r="P188" i="6" s="1"/>
  <c r="O194" i="6"/>
  <c r="O193" i="6" s="1"/>
  <c r="E877" i="13"/>
  <c r="Q877" i="13" s="1"/>
  <c r="R877" i="13" s="1"/>
  <c r="E538" i="13"/>
  <c r="Q538" i="13" s="1"/>
  <c r="G124" i="1" s="1"/>
  <c r="H124" i="1" s="1"/>
  <c r="E632" i="13"/>
  <c r="E956" i="13"/>
  <c r="Q956" i="13" s="1"/>
  <c r="E775" i="13"/>
  <c r="Q775" i="13" s="1"/>
  <c r="E1029" i="13"/>
  <c r="Q1029" i="13" s="1"/>
  <c r="R1029" i="13" s="1"/>
  <c r="E380" i="13"/>
  <c r="Q380" i="13" s="1"/>
  <c r="E932" i="13"/>
  <c r="Q932" i="13" s="1"/>
  <c r="R932" i="13" s="1"/>
  <c r="E997" i="13"/>
  <c r="Q997" i="13" s="1"/>
  <c r="R997" i="13" s="1"/>
  <c r="E819" i="13"/>
  <c r="Q819" i="13" s="1"/>
  <c r="G1465" i="1" s="1"/>
  <c r="E160" i="13"/>
  <c r="Q160" i="13" s="1"/>
  <c r="R796" i="13"/>
  <c r="R729" i="13"/>
  <c r="E828" i="13"/>
  <c r="Q828" i="13" s="1"/>
  <c r="E832" i="13"/>
  <c r="Q832" i="13" s="1"/>
  <c r="R832" i="13" s="1"/>
  <c r="E827" i="13"/>
  <c r="Q827" i="13" s="1"/>
  <c r="E831" i="13"/>
  <c r="Q831" i="13" s="1"/>
  <c r="G207" i="1" s="1"/>
  <c r="H207" i="1" s="1"/>
  <c r="E998" i="13"/>
  <c r="Q998" i="13" s="1"/>
  <c r="R998" i="13" s="1"/>
  <c r="E988" i="13"/>
  <c r="Q988" i="13" s="1"/>
  <c r="E629" i="13"/>
  <c r="Q629" i="13" s="1"/>
  <c r="E630" i="13"/>
  <c r="Q630" i="13" s="1"/>
  <c r="R630" i="13" s="1"/>
  <c r="E876" i="13"/>
  <c r="Q876" i="13" s="1"/>
  <c r="R876" i="13" s="1"/>
  <c r="E954" i="13"/>
  <c r="Q954" i="13" s="1"/>
  <c r="E957" i="13"/>
  <c r="Q957" i="13" s="1"/>
  <c r="R957" i="13" s="1"/>
  <c r="E899" i="13"/>
  <c r="Q899" i="13" s="1"/>
  <c r="E909" i="13"/>
  <c r="Q909" i="13" s="1"/>
  <c r="E1022" i="13"/>
  <c r="Q1022" i="13" s="1"/>
  <c r="E1032" i="13"/>
  <c r="Q1032" i="13" s="1"/>
  <c r="G162" i="1" s="1"/>
  <c r="H162" i="1" s="1"/>
  <c r="E731" i="13"/>
  <c r="Q731" i="13" s="1"/>
  <c r="G199" i="1" s="1"/>
  <c r="H199" i="1" s="1"/>
  <c r="E159" i="13"/>
  <c r="Q159" i="13" s="1"/>
  <c r="E695" i="13"/>
  <c r="Q695" i="13" s="1"/>
  <c r="G1697" i="1"/>
  <c r="E276" i="13"/>
  <c r="Q276" i="13" s="1"/>
  <c r="E201" i="13"/>
  <c r="Q201" i="13" s="1"/>
  <c r="E169" i="13"/>
  <c r="Q169" i="13" s="1"/>
  <c r="E664" i="13"/>
  <c r="Q664" i="13" s="1"/>
  <c r="R664" i="13" s="1"/>
  <c r="G1652" i="1"/>
  <c r="E1050" i="13"/>
  <c r="Q1050" i="13" s="1"/>
  <c r="E631" i="13"/>
  <c r="Q631" i="13" s="1"/>
  <c r="E625" i="13"/>
  <c r="Q625" i="13" s="1"/>
  <c r="E868" i="13"/>
  <c r="Q868" i="13" s="1"/>
  <c r="E870" i="13"/>
  <c r="Q870" i="13" s="1"/>
  <c r="E966" i="13"/>
  <c r="Q966" i="13" s="1"/>
  <c r="E955" i="13"/>
  <c r="Q955" i="13" s="1"/>
  <c r="E896" i="13"/>
  <c r="Q896" i="13" s="1"/>
  <c r="R896" i="13" s="1"/>
  <c r="E913" i="13"/>
  <c r="Q913" i="13" s="1"/>
  <c r="E900" i="13"/>
  <c r="Q900" i="13" s="1"/>
  <c r="E1031" i="13"/>
  <c r="Q1031" i="13" s="1"/>
  <c r="G160" i="1" s="1"/>
  <c r="H160" i="1" s="1"/>
  <c r="E776" i="13"/>
  <c r="Q776" i="13" s="1"/>
  <c r="E730" i="13"/>
  <c r="Q730" i="13" s="1"/>
  <c r="G198" i="1" s="1"/>
  <c r="H198" i="1" s="1"/>
  <c r="E735" i="13"/>
  <c r="Q735" i="13" s="1"/>
  <c r="E162" i="13"/>
  <c r="Q162" i="13" s="1"/>
  <c r="R162" i="13" s="1"/>
  <c r="G248" i="4"/>
  <c r="E368" i="13"/>
  <c r="Q368" i="13" s="1"/>
  <c r="G1674" i="1"/>
  <c r="E203" i="13"/>
  <c r="Q203" i="13" s="1"/>
  <c r="R203" i="13" s="1"/>
  <c r="E961" i="13"/>
  <c r="Q961" i="13" s="1"/>
  <c r="E908" i="13"/>
  <c r="Q908" i="13" s="1"/>
  <c r="E897" i="13"/>
  <c r="Q897" i="13" s="1"/>
  <c r="R897" i="13" s="1"/>
  <c r="E733" i="13"/>
  <c r="Q733" i="13" s="1"/>
  <c r="G1669" i="1"/>
  <c r="E943" i="13"/>
  <c r="Q943" i="13" s="1"/>
  <c r="Q797" i="13"/>
  <c r="G1587" i="1" s="1"/>
  <c r="W1283" i="13"/>
  <c r="U115" i="13"/>
  <c r="E32" i="13"/>
  <c r="Q32" i="13" s="1"/>
  <c r="E650" i="13"/>
  <c r="Q650" i="13" s="1"/>
  <c r="R186" i="6"/>
  <c r="R447" i="6"/>
  <c r="G202" i="4"/>
  <c r="P442" i="6"/>
  <c r="E940" i="13"/>
  <c r="Q940" i="13" s="1"/>
  <c r="E811" i="13"/>
  <c r="Q811" i="13" s="1"/>
  <c r="G168" i="1" s="1"/>
  <c r="H168" i="1" s="1"/>
  <c r="E939" i="13"/>
  <c r="Q939" i="13" s="1"/>
  <c r="E269" i="13"/>
  <c r="Q269" i="13" s="1"/>
  <c r="O319" i="6"/>
  <c r="P319" i="6" s="1"/>
  <c r="M320" i="6"/>
  <c r="O320" i="6" s="1"/>
  <c r="M328" i="6"/>
  <c r="O326" i="6"/>
  <c r="O306" i="6"/>
  <c r="M307" i="6"/>
  <c r="M303" i="6"/>
  <c r="O303" i="6" s="1"/>
  <c r="P303" i="6" s="1"/>
  <c r="O302" i="6"/>
  <c r="P302" i="6" s="1"/>
  <c r="M290" i="6"/>
  <c r="O289" i="6"/>
  <c r="R105" i="13"/>
  <c r="E1287" i="13"/>
  <c r="Q1287" i="13" s="1"/>
  <c r="G183" i="1" s="1"/>
  <c r="H183" i="1" s="1"/>
  <c r="E1283" i="13"/>
  <c r="Q1283" i="13" s="1"/>
  <c r="E1288" i="13"/>
  <c r="Q1288" i="13" s="1"/>
  <c r="R1288" i="13" s="1"/>
  <c r="E1284" i="13"/>
  <c r="Q1284" i="13" s="1"/>
  <c r="R1284" i="13" s="1"/>
  <c r="E1279" i="13"/>
  <c r="Q1279" i="13" s="1"/>
  <c r="E1289" i="13"/>
  <c r="Q1289" i="13" s="1"/>
  <c r="R1289" i="13" s="1"/>
  <c r="E1285" i="13"/>
  <c r="Q1285" i="13" s="1"/>
  <c r="E1281" i="13"/>
  <c r="Q1281" i="13" s="1"/>
  <c r="E1286" i="13"/>
  <c r="Q1286" i="13" s="1"/>
  <c r="R1286" i="13" s="1"/>
  <c r="E1282" i="13"/>
  <c r="Q1282" i="13" s="1"/>
  <c r="E1280" i="13"/>
  <c r="Q1280" i="13" s="1"/>
  <c r="R756" i="13"/>
  <c r="X1283" i="13"/>
  <c r="W1285" i="13"/>
  <c r="X1286" i="13"/>
  <c r="X1281" i="13"/>
  <c r="X1284" i="13"/>
  <c r="V1283" i="13"/>
  <c r="V1280" i="13"/>
  <c r="V1288" i="13"/>
  <c r="W1282" i="13"/>
  <c r="X1287" i="13"/>
  <c r="X1280" i="13"/>
  <c r="W1288" i="13"/>
  <c r="W1281" i="13"/>
  <c r="X1288" i="13"/>
  <c r="V1286" i="13"/>
  <c r="X1285" i="13"/>
  <c r="W1279" i="13"/>
  <c r="M792" i="13"/>
  <c r="M790" i="13" s="1"/>
  <c r="M788" i="13" s="1"/>
  <c r="W1289" i="13"/>
  <c r="W1287" i="13"/>
  <c r="V1282" i="13"/>
  <c r="V1287" i="13"/>
  <c r="V1285" i="13"/>
  <c r="V1284" i="13"/>
  <c r="W1280" i="13"/>
  <c r="V1289" i="13"/>
  <c r="X1282" i="13"/>
  <c r="W1286" i="13"/>
  <c r="X1289" i="13"/>
  <c r="X1279" i="13"/>
  <c r="AV686" i="4" s="1"/>
  <c r="V1281" i="13"/>
  <c r="V1279" i="13"/>
  <c r="W1284" i="13"/>
  <c r="U1286" i="13"/>
  <c r="U1282" i="13"/>
  <c r="U1279" i="13"/>
  <c r="U1284" i="13"/>
  <c r="U1283" i="13"/>
  <c r="U1280" i="13"/>
  <c r="U1289" i="13"/>
  <c r="U1288" i="13"/>
  <c r="U1287" i="13"/>
  <c r="U1285" i="13"/>
  <c r="U1281" i="13"/>
  <c r="T848" i="13"/>
  <c r="T1284" i="13"/>
  <c r="T1283" i="13"/>
  <c r="T1286" i="13"/>
  <c r="T1288" i="13"/>
  <c r="T1289" i="13"/>
  <c r="T1287" i="13"/>
  <c r="T1285" i="13"/>
  <c r="T1282" i="13"/>
  <c r="T1281" i="13"/>
  <c r="T1280" i="13"/>
  <c r="T1279" i="13"/>
  <c r="Q746" i="13"/>
  <c r="O793" i="13"/>
  <c r="Q793" i="13" s="1"/>
  <c r="Q480" i="13"/>
  <c r="P746" i="13"/>
  <c r="O806" i="13"/>
  <c r="Q806" i="13" s="1"/>
  <c r="E279" i="13"/>
  <c r="Q279" i="13" s="1"/>
  <c r="V1249" i="13"/>
  <c r="X1262" i="13"/>
  <c r="U1238" i="13"/>
  <c r="X1261" i="13"/>
  <c r="U1227" i="13"/>
  <c r="S27" i="17412"/>
  <c r="U1273" i="13"/>
  <c r="W1278" i="13"/>
  <c r="R726" i="13"/>
  <c r="V1180" i="13"/>
  <c r="W1141" i="13"/>
  <c r="V1073" i="13"/>
  <c r="W535" i="13"/>
  <c r="V216" i="13"/>
  <c r="V326" i="13"/>
  <c r="W1272" i="13"/>
  <c r="S1275" i="13"/>
  <c r="V1273" i="13"/>
  <c r="U1275" i="13"/>
  <c r="V1277" i="13"/>
  <c r="T1277" i="13"/>
  <c r="V1272" i="13"/>
  <c r="U1271" i="13"/>
  <c r="U1276" i="13"/>
  <c r="W1276" i="13"/>
  <c r="T1255" i="13"/>
  <c r="X1103" i="13"/>
  <c r="V780" i="13"/>
  <c r="W305" i="13"/>
  <c r="T1276" i="13"/>
  <c r="V1278" i="13"/>
  <c r="T1271" i="13"/>
  <c r="W1273" i="13"/>
  <c r="U1274" i="13"/>
  <c r="V1275" i="13"/>
  <c r="S1276" i="13"/>
  <c r="U1277" i="13"/>
  <c r="T1273" i="13"/>
  <c r="W793" i="13"/>
  <c r="W802" i="13"/>
  <c r="V996" i="13"/>
  <c r="W662" i="13"/>
  <c r="V158" i="13"/>
  <c r="W1271" i="13"/>
  <c r="S1274" i="13"/>
  <c r="T1275" i="13"/>
  <c r="T1272" i="13"/>
  <c r="U1278" i="13"/>
  <c r="S1277" i="13"/>
  <c r="U1272" i="13"/>
  <c r="S1278" i="13"/>
  <c r="V1274" i="13"/>
  <c r="V1276" i="13"/>
  <c r="V1097" i="13"/>
  <c r="X993" i="13"/>
  <c r="V167" i="13"/>
  <c r="W151" i="13"/>
  <c r="V159" i="13"/>
  <c r="S1273" i="13"/>
  <c r="V1271" i="13"/>
  <c r="W1277" i="13"/>
  <c r="S1272" i="13"/>
  <c r="T1274" i="13"/>
  <c r="W1274" i="13"/>
  <c r="W1275" i="13"/>
  <c r="S1271" i="13"/>
  <c r="T1278" i="13"/>
  <c r="E995" i="13"/>
  <c r="Q995" i="13" s="1"/>
  <c r="E874" i="13"/>
  <c r="Q874" i="13" s="1"/>
  <c r="R874" i="13" s="1"/>
  <c r="E715" i="13"/>
  <c r="Q715" i="13" s="1"/>
  <c r="E542" i="13"/>
  <c r="Q542" i="13" s="1"/>
  <c r="E274" i="13"/>
  <c r="Q274" i="13" s="1"/>
  <c r="G1582" i="1" s="1"/>
  <c r="E457" i="13"/>
  <c r="Q457" i="13" s="1"/>
  <c r="R457" i="13" s="1"/>
  <c r="E830" i="13"/>
  <c r="Q830" i="13" s="1"/>
  <c r="G201" i="1" s="1"/>
  <c r="H201" i="1" s="1"/>
  <c r="E452" i="13"/>
  <c r="Q452" i="13" s="1"/>
  <c r="E57" i="13"/>
  <c r="Q57" i="13" s="1"/>
  <c r="R57" i="13" s="1"/>
  <c r="E45" i="13"/>
  <c r="Q45" i="13" s="1"/>
  <c r="E1144" i="13"/>
  <c r="Q1144" i="13" s="1"/>
  <c r="G273" i="1" s="1"/>
  <c r="H273" i="1" s="1"/>
  <c r="E971" i="13"/>
  <c r="Q971" i="13" s="1"/>
  <c r="E633" i="13"/>
  <c r="E698" i="13"/>
  <c r="Q698" i="13" s="1"/>
  <c r="E772" i="13"/>
  <c r="Q772" i="13" s="1"/>
  <c r="G526" i="1" s="1"/>
  <c r="H526" i="1" s="1"/>
  <c r="E1027" i="13"/>
  <c r="Q1027" i="13" s="1"/>
  <c r="R1027" i="13" s="1"/>
  <c r="G1863" i="1"/>
  <c r="E1278" i="13"/>
  <c r="Q1278" i="13" s="1"/>
  <c r="E1273" i="13"/>
  <c r="Q1273" i="13" s="1"/>
  <c r="E1277" i="13"/>
  <c r="Q1277" i="13" s="1"/>
  <c r="E1272" i="13"/>
  <c r="Q1272" i="13" s="1"/>
  <c r="E1276" i="13"/>
  <c r="Q1276" i="13" s="1"/>
  <c r="E1274" i="13"/>
  <c r="Q1274" i="13" s="1"/>
  <c r="E1275" i="13"/>
  <c r="Q1275" i="13" s="1"/>
  <c r="E1271" i="13"/>
  <c r="Q1271" i="13" s="1"/>
  <c r="E920" i="13"/>
  <c r="Q920" i="13" s="1"/>
  <c r="R920" i="13" s="1"/>
  <c r="E914" i="13"/>
  <c r="Q914" i="13" s="1"/>
  <c r="E915" i="13"/>
  <c r="Q915" i="13" s="1"/>
  <c r="E910" i="13"/>
  <c r="Q910" i="13" s="1"/>
  <c r="E603" i="13"/>
  <c r="Q603" i="13" s="1"/>
  <c r="E606" i="13"/>
  <c r="Q606" i="13" s="1"/>
  <c r="E608" i="13"/>
  <c r="Q608" i="13" s="1"/>
  <c r="E602" i="13"/>
  <c r="Q602" i="13" s="1"/>
  <c r="E393" i="6" s="1"/>
  <c r="Q393" i="6" s="1"/>
  <c r="E604" i="13"/>
  <c r="Q604" i="13" s="1"/>
  <c r="E607" i="13"/>
  <c r="Q607" i="13" s="1"/>
  <c r="G1850" i="1"/>
  <c r="E980" i="13"/>
  <c r="Q980" i="13" s="1"/>
  <c r="E978" i="13"/>
  <c r="Q978" i="13" s="1"/>
  <c r="G1798" i="1"/>
  <c r="E676" i="13"/>
  <c r="Q676" i="13" s="1"/>
  <c r="G1586" i="1" s="1"/>
  <c r="E167" i="13"/>
  <c r="Q167" i="13" s="1"/>
  <c r="R167" i="13" s="1"/>
  <c r="E166" i="13"/>
  <c r="Q166" i="13" s="1"/>
  <c r="R166" i="13" s="1"/>
  <c r="E54" i="13"/>
  <c r="Q54" i="13" s="1"/>
  <c r="G1654" i="1"/>
  <c r="E418" i="13"/>
  <c r="Q418" i="13" s="1"/>
  <c r="R418" i="13" s="1"/>
  <c r="E410" i="13"/>
  <c r="Q410" i="13" s="1"/>
  <c r="E421" i="13"/>
  <c r="Q421" i="13" s="1"/>
  <c r="R421" i="13" s="1"/>
  <c r="E412" i="13"/>
  <c r="Q412" i="13" s="1"/>
  <c r="E413" i="13"/>
  <c r="Q413" i="13" s="1"/>
  <c r="E416" i="13"/>
  <c r="Q416" i="13" s="1"/>
  <c r="R416" i="13" s="1"/>
  <c r="E420" i="13"/>
  <c r="Q420" i="13" s="1"/>
  <c r="R420" i="13" s="1"/>
  <c r="G1705" i="1"/>
  <c r="E414" i="13"/>
  <c r="Q414" i="13" s="1"/>
  <c r="E422" i="13"/>
  <c r="Q422" i="13" s="1"/>
  <c r="R422" i="13" s="1"/>
  <c r="E415" i="13"/>
  <c r="Q415" i="13" s="1"/>
  <c r="R415" i="13" s="1"/>
  <c r="E73" i="13"/>
  <c r="Q73" i="13" s="1"/>
  <c r="E74" i="13"/>
  <c r="Q74" i="13" s="1"/>
  <c r="R74" i="13" s="1"/>
  <c r="E72" i="13"/>
  <c r="Q72" i="13" s="1"/>
  <c r="E70" i="13"/>
  <c r="Q70" i="13" s="1"/>
  <c r="E121" i="13"/>
  <c r="Q121" i="13" s="1"/>
  <c r="R121" i="13" s="1"/>
  <c r="G1663" i="1"/>
  <c r="E119" i="13"/>
  <c r="Q119" i="13" s="1"/>
  <c r="E120" i="13"/>
  <c r="Q120" i="13" s="1"/>
  <c r="G1591" i="1" s="1"/>
  <c r="E461" i="13"/>
  <c r="Q461" i="13" s="1"/>
  <c r="E460" i="13"/>
  <c r="Q460" i="13" s="1"/>
  <c r="G1558" i="1" s="1"/>
  <c r="E465" i="13"/>
  <c r="Q465" i="13" s="1"/>
  <c r="G1714" i="1"/>
  <c r="E408" i="13"/>
  <c r="Q408" i="13" s="1"/>
  <c r="E409" i="13"/>
  <c r="Q409" i="13" s="1"/>
  <c r="R409" i="13" s="1"/>
  <c r="E47" i="13"/>
  <c r="Q47" i="13" s="1"/>
  <c r="E49" i="13"/>
  <c r="Q49" i="13" s="1"/>
  <c r="E24" i="13"/>
  <c r="Q24" i="13" s="1"/>
  <c r="E25" i="13"/>
  <c r="Q25" i="13" s="1"/>
  <c r="E63" i="13"/>
  <c r="Q63" i="13" s="1"/>
  <c r="R63" i="13" s="1"/>
  <c r="G1655" i="1"/>
  <c r="E820" i="13"/>
  <c r="Q820" i="13" s="1"/>
  <c r="G228" i="1" s="1"/>
  <c r="H228" i="1" s="1"/>
  <c r="E817" i="13"/>
  <c r="Q817" i="13" s="1"/>
  <c r="G1857" i="1"/>
  <c r="E1036" i="13"/>
  <c r="Q1036" i="13" s="1"/>
  <c r="E1039" i="13"/>
  <c r="Q1039" i="13" s="1"/>
  <c r="G193" i="1" s="1"/>
  <c r="H193" i="1" s="1"/>
  <c r="E662" i="13"/>
  <c r="Q662" i="13" s="1"/>
  <c r="E661" i="13"/>
  <c r="Q661" i="13" s="1"/>
  <c r="G1575" i="1" s="1"/>
  <c r="E783" i="13"/>
  <c r="Q783" i="13" s="1"/>
  <c r="E786" i="13"/>
  <c r="Q786" i="13" s="1"/>
  <c r="R786" i="13" s="1"/>
  <c r="E187" i="13"/>
  <c r="Q187" i="13" s="1"/>
  <c r="E191" i="13"/>
  <c r="Q191" i="13" s="1"/>
  <c r="E186" i="13"/>
  <c r="Q186" i="13" s="1"/>
  <c r="G1672" i="1"/>
  <c r="E188" i="13"/>
  <c r="Q188" i="13" s="1"/>
  <c r="R188" i="13" s="1"/>
  <c r="E370" i="13"/>
  <c r="Q370" i="13" s="1"/>
  <c r="E372" i="13"/>
  <c r="Q372" i="13" s="1"/>
  <c r="E96" i="13"/>
  <c r="Q96" i="13" s="1"/>
  <c r="R96" i="13" s="1"/>
  <c r="E89" i="13"/>
  <c r="Q89" i="13" s="1"/>
  <c r="R89" i="13" s="1"/>
  <c r="G1659" i="1"/>
  <c r="E93" i="13"/>
  <c r="Q93" i="13" s="1"/>
  <c r="R93" i="13" s="1"/>
  <c r="E85" i="13"/>
  <c r="Q85" i="13" s="1"/>
  <c r="E90" i="13"/>
  <c r="Q90" i="13" s="1"/>
  <c r="E87" i="13"/>
  <c r="Q87" i="13" s="1"/>
  <c r="G1868" i="1"/>
  <c r="G1709" i="1"/>
  <c r="E437" i="13"/>
  <c r="Q437" i="13" s="1"/>
  <c r="G1626" i="1"/>
  <c r="G1796" i="1"/>
  <c r="E371" i="13"/>
  <c r="Q371" i="13" s="1"/>
  <c r="E626" i="13"/>
  <c r="Q626" i="13" s="1"/>
  <c r="E613" i="13"/>
  <c r="Q613" i="13" s="1"/>
  <c r="E611" i="13"/>
  <c r="Q611" i="13" s="1"/>
  <c r="E865" i="13"/>
  <c r="Q865" i="13" s="1"/>
  <c r="E970" i="13"/>
  <c r="Q970" i="13" s="1"/>
  <c r="E960" i="13"/>
  <c r="Q960" i="13" s="1"/>
  <c r="E594" i="13"/>
  <c r="Q594" i="13" s="1"/>
  <c r="E369" i="13"/>
  <c r="Q369" i="13" s="1"/>
  <c r="G1615" i="1" s="1"/>
  <c r="E58" i="13"/>
  <c r="Q58" i="13" s="1"/>
  <c r="R58" i="13" s="1"/>
  <c r="E42" i="13"/>
  <c r="Q42" i="13" s="1"/>
  <c r="G1809" i="1"/>
  <c r="E170" i="13"/>
  <c r="Q170" i="13" s="1"/>
  <c r="E590" i="13"/>
  <c r="Q590" i="13" s="1"/>
  <c r="G1684" i="1"/>
  <c r="E41" i="13"/>
  <c r="Q41" i="13" s="1"/>
  <c r="R209" i="13"/>
  <c r="O823" i="13"/>
  <c r="M822" i="13"/>
  <c r="O721" i="13"/>
  <c r="Q721" i="13" s="1"/>
  <c r="M720" i="13"/>
  <c r="E454" i="13"/>
  <c r="Q454" i="13" s="1"/>
  <c r="T25" i="17418"/>
  <c r="T26" i="17418"/>
  <c r="T24" i="17418"/>
  <c r="T27" i="17418"/>
  <c r="T23" i="17418"/>
  <c r="G1685" i="1"/>
  <c r="F1858" i="1"/>
  <c r="R981" i="13"/>
  <c r="G1736" i="1"/>
  <c r="O31" i="12"/>
  <c r="O34" i="12" s="1"/>
  <c r="F24" i="12" s="1"/>
  <c r="L28" i="9"/>
  <c r="L34" i="9" s="1"/>
  <c r="M34" i="9" s="1"/>
  <c r="N34" i="9" s="1"/>
  <c r="M8" i="9"/>
  <c r="N8" i="9" s="1"/>
  <c r="X1258" i="13"/>
  <c r="W1240" i="13"/>
  <c r="T1231" i="13"/>
  <c r="U1258" i="13"/>
  <c r="X1232" i="13"/>
  <c r="V1267" i="13"/>
  <c r="V1252" i="13"/>
  <c r="U1247" i="13"/>
  <c r="W1239" i="13"/>
  <c r="W1232" i="13"/>
  <c r="V1219" i="13"/>
  <c r="W1268" i="13"/>
  <c r="U1261" i="13"/>
  <c r="U1242" i="13"/>
  <c r="W1237" i="13"/>
  <c r="X1224" i="13"/>
  <c r="W1218" i="13"/>
  <c r="W1228" i="13"/>
  <c r="X1222" i="13"/>
  <c r="X1204" i="13"/>
  <c r="X1196" i="13"/>
  <c r="U1183" i="13"/>
  <c r="U1245" i="13"/>
  <c r="W1230" i="13"/>
  <c r="U1220" i="13"/>
  <c r="U1199" i="13"/>
  <c r="U1184" i="13"/>
  <c r="X1169" i="13"/>
  <c r="U1262" i="13"/>
  <c r="V1246" i="13"/>
  <c r="U1224" i="13"/>
  <c r="V1179" i="13"/>
  <c r="W1172" i="13"/>
  <c r="V1230" i="13"/>
  <c r="V1190" i="13"/>
  <c r="W1154" i="13"/>
  <c r="V1195" i="13"/>
  <c r="V1192" i="13"/>
  <c r="W1181" i="13"/>
  <c r="V1172" i="13"/>
  <c r="W1168" i="13"/>
  <c r="V1236" i="13"/>
  <c r="W1212" i="13"/>
  <c r="T1207" i="13"/>
  <c r="V1201" i="13"/>
  <c r="W1179" i="13"/>
  <c r="V1165" i="13"/>
  <c r="W1205" i="13"/>
  <c r="T1178" i="13"/>
  <c r="W1158" i="13"/>
  <c r="X1149" i="13"/>
  <c r="X1144" i="13"/>
  <c r="W1142" i="13"/>
  <c r="U1135" i="13"/>
  <c r="V1128" i="13"/>
  <c r="W1121" i="13"/>
  <c r="X1115" i="13"/>
  <c r="V1102" i="13"/>
  <c r="W1201" i="13"/>
  <c r="U1185" i="13"/>
  <c r="W1149" i="13"/>
  <c r="S1141" i="13"/>
  <c r="V1137" i="13"/>
  <c r="V1125" i="13"/>
  <c r="V1120" i="13"/>
  <c r="W1110" i="13"/>
  <c r="V1098" i="13"/>
  <c r="S1213" i="13"/>
  <c r="V1151" i="13"/>
  <c r="W1135" i="13"/>
  <c r="W1118" i="13"/>
  <c r="W1107" i="13"/>
  <c r="S1211" i="13"/>
  <c r="U1192" i="13"/>
  <c r="X1154" i="13"/>
  <c r="X1146" i="13"/>
  <c r="T1143" i="13"/>
  <c r="W1139" i="13"/>
  <c r="U1132" i="13"/>
  <c r="X1116" i="13"/>
  <c r="T1111" i="13"/>
  <c r="U1093" i="13"/>
  <c r="V1083" i="13"/>
  <c r="T1095" i="13"/>
  <c r="X1091" i="13"/>
  <c r="V1084" i="13"/>
  <c r="S1075" i="13"/>
  <c r="W1096" i="13"/>
  <c r="T1094" i="13"/>
  <c r="X1089" i="13"/>
  <c r="W1076" i="13"/>
  <c r="S1063" i="13"/>
  <c r="W1057" i="13"/>
  <c r="V1050" i="13"/>
  <c r="V1044" i="13"/>
  <c r="W1030" i="13"/>
  <c r="V1018" i="13"/>
  <c r="X1008" i="13"/>
  <c r="X1080" i="13"/>
  <c r="V1067" i="13"/>
  <c r="U1058" i="13"/>
  <c r="W1047" i="13"/>
  <c r="V1032" i="13"/>
  <c r="V1017" i="13"/>
  <c r="W1009" i="13"/>
  <c r="X984" i="13"/>
  <c r="V1081" i="13"/>
  <c r="V1070" i="13"/>
  <c r="T1066" i="13"/>
  <c r="X1060" i="13"/>
  <c r="V1048" i="13"/>
  <c r="W1031" i="13"/>
  <c r="X1020" i="13"/>
  <c r="X1012" i="13"/>
  <c r="V982" i="13"/>
  <c r="X1078" i="13"/>
  <c r="W1069" i="13"/>
  <c r="S1066" i="13"/>
  <c r="W1060" i="13"/>
  <c r="X1052" i="13"/>
  <c r="X1040" i="13"/>
  <c r="O1035" i="13"/>
  <c r="AO1038" i="13" s="1"/>
  <c r="V1028" i="13"/>
  <c r="U1019" i="13"/>
  <c r="U1011" i="13"/>
  <c r="V1002" i="13"/>
  <c r="W1000" i="13"/>
  <c r="V977" i="13"/>
  <c r="X973" i="13"/>
  <c r="W962" i="13"/>
  <c r="V954" i="13"/>
  <c r="X946" i="13"/>
  <c r="W938" i="13"/>
  <c r="W930" i="13"/>
  <c r="W910" i="13"/>
  <c r="W892" i="13"/>
  <c r="W888" i="13"/>
  <c r="V881" i="13"/>
  <c r="W871" i="13"/>
  <c r="W858" i="13"/>
  <c r="X848" i="13"/>
  <c r="U839" i="13"/>
  <c r="X823" i="13"/>
  <c r="W810" i="13"/>
  <c r="V804" i="13"/>
  <c r="W797" i="13"/>
  <c r="W792" i="13"/>
  <c r="V788" i="13"/>
  <c r="X995" i="13"/>
  <c r="W980" i="13"/>
  <c r="U977" i="13"/>
  <c r="V967" i="13"/>
  <c r="V958" i="13"/>
  <c r="X949" i="13"/>
  <c r="V937" i="13"/>
  <c r="W925" i="13"/>
  <c r="V907" i="13"/>
  <c r="V897" i="13"/>
  <c r="X887" i="13"/>
  <c r="V876" i="13"/>
  <c r="W867" i="13"/>
  <c r="X854" i="13"/>
  <c r="W837" i="13"/>
  <c r="X831" i="13"/>
  <c r="X818" i="13"/>
  <c r="V808" i="13"/>
  <c r="X805" i="13"/>
  <c r="W779" i="13"/>
  <c r="V992" i="13"/>
  <c r="X978" i="13"/>
  <c r="V968" i="13"/>
  <c r="W959" i="13"/>
  <c r="X948" i="13"/>
  <c r="V939" i="13"/>
  <c r="W932" i="13"/>
  <c r="W906" i="13"/>
  <c r="V891" i="13"/>
  <c r="W870" i="13"/>
  <c r="V863" i="13"/>
  <c r="X855" i="13"/>
  <c r="U843" i="13"/>
  <c r="T834" i="13"/>
  <c r="X820" i="13"/>
  <c r="W807" i="13"/>
  <c r="V785" i="13"/>
  <c r="O659" i="13"/>
  <c r="Q659" i="13" s="1"/>
  <c r="M658" i="13"/>
  <c r="X989" i="13"/>
  <c r="V969" i="13"/>
  <c r="V957" i="13"/>
  <c r="X950" i="13"/>
  <c r="U933" i="13"/>
  <c r="T928" i="13"/>
  <c r="V917" i="13"/>
  <c r="W908" i="13"/>
  <c r="W898" i="13"/>
  <c r="W886" i="13"/>
  <c r="X874" i="13"/>
  <c r="W859" i="13"/>
  <c r="X845" i="13"/>
  <c r="V839" i="13"/>
  <c r="V833" i="13"/>
  <c r="W824" i="13"/>
  <c r="X816" i="13"/>
  <c r="W781" i="13"/>
  <c r="V779" i="13"/>
  <c r="W763" i="13"/>
  <c r="W756" i="13"/>
  <c r="U746" i="13"/>
  <c r="W737" i="13"/>
  <c r="T734" i="13"/>
  <c r="T730" i="13"/>
  <c r="X722" i="13"/>
  <c r="X718" i="13"/>
  <c r="W712" i="13"/>
  <c r="X707" i="13"/>
  <c r="W704" i="13"/>
  <c r="X702" i="13"/>
  <c r="X688" i="13"/>
  <c r="X680" i="13"/>
  <c r="V672" i="13"/>
  <c r="X669" i="13"/>
  <c r="X659" i="13"/>
  <c r="T649" i="13"/>
  <c r="V635" i="13"/>
  <c r="W630" i="13"/>
  <c r="U616" i="13"/>
  <c r="V600" i="13"/>
  <c r="V589" i="13"/>
  <c r="U581" i="13"/>
  <c r="X574" i="13"/>
  <c r="X567" i="13"/>
  <c r="U560" i="13"/>
  <c r="T532" i="13"/>
  <c r="T528" i="13"/>
  <c r="W518" i="13"/>
  <c r="S516" i="13"/>
  <c r="U507" i="13"/>
  <c r="U504" i="13"/>
  <c r="V502" i="13"/>
  <c r="S499" i="13"/>
  <c r="V777" i="13"/>
  <c r="V766" i="13"/>
  <c r="U757" i="13"/>
  <c r="W749" i="13"/>
  <c r="V744" i="13"/>
  <c r="W734" i="13"/>
  <c r="W726" i="13"/>
  <c r="U720" i="13"/>
  <c r="X711" i="13"/>
  <c r="S707" i="13"/>
  <c r="S702" i="13"/>
  <c r="W692" i="13"/>
  <c r="X684" i="13"/>
  <c r="O671" i="13"/>
  <c r="M670" i="13"/>
  <c r="W669" i="13"/>
  <c r="T665" i="13"/>
  <c r="W659" i="13"/>
  <c r="S649" i="13"/>
  <c r="T638" i="13"/>
  <c r="V634" i="13"/>
  <c r="U629" i="13"/>
  <c r="X625" i="13"/>
  <c r="V613" i="13"/>
  <c r="S605" i="13"/>
  <c r="S602" i="13"/>
  <c r="T594" i="13"/>
  <c r="W588" i="13"/>
  <c r="W577" i="13"/>
  <c r="V569" i="13"/>
  <c r="W558" i="13"/>
  <c r="W532" i="13"/>
  <c r="W528" i="13"/>
  <c r="W512" i="13"/>
  <c r="U502" i="13"/>
  <c r="V499" i="13"/>
  <c r="U494" i="13"/>
  <c r="X781" i="13"/>
  <c r="V768" i="13"/>
  <c r="W760" i="13"/>
  <c r="W745" i="13"/>
  <c r="X741" i="13"/>
  <c r="V730" i="13"/>
  <c r="U721" i="13"/>
  <c r="V710" i="13"/>
  <c r="T694" i="13"/>
  <c r="W689" i="13"/>
  <c r="U682" i="13"/>
  <c r="V674" i="13"/>
  <c r="W656" i="13"/>
  <c r="W647" i="13"/>
  <c r="W644" i="13"/>
  <c r="W638" i="13"/>
  <c r="U633" i="13"/>
  <c r="U627" i="13"/>
  <c r="T622" i="13"/>
  <c r="T614" i="13"/>
  <c r="U599" i="13"/>
  <c r="V588" i="13"/>
  <c r="U580" i="13"/>
  <c r="V571" i="13"/>
  <c r="V558" i="13"/>
  <c r="W548" i="13"/>
  <c r="V538" i="13"/>
  <c r="T526" i="13"/>
  <c r="S773" i="13"/>
  <c r="U765" i="13"/>
  <c r="V750" i="13"/>
  <c r="W741" i="13"/>
  <c r="U736" i="13"/>
  <c r="W731" i="13"/>
  <c r="W728" i="13"/>
  <c r="U718" i="13"/>
  <c r="W713" i="13"/>
  <c r="X705" i="13"/>
  <c r="S697" i="13"/>
  <c r="X690" i="13"/>
  <c r="W685" i="13"/>
  <c r="W677" i="13"/>
  <c r="V650" i="13"/>
  <c r="V644" i="13"/>
  <c r="X633" i="13"/>
  <c r="W618" i="13"/>
  <c r="W610" i="13"/>
  <c r="S607" i="13"/>
  <c r="U585" i="13"/>
  <c r="V578" i="13"/>
  <c r="W568" i="13"/>
  <c r="W553" i="13"/>
  <c r="W543" i="13"/>
  <c r="W536" i="13"/>
  <c r="V529" i="13"/>
  <c r="T524" i="13"/>
  <c r="W506" i="13"/>
  <c r="S496" i="13"/>
  <c r="U493" i="13"/>
  <c r="V486" i="13"/>
  <c r="T475" i="13"/>
  <c r="V464" i="13"/>
  <c r="V455" i="13"/>
  <c r="W450" i="13"/>
  <c r="X441" i="13"/>
  <c r="W432" i="13"/>
  <c r="W425" i="13"/>
  <c r="V415" i="13"/>
  <c r="V408" i="13"/>
  <c r="W397" i="13"/>
  <c r="W389" i="13"/>
  <c r="V383" i="13"/>
  <c r="U377" i="13"/>
  <c r="X362" i="13"/>
  <c r="X341" i="13"/>
  <c r="X325" i="13"/>
  <c r="W308" i="13"/>
  <c r="W299" i="13"/>
  <c r="X293" i="13"/>
  <c r="X280" i="13"/>
  <c r="W259" i="13"/>
  <c r="X237" i="13"/>
  <c r="X225" i="13"/>
  <c r="V212" i="13"/>
  <c r="X205" i="13"/>
  <c r="V179" i="13"/>
  <c r="V171" i="13"/>
  <c r="W166" i="13"/>
  <c r="W152" i="13"/>
  <c r="W147" i="13"/>
  <c r="S483" i="13"/>
  <c r="T480" i="13"/>
  <c r="S473" i="13"/>
  <c r="W469" i="13"/>
  <c r="U458" i="13"/>
  <c r="V452" i="13"/>
  <c r="V445" i="13"/>
  <c r="W440" i="13"/>
  <c r="W427" i="13"/>
  <c r="X420" i="13"/>
  <c r="W402" i="13"/>
  <c r="W394" i="13"/>
  <c r="W386" i="13"/>
  <c r="W380" i="13"/>
  <c r="T373" i="13"/>
  <c r="U367" i="13"/>
  <c r="X340" i="13"/>
  <c r="X324" i="13"/>
  <c r="W309" i="13"/>
  <c r="W302" i="13"/>
  <c r="V296" i="13"/>
  <c r="X288" i="13"/>
  <c r="W280" i="13"/>
  <c r="W250" i="13"/>
  <c r="V243" i="13"/>
  <c r="W231" i="13"/>
  <c r="V213" i="13"/>
  <c r="V198" i="13"/>
  <c r="X189" i="13"/>
  <c r="X185" i="13"/>
  <c r="X181" i="13"/>
  <c r="V170" i="13"/>
  <c r="T155" i="13"/>
  <c r="W495" i="13"/>
  <c r="V485" i="13"/>
  <c r="W477" i="13"/>
  <c r="T471" i="13"/>
  <c r="W465" i="13"/>
  <c r="V457" i="13"/>
  <c r="X446" i="13"/>
  <c r="X434" i="13"/>
  <c r="V426" i="13"/>
  <c r="X410" i="13"/>
  <c r="V402" i="13"/>
  <c r="V394" i="13"/>
  <c r="V386" i="13"/>
  <c r="V375" i="13"/>
  <c r="X368" i="13"/>
  <c r="U364" i="13"/>
  <c r="V336" i="13"/>
  <c r="X327" i="13"/>
  <c r="V311" i="13"/>
  <c r="W303" i="13"/>
  <c r="X295" i="13"/>
  <c r="W285" i="13"/>
  <c r="X279" i="13"/>
  <c r="V273" i="13"/>
  <c r="W257" i="13"/>
  <c r="V244" i="13"/>
  <c r="W238" i="13"/>
  <c r="V231" i="13"/>
  <c r="V222" i="13"/>
  <c r="X211" i="13"/>
  <c r="V192" i="13"/>
  <c r="W188" i="13"/>
  <c r="W184" i="13"/>
  <c r="V175" i="13"/>
  <c r="W490" i="13"/>
  <c r="S487" i="13"/>
  <c r="T484" i="13"/>
  <c r="U475" i="13"/>
  <c r="W466" i="13"/>
  <c r="W462" i="13"/>
  <c r="W455" i="13"/>
  <c r="V448" i="13"/>
  <c r="W433" i="13"/>
  <c r="V424" i="13"/>
  <c r="X411" i="13"/>
  <c r="W400" i="13"/>
  <c r="W392" i="13"/>
  <c r="W383" i="13"/>
  <c r="V377" i="13"/>
  <c r="X365" i="13"/>
  <c r="U361" i="13"/>
  <c r="X342" i="13"/>
  <c r="W329" i="13"/>
  <c r="V317" i="13"/>
  <c r="X304" i="13"/>
  <c r="X292" i="13"/>
  <c r="V281" i="13"/>
  <c r="W270" i="13"/>
  <c r="V249" i="13"/>
  <c r="W234" i="13"/>
  <c r="W216" i="13"/>
  <c r="W207" i="13"/>
  <c r="X201" i="13"/>
  <c r="V193" i="13"/>
  <c r="V180" i="13"/>
  <c r="W171" i="13"/>
  <c r="X165" i="13"/>
  <c r="W157" i="13"/>
  <c r="T138" i="13"/>
  <c r="T111" i="13"/>
  <c r="W91" i="13"/>
  <c r="W79" i="13"/>
  <c r="V64" i="13"/>
  <c r="W58" i="13"/>
  <c r="V47" i="13"/>
  <c r="W40" i="13"/>
  <c r="V32" i="13"/>
  <c r="V27" i="13"/>
  <c r="W7" i="13"/>
  <c r="W15" i="13"/>
  <c r="X21" i="13"/>
  <c r="X25" i="13"/>
  <c r="V35" i="13"/>
  <c r="V44" i="13"/>
  <c r="W51" i="13"/>
  <c r="W55" i="13"/>
  <c r="X64" i="13"/>
  <c r="W68" i="13"/>
  <c r="X75" i="13"/>
  <c r="X80" i="13"/>
  <c r="W95" i="13"/>
  <c r="V112" i="13"/>
  <c r="V116" i="13"/>
  <c r="X120" i="13"/>
  <c r="W130" i="13"/>
  <c r="V135" i="13"/>
  <c r="W140" i="13"/>
  <c r="W159" i="13"/>
  <c r="X168" i="13"/>
  <c r="V181" i="13"/>
  <c r="V185" i="13"/>
  <c r="V189" i="13"/>
  <c r="X195" i="13"/>
  <c r="X68" i="13"/>
  <c r="W77" i="13"/>
  <c r="W110" i="13"/>
  <c r="W115" i="13"/>
  <c r="W138" i="13"/>
  <c r="T154" i="13"/>
  <c r="V165" i="13"/>
  <c r="W194" i="13"/>
  <c r="V202" i="13"/>
  <c r="W132" i="13"/>
  <c r="W173" i="13"/>
  <c r="W202" i="13"/>
  <c r="V25" i="13"/>
  <c r="X34" i="13"/>
  <c r="X48" i="13"/>
  <c r="W66" i="13"/>
  <c r="W193" i="13"/>
  <c r="W478" i="13"/>
  <c r="V217" i="13"/>
  <c r="X235" i="13"/>
  <c r="V252" i="13"/>
  <c r="X285" i="13"/>
  <c r="W310" i="13"/>
  <c r="V1264" i="13"/>
  <c r="X1254" i="13"/>
  <c r="W1229" i="13"/>
  <c r="S1270" i="13"/>
  <c r="T1253" i="13"/>
  <c r="X1239" i="13"/>
  <c r="V1237" i="13"/>
  <c r="U1265" i="13"/>
  <c r="X1250" i="13"/>
  <c r="V1245" i="13"/>
  <c r="X1228" i="13"/>
  <c r="X1217" i="13"/>
  <c r="T1267" i="13"/>
  <c r="U1234" i="13"/>
  <c r="X1263" i="13"/>
  <c r="W1221" i="13"/>
  <c r="V1212" i="13"/>
  <c r="V1202" i="13"/>
  <c r="W1263" i="13"/>
  <c r="V1242" i="13"/>
  <c r="X1218" i="13"/>
  <c r="U1180" i="13"/>
  <c r="X1175" i="13"/>
  <c r="X1167" i="13"/>
  <c r="V1257" i="13"/>
  <c r="W1244" i="13"/>
  <c r="T1232" i="13"/>
  <c r="X1170" i="13"/>
  <c r="V1208" i="13"/>
  <c r="U1189" i="13"/>
  <c r="W1185" i="13"/>
  <c r="W1164" i="13"/>
  <c r="V1188" i="13"/>
  <c r="W1171" i="13"/>
  <c r="W1167" i="13"/>
  <c r="W1266" i="13"/>
  <c r="V1211" i="13"/>
  <c r="W1206" i="13"/>
  <c r="W1198" i="13"/>
  <c r="V1176" i="13"/>
  <c r="X1163" i="13"/>
  <c r="U1173" i="13"/>
  <c r="V1157" i="13"/>
  <c r="X1148" i="13"/>
  <c r="T1144" i="13"/>
  <c r="V1138" i="13"/>
  <c r="M1132" i="13"/>
  <c r="M1130" i="13"/>
  <c r="O1130" i="13" s="1"/>
  <c r="O1133" i="13"/>
  <c r="Q1133" i="13" s="1"/>
  <c r="W1125" i="13"/>
  <c r="W1120" i="13"/>
  <c r="W1112" i="13"/>
  <c r="W1101" i="13"/>
  <c r="V1145" i="13"/>
  <c r="T1140" i="13"/>
  <c r="W1131" i="13"/>
  <c r="V1123" i="13"/>
  <c r="W1117" i="13"/>
  <c r="X1109" i="13"/>
  <c r="V1105" i="13"/>
  <c r="V1101" i="13"/>
  <c r="W1197" i="13"/>
  <c r="V1141" i="13"/>
  <c r="W1133" i="13"/>
  <c r="V1106" i="13"/>
  <c r="V1193" i="13"/>
  <c r="V1177" i="13"/>
  <c r="X1172" i="13"/>
  <c r="X1153" i="13"/>
  <c r="T1145" i="13"/>
  <c r="X1142" i="13"/>
  <c r="U1130" i="13"/>
  <c r="X1114" i="13"/>
  <c r="W1108" i="13"/>
  <c r="V1087" i="13"/>
  <c r="V1076" i="13"/>
  <c r="W1082" i="13"/>
  <c r="U1094" i="13"/>
  <c r="X1090" i="13"/>
  <c r="U1078" i="13"/>
  <c r="T1074" i="13"/>
  <c r="S1096" i="13"/>
  <c r="X1088" i="13"/>
  <c r="V1072" i="13"/>
  <c r="U1062" i="13"/>
  <c r="X1056" i="13"/>
  <c r="V1049" i="13"/>
  <c r="V1041" i="13"/>
  <c r="X1036" i="13"/>
  <c r="W1027" i="13"/>
  <c r="W1017" i="13"/>
  <c r="W1007" i="13"/>
  <c r="U1077" i="13"/>
  <c r="V1065" i="13"/>
  <c r="V1057" i="13"/>
  <c r="V1046" i="13"/>
  <c r="V1027" i="13"/>
  <c r="W1016" i="13"/>
  <c r="V1007" i="13"/>
  <c r="V1079" i="13"/>
  <c r="T1069" i="13"/>
  <c r="U1065" i="13"/>
  <c r="X1055" i="13"/>
  <c r="V1047" i="13"/>
  <c r="X1029" i="13"/>
  <c r="X1015" i="13"/>
  <c r="U1010" i="13"/>
  <c r="W1072" i="13"/>
  <c r="S1069" i="13"/>
  <c r="T1063" i="13"/>
  <c r="U1059" i="13"/>
  <c r="W1045" i="13"/>
  <c r="V1039" i="13"/>
  <c r="X1034" i="13"/>
  <c r="V1026" i="13"/>
  <c r="U1014" i="13"/>
  <c r="X1006" i="13"/>
  <c r="V1001" i="13"/>
  <c r="V994" i="13"/>
  <c r="O977" i="13"/>
  <c r="Q977" i="13" s="1"/>
  <c r="V970" i="13"/>
  <c r="W960" i="13"/>
  <c r="V953" i="13"/>
  <c r="X944" i="13"/>
  <c r="W937" i="13"/>
  <c r="V929" i="13"/>
  <c r="W900" i="13"/>
  <c r="V890" i="13"/>
  <c r="V886" i="13"/>
  <c r="V879" i="13"/>
  <c r="V869" i="13"/>
  <c r="V857" i="13"/>
  <c r="U842" i="13"/>
  <c r="V834" i="13"/>
  <c r="V821" i="13"/>
  <c r="X809" i="13"/>
  <c r="W791" i="13"/>
  <c r="X991" i="13"/>
  <c r="V979" i="13"/>
  <c r="W975" i="13"/>
  <c r="V964" i="13"/>
  <c r="W956" i="13"/>
  <c r="W941" i="13"/>
  <c r="W936" i="13"/>
  <c r="V915" i="13"/>
  <c r="V905" i="13"/>
  <c r="X895" i="13"/>
  <c r="V885" i="13"/>
  <c r="V871" i="13"/>
  <c r="V865" i="13"/>
  <c r="W851" i="13"/>
  <c r="X844" i="13"/>
  <c r="V835" i="13"/>
  <c r="V830" i="13"/>
  <c r="V814" i="13"/>
  <c r="M804" i="13"/>
  <c r="O805" i="13"/>
  <c r="Q805" i="13" s="1"/>
  <c r="X803" i="13"/>
  <c r="N791" i="13"/>
  <c r="V784" i="13"/>
  <c r="X986" i="13"/>
  <c r="U976" i="13"/>
  <c r="V965" i="13"/>
  <c r="W957" i="13"/>
  <c r="X945" i="13"/>
  <c r="V936" i="13"/>
  <c r="T929" i="13"/>
  <c r="W884" i="13"/>
  <c r="V867" i="13"/>
  <c r="V862" i="13"/>
  <c r="V853" i="13"/>
  <c r="U838" i="13"/>
  <c r="W831" i="13"/>
  <c r="X819" i="13"/>
  <c r="W800" i="13"/>
  <c r="V981" i="13"/>
  <c r="V963" i="13"/>
  <c r="W954" i="13"/>
  <c r="X947" i="13"/>
  <c r="V932" i="13"/>
  <c r="V927" i="13"/>
  <c r="W916" i="13"/>
  <c r="V903" i="13"/>
  <c r="W893" i="13"/>
  <c r="V878" i="13"/>
  <c r="V872" i="13"/>
  <c r="W855" i="13"/>
  <c r="V842" i="13"/>
  <c r="W836" i="13"/>
  <c r="V828" i="13"/>
  <c r="X822" i="13"/>
  <c r="W804" i="13"/>
  <c r="W795" i="13"/>
  <c r="M633" i="13"/>
  <c r="O633" i="13" s="1"/>
  <c r="O632" i="13"/>
  <c r="V773" i="13"/>
  <c r="W762" i="13"/>
  <c r="W752" i="13"/>
  <c r="O737" i="13"/>
  <c r="M736" i="13"/>
  <c r="X735" i="13"/>
  <c r="W732" i="13"/>
  <c r="X726" i="13"/>
  <c r="U719" i="13"/>
  <c r="W717" i="13"/>
  <c r="U711" i="13"/>
  <c r="X706" i="13"/>
  <c r="S704" i="13"/>
  <c r="T700" i="13"/>
  <c r="V687" i="13"/>
  <c r="W679" i="13"/>
  <c r="X671" i="13"/>
  <c r="V663" i="13"/>
  <c r="V657" i="13"/>
  <c r="W643" i="13"/>
  <c r="W634" i="13"/>
  <c r="U626" i="13"/>
  <c r="U609" i="13"/>
  <c r="V592" i="13"/>
  <c r="W586" i="13"/>
  <c r="U578" i="13"/>
  <c r="V573" i="13"/>
  <c r="V565" i="13"/>
  <c r="V541" i="13"/>
  <c r="U531" i="13"/>
  <c r="W524" i="13"/>
  <c r="S518" i="13"/>
  <c r="U515" i="13"/>
  <c r="W503" i="13"/>
  <c r="W776" i="13"/>
  <c r="V763" i="13"/>
  <c r="W755" i="13"/>
  <c r="U747" i="13"/>
  <c r="O740" i="13"/>
  <c r="N739" i="13"/>
  <c r="S734" i="13"/>
  <c r="X724" i="13"/>
  <c r="X719" i="13"/>
  <c r="W708" i="13"/>
  <c r="W706" i="13"/>
  <c r="S700" i="13"/>
  <c r="X691" i="13"/>
  <c r="W680" i="13"/>
  <c r="T668" i="13"/>
  <c r="S664" i="13"/>
  <c r="X658" i="13"/>
  <c r="U646" i="13"/>
  <c r="U637" i="13"/>
  <c r="W628" i="13"/>
  <c r="V621" i="13"/>
  <c r="T612" i="13"/>
  <c r="T604" i="13"/>
  <c r="T601" i="13"/>
  <c r="U593" i="13"/>
  <c r="U584" i="13"/>
  <c r="W574" i="13"/>
  <c r="W567" i="13"/>
  <c r="V549" i="13"/>
  <c r="S532" i="13"/>
  <c r="S528" i="13"/>
  <c r="W514" i="13"/>
  <c r="S512" i="13"/>
  <c r="T501" i="13"/>
  <c r="U498" i="13"/>
  <c r="W772" i="13"/>
  <c r="U766" i="13"/>
  <c r="U759" i="13"/>
  <c r="U744" i="13"/>
  <c r="V740" i="13"/>
  <c r="X728" i="13"/>
  <c r="X720" i="13"/>
  <c r="S699" i="13"/>
  <c r="V692" i="13"/>
  <c r="W686" i="13"/>
  <c r="O680" i="13"/>
  <c r="Q680" i="13" s="1"/>
  <c r="S654" i="13"/>
  <c r="S647" i="13"/>
  <c r="X642" i="13"/>
  <c r="S638" i="13"/>
  <c r="W632" i="13"/>
  <c r="W625" i="13"/>
  <c r="U621" i="13"/>
  <c r="U613" i="13"/>
  <c r="T598" i="13"/>
  <c r="V587" i="13"/>
  <c r="W579" i="13"/>
  <c r="X563" i="13"/>
  <c r="U556" i="13"/>
  <c r="W547" i="13"/>
  <c r="U534" i="13"/>
  <c r="U525" i="13"/>
  <c r="W500" i="13"/>
  <c r="V778" i="13"/>
  <c r="V772" i="13"/>
  <c r="W764" i="13"/>
  <c r="U748" i="13"/>
  <c r="U739" i="13"/>
  <c r="V733" i="13"/>
  <c r="S731" i="13"/>
  <c r="W727" i="13"/>
  <c r="X717" i="13"/>
  <c r="X712" i="13"/>
  <c r="X704" i="13"/>
  <c r="V696" i="13"/>
  <c r="V689" i="13"/>
  <c r="U683" i="13"/>
  <c r="W672" i="13"/>
  <c r="U648" i="13"/>
  <c r="X643" i="13"/>
  <c r="X630" i="13"/>
  <c r="S618" i="13"/>
  <c r="S610" i="13"/>
  <c r="T606" i="13"/>
  <c r="X583" i="13"/>
  <c r="V576" i="13"/>
  <c r="X566" i="13"/>
  <c r="W557" i="13"/>
  <c r="V548" i="13"/>
  <c r="V540" i="13"/>
  <c r="X534" i="13"/>
  <c r="AV682" i="4" s="1"/>
  <c r="U527" i="13"/>
  <c r="T518" i="13"/>
  <c r="X505" i="13"/>
  <c r="U495" i="13"/>
  <c r="V490" i="13"/>
  <c r="T483" i="13"/>
  <c r="T474" i="13"/>
  <c r="V462" i="13"/>
  <c r="W454" i="13"/>
  <c r="W445" i="13"/>
  <c r="X440" i="13"/>
  <c r="V430" i="13"/>
  <c r="W421" i="13"/>
  <c r="V414" i="13"/>
  <c r="T407" i="13"/>
  <c r="V396" i="13"/>
  <c r="V388" i="13"/>
  <c r="U382" i="13"/>
  <c r="W371" i="13"/>
  <c r="X361" i="13"/>
  <c r="V334" i="13"/>
  <c r="X321" i="13"/>
  <c r="W306" i="13"/>
  <c r="V298" i="13"/>
  <c r="V291" i="13"/>
  <c r="X276" i="13"/>
  <c r="X253" i="13"/>
  <c r="W235" i="13"/>
  <c r="X223" i="13"/>
  <c r="X208" i="13"/>
  <c r="X200" i="13"/>
  <c r="V177" i="13"/>
  <c r="W170" i="13"/>
  <c r="W149" i="13"/>
  <c r="U113" i="13"/>
  <c r="S510" i="13"/>
  <c r="W482" i="13"/>
  <c r="V472" i="13"/>
  <c r="S469" i="13"/>
  <c r="W457" i="13"/>
  <c r="U451" i="13"/>
  <c r="V444" i="13"/>
  <c r="X439" i="13"/>
  <c r="W426" i="13"/>
  <c r="V416" i="13"/>
  <c r="V401" i="13"/>
  <c r="V393" i="13"/>
  <c r="V385" i="13"/>
  <c r="V376" i="13"/>
  <c r="V371" i="13"/>
  <c r="X360" i="13"/>
  <c r="AV78" i="4" s="1"/>
  <c r="X338" i="13"/>
  <c r="X320" i="13"/>
  <c r="X307" i="13"/>
  <c r="X301" i="13"/>
  <c r="U294" i="13"/>
  <c r="V286" i="13"/>
  <c r="X278" i="13"/>
  <c r="U247" i="13"/>
  <c r="V241" i="13"/>
  <c r="X228" i="13"/>
  <c r="X210" i="13"/>
  <c r="V196" i="13"/>
  <c r="X188" i="13"/>
  <c r="X184" i="13"/>
  <c r="V178" i="13"/>
  <c r="W169" i="13"/>
  <c r="V153" i="13"/>
  <c r="S495" i="13"/>
  <c r="U484" i="13"/>
  <c r="S477" i="13"/>
  <c r="V469" i="13"/>
  <c r="V463" i="13"/>
  <c r="W456" i="13"/>
  <c r="W439" i="13"/>
  <c r="X433" i="13"/>
  <c r="W424" i="13"/>
  <c r="T408" i="13"/>
  <c r="W399" i="13"/>
  <c r="W391" i="13"/>
  <c r="V380" i="13"/>
  <c r="V374" i="13"/>
  <c r="X367" i="13"/>
  <c r="W348" i="13"/>
  <c r="V332" i="13"/>
  <c r="X323" i="13"/>
  <c r="V309" i="13"/>
  <c r="W301" i="13"/>
  <c r="V290" i="13"/>
  <c r="W283" i="13"/>
  <c r="W278" i="13"/>
  <c r="V271" i="13"/>
  <c r="W255" i="13"/>
  <c r="W242" i="13"/>
  <c r="V236" i="13"/>
  <c r="X230" i="13"/>
  <c r="X219" i="13"/>
  <c r="V209" i="13"/>
  <c r="W187" i="13"/>
  <c r="W182" i="13"/>
  <c r="W172" i="13"/>
  <c r="V163" i="13"/>
  <c r="X154" i="13"/>
  <c r="W148" i="13"/>
  <c r="W12" i="13"/>
  <c r="X26" i="13"/>
  <c r="W32" i="13"/>
  <c r="W42" i="13"/>
  <c r="W52" i="13"/>
  <c r="W73" i="13"/>
  <c r="V82" i="13"/>
  <c r="W101" i="13"/>
  <c r="V120" i="13"/>
  <c r="W154" i="13"/>
  <c r="W10" i="13"/>
  <c r="X35" i="13"/>
  <c r="V43" i="13"/>
  <c r="X52" i="13"/>
  <c r="W61" i="13"/>
  <c r="V72" i="13"/>
  <c r="W80" i="13"/>
  <c r="W104" i="13"/>
  <c r="X114" i="13"/>
  <c r="W123" i="13"/>
  <c r="W142" i="13"/>
  <c r="U21" i="13"/>
  <c r="V33" i="13"/>
  <c r="V40" i="13"/>
  <c r="V49" i="13"/>
  <c r="V60" i="13"/>
  <c r="V69" i="13"/>
  <c r="V78" i="13"/>
  <c r="W88" i="13"/>
  <c r="W98" i="13"/>
  <c r="T112" i="13"/>
  <c r="V121" i="13"/>
  <c r="X137" i="13"/>
  <c r="X1264" i="13"/>
  <c r="V1243" i="13"/>
  <c r="U1236" i="13"/>
  <c r="U1225" i="13"/>
  <c r="T1266" i="13"/>
  <c r="V1258" i="13"/>
  <c r="W1251" i="13"/>
  <c r="W1243" i="13"/>
  <c r="W1233" i="13"/>
  <c r="W1214" i="13"/>
  <c r="W1267" i="13"/>
  <c r="X1259" i="13"/>
  <c r="V1254" i="13"/>
  <c r="V1247" i="13"/>
  <c r="U1240" i="13"/>
  <c r="V1229" i="13"/>
  <c r="X1223" i="13"/>
  <c r="X1219" i="13"/>
  <c r="AV383" i="4" s="1"/>
  <c r="X1215" i="13"/>
  <c r="X1256" i="13"/>
  <c r="U1248" i="13"/>
  <c r="U1239" i="13"/>
  <c r="V1228" i="13"/>
  <c r="T1208" i="13"/>
  <c r="V1239" i="13"/>
  <c r="W1234" i="13"/>
  <c r="W1223" i="13"/>
  <c r="W1195" i="13"/>
  <c r="V1183" i="13"/>
  <c r="V1210" i="13"/>
  <c r="U1201" i="13"/>
  <c r="U1190" i="13"/>
  <c r="V1186" i="13"/>
  <c r="X1173" i="13"/>
  <c r="W1161" i="13"/>
  <c r="W1269" i="13"/>
  <c r="X1248" i="13"/>
  <c r="T1213" i="13"/>
  <c r="V1207" i="13"/>
  <c r="V1200" i="13"/>
  <c r="W1188" i="13"/>
  <c r="S1177" i="13"/>
  <c r="X1230" i="13"/>
  <c r="AV859" i="4" s="1"/>
  <c r="U1202" i="13"/>
  <c r="W1180" i="13"/>
  <c r="W1174" i="13"/>
  <c r="V1262" i="13"/>
  <c r="T1180" i="13"/>
  <c r="W1162" i="13"/>
  <c r="W1153" i="13"/>
  <c r="U1131" i="13"/>
  <c r="W1124" i="13"/>
  <c r="V1224" i="13"/>
  <c r="S1267" i="13"/>
  <c r="W1213" i="13"/>
  <c r="W1196" i="13"/>
  <c r="V1178" i="13"/>
  <c r="X1165" i="13"/>
  <c r="W1151" i="13"/>
  <c r="V1146" i="13"/>
  <c r="W1140" i="13"/>
  <c r="X1117" i="13"/>
  <c r="X1112" i="13"/>
  <c r="X1108" i="13"/>
  <c r="V1103" i="13"/>
  <c r="W1098" i="13"/>
  <c r="S1140" i="13"/>
  <c r="X1102" i="13"/>
  <c r="V1170" i="13"/>
  <c r="V1153" i="13"/>
  <c r="V1142" i="13"/>
  <c r="X1113" i="13"/>
  <c r="V1191" i="13"/>
  <c r="X1151" i="13"/>
  <c r="W1144" i="13"/>
  <c r="V1124" i="13"/>
  <c r="V1171" i="13"/>
  <c r="V1127" i="13"/>
  <c r="V1100" i="13"/>
  <c r="T1093" i="13"/>
  <c r="X1087" i="13"/>
  <c r="S1042" i="13"/>
  <c r="U1095" i="13"/>
  <c r="W1089" i="13"/>
  <c r="X1083" i="13"/>
  <c r="T1075" i="13"/>
  <c r="T1070" i="13"/>
  <c r="T1067" i="13"/>
  <c r="V1063" i="13"/>
  <c r="X1086" i="13"/>
  <c r="X1081" i="13"/>
  <c r="T1076" i="13"/>
  <c r="U1071" i="13"/>
  <c r="V1068" i="13"/>
  <c r="W1065" i="13"/>
  <c r="W1062" i="13"/>
  <c r="W1059" i="13"/>
  <c r="W1055" i="13"/>
  <c r="W1051" i="13"/>
  <c r="S1043" i="13"/>
  <c r="V1038" i="13"/>
  <c r="W1033" i="13"/>
  <c r="X1028" i="13"/>
  <c r="W1022" i="13"/>
  <c r="X1018" i="13"/>
  <c r="X1014" i="13"/>
  <c r="X1010" i="13"/>
  <c r="W1003" i="13"/>
  <c r="W1084" i="13"/>
  <c r="S1076" i="13"/>
  <c r="X1061" i="13"/>
  <c r="X1057" i="13"/>
  <c r="X1053" i="13"/>
  <c r="W1048" i="13"/>
  <c r="X1044" i="13"/>
  <c r="T1040" i="13"/>
  <c r="V1033" i="13"/>
  <c r="W1028" i="13"/>
  <c r="V1023" i="13"/>
  <c r="V1019" i="13"/>
  <c r="V1015" i="13"/>
  <c r="V1011" i="13"/>
  <c r="X1007" i="13"/>
  <c r="V986" i="13"/>
  <c r="W920" i="13"/>
  <c r="V914" i="13"/>
  <c r="V906" i="13"/>
  <c r="W897" i="13"/>
  <c r="W887" i="13"/>
  <c r="W881" i="13"/>
  <c r="V877" i="13"/>
  <c r="X872" i="13"/>
  <c r="T862" i="13"/>
  <c r="V858" i="13"/>
  <c r="X833" i="13"/>
  <c r="X827" i="13"/>
  <c r="V820" i="13"/>
  <c r="W816" i="13"/>
  <c r="S812" i="13"/>
  <c r="V807" i="13"/>
  <c r="V802" i="13"/>
  <c r="W993" i="13"/>
  <c r="X985" i="13"/>
  <c r="X977" i="13"/>
  <c r="W973" i="13"/>
  <c r="X969" i="13"/>
  <c r="X965" i="13"/>
  <c r="W948" i="13"/>
  <c r="W944" i="13"/>
  <c r="V935" i="13"/>
  <c r="V930" i="13"/>
  <c r="V926" i="13"/>
  <c r="V922" i="13"/>
  <c r="W895" i="13"/>
  <c r="X890" i="13"/>
  <c r="X886" i="13"/>
  <c r="S879" i="13"/>
  <c r="W872" i="13"/>
  <c r="S862" i="13"/>
  <c r="V855" i="13"/>
  <c r="W850" i="13"/>
  <c r="W846" i="13"/>
  <c r="X842" i="13"/>
  <c r="X838" i="13"/>
  <c r="W833" i="13"/>
  <c r="W828" i="13"/>
  <c r="X824" i="13"/>
  <c r="V818" i="13"/>
  <c r="T811" i="13"/>
  <c r="W806" i="13"/>
  <c r="X801" i="13"/>
  <c r="V997" i="13"/>
  <c r="V993" i="13"/>
  <c r="V989" i="13"/>
  <c r="U981" i="13"/>
  <c r="W977" i="13"/>
  <c r="V973" i="13"/>
  <c r="W969" i="13"/>
  <c r="W965" i="13"/>
  <c r="X961" i="13"/>
  <c r="X957" i="13"/>
  <c r="X953" i="13"/>
  <c r="V947" i="13"/>
  <c r="W943" i="13"/>
  <c r="X939" i="13"/>
  <c r="U935" i="13"/>
  <c r="W929" i="13"/>
  <c r="W917" i="13"/>
  <c r="W909" i="13"/>
  <c r="V901" i="13"/>
  <c r="W894" i="13"/>
  <c r="S883" i="13"/>
  <c r="W879" i="13"/>
  <c r="X867" i="13"/>
  <c r="W863" i="13"/>
  <c r="V859" i="13"/>
  <c r="V854" i="13"/>
  <c r="V849" i="13"/>
  <c r="V845" i="13"/>
  <c r="U840" i="13"/>
  <c r="X834" i="13"/>
  <c r="V812" i="13"/>
  <c r="V793" i="13"/>
  <c r="W994" i="13"/>
  <c r="V984" i="13"/>
  <c r="S860" i="13"/>
  <c r="T812" i="13"/>
  <c r="T773" i="13"/>
  <c r="T774" i="13"/>
  <c r="W758" i="13"/>
  <c r="V754" i="13"/>
  <c r="V749" i="13"/>
  <c r="S729" i="13"/>
  <c r="W718" i="13"/>
  <c r="X714" i="13"/>
  <c r="X710" i="13"/>
  <c r="V706" i="13"/>
  <c r="V702" i="13"/>
  <c r="U695" i="13"/>
  <c r="U692" i="13"/>
  <c r="W688" i="13"/>
  <c r="V684" i="13"/>
  <c r="V680" i="13"/>
  <c r="W676" i="13"/>
  <c r="X670" i="13"/>
  <c r="V664" i="13"/>
  <c r="X657" i="13"/>
  <c r="T650" i="13"/>
  <c r="W646" i="13"/>
  <c r="W642" i="13"/>
  <c r="V638" i="13"/>
  <c r="S636" i="13"/>
  <c r="V632" i="13"/>
  <c r="U628" i="13"/>
  <c r="T624" i="13"/>
  <c r="V620" i="13"/>
  <c r="W617" i="13"/>
  <c r="V614" i="13"/>
  <c r="S611" i="13"/>
  <c r="T608" i="13"/>
  <c r="U605" i="13"/>
  <c r="U602" i="13"/>
  <c r="S599" i="13"/>
  <c r="T596" i="13"/>
  <c r="S593" i="13"/>
  <c r="X589" i="13"/>
  <c r="X585" i="13"/>
  <c r="W581" i="13"/>
  <c r="V577" i="13"/>
  <c r="X573" i="13"/>
  <c r="X569" i="13"/>
  <c r="V563" i="13"/>
  <c r="W559" i="13"/>
  <c r="U553" i="13"/>
  <c r="W549" i="13"/>
  <c r="T545" i="13"/>
  <c r="W541" i="13"/>
  <c r="W537" i="13"/>
  <c r="W533" i="13"/>
  <c r="S531" i="13"/>
  <c r="U528" i="13"/>
  <c r="W525" i="13"/>
  <c r="S522" i="13"/>
  <c r="V797" i="13"/>
  <c r="X786" i="13"/>
  <c r="V781" i="13"/>
  <c r="T775" i="13"/>
  <c r="W768" i="13"/>
  <c r="U764" i="13"/>
  <c r="V760" i="13"/>
  <c r="U756" i="13"/>
  <c r="W750" i="13"/>
  <c r="W746" i="13"/>
  <c r="W742" i="13"/>
  <c r="W738" i="13"/>
  <c r="V734" i="13"/>
  <c r="T731" i="13"/>
  <c r="V728" i="13"/>
  <c r="W724" i="13"/>
  <c r="V720" i="13"/>
  <c r="U716" i="13"/>
  <c r="U712" i="13"/>
  <c r="T708" i="13"/>
  <c r="T704" i="13"/>
  <c r="V699" i="13"/>
  <c r="S696" i="13"/>
  <c r="X692" i="13"/>
  <c r="V688" i="13"/>
  <c r="U684" i="13"/>
  <c r="U680" i="13"/>
  <c r="V675" i="13"/>
  <c r="W670" i="13"/>
  <c r="S665" i="13"/>
  <c r="X660" i="13"/>
  <c r="V654" i="13"/>
  <c r="W650" i="13"/>
  <c r="S648" i="13"/>
  <c r="X644" i="13"/>
  <c r="W640" i="13"/>
  <c r="V637" i="13"/>
  <c r="T634" i="13"/>
  <c r="U630" i="13"/>
  <c r="V626" i="13"/>
  <c r="T623" i="13"/>
  <c r="U620" i="13"/>
  <c r="W616" i="13"/>
  <c r="W613" i="13"/>
  <c r="T610" i="13"/>
  <c r="T607" i="13"/>
  <c r="V603" i="13"/>
  <c r="S600" i="13"/>
  <c r="W596" i="13"/>
  <c r="V593" i="13"/>
  <c r="U590" i="13"/>
  <c r="U586" i="13"/>
  <c r="W582" i="13"/>
  <c r="W578" i="13"/>
  <c r="U574" i="13"/>
  <c r="W569" i="13"/>
  <c r="X564" i="13"/>
  <c r="S547" i="13"/>
  <c r="T542" i="13"/>
  <c r="X536" i="13"/>
  <c r="AV685" i="4" s="1"/>
  <c r="V522" i="13"/>
  <c r="V510" i="13"/>
  <c r="W789" i="13"/>
  <c r="V783" i="13"/>
  <c r="W778" i="13"/>
  <c r="T770" i="13"/>
  <c r="W744" i="13"/>
  <c r="X740" i="13"/>
  <c r="W736" i="13"/>
  <c r="W730" i="13"/>
  <c r="U726" i="13"/>
  <c r="U722" i="13"/>
  <c r="T653" i="13"/>
  <c r="S550" i="13"/>
  <c r="T541" i="13"/>
  <c r="U521" i="13"/>
  <c r="U509" i="13"/>
  <c r="V787" i="13"/>
  <c r="T771" i="13"/>
  <c r="S694" i="13"/>
  <c r="V651" i="13"/>
  <c r="S620" i="13"/>
  <c r="W614" i="13"/>
  <c r="T611" i="13"/>
  <c r="S604" i="13"/>
  <c r="S601" i="13"/>
  <c r="S598" i="13"/>
  <c r="W594" i="13"/>
  <c r="V591" i="13"/>
  <c r="W561" i="13"/>
  <c r="W556" i="13"/>
  <c r="W551" i="13"/>
  <c r="V547" i="13"/>
  <c r="V543" i="13"/>
  <c r="W539" i="13"/>
  <c r="V530" i="13"/>
  <c r="V526" i="13"/>
  <c r="T522" i="13"/>
  <c r="V518" i="13"/>
  <c r="S511" i="13"/>
  <c r="W519" i="13"/>
  <c r="W504" i="13"/>
  <c r="W498" i="13"/>
  <c r="T492" i="13"/>
  <c r="W488" i="13"/>
  <c r="T485" i="13"/>
  <c r="U482" i="13"/>
  <c r="V479" i="13"/>
  <c r="W475" i="13"/>
  <c r="T472" i="13"/>
  <c r="U469" i="13"/>
  <c r="U465" i="13"/>
  <c r="U461" i="13"/>
  <c r="W356" i="13"/>
  <c r="W264" i="13"/>
  <c r="T209" i="13"/>
  <c r="S517" i="13"/>
  <c r="V505" i="13"/>
  <c r="U499" i="13"/>
  <c r="W493" i="13"/>
  <c r="S489" i="13"/>
  <c r="W485" i="13"/>
  <c r="T482" i="13"/>
  <c r="U479" i="13"/>
  <c r="S476" i="13"/>
  <c r="W472" i="13"/>
  <c r="T469" i="13"/>
  <c r="X465" i="13"/>
  <c r="X461" i="13"/>
  <c r="U457" i="13"/>
  <c r="U453" i="13"/>
  <c r="W447" i="13"/>
  <c r="V442" i="13"/>
  <c r="V438" i="13"/>
  <c r="V433" i="13"/>
  <c r="W428" i="13"/>
  <c r="X422" i="13"/>
  <c r="W417" i="13"/>
  <c r="W412" i="13"/>
  <c r="X408" i="13"/>
  <c r="X404" i="13"/>
  <c r="X375" i="13"/>
  <c r="V372" i="13"/>
  <c r="W367" i="13"/>
  <c r="W363" i="13"/>
  <c r="V346" i="13"/>
  <c r="W342" i="13"/>
  <c r="W338" i="13"/>
  <c r="X334" i="13"/>
  <c r="X330" i="13"/>
  <c r="W326" i="13"/>
  <c r="W322" i="13"/>
  <c r="W318" i="13"/>
  <c r="X314" i="13"/>
  <c r="X310" i="13"/>
  <c r="V305" i="13"/>
  <c r="V301" i="13"/>
  <c r="V297" i="13"/>
  <c r="V293" i="13"/>
  <c r="W288" i="13"/>
  <c r="V278" i="13"/>
  <c r="X274" i="13"/>
  <c r="W266" i="13"/>
  <c r="W258" i="13"/>
  <c r="W253" i="13"/>
  <c r="W248" i="13"/>
  <c r="X244" i="13"/>
  <c r="W233" i="13"/>
  <c r="W228" i="13"/>
  <c r="W224" i="13"/>
  <c r="W220" i="13"/>
  <c r="V215" i="13"/>
  <c r="W210" i="13"/>
  <c r="X206" i="13"/>
  <c r="U512" i="13"/>
  <c r="T503" i="13"/>
  <c r="V497" i="13"/>
  <c r="W458" i="13"/>
  <c r="X454" i="13"/>
  <c r="X449" i="13"/>
  <c r="W444" i="13"/>
  <c r="U440" i="13"/>
  <c r="V434" i="13"/>
  <c r="X426" i="13"/>
  <c r="X421" i="13"/>
  <c r="W416" i="13"/>
  <c r="V412" i="13"/>
  <c r="W408" i="13"/>
  <c r="W404" i="13"/>
  <c r="X400" i="13"/>
  <c r="X396" i="13"/>
  <c r="X392" i="13"/>
  <c r="X388" i="13"/>
  <c r="X384" i="13"/>
  <c r="U380" i="13"/>
  <c r="W376" i="13"/>
  <c r="U373" i="13"/>
  <c r="V368" i="13"/>
  <c r="V364" i="13"/>
  <c r="V360" i="13"/>
  <c r="V345" i="13"/>
  <c r="V341" i="13"/>
  <c r="W337" i="13"/>
  <c r="W333" i="13"/>
  <c r="V327" i="13"/>
  <c r="V323" i="13"/>
  <c r="V319" i="13"/>
  <c r="W315" i="13"/>
  <c r="W311" i="13"/>
  <c r="W300" i="13"/>
  <c r="W296" i="13"/>
  <c r="W291" i="13"/>
  <c r="X286" i="13"/>
  <c r="X282" i="13"/>
  <c r="W274" i="13"/>
  <c r="X270" i="13"/>
  <c r="V253" i="13"/>
  <c r="V248" i="13"/>
  <c r="W244" i="13"/>
  <c r="X240" i="13"/>
  <c r="W236" i="13"/>
  <c r="X231" i="13"/>
  <c r="V226" i="13"/>
  <c r="W222" i="13"/>
  <c r="V218" i="13"/>
  <c r="W213" i="13"/>
  <c r="W515" i="13"/>
  <c r="V500" i="13"/>
  <c r="U492" i="13"/>
  <c r="W474" i="13"/>
  <c r="S470" i="13"/>
  <c r="U379" i="13"/>
  <c r="W195" i="13"/>
  <c r="X179" i="13"/>
  <c r="AV33" i="4" s="1"/>
  <c r="X171" i="13"/>
  <c r="W155" i="13"/>
  <c r="W69" i="13"/>
  <c r="W63" i="13"/>
  <c r="X59" i="13"/>
  <c r="V54" i="13"/>
  <c r="X49" i="13"/>
  <c r="X43" i="13"/>
  <c r="X39" i="13"/>
  <c r="X31" i="13"/>
  <c r="U26" i="13"/>
  <c r="V22" i="13"/>
  <c r="W203" i="13"/>
  <c r="X196" i="13"/>
  <c r="X176" i="13"/>
  <c r="W165" i="13"/>
  <c r="X153" i="13"/>
  <c r="W108" i="13"/>
  <c r="V203" i="13"/>
  <c r="W199" i="13"/>
  <c r="X192" i="13"/>
  <c r="X169" i="13"/>
  <c r="X159" i="13"/>
  <c r="W146" i="13"/>
  <c r="V137" i="13"/>
  <c r="W116" i="13"/>
  <c r="V20" i="13"/>
  <c r="V28" i="13"/>
  <c r="W35" i="13"/>
  <c r="X44" i="13"/>
  <c r="W59" i="13"/>
  <c r="V75" i="13"/>
  <c r="W86" i="13"/>
  <c r="W105" i="13"/>
  <c r="W125" i="13"/>
  <c r="V155" i="13"/>
  <c r="W18" i="13"/>
  <c r="X38" i="13"/>
  <c r="X45" i="13"/>
  <c r="X53" i="13"/>
  <c r="V63" i="13"/>
  <c r="X73" i="13"/>
  <c r="W82" i="13"/>
  <c r="W107" i="13"/>
  <c r="W117" i="13"/>
  <c r="W136" i="13"/>
  <c r="W156" i="13"/>
  <c r="U23" i="13"/>
  <c r="W34" i="13"/>
  <c r="W41" i="13"/>
  <c r="X51" i="13"/>
  <c r="V62" i="13"/>
  <c r="W72" i="13"/>
  <c r="V79" i="13"/>
  <c r="W92" i="13"/>
  <c r="W99" i="13"/>
  <c r="X112" i="13"/>
  <c r="W127" i="13"/>
  <c r="T1270" i="13"/>
  <c r="X1260" i="13"/>
  <c r="X1233" i="13"/>
  <c r="W1265" i="13"/>
  <c r="W1256" i="13"/>
  <c r="V1250" i="13"/>
  <c r="V1240" i="13"/>
  <c r="W1231" i="13"/>
  <c r="V1265" i="13"/>
  <c r="X1257" i="13"/>
  <c r="AV399" i="4" s="1"/>
  <c r="X1252" i="13"/>
  <c r="X1245" i="13"/>
  <c r="U1237" i="13"/>
  <c r="V1227" i="13"/>
  <c r="V1222" i="13"/>
  <c r="V1218" i="13"/>
  <c r="V1214" i="13"/>
  <c r="V1266" i="13"/>
  <c r="W1253" i="13"/>
  <c r="W1246" i="13"/>
  <c r="W1235" i="13"/>
  <c r="U1226" i="13"/>
  <c r="U1215" i="13"/>
  <c r="W1264" i="13"/>
  <c r="W1220" i="13"/>
  <c r="X1206" i="13"/>
  <c r="W1193" i="13"/>
  <c r="W1261" i="13"/>
  <c r="X1238" i="13"/>
  <c r="W1219" i="13"/>
  <c r="T1209" i="13"/>
  <c r="W1199" i="13"/>
  <c r="W1189" i="13"/>
  <c r="X1166" i="13"/>
  <c r="W1160" i="13"/>
  <c r="W1257" i="13"/>
  <c r="X1246" i="13"/>
  <c r="X1226" i="13"/>
  <c r="U1218" i="13"/>
  <c r="T1211" i="13"/>
  <c r="X1205" i="13"/>
  <c r="X1197" i="13"/>
  <c r="V1174" i="13"/>
  <c r="U1198" i="13"/>
  <c r="U1179" i="13"/>
  <c r="X1158" i="13"/>
  <c r="W1173" i="13"/>
  <c r="V1161" i="13"/>
  <c r="W1134" i="13"/>
  <c r="W1130" i="13"/>
  <c r="T1113" i="13"/>
  <c r="W1211" i="13"/>
  <c r="V1189" i="13"/>
  <c r="U1177" i="13"/>
  <c r="X1157" i="13"/>
  <c r="X1150" i="13"/>
  <c r="W1145" i="13"/>
  <c r="X1120" i="13"/>
  <c r="V1115" i="13"/>
  <c r="V1111" i="13"/>
  <c r="X1107" i="13"/>
  <c r="W1102" i="13"/>
  <c r="W1097" i="13"/>
  <c r="V1139" i="13"/>
  <c r="V1168" i="13"/>
  <c r="W1146" i="13"/>
  <c r="V1136" i="13"/>
  <c r="T1112" i="13"/>
  <c r="V1181" i="13"/>
  <c r="V1149" i="13"/>
  <c r="T1141" i="13"/>
  <c r="W1115" i="13"/>
  <c r="V1169" i="13"/>
  <c r="W1109" i="13"/>
  <c r="W1099" i="13"/>
  <c r="V1092" i="13"/>
  <c r="W1079" i="13"/>
  <c r="S1040" i="13"/>
  <c r="W1094" i="13"/>
  <c r="W1088" i="13"/>
  <c r="W1080" i="13"/>
  <c r="U1073" i="13"/>
  <c r="V1069" i="13"/>
  <c r="V1066" i="13"/>
  <c r="T1062" i="13"/>
  <c r="V1094" i="13"/>
  <c r="W1085" i="13"/>
  <c r="V1080" i="13"/>
  <c r="U1074" i="13"/>
  <c r="W1070" i="13"/>
  <c r="W1067" i="13"/>
  <c r="S1065" i="13"/>
  <c r="S1062" i="13"/>
  <c r="X1058" i="13"/>
  <c r="X1054" i="13"/>
  <c r="X1050" i="13"/>
  <c r="V1042" i="13"/>
  <c r="W1036" i="13"/>
  <c r="X1032" i="13"/>
  <c r="W1025" i="13"/>
  <c r="W1021" i="13"/>
  <c r="U1017" i="13"/>
  <c r="U1013" i="13"/>
  <c r="W1008" i="13"/>
  <c r="X1002" i="13"/>
  <c r="S1094" i="13"/>
  <c r="W1081" i="13"/>
  <c r="V1075" i="13"/>
  <c r="U1060" i="13"/>
  <c r="U1056" i="13"/>
  <c r="V1051" i="13"/>
  <c r="X1047" i="13"/>
  <c r="X1043" i="13"/>
  <c r="X1039" i="13"/>
  <c r="W1032" i="13"/>
  <c r="X1027" i="13"/>
  <c r="V1022" i="13"/>
  <c r="W1018" i="13"/>
  <c r="W1014" i="13"/>
  <c r="W1010" i="13"/>
  <c r="V1006" i="13"/>
  <c r="W923" i="13"/>
  <c r="W919" i="13"/>
  <c r="W911" i="13"/>
  <c r="W903" i="13"/>
  <c r="W896" i="13"/>
  <c r="V884" i="13"/>
  <c r="S880" i="13"/>
  <c r="X876" i="13"/>
  <c r="V870" i="13"/>
  <c r="V861" i="13"/>
  <c r="X843" i="13"/>
  <c r="X830" i="13"/>
  <c r="X826" i="13"/>
  <c r="W819" i="13"/>
  <c r="X815" i="13"/>
  <c r="V811" i="13"/>
  <c r="X806" i="13"/>
  <c r="X998" i="13"/>
  <c r="W991" i="13"/>
  <c r="V980" i="13"/>
  <c r="W976" i="13"/>
  <c r="X972" i="13"/>
  <c r="X968" i="13"/>
  <c r="V951" i="13"/>
  <c r="W947" i="13"/>
  <c r="X943" i="13"/>
  <c r="W934" i="13"/>
  <c r="X929" i="13"/>
  <c r="V925" i="13"/>
  <c r="V921" i="13"/>
  <c r="X894" i="13"/>
  <c r="V889" i="13"/>
  <c r="T884" i="13"/>
  <c r="W876" i="13"/>
  <c r="X871" i="13"/>
  <c r="T861" i="13"/>
  <c r="W854" i="13"/>
  <c r="W849" i="13"/>
  <c r="W845" i="13"/>
  <c r="U841" i="13"/>
  <c r="U837" i="13"/>
  <c r="V831" i="13"/>
  <c r="W827" i="13"/>
  <c r="V822" i="13"/>
  <c r="V817" i="13"/>
  <c r="X810" i="13"/>
  <c r="V805" i="13"/>
  <c r="V1003" i="13"/>
  <c r="X996" i="13"/>
  <c r="X992" i="13"/>
  <c r="V987" i="13"/>
  <c r="U980" i="13"/>
  <c r="V976" i="13"/>
  <c r="W972" i="13"/>
  <c r="W968" i="13"/>
  <c r="X964" i="13"/>
  <c r="X960" i="13"/>
  <c r="X956" i="13"/>
  <c r="X952" i="13"/>
  <c r="V946" i="13"/>
  <c r="W942" i="13"/>
  <c r="X938" i="13"/>
  <c r="V934" i="13"/>
  <c r="V928" i="13"/>
  <c r="V916" i="13"/>
  <c r="V908" i="13"/>
  <c r="W899" i="13"/>
  <c r="X893" i="13"/>
  <c r="S882" i="13"/>
  <c r="T878" i="13"/>
  <c r="X866" i="13"/>
  <c r="W862" i="13"/>
  <c r="S858" i="13"/>
  <c r="W853" i="13"/>
  <c r="V848" i="13"/>
  <c r="V844" i="13"/>
  <c r="W838" i="13"/>
  <c r="X832" i="13"/>
  <c r="S811" i="13"/>
  <c r="W1002" i="13"/>
  <c r="W992" i="13"/>
  <c r="S881" i="13"/>
  <c r="T859" i="13"/>
  <c r="T777" i="13"/>
  <c r="V795" i="13"/>
  <c r="T772" i="13"/>
  <c r="W757" i="13"/>
  <c r="U753" i="13"/>
  <c r="W748" i="13"/>
  <c r="W721" i="13"/>
  <c r="V717" i="13"/>
  <c r="U713" i="13"/>
  <c r="U709" i="13"/>
  <c r="V705" i="13"/>
  <c r="V698" i="13"/>
  <c r="V694" i="13"/>
  <c r="V691" i="13"/>
  <c r="X687" i="13"/>
  <c r="X683" i="13"/>
  <c r="U679" i="13"/>
  <c r="W675" i="13"/>
  <c r="V669" i="13"/>
  <c r="V662" i="13"/>
  <c r="V656" i="13"/>
  <c r="V649" i="13"/>
  <c r="X645" i="13"/>
  <c r="X641" i="13"/>
  <c r="AV286" i="4" s="1"/>
  <c r="W637" i="13"/>
  <c r="T635" i="13"/>
  <c r="X631" i="13"/>
  <c r="X627" i="13"/>
  <c r="U623" i="13"/>
  <c r="W619" i="13"/>
  <c r="S617" i="13"/>
  <c r="T613" i="13"/>
  <c r="U610" i="13"/>
  <c r="U607" i="13"/>
  <c r="V604" i="13"/>
  <c r="V601" i="13"/>
  <c r="V598" i="13"/>
  <c r="U595" i="13"/>
  <c r="T592" i="13"/>
  <c r="U588" i="13"/>
  <c r="W584" i="13"/>
  <c r="X580" i="13"/>
  <c r="X576" i="13"/>
  <c r="W572" i="13"/>
  <c r="V567" i="13"/>
  <c r="V562" i="13"/>
  <c r="U557" i="13"/>
  <c r="V552" i="13"/>
  <c r="S548" i="13"/>
  <c r="T544" i="13"/>
  <c r="S540" i="13"/>
  <c r="T536" i="13"/>
  <c r="S533" i="13"/>
  <c r="U530" i="13"/>
  <c r="W527" i="13"/>
  <c r="S525" i="13"/>
  <c r="S521" i="13"/>
  <c r="W794" i="13"/>
  <c r="X784" i="13"/>
  <c r="X778" i="13"/>
  <c r="S772" i="13"/>
  <c r="U767" i="13"/>
  <c r="U763" i="13"/>
  <c r="V759" i="13"/>
  <c r="U754" i="13"/>
  <c r="U749" i="13"/>
  <c r="V745" i="13"/>
  <c r="V741" i="13"/>
  <c r="V737" i="13"/>
  <c r="X733" i="13"/>
  <c r="X730" i="13"/>
  <c r="V727" i="13"/>
  <c r="V723" i="13"/>
  <c r="V719" i="13"/>
  <c r="V715" i="13"/>
  <c r="V711" i="13"/>
  <c r="T707" i="13"/>
  <c r="T703" i="13"/>
  <c r="T698" i="13"/>
  <c r="T695" i="13"/>
  <c r="U691" i="13"/>
  <c r="W687" i="13"/>
  <c r="W683" i="13"/>
  <c r="X679" i="13"/>
  <c r="X674" i="13"/>
  <c r="S668" i="13"/>
  <c r="T664" i="13"/>
  <c r="V658" i="13"/>
  <c r="V653" i="13"/>
  <c r="S650" i="13"/>
  <c r="T647" i="13"/>
  <c r="U643" i="13"/>
  <c r="S640" i="13"/>
  <c r="V636" i="13"/>
  <c r="V633" i="13"/>
  <c r="V629" i="13"/>
  <c r="U625" i="13"/>
  <c r="U622" i="13"/>
  <c r="V619" i="13"/>
  <c r="S616" i="13"/>
  <c r="S613" i="13"/>
  <c r="V609" i="13"/>
  <c r="V606" i="13"/>
  <c r="T602" i="13"/>
  <c r="V599" i="13"/>
  <c r="S596" i="13"/>
  <c r="W592" i="13"/>
  <c r="W589" i="13"/>
  <c r="W585" i="13"/>
  <c r="V581" i="13"/>
  <c r="U577" i="13"/>
  <c r="W573" i="13"/>
  <c r="X568" i="13"/>
  <c r="T552" i="13"/>
  <c r="S545" i="13"/>
  <c r="T539" i="13"/>
  <c r="U535" i="13"/>
  <c r="V521" i="13"/>
  <c r="V509" i="13"/>
  <c r="W786" i="13"/>
  <c r="W782" i="13"/>
  <c r="S776" i="13"/>
  <c r="W747" i="13"/>
  <c r="X743" i="13"/>
  <c r="W739" i="13"/>
  <c r="V735" i="13"/>
  <c r="V729" i="13"/>
  <c r="X725" i="13"/>
  <c r="V700" i="13"/>
  <c r="S652" i="13"/>
  <c r="T549" i="13"/>
  <c r="S539" i="13"/>
  <c r="V520" i="13"/>
  <c r="V508" i="13"/>
  <c r="W785" i="13"/>
  <c r="S770" i="13"/>
  <c r="T693" i="13"/>
  <c r="W622" i="13"/>
  <c r="T619" i="13"/>
  <c r="S614" i="13"/>
  <c r="V610" i="13"/>
  <c r="T603" i="13"/>
  <c r="U600" i="13"/>
  <c r="T597" i="13"/>
  <c r="S594" i="13"/>
  <c r="W590" i="13"/>
  <c r="W560" i="13"/>
  <c r="U554" i="13"/>
  <c r="W550" i="13"/>
  <c r="S546" i="13"/>
  <c r="W542" i="13"/>
  <c r="T533" i="13"/>
  <c r="T529" i="13"/>
  <c r="T525" i="13"/>
  <c r="T521" i="13"/>
  <c r="T517" i="13"/>
  <c r="T510" i="13"/>
  <c r="W517" i="13"/>
  <c r="W502" i="13"/>
  <c r="U496" i="13"/>
  <c r="V491" i="13"/>
  <c r="S488" i="13"/>
  <c r="W484" i="13"/>
  <c r="T481" i="13"/>
  <c r="V478" i="13"/>
  <c r="S475" i="13"/>
  <c r="W471" i="13"/>
  <c r="U468" i="13"/>
  <c r="U464" i="13"/>
  <c r="U460" i="13"/>
  <c r="W355" i="13"/>
  <c r="W251" i="13"/>
  <c r="T206" i="13"/>
  <c r="U516" i="13"/>
  <c r="U503" i="13"/>
  <c r="T498" i="13"/>
  <c r="U491" i="13"/>
  <c r="V488" i="13"/>
  <c r="S485" i="13"/>
  <c r="W481" i="13"/>
  <c r="U478" i="13"/>
  <c r="V475" i="13"/>
  <c r="S472" i="13"/>
  <c r="T468" i="13"/>
  <c r="X464" i="13"/>
  <c r="X460" i="13"/>
  <c r="U456" i="13"/>
  <c r="U452" i="13"/>
  <c r="V446" i="13"/>
  <c r="V441" i="13"/>
  <c r="V437" i="13"/>
  <c r="V432" i="13"/>
  <c r="V427" i="13"/>
  <c r="V420" i="13"/>
  <c r="X416" i="13"/>
  <c r="W411" i="13"/>
  <c r="X407" i="13"/>
  <c r="AV13" i="4" s="1"/>
  <c r="U383" i="13"/>
  <c r="T375" i="13"/>
  <c r="U371" i="13"/>
  <c r="W366" i="13"/>
  <c r="W362" i="13"/>
  <c r="W345" i="13"/>
  <c r="W341" i="13"/>
  <c r="X337" i="13"/>
  <c r="X333" i="13"/>
  <c r="V329" i="13"/>
  <c r="W325" i="13"/>
  <c r="W321" i="13"/>
  <c r="X317" i="13"/>
  <c r="X313" i="13"/>
  <c r="V308" i="13"/>
  <c r="V304" i="13"/>
  <c r="X300" i="13"/>
  <c r="X296" i="13"/>
  <c r="W292" i="13"/>
  <c r="X287" i="13"/>
  <c r="V277" i="13"/>
  <c r="X273" i="13"/>
  <c r="W265" i="13"/>
  <c r="W256" i="13"/>
  <c r="W252" i="13"/>
  <c r="W247" i="13"/>
  <c r="W237" i="13"/>
  <c r="X232" i="13"/>
  <c r="W227" i="13"/>
  <c r="W223" i="13"/>
  <c r="W219" i="13"/>
  <c r="W214" i="13"/>
  <c r="X209" i="13"/>
  <c r="V205" i="13"/>
  <c r="V511" i="13"/>
  <c r="S502" i="13"/>
  <c r="T494" i="13"/>
  <c r="X457" i="13"/>
  <c r="X453" i="13"/>
  <c r="W448" i="13"/>
  <c r="V443" i="13"/>
  <c r="U439" i="13"/>
  <c r="X430" i="13"/>
  <c r="X424" i="13"/>
  <c r="V419" i="13"/>
  <c r="X415" i="13"/>
  <c r="V411" i="13"/>
  <c r="W407" i="13"/>
  <c r="X403" i="13"/>
  <c r="X399" i="13"/>
  <c r="X395" i="13"/>
  <c r="X391" i="13"/>
  <c r="X387" i="13"/>
  <c r="X383" i="13"/>
  <c r="V379" i="13"/>
  <c r="W375" i="13"/>
  <c r="U372" i="13"/>
  <c r="V367" i="13"/>
  <c r="V363" i="13"/>
  <c r="W357" i="13"/>
  <c r="V344" i="13"/>
  <c r="U22" i="13"/>
  <c r="X29" i="13"/>
  <c r="X37" i="13"/>
  <c r="W47" i="13"/>
  <c r="V61" i="13"/>
  <c r="X77" i="13"/>
  <c r="W90" i="13"/>
  <c r="V117" i="13"/>
  <c r="W129" i="13"/>
  <c r="V161" i="13"/>
  <c r="W28" i="13"/>
  <c r="V39" i="13"/>
  <c r="W48" i="13"/>
  <c r="X55" i="13"/>
  <c r="V67" i="13"/>
  <c r="W75" i="13"/>
  <c r="W89" i="13"/>
  <c r="W109" i="13"/>
  <c r="V118" i="13"/>
  <c r="W137" i="13"/>
  <c r="W160" i="13"/>
  <c r="U25" i="13"/>
  <c r="W36" i="13"/>
  <c r="W43" i="13"/>
  <c r="X57" i="13"/>
  <c r="V66" i="13"/>
  <c r="W74" i="13"/>
  <c r="V81" i="13"/>
  <c r="W94" i="13"/>
  <c r="W103" i="13"/>
  <c r="X115" i="13"/>
  <c r="T135" i="13"/>
  <c r="T1269" i="13"/>
  <c r="T1254" i="13"/>
  <c r="T1230" i="13"/>
  <c r="S1269" i="13"/>
  <c r="U1263" i="13"/>
  <c r="W1255" i="13"/>
  <c r="W1247" i="13"/>
  <c r="X1237" i="13"/>
  <c r="U1228" i="13"/>
  <c r="V1221" i="13"/>
  <c r="W1270" i="13"/>
  <c r="W1262" i="13"/>
  <c r="T1256" i="13"/>
  <c r="V1251" i="13"/>
  <c r="U1243" i="13"/>
  <c r="U1235" i="13"/>
  <c r="V1225" i="13"/>
  <c r="U1221" i="13"/>
  <c r="U1217" i="13"/>
  <c r="U1264" i="13"/>
  <c r="T1252" i="13"/>
  <c r="V1244" i="13"/>
  <c r="V1234" i="13"/>
  <c r="W1252" i="13"/>
  <c r="X1202" i="13"/>
  <c r="W1186" i="13"/>
  <c r="X1242" i="13"/>
  <c r="V1232" i="13"/>
  <c r="W1216" i="13"/>
  <c r="U1205" i="13"/>
  <c r="U1197" i="13"/>
  <c r="U1188" i="13"/>
  <c r="X1164" i="13"/>
  <c r="W1159" i="13"/>
  <c r="X1253" i="13"/>
  <c r="V1215" i="13"/>
  <c r="S1210" i="13"/>
  <c r="V1204" i="13"/>
  <c r="V1196" i="13"/>
  <c r="S1180" i="13"/>
  <c r="V1162" i="13"/>
  <c r="U1214" i="13"/>
  <c r="S1212" i="13"/>
  <c r="W1194" i="13"/>
  <c r="U1176" i="13"/>
  <c r="S1142" i="13"/>
  <c r="U1195" i="13"/>
  <c r="V1185" i="13"/>
  <c r="V1164" i="13"/>
  <c r="V1160" i="13"/>
  <c r="U1133" i="13"/>
  <c r="W1127" i="13"/>
  <c r="W1241" i="13"/>
  <c r="W1204" i="13"/>
  <c r="U1186" i="13"/>
  <c r="X1176" i="13"/>
  <c r="V1156" i="13"/>
  <c r="V1148" i="13"/>
  <c r="V1144" i="13"/>
  <c r="X1119" i="13"/>
  <c r="V1114" i="13"/>
  <c r="X1110" i="13"/>
  <c r="X1106" i="13"/>
  <c r="X1101" i="13"/>
  <c r="W1156" i="13"/>
  <c r="W1138" i="13"/>
  <c r="V1167" i="13"/>
  <c r="X1145" i="13"/>
  <c r="V1116" i="13"/>
  <c r="W1111" i="13"/>
  <c r="T1210" i="13"/>
  <c r="V1159" i="13"/>
  <c r="W1148" i="13"/>
  <c r="V1132" i="13"/>
  <c r="T1110" i="13"/>
  <c r="V1199" i="13"/>
  <c r="X1140" i="13"/>
  <c r="V1104" i="13"/>
  <c r="X1097" i="13"/>
  <c r="U1096" i="13"/>
  <c r="W1091" i="13"/>
  <c r="U1075" i="13"/>
  <c r="X1037" i="13"/>
  <c r="V1091" i="13"/>
  <c r="W1087" i="13"/>
  <c r="X1077" i="13"/>
  <c r="U1072" i="13"/>
  <c r="W1068" i="13"/>
  <c r="T1065" i="13"/>
  <c r="T1043" i="13"/>
  <c r="V1089" i="13"/>
  <c r="X1084" i="13"/>
  <c r="W1078" i="13"/>
  <c r="T1073" i="13"/>
  <c r="S1070" i="13"/>
  <c r="S1067" i="13"/>
  <c r="T1064" i="13"/>
  <c r="U1061" i="13"/>
  <c r="U1057" i="13"/>
  <c r="U1053" i="13"/>
  <c r="X1049" i="13"/>
  <c r="S1041" i="13"/>
  <c r="X1035" i="13"/>
  <c r="V1030" i="13"/>
  <c r="W1024" i="13"/>
  <c r="W1020" i="13"/>
  <c r="V1016" i="13"/>
  <c r="V1012" i="13"/>
  <c r="W1006" i="13"/>
  <c r="V1000" i="13"/>
  <c r="W1093" i="13"/>
  <c r="X1079" i="13"/>
  <c r="S1074" i="13"/>
  <c r="V1059" i="13"/>
  <c r="V1055" i="13"/>
  <c r="W1050" i="13"/>
  <c r="X1046" i="13"/>
  <c r="T1042" i="13"/>
  <c r="V1036" i="13"/>
  <c r="X1031" i="13"/>
  <c r="V1025" i="13"/>
  <c r="V1021" i="13"/>
  <c r="X1017" i="13"/>
  <c r="X1013" i="13"/>
  <c r="X1009" i="13"/>
  <c r="X1005" i="13"/>
  <c r="W922" i="13"/>
  <c r="V918" i="13"/>
  <c r="V910" i="13"/>
  <c r="V902" i="13"/>
  <c r="X891" i="13"/>
  <c r="V883" i="13"/>
  <c r="T879" i="13"/>
  <c r="V874" i="13"/>
  <c r="T864" i="13"/>
  <c r="W860" i="13"/>
  <c r="X839" i="13"/>
  <c r="X829" i="13"/>
  <c r="V823" i="13"/>
  <c r="W818" i="13"/>
  <c r="W814" i="13"/>
  <c r="W809" i="13"/>
  <c r="W805" i="13"/>
  <c r="W997" i="13"/>
  <c r="W989" i="13"/>
  <c r="X979" i="13"/>
  <c r="U975" i="13"/>
  <c r="X971" i="13"/>
  <c r="X967" i="13"/>
  <c r="V950" i="13"/>
  <c r="W946" i="13"/>
  <c r="X942" i="13"/>
  <c r="X933" i="13"/>
  <c r="AV557" i="4" s="1"/>
  <c r="W928" i="13"/>
  <c r="V924" i="13"/>
  <c r="V920" i="13"/>
  <c r="V892" i="13"/>
  <c r="X888" i="13"/>
  <c r="T883" i="13"/>
  <c r="X875" i="13"/>
  <c r="S864" i="13"/>
  <c r="T858" i="13"/>
  <c r="X853" i="13"/>
  <c r="W848" i="13"/>
  <c r="W844" i="13"/>
  <c r="V840" i="13"/>
  <c r="V836" i="13"/>
  <c r="W830" i="13"/>
  <c r="W826" i="13"/>
  <c r="X821" i="13"/>
  <c r="V816" i="13"/>
  <c r="V809" i="13"/>
  <c r="X804" i="13"/>
  <c r="V999" i="13"/>
  <c r="V995" i="13"/>
  <c r="V991" i="13"/>
  <c r="V985" i="13"/>
  <c r="W979" i="13"/>
  <c r="X975" i="13"/>
  <c r="W971" i="13"/>
  <c r="W967" i="13"/>
  <c r="X963" i="13"/>
  <c r="X959" i="13"/>
  <c r="X955" i="13"/>
  <c r="V949" i="13"/>
  <c r="V945" i="13"/>
  <c r="X941" i="13"/>
  <c r="X937" i="13"/>
  <c r="AV558" i="4" s="1"/>
  <c r="W933" i="13"/>
  <c r="X927" i="13"/>
  <c r="W913" i="13"/>
  <c r="W905" i="13"/>
  <c r="V898" i="13"/>
  <c r="X885" i="13"/>
  <c r="T881" i="13"/>
  <c r="X869" i="13"/>
  <c r="X865" i="13"/>
  <c r="S861" i="13"/>
  <c r="W857" i="13"/>
  <c r="X852" i="13"/>
  <c r="V847" i="13"/>
  <c r="W842" i="13"/>
  <c r="X837" i="13"/>
  <c r="T814" i="13"/>
  <c r="W799" i="13"/>
  <c r="X1001" i="13"/>
  <c r="W990" i="13"/>
  <c r="T880" i="13"/>
  <c r="S814" i="13"/>
  <c r="T776" i="13"/>
  <c r="W788" i="13"/>
  <c r="S771" i="13"/>
  <c r="V756" i="13"/>
  <c r="V752" i="13"/>
  <c r="S735" i="13"/>
  <c r="W720" i="13"/>
  <c r="V716" i="13"/>
  <c r="V712" i="13"/>
  <c r="V708" i="13"/>
  <c r="V704" i="13"/>
  <c r="V697" i="13"/>
  <c r="W693" i="13"/>
  <c r="W690" i="13"/>
  <c r="V686" i="13"/>
  <c r="W682" i="13"/>
  <c r="X678" i="13"/>
  <c r="W673" i="13"/>
  <c r="V667" i="13"/>
  <c r="V659" i="13"/>
  <c r="V655" i="13"/>
  <c r="T648" i="13"/>
  <c r="U644" i="13"/>
  <c r="T640" i="13"/>
  <c r="S637" i="13"/>
  <c r="U634" i="13"/>
  <c r="V630" i="13"/>
  <c r="W626" i="13"/>
  <c r="V622" i="13"/>
  <c r="S619" i="13"/>
  <c r="T616" i="13"/>
  <c r="V612" i="13"/>
  <c r="W609" i="13"/>
  <c r="W606" i="13"/>
  <c r="W603" i="13"/>
  <c r="T600" i="13"/>
  <c r="W597" i="13"/>
  <c r="V594" i="13"/>
  <c r="U591" i="13"/>
  <c r="X587" i="13"/>
  <c r="V583" i="13"/>
  <c r="U579" i="13"/>
  <c r="W575" i="13"/>
  <c r="X571" i="13"/>
  <c r="W566" i="13"/>
  <c r="V561" i="13"/>
  <c r="V556" i="13"/>
  <c r="V551" i="13"/>
  <c r="T547" i="13"/>
  <c r="T543" i="13"/>
  <c r="V539" i="13"/>
  <c r="V535" i="13"/>
  <c r="U532" i="13"/>
  <c r="W529" i="13"/>
  <c r="S527" i="13"/>
  <c r="U524" i="13"/>
  <c r="T520" i="13"/>
  <c r="V792" i="13"/>
  <c r="W783" i="13"/>
  <c r="W777" i="13"/>
  <c r="W771" i="13"/>
  <c r="W766" i="13"/>
  <c r="U762" i="13"/>
  <c r="V758" i="13"/>
  <c r="U752" i="13"/>
  <c r="V748" i="13"/>
  <c r="X744" i="13"/>
  <c r="U740" i="13"/>
  <c r="X736" i="13"/>
  <c r="S733" i="13"/>
  <c r="S730" i="13"/>
  <c r="V726" i="13"/>
  <c r="V722" i="13"/>
  <c r="V718" i="13"/>
  <c r="W714" i="13"/>
  <c r="W710" i="13"/>
  <c r="T706" i="13"/>
  <c r="T702" i="13"/>
  <c r="T697" i="13"/>
  <c r="U694" i="13"/>
  <c r="V690" i="13"/>
  <c r="U686" i="13"/>
  <c r="V682" i="13"/>
  <c r="W678" i="13"/>
  <c r="V673" i="13"/>
  <c r="T667" i="13"/>
  <c r="X663" i="13"/>
  <c r="W657" i="13"/>
  <c r="T652" i="13"/>
  <c r="U649" i="13"/>
  <c r="V646" i="13"/>
  <c r="V642" i="13"/>
  <c r="T639" i="13"/>
  <c r="W635" i="13"/>
  <c r="U632" i="13"/>
  <c r="X628" i="13"/>
  <c r="W624" i="13"/>
  <c r="W621" i="13"/>
  <c r="T618" i="13"/>
  <c r="T615" i="13"/>
  <c r="U612" i="13"/>
  <c r="W608" i="13"/>
  <c r="T605" i="13"/>
  <c r="U601" i="13"/>
  <c r="U598" i="13"/>
  <c r="T595" i="13"/>
  <c r="S592" i="13"/>
  <c r="X588" i="13"/>
  <c r="V584" i="13"/>
  <c r="W580" i="13"/>
  <c r="W576" i="13"/>
  <c r="V572" i="13"/>
  <c r="V566" i="13"/>
  <c r="T551" i="13"/>
  <c r="S544" i="13"/>
  <c r="X538" i="13"/>
  <c r="V534" i="13"/>
  <c r="S520" i="13"/>
  <c r="S508" i="13"/>
  <c r="X785" i="13"/>
  <c r="X780" i="13"/>
  <c r="S775" i="13"/>
  <c r="V746" i="13"/>
  <c r="V742" i="13"/>
  <c r="V738" i="13"/>
  <c r="W733" i="13"/>
  <c r="U728" i="13"/>
  <c r="V724" i="13"/>
  <c r="S655" i="13"/>
  <c r="S552" i="13"/>
  <c r="T546" i="13"/>
  <c r="T523" i="13"/>
  <c r="T511" i="13"/>
  <c r="V800" i="13"/>
  <c r="W780" i="13"/>
  <c r="V701" i="13"/>
  <c r="V668" i="13"/>
  <c r="S622" i="13"/>
  <c r="V618" i="13"/>
  <c r="W612" i="13"/>
  <c r="T609" i="13"/>
  <c r="V602" i="13"/>
  <c r="T599" i="13"/>
  <c r="U596" i="13"/>
  <c r="T593" i="13"/>
  <c r="S590" i="13"/>
  <c r="U558" i="13"/>
  <c r="V553" i="13"/>
  <c r="S549" i="13"/>
  <c r="V545" i="13"/>
  <c r="S541" i="13"/>
  <c r="V532" i="13"/>
  <c r="V528" i="13"/>
  <c r="V524" i="13"/>
  <c r="U520" i="13"/>
  <c r="V516" i="13"/>
  <c r="T509" i="13"/>
  <c r="S515" i="13"/>
  <c r="V501" i="13"/>
  <c r="W494" i="13"/>
  <c r="U490" i="13"/>
  <c r="V487" i="13"/>
  <c r="S484" i="13"/>
  <c r="W480" i="13"/>
  <c r="U477" i="13"/>
  <c r="V474" i="13"/>
  <c r="S471" i="13"/>
  <c r="U467" i="13"/>
  <c r="U463" i="13"/>
  <c r="W359" i="13"/>
  <c r="W351" i="13"/>
  <c r="V250" i="13"/>
  <c r="S519" i="13"/>
  <c r="W513" i="13"/>
  <c r="T502" i="13"/>
  <c r="T496" i="13"/>
  <c r="T490" i="13"/>
  <c r="U487" i="13"/>
  <c r="V484" i="13"/>
  <c r="S481" i="13"/>
  <c r="T477" i="13"/>
  <c r="U474" i="13"/>
  <c r="V471" i="13"/>
  <c r="T467" i="13"/>
  <c r="X463" i="13"/>
  <c r="X459" i="13"/>
  <c r="U455" i="13"/>
  <c r="T451" i="13"/>
  <c r="X444" i="13"/>
  <c r="V440" i="13"/>
  <c r="X435" i="13"/>
  <c r="V431" i="13"/>
  <c r="V425" i="13"/>
  <c r="W419" i="13"/>
  <c r="X414" i="13"/>
  <c r="W410" i="13"/>
  <c r="X406" i="13"/>
  <c r="X377" i="13"/>
  <c r="U374" i="13"/>
  <c r="W369" i="13"/>
  <c r="W365" i="13"/>
  <c r="W361" i="13"/>
  <c r="W344" i="13"/>
  <c r="W340" i="13"/>
  <c r="X336" i="13"/>
  <c r="X332" i="13"/>
  <c r="V328" i="13"/>
  <c r="W324" i="13"/>
  <c r="W320" i="13"/>
  <c r="X316" i="13"/>
  <c r="X312" i="13"/>
  <c r="V307" i="13"/>
  <c r="V303" i="13"/>
  <c r="V299" i="13"/>
  <c r="V295" i="13"/>
  <c r="X291" i="13"/>
  <c r="V280" i="13"/>
  <c r="W276" i="13"/>
  <c r="X272" i="13"/>
  <c r="W262" i="13"/>
  <c r="V255" i="13"/>
  <c r="V251" i="13"/>
  <c r="W246" i="13"/>
  <c r="X236" i="13"/>
  <c r="V230" i="13"/>
  <c r="W226" i="13"/>
  <c r="X222" i="13"/>
  <c r="W218" i="13"/>
  <c r="X213" i="13"/>
  <c r="W208" i="13"/>
  <c r="U514" i="13"/>
  <c r="T508" i="13"/>
  <c r="T499" i="13"/>
  <c r="V492" i="13"/>
  <c r="X456" i="13"/>
  <c r="X452" i="13"/>
  <c r="V447" i="13"/>
  <c r="U442" i="13"/>
  <c r="X436" i="13"/>
  <c r="W429" i="13"/>
  <c r="W423" i="13"/>
  <c r="V418" i="13"/>
  <c r="W414" i="13"/>
  <c r="V410" i="13"/>
  <c r="W406" i="13"/>
  <c r="X402" i="13"/>
  <c r="X398" i="13"/>
  <c r="X394" i="13"/>
  <c r="X390" i="13"/>
  <c r="X386" i="13"/>
  <c r="X382" i="13"/>
  <c r="W378" i="13"/>
  <c r="X374" i="13"/>
  <c r="W370" i="13"/>
  <c r="V366" i="13"/>
  <c r="V362" i="13"/>
  <c r="W353" i="13"/>
  <c r="V343" i="13"/>
  <c r="V339" i="13"/>
  <c r="W335" i="13"/>
  <c r="W331" i="13"/>
  <c r="V325" i="13"/>
  <c r="V321" i="13"/>
  <c r="W317" i="13"/>
  <c r="W313" i="13"/>
  <c r="X309" i="13"/>
  <c r="W298" i="13"/>
  <c r="W294" i="13"/>
  <c r="V288" i="13"/>
  <c r="X284" i="13"/>
  <c r="V276" i="13"/>
  <c r="W272" i="13"/>
  <c r="W268" i="13"/>
  <c r="U251" i="13"/>
  <c r="V246" i="13"/>
  <c r="X242" i="13"/>
  <c r="X238" i="13"/>
  <c r="V233" i="13"/>
  <c r="V228" i="13"/>
  <c r="V224" i="13"/>
  <c r="V220" i="13"/>
  <c r="X216" i="13"/>
  <c r="V210" i="13"/>
  <c r="X504" i="13"/>
  <c r="T495" i="13"/>
  <c r="S478" i="13"/>
  <c r="U472" i="13"/>
  <c r="W381" i="13"/>
  <c r="T207" i="13"/>
  <c r="W191" i="13"/>
  <c r="W174" i="13"/>
  <c r="W164" i="13"/>
  <c r="W71" i="13"/>
  <c r="W65" i="13"/>
  <c r="X61" i="13"/>
  <c r="V56" i="13"/>
  <c r="V51" i="13"/>
  <c r="X47" i="13"/>
  <c r="X41" i="13"/>
  <c r="X33" i="13"/>
  <c r="X28" i="13"/>
  <c r="V24" i="13"/>
  <c r="W206" i="13"/>
  <c r="W201" i="13"/>
  <c r="W179" i="13"/>
  <c r="X170" i="13"/>
  <c r="X158" i="13"/>
  <c r="W128" i="13"/>
  <c r="V208" i="13"/>
  <c r="V201" i="13"/>
  <c r="U24" i="13"/>
  <c r="W31" i="13"/>
  <c r="W38" i="13"/>
  <c r="V48" i="13"/>
  <c r="V70" i="13"/>
  <c r="V80" i="13"/>
  <c r="W96" i="13"/>
  <c r="W119" i="13"/>
  <c r="V136" i="13"/>
  <c r="W8" i="13"/>
  <c r="V34" i="13"/>
  <c r="V41" i="13"/>
  <c r="V50" i="13"/>
  <c r="W57" i="13"/>
  <c r="V68" i="13"/>
  <c r="W76" i="13"/>
  <c r="W100" i="13"/>
  <c r="V111" i="13"/>
  <c r="W120" i="13"/>
  <c r="W141" i="13"/>
  <c r="W162" i="13"/>
  <c r="V30" i="13"/>
  <c r="W39" i="13"/>
  <c r="W46" i="13"/>
  <c r="V58" i="13"/>
  <c r="W67" i="13"/>
  <c r="X76" i="13"/>
  <c r="W84" i="13"/>
  <c r="W97" i="13"/>
  <c r="W111" i="13"/>
  <c r="W118" i="13"/>
  <c r="X135" i="13"/>
  <c r="T1268" i="13"/>
  <c r="X1249" i="13"/>
  <c r="W1238" i="13"/>
  <c r="W1227" i="13"/>
  <c r="V1268" i="13"/>
  <c r="W1260" i="13"/>
  <c r="W1254" i="13"/>
  <c r="U1244" i="13"/>
  <c r="V1235" i="13"/>
  <c r="X1225" i="13"/>
  <c r="V1217" i="13"/>
  <c r="S1268" i="13"/>
  <c r="U1260" i="13"/>
  <c r="V1255" i="13"/>
  <c r="W1249" i="13"/>
  <c r="X1241" i="13"/>
  <c r="T1233" i="13"/>
  <c r="W1224" i="13"/>
  <c r="X1220" i="13"/>
  <c r="X1216" i="13"/>
  <c r="V1261" i="13"/>
  <c r="W1250" i="13"/>
  <c r="W1242" i="13"/>
  <c r="X1231" i="13"/>
  <c r="S1209" i="13"/>
  <c r="W1245" i="13"/>
  <c r="X1198" i="13"/>
  <c r="W1184" i="13"/>
  <c r="U1229" i="13"/>
  <c r="W1203" i="13"/>
  <c r="W1191" i="13"/>
  <c r="W1187" i="13"/>
  <c r="T1179" i="13"/>
  <c r="V1163" i="13"/>
  <c r="V1270" i="13"/>
  <c r="U1249" i="13"/>
  <c r="W1209" i="13"/>
  <c r="X1201" i="13"/>
  <c r="W1190" i="13"/>
  <c r="U1178" i="13"/>
  <c r="U1259" i="13"/>
  <c r="U1206" i="13"/>
  <c r="V1187" i="13"/>
  <c r="V1175" i="13"/>
  <c r="U1138" i="13"/>
  <c r="W1192" i="13"/>
  <c r="W1182" i="13"/>
  <c r="W1163" i="13"/>
  <c r="W1155" i="13"/>
  <c r="W1132" i="13"/>
  <c r="V1126" i="13"/>
  <c r="X1236" i="13"/>
  <c r="U1222" i="13"/>
  <c r="W1200" i="13"/>
  <c r="W1166" i="13"/>
  <c r="V1152" i="13"/>
  <c r="X1147" i="13"/>
  <c r="X1141" i="13"/>
  <c r="X1118" i="13"/>
  <c r="W1113" i="13"/>
  <c r="V1109" i="13"/>
  <c r="X1105" i="13"/>
  <c r="V1099" i="13"/>
  <c r="V1155" i="13"/>
  <c r="W1128" i="13"/>
  <c r="U1172" i="13"/>
  <c r="V1154" i="13"/>
  <c r="V1143" i="13"/>
  <c r="W1114" i="13"/>
  <c r="X1098" i="13"/>
  <c r="V1203" i="13"/>
  <c r="W1152" i="13"/>
  <c r="S1145" i="13"/>
  <c r="V1130" i="13"/>
  <c r="U1193" i="13"/>
  <c r="W1177" i="13"/>
  <c r="V1134" i="13"/>
  <c r="W1103" i="13"/>
  <c r="V1095" i="13"/>
  <c r="W1090" i="13"/>
  <c r="W1074" i="13"/>
  <c r="X1026" i="13"/>
  <c r="V1090" i="13"/>
  <c r="X1085" i="13"/>
  <c r="U1076" i="13"/>
  <c r="V1071" i="13"/>
  <c r="S1068" i="13"/>
  <c r="U1064" i="13"/>
  <c r="T1041" i="13"/>
  <c r="V1088" i="13"/>
  <c r="V1082" i="13"/>
  <c r="W1077" i="13"/>
  <c r="T1072" i="13"/>
  <c r="U1069" i="13"/>
  <c r="U1066" i="13"/>
  <c r="U1063" i="13"/>
  <c r="V1060" i="13"/>
  <c r="V1056" i="13"/>
  <c r="V1052" i="13"/>
  <c r="X1048" i="13"/>
  <c r="V1040" i="13"/>
  <c r="V1034" i="13"/>
  <c r="W1029" i="13"/>
  <c r="W1023" i="13"/>
  <c r="W1019" i="13"/>
  <c r="W1015" i="13"/>
  <c r="W1011" i="13"/>
  <c r="V1004" i="13"/>
  <c r="W999" i="13"/>
  <c r="W1086" i="13"/>
  <c r="V1078" i="13"/>
  <c r="S1073" i="13"/>
  <c r="W1058" i="13"/>
  <c r="W1054" i="13"/>
  <c r="W1049" i="13"/>
  <c r="X1045" i="13"/>
  <c r="X1041" i="13"/>
  <c r="W1035" i="13"/>
  <c r="V1029" i="13"/>
  <c r="V1024" i="13"/>
  <c r="V1020" i="13"/>
  <c r="U1016" i="13"/>
  <c r="U1012" i="13"/>
  <c r="V1008" i="13"/>
  <c r="W988" i="13"/>
  <c r="W921" i="13"/>
  <c r="W915" i="13"/>
  <c r="W907" i="13"/>
  <c r="V900" i="13"/>
  <c r="W889" i="13"/>
  <c r="V882" i="13"/>
  <c r="W878" i="13"/>
  <c r="W873" i="13"/>
  <c r="T863" i="13"/>
  <c r="S859" i="13"/>
  <c r="X835" i="13"/>
  <c r="X828" i="13"/>
  <c r="W822" i="13"/>
  <c r="W817" i="13"/>
  <c r="W813" i="13"/>
  <c r="X808" i="13"/>
  <c r="W803" i="13"/>
  <c r="W995" i="13"/>
  <c r="X987" i="13"/>
  <c r="V978" i="13"/>
  <c r="X974" i="13"/>
  <c r="X970" i="13"/>
  <c r="X966" i="13"/>
  <c r="W949" i="13"/>
  <c r="W945" i="13"/>
  <c r="U936" i="13"/>
  <c r="V931" i="13"/>
  <c r="T927" i="13"/>
  <c r="V923" i="13"/>
  <c r="V919" i="13"/>
  <c r="W891" i="13"/>
  <c r="V887" i="13"/>
  <c r="T882" i="13"/>
  <c r="V873" i="13"/>
  <c r="S863" i="13"/>
  <c r="X857" i="13"/>
  <c r="V851" i="13"/>
  <c r="W847" i="13"/>
  <c r="W843" i="13"/>
  <c r="W839" i="13"/>
  <c r="W835" i="13"/>
  <c r="W829" i="13"/>
  <c r="X825" i="13"/>
  <c r="V819" i="13"/>
  <c r="W815" i="13"/>
  <c r="W808" i="13"/>
  <c r="V803" i="13"/>
  <c r="V998" i="13"/>
  <c r="X994" i="13"/>
  <c r="X990" i="13"/>
  <c r="X982" i="13"/>
  <c r="U978" i="13"/>
  <c r="W974" i="13"/>
  <c r="W970" i="13"/>
  <c r="W966" i="13"/>
  <c r="X962" i="13"/>
  <c r="X958" i="13"/>
  <c r="X954" i="13"/>
  <c r="V948" i="13"/>
  <c r="V944" i="13"/>
  <c r="X940" i="13"/>
  <c r="X936" i="13"/>
  <c r="X932" i="13"/>
  <c r="T926" i="13"/>
  <c r="V912" i="13"/>
  <c r="V904" i="13"/>
  <c r="V895" i="13"/>
  <c r="S884" i="13"/>
  <c r="V880" i="13"/>
  <c r="X868" i="13"/>
  <c r="W864" i="13"/>
  <c r="T860" i="13"/>
  <c r="X856" i="13"/>
  <c r="V850" i="13"/>
  <c r="V846" i="13"/>
  <c r="X841" i="13"/>
  <c r="U836" i="13"/>
  <c r="T813" i="13"/>
  <c r="V796" i="13"/>
  <c r="W996" i="13"/>
  <c r="X988" i="13"/>
  <c r="AV382" i="4" s="1"/>
  <c r="S878" i="13"/>
  <c r="S813" i="13"/>
  <c r="S774" i="13"/>
  <c r="V775" i="13"/>
  <c r="W770" i="13"/>
  <c r="U755" i="13"/>
  <c r="W751" i="13"/>
  <c r="T733" i="13"/>
  <c r="W719" i="13"/>
  <c r="W715" i="13"/>
  <c r="W711" i="13"/>
  <c r="V707" i="13"/>
  <c r="V703" i="13"/>
  <c r="T696" i="13"/>
  <c r="S693" i="13"/>
  <c r="U689" i="13"/>
  <c r="U685" i="13"/>
  <c r="X681" i="13"/>
  <c r="V677" i="13"/>
  <c r="V671" i="13"/>
  <c r="V666" i="13"/>
  <c r="W658" i="13"/>
  <c r="V652" i="13"/>
  <c r="U647" i="13"/>
  <c r="V643" i="13"/>
  <c r="U639" i="13"/>
  <c r="W636" i="13"/>
  <c r="W633" i="13"/>
  <c r="W629" i="13"/>
  <c r="V625" i="13"/>
  <c r="T621" i="13"/>
  <c r="U618" i="13"/>
  <c r="U615" i="13"/>
  <c r="W611" i="13"/>
  <c r="S609" i="13"/>
  <c r="S606" i="13"/>
  <c r="S603" i="13"/>
  <c r="W599" i="13"/>
  <c r="S597" i="13"/>
  <c r="W593" i="13"/>
  <c r="V590" i="13"/>
  <c r="V586" i="13"/>
  <c r="X582" i="13"/>
  <c r="X578" i="13"/>
  <c r="V574" i="13"/>
  <c r="V570" i="13"/>
  <c r="X565" i="13"/>
  <c r="V560" i="13"/>
  <c r="W555" i="13"/>
  <c r="V550" i="13"/>
  <c r="W546" i="13"/>
  <c r="V542" i="13"/>
  <c r="T538" i="13"/>
  <c r="W534" i="13"/>
  <c r="W531" i="13"/>
  <c r="S529" i="13"/>
  <c r="U526" i="13"/>
  <c r="V523" i="13"/>
  <c r="V798" i="13"/>
  <c r="V790" i="13"/>
  <c r="X782" i="13"/>
  <c r="V776" i="13"/>
  <c r="V770" i="13"/>
  <c r="W765" i="13"/>
  <c r="U761" i="13"/>
  <c r="V757" i="13"/>
  <c r="V751" i="13"/>
  <c r="X747" i="13"/>
  <c r="U743" i="13"/>
  <c r="X739" i="13"/>
  <c r="W735" i="13"/>
  <c r="V732" i="13"/>
  <c r="W729" i="13"/>
  <c r="U725" i="13"/>
  <c r="V721" i="13"/>
  <c r="U717" i="13"/>
  <c r="X713" i="13"/>
  <c r="X709" i="13"/>
  <c r="T705" i="13"/>
  <c r="S701" i="13"/>
  <c r="W696" i="13"/>
  <c r="V693" i="13"/>
  <c r="X689" i="13"/>
  <c r="X685" i="13"/>
  <c r="W681" i="13"/>
  <c r="V676" i="13"/>
  <c r="X672" i="13"/>
  <c r="T666" i="13"/>
  <c r="X661" i="13"/>
  <c r="T655" i="13"/>
  <c r="S651" i="13"/>
  <c r="W648" i="13"/>
  <c r="W645" i="13"/>
  <c r="W641" i="13"/>
  <c r="U638" i="13"/>
  <c r="S635" i="13"/>
  <c r="W631" i="13"/>
  <c r="W627" i="13"/>
  <c r="S624" i="13"/>
  <c r="S621" i="13"/>
  <c r="V617" i="13"/>
  <c r="U614" i="13"/>
  <c r="V611" i="13"/>
  <c r="S608" i="13"/>
  <c r="U604" i="13"/>
  <c r="W600" i="13"/>
  <c r="V597" i="13"/>
  <c r="U594" i="13"/>
  <c r="T591" i="13"/>
  <c r="W587" i="13"/>
  <c r="U583" i="13"/>
  <c r="X579" i="13"/>
  <c r="V575" i="13"/>
  <c r="W571" i="13"/>
  <c r="W565" i="13"/>
  <c r="T550" i="13"/>
  <c r="S543" i="13"/>
  <c r="V537" i="13"/>
  <c r="U523" i="13"/>
  <c r="U511" i="13"/>
  <c r="W507" i="13"/>
  <c r="W784" i="13"/>
  <c r="X779" i="13"/>
  <c r="W774" i="13"/>
  <c r="U745" i="13"/>
  <c r="U741" i="13"/>
  <c r="U737" i="13"/>
  <c r="X731" i="13"/>
  <c r="U727" i="13"/>
  <c r="U723" i="13"/>
  <c r="T654" i="13"/>
  <c r="S551" i="13"/>
  <c r="S542" i="13"/>
  <c r="U522" i="13"/>
  <c r="U510" i="13"/>
  <c r="V789" i="13"/>
  <c r="S777" i="13"/>
  <c r="W694" i="13"/>
  <c r="V665" i="13"/>
  <c r="W620" i="13"/>
  <c r="T617" i="13"/>
  <c r="S612" i="13"/>
  <c r="W604" i="13"/>
  <c r="W601" i="13"/>
  <c r="W598" i="13"/>
  <c r="V595" i="13"/>
  <c r="U592" i="13"/>
  <c r="W562" i="13"/>
  <c r="V557" i="13"/>
  <c r="W552" i="13"/>
  <c r="T548" i="13"/>
  <c r="V544" i="13"/>
  <c r="T540" i="13"/>
  <c r="T531" i="13"/>
  <c r="T527" i="13"/>
  <c r="S523" i="13"/>
  <c r="T519" i="13"/>
  <c r="T515" i="13"/>
  <c r="U508" i="13"/>
  <c r="X506" i="13"/>
  <c r="U500" i="13"/>
  <c r="S493" i="13"/>
  <c r="T489" i="13"/>
  <c r="U486" i="13"/>
  <c r="V483" i="13"/>
  <c r="S480" i="13"/>
  <c r="T476" i="13"/>
  <c r="U473" i="13"/>
  <c r="V470" i="13"/>
  <c r="U466" i="13"/>
  <c r="U462" i="13"/>
  <c r="W358" i="13"/>
  <c r="W347" i="13"/>
  <c r="U249" i="13"/>
  <c r="U518" i="13"/>
  <c r="U506" i="13"/>
  <c r="S501" i="13"/>
  <c r="V494" i="13"/>
  <c r="W489" i="13"/>
  <c r="T486" i="13"/>
  <c r="U483" i="13"/>
  <c r="V480" i="13"/>
  <c r="W476" i="13"/>
  <c r="T473" i="13"/>
  <c r="U470" i="13"/>
  <c r="T466" i="13"/>
  <c r="X462" i="13"/>
  <c r="X458" i="13"/>
  <c r="U454" i="13"/>
  <c r="X448" i="13"/>
  <c r="W443" i="13"/>
  <c r="V439" i="13"/>
  <c r="W434" i="13"/>
  <c r="X429" i="13"/>
  <c r="X423" i="13"/>
  <c r="W418" i="13"/>
  <c r="W413" i="13"/>
  <c r="W409" i="13"/>
  <c r="X405" i="13"/>
  <c r="X376" i="13"/>
  <c r="V373" i="13"/>
  <c r="W368" i="13"/>
  <c r="W364" i="13"/>
  <c r="W360" i="13"/>
  <c r="W343" i="13"/>
  <c r="W339" i="13"/>
  <c r="X335" i="13"/>
  <c r="X331" i="13"/>
  <c r="W327" i="13"/>
  <c r="W323" i="13"/>
  <c r="W319" i="13"/>
  <c r="X315" i="13"/>
  <c r="X311" i="13"/>
  <c r="V306" i="13"/>
  <c r="V302" i="13"/>
  <c r="X298" i="13"/>
  <c r="X294" i="13"/>
  <c r="V289" i="13"/>
  <c r="V279" i="13"/>
  <c r="W275" i="13"/>
  <c r="W267" i="13"/>
  <c r="W260" i="13"/>
  <c r="W254" i="13"/>
  <c r="U250" i="13"/>
  <c r="W245" i="13"/>
  <c r="V234" i="13"/>
  <c r="W229" i="13"/>
  <c r="W225" i="13"/>
  <c r="X221" i="13"/>
  <c r="W217" i="13"/>
  <c r="V211" i="13"/>
  <c r="V207" i="13"/>
  <c r="S513" i="13"/>
  <c r="U505" i="13"/>
  <c r="S498" i="13"/>
  <c r="W459" i="13"/>
  <c r="X455" i="13"/>
  <c r="X450" i="13"/>
  <c r="X445" i="13"/>
  <c r="U441" i="13"/>
  <c r="W435" i="13"/>
  <c r="V428" i="13"/>
  <c r="W422" i="13"/>
  <c r="V417" i="13"/>
  <c r="V413" i="13"/>
  <c r="V409" i="13"/>
  <c r="W405" i="13"/>
  <c r="X401" i="13"/>
  <c r="X397" i="13"/>
  <c r="X393" i="13"/>
  <c r="X389" i="13"/>
  <c r="X385" i="13"/>
  <c r="X381" i="13"/>
  <c r="W377" i="13"/>
  <c r="T374" i="13"/>
  <c r="V369" i="13"/>
  <c r="V365" i="13"/>
  <c r="V361" i="13"/>
  <c r="W349" i="13"/>
  <c r="V342" i="13"/>
  <c r="V338" i="13"/>
  <c r="W334" i="13"/>
  <c r="W330" i="13"/>
  <c r="V324" i="13"/>
  <c r="V320" i="13"/>
  <c r="W316" i="13"/>
  <c r="W312" i="13"/>
  <c r="U301" i="13"/>
  <c r="U297" i="13"/>
  <c r="V292" i="13"/>
  <c r="W287" i="13"/>
  <c r="X283" i="13"/>
  <c r="V275" i="13"/>
  <c r="X271" i="13"/>
  <c r="V254" i="13"/>
  <c r="W249" i="13"/>
  <c r="V245" i="13"/>
  <c r="X241" i="13"/>
  <c r="V237" i="13"/>
  <c r="W232" i="13"/>
  <c r="V227" i="13"/>
  <c r="V223" i="13"/>
  <c r="V219" i="13"/>
  <c r="V214" i="13"/>
  <c r="W209" i="13"/>
  <c r="W501" i="13"/>
  <c r="S494" i="13"/>
  <c r="U476" i="13"/>
  <c r="W470" i="13"/>
  <c r="X380" i="13"/>
  <c r="W197" i="13"/>
  <c r="V183" i="13"/>
  <c r="X173" i="13"/>
  <c r="X157" i="13"/>
  <c r="W70" i="13"/>
  <c r="W64" i="13"/>
  <c r="X60" i="13"/>
  <c r="V55" i="13"/>
  <c r="W50" i="13"/>
  <c r="V493" i="13"/>
  <c r="S490" i="13"/>
  <c r="W486" i="13"/>
  <c r="W479" i="13"/>
  <c r="W468" i="13"/>
  <c r="S466" i="13"/>
  <c r="W460" i="13"/>
  <c r="W451" i="13"/>
  <c r="W446" i="13"/>
  <c r="X432" i="13"/>
  <c r="V422" i="13"/>
  <c r="V406" i="13"/>
  <c r="V399" i="13"/>
  <c r="V391" i="13"/>
  <c r="V382" i="13"/>
  <c r="U375" i="13"/>
  <c r="X364" i="13"/>
  <c r="W354" i="13"/>
  <c r="X339" i="13"/>
  <c r="X326" i="13"/>
  <c r="V313" i="13"/>
  <c r="U300" i="13"/>
  <c r="W289" i="13"/>
  <c r="W279" i="13"/>
  <c r="V269" i="13"/>
  <c r="V242" i="13"/>
  <c r="W230" i="13"/>
  <c r="X214" i="13"/>
  <c r="X204" i="13"/>
  <c r="V191" i="13"/>
  <c r="W177" i="13"/>
  <c r="V168" i="13"/>
  <c r="V164" i="13"/>
  <c r="W143" i="13"/>
  <c r="W150" i="13"/>
  <c r="V119" i="13"/>
  <c r="X110" i="13"/>
  <c r="W87" i="13"/>
  <c r="X74" i="13"/>
  <c r="W62" i="13"/>
  <c r="X56" i="13"/>
  <c r="X46" i="13"/>
  <c r="W37" i="13"/>
  <c r="V31" i="13"/>
  <c r="U20" i="13"/>
  <c r="W9" i="13"/>
  <c r="W17" i="13"/>
  <c r="X22" i="13"/>
  <c r="V26" i="13"/>
  <c r="V36" i="13"/>
  <c r="W45" i="13"/>
  <c r="V52" i="13"/>
  <c r="W56" i="13"/>
  <c r="X65" i="13"/>
  <c r="X69" i="13"/>
  <c r="V77" i="13"/>
  <c r="X81" i="13"/>
  <c r="W106" i="13"/>
  <c r="V113" i="13"/>
  <c r="X117" i="13"/>
  <c r="W121" i="13"/>
  <c r="W131" i="13"/>
  <c r="X136" i="13"/>
  <c r="T153" i="13"/>
  <c r="X160" i="13"/>
  <c r="X172" i="13"/>
  <c r="V182" i="13"/>
  <c r="V186" i="13"/>
  <c r="X191" i="13"/>
  <c r="X197" i="13"/>
  <c r="V73" i="13"/>
  <c r="X78" i="13"/>
  <c r="W112" i="13"/>
  <c r="X121" i="13"/>
  <c r="W139" i="13"/>
  <c r="W158" i="13"/>
  <c r="X175" i="13"/>
  <c r="W196" i="13"/>
  <c r="V204" i="13"/>
  <c r="V154" i="13"/>
  <c r="X178" i="13"/>
  <c r="W204" i="13"/>
  <c r="W27" i="13"/>
  <c r="X40" i="13"/>
  <c r="V53" i="13"/>
  <c r="X72" i="13"/>
  <c r="V378" i="13"/>
  <c r="U497" i="13"/>
  <c r="W221" i="13"/>
  <c r="X239" i="13"/>
  <c r="X269" i="13"/>
  <c r="X290" i="13"/>
  <c r="W314" i="13"/>
  <c r="W332" i="13"/>
  <c r="W1215" i="13"/>
  <c r="V1259" i="13"/>
  <c r="T1250" i="13"/>
  <c r="X1244" i="13"/>
  <c r="W1236" i="13"/>
  <c r="W1226" i="13"/>
  <c r="V1223" i="13"/>
  <c r="V1256" i="13"/>
  <c r="V1231" i="13"/>
  <c r="U1257" i="13"/>
  <c r="V1220" i="13"/>
  <c r="W1210" i="13"/>
  <c r="X1200" i="13"/>
  <c r="W1217" i="13"/>
  <c r="W1178" i="13"/>
  <c r="V1173" i="13"/>
  <c r="V1269" i="13"/>
  <c r="V1253" i="13"/>
  <c r="U1241" i="13"/>
  <c r="X1229" i="13"/>
  <c r="X1168" i="13"/>
  <c r="W1258" i="13"/>
  <c r="W1207" i="13"/>
  <c r="U1204" i="13"/>
  <c r="U1200" i="13"/>
  <c r="U1196" i="13"/>
  <c r="W1183" i="13"/>
  <c r="T1177" i="13"/>
  <c r="V1158" i="13"/>
  <c r="X1251" i="13"/>
  <c r="U1219" i="13"/>
  <c r="U1187" i="13"/>
  <c r="V1184" i="13"/>
  <c r="U1175" i="13"/>
  <c r="W1170" i="13"/>
  <c r="S1266" i="13"/>
  <c r="U1216" i="13"/>
  <c r="W1208" i="13"/>
  <c r="V1205" i="13"/>
  <c r="V1197" i="13"/>
  <c r="W1175" i="13"/>
  <c r="X1162" i="13"/>
  <c r="W1165" i="13"/>
  <c r="X1152" i="13"/>
  <c r="W1143" i="13"/>
  <c r="W1137" i="13"/>
  <c r="W1123" i="13"/>
  <c r="V1119" i="13"/>
  <c r="V1108" i="13"/>
  <c r="S1144" i="13"/>
  <c r="U1139" i="13"/>
  <c r="W1129" i="13"/>
  <c r="V1122" i="13"/>
  <c r="V1113" i="13"/>
  <c r="T1109" i="13"/>
  <c r="X1104" i="13"/>
  <c r="X1100" i="13"/>
  <c r="X1174" i="13"/>
  <c r="U1137" i="13"/>
  <c r="V1131" i="13"/>
  <c r="V1117" i="13"/>
  <c r="W1104" i="13"/>
  <c r="X1161" i="13"/>
  <c r="W1150" i="13"/>
  <c r="T1142" i="13"/>
  <c r="V1135" i="13"/>
  <c r="W1119" i="13"/>
  <c r="T1114" i="13"/>
  <c r="V1107" i="13"/>
  <c r="V1096" i="13"/>
  <c r="W1083" i="13"/>
  <c r="V1085" i="13"/>
  <c r="W1095" i="13"/>
  <c r="V1093" i="13"/>
  <c r="T1071" i="13"/>
  <c r="X1059" i="13"/>
  <c r="V1053" i="13"/>
  <c r="W1046" i="13"/>
  <c r="X1038" i="13"/>
  <c r="W1034" i="13"/>
  <c r="X1024" i="13"/>
  <c r="X1016" i="13"/>
  <c r="V1005" i="13"/>
  <c r="W998" i="13"/>
  <c r="W1071" i="13"/>
  <c r="W1064" i="13"/>
  <c r="W1056" i="13"/>
  <c r="V1043" i="13"/>
  <c r="X1023" i="13"/>
  <c r="U1015" i="13"/>
  <c r="V1074" i="13"/>
  <c r="U1068" i="13"/>
  <c r="V1064" i="13"/>
  <c r="V1054" i="13"/>
  <c r="W1039" i="13"/>
  <c r="W1026" i="13"/>
  <c r="V1014" i="13"/>
  <c r="V1009" i="13"/>
  <c r="W1001" i="13"/>
  <c r="S1072" i="13"/>
  <c r="T1068" i="13"/>
  <c r="V1062" i="13"/>
  <c r="U1054" i="13"/>
  <c r="W1044" i="13"/>
  <c r="V1037" i="13"/>
  <c r="V1031" i="13"/>
  <c r="X1025" i="13"/>
  <c r="V1013" i="13"/>
  <c r="W1005" i="13"/>
  <c r="X1000" i="13"/>
  <c r="V990" i="13"/>
  <c r="V974" i="13"/>
  <c r="V966" i="13"/>
  <c r="W958" i="13"/>
  <c r="W952" i="13"/>
  <c r="V942" i="13"/>
  <c r="U934" i="13"/>
  <c r="W926" i="13"/>
  <c r="V896" i="13"/>
  <c r="W885" i="13"/>
  <c r="W877" i="13"/>
  <c r="W868" i="13"/>
  <c r="V852" i="13"/>
  <c r="V841" i="13"/>
  <c r="W832" i="13"/>
  <c r="X817" i="13"/>
  <c r="V806" i="13"/>
  <c r="V801" i="13"/>
  <c r="W790" i="13"/>
  <c r="V988" i="13"/>
  <c r="O976" i="13"/>
  <c r="Q976" i="13" s="1"/>
  <c r="M975" i="13"/>
  <c r="U974" i="13"/>
  <c r="V962" i="13"/>
  <c r="V955" i="13"/>
  <c r="W939" i="13"/>
  <c r="X934" i="13"/>
  <c r="V913" i="13"/>
  <c r="W904" i="13"/>
  <c r="X889" i="13"/>
  <c r="W882" i="13"/>
  <c r="X870" i="13"/>
  <c r="V860" i="13"/>
  <c r="X847" i="13"/>
  <c r="V843" i="13"/>
  <c r="T833" i="13"/>
  <c r="V827" i="13"/>
  <c r="W812" i="13"/>
  <c r="V794" i="13"/>
  <c r="V782" i="13"/>
  <c r="X983" i="13"/>
  <c r="V975" i="13"/>
  <c r="W963" i="13"/>
  <c r="V956" i="13"/>
  <c r="V943" i="13"/>
  <c r="X935" i="13"/>
  <c r="W927" i="13"/>
  <c r="W875" i="13"/>
  <c r="W866" i="13"/>
  <c r="W861" i="13"/>
  <c r="X850" i="13"/>
  <c r="V837" i="13"/>
  <c r="V829" i="13"/>
  <c r="V813" i="13"/>
  <c r="X997" i="13"/>
  <c r="W978" i="13"/>
  <c r="V961" i="13"/>
  <c r="W953" i="13"/>
  <c r="W940" i="13"/>
  <c r="X930" i="13"/>
  <c r="AV387" i="4" s="1"/>
  <c r="X926" i="13"/>
  <c r="V911" i="13"/>
  <c r="W901" i="13"/>
  <c r="X892" i="13"/>
  <c r="X877" i="13"/>
  <c r="W869" i="13"/>
  <c r="W852" i="13"/>
  <c r="W841" i="13"/>
  <c r="T835" i="13"/>
  <c r="V826" i="13"/>
  <c r="W821" i="13"/>
  <c r="X802" i="13"/>
  <c r="W775" i="13"/>
  <c r="W767" i="13"/>
  <c r="U760" i="13"/>
  <c r="U750" i="13"/>
  <c r="T735" i="13"/>
  <c r="S732" i="13"/>
  <c r="U724" i="13"/>
  <c r="U714" i="13"/>
  <c r="V709" i="13"/>
  <c r="W705" i="13"/>
  <c r="W703" i="13"/>
  <c r="S698" i="13"/>
  <c r="V685" i="13"/>
  <c r="V678" i="13"/>
  <c r="V670" i="13"/>
  <c r="V661" i="13"/>
  <c r="S653" i="13"/>
  <c r="U641" i="13"/>
  <c r="S634" i="13"/>
  <c r="U624" i="13"/>
  <c r="U608" i="13"/>
  <c r="W591" i="13"/>
  <c r="W583" i="13"/>
  <c r="X577" i="13"/>
  <c r="W570" i="13"/>
  <c r="W564" i="13"/>
  <c r="V536" i="13"/>
  <c r="T530" i="13"/>
  <c r="S524" i="13"/>
  <c r="V517" i="13"/>
  <c r="T514" i="13"/>
  <c r="V506" i="13"/>
  <c r="S503" i="13"/>
  <c r="U501" i="13"/>
  <c r="V498" i="13"/>
  <c r="V496" i="13"/>
  <c r="V786" i="13"/>
  <c r="W769" i="13"/>
  <c r="V762" i="13"/>
  <c r="W754" i="13"/>
  <c r="X746" i="13"/>
  <c r="W723" i="13"/>
  <c r="S708" i="13"/>
  <c r="S706" i="13"/>
  <c r="T699" i="13"/>
  <c r="U687" i="13"/>
  <c r="V679" i="13"/>
  <c r="W674" i="13"/>
  <c r="S667" i="13"/>
  <c r="X662" i="13"/>
  <c r="X656" i="13"/>
  <c r="U642" i="13"/>
  <c r="U636" i="13"/>
  <c r="X632" i="13"/>
  <c r="V627" i="13"/>
  <c r="T620" i="13"/>
  <c r="U611" i="13"/>
  <c r="U603" i="13"/>
  <c r="W595" i="13"/>
  <c r="T590" i="13"/>
  <c r="X581" i="13"/>
  <c r="U573" i="13"/>
  <c r="V564" i="13"/>
  <c r="W538" i="13"/>
  <c r="W530" i="13"/>
  <c r="V525" i="13"/>
  <c r="U517" i="13"/>
  <c r="S514" i="13"/>
  <c r="W497" i="13"/>
  <c r="W492" i="13"/>
  <c r="V771" i="13"/>
  <c r="V765" i="13"/>
  <c r="V755" i="13"/>
  <c r="W743" i="13"/>
  <c r="V739" i="13"/>
  <c r="X727" i="13"/>
  <c r="W716" i="13"/>
  <c r="W695" i="13"/>
  <c r="W691" i="13"/>
  <c r="W684" i="13"/>
  <c r="X677" i="13"/>
  <c r="X673" i="13"/>
  <c r="T651" i="13"/>
  <c r="X646" i="13"/>
  <c r="W639" i="13"/>
  <c r="T637" i="13"/>
  <c r="X629" i="13"/>
  <c r="W623" i="13"/>
  <c r="W615" i="13"/>
  <c r="U606" i="13"/>
  <c r="U597" i="13"/>
  <c r="V585" i="13"/>
  <c r="U575" i="13"/>
  <c r="U561" i="13"/>
  <c r="V555" i="13"/>
  <c r="V546" i="13"/>
  <c r="V533" i="13"/>
  <c r="V514" i="13"/>
  <c r="V512" i="13"/>
  <c r="S500" i="13"/>
  <c r="V774" i="13"/>
  <c r="U769" i="13"/>
  <c r="U758" i="13"/>
  <c r="V743" i="13"/>
  <c r="U738" i="13"/>
  <c r="X732" i="13"/>
  <c r="X729" i="13"/>
  <c r="V725" i="13"/>
  <c r="X715" i="13"/>
  <c r="U710" i="13"/>
  <c r="X703" i="13"/>
  <c r="V695" i="13"/>
  <c r="U688" i="13"/>
  <c r="X682" i="13"/>
  <c r="W663" i="13"/>
  <c r="V647" i="13"/>
  <c r="V641" i="13"/>
  <c r="V624" i="13"/>
  <c r="V616" i="13"/>
  <c r="V608" i="13"/>
  <c r="U587" i="13"/>
  <c r="V582" i="13"/>
  <c r="X575" i="13"/>
  <c r="W563" i="13"/>
  <c r="U555" i="13"/>
  <c r="W545" i="13"/>
  <c r="X537" i="13"/>
  <c r="U533" i="13"/>
  <c r="W526" i="13"/>
  <c r="T516" i="13"/>
  <c r="T513" i="13"/>
  <c r="V504" i="13"/>
  <c r="T493" i="13"/>
  <c r="U489" i="13"/>
  <c r="V481" i="13"/>
  <c r="V468" i="13"/>
  <c r="V460" i="13"/>
  <c r="W452" i="13"/>
  <c r="X443" i="13"/>
  <c r="W437" i="13"/>
  <c r="V429" i="13"/>
  <c r="X419" i="13"/>
  <c r="X409" i="13"/>
  <c r="W401" i="13"/>
  <c r="W393" i="13"/>
  <c r="W385" i="13"/>
  <c r="V381" i="13"/>
  <c r="U370" i="13"/>
  <c r="U360" i="13"/>
  <c r="V330" i="13"/>
  <c r="V314" i="13"/>
  <c r="W304" i="13"/>
  <c r="X297" i="13"/>
  <c r="W286" i="13"/>
  <c r="V272" i="13"/>
  <c r="W243" i="13"/>
  <c r="X233" i="13"/>
  <c r="X218" i="13"/>
  <c r="T208" i="13"/>
  <c r="X199" i="13"/>
  <c r="W176" i="13"/>
  <c r="V157" i="13"/>
  <c r="T488" i="13"/>
  <c r="S482" i="13"/>
  <c r="T478" i="13"/>
  <c r="U471" i="13"/>
  <c r="W463" i="13"/>
  <c r="V454" i="13"/>
  <c r="V450" i="13"/>
  <c r="W442" i="13"/>
  <c r="X438" i="13"/>
  <c r="V423" i="13"/>
  <c r="X412" i="13"/>
  <c r="W398" i="13"/>
  <c r="W390" i="13"/>
  <c r="V384" i="13"/>
  <c r="W374" i="13"/>
  <c r="U369" i="13"/>
  <c r="W352" i="13"/>
  <c r="V335" i="13"/>
  <c r="X318" i="13"/>
  <c r="X305" i="13"/>
  <c r="U298" i="13"/>
  <c r="W293" i="13"/>
  <c r="V284" i="13"/>
  <c r="W271" i="13"/>
  <c r="U246" i="13"/>
  <c r="W239" i="13"/>
  <c r="X220" i="13"/>
  <c r="V206" i="13"/>
  <c r="V194" i="13"/>
  <c r="X187" i="13"/>
  <c r="X183" i="13"/>
  <c r="V176" i="13"/>
  <c r="W163" i="13"/>
  <c r="T491" i="13"/>
  <c r="V482" i="13"/>
  <c r="V476" i="13"/>
  <c r="W467" i="13"/>
  <c r="V461" i="13"/>
  <c r="V453" i="13"/>
  <c r="W438" i="13"/>
  <c r="W431" i="13"/>
  <c r="W420" i="13"/>
  <c r="V407" i="13"/>
  <c r="V398" i="13"/>
  <c r="V390" i="13"/>
  <c r="X379" i="13"/>
  <c r="AV384" i="4" s="1"/>
  <c r="W373" i="13"/>
  <c r="U366" i="13"/>
  <c r="X346" i="13"/>
  <c r="V331" i="13"/>
  <c r="V316" i="13"/>
  <c r="W307" i="13"/>
  <c r="V300" i="13"/>
  <c r="X289" i="13"/>
  <c r="V282" i="13"/>
  <c r="X277" i="13"/>
  <c r="W269" i="13"/>
  <c r="X252" i="13"/>
  <c r="AV59" i="4" s="1"/>
  <c r="W240" i="13"/>
  <c r="X234" i="13"/>
  <c r="X227" i="13"/>
  <c r="X217" i="13"/>
  <c r="X207" i="13"/>
  <c r="V190" i="13"/>
  <c r="W186" i="13"/>
  <c r="W181" i="13"/>
  <c r="V169" i="13"/>
  <c r="X162" i="13"/>
  <c r="V96" i="13"/>
  <c r="W491" i="13"/>
  <c r="V489" i="13"/>
  <c r="S486" i="13"/>
  <c r="S479" i="13"/>
  <c r="S468" i="13"/>
  <c r="V465" i="13"/>
  <c r="U459" i="13"/>
  <c r="S451" i="13"/>
  <c r="X437" i="13"/>
  <c r="W430" i="13"/>
  <c r="W415" i="13"/>
  <c r="V404" i="13"/>
  <c r="W396" i="13"/>
  <c r="W388" i="13"/>
  <c r="W379" i="13"/>
  <c r="V370" i="13"/>
  <c r="U363" i="13"/>
  <c r="W350" i="13"/>
  <c r="V337" i="13"/>
  <c r="X322" i="13"/>
  <c r="X308" i="13"/>
  <c r="X299" i="13"/>
  <c r="V285" i="13"/>
  <c r="W277" i="13"/>
  <c r="W261" i="13"/>
  <c r="V240" i="13"/>
  <c r="X226" i="13"/>
  <c r="W212" i="13"/>
  <c r="X203" i="13"/>
  <c r="V197" i="13"/>
  <c r="V174" i="13"/>
  <c r="W167" i="13"/>
  <c r="V160" i="13"/>
  <c r="W145" i="13"/>
  <c r="X116" i="13"/>
  <c r="T110" i="13"/>
  <c r="V83" i="13"/>
  <c r="V71" i="13"/>
  <c r="W60" i="13"/>
  <c r="X54" i="13"/>
  <c r="W44" i="13"/>
  <c r="X36" i="13"/>
  <c r="W30" i="13"/>
  <c r="W16" i="13"/>
  <c r="W11" i="13"/>
  <c r="W19" i="13"/>
  <c r="X23" i="13"/>
  <c r="X27" i="13"/>
  <c r="V37" i="13"/>
  <c r="V46" i="13"/>
  <c r="W53" i="13"/>
  <c r="V57" i="13"/>
  <c r="X66" i="13"/>
  <c r="X70" i="13"/>
  <c r="W78" i="13"/>
  <c r="X82" i="13"/>
  <c r="V110" i="13"/>
  <c r="V114" i="13"/>
  <c r="X118" i="13"/>
  <c r="AV72" i="4" s="1"/>
  <c r="W122" i="13"/>
  <c r="W133" i="13"/>
  <c r="T137" i="13"/>
  <c r="X155" i="13"/>
  <c r="W161" i="13"/>
  <c r="X174" i="13"/>
  <c r="AV34" i="4" s="1"/>
  <c r="W183" i="13"/>
  <c r="V187" i="13"/>
  <c r="W192" i="13"/>
  <c r="V199" i="13"/>
  <c r="V74" i="13"/>
  <c r="X83" i="13"/>
  <c r="W113" i="13"/>
  <c r="W135" i="13"/>
  <c r="W144" i="13"/>
  <c r="X161" i="13"/>
  <c r="W178" i="13"/>
  <c r="W198" i="13"/>
  <c r="W93" i="13"/>
  <c r="V162" i="13"/>
  <c r="X194" i="13"/>
  <c r="V21" i="13"/>
  <c r="X30" i="13"/>
  <c r="X42" i="13"/>
  <c r="X58" i="13"/>
  <c r="X167" i="13"/>
  <c r="W382" i="13"/>
  <c r="X507" i="13"/>
  <c r="V225" i="13"/>
  <c r="X243" i="13"/>
  <c r="W273" i="13"/>
  <c r="U295" i="13"/>
  <c r="V318" i="13"/>
  <c r="W336" i="13"/>
  <c r="V1260" i="13"/>
  <c r="X1247" i="13"/>
  <c r="V1233" i="13"/>
  <c r="W1259" i="13"/>
  <c r="X1234" i="13"/>
  <c r="AV43" i="4" s="1"/>
  <c r="W1248" i="13"/>
  <c r="V1241" i="13"/>
  <c r="X1235" i="13"/>
  <c r="X1221" i="13"/>
  <c r="V1263" i="13"/>
  <c r="U1246" i="13"/>
  <c r="W1225" i="13"/>
  <c r="W1222" i="13"/>
  <c r="X1255" i="13"/>
  <c r="X1243" i="13"/>
  <c r="X1214" i="13"/>
  <c r="V1206" i="13"/>
  <c r="V1198" i="13"/>
  <c r="V1238" i="13"/>
  <c r="U1223" i="13"/>
  <c r="V1216" i="13"/>
  <c r="U1203" i="13"/>
  <c r="S1178" i="13"/>
  <c r="X1171" i="13"/>
  <c r="X1265" i="13"/>
  <c r="V1248" i="13"/>
  <c r="X1240" i="13"/>
  <c r="V1226" i="13"/>
  <c r="U1182" i="13"/>
  <c r="W1176" i="13"/>
  <c r="S1207" i="13"/>
  <c r="X1203" i="13"/>
  <c r="X1199" i="13"/>
  <c r="V1194" i="13"/>
  <c r="X1156" i="13"/>
  <c r="T1251" i="13"/>
  <c r="V1209" i="13"/>
  <c r="U1194" i="13"/>
  <c r="V1182" i="13"/>
  <c r="U1174" i="13"/>
  <c r="W1169" i="13"/>
  <c r="X1227" i="13"/>
  <c r="V1213" i="13"/>
  <c r="S1208" i="13"/>
  <c r="W1202" i="13"/>
  <c r="U1191" i="13"/>
  <c r="U1181" i="13"/>
  <c r="V1166" i="13"/>
  <c r="S1179" i="13"/>
  <c r="X1159" i="13"/>
  <c r="V1150" i="13"/>
  <c r="V1147" i="13"/>
  <c r="S1143" i="13"/>
  <c r="W1136" i="13"/>
  <c r="U1134" i="13"/>
  <c r="W1122" i="13"/>
  <c r="W1116" i="13"/>
  <c r="W1105" i="13"/>
  <c r="T1212" i="13"/>
  <c r="X1160" i="13"/>
  <c r="W1126" i="13"/>
  <c r="V1121" i="13"/>
  <c r="V1112" i="13"/>
  <c r="W1106" i="13"/>
  <c r="X1099" i="13"/>
  <c r="X1155" i="13"/>
  <c r="U1136" i="13"/>
  <c r="V1129" i="13"/>
  <c r="V1110" i="13"/>
  <c r="W1100" i="13"/>
  <c r="W1157" i="13"/>
  <c r="W1147" i="13"/>
  <c r="X1143" i="13"/>
  <c r="V1140" i="13"/>
  <c r="V1133" i="13"/>
  <c r="V1118" i="13"/>
  <c r="X1111" i="13"/>
  <c r="X1082" i="13"/>
  <c r="V1077" i="13"/>
  <c r="X1092" i="13"/>
  <c r="V1086" i="13"/>
  <c r="W1075" i="13"/>
  <c r="S1095" i="13"/>
  <c r="W1092" i="13"/>
  <c r="S1093" i="13"/>
  <c r="W1063" i="13"/>
  <c r="V1058" i="13"/>
  <c r="W1052" i="13"/>
  <c r="V1045" i="13"/>
  <c r="X1033" i="13"/>
  <c r="X1019" i="13"/>
  <c r="X1011" i="13"/>
  <c r="X1003" i="13"/>
  <c r="V983" i="13"/>
  <c r="T1096" i="13"/>
  <c r="S1071" i="13"/>
  <c r="S1064" i="13"/>
  <c r="U1055" i="13"/>
  <c r="W1038" i="13"/>
  <c r="U1018" i="13"/>
  <c r="V1010" i="13"/>
  <c r="W1073" i="13"/>
  <c r="U1067" i="13"/>
  <c r="W1061" i="13"/>
  <c r="X1051" i="13"/>
  <c r="W1037" i="13"/>
  <c r="X1022" i="13"/>
  <c r="W1013" i="13"/>
  <c r="X1004" i="13"/>
  <c r="U1070" i="13"/>
  <c r="W1066" i="13"/>
  <c r="V1061" i="13"/>
  <c r="W1053" i="13"/>
  <c r="X1042" i="13"/>
  <c r="V1035" i="13"/>
  <c r="X1030" i="13"/>
  <c r="X1021" i="13"/>
  <c r="W1012" i="13"/>
  <c r="W1004" i="13"/>
  <c r="W981" i="13"/>
  <c r="M891" i="13"/>
  <c r="O892" i="13"/>
  <c r="Q892" i="13" s="1"/>
  <c r="R892" i="13" s="1"/>
  <c r="X980" i="13"/>
  <c r="W964" i="13"/>
  <c r="W955" i="13"/>
  <c r="W950" i="13"/>
  <c r="V940" i="13"/>
  <c r="X931" i="13"/>
  <c r="W918" i="13"/>
  <c r="V893" i="13"/>
  <c r="N887" i="13"/>
  <c r="W883" i="13"/>
  <c r="W874" i="13"/>
  <c r="W865" i="13"/>
  <c r="X851" i="13"/>
  <c r="W840" i="13"/>
  <c r="V824" i="13"/>
  <c r="V815" i="13"/>
  <c r="W798" i="13"/>
  <c r="O679" i="13"/>
  <c r="M678" i="13"/>
  <c r="O678" i="13" s="1"/>
  <c r="X999" i="13"/>
  <c r="X981" i="13"/>
  <c r="V971" i="13"/>
  <c r="V960" i="13"/>
  <c r="V952" i="13"/>
  <c r="V938" i="13"/>
  <c r="W931" i="13"/>
  <c r="W912" i="13"/>
  <c r="W902" i="13"/>
  <c r="V888" i="13"/>
  <c r="W880" i="13"/>
  <c r="V868" i="13"/>
  <c r="W856" i="13"/>
  <c r="V838" i="13"/>
  <c r="V832" i="13"/>
  <c r="W823" i="13"/>
  <c r="V810" i="13"/>
  <c r="X807" i="13"/>
  <c r="V799" i="13"/>
  <c r="V791" i="13"/>
  <c r="U979" i="13"/>
  <c r="V972" i="13"/>
  <c r="W961" i="13"/>
  <c r="X951" i="13"/>
  <c r="V941" i="13"/>
  <c r="V933" i="13"/>
  <c r="W914" i="13"/>
  <c r="V894" i="13"/>
  <c r="X873" i="13"/>
  <c r="V864" i="13"/>
  <c r="V856" i="13"/>
  <c r="X846" i="13"/>
  <c r="X836" i="13"/>
  <c r="AV554" i="4" s="1"/>
  <c r="W825" i="13"/>
  <c r="W811" i="13"/>
  <c r="W796" i="13"/>
  <c r="W787" i="13"/>
  <c r="X976" i="13"/>
  <c r="V959" i="13"/>
  <c r="W951" i="13"/>
  <c r="W935" i="13"/>
  <c r="X928" i="13"/>
  <c r="W924" i="13"/>
  <c r="V909" i="13"/>
  <c r="V899" i="13"/>
  <c r="W890" i="13"/>
  <c r="V875" i="13"/>
  <c r="V866" i="13"/>
  <c r="X849" i="13"/>
  <c r="X840" i="13"/>
  <c r="W834" i="13"/>
  <c r="V825" i="13"/>
  <c r="W820" i="13"/>
  <c r="W801" i="13"/>
  <c r="X783" i="13"/>
  <c r="M781" i="13"/>
  <c r="O782" i="13"/>
  <c r="Q782" i="13" s="1"/>
  <c r="V764" i="13"/>
  <c r="W759" i="13"/>
  <c r="V747" i="13"/>
  <c r="X738" i="13"/>
  <c r="X734" i="13"/>
  <c r="V731" i="13"/>
  <c r="X723" i="13"/>
  <c r="V713" i="13"/>
  <c r="X708" i="13"/>
  <c r="S705" i="13"/>
  <c r="S703" i="13"/>
  <c r="U696" i="13"/>
  <c r="U681" i="13"/>
  <c r="X676" i="13"/>
  <c r="W660" i="13"/>
  <c r="U650" i="13"/>
  <c r="V640" i="13"/>
  <c r="V631" i="13"/>
  <c r="U617" i="13"/>
  <c r="V607" i="13"/>
  <c r="S591" i="13"/>
  <c r="U582" i="13"/>
  <c r="U576" i="13"/>
  <c r="V568" i="13"/>
  <c r="U562" i="13"/>
  <c r="X535" i="13"/>
  <c r="U529" i="13"/>
  <c r="V519" i="13"/>
  <c r="W516" i="13"/>
  <c r="T512" i="13"/>
  <c r="W505" i="13"/>
  <c r="W499" i="13"/>
  <c r="T497" i="13"/>
  <c r="V767" i="13"/>
  <c r="W761" i="13"/>
  <c r="U751" i="13"/>
  <c r="X745" i="13"/>
  <c r="W740" i="13"/>
  <c r="W722" i="13"/>
  <c r="X716" i="13"/>
  <c r="W707" i="13"/>
  <c r="W702" i="13"/>
  <c r="X686" i="13"/>
  <c r="U678" i="13"/>
  <c r="W671" i="13"/>
  <c r="S666" i="13"/>
  <c r="V660" i="13"/>
  <c r="W649" i="13"/>
  <c r="U640" i="13"/>
  <c r="U635" i="13"/>
  <c r="U631" i="13"/>
  <c r="X626" i="13"/>
  <c r="U619" i="13"/>
  <c r="W605" i="13"/>
  <c r="W602" i="13"/>
  <c r="S595" i="13"/>
  <c r="U589" i="13"/>
  <c r="V580" i="13"/>
  <c r="U572" i="13"/>
  <c r="V559" i="13"/>
  <c r="S530" i="13"/>
  <c r="U519" i="13"/>
  <c r="V513" i="13"/>
  <c r="V503" i="13"/>
  <c r="T500" i="13"/>
  <c r="S497" i="13"/>
  <c r="S492" i="13"/>
  <c r="V769" i="13"/>
  <c r="V761" i="13"/>
  <c r="W753" i="13"/>
  <c r="U742" i="13"/>
  <c r="V736" i="13"/>
  <c r="W725" i="13"/>
  <c r="U715" i="13"/>
  <c r="S695" i="13"/>
  <c r="U690" i="13"/>
  <c r="V683" i="13"/>
  <c r="X675" i="13"/>
  <c r="V648" i="13"/>
  <c r="V645" i="13"/>
  <c r="S639" i="13"/>
  <c r="T636" i="13"/>
  <c r="V628" i="13"/>
  <c r="S623" i="13"/>
  <c r="S615" i="13"/>
  <c r="V605" i="13"/>
  <c r="V596" i="13"/>
  <c r="X584" i="13"/>
  <c r="X572" i="13"/>
  <c r="U559" i="13"/>
  <c r="W554" i="13"/>
  <c r="W540" i="13"/>
  <c r="V527" i="13"/>
  <c r="U513" i="13"/>
  <c r="V495" i="13"/>
  <c r="W773" i="13"/>
  <c r="U768" i="13"/>
  <c r="V753" i="13"/>
  <c r="X742" i="13"/>
  <c r="X737" i="13"/>
  <c r="T732" i="13"/>
  <c r="T729" i="13"/>
  <c r="X721" i="13"/>
  <c r="V714" i="13"/>
  <c r="W709" i="13"/>
  <c r="T701" i="13"/>
  <c r="U693" i="13"/>
  <c r="V681" i="13"/>
  <c r="W661" i="13"/>
  <c r="U645" i="13"/>
  <c r="V639" i="13"/>
  <c r="V623" i="13"/>
  <c r="V615" i="13"/>
  <c r="W607" i="13"/>
  <c r="X586" i="13"/>
  <c r="V579" i="13"/>
  <c r="X570" i="13"/>
  <c r="M555" i="13"/>
  <c r="O556" i="13"/>
  <c r="Q556" i="13" s="1"/>
  <c r="M553" i="13"/>
  <c r="O553" i="13" s="1"/>
  <c r="V554" i="13"/>
  <c r="W544" i="13"/>
  <c r="T537" i="13"/>
  <c r="V531" i="13"/>
  <c r="S526" i="13"/>
  <c r="V515" i="13"/>
  <c r="V507" i="13"/>
  <c r="W496" i="13"/>
  <c r="U488" i="13"/>
  <c r="U480" i="13"/>
  <c r="V466" i="13"/>
  <c r="V458" i="13"/>
  <c r="V451" i="13"/>
  <c r="X442" i="13"/>
  <c r="V435" i="13"/>
  <c r="X427" i="13"/>
  <c r="X417" i="13"/>
  <c r="T409" i="13"/>
  <c r="V400" i="13"/>
  <c r="V392" i="13"/>
  <c r="W384" i="13"/>
  <c r="X378" i="13"/>
  <c r="X363" i="13"/>
  <c r="AV83" i="4" s="1"/>
  <c r="X345" i="13"/>
  <c r="X328" i="13"/>
  <c r="V310" i="13"/>
  <c r="X302" i="13"/>
  <c r="V294" i="13"/>
  <c r="W284" i="13"/>
  <c r="V270" i="13"/>
  <c r="W241" i="13"/>
  <c r="X229" i="13"/>
  <c r="V173" i="13"/>
  <c r="W483" i="13"/>
  <c r="U481" i="13"/>
  <c r="W473" i="13"/>
  <c r="T470" i="13"/>
  <c r="W461" i="13"/>
  <c r="W453" i="13"/>
  <c r="X447" i="13"/>
  <c r="W441" i="13"/>
  <c r="X431" i="13"/>
  <c r="V421" i="13"/>
  <c r="V405" i="13"/>
  <c r="V397" i="13"/>
  <c r="V389" i="13"/>
  <c r="U381" i="13"/>
  <c r="X373" i="13"/>
  <c r="U368" i="13"/>
  <c r="X344" i="13"/>
  <c r="W328" i="13"/>
  <c r="V315" i="13"/>
  <c r="X303" i="13"/>
  <c r="W297" i="13"/>
  <c r="W290" i="13"/>
  <c r="W282" i="13"/>
  <c r="X255" i="13"/>
  <c r="U245" i="13"/>
  <c r="V235" i="13"/>
  <c r="X215" i="13"/>
  <c r="W205" i="13"/>
  <c r="W190" i="13"/>
  <c r="X186" i="13"/>
  <c r="X182" i="13"/>
  <c r="W175" i="13"/>
  <c r="S509" i="13"/>
  <c r="T487" i="13"/>
  <c r="T479" i="13"/>
  <c r="V473" i="13"/>
  <c r="S467" i="13"/>
  <c r="V459" i="13"/>
  <c r="W449" i="13"/>
  <c r="W436" i="13"/>
  <c r="X428" i="13"/>
  <c r="X418" i="13"/>
  <c r="W403" i="13"/>
  <c r="W395" i="13"/>
  <c r="W387" i="13"/>
  <c r="U376" i="13"/>
  <c r="W372" i="13"/>
  <c r="U365" i="13"/>
  <c r="X343" i="13"/>
  <c r="X329" i="13"/>
  <c r="V312" i="13"/>
  <c r="U296" i="13"/>
  <c r="V287" i="13"/>
  <c r="W281" i="13"/>
  <c r="X275" i="13"/>
  <c r="W263" i="13"/>
  <c r="U248" i="13"/>
  <c r="V239" i="13"/>
  <c r="V232" i="13"/>
  <c r="X224" i="13"/>
  <c r="W215" i="13"/>
  <c r="W189" i="13"/>
  <c r="W185" i="13"/>
  <c r="W180" i="13"/>
  <c r="W168" i="13"/>
  <c r="S491" i="13"/>
  <c r="W487" i="13"/>
  <c r="U485" i="13"/>
  <c r="V477" i="13"/>
  <c r="V467" i="13"/>
  <c r="W464" i="13"/>
  <c r="V456" i="13"/>
  <c r="V449" i="13"/>
  <c r="V436" i="13"/>
  <c r="X425" i="13"/>
  <c r="X413" i="13"/>
  <c r="V403" i="13"/>
  <c r="V395" i="13"/>
  <c r="V387" i="13"/>
  <c r="U378" i="13"/>
  <c r="X366" i="13"/>
  <c r="U362" i="13"/>
  <c r="W346" i="13"/>
  <c r="V333" i="13"/>
  <c r="X319" i="13"/>
  <c r="X306" i="13"/>
  <c r="W295" i="13"/>
  <c r="V283" i="13"/>
  <c r="V274" i="13"/>
  <c r="X254" i="13"/>
  <c r="V238" i="13"/>
  <c r="V221" i="13"/>
  <c r="W211" i="13"/>
  <c r="X202" i="13"/>
  <c r="V195" i="13"/>
  <c r="V172" i="13"/>
  <c r="X166" i="13"/>
  <c r="V156" i="13"/>
  <c r="X138" i="13"/>
  <c r="X113" i="13"/>
  <c r="AV509" i="4" s="1"/>
  <c r="W102" i="13"/>
  <c r="W81" i="13"/>
  <c r="V65" i="13"/>
  <c r="V59" i="13"/>
  <c r="W49" i="13"/>
  <c r="V42" i="13"/>
  <c r="W33" i="13"/>
  <c r="W29" i="13"/>
  <c r="W14" i="13"/>
  <c r="W13" i="13"/>
  <c r="X20" i="13"/>
  <c r="X24" i="13"/>
  <c r="V29" i="13"/>
  <c r="V38" i="13"/>
  <c r="X50" i="13"/>
  <c r="W54" i="13"/>
  <c r="X63" i="13"/>
  <c r="X67" i="13"/>
  <c r="X71" i="13"/>
  <c r="X79" i="13"/>
  <c r="W83" i="13"/>
  <c r="X111" i="13"/>
  <c r="V115" i="13"/>
  <c r="X119" i="13"/>
  <c r="W126" i="13"/>
  <c r="W134" i="13"/>
  <c r="V138" i="13"/>
  <c r="X156" i="13"/>
  <c r="X164" i="13"/>
  <c r="X180" i="13"/>
  <c r="V184" i="13"/>
  <c r="V188" i="13"/>
  <c r="X193" i="13"/>
  <c r="V200" i="13"/>
  <c r="V76" i="13"/>
  <c r="W85" i="13"/>
  <c r="W114" i="13"/>
  <c r="T136" i="13"/>
  <c r="W153" i="13"/>
  <c r="X163" i="13"/>
  <c r="X190" i="13"/>
  <c r="W200" i="13"/>
  <c r="W124" i="13"/>
  <c r="V166" i="13"/>
  <c r="X198" i="13"/>
  <c r="V23" i="13"/>
  <c r="X32" i="13"/>
  <c r="V45" i="13"/>
  <c r="X62" i="13"/>
  <c r="X177" i="13"/>
  <c r="S474" i="13"/>
  <c r="X212" i="13"/>
  <c r="V229" i="13"/>
  <c r="V247" i="13"/>
  <c r="X281" i="13"/>
  <c r="U299" i="13"/>
  <c r="V322" i="13"/>
  <c r="V340" i="13"/>
  <c r="E669" i="13"/>
  <c r="E31" i="13"/>
  <c r="Q31" i="13" s="1"/>
  <c r="E273" i="13"/>
  <c r="Q273" i="13" s="1"/>
  <c r="E275" i="13"/>
  <c r="Q275" i="13" s="1"/>
  <c r="R275" i="13" s="1"/>
  <c r="E111" i="13"/>
  <c r="Q111" i="13" s="1"/>
  <c r="G82" i="1" s="1"/>
  <c r="H82" i="1" s="1"/>
  <c r="E7" i="13"/>
  <c r="Q7" i="13" s="1"/>
  <c r="E8" i="13"/>
  <c r="Q8" i="13" s="1"/>
  <c r="E1030" i="13"/>
  <c r="Q1030" i="13" s="1"/>
  <c r="G156" i="1" s="1"/>
  <c r="H156" i="1" s="1"/>
  <c r="E840" i="13"/>
  <c r="Q840" i="13" s="1"/>
  <c r="E60" i="13"/>
  <c r="Q60" i="13" s="1"/>
  <c r="E114" i="13"/>
  <c r="Q114" i="13" s="1"/>
  <c r="E91" i="13"/>
  <c r="Q91" i="13" s="1"/>
  <c r="R91" i="13" s="1"/>
  <c r="E94" i="13"/>
  <c r="Q94" i="13" s="1"/>
  <c r="E77" i="13"/>
  <c r="Q77" i="13" s="1"/>
  <c r="E82" i="13"/>
  <c r="Q82" i="13" s="1"/>
  <c r="G1532" i="1" s="1"/>
  <c r="E50" i="13"/>
  <c r="Q50" i="13" s="1"/>
  <c r="E593" i="13"/>
  <c r="Q593" i="13" s="1"/>
  <c r="G1771" i="1"/>
  <c r="E59" i="13"/>
  <c r="Q59" i="13" s="1"/>
  <c r="E456" i="13"/>
  <c r="Q456" i="13" s="1"/>
  <c r="E928" i="13"/>
  <c r="Q928" i="13" s="1"/>
  <c r="E829" i="13"/>
  <c r="Q829" i="13" s="1"/>
  <c r="E672" i="13"/>
  <c r="Q672" i="13" s="1"/>
  <c r="E367" i="13"/>
  <c r="Q367" i="13" s="1"/>
  <c r="R241" i="17418"/>
  <c r="Q258" i="17418"/>
  <c r="Q243" i="17418"/>
  <c r="Q241" i="17418"/>
  <c r="T59" i="17418"/>
  <c r="K9" i="17419"/>
  <c r="T57" i="17418"/>
  <c r="T55" i="17418"/>
  <c r="T51" i="17418"/>
  <c r="T47" i="17418"/>
  <c r="T60" i="17418"/>
  <c r="T56" i="17418"/>
  <c r="T43" i="17418"/>
  <c r="T40" i="17418"/>
  <c r="T34" i="17418"/>
  <c r="K42" i="17419"/>
  <c r="T45" i="17418"/>
  <c r="T39" i="17418"/>
  <c r="T37" i="17418"/>
  <c r="T30" i="17418"/>
  <c r="T58" i="17418"/>
  <c r="T54" i="17418"/>
  <c r="T46" i="17418"/>
  <c r="T31" i="17418"/>
  <c r="T53" i="17418"/>
  <c r="T52" i="17418"/>
  <c r="T41" i="17418"/>
  <c r="T36" i="17418"/>
  <c r="T35" i="17418"/>
  <c r="T33" i="17418"/>
  <c r="T42" i="17418"/>
  <c r="T29" i="17418"/>
  <c r="T49" i="17418"/>
  <c r="T48" i="17418"/>
  <c r="T44" i="17418"/>
  <c r="T38" i="17418"/>
  <c r="T15" i="17418"/>
  <c r="T50" i="17418"/>
  <c r="U7" i="17418"/>
  <c r="G1813" i="1"/>
  <c r="G1824" i="1"/>
  <c r="E62" i="13"/>
  <c r="Q62" i="13" s="1"/>
  <c r="G1516" i="1" s="1"/>
  <c r="Q247" i="17418"/>
  <c r="E649" i="13"/>
  <c r="Q649" i="13" s="1"/>
  <c r="E427" i="6" s="1"/>
  <c r="Q427" i="6" s="1"/>
  <c r="Q255" i="17418"/>
  <c r="E675" i="13"/>
  <c r="Q675" i="13" s="1"/>
  <c r="E541" i="13"/>
  <c r="Q541" i="13" s="1"/>
  <c r="E37" i="13"/>
  <c r="Q37" i="13" s="1"/>
  <c r="E379" i="13"/>
  <c r="Q379" i="13" s="1"/>
  <c r="G1656" i="1"/>
  <c r="E816" i="13"/>
  <c r="Q816" i="13" s="1"/>
  <c r="U167" i="13"/>
  <c r="U163" i="13"/>
  <c r="U159" i="13"/>
  <c r="U190" i="13"/>
  <c r="U186" i="13"/>
  <c r="U9" i="13"/>
  <c r="U13" i="13"/>
  <c r="U17" i="13"/>
  <c r="E38" i="13"/>
  <c r="Q38" i="13" s="1"/>
  <c r="G1468" i="1" s="1"/>
  <c r="E1126" i="13"/>
  <c r="Q1126" i="13" s="1"/>
  <c r="R1126" i="13" s="1"/>
  <c r="E1128" i="13"/>
  <c r="Q1128" i="13" s="1"/>
  <c r="E709" i="13"/>
  <c r="Q709" i="13" s="1"/>
  <c r="E713" i="13"/>
  <c r="Q713" i="13" s="1"/>
  <c r="E964" i="13"/>
  <c r="Q964" i="13" s="1"/>
  <c r="R964" i="13" s="1"/>
  <c r="E972" i="13"/>
  <c r="Q972" i="13" s="1"/>
  <c r="R972" i="13" s="1"/>
  <c r="E969" i="13"/>
  <c r="Q969" i="13" s="1"/>
  <c r="E953" i="13"/>
  <c r="Q953" i="13" s="1"/>
  <c r="R953" i="13" s="1"/>
  <c r="E963" i="13"/>
  <c r="Q963" i="13" s="1"/>
  <c r="E959" i="13"/>
  <c r="Q959" i="13" s="1"/>
  <c r="E968" i="13"/>
  <c r="Q968" i="13" s="1"/>
  <c r="E965" i="13"/>
  <c r="Q965" i="13" s="1"/>
  <c r="R965" i="13" s="1"/>
  <c r="E973" i="13"/>
  <c r="Q973" i="13" s="1"/>
  <c r="R973" i="13" s="1"/>
  <c r="E958" i="13"/>
  <c r="Q958" i="13" s="1"/>
  <c r="E740" i="13"/>
  <c r="Q740" i="13" s="1"/>
  <c r="E745" i="13"/>
  <c r="Q745" i="13" s="1"/>
  <c r="R745" i="13" s="1"/>
  <c r="E739" i="13"/>
  <c r="E738" i="13"/>
  <c r="E743" i="13"/>
  <c r="Q743" i="13" s="1"/>
  <c r="E737" i="13"/>
  <c r="Q737" i="13" s="1"/>
  <c r="G1860" i="1"/>
  <c r="E1052" i="13"/>
  <c r="Q1052" i="13" s="1"/>
  <c r="R1052" i="13" s="1"/>
  <c r="E916" i="13"/>
  <c r="Q916" i="13" s="1"/>
  <c r="E921" i="13"/>
  <c r="Q921" i="13" s="1"/>
  <c r="R921" i="13" s="1"/>
  <c r="E907" i="13"/>
  <c r="Q907" i="13" s="1"/>
  <c r="E924" i="13"/>
  <c r="Q924" i="13" s="1"/>
  <c r="R924" i="13" s="1"/>
  <c r="E902" i="13"/>
  <c r="Q902" i="13" s="1"/>
  <c r="E922" i="13"/>
  <c r="Q922" i="13" s="1"/>
  <c r="R922" i="13" s="1"/>
  <c r="E904" i="13"/>
  <c r="Q904" i="13" s="1"/>
  <c r="R904" i="13" s="1"/>
  <c r="E923" i="13"/>
  <c r="Q923" i="13" s="1"/>
  <c r="R923" i="13" s="1"/>
  <c r="E911" i="13"/>
  <c r="Q911" i="13" s="1"/>
  <c r="R911" i="13" s="1"/>
  <c r="E919" i="13"/>
  <c r="Q919" i="13" s="1"/>
  <c r="R919" i="13" s="1"/>
  <c r="E905" i="13"/>
  <c r="Q905" i="13" s="1"/>
  <c r="G719" i="1" s="1"/>
  <c r="H719" i="1" s="1"/>
  <c r="E917" i="13"/>
  <c r="Q917" i="13" s="1"/>
  <c r="E901" i="13"/>
  <c r="Q901" i="13" s="1"/>
  <c r="E912" i="13"/>
  <c r="Q912" i="13" s="1"/>
  <c r="R912" i="13" s="1"/>
  <c r="E898" i="13"/>
  <c r="Q898" i="13" s="1"/>
  <c r="E884" i="13"/>
  <c r="Q884" i="13" s="1"/>
  <c r="E880" i="13"/>
  <c r="Q880" i="13" s="1"/>
  <c r="E881" i="13"/>
  <c r="Q881" i="13" s="1"/>
  <c r="E879" i="13"/>
  <c r="Q879" i="13" s="1"/>
  <c r="R879" i="13" s="1"/>
  <c r="E693" i="13"/>
  <c r="Q693" i="13" s="1"/>
  <c r="E683" i="13"/>
  <c r="Q683" i="13" s="1"/>
  <c r="E684" i="13"/>
  <c r="Q684" i="13" s="1"/>
  <c r="G1764" i="1"/>
  <c r="E583" i="13"/>
  <c r="Q583" i="13" s="1"/>
  <c r="E584" i="13"/>
  <c r="Q584" i="13" s="1"/>
  <c r="E588" i="13"/>
  <c r="Q588" i="13" s="1"/>
  <c r="R588" i="13" s="1"/>
  <c r="E582" i="13"/>
  <c r="Q582" i="13" s="1"/>
  <c r="E771" i="13"/>
  <c r="Q771" i="13" s="1"/>
  <c r="E773" i="13"/>
  <c r="Q773" i="13" s="1"/>
  <c r="E774" i="13"/>
  <c r="Q774" i="13" s="1"/>
  <c r="E777" i="13"/>
  <c r="Q777" i="13" s="1"/>
  <c r="E699" i="13"/>
  <c r="Q699" i="13" s="1"/>
  <c r="E433" i="6" s="1"/>
  <c r="Q433" i="6" s="1"/>
  <c r="E700" i="13"/>
  <c r="Q700" i="13" s="1"/>
  <c r="E938" i="13"/>
  <c r="Q938" i="13" s="1"/>
  <c r="U194" i="13"/>
  <c r="G1864" i="1"/>
  <c r="E1083" i="13"/>
  <c r="Q1083" i="13" s="1"/>
  <c r="R1083" i="13" s="1"/>
  <c r="E1082" i="13"/>
  <c r="Q1082" i="13" s="1"/>
  <c r="R1082" i="13" s="1"/>
  <c r="E1080" i="13"/>
  <c r="Q1080" i="13" s="1"/>
  <c r="E1079" i="13"/>
  <c r="Q1079" i="13" s="1"/>
  <c r="E931" i="13"/>
  <c r="Q931" i="13" s="1"/>
  <c r="E930" i="13"/>
  <c r="Q930" i="13" s="1"/>
  <c r="E869" i="13"/>
  <c r="Q869" i="13" s="1"/>
  <c r="E867" i="13"/>
  <c r="Q867" i="13" s="1"/>
  <c r="E873" i="13"/>
  <c r="Q873" i="13" s="1"/>
  <c r="R873" i="13" s="1"/>
  <c r="E875" i="13"/>
  <c r="Q875" i="13" s="1"/>
  <c r="R875" i="13" s="1"/>
  <c r="E866" i="13"/>
  <c r="Q866" i="13" s="1"/>
  <c r="E872" i="13"/>
  <c r="Q872" i="13" s="1"/>
  <c r="R872" i="13" s="1"/>
  <c r="E1026" i="13"/>
  <c r="Q1026" i="13" s="1"/>
  <c r="R1026" i="13" s="1"/>
  <c r="E1024" i="13"/>
  <c r="Q1024" i="13" s="1"/>
  <c r="E1028" i="13"/>
  <c r="Q1028" i="13" s="1"/>
  <c r="R1028" i="13" s="1"/>
  <c r="E1020" i="13"/>
  <c r="Q1020" i="13" s="1"/>
  <c r="E1021" i="13"/>
  <c r="Q1021" i="13" s="1"/>
  <c r="E1023" i="13"/>
  <c r="Q1023" i="13" s="1"/>
  <c r="E1025" i="13"/>
  <c r="Q1025" i="13" s="1"/>
  <c r="R1025" i="13" s="1"/>
  <c r="G1834" i="1"/>
  <c r="E834" i="13"/>
  <c r="Q834" i="13" s="1"/>
  <c r="E833" i="13"/>
  <c r="Q833" i="13" s="1"/>
  <c r="E681" i="13"/>
  <c r="Q681" i="13" s="1"/>
  <c r="E537" i="13"/>
  <c r="Q537" i="13" s="1"/>
  <c r="G94" i="1" s="1"/>
  <c r="H94" i="1" s="1"/>
  <c r="E536" i="13"/>
  <c r="Q536" i="13" s="1"/>
  <c r="E39" i="13"/>
  <c r="Q39" i="13" s="1"/>
  <c r="R39" i="13" s="1"/>
  <c r="E36" i="13"/>
  <c r="Q36" i="13" s="1"/>
  <c r="G89" i="1" s="1"/>
  <c r="H89" i="1" s="1"/>
  <c r="E35" i="13"/>
  <c r="Q35" i="13" s="1"/>
  <c r="E34" i="13"/>
  <c r="Q34" i="13" s="1"/>
  <c r="E33" i="13"/>
  <c r="Q33" i="13" s="1"/>
  <c r="E156" i="13"/>
  <c r="Q156" i="13" s="1"/>
  <c r="E165" i="13"/>
  <c r="Q165" i="13" s="1"/>
  <c r="R165" i="13" s="1"/>
  <c r="E161" i="13"/>
  <c r="Q161" i="13" s="1"/>
  <c r="R161" i="13" s="1"/>
  <c r="E163" i="13"/>
  <c r="Q163" i="13" s="1"/>
  <c r="R163" i="13" s="1"/>
  <c r="E343" i="13"/>
  <c r="Q343" i="13" s="1"/>
  <c r="R343" i="13" s="1"/>
  <c r="E341" i="13"/>
  <c r="Q341" i="13" s="1"/>
  <c r="E339" i="13"/>
  <c r="Q339" i="13" s="1"/>
  <c r="E65" i="13"/>
  <c r="Q65" i="13" s="1"/>
  <c r="E67" i="13"/>
  <c r="Q67" i="13" s="1"/>
  <c r="R67" i="13" s="1"/>
  <c r="E316" i="13"/>
  <c r="Q316" i="13" s="1"/>
  <c r="E315" i="13"/>
  <c r="Q315" i="13" s="1"/>
  <c r="R315" i="13" s="1"/>
  <c r="E313" i="13"/>
  <c r="Q313" i="13" s="1"/>
  <c r="E473" i="6"/>
  <c r="Q473" i="6" s="1"/>
  <c r="G389" i="1" s="1"/>
  <c r="H389" i="1" s="1"/>
  <c r="E280" i="13"/>
  <c r="Q280" i="13" s="1"/>
  <c r="R280" i="13" s="1"/>
  <c r="E281" i="13"/>
  <c r="Q281" i="13" s="1"/>
  <c r="R281" i="13" s="1"/>
  <c r="E21" i="13"/>
  <c r="Q21" i="13" s="1"/>
  <c r="E26" i="13"/>
  <c r="Q26" i="13" s="1"/>
  <c r="G1169" i="1" s="1"/>
  <c r="H1169" i="1" s="1"/>
  <c r="E20" i="13"/>
  <c r="Q20" i="13" s="1"/>
  <c r="E23" i="13"/>
  <c r="Q23" i="13" s="1"/>
  <c r="R23" i="13" s="1"/>
  <c r="E110" i="13"/>
  <c r="Q110" i="13" s="1"/>
  <c r="G1661" i="1"/>
  <c r="E16" i="13"/>
  <c r="Q16" i="13" s="1"/>
  <c r="G102" i="1" s="1"/>
  <c r="H102" i="1" s="1"/>
  <c r="E19" i="13"/>
  <c r="Q19" i="13" s="1"/>
  <c r="R19" i="13" s="1"/>
  <c r="E13" i="13"/>
  <c r="Q13" i="13" s="1"/>
  <c r="G1651" i="1"/>
  <c r="E10" i="13"/>
  <c r="Q10" i="13" s="1"/>
  <c r="E17" i="13"/>
  <c r="Q17" i="13" s="1"/>
  <c r="E12" i="13"/>
  <c r="Q12" i="13" s="1"/>
  <c r="G1823" i="1"/>
  <c r="G1800" i="1"/>
  <c r="E942" i="13"/>
  <c r="Q942" i="13" s="1"/>
  <c r="E670" i="13"/>
  <c r="E673" i="13"/>
  <c r="Q673" i="13" s="1"/>
  <c r="G1499" i="1" s="1"/>
  <c r="E648" i="13"/>
  <c r="Q648" i="13" s="1"/>
  <c r="E421" i="6" s="1"/>
  <c r="Q421" i="6" s="1"/>
  <c r="G1704" i="1"/>
  <c r="E677" i="13"/>
  <c r="Q677" i="13" s="1"/>
  <c r="G381" i="1" s="1"/>
  <c r="H381" i="1" s="1"/>
  <c r="R1091" i="13"/>
  <c r="R187" i="6"/>
  <c r="R1217" i="13"/>
  <c r="R1244" i="13"/>
  <c r="P234" i="13"/>
  <c r="P1091" i="13"/>
  <c r="T1091" i="13" s="1"/>
  <c r="P587" i="13"/>
  <c r="T587" i="13" s="1"/>
  <c r="R249" i="17418"/>
  <c r="R267" i="17418"/>
  <c r="Q289" i="17418"/>
  <c r="Q253" i="17418"/>
  <c r="Q274" i="17418"/>
  <c r="W302" i="6"/>
  <c r="P1162" i="13"/>
  <c r="T1160" i="13" s="1"/>
  <c r="Q279" i="17418"/>
  <c r="R286" i="17418"/>
  <c r="R282" i="17418"/>
  <c r="Q282" i="17418"/>
  <c r="P196" i="13"/>
  <c r="G1783" i="1"/>
  <c r="G1803" i="1"/>
  <c r="G1701" i="1"/>
  <c r="E112" i="13"/>
  <c r="Q112" i="13" s="1"/>
  <c r="R112" i="13" s="1"/>
  <c r="E647" i="13"/>
  <c r="Q647" i="13" s="1"/>
  <c r="G1708" i="1"/>
  <c r="E674" i="13"/>
  <c r="Q674" i="13" s="1"/>
  <c r="G1540" i="1" s="1"/>
  <c r="E671" i="13"/>
  <c r="Q671" i="13" s="1"/>
  <c r="G1801" i="1"/>
  <c r="E688" i="13"/>
  <c r="Q688" i="13" s="1"/>
  <c r="R688" i="13" s="1"/>
  <c r="G1797" i="1"/>
  <c r="E667" i="13"/>
  <c r="Q667" i="13" s="1"/>
  <c r="E51" i="13"/>
  <c r="Q51" i="13" s="1"/>
  <c r="G80" i="1" s="1"/>
  <c r="H80" i="1" s="1"/>
  <c r="E43" i="13"/>
  <c r="Q43" i="13" s="1"/>
  <c r="E46" i="13"/>
  <c r="Q46" i="13" s="1"/>
  <c r="R46" i="13" s="1"/>
  <c r="E168" i="13"/>
  <c r="Q168" i="13" s="1"/>
  <c r="E173" i="13"/>
  <c r="Q173" i="13" s="1"/>
  <c r="R173" i="13" s="1"/>
  <c r="E342" i="13"/>
  <c r="Q342" i="13" s="1"/>
  <c r="E340" i="13"/>
  <c r="Q340" i="13" s="1"/>
  <c r="G1693" i="1"/>
  <c r="E68" i="13"/>
  <c r="Q68" i="13" s="1"/>
  <c r="R68" i="13" s="1"/>
  <c r="E64" i="13"/>
  <c r="Q64" i="13" s="1"/>
  <c r="E317" i="13"/>
  <c r="Q317" i="13" s="1"/>
  <c r="G1604" i="1" s="1"/>
  <c r="E318" i="13"/>
  <c r="Q318" i="13" s="1"/>
  <c r="R318" i="13" s="1"/>
  <c r="G1690" i="1"/>
  <c r="E157" i="13"/>
  <c r="Q157" i="13" s="1"/>
  <c r="E164" i="13"/>
  <c r="Q164" i="13" s="1"/>
  <c r="R164" i="13" s="1"/>
  <c r="E158" i="13"/>
  <c r="Q158" i="13" s="1"/>
  <c r="E22" i="13"/>
  <c r="Q22" i="13" s="1"/>
  <c r="G1649" i="1"/>
  <c r="E272" i="13"/>
  <c r="Q272" i="13" s="1"/>
  <c r="E270" i="13"/>
  <c r="Q270" i="13" s="1"/>
  <c r="E56" i="13"/>
  <c r="Q56" i="13" s="1"/>
  <c r="E55" i="13"/>
  <c r="Q55" i="13" s="1"/>
  <c r="E69" i="13"/>
  <c r="Q69" i="13" s="1"/>
  <c r="E71" i="13"/>
  <c r="Q71" i="13" s="1"/>
  <c r="E92" i="13"/>
  <c r="Q92" i="13" s="1"/>
  <c r="R92" i="13" s="1"/>
  <c r="E88" i="13"/>
  <c r="Q88" i="13" s="1"/>
  <c r="E95" i="13"/>
  <c r="Q95" i="13" s="1"/>
  <c r="E189" i="13"/>
  <c r="Q189" i="13" s="1"/>
  <c r="G1564" i="1" s="1"/>
  <c r="E190" i="13"/>
  <c r="Q190" i="13" s="1"/>
  <c r="R190" i="13" s="1"/>
  <c r="E462" i="13"/>
  <c r="Q462" i="13" s="1"/>
  <c r="R462" i="13" s="1"/>
  <c r="E463" i="13"/>
  <c r="Q463" i="13" s="1"/>
  <c r="G1518" i="1"/>
  <c r="G1869" i="1"/>
  <c r="E202" i="13"/>
  <c r="Q202" i="13" s="1"/>
  <c r="E205" i="13"/>
  <c r="Q205" i="13" s="1"/>
  <c r="R205" i="13" s="1"/>
  <c r="E455" i="13"/>
  <c r="Q455" i="13" s="1"/>
  <c r="E453" i="13"/>
  <c r="Q453" i="13" s="1"/>
  <c r="E1140" i="13"/>
  <c r="Q1140" i="13" s="1"/>
  <c r="G416" i="1" s="1"/>
  <c r="H416" i="1" s="1"/>
  <c r="E1141" i="13"/>
  <c r="Q1141" i="13" s="1"/>
  <c r="G422" i="1" s="1"/>
  <c r="H422" i="1" s="1"/>
  <c r="E303" i="13"/>
  <c r="Q303" i="13" s="1"/>
  <c r="E310" i="13"/>
  <c r="Q310" i="13" s="1"/>
  <c r="R310" i="13" s="1"/>
  <c r="G1810" i="1"/>
  <c r="G1841" i="1"/>
  <c r="G1832" i="1"/>
  <c r="G1899" i="1"/>
  <c r="E944" i="13"/>
  <c r="Q944" i="13" s="1"/>
  <c r="G1904" i="1"/>
  <c r="T241" i="13"/>
  <c r="T244" i="13"/>
  <c r="T239" i="13"/>
  <c r="T240" i="13"/>
  <c r="P146" i="13"/>
  <c r="R1241" i="13"/>
  <c r="P183" i="13"/>
  <c r="T180" i="13" s="1"/>
  <c r="E48" i="13"/>
  <c r="Q48" i="13" s="1"/>
  <c r="E1180" i="13"/>
  <c r="Q1180" i="13" s="1"/>
  <c r="E1178" i="13"/>
  <c r="Q1178" i="13" s="1"/>
  <c r="E1179" i="13"/>
  <c r="Q1179" i="13" s="1"/>
  <c r="E858" i="13"/>
  <c r="Q858" i="13" s="1"/>
  <c r="R858" i="13" s="1"/>
  <c r="E859" i="13"/>
  <c r="Q859" i="13" s="1"/>
  <c r="R859" i="13" s="1"/>
  <c r="E862" i="13"/>
  <c r="Q862" i="13" s="1"/>
  <c r="E864" i="13"/>
  <c r="Q864" i="13" s="1"/>
  <c r="E863" i="13"/>
  <c r="Q863" i="13" s="1"/>
  <c r="E861" i="13"/>
  <c r="Q861" i="13" s="1"/>
  <c r="E860" i="13"/>
  <c r="Q860" i="13" s="1"/>
  <c r="G1838" i="1"/>
  <c r="E946" i="13"/>
  <c r="Q946" i="13" s="1"/>
  <c r="E947" i="13"/>
  <c r="Q947" i="13" s="1"/>
  <c r="E949" i="13"/>
  <c r="Q949" i="13" s="1"/>
  <c r="E950" i="13"/>
  <c r="Q950" i="13" s="1"/>
  <c r="E1249" i="13"/>
  <c r="Q1249" i="13" s="1"/>
  <c r="E1248" i="13"/>
  <c r="Q1248" i="13" s="1"/>
  <c r="E1247" i="13"/>
  <c r="Q1247" i="13" s="1"/>
  <c r="R1247" i="13" s="1"/>
  <c r="E937" i="13"/>
  <c r="Q937" i="13" s="1"/>
  <c r="G1900" i="1"/>
  <c r="Q240" i="17418"/>
  <c r="R289" i="17418"/>
  <c r="R253" i="17418"/>
  <c r="R284" i="17418"/>
  <c r="R183" i="6"/>
  <c r="W300" i="6"/>
  <c r="W294" i="6"/>
  <c r="U15" i="6"/>
  <c r="U9" i="6"/>
  <c r="U18" i="6"/>
  <c r="R276" i="13"/>
  <c r="P276" i="13"/>
  <c r="R237" i="13"/>
  <c r="P237" i="13"/>
  <c r="P685" i="13"/>
  <c r="T685" i="13" s="1"/>
  <c r="R143" i="6"/>
  <c r="R56" i="6"/>
  <c r="R589" i="13"/>
  <c r="T936" i="13"/>
  <c r="U814" i="13"/>
  <c r="R221" i="6"/>
  <c r="R1191" i="13"/>
  <c r="R445" i="13"/>
  <c r="R248" i="13"/>
  <c r="R446" i="13"/>
  <c r="R731" i="13"/>
  <c r="E941" i="13"/>
  <c r="Q941" i="13" s="1"/>
  <c r="G1653" i="1"/>
  <c r="E40" i="13"/>
  <c r="Q40" i="13" s="1"/>
  <c r="E52" i="13"/>
  <c r="Q52" i="13" s="1"/>
  <c r="G106" i="1" s="1"/>
  <c r="H106" i="1" s="1"/>
  <c r="G1883" i="1"/>
  <c r="G1799" i="1"/>
  <c r="G1668" i="1"/>
  <c r="Q280" i="17418"/>
  <c r="G1833" i="1"/>
  <c r="G1830" i="1"/>
  <c r="R252" i="17418"/>
  <c r="Q249" i="17418"/>
  <c r="Q257" i="17418"/>
  <c r="R257" i="17418"/>
  <c r="R280" i="17418"/>
  <c r="Q244" i="17418"/>
  <c r="Q246" i="17418"/>
  <c r="R238" i="17418"/>
  <c r="Q248" i="17418"/>
  <c r="F32" i="17419"/>
  <c r="F35" i="17419" s="1"/>
  <c r="G54" i="8"/>
  <c r="G59" i="17418" s="1"/>
  <c r="U19" i="13"/>
  <c r="R216" i="13"/>
  <c r="T440" i="13"/>
  <c r="T442" i="13"/>
  <c r="T439" i="13"/>
  <c r="P358" i="6"/>
  <c r="W508" i="13"/>
  <c r="R244" i="17418"/>
  <c r="Q266" i="17418"/>
  <c r="R285" i="17418"/>
  <c r="Q245" i="17418"/>
  <c r="R247" i="17418"/>
  <c r="R255" i="17418"/>
  <c r="Q261" i="17418"/>
  <c r="R261" i="17418"/>
  <c r="Q272" i="17418"/>
  <c r="R272" i="17418"/>
  <c r="R276" i="17418"/>
  <c r="Q276" i="17418"/>
  <c r="Q286" i="17418"/>
  <c r="U438" i="13"/>
  <c r="P81" i="6"/>
  <c r="R1222" i="13"/>
  <c r="R1223" i="13"/>
  <c r="E72" i="6"/>
  <c r="Q72" i="6" s="1"/>
  <c r="P841" i="13"/>
  <c r="W459" i="6"/>
  <c r="R425" i="13"/>
  <c r="R1268" i="13"/>
  <c r="P63" i="6"/>
  <c r="T61" i="6" s="1"/>
  <c r="P1191" i="13"/>
  <c r="R1099" i="13"/>
  <c r="R716" i="13"/>
  <c r="R1127" i="13"/>
  <c r="R819" i="13"/>
  <c r="R435" i="13"/>
  <c r="R812" i="13"/>
  <c r="G1873" i="1"/>
  <c r="E1177" i="13"/>
  <c r="Q1177" i="13" s="1"/>
  <c r="T1127" i="13"/>
  <c r="T1126" i="13"/>
  <c r="T1129" i="13"/>
  <c r="T1128" i="13"/>
  <c r="G1851" i="1"/>
  <c r="E983" i="13"/>
  <c r="Q983" i="13" s="1"/>
  <c r="E982" i="13"/>
  <c r="Q982" i="13" s="1"/>
  <c r="E986" i="13"/>
  <c r="Q986" i="13" s="1"/>
  <c r="R986" i="13" s="1"/>
  <c r="E987" i="13"/>
  <c r="Q987" i="13" s="1"/>
  <c r="G1168" i="1" s="1"/>
  <c r="H1168" i="1" s="1"/>
  <c r="E985" i="13"/>
  <c r="Q985" i="13" s="1"/>
  <c r="R985" i="13" s="1"/>
  <c r="E984" i="13"/>
  <c r="Q984" i="13" s="1"/>
  <c r="R984" i="13" s="1"/>
  <c r="E1018" i="13"/>
  <c r="Q1018" i="13" s="1"/>
  <c r="G1469" i="1" s="1"/>
  <c r="E1016" i="13"/>
  <c r="Q1016" i="13" s="1"/>
  <c r="R1016" i="13" s="1"/>
  <c r="E1017" i="13"/>
  <c r="Q1017" i="13" s="1"/>
  <c r="R1017" i="13" s="1"/>
  <c r="E1013" i="13"/>
  <c r="Q1013" i="13" s="1"/>
  <c r="E1011" i="13"/>
  <c r="Q1011" i="13" s="1"/>
  <c r="E1012" i="13"/>
  <c r="Q1012" i="13" s="1"/>
  <c r="T73" i="6"/>
  <c r="T72" i="6"/>
  <c r="G1882" i="1"/>
  <c r="E1085" i="13"/>
  <c r="Q1085" i="13" s="1"/>
  <c r="E1086" i="13"/>
  <c r="Q1086" i="13" s="1"/>
  <c r="E1087" i="13"/>
  <c r="Q1087" i="13" s="1"/>
  <c r="R1087" i="13" s="1"/>
  <c r="E1088" i="13"/>
  <c r="Q1088" i="13" s="1"/>
  <c r="R1088" i="13" s="1"/>
  <c r="W297" i="6"/>
  <c r="W304" i="6"/>
  <c r="W295" i="6"/>
  <c r="W292" i="6"/>
  <c r="T437" i="13"/>
  <c r="P228" i="13"/>
  <c r="R93" i="6"/>
  <c r="W299" i="6"/>
  <c r="W290" i="6"/>
  <c r="P1025" i="13"/>
  <c r="T1021" i="13" s="1"/>
  <c r="E934" i="13"/>
  <c r="Q934" i="13" s="1"/>
  <c r="G1886" i="1"/>
  <c r="W289" i="6"/>
  <c r="P297" i="13"/>
  <c r="P248" i="13"/>
  <c r="T246" i="13" s="1"/>
  <c r="U571" i="13"/>
  <c r="R1185" i="13"/>
  <c r="R261" i="13"/>
  <c r="G1885" i="1"/>
  <c r="T576" i="13"/>
  <c r="T575" i="13"/>
  <c r="T573" i="13"/>
  <c r="T579" i="13"/>
  <c r="T578" i="13"/>
  <c r="T580" i="13"/>
  <c r="T574" i="13"/>
  <c r="T577" i="13"/>
  <c r="E945" i="13"/>
  <c r="Q945" i="13" s="1"/>
  <c r="R449" i="6"/>
  <c r="P187" i="6"/>
  <c r="U11" i="6"/>
  <c r="U17" i="6"/>
  <c r="U8" i="6"/>
  <c r="P254" i="13"/>
  <c r="T253" i="13" s="1"/>
  <c r="P445" i="13"/>
  <c r="R784" i="13"/>
  <c r="R995" i="13"/>
  <c r="R247" i="13"/>
  <c r="R691" i="13"/>
  <c r="R242" i="13"/>
  <c r="R1104" i="13"/>
  <c r="U20" i="6"/>
  <c r="U16" i="6"/>
  <c r="U7" i="6"/>
  <c r="R44" i="6"/>
  <c r="R1116" i="13"/>
  <c r="R730" i="13"/>
  <c r="R243" i="13"/>
  <c r="U19" i="6"/>
  <c r="U10" i="6"/>
  <c r="R765" i="13"/>
  <c r="R176" i="13"/>
  <c r="R105" i="6"/>
  <c r="R221" i="13"/>
  <c r="R811" i="13"/>
  <c r="R103" i="6"/>
  <c r="R99" i="6"/>
  <c r="G1717" i="1"/>
  <c r="E1010" i="13"/>
  <c r="Q1010" i="13" s="1"/>
  <c r="R352" i="6"/>
  <c r="P352" i="6"/>
  <c r="R1118" i="13"/>
  <c r="P1118" i="13"/>
  <c r="T1115" i="13" s="1"/>
  <c r="R58" i="6"/>
  <c r="R1037" i="13"/>
  <c r="P93" i="6"/>
  <c r="P745" i="13"/>
  <c r="R1100" i="13"/>
  <c r="P214" i="13"/>
  <c r="R214" i="13"/>
  <c r="R414" i="13"/>
  <c r="P414" i="13"/>
  <c r="T414" i="13" s="1"/>
  <c r="R47" i="6"/>
  <c r="P47" i="6"/>
  <c r="T46" i="6" s="1"/>
  <c r="P12" i="13"/>
  <c r="P102" i="13"/>
  <c r="R102" i="13"/>
  <c r="R434" i="13"/>
  <c r="P434" i="13"/>
  <c r="P204" i="13"/>
  <c r="R204" i="13"/>
  <c r="P23" i="13"/>
  <c r="R448" i="6"/>
  <c r="R1252" i="13"/>
  <c r="R1266" i="13"/>
  <c r="R855" i="13"/>
  <c r="R852" i="13"/>
  <c r="E38" i="6"/>
  <c r="Q38" i="6" s="1"/>
  <c r="R38" i="6" s="1"/>
  <c r="E37" i="6"/>
  <c r="Q37" i="6" s="1"/>
  <c r="R37" i="6" s="1"/>
  <c r="R1103" i="13"/>
  <c r="G77" i="1"/>
  <c r="H77" i="1" s="1"/>
  <c r="R426" i="13"/>
  <c r="R1123" i="13"/>
  <c r="R767" i="13"/>
  <c r="R631" i="13"/>
  <c r="R229" i="13"/>
  <c r="R1084" i="13"/>
  <c r="R290" i="13"/>
  <c r="E41" i="6"/>
  <c r="Q41" i="6" s="1"/>
  <c r="R41" i="6" s="1"/>
  <c r="E33" i="6"/>
  <c r="Q33" i="6" s="1"/>
  <c r="R1176" i="13"/>
  <c r="R441" i="13"/>
  <c r="R260" i="13"/>
  <c r="R198" i="13"/>
  <c r="R67" i="6"/>
  <c r="R715" i="13"/>
  <c r="R101" i="13"/>
  <c r="W462" i="6"/>
  <c r="U953" i="13"/>
  <c r="R559" i="13"/>
  <c r="T441" i="13"/>
  <c r="P177" i="13"/>
  <c r="T176" i="13" s="1"/>
  <c r="R1263" i="13"/>
  <c r="R1205" i="13"/>
  <c r="R1259" i="13"/>
  <c r="U957" i="13"/>
  <c r="T1039" i="13"/>
  <c r="P315" i="13"/>
  <c r="R1243" i="13"/>
  <c r="E32" i="6"/>
  <c r="Q32" i="6" s="1"/>
  <c r="R1097" i="13"/>
  <c r="P631" i="13"/>
  <c r="P35" i="13"/>
  <c r="P1176" i="13"/>
  <c r="R1170" i="13"/>
  <c r="E34" i="6"/>
  <c r="Q34" i="6" s="1"/>
  <c r="R34" i="6" s="1"/>
  <c r="G1727" i="1"/>
  <c r="W509" i="13"/>
  <c r="P457" i="13"/>
  <c r="P229" i="13"/>
  <c r="R226" i="6"/>
  <c r="R120" i="13"/>
  <c r="F1143" i="13"/>
  <c r="T1125" i="13"/>
  <c r="P354" i="6"/>
  <c r="R381" i="13"/>
  <c r="R1098" i="13"/>
  <c r="R849" i="13"/>
  <c r="R348" i="6"/>
  <c r="T100" i="6"/>
  <c r="E1014" i="13"/>
  <c r="Q1014" i="13" s="1"/>
  <c r="E1019" i="13"/>
  <c r="Q1019" i="13" s="1"/>
  <c r="E951" i="13"/>
  <c r="Q951" i="13" s="1"/>
  <c r="E952" i="13"/>
  <c r="Q952" i="13" s="1"/>
  <c r="R952" i="13" s="1"/>
  <c r="E1015" i="13"/>
  <c r="Q1015" i="13" s="1"/>
  <c r="E948" i="13"/>
  <c r="Q948" i="13" s="1"/>
  <c r="R442" i="13"/>
  <c r="R835" i="13"/>
  <c r="G1731" i="1"/>
  <c r="E53" i="6"/>
  <c r="Q53" i="6" s="1"/>
  <c r="E51" i="6"/>
  <c r="Q51" i="6" s="1"/>
  <c r="R1142" i="13"/>
  <c r="R222" i="13"/>
  <c r="R142" i="6"/>
  <c r="R184" i="6"/>
  <c r="R1228" i="13"/>
  <c r="R1237" i="13"/>
  <c r="R994" i="13"/>
  <c r="E1186" i="13"/>
  <c r="Q1186" i="13" s="1"/>
  <c r="R1186" i="13" s="1"/>
  <c r="E1190" i="13"/>
  <c r="Q1190" i="13" s="1"/>
  <c r="R1190" i="13" s="1"/>
  <c r="E1189" i="13"/>
  <c r="Q1189" i="13" s="1"/>
  <c r="E1188" i="13"/>
  <c r="Q1188" i="13" s="1"/>
  <c r="E1187" i="13"/>
  <c r="Q1187" i="13" s="1"/>
  <c r="E534" i="13"/>
  <c r="Q534" i="13" s="1"/>
  <c r="E535" i="13"/>
  <c r="Q535" i="13" s="1"/>
  <c r="R535" i="13" s="1"/>
  <c r="E1210" i="13"/>
  <c r="Q1210" i="13" s="1"/>
  <c r="E1212" i="13"/>
  <c r="Q1212" i="13" s="1"/>
  <c r="E1208" i="13"/>
  <c r="Q1208" i="13" s="1"/>
  <c r="R1208" i="13" s="1"/>
  <c r="E1209" i="13"/>
  <c r="Q1209" i="13" s="1"/>
  <c r="E1207" i="13"/>
  <c r="Q1207" i="13" s="1"/>
  <c r="R1207" i="13" s="1"/>
  <c r="E1213" i="13"/>
  <c r="Q1213" i="13" s="1"/>
  <c r="E1211" i="13"/>
  <c r="Q1211" i="13" s="1"/>
  <c r="G1898" i="1"/>
  <c r="G1852" i="1"/>
  <c r="G1893" i="1"/>
  <c r="G1840" i="1"/>
  <c r="G1849" i="1"/>
  <c r="G1843" i="1"/>
  <c r="G1825" i="1"/>
  <c r="W472" i="6"/>
  <c r="T394" i="6"/>
  <c r="P105" i="6"/>
  <c r="P83" i="6"/>
  <c r="P67" i="6"/>
  <c r="T65" i="6" s="1"/>
  <c r="W470" i="6"/>
  <c r="P1152" i="13"/>
  <c r="T1153" i="13" s="1"/>
  <c r="U1089" i="13"/>
  <c r="P1017" i="13"/>
  <c r="P981" i="13"/>
  <c r="P893" i="13"/>
  <c r="P715" i="13"/>
  <c r="P446" i="13"/>
  <c r="P425" i="13"/>
  <c r="T424" i="13" s="1"/>
  <c r="P221" i="13"/>
  <c r="U435" i="13"/>
  <c r="R177" i="6"/>
  <c r="P235" i="13"/>
  <c r="P316" i="13"/>
  <c r="R1102" i="13"/>
  <c r="R1109" i="13"/>
  <c r="R856" i="13"/>
  <c r="E73" i="6"/>
  <c r="Q73" i="6" s="1"/>
  <c r="R73" i="6" s="1"/>
  <c r="E39" i="6"/>
  <c r="Q39" i="6" s="1"/>
  <c r="E36" i="6"/>
  <c r="Q36" i="6" s="1"/>
  <c r="E35" i="6"/>
  <c r="Q35" i="6" s="1"/>
  <c r="G1560" i="1" s="1"/>
  <c r="R369" i="13"/>
  <c r="G1836" i="1"/>
  <c r="G1845" i="1"/>
  <c r="E1095" i="13"/>
  <c r="Q1095" i="13" s="1"/>
  <c r="G1815" i="1"/>
  <c r="E1096" i="13"/>
  <c r="Q1096" i="13" s="1"/>
  <c r="G1821" i="1"/>
  <c r="G1844" i="1"/>
  <c r="G1847" i="1"/>
  <c r="G1855" i="1"/>
  <c r="P1081" i="13"/>
  <c r="T1084" i="13" s="1"/>
  <c r="U1025" i="13"/>
  <c r="R746" i="13"/>
  <c r="U109" i="13"/>
  <c r="P14" i="13"/>
  <c r="R1218" i="13"/>
  <c r="R1264" i="13"/>
  <c r="R1206" i="13"/>
  <c r="R853" i="13"/>
  <c r="E40" i="6"/>
  <c r="Q40" i="6" s="1"/>
  <c r="G1726" i="1"/>
  <c r="R378" i="13"/>
  <c r="R29" i="13"/>
  <c r="G1890" i="1"/>
  <c r="E1093" i="13"/>
  <c r="Q1093" i="13" s="1"/>
  <c r="G1819" i="1"/>
  <c r="E1094" i="13"/>
  <c r="Q1094" i="13" s="1"/>
  <c r="G1817" i="1"/>
  <c r="G1807" i="1"/>
  <c r="G1856" i="1"/>
  <c r="G1839" i="1"/>
  <c r="U812" i="13"/>
  <c r="G1888" i="1"/>
  <c r="G1848" i="1"/>
  <c r="G1831" i="1"/>
  <c r="G1804" i="1"/>
  <c r="G1805" i="1"/>
  <c r="G1853" i="1"/>
  <c r="G1662" i="1"/>
  <c r="T7" i="4"/>
  <c r="S7" i="4"/>
  <c r="V7" i="4"/>
  <c r="U7" i="4"/>
  <c r="U186" i="6"/>
  <c r="U813" i="13"/>
  <c r="U310" i="13"/>
  <c r="U1027" i="13"/>
  <c r="U811" i="13"/>
  <c r="P1170" i="13"/>
  <c r="T1165" i="13" s="1"/>
  <c r="U1108" i="13"/>
  <c r="F1877" i="1"/>
  <c r="Q256" i="17418"/>
  <c r="Q285" i="17418"/>
  <c r="Q262" i="17418"/>
  <c r="Q267" i="17418"/>
  <c r="Q268" i="17418"/>
  <c r="Q278" i="17418"/>
  <c r="Q283" i="17418"/>
  <c r="R246" i="17418"/>
  <c r="R254" i="17418"/>
  <c r="R262" i="17418"/>
  <c r="R270" i="17418"/>
  <c r="G1725" i="1"/>
  <c r="Q270" i="17418"/>
  <c r="Q277" i="17418"/>
  <c r="Q238" i="17418"/>
  <c r="R283" i="17418"/>
  <c r="Q275" i="17418"/>
  <c r="R278" i="17418"/>
  <c r="Q252" i="17418"/>
  <c r="R242" i="17418"/>
  <c r="R287" i="17418"/>
  <c r="Q287" i="17418"/>
  <c r="Q281" i="17418"/>
  <c r="R288" i="17418"/>
  <c r="Q288" i="17418"/>
  <c r="R250" i="17418"/>
  <c r="Q260" i="17418"/>
  <c r="R275" i="17418"/>
  <c r="R260" i="17418"/>
  <c r="R268" i="17418"/>
  <c r="Q273" i="17418"/>
  <c r="R274" i="17418"/>
  <c r="Q250" i="17418"/>
  <c r="R243" i="17418"/>
  <c r="Q242" i="17418"/>
  <c r="Q264" i="17418"/>
  <c r="Q254" i="17418"/>
  <c r="R258" i="17418"/>
  <c r="R240" i="17418"/>
  <c r="R245" i="17418"/>
  <c r="R248" i="17418"/>
  <c r="R256" i="17418"/>
  <c r="R264" i="17418"/>
  <c r="R273" i="17418"/>
  <c r="R277" i="17418"/>
  <c r="R266" i="17418"/>
  <c r="R279" i="17418"/>
  <c r="F59" i="10"/>
  <c r="H59" i="10" s="1"/>
  <c r="J59" i="10" s="1"/>
  <c r="E480" i="6"/>
  <c r="Q480" i="6" s="1"/>
  <c r="E481" i="6"/>
  <c r="Q481" i="6" s="1"/>
  <c r="E482" i="6"/>
  <c r="Q482" i="6" s="1"/>
  <c r="R482" i="6" s="1"/>
  <c r="E258" i="6"/>
  <c r="Q258" i="6" s="1"/>
  <c r="E268" i="6"/>
  <c r="Q268" i="6" s="1"/>
  <c r="R268" i="6" s="1"/>
  <c r="E266" i="6"/>
  <c r="Q266" i="6" s="1"/>
  <c r="R266" i="6" s="1"/>
  <c r="E264" i="6"/>
  <c r="Q264" i="6" s="1"/>
  <c r="R264" i="6" s="1"/>
  <c r="E262" i="6"/>
  <c r="Q262" i="6" s="1"/>
  <c r="R262" i="6" s="1"/>
  <c r="E259" i="6"/>
  <c r="Q259" i="6" s="1"/>
  <c r="E260" i="6"/>
  <c r="Q260" i="6" s="1"/>
  <c r="E267" i="6"/>
  <c r="Q267" i="6" s="1"/>
  <c r="R267" i="6" s="1"/>
  <c r="E265" i="6"/>
  <c r="Q265" i="6" s="1"/>
  <c r="R265" i="6" s="1"/>
  <c r="E257" i="6"/>
  <c r="Q257" i="6" s="1"/>
  <c r="E263" i="6"/>
  <c r="Q263" i="6" s="1"/>
  <c r="E261" i="6"/>
  <c r="Q261" i="6" s="1"/>
  <c r="R261" i="6" s="1"/>
  <c r="G1757" i="1"/>
  <c r="E252" i="6"/>
  <c r="Q252" i="6" s="1"/>
  <c r="R252" i="6" s="1"/>
  <c r="E251" i="6"/>
  <c r="Q251" i="6" s="1"/>
  <c r="E250" i="6"/>
  <c r="Q250" i="6" s="1"/>
  <c r="G1752" i="1"/>
  <c r="E255" i="6"/>
  <c r="Q255" i="6" s="1"/>
  <c r="R255" i="6" s="1"/>
  <c r="E254" i="6"/>
  <c r="Q254" i="6" s="1"/>
  <c r="E253" i="6"/>
  <c r="Q253" i="6" s="1"/>
  <c r="E256" i="6"/>
  <c r="Q256" i="6" s="1"/>
  <c r="G1753" i="1"/>
  <c r="E243" i="6"/>
  <c r="Q243" i="6" s="1"/>
  <c r="E242" i="6"/>
  <c r="Q242" i="6" s="1"/>
  <c r="G1749" i="1"/>
  <c r="E246" i="6"/>
  <c r="Q246" i="6" s="1"/>
  <c r="E244" i="6"/>
  <c r="Q244" i="6" s="1"/>
  <c r="E245" i="6"/>
  <c r="Q245" i="6" s="1"/>
  <c r="G1750" i="1"/>
  <c r="E249" i="6"/>
  <c r="Q249" i="6" s="1"/>
  <c r="R249" i="6" s="1"/>
  <c r="E247" i="6"/>
  <c r="Q247" i="6" s="1"/>
  <c r="E248" i="6"/>
  <c r="Q248" i="6" s="1"/>
  <c r="G1751" i="1"/>
  <c r="E229" i="6"/>
  <c r="Q229" i="6" s="1"/>
  <c r="R229" i="6" s="1"/>
  <c r="E228" i="6"/>
  <c r="Q228" i="6" s="1"/>
  <c r="E227" i="6"/>
  <c r="Q227" i="6" s="1"/>
  <c r="G1746" i="1"/>
  <c r="E240" i="6"/>
  <c r="Q240" i="6" s="1"/>
  <c r="R240" i="6" s="1"/>
  <c r="E238" i="6"/>
  <c r="Q238" i="6" s="1"/>
  <c r="R238" i="6" s="1"/>
  <c r="E236" i="6"/>
  <c r="Q236" i="6" s="1"/>
  <c r="E234" i="6"/>
  <c r="Q234" i="6" s="1"/>
  <c r="R234" i="6" s="1"/>
  <c r="E231" i="6"/>
  <c r="Q231" i="6" s="1"/>
  <c r="E239" i="6"/>
  <c r="Q239" i="6" s="1"/>
  <c r="R239" i="6" s="1"/>
  <c r="E235" i="6"/>
  <c r="Q235" i="6" s="1"/>
  <c r="E232" i="6"/>
  <c r="Q232" i="6" s="1"/>
  <c r="E241" i="6"/>
  <c r="Q241" i="6" s="1"/>
  <c r="R241" i="6" s="1"/>
  <c r="E237" i="6"/>
  <c r="Q237" i="6" s="1"/>
  <c r="R237" i="6" s="1"/>
  <c r="E230" i="6"/>
  <c r="Q230" i="6" s="1"/>
  <c r="E233" i="6"/>
  <c r="Q233" i="6" s="1"/>
  <c r="G1747" i="1"/>
  <c r="E419" i="6"/>
  <c r="Q419" i="6" s="1"/>
  <c r="R419" i="6" s="1"/>
  <c r="E417" i="6"/>
  <c r="Q417" i="6" s="1"/>
  <c r="E418" i="6"/>
  <c r="Q418" i="6" s="1"/>
  <c r="G1786" i="1"/>
  <c r="E453" i="6"/>
  <c r="Q453" i="6" s="1"/>
  <c r="E454" i="6"/>
  <c r="Q454" i="6" s="1"/>
  <c r="E451" i="6"/>
  <c r="Q451" i="6" s="1"/>
  <c r="E452" i="6"/>
  <c r="Q452" i="6" s="1"/>
  <c r="G1829" i="1"/>
  <c r="E271" i="6"/>
  <c r="Q271" i="6" s="1"/>
  <c r="E274" i="6"/>
  <c r="Q274" i="6" s="1"/>
  <c r="E272" i="6"/>
  <c r="Q272" i="6" s="1"/>
  <c r="E269" i="6"/>
  <c r="Q269" i="6" s="1"/>
  <c r="E273" i="6"/>
  <c r="Q273" i="6" s="1"/>
  <c r="R273" i="6" s="1"/>
  <c r="E270" i="6"/>
  <c r="Q270" i="6" s="1"/>
  <c r="E275" i="6"/>
  <c r="Q275" i="6" s="1"/>
  <c r="R275" i="6" s="1"/>
  <c r="G1758" i="1"/>
  <c r="E394" i="6"/>
  <c r="Q394" i="6" s="1"/>
  <c r="G1775" i="1"/>
  <c r="E406" i="6"/>
  <c r="Q406" i="6" s="1"/>
  <c r="E408" i="6"/>
  <c r="Q408" i="6" s="1"/>
  <c r="G1778" i="1"/>
  <c r="E397" i="6"/>
  <c r="Q397" i="6" s="1"/>
  <c r="G1776" i="1"/>
  <c r="E431" i="6"/>
  <c r="Q431" i="6" s="1"/>
  <c r="E432" i="6"/>
  <c r="Q432" i="6" s="1"/>
  <c r="R432" i="6" s="1"/>
  <c r="E430" i="6"/>
  <c r="Q430" i="6" s="1"/>
  <c r="G1791" i="1"/>
  <c r="E361" i="6"/>
  <c r="Q361" i="6" s="1"/>
  <c r="E362" i="6"/>
  <c r="Q362" i="6" s="1"/>
  <c r="E360" i="6"/>
  <c r="Q360" i="6" s="1"/>
  <c r="G1765" i="1"/>
  <c r="E375" i="6"/>
  <c r="Q375" i="6" s="1"/>
  <c r="R375" i="6" s="1"/>
  <c r="E374" i="6"/>
  <c r="Q374" i="6" s="1"/>
  <c r="E378" i="6"/>
  <c r="Q378" i="6" s="1"/>
  <c r="E376" i="6"/>
  <c r="Q376" i="6" s="1"/>
  <c r="E381" i="6"/>
  <c r="Q381" i="6" s="1"/>
  <c r="R381" i="6" s="1"/>
  <c r="E377" i="6"/>
  <c r="Q377" i="6" s="1"/>
  <c r="E380" i="6"/>
  <c r="Q380" i="6" s="1"/>
  <c r="R380" i="6" s="1"/>
  <c r="E379" i="6"/>
  <c r="Q379" i="6" s="1"/>
  <c r="G1770" i="1"/>
  <c r="U202" i="6"/>
  <c r="U209" i="6"/>
  <c r="U954" i="13"/>
  <c r="T71" i="13"/>
  <c r="T72" i="13"/>
  <c r="R171" i="13"/>
  <c r="P171" i="13"/>
  <c r="P44" i="13"/>
  <c r="T47" i="13" s="1"/>
  <c r="R44" i="13"/>
  <c r="R301" i="13"/>
  <c r="P301" i="13"/>
  <c r="P431" i="13"/>
  <c r="R431" i="13"/>
  <c r="R160" i="13"/>
  <c r="P160" i="13"/>
  <c r="R286" i="13"/>
  <c r="P286" i="13"/>
  <c r="R236" i="13"/>
  <c r="P236" i="13"/>
  <c r="P447" i="13"/>
  <c r="R447" i="13"/>
  <c r="P275" i="13"/>
  <c r="R172" i="13"/>
  <c r="P172" i="13"/>
  <c r="P89" i="13"/>
  <c r="R104" i="13"/>
  <c r="P104" i="13"/>
  <c r="P203" i="13"/>
  <c r="U779" i="13"/>
  <c r="U785" i="13"/>
  <c r="U784" i="13"/>
  <c r="U781" i="13"/>
  <c r="U783" i="13"/>
  <c r="T381" i="13"/>
  <c r="T380" i="13"/>
  <c r="T379" i="13"/>
  <c r="R307" i="13"/>
  <c r="P307" i="13"/>
  <c r="R568" i="13"/>
  <c r="P568" i="13"/>
  <c r="T679" i="13"/>
  <c r="T678" i="13"/>
  <c r="T680" i="13"/>
  <c r="T681" i="13"/>
  <c r="P317" i="13"/>
  <c r="R306" i="13"/>
  <c r="P306" i="13"/>
  <c r="R567" i="13"/>
  <c r="P567" i="13"/>
  <c r="P661" i="13"/>
  <c r="P189" i="13"/>
  <c r="R308" i="13"/>
  <c r="P308" i="13"/>
  <c r="R569" i="13"/>
  <c r="P569" i="13"/>
  <c r="P460" i="13"/>
  <c r="P727" i="13"/>
  <c r="R727" i="13"/>
  <c r="R692" i="13"/>
  <c r="P692" i="13"/>
  <c r="T692" i="13" s="1"/>
  <c r="P754" i="13"/>
  <c r="R754" i="13"/>
  <c r="P673" i="13"/>
  <c r="P783" i="13"/>
  <c r="R783" i="13"/>
  <c r="R263" i="13"/>
  <c r="P263" i="13"/>
  <c r="P215" i="13"/>
  <c r="R215" i="13"/>
  <c r="P807" i="13"/>
  <c r="R807" i="13"/>
  <c r="P280" i="13"/>
  <c r="P768" i="13"/>
  <c r="T768" i="13" s="1"/>
  <c r="R768" i="13"/>
  <c r="P757" i="13"/>
  <c r="R757" i="13"/>
  <c r="U1090" i="13"/>
  <c r="U1091" i="13"/>
  <c r="R1181" i="13"/>
  <c r="P1181" i="13"/>
  <c r="R1149" i="13"/>
  <c r="P1149" i="13"/>
  <c r="R1174" i="13"/>
  <c r="P1174" i="13"/>
  <c r="U959" i="13"/>
  <c r="U956" i="13"/>
  <c r="U952" i="13"/>
  <c r="U951" i="13"/>
  <c r="T935" i="13"/>
  <c r="T934" i="13"/>
  <c r="T857" i="13"/>
  <c r="T847" i="13"/>
  <c r="T846" i="13"/>
  <c r="T845" i="13"/>
  <c r="T844" i="13"/>
  <c r="U780" i="13"/>
  <c r="U782" i="13"/>
  <c r="R1204" i="13"/>
  <c r="P1204" i="13"/>
  <c r="P1186" i="13"/>
  <c r="P1016" i="13"/>
  <c r="R1136" i="13"/>
  <c r="P1136" i="13"/>
  <c r="R870" i="13"/>
  <c r="P870" i="13"/>
  <c r="R943" i="13"/>
  <c r="P943" i="13"/>
  <c r="R1005" i="13"/>
  <c r="P1005" i="13"/>
  <c r="R1195" i="13"/>
  <c r="P1195" i="13"/>
  <c r="P957" i="13"/>
  <c r="R1078" i="13"/>
  <c r="P1078" i="13"/>
  <c r="U27" i="6"/>
  <c r="U21" i="6"/>
  <c r="U14" i="6"/>
  <c r="U13" i="6"/>
  <c r="R87" i="6"/>
  <c r="P87" i="6"/>
  <c r="R31" i="6"/>
  <c r="P31" i="6"/>
  <c r="R1225" i="13"/>
  <c r="P1225" i="13"/>
  <c r="R75" i="6"/>
  <c r="P75" i="6"/>
  <c r="R1238" i="13"/>
  <c r="W301" i="6"/>
  <c r="W296" i="6"/>
  <c r="W291" i="6"/>
  <c r="W288" i="6"/>
  <c r="W298" i="6"/>
  <c r="W457" i="6"/>
  <c r="W460" i="6"/>
  <c r="R356" i="6"/>
  <c r="P356" i="6"/>
  <c r="P318" i="6"/>
  <c r="R416" i="6"/>
  <c r="P416" i="6"/>
  <c r="P138" i="6"/>
  <c r="R138" i="6"/>
  <c r="P384" i="6"/>
  <c r="P229" i="6"/>
  <c r="P273" i="6"/>
  <c r="P424" i="6"/>
  <c r="P398" i="6"/>
  <c r="P249" i="6"/>
  <c r="P379" i="6"/>
  <c r="P239" i="6"/>
  <c r="P320" i="6"/>
  <c r="P337" i="6"/>
  <c r="P261" i="6"/>
  <c r="P70" i="6"/>
  <c r="R70" i="6"/>
  <c r="R350" i="6"/>
  <c r="P350" i="6"/>
  <c r="P479" i="6"/>
  <c r="P331" i="6"/>
  <c r="P243" i="6"/>
  <c r="P314" i="6"/>
  <c r="P336" i="6"/>
  <c r="U195" i="6"/>
  <c r="U194" i="6"/>
  <c r="U187" i="6"/>
  <c r="U204" i="6"/>
  <c r="U213" i="6"/>
  <c r="U122" i="6"/>
  <c r="T184" i="6"/>
  <c r="U214" i="6"/>
  <c r="U221" i="6"/>
  <c r="U223" i="6"/>
  <c r="T183" i="6"/>
  <c r="U128" i="6"/>
  <c r="U1033" i="13"/>
  <c r="U1021" i="13"/>
  <c r="F475" i="6"/>
  <c r="F1866" i="1"/>
  <c r="U1120" i="13"/>
  <c r="T572" i="13"/>
  <c r="U1114" i="13"/>
  <c r="U1023" i="13"/>
  <c r="U1020" i="13"/>
  <c r="U1026" i="13"/>
  <c r="F1826" i="1"/>
  <c r="T1229" i="13"/>
  <c r="U1022" i="13"/>
  <c r="U1024" i="13"/>
  <c r="U1128" i="13"/>
  <c r="T427" i="6"/>
  <c r="T428" i="6"/>
  <c r="U1255" i="13"/>
  <c r="U1254" i="13"/>
  <c r="U1253" i="13"/>
  <c r="T41" i="6"/>
  <c r="T39" i="6"/>
  <c r="U1233" i="13"/>
  <c r="U1231" i="13"/>
  <c r="U1232" i="13"/>
  <c r="U1230" i="13"/>
  <c r="T373" i="6"/>
  <c r="T374" i="6"/>
  <c r="T375" i="6"/>
  <c r="T1121" i="13"/>
  <c r="T1124" i="13"/>
  <c r="T1122" i="13"/>
  <c r="T1123" i="13"/>
  <c r="T1088" i="13"/>
  <c r="T1086" i="13"/>
  <c r="T1085" i="13"/>
  <c r="U996" i="13"/>
  <c r="U995" i="13"/>
  <c r="U992" i="13"/>
  <c r="U991" i="13"/>
  <c r="U990" i="13"/>
  <c r="U989" i="13"/>
  <c r="U988" i="13"/>
  <c r="U932" i="13"/>
  <c r="U931" i="13"/>
  <c r="U1088" i="13"/>
  <c r="U1086" i="13"/>
  <c r="U1085" i="13"/>
  <c r="U1087" i="13"/>
  <c r="U1082" i="13"/>
  <c r="U1083" i="13"/>
  <c r="U1084" i="13"/>
  <c r="U1080" i="13"/>
  <c r="U1079" i="13"/>
  <c r="U1081" i="13"/>
  <c r="U1008" i="13"/>
  <c r="U1006" i="13"/>
  <c r="U1004" i="13"/>
  <c r="U1009" i="13"/>
  <c r="U1007" i="13"/>
  <c r="U1005" i="13"/>
  <c r="U1003" i="13"/>
  <c r="U1002" i="13"/>
  <c r="U1001" i="13"/>
  <c r="U1000" i="13"/>
  <c r="U835" i="13"/>
  <c r="U833" i="13"/>
  <c r="U834" i="13"/>
  <c r="U808" i="13"/>
  <c r="U805" i="13"/>
  <c r="U802" i="13"/>
  <c r="U806" i="13"/>
  <c r="U803" i="13"/>
  <c r="U810" i="13"/>
  <c r="U807" i="13"/>
  <c r="U804" i="13"/>
  <c r="U801" i="13"/>
  <c r="U809" i="13"/>
  <c r="U857" i="13"/>
  <c r="U853" i="13"/>
  <c r="U850" i="13"/>
  <c r="U856" i="13"/>
  <c r="U846" i="13"/>
  <c r="U845" i="13"/>
  <c r="U844" i="13"/>
  <c r="U855" i="13"/>
  <c r="U854" i="13"/>
  <c r="U847" i="13"/>
  <c r="U851" i="13"/>
  <c r="U849" i="13"/>
  <c r="U852" i="13"/>
  <c r="U848" i="13"/>
  <c r="U877" i="13"/>
  <c r="U876" i="13"/>
  <c r="U866" i="13"/>
  <c r="U875" i="13"/>
  <c r="U872" i="13"/>
  <c r="U870" i="13"/>
  <c r="U867" i="13"/>
  <c r="U871" i="13"/>
  <c r="U869" i="13"/>
  <c r="U865" i="13"/>
  <c r="U868" i="13"/>
  <c r="U874" i="13"/>
  <c r="U873" i="13"/>
  <c r="W701" i="13"/>
  <c r="W699" i="13"/>
  <c r="W697" i="13"/>
  <c r="W700" i="13"/>
  <c r="W698" i="13"/>
  <c r="T242" i="13"/>
  <c r="T243" i="13"/>
  <c r="U277" i="13"/>
  <c r="U272" i="13"/>
  <c r="U274" i="13"/>
  <c r="U273" i="13"/>
  <c r="U448" i="13"/>
  <c r="U445" i="13"/>
  <c r="U450" i="13"/>
  <c r="U444" i="13"/>
  <c r="U443" i="13"/>
  <c r="U447" i="13"/>
  <c r="U446" i="13"/>
  <c r="V150" i="13"/>
  <c r="V148" i="13"/>
  <c r="V142" i="13"/>
  <c r="V149" i="13"/>
  <c r="V143" i="13"/>
  <c r="V139" i="13"/>
  <c r="V151" i="13"/>
  <c r="V146" i="13"/>
  <c r="V144" i="13"/>
  <c r="V140" i="13"/>
  <c r="V141" i="13"/>
  <c r="V152" i="13"/>
  <c r="V147" i="13"/>
  <c r="V145" i="13"/>
  <c r="U77" i="13"/>
  <c r="U76" i="13"/>
  <c r="T76" i="13"/>
  <c r="T81" i="13"/>
  <c r="T80" i="13"/>
  <c r="T79" i="13"/>
  <c r="T117" i="13"/>
  <c r="T113" i="13"/>
  <c r="T114" i="13"/>
  <c r="T363" i="6"/>
  <c r="U103" i="6"/>
  <c r="U119" i="6"/>
  <c r="U197" i="6"/>
  <c r="U189" i="6"/>
  <c r="U188" i="6"/>
  <c r="T254" i="6"/>
  <c r="U203" i="6"/>
  <c r="U132" i="6"/>
  <c r="U105" i="6"/>
  <c r="U131" i="6"/>
  <c r="U125" i="6"/>
  <c r="T1223" i="13"/>
  <c r="T1222" i="13"/>
  <c r="T1221" i="13"/>
  <c r="T1220" i="13"/>
  <c r="T1219" i="13"/>
  <c r="T996" i="13"/>
  <c r="T988" i="13"/>
  <c r="U982" i="13"/>
  <c r="U986" i="13"/>
  <c r="U987" i="13"/>
  <c r="U983" i="13"/>
  <c r="U984" i="13"/>
  <c r="U985" i="13"/>
  <c r="T376" i="13"/>
  <c r="T377" i="13"/>
  <c r="T378" i="13"/>
  <c r="U134" i="13"/>
  <c r="U133" i="13"/>
  <c r="U132" i="13"/>
  <c r="U131" i="13"/>
  <c r="U130" i="13"/>
  <c r="U129" i="13"/>
  <c r="U128" i="13"/>
  <c r="U127" i="13"/>
  <c r="U126" i="13"/>
  <c r="U125" i="13"/>
  <c r="U124" i="13"/>
  <c r="U123" i="13"/>
  <c r="U122" i="13"/>
  <c r="T27" i="13"/>
  <c r="T28" i="13"/>
  <c r="T30" i="13"/>
  <c r="T29" i="13"/>
  <c r="W7" i="4"/>
  <c r="U267" i="6"/>
  <c r="U265" i="6"/>
  <c r="U263" i="6"/>
  <c r="U261" i="6"/>
  <c r="U259" i="6"/>
  <c r="U257" i="6"/>
  <c r="U268" i="6"/>
  <c r="U266" i="6"/>
  <c r="U264" i="6"/>
  <c r="U262" i="6"/>
  <c r="U260" i="6"/>
  <c r="U258" i="6"/>
  <c r="T255" i="6"/>
  <c r="U127" i="6"/>
  <c r="U130" i="6"/>
  <c r="U138" i="6"/>
  <c r="U788" i="13"/>
  <c r="U800" i="13"/>
  <c r="U799" i="13"/>
  <c r="U798" i="13"/>
  <c r="U797" i="13"/>
  <c r="U795" i="13"/>
  <c r="U792" i="13"/>
  <c r="U790" i="13"/>
  <c r="U787" i="13"/>
  <c r="U794" i="13"/>
  <c r="U789" i="13"/>
  <c r="U796" i="13"/>
  <c r="U793" i="13"/>
  <c r="U791" i="13"/>
  <c r="T387" i="6"/>
  <c r="T386" i="6"/>
  <c r="U216" i="6"/>
  <c r="U206" i="6"/>
  <c r="U215" i="6"/>
  <c r="U196" i="6"/>
  <c r="U211" i="6"/>
  <c r="U108" i="6"/>
  <c r="U134" i="6"/>
  <c r="U113" i="6"/>
  <c r="U116" i="6"/>
  <c r="U124" i="6"/>
  <c r="U140" i="6"/>
  <c r="T418" i="6"/>
  <c r="T417" i="6"/>
  <c r="T419" i="6"/>
  <c r="U218" i="6"/>
  <c r="U199" i="6"/>
  <c r="U191" i="6"/>
  <c r="U208" i="6"/>
  <c r="U217" i="6"/>
  <c r="U198" i="6"/>
  <c r="U190" i="6"/>
  <c r="U205" i="6"/>
  <c r="U178" i="6"/>
  <c r="U175" i="6"/>
  <c r="U173" i="6"/>
  <c r="U171" i="6"/>
  <c r="U169" i="6"/>
  <c r="U158" i="6"/>
  <c r="U156" i="6"/>
  <c r="U154" i="6"/>
  <c r="U152" i="6"/>
  <c r="U150" i="6"/>
  <c r="U148" i="6"/>
  <c r="U146" i="6"/>
  <c r="U144" i="6"/>
  <c r="U142" i="6"/>
  <c r="U177" i="6"/>
  <c r="U167" i="6"/>
  <c r="U165" i="6"/>
  <c r="U163" i="6"/>
  <c r="U161" i="6"/>
  <c r="U159" i="6"/>
  <c r="U176" i="6"/>
  <c r="U174" i="6"/>
  <c r="U172" i="6"/>
  <c r="U170" i="6"/>
  <c r="U168" i="6"/>
  <c r="U157" i="6"/>
  <c r="U155" i="6"/>
  <c r="U153" i="6"/>
  <c r="U151" i="6"/>
  <c r="U149" i="6"/>
  <c r="U147" i="6"/>
  <c r="U145" i="6"/>
  <c r="U143" i="6"/>
  <c r="U141" i="6"/>
  <c r="U179" i="6"/>
  <c r="U166" i="6"/>
  <c r="U164" i="6"/>
  <c r="U162" i="6"/>
  <c r="U160" i="6"/>
  <c r="T1241" i="13"/>
  <c r="T49" i="6"/>
  <c r="T43" i="6"/>
  <c r="T44" i="6"/>
  <c r="T42" i="6"/>
  <c r="U28" i="6"/>
  <c r="F28" i="6"/>
  <c r="U102" i="6"/>
  <c r="U110" i="6"/>
  <c r="U135" i="6"/>
  <c r="U137" i="6"/>
  <c r="U107" i="6"/>
  <c r="U123" i="6"/>
  <c r="U136" i="6"/>
  <c r="U117" i="6"/>
  <c r="U133" i="6"/>
  <c r="U126" i="6"/>
  <c r="T1215" i="13"/>
  <c r="T1214" i="13"/>
  <c r="T1218" i="13"/>
  <c r="T1217" i="13"/>
  <c r="T1216" i="13"/>
  <c r="U820" i="13"/>
  <c r="U819" i="13"/>
  <c r="U818" i="13"/>
  <c r="U817" i="13"/>
  <c r="U816" i="13"/>
  <c r="U815" i="13"/>
  <c r="U423" i="13"/>
  <c r="U424" i="13"/>
  <c r="U426" i="13"/>
  <c r="U425" i="13"/>
  <c r="U413" i="13"/>
  <c r="U412" i="13"/>
  <c r="U411" i="13"/>
  <c r="U410" i="13"/>
  <c r="U414" i="13"/>
  <c r="U417" i="13"/>
  <c r="U416" i="13"/>
  <c r="U415" i="13"/>
  <c r="U422" i="13"/>
  <c r="U421" i="13"/>
  <c r="U420" i="13"/>
  <c r="U419" i="13"/>
  <c r="U418" i="13"/>
  <c r="U121" i="13"/>
  <c r="U120" i="13"/>
  <c r="U119" i="13"/>
  <c r="U118" i="13"/>
  <c r="U121" i="6"/>
  <c r="U115" i="6"/>
  <c r="T412" i="6"/>
  <c r="T413" i="6"/>
  <c r="W366" i="6"/>
  <c r="W364" i="6"/>
  <c r="W367" i="6"/>
  <c r="W363" i="6"/>
  <c r="W365" i="6"/>
  <c r="T430" i="6"/>
  <c r="T432" i="6"/>
  <c r="T431" i="6"/>
  <c r="U220" i="6"/>
  <c r="U212" i="6"/>
  <c r="U201" i="6"/>
  <c r="U193" i="6"/>
  <c r="U185" i="6"/>
  <c r="U222" i="6"/>
  <c r="U210" i="6"/>
  <c r="U219" i="6"/>
  <c r="U200" i="6"/>
  <c r="U192" i="6"/>
  <c r="T256" i="6"/>
  <c r="T251" i="6"/>
  <c r="T252" i="6"/>
  <c r="T250" i="6"/>
  <c r="T245" i="6"/>
  <c r="T246" i="6"/>
  <c r="T244" i="6"/>
  <c r="T225" i="6"/>
  <c r="T226" i="6"/>
  <c r="T224" i="6"/>
  <c r="U207" i="6"/>
  <c r="U1252" i="13"/>
  <c r="U1251" i="13"/>
  <c r="U1250" i="13"/>
  <c r="T1246" i="13"/>
  <c r="T1245" i="13"/>
  <c r="T1244" i="13"/>
  <c r="T55" i="6"/>
  <c r="T56" i="6"/>
  <c r="T54" i="6"/>
  <c r="U37" i="6"/>
  <c r="U38" i="6"/>
  <c r="U36" i="6"/>
  <c r="U104" i="6"/>
  <c r="U112" i="6"/>
  <c r="U139" i="6"/>
  <c r="U101" i="6"/>
  <c r="U109" i="6"/>
  <c r="U129" i="6"/>
  <c r="U114" i="6"/>
  <c r="U118" i="6"/>
  <c r="U120" i="6"/>
  <c r="U928" i="13"/>
  <c r="U927" i="13"/>
  <c r="U926" i="13"/>
  <c r="U929" i="13"/>
  <c r="U431" i="13"/>
  <c r="U427" i="13"/>
  <c r="U432" i="13"/>
  <c r="U428" i="13"/>
  <c r="U433" i="13"/>
  <c r="U429" i="13"/>
  <c r="U434" i="13"/>
  <c r="U430" i="13"/>
  <c r="V134" i="13"/>
  <c r="V133" i="13"/>
  <c r="V132" i="13"/>
  <c r="V131" i="13"/>
  <c r="V130" i="13"/>
  <c r="V129" i="13"/>
  <c r="V128" i="13"/>
  <c r="V127" i="13"/>
  <c r="V126" i="13"/>
  <c r="V125" i="13"/>
  <c r="V124" i="13"/>
  <c r="V123" i="13"/>
  <c r="V122" i="13"/>
  <c r="T121" i="13"/>
  <c r="T120" i="13"/>
  <c r="T119" i="13"/>
  <c r="T118" i="13"/>
  <c r="AN7" i="4"/>
  <c r="T362" i="6"/>
  <c r="T361" i="6"/>
  <c r="T360" i="6"/>
  <c r="T1249" i="13"/>
  <c r="T1248" i="13"/>
  <c r="T1247" i="13"/>
  <c r="U106" i="6"/>
  <c r="U111" i="6"/>
  <c r="W982" i="13"/>
  <c r="W984" i="13"/>
  <c r="W985" i="13"/>
  <c r="W986" i="13"/>
  <c r="W987" i="13"/>
  <c r="W983" i="13"/>
  <c r="T646" i="13"/>
  <c r="T645" i="13"/>
  <c r="T644" i="13"/>
  <c r="T643" i="13"/>
  <c r="T642" i="13"/>
  <c r="T641" i="13"/>
  <c r="U138" i="13"/>
  <c r="U137" i="13"/>
  <c r="U136" i="13"/>
  <c r="U135" i="13"/>
  <c r="U44" i="13"/>
  <c r="U47" i="13"/>
  <c r="U46" i="13"/>
  <c r="U45" i="13"/>
  <c r="U48" i="13"/>
  <c r="U52" i="13"/>
  <c r="U51" i="13"/>
  <c r="U50" i="13"/>
  <c r="U49" i="13"/>
  <c r="U43" i="13"/>
  <c r="U42" i="13"/>
  <c r="U41" i="13"/>
  <c r="U40" i="13"/>
  <c r="U28" i="13"/>
  <c r="U30" i="13"/>
  <c r="U29" i="13"/>
  <c r="U27" i="13"/>
  <c r="S14" i="17418" l="1"/>
  <c r="G250" i="4"/>
  <c r="R14" i="17418"/>
  <c r="U17" i="17418"/>
  <c r="U22" i="17418"/>
  <c r="U20" i="17418" s="1"/>
  <c r="U16" i="17418"/>
  <c r="U21" i="17418"/>
  <c r="U19" i="17418"/>
  <c r="U18" i="17418" s="1"/>
  <c r="T22" i="17418"/>
  <c r="T20" i="17418" s="1"/>
  <c r="T17" i="17418"/>
  <c r="I32" i="17422" s="1"/>
  <c r="AH32" i="17422" s="1"/>
  <c r="T16" i="17418"/>
  <c r="I29" i="17422" s="1"/>
  <c r="AH29" i="17422" s="1"/>
  <c r="T21" i="17418"/>
  <c r="T19" i="17418"/>
  <c r="T18" i="17418" s="1"/>
  <c r="FS36" i="17418"/>
  <c r="DV36" i="17418"/>
  <c r="JV36" i="17418" s="1"/>
  <c r="AO597" i="4"/>
  <c r="AV1013" i="4"/>
  <c r="AV1012" i="4"/>
  <c r="AN1013" i="4"/>
  <c r="AN1012" i="4"/>
  <c r="G545" i="1"/>
  <c r="H545" i="1" s="1"/>
  <c r="AV28" i="4"/>
  <c r="AV515" i="4"/>
  <c r="AN28" i="4"/>
  <c r="AN515" i="4"/>
  <c r="AV1011" i="4"/>
  <c r="AN1011" i="4"/>
  <c r="G110" i="1"/>
  <c r="H110" i="1" s="1"/>
  <c r="P1409" i="13"/>
  <c r="T1407" i="13" s="1"/>
  <c r="R1409" i="13"/>
  <c r="AV1019" i="4"/>
  <c r="AV1010" i="4"/>
  <c r="AN1019" i="4"/>
  <c r="AN1010" i="4"/>
  <c r="AO510" i="4"/>
  <c r="AO507" i="4"/>
  <c r="AO509" i="4"/>
  <c r="I35" i="17422"/>
  <c r="AH35" i="17422" s="1"/>
  <c r="H35" i="17422"/>
  <c r="AG35" i="17422" s="1"/>
  <c r="F41" i="17422"/>
  <c r="AE41" i="17422" s="1"/>
  <c r="G41" i="17422"/>
  <c r="AF41" i="17422" s="1"/>
  <c r="G586" i="1"/>
  <c r="H586" i="1" s="1"/>
  <c r="G294" i="1"/>
  <c r="H294" i="1" s="1"/>
  <c r="G547" i="1"/>
  <c r="H547" i="1" s="1"/>
  <c r="G138" i="1"/>
  <c r="G79" i="1"/>
  <c r="H79" i="1" s="1"/>
  <c r="R201" i="4"/>
  <c r="G81" i="1"/>
  <c r="H81" i="1" s="1"/>
  <c r="G186" i="1"/>
  <c r="G146" i="1"/>
  <c r="H146" i="1" s="1"/>
  <c r="G290" i="1"/>
  <c r="H290" i="1" s="1"/>
  <c r="G133" i="1"/>
  <c r="H133" i="1" s="1"/>
  <c r="G524" i="1"/>
  <c r="H524" i="1" s="1"/>
  <c r="G100" i="1"/>
  <c r="H100" i="1" s="1"/>
  <c r="R264" i="13"/>
  <c r="G101" i="1"/>
  <c r="H101" i="1" s="1"/>
  <c r="R854" i="13"/>
  <c r="G560" i="1"/>
  <c r="H560" i="1" s="1"/>
  <c r="G136" i="1"/>
  <c r="H136" i="1" s="1"/>
  <c r="G390" i="1"/>
  <c r="H390" i="1" s="1"/>
  <c r="G141" i="1"/>
  <c r="G559" i="1"/>
  <c r="H559" i="1" s="1"/>
  <c r="G558" i="1"/>
  <c r="H558" i="1" s="1"/>
  <c r="G616" i="1"/>
  <c r="H616" i="1" s="1"/>
  <c r="G120" i="1"/>
  <c r="H120" i="1" s="1"/>
  <c r="G219" i="1"/>
  <c r="G148" i="1"/>
  <c r="H148" i="1" s="1"/>
  <c r="G523" i="1"/>
  <c r="H523" i="1" s="1"/>
  <c r="T32" i="17418"/>
  <c r="H32" i="17422"/>
  <c r="AG32" i="17422" s="1"/>
  <c r="H29" i="17422"/>
  <c r="AG29" i="17422" s="1"/>
  <c r="AN975" i="4"/>
  <c r="AN974" i="4"/>
  <c r="AV975" i="4"/>
  <c r="AV974" i="4"/>
  <c r="R228" i="4"/>
  <c r="AV609" i="4"/>
  <c r="AV559" i="4"/>
  <c r="AN609" i="4"/>
  <c r="AN559" i="4"/>
  <c r="AV605" i="4"/>
  <c r="AV555" i="4"/>
  <c r="AN605" i="4"/>
  <c r="AN555" i="4"/>
  <c r="AV610" i="4"/>
  <c r="AV560" i="4"/>
  <c r="AN610" i="4"/>
  <c r="AN560" i="4"/>
  <c r="AN993" i="4"/>
  <c r="AN1021" i="4"/>
  <c r="AV992" i="4"/>
  <c r="AV1020" i="4"/>
  <c r="AN992" i="4"/>
  <c r="AN1020" i="4"/>
  <c r="AV993" i="4"/>
  <c r="AV1021" i="4"/>
  <c r="AO1467" i="13"/>
  <c r="AO1471" i="13"/>
  <c r="AO1468" i="13"/>
  <c r="AO1466" i="13"/>
  <c r="AN1027" i="4" s="1"/>
  <c r="AO1472" i="13"/>
  <c r="P218" i="4"/>
  <c r="W213" i="4" s="1"/>
  <c r="J31" i="14"/>
  <c r="O61" i="14"/>
  <c r="AO1470" i="13"/>
  <c r="AN1046" i="4"/>
  <c r="AN1048" i="4"/>
  <c r="AN1047" i="4"/>
  <c r="AN1043" i="4"/>
  <c r="AN1051" i="4"/>
  <c r="AN1053" i="4"/>
  <c r="AN1056" i="4"/>
  <c r="AN1049" i="4"/>
  <c r="AN1044" i="4"/>
  <c r="AN1055" i="4"/>
  <c r="AN1052" i="4"/>
  <c r="AN1050" i="4"/>
  <c r="AN1057" i="4"/>
  <c r="AN1042" i="4"/>
  <c r="AN1030" i="4"/>
  <c r="AN1031" i="4"/>
  <c r="AN1040" i="4"/>
  <c r="AN1039" i="4"/>
  <c r="AN1041" i="4"/>
  <c r="AN487" i="13"/>
  <c r="AN484" i="13"/>
  <c r="AN611" i="13"/>
  <c r="AN527" i="13"/>
  <c r="AN519" i="13"/>
  <c r="AN607" i="13"/>
  <c r="AN667" i="13"/>
  <c r="R1388" i="13"/>
  <c r="T1420" i="13"/>
  <c r="T1418" i="13"/>
  <c r="T1414" i="13"/>
  <c r="T1382" i="13"/>
  <c r="T1390" i="13"/>
  <c r="T1416" i="13"/>
  <c r="AV1022" i="4"/>
  <c r="AV1016" i="4"/>
  <c r="AN1022" i="4"/>
  <c r="AN1016" i="4"/>
  <c r="T1387" i="13"/>
  <c r="T1385" i="13"/>
  <c r="T1386" i="13"/>
  <c r="T1392" i="13"/>
  <c r="T1383" i="13"/>
  <c r="T1417" i="13"/>
  <c r="T1415" i="13"/>
  <c r="R1399" i="13"/>
  <c r="P1399" i="13"/>
  <c r="P1398" i="13"/>
  <c r="R1398" i="13"/>
  <c r="AN1007" i="4"/>
  <c r="AN1015" i="4"/>
  <c r="AV1007" i="4"/>
  <c r="AV1015" i="4"/>
  <c r="T1388" i="13"/>
  <c r="T1389" i="13"/>
  <c r="T1384" i="13"/>
  <c r="T1391" i="13"/>
  <c r="P1361" i="13"/>
  <c r="R1361" i="13"/>
  <c r="W988" i="4"/>
  <c r="W989" i="4"/>
  <c r="W985" i="4"/>
  <c r="W987" i="4"/>
  <c r="W986" i="4"/>
  <c r="L231" i="4"/>
  <c r="L230" i="4"/>
  <c r="P988" i="4"/>
  <c r="F990" i="4" s="1"/>
  <c r="R988" i="4"/>
  <c r="G990" i="4" s="1"/>
  <c r="R226" i="4"/>
  <c r="AO986" i="4"/>
  <c r="AO987" i="4"/>
  <c r="AO985" i="4"/>
  <c r="G1477" i="1"/>
  <c r="H38" i="17422"/>
  <c r="AG38" i="17422" s="1"/>
  <c r="P632" i="13"/>
  <c r="AN496" i="13"/>
  <c r="U12" i="14"/>
  <c r="V12" i="14" s="1"/>
  <c r="K23" i="12"/>
  <c r="H23" i="12"/>
  <c r="I23" i="12"/>
  <c r="J23" i="12"/>
  <c r="U14" i="14"/>
  <c r="V14" i="14" s="1"/>
  <c r="O21" i="14"/>
  <c r="K31" i="14"/>
  <c r="I22" i="12"/>
  <c r="J22" i="12"/>
  <c r="H22" i="12"/>
  <c r="K22" i="12"/>
  <c r="K25" i="12"/>
  <c r="J25" i="12"/>
  <c r="I25" i="12"/>
  <c r="H25" i="12"/>
  <c r="AN617" i="13"/>
  <c r="U11" i="14"/>
  <c r="V11" i="14" s="1"/>
  <c r="M31" i="14"/>
  <c r="O51" i="14"/>
  <c r="P51" i="14" s="1"/>
  <c r="J20" i="12"/>
  <c r="K20" i="12"/>
  <c r="H20" i="12"/>
  <c r="I20" i="12"/>
  <c r="G16" i="14"/>
  <c r="O15" i="14"/>
  <c r="H21" i="12"/>
  <c r="I21" i="12"/>
  <c r="K21" i="12"/>
  <c r="J21" i="12"/>
  <c r="T992" i="13"/>
  <c r="T991" i="13"/>
  <c r="T506" i="13"/>
  <c r="T716" i="13"/>
  <c r="R931" i="13"/>
  <c r="T985" i="13"/>
  <c r="T58" i="6"/>
  <c r="S12" i="17412"/>
  <c r="R60" i="6"/>
  <c r="R660" i="13"/>
  <c r="T1240" i="13"/>
  <c r="P505" i="13"/>
  <c r="T366" i="6"/>
  <c r="T367" i="6"/>
  <c r="R11" i="13"/>
  <c r="R88" i="13"/>
  <c r="T800" i="13"/>
  <c r="S240" i="17418"/>
  <c r="AN772" i="4"/>
  <c r="AN579" i="4"/>
  <c r="AN575" i="4"/>
  <c r="AV772" i="4"/>
  <c r="AV579" i="4"/>
  <c r="AV575" i="4"/>
  <c r="S278" i="17418"/>
  <c r="S244" i="17418"/>
  <c r="S281" i="17418"/>
  <c r="S287" i="17418"/>
  <c r="S252" i="17418"/>
  <c r="S253" i="17418"/>
  <c r="S285" i="17418"/>
  <c r="S249" i="17418"/>
  <c r="S242" i="17418"/>
  <c r="S276" i="17418"/>
  <c r="S280" i="17418"/>
  <c r="S257" i="17418"/>
  <c r="S250" i="17418"/>
  <c r="S279" i="17418"/>
  <c r="S258" i="17418"/>
  <c r="S241" i="17418"/>
  <c r="S262" i="17418"/>
  <c r="S255" i="17418"/>
  <c r="S284" i="17418"/>
  <c r="S256" i="17418"/>
  <c r="S247" i="17418"/>
  <c r="S243" i="17418"/>
  <c r="S282" i="17418"/>
  <c r="S245" i="17418"/>
  <c r="S267" i="17418"/>
  <c r="S277" i="17418"/>
  <c r="S254" i="17418"/>
  <c r="S283" i="17418"/>
  <c r="S246" i="17418"/>
  <c r="S238" i="17418"/>
  <c r="S288" i="17418"/>
  <c r="S289" i="17418"/>
  <c r="S261" i="17418"/>
  <c r="S275" i="17418"/>
  <c r="L1261" i="13"/>
  <c r="L404" i="6"/>
  <c r="R443" i="6"/>
  <c r="P443" i="6"/>
  <c r="AO14" i="13"/>
  <c r="H1858" i="1"/>
  <c r="R587" i="13"/>
  <c r="H26" i="17422"/>
  <c r="AG26" i="17422" s="1"/>
  <c r="R259" i="17418"/>
  <c r="R265" i="17418"/>
  <c r="Q265" i="17418"/>
  <c r="T286" i="17418"/>
  <c r="Q259" i="17418"/>
  <c r="S251" i="17418"/>
  <c r="S248" i="17418"/>
  <c r="S239" i="17418"/>
  <c r="S264" i="17418"/>
  <c r="S263" i="17418"/>
  <c r="S270" i="17418"/>
  <c r="S269" i="17418"/>
  <c r="S272" i="17418"/>
  <c r="S271" i="17418"/>
  <c r="S260" i="17418"/>
  <c r="DV24" i="17418"/>
  <c r="AV862" i="4"/>
  <c r="AV865" i="4"/>
  <c r="AN862" i="4"/>
  <c r="AO864" i="4" s="1"/>
  <c r="AN865" i="4"/>
  <c r="AO865" i="4" s="1"/>
  <c r="AV854" i="4"/>
  <c r="AV858" i="4"/>
  <c r="AN854" i="4"/>
  <c r="AN858" i="4"/>
  <c r="AO19" i="13"/>
  <c r="AO17" i="13"/>
  <c r="FS24" i="17418"/>
  <c r="BY24" i="17418"/>
  <c r="JM24" i="17418"/>
  <c r="DV25" i="17418"/>
  <c r="S274" i="17418"/>
  <c r="JM26" i="17418"/>
  <c r="HP26" i="17418"/>
  <c r="FS26" i="17418"/>
  <c r="BY25" i="17418"/>
  <c r="HP25" i="17418"/>
  <c r="DV26" i="17418"/>
  <c r="BY23" i="17418"/>
  <c r="DV23" i="17418"/>
  <c r="FS23" i="17418"/>
  <c r="HP23" i="17418"/>
  <c r="S268" i="17418"/>
  <c r="S273" i="17418"/>
  <c r="S266" i="17418"/>
  <c r="T247" i="4"/>
  <c r="E181" i="17412"/>
  <c r="H1634" i="1"/>
  <c r="T995" i="13"/>
  <c r="T984" i="13"/>
  <c r="T998" i="13"/>
  <c r="R996" i="13"/>
  <c r="T747" i="13"/>
  <c r="L145" i="13"/>
  <c r="L353" i="13"/>
  <c r="L128" i="13"/>
  <c r="L401" i="13"/>
  <c r="L262" i="13"/>
  <c r="P262" i="13" s="1"/>
  <c r="L90" i="13"/>
  <c r="P90" i="13" s="1"/>
  <c r="T87" i="13" s="1"/>
  <c r="L103" i="13"/>
  <c r="L24" i="13"/>
  <c r="P24" i="13" s="1"/>
  <c r="L13" i="13"/>
  <c r="P13" i="13" s="1"/>
  <c r="T60" i="13"/>
  <c r="T63" i="13"/>
  <c r="T59" i="13"/>
  <c r="T62" i="13"/>
  <c r="T61" i="13"/>
  <c r="L287" i="6"/>
  <c r="P287" i="6" s="1"/>
  <c r="T285" i="6" s="1"/>
  <c r="L785" i="13"/>
  <c r="P785" i="13" s="1"/>
  <c r="R218" i="4"/>
  <c r="G1071" i="1"/>
  <c r="H1071" i="1" s="1"/>
  <c r="R204" i="4"/>
  <c r="G952" i="1"/>
  <c r="H952" i="1" s="1"/>
  <c r="S176" i="17412"/>
  <c r="AO13" i="13"/>
  <c r="E51" i="17412"/>
  <c r="R51" i="17412" s="1"/>
  <c r="H1486" i="1"/>
  <c r="AV504" i="4"/>
  <c r="AV786" i="4"/>
  <c r="AN504" i="4"/>
  <c r="AO505" i="4" s="1"/>
  <c r="AN786" i="4"/>
  <c r="AO786" i="4" s="1"/>
  <c r="R465" i="13"/>
  <c r="AO615" i="4"/>
  <c r="AV724" i="4"/>
  <c r="AV771" i="4"/>
  <c r="AN724" i="4"/>
  <c r="AO721" i="4" s="1"/>
  <c r="AN771" i="4"/>
  <c r="U148" i="13"/>
  <c r="AO616" i="4"/>
  <c r="AO95" i="13"/>
  <c r="AO667" i="13"/>
  <c r="AO123" i="13"/>
  <c r="AO85" i="13"/>
  <c r="AO134" i="13"/>
  <c r="AO10" i="13"/>
  <c r="AO267" i="13"/>
  <c r="AN750" i="4"/>
  <c r="G1769" i="1"/>
  <c r="AV750" i="4"/>
  <c r="AO12" i="13"/>
  <c r="AO9" i="13"/>
  <c r="AO126" i="13"/>
  <c r="AO18" i="13"/>
  <c r="AN738" i="4"/>
  <c r="AN747" i="4"/>
  <c r="AV738" i="4"/>
  <c r="AV747" i="4"/>
  <c r="T997" i="13"/>
  <c r="E398" i="6"/>
  <c r="Q398" i="6" s="1"/>
  <c r="R398" i="6" s="1"/>
  <c r="E411" i="6"/>
  <c r="Q411" i="6" s="1"/>
  <c r="R411" i="6" s="1"/>
  <c r="T365" i="6"/>
  <c r="T1242" i="13"/>
  <c r="T982" i="13"/>
  <c r="T986" i="13"/>
  <c r="T48" i="6"/>
  <c r="T993" i="13"/>
  <c r="T364" i="6"/>
  <c r="T369" i="6"/>
  <c r="E373" i="6"/>
  <c r="Q373" i="6" s="1"/>
  <c r="E396" i="6"/>
  <c r="Q396" i="6" s="1"/>
  <c r="E407" i="6"/>
  <c r="Q407" i="6" s="1"/>
  <c r="R1031" i="13"/>
  <c r="T983" i="13"/>
  <c r="T1239" i="13"/>
  <c r="T1243" i="13"/>
  <c r="T182" i="6"/>
  <c r="T59" i="6"/>
  <c r="T990" i="13"/>
  <c r="T994" i="13"/>
  <c r="T999" i="13"/>
  <c r="T180" i="6"/>
  <c r="R795" i="13"/>
  <c r="R460" i="13"/>
  <c r="R661" i="13"/>
  <c r="E410" i="6"/>
  <c r="Q410" i="6" s="1"/>
  <c r="R410" i="6" s="1"/>
  <c r="E409" i="6"/>
  <c r="Q409" i="6" s="1"/>
  <c r="R409" i="6" s="1"/>
  <c r="E395" i="6"/>
  <c r="Q395" i="6" s="1"/>
  <c r="R271" i="6"/>
  <c r="R243" i="6"/>
  <c r="R263" i="6"/>
  <c r="R53" i="6"/>
  <c r="P329" i="13"/>
  <c r="P197" i="13"/>
  <c r="T198" i="13" s="1"/>
  <c r="R50" i="6"/>
  <c r="R327" i="13"/>
  <c r="R747" i="13"/>
  <c r="Q823" i="13"/>
  <c r="R1050" i="13"/>
  <c r="H1494" i="1"/>
  <c r="AO11" i="13"/>
  <c r="AO125" i="13"/>
  <c r="T989" i="13"/>
  <c r="R274" i="6"/>
  <c r="R1242" i="13"/>
  <c r="AN725" i="4"/>
  <c r="AO725" i="4" s="1"/>
  <c r="AN733" i="4"/>
  <c r="AO737" i="4" s="1"/>
  <c r="AV725" i="4"/>
  <c r="AV733" i="4"/>
  <c r="AO644" i="4"/>
  <c r="AO645" i="4"/>
  <c r="AO643" i="4"/>
  <c r="AO94" i="13"/>
  <c r="AN639" i="4"/>
  <c r="AN630" i="4"/>
  <c r="AV627" i="4"/>
  <c r="AV620" i="4"/>
  <c r="AN617" i="4"/>
  <c r="AN642" i="4"/>
  <c r="AN611" i="4"/>
  <c r="AV617" i="4"/>
  <c r="AV611" i="4"/>
  <c r="AV642" i="4"/>
  <c r="AN627" i="4"/>
  <c r="AN620" i="4"/>
  <c r="AV639" i="4"/>
  <c r="AV630" i="4"/>
  <c r="AV607" i="4"/>
  <c r="AV688" i="4"/>
  <c r="AV608" i="4"/>
  <c r="AV689" i="4"/>
  <c r="AN608" i="4"/>
  <c r="AN689" i="4"/>
  <c r="AN607" i="4"/>
  <c r="AN688" i="4"/>
  <c r="AN604" i="4"/>
  <c r="AN684" i="4"/>
  <c r="AV604" i="4"/>
  <c r="AV684" i="4"/>
  <c r="AO668" i="13"/>
  <c r="AO150" i="13"/>
  <c r="AO87" i="13"/>
  <c r="AO664" i="13"/>
  <c r="AO145" i="13"/>
  <c r="AO15" i="13"/>
  <c r="AO129" i="13"/>
  <c r="AO257" i="13"/>
  <c r="AO143" i="13"/>
  <c r="AO16" i="13"/>
  <c r="AO8" i="13"/>
  <c r="AO147" i="13"/>
  <c r="AN602" i="4"/>
  <c r="AN635" i="4"/>
  <c r="AO102" i="13"/>
  <c r="AO98" i="13"/>
  <c r="AO357" i="13"/>
  <c r="F49" i="10"/>
  <c r="H49" i="10" s="1"/>
  <c r="J49" i="10" s="1"/>
  <c r="AO348" i="13"/>
  <c r="AO266" i="13"/>
  <c r="AO268" i="13"/>
  <c r="AO359" i="13"/>
  <c r="AO92" i="13"/>
  <c r="AO353" i="13"/>
  <c r="AO350" i="13"/>
  <c r="AV552" i="4"/>
  <c r="AV550" i="4"/>
  <c r="AV549" i="4"/>
  <c r="AN550" i="4"/>
  <c r="AN549" i="4"/>
  <c r="AN552" i="4"/>
  <c r="AO347" i="13"/>
  <c r="AO84" i="13"/>
  <c r="U139" i="13"/>
  <c r="U142" i="13"/>
  <c r="U147" i="13"/>
  <c r="AN567" i="4"/>
  <c r="AN571" i="4"/>
  <c r="R1137" i="13"/>
  <c r="U143" i="13"/>
  <c r="U141" i="13"/>
  <c r="U150" i="13"/>
  <c r="U144" i="13"/>
  <c r="U145" i="13"/>
  <c r="U146" i="13"/>
  <c r="U149" i="13"/>
  <c r="AV538" i="4"/>
  <c r="AV546" i="4"/>
  <c r="AV539" i="4"/>
  <c r="AV547" i="4"/>
  <c r="AV543" i="4"/>
  <c r="AV551" i="4"/>
  <c r="AN543" i="4"/>
  <c r="AN551" i="4"/>
  <c r="AN538" i="4"/>
  <c r="AN546" i="4"/>
  <c r="AN539" i="4"/>
  <c r="AN547" i="4"/>
  <c r="AV373" i="4"/>
  <c r="AV544" i="4"/>
  <c r="AV534" i="4"/>
  <c r="AV542" i="4"/>
  <c r="AV533" i="4"/>
  <c r="AV541" i="4"/>
  <c r="AN534" i="4"/>
  <c r="AN542" i="4"/>
  <c r="AN533" i="4"/>
  <c r="AN541" i="4"/>
  <c r="AN373" i="4"/>
  <c r="AN544" i="4"/>
  <c r="H1577" i="1"/>
  <c r="T192" i="4"/>
  <c r="T168" i="4"/>
  <c r="T154" i="4"/>
  <c r="T157" i="4"/>
  <c r="T191" i="4"/>
  <c r="T166" i="4"/>
  <c r="T173" i="4"/>
  <c r="AV536" i="4"/>
  <c r="T162" i="4"/>
  <c r="T153" i="4"/>
  <c r="AV523" i="4"/>
  <c r="AV530" i="4"/>
  <c r="AV527" i="4"/>
  <c r="AV535" i="4"/>
  <c r="AN527" i="4"/>
  <c r="AN535" i="4"/>
  <c r="AN523" i="4"/>
  <c r="AN530" i="4"/>
  <c r="AN528" i="4"/>
  <c r="AN536" i="4"/>
  <c r="T1313" i="13"/>
  <c r="T1312" i="13"/>
  <c r="T1324" i="13"/>
  <c r="T1314" i="13"/>
  <c r="T1318" i="13"/>
  <c r="T1321" i="13"/>
  <c r="T1316" i="13"/>
  <c r="T1320" i="13"/>
  <c r="T1315" i="13"/>
  <c r="T1319" i="13"/>
  <c r="T1323" i="13"/>
  <c r="T1322" i="13"/>
  <c r="T1317" i="13"/>
  <c r="AV520" i="4"/>
  <c r="AV526" i="4"/>
  <c r="AV519" i="4"/>
  <c r="AV525" i="4"/>
  <c r="AN520" i="4"/>
  <c r="AN526" i="4"/>
  <c r="AN519" i="4"/>
  <c r="AN525" i="4"/>
  <c r="AO128" i="13"/>
  <c r="AO256" i="13"/>
  <c r="AN69" i="4" s="1"/>
  <c r="AO151" i="13"/>
  <c r="AO149" i="13"/>
  <c r="AO262" i="13"/>
  <c r="AO349" i="13"/>
  <c r="AO101" i="13"/>
  <c r="AO90" i="13"/>
  <c r="AO133" i="13"/>
  <c r="AO144" i="13"/>
  <c r="AV309" i="4"/>
  <c r="AV521" i="4"/>
  <c r="AN309" i="4"/>
  <c r="AN521" i="4"/>
  <c r="AO352" i="13"/>
  <c r="AO107" i="13"/>
  <c r="AO355" i="13"/>
  <c r="AO109" i="13"/>
  <c r="AO139" i="13"/>
  <c r="AO108" i="13"/>
  <c r="AO127" i="13"/>
  <c r="AO261" i="13"/>
  <c r="AO354" i="13"/>
  <c r="AO356" i="13"/>
  <c r="U151" i="13"/>
  <c r="AV514" i="4"/>
  <c r="AV517" i="4"/>
  <c r="AN514" i="4"/>
  <c r="AO513" i="4" s="1"/>
  <c r="AN517" i="4"/>
  <c r="AO103" i="13"/>
  <c r="AO259" i="13"/>
  <c r="AO130" i="13"/>
  <c r="AO141" i="13"/>
  <c r="AO124" i="13"/>
  <c r="AO258" i="13"/>
  <c r="AO263" i="13"/>
  <c r="AO142" i="13"/>
  <c r="AO264" i="13"/>
  <c r="AO260" i="13"/>
  <c r="H1488" i="1"/>
  <c r="P892" i="13"/>
  <c r="T889" i="13" s="1"/>
  <c r="O792" i="13"/>
  <c r="Q792" i="13" s="1"/>
  <c r="AO529" i="13"/>
  <c r="AO531" i="13"/>
  <c r="AO525" i="13"/>
  <c r="AO524" i="13"/>
  <c r="AN257" i="4" s="1"/>
  <c r="AO256" i="4" s="1"/>
  <c r="AO528" i="13"/>
  <c r="AO519" i="13"/>
  <c r="AO514" i="13"/>
  <c r="AO513" i="13"/>
  <c r="AO512" i="13"/>
  <c r="AN255" i="4" s="1"/>
  <c r="AO255" i="4" s="1"/>
  <c r="AO517" i="13"/>
  <c r="AO518" i="13"/>
  <c r="AO515" i="13"/>
  <c r="AN500" i="13"/>
  <c r="AO500" i="13" s="1"/>
  <c r="AN467" i="13"/>
  <c r="AO467" i="13" s="1"/>
  <c r="AN480" i="13"/>
  <c r="AO479" i="13" s="1"/>
  <c r="AO93" i="13"/>
  <c r="AO527" i="13"/>
  <c r="T506" i="4"/>
  <c r="T505" i="4"/>
  <c r="T504" i="4"/>
  <c r="T186" i="4"/>
  <c r="T144" i="4"/>
  <c r="T172" i="4"/>
  <c r="T182" i="4"/>
  <c r="T179" i="4"/>
  <c r="T183" i="4"/>
  <c r="T187" i="4"/>
  <c r="AO257" i="4"/>
  <c r="AO506" i="4"/>
  <c r="T277" i="4"/>
  <c r="AN41" i="4"/>
  <c r="AN502" i="4"/>
  <c r="AN44" i="4"/>
  <c r="AN503" i="4"/>
  <c r="AV44" i="4"/>
  <c r="AV503" i="4"/>
  <c r="AO665" i="13"/>
  <c r="AO483" i="13"/>
  <c r="AO88" i="13"/>
  <c r="T276" i="4"/>
  <c r="AN486" i="4"/>
  <c r="AN496" i="4"/>
  <c r="AV486" i="4"/>
  <c r="AV496" i="4"/>
  <c r="G1015" i="1"/>
  <c r="H1015" i="1" s="1"/>
  <c r="AO97" i="13"/>
  <c r="AN29" i="4" s="1"/>
  <c r="AO516" i="13"/>
  <c r="AO152" i="13"/>
  <c r="AO122" i="13"/>
  <c r="AO132" i="13"/>
  <c r="AO146" i="13"/>
  <c r="AO99" i="13"/>
  <c r="AO148" i="13"/>
  <c r="AO89" i="13"/>
  <c r="AO86" i="13"/>
  <c r="R275" i="4"/>
  <c r="AO140" i="13"/>
  <c r="AO96" i="13"/>
  <c r="AO358" i="13"/>
  <c r="AO265" i="13"/>
  <c r="AO351" i="13"/>
  <c r="T197" i="4"/>
  <c r="T200" i="4"/>
  <c r="T184" i="4"/>
  <c r="T152" i="4"/>
  <c r="T193" i="4"/>
  <c r="T161" i="4"/>
  <c r="T198" i="4"/>
  <c r="T178" i="4"/>
  <c r="T142" i="4"/>
  <c r="T159" i="4"/>
  <c r="T188" i="4"/>
  <c r="T158" i="4"/>
  <c r="T151" i="4"/>
  <c r="T160" i="4"/>
  <c r="T155" i="4"/>
  <c r="AO91" i="13"/>
  <c r="AO106" i="13"/>
  <c r="E14" i="17412"/>
  <c r="S14" i="17412" s="1"/>
  <c r="H1466" i="1"/>
  <c r="Q632" i="13"/>
  <c r="R632" i="13" s="1"/>
  <c r="AO100" i="13"/>
  <c r="W216" i="4"/>
  <c r="T273" i="4"/>
  <c r="T274" i="4"/>
  <c r="T174" i="4"/>
  <c r="T165" i="4"/>
  <c r="T163" i="4"/>
  <c r="T148" i="4"/>
  <c r="T143" i="4"/>
  <c r="T180" i="4"/>
  <c r="T141" i="4"/>
  <c r="T195" i="4"/>
  <c r="T181" i="4"/>
  <c r="T190" i="4"/>
  <c r="T189" i="4"/>
  <c r="T199" i="4"/>
  <c r="T185" i="4"/>
  <c r="T196" i="4"/>
  <c r="T194" i="4"/>
  <c r="W205" i="4"/>
  <c r="T275" i="4"/>
  <c r="T164" i="4"/>
  <c r="T175" i="4"/>
  <c r="T176" i="4"/>
  <c r="T177" i="4"/>
  <c r="T140" i="4"/>
  <c r="T150" i="4"/>
  <c r="T149" i="4"/>
  <c r="T147" i="4"/>
  <c r="T169" i="4"/>
  <c r="T201" i="4"/>
  <c r="T146" i="4"/>
  <c r="T167" i="4"/>
  <c r="T170" i="4"/>
  <c r="T145" i="4"/>
  <c r="T156" i="4"/>
  <c r="U152" i="13"/>
  <c r="R200" i="4"/>
  <c r="T246" i="4"/>
  <c r="T241" i="4"/>
  <c r="T242" i="4"/>
  <c r="R244" i="4"/>
  <c r="R243" i="4"/>
  <c r="T243" i="4"/>
  <c r="R225" i="4"/>
  <c r="R277" i="4"/>
  <c r="T245" i="4"/>
  <c r="P230" i="4"/>
  <c r="R230" i="4"/>
  <c r="H1572" i="1"/>
  <c r="L233" i="4"/>
  <c r="R231" i="4"/>
  <c r="P231" i="4"/>
  <c r="P472" i="4"/>
  <c r="R472" i="4"/>
  <c r="P333" i="4"/>
  <c r="R333" i="4"/>
  <c r="P423" i="4"/>
  <c r="R423" i="4"/>
  <c r="P76" i="4"/>
  <c r="R76" i="4"/>
  <c r="T139" i="4"/>
  <c r="T137" i="4"/>
  <c r="T135" i="4"/>
  <c r="T138" i="4"/>
  <c r="T136" i="4"/>
  <c r="R99" i="4"/>
  <c r="P99" i="4"/>
  <c r="T94" i="4" s="1"/>
  <c r="P115" i="4"/>
  <c r="T117" i="4" s="1"/>
  <c r="R115" i="4"/>
  <c r="P107" i="4"/>
  <c r="T107" i="4" s="1"/>
  <c r="R107" i="4"/>
  <c r="R123" i="4"/>
  <c r="P123" i="4"/>
  <c r="T119" i="4" s="1"/>
  <c r="P473" i="4"/>
  <c r="R473" i="4"/>
  <c r="P334" i="4"/>
  <c r="R334" i="4"/>
  <c r="P424" i="4"/>
  <c r="R424" i="4"/>
  <c r="T89" i="4"/>
  <c r="T93" i="4"/>
  <c r="T92" i="4"/>
  <c r="T91" i="4"/>
  <c r="T90" i="4"/>
  <c r="P272" i="4"/>
  <c r="R272" i="4"/>
  <c r="P427" i="4"/>
  <c r="R427" i="4"/>
  <c r="P490" i="4"/>
  <c r="T493" i="4" s="1"/>
  <c r="R490" i="4"/>
  <c r="P391" i="4"/>
  <c r="R391" i="4"/>
  <c r="P475" i="4"/>
  <c r="R475" i="4"/>
  <c r="R336" i="4"/>
  <c r="P336" i="4"/>
  <c r="R271" i="4"/>
  <c r="P271" i="4"/>
  <c r="P393" i="4"/>
  <c r="R393" i="4"/>
  <c r="R312" i="4"/>
  <c r="P312" i="4"/>
  <c r="T85" i="4"/>
  <c r="T84" i="4"/>
  <c r="T87" i="4"/>
  <c r="T88" i="4"/>
  <c r="T86" i="4"/>
  <c r="R327" i="4"/>
  <c r="P327" i="4"/>
  <c r="P365" i="4"/>
  <c r="T367" i="4" s="1"/>
  <c r="R365" i="4"/>
  <c r="P489" i="4"/>
  <c r="R489" i="4"/>
  <c r="R224" i="4"/>
  <c r="P224" i="4"/>
  <c r="P426" i="4"/>
  <c r="R426" i="4"/>
  <c r="T79" i="4"/>
  <c r="T82" i="4"/>
  <c r="T81" i="4"/>
  <c r="T83" i="4"/>
  <c r="T80" i="4"/>
  <c r="AO105" i="13"/>
  <c r="F250" i="4"/>
  <c r="T1159" i="13"/>
  <c r="R586" i="13"/>
  <c r="E423" i="6"/>
  <c r="Q423" i="6" s="1"/>
  <c r="W203" i="4"/>
  <c r="T1092" i="13"/>
  <c r="T426" i="13"/>
  <c r="E474" i="6"/>
  <c r="Q474" i="6" s="1"/>
  <c r="G396" i="1" s="1"/>
  <c r="H396" i="1" s="1"/>
  <c r="E426" i="6"/>
  <c r="Q426" i="6" s="1"/>
  <c r="H1608" i="1"/>
  <c r="E156" i="17412"/>
  <c r="R156" i="17412" s="1"/>
  <c r="T1157" i="13"/>
  <c r="T736" i="13"/>
  <c r="T1158" i="13"/>
  <c r="E18" i="6"/>
  <c r="Q18" i="6" s="1"/>
  <c r="R18" i="6" s="1"/>
  <c r="AO104" i="13"/>
  <c r="T1162" i="13"/>
  <c r="T1161" i="13"/>
  <c r="T743" i="13"/>
  <c r="R673" i="13"/>
  <c r="T1163" i="13"/>
  <c r="T175" i="13"/>
  <c r="G1866" i="1"/>
  <c r="H1866" i="1" s="1"/>
  <c r="T737" i="13"/>
  <c r="T1156" i="13"/>
  <c r="E475" i="6"/>
  <c r="Q475" i="6" s="1"/>
  <c r="G397" i="1" s="1"/>
  <c r="H397" i="1" s="1"/>
  <c r="G1459" i="1"/>
  <c r="E283" i="6"/>
  <c r="Q283" i="6" s="1"/>
  <c r="E477" i="6"/>
  <c r="Q477" i="6" s="1"/>
  <c r="G404" i="1" s="1"/>
  <c r="H404" i="1" s="1"/>
  <c r="U308" i="4"/>
  <c r="U306" i="4"/>
  <c r="U307" i="4"/>
  <c r="U309" i="4"/>
  <c r="W212" i="4"/>
  <c r="W208" i="4"/>
  <c r="T930" i="13"/>
  <c r="E420" i="6"/>
  <c r="Q420" i="6" s="1"/>
  <c r="E14" i="6"/>
  <c r="Q14" i="6" s="1"/>
  <c r="W249" i="4"/>
  <c r="F249" i="4"/>
  <c r="T255" i="13"/>
  <c r="T932" i="13"/>
  <c r="T66" i="6"/>
  <c r="T257" i="13"/>
  <c r="R189" i="13"/>
  <c r="E424" i="6"/>
  <c r="Q424" i="6" s="1"/>
  <c r="R424" i="6" s="1"/>
  <c r="E434" i="6"/>
  <c r="Q434" i="6" s="1"/>
  <c r="R434" i="6" s="1"/>
  <c r="T711" i="13"/>
  <c r="T1089" i="13"/>
  <c r="W250" i="4"/>
  <c r="W251" i="4"/>
  <c r="U198" i="4"/>
  <c r="U182" i="4"/>
  <c r="U166" i="4"/>
  <c r="U150" i="4"/>
  <c r="U192" i="4"/>
  <c r="U175" i="4"/>
  <c r="U145" i="4"/>
  <c r="U196" i="4"/>
  <c r="U184" i="4"/>
  <c r="U188" i="4"/>
  <c r="U179" i="4"/>
  <c r="U141" i="4"/>
  <c r="U169" i="4"/>
  <c r="U155" i="4"/>
  <c r="U173" i="4"/>
  <c r="U148" i="4"/>
  <c r="U194" i="4"/>
  <c r="U178" i="4"/>
  <c r="U162" i="4"/>
  <c r="U146" i="4"/>
  <c r="U191" i="4"/>
  <c r="U161" i="4"/>
  <c r="U144" i="4"/>
  <c r="U195" i="4"/>
  <c r="U167" i="4"/>
  <c r="U185" i="4"/>
  <c r="U171" i="4"/>
  <c r="U199" i="4"/>
  <c r="U165" i="4"/>
  <c r="U152" i="4"/>
  <c r="U156" i="4"/>
  <c r="U147" i="4"/>
  <c r="U186" i="4"/>
  <c r="U154" i="4"/>
  <c r="U193" i="4"/>
  <c r="U159" i="4"/>
  <c r="U197" i="4"/>
  <c r="U140" i="4"/>
  <c r="U180" i="4"/>
  <c r="U172" i="4"/>
  <c r="U163" i="4"/>
  <c r="U149" i="4"/>
  <c r="U190" i="4"/>
  <c r="U174" i="4"/>
  <c r="U158" i="4"/>
  <c r="U142" i="4"/>
  <c r="U177" i="4"/>
  <c r="U160" i="4"/>
  <c r="U143" i="4"/>
  <c r="U201" i="4"/>
  <c r="U157" i="4"/>
  <c r="U181" i="4"/>
  <c r="U168" i="4"/>
  <c r="U189" i="4"/>
  <c r="U164" i="4"/>
  <c r="U200" i="4"/>
  <c r="U153" i="4"/>
  <c r="U170" i="4"/>
  <c r="U176" i="4"/>
  <c r="U187" i="4"/>
  <c r="U151" i="4"/>
  <c r="U183" i="4"/>
  <c r="T1117" i="13"/>
  <c r="T413" i="13"/>
  <c r="T1120" i="13"/>
  <c r="T420" i="13"/>
  <c r="T586" i="13"/>
  <c r="T684" i="13"/>
  <c r="T238" i="13"/>
  <c r="T84" i="6"/>
  <c r="R980" i="13"/>
  <c r="T1116" i="13"/>
  <c r="AO33" i="4"/>
  <c r="G356" i="4"/>
  <c r="G355" i="4"/>
  <c r="G354" i="4"/>
  <c r="G353" i="4"/>
  <c r="G352" i="4"/>
  <c r="G351" i="4"/>
  <c r="G350" i="4"/>
  <c r="G349" i="4"/>
  <c r="G348" i="4"/>
  <c r="E8" i="6"/>
  <c r="Q8" i="6" s="1"/>
  <c r="E278" i="6"/>
  <c r="Q278" i="6" s="1"/>
  <c r="AV134" i="4"/>
  <c r="AV220" i="4"/>
  <c r="AV381" i="4"/>
  <c r="AV380" i="4"/>
  <c r="AV71" i="4"/>
  <c r="AV265" i="4"/>
  <c r="AV129" i="4"/>
  <c r="AV64" i="4"/>
  <c r="AV25" i="4"/>
  <c r="AV282" i="4"/>
  <c r="AV261" i="4"/>
  <c r="AV130" i="4"/>
  <c r="AV30" i="4"/>
  <c r="AV19" i="4"/>
  <c r="AV342" i="4"/>
  <c r="AV289" i="4"/>
  <c r="AV294" i="4"/>
  <c r="AN359" i="4"/>
  <c r="AN339" i="4"/>
  <c r="AN125" i="4"/>
  <c r="AN101" i="4"/>
  <c r="AN109" i="4"/>
  <c r="AN117" i="4"/>
  <c r="AN266" i="4"/>
  <c r="AN9" i="4"/>
  <c r="AN73" i="4"/>
  <c r="AN42" i="4"/>
  <c r="AN40" i="4"/>
  <c r="AN408" i="4"/>
  <c r="AN398" i="4"/>
  <c r="AN64" i="4"/>
  <c r="AN25" i="4"/>
  <c r="AN347" i="4"/>
  <c r="AN346" i="4"/>
  <c r="AO131" i="13"/>
  <c r="AO34" i="4"/>
  <c r="T712" i="13"/>
  <c r="E286" i="6"/>
  <c r="Q286" i="6" s="1"/>
  <c r="R286" i="6" s="1"/>
  <c r="E23" i="6"/>
  <c r="Q23" i="6" s="1"/>
  <c r="G1623" i="1" s="1"/>
  <c r="H1623" i="1" s="1"/>
  <c r="E26" i="6"/>
  <c r="Q26" i="6" s="1"/>
  <c r="G1507" i="1" s="1"/>
  <c r="AV80" i="4"/>
  <c r="AV77" i="4"/>
  <c r="AV53" i="4"/>
  <c r="AV46" i="4"/>
  <c r="AV60" i="4"/>
  <c r="AV26" i="4"/>
  <c r="AV63" i="4"/>
  <c r="AV62" i="4"/>
  <c r="AV23" i="4"/>
  <c r="AV482" i="4"/>
  <c r="AV340" i="4"/>
  <c r="AV360" i="4"/>
  <c r="AV375" i="4"/>
  <c r="AV297" i="4"/>
  <c r="AV305" i="4"/>
  <c r="AV292" i="4"/>
  <c r="AN381" i="4"/>
  <c r="AN380" i="4"/>
  <c r="AO380" i="4" s="1"/>
  <c r="AN23" i="4"/>
  <c r="AN62" i="4"/>
  <c r="AN60" i="4"/>
  <c r="AN46" i="4"/>
  <c r="AN53" i="4"/>
  <c r="AN130" i="4"/>
  <c r="AN19" i="4"/>
  <c r="AN261" i="4"/>
  <c r="AN30" i="4"/>
  <c r="AN282" i="4"/>
  <c r="AN294" i="4"/>
  <c r="AN342" i="4"/>
  <c r="AN289" i="4"/>
  <c r="AN375" i="4"/>
  <c r="AN360" i="4"/>
  <c r="AN297" i="4"/>
  <c r="AN305" i="4"/>
  <c r="AN292" i="4"/>
  <c r="AN482" i="4"/>
  <c r="AO482" i="4" s="1"/>
  <c r="AN340" i="4"/>
  <c r="AN11" i="4"/>
  <c r="AN298" i="4"/>
  <c r="AN478" i="4"/>
  <c r="AN372" i="4"/>
  <c r="AN435" i="4"/>
  <c r="AN444" i="4"/>
  <c r="AO448" i="4" s="1"/>
  <c r="AN47" i="4"/>
  <c r="AN50" i="4"/>
  <c r="AN56" i="4"/>
  <c r="AN307" i="4"/>
  <c r="AN301" i="4"/>
  <c r="AN26" i="4"/>
  <c r="AN63" i="4"/>
  <c r="AN15" i="4"/>
  <c r="AN31" i="4"/>
  <c r="AN132" i="4"/>
  <c r="AN284" i="4"/>
  <c r="AN21" i="4"/>
  <c r="AN264" i="4"/>
  <c r="AN70" i="4"/>
  <c r="R1143" i="13"/>
  <c r="T251" i="13"/>
  <c r="T1152" i="13"/>
  <c r="E476" i="6"/>
  <c r="Q476" i="6" s="1"/>
  <c r="G399" i="1" s="1"/>
  <c r="H399" i="1" s="1"/>
  <c r="G1793" i="1"/>
  <c r="AV52" i="4"/>
  <c r="AV58" i="4"/>
  <c r="AV347" i="4"/>
  <c r="AV346" i="4"/>
  <c r="AV385" i="4"/>
  <c r="AV407" i="4"/>
  <c r="AV283" i="4"/>
  <c r="AV32" i="4"/>
  <c r="AV131" i="4"/>
  <c r="AV262" i="4"/>
  <c r="AV20" i="4"/>
  <c r="AV14" i="4"/>
  <c r="AV68" i="4"/>
  <c r="AV301" i="4"/>
  <c r="AV307" i="4"/>
  <c r="AV398" i="4"/>
  <c r="AV408" i="4"/>
  <c r="AV22" i="4"/>
  <c r="AV65" i="4"/>
  <c r="AV101" i="4"/>
  <c r="AV117" i="4"/>
  <c r="AV125" i="4"/>
  <c r="AV109" i="4"/>
  <c r="AV288" i="4"/>
  <c r="AV293" i="4"/>
  <c r="AV357" i="4"/>
  <c r="AV341" i="4"/>
  <c r="AV40" i="4"/>
  <c r="AV42" i="4"/>
  <c r="AV358" i="4"/>
  <c r="AV295" i="4"/>
  <c r="AV343" i="4"/>
  <c r="AV290" i="4"/>
  <c r="AV299" i="4"/>
  <c r="AN66" i="4"/>
  <c r="AN24" i="4"/>
  <c r="AN407" i="4"/>
  <c r="AN385" i="4"/>
  <c r="AO387" i="4" s="1"/>
  <c r="AN77" i="4"/>
  <c r="AN80" i="4"/>
  <c r="AN262" i="4"/>
  <c r="AN14" i="4"/>
  <c r="AN68" i="4"/>
  <c r="AN32" i="4"/>
  <c r="AN131" i="4"/>
  <c r="AN20" i="4"/>
  <c r="AN283" i="4"/>
  <c r="AN38" i="4"/>
  <c r="AN49" i="4"/>
  <c r="AN67" i="4"/>
  <c r="AN133" i="4"/>
  <c r="AN279" i="4"/>
  <c r="AN127" i="4"/>
  <c r="AN27" i="4"/>
  <c r="AN45" i="4"/>
  <c r="AN55" i="4"/>
  <c r="AN260" i="4"/>
  <c r="AN39" i="4"/>
  <c r="AN57" i="4"/>
  <c r="AN51" i="4"/>
  <c r="AO344" i="4"/>
  <c r="AV67" i="4"/>
  <c r="AV45" i="4"/>
  <c r="AV260" i="4"/>
  <c r="AV133" i="4"/>
  <c r="AV279" i="4"/>
  <c r="AV27" i="4"/>
  <c r="AV127" i="4"/>
  <c r="AV55" i="4"/>
  <c r="AV49" i="4"/>
  <c r="AV38" i="4"/>
  <c r="AV478" i="4"/>
  <c r="AV372" i="4"/>
  <c r="AV298" i="4"/>
  <c r="AV11" i="4"/>
  <c r="AV132" i="4"/>
  <c r="AV21" i="4"/>
  <c r="AV284" i="4"/>
  <c r="AV264" i="4"/>
  <c r="AV70" i="4"/>
  <c r="AV31" i="4"/>
  <c r="AV15" i="4"/>
  <c r="AV308" i="4"/>
  <c r="AV302" i="4"/>
  <c r="AV73" i="4"/>
  <c r="AV266" i="4"/>
  <c r="AV9" i="4"/>
  <c r="AV57" i="4"/>
  <c r="AV51" i="4"/>
  <c r="AV39" i="4"/>
  <c r="AV24" i="4"/>
  <c r="AV66" i="4"/>
  <c r="AN22" i="4"/>
  <c r="AN65" i="4"/>
  <c r="AN341" i="4"/>
  <c r="AN357" i="4"/>
  <c r="AN293" i="4"/>
  <c r="AN288" i="4"/>
  <c r="AN58" i="4"/>
  <c r="AN52" i="4"/>
  <c r="AN308" i="4"/>
  <c r="AN302" i="4"/>
  <c r="AN220" i="4"/>
  <c r="AN134" i="4"/>
  <c r="AN299" i="4"/>
  <c r="AN290" i="4"/>
  <c r="AN295" i="4"/>
  <c r="AN343" i="4"/>
  <c r="AN358" i="4"/>
  <c r="AN374" i="4"/>
  <c r="AN296" i="4"/>
  <c r="AN304" i="4"/>
  <c r="AN481" i="4"/>
  <c r="AN71" i="4"/>
  <c r="AN129" i="4"/>
  <c r="AN265" i="4"/>
  <c r="AO666" i="13"/>
  <c r="AO530" i="13"/>
  <c r="T589" i="13"/>
  <c r="T738" i="13"/>
  <c r="T1023" i="13"/>
  <c r="T1090" i="13"/>
  <c r="T45" i="6"/>
  <c r="T64" i="6"/>
  <c r="E15" i="6"/>
  <c r="Q15" i="6" s="1"/>
  <c r="G1598" i="1" s="1"/>
  <c r="H1598" i="1" s="1"/>
  <c r="E287" i="6"/>
  <c r="Q287" i="6" s="1"/>
  <c r="G1584" i="1" s="1"/>
  <c r="H1584" i="1" s="1"/>
  <c r="E479" i="6"/>
  <c r="Q479" i="6" s="1"/>
  <c r="R479" i="6" s="1"/>
  <c r="T410" i="13"/>
  <c r="T418" i="13"/>
  <c r="T582" i="13"/>
  <c r="T745" i="13"/>
  <c r="T585" i="13"/>
  <c r="T739" i="13"/>
  <c r="T709" i="13"/>
  <c r="T1033" i="13"/>
  <c r="T1079" i="13"/>
  <c r="T67" i="6"/>
  <c r="T422" i="13"/>
  <c r="T781" i="13"/>
  <c r="T411" i="13"/>
  <c r="T421" i="13"/>
  <c r="T584" i="13"/>
  <c r="T746" i="13"/>
  <c r="T419" i="13"/>
  <c r="T179" i="13"/>
  <c r="T583" i="13"/>
  <c r="T740" i="13"/>
  <c r="T252" i="13"/>
  <c r="T412" i="13"/>
  <c r="T415" i="13"/>
  <c r="T742" i="13"/>
  <c r="T588" i="13"/>
  <c r="T417" i="13"/>
  <c r="T416" i="13"/>
  <c r="T744" i="13"/>
  <c r="T741" i="13"/>
  <c r="T581" i="13"/>
  <c r="AO526" i="13"/>
  <c r="T713" i="13"/>
  <c r="T714" i="13"/>
  <c r="G1789" i="1"/>
  <c r="E425" i="6"/>
  <c r="Q425" i="6" s="1"/>
  <c r="R425" i="6" s="1"/>
  <c r="E280" i="6"/>
  <c r="Q280" i="6" s="1"/>
  <c r="E284" i="6"/>
  <c r="Q284" i="6" s="1"/>
  <c r="T710" i="13"/>
  <c r="E422" i="6"/>
  <c r="Q422" i="6" s="1"/>
  <c r="E281" i="6"/>
  <c r="Q281" i="6" s="1"/>
  <c r="E285" i="6"/>
  <c r="Q285" i="6" s="1"/>
  <c r="G1495" i="1" s="1"/>
  <c r="E43" i="17412" s="1"/>
  <c r="G1837" i="1"/>
  <c r="E282" i="6"/>
  <c r="Q282" i="6" s="1"/>
  <c r="E478" i="6"/>
  <c r="Q478" i="6" s="1"/>
  <c r="G1887" i="1"/>
  <c r="E24" i="6"/>
  <c r="Q24" i="6" s="1"/>
  <c r="R24" i="6" s="1"/>
  <c r="E276" i="6"/>
  <c r="Q276" i="6" s="1"/>
  <c r="T178" i="13"/>
  <c r="T1022" i="13"/>
  <c r="T1080" i="13"/>
  <c r="T47" i="6"/>
  <c r="R317" i="13"/>
  <c r="E428" i="6"/>
  <c r="Q428" i="6" s="1"/>
  <c r="E12" i="6"/>
  <c r="Q12" i="6" s="1"/>
  <c r="E17" i="6"/>
  <c r="Q17" i="6" s="1"/>
  <c r="R17" i="6" s="1"/>
  <c r="E25" i="6"/>
  <c r="Q25" i="6" s="1"/>
  <c r="G1632" i="1" s="1"/>
  <c r="E9" i="17412" s="1"/>
  <c r="E9" i="6"/>
  <c r="Q9" i="6" s="1"/>
  <c r="E20" i="6"/>
  <c r="Q20" i="6" s="1"/>
  <c r="R20" i="6" s="1"/>
  <c r="E277" i="6"/>
  <c r="Q277" i="6" s="1"/>
  <c r="R277" i="6" s="1"/>
  <c r="T62" i="6"/>
  <c r="T174" i="13"/>
  <c r="T1020" i="13"/>
  <c r="T63" i="6"/>
  <c r="E429" i="6"/>
  <c r="Q429" i="6" s="1"/>
  <c r="R429" i="6" s="1"/>
  <c r="E7" i="6"/>
  <c r="Q7" i="6" s="1"/>
  <c r="E19" i="6"/>
  <c r="Q19" i="6" s="1"/>
  <c r="R19" i="6" s="1"/>
  <c r="E27" i="6"/>
  <c r="Q27" i="6" s="1"/>
  <c r="R27" i="6" s="1"/>
  <c r="E13" i="6"/>
  <c r="Q13" i="6" s="1"/>
  <c r="E22" i="6"/>
  <c r="Q22" i="6" s="1"/>
  <c r="G1621" i="1" s="1"/>
  <c r="E169" i="17412" s="1"/>
  <c r="E279" i="6"/>
  <c r="Q279" i="6" s="1"/>
  <c r="R279" i="6" s="1"/>
  <c r="G1454" i="1"/>
  <c r="H1454" i="1" s="1"/>
  <c r="H1453" i="1" s="1"/>
  <c r="T177" i="13"/>
  <c r="T1024" i="13"/>
  <c r="T446" i="13"/>
  <c r="G1790" i="1"/>
  <c r="G1648" i="1"/>
  <c r="E11" i="6"/>
  <c r="Q11" i="6" s="1"/>
  <c r="E21" i="6"/>
  <c r="Q21" i="6" s="1"/>
  <c r="R21" i="6" s="1"/>
  <c r="E10" i="6"/>
  <c r="Q10" i="6" s="1"/>
  <c r="E16" i="6"/>
  <c r="Q16" i="6" s="1"/>
  <c r="G1614" i="1" s="1"/>
  <c r="G1822" i="1"/>
  <c r="G1846" i="1"/>
  <c r="E117" i="13"/>
  <c r="Q117" i="13" s="1"/>
  <c r="R117" i="13" s="1"/>
  <c r="Q633" i="13"/>
  <c r="R633" i="13" s="1"/>
  <c r="G1606" i="1"/>
  <c r="R744" i="13"/>
  <c r="R1122" i="13"/>
  <c r="R1145" i="13"/>
  <c r="R770" i="13"/>
  <c r="G1607" i="1"/>
  <c r="R682" i="13"/>
  <c r="R1121" i="13"/>
  <c r="R1040" i="13"/>
  <c r="R894" i="13"/>
  <c r="AO647" i="13"/>
  <c r="AN287" i="4" s="1"/>
  <c r="AO286" i="4" s="1"/>
  <c r="AO649" i="13"/>
  <c r="AO650" i="13"/>
  <c r="AO648" i="13"/>
  <c r="AO533" i="13"/>
  <c r="AO532" i="13"/>
  <c r="AN1278" i="13"/>
  <c r="AN608" i="13"/>
  <c r="AN1076" i="13"/>
  <c r="AN616" i="13"/>
  <c r="AN1068" i="13"/>
  <c r="AN624" i="13"/>
  <c r="R449" i="13"/>
  <c r="AN596" i="13"/>
  <c r="AN619" i="13"/>
  <c r="AN652" i="13"/>
  <c r="AN1069" i="13"/>
  <c r="AN609" i="13"/>
  <c r="AN1075" i="13"/>
  <c r="AN1067" i="13"/>
  <c r="AN409" i="6"/>
  <c r="AN623" i="13"/>
  <c r="AN1063" i="13"/>
  <c r="AN407" i="6"/>
  <c r="AN149" i="6"/>
  <c r="AN142" i="6"/>
  <c r="AN169" i="6"/>
  <c r="AN171" i="6"/>
  <c r="AN147" i="6"/>
  <c r="AN156" i="6"/>
  <c r="AN155" i="6"/>
  <c r="AN175" i="6"/>
  <c r="AN154" i="6"/>
  <c r="AN168" i="6"/>
  <c r="AN157" i="6"/>
  <c r="AN173" i="6"/>
  <c r="AN172" i="6"/>
  <c r="AN159" i="6"/>
  <c r="AN161" i="6"/>
  <c r="AN150" i="6"/>
  <c r="AN165" i="6"/>
  <c r="AN166" i="6"/>
  <c r="AN162" i="6"/>
  <c r="AN164" i="6"/>
  <c r="AN163" i="6"/>
  <c r="AN158" i="6"/>
  <c r="AN160" i="6"/>
  <c r="AN151" i="6"/>
  <c r="AN152" i="6"/>
  <c r="AN144" i="6"/>
  <c r="AN170" i="6"/>
  <c r="AN148" i="6"/>
  <c r="AN178" i="6"/>
  <c r="AN146" i="6"/>
  <c r="AN141" i="6"/>
  <c r="AN491" i="13" s="1"/>
  <c r="AN145" i="6"/>
  <c r="AN179" i="6"/>
  <c r="AN167" i="6"/>
  <c r="AN153" i="6"/>
  <c r="AN143" i="6"/>
  <c r="AN176" i="6"/>
  <c r="AN174" i="6"/>
  <c r="AN177" i="6"/>
  <c r="AN603" i="13"/>
  <c r="AN594" i="13"/>
  <c r="AN615" i="13"/>
  <c r="AN410" i="6"/>
  <c r="AN408" i="6"/>
  <c r="AN195" i="6"/>
  <c r="AN192" i="6"/>
  <c r="AN221" i="6"/>
  <c r="AN220" i="6"/>
  <c r="AN194" i="6"/>
  <c r="AN209" i="6"/>
  <c r="AN190" i="6"/>
  <c r="AN206" i="6"/>
  <c r="AN196" i="6"/>
  <c r="AN200" i="6"/>
  <c r="AN186" i="6"/>
  <c r="AN189" i="6"/>
  <c r="AN201" i="6"/>
  <c r="AN191" i="6"/>
  <c r="AN188" i="6"/>
  <c r="AN208" i="6"/>
  <c r="AN197" i="6"/>
  <c r="AN199" i="6"/>
  <c r="AN216" i="6"/>
  <c r="AN213" i="6"/>
  <c r="AN210" i="6"/>
  <c r="AN198" i="6"/>
  <c r="AN187" i="6"/>
  <c r="AN214" i="6"/>
  <c r="AN204" i="6"/>
  <c r="AN212" i="6"/>
  <c r="AN217" i="6"/>
  <c r="AN223" i="6"/>
  <c r="AN211" i="6"/>
  <c r="AN215" i="6"/>
  <c r="AN203" i="6"/>
  <c r="AN185" i="6"/>
  <c r="AN493" i="13" s="1"/>
  <c r="AN205" i="6"/>
  <c r="AN202" i="6"/>
  <c r="AN207" i="6"/>
  <c r="AN219" i="6"/>
  <c r="AN218" i="6"/>
  <c r="AN222" i="6"/>
  <c r="AN193" i="6"/>
  <c r="AN1071" i="13"/>
  <c r="AN634" i="13"/>
  <c r="AN700" i="13"/>
  <c r="AN411" i="6"/>
  <c r="P352" i="13"/>
  <c r="R352" i="13"/>
  <c r="T1052" i="13"/>
  <c r="T1051" i="13"/>
  <c r="T1050" i="13"/>
  <c r="T1049" i="13"/>
  <c r="L35" i="6"/>
  <c r="P35" i="6" s="1"/>
  <c r="L25" i="13"/>
  <c r="P25" i="13" s="1"/>
  <c r="T23" i="13" s="1"/>
  <c r="P1060" i="13"/>
  <c r="R1060" i="13"/>
  <c r="L357" i="6"/>
  <c r="L25" i="6"/>
  <c r="P25" i="6" s="1"/>
  <c r="P400" i="13"/>
  <c r="R400" i="13"/>
  <c r="R127" i="13"/>
  <c r="P127" i="13"/>
  <c r="T83" i="13"/>
  <c r="T78" i="13"/>
  <c r="T82" i="13"/>
  <c r="T77" i="13"/>
  <c r="P1046" i="13"/>
  <c r="R1046" i="13"/>
  <c r="P94" i="6"/>
  <c r="T90" i="6" s="1"/>
  <c r="R94" i="6"/>
  <c r="R144" i="13"/>
  <c r="P144" i="13"/>
  <c r="AO1039" i="13"/>
  <c r="AO1035" i="13"/>
  <c r="AO1037" i="13"/>
  <c r="AO1036" i="13"/>
  <c r="AO1034" i="13"/>
  <c r="R368" i="13"/>
  <c r="R1295" i="13"/>
  <c r="P1295" i="13"/>
  <c r="P1299" i="13"/>
  <c r="R1299" i="13"/>
  <c r="R1303" i="13"/>
  <c r="P1303" i="13"/>
  <c r="Q679" i="13"/>
  <c r="AO678" i="13"/>
  <c r="AO679" i="13"/>
  <c r="AO682" i="13"/>
  <c r="AO680" i="13"/>
  <c r="AO681" i="13"/>
  <c r="E103" i="17412"/>
  <c r="S103" i="17412" s="1"/>
  <c r="Q144" i="6"/>
  <c r="R144" i="6" s="1"/>
  <c r="BZ36" i="17418"/>
  <c r="HZ36" i="17418" s="1"/>
  <c r="DW36" i="17418"/>
  <c r="JW36" i="17418" s="1"/>
  <c r="FT36" i="17418"/>
  <c r="HQ26" i="17418"/>
  <c r="DW26" i="17418"/>
  <c r="BZ26" i="17418"/>
  <c r="JN26" i="17418"/>
  <c r="FT26" i="17418"/>
  <c r="BZ37" i="17418"/>
  <c r="HZ37" i="17418" s="1"/>
  <c r="DW37" i="17418"/>
  <c r="JW37" i="17418" s="1"/>
  <c r="FT37" i="17418"/>
  <c r="HQ24" i="17418"/>
  <c r="DW24" i="17418"/>
  <c r="JN24" i="17418"/>
  <c r="FT24" i="17418"/>
  <c r="BZ24" i="17418"/>
  <c r="HQ25" i="17418"/>
  <c r="DW25" i="17418"/>
  <c r="JN25" i="17418"/>
  <c r="FT25" i="17418"/>
  <c r="BZ25" i="17418"/>
  <c r="HQ23" i="17418"/>
  <c r="DW23" i="17418"/>
  <c r="BZ23" i="17418"/>
  <c r="FT23" i="17418"/>
  <c r="JN23" i="17418"/>
  <c r="DW27" i="17418"/>
  <c r="BZ27" i="17418"/>
  <c r="HZ27" i="17418" s="1"/>
  <c r="JN27" i="17418"/>
  <c r="FT27" i="17418"/>
  <c r="G1784" i="1"/>
  <c r="AO7" i="13"/>
  <c r="Q193" i="6"/>
  <c r="Q149" i="6"/>
  <c r="Q553" i="13"/>
  <c r="Q678" i="13"/>
  <c r="Q1035" i="13"/>
  <c r="H1560" i="1"/>
  <c r="E108" i="17412"/>
  <c r="S108" i="17412" s="1"/>
  <c r="H1469" i="1"/>
  <c r="E17" i="17412"/>
  <c r="H1518" i="1"/>
  <c r="E66" i="17412"/>
  <c r="H1564" i="1"/>
  <c r="E112" i="17412"/>
  <c r="H1604" i="1"/>
  <c r="E152" i="17412"/>
  <c r="S152" i="17412" s="1"/>
  <c r="H1540" i="1"/>
  <c r="E88" i="17412"/>
  <c r="S88" i="17412" s="1"/>
  <c r="H1499" i="1"/>
  <c r="E47" i="17412"/>
  <c r="H1468" i="1"/>
  <c r="E16" i="17412"/>
  <c r="H1516" i="1"/>
  <c r="E64" i="17412"/>
  <c r="H1532" i="1"/>
  <c r="E80" i="17412"/>
  <c r="T262" i="17418"/>
  <c r="H1615" i="1"/>
  <c r="E163" i="17412"/>
  <c r="H1626" i="1"/>
  <c r="E174" i="17412"/>
  <c r="H1575" i="1"/>
  <c r="E123" i="17412"/>
  <c r="H1558" i="1"/>
  <c r="E106" i="17412"/>
  <c r="S106" i="17412" s="1"/>
  <c r="H1591" i="1"/>
  <c r="E139" i="17412"/>
  <c r="H1586" i="1"/>
  <c r="E134" i="17412"/>
  <c r="H1582" i="1"/>
  <c r="E130" i="17412"/>
  <c r="H1587" i="1"/>
  <c r="E135" i="17412"/>
  <c r="R135" i="17412" s="1"/>
  <c r="H1465" i="1"/>
  <c r="E13" i="17412"/>
  <c r="S13" i="17412" s="1"/>
  <c r="H1549" i="1"/>
  <c r="E97" i="17412"/>
  <c r="H1470" i="1"/>
  <c r="E18" i="17412"/>
  <c r="H1616" i="1"/>
  <c r="E164" i="17412"/>
  <c r="H1619" i="1"/>
  <c r="E167" i="17412"/>
  <c r="S167" i="17412" s="1"/>
  <c r="H1601" i="1"/>
  <c r="E149" i="17412"/>
  <c r="H1529" i="1"/>
  <c r="E77" i="17412"/>
  <c r="H1477" i="1"/>
  <c r="E25" i="17412"/>
  <c r="H1517" i="1"/>
  <c r="E65" i="17412"/>
  <c r="H1535" i="1"/>
  <c r="E83" i="17412"/>
  <c r="R83" i="17412" s="1"/>
  <c r="H1609" i="1"/>
  <c r="E157" i="17412"/>
  <c r="S157" i="17412" s="1"/>
  <c r="H1562" i="1"/>
  <c r="E110" i="17412"/>
  <c r="R110" i="17412" s="1"/>
  <c r="H1588" i="1"/>
  <c r="E136" i="17412"/>
  <c r="R69" i="17412"/>
  <c r="S69" i="17412"/>
  <c r="S102" i="17412"/>
  <c r="R102" i="17412"/>
  <c r="K63" i="17419"/>
  <c r="H1602" i="1"/>
  <c r="R507" i="13"/>
  <c r="L56" i="13"/>
  <c r="P56" i="13" s="1"/>
  <c r="L675" i="13"/>
  <c r="P675" i="13" s="1"/>
  <c r="T673" i="13" s="1"/>
  <c r="L466" i="6"/>
  <c r="P466" i="6" s="1"/>
  <c r="L333" i="6"/>
  <c r="P333" i="6" s="1"/>
  <c r="L299" i="6"/>
  <c r="P299" i="6" s="1"/>
  <c r="L316" i="6"/>
  <c r="P316" i="6" s="1"/>
  <c r="L278" i="6"/>
  <c r="P278" i="6" s="1"/>
  <c r="L809" i="13"/>
  <c r="H1592" i="1"/>
  <c r="L298" i="13"/>
  <c r="L101" i="6"/>
  <c r="L185" i="6"/>
  <c r="L141" i="6"/>
  <c r="L337" i="13"/>
  <c r="L345" i="13"/>
  <c r="L913" i="13"/>
  <c r="P913" i="13" s="1"/>
  <c r="L1019" i="13"/>
  <c r="P1019" i="13" s="1"/>
  <c r="T1015" i="13" s="1"/>
  <c r="L37" i="13"/>
  <c r="P37" i="13" s="1"/>
  <c r="T39" i="13" s="1"/>
  <c r="L843" i="13"/>
  <c r="P843" i="13" s="1"/>
  <c r="T836" i="13" s="1"/>
  <c r="T116" i="13"/>
  <c r="T115" i="13"/>
  <c r="T366" i="13"/>
  <c r="T367" i="13"/>
  <c r="T368" i="13"/>
  <c r="R326" i="13"/>
  <c r="P326" i="13"/>
  <c r="P392" i="13"/>
  <c r="R392" i="13"/>
  <c r="T434" i="6"/>
  <c r="T433" i="6"/>
  <c r="R362" i="13"/>
  <c r="P362" i="13"/>
  <c r="P71" i="6"/>
  <c r="T70" i="6" s="1"/>
  <c r="R71" i="6"/>
  <c r="P349" i="6"/>
  <c r="R349" i="6"/>
  <c r="R126" i="13"/>
  <c r="P126" i="13"/>
  <c r="P351" i="6"/>
  <c r="R351" i="6"/>
  <c r="P351" i="13"/>
  <c r="R351" i="13"/>
  <c r="P1257" i="13"/>
  <c r="R1257" i="13"/>
  <c r="R143" i="13"/>
  <c r="P143" i="13"/>
  <c r="P398" i="13"/>
  <c r="R398" i="13"/>
  <c r="P405" i="6"/>
  <c r="R405" i="6"/>
  <c r="P824" i="13"/>
  <c r="R824" i="13"/>
  <c r="T481" i="6"/>
  <c r="T482" i="6"/>
  <c r="T480" i="6"/>
  <c r="R818" i="13"/>
  <c r="P818" i="13"/>
  <c r="T371" i="6"/>
  <c r="T372" i="6"/>
  <c r="T370" i="6"/>
  <c r="P728" i="13"/>
  <c r="T721" i="13" s="1"/>
  <c r="R728" i="13"/>
  <c r="P979" i="13"/>
  <c r="T975" i="13" s="1"/>
  <c r="R979" i="13"/>
  <c r="P336" i="13"/>
  <c r="R336" i="13"/>
  <c r="P344" i="13"/>
  <c r="R344" i="13"/>
  <c r="R441" i="6"/>
  <c r="P441" i="6"/>
  <c r="Q194" i="6"/>
  <c r="R538" i="13"/>
  <c r="Q150" i="6"/>
  <c r="G1542" i="1"/>
  <c r="G1511" i="1"/>
  <c r="E59" i="17412" s="1"/>
  <c r="G1566" i="1"/>
  <c r="G1483" i="1"/>
  <c r="E31" i="17412" s="1"/>
  <c r="Q188" i="6"/>
  <c r="R188" i="6" s="1"/>
  <c r="G1509" i="1"/>
  <c r="G1548" i="1"/>
  <c r="E96" i="17412" s="1"/>
  <c r="S96" i="17412" s="1"/>
  <c r="G1534" i="1"/>
  <c r="G1471" i="1"/>
  <c r="G1492" i="1"/>
  <c r="G1487" i="1"/>
  <c r="E35" i="17412" s="1"/>
  <c r="G1561" i="1"/>
  <c r="E109" i="17412" s="1"/>
  <c r="R52" i="13"/>
  <c r="R48" i="13"/>
  <c r="R944" i="13"/>
  <c r="R55" i="13"/>
  <c r="G1538" i="1"/>
  <c r="R22" i="13"/>
  <c r="G1484" i="1"/>
  <c r="E32" i="17412" s="1"/>
  <c r="R51" i="13"/>
  <c r="R12" i="13"/>
  <c r="G1618" i="1"/>
  <c r="R16" i="13"/>
  <c r="G1522" i="1"/>
  <c r="R316" i="13"/>
  <c r="G1541" i="1"/>
  <c r="E89" i="17412" s="1"/>
  <c r="R35" i="13"/>
  <c r="R36" i="13"/>
  <c r="R773" i="13"/>
  <c r="R771" i="13"/>
  <c r="R829" i="13"/>
  <c r="R50" i="13"/>
  <c r="R191" i="13"/>
  <c r="R662" i="13"/>
  <c r="R820" i="13"/>
  <c r="R49" i="13"/>
  <c r="R47" i="13"/>
  <c r="R45" i="13"/>
  <c r="G1537" i="1"/>
  <c r="R379" i="6"/>
  <c r="R362" i="6"/>
  <c r="G1567" i="1"/>
  <c r="R395" i="6"/>
  <c r="G1611" i="1"/>
  <c r="R454" i="6"/>
  <c r="R235" i="6"/>
  <c r="G1530" i="1"/>
  <c r="E113" i="13"/>
  <c r="Q113" i="13" s="1"/>
  <c r="E116" i="13"/>
  <c r="Q116" i="13" s="1"/>
  <c r="G1576" i="1" s="1"/>
  <c r="E124" i="17412" s="1"/>
  <c r="S124" i="17412" s="1"/>
  <c r="R1032" i="13"/>
  <c r="R831" i="13"/>
  <c r="R82" i="13"/>
  <c r="T230" i="13"/>
  <c r="R797" i="13"/>
  <c r="R1030" i="13"/>
  <c r="T443" i="13"/>
  <c r="R38" i="13"/>
  <c r="R26" i="13"/>
  <c r="E115" i="13"/>
  <c r="Q115" i="13" s="1"/>
  <c r="R115" i="13" s="1"/>
  <c r="E838" i="13"/>
  <c r="Q838" i="13" s="1"/>
  <c r="E841" i="13"/>
  <c r="Q841" i="13" s="1"/>
  <c r="R841" i="13" s="1"/>
  <c r="E843" i="13"/>
  <c r="Q843" i="13" s="1"/>
  <c r="G1629" i="1" s="1"/>
  <c r="G1835" i="1"/>
  <c r="E929" i="13"/>
  <c r="Q929" i="13" s="1"/>
  <c r="R929" i="13" s="1"/>
  <c r="E927" i="13"/>
  <c r="Q927" i="13" s="1"/>
  <c r="R27" i="17412"/>
  <c r="M292" i="6"/>
  <c r="O290" i="6"/>
  <c r="M309" i="6"/>
  <c r="O307" i="6"/>
  <c r="O328" i="6"/>
  <c r="AN333" i="6" s="1"/>
  <c r="M329" i="6"/>
  <c r="O329" i="6" s="1"/>
  <c r="P329" i="6" s="1"/>
  <c r="R1287" i="13"/>
  <c r="E64" i="6"/>
  <c r="Q64" i="6" s="1"/>
  <c r="R64" i="6" s="1"/>
  <c r="E63" i="6"/>
  <c r="Q63" i="6" s="1"/>
  <c r="R63" i="6" s="1"/>
  <c r="G1735" i="1"/>
  <c r="E62" i="6"/>
  <c r="Q62" i="6" s="1"/>
  <c r="E61" i="6"/>
  <c r="Q61" i="6" s="1"/>
  <c r="E926" i="13"/>
  <c r="Q926" i="13" s="1"/>
  <c r="R772" i="13"/>
  <c r="T43" i="13"/>
  <c r="P633" i="13"/>
  <c r="R1144" i="13"/>
  <c r="R830" i="13"/>
  <c r="R274" i="13"/>
  <c r="T44" i="13"/>
  <c r="T445" i="13"/>
  <c r="R1039" i="13"/>
  <c r="R676" i="13"/>
  <c r="M821" i="13"/>
  <c r="O821" i="13" s="1"/>
  <c r="O822" i="13"/>
  <c r="Q822" i="13" s="1"/>
  <c r="O720" i="13"/>
  <c r="Q720" i="13" s="1"/>
  <c r="M719" i="13"/>
  <c r="R674" i="13"/>
  <c r="T450" i="13"/>
  <c r="U27" i="17418"/>
  <c r="U26" i="17418"/>
  <c r="U25" i="17418"/>
  <c r="U24" i="17418"/>
  <c r="U23" i="17418"/>
  <c r="R1140" i="13"/>
  <c r="T765" i="13"/>
  <c r="E837" i="13"/>
  <c r="Q837" i="13" s="1"/>
  <c r="E836" i="13"/>
  <c r="Q836" i="13" s="1"/>
  <c r="E839" i="13"/>
  <c r="Q839" i="13" s="1"/>
  <c r="E842" i="13"/>
  <c r="Q842" i="13" s="1"/>
  <c r="G1482" i="1" s="1"/>
  <c r="R987" i="13"/>
  <c r="M28" i="9"/>
  <c r="N28" i="9" s="1"/>
  <c r="L40" i="9"/>
  <c r="M40" i="9" s="1"/>
  <c r="N40" i="9" s="1"/>
  <c r="H24" i="12"/>
  <c r="K24" i="12"/>
  <c r="I24" i="12"/>
  <c r="J24" i="12"/>
  <c r="Q1130" i="13"/>
  <c r="AV7" i="4"/>
  <c r="M554" i="13"/>
  <c r="O554" i="13" s="1"/>
  <c r="O555" i="13"/>
  <c r="Q555" i="13" s="1"/>
  <c r="O781" i="13"/>
  <c r="Q781" i="13" s="1"/>
  <c r="M780" i="13"/>
  <c r="M890" i="13"/>
  <c r="O891" i="13"/>
  <c r="Q891" i="13" s="1"/>
  <c r="O975" i="13"/>
  <c r="Q975" i="13" s="1"/>
  <c r="M974" i="13"/>
  <c r="O974" i="13" s="1"/>
  <c r="N738" i="13"/>
  <c r="O739" i="13"/>
  <c r="Q739" i="13" s="1"/>
  <c r="O791" i="13"/>
  <c r="Q791" i="13" s="1"/>
  <c r="N789" i="13"/>
  <c r="O790" i="13"/>
  <c r="Q790" i="13" s="1"/>
  <c r="O804" i="13"/>
  <c r="Q804" i="13" s="1"/>
  <c r="M803" i="13"/>
  <c r="O1132" i="13"/>
  <c r="Q1132" i="13" s="1"/>
  <c r="M1131" i="13"/>
  <c r="O1131" i="13" s="1"/>
  <c r="M669" i="13"/>
  <c r="O669" i="13" s="1"/>
  <c r="O670" i="13"/>
  <c r="Q670" i="13" s="1"/>
  <c r="M657" i="13"/>
  <c r="M656" i="13" s="1"/>
  <c r="O656" i="13"/>
  <c r="O658" i="13"/>
  <c r="Q658" i="13" s="1"/>
  <c r="O657" i="13"/>
  <c r="Q657" i="13" s="1"/>
  <c r="R928" i="13"/>
  <c r="R111" i="13"/>
  <c r="L9" i="17419"/>
  <c r="U58" i="17418"/>
  <c r="U54" i="17418"/>
  <c r="U50" i="17418"/>
  <c r="U46" i="17418"/>
  <c r="L42" i="17419"/>
  <c r="U57" i="17418"/>
  <c r="U53" i="17418"/>
  <c r="U48" i="17418"/>
  <c r="U42" i="17418"/>
  <c r="U55" i="17418"/>
  <c r="U52" i="17418"/>
  <c r="U45" i="17418"/>
  <c r="U37" i="17418"/>
  <c r="U33" i="17418"/>
  <c r="U31" i="17418"/>
  <c r="U29" i="17418"/>
  <c r="U59" i="17418"/>
  <c r="U49" i="17418"/>
  <c r="U41" i="17418"/>
  <c r="U34" i="17418"/>
  <c r="U47" i="17418"/>
  <c r="U44" i="17418"/>
  <c r="U56" i="17418"/>
  <c r="U43" i="17418"/>
  <c r="U36" i="17418"/>
  <c r="U30" i="17418"/>
  <c r="U39" i="17418"/>
  <c r="V7" i="17418"/>
  <c r="U40" i="17418"/>
  <c r="U38" i="17418"/>
  <c r="U15" i="17418"/>
  <c r="U60" i="17418"/>
  <c r="U51" i="17418"/>
  <c r="U35" i="17418"/>
  <c r="U32" i="17418"/>
  <c r="R62" i="13"/>
  <c r="R677" i="13"/>
  <c r="R537" i="13"/>
  <c r="T232" i="6"/>
  <c r="T379" i="6"/>
  <c r="R1141" i="13"/>
  <c r="T376" i="6"/>
  <c r="T183" i="13"/>
  <c r="T182" i="13"/>
  <c r="T181" i="13"/>
  <c r="T184" i="13"/>
  <c r="T769" i="13"/>
  <c r="T381" i="6"/>
  <c r="T763" i="13"/>
  <c r="T683" i="13"/>
  <c r="T750" i="13"/>
  <c r="T260" i="6"/>
  <c r="T749" i="13"/>
  <c r="T240" i="6"/>
  <c r="T259" i="6"/>
  <c r="T258" i="6"/>
  <c r="T748" i="13"/>
  <c r="T237" i="6"/>
  <c r="T261" i="6"/>
  <c r="T265" i="6"/>
  <c r="T275" i="6"/>
  <c r="T411" i="6"/>
  <c r="T766" i="13"/>
  <c r="T759" i="13"/>
  <c r="T767" i="13"/>
  <c r="T760" i="13"/>
  <c r="T761" i="13"/>
  <c r="T762" i="13"/>
  <c r="T764" i="13"/>
  <c r="T780" i="13"/>
  <c r="T779" i="13"/>
  <c r="T782" i="13"/>
  <c r="T778" i="13"/>
  <c r="T458" i="13"/>
  <c r="T796" i="13"/>
  <c r="T256" i="13"/>
  <c r="T754" i="13"/>
  <c r="T792" i="13"/>
  <c r="T788" i="13"/>
  <c r="T789" i="13"/>
  <c r="T268" i="13"/>
  <c r="T756" i="13"/>
  <c r="T406" i="6"/>
  <c r="T755" i="13"/>
  <c r="T1166" i="13"/>
  <c r="T752" i="13"/>
  <c r="T751" i="13"/>
  <c r="T1168" i="13"/>
  <c r="T1171" i="13"/>
  <c r="T247" i="13"/>
  <c r="T248" i="13"/>
  <c r="T249" i="13"/>
  <c r="T250" i="13"/>
  <c r="T245" i="13"/>
  <c r="T1169" i="13"/>
  <c r="T1025" i="13"/>
  <c r="T1029" i="13"/>
  <c r="T1026" i="13"/>
  <c r="T1030" i="13"/>
  <c r="T1027" i="13"/>
  <c r="T1031" i="13"/>
  <c r="T1028" i="13"/>
  <c r="T1032" i="13"/>
  <c r="T1237" i="13"/>
  <c r="E935" i="13"/>
  <c r="Q935" i="13" s="1"/>
  <c r="E933" i="13"/>
  <c r="Q933" i="13" s="1"/>
  <c r="E936" i="13"/>
  <c r="Q936" i="13" s="1"/>
  <c r="R936" i="13" s="1"/>
  <c r="R1018" i="13"/>
  <c r="T264" i="6"/>
  <c r="T448" i="13"/>
  <c r="T234" i="6"/>
  <c r="T231" i="6"/>
  <c r="T239" i="6"/>
  <c r="T262" i="6"/>
  <c r="T266" i="6"/>
  <c r="R53" i="17412"/>
  <c r="S98" i="17412"/>
  <c r="T268" i="6"/>
  <c r="T51" i="13"/>
  <c r="T236" i="6"/>
  <c r="T233" i="6"/>
  <c r="T241" i="6"/>
  <c r="H1877" i="1"/>
  <c r="T42" i="13"/>
  <c r="T267" i="6"/>
  <c r="T230" i="6"/>
  <c r="T238" i="6"/>
  <c r="T235" i="6"/>
  <c r="T257" i="6"/>
  <c r="T690" i="13"/>
  <c r="T758" i="13"/>
  <c r="T254" i="13"/>
  <c r="T19" i="13"/>
  <c r="T10" i="13"/>
  <c r="T689" i="13"/>
  <c r="T1236" i="13"/>
  <c r="T1238" i="13"/>
  <c r="T382" i="6"/>
  <c r="T40" i="13"/>
  <c r="T193" i="13"/>
  <c r="T195" i="13"/>
  <c r="T50" i="13"/>
  <c r="T9" i="13"/>
  <c r="T1235" i="13"/>
  <c r="T407" i="6"/>
  <c r="T444" i="13"/>
  <c r="T1234" i="13"/>
  <c r="T7" i="13"/>
  <c r="T48" i="13"/>
  <c r="T785" i="13"/>
  <c r="G448" i="6"/>
  <c r="G449" i="6"/>
  <c r="G450" i="6"/>
  <c r="G447" i="6"/>
  <c r="T1119" i="13"/>
  <c r="T1118" i="13"/>
  <c r="T225" i="13"/>
  <c r="T229" i="13"/>
  <c r="T226" i="13"/>
  <c r="T227" i="13"/>
  <c r="T224" i="13"/>
  <c r="T228" i="13"/>
  <c r="T457" i="13"/>
  <c r="T453" i="13"/>
  <c r="T452" i="13"/>
  <c r="T454" i="13"/>
  <c r="T456" i="13"/>
  <c r="T455" i="13"/>
  <c r="T463" i="13"/>
  <c r="T263" i="6"/>
  <c r="T753" i="13"/>
  <c r="T461" i="13"/>
  <c r="R951" i="13"/>
  <c r="T377" i="6"/>
  <c r="T41" i="13"/>
  <c r="T790" i="13"/>
  <c r="T259" i="13"/>
  <c r="T1196" i="13"/>
  <c r="T1199" i="13"/>
  <c r="T447" i="13"/>
  <c r="T795" i="13"/>
  <c r="G1818" i="1"/>
  <c r="E336" i="6"/>
  <c r="Q336" i="6" s="1"/>
  <c r="R336" i="6" s="1"/>
  <c r="E324" i="6"/>
  <c r="Q324" i="6" s="1"/>
  <c r="E328" i="6"/>
  <c r="Q328" i="6" s="1"/>
  <c r="E333" i="6"/>
  <c r="Q333" i="6" s="1"/>
  <c r="E323" i="6"/>
  <c r="Q323" i="6" s="1"/>
  <c r="E335" i="6"/>
  <c r="Q335" i="6" s="1"/>
  <c r="R335" i="6" s="1"/>
  <c r="E322" i="6"/>
  <c r="Q322" i="6" s="1"/>
  <c r="E327" i="6"/>
  <c r="Q327" i="6" s="1"/>
  <c r="E330" i="6"/>
  <c r="Q330" i="6" s="1"/>
  <c r="R330" i="6" s="1"/>
  <c r="E338" i="6"/>
  <c r="Q338" i="6" s="1"/>
  <c r="R338" i="6" s="1"/>
  <c r="E337" i="6"/>
  <c r="Q337" i="6" s="1"/>
  <c r="R337" i="6" s="1"/>
  <c r="E332" i="6"/>
  <c r="Q332" i="6" s="1"/>
  <c r="R332" i="6" s="1"/>
  <c r="E326" i="6"/>
  <c r="Q326" i="6" s="1"/>
  <c r="E331" i="6"/>
  <c r="Q331" i="6" s="1"/>
  <c r="R331" i="6" s="1"/>
  <c r="E329" i="6"/>
  <c r="Q329" i="6" s="1"/>
  <c r="R329" i="6" s="1"/>
  <c r="E334" i="6"/>
  <c r="Q334" i="6" s="1"/>
  <c r="R334" i="6" s="1"/>
  <c r="E325" i="6"/>
  <c r="Q325" i="6" s="1"/>
  <c r="T425" i="13"/>
  <c r="T423" i="13"/>
  <c r="T1155" i="13"/>
  <c r="T1154" i="13"/>
  <c r="E575" i="13"/>
  <c r="Q575" i="13" s="1"/>
  <c r="E573" i="13"/>
  <c r="Q573" i="13" s="1"/>
  <c r="E577" i="13"/>
  <c r="Q577" i="13" s="1"/>
  <c r="R577" i="13" s="1"/>
  <c r="G1763" i="1"/>
  <c r="E580" i="13"/>
  <c r="Q580" i="13" s="1"/>
  <c r="G1568" i="1" s="1"/>
  <c r="E572" i="13"/>
  <c r="Q572" i="13" s="1"/>
  <c r="E576" i="13"/>
  <c r="Q576" i="13" s="1"/>
  <c r="E579" i="13"/>
  <c r="Q579" i="13" s="1"/>
  <c r="R579" i="13" s="1"/>
  <c r="E574" i="13"/>
  <c r="Q574" i="13" s="1"/>
  <c r="E578" i="13"/>
  <c r="Q578" i="13" s="1"/>
  <c r="G1500" i="1" s="1"/>
  <c r="T378" i="6"/>
  <c r="T380" i="6"/>
  <c r="T46" i="13"/>
  <c r="T258" i="13"/>
  <c r="T1201" i="13"/>
  <c r="T1200" i="13"/>
  <c r="T45" i="13"/>
  <c r="T787" i="13"/>
  <c r="T798" i="13"/>
  <c r="G1816" i="1"/>
  <c r="E313" i="6"/>
  <c r="Q313" i="6" s="1"/>
  <c r="R313" i="6" s="1"/>
  <c r="E310" i="6"/>
  <c r="Q310" i="6" s="1"/>
  <c r="E306" i="6"/>
  <c r="Q306" i="6" s="1"/>
  <c r="E319" i="6"/>
  <c r="Q319" i="6" s="1"/>
  <c r="R319" i="6" s="1"/>
  <c r="E317" i="6"/>
  <c r="Q317" i="6" s="1"/>
  <c r="R317" i="6" s="1"/>
  <c r="E309" i="6"/>
  <c r="E305" i="6"/>
  <c r="Q305" i="6" s="1"/>
  <c r="E314" i="6"/>
  <c r="Q314" i="6" s="1"/>
  <c r="R314" i="6" s="1"/>
  <c r="E312" i="6"/>
  <c r="E308" i="6"/>
  <c r="Q308" i="6" s="1"/>
  <c r="E318" i="6"/>
  <c r="Q318" i="6" s="1"/>
  <c r="R318" i="6" s="1"/>
  <c r="E316" i="6"/>
  <c r="Q316" i="6" s="1"/>
  <c r="E321" i="6"/>
  <c r="Q321" i="6" s="1"/>
  <c r="R321" i="6" s="1"/>
  <c r="E320" i="6"/>
  <c r="Q320" i="6" s="1"/>
  <c r="R320" i="6" s="1"/>
  <c r="E307" i="6"/>
  <c r="Q307" i="6" s="1"/>
  <c r="E315" i="6"/>
  <c r="Q315" i="6" s="1"/>
  <c r="R315" i="6" s="1"/>
  <c r="E311" i="6"/>
  <c r="G1820" i="1"/>
  <c r="E472" i="6"/>
  <c r="Q472" i="6" s="1"/>
  <c r="G1146" i="1" s="1"/>
  <c r="H1146" i="1" s="1"/>
  <c r="E467" i="6"/>
  <c r="Q467" i="6" s="1"/>
  <c r="R467" i="6" s="1"/>
  <c r="E457" i="6"/>
  <c r="Q457" i="6" s="1"/>
  <c r="E458" i="6"/>
  <c r="Q458" i="6" s="1"/>
  <c r="E461" i="6"/>
  <c r="Q461" i="6" s="1"/>
  <c r="E468" i="6"/>
  <c r="Q468" i="6" s="1"/>
  <c r="R468" i="6" s="1"/>
  <c r="E466" i="6"/>
  <c r="Q466" i="6" s="1"/>
  <c r="E471" i="6"/>
  <c r="Q471" i="6" s="1"/>
  <c r="G975" i="1" s="1"/>
  <c r="H975" i="1" s="1"/>
  <c r="E455" i="6"/>
  <c r="Q455" i="6" s="1"/>
  <c r="E456" i="6"/>
  <c r="Q456" i="6" s="1"/>
  <c r="E464" i="6"/>
  <c r="Q464" i="6" s="1"/>
  <c r="R464" i="6" s="1"/>
  <c r="E465" i="6"/>
  <c r="Q465" i="6" s="1"/>
  <c r="R465" i="6" s="1"/>
  <c r="E460" i="6"/>
  <c r="Q460" i="6" s="1"/>
  <c r="E470" i="6"/>
  <c r="Q470" i="6" s="1"/>
  <c r="R470" i="6" s="1"/>
  <c r="E469" i="6"/>
  <c r="Q469" i="6" s="1"/>
  <c r="G1462" i="1" s="1"/>
  <c r="E463" i="6"/>
  <c r="Q463" i="6" s="1"/>
  <c r="R463" i="6" s="1"/>
  <c r="E459" i="6"/>
  <c r="Q459" i="6" s="1"/>
  <c r="E462" i="6"/>
  <c r="Q462" i="6" s="1"/>
  <c r="G1502" i="1" s="1"/>
  <c r="G1814" i="1"/>
  <c r="E298" i="6"/>
  <c r="Q298" i="6" s="1"/>
  <c r="E297" i="6"/>
  <c r="Q297" i="6" s="1"/>
  <c r="R297" i="6" s="1"/>
  <c r="E289" i="6"/>
  <c r="Q289" i="6" s="1"/>
  <c r="E293" i="6"/>
  <c r="Q293" i="6" s="1"/>
  <c r="E303" i="6"/>
  <c r="Q303" i="6" s="1"/>
  <c r="E295" i="6"/>
  <c r="E302" i="6"/>
  <c r="Q302" i="6" s="1"/>
  <c r="R302" i="6" s="1"/>
  <c r="E288" i="6"/>
  <c r="Q288" i="6" s="1"/>
  <c r="E296" i="6"/>
  <c r="Q296" i="6" s="1"/>
  <c r="R296" i="6" s="1"/>
  <c r="E300" i="6"/>
  <c r="Q300" i="6" s="1"/>
  <c r="R300" i="6" s="1"/>
  <c r="E294" i="6"/>
  <c r="E291" i="6"/>
  <c r="Q291" i="6" s="1"/>
  <c r="E292" i="6"/>
  <c r="E299" i="6"/>
  <c r="Q299" i="6" s="1"/>
  <c r="E304" i="6"/>
  <c r="Q304" i="6" s="1"/>
  <c r="E290" i="6"/>
  <c r="Q290" i="6" s="1"/>
  <c r="E301" i="6"/>
  <c r="Q301" i="6" s="1"/>
  <c r="R301" i="6" s="1"/>
  <c r="T1202" i="13"/>
  <c r="T1203" i="13"/>
  <c r="T1197" i="13"/>
  <c r="T793" i="13"/>
  <c r="T49" i="13"/>
  <c r="T223" i="13"/>
  <c r="T218" i="13"/>
  <c r="T221" i="13"/>
  <c r="T222" i="13"/>
  <c r="T220" i="13"/>
  <c r="T219" i="13"/>
  <c r="T715" i="13"/>
  <c r="T1082" i="13"/>
  <c r="T1083" i="13"/>
  <c r="T1081" i="13"/>
  <c r="T76" i="6"/>
  <c r="T83" i="6"/>
  <c r="T80" i="6"/>
  <c r="T79" i="6"/>
  <c r="T77" i="6"/>
  <c r="T81" i="6"/>
  <c r="T78" i="6"/>
  <c r="T82" i="6"/>
  <c r="E598" i="13"/>
  <c r="Q598" i="13" s="1"/>
  <c r="E597" i="13"/>
  <c r="Q597" i="13" s="1"/>
  <c r="E600" i="13"/>
  <c r="Q600" i="13" s="1"/>
  <c r="E596" i="13"/>
  <c r="Q596" i="13" s="1"/>
  <c r="E599" i="13"/>
  <c r="Q599" i="13" s="1"/>
  <c r="E601" i="13"/>
  <c r="Q601" i="13" s="1"/>
  <c r="T783" i="13"/>
  <c r="T271" i="6"/>
  <c r="T312" i="13"/>
  <c r="S71" i="17412"/>
  <c r="R71" i="17412"/>
  <c r="T784" i="13"/>
  <c r="T313" i="13"/>
  <c r="S24" i="17412"/>
  <c r="R24" i="17412"/>
  <c r="T459" i="13"/>
  <c r="T318" i="13"/>
  <c r="T1167" i="13"/>
  <c r="T1164" i="13"/>
  <c r="T1170" i="13"/>
  <c r="T757" i="13"/>
  <c r="S131" i="17412"/>
  <c r="R131" i="17412"/>
  <c r="S74" i="17412"/>
  <c r="R74" i="17412"/>
  <c r="R36" i="17412"/>
  <c r="S36" i="17412"/>
  <c r="R246" i="6"/>
  <c r="R256" i="6"/>
  <c r="T270" i="6"/>
  <c r="T797" i="13"/>
  <c r="S7" i="17412"/>
  <c r="R7" i="17412"/>
  <c r="S105" i="17412"/>
  <c r="R105" i="17412"/>
  <c r="R46" i="17412"/>
  <c r="S46" i="17412"/>
  <c r="S170" i="17412"/>
  <c r="R170" i="17412"/>
  <c r="R81" i="17412"/>
  <c r="S81" i="17412"/>
  <c r="S165" i="17412"/>
  <c r="R165" i="17412"/>
  <c r="T794" i="13"/>
  <c r="T274" i="6"/>
  <c r="T799" i="13"/>
  <c r="R473" i="6"/>
  <c r="S147" i="17412"/>
  <c r="R147" i="17412"/>
  <c r="S168" i="17412"/>
  <c r="R168" i="17412"/>
  <c r="R133" i="17412"/>
  <c r="S133" i="17412"/>
  <c r="S22" i="17412"/>
  <c r="R22" i="17412"/>
  <c r="R236" i="6"/>
  <c r="R62" i="17412"/>
  <c r="S62" i="17412"/>
  <c r="S20" i="17412"/>
  <c r="R20" i="17412"/>
  <c r="R21" i="17412"/>
  <c r="S21" i="17412"/>
  <c r="S51" i="17412"/>
  <c r="S15" i="17412"/>
  <c r="R15" i="17412"/>
  <c r="R75" i="17412"/>
  <c r="S75" i="17412"/>
  <c r="S95" i="17412"/>
  <c r="R95" i="17412"/>
  <c r="S104" i="17412"/>
  <c r="R104" i="17412"/>
  <c r="R67" i="17412"/>
  <c r="S67" i="17412"/>
  <c r="S129" i="17412"/>
  <c r="R129" i="17412"/>
  <c r="T273" i="6"/>
  <c r="T243" i="6"/>
  <c r="T242" i="6"/>
  <c r="T479" i="6"/>
  <c r="T408" i="6"/>
  <c r="T409" i="6"/>
  <c r="T410" i="6"/>
  <c r="T248" i="6"/>
  <c r="T425" i="6"/>
  <c r="T423" i="6"/>
  <c r="T228" i="6"/>
  <c r="T272" i="6"/>
  <c r="T279" i="13"/>
  <c r="T280" i="13"/>
  <c r="T266" i="13"/>
  <c r="T261" i="13"/>
  <c r="T265" i="13"/>
  <c r="T262" i="13"/>
  <c r="T263" i="13"/>
  <c r="T267" i="13"/>
  <c r="T260" i="13"/>
  <c r="T264" i="13"/>
  <c r="T188" i="13"/>
  <c r="T191" i="13"/>
  <c r="T187" i="13"/>
  <c r="T190" i="13"/>
  <c r="T186" i="13"/>
  <c r="T189" i="13"/>
  <c r="T185" i="13"/>
  <c r="T202" i="13"/>
  <c r="T205" i="13"/>
  <c r="T201" i="13"/>
  <c r="T204" i="13"/>
  <c r="T200" i="13"/>
  <c r="T203" i="13"/>
  <c r="T92" i="13"/>
  <c r="T89" i="13"/>
  <c r="T94" i="13"/>
  <c r="T95" i="13"/>
  <c r="T434" i="13"/>
  <c r="T432" i="13"/>
  <c r="T430" i="13"/>
  <c r="T428" i="13"/>
  <c r="T433" i="13"/>
  <c r="T431" i="13"/>
  <c r="T429" i="13"/>
  <c r="T427" i="13"/>
  <c r="T421" i="6"/>
  <c r="T462" i="13"/>
  <c r="T1225" i="13"/>
  <c r="T87" i="6"/>
  <c r="T1006" i="13"/>
  <c r="T1007" i="13"/>
  <c r="T1008" i="13"/>
  <c r="T1005" i="13"/>
  <c r="T943" i="13"/>
  <c r="T939" i="13"/>
  <c r="T937" i="13"/>
  <c r="T944" i="13"/>
  <c r="T942" i="13"/>
  <c r="T1137" i="13"/>
  <c r="T1134" i="13"/>
  <c r="T1133" i="13"/>
  <c r="T1132" i="13"/>
  <c r="T1136" i="13"/>
  <c r="T1135" i="13"/>
  <c r="T1131" i="13"/>
  <c r="T1138" i="13"/>
  <c r="T1190" i="13"/>
  <c r="T1186" i="13"/>
  <c r="T1187" i="13"/>
  <c r="T1188" i="13"/>
  <c r="T1189" i="13"/>
  <c r="T1146" i="13"/>
  <c r="T1147" i="13"/>
  <c r="T1149" i="13"/>
  <c r="T1150" i="13"/>
  <c r="T309" i="13"/>
  <c r="T306" i="13"/>
  <c r="T307" i="13"/>
  <c r="T308" i="13"/>
  <c r="T13" i="13"/>
  <c r="T17" i="13"/>
  <c r="T14" i="13"/>
  <c r="T18" i="13"/>
  <c r="T11" i="13"/>
  <c r="T15" i="13"/>
  <c r="T16" i="13"/>
  <c r="T12" i="13"/>
  <c r="T271" i="13"/>
  <c r="T273" i="13"/>
  <c r="T270" i="13"/>
  <c r="T274" i="13"/>
  <c r="T275" i="13"/>
  <c r="T272" i="13"/>
  <c r="T276" i="13"/>
  <c r="T269" i="13"/>
  <c r="T231" i="13"/>
  <c r="T235" i="13"/>
  <c r="T232" i="13"/>
  <c r="T236" i="13"/>
  <c r="T233" i="13"/>
  <c r="T237" i="13"/>
  <c r="T234" i="13"/>
  <c r="T164" i="13"/>
  <c r="T163" i="13"/>
  <c r="T165" i="13"/>
  <c r="T299" i="13"/>
  <c r="T169" i="13"/>
  <c r="T172" i="13"/>
  <c r="T168" i="13"/>
  <c r="T173" i="13"/>
  <c r="T397" i="6"/>
  <c r="T398" i="6"/>
  <c r="T383" i="6"/>
  <c r="T384" i="6"/>
  <c r="T385" i="6"/>
  <c r="T972" i="13"/>
  <c r="T968" i="13"/>
  <c r="T964" i="13"/>
  <c r="T960" i="13"/>
  <c r="T956" i="13"/>
  <c r="T971" i="13"/>
  <c r="T967" i="13"/>
  <c r="T963" i="13"/>
  <c r="T959" i="13"/>
  <c r="T955" i="13"/>
  <c r="T970" i="13"/>
  <c r="T966" i="13"/>
  <c r="T962" i="13"/>
  <c r="T958" i="13"/>
  <c r="T954" i="13"/>
  <c r="T973" i="13"/>
  <c r="T969" i="13"/>
  <c r="T965" i="13"/>
  <c r="T961" i="13"/>
  <c r="T957" i="13"/>
  <c r="T953" i="13"/>
  <c r="T662" i="13"/>
  <c r="T657" i="13"/>
  <c r="T660" i="13"/>
  <c r="T661" i="13"/>
  <c r="T658" i="13"/>
  <c r="T691" i="13"/>
  <c r="T277" i="13"/>
  <c r="T786" i="13"/>
  <c r="T75" i="6"/>
  <c r="T74" i="6"/>
  <c r="T30" i="6"/>
  <c r="T1191" i="13"/>
  <c r="T1192" i="13"/>
  <c r="T1193" i="13"/>
  <c r="T1194" i="13"/>
  <c r="T872" i="13"/>
  <c r="T874" i="13"/>
  <c r="T870" i="13"/>
  <c r="T875" i="13"/>
  <c r="T871" i="13"/>
  <c r="T873" i="13"/>
  <c r="T1206" i="13"/>
  <c r="T1204" i="13"/>
  <c r="T1205" i="13"/>
  <c r="T1181" i="13"/>
  <c r="T1182" i="13"/>
  <c r="T214" i="13"/>
  <c r="T210" i="13"/>
  <c r="T217" i="13"/>
  <c r="T213" i="13"/>
  <c r="T216" i="13"/>
  <c r="T212" i="13"/>
  <c r="T215" i="13"/>
  <c r="T211" i="13"/>
  <c r="T465" i="13"/>
  <c r="T460" i="13"/>
  <c r="T464" i="13"/>
  <c r="T570" i="13"/>
  <c r="T568" i="13"/>
  <c r="T569" i="13"/>
  <c r="T567" i="13"/>
  <c r="T315" i="13"/>
  <c r="T316" i="13"/>
  <c r="T317" i="13"/>
  <c r="T289" i="13"/>
  <c r="T286" i="13"/>
  <c r="T290" i="13"/>
  <c r="T287" i="13"/>
  <c r="T291" i="13"/>
  <c r="T288" i="13"/>
  <c r="T292" i="13"/>
  <c r="T1198" i="13"/>
  <c r="T1195" i="13"/>
  <c r="T8" i="13"/>
  <c r="T52" i="13"/>
  <c r="T449" i="13"/>
  <c r="T791" i="13"/>
  <c r="T269" i="6"/>
  <c r="T424" i="6"/>
  <c r="T422" i="6"/>
  <c r="T420" i="6"/>
  <c r="T415" i="6"/>
  <c r="T416" i="6"/>
  <c r="T1077" i="13"/>
  <c r="T1001" i="13"/>
  <c r="T1002" i="13"/>
  <c r="T1003" i="13"/>
  <c r="T941" i="13"/>
  <c r="T940" i="13"/>
  <c r="T938" i="13"/>
  <c r="T868" i="13"/>
  <c r="T876" i="13"/>
  <c r="T867" i="13"/>
  <c r="T869" i="13"/>
  <c r="T865" i="13"/>
  <c r="T877" i="13"/>
  <c r="T866" i="13"/>
  <c r="T1139" i="13"/>
  <c r="T1130" i="13"/>
  <c r="T1173" i="13"/>
  <c r="T1172" i="13"/>
  <c r="T1174" i="13"/>
  <c r="T1176" i="13"/>
  <c r="T1175" i="13"/>
  <c r="T1183" i="13"/>
  <c r="T1185" i="13"/>
  <c r="T1184" i="13"/>
  <c r="T656" i="13"/>
  <c r="T564" i="13"/>
  <c r="T565" i="13"/>
  <c r="T563" i="13"/>
  <c r="T571" i="13"/>
  <c r="T566" i="13"/>
  <c r="T305" i="13"/>
  <c r="T302" i="13"/>
  <c r="T311" i="13"/>
  <c r="T314" i="13"/>
  <c r="T505" i="13"/>
  <c r="T504" i="13"/>
  <c r="T293" i="13"/>
  <c r="T284" i="13"/>
  <c r="T285" i="13"/>
  <c r="T282" i="13"/>
  <c r="T283" i="13"/>
  <c r="T157" i="13"/>
  <c r="T166" i="13"/>
  <c r="T156" i="13"/>
  <c r="T159" i="13"/>
  <c r="T162" i="13"/>
  <c r="T158" i="13"/>
  <c r="T167" i="13"/>
  <c r="T161" i="13"/>
  <c r="T160" i="13"/>
  <c r="T171" i="13"/>
  <c r="T170" i="13"/>
  <c r="T478" i="6"/>
  <c r="T396" i="6"/>
  <c r="T414" i="6"/>
  <c r="T1078" i="13"/>
  <c r="T301" i="13"/>
  <c r="T300" i="13"/>
  <c r="T281" i="13"/>
  <c r="T278" i="13"/>
  <c r="T663" i="13"/>
  <c r="T659" i="13"/>
  <c r="T310" i="13"/>
  <c r="T304" i="13"/>
  <c r="T303" i="13"/>
  <c r="T1009" i="13"/>
  <c r="T1000" i="13"/>
  <c r="T1004" i="13"/>
  <c r="T1151" i="13"/>
  <c r="T1148" i="13"/>
  <c r="T1226" i="13"/>
  <c r="T1224" i="13"/>
  <c r="T31" i="6"/>
  <c r="T29" i="6"/>
  <c r="T86" i="6"/>
  <c r="T85" i="6"/>
  <c r="T53" i="6"/>
  <c r="T52" i="6"/>
  <c r="T249" i="6"/>
  <c r="T247" i="6"/>
  <c r="T229" i="6"/>
  <c r="T227" i="6"/>
  <c r="L800" i="13"/>
  <c r="H1826" i="1"/>
  <c r="L372" i="13"/>
  <c r="U14" i="17418" l="1"/>
  <c r="T14" i="17418"/>
  <c r="V17" i="17418"/>
  <c r="V22" i="17418"/>
  <c r="V20" i="17418" s="1"/>
  <c r="V16" i="17418"/>
  <c r="V21" i="17418"/>
  <c r="V19" i="17418"/>
  <c r="V18" i="17418" s="1"/>
  <c r="G41" i="17413"/>
  <c r="F41" i="17413" s="1"/>
  <c r="AO1027" i="4"/>
  <c r="AO1012" i="4"/>
  <c r="AO975" i="4"/>
  <c r="AO993" i="4"/>
  <c r="AO1011" i="4"/>
  <c r="AO973" i="4"/>
  <c r="AN281" i="4"/>
  <c r="AN516" i="4"/>
  <c r="AO516" i="4" s="1"/>
  <c r="AO972" i="4"/>
  <c r="AO1013" i="4"/>
  <c r="AO1010" i="4"/>
  <c r="T1406" i="13"/>
  <c r="T1408" i="13"/>
  <c r="T1411" i="13"/>
  <c r="T1404" i="13"/>
  <c r="T1412" i="13"/>
  <c r="T1409" i="13"/>
  <c r="T1410" i="13"/>
  <c r="T1413" i="13"/>
  <c r="T1405" i="13"/>
  <c r="J35" i="17422"/>
  <c r="AI35" i="17422" s="1"/>
  <c r="H41" i="17422"/>
  <c r="AG41" i="17422" s="1"/>
  <c r="AO1028" i="4"/>
  <c r="J38" i="17422"/>
  <c r="AI38" i="17422" s="1"/>
  <c r="AO974" i="4"/>
  <c r="G615" i="1"/>
  <c r="H615" i="1" s="1"/>
  <c r="J32" i="17422"/>
  <c r="AI32" i="17422" s="1"/>
  <c r="J29" i="17422"/>
  <c r="AI29" i="17422" s="1"/>
  <c r="AO992" i="4"/>
  <c r="AO553" i="4"/>
  <c r="AO488" i="13"/>
  <c r="AO556" i="4"/>
  <c r="T86" i="13"/>
  <c r="T84" i="13"/>
  <c r="T199" i="13"/>
  <c r="T197" i="13"/>
  <c r="T85" i="13"/>
  <c r="W220" i="4"/>
  <c r="W217" i="4"/>
  <c r="W210" i="4"/>
  <c r="AO487" i="13"/>
  <c r="AO554" i="4"/>
  <c r="T90" i="13"/>
  <c r="T88" i="13"/>
  <c r="T96" i="13"/>
  <c r="T192" i="13"/>
  <c r="T194" i="13"/>
  <c r="W211" i="4"/>
  <c r="W206" i="4"/>
  <c r="AO485" i="13"/>
  <c r="W209" i="4"/>
  <c r="W214" i="4"/>
  <c r="T91" i="13"/>
  <c r="T93" i="13"/>
  <c r="T196" i="13"/>
  <c r="T629" i="13"/>
  <c r="W204" i="4"/>
  <c r="W207" i="4"/>
  <c r="W218" i="4"/>
  <c r="W215" i="4"/>
  <c r="W219" i="4"/>
  <c r="AO559" i="4"/>
  <c r="AO563" i="4"/>
  <c r="AO562" i="4"/>
  <c r="AO561" i="4"/>
  <c r="AO555" i="4"/>
  <c r="AO560" i="4"/>
  <c r="AO557" i="4"/>
  <c r="AO558" i="4"/>
  <c r="AO484" i="13"/>
  <c r="T488" i="4"/>
  <c r="AO493" i="4"/>
  <c r="AO488" i="4"/>
  <c r="AO1020" i="4"/>
  <c r="AO991" i="4"/>
  <c r="AO1018" i="4"/>
  <c r="AO1005" i="4"/>
  <c r="AO1004" i="4"/>
  <c r="AO486" i="13"/>
  <c r="AO1021" i="4"/>
  <c r="AO1025" i="4"/>
  <c r="U51" i="14"/>
  <c r="V51" i="14" s="1"/>
  <c r="O31" i="14"/>
  <c r="P61" i="14"/>
  <c r="U61" i="14"/>
  <c r="V61" i="14" s="1"/>
  <c r="AO1024" i="4"/>
  <c r="AO1029" i="4"/>
  <c r="AO1026" i="4"/>
  <c r="AO1008" i="4"/>
  <c r="AO1009" i="4"/>
  <c r="AO1030" i="4"/>
  <c r="AO1054" i="4"/>
  <c r="AO1058" i="4"/>
  <c r="AO1059" i="4"/>
  <c r="AO1048" i="4"/>
  <c r="AO1047" i="4"/>
  <c r="AO1046" i="4"/>
  <c r="AO1045" i="4"/>
  <c r="AO1044" i="4"/>
  <c r="AO1042" i="4"/>
  <c r="AO1043" i="4"/>
  <c r="AO1056" i="4"/>
  <c r="AO1057" i="4"/>
  <c r="AO1055" i="4"/>
  <c r="AO1052" i="4"/>
  <c r="AO1053" i="4"/>
  <c r="AO1051" i="4"/>
  <c r="AO1050" i="4"/>
  <c r="AO1049" i="4"/>
  <c r="AO1040" i="4"/>
  <c r="AO1031" i="4"/>
  <c r="AO1041" i="4"/>
  <c r="AO1039" i="4"/>
  <c r="AO1003" i="4"/>
  <c r="AO1006" i="4"/>
  <c r="AO1019" i="4"/>
  <c r="AO1023" i="4"/>
  <c r="AO1007" i="4"/>
  <c r="AO1022" i="4"/>
  <c r="T1396" i="13"/>
  <c r="T1403" i="13"/>
  <c r="T1394" i="13"/>
  <c r="T1400" i="13"/>
  <c r="T1398" i="13"/>
  <c r="T1397" i="13"/>
  <c r="T1395" i="13"/>
  <c r="T1402" i="13"/>
  <c r="T1399" i="13"/>
  <c r="T1393" i="13"/>
  <c r="T1401" i="13"/>
  <c r="AO1016" i="4"/>
  <c r="AO1017" i="4"/>
  <c r="AO1015" i="4"/>
  <c r="AO1014" i="4"/>
  <c r="T1361" i="13"/>
  <c r="T1360" i="13"/>
  <c r="T1354" i="13"/>
  <c r="T1362" i="13"/>
  <c r="T1356" i="13"/>
  <c r="T1357" i="13"/>
  <c r="T1358" i="13"/>
  <c r="T1359" i="13"/>
  <c r="T1355" i="13"/>
  <c r="T284" i="6"/>
  <c r="T281" i="6"/>
  <c r="T283" i="6"/>
  <c r="T990" i="4"/>
  <c r="T987" i="4"/>
  <c r="T985" i="4"/>
  <c r="T986" i="4"/>
  <c r="I38" i="17422"/>
  <c r="AH38" i="17422" s="1"/>
  <c r="P31" i="14"/>
  <c r="U31" i="14"/>
  <c r="V31" i="14" s="1"/>
  <c r="J16" i="14"/>
  <c r="K16" i="14"/>
  <c r="I16" i="14"/>
  <c r="P21" i="14"/>
  <c r="U21" i="14"/>
  <c r="V21" i="14" s="1"/>
  <c r="K22" i="17418"/>
  <c r="K21" i="17418"/>
  <c r="K14" i="17418"/>
  <c r="M16" i="14"/>
  <c r="P15" i="14"/>
  <c r="U15" i="14"/>
  <c r="V15" i="14" s="1"/>
  <c r="T284" i="17418"/>
  <c r="AO578" i="4"/>
  <c r="AO577" i="4"/>
  <c r="AO576" i="4"/>
  <c r="AO579" i="4"/>
  <c r="AO567" i="4"/>
  <c r="AO575" i="4"/>
  <c r="AO572" i="4"/>
  <c r="AO574" i="4"/>
  <c r="AO573" i="4"/>
  <c r="T280" i="17418"/>
  <c r="T288" i="17418"/>
  <c r="T244" i="17418"/>
  <c r="T287" i="17418"/>
  <c r="T243" i="17418"/>
  <c r="T245" i="17418"/>
  <c r="T238" i="17418"/>
  <c r="T268" i="17418"/>
  <c r="T246" i="17418"/>
  <c r="T258" i="17418"/>
  <c r="T276" i="17418"/>
  <c r="T267" i="17418"/>
  <c r="T253" i="17418"/>
  <c r="U268" i="17418"/>
  <c r="T269" i="17418"/>
  <c r="T275" i="17418"/>
  <c r="T250" i="17418"/>
  <c r="T273" i="17418"/>
  <c r="T241" i="17418"/>
  <c r="T270" i="17418"/>
  <c r="T285" i="17418"/>
  <c r="T278" i="17418"/>
  <c r="T256" i="17418"/>
  <c r="U289" i="17418"/>
  <c r="U274" i="17418"/>
  <c r="I26" i="17422"/>
  <c r="AH26" i="17422" s="1"/>
  <c r="T279" i="17418"/>
  <c r="T274" i="17418"/>
  <c r="T260" i="17418"/>
  <c r="T289" i="17418"/>
  <c r="T252" i="17418"/>
  <c r="U282" i="17418"/>
  <c r="T281" i="17418"/>
  <c r="T248" i="17418"/>
  <c r="T264" i="17418"/>
  <c r="T272" i="17418"/>
  <c r="T255" i="17418"/>
  <c r="T277" i="17418"/>
  <c r="T254" i="17418"/>
  <c r="T240" i="17418"/>
  <c r="T242" i="17418"/>
  <c r="T283" i="17418"/>
  <c r="T247" i="17418"/>
  <c r="T282" i="17418"/>
  <c r="T249" i="17418"/>
  <c r="P404" i="6"/>
  <c r="R404" i="6"/>
  <c r="R1261" i="13"/>
  <c r="P1261" i="13"/>
  <c r="T1265" i="13" s="1"/>
  <c r="AO504" i="4"/>
  <c r="J26" i="17422"/>
  <c r="AI26" i="17422" s="1"/>
  <c r="T261" i="17418"/>
  <c r="S265" i="17418"/>
  <c r="T239" i="17418"/>
  <c r="T263" i="17418"/>
  <c r="T251" i="17418"/>
  <c r="T265" i="17418"/>
  <c r="T271" i="17418"/>
  <c r="U239" i="17418"/>
  <c r="T257" i="17418"/>
  <c r="U265" i="17418"/>
  <c r="T266" i="17418"/>
  <c r="U251" i="17418"/>
  <c r="S259" i="17418"/>
  <c r="U263" i="17418"/>
  <c r="U269" i="17418"/>
  <c r="U271" i="17418"/>
  <c r="E177" i="17412"/>
  <c r="R177" i="17412" s="1"/>
  <c r="F55" i="10"/>
  <c r="H55" i="10" s="1"/>
  <c r="J55" i="10" s="1"/>
  <c r="AO854" i="4"/>
  <c r="AO855" i="4"/>
  <c r="AO862" i="4"/>
  <c r="AO863" i="4"/>
  <c r="AO858" i="4"/>
  <c r="AO859" i="4"/>
  <c r="AO867" i="4"/>
  <c r="AO866" i="4"/>
  <c r="AO856" i="4"/>
  <c r="AO857" i="4"/>
  <c r="AO860" i="4"/>
  <c r="AO861" i="4"/>
  <c r="AN18" i="4"/>
  <c r="S181" i="17412"/>
  <c r="R181" i="17412"/>
  <c r="P353" i="13"/>
  <c r="R353" i="13"/>
  <c r="R785" i="13"/>
  <c r="R145" i="13"/>
  <c r="P145" i="13"/>
  <c r="R262" i="13"/>
  <c r="P401" i="13"/>
  <c r="R401" i="13"/>
  <c r="R13" i="13"/>
  <c r="T282" i="6"/>
  <c r="T280" i="6"/>
  <c r="T287" i="6"/>
  <c r="T286" i="6"/>
  <c r="R103" i="13"/>
  <c r="P103" i="13"/>
  <c r="P128" i="13"/>
  <c r="R128" i="13"/>
  <c r="R24" i="13"/>
  <c r="R90" i="13"/>
  <c r="R474" i="6"/>
  <c r="T893" i="13"/>
  <c r="AO720" i="4"/>
  <c r="AO724" i="4"/>
  <c r="T891" i="13"/>
  <c r="AO723" i="4"/>
  <c r="AO792" i="4"/>
  <c r="AO794" i="4"/>
  <c r="AO789" i="4"/>
  <c r="AO791" i="4"/>
  <c r="AO790" i="4"/>
  <c r="AO795" i="4"/>
  <c r="AO793" i="4"/>
  <c r="AO787" i="4"/>
  <c r="AO788" i="4"/>
  <c r="T885" i="13"/>
  <c r="AO722" i="4"/>
  <c r="AO775" i="4"/>
  <c r="AO776" i="4"/>
  <c r="AO773" i="4"/>
  <c r="AO774" i="4"/>
  <c r="AO771" i="4"/>
  <c r="AO772" i="4"/>
  <c r="T895" i="13"/>
  <c r="T466" i="4"/>
  <c r="R23" i="6"/>
  <c r="R477" i="6"/>
  <c r="AO741" i="4"/>
  <c r="AO740" i="4"/>
  <c r="T886" i="13"/>
  <c r="T892" i="13"/>
  <c r="AO760" i="4"/>
  <c r="AO759" i="4"/>
  <c r="AO761" i="4"/>
  <c r="AO758" i="4"/>
  <c r="AO756" i="4"/>
  <c r="AO757" i="4"/>
  <c r="AO746" i="4"/>
  <c r="AO739" i="4"/>
  <c r="AO743" i="4"/>
  <c r="AO738" i="4"/>
  <c r="AO742" i="4"/>
  <c r="AO745" i="4"/>
  <c r="AO753" i="4"/>
  <c r="AO755" i="4"/>
  <c r="AO754" i="4"/>
  <c r="AO744" i="4"/>
  <c r="AO750" i="4"/>
  <c r="AO751" i="4"/>
  <c r="AO752" i="4"/>
  <c r="AO748" i="4"/>
  <c r="AO749" i="4"/>
  <c r="AO747" i="4"/>
  <c r="AO729" i="4"/>
  <c r="AO727" i="4"/>
  <c r="AO726" i="4"/>
  <c r="AO728" i="4"/>
  <c r="AO482" i="13"/>
  <c r="AO735" i="4"/>
  <c r="AO736" i="4"/>
  <c r="AO734" i="4"/>
  <c r="AO733" i="4"/>
  <c r="G1539" i="1"/>
  <c r="E87" i="17412" s="1"/>
  <c r="R87" i="17412" s="1"/>
  <c r="R15" i="6"/>
  <c r="AO477" i="13"/>
  <c r="AO607" i="4"/>
  <c r="AO606" i="4"/>
  <c r="T888" i="13"/>
  <c r="T894" i="13"/>
  <c r="AO473" i="13"/>
  <c r="AO476" i="13"/>
  <c r="S156" i="17412"/>
  <c r="AO609" i="4"/>
  <c r="AO604" i="4"/>
  <c r="AO608" i="4"/>
  <c r="AO610" i="4"/>
  <c r="AO603" i="4"/>
  <c r="AO605" i="4"/>
  <c r="AO622" i="4"/>
  <c r="AO620" i="4"/>
  <c r="AO621" i="4"/>
  <c r="AO628" i="4"/>
  <c r="AO629" i="4"/>
  <c r="AO627" i="4"/>
  <c r="AO613" i="4"/>
  <c r="AO612" i="4"/>
  <c r="AO611" i="4"/>
  <c r="AO641" i="4"/>
  <c r="AO640" i="4"/>
  <c r="AO642" i="4"/>
  <c r="AO631" i="4"/>
  <c r="AO630" i="4"/>
  <c r="AO632" i="4"/>
  <c r="AO617" i="4"/>
  <c r="AO618" i="4"/>
  <c r="AO619" i="4"/>
  <c r="R14" i="17412"/>
  <c r="T71" i="6"/>
  <c r="T887" i="13"/>
  <c r="T718" i="13"/>
  <c r="R157" i="17412"/>
  <c r="AO639" i="4"/>
  <c r="AO637" i="4"/>
  <c r="AO638" i="4"/>
  <c r="AO635" i="4"/>
  <c r="AO636" i="4"/>
  <c r="AO634" i="4"/>
  <c r="AO633" i="4"/>
  <c r="R466" i="6"/>
  <c r="T720" i="13"/>
  <c r="R475" i="6"/>
  <c r="T1013" i="13"/>
  <c r="R299" i="6"/>
  <c r="R26" i="6"/>
  <c r="S135" i="17412"/>
  <c r="G1510" i="1"/>
  <c r="R106" i="17412"/>
  <c r="R476" i="6"/>
  <c r="T92" i="6"/>
  <c r="AO481" i="13"/>
  <c r="AO474" i="13"/>
  <c r="T33" i="13"/>
  <c r="S83" i="17412"/>
  <c r="AO565" i="4"/>
  <c r="G11" i="1"/>
  <c r="T36" i="13"/>
  <c r="T34" i="13"/>
  <c r="T31" i="13"/>
  <c r="AO566" i="4"/>
  <c r="R16" i="6"/>
  <c r="R287" i="6"/>
  <c r="T841" i="13"/>
  <c r="T727" i="13"/>
  <c r="R22" i="6"/>
  <c r="T32" i="13"/>
  <c r="AO472" i="13"/>
  <c r="AO480" i="13"/>
  <c r="AO568" i="4"/>
  <c r="AO602" i="4"/>
  <c r="AO599" i="4"/>
  <c r="AO600" i="4"/>
  <c r="AO601" i="4"/>
  <c r="T22" i="13"/>
  <c r="AO466" i="13"/>
  <c r="T25" i="13"/>
  <c r="T24" i="13"/>
  <c r="AO570" i="4"/>
  <c r="AO569" i="4"/>
  <c r="AO571" i="4"/>
  <c r="AO545" i="4"/>
  <c r="AO475" i="13"/>
  <c r="AO478" i="13"/>
  <c r="T890" i="13"/>
  <c r="AO542" i="4"/>
  <c r="AO564" i="4"/>
  <c r="AO549" i="4"/>
  <c r="AO546" i="4"/>
  <c r="AO551" i="4"/>
  <c r="AO548" i="4"/>
  <c r="AO550" i="4"/>
  <c r="AO547" i="4"/>
  <c r="AO552" i="4"/>
  <c r="AO540" i="4"/>
  <c r="AO541" i="4"/>
  <c r="AO539" i="4"/>
  <c r="AO538" i="4"/>
  <c r="AO537" i="4"/>
  <c r="AO544" i="4"/>
  <c r="AO543" i="4"/>
  <c r="AO515" i="4"/>
  <c r="G12" i="1"/>
  <c r="AO519" i="4"/>
  <c r="AO523" i="4"/>
  <c r="T628" i="13"/>
  <c r="AO522" i="4"/>
  <c r="AO524" i="4"/>
  <c r="AO526" i="4"/>
  <c r="AO528" i="4"/>
  <c r="AO527" i="4"/>
  <c r="AO525" i="4"/>
  <c r="AO514" i="4"/>
  <c r="AO469" i="13"/>
  <c r="AO254" i="4"/>
  <c r="AO520" i="4"/>
  <c r="AO517" i="4"/>
  <c r="AO521" i="4"/>
  <c r="AO518" i="4"/>
  <c r="T1017" i="13"/>
  <c r="T842" i="13"/>
  <c r="T724" i="13"/>
  <c r="R13" i="17412"/>
  <c r="T37" i="13"/>
  <c r="AO41" i="4"/>
  <c r="AO554" i="13"/>
  <c r="AO468" i="13"/>
  <c r="AO471" i="13"/>
  <c r="AO470" i="13"/>
  <c r="AO499" i="13"/>
  <c r="AO503" i="13"/>
  <c r="AO502" i="13"/>
  <c r="AO501" i="13"/>
  <c r="R167" i="17412"/>
  <c r="AO490" i="4"/>
  <c r="T723" i="13"/>
  <c r="T719" i="13"/>
  <c r="T722" i="13"/>
  <c r="T726" i="13"/>
  <c r="T717" i="13"/>
  <c r="E146" i="17412"/>
  <c r="R146" i="17412" s="1"/>
  <c r="AO487" i="4"/>
  <c r="AO489" i="4"/>
  <c r="AO486" i="4"/>
  <c r="H1621" i="1"/>
  <c r="AO502" i="4"/>
  <c r="AO501" i="4"/>
  <c r="AO503" i="4"/>
  <c r="T94" i="6"/>
  <c r="T328" i="6"/>
  <c r="R152" i="17412"/>
  <c r="T91" i="6"/>
  <c r="T837" i="13"/>
  <c r="E171" i="17412"/>
  <c r="S171" i="17412" s="1"/>
  <c r="R108" i="17412"/>
  <c r="H1495" i="1"/>
  <c r="T626" i="13"/>
  <c r="T632" i="13"/>
  <c r="T625" i="13"/>
  <c r="R35" i="6"/>
  <c r="R285" i="6"/>
  <c r="R25" i="6"/>
  <c r="T631" i="13"/>
  <c r="T627" i="13"/>
  <c r="T88" i="6"/>
  <c r="E132" i="17412"/>
  <c r="T120" i="4"/>
  <c r="R333" i="6"/>
  <c r="H1632" i="1"/>
  <c r="AO496" i="4"/>
  <c r="AO497" i="4"/>
  <c r="T469" i="4"/>
  <c r="T475" i="4"/>
  <c r="T330" i="4"/>
  <c r="T471" i="4"/>
  <c r="T470" i="4"/>
  <c r="T840" i="13"/>
  <c r="T474" i="4"/>
  <c r="T95" i="4"/>
  <c r="T468" i="4"/>
  <c r="T125" i="4"/>
  <c r="T123" i="4"/>
  <c r="T122" i="4"/>
  <c r="T121" i="4"/>
  <c r="T476" i="4"/>
  <c r="T113" i="4"/>
  <c r="T467" i="4"/>
  <c r="T472" i="4"/>
  <c r="T124" i="4"/>
  <c r="T118" i="4"/>
  <c r="T473" i="4"/>
  <c r="T97" i="4"/>
  <c r="T111" i="4"/>
  <c r="T101" i="4"/>
  <c r="T390" i="4"/>
  <c r="T96" i="4"/>
  <c r="T99" i="4"/>
  <c r="T116" i="4"/>
  <c r="T335" i="4"/>
  <c r="T334" i="4"/>
  <c r="T333" i="4"/>
  <c r="T394" i="4"/>
  <c r="T392" i="4"/>
  <c r="T106" i="4"/>
  <c r="T105" i="4"/>
  <c r="T365" i="4"/>
  <c r="T362" i="4"/>
  <c r="T336" i="4"/>
  <c r="T331" i="4"/>
  <c r="T332" i="4"/>
  <c r="T112" i="4"/>
  <c r="T396" i="4"/>
  <c r="T389" i="4"/>
  <c r="T391" i="4"/>
  <c r="T104" i="4"/>
  <c r="T109" i="4"/>
  <c r="T366" i="4"/>
  <c r="T364" i="4"/>
  <c r="T327" i="4"/>
  <c r="T326" i="4"/>
  <c r="T328" i="4"/>
  <c r="T114" i="4"/>
  <c r="T115" i="4"/>
  <c r="T393" i="4"/>
  <c r="T395" i="4"/>
  <c r="T103" i="4"/>
  <c r="T108" i="4"/>
  <c r="T363" i="4"/>
  <c r="T100" i="4"/>
  <c r="T98" i="4"/>
  <c r="T337" i="4"/>
  <c r="T329" i="4"/>
  <c r="T338" i="4"/>
  <c r="T110" i="4"/>
  <c r="T388" i="4"/>
  <c r="T102" i="4"/>
  <c r="T361" i="4"/>
  <c r="T490" i="4"/>
  <c r="T487" i="4"/>
  <c r="T486" i="4"/>
  <c r="T489" i="4"/>
  <c r="T312" i="4"/>
  <c r="T313" i="4"/>
  <c r="T322" i="4"/>
  <c r="T310" i="4"/>
  <c r="T324" i="4"/>
  <c r="T325" i="4"/>
  <c r="T323" i="4"/>
  <c r="T321" i="4"/>
  <c r="T320" i="4"/>
  <c r="T319" i="4"/>
  <c r="T318" i="4"/>
  <c r="T311" i="4"/>
  <c r="T316" i="4"/>
  <c r="T314" i="4"/>
  <c r="T317" i="4"/>
  <c r="T315" i="4"/>
  <c r="T270" i="4"/>
  <c r="T269" i="4"/>
  <c r="T272" i="4"/>
  <c r="T271" i="4"/>
  <c r="T76" i="4"/>
  <c r="T75" i="4"/>
  <c r="T78" i="4"/>
  <c r="T74" i="4"/>
  <c r="T77" i="4"/>
  <c r="P233" i="4"/>
  <c r="F235" i="4" s="1"/>
  <c r="R233" i="4"/>
  <c r="G235" i="4" s="1"/>
  <c r="R103" i="17412"/>
  <c r="T843" i="13"/>
  <c r="T838" i="13"/>
  <c r="G1140" i="13"/>
  <c r="AO386" i="4"/>
  <c r="G1145" i="13"/>
  <c r="T1016" i="13"/>
  <c r="T725" i="13"/>
  <c r="T728" i="13"/>
  <c r="T69" i="6"/>
  <c r="T1011" i="13"/>
  <c r="R316" i="6"/>
  <c r="T1012" i="13"/>
  <c r="T1019" i="13"/>
  <c r="T630" i="13"/>
  <c r="T38" i="13"/>
  <c r="T35" i="13"/>
  <c r="T89" i="6"/>
  <c r="E6" i="17412"/>
  <c r="H1459" i="1"/>
  <c r="R56" i="13"/>
  <c r="S9" i="17412"/>
  <c r="R9" i="17412"/>
  <c r="AO44" i="4"/>
  <c r="T1014" i="13"/>
  <c r="T1010" i="13"/>
  <c r="T633" i="13"/>
  <c r="T93" i="6"/>
  <c r="G1513" i="1"/>
  <c r="H1513" i="1" s="1"/>
  <c r="AO42" i="4"/>
  <c r="AO43" i="4"/>
  <c r="AO375" i="4"/>
  <c r="AO358" i="4"/>
  <c r="AO359" i="4"/>
  <c r="AO373" i="4"/>
  <c r="AO360" i="4"/>
  <c r="AO357" i="4"/>
  <c r="AO372" i="4"/>
  <c r="AO374" i="4"/>
  <c r="AO55" i="4"/>
  <c r="AO54" i="4"/>
  <c r="AO59" i="4"/>
  <c r="AO56" i="4"/>
  <c r="AO58" i="4"/>
  <c r="AO57" i="4"/>
  <c r="AO60" i="4"/>
  <c r="AO279" i="4"/>
  <c r="AO281" i="4"/>
  <c r="AO282" i="4"/>
  <c r="AO280" i="4"/>
  <c r="AO284" i="4"/>
  <c r="AO283" i="4"/>
  <c r="AO38" i="4"/>
  <c r="AO39" i="4"/>
  <c r="AO40" i="4"/>
  <c r="AO385" i="4"/>
  <c r="AO435" i="4"/>
  <c r="AO434" i="4"/>
  <c r="AO432" i="4"/>
  <c r="AO433" i="4"/>
  <c r="AO30" i="4"/>
  <c r="AO285" i="4"/>
  <c r="AO347" i="4"/>
  <c r="AO346" i="4"/>
  <c r="AO402" i="4"/>
  <c r="AO397" i="4"/>
  <c r="AO400" i="4"/>
  <c r="AO404" i="4"/>
  <c r="AO406" i="4"/>
  <c r="AO398" i="4"/>
  <c r="AO403" i="4"/>
  <c r="AO399" i="4"/>
  <c r="AO401" i="4"/>
  <c r="AO405" i="4"/>
  <c r="AO105" i="4"/>
  <c r="AO103" i="4"/>
  <c r="AO109" i="4"/>
  <c r="AO107" i="4"/>
  <c r="AO102" i="4"/>
  <c r="AO108" i="4"/>
  <c r="AO106" i="4"/>
  <c r="AO104" i="4"/>
  <c r="AN8" i="4"/>
  <c r="AN128" i="4"/>
  <c r="AO132" i="4" s="1"/>
  <c r="AN263" i="4"/>
  <c r="AO258" i="4" s="1"/>
  <c r="AO215" i="4"/>
  <c r="AO217" i="4"/>
  <c r="AO211" i="4"/>
  <c r="AO219" i="4"/>
  <c r="AO213" i="4"/>
  <c r="AO218" i="4"/>
  <c r="AO208" i="4"/>
  <c r="AO206" i="4"/>
  <c r="AO214" i="4"/>
  <c r="AO207" i="4"/>
  <c r="AO204" i="4"/>
  <c r="AO212" i="4"/>
  <c r="AO205" i="4"/>
  <c r="AO209" i="4"/>
  <c r="AO203" i="4"/>
  <c r="AO216" i="4"/>
  <c r="AO220" i="4"/>
  <c r="AO210" i="4"/>
  <c r="AO46" i="4"/>
  <c r="AO47" i="4"/>
  <c r="AO45" i="4"/>
  <c r="AO133" i="4"/>
  <c r="AO134" i="4"/>
  <c r="AO17" i="4"/>
  <c r="AO21" i="4"/>
  <c r="AO16" i="4"/>
  <c r="AO19" i="4"/>
  <c r="AO18" i="4"/>
  <c r="AO20" i="4"/>
  <c r="AO408" i="4"/>
  <c r="AO413" i="4"/>
  <c r="AO411" i="4"/>
  <c r="AO409" i="4"/>
  <c r="AO407" i="4"/>
  <c r="AO414" i="4"/>
  <c r="AO410" i="4"/>
  <c r="AO416" i="4"/>
  <c r="AO412" i="4"/>
  <c r="AO415" i="4"/>
  <c r="AO384" i="4"/>
  <c r="AO287" i="4"/>
  <c r="AO97" i="4"/>
  <c r="AO94" i="4"/>
  <c r="AO99" i="4"/>
  <c r="AO100" i="4"/>
  <c r="AO95" i="4"/>
  <c r="AO101" i="4"/>
  <c r="AO96" i="4"/>
  <c r="AO98" i="4"/>
  <c r="AO292" i="4"/>
  <c r="AO290" i="4"/>
  <c r="AO289" i="4"/>
  <c r="AO291" i="4"/>
  <c r="AO288" i="4"/>
  <c r="AO31" i="4"/>
  <c r="AO29" i="4"/>
  <c r="AO28" i="4"/>
  <c r="AO27" i="4"/>
  <c r="AO32" i="4"/>
  <c r="AO80" i="4"/>
  <c r="AO79" i="4"/>
  <c r="AO82" i="4"/>
  <c r="AO83" i="4"/>
  <c r="AO81" i="4"/>
  <c r="AO481" i="4"/>
  <c r="AO480" i="4"/>
  <c r="AO479" i="4"/>
  <c r="AO477" i="4"/>
  <c r="AO478" i="4"/>
  <c r="AO381" i="4"/>
  <c r="AO382" i="4"/>
  <c r="AO383" i="4"/>
  <c r="AO118" i="4"/>
  <c r="AO122" i="4"/>
  <c r="AO120" i="4"/>
  <c r="AO121" i="4"/>
  <c r="AO125" i="4"/>
  <c r="AO123" i="4"/>
  <c r="AO124" i="4"/>
  <c r="AO119" i="4"/>
  <c r="AO294" i="4"/>
  <c r="AO297" i="4"/>
  <c r="AO295" i="4"/>
  <c r="AO293" i="4"/>
  <c r="AO296" i="4"/>
  <c r="AO23" i="4"/>
  <c r="AO22" i="4"/>
  <c r="AO25" i="4"/>
  <c r="AO24" i="4"/>
  <c r="AO26" i="4"/>
  <c r="AO48" i="4"/>
  <c r="AO53" i="4"/>
  <c r="AO49" i="4"/>
  <c r="AO52" i="4"/>
  <c r="AO50" i="4"/>
  <c r="AO51" i="4"/>
  <c r="AO76" i="4"/>
  <c r="AO77" i="4"/>
  <c r="AO74" i="4"/>
  <c r="AO78" i="4"/>
  <c r="AO75" i="4"/>
  <c r="AO306" i="4"/>
  <c r="AO308" i="4"/>
  <c r="AO309" i="4"/>
  <c r="AO307" i="4"/>
  <c r="AO446" i="4"/>
  <c r="AO444" i="4"/>
  <c r="AO447" i="4"/>
  <c r="AO445" i="4"/>
  <c r="AO443" i="4"/>
  <c r="AO299" i="4"/>
  <c r="AO298" i="4"/>
  <c r="AO301" i="4"/>
  <c r="AO304" i="4"/>
  <c r="AO303" i="4"/>
  <c r="AO300" i="4"/>
  <c r="AO305" i="4"/>
  <c r="AO302" i="4"/>
  <c r="AO67" i="4"/>
  <c r="AO71" i="4"/>
  <c r="AO70" i="4"/>
  <c r="AO61" i="4"/>
  <c r="AO68" i="4"/>
  <c r="AO65" i="4"/>
  <c r="AO66" i="4"/>
  <c r="AO72" i="4"/>
  <c r="AO62" i="4"/>
  <c r="AO69" i="4"/>
  <c r="AO63" i="4"/>
  <c r="AO73" i="4"/>
  <c r="AO64" i="4"/>
  <c r="AO110" i="4"/>
  <c r="AO113" i="4"/>
  <c r="AO116" i="4"/>
  <c r="AO114" i="4"/>
  <c r="AO115" i="4"/>
  <c r="AO111" i="4"/>
  <c r="AO112" i="4"/>
  <c r="AO117" i="4"/>
  <c r="AO340" i="4"/>
  <c r="AO339" i="4"/>
  <c r="AO342" i="4"/>
  <c r="AO343" i="4"/>
  <c r="AO341" i="4"/>
  <c r="T671" i="13"/>
  <c r="T670" i="13"/>
  <c r="T333" i="6"/>
  <c r="G1141" i="13"/>
  <c r="T337" i="6"/>
  <c r="T68" i="6"/>
  <c r="T1018" i="13"/>
  <c r="T1262" i="13"/>
  <c r="T330" i="6"/>
  <c r="H1606" i="1"/>
  <c r="E154" i="17412"/>
  <c r="T326" i="6"/>
  <c r="T677" i="13"/>
  <c r="E155" i="17412"/>
  <c r="H1607" i="1"/>
  <c r="G1144" i="13"/>
  <c r="T334" i="6"/>
  <c r="T839" i="13"/>
  <c r="K16" i="17418"/>
  <c r="K18" i="17418"/>
  <c r="K17" i="17418"/>
  <c r="K19" i="17418"/>
  <c r="K20" i="17418"/>
  <c r="K27" i="17418"/>
  <c r="K24" i="17418"/>
  <c r="K26" i="17418"/>
  <c r="K25" i="17418"/>
  <c r="K23" i="17418"/>
  <c r="K15" i="17418"/>
  <c r="N41" i="9"/>
  <c r="G1042" i="13"/>
  <c r="G1041" i="13"/>
  <c r="G1040" i="13"/>
  <c r="G1043" i="13"/>
  <c r="AN330" i="6"/>
  <c r="AN337" i="6"/>
  <c r="AO608" i="13"/>
  <c r="AO606" i="13"/>
  <c r="AO602" i="13"/>
  <c r="AO605" i="13"/>
  <c r="AO603" i="13"/>
  <c r="AO607" i="13"/>
  <c r="AO604" i="13"/>
  <c r="AN329" i="6"/>
  <c r="AO1065" i="13"/>
  <c r="AO1068" i="13"/>
  <c r="AO1062" i="13"/>
  <c r="AO1067" i="13"/>
  <c r="AO1066" i="13"/>
  <c r="AO1064" i="13"/>
  <c r="AO1063" i="13"/>
  <c r="AN332" i="6"/>
  <c r="AO1072" i="13"/>
  <c r="AO1073" i="13"/>
  <c r="AO1069" i="13"/>
  <c r="AO1071" i="13"/>
  <c r="AO1076" i="13"/>
  <c r="AO1075" i="13"/>
  <c r="AO1070" i="13"/>
  <c r="AO1074" i="13"/>
  <c r="G1143" i="13"/>
  <c r="R25" i="13"/>
  <c r="AO698" i="13"/>
  <c r="AO701" i="13"/>
  <c r="AO699" i="13"/>
  <c r="AO700" i="13"/>
  <c r="AO697" i="13"/>
  <c r="AN324" i="6"/>
  <c r="AN328" i="6"/>
  <c r="AN322" i="6"/>
  <c r="AN1093" i="13" s="1"/>
  <c r="AO1093" i="13" s="1"/>
  <c r="AN368" i="4" s="1"/>
  <c r="AO368" i="4" s="1"/>
  <c r="AN325" i="6"/>
  <c r="AN335" i="6"/>
  <c r="AO651" i="13"/>
  <c r="AO652" i="13"/>
  <c r="AO655" i="13"/>
  <c r="AO654" i="13"/>
  <c r="AO653" i="13"/>
  <c r="T674" i="13"/>
  <c r="AN334" i="6"/>
  <c r="AO591" i="13"/>
  <c r="AO595" i="13"/>
  <c r="AO592" i="13"/>
  <c r="AO593" i="13"/>
  <c r="AO594" i="13"/>
  <c r="AO590" i="13"/>
  <c r="AN323" i="6"/>
  <c r="AN338" i="6"/>
  <c r="AN331" i="6"/>
  <c r="AO618" i="13"/>
  <c r="AO617" i="13"/>
  <c r="AO624" i="13"/>
  <c r="AO622" i="13"/>
  <c r="AO619" i="13"/>
  <c r="AO621" i="13"/>
  <c r="AO620" i="13"/>
  <c r="AO623" i="13"/>
  <c r="AO1136" i="13"/>
  <c r="AO640" i="13"/>
  <c r="AO636" i="13"/>
  <c r="AO637" i="13"/>
  <c r="AO635" i="13"/>
  <c r="AO638" i="13"/>
  <c r="AO634" i="13"/>
  <c r="AO639" i="13"/>
  <c r="AN327" i="6"/>
  <c r="AO496" i="13"/>
  <c r="AO491" i="13"/>
  <c r="AO498" i="13"/>
  <c r="AO495" i="13"/>
  <c r="AO489" i="13"/>
  <c r="AO490" i="13"/>
  <c r="AO494" i="13"/>
  <c r="AO497" i="13"/>
  <c r="AO493" i="13"/>
  <c r="AO492" i="13"/>
  <c r="AN326" i="6"/>
  <c r="AN336" i="6"/>
  <c r="AO611" i="13"/>
  <c r="AO616" i="13"/>
  <c r="AO614" i="13"/>
  <c r="AO609" i="13"/>
  <c r="AO612" i="13"/>
  <c r="AO610" i="13"/>
  <c r="AO615" i="13"/>
  <c r="AO613" i="13"/>
  <c r="AO599" i="13"/>
  <c r="AO601" i="13"/>
  <c r="AO597" i="13"/>
  <c r="AO596" i="13"/>
  <c r="AN681" i="4" s="1"/>
  <c r="AO598" i="13"/>
  <c r="AO600" i="13"/>
  <c r="AO1276" i="13"/>
  <c r="AO1273" i="13"/>
  <c r="AO1275" i="13"/>
  <c r="AO1271" i="13"/>
  <c r="AO1272" i="13"/>
  <c r="AO1278" i="13"/>
  <c r="AO1277" i="13"/>
  <c r="AO1274" i="13"/>
  <c r="T1046" i="13"/>
  <c r="T1045" i="13"/>
  <c r="T1048" i="13"/>
  <c r="T1044" i="13"/>
  <c r="T1047" i="13"/>
  <c r="T1059" i="13"/>
  <c r="T1055" i="13"/>
  <c r="T1058" i="13"/>
  <c r="T1054" i="13"/>
  <c r="T1061" i="13"/>
  <c r="T1057" i="13"/>
  <c r="T1053" i="13"/>
  <c r="T1060" i="13"/>
  <c r="T1056" i="13"/>
  <c r="T35" i="6"/>
  <c r="T33" i="6"/>
  <c r="T34" i="6"/>
  <c r="T32" i="6"/>
  <c r="T10" i="6"/>
  <c r="T12" i="6"/>
  <c r="T9" i="6"/>
  <c r="T24" i="6"/>
  <c r="T8" i="6"/>
  <c r="T7" i="6"/>
  <c r="T22" i="6"/>
  <c r="T19" i="6"/>
  <c r="T20" i="6"/>
  <c r="T25" i="6"/>
  <c r="T13" i="6"/>
  <c r="T27" i="6"/>
  <c r="T23" i="6"/>
  <c r="T18" i="6"/>
  <c r="T26" i="6"/>
  <c r="T21" i="6"/>
  <c r="T16" i="6"/>
  <c r="T17" i="6"/>
  <c r="T11" i="6"/>
  <c r="T15" i="6"/>
  <c r="T14" i="6"/>
  <c r="P357" i="6"/>
  <c r="R357" i="6"/>
  <c r="T26" i="13"/>
  <c r="T21" i="13"/>
  <c r="T20" i="13"/>
  <c r="AO555" i="13"/>
  <c r="AO562" i="13"/>
  <c r="AO559" i="13"/>
  <c r="AO1130" i="13"/>
  <c r="AO1138" i="13"/>
  <c r="AO561" i="13"/>
  <c r="AO1135" i="13"/>
  <c r="AO1131" i="13"/>
  <c r="AO558" i="13"/>
  <c r="AO663" i="13"/>
  <c r="AO657" i="13"/>
  <c r="AO658" i="13"/>
  <c r="AO660" i="13"/>
  <c r="AO656" i="13"/>
  <c r="AO659" i="13"/>
  <c r="AO661" i="13"/>
  <c r="AO662" i="13"/>
  <c r="AO825" i="13"/>
  <c r="AO823" i="13"/>
  <c r="AO824" i="13"/>
  <c r="AO826" i="13"/>
  <c r="AO821" i="13"/>
  <c r="AO822" i="13"/>
  <c r="AO553" i="13"/>
  <c r="AO1132" i="13"/>
  <c r="AO1133" i="13"/>
  <c r="AO560" i="13"/>
  <c r="AO1139" i="13"/>
  <c r="AO557" i="13"/>
  <c r="AO1137" i="13"/>
  <c r="AO1134" i="13"/>
  <c r="AO556" i="13"/>
  <c r="T338" i="6"/>
  <c r="G1142" i="13"/>
  <c r="T335" i="6"/>
  <c r="T1304" i="13"/>
  <c r="T1305" i="13"/>
  <c r="T1303" i="13"/>
  <c r="T1301" i="13"/>
  <c r="T1300" i="13"/>
  <c r="T1302" i="13"/>
  <c r="T1298" i="13"/>
  <c r="T1297" i="13"/>
  <c r="T1299" i="13"/>
  <c r="T1296" i="13"/>
  <c r="T322" i="6"/>
  <c r="AO980" i="13"/>
  <c r="AO975" i="13"/>
  <c r="AO978" i="13"/>
  <c r="AO977" i="13"/>
  <c r="AO974" i="13"/>
  <c r="AO976" i="13"/>
  <c r="AO979" i="13"/>
  <c r="AO981" i="13"/>
  <c r="AO670" i="13"/>
  <c r="AO671" i="13"/>
  <c r="AO672" i="13"/>
  <c r="AO673" i="13"/>
  <c r="AO674" i="13"/>
  <c r="AO676" i="13"/>
  <c r="AO675" i="13"/>
  <c r="AO677" i="13"/>
  <c r="AO669" i="13"/>
  <c r="R278" i="6"/>
  <c r="T329" i="6"/>
  <c r="T332" i="6"/>
  <c r="T324" i="6"/>
  <c r="T676" i="13"/>
  <c r="T336" i="6"/>
  <c r="T331" i="6"/>
  <c r="T327" i="6"/>
  <c r="T669" i="13"/>
  <c r="T672" i="13"/>
  <c r="R171" i="17412"/>
  <c r="T325" i="6"/>
  <c r="T323" i="6"/>
  <c r="T675" i="13"/>
  <c r="G1553" i="1"/>
  <c r="H1553" i="1" s="1"/>
  <c r="R37" i="13"/>
  <c r="DX36" i="17418"/>
  <c r="JX36" i="17418" s="1"/>
  <c r="FU36" i="17418"/>
  <c r="CA36" i="17418"/>
  <c r="IA36" i="17418" s="1"/>
  <c r="HR26" i="17418"/>
  <c r="DX26" i="17418"/>
  <c r="CA26" i="17418"/>
  <c r="FU26" i="17418"/>
  <c r="JO26" i="17418"/>
  <c r="CA37" i="17418"/>
  <c r="IA37" i="17418" s="1"/>
  <c r="DX37" i="17418"/>
  <c r="JX37" i="17418" s="1"/>
  <c r="FU37" i="17418"/>
  <c r="HR23" i="17418"/>
  <c r="DX23" i="17418"/>
  <c r="CA23" i="17418"/>
  <c r="FU23" i="17418"/>
  <c r="JO23" i="17418"/>
  <c r="DX27" i="17418"/>
  <c r="CA27" i="17418"/>
  <c r="IA27" i="17418" s="1"/>
  <c r="FU27" i="17418"/>
  <c r="JO27" i="17418"/>
  <c r="DX24" i="17418"/>
  <c r="FU24" i="17418"/>
  <c r="JO24" i="17418"/>
  <c r="CA24" i="17418"/>
  <c r="HR24" i="17418"/>
  <c r="CA25" i="17418"/>
  <c r="HR25" i="17418"/>
  <c r="DX25" i="17418"/>
  <c r="FU25" i="17418"/>
  <c r="JO25" i="17418"/>
  <c r="Q669" i="13"/>
  <c r="Q656" i="13"/>
  <c r="Q974" i="13"/>
  <c r="Q821" i="13"/>
  <c r="H1502" i="1"/>
  <c r="E50" i="17412"/>
  <c r="H1462" i="1"/>
  <c r="E10" i="17412"/>
  <c r="H1500" i="1"/>
  <c r="E48" i="17412"/>
  <c r="H1568" i="1"/>
  <c r="E116" i="17412"/>
  <c r="H1482" i="1"/>
  <c r="E30" i="17412"/>
  <c r="R30" i="17412" s="1"/>
  <c r="U264" i="17418"/>
  <c r="U277" i="17418"/>
  <c r="H1530" i="1"/>
  <c r="E78" i="17412"/>
  <c r="H1611" i="1"/>
  <c r="E159" i="17412"/>
  <c r="H1614" i="1"/>
  <c r="E162" i="17412"/>
  <c r="H1567" i="1"/>
  <c r="E115" i="17412"/>
  <c r="H1510" i="1"/>
  <c r="E58" i="17412"/>
  <c r="H1537" i="1"/>
  <c r="E85" i="17412"/>
  <c r="H1522" i="1"/>
  <c r="E70" i="17412"/>
  <c r="H1618" i="1"/>
  <c r="E166" i="17412"/>
  <c r="S166" i="17412" s="1"/>
  <c r="R32" i="17412"/>
  <c r="S32" i="17412"/>
  <c r="H1538" i="1"/>
  <c r="E86" i="17412"/>
  <c r="H1507" i="1"/>
  <c r="E55" i="17412"/>
  <c r="H1492" i="1"/>
  <c r="E40" i="17412"/>
  <c r="H1471" i="1"/>
  <c r="E19" i="17412"/>
  <c r="H1534" i="1"/>
  <c r="E82" i="17412"/>
  <c r="H1509" i="1"/>
  <c r="E57" i="17412"/>
  <c r="H1566" i="1"/>
  <c r="E114" i="17412"/>
  <c r="H1542" i="1"/>
  <c r="E90" i="17412"/>
  <c r="S136" i="17412"/>
  <c r="R136" i="17412"/>
  <c r="S25" i="17412"/>
  <c r="R25" i="17412"/>
  <c r="S139" i="17412"/>
  <c r="R139" i="17412"/>
  <c r="R123" i="17412"/>
  <c r="S123" i="17412"/>
  <c r="S163" i="17412"/>
  <c r="R163" i="17412"/>
  <c r="R80" i="17412"/>
  <c r="S80" i="17412"/>
  <c r="S47" i="17412"/>
  <c r="R47" i="17412"/>
  <c r="S112" i="17412"/>
  <c r="R112" i="17412"/>
  <c r="S169" i="17412"/>
  <c r="R169" i="17412"/>
  <c r="L63" i="17419"/>
  <c r="R913" i="13"/>
  <c r="R675" i="13"/>
  <c r="R1019" i="13"/>
  <c r="T437" i="6"/>
  <c r="T436" i="6"/>
  <c r="T442" i="6"/>
  <c r="T439" i="6"/>
  <c r="T438" i="6"/>
  <c r="T443" i="6"/>
  <c r="T435" i="6"/>
  <c r="T441" i="6"/>
  <c r="T440" i="6"/>
  <c r="T981" i="13"/>
  <c r="T978" i="13"/>
  <c r="T979" i="13"/>
  <c r="T976" i="13"/>
  <c r="T980" i="13"/>
  <c r="T977" i="13"/>
  <c r="T974" i="13"/>
  <c r="T820" i="13"/>
  <c r="T816" i="13"/>
  <c r="T819" i="13"/>
  <c r="T815" i="13"/>
  <c r="T818" i="13"/>
  <c r="T817" i="13"/>
  <c r="T399" i="6"/>
  <c r="T401" i="6"/>
  <c r="T405" i="6"/>
  <c r="T404" i="6"/>
  <c r="T400" i="6"/>
  <c r="T402" i="6"/>
  <c r="T403" i="6"/>
  <c r="T148" i="13"/>
  <c r="T151" i="13"/>
  <c r="T147" i="13"/>
  <c r="T143" i="13"/>
  <c r="T139" i="13"/>
  <c r="T152" i="13"/>
  <c r="T144" i="13"/>
  <c r="T140" i="13"/>
  <c r="T150" i="13"/>
  <c r="T146" i="13"/>
  <c r="T142" i="13"/>
  <c r="T149" i="13"/>
  <c r="T145" i="13"/>
  <c r="T141" i="13"/>
  <c r="T134" i="13"/>
  <c r="T130" i="13"/>
  <c r="T126" i="13"/>
  <c r="T133" i="13"/>
  <c r="T129" i="13"/>
  <c r="T125" i="13"/>
  <c r="T132" i="13"/>
  <c r="T128" i="13"/>
  <c r="T124" i="13"/>
  <c r="T122" i="13"/>
  <c r="T131" i="13"/>
  <c r="T127" i="13"/>
  <c r="T123" i="13"/>
  <c r="T362" i="13"/>
  <c r="T361" i="13"/>
  <c r="T360" i="13"/>
  <c r="T330" i="13"/>
  <c r="T321" i="13"/>
  <c r="T328" i="13"/>
  <c r="T319" i="13"/>
  <c r="T326" i="13"/>
  <c r="T329" i="13"/>
  <c r="T322" i="13"/>
  <c r="T324" i="13"/>
  <c r="T327" i="13"/>
  <c r="T325" i="13"/>
  <c r="T320" i="13"/>
  <c r="T323" i="13"/>
  <c r="P185" i="6"/>
  <c r="R185" i="6"/>
  <c r="P101" i="6"/>
  <c r="R101" i="6"/>
  <c r="R298" i="13"/>
  <c r="P298" i="13"/>
  <c r="T297" i="13" s="1"/>
  <c r="T279" i="6"/>
  <c r="T276" i="6"/>
  <c r="T278" i="6"/>
  <c r="T277" i="6"/>
  <c r="T470" i="6"/>
  <c r="T471" i="6"/>
  <c r="T461" i="6"/>
  <c r="T467" i="6"/>
  <c r="T469" i="6"/>
  <c r="T462" i="6"/>
  <c r="T468" i="6"/>
  <c r="T465" i="6"/>
  <c r="T464" i="6"/>
  <c r="T455" i="6"/>
  <c r="T456" i="6"/>
  <c r="T466" i="6"/>
  <c r="T459" i="6"/>
  <c r="T460" i="6"/>
  <c r="T463" i="6"/>
  <c r="T458" i="6"/>
  <c r="T472" i="6"/>
  <c r="T457" i="6"/>
  <c r="T826" i="13"/>
  <c r="T823" i="13"/>
  <c r="T825" i="13"/>
  <c r="T822" i="13"/>
  <c r="T824" i="13"/>
  <c r="T821" i="13"/>
  <c r="T356" i="13"/>
  <c r="T352" i="13"/>
  <c r="T348" i="13"/>
  <c r="T359" i="13"/>
  <c r="T355" i="13"/>
  <c r="T351" i="13"/>
  <c r="T347" i="13"/>
  <c r="T358" i="13"/>
  <c r="T354" i="13"/>
  <c r="T350" i="13"/>
  <c r="T357" i="13"/>
  <c r="T353" i="13"/>
  <c r="T349" i="13"/>
  <c r="T404" i="13"/>
  <c r="T400" i="13"/>
  <c r="T396" i="13"/>
  <c r="T392" i="13"/>
  <c r="T388" i="13"/>
  <c r="T384" i="13"/>
  <c r="T403" i="13"/>
  <c r="T399" i="13"/>
  <c r="T395" i="13"/>
  <c r="T391" i="13"/>
  <c r="T387" i="13"/>
  <c r="T406" i="13"/>
  <c r="T402" i="13"/>
  <c r="T398" i="13"/>
  <c r="T394" i="13"/>
  <c r="T390" i="13"/>
  <c r="T386" i="13"/>
  <c r="T393" i="13"/>
  <c r="T405" i="13"/>
  <c r="T389" i="13"/>
  <c r="T401" i="13"/>
  <c r="T385" i="13"/>
  <c r="T397" i="13"/>
  <c r="T923" i="13"/>
  <c r="T919" i="13"/>
  <c r="T915" i="13"/>
  <c r="T911" i="13"/>
  <c r="T907" i="13"/>
  <c r="T903" i="13"/>
  <c r="T899" i="13"/>
  <c r="T922" i="13"/>
  <c r="T918" i="13"/>
  <c r="T914" i="13"/>
  <c r="T910" i="13"/>
  <c r="T906" i="13"/>
  <c r="T902" i="13"/>
  <c r="T898" i="13"/>
  <c r="T925" i="13"/>
  <c r="T921" i="13"/>
  <c r="T917" i="13"/>
  <c r="T913" i="13"/>
  <c r="T909" i="13"/>
  <c r="T905" i="13"/>
  <c r="T901" i="13"/>
  <c r="T897" i="13"/>
  <c r="T924" i="13"/>
  <c r="T920" i="13"/>
  <c r="T916" i="13"/>
  <c r="T912" i="13"/>
  <c r="T908" i="13"/>
  <c r="T904" i="13"/>
  <c r="T900" i="13"/>
  <c r="T896" i="13"/>
  <c r="P345" i="13"/>
  <c r="T343" i="13" s="1"/>
  <c r="R345" i="13"/>
  <c r="P337" i="13"/>
  <c r="T335" i="13" s="1"/>
  <c r="R337" i="13"/>
  <c r="P141" i="6"/>
  <c r="R141" i="6"/>
  <c r="R809" i="13"/>
  <c r="P809" i="13"/>
  <c r="T55" i="13"/>
  <c r="T58" i="13"/>
  <c r="T54" i="13"/>
  <c r="T57" i="13"/>
  <c r="T53" i="13"/>
  <c r="T56" i="13"/>
  <c r="H1511" i="1"/>
  <c r="F58" i="10"/>
  <c r="H58" i="10" s="1"/>
  <c r="J58" i="10" s="1"/>
  <c r="H1539" i="1"/>
  <c r="F54" i="10"/>
  <c r="H54" i="10" s="1"/>
  <c r="J54" i="10" s="1"/>
  <c r="H1629" i="1"/>
  <c r="H1576" i="1"/>
  <c r="G1481" i="1"/>
  <c r="E29" i="17412" s="1"/>
  <c r="G998" i="1"/>
  <c r="H998" i="1" s="1"/>
  <c r="G1496" i="1"/>
  <c r="G1506" i="1"/>
  <c r="G1543" i="1"/>
  <c r="H1484" i="1"/>
  <c r="H1561" i="1"/>
  <c r="H1487" i="1"/>
  <c r="G1624" i="1"/>
  <c r="H1548" i="1"/>
  <c r="H1483" i="1"/>
  <c r="S66" i="17412"/>
  <c r="R66" i="17412"/>
  <c r="G1596" i="1"/>
  <c r="G1463" i="1"/>
  <c r="G1612" i="1"/>
  <c r="G1520" i="1"/>
  <c r="G1515" i="1"/>
  <c r="H1541" i="1"/>
  <c r="G1580" i="1"/>
  <c r="R116" i="13"/>
  <c r="R843" i="13"/>
  <c r="M311" i="6"/>
  <c r="O309" i="6"/>
  <c r="M294" i="6"/>
  <c r="O292" i="6"/>
  <c r="U244" i="17418"/>
  <c r="S177" i="17412"/>
  <c r="M718" i="13"/>
  <c r="O719" i="13"/>
  <c r="Q719" i="13" s="1"/>
  <c r="V27" i="17418"/>
  <c r="V26" i="17418"/>
  <c r="V25" i="17418"/>
  <c r="V24" i="17418"/>
  <c r="V23" i="17418"/>
  <c r="R842" i="13"/>
  <c r="D64" i="14"/>
  <c r="D60" i="14"/>
  <c r="D56" i="14"/>
  <c r="D52" i="14"/>
  <c r="D48" i="14"/>
  <c r="D44" i="14"/>
  <c r="D40" i="14"/>
  <c r="I43" i="12"/>
  <c r="I48" i="12" s="1"/>
  <c r="D36" i="14"/>
  <c r="D32" i="14"/>
  <c r="D28" i="14"/>
  <c r="D24" i="14"/>
  <c r="D20" i="14"/>
  <c r="D16" i="14"/>
  <c r="D12" i="14"/>
  <c r="C12" i="14" s="1"/>
  <c r="F20" i="1" s="1"/>
  <c r="L145" i="4" s="1"/>
  <c r="H43" i="12"/>
  <c r="H48" i="12" s="1"/>
  <c r="G12" i="10"/>
  <c r="G43" i="12"/>
  <c r="D9" i="14"/>
  <c r="M140" i="4"/>
  <c r="D63" i="14"/>
  <c r="D59" i="14"/>
  <c r="D55" i="14"/>
  <c r="D51" i="14"/>
  <c r="C51" i="14" s="1"/>
  <c r="F59" i="1" s="1"/>
  <c r="L184" i="4" s="1"/>
  <c r="D47" i="14"/>
  <c r="D43" i="14"/>
  <c r="D39" i="14"/>
  <c r="D35" i="14"/>
  <c r="D31" i="14"/>
  <c r="C31" i="14" s="1"/>
  <c r="F39" i="1" s="1"/>
  <c r="L164" i="4" s="1"/>
  <c r="D27" i="14"/>
  <c r="D23" i="14"/>
  <c r="D19" i="14"/>
  <c r="D15" i="14"/>
  <c r="C15" i="14" s="1"/>
  <c r="F23" i="1" s="1"/>
  <c r="L148" i="4" s="1"/>
  <c r="D11" i="14"/>
  <c r="C11" i="14" s="1"/>
  <c r="F19" i="1" s="1"/>
  <c r="L144" i="4" s="1"/>
  <c r="D8" i="14"/>
  <c r="C8" i="14" s="1"/>
  <c r="F16" i="1" s="1"/>
  <c r="L141" i="4" s="1"/>
  <c r="G11" i="10"/>
  <c r="N4" i="8"/>
  <c r="G13" i="10"/>
  <c r="D66" i="14"/>
  <c r="D62" i="14"/>
  <c r="D58" i="14"/>
  <c r="D54" i="14"/>
  <c r="D50" i="14"/>
  <c r="D46" i="14"/>
  <c r="D42" i="14"/>
  <c r="D38" i="14"/>
  <c r="D34" i="14"/>
  <c r="D30" i="14"/>
  <c r="D26" i="14"/>
  <c r="D22" i="14"/>
  <c r="D18" i="14"/>
  <c r="D14" i="14"/>
  <c r="C14" i="14" s="1"/>
  <c r="F22" i="1" s="1"/>
  <c r="L147" i="4" s="1"/>
  <c r="K43" i="12"/>
  <c r="K48" i="12" s="1"/>
  <c r="D7" i="14"/>
  <c r="C7" i="14" s="1"/>
  <c r="F15" i="1" s="1"/>
  <c r="L140" i="4" s="1"/>
  <c r="G10" i="10"/>
  <c r="J43" i="12"/>
  <c r="J48" i="12" s="1"/>
  <c r="D65" i="14"/>
  <c r="D61" i="14"/>
  <c r="C61" i="14" s="1"/>
  <c r="F69" i="1" s="1"/>
  <c r="L194" i="4" s="1"/>
  <c r="D57" i="14"/>
  <c r="D53" i="14"/>
  <c r="D49" i="14"/>
  <c r="D45" i="14"/>
  <c r="D41" i="14"/>
  <c r="C41" i="14" s="1"/>
  <c r="F49" i="1" s="1"/>
  <c r="L174" i="4" s="1"/>
  <c r="D37" i="14"/>
  <c r="O18" i="12"/>
  <c r="D33" i="14"/>
  <c r="D29" i="14"/>
  <c r="D25" i="14"/>
  <c r="D21" i="14"/>
  <c r="C21" i="14" s="1"/>
  <c r="F29" i="1" s="1"/>
  <c r="L154" i="4" s="1"/>
  <c r="D17" i="14"/>
  <c r="D13" i="14"/>
  <c r="C13" i="14" s="1"/>
  <c r="F21" i="1" s="1"/>
  <c r="L146" i="4" s="1"/>
  <c r="G14" i="10"/>
  <c r="G9" i="10"/>
  <c r="D10" i="14"/>
  <c r="C10" i="14" s="1"/>
  <c r="F18" i="1" s="1"/>
  <c r="L143" i="4" s="1"/>
  <c r="G15" i="10"/>
  <c r="Q1131" i="13"/>
  <c r="Q554" i="13"/>
  <c r="G8" i="1" s="1"/>
  <c r="F10" i="10" s="1"/>
  <c r="H10" i="10" s="1"/>
  <c r="J10" i="10" s="1"/>
  <c r="O803" i="13"/>
  <c r="Q803" i="13" s="1"/>
  <c r="M802" i="13"/>
  <c r="O789" i="13"/>
  <c r="Q789" i="13" s="1"/>
  <c r="O787" i="13"/>
  <c r="O788" i="13"/>
  <c r="Q788" i="13" s="1"/>
  <c r="O738" i="13"/>
  <c r="Q738" i="13" s="1"/>
  <c r="N736" i="13"/>
  <c r="O736" i="13" s="1"/>
  <c r="O890" i="13"/>
  <c r="Q890" i="13" s="1"/>
  <c r="M889" i="13"/>
  <c r="M779" i="13"/>
  <c r="O780" i="13"/>
  <c r="Q780" i="13" s="1"/>
  <c r="U279" i="17418"/>
  <c r="U250" i="17418"/>
  <c r="U248" i="17418"/>
  <c r="U267" i="17418"/>
  <c r="U262" i="17418"/>
  <c r="U243" i="17418"/>
  <c r="U246" i="17418"/>
  <c r="U249" i="17418"/>
  <c r="U285" i="17418"/>
  <c r="U254" i="17418"/>
  <c r="U280" i="17418"/>
  <c r="U260" i="17418"/>
  <c r="U276" i="17418"/>
  <c r="U238" i="17418"/>
  <c r="V58" i="17418"/>
  <c r="M42" i="17419"/>
  <c r="V56" i="17418"/>
  <c r="M9" i="17419"/>
  <c r="V53" i="17418"/>
  <c r="V49" i="17418"/>
  <c r="V55" i="17418"/>
  <c r="V50" i="17418"/>
  <c r="V47" i="17418"/>
  <c r="V45" i="17418"/>
  <c r="V51" i="17418"/>
  <c r="V46" i="17418"/>
  <c r="V42" i="17418"/>
  <c r="V39" i="17418"/>
  <c r="V35" i="17418"/>
  <c r="V54" i="17418"/>
  <c r="V52" i="17418"/>
  <c r="V44" i="17418"/>
  <c r="V40" i="17418"/>
  <c r="V38" i="17418"/>
  <c r="V31" i="17418"/>
  <c r="V60" i="17418"/>
  <c r="V59" i="17418"/>
  <c r="V57" i="17418"/>
  <c r="V37" i="17418"/>
  <c r="V33" i="17418"/>
  <c r="V29" i="17418"/>
  <c r="V48" i="17418"/>
  <c r="V41" i="17418"/>
  <c r="V43" i="17418"/>
  <c r="V34" i="17418"/>
  <c r="V30" i="17418"/>
  <c r="V15" i="17418"/>
  <c r="V36" i="17418"/>
  <c r="W7" i="17418"/>
  <c r="V32" i="17418"/>
  <c r="U266" i="17418"/>
  <c r="U284" i="17418"/>
  <c r="U258" i="17418"/>
  <c r="U247" i="17418"/>
  <c r="U273" i="17418"/>
  <c r="U245" i="17418"/>
  <c r="U288" i="17418"/>
  <c r="U261" i="17418"/>
  <c r="U257" i="17418"/>
  <c r="U242" i="17418"/>
  <c r="U256" i="17418"/>
  <c r="U281" i="17418"/>
  <c r="U253" i="17418"/>
  <c r="U287" i="17418"/>
  <c r="U278" i="17418"/>
  <c r="U275" i="17418"/>
  <c r="U272" i="17418"/>
  <c r="U270" i="17418"/>
  <c r="U255" i="17418"/>
  <c r="U241" i="17418"/>
  <c r="U240" i="17418"/>
  <c r="U252" i="17418"/>
  <c r="U286" i="17418"/>
  <c r="U283" i="17418"/>
  <c r="R98" i="17412"/>
  <c r="S110" i="17412"/>
  <c r="R96" i="17412"/>
  <c r="R88" i="17412"/>
  <c r="S158" i="17412"/>
  <c r="R124" i="17412"/>
  <c r="S53" i="17412"/>
  <c r="R65" i="17412"/>
  <c r="R42" i="17412"/>
  <c r="O18" i="17418"/>
  <c r="R8" i="17412"/>
  <c r="S8" i="17412"/>
  <c r="E388" i="6"/>
  <c r="Q388" i="6" s="1"/>
  <c r="E392" i="6"/>
  <c r="Q392" i="6" s="1"/>
  <c r="G1630" i="1" s="1"/>
  <c r="E389" i="6"/>
  <c r="Q389" i="6" s="1"/>
  <c r="E391" i="6"/>
  <c r="Q391" i="6" s="1"/>
  <c r="G1774" i="1"/>
  <c r="E390" i="6"/>
  <c r="Q390" i="6" s="1"/>
  <c r="E387" i="6"/>
  <c r="Q387" i="6" s="1"/>
  <c r="E386" i="6"/>
  <c r="Q386" i="6" s="1"/>
  <c r="G1773" i="1"/>
  <c r="R472" i="6"/>
  <c r="R580" i="13"/>
  <c r="E369" i="6"/>
  <c r="Q369" i="6" s="1"/>
  <c r="R369" i="6" s="1"/>
  <c r="E368" i="6"/>
  <c r="Q368" i="6" s="1"/>
  <c r="G1767" i="1"/>
  <c r="E364" i="6"/>
  <c r="Q364" i="6" s="1"/>
  <c r="E365" i="6"/>
  <c r="Q365" i="6" s="1"/>
  <c r="E366" i="6"/>
  <c r="Q366" i="6" s="1"/>
  <c r="G1559" i="1" s="1"/>
  <c r="E367" i="6"/>
  <c r="Q367" i="6" s="1"/>
  <c r="G970" i="1" s="1"/>
  <c r="H970" i="1" s="1"/>
  <c r="E363" i="6"/>
  <c r="Q363" i="6" s="1"/>
  <c r="G1766" i="1"/>
  <c r="R303" i="6"/>
  <c r="R298" i="6"/>
  <c r="R471" i="6"/>
  <c r="E384" i="6"/>
  <c r="Q384" i="6" s="1"/>
  <c r="G1600" i="1" s="1"/>
  <c r="E383" i="6"/>
  <c r="Q383" i="6" s="1"/>
  <c r="E382" i="6"/>
  <c r="Q382" i="6" s="1"/>
  <c r="E385" i="6"/>
  <c r="Q385" i="6" s="1"/>
  <c r="G1595" i="1" s="1"/>
  <c r="E143" i="17412" s="1"/>
  <c r="G1772" i="1"/>
  <c r="R469" i="6"/>
  <c r="E646" i="13"/>
  <c r="Q646" i="13" s="1"/>
  <c r="E641" i="13"/>
  <c r="Q641" i="13" s="1"/>
  <c r="E644" i="13"/>
  <c r="Q644" i="13" s="1"/>
  <c r="E643" i="13"/>
  <c r="Q643" i="13" s="1"/>
  <c r="E645" i="13"/>
  <c r="Q645" i="13" s="1"/>
  <c r="E642" i="13"/>
  <c r="Q642" i="13" s="1"/>
  <c r="G1788" i="1"/>
  <c r="E371" i="6"/>
  <c r="Q371" i="6" s="1"/>
  <c r="E370" i="6"/>
  <c r="Q370" i="6" s="1"/>
  <c r="G1768" i="1"/>
  <c r="E372" i="6"/>
  <c r="Q372" i="6" s="1"/>
  <c r="R372" i="6" s="1"/>
  <c r="R304" i="6"/>
  <c r="R462" i="6"/>
  <c r="R578" i="13"/>
  <c r="S125" i="17412"/>
  <c r="R125" i="17412"/>
  <c r="S77" i="17412"/>
  <c r="R77" i="17412"/>
  <c r="G473" i="6"/>
  <c r="G477" i="6"/>
  <c r="G475" i="6"/>
  <c r="G476" i="6"/>
  <c r="G474" i="6"/>
  <c r="R173" i="17412"/>
  <c r="S173" i="17412"/>
  <c r="R60" i="17412"/>
  <c r="S60" i="17412"/>
  <c r="P372" i="13"/>
  <c r="R372" i="13"/>
  <c r="R800" i="13"/>
  <c r="P800" i="13"/>
  <c r="O16" i="17418"/>
  <c r="O20" i="17418"/>
  <c r="O15" i="17418"/>
  <c r="O17" i="17418"/>
  <c r="V14" i="17418" l="1"/>
  <c r="W22" i="17418"/>
  <c r="W20" i="17418" s="1"/>
  <c r="W17" i="17418"/>
  <c r="W16" i="17418"/>
  <c r="W21" i="17418"/>
  <c r="W19" i="17418"/>
  <c r="W18" i="17418" s="1"/>
  <c r="O22" i="17418"/>
  <c r="O21" i="17418"/>
  <c r="K35" i="17422"/>
  <c r="AJ35" i="17422" s="1"/>
  <c r="I41" i="17422"/>
  <c r="AH41" i="17422" s="1"/>
  <c r="J41" i="17422"/>
  <c r="AI41" i="17422" s="1"/>
  <c r="K32" i="17422"/>
  <c r="AJ32" i="17422" s="1"/>
  <c r="K29" i="17422"/>
  <c r="AJ29" i="17422" s="1"/>
  <c r="T1259" i="13"/>
  <c r="T1264" i="13"/>
  <c r="T1263" i="13"/>
  <c r="T1260" i="13"/>
  <c r="E61" i="17412"/>
  <c r="T1261" i="13"/>
  <c r="T1258" i="13"/>
  <c r="T1257" i="13"/>
  <c r="G989" i="4"/>
  <c r="T989" i="4"/>
  <c r="T988" i="4"/>
  <c r="F988" i="4"/>
  <c r="G988" i="4"/>
  <c r="F989" i="4"/>
  <c r="K38" i="17422"/>
  <c r="AJ38" i="17422" s="1"/>
  <c r="O16" i="14"/>
  <c r="V267" i="17418"/>
  <c r="T259" i="17418"/>
  <c r="K26" i="17422"/>
  <c r="AJ26" i="17422" s="1"/>
  <c r="U259" i="17418"/>
  <c r="V251" i="17418"/>
  <c r="V239" i="17418"/>
  <c r="V263" i="17418"/>
  <c r="V269" i="17418"/>
  <c r="V271" i="17418"/>
  <c r="T100" i="13"/>
  <c r="T105" i="13"/>
  <c r="T107" i="13"/>
  <c r="T106" i="13"/>
  <c r="T108" i="13"/>
  <c r="T98" i="13"/>
  <c r="T109" i="13"/>
  <c r="T102" i="13"/>
  <c r="T104" i="13"/>
  <c r="T97" i="13"/>
  <c r="T99" i="13"/>
  <c r="T101" i="13"/>
  <c r="T103" i="13"/>
  <c r="T235" i="4"/>
  <c r="S146" i="17412"/>
  <c r="AO680" i="4"/>
  <c r="AO686" i="4"/>
  <c r="AO688" i="4"/>
  <c r="AO682" i="4"/>
  <c r="AO679" i="4"/>
  <c r="AO681" i="4"/>
  <c r="AO683" i="4"/>
  <c r="AO689" i="4"/>
  <c r="AO684" i="4"/>
  <c r="AO687" i="4"/>
  <c r="AO685" i="4"/>
  <c r="AO262" i="4"/>
  <c r="AO265" i="4"/>
  <c r="T229" i="4"/>
  <c r="F239" i="4"/>
  <c r="F229" i="4"/>
  <c r="F226" i="4"/>
  <c r="F231" i="4"/>
  <c r="F238" i="4"/>
  <c r="F232" i="4"/>
  <c r="F237" i="4"/>
  <c r="F224" i="4"/>
  <c r="F240" i="4"/>
  <c r="F233" i="4"/>
  <c r="F230" i="4"/>
  <c r="F236" i="4"/>
  <c r="F225" i="4"/>
  <c r="F227" i="4"/>
  <c r="F234" i="4"/>
  <c r="F228" i="4"/>
  <c r="AO127" i="4"/>
  <c r="T230" i="4"/>
  <c r="T239" i="4"/>
  <c r="T231" i="4"/>
  <c r="T224" i="4"/>
  <c r="T234" i="4"/>
  <c r="T232" i="4"/>
  <c r="T233" i="4"/>
  <c r="T226" i="4"/>
  <c r="T237" i="4"/>
  <c r="T225" i="4"/>
  <c r="T228" i="4"/>
  <c r="T240" i="4"/>
  <c r="G234" i="4"/>
  <c r="G228" i="4"/>
  <c r="G233" i="4"/>
  <c r="G237" i="4"/>
  <c r="G238" i="4"/>
  <c r="G232" i="4"/>
  <c r="G226" i="4"/>
  <c r="G230" i="4"/>
  <c r="G239" i="4"/>
  <c r="G231" i="4"/>
  <c r="G225" i="4"/>
  <c r="G227" i="4"/>
  <c r="G236" i="4"/>
  <c r="G229" i="4"/>
  <c r="G240" i="4"/>
  <c r="G224" i="4"/>
  <c r="T227" i="4"/>
  <c r="T236" i="4"/>
  <c r="T238" i="4"/>
  <c r="AO264" i="4"/>
  <c r="AO266" i="4"/>
  <c r="AO260" i="4"/>
  <c r="AO261" i="4"/>
  <c r="AO259" i="4"/>
  <c r="AO263" i="4"/>
  <c r="AO126" i="4"/>
  <c r="AO130" i="4"/>
  <c r="AO131" i="4"/>
  <c r="AO129" i="4"/>
  <c r="AO128" i="4"/>
  <c r="AO11" i="4"/>
  <c r="AO9" i="4"/>
  <c r="AO12" i="4"/>
  <c r="AO10" i="4"/>
  <c r="AO8" i="4"/>
  <c r="AO15" i="4"/>
  <c r="AO13" i="4"/>
  <c r="AO14" i="4"/>
  <c r="R166" i="17412"/>
  <c r="S155" i="17412"/>
  <c r="R155" i="17412"/>
  <c r="S30" i="17412"/>
  <c r="T342" i="6"/>
  <c r="T340" i="6"/>
  <c r="T349" i="6"/>
  <c r="T347" i="6"/>
  <c r="T358" i="6"/>
  <c r="T351" i="6"/>
  <c r="T341" i="6"/>
  <c r="T348" i="6"/>
  <c r="T343" i="6"/>
  <c r="T359" i="6"/>
  <c r="T344" i="6"/>
  <c r="T354" i="6"/>
  <c r="T356" i="6"/>
  <c r="T353" i="6"/>
  <c r="T352" i="6"/>
  <c r="T346" i="6"/>
  <c r="T339" i="6"/>
  <c r="T357" i="6"/>
  <c r="T355" i="6"/>
  <c r="T345" i="6"/>
  <c r="T350" i="6"/>
  <c r="E101" i="17412"/>
  <c r="AO798" i="13"/>
  <c r="AO800" i="13"/>
  <c r="AO796" i="13"/>
  <c r="AO788" i="13"/>
  <c r="AO793" i="13"/>
  <c r="AO794" i="13"/>
  <c r="AO799" i="13"/>
  <c r="AO795" i="13"/>
  <c r="AO792" i="13"/>
  <c r="AO791" i="13"/>
  <c r="AO790" i="13"/>
  <c r="AO797" i="13"/>
  <c r="AO787" i="13"/>
  <c r="AO789" i="13"/>
  <c r="AO747" i="13"/>
  <c r="AO741" i="13"/>
  <c r="AO737" i="13"/>
  <c r="AO739" i="13"/>
  <c r="AO740" i="13"/>
  <c r="AO738" i="13"/>
  <c r="AO746" i="13"/>
  <c r="AO744" i="13"/>
  <c r="AO745" i="13"/>
  <c r="AO736" i="13"/>
  <c r="AN531" i="4" s="1"/>
  <c r="AO743" i="13"/>
  <c r="AO742" i="13"/>
  <c r="H1481" i="1"/>
  <c r="CB37" i="17418"/>
  <c r="IB37" i="17418" s="1"/>
  <c r="DY37" i="17418"/>
  <c r="JY37" i="17418" s="1"/>
  <c r="FV37" i="17418"/>
  <c r="HS23" i="17418"/>
  <c r="DY23" i="17418"/>
  <c r="CB23" i="17418"/>
  <c r="FV23" i="17418"/>
  <c r="JP23" i="17418"/>
  <c r="DY27" i="17418"/>
  <c r="CB27" i="17418"/>
  <c r="IB27" i="17418" s="1"/>
  <c r="FV27" i="17418"/>
  <c r="JP27" i="17418"/>
  <c r="DY36" i="17418"/>
  <c r="JY36" i="17418" s="1"/>
  <c r="FV36" i="17418"/>
  <c r="CB36" i="17418"/>
  <c r="IB36" i="17418" s="1"/>
  <c r="HS24" i="17418"/>
  <c r="DY24" i="17418"/>
  <c r="CB24" i="17418"/>
  <c r="FV24" i="17418"/>
  <c r="JP24" i="17418"/>
  <c r="HS25" i="17418"/>
  <c r="DY25" i="17418"/>
  <c r="JP25" i="17418"/>
  <c r="CB25" i="17418"/>
  <c r="FV25" i="17418"/>
  <c r="HS26" i="17418"/>
  <c r="DY26" i="17418"/>
  <c r="CB26" i="17418"/>
  <c r="JP26" i="17418"/>
  <c r="FV26" i="17418"/>
  <c r="S143" i="17412"/>
  <c r="R143" i="17412"/>
  <c r="Q292" i="6"/>
  <c r="S57" i="17412"/>
  <c r="R57" i="17412"/>
  <c r="S78" i="17412"/>
  <c r="R78" i="17412"/>
  <c r="R86" i="17412"/>
  <c r="S86" i="17412"/>
  <c r="R85" i="17412"/>
  <c r="S85" i="17412"/>
  <c r="S159" i="17412"/>
  <c r="R159" i="17412"/>
  <c r="S116" i="17412"/>
  <c r="R116" i="17412"/>
  <c r="S10" i="17412"/>
  <c r="R10" i="17412"/>
  <c r="R50" i="17412"/>
  <c r="S50" i="17412"/>
  <c r="AO7" i="4"/>
  <c r="Q736" i="13"/>
  <c r="H1600" i="1"/>
  <c r="E148" i="17412"/>
  <c r="H1559" i="1"/>
  <c r="E107" i="17412"/>
  <c r="R107" i="17412" s="1"/>
  <c r="H1630" i="1"/>
  <c r="E178" i="17412"/>
  <c r="V274" i="17418"/>
  <c r="V247" i="17418"/>
  <c r="H1580" i="1"/>
  <c r="E128" i="17412"/>
  <c r="S128" i="17412" s="1"/>
  <c r="H1515" i="1"/>
  <c r="E63" i="17412"/>
  <c r="H1520" i="1"/>
  <c r="E68" i="17412"/>
  <c r="H1612" i="1"/>
  <c r="E160" i="17412"/>
  <c r="H1463" i="1"/>
  <c r="E11" i="17412"/>
  <c r="H1596" i="1"/>
  <c r="E144" i="17412"/>
  <c r="S144" i="17412" s="1"/>
  <c r="H1624" i="1"/>
  <c r="E172" i="17412"/>
  <c r="H1543" i="1"/>
  <c r="E91" i="17412"/>
  <c r="H1506" i="1"/>
  <c r="E54" i="17412"/>
  <c r="H1496" i="1"/>
  <c r="E44" i="17412"/>
  <c r="R90" i="17412"/>
  <c r="S90" i="17412"/>
  <c r="R114" i="17412"/>
  <c r="S114" i="17412"/>
  <c r="R82" i="17412"/>
  <c r="S82" i="17412"/>
  <c r="S55" i="17412"/>
  <c r="R55" i="17412"/>
  <c r="R70" i="17412"/>
  <c r="S70" i="17412"/>
  <c r="S115" i="17412"/>
  <c r="R115" i="17412"/>
  <c r="S162" i="17412"/>
  <c r="R162" i="17412"/>
  <c r="M63" i="17419"/>
  <c r="T803" i="13"/>
  <c r="T806" i="13"/>
  <c r="T801" i="13"/>
  <c r="T804" i="13"/>
  <c r="T807" i="13"/>
  <c r="T805" i="13"/>
  <c r="T808" i="13"/>
  <c r="T802" i="13"/>
  <c r="T810" i="13"/>
  <c r="T809" i="13"/>
  <c r="T332" i="13"/>
  <c r="T334" i="13"/>
  <c r="T344" i="13"/>
  <c r="T342" i="13"/>
  <c r="T336" i="13"/>
  <c r="T338" i="13"/>
  <c r="T340" i="13"/>
  <c r="T346" i="13"/>
  <c r="T135" i="6"/>
  <c r="T107" i="6"/>
  <c r="T124" i="6"/>
  <c r="T133" i="6"/>
  <c r="T131" i="6"/>
  <c r="T127" i="6"/>
  <c r="T139" i="6"/>
  <c r="T109" i="6"/>
  <c r="T138" i="6"/>
  <c r="T118" i="6"/>
  <c r="T134" i="6"/>
  <c r="T111" i="6"/>
  <c r="T106" i="6"/>
  <c r="T132" i="6"/>
  <c r="T114" i="6"/>
  <c r="T116" i="6"/>
  <c r="T130" i="6"/>
  <c r="T113" i="6"/>
  <c r="T137" i="6"/>
  <c r="T104" i="6"/>
  <c r="T117" i="6"/>
  <c r="T122" i="6"/>
  <c r="T126" i="6"/>
  <c r="T115" i="6"/>
  <c r="T125" i="6"/>
  <c r="T140" i="6"/>
  <c r="T101" i="6"/>
  <c r="T102" i="6"/>
  <c r="T136" i="6"/>
  <c r="T112" i="6"/>
  <c r="T120" i="6"/>
  <c r="T103" i="6"/>
  <c r="T129" i="6"/>
  <c r="T121" i="6"/>
  <c r="T123" i="6"/>
  <c r="T108" i="6"/>
  <c r="T128" i="6"/>
  <c r="T105" i="6"/>
  <c r="T110" i="6"/>
  <c r="T119" i="6"/>
  <c r="T333" i="13"/>
  <c r="T331" i="13"/>
  <c r="T341" i="13"/>
  <c r="T339" i="13"/>
  <c r="T172" i="6"/>
  <c r="T159" i="6"/>
  <c r="T175" i="6"/>
  <c r="T173" i="6"/>
  <c r="T150" i="6"/>
  <c r="T148" i="6"/>
  <c r="T164" i="6"/>
  <c r="T143" i="6"/>
  <c r="T156" i="6"/>
  <c r="T171" i="6"/>
  <c r="T174" i="6"/>
  <c r="T160" i="6"/>
  <c r="T151" i="6"/>
  <c r="T163" i="6"/>
  <c r="T153" i="6"/>
  <c r="T161" i="6"/>
  <c r="T155" i="6"/>
  <c r="T154" i="6"/>
  <c r="T178" i="6"/>
  <c r="T152" i="6"/>
  <c r="T166" i="6"/>
  <c r="T146" i="6"/>
  <c r="T144" i="6"/>
  <c r="T141" i="6"/>
  <c r="T167" i="6"/>
  <c r="T162" i="6"/>
  <c r="T158" i="6"/>
  <c r="T142" i="6"/>
  <c r="T147" i="6"/>
  <c r="T179" i="6"/>
  <c r="T145" i="6"/>
  <c r="T170" i="6"/>
  <c r="T176" i="6"/>
  <c r="T165" i="6"/>
  <c r="T149" i="6"/>
  <c r="T157" i="6"/>
  <c r="T169" i="6"/>
  <c r="T168" i="6"/>
  <c r="T177" i="6"/>
  <c r="T337" i="13"/>
  <c r="T345" i="13"/>
  <c r="T294" i="13"/>
  <c r="T298" i="13"/>
  <c r="T295" i="13"/>
  <c r="T296" i="13"/>
  <c r="T187" i="6"/>
  <c r="T190" i="6"/>
  <c r="T201" i="6"/>
  <c r="T220" i="6"/>
  <c r="T191" i="6"/>
  <c r="T218" i="6"/>
  <c r="T207" i="6"/>
  <c r="T216" i="6"/>
  <c r="T222" i="6"/>
  <c r="T202" i="6"/>
  <c r="T186" i="6"/>
  <c r="T188" i="6"/>
  <c r="T205" i="6"/>
  <c r="T193" i="6"/>
  <c r="T209" i="6"/>
  <c r="T217" i="6"/>
  <c r="T210" i="6"/>
  <c r="T211" i="6"/>
  <c r="T212" i="6"/>
  <c r="T215" i="6"/>
  <c r="T192" i="6"/>
  <c r="T219" i="6"/>
  <c r="T198" i="6"/>
  <c r="T214" i="6"/>
  <c r="T185" i="6"/>
  <c r="T203" i="6"/>
  <c r="T223" i="6"/>
  <c r="T204" i="6"/>
  <c r="T199" i="6"/>
  <c r="T206" i="6"/>
  <c r="T189" i="6"/>
  <c r="T197" i="6"/>
  <c r="T195" i="6"/>
  <c r="T208" i="6"/>
  <c r="T194" i="6"/>
  <c r="T221" i="6"/>
  <c r="T213" i="6"/>
  <c r="T196" i="6"/>
  <c r="T200" i="6"/>
  <c r="H1595" i="1"/>
  <c r="F61" i="10"/>
  <c r="H61" i="10" s="1"/>
  <c r="J61" i="10" s="1"/>
  <c r="G1546" i="1"/>
  <c r="E94" i="17412" s="1"/>
  <c r="G1491" i="1"/>
  <c r="F56" i="10" s="1"/>
  <c r="H56" i="10" s="1"/>
  <c r="J56" i="10" s="1"/>
  <c r="G1485" i="1"/>
  <c r="E33" i="17412" s="1"/>
  <c r="S16" i="17412"/>
  <c r="R16" i="17412"/>
  <c r="S23" i="17412"/>
  <c r="R23" i="17412"/>
  <c r="R130" i="17412"/>
  <c r="S130" i="17412"/>
  <c r="R122" i="17412"/>
  <c r="S122" i="17412"/>
  <c r="R137" i="17412"/>
  <c r="S137" i="17412"/>
  <c r="S28" i="17412"/>
  <c r="R28" i="17412"/>
  <c r="R40" i="17412"/>
  <c r="S40" i="17412"/>
  <c r="R387" i="6"/>
  <c r="G1493" i="1"/>
  <c r="R391" i="6"/>
  <c r="G1593" i="1"/>
  <c r="S6" i="17412"/>
  <c r="H1644" i="1" s="1"/>
  <c r="J31" i="8" s="1"/>
  <c r="G44" i="17413" s="1"/>
  <c r="R6" i="17412"/>
  <c r="R187" i="17412" s="1"/>
  <c r="S49" i="17412"/>
  <c r="R49" i="17412"/>
  <c r="S17" i="17412"/>
  <c r="R17" i="17412"/>
  <c r="R84" i="17412"/>
  <c r="S84" i="17412"/>
  <c r="S89" i="17412"/>
  <c r="Q309" i="6"/>
  <c r="O294" i="6"/>
  <c r="Q294" i="6" s="1"/>
  <c r="M295" i="6"/>
  <c r="O295" i="6" s="1"/>
  <c r="O311" i="6"/>
  <c r="Q311" i="6" s="1"/>
  <c r="M312" i="6"/>
  <c r="O312" i="6" s="1"/>
  <c r="S174" i="17412"/>
  <c r="R174" i="17412"/>
  <c r="S48" i="17412"/>
  <c r="R48" i="17412"/>
  <c r="M717" i="13"/>
  <c r="O717" i="13" s="1"/>
  <c r="O718" i="13"/>
  <c r="Q718" i="13" s="1"/>
  <c r="V245" i="17418"/>
  <c r="W24" i="17418"/>
  <c r="W25" i="17418"/>
  <c r="W26" i="17418"/>
  <c r="W27" i="17418"/>
  <c r="W23" i="17418"/>
  <c r="S65" i="17412"/>
  <c r="R132" i="17412"/>
  <c r="S132" i="17412"/>
  <c r="O25" i="12"/>
  <c r="O21" i="12"/>
  <c r="O23" i="12" s="1"/>
  <c r="F19" i="12" s="1"/>
  <c r="G48" i="12"/>
  <c r="O26" i="12"/>
  <c r="N3" i="8"/>
  <c r="M141" i="4"/>
  <c r="O140" i="4"/>
  <c r="Q787" i="13"/>
  <c r="M778" i="13"/>
  <c r="O778" i="13" s="1"/>
  <c r="O779" i="13"/>
  <c r="Q779" i="13" s="1"/>
  <c r="M888" i="13"/>
  <c r="O889" i="13"/>
  <c r="Q889" i="13" s="1"/>
  <c r="M801" i="13"/>
  <c r="O801" i="13" s="1"/>
  <c r="O802" i="13"/>
  <c r="Q802" i="13" s="1"/>
  <c r="R158" i="17412"/>
  <c r="S87" i="17412"/>
  <c r="V275" i="17418"/>
  <c r="V243" i="17418"/>
  <c r="V264" i="17418"/>
  <c r="V268" i="17418"/>
  <c r="V282" i="17418"/>
  <c r="V253" i="17418"/>
  <c r="V289" i="17418"/>
  <c r="V276" i="17418"/>
  <c r="V254" i="17418"/>
  <c r="V248" i="17418"/>
  <c r="V280" i="17418"/>
  <c r="V287" i="17418"/>
  <c r="V252" i="17418"/>
  <c r="V270" i="17418"/>
  <c r="V241" i="17418"/>
  <c r="V273" i="17418"/>
  <c r="V242" i="17418"/>
  <c r="V278" i="17418"/>
  <c r="V257" i="17418"/>
  <c r="V255" i="17418"/>
  <c r="N42" i="17419"/>
  <c r="W60" i="17418"/>
  <c r="W57" i="17418"/>
  <c r="W58" i="17418"/>
  <c r="W55" i="17418"/>
  <c r="W56" i="17418"/>
  <c r="W52" i="17418"/>
  <c r="W48" i="17418"/>
  <c r="W59" i="17418"/>
  <c r="W44" i="17418"/>
  <c r="W50" i="17418"/>
  <c r="W41" i="17418"/>
  <c r="W38" i="17418"/>
  <c r="W36" i="17418"/>
  <c r="W30" i="17418"/>
  <c r="W47" i="17418"/>
  <c r="W43" i="17418"/>
  <c r="W35" i="17418"/>
  <c r="W33" i="17418"/>
  <c r="W29" i="17418"/>
  <c r="W51" i="17418"/>
  <c r="W49" i="17418"/>
  <c r="W42" i="17418"/>
  <c r="W39" i="17418"/>
  <c r="W31" i="17418"/>
  <c r="W53" i="17418"/>
  <c r="W37" i="17418"/>
  <c r="W34" i="17418"/>
  <c r="W46" i="17418"/>
  <c r="W45" i="17418"/>
  <c r="W15" i="17418"/>
  <c r="W54" i="17418"/>
  <c r="W40" i="17418"/>
  <c r="N9" i="17419"/>
  <c r="X7" i="17418"/>
  <c r="W32" i="17418"/>
  <c r="V281" i="17418"/>
  <c r="V249" i="17418"/>
  <c r="V286" i="17418"/>
  <c r="V266" i="17418"/>
  <c r="V283" i="17418"/>
  <c r="V284" i="17418"/>
  <c r="V288" i="17418"/>
  <c r="V244" i="17418"/>
  <c r="V262" i="17418"/>
  <c r="V240" i="17418"/>
  <c r="V272" i="17418"/>
  <c r="V250" i="17418"/>
  <c r="V285" i="17418"/>
  <c r="V238" i="17418"/>
  <c r="V277" i="17418"/>
  <c r="V246" i="17418"/>
  <c r="V258" i="17418"/>
  <c r="V279" i="17418"/>
  <c r="V260" i="17418"/>
  <c r="V261" i="17418"/>
  <c r="V256" i="17418"/>
  <c r="S92" i="17412"/>
  <c r="R92" i="17412"/>
  <c r="S42" i="17412"/>
  <c r="S43" i="17412"/>
  <c r="R43" i="17412"/>
  <c r="R366" i="6"/>
  <c r="R645" i="13"/>
  <c r="R646" i="13"/>
  <c r="R384" i="6"/>
  <c r="G1552" i="1"/>
  <c r="F51" i="10" s="1"/>
  <c r="H51" i="10" s="1"/>
  <c r="J51" i="10" s="1"/>
  <c r="R365" i="6"/>
  <c r="R392" i="6"/>
  <c r="R385" i="6"/>
  <c r="G1563" i="1"/>
  <c r="E111" i="17412" s="1"/>
  <c r="S127" i="17412"/>
  <c r="R127" i="17412"/>
  <c r="R367" i="6"/>
  <c r="H950" i="1"/>
  <c r="S58" i="17412"/>
  <c r="R58" i="17412"/>
  <c r="R109" i="17412"/>
  <c r="S109" i="17412"/>
  <c r="R72" i="17412"/>
  <c r="S72" i="17412"/>
  <c r="S118" i="17412"/>
  <c r="R118" i="17412"/>
  <c r="S134" i="17412"/>
  <c r="R134" i="17412"/>
  <c r="S59" i="17412"/>
  <c r="R59" i="17412"/>
  <c r="X369" i="13"/>
  <c r="X370" i="13"/>
  <c r="X371" i="13"/>
  <c r="X372" i="13"/>
  <c r="X793" i="13"/>
  <c r="X799" i="13"/>
  <c r="X792" i="13"/>
  <c r="X789" i="13"/>
  <c r="X791" i="13"/>
  <c r="X798" i="13"/>
  <c r="X790" i="13"/>
  <c r="X796" i="13"/>
  <c r="X795" i="13"/>
  <c r="X788" i="13"/>
  <c r="X787" i="13"/>
  <c r="X794" i="13"/>
  <c r="X800" i="13"/>
  <c r="X797" i="13"/>
  <c r="W14" i="17418" l="1"/>
  <c r="X22" i="17418"/>
  <c r="X20" i="17418" s="1"/>
  <c r="X17" i="17418"/>
  <c r="X16" i="17418"/>
  <c r="X21" i="17418"/>
  <c r="X19" i="17418"/>
  <c r="X18" i="17418" s="1"/>
  <c r="L35" i="17422"/>
  <c r="AK35" i="17422" s="1"/>
  <c r="K41" i="17422"/>
  <c r="AJ41" i="17422" s="1"/>
  <c r="L38" i="17422"/>
  <c r="AK38" i="17422" s="1"/>
  <c r="N15" i="8"/>
  <c r="P15" i="8" s="1"/>
  <c r="N18" i="8"/>
  <c r="P18" i="8" s="1"/>
  <c r="N14" i="8"/>
  <c r="P14" i="8" s="1"/>
  <c r="N16" i="8"/>
  <c r="P16" i="8" s="1"/>
  <c r="L32" i="17422"/>
  <c r="AK32" i="17422" s="1"/>
  <c r="L29" i="17422"/>
  <c r="AK29" i="17422" s="1"/>
  <c r="P16" i="14"/>
  <c r="U16" i="14"/>
  <c r="W263" i="17418"/>
  <c r="N20" i="8"/>
  <c r="P20" i="8" s="1"/>
  <c r="L26" i="17422"/>
  <c r="AK26" i="17422" s="1"/>
  <c r="V265" i="17418"/>
  <c r="V259" i="17418"/>
  <c r="W251" i="17418"/>
  <c r="W259" i="17418"/>
  <c r="W269" i="17418"/>
  <c r="W271" i="17418"/>
  <c r="E141" i="17412"/>
  <c r="S141" i="17412" s="1"/>
  <c r="F52" i="10"/>
  <c r="H52" i="10" s="1"/>
  <c r="J52" i="10" s="1"/>
  <c r="N17" i="8"/>
  <c r="P17" i="8" s="1"/>
  <c r="N21" i="8"/>
  <c r="P21" i="8" s="1"/>
  <c r="AO531" i="4"/>
  <c r="AO535" i="4"/>
  <c r="AO529" i="4"/>
  <c r="AO534" i="4"/>
  <c r="AO532" i="4"/>
  <c r="AO536" i="4"/>
  <c r="AO533" i="4"/>
  <c r="AO530" i="4"/>
  <c r="AN296" i="6"/>
  <c r="R144" i="17412"/>
  <c r="Q140" i="4"/>
  <c r="R140" i="4" s="1"/>
  <c r="P140" i="4"/>
  <c r="AN290" i="6"/>
  <c r="AN316" i="6"/>
  <c r="AN303" i="6"/>
  <c r="AN293" i="6"/>
  <c r="AN299" i="6"/>
  <c r="AN317" i="6"/>
  <c r="AN321" i="6"/>
  <c r="AN310" i="6"/>
  <c r="AN306" i="6"/>
  <c r="AN308" i="6"/>
  <c r="AN288" i="6"/>
  <c r="AN1095" i="13" s="1"/>
  <c r="AO1095" i="13" s="1"/>
  <c r="AN370" i="4" s="1"/>
  <c r="AO370" i="4" s="1"/>
  <c r="AN313" i="6"/>
  <c r="AN295" i="6"/>
  <c r="AN298" i="6"/>
  <c r="AN289" i="6"/>
  <c r="AN320" i="6"/>
  <c r="AN294" i="6"/>
  <c r="AN314" i="6"/>
  <c r="AN302" i="6"/>
  <c r="AN315" i="6"/>
  <c r="AN318" i="6"/>
  <c r="AN292" i="6"/>
  <c r="AN304" i="6"/>
  <c r="AN301" i="6"/>
  <c r="AN319" i="6"/>
  <c r="AN311" i="6"/>
  <c r="AN312" i="6"/>
  <c r="AN309" i="6"/>
  <c r="AN300" i="6"/>
  <c r="AN307" i="6"/>
  <c r="AN305" i="6"/>
  <c r="AN1094" i="13" s="1"/>
  <c r="AO1094" i="13" s="1"/>
  <c r="AN369" i="4" s="1"/>
  <c r="AO369" i="4" s="1"/>
  <c r="AN297" i="6"/>
  <c r="AN291" i="6"/>
  <c r="S107" i="17412"/>
  <c r="R128" i="17412"/>
  <c r="R101" i="17412"/>
  <c r="S101" i="17412"/>
  <c r="AO802" i="13"/>
  <c r="AO809" i="13"/>
  <c r="AO805" i="13"/>
  <c r="AO807" i="13"/>
  <c r="AO803" i="13"/>
  <c r="AO810" i="13"/>
  <c r="AO801" i="13"/>
  <c r="AO808" i="13"/>
  <c r="AO804" i="13"/>
  <c r="AO806" i="13"/>
  <c r="AO780" i="13"/>
  <c r="AO784" i="13"/>
  <c r="AO781" i="13"/>
  <c r="AO785" i="13"/>
  <c r="AO778" i="13"/>
  <c r="AO779" i="13"/>
  <c r="AO783" i="13"/>
  <c r="AO786" i="13"/>
  <c r="AO782" i="13"/>
  <c r="AO723" i="13"/>
  <c r="AO717" i="13"/>
  <c r="AO721" i="13"/>
  <c r="AO719" i="13"/>
  <c r="AO720" i="13"/>
  <c r="AO725" i="13"/>
  <c r="AO728" i="13"/>
  <c r="AO718" i="13"/>
  <c r="AO726" i="13"/>
  <c r="AO722" i="13"/>
  <c r="AO727" i="13"/>
  <c r="AO724" i="13"/>
  <c r="HT26" i="17418"/>
  <c r="CC26" i="17418"/>
  <c r="DZ26" i="17418"/>
  <c r="FW26" i="17418"/>
  <c r="JQ26" i="17418"/>
  <c r="DZ36" i="17418"/>
  <c r="JZ36" i="17418" s="1"/>
  <c r="FW36" i="17418"/>
  <c r="CC36" i="17418"/>
  <c r="IC36" i="17418" s="1"/>
  <c r="HT23" i="17418"/>
  <c r="DZ23" i="17418"/>
  <c r="CC23" i="17418"/>
  <c r="JQ23" i="17418"/>
  <c r="FW23" i="17418"/>
  <c r="HT25" i="17418"/>
  <c r="DZ25" i="17418"/>
  <c r="FW25" i="17418"/>
  <c r="JQ25" i="17418"/>
  <c r="CC25" i="17418"/>
  <c r="CC37" i="17418"/>
  <c r="IC37" i="17418" s="1"/>
  <c r="DZ37" i="17418"/>
  <c r="JZ37" i="17418" s="1"/>
  <c r="FW37" i="17418"/>
  <c r="DZ27" i="17418"/>
  <c r="CC27" i="17418"/>
  <c r="IC27" i="17418" s="1"/>
  <c r="FW27" i="17418"/>
  <c r="JQ27" i="17418"/>
  <c r="DZ24" i="17418"/>
  <c r="JQ24" i="17418"/>
  <c r="FW24" i="17418"/>
  <c r="CC24" i="17418"/>
  <c r="HT24" i="17418"/>
  <c r="S11" i="17412"/>
  <c r="R11" i="17412"/>
  <c r="Q778" i="13"/>
  <c r="S178" i="17412"/>
  <c r="R178" i="17412"/>
  <c r="R44" i="17412"/>
  <c r="S44" i="17412"/>
  <c r="S91" i="17412"/>
  <c r="R91" i="17412"/>
  <c r="R160" i="17412"/>
  <c r="S160" i="17412"/>
  <c r="R63" i="17412"/>
  <c r="S63" i="17412"/>
  <c r="R111" i="17412"/>
  <c r="S111" i="17412"/>
  <c r="H1552" i="1"/>
  <c r="E100" i="17412"/>
  <c r="W284" i="17418"/>
  <c r="W289" i="17418"/>
  <c r="W247" i="17418"/>
  <c r="W278" i="17418"/>
  <c r="H1493" i="1"/>
  <c r="E41" i="17412"/>
  <c r="H1491" i="1"/>
  <c r="E39" i="17412"/>
  <c r="S94" i="17412"/>
  <c r="R94" i="17412"/>
  <c r="R172" i="17412"/>
  <c r="S172" i="17412"/>
  <c r="R68" i="17412"/>
  <c r="S68" i="17412"/>
  <c r="R148" i="17412"/>
  <c r="S148" i="17412"/>
  <c r="N63" i="17419"/>
  <c r="H1593" i="1"/>
  <c r="F60" i="10"/>
  <c r="H60" i="10" s="1"/>
  <c r="J60" i="10" s="1"/>
  <c r="H1485" i="1"/>
  <c r="F57" i="10"/>
  <c r="H57" i="10" s="1"/>
  <c r="J57" i="10" s="1"/>
  <c r="H1563" i="1"/>
  <c r="F50" i="10"/>
  <c r="H50" i="10" s="1"/>
  <c r="J50" i="10" s="1"/>
  <c r="H1546" i="1"/>
  <c r="F53" i="10"/>
  <c r="H53" i="10" s="1"/>
  <c r="J53" i="10" s="1"/>
  <c r="R89" i="17412"/>
  <c r="S149" i="17412"/>
  <c r="R149" i="17412"/>
  <c r="S76" i="17412"/>
  <c r="R76" i="17412"/>
  <c r="P312" i="6"/>
  <c r="Q312" i="6"/>
  <c r="R312" i="6" s="1"/>
  <c r="P295" i="6"/>
  <c r="T297" i="6" s="1"/>
  <c r="Q295" i="6"/>
  <c r="Q717" i="13"/>
  <c r="X27" i="17418"/>
  <c r="X23" i="17418"/>
  <c r="X24" i="17418"/>
  <c r="X25" i="17418"/>
  <c r="X26" i="17418"/>
  <c r="S145" i="17412"/>
  <c r="R145" i="17412"/>
  <c r="O28" i="12"/>
  <c r="F15" i="12" s="1"/>
  <c r="G24" i="12"/>
  <c r="G33" i="12"/>
  <c r="G22" i="12"/>
  <c r="G32" i="12"/>
  <c r="G13" i="12"/>
  <c r="G29" i="12"/>
  <c r="G28" i="12"/>
  <c r="G14" i="12"/>
  <c r="G34" i="12"/>
  <c r="G26" i="12"/>
  <c r="G20" i="12"/>
  <c r="G27" i="12"/>
  <c r="G23" i="12"/>
  <c r="G30" i="12"/>
  <c r="G21" i="12"/>
  <c r="G35" i="12"/>
  <c r="G17" i="12"/>
  <c r="G31" i="12"/>
  <c r="G16" i="12"/>
  <c r="G18" i="12"/>
  <c r="G25" i="12"/>
  <c r="K32" i="17418"/>
  <c r="K37" i="17418"/>
  <c r="K36" i="17418"/>
  <c r="H19" i="12"/>
  <c r="H42" i="12" s="1"/>
  <c r="E40" i="14" s="1"/>
  <c r="K19" i="12"/>
  <c r="K42" i="12" s="1"/>
  <c r="E17" i="14" s="1"/>
  <c r="J19" i="12"/>
  <c r="J42" i="12" s="1"/>
  <c r="I19" i="12"/>
  <c r="I42" i="12" s="1"/>
  <c r="M142" i="4"/>
  <c r="O141" i="4"/>
  <c r="M887" i="13"/>
  <c r="O888" i="13"/>
  <c r="Q888" i="13" s="1"/>
  <c r="Q801" i="13"/>
  <c r="W250" i="17418"/>
  <c r="W264" i="17418"/>
  <c r="W262" i="17418"/>
  <c r="W256" i="17418"/>
  <c r="W252" i="17418"/>
  <c r="W288" i="17418"/>
  <c r="W285" i="17418"/>
  <c r="W282" i="17418"/>
  <c r="W267" i="17418"/>
  <c r="W277" i="17418"/>
  <c r="W243" i="17418"/>
  <c r="W287" i="17418"/>
  <c r="W283" i="17418"/>
  <c r="W270" i="17418"/>
  <c r="W255" i="17418"/>
  <c r="W266" i="17418"/>
  <c r="W274" i="17418"/>
  <c r="W275" i="17418"/>
  <c r="W245" i="17418"/>
  <c r="W239" i="17418"/>
  <c r="W279" i="17418"/>
  <c r="W242" i="17418"/>
  <c r="W248" i="17418"/>
  <c r="W253" i="17418"/>
  <c r="W249" i="17418"/>
  <c r="W276" i="17418"/>
  <c r="W272" i="17418"/>
  <c r="W268" i="17418"/>
  <c r="W273" i="17418"/>
  <c r="W257" i="17418"/>
  <c r="W260" i="17418"/>
  <c r="X59" i="17418"/>
  <c r="X60" i="17418"/>
  <c r="X57" i="17418"/>
  <c r="X51" i="17418"/>
  <c r="X47" i="17418"/>
  <c r="X58" i="17418"/>
  <c r="X54" i="17418"/>
  <c r="X52" i="17418"/>
  <c r="X49" i="17418"/>
  <c r="X46" i="17418"/>
  <c r="X43" i="17418"/>
  <c r="O42" i="17419"/>
  <c r="X56" i="17418"/>
  <c r="X44" i="17418"/>
  <c r="X40" i="17418"/>
  <c r="X34" i="17418"/>
  <c r="X55" i="17418"/>
  <c r="X50" i="17418"/>
  <c r="X42" i="17418"/>
  <c r="X36" i="17418"/>
  <c r="O9" i="17419"/>
  <c r="X53" i="17418"/>
  <c r="X45" i="17418"/>
  <c r="X35" i="17418"/>
  <c r="X38" i="17418"/>
  <c r="X37" i="17418"/>
  <c r="X29" i="17418"/>
  <c r="X48" i="17418"/>
  <c r="X30" i="17418"/>
  <c r="X31" i="17418"/>
  <c r="X39" i="17418"/>
  <c r="Y7" i="17418"/>
  <c r="X41" i="17418"/>
  <c r="X33" i="17418"/>
  <c r="X15" i="17418"/>
  <c r="X32" i="17418"/>
  <c r="W281" i="17418"/>
  <c r="W258" i="17418"/>
  <c r="W241" i="17418"/>
  <c r="W246" i="17418"/>
  <c r="W261" i="17418"/>
  <c r="W244" i="17418"/>
  <c r="W240" i="17418"/>
  <c r="W280" i="17418"/>
  <c r="W238" i="17418"/>
  <c r="W254" i="17418"/>
  <c r="W286" i="17418"/>
  <c r="R35" i="17412"/>
  <c r="S35" i="17412"/>
  <c r="S154" i="17412"/>
  <c r="R154" i="17412"/>
  <c r="R121" i="17412"/>
  <c r="S121" i="17412"/>
  <c r="R97" i="17412"/>
  <c r="S97" i="17412"/>
  <c r="S64" i="17412"/>
  <c r="R64" i="17412"/>
  <c r="S99" i="17412"/>
  <c r="R99" i="17412"/>
  <c r="S164" i="17412"/>
  <c r="R164" i="17412"/>
  <c r="G1643" i="1"/>
  <c r="R29" i="17412"/>
  <c r="S29" i="17412"/>
  <c r="R54" i="17412"/>
  <c r="S54" i="17412"/>
  <c r="X14" i="17418" l="1"/>
  <c r="Y17" i="17418"/>
  <c r="Y22" i="17418"/>
  <c r="Y20" i="17418" s="1"/>
  <c r="Y16" i="17418"/>
  <c r="Y21" i="17418"/>
  <c r="Y19" i="17418"/>
  <c r="Y18" i="17418" s="1"/>
  <c r="M35" i="17422"/>
  <c r="AL35" i="17422" s="1"/>
  <c r="L41" i="17422"/>
  <c r="AK41" i="17422" s="1"/>
  <c r="M38" i="17422"/>
  <c r="AL38" i="17422" s="1"/>
  <c r="O19" i="17418"/>
  <c r="M32" i="17422"/>
  <c r="AL32" i="17422" s="1"/>
  <c r="M29" i="17422"/>
  <c r="AL29" i="17422" s="1"/>
  <c r="W265" i="17418"/>
  <c r="R141" i="17412"/>
  <c r="G19" i="12"/>
  <c r="V16" i="14"/>
  <c r="C16" i="14"/>
  <c r="F24" i="1" s="1"/>
  <c r="L149" i="4" s="1"/>
  <c r="M26" i="17422"/>
  <c r="AL26" i="17422" s="1"/>
  <c r="X271" i="17418"/>
  <c r="X251" i="17418"/>
  <c r="X239" i="17418"/>
  <c r="X263" i="17418"/>
  <c r="X269" i="17418"/>
  <c r="Q141" i="4"/>
  <c r="R141" i="4" s="1"/>
  <c r="P141" i="4"/>
  <c r="HU25" i="17418"/>
  <c r="EA25" i="17418"/>
  <c r="JR25" i="17418"/>
  <c r="FX25" i="17418"/>
  <c r="CD25" i="17418"/>
  <c r="HU26" i="17418"/>
  <c r="EA26" i="17418"/>
  <c r="CD26" i="17418"/>
  <c r="JR26" i="17418"/>
  <c r="FX26" i="17418"/>
  <c r="EA24" i="17418"/>
  <c r="HU24" i="17418"/>
  <c r="CD24" i="17418"/>
  <c r="JR24" i="17418"/>
  <c r="FX24" i="17418"/>
  <c r="CD36" i="17418"/>
  <c r="ID36" i="17418" s="1"/>
  <c r="EA36" i="17418"/>
  <c r="KA36" i="17418" s="1"/>
  <c r="FX36" i="17418"/>
  <c r="CD37" i="17418"/>
  <c r="ID37" i="17418" s="1"/>
  <c r="EA37" i="17418"/>
  <c r="KA37" i="17418" s="1"/>
  <c r="FX37" i="17418"/>
  <c r="HU23" i="17418"/>
  <c r="EA23" i="17418"/>
  <c r="CD23" i="17418"/>
  <c r="FX23" i="17418"/>
  <c r="JR23" i="17418"/>
  <c r="EA27" i="17418"/>
  <c r="CD27" i="17418"/>
  <c r="ID27" i="17418" s="1"/>
  <c r="JR27" i="17418"/>
  <c r="FX27" i="17418"/>
  <c r="R39" i="17412"/>
  <c r="S39" i="17412"/>
  <c r="S100" i="17412"/>
  <c r="R100" i="17412"/>
  <c r="X254" i="17418"/>
  <c r="X255" i="17418"/>
  <c r="X289" i="17418"/>
  <c r="X280" i="17418"/>
  <c r="X253" i="17418"/>
  <c r="X285" i="17418"/>
  <c r="X276" i="17418"/>
  <c r="X281" i="17418"/>
  <c r="X259" i="17418"/>
  <c r="O63" i="17419"/>
  <c r="S31" i="17412"/>
  <c r="R31" i="17412"/>
  <c r="G1497" i="1"/>
  <c r="H1646" i="1" s="1"/>
  <c r="J32" i="8" s="1"/>
  <c r="J34" i="8" s="1"/>
  <c r="G57" i="17419" s="1"/>
  <c r="X246" i="17418"/>
  <c r="T301" i="6"/>
  <c r="T290" i="6"/>
  <c r="T294" i="6"/>
  <c r="T300" i="6"/>
  <c r="T289" i="6"/>
  <c r="T298" i="6"/>
  <c r="T296" i="6"/>
  <c r="T303" i="6"/>
  <c r="T288" i="6"/>
  <c r="T304" i="6"/>
  <c r="T291" i="6"/>
  <c r="T292" i="6"/>
  <c r="T295" i="6"/>
  <c r="R295" i="6"/>
  <c r="T293" i="6"/>
  <c r="T299" i="6"/>
  <c r="T302" i="6"/>
  <c r="T307" i="6"/>
  <c r="T312" i="6"/>
  <c r="T321" i="6"/>
  <c r="T320" i="6"/>
  <c r="T309" i="6"/>
  <c r="T308" i="6"/>
  <c r="T315" i="6"/>
  <c r="T311" i="6"/>
  <c r="T305" i="6"/>
  <c r="T317" i="6"/>
  <c r="T319" i="6"/>
  <c r="T310" i="6"/>
  <c r="T313" i="6"/>
  <c r="T316" i="6"/>
  <c r="T318" i="6"/>
  <c r="T314" i="6"/>
  <c r="T306" i="6"/>
  <c r="X243" i="17418"/>
  <c r="Y27" i="17418"/>
  <c r="Y26" i="17418"/>
  <c r="Y25" i="17418"/>
  <c r="Y24" i="17418"/>
  <c r="Y23" i="17418"/>
  <c r="G42" i="12"/>
  <c r="H17" i="14"/>
  <c r="N17" i="14" s="1"/>
  <c r="E9" i="14"/>
  <c r="E18" i="14"/>
  <c r="E50" i="14"/>
  <c r="E60" i="14"/>
  <c r="E66" i="14"/>
  <c r="E28" i="14"/>
  <c r="F17" i="14"/>
  <c r="E30" i="14"/>
  <c r="J15" i="12"/>
  <c r="G15" i="12"/>
  <c r="G11" i="12" s="1"/>
  <c r="I15" i="12"/>
  <c r="H15" i="12"/>
  <c r="K15" i="12"/>
  <c r="E38" i="14"/>
  <c r="E37" i="14"/>
  <c r="E33" i="14"/>
  <c r="E36" i="14"/>
  <c r="E32" i="14"/>
  <c r="H40" i="14"/>
  <c r="N40" i="14" s="1"/>
  <c r="E35" i="14"/>
  <c r="F40" i="14"/>
  <c r="G40" i="14" s="1"/>
  <c r="I40" i="14" s="1"/>
  <c r="E34" i="14"/>
  <c r="M143" i="4"/>
  <c r="O142" i="4"/>
  <c r="G15" i="1"/>
  <c r="M886" i="13"/>
  <c r="O887" i="13"/>
  <c r="X286" i="17418"/>
  <c r="X249" i="17418"/>
  <c r="X250" i="17418"/>
  <c r="X282" i="17418"/>
  <c r="X287" i="17418"/>
  <c r="X284" i="17418"/>
  <c r="X248" i="17418"/>
  <c r="X283" i="17418"/>
  <c r="X252" i="17418"/>
  <c r="X256" i="17418"/>
  <c r="X266" i="17418"/>
  <c r="X279" i="17418"/>
  <c r="X240" i="17418"/>
  <c r="X275" i="17418"/>
  <c r="X261" i="17418"/>
  <c r="X270" i="17418"/>
  <c r="X264" i="17418"/>
  <c r="X274" i="17418"/>
  <c r="X245" i="17418"/>
  <c r="X238" i="17418"/>
  <c r="X267" i="17418"/>
  <c r="X278" i="17418"/>
  <c r="X272" i="17418"/>
  <c r="X262" i="17418"/>
  <c r="X244" i="17418"/>
  <c r="X260" i="17418"/>
  <c r="X258" i="17418"/>
  <c r="P9" i="17419"/>
  <c r="Y59" i="17418"/>
  <c r="Y57" i="17418"/>
  <c r="P42" i="17419"/>
  <c r="P63" i="17419" s="1"/>
  <c r="Y60" i="17418"/>
  <c r="Y55" i="17418"/>
  <c r="Y54" i="17418"/>
  <c r="Y50" i="17418"/>
  <c r="Y46" i="17418"/>
  <c r="Y51" i="17418"/>
  <c r="Y42" i="17418"/>
  <c r="Y58" i="17418"/>
  <c r="Y53" i="17418"/>
  <c r="Y49" i="17418"/>
  <c r="Y48" i="17418"/>
  <c r="Y43" i="17418"/>
  <c r="Y37" i="17418"/>
  <c r="Y33" i="17418"/>
  <c r="Y31" i="17418"/>
  <c r="Y29" i="17418"/>
  <c r="Y39" i="17418"/>
  <c r="Y30" i="17418"/>
  <c r="Y41" i="17418"/>
  <c r="Y38" i="17418"/>
  <c r="Y36" i="17418"/>
  <c r="Y35" i="17418"/>
  <c r="Y40" i="17418"/>
  <c r="Z7" i="17418"/>
  <c r="Y56" i="17418"/>
  <c r="Y47" i="17418"/>
  <c r="Y44" i="17418"/>
  <c r="Y34" i="17418"/>
  <c r="Y15" i="17418"/>
  <c r="Y52" i="17418"/>
  <c r="Y45" i="17418"/>
  <c r="Y32" i="17418"/>
  <c r="X247" i="17418"/>
  <c r="X268" i="17418"/>
  <c r="X277" i="17418"/>
  <c r="X241" i="17418"/>
  <c r="X242" i="17418"/>
  <c r="X288" i="17418"/>
  <c r="X257" i="17418"/>
  <c r="X273" i="17418"/>
  <c r="R126" i="17412"/>
  <c r="S126" i="17412"/>
  <c r="S34" i="17412"/>
  <c r="R34" i="17412"/>
  <c r="R52" i="17412"/>
  <c r="S52" i="17412"/>
  <c r="R41" i="17412"/>
  <c r="S41" i="17412"/>
  <c r="R18" i="17412"/>
  <c r="S18" i="17412"/>
  <c r="R26" i="17412"/>
  <c r="S26" i="17412"/>
  <c r="S33" i="17412"/>
  <c r="R33" i="17412"/>
  <c r="R180" i="17412"/>
  <c r="S180" i="17412"/>
  <c r="S56" i="17412"/>
  <c r="R56" i="17412"/>
  <c r="Y14" i="17418" l="1"/>
  <c r="Z17" i="17418"/>
  <c r="Z22" i="17418"/>
  <c r="Z20" i="17418" s="1"/>
  <c r="Z16" i="17418"/>
  <c r="Z21" i="17418"/>
  <c r="Z19" i="17418"/>
  <c r="Z18" i="17418" s="1"/>
  <c r="N35" i="17422"/>
  <c r="AM35" i="17422" s="1"/>
  <c r="M41" i="17422"/>
  <c r="AL41" i="17422" s="1"/>
  <c r="N38" i="17422"/>
  <c r="AM38" i="17422" s="1"/>
  <c r="N32" i="17422"/>
  <c r="AM32" i="17422" s="1"/>
  <c r="N29" i="17422"/>
  <c r="AM29" i="17422" s="1"/>
  <c r="N26" i="17422"/>
  <c r="AM26" i="17422" s="1"/>
  <c r="X265" i="17418"/>
  <c r="Y269" i="17418"/>
  <c r="Y239" i="17418"/>
  <c r="Y251" i="17418"/>
  <c r="Y263" i="17418"/>
  <c r="Y271" i="17418"/>
  <c r="H15" i="1"/>
  <c r="X7" i="14"/>
  <c r="Q142" i="4"/>
  <c r="HV26" i="17418"/>
  <c r="EB26" i="17418"/>
  <c r="CE26" i="17418"/>
  <c r="FY26" i="17418"/>
  <c r="JS26" i="17418"/>
  <c r="HV23" i="17418"/>
  <c r="EB23" i="17418"/>
  <c r="CE23" i="17418"/>
  <c r="FY23" i="17418"/>
  <c r="JS23" i="17418"/>
  <c r="EB27" i="17418"/>
  <c r="CE27" i="17418"/>
  <c r="IE27" i="17418" s="1"/>
  <c r="FY27" i="17418"/>
  <c r="JS27" i="17418"/>
  <c r="CE36" i="17418"/>
  <c r="IE36" i="17418" s="1"/>
  <c r="EB36" i="17418"/>
  <c r="KB36" i="17418" s="1"/>
  <c r="FY36" i="17418"/>
  <c r="EB37" i="17418"/>
  <c r="KB37" i="17418" s="1"/>
  <c r="FY37" i="17418"/>
  <c r="CE37" i="17418"/>
  <c r="IE37" i="17418" s="1"/>
  <c r="EB24" i="17418"/>
  <c r="FY24" i="17418"/>
  <c r="CE24" i="17418"/>
  <c r="JS24" i="17418"/>
  <c r="HV24" i="17418"/>
  <c r="HV25" i="17418"/>
  <c r="EB25" i="17418"/>
  <c r="CE25" i="17418"/>
  <c r="JS25" i="17418"/>
  <c r="FY25" i="17418"/>
  <c r="Y252" i="17418"/>
  <c r="Y278" i="17418"/>
  <c r="Y272" i="17418"/>
  <c r="Y289" i="17418"/>
  <c r="H1497" i="1"/>
  <c r="H1458" i="1" s="1"/>
  <c r="E45" i="17412"/>
  <c r="I187" i="17412" s="1"/>
  <c r="G45" i="17413"/>
  <c r="G43" i="17413" s="1"/>
  <c r="I37" i="17418"/>
  <c r="J37" i="17418" s="1"/>
  <c r="M57" i="17419" s="1"/>
  <c r="Z27" i="17418"/>
  <c r="Z26" i="17418"/>
  <c r="Z25" i="17418"/>
  <c r="Z24" i="17418"/>
  <c r="Z23" i="17418"/>
  <c r="M40" i="14"/>
  <c r="H34" i="14"/>
  <c r="N34" i="14" s="1"/>
  <c r="F34" i="14"/>
  <c r="G34" i="14" s="1"/>
  <c r="J34" i="14" s="1"/>
  <c r="H35" i="14"/>
  <c r="N35" i="14" s="1"/>
  <c r="F35" i="14"/>
  <c r="G35" i="14" s="1"/>
  <c r="H32" i="14"/>
  <c r="N32" i="14" s="1"/>
  <c r="F32" i="14"/>
  <c r="F33" i="14"/>
  <c r="G33" i="14" s="1"/>
  <c r="M33" i="14" s="1"/>
  <c r="H33" i="14"/>
  <c r="N33" i="14" s="1"/>
  <c r="E56" i="14"/>
  <c r="E55" i="14"/>
  <c r="E54" i="14"/>
  <c r="E52" i="14"/>
  <c r="F60" i="14"/>
  <c r="G60" i="14" s="1"/>
  <c r="H60" i="14"/>
  <c r="N60" i="14" s="1"/>
  <c r="E53" i="14"/>
  <c r="E59" i="14"/>
  <c r="E58" i="14"/>
  <c r="E57" i="14"/>
  <c r="G17" i="14"/>
  <c r="M17" i="14" s="1"/>
  <c r="H36" i="14"/>
  <c r="N36" i="14" s="1"/>
  <c r="F36" i="14"/>
  <c r="G36" i="14" s="1"/>
  <c r="F39" i="14"/>
  <c r="H39" i="14"/>
  <c r="N39" i="14" s="1"/>
  <c r="K36" i="12"/>
  <c r="K11" i="12"/>
  <c r="J36" i="12"/>
  <c r="J11" i="12"/>
  <c r="F50" i="14"/>
  <c r="G50" i="14" s="1"/>
  <c r="J50" i="14" s="1"/>
  <c r="E45" i="14"/>
  <c r="H50" i="14"/>
  <c r="N50" i="14" s="1"/>
  <c r="E44" i="14"/>
  <c r="E46" i="14"/>
  <c r="E48" i="14"/>
  <c r="E47" i="14"/>
  <c r="E43" i="14"/>
  <c r="K40" i="14"/>
  <c r="J40" i="14"/>
  <c r="F37" i="14"/>
  <c r="G37" i="14" s="1"/>
  <c r="H37" i="14"/>
  <c r="N37" i="14" s="1"/>
  <c r="H11" i="12"/>
  <c r="H36" i="12"/>
  <c r="G36" i="12"/>
  <c r="H28" i="14"/>
  <c r="N28" i="14" s="1"/>
  <c r="F28" i="14"/>
  <c r="E19" i="14"/>
  <c r="H18" i="14"/>
  <c r="N18" i="14" s="1"/>
  <c r="E20" i="14"/>
  <c r="F18" i="14"/>
  <c r="H38" i="14"/>
  <c r="N38" i="14" s="1"/>
  <c r="F38" i="14"/>
  <c r="G38" i="14" s="1"/>
  <c r="I11" i="12"/>
  <c r="I36" i="12"/>
  <c r="E22" i="14"/>
  <c r="E24" i="14"/>
  <c r="E26" i="14"/>
  <c r="F30" i="14"/>
  <c r="E25" i="14"/>
  <c r="E27" i="14"/>
  <c r="H30" i="14"/>
  <c r="N30" i="14" s="1"/>
  <c r="E29" i="14"/>
  <c r="E64" i="14"/>
  <c r="E62" i="14"/>
  <c r="H66" i="14"/>
  <c r="N66" i="14" s="1"/>
  <c r="E65" i="14"/>
  <c r="E63" i="14"/>
  <c r="F66" i="14"/>
  <c r="H9" i="14"/>
  <c r="N9" i="14" s="1"/>
  <c r="F9" i="14"/>
  <c r="M144" i="4"/>
  <c r="O143" i="4"/>
  <c r="G16" i="1"/>
  <c r="Q887" i="13"/>
  <c r="M885" i="13"/>
  <c r="O885" i="13" s="1"/>
  <c r="O886" i="13"/>
  <c r="Y262" i="17418"/>
  <c r="Y281" i="17418"/>
  <c r="Y279" i="17418"/>
  <c r="Y248" i="17418"/>
  <c r="Y244" i="17418"/>
  <c r="Y249" i="17418"/>
  <c r="Y253" i="17418"/>
  <c r="Y268" i="17418"/>
  <c r="Y261" i="17418"/>
  <c r="Y288" i="17418"/>
  <c r="Y245" i="17418"/>
  <c r="Y241" i="17418"/>
  <c r="Y286" i="17418"/>
  <c r="Y280" i="17418"/>
  <c r="Y283" i="17418"/>
  <c r="Y267" i="17418"/>
  <c r="Y250" i="17418"/>
  <c r="Y282" i="17418"/>
  <c r="Y284" i="17418"/>
  <c r="Y274" i="17418"/>
  <c r="Y243" i="17418"/>
  <c r="Y256" i="17418"/>
  <c r="Y276" i="17418"/>
  <c r="Y257" i="17418"/>
  <c r="Y246" i="17418"/>
  <c r="Y240" i="17418"/>
  <c r="Z58" i="17418"/>
  <c r="Q9" i="17419"/>
  <c r="Z56" i="17418"/>
  <c r="Z59" i="17418"/>
  <c r="Z53" i="17418"/>
  <c r="Z49" i="17418"/>
  <c r="Z48" i="17418"/>
  <c r="Z45" i="17418"/>
  <c r="Z60" i="17418"/>
  <c r="Z54" i="17418"/>
  <c r="Z47" i="17418"/>
  <c r="Z39" i="17418"/>
  <c r="Z35" i="17418"/>
  <c r="Z57" i="17418"/>
  <c r="Z41" i="17418"/>
  <c r="Z37" i="17418"/>
  <c r="Z34" i="17418"/>
  <c r="Q42" i="17419"/>
  <c r="Z55" i="17418"/>
  <c r="Z46" i="17418"/>
  <c r="Z40" i="17418"/>
  <c r="Z30" i="17418"/>
  <c r="Z51" i="17418"/>
  <c r="Z44" i="17418"/>
  <c r="Z42" i="17418"/>
  <c r="Z38" i="17418"/>
  <c r="Z52" i="17418"/>
  <c r="Z50" i="17418"/>
  <c r="Z36" i="17418"/>
  <c r="Z33" i="17418"/>
  <c r="Z31" i="17418"/>
  <c r="AA7" i="17418"/>
  <c r="Z15" i="17418"/>
  <c r="Z43" i="17418"/>
  <c r="Z29" i="17418"/>
  <c r="O38" i="17422"/>
  <c r="AN38" i="17422" s="1"/>
  <c r="Z32" i="17418"/>
  <c r="Y273" i="17418"/>
  <c r="Y270" i="17418"/>
  <c r="Y242" i="17418"/>
  <c r="Y238" i="17418"/>
  <c r="Y254" i="17418"/>
  <c r="Y247" i="17418"/>
  <c r="Y285" i="17418"/>
  <c r="Y260" i="17418"/>
  <c r="Y258" i="17418"/>
  <c r="Y264" i="17418"/>
  <c r="Y255" i="17418"/>
  <c r="Y287" i="17418"/>
  <c r="Y277" i="17418"/>
  <c r="Y275" i="17418"/>
  <c r="Y266" i="17418"/>
  <c r="G10" i="1"/>
  <c r="R140" i="17412"/>
  <c r="S140" i="17412"/>
  <c r="R19" i="17412"/>
  <c r="S19" i="17412"/>
  <c r="Z14" i="17418" l="1"/>
  <c r="AA17" i="17418"/>
  <c r="AA22" i="17418"/>
  <c r="AA20" i="17418" s="1"/>
  <c r="AA16" i="17418"/>
  <c r="AA21" i="17418"/>
  <c r="AA19" i="17418"/>
  <c r="AA18" i="17418" s="1"/>
  <c r="O35" i="17422"/>
  <c r="AN35" i="17422" s="1"/>
  <c r="N41" i="17422"/>
  <c r="AM41" i="17422" s="1"/>
  <c r="O32" i="17422"/>
  <c r="AN32" i="17422" s="1"/>
  <c r="O29" i="17422"/>
  <c r="AN29" i="17422" s="1"/>
  <c r="K50" i="14"/>
  <c r="O26" i="17422"/>
  <c r="AN26" i="17422" s="1"/>
  <c r="Z263" i="17418"/>
  <c r="Y265" i="17418"/>
  <c r="Y259" i="17418"/>
  <c r="Z239" i="17418"/>
  <c r="Z251" i="17418"/>
  <c r="Z269" i="17418"/>
  <c r="Z271" i="17418"/>
  <c r="H16" i="1"/>
  <c r="X8" i="14"/>
  <c r="Q143" i="4"/>
  <c r="R143" i="4" s="1"/>
  <c r="P143" i="4"/>
  <c r="H57" i="17419"/>
  <c r="AO887" i="13"/>
  <c r="AO889" i="13"/>
  <c r="AO886" i="13"/>
  <c r="AO885" i="13"/>
  <c r="AO892" i="13"/>
  <c r="AO891" i="13"/>
  <c r="AO894" i="13"/>
  <c r="AO893" i="13"/>
  <c r="AO890" i="13"/>
  <c r="AO895" i="13"/>
  <c r="AO888" i="13"/>
  <c r="N57" i="17419"/>
  <c r="BU37" i="17418"/>
  <c r="HW23" i="17418"/>
  <c r="EC23" i="17418"/>
  <c r="CF23" i="17418"/>
  <c r="FZ23" i="17418"/>
  <c r="JT23" i="17418"/>
  <c r="EC27" i="17418"/>
  <c r="CF27" i="17418"/>
  <c r="IF27" i="17418" s="1"/>
  <c r="FZ27" i="17418"/>
  <c r="JT27" i="17418"/>
  <c r="CF36" i="17418"/>
  <c r="IF36" i="17418" s="1"/>
  <c r="EC36" i="17418"/>
  <c r="KC36" i="17418" s="1"/>
  <c r="FZ36" i="17418"/>
  <c r="CF37" i="17418"/>
  <c r="IF37" i="17418" s="1"/>
  <c r="FZ37" i="17418"/>
  <c r="EC37" i="17418"/>
  <c r="KC37" i="17418" s="1"/>
  <c r="HW24" i="17418"/>
  <c r="EC24" i="17418"/>
  <c r="FZ24" i="17418"/>
  <c r="CF24" i="17418"/>
  <c r="JT24" i="17418"/>
  <c r="CF25" i="17418"/>
  <c r="HW25" i="17418"/>
  <c r="EC25" i="17418"/>
  <c r="FZ25" i="17418"/>
  <c r="JT25" i="17418"/>
  <c r="HW26" i="17418"/>
  <c r="EC26" i="17418"/>
  <c r="CF26" i="17418"/>
  <c r="FZ26" i="17418"/>
  <c r="JT26" i="17418"/>
  <c r="Z289" i="17418"/>
  <c r="R45" i="17412"/>
  <c r="S45" i="17412"/>
  <c r="Z268" i="17418"/>
  <c r="Z286" i="17418"/>
  <c r="J57" i="17419"/>
  <c r="Q63" i="17419"/>
  <c r="I57" i="17419"/>
  <c r="P57" i="17419"/>
  <c r="K57" i="17419"/>
  <c r="J39" i="17418"/>
  <c r="O57" i="17419"/>
  <c r="L57" i="17419"/>
  <c r="G187" i="17412"/>
  <c r="H187" i="17412"/>
  <c r="F187" i="17412"/>
  <c r="S61" i="17412"/>
  <c r="R61" i="17412"/>
  <c r="AA26" i="17418"/>
  <c r="AA27" i="17418"/>
  <c r="AA23" i="17418"/>
  <c r="AA24" i="17418"/>
  <c r="AA25" i="17418"/>
  <c r="Q57" i="17419"/>
  <c r="I17" i="14"/>
  <c r="O40" i="14"/>
  <c r="P40" i="14" s="1"/>
  <c r="G9" i="14"/>
  <c r="I9" i="14" s="1"/>
  <c r="G18" i="14"/>
  <c r="J18" i="14" s="1"/>
  <c r="J36" i="14"/>
  <c r="I36" i="14"/>
  <c r="K36" i="14"/>
  <c r="I18" i="14"/>
  <c r="I50" i="14"/>
  <c r="M36" i="14"/>
  <c r="J17" i="14"/>
  <c r="G28" i="14"/>
  <c r="I28" i="14" s="1"/>
  <c r="M35" i="14"/>
  <c r="I33" i="14"/>
  <c r="G32" i="14"/>
  <c r="J32" i="14" s="1"/>
  <c r="K38" i="14"/>
  <c r="I35" i="14"/>
  <c r="I34" i="14"/>
  <c r="I60" i="14"/>
  <c r="J60" i="14"/>
  <c r="K60" i="14"/>
  <c r="F63" i="14"/>
  <c r="G63" i="14" s="1"/>
  <c r="H63" i="14"/>
  <c r="N63" i="14" s="1"/>
  <c r="H64" i="14"/>
  <c r="N64" i="14" s="1"/>
  <c r="F64" i="14"/>
  <c r="G64" i="14" s="1"/>
  <c r="H23" i="14"/>
  <c r="N23" i="14" s="1"/>
  <c r="F23" i="14"/>
  <c r="H24" i="14"/>
  <c r="N24" i="14" s="1"/>
  <c r="F24" i="14"/>
  <c r="F45" i="14"/>
  <c r="G45" i="14" s="1"/>
  <c r="H45" i="14"/>
  <c r="N45" i="14" s="1"/>
  <c r="J37" i="12"/>
  <c r="J39" i="12"/>
  <c r="J40" i="12"/>
  <c r="J38" i="12"/>
  <c r="H57" i="14"/>
  <c r="N57" i="14" s="1"/>
  <c r="F57" i="14"/>
  <c r="H53" i="14"/>
  <c r="N53" i="14" s="1"/>
  <c r="F53" i="14"/>
  <c r="F55" i="14"/>
  <c r="H55" i="14"/>
  <c r="N55" i="14" s="1"/>
  <c r="O144" i="4"/>
  <c r="M145" i="4"/>
  <c r="F65" i="14"/>
  <c r="H65" i="14"/>
  <c r="N65" i="14" s="1"/>
  <c r="G66" i="14"/>
  <c r="K66" i="14" s="1"/>
  <c r="H27" i="14"/>
  <c r="N27" i="14" s="1"/>
  <c r="F27" i="14"/>
  <c r="H22" i="14"/>
  <c r="N22" i="14" s="1"/>
  <c r="F22" i="14"/>
  <c r="I40" i="12"/>
  <c r="I38" i="12"/>
  <c r="I37" i="12"/>
  <c r="I39" i="12"/>
  <c r="K37" i="14"/>
  <c r="M37" i="14"/>
  <c r="F43" i="14"/>
  <c r="G43" i="14" s="1"/>
  <c r="M43" i="14" s="1"/>
  <c r="H43" i="14"/>
  <c r="N43" i="14" s="1"/>
  <c r="H46" i="14"/>
  <c r="N46" i="14" s="1"/>
  <c r="F46" i="14"/>
  <c r="G46" i="14" s="1"/>
  <c r="K46" i="14" s="1"/>
  <c r="F49" i="14"/>
  <c r="G49" i="14" s="1"/>
  <c r="H49" i="14"/>
  <c r="N49" i="14" s="1"/>
  <c r="F58" i="14"/>
  <c r="G58" i="14" s="1"/>
  <c r="I58" i="14" s="1"/>
  <c r="H58" i="14"/>
  <c r="N58" i="14" s="1"/>
  <c r="F52" i="14"/>
  <c r="H52" i="14"/>
  <c r="N52" i="14" s="1"/>
  <c r="F56" i="14"/>
  <c r="H56" i="14"/>
  <c r="N56" i="14" s="1"/>
  <c r="J33" i="14"/>
  <c r="J35" i="14"/>
  <c r="K34" i="14"/>
  <c r="H29" i="14"/>
  <c r="N29" i="14" s="1"/>
  <c r="F29" i="14"/>
  <c r="H25" i="14"/>
  <c r="N25" i="14" s="1"/>
  <c r="F25" i="14"/>
  <c r="H26" i="14"/>
  <c r="N26" i="14" s="1"/>
  <c r="F26" i="14"/>
  <c r="M38" i="14"/>
  <c r="J38" i="14"/>
  <c r="G38" i="12"/>
  <c r="G40" i="12"/>
  <c r="G39" i="12"/>
  <c r="G37" i="12"/>
  <c r="F36" i="12"/>
  <c r="J37" i="14"/>
  <c r="F47" i="14"/>
  <c r="H47" i="14"/>
  <c r="N47" i="14" s="1"/>
  <c r="F44" i="14"/>
  <c r="H44" i="14"/>
  <c r="N44" i="14" s="1"/>
  <c r="M50" i="14"/>
  <c r="K37" i="12"/>
  <c r="K39" i="12"/>
  <c r="K40" i="12"/>
  <c r="K38" i="12"/>
  <c r="G39" i="14"/>
  <c r="I39" i="14" s="1"/>
  <c r="F59" i="14"/>
  <c r="G59" i="14" s="1"/>
  <c r="H59" i="14"/>
  <c r="N59" i="14" s="1"/>
  <c r="F54" i="14"/>
  <c r="G54" i="14" s="1"/>
  <c r="H54" i="14"/>
  <c r="N54" i="14" s="1"/>
  <c r="M60" i="14"/>
  <c r="K33" i="14"/>
  <c r="K35" i="14"/>
  <c r="F62" i="14"/>
  <c r="G62" i="14" s="1"/>
  <c r="H62" i="14"/>
  <c r="N62" i="14" s="1"/>
  <c r="G30" i="14"/>
  <c r="I30" i="14" s="1"/>
  <c r="I38" i="14"/>
  <c r="H20" i="14"/>
  <c r="N20" i="14" s="1"/>
  <c r="F20" i="14"/>
  <c r="G20" i="14" s="1"/>
  <c r="K20" i="14" s="1"/>
  <c r="H19" i="14"/>
  <c r="N19" i="14" s="1"/>
  <c r="F19" i="14"/>
  <c r="G19" i="14" s="1"/>
  <c r="K19" i="14" s="1"/>
  <c r="H39" i="12"/>
  <c r="H40" i="12"/>
  <c r="H38" i="12"/>
  <c r="H37" i="12"/>
  <c r="I37" i="14"/>
  <c r="H42" i="14"/>
  <c r="N42" i="14" s="1"/>
  <c r="F42" i="14"/>
  <c r="G42" i="14" s="1"/>
  <c r="K42" i="14" s="1"/>
  <c r="F48" i="14"/>
  <c r="H48" i="14"/>
  <c r="N48" i="14" s="1"/>
  <c r="K17" i="14"/>
  <c r="M34" i="14"/>
  <c r="G17" i="1"/>
  <c r="X9" i="14" s="1"/>
  <c r="Q886" i="13"/>
  <c r="G9" i="1" s="1"/>
  <c r="Q885" i="13"/>
  <c r="G7" i="1" s="1"/>
  <c r="Z264" i="17418"/>
  <c r="Z262" i="17418"/>
  <c r="Z261" i="17418"/>
  <c r="Z253" i="17418"/>
  <c r="Z266" i="17418"/>
  <c r="Z275" i="17418"/>
  <c r="Z288" i="17418"/>
  <c r="Z283" i="17418"/>
  <c r="Z284" i="17418"/>
  <c r="Z256" i="17418"/>
  <c r="Z249" i="17418"/>
  <c r="Z270" i="17418"/>
  <c r="Z246" i="17418"/>
  <c r="Z279" i="17418"/>
  <c r="Z243" i="17418"/>
  <c r="Z278" i="17418"/>
  <c r="Z272" i="17418"/>
  <c r="Z257" i="17418"/>
  <c r="Z255" i="17418"/>
  <c r="Z241" i="17418"/>
  <c r="Z267" i="17418"/>
  <c r="Z252" i="17418"/>
  <c r="Z277" i="17418"/>
  <c r="Z244" i="17418"/>
  <c r="Z273" i="17418"/>
  <c r="Z274" i="17418"/>
  <c r="Z245" i="17418"/>
  <c r="Z242" i="17418"/>
  <c r="Z247" i="17418"/>
  <c r="Z238" i="17418"/>
  <c r="Z281" i="17418"/>
  <c r="Z250" i="17418"/>
  <c r="Z254" i="17418"/>
  <c r="Z248" i="17418"/>
  <c r="Z282" i="17418"/>
  <c r="Z276" i="17418"/>
  <c r="Z258" i="17418"/>
  <c r="Z260" i="17418"/>
  <c r="Z240" i="17418"/>
  <c r="R42" i="17419"/>
  <c r="AA60" i="17418"/>
  <c r="AA57" i="17418"/>
  <c r="AA55" i="17418"/>
  <c r="AA52" i="17418"/>
  <c r="AA48" i="17418"/>
  <c r="AA56" i="17418"/>
  <c r="AA53" i="17418"/>
  <c r="AA50" i="17418"/>
  <c r="AA47" i="17418"/>
  <c r="AA44" i="17418"/>
  <c r="AA45" i="17418"/>
  <c r="AA42" i="17418"/>
  <c r="AA41" i="17418"/>
  <c r="AA38" i="17418"/>
  <c r="AA36" i="17418"/>
  <c r="AA30" i="17418"/>
  <c r="AA51" i="17418"/>
  <c r="AA46" i="17418"/>
  <c r="AA40" i="17418"/>
  <c r="AA31" i="17418"/>
  <c r="AA43" i="17418"/>
  <c r="AA34" i="17418"/>
  <c r="R9" i="17419"/>
  <c r="AA59" i="17418"/>
  <c r="AA39" i="17418"/>
  <c r="AA33" i="17418"/>
  <c r="AA29" i="17418"/>
  <c r="AA54" i="17418"/>
  <c r="AA15" i="17418"/>
  <c r="AA49" i="17418"/>
  <c r="AA35" i="17418"/>
  <c r="AB7" i="17418"/>
  <c r="AA58" i="17418"/>
  <c r="AA37" i="17418"/>
  <c r="P35" i="17422"/>
  <c r="AO35" i="17422" s="1"/>
  <c r="AA32" i="17418"/>
  <c r="Z285" i="17418"/>
  <c r="Z287" i="17418"/>
  <c r="Z280" i="17418"/>
  <c r="F11" i="10"/>
  <c r="H11" i="10" s="1"/>
  <c r="J11" i="10" s="1"/>
  <c r="AA14" i="17418" l="1"/>
  <c r="K18" i="14"/>
  <c r="AB17" i="17418"/>
  <c r="AB22" i="17418"/>
  <c r="AB20" i="17418" s="1"/>
  <c r="AB16" i="17418"/>
  <c r="AB21" i="17418"/>
  <c r="AB19" i="17418"/>
  <c r="AB18" i="17418" s="1"/>
  <c r="O41" i="17422"/>
  <c r="AN41" i="17422" s="1"/>
  <c r="P38" i="17422"/>
  <c r="AO38" i="17422" s="1"/>
  <c r="P32" i="17422"/>
  <c r="AO32" i="17422" s="1"/>
  <c r="P29" i="17422"/>
  <c r="AO29" i="17422" s="1"/>
  <c r="G6" i="1"/>
  <c r="U40" i="14"/>
  <c r="O50" i="14"/>
  <c r="P26" i="17422"/>
  <c r="AO26" i="17422" s="1"/>
  <c r="Z259" i="17418"/>
  <c r="Z265" i="17418"/>
  <c r="AA263" i="17418"/>
  <c r="AA251" i="17418"/>
  <c r="AA239" i="17418"/>
  <c r="AA269" i="17418"/>
  <c r="AA271" i="17418"/>
  <c r="K32" i="14"/>
  <c r="M39" i="14"/>
  <c r="M66" i="14"/>
  <c r="M18" i="14"/>
  <c r="O18" i="14" s="1"/>
  <c r="O17" i="14"/>
  <c r="Q144" i="4"/>
  <c r="R144" i="4" s="1"/>
  <c r="P144" i="4"/>
  <c r="O36" i="14"/>
  <c r="U36" i="14" s="1"/>
  <c r="O37" i="14"/>
  <c r="P37" i="14" s="1"/>
  <c r="M9" i="14"/>
  <c r="I32" i="14"/>
  <c r="K39" i="14"/>
  <c r="K9" i="14"/>
  <c r="M47" i="12"/>
  <c r="M45" i="12"/>
  <c r="BU39" i="17418"/>
  <c r="HU37" i="17418"/>
  <c r="S187" i="17412"/>
  <c r="HX25" i="17418"/>
  <c r="ED25" i="17418"/>
  <c r="CG25" i="17418"/>
  <c r="GA25" i="17418"/>
  <c r="JU25" i="17418"/>
  <c r="ED27" i="17418"/>
  <c r="CG27" i="17418"/>
  <c r="IG27" i="17418" s="1"/>
  <c r="GA27" i="17418"/>
  <c r="JU27" i="17418"/>
  <c r="ED36" i="17418"/>
  <c r="KD36" i="17418" s="1"/>
  <c r="GA36" i="17418"/>
  <c r="CG36" i="17418"/>
  <c r="IG36" i="17418" s="1"/>
  <c r="HX24" i="17418"/>
  <c r="ED24" i="17418"/>
  <c r="JU24" i="17418"/>
  <c r="CG24" i="17418"/>
  <c r="GA24" i="17418"/>
  <c r="CG37" i="17418"/>
  <c r="IG37" i="17418" s="1"/>
  <c r="ED37" i="17418"/>
  <c r="KD37" i="17418" s="1"/>
  <c r="GA37" i="17418"/>
  <c r="HX23" i="17418"/>
  <c r="ED23" i="17418"/>
  <c r="CG23" i="17418"/>
  <c r="GA23" i="17418"/>
  <c r="JU23" i="17418"/>
  <c r="HX26" i="17418"/>
  <c r="ED26" i="17418"/>
  <c r="GA26" i="17418"/>
  <c r="JU26" i="17418"/>
  <c r="CG26" i="17418"/>
  <c r="AA262" i="17418"/>
  <c r="AA289" i="17418"/>
  <c r="AA254" i="17418"/>
  <c r="AA267" i="17418"/>
  <c r="AA264" i="17418"/>
  <c r="AA279" i="17418"/>
  <c r="AA268" i="17418"/>
  <c r="AA270" i="17418"/>
  <c r="R63" i="17419"/>
  <c r="AB25" i="17418"/>
  <c r="AB26" i="17418"/>
  <c r="AB23" i="17418"/>
  <c r="AB24" i="17418"/>
  <c r="AB27" i="17418"/>
  <c r="I49" i="14"/>
  <c r="K49" i="14"/>
  <c r="O38" i="14"/>
  <c r="P38" i="14" s="1"/>
  <c r="M46" i="12"/>
  <c r="O33" i="14"/>
  <c r="U33" i="14" s="1"/>
  <c r="G65" i="14"/>
  <c r="I65" i="14" s="1"/>
  <c r="J28" i="14"/>
  <c r="J9" i="14"/>
  <c r="M42" i="14"/>
  <c r="M19" i="14"/>
  <c r="I19" i="14"/>
  <c r="J58" i="14"/>
  <c r="M58" i="14"/>
  <c r="J49" i="14"/>
  <c r="J46" i="14"/>
  <c r="I46" i="14"/>
  <c r="I43" i="14"/>
  <c r="O60" i="14"/>
  <c r="U60" i="14" s="1"/>
  <c r="J19" i="14"/>
  <c r="I20" i="14"/>
  <c r="M20" i="14"/>
  <c r="O34" i="14"/>
  <c r="P34" i="14" s="1"/>
  <c r="J42" i="14"/>
  <c r="I42" i="14"/>
  <c r="J20" i="14"/>
  <c r="J66" i="14"/>
  <c r="I66" i="14"/>
  <c r="O35" i="14"/>
  <c r="P35" i="14" s="1"/>
  <c r="M49" i="14"/>
  <c r="M46" i="14"/>
  <c r="M32" i="14"/>
  <c r="K28" i="14"/>
  <c r="M28" i="14"/>
  <c r="H41" i="12"/>
  <c r="H49" i="12" s="1"/>
  <c r="K41" i="12"/>
  <c r="K49" i="12" s="1"/>
  <c r="F7" i="1" s="1"/>
  <c r="L1077" i="4" s="1"/>
  <c r="J41" i="12"/>
  <c r="J49" i="12" s="1"/>
  <c r="I54" i="14"/>
  <c r="K54" i="14"/>
  <c r="M54" i="14"/>
  <c r="J54" i="14"/>
  <c r="I45" i="14"/>
  <c r="K63" i="14"/>
  <c r="I63" i="14"/>
  <c r="I62" i="14"/>
  <c r="K62" i="14"/>
  <c r="M62" i="14"/>
  <c r="J62" i="14"/>
  <c r="K64" i="14"/>
  <c r="J64" i="14"/>
  <c r="M64" i="14"/>
  <c r="I59" i="14"/>
  <c r="K59" i="14"/>
  <c r="M59" i="14"/>
  <c r="J59" i="14"/>
  <c r="U17" i="14"/>
  <c r="P17" i="14"/>
  <c r="J30" i="14"/>
  <c r="G47" i="14"/>
  <c r="K47" i="14" s="1"/>
  <c r="G56" i="14"/>
  <c r="I56" i="14" s="1"/>
  <c r="G52" i="14"/>
  <c r="I52" i="14" s="1"/>
  <c r="K43" i="14"/>
  <c r="I41" i="12"/>
  <c r="I49" i="12" s="1"/>
  <c r="M30" i="14"/>
  <c r="K30" i="14"/>
  <c r="G48" i="14"/>
  <c r="I48" i="14" s="1"/>
  <c r="P36" i="14"/>
  <c r="P50" i="14"/>
  <c r="U50" i="14"/>
  <c r="G44" i="14"/>
  <c r="K44" i="14" s="1"/>
  <c r="G41" i="12"/>
  <c r="G26" i="14"/>
  <c r="M26" i="14" s="1"/>
  <c r="G25" i="14"/>
  <c r="M25" i="14" s="1"/>
  <c r="G29" i="14"/>
  <c r="M29" i="14" s="1"/>
  <c r="K58" i="14"/>
  <c r="G55" i="14"/>
  <c r="I55" i="14" s="1"/>
  <c r="G53" i="14"/>
  <c r="I53" i="14" s="1"/>
  <c r="G57" i="14"/>
  <c r="I57" i="14" s="1"/>
  <c r="K45" i="14"/>
  <c r="J45" i="14"/>
  <c r="I64" i="14"/>
  <c r="M63" i="14"/>
  <c r="J63" i="14"/>
  <c r="M44" i="12"/>
  <c r="M48" i="12"/>
  <c r="J39" i="14"/>
  <c r="J43" i="14"/>
  <c r="G22" i="14"/>
  <c r="G27" i="14"/>
  <c r="M146" i="4"/>
  <c r="O145" i="4"/>
  <c r="V40" i="14"/>
  <c r="C40" i="14"/>
  <c r="F48" i="1" s="1"/>
  <c r="L173" i="4" s="1"/>
  <c r="M45" i="14"/>
  <c r="G24" i="14"/>
  <c r="G23" i="14"/>
  <c r="G18" i="1"/>
  <c r="AA261" i="17418"/>
  <c r="AA274" i="17418"/>
  <c r="AA241" i="17418"/>
  <c r="AA243" i="17418"/>
  <c r="AA246" i="17418"/>
  <c r="AA256" i="17418"/>
  <c r="AA282" i="17418"/>
  <c r="AA276" i="17418"/>
  <c r="AA253" i="17418"/>
  <c r="AA286" i="17418"/>
  <c r="AA250" i="17418"/>
  <c r="AA285" i="17418"/>
  <c r="AA283" i="17418"/>
  <c r="AA272" i="17418"/>
  <c r="AA257" i="17418"/>
  <c r="AA247" i="17418"/>
  <c r="AA266" i="17418"/>
  <c r="AA275" i="17418"/>
  <c r="AA242" i="17418"/>
  <c r="AA240" i="17418"/>
  <c r="AA248" i="17418"/>
  <c r="AA252" i="17418"/>
  <c r="AA281" i="17418"/>
  <c r="AA287" i="17418"/>
  <c r="AA260" i="17418"/>
  <c r="AA277" i="17418"/>
  <c r="AA288" i="17418"/>
  <c r="AA238" i="17418"/>
  <c r="AA245" i="17418"/>
  <c r="AA273" i="17418"/>
  <c r="AA258" i="17418"/>
  <c r="AA278" i="17418"/>
  <c r="AA244" i="17418"/>
  <c r="AA255" i="17418"/>
  <c r="AB59" i="17418"/>
  <c r="S42" i="17419"/>
  <c r="S63" i="17419" s="1"/>
  <c r="AB58" i="17418"/>
  <c r="S9" i="17419"/>
  <c r="AB56" i="17418"/>
  <c r="AB51" i="17418"/>
  <c r="AB47" i="17418"/>
  <c r="AB60" i="17418"/>
  <c r="AB43" i="17418"/>
  <c r="AB52" i="17418"/>
  <c r="AB46" i="17418"/>
  <c r="AB40" i="17418"/>
  <c r="AB34" i="17418"/>
  <c r="AB53" i="17418"/>
  <c r="AB48" i="17418"/>
  <c r="AB45" i="17418"/>
  <c r="AB38" i="17418"/>
  <c r="AB35" i="17418"/>
  <c r="AB33" i="17418"/>
  <c r="AB29" i="17418"/>
  <c r="AB50" i="17418"/>
  <c r="AB37" i="17418"/>
  <c r="AB57" i="17418"/>
  <c r="AB49" i="17418"/>
  <c r="AB44" i="17418"/>
  <c r="AB42" i="17418"/>
  <c r="AB30" i="17418"/>
  <c r="AB36" i="17418"/>
  <c r="AB31" i="17418"/>
  <c r="AB41" i="17418"/>
  <c r="AB39" i="17418"/>
  <c r="AB55" i="17418"/>
  <c r="AB15" i="17418"/>
  <c r="AB54" i="17418"/>
  <c r="AC7" i="17418"/>
  <c r="AB32" i="17418"/>
  <c r="AA280" i="17418"/>
  <c r="AA249" i="17418"/>
  <c r="AA284" i="17418"/>
  <c r="R57" i="17419"/>
  <c r="AB14" i="17418" l="1"/>
  <c r="O32" i="14"/>
  <c r="AC22" i="17418"/>
  <c r="AC20" i="17418" s="1"/>
  <c r="AC17" i="17418"/>
  <c r="AC16" i="17418"/>
  <c r="AC21" i="17418"/>
  <c r="AC19" i="17418"/>
  <c r="AC18" i="17418" s="1"/>
  <c r="P1077" i="4"/>
  <c r="R1077" i="4"/>
  <c r="L450" i="4"/>
  <c r="P450" i="4" s="1"/>
  <c r="L483" i="4"/>
  <c r="L1060" i="4"/>
  <c r="P1060" i="4" s="1"/>
  <c r="L1073" i="4"/>
  <c r="L709" i="4"/>
  <c r="L696" i="4"/>
  <c r="L1364" i="13"/>
  <c r="P1364" i="13" s="1"/>
  <c r="L1372" i="13"/>
  <c r="L507" i="4"/>
  <c r="P507" i="4" s="1"/>
  <c r="Q35" i="17422"/>
  <c r="AP35" i="17422" s="1"/>
  <c r="P41" i="17422"/>
  <c r="AO41" i="17422" s="1"/>
  <c r="Q38" i="17422"/>
  <c r="AP38" i="17422" s="1"/>
  <c r="Q32" i="17422"/>
  <c r="AP32" i="17422" s="1"/>
  <c r="Q29" i="17422"/>
  <c r="AP29" i="17422" s="1"/>
  <c r="L994" i="4"/>
  <c r="P994" i="4" s="1"/>
  <c r="L1000" i="4"/>
  <c r="L1035" i="4"/>
  <c r="P1035" i="4" s="1"/>
  <c r="L1455" i="13"/>
  <c r="L562" i="4"/>
  <c r="P562" i="4" s="1"/>
  <c r="L1032" i="4"/>
  <c r="L1502" i="13"/>
  <c r="R1502" i="13" s="1"/>
  <c r="L486" i="4"/>
  <c r="U35" i="14"/>
  <c r="M56" i="14"/>
  <c r="L1049" i="4"/>
  <c r="L1053" i="4"/>
  <c r="L1481" i="13"/>
  <c r="P1481" i="13" s="1"/>
  <c r="L1491" i="13"/>
  <c r="P1491" i="13" s="1"/>
  <c r="L1497" i="13"/>
  <c r="J48" i="14"/>
  <c r="O46" i="14"/>
  <c r="O66" i="14"/>
  <c r="O19" i="14"/>
  <c r="U38" i="14"/>
  <c r="U37" i="14"/>
  <c r="M52" i="14"/>
  <c r="O9" i="14"/>
  <c r="P18" i="14"/>
  <c r="U18" i="14"/>
  <c r="I26" i="14"/>
  <c r="L1466" i="13"/>
  <c r="L486" i="6"/>
  <c r="L1474" i="13"/>
  <c r="L1449" i="13"/>
  <c r="P1449" i="13" s="1"/>
  <c r="L1459" i="13"/>
  <c r="L483" i="6"/>
  <c r="L1427" i="13"/>
  <c r="P1427" i="13" s="1"/>
  <c r="L1439" i="13"/>
  <c r="L589" i="4"/>
  <c r="R589" i="4" s="1"/>
  <c r="L655" i="4"/>
  <c r="L1348" i="13"/>
  <c r="L1354" i="13"/>
  <c r="L976" i="4"/>
  <c r="P976" i="4" s="1"/>
  <c r="O20" i="14"/>
  <c r="O42" i="14"/>
  <c r="M53" i="14"/>
  <c r="O39" i="14"/>
  <c r="K52" i="14"/>
  <c r="L573" i="4"/>
  <c r="L577" i="4"/>
  <c r="Q26" i="17422"/>
  <c r="AP26" i="17422" s="1"/>
  <c r="AA259" i="17418"/>
  <c r="AA265" i="17418"/>
  <c r="AB239" i="17418"/>
  <c r="AB251" i="17418"/>
  <c r="AB263" i="17418"/>
  <c r="AB269" i="17418"/>
  <c r="AB271" i="17418"/>
  <c r="U34" i="14"/>
  <c r="O54" i="14"/>
  <c r="O49" i="14"/>
  <c r="H18" i="1"/>
  <c r="L18" i="1" s="1"/>
  <c r="X10" i="14"/>
  <c r="L418" i="4"/>
  <c r="P418" i="4" s="1"/>
  <c r="L788" i="4"/>
  <c r="L802" i="4"/>
  <c r="L806" i="4"/>
  <c r="L760" i="4"/>
  <c r="L748" i="4"/>
  <c r="L739" i="4"/>
  <c r="L754" i="4"/>
  <c r="L745" i="4"/>
  <c r="L736" i="4"/>
  <c r="L767" i="4"/>
  <c r="L765" i="4"/>
  <c r="L757" i="4"/>
  <c r="L751" i="4"/>
  <c r="L742" i="4"/>
  <c r="L720" i="4"/>
  <c r="L718" i="4"/>
  <c r="L728" i="4"/>
  <c r="L703" i="4"/>
  <c r="L672" i="4"/>
  <c r="P672" i="4" s="1"/>
  <c r="L690" i="4"/>
  <c r="L664" i="4"/>
  <c r="L647" i="4"/>
  <c r="L640" i="4"/>
  <c r="L637" i="4"/>
  <c r="L633" i="4"/>
  <c r="L616" i="4"/>
  <c r="L629" i="4"/>
  <c r="L600" i="4"/>
  <c r="L569" i="4"/>
  <c r="L565" i="4"/>
  <c r="R565" i="4" s="1"/>
  <c r="L643" i="4"/>
  <c r="L613" i="4"/>
  <c r="L632" i="4"/>
  <c r="L581" i="4"/>
  <c r="L619" i="4"/>
  <c r="L625" i="4"/>
  <c r="L622" i="4"/>
  <c r="L387" i="13"/>
  <c r="P387" i="13" s="1"/>
  <c r="L1312" i="13"/>
  <c r="L388" i="6"/>
  <c r="R388" i="6" s="1"/>
  <c r="L499" i="4"/>
  <c r="L200" i="13"/>
  <c r="R200" i="13" s="1"/>
  <c r="L958" i="13"/>
  <c r="R958" i="13" s="1"/>
  <c r="L914" i="13"/>
  <c r="R914" i="13" s="1"/>
  <c r="L59" i="13"/>
  <c r="P59" i="13" s="1"/>
  <c r="L1000" i="13"/>
  <c r="R1000" i="13" s="1"/>
  <c r="L48" i="6"/>
  <c r="P48" i="6" s="1"/>
  <c r="L1114" i="13"/>
  <c r="P1114" i="13" s="1"/>
  <c r="L406" i="6"/>
  <c r="P406" i="6" s="1"/>
  <c r="L42" i="6"/>
  <c r="P42" i="6" s="1"/>
  <c r="Q145" i="4"/>
  <c r="R145" i="4" s="1"/>
  <c r="P145" i="4"/>
  <c r="L1309" i="13"/>
  <c r="P1309" i="13" s="1"/>
  <c r="L470" i="4"/>
  <c r="L447" i="4"/>
  <c r="L440" i="4"/>
  <c r="L433" i="4"/>
  <c r="L421" i="4"/>
  <c r="L389" i="4"/>
  <c r="L329" i="4"/>
  <c r="L269" i="4"/>
  <c r="L113" i="4"/>
  <c r="L97" i="4"/>
  <c r="L437" i="4"/>
  <c r="L417" i="4"/>
  <c r="L378" i="4"/>
  <c r="L310" i="4"/>
  <c r="L120" i="4"/>
  <c r="L104" i="4"/>
  <c r="L86" i="4"/>
  <c r="L121" i="4"/>
  <c r="L105" i="4"/>
  <c r="L75" i="4"/>
  <c r="L112" i="4"/>
  <c r="L96" i="4"/>
  <c r="L91" i="4"/>
  <c r="L35" i="4"/>
  <c r="L364" i="4"/>
  <c r="L468" i="4"/>
  <c r="L431" i="4"/>
  <c r="L331" i="4"/>
  <c r="L81" i="4"/>
  <c r="L136" i="4"/>
  <c r="L480" i="6"/>
  <c r="R480" i="6" s="1"/>
  <c r="L179" i="13"/>
  <c r="R179" i="13" s="1"/>
  <c r="L244" i="6"/>
  <c r="P244" i="6" s="1"/>
  <c r="L1172" i="13"/>
  <c r="R1172" i="13" s="1"/>
  <c r="L361" i="13"/>
  <c r="P361" i="13" s="1"/>
  <c r="L239" i="13"/>
  <c r="P239" i="13" s="1"/>
  <c r="L407" i="13"/>
  <c r="R407" i="13" s="1"/>
  <c r="L989" i="13"/>
  <c r="R989" i="13" s="1"/>
  <c r="L563" i="13"/>
  <c r="R563" i="13" s="1"/>
  <c r="F10" i="1"/>
  <c r="L1083" i="4" s="1"/>
  <c r="K65" i="14"/>
  <c r="J47" i="14"/>
  <c r="O63" i="14"/>
  <c r="U63" i="14" s="1"/>
  <c r="P60" i="14"/>
  <c r="O43" i="14"/>
  <c r="I25" i="14"/>
  <c r="O58" i="14"/>
  <c r="P58" i="14" s="1"/>
  <c r="L350" i="13"/>
  <c r="L669" i="13"/>
  <c r="R669" i="13" s="1"/>
  <c r="L926" i="13"/>
  <c r="P926" i="13" s="1"/>
  <c r="L426" i="6"/>
  <c r="R426" i="6" s="1"/>
  <c r="L125" i="13"/>
  <c r="R125" i="13" s="1"/>
  <c r="L1230" i="13"/>
  <c r="R1230" i="13" s="1"/>
  <c r="J65" i="14"/>
  <c r="L572" i="13"/>
  <c r="R572" i="13" s="1"/>
  <c r="L153" i="13"/>
  <c r="P153" i="13" s="1"/>
  <c r="L933" i="13"/>
  <c r="R933" i="13" s="1"/>
  <c r="L14" i="6"/>
  <c r="P14" i="6" s="1"/>
  <c r="L32" i="6"/>
  <c r="P32" i="6" s="1"/>
  <c r="L192" i="13"/>
  <c r="P192" i="13" s="1"/>
  <c r="L945" i="13"/>
  <c r="P945" i="13" s="1"/>
  <c r="L224" i="13"/>
  <c r="P224" i="13" s="1"/>
  <c r="L76" i="6"/>
  <c r="P76" i="6" s="1"/>
  <c r="L678" i="13"/>
  <c r="P678" i="13" s="1"/>
  <c r="L749" i="13"/>
  <c r="P749" i="13" s="1"/>
  <c r="L930" i="13"/>
  <c r="P930" i="13" s="1"/>
  <c r="L85" i="6"/>
  <c r="P85" i="6" s="1"/>
  <c r="L686" i="13"/>
  <c r="R686" i="13" s="1"/>
  <c r="L247" i="6"/>
  <c r="P247" i="6" s="1"/>
  <c r="L64" i="13"/>
  <c r="P64" i="13" s="1"/>
  <c r="L815" i="13"/>
  <c r="P815" i="13" s="1"/>
  <c r="L278" i="13"/>
  <c r="R278" i="13" s="1"/>
  <c r="L937" i="13"/>
  <c r="R937" i="13" s="1"/>
  <c r="L1249" i="13"/>
  <c r="R1249" i="13" s="1"/>
  <c r="L382" i="6"/>
  <c r="R382" i="6" s="1"/>
  <c r="L393" i="6"/>
  <c r="R393" i="6" s="1"/>
  <c r="L410" i="13"/>
  <c r="R410" i="13" s="1"/>
  <c r="L100" i="13"/>
  <c r="P100" i="13" s="1"/>
  <c r="L656" i="13"/>
  <c r="R656" i="13" s="1"/>
  <c r="L1306" i="13"/>
  <c r="H7" i="1"/>
  <c r="L142" i="13"/>
  <c r="P142" i="13" s="1"/>
  <c r="L288" i="6"/>
  <c r="P288" i="6" s="1"/>
  <c r="L778" i="13"/>
  <c r="P778" i="13" s="1"/>
  <c r="L156" i="13"/>
  <c r="P156" i="13" s="1"/>
  <c r="L391" i="13"/>
  <c r="P391" i="13" s="1"/>
  <c r="L683" i="13"/>
  <c r="R683" i="13" s="1"/>
  <c r="L250" i="6"/>
  <c r="P250" i="6" s="1"/>
  <c r="L227" i="6"/>
  <c r="L322" i="6"/>
  <c r="P322" i="6" s="1"/>
  <c r="L373" i="6"/>
  <c r="P373" i="6" s="1"/>
  <c r="L269" i="6"/>
  <c r="R269" i="6" s="1"/>
  <c r="L443" i="13"/>
  <c r="R443" i="13" s="1"/>
  <c r="L51" i="6"/>
  <c r="L168" i="13"/>
  <c r="P168" i="13" s="1"/>
  <c r="L379" i="13"/>
  <c r="P379" i="13" s="1"/>
  <c r="L536" i="13"/>
  <c r="R536" i="13" s="1"/>
  <c r="L87" i="13"/>
  <c r="R87" i="13" s="1"/>
  <c r="L1250" i="13"/>
  <c r="R1250" i="13" s="1"/>
  <c r="L1214" i="13"/>
  <c r="R1214" i="13" s="1"/>
  <c r="L1224" i="13"/>
  <c r="P1224" i="13" s="1"/>
  <c r="L1034" i="13"/>
  <c r="R1034" i="13" s="1"/>
  <c r="L376" i="13"/>
  <c r="R376" i="13" s="1"/>
  <c r="L218" i="13"/>
  <c r="R218" i="13" s="1"/>
  <c r="L269" i="13"/>
  <c r="P269" i="13" s="1"/>
  <c r="L954" i="13"/>
  <c r="P954" i="13" s="1"/>
  <c r="L280" i="6"/>
  <c r="R280" i="6" s="1"/>
  <c r="L258" i="6"/>
  <c r="R258" i="6" s="1"/>
  <c r="L1053" i="13"/>
  <c r="R1053" i="13" s="1"/>
  <c r="L302" i="13"/>
  <c r="R302" i="13" s="1"/>
  <c r="L760" i="13"/>
  <c r="R760" i="13" s="1"/>
  <c r="L53" i="13"/>
  <c r="R53" i="13" s="1"/>
  <c r="L27" i="13"/>
  <c r="L982" i="13"/>
  <c r="P982" i="13" s="1"/>
  <c r="L135" i="13"/>
  <c r="R135" i="13" s="1"/>
  <c r="L110" i="13"/>
  <c r="P110" i="13" s="1"/>
  <c r="L625" i="13"/>
  <c r="P625" i="13" s="1"/>
  <c r="L376" i="6"/>
  <c r="P376" i="6" s="1"/>
  <c r="L40" i="13"/>
  <c r="R40" i="13" s="1"/>
  <c r="L451" i="6"/>
  <c r="P451" i="6" s="1"/>
  <c r="L76" i="13"/>
  <c r="P76" i="13" s="1"/>
  <c r="L420" i="6"/>
  <c r="R420" i="6" s="1"/>
  <c r="L1296" i="13"/>
  <c r="L1300" i="13"/>
  <c r="L414" i="6"/>
  <c r="L206" i="13"/>
  <c r="P206" i="13" s="1"/>
  <c r="L319" i="13"/>
  <c r="P319" i="13" s="1"/>
  <c r="L366" i="13"/>
  <c r="P366" i="13" s="1"/>
  <c r="L231" i="6"/>
  <c r="R231" i="6" s="1"/>
  <c r="L29" i="6"/>
  <c r="R29" i="6" s="1"/>
  <c r="L311" i="13"/>
  <c r="P311" i="13" s="1"/>
  <c r="L865" i="13"/>
  <c r="R865" i="13" s="1"/>
  <c r="L39" i="6"/>
  <c r="R39" i="6" s="1"/>
  <c r="L65" i="6"/>
  <c r="R65" i="6" s="1"/>
  <c r="L252" i="13"/>
  <c r="R252" i="13" s="1"/>
  <c r="L1161" i="13"/>
  <c r="P1161" i="13" s="1"/>
  <c r="L31" i="13"/>
  <c r="P31" i="13" s="1"/>
  <c r="L435" i="6"/>
  <c r="R435" i="6" s="1"/>
  <c r="L331" i="13"/>
  <c r="R331" i="13" s="1"/>
  <c r="L455" i="6"/>
  <c r="R455" i="6" s="1"/>
  <c r="L1253" i="13"/>
  <c r="R1253" i="13" s="1"/>
  <c r="L581" i="13"/>
  <c r="R581" i="13" s="1"/>
  <c r="L1184" i="13"/>
  <c r="R1184" i="13" s="1"/>
  <c r="L174" i="13"/>
  <c r="R174" i="13" s="1"/>
  <c r="L1194" i="13"/>
  <c r="P1194" i="13" s="1"/>
  <c r="L185" i="13"/>
  <c r="P185" i="13" s="1"/>
  <c r="L399" i="6"/>
  <c r="P399" i="6" s="1"/>
  <c r="L1227" i="13"/>
  <c r="R1227" i="13" s="1"/>
  <c r="L833" i="13"/>
  <c r="P833" i="13" s="1"/>
  <c r="L1234" i="13"/>
  <c r="P1234" i="13" s="1"/>
  <c r="L1290" i="13"/>
  <c r="L801" i="13"/>
  <c r="R801" i="13" s="1"/>
  <c r="L54" i="6"/>
  <c r="R54" i="6" s="1"/>
  <c r="L339" i="13"/>
  <c r="P339" i="13" s="1"/>
  <c r="L1189" i="13"/>
  <c r="P1189" i="13" s="1"/>
  <c r="L360" i="6"/>
  <c r="R360" i="6" s="1"/>
  <c r="L1010" i="13"/>
  <c r="R1010" i="13" s="1"/>
  <c r="L282" i="13"/>
  <c r="P282" i="13" s="1"/>
  <c r="L363" i="13"/>
  <c r="R363" i="13" s="1"/>
  <c r="L1020" i="13"/>
  <c r="R1020" i="13" s="1"/>
  <c r="L210" i="13"/>
  <c r="R210" i="13" s="1"/>
  <c r="L906" i="13"/>
  <c r="R906" i="13" s="1"/>
  <c r="L885" i="13"/>
  <c r="P885" i="13" s="1"/>
  <c r="L305" i="6"/>
  <c r="P305" i="6" s="1"/>
  <c r="L295" i="13"/>
  <c r="P295" i="13" s="1"/>
  <c r="L396" i="6"/>
  <c r="P396" i="6" s="1"/>
  <c r="L836" i="13"/>
  <c r="P836" i="13" s="1"/>
  <c r="L417" i="6"/>
  <c r="R417" i="6" s="1"/>
  <c r="L245" i="13"/>
  <c r="R245" i="13" s="1"/>
  <c r="L363" i="6"/>
  <c r="R363" i="6" s="1"/>
  <c r="L787" i="13"/>
  <c r="R787" i="13" s="1"/>
  <c r="L974" i="13"/>
  <c r="R974" i="13" s="1"/>
  <c r="L430" i="6"/>
  <c r="R430" i="6" s="1"/>
  <c r="L21" i="13"/>
  <c r="R21" i="13" s="1"/>
  <c r="L346" i="6"/>
  <c r="P346" i="6" s="1"/>
  <c r="L827" i="13"/>
  <c r="P827" i="13" s="1"/>
  <c r="L1239" i="13"/>
  <c r="R1239" i="13" s="1"/>
  <c r="L966" i="13"/>
  <c r="R966" i="13" s="1"/>
  <c r="L45" i="6"/>
  <c r="P45" i="6" s="1"/>
  <c r="L821" i="13"/>
  <c r="R821" i="13" s="1"/>
  <c r="L95" i="6"/>
  <c r="R95" i="6" s="1"/>
  <c r="L844" i="13"/>
  <c r="R844" i="13" s="1"/>
  <c r="L224" i="6"/>
  <c r="R224" i="6" s="1"/>
  <c r="L88" i="6"/>
  <c r="R88" i="6" s="1"/>
  <c r="L709" i="13"/>
  <c r="P709" i="13" s="1"/>
  <c r="L370" i="6"/>
  <c r="P370" i="6" s="1"/>
  <c r="L69" i="13"/>
  <c r="P69" i="13" s="1"/>
  <c r="L718" i="13"/>
  <c r="R718" i="13" s="1"/>
  <c r="L113" i="13"/>
  <c r="R113" i="13" s="1"/>
  <c r="L759" i="13"/>
  <c r="R759" i="13" s="1"/>
  <c r="L118" i="13"/>
  <c r="R118" i="13" s="1"/>
  <c r="L1246" i="13"/>
  <c r="R1246" i="13" s="1"/>
  <c r="CH36" i="17418"/>
  <c r="IH36" i="17418" s="1"/>
  <c r="EE36" i="17418"/>
  <c r="KE36" i="17418" s="1"/>
  <c r="GB36" i="17418"/>
  <c r="HY25" i="17418"/>
  <c r="EE25" i="17418"/>
  <c r="GB25" i="17418"/>
  <c r="JV25" i="17418"/>
  <c r="CH25" i="17418"/>
  <c r="EE24" i="17418"/>
  <c r="CH24" i="17418"/>
  <c r="JV24" i="17418"/>
  <c r="GB24" i="17418"/>
  <c r="HY24" i="17418"/>
  <c r="CH37" i="17418"/>
  <c r="IH37" i="17418" s="1"/>
  <c r="EE37" i="17418"/>
  <c r="KE37" i="17418" s="1"/>
  <c r="GB37" i="17418"/>
  <c r="HY23" i="17418"/>
  <c r="EE23" i="17418"/>
  <c r="CH23" i="17418"/>
  <c r="GB23" i="17418"/>
  <c r="JV23" i="17418"/>
  <c r="EE27" i="17418"/>
  <c r="CH27" i="17418"/>
  <c r="IH27" i="17418" s="1"/>
  <c r="GB27" i="17418"/>
  <c r="JV27" i="17418"/>
  <c r="HY26" i="17418"/>
  <c r="EE26" i="17418"/>
  <c r="CH26" i="17418"/>
  <c r="JV26" i="17418"/>
  <c r="GB26" i="17418"/>
  <c r="AB260" i="17418"/>
  <c r="AB281" i="17418"/>
  <c r="AB285" i="17418"/>
  <c r="AB289" i="17418"/>
  <c r="AB247" i="17418"/>
  <c r="AB254" i="17418"/>
  <c r="AB261" i="17418"/>
  <c r="AB283" i="17418"/>
  <c r="L641" i="13"/>
  <c r="R641" i="13" s="1"/>
  <c r="L1219" i="13"/>
  <c r="P1219" i="13" s="1"/>
  <c r="L1279" i="13"/>
  <c r="L439" i="13"/>
  <c r="R439" i="13" s="1"/>
  <c r="L231" i="13"/>
  <c r="P231" i="13" s="1"/>
  <c r="L737" i="13"/>
  <c r="P737" i="13" s="1"/>
  <c r="L1197" i="13"/>
  <c r="P1197" i="13" s="1"/>
  <c r="L259" i="13"/>
  <c r="P259" i="13" s="1"/>
  <c r="L748" i="13"/>
  <c r="R748" i="13" s="1"/>
  <c r="AC27" i="17418"/>
  <c r="AC26" i="17418"/>
  <c r="AC25" i="17418"/>
  <c r="AC24" i="17418"/>
  <c r="AC23" i="17418"/>
  <c r="U9" i="14"/>
  <c r="P9" i="14"/>
  <c r="P33" i="14"/>
  <c r="K56" i="14"/>
  <c r="M65" i="14"/>
  <c r="O65" i="14" s="1"/>
  <c r="M57" i="14"/>
  <c r="O59" i="14"/>
  <c r="U59" i="14" s="1"/>
  <c r="O28" i="14"/>
  <c r="P28" i="14" s="1"/>
  <c r="P32" i="14"/>
  <c r="U32" i="14"/>
  <c r="C32" i="14" s="1"/>
  <c r="F40" i="1" s="1"/>
  <c r="L165" i="4" s="1"/>
  <c r="J29" i="14"/>
  <c r="K25" i="14"/>
  <c r="K48" i="14"/>
  <c r="M55" i="14"/>
  <c r="O62" i="14"/>
  <c r="P62" i="14" s="1"/>
  <c r="M48" i="14"/>
  <c r="J52" i="14"/>
  <c r="O52" i="14" s="1"/>
  <c r="P52" i="14" s="1"/>
  <c r="K53" i="14"/>
  <c r="O30" i="14"/>
  <c r="U30" i="14" s="1"/>
  <c r="O64" i="14"/>
  <c r="P64" i="14" s="1"/>
  <c r="O45" i="14"/>
  <c r="P45" i="14" s="1"/>
  <c r="F8" i="1"/>
  <c r="L1082" i="4" s="1"/>
  <c r="P30" i="14"/>
  <c r="P43" i="14"/>
  <c r="U43" i="14"/>
  <c r="U58" i="14"/>
  <c r="P39" i="14"/>
  <c r="U39" i="14"/>
  <c r="I24" i="14"/>
  <c r="K24" i="14"/>
  <c r="J24" i="14"/>
  <c r="M24" i="14"/>
  <c r="J55" i="14"/>
  <c r="O146" i="4"/>
  <c r="M147" i="4"/>
  <c r="M47" i="14"/>
  <c r="V50" i="14"/>
  <c r="C50" i="14"/>
  <c r="F58" i="1" s="1"/>
  <c r="L183" i="4" s="1"/>
  <c r="L145" i="6"/>
  <c r="L428" i="13"/>
  <c r="L139" i="6"/>
  <c r="L427" i="13"/>
  <c r="L189" i="6"/>
  <c r="L463" i="13"/>
  <c r="L458" i="13"/>
  <c r="L192" i="6"/>
  <c r="L1107" i="13"/>
  <c r="L148" i="6"/>
  <c r="L222" i="6"/>
  <c r="L106" i="6"/>
  <c r="L1169" i="13"/>
  <c r="L109" i="6"/>
  <c r="L194" i="6"/>
  <c r="L375" i="13"/>
  <c r="L178" i="6"/>
  <c r="L436" i="13"/>
  <c r="L1130" i="13"/>
  <c r="L150" i="6"/>
  <c r="L111" i="6"/>
  <c r="L1150" i="13"/>
  <c r="L370" i="13"/>
  <c r="L452" i="13"/>
  <c r="L1128" i="13"/>
  <c r="L1119" i="13"/>
  <c r="L553" i="13"/>
  <c r="K57" i="14"/>
  <c r="K26" i="14"/>
  <c r="U42" i="14"/>
  <c r="P42" i="14"/>
  <c r="J53" i="14"/>
  <c r="J56" i="14"/>
  <c r="P20" i="14"/>
  <c r="U20" i="14"/>
  <c r="J57" i="14"/>
  <c r="U19" i="14"/>
  <c r="P19" i="14"/>
  <c r="I27" i="14"/>
  <c r="K27" i="14"/>
  <c r="J27" i="14"/>
  <c r="M27" i="14"/>
  <c r="P54" i="14"/>
  <c r="U54" i="14"/>
  <c r="U49" i="14"/>
  <c r="P49" i="14"/>
  <c r="F12" i="1"/>
  <c r="F9" i="1"/>
  <c r="L1078" i="4" s="1"/>
  <c r="P46" i="14"/>
  <c r="U46" i="14"/>
  <c r="V35" i="14"/>
  <c r="C35" i="14"/>
  <c r="F43" i="1" s="1"/>
  <c r="L168" i="4" s="1"/>
  <c r="C34" i="14"/>
  <c r="F42" i="1" s="1"/>
  <c r="L167" i="4" s="1"/>
  <c r="V34" i="14"/>
  <c r="V18" i="14"/>
  <c r="C18" i="14"/>
  <c r="F26" i="1" s="1"/>
  <c r="L151" i="4" s="1"/>
  <c r="V37" i="14"/>
  <c r="C37" i="14"/>
  <c r="F45" i="1" s="1"/>
  <c r="L170" i="4" s="1"/>
  <c r="M22" i="14"/>
  <c r="K22" i="14"/>
  <c r="J22" i="14"/>
  <c r="I22" i="14"/>
  <c r="C36" i="14"/>
  <c r="F44" i="1" s="1"/>
  <c r="L169" i="4" s="1"/>
  <c r="V36" i="14"/>
  <c r="K55" i="14"/>
  <c r="C38" i="14"/>
  <c r="F46" i="1" s="1"/>
  <c r="L171" i="4" s="1"/>
  <c r="V38" i="14"/>
  <c r="K29" i="14"/>
  <c r="I47" i="14"/>
  <c r="C60" i="14"/>
  <c r="F68" i="1" s="1"/>
  <c r="L193" i="4" s="1"/>
  <c r="V60" i="14"/>
  <c r="J26" i="14"/>
  <c r="L112" i="6"/>
  <c r="L146" i="6"/>
  <c r="L195" i="6"/>
  <c r="L151" i="6"/>
  <c r="L190" i="6"/>
  <c r="V33" i="14"/>
  <c r="C33" i="14"/>
  <c r="F41" i="1" s="1"/>
  <c r="L166" i="4" s="1"/>
  <c r="I23" i="14"/>
  <c r="K23" i="14"/>
  <c r="J23" i="14"/>
  <c r="M23" i="14"/>
  <c r="I29" i="14"/>
  <c r="F41" i="12"/>
  <c r="G49" i="12"/>
  <c r="F11" i="1" s="1"/>
  <c r="I44" i="14"/>
  <c r="J44" i="14"/>
  <c r="P66" i="14"/>
  <c r="U66" i="14"/>
  <c r="G19" i="1"/>
  <c r="C17" i="14"/>
  <c r="F25" i="1" s="1"/>
  <c r="L150" i="4" s="1"/>
  <c r="V17" i="14"/>
  <c r="J25" i="14"/>
  <c r="M44" i="14"/>
  <c r="AB277" i="17418"/>
  <c r="AB240" i="17418"/>
  <c r="AB252" i="17418"/>
  <c r="AB282" i="17418"/>
  <c r="AB266" i="17418"/>
  <c r="AB270" i="17418"/>
  <c r="AB258" i="17418"/>
  <c r="AB244" i="17418"/>
  <c r="AB241" i="17418"/>
  <c r="AB262" i="17418"/>
  <c r="AB248" i="17418"/>
  <c r="AB280" i="17418"/>
  <c r="AB256" i="17418"/>
  <c r="AB264" i="17418"/>
  <c r="AB267" i="17418"/>
  <c r="S57" i="17419"/>
  <c r="AB279" i="17418"/>
  <c r="AB255" i="17418"/>
  <c r="AB246" i="17418"/>
  <c r="AB273" i="17418"/>
  <c r="AB288" i="17418"/>
  <c r="T9" i="17419"/>
  <c r="AC60" i="17418"/>
  <c r="AC58" i="17418"/>
  <c r="AC54" i="17418"/>
  <c r="AC50" i="17418"/>
  <c r="AC46" i="17418"/>
  <c r="AC57" i="17418"/>
  <c r="AC55" i="17418"/>
  <c r="AC52" i="17418"/>
  <c r="AC49" i="17418"/>
  <c r="AC42" i="17418"/>
  <c r="AC59" i="17418"/>
  <c r="AC51" i="17418"/>
  <c r="AC44" i="17418"/>
  <c r="AC37" i="17418"/>
  <c r="AC33" i="17418"/>
  <c r="AC31" i="17418"/>
  <c r="AC29" i="17418"/>
  <c r="AC56" i="17418"/>
  <c r="AC36" i="17418"/>
  <c r="AC48" i="17418"/>
  <c r="AC39" i="17418"/>
  <c r="AC40" i="17418"/>
  <c r="AC30" i="17418"/>
  <c r="AC47" i="17418"/>
  <c r="AC38" i="17418"/>
  <c r="AC34" i="17418"/>
  <c r="AD7" i="17418"/>
  <c r="T42" i="17419"/>
  <c r="T63" i="17419" s="1"/>
  <c r="AC41" i="17418"/>
  <c r="AC35" i="17418"/>
  <c r="AC45" i="17418"/>
  <c r="AC43" i="17418"/>
  <c r="AC15" i="17418"/>
  <c r="AC53" i="17418"/>
  <c r="AC32" i="17418"/>
  <c r="AB249" i="17418"/>
  <c r="AB253" i="17418"/>
  <c r="AB268" i="17418"/>
  <c r="AB286" i="17418"/>
  <c r="AB278" i="17418"/>
  <c r="AB275" i="17418"/>
  <c r="AB272" i="17418"/>
  <c r="AB276" i="17418"/>
  <c r="AB242" i="17418"/>
  <c r="AB274" i="17418"/>
  <c r="AB245" i="17418"/>
  <c r="AB287" i="17418"/>
  <c r="AB238" i="17418"/>
  <c r="AB284" i="17418"/>
  <c r="AB250" i="17418"/>
  <c r="AB243" i="17418"/>
  <c r="AB257" i="17418"/>
  <c r="AC14" i="17418" l="1"/>
  <c r="P1502" i="13"/>
  <c r="AD22" i="17418"/>
  <c r="AD20" i="17418" s="1"/>
  <c r="AD17" i="17418"/>
  <c r="AD16" i="17418"/>
  <c r="AD21" i="17418"/>
  <c r="AD19" i="17418"/>
  <c r="AD18" i="17418" s="1"/>
  <c r="P1082" i="4"/>
  <c r="R1082" i="4"/>
  <c r="P1083" i="4"/>
  <c r="R1083" i="4"/>
  <c r="P1078" i="4"/>
  <c r="R1078" i="4"/>
  <c r="G1080" i="4"/>
  <c r="G1079" i="4"/>
  <c r="G1078" i="4"/>
  <c r="G1077" i="4"/>
  <c r="F1079" i="4"/>
  <c r="F1077" i="4"/>
  <c r="F1078" i="4"/>
  <c r="F1080" i="4"/>
  <c r="S1077" i="4"/>
  <c r="S1078" i="4"/>
  <c r="S1080" i="4"/>
  <c r="S1079" i="4"/>
  <c r="L454" i="4"/>
  <c r="R454" i="4" s="1"/>
  <c r="L484" i="4"/>
  <c r="R450" i="4"/>
  <c r="P483" i="4"/>
  <c r="R483" i="4"/>
  <c r="R1060" i="4"/>
  <c r="L1061" i="4"/>
  <c r="R1061" i="4" s="1"/>
  <c r="G1064" i="4" s="1"/>
  <c r="L1074" i="4"/>
  <c r="P1073" i="4"/>
  <c r="R1073" i="4"/>
  <c r="L710" i="4"/>
  <c r="L697" i="4"/>
  <c r="P696" i="4"/>
  <c r="R696" i="4"/>
  <c r="P709" i="4"/>
  <c r="R709" i="4"/>
  <c r="R1364" i="13"/>
  <c r="L1363" i="13"/>
  <c r="R1363" i="13" s="1"/>
  <c r="L1371" i="13"/>
  <c r="P1372" i="13"/>
  <c r="R1372" i="13"/>
  <c r="P1363" i="13"/>
  <c r="F1939" i="1" s="1"/>
  <c r="L508" i="4"/>
  <c r="R508" i="4" s="1"/>
  <c r="R507" i="4"/>
  <c r="L1457" i="13"/>
  <c r="P1457" i="13" s="1"/>
  <c r="L1405" i="13"/>
  <c r="L1404" i="13"/>
  <c r="R35" i="17422"/>
  <c r="Q41" i="17422"/>
  <c r="AP41" i="17422" s="1"/>
  <c r="R38" i="17422"/>
  <c r="R32" i="17422"/>
  <c r="R29" i="17422"/>
  <c r="R994" i="4"/>
  <c r="P1000" i="4"/>
  <c r="R1000" i="4"/>
  <c r="L995" i="4"/>
  <c r="P995" i="4" s="1"/>
  <c r="L1001" i="4"/>
  <c r="R1035" i="4"/>
  <c r="L1036" i="4"/>
  <c r="P1036" i="4" s="1"/>
  <c r="F1037" i="4" s="1"/>
  <c r="L1456" i="13"/>
  <c r="P1455" i="13"/>
  <c r="R1455" i="13"/>
  <c r="R562" i="4"/>
  <c r="P1032" i="4"/>
  <c r="R1032" i="4"/>
  <c r="L561" i="4"/>
  <c r="R561" i="4" s="1"/>
  <c r="L1033" i="4"/>
  <c r="R1049" i="4"/>
  <c r="P1049" i="4"/>
  <c r="L1451" i="13"/>
  <c r="R1451" i="13" s="1"/>
  <c r="L1005" i="4"/>
  <c r="L1421" i="13"/>
  <c r="P1421" i="13" s="1"/>
  <c r="L1004" i="4"/>
  <c r="U62" i="14"/>
  <c r="O47" i="14"/>
  <c r="O55" i="14"/>
  <c r="V32" i="14"/>
  <c r="O26" i="14"/>
  <c r="P63" i="14"/>
  <c r="L1058" i="4"/>
  <c r="P1058" i="4" s="1"/>
  <c r="L1503" i="13"/>
  <c r="L1050" i="4"/>
  <c r="L1054" i="4"/>
  <c r="R1481" i="13"/>
  <c r="L1482" i="13"/>
  <c r="P1482" i="13" s="1"/>
  <c r="L1492" i="13"/>
  <c r="P1492" i="13" s="1"/>
  <c r="L1498" i="13"/>
  <c r="P1497" i="13"/>
  <c r="R1497" i="13"/>
  <c r="R1491" i="13"/>
  <c r="U45" i="14"/>
  <c r="L1475" i="13"/>
  <c r="L487" i="6"/>
  <c r="L1467" i="13"/>
  <c r="P1474" i="13"/>
  <c r="R1474" i="13"/>
  <c r="P486" i="6"/>
  <c r="R486" i="6"/>
  <c r="P1466" i="13"/>
  <c r="R1466" i="13"/>
  <c r="R1449" i="13"/>
  <c r="L1450" i="13"/>
  <c r="P1450" i="13" s="1"/>
  <c r="L484" i="6"/>
  <c r="L1460" i="13"/>
  <c r="P483" i="6"/>
  <c r="R483" i="6"/>
  <c r="P1459" i="13"/>
  <c r="R1459" i="13"/>
  <c r="L1428" i="13"/>
  <c r="L1440" i="13"/>
  <c r="R1427" i="13"/>
  <c r="L1429" i="13"/>
  <c r="P1429" i="13" s="1"/>
  <c r="L1441" i="13"/>
  <c r="P1439" i="13"/>
  <c r="R1439" i="13"/>
  <c r="P589" i="4"/>
  <c r="L588" i="4"/>
  <c r="R588" i="4" s="1"/>
  <c r="G591" i="4" s="1"/>
  <c r="L656" i="4"/>
  <c r="P655" i="4"/>
  <c r="R655" i="4"/>
  <c r="L1415" i="13"/>
  <c r="P1415" i="13" s="1"/>
  <c r="L1422" i="13"/>
  <c r="L1393" i="13"/>
  <c r="R1393" i="13" s="1"/>
  <c r="L1414" i="13"/>
  <c r="L1383" i="13"/>
  <c r="R1383" i="13" s="1"/>
  <c r="L1394" i="13"/>
  <c r="L1355" i="13"/>
  <c r="R1355" i="13" s="1"/>
  <c r="L1382" i="13"/>
  <c r="L1349" i="13"/>
  <c r="R1349" i="13" s="1"/>
  <c r="L1358" i="13"/>
  <c r="L1356" i="13"/>
  <c r="P1354" i="13"/>
  <c r="R1354" i="13"/>
  <c r="R976" i="4"/>
  <c r="P1348" i="13"/>
  <c r="R1348" i="13"/>
  <c r="L72" i="13"/>
  <c r="P72" i="13" s="1"/>
  <c r="L1342" i="13"/>
  <c r="L1314" i="13"/>
  <c r="R1314" i="13" s="1"/>
  <c r="L977" i="4"/>
  <c r="U52" i="14"/>
  <c r="P59" i="14"/>
  <c r="L576" i="4"/>
  <c r="L572" i="4"/>
  <c r="P577" i="4"/>
  <c r="R577" i="4"/>
  <c r="P573" i="4"/>
  <c r="R573" i="4"/>
  <c r="AC284" i="17418"/>
  <c r="R26" i="17422"/>
  <c r="AB259" i="17418"/>
  <c r="AB265" i="17418"/>
  <c r="AC271" i="17418"/>
  <c r="AC251" i="17418"/>
  <c r="AC239" i="17418"/>
  <c r="AC263" i="17418"/>
  <c r="AC266" i="17418"/>
  <c r="AC269" i="17418"/>
  <c r="O23" i="14"/>
  <c r="O56" i="14"/>
  <c r="O29" i="14"/>
  <c r="O53" i="14"/>
  <c r="O48" i="14"/>
  <c r="U28" i="14"/>
  <c r="H19" i="1"/>
  <c r="X11" i="14"/>
  <c r="L864" i="4"/>
  <c r="P864" i="4" s="1"/>
  <c r="L867" i="4"/>
  <c r="L857" i="4"/>
  <c r="P857" i="4" s="1"/>
  <c r="S855" i="4" s="1"/>
  <c r="L861" i="4"/>
  <c r="L803" i="4"/>
  <c r="P803" i="4" s="1"/>
  <c r="L247" i="4"/>
  <c r="L714" i="13"/>
  <c r="P714" i="13" s="1"/>
  <c r="R418" i="4"/>
  <c r="P788" i="4"/>
  <c r="R788" i="4"/>
  <c r="T418" i="4"/>
  <c r="T424" i="4"/>
  <c r="T419" i="4"/>
  <c r="T417" i="4"/>
  <c r="T421" i="4"/>
  <c r="T426" i="4"/>
  <c r="T422" i="4"/>
  <c r="T423" i="4"/>
  <c r="T425" i="4"/>
  <c r="T427" i="4"/>
  <c r="T429" i="4"/>
  <c r="T428" i="4"/>
  <c r="T420" i="4"/>
  <c r="U328" i="4"/>
  <c r="U331" i="4"/>
  <c r="U337" i="4"/>
  <c r="U333" i="4"/>
  <c r="U330" i="4"/>
  <c r="U338" i="4"/>
  <c r="U335" i="4"/>
  <c r="U329" i="4"/>
  <c r="U327" i="4"/>
  <c r="U336" i="4"/>
  <c r="U334" i="4"/>
  <c r="U326" i="4"/>
  <c r="U332" i="4"/>
  <c r="P806" i="4"/>
  <c r="R806" i="4"/>
  <c r="P802" i="4"/>
  <c r="R802" i="4"/>
  <c r="L465" i="4"/>
  <c r="R465" i="4" s="1"/>
  <c r="L784" i="4"/>
  <c r="L783" i="4"/>
  <c r="L780" i="4"/>
  <c r="P465" i="4"/>
  <c r="L458" i="4"/>
  <c r="P458" i="4" s="1"/>
  <c r="L462" i="4"/>
  <c r="P765" i="4"/>
  <c r="R765" i="4"/>
  <c r="P754" i="4"/>
  <c r="R754" i="4"/>
  <c r="P742" i="4"/>
  <c r="R742" i="4"/>
  <c r="P767" i="4"/>
  <c r="R767" i="4"/>
  <c r="P739" i="4"/>
  <c r="R739" i="4"/>
  <c r="P751" i="4"/>
  <c r="R751" i="4"/>
  <c r="P736" i="4"/>
  <c r="R736" i="4"/>
  <c r="P748" i="4"/>
  <c r="R748" i="4"/>
  <c r="L768" i="4"/>
  <c r="L743" i="4"/>
  <c r="L740" i="4"/>
  <c r="L766" i="4"/>
  <c r="L758" i="4"/>
  <c r="L752" i="4"/>
  <c r="L761" i="4"/>
  <c r="L731" i="4"/>
  <c r="L755" i="4"/>
  <c r="L749" i="4"/>
  <c r="L746" i="4"/>
  <c r="L737" i="4"/>
  <c r="P757" i="4"/>
  <c r="R757" i="4"/>
  <c r="P745" i="4"/>
  <c r="R745" i="4"/>
  <c r="P760" i="4"/>
  <c r="R760" i="4"/>
  <c r="L729" i="4"/>
  <c r="L721" i="4"/>
  <c r="L719" i="4"/>
  <c r="L716" i="4"/>
  <c r="L704" i="4"/>
  <c r="P703" i="4"/>
  <c r="R703" i="4"/>
  <c r="P728" i="4"/>
  <c r="R728" i="4"/>
  <c r="P718" i="4"/>
  <c r="R718" i="4"/>
  <c r="P720" i="4"/>
  <c r="R720" i="4"/>
  <c r="R672" i="4"/>
  <c r="L673" i="4"/>
  <c r="R673" i="4" s="1"/>
  <c r="L691" i="4"/>
  <c r="P690" i="4"/>
  <c r="R690" i="4"/>
  <c r="L665" i="4"/>
  <c r="L648" i="4"/>
  <c r="P647" i="4"/>
  <c r="R647" i="4"/>
  <c r="P664" i="4"/>
  <c r="R664" i="4"/>
  <c r="P565" i="4"/>
  <c r="L641" i="4"/>
  <c r="L638" i="4"/>
  <c r="L634" i="4"/>
  <c r="L615" i="4"/>
  <c r="L628" i="4"/>
  <c r="L564" i="4"/>
  <c r="P564" i="4" s="1"/>
  <c r="L568" i="4"/>
  <c r="L599" i="4"/>
  <c r="L612" i="4"/>
  <c r="L621" i="4"/>
  <c r="L618" i="4"/>
  <c r="L624" i="4"/>
  <c r="L644" i="4"/>
  <c r="L580" i="4"/>
  <c r="L631" i="4"/>
  <c r="P622" i="4"/>
  <c r="R622" i="4"/>
  <c r="P625" i="4"/>
  <c r="R625" i="4"/>
  <c r="P619" i="4"/>
  <c r="R619" i="4"/>
  <c r="R581" i="4"/>
  <c r="P581" i="4"/>
  <c r="P632" i="4"/>
  <c r="R632" i="4"/>
  <c r="P613" i="4"/>
  <c r="R613" i="4"/>
  <c r="P643" i="4"/>
  <c r="R643" i="4"/>
  <c r="P569" i="4"/>
  <c r="R569" i="4"/>
  <c r="P600" i="4"/>
  <c r="R600" i="4"/>
  <c r="P629" i="4"/>
  <c r="R629" i="4"/>
  <c r="P616" i="4"/>
  <c r="R616" i="4"/>
  <c r="P633" i="4"/>
  <c r="R633" i="4"/>
  <c r="P637" i="4"/>
  <c r="R637" i="4"/>
  <c r="P640" i="4"/>
  <c r="R640" i="4"/>
  <c r="R387" i="13"/>
  <c r="P388" i="6"/>
  <c r="L505" i="4"/>
  <c r="P505" i="4" s="1"/>
  <c r="L1313" i="13"/>
  <c r="L1316" i="13"/>
  <c r="L721" i="13"/>
  <c r="P721" i="13" s="1"/>
  <c r="L1315" i="13"/>
  <c r="P1312" i="13"/>
  <c r="R1312" i="13"/>
  <c r="L1311" i="13"/>
  <c r="R1311" i="13" s="1"/>
  <c r="R373" i="6"/>
  <c r="R42" i="6"/>
  <c r="L487" i="4"/>
  <c r="P487" i="4" s="1"/>
  <c r="L500" i="4"/>
  <c r="P499" i="4"/>
  <c r="R499" i="4"/>
  <c r="R1234" i="13"/>
  <c r="R361" i="13"/>
  <c r="P718" i="13"/>
  <c r="R64" i="13"/>
  <c r="R14" i="6"/>
  <c r="P1000" i="13"/>
  <c r="R930" i="13"/>
  <c r="G932" i="13" s="1"/>
  <c r="P563" i="13"/>
  <c r="P200" i="13"/>
  <c r="R288" i="6"/>
  <c r="R319" i="13"/>
  <c r="P760" i="13"/>
  <c r="P914" i="13"/>
  <c r="P759" i="13"/>
  <c r="P989" i="13"/>
  <c r="P1010" i="13"/>
  <c r="P1249" i="13"/>
  <c r="P958" i="13"/>
  <c r="R311" i="13"/>
  <c r="R945" i="13"/>
  <c r="R815" i="13"/>
  <c r="P410" i="13"/>
  <c r="P1239" i="13"/>
  <c r="R778" i="13"/>
  <c r="P480" i="6"/>
  <c r="R678" i="13"/>
  <c r="P363" i="6"/>
  <c r="R1114" i="13"/>
  <c r="R926" i="13"/>
  <c r="R406" i="6"/>
  <c r="P179" i="13"/>
  <c r="R239" i="13"/>
  <c r="P844" i="13"/>
  <c r="R396" i="6"/>
  <c r="R982" i="13"/>
  <c r="R59" i="13"/>
  <c r="P669" i="13"/>
  <c r="P1250" i="13"/>
  <c r="R168" i="13"/>
  <c r="P1034" i="13"/>
  <c r="P933" i="13"/>
  <c r="R1309" i="13"/>
  <c r="R625" i="13"/>
  <c r="R346" i="6"/>
  <c r="R247" i="6"/>
  <c r="P937" i="13"/>
  <c r="R391" i="13"/>
  <c r="R142" i="13"/>
  <c r="P363" i="13"/>
  <c r="P572" i="13"/>
  <c r="P420" i="6"/>
  <c r="R48" i="6"/>
  <c r="R399" i="6"/>
  <c r="L341" i="6"/>
  <c r="P341" i="6" s="1"/>
  <c r="L1229" i="13"/>
  <c r="R1229" i="13" s="1"/>
  <c r="G1229" i="13" s="1"/>
  <c r="R76" i="6"/>
  <c r="R69" i="13"/>
  <c r="H10" i="1"/>
  <c r="L1200" i="13"/>
  <c r="P1200" i="13" s="1"/>
  <c r="L428" i="6"/>
  <c r="R428" i="6" s="1"/>
  <c r="P1184" i="13"/>
  <c r="P1172" i="13"/>
  <c r="P218" i="13"/>
  <c r="R206" i="13"/>
  <c r="L437" i="6"/>
  <c r="P437" i="6" s="1"/>
  <c r="L684" i="13"/>
  <c r="P684" i="13" s="1"/>
  <c r="Q146" i="4"/>
  <c r="R146" i="4" s="1"/>
  <c r="P146" i="4"/>
  <c r="P431" i="4"/>
  <c r="R431" i="4"/>
  <c r="P91" i="4"/>
  <c r="R91" i="4"/>
  <c r="P105" i="4"/>
  <c r="R105" i="4"/>
  <c r="P120" i="4"/>
  <c r="R120" i="4"/>
  <c r="P437" i="4"/>
  <c r="R437" i="4"/>
  <c r="P329" i="4"/>
  <c r="R329" i="4"/>
  <c r="P440" i="4"/>
  <c r="R440" i="4"/>
  <c r="L1281" i="13"/>
  <c r="R1281" i="13" s="1"/>
  <c r="L270" i="4"/>
  <c r="L977" i="13"/>
  <c r="R977" i="13" s="1"/>
  <c r="L313" i="4"/>
  <c r="L273" i="4"/>
  <c r="L467" i="4"/>
  <c r="L420" i="4"/>
  <c r="L396" i="4"/>
  <c r="L328" i="4"/>
  <c r="L330" i="4"/>
  <c r="L469" i="4"/>
  <c r="L367" i="4"/>
  <c r="P136" i="4"/>
  <c r="R136" i="4"/>
  <c r="P468" i="4"/>
  <c r="R468" i="4"/>
  <c r="P96" i="4"/>
  <c r="R96" i="4"/>
  <c r="P121" i="4"/>
  <c r="R121" i="4"/>
  <c r="P310" i="4"/>
  <c r="R310" i="4"/>
  <c r="P97" i="4"/>
  <c r="R97" i="4"/>
  <c r="P389" i="4"/>
  <c r="R389" i="4"/>
  <c r="P447" i="4"/>
  <c r="R447" i="4"/>
  <c r="L89" i="4"/>
  <c r="L110" i="4"/>
  <c r="L94" i="4"/>
  <c r="L74" i="4"/>
  <c r="L118" i="4"/>
  <c r="L84" i="4"/>
  <c r="L135" i="4"/>
  <c r="L79" i="4"/>
  <c r="L102" i="4"/>
  <c r="L474" i="4"/>
  <c r="L453" i="4"/>
  <c r="L425" i="4"/>
  <c r="L119" i="4"/>
  <c r="L103" i="4"/>
  <c r="L85" i="4"/>
  <c r="L471" i="4"/>
  <c r="L448" i="4"/>
  <c r="L441" i="4"/>
  <c r="L422" i="4"/>
  <c r="L394" i="4"/>
  <c r="L90" i="4"/>
  <c r="L419" i="4"/>
  <c r="L335" i="4"/>
  <c r="L311" i="4"/>
  <c r="L111" i="4"/>
  <c r="L95" i="4"/>
  <c r="L432" i="4"/>
  <c r="L388" i="4"/>
  <c r="L332" i="4"/>
  <c r="L434" i="4"/>
  <c r="L438" i="4"/>
  <c r="L379" i="4"/>
  <c r="L363" i="4"/>
  <c r="L315" i="4"/>
  <c r="L451" i="4"/>
  <c r="L392" i="4"/>
  <c r="P81" i="4"/>
  <c r="R81" i="4"/>
  <c r="R364" i="4"/>
  <c r="P364" i="4"/>
  <c r="P112" i="4"/>
  <c r="R112" i="4"/>
  <c r="P86" i="4"/>
  <c r="R86" i="4"/>
  <c r="P378" i="4"/>
  <c r="R378" i="4"/>
  <c r="P113" i="4"/>
  <c r="R113" i="4"/>
  <c r="R421" i="4"/>
  <c r="P421" i="4"/>
  <c r="P470" i="4"/>
  <c r="R470" i="4"/>
  <c r="P331" i="4"/>
  <c r="R331" i="4"/>
  <c r="P35" i="4"/>
  <c r="R35" i="4"/>
  <c r="G35" i="4" s="1"/>
  <c r="R75" i="4"/>
  <c r="P75" i="4"/>
  <c r="P104" i="4"/>
  <c r="R104" i="4"/>
  <c r="P417" i="4"/>
  <c r="R417" i="4"/>
  <c r="P269" i="4"/>
  <c r="R269" i="4"/>
  <c r="P433" i="4"/>
  <c r="R433" i="4"/>
  <c r="P821" i="13"/>
  <c r="P245" i="13"/>
  <c r="L763" i="13"/>
  <c r="R763" i="13" s="1"/>
  <c r="L421" i="6"/>
  <c r="P421" i="6" s="1"/>
  <c r="L1232" i="13"/>
  <c r="R1232" i="13" s="1"/>
  <c r="L642" i="13"/>
  <c r="R642" i="13" s="1"/>
  <c r="L741" i="13"/>
  <c r="P741" i="13" s="1"/>
  <c r="L374" i="6"/>
  <c r="R374" i="6" s="1"/>
  <c r="L343" i="6"/>
  <c r="R343" i="6" s="1"/>
  <c r="L378" i="6"/>
  <c r="R378" i="6" s="1"/>
  <c r="L455" i="13"/>
  <c r="R455" i="13" s="1"/>
  <c r="L890" i="13"/>
  <c r="R890" i="13" s="1"/>
  <c r="L309" i="6"/>
  <c r="P309" i="6" s="1"/>
  <c r="L341" i="13"/>
  <c r="R341" i="13" s="1"/>
  <c r="L791" i="13"/>
  <c r="R791" i="13" s="1"/>
  <c r="P407" i="13"/>
  <c r="R244" i="6"/>
  <c r="P443" i="13"/>
  <c r="R322" i="6"/>
  <c r="P426" i="6"/>
  <c r="L1106" i="13"/>
  <c r="R1106" i="13" s="1"/>
  <c r="L927" i="13"/>
  <c r="R927" i="13" s="1"/>
  <c r="L917" i="13"/>
  <c r="R917" i="13" s="1"/>
  <c r="L439" i="6"/>
  <c r="R439" i="6" s="1"/>
  <c r="L325" i="6"/>
  <c r="P325" i="6" s="1"/>
  <c r="L377" i="6"/>
  <c r="P377" i="6" s="1"/>
  <c r="L736" i="13"/>
  <c r="P736" i="13" s="1"/>
  <c r="L672" i="13"/>
  <c r="P672" i="13" s="1"/>
  <c r="L792" i="13"/>
  <c r="P792" i="13" s="1"/>
  <c r="L948" i="13"/>
  <c r="R948" i="13" s="1"/>
  <c r="L461" i="6"/>
  <c r="P461" i="6" s="1"/>
  <c r="L291" i="6"/>
  <c r="R291" i="6" s="1"/>
  <c r="L805" i="13"/>
  <c r="P805" i="13" s="1"/>
  <c r="L970" i="13"/>
  <c r="P970" i="13" s="1"/>
  <c r="R156" i="13"/>
  <c r="R250" i="6"/>
  <c r="P174" i="13"/>
  <c r="L311" i="6"/>
  <c r="P311" i="6" s="1"/>
  <c r="L978" i="13"/>
  <c r="R978" i="13" s="1"/>
  <c r="L1013" i="13"/>
  <c r="P1013" i="13" s="1"/>
  <c r="L1202" i="13"/>
  <c r="P1202" i="13" s="1"/>
  <c r="L793" i="13"/>
  <c r="R793" i="13" s="1"/>
  <c r="L1245" i="13"/>
  <c r="P1245" i="13" s="1"/>
  <c r="L91" i="6"/>
  <c r="P91" i="6" s="1"/>
  <c r="L971" i="13"/>
  <c r="R971" i="13" s="1"/>
  <c r="L397" i="6"/>
  <c r="P397" i="6" s="1"/>
  <c r="S396" i="6" s="1"/>
  <c r="R366" i="13"/>
  <c r="R224" i="13"/>
  <c r="P39" i="6"/>
  <c r="R833" i="13"/>
  <c r="P435" i="6"/>
  <c r="P439" i="13"/>
  <c r="P125" i="13"/>
  <c r="P302" i="13"/>
  <c r="R451" i="6"/>
  <c r="R1224" i="13"/>
  <c r="P393" i="6"/>
  <c r="R76" i="13"/>
  <c r="P382" i="6"/>
  <c r="P455" i="6"/>
  <c r="R32" i="6"/>
  <c r="P231" i="6"/>
  <c r="P536" i="13"/>
  <c r="F537" i="13" s="1"/>
  <c r="P865" i="13"/>
  <c r="P53" i="13"/>
  <c r="R31" i="13"/>
  <c r="L323" i="6"/>
  <c r="R323" i="6" s="1"/>
  <c r="L289" i="6"/>
  <c r="R289" i="6" s="1"/>
  <c r="P252" i="13"/>
  <c r="R414" i="6"/>
  <c r="P414" i="6"/>
  <c r="R27" i="13"/>
  <c r="P27" i="13"/>
  <c r="R51" i="6"/>
  <c r="P51" i="6"/>
  <c r="R227" i="6"/>
  <c r="P227" i="6"/>
  <c r="R350" i="13"/>
  <c r="P350" i="13"/>
  <c r="L1292" i="13"/>
  <c r="P1292" i="13" s="1"/>
  <c r="L1282" i="13"/>
  <c r="R1282" i="13" s="1"/>
  <c r="L847" i="13"/>
  <c r="R847" i="13" s="1"/>
  <c r="L752" i="13"/>
  <c r="P752" i="13" s="1"/>
  <c r="L333" i="13"/>
  <c r="P333" i="13" s="1"/>
  <c r="L458" i="6"/>
  <c r="P458" i="6" s="1"/>
  <c r="L762" i="13"/>
  <c r="R762" i="13" s="1"/>
  <c r="L418" i="6"/>
  <c r="P418" i="6" s="1"/>
  <c r="L181" i="6"/>
  <c r="P181" i="6" s="1"/>
  <c r="L1014" i="13"/>
  <c r="P1014" i="13" s="1"/>
  <c r="L361" i="6"/>
  <c r="R361" i="6" s="1"/>
  <c r="G361" i="6" s="1"/>
  <c r="L98" i="6"/>
  <c r="R98" i="6" s="1"/>
  <c r="L556" i="13"/>
  <c r="R556" i="13" s="1"/>
  <c r="L628" i="13"/>
  <c r="P628" i="13" s="1"/>
  <c r="L1134" i="13"/>
  <c r="P1134" i="13" s="1"/>
  <c r="L90" i="6"/>
  <c r="R90" i="6" s="1"/>
  <c r="L1086" i="13"/>
  <c r="P1086" i="13" s="1"/>
  <c r="L294" i="6"/>
  <c r="R294" i="6" s="1"/>
  <c r="L573" i="13"/>
  <c r="P573" i="13" s="1"/>
  <c r="L889" i="13"/>
  <c r="R889" i="13" s="1"/>
  <c r="L427" i="6"/>
  <c r="R427" i="6" s="1"/>
  <c r="L742" i="13"/>
  <c r="R742" i="13" s="1"/>
  <c r="L1201" i="13"/>
  <c r="R1201" i="13" s="1"/>
  <c r="L1035" i="13"/>
  <c r="P1035" i="13" s="1"/>
  <c r="L328" i="6"/>
  <c r="R328" i="6" s="1"/>
  <c r="L308" i="6"/>
  <c r="R308" i="6" s="1"/>
  <c r="L658" i="13"/>
  <c r="R658" i="13" s="1"/>
  <c r="L1090" i="13"/>
  <c r="P1090" i="13" s="1"/>
  <c r="L80" i="6"/>
  <c r="R80" i="6" s="1"/>
  <c r="L1251" i="13"/>
  <c r="R1251" i="13" s="1"/>
  <c r="G1250" i="13" s="1"/>
  <c r="L373" i="13"/>
  <c r="R373" i="13" s="1"/>
  <c r="L557" i="13"/>
  <c r="P557" i="13" s="1"/>
  <c r="L565" i="13"/>
  <c r="R565" i="13" s="1"/>
  <c r="L976" i="13"/>
  <c r="P976" i="13" s="1"/>
  <c r="L1003" i="13"/>
  <c r="R1003" i="13" s="1"/>
  <c r="L941" i="13"/>
  <c r="P941" i="13" s="1"/>
  <c r="L822" i="13"/>
  <c r="R822" i="13" s="1"/>
  <c r="L961" i="13"/>
  <c r="R961" i="13" s="1"/>
  <c r="L659" i="13"/>
  <c r="R659" i="13" s="1"/>
  <c r="L407" i="6"/>
  <c r="P407" i="6" s="1"/>
  <c r="L940" i="13"/>
  <c r="R940" i="13" s="1"/>
  <c r="L681" i="13"/>
  <c r="R681" i="13" s="1"/>
  <c r="L583" i="13"/>
  <c r="P583" i="13" s="1"/>
  <c r="L1308" i="13"/>
  <c r="L1302" i="13"/>
  <c r="R1302" i="13" s="1"/>
  <c r="L1285" i="13"/>
  <c r="P1285" i="13" s="1"/>
  <c r="L326" i="6"/>
  <c r="P326" i="6" s="1"/>
  <c r="L408" i="6"/>
  <c r="R408" i="6" s="1"/>
  <c r="L1240" i="13"/>
  <c r="P1240" i="13" s="1"/>
  <c r="L1004" i="13"/>
  <c r="P1004" i="13" s="1"/>
  <c r="L689" i="13"/>
  <c r="P689" i="13" s="1"/>
  <c r="L394" i="6"/>
  <c r="R394" i="6" s="1"/>
  <c r="G394" i="6" s="1"/>
  <c r="L438" i="6"/>
  <c r="R438" i="6" s="1"/>
  <c r="L643" i="13"/>
  <c r="P643" i="13" s="1"/>
  <c r="L345" i="6"/>
  <c r="R345" i="6" s="1"/>
  <c r="L740" i="13"/>
  <c r="P740" i="13" s="1"/>
  <c r="L383" i="6"/>
  <c r="P383" i="6" s="1"/>
  <c r="L283" i="6"/>
  <c r="P283" i="6" s="1"/>
  <c r="L201" i="13"/>
  <c r="P201" i="13" s="1"/>
  <c r="L186" i="13"/>
  <c r="R186" i="13" s="1"/>
  <c r="L180" i="13"/>
  <c r="P180" i="13" s="1"/>
  <c r="L321" i="13"/>
  <c r="P321" i="13" s="1"/>
  <c r="L781" i="13"/>
  <c r="P781" i="13" s="1"/>
  <c r="L380" i="13"/>
  <c r="P380" i="13" s="1"/>
  <c r="F380" i="13" s="1"/>
  <c r="L804" i="13"/>
  <c r="P804" i="13" s="1"/>
  <c r="L10" i="6"/>
  <c r="P10" i="6" s="1"/>
  <c r="L1023" i="13"/>
  <c r="P1023" i="13" s="1"/>
  <c r="L680" i="13"/>
  <c r="R680" i="13" s="1"/>
  <c r="L422" i="6"/>
  <c r="R422" i="6" s="1"/>
  <c r="L988" i="13"/>
  <c r="R988" i="13" s="1"/>
  <c r="L868" i="13"/>
  <c r="R868" i="13" s="1"/>
  <c r="L402" i="6"/>
  <c r="P402" i="6" s="1"/>
  <c r="L292" i="6"/>
  <c r="P292" i="6" s="1"/>
  <c r="L723" i="13"/>
  <c r="P723" i="13" s="1"/>
  <c r="L1044" i="13"/>
  <c r="R1044" i="13" s="1"/>
  <c r="L79" i="13"/>
  <c r="P79" i="13" s="1"/>
  <c r="L722" i="13"/>
  <c r="R722" i="13" s="1"/>
  <c r="L390" i="6"/>
  <c r="R390" i="6" s="1"/>
  <c r="L1298" i="13"/>
  <c r="P1298" i="13" s="1"/>
  <c r="L1056" i="13"/>
  <c r="R1056" i="13" s="1"/>
  <c r="L850" i="13"/>
  <c r="R850" i="13" s="1"/>
  <c r="L839" i="13"/>
  <c r="R839" i="13" s="1"/>
  <c r="L423" i="6"/>
  <c r="R423" i="6" s="1"/>
  <c r="L1133" i="13"/>
  <c r="R1133" i="13" s="1"/>
  <c r="L888" i="13"/>
  <c r="P888" i="13" s="1"/>
  <c r="L1057" i="13"/>
  <c r="P1057" i="13" s="1"/>
  <c r="L564" i="13"/>
  <c r="P564" i="13" s="1"/>
  <c r="L282" i="6"/>
  <c r="P282" i="6" s="1"/>
  <c r="L79" i="6"/>
  <c r="P79" i="6" s="1"/>
  <c r="L1080" i="13"/>
  <c r="P1080" i="13" s="1"/>
  <c r="L415" i="6"/>
  <c r="P415" i="6" s="1"/>
  <c r="L313" i="13"/>
  <c r="P313" i="13" s="1"/>
  <c r="L713" i="13"/>
  <c r="P713" i="13" s="1"/>
  <c r="L751" i="13"/>
  <c r="R751" i="13" s="1"/>
  <c r="L671" i="13"/>
  <c r="R671" i="13" s="1"/>
  <c r="L687" i="13"/>
  <c r="P687" i="13" s="1"/>
  <c r="L384" i="13"/>
  <c r="R384" i="13" s="1"/>
  <c r="L97" i="6"/>
  <c r="P97" i="6" s="1"/>
  <c r="L950" i="13"/>
  <c r="R950" i="13" s="1"/>
  <c r="L627" i="13"/>
  <c r="R627" i="13" s="1"/>
  <c r="L431" i="6"/>
  <c r="R431" i="6" s="1"/>
  <c r="G431" i="6" s="1"/>
  <c r="L401" i="6"/>
  <c r="R401" i="6" s="1"/>
  <c r="L670" i="13"/>
  <c r="P670" i="13" s="1"/>
  <c r="L202" i="13"/>
  <c r="P202" i="13" s="1"/>
  <c r="L33" i="13"/>
  <c r="R33" i="13" s="1"/>
  <c r="L574" i="13"/>
  <c r="P574" i="13" s="1"/>
  <c r="L712" i="13"/>
  <c r="P712" i="13" s="1"/>
  <c r="L566" i="13"/>
  <c r="P566" i="13" s="1"/>
  <c r="L690" i="13"/>
  <c r="R690" i="13" s="1"/>
  <c r="L969" i="13"/>
  <c r="P969" i="13" s="1"/>
  <c r="L284" i="6"/>
  <c r="R284" i="6" s="1"/>
  <c r="L780" i="13"/>
  <c r="P780" i="13" s="1"/>
  <c r="L949" i="13"/>
  <c r="R949" i="13" s="1"/>
  <c r="L342" i="6"/>
  <c r="R342" i="6" s="1"/>
  <c r="L1196" i="13"/>
  <c r="P1196" i="13" s="1"/>
  <c r="L459" i="6"/>
  <c r="P459" i="6" s="1"/>
  <c r="L1058" i="13"/>
  <c r="P1058" i="13" s="1"/>
  <c r="L909" i="13"/>
  <c r="P909" i="13" s="1"/>
  <c r="L626" i="13"/>
  <c r="R626" i="13" s="1"/>
  <c r="L816" i="13"/>
  <c r="P816" i="13" s="1"/>
  <c r="L400" i="6"/>
  <c r="P400" i="6" s="1"/>
  <c r="L717" i="13"/>
  <c r="P717" i="13" s="1"/>
  <c r="L582" i="13"/>
  <c r="P582" i="13" s="1"/>
  <c r="L782" i="13"/>
  <c r="R782" i="13" s="1"/>
  <c r="L303" i="13"/>
  <c r="R303" i="13" s="1"/>
  <c r="L790" i="13"/>
  <c r="R790" i="13" s="1"/>
  <c r="L990" i="13"/>
  <c r="R990" i="13" s="1"/>
  <c r="L962" i="13"/>
  <c r="R962" i="13" s="1"/>
  <c r="R836" i="13"/>
  <c r="P95" i="6"/>
  <c r="P430" i="6"/>
  <c r="P65" i="14"/>
  <c r="U65" i="14"/>
  <c r="R192" i="13"/>
  <c r="P376" i="13"/>
  <c r="R749" i="13"/>
  <c r="R45" i="6"/>
  <c r="P787" i="13"/>
  <c r="P417" i="6"/>
  <c r="O22" i="14"/>
  <c r="U22" i="14" s="1"/>
  <c r="R100" i="13"/>
  <c r="P40" i="13"/>
  <c r="R110" i="13"/>
  <c r="G112" i="13" s="1"/>
  <c r="P1053" i="13"/>
  <c r="P1230" i="13"/>
  <c r="P113" i="13"/>
  <c r="P906" i="13"/>
  <c r="P1246" i="13"/>
  <c r="R85" i="6"/>
  <c r="R954" i="13"/>
  <c r="R153" i="13"/>
  <c r="O24" i="14"/>
  <c r="P24" i="14" s="1"/>
  <c r="U64" i="14"/>
  <c r="P278" i="13"/>
  <c r="P65" i="6"/>
  <c r="P1214" i="13"/>
  <c r="O25" i="14"/>
  <c r="P25" i="14" s="1"/>
  <c r="R185" i="13"/>
  <c r="P641" i="13"/>
  <c r="R709" i="13"/>
  <c r="P224" i="6"/>
  <c r="P974" i="13"/>
  <c r="R339" i="13"/>
  <c r="R269" i="13"/>
  <c r="P29" i="6"/>
  <c r="R1194" i="13"/>
  <c r="P686" i="13"/>
  <c r="P135" i="13"/>
  <c r="P656" i="13"/>
  <c r="R282" i="13"/>
  <c r="P1253" i="13"/>
  <c r="P280" i="6"/>
  <c r="R885" i="13"/>
  <c r="L1307" i="13"/>
  <c r="R1307" i="13" s="1"/>
  <c r="L1310" i="13"/>
  <c r="P87" i="13"/>
  <c r="R376" i="6"/>
  <c r="P683" i="13"/>
  <c r="P1227" i="13"/>
  <c r="R379" i="13"/>
  <c r="P269" i="6"/>
  <c r="P258" i="6"/>
  <c r="R1161" i="13"/>
  <c r="P118" i="13"/>
  <c r="R370" i="6"/>
  <c r="R305" i="6"/>
  <c r="P331" i="13"/>
  <c r="P1306" i="13"/>
  <c r="R1306" i="13"/>
  <c r="P88" i="6"/>
  <c r="P966" i="13"/>
  <c r="R827" i="13"/>
  <c r="R295" i="13"/>
  <c r="L1294" i="13"/>
  <c r="P1294" i="13" s="1"/>
  <c r="L1301" i="13"/>
  <c r="L1305" i="13"/>
  <c r="L1297" i="13"/>
  <c r="P21" i="13"/>
  <c r="P210" i="13"/>
  <c r="P360" i="6"/>
  <c r="P54" i="6"/>
  <c r="P581" i="13"/>
  <c r="P1300" i="13"/>
  <c r="R1300" i="13"/>
  <c r="P1296" i="13"/>
  <c r="R1296" i="13"/>
  <c r="P1020" i="13"/>
  <c r="R1189" i="13"/>
  <c r="P801" i="13"/>
  <c r="P1290" i="13"/>
  <c r="R1290" i="13"/>
  <c r="CI36" i="17418"/>
  <c r="II36" i="17418" s="1"/>
  <c r="EF36" i="17418"/>
  <c r="KF36" i="17418" s="1"/>
  <c r="GC36" i="17418"/>
  <c r="HZ26" i="17418"/>
  <c r="EF26" i="17418"/>
  <c r="CI26" i="17418"/>
  <c r="GC26" i="17418"/>
  <c r="JW26" i="17418"/>
  <c r="EF37" i="17418"/>
  <c r="KF37" i="17418" s="1"/>
  <c r="CI37" i="17418"/>
  <c r="II37" i="17418" s="1"/>
  <c r="GC37" i="17418"/>
  <c r="HZ23" i="17418"/>
  <c r="EF23" i="17418"/>
  <c r="CI23" i="17418"/>
  <c r="GC23" i="17418"/>
  <c r="JW23" i="17418"/>
  <c r="EF27" i="17418"/>
  <c r="CI27" i="17418"/>
  <c r="II27" i="17418" s="1"/>
  <c r="JW27" i="17418"/>
  <c r="GC27" i="17418"/>
  <c r="EF24" i="17418"/>
  <c r="JW24" i="17418"/>
  <c r="HZ24" i="17418"/>
  <c r="GC24" i="17418"/>
  <c r="CI24" i="17418"/>
  <c r="HZ25" i="17418"/>
  <c r="EF25" i="17418"/>
  <c r="JW25" i="17418"/>
  <c r="GC25" i="17418"/>
  <c r="CI25" i="17418"/>
  <c r="AC283" i="17418"/>
  <c r="AC273" i="17418"/>
  <c r="AC289" i="17418"/>
  <c r="AC285" i="17418"/>
  <c r="AC248" i="17418"/>
  <c r="AC253" i="17418"/>
  <c r="L70" i="13"/>
  <c r="P70" i="13" s="1"/>
  <c r="L386" i="13"/>
  <c r="R386" i="13" s="1"/>
  <c r="L34" i="13"/>
  <c r="P34" i="13" s="1"/>
  <c r="L846" i="13"/>
  <c r="P846" i="13" s="1"/>
  <c r="L867" i="13"/>
  <c r="P867" i="13" s="1"/>
  <c r="R1219" i="13"/>
  <c r="L10" i="13"/>
  <c r="P10" i="13" s="1"/>
  <c r="L77" i="13"/>
  <c r="P77" i="13" s="1"/>
  <c r="L334" i="13"/>
  <c r="P334" i="13" s="1"/>
  <c r="L306" i="6"/>
  <c r="P306" i="6" s="1"/>
  <c r="L158" i="13"/>
  <c r="P158" i="13" s="1"/>
  <c r="L453" i="13"/>
  <c r="R453" i="13" s="1"/>
  <c r="L284" i="13"/>
  <c r="R284" i="13" s="1"/>
  <c r="L42" i="13"/>
  <c r="R42" i="13" s="1"/>
  <c r="L1022" i="13"/>
  <c r="R1022" i="13" s="1"/>
  <c r="L412" i="13"/>
  <c r="R412" i="13" s="1"/>
  <c r="H8" i="1"/>
  <c r="L554" i="13"/>
  <c r="P554" i="13" s="1"/>
  <c r="L8" i="6"/>
  <c r="P8" i="6" s="1"/>
  <c r="L60" i="13"/>
  <c r="P60" i="13" s="1"/>
  <c r="L314" i="13"/>
  <c r="P314" i="13" s="1"/>
  <c r="R1197" i="13"/>
  <c r="R259" i="13"/>
  <c r="R231" i="13"/>
  <c r="P1279" i="13"/>
  <c r="R1279" i="13"/>
  <c r="L1280" i="13"/>
  <c r="L1283" i="13"/>
  <c r="P748" i="13"/>
  <c r="R737" i="13"/>
  <c r="AD27" i="17418"/>
  <c r="AD26" i="17418"/>
  <c r="AD25" i="17418"/>
  <c r="AD24" i="17418"/>
  <c r="AD23" i="17418"/>
  <c r="O57" i="14"/>
  <c r="U57" i="14" s="1"/>
  <c r="C9" i="14"/>
  <c r="F17" i="1" s="1"/>
  <c r="L142" i="4" s="1"/>
  <c r="V9" i="14"/>
  <c r="P48" i="14"/>
  <c r="U48" i="14"/>
  <c r="V48" i="14" s="1"/>
  <c r="O44" i="14"/>
  <c r="P44" i="14" s="1"/>
  <c r="O27" i="14"/>
  <c r="P27" i="14" s="1"/>
  <c r="C28" i="14"/>
  <c r="F36" i="1" s="1"/>
  <c r="L161" i="4" s="1"/>
  <c r="V28" i="14"/>
  <c r="U26" i="14"/>
  <c r="P26" i="14"/>
  <c r="P23" i="14"/>
  <c r="U23" i="14"/>
  <c r="P53" i="14"/>
  <c r="U53" i="14"/>
  <c r="U47" i="14"/>
  <c r="P47" i="14"/>
  <c r="U25" i="14"/>
  <c r="U29" i="14"/>
  <c r="P29" i="14"/>
  <c r="P195" i="6"/>
  <c r="R195" i="6"/>
  <c r="L149" i="6"/>
  <c r="L1151" i="13"/>
  <c r="L1216" i="13"/>
  <c r="L453" i="6"/>
  <c r="L1113" i="13"/>
  <c r="L840" i="13"/>
  <c r="L332" i="13"/>
  <c r="L834" i="13"/>
  <c r="L1021" i="13"/>
  <c r="L1135" i="13"/>
  <c r="L869" i="13"/>
  <c r="L283" i="13"/>
  <c r="L1248" i="13"/>
  <c r="L368" i="6"/>
  <c r="L1168" i="13"/>
  <c r="L992" i="13"/>
  <c r="L789" i="13"/>
  <c r="L1079" i="13"/>
  <c r="L739" i="13"/>
  <c r="L845" i="13"/>
  <c r="L1012" i="13"/>
  <c r="L724" i="13"/>
  <c r="L157" i="13"/>
  <c r="L371" i="6"/>
  <c r="L1199" i="13"/>
  <c r="L113" i="6"/>
  <c r="L339" i="6"/>
  <c r="L942" i="13"/>
  <c r="L436" i="6"/>
  <c r="L803" i="13"/>
  <c r="L779" i="13"/>
  <c r="L1045" i="13"/>
  <c r="L136" i="13"/>
  <c r="L481" i="6"/>
  <c r="L1215" i="13"/>
  <c r="L1049" i="13"/>
  <c r="L837" i="13"/>
  <c r="L1262" i="13"/>
  <c r="L1258" i="13"/>
  <c r="L959" i="13"/>
  <c r="L454" i="13"/>
  <c r="L743" i="13"/>
  <c r="L794" i="13"/>
  <c r="L947" i="13"/>
  <c r="L110" i="6"/>
  <c r="L152" i="6"/>
  <c r="L281" i="6"/>
  <c r="L1085" i="13"/>
  <c r="L576" i="13"/>
  <c r="L908" i="13"/>
  <c r="L956" i="13"/>
  <c r="L975" i="13"/>
  <c r="L385" i="13"/>
  <c r="L260" i="6"/>
  <c r="L452" i="6"/>
  <c r="L460" i="6"/>
  <c r="L1153" i="13"/>
  <c r="L806" i="13"/>
  <c r="L1054" i="13"/>
  <c r="L1132" i="13"/>
  <c r="L761" i="13"/>
  <c r="L456" i="6"/>
  <c r="L907" i="13"/>
  <c r="L1001" i="13"/>
  <c r="L71" i="13"/>
  <c r="L1265" i="13"/>
  <c r="L719" i="13"/>
  <c r="L711" i="13"/>
  <c r="L993" i="13"/>
  <c r="L408" i="13"/>
  <c r="L193" i="6"/>
  <c r="L1120" i="13"/>
  <c r="L991" i="13"/>
  <c r="L555" i="13"/>
  <c r="L584" i="13"/>
  <c r="L324" i="6"/>
  <c r="L412" i="6"/>
  <c r="L386" i="6"/>
  <c r="L802" i="13"/>
  <c r="L1011" i="13"/>
  <c r="L1024" i="13"/>
  <c r="L657" i="13"/>
  <c r="L114" i="13"/>
  <c r="L433" i="6"/>
  <c r="L918" i="13"/>
  <c r="L320" i="13"/>
  <c r="L644" i="13"/>
  <c r="L312" i="13"/>
  <c r="L848" i="13"/>
  <c r="L294" i="13"/>
  <c r="L1231" i="13"/>
  <c r="L344" i="6"/>
  <c r="L968" i="13"/>
  <c r="L1182" i="13"/>
  <c r="L1129" i="13"/>
  <c r="L411" i="13"/>
  <c r="L119" i="13"/>
  <c r="L1221" i="13"/>
  <c r="L753" i="13"/>
  <c r="L1059" i="13"/>
  <c r="L720" i="13"/>
  <c r="L61" i="13"/>
  <c r="L340" i="6"/>
  <c r="L1015" i="13"/>
  <c r="L823" i="13"/>
  <c r="L710" i="13"/>
  <c r="L28" i="13"/>
  <c r="L575" i="13"/>
  <c r="L534" i="13"/>
  <c r="L960" i="13"/>
  <c r="L225" i="13"/>
  <c r="L1254" i="13"/>
  <c r="L196" i="6"/>
  <c r="L310" i="6"/>
  <c r="L1036" i="13"/>
  <c r="L629" i="13"/>
  <c r="L910" i="13"/>
  <c r="L866" i="13"/>
  <c r="L983" i="13"/>
  <c r="L389" i="13"/>
  <c r="L207" i="13"/>
  <c r="L307" i="6"/>
  <c r="L478" i="6"/>
  <c r="L1108" i="13"/>
  <c r="L299" i="13"/>
  <c r="L1203" i="13"/>
  <c r="L1002" i="13"/>
  <c r="L78" i="13"/>
  <c r="L1173" i="13"/>
  <c r="L290" i="6"/>
  <c r="L955" i="13"/>
  <c r="L233" i="6"/>
  <c r="L1198" i="13"/>
  <c r="L1192" i="13"/>
  <c r="L886" i="13"/>
  <c r="L270" i="13"/>
  <c r="L1131" i="13"/>
  <c r="L764" i="13"/>
  <c r="L1175" i="13"/>
  <c r="L679" i="13"/>
  <c r="L1226" i="13"/>
  <c r="L946" i="13"/>
  <c r="L828" i="13"/>
  <c r="L939" i="13"/>
  <c r="L293" i="6"/>
  <c r="L1077" i="13"/>
  <c r="L558" i="13"/>
  <c r="L437" i="13"/>
  <c r="L963" i="13"/>
  <c r="L903" i="13"/>
  <c r="L327" i="6"/>
  <c r="L1055" i="13"/>
  <c r="L32" i="13"/>
  <c r="L1160" i="13"/>
  <c r="L817" i="13"/>
  <c r="L154" i="13"/>
  <c r="L390" i="13"/>
  <c r="L364" i="6"/>
  <c r="L838" i="13"/>
  <c r="L1089" i="13"/>
  <c r="L585" i="13"/>
  <c r="L916" i="13"/>
  <c r="L967" i="13"/>
  <c r="L388" i="13"/>
  <c r="L340" i="13"/>
  <c r="L938" i="13"/>
  <c r="L1187" i="13"/>
  <c r="L1220" i="13"/>
  <c r="L934" i="13"/>
  <c r="L457" i="6"/>
  <c r="L935" i="13"/>
  <c r="L750" i="13"/>
  <c r="L389" i="6"/>
  <c r="L430" i="13"/>
  <c r="L788" i="13"/>
  <c r="L271" i="13"/>
  <c r="L12" i="6"/>
  <c r="L276" i="6"/>
  <c r="L1260" i="13"/>
  <c r="L891" i="13"/>
  <c r="L738" i="13"/>
  <c r="L41" i="13"/>
  <c r="L374" i="13"/>
  <c r="L887" i="13"/>
  <c r="L915" i="13"/>
  <c r="H9" i="1"/>
  <c r="C49" i="14"/>
  <c r="F57" i="1" s="1"/>
  <c r="L182" i="4" s="1"/>
  <c r="V49" i="14"/>
  <c r="C63" i="14"/>
  <c r="F71" i="1" s="1"/>
  <c r="L196" i="4" s="1"/>
  <c r="V63" i="14"/>
  <c r="C19" i="14"/>
  <c r="F27" i="1" s="1"/>
  <c r="L152" i="4" s="1"/>
  <c r="V19" i="14"/>
  <c r="U56" i="14"/>
  <c r="P56" i="14"/>
  <c r="V42" i="14"/>
  <c r="C42" i="14"/>
  <c r="F50" i="1" s="1"/>
  <c r="L175" i="4" s="1"/>
  <c r="P553" i="13"/>
  <c r="R553" i="13"/>
  <c r="R1150" i="13"/>
  <c r="P1150" i="13"/>
  <c r="P436" i="13"/>
  <c r="R436" i="13"/>
  <c r="R109" i="6"/>
  <c r="P109" i="6"/>
  <c r="P189" i="6"/>
  <c r="R189" i="6"/>
  <c r="P145" i="6"/>
  <c r="R145" i="6"/>
  <c r="C52" i="14"/>
  <c r="F60" i="1" s="1"/>
  <c r="L185" i="4" s="1"/>
  <c r="V52" i="14"/>
  <c r="C39" i="14"/>
  <c r="F47" i="1" s="1"/>
  <c r="L172" i="4" s="1"/>
  <c r="V39" i="14"/>
  <c r="V45" i="14"/>
  <c r="C45" i="14"/>
  <c r="F53" i="1" s="1"/>
  <c r="L178" i="4" s="1"/>
  <c r="C59" i="14"/>
  <c r="F67" i="1" s="1"/>
  <c r="L192" i="4" s="1"/>
  <c r="V59" i="14"/>
  <c r="S931" i="13"/>
  <c r="F930" i="13"/>
  <c r="S930" i="13"/>
  <c r="F932" i="13"/>
  <c r="F931" i="13"/>
  <c r="F1845" i="1"/>
  <c r="L387" i="4" s="1"/>
  <c r="S932" i="13"/>
  <c r="C66" i="14"/>
  <c r="F74" i="1" s="1"/>
  <c r="L199" i="4" s="1"/>
  <c r="V66" i="14"/>
  <c r="L272" i="6"/>
  <c r="L52" i="6"/>
  <c r="L107" i="6"/>
  <c r="L348" i="13"/>
  <c r="L219" i="13"/>
  <c r="L322" i="13"/>
  <c r="L140" i="6"/>
  <c r="L191" i="6"/>
  <c r="L46" i="6"/>
  <c r="L364" i="13"/>
  <c r="L444" i="13"/>
  <c r="L245" i="6"/>
  <c r="L1163" i="13"/>
  <c r="L367" i="13"/>
  <c r="L30" i="6"/>
  <c r="L211" i="13"/>
  <c r="L187" i="13"/>
  <c r="L248" i="6"/>
  <c r="L440" i="13"/>
  <c r="L8" i="13"/>
  <c r="L108" i="6"/>
  <c r="L296" i="13"/>
  <c r="L253" i="13"/>
  <c r="L182" i="6"/>
  <c r="L223" i="6"/>
  <c r="L61" i="6"/>
  <c r="L377" i="13"/>
  <c r="L81" i="13"/>
  <c r="L233" i="13"/>
  <c r="L43" i="6"/>
  <c r="L59" i="6"/>
  <c r="L506" i="13"/>
  <c r="L258" i="13"/>
  <c r="L240" i="13"/>
  <c r="L49" i="6"/>
  <c r="L213" i="13"/>
  <c r="L193" i="13"/>
  <c r="L225" i="6"/>
  <c r="L66" i="6"/>
  <c r="L86" i="13"/>
  <c r="L9" i="13"/>
  <c r="L147" i="6"/>
  <c r="L304" i="13"/>
  <c r="L272" i="13"/>
  <c r="L179" i="6"/>
  <c r="L226" i="13"/>
  <c r="L124" i="13"/>
  <c r="L55" i="6"/>
  <c r="L78" i="6"/>
  <c r="L1171" i="13"/>
  <c r="L273" i="13"/>
  <c r="L246" i="13"/>
  <c r="L140" i="13"/>
  <c r="L253" i="6"/>
  <c r="L254" i="6"/>
  <c r="L323" i="13"/>
  <c r="L85" i="13"/>
  <c r="L230" i="6"/>
  <c r="L68" i="6"/>
  <c r="L98" i="13"/>
  <c r="L123" i="13"/>
  <c r="L270" i="6"/>
  <c r="L464" i="13"/>
  <c r="L99" i="13"/>
  <c r="L228" i="6"/>
  <c r="L73" i="13"/>
  <c r="L141" i="13"/>
  <c r="L86" i="6"/>
  <c r="L9" i="6"/>
  <c r="L257" i="13"/>
  <c r="L259" i="6"/>
  <c r="L257" i="6"/>
  <c r="L429" i="13"/>
  <c r="L169" i="13"/>
  <c r="L80" i="13"/>
  <c r="L251" i="6"/>
  <c r="L11" i="6"/>
  <c r="L89" i="6"/>
  <c r="L305" i="13"/>
  <c r="L195" i="13"/>
  <c r="L1235" i="13"/>
  <c r="L504" i="13"/>
  <c r="L232" i="13"/>
  <c r="L232" i="6"/>
  <c r="L459" i="13"/>
  <c r="L300" i="13"/>
  <c r="L96" i="6"/>
  <c r="L13" i="6"/>
  <c r="L342" i="13"/>
  <c r="L77" i="6"/>
  <c r="L349" i="13"/>
  <c r="L371" i="13"/>
  <c r="H11" i="1"/>
  <c r="G20" i="1"/>
  <c r="R190" i="6"/>
  <c r="P190" i="6"/>
  <c r="P146" i="6"/>
  <c r="R146" i="6"/>
  <c r="G537" i="13"/>
  <c r="G538" i="13"/>
  <c r="G536" i="13"/>
  <c r="L424" i="13"/>
  <c r="L74" i="6"/>
  <c r="L7" i="13"/>
  <c r="L57" i="6"/>
  <c r="L65" i="13"/>
  <c r="L84" i="13"/>
  <c r="L242" i="6"/>
  <c r="L181" i="13"/>
  <c r="L33" i="6"/>
  <c r="L43" i="13"/>
  <c r="L36" i="6"/>
  <c r="L7" i="6"/>
  <c r="L20" i="13"/>
  <c r="L413" i="13"/>
  <c r="L285" i="13"/>
  <c r="L461" i="13"/>
  <c r="L170" i="13"/>
  <c r="L220" i="13"/>
  <c r="L360" i="13"/>
  <c r="L97" i="13"/>
  <c r="L241" i="13"/>
  <c r="L54" i="13"/>
  <c r="L180" i="6"/>
  <c r="L194" i="13"/>
  <c r="L69" i="6"/>
  <c r="L62" i="6"/>
  <c r="L256" i="13"/>
  <c r="L72" i="6"/>
  <c r="L382" i="13"/>
  <c r="L40" i="6"/>
  <c r="L212" i="13"/>
  <c r="L456" i="13"/>
  <c r="L139" i="13"/>
  <c r="L1236" i="13"/>
  <c r="H12" i="1"/>
  <c r="L347" i="13"/>
  <c r="L227" i="13"/>
  <c r="L122" i="13"/>
  <c r="L279" i="13"/>
  <c r="L159" i="13"/>
  <c r="C48" i="14"/>
  <c r="F56" i="1" s="1"/>
  <c r="L181" i="4" s="1"/>
  <c r="C54" i="14"/>
  <c r="F62" i="1" s="1"/>
  <c r="L187" i="4" s="1"/>
  <c r="V54" i="14"/>
  <c r="P1119" i="13"/>
  <c r="R1119" i="13"/>
  <c r="P111" i="6"/>
  <c r="R111" i="6"/>
  <c r="R178" i="6"/>
  <c r="P178" i="6"/>
  <c r="P1169" i="13"/>
  <c r="R1169" i="13"/>
  <c r="P148" i="6"/>
  <c r="R148" i="6"/>
  <c r="P458" i="13"/>
  <c r="R458" i="13"/>
  <c r="P427" i="13"/>
  <c r="R427" i="13"/>
  <c r="M148" i="4"/>
  <c r="O147" i="4"/>
  <c r="C65" i="14"/>
  <c r="F73" i="1" s="1"/>
  <c r="L198" i="4" s="1"/>
  <c r="V65" i="14"/>
  <c r="V43" i="14"/>
  <c r="C43" i="14"/>
  <c r="F51" i="1" s="1"/>
  <c r="L176" i="4" s="1"/>
  <c r="C64" i="14"/>
  <c r="F72" i="1" s="1"/>
  <c r="L197" i="4" s="1"/>
  <c r="V64" i="14"/>
  <c r="C30" i="14"/>
  <c r="F38" i="1" s="1"/>
  <c r="L163" i="4" s="1"/>
  <c r="V30" i="14"/>
  <c r="P112" i="6"/>
  <c r="R112" i="6"/>
  <c r="V46" i="14"/>
  <c r="C46" i="14"/>
  <c r="F54" i="1" s="1"/>
  <c r="L179" i="4" s="1"/>
  <c r="C20" i="14"/>
  <c r="F28" i="1" s="1"/>
  <c r="L153" i="4" s="1"/>
  <c r="V20" i="14"/>
  <c r="P1128" i="13"/>
  <c r="R1128" i="13"/>
  <c r="R370" i="13"/>
  <c r="P370" i="13"/>
  <c r="P150" i="6"/>
  <c r="R150" i="6"/>
  <c r="P375" i="13"/>
  <c r="R375" i="13"/>
  <c r="P106" i="6"/>
  <c r="R106" i="6"/>
  <c r="R1107" i="13"/>
  <c r="P1107" i="13"/>
  <c r="P463" i="13"/>
  <c r="R463" i="13"/>
  <c r="P139" i="6"/>
  <c r="R139" i="6"/>
  <c r="C62" i="14"/>
  <c r="F70" i="1" s="1"/>
  <c r="L195" i="4" s="1"/>
  <c r="V62" i="14"/>
  <c r="P55" i="14"/>
  <c r="U55" i="14"/>
  <c r="P151" i="6"/>
  <c r="R151" i="6"/>
  <c r="S112" i="13"/>
  <c r="F112" i="13"/>
  <c r="F111" i="13"/>
  <c r="S111" i="13"/>
  <c r="S110" i="13"/>
  <c r="F110" i="13"/>
  <c r="F1661" i="1" s="1"/>
  <c r="R452" i="13"/>
  <c r="P452" i="13"/>
  <c r="R1130" i="13"/>
  <c r="P1130" i="13"/>
  <c r="P194" i="6"/>
  <c r="R194" i="6"/>
  <c r="P222" i="6"/>
  <c r="R222" i="6"/>
  <c r="R192" i="6"/>
  <c r="P192" i="6"/>
  <c r="R428" i="13"/>
  <c r="P428" i="13"/>
  <c r="C58" i="14"/>
  <c r="F66" i="1" s="1"/>
  <c r="L191" i="4" s="1"/>
  <c r="V58" i="14"/>
  <c r="AC261" i="17418"/>
  <c r="AC241" i="17418"/>
  <c r="AC274" i="17418"/>
  <c r="AC249" i="17418"/>
  <c r="AC287" i="17418"/>
  <c r="AC254" i="17418"/>
  <c r="AC258" i="17418"/>
  <c r="AC252" i="17418"/>
  <c r="AC286" i="17418"/>
  <c r="AC270" i="17418"/>
  <c r="AC242" i="17418"/>
  <c r="AC243" i="17418"/>
  <c r="T57" i="17419"/>
  <c r="AC275" i="17418"/>
  <c r="AC278" i="17418"/>
  <c r="AC256" i="17418"/>
  <c r="AC272" i="17418"/>
  <c r="AC255" i="17418"/>
  <c r="AC279" i="17418"/>
  <c r="AC281" i="17418"/>
  <c r="AD58" i="17418"/>
  <c r="AD59" i="17418"/>
  <c r="AD57" i="17418"/>
  <c r="AD56" i="17418"/>
  <c r="AD55" i="17418"/>
  <c r="AD53" i="17418"/>
  <c r="AD49" i="17418"/>
  <c r="U42" i="17419"/>
  <c r="U63" i="17419" s="1"/>
  <c r="U9" i="17419"/>
  <c r="AD54" i="17418"/>
  <c r="AD51" i="17418"/>
  <c r="AD46" i="17418"/>
  <c r="AD45" i="17418"/>
  <c r="AD50" i="17418"/>
  <c r="AD43" i="17418"/>
  <c r="AD39" i="17418"/>
  <c r="AD35" i="17418"/>
  <c r="AD60" i="17418"/>
  <c r="AD44" i="17418"/>
  <c r="AD30" i="17418"/>
  <c r="AD52" i="17418"/>
  <c r="AD33" i="17418"/>
  <c r="AD31" i="17418"/>
  <c r="AD29" i="17418"/>
  <c r="AD47" i="17418"/>
  <c r="AD41" i="17418"/>
  <c r="AD36" i="17418"/>
  <c r="AD48" i="17418"/>
  <c r="AD37" i="17418"/>
  <c r="AD40" i="17418"/>
  <c r="AD42" i="17418"/>
  <c r="AD38" i="17418"/>
  <c r="AD15" i="17418"/>
  <c r="AD34" i="17418"/>
  <c r="AE7" i="17418"/>
  <c r="S32" i="17422"/>
  <c r="S38" i="17422"/>
  <c r="AD32" i="17418"/>
  <c r="AC267" i="17418"/>
  <c r="AC276" i="17418"/>
  <c r="AC288" i="17418"/>
  <c r="AC264" i="17418"/>
  <c r="AC240" i="17418"/>
  <c r="AC244" i="17418"/>
  <c r="AC250" i="17418"/>
  <c r="AC247" i="17418"/>
  <c r="AC268" i="17418"/>
  <c r="AC260" i="17418"/>
  <c r="AC257" i="17418"/>
  <c r="AC262" i="17418"/>
  <c r="AC245" i="17418"/>
  <c r="AC246" i="17418"/>
  <c r="AC282" i="17418"/>
  <c r="AC280" i="17418"/>
  <c r="AC277" i="17418"/>
  <c r="AC238" i="17418"/>
  <c r="AD14" i="17418" l="1"/>
  <c r="P561" i="4"/>
  <c r="P1383" i="13"/>
  <c r="AE22" i="17418"/>
  <c r="AE20" i="17418" s="1"/>
  <c r="AE17" i="17418"/>
  <c r="AE16" i="17418"/>
  <c r="AE21" i="17418"/>
  <c r="AE19" i="17418"/>
  <c r="AE18" i="17418" s="1"/>
  <c r="P588" i="4"/>
  <c r="P1061" i="4"/>
  <c r="F1071" i="4" s="1"/>
  <c r="G1084" i="4"/>
  <c r="G1085" i="4"/>
  <c r="G1082" i="4"/>
  <c r="G1081" i="4"/>
  <c r="G1086" i="4"/>
  <c r="G1083" i="4"/>
  <c r="F1081" i="4"/>
  <c r="F1086" i="4"/>
  <c r="F1083" i="4"/>
  <c r="F1084" i="4"/>
  <c r="F1085" i="4"/>
  <c r="F1082" i="4"/>
  <c r="S1085" i="4"/>
  <c r="S1086" i="4"/>
  <c r="S1082" i="4"/>
  <c r="S1081" i="4"/>
  <c r="S1083" i="4"/>
  <c r="S1084" i="4"/>
  <c r="F1064" i="4"/>
  <c r="S1064" i="4"/>
  <c r="S1060" i="4"/>
  <c r="S1062" i="4"/>
  <c r="S1066" i="4"/>
  <c r="S1061" i="4"/>
  <c r="S1067" i="4"/>
  <c r="S1065" i="4"/>
  <c r="S1063" i="4"/>
  <c r="F1061" i="4"/>
  <c r="F1065" i="4"/>
  <c r="F1063" i="4"/>
  <c r="F1060" i="4"/>
  <c r="F1067" i="4"/>
  <c r="F1066" i="4"/>
  <c r="F1062" i="4"/>
  <c r="S1069" i="4"/>
  <c r="G1066" i="4"/>
  <c r="S1068" i="4"/>
  <c r="S1037" i="4"/>
  <c r="P454" i="4"/>
  <c r="P484" i="4"/>
  <c r="F483" i="4" s="1"/>
  <c r="R484" i="4"/>
  <c r="G483" i="4" s="1"/>
  <c r="G1061" i="4"/>
  <c r="G1063" i="4"/>
  <c r="G1065" i="4"/>
  <c r="G1067" i="4"/>
  <c r="G1060" i="4"/>
  <c r="G1062" i="4"/>
  <c r="S1071" i="4"/>
  <c r="F1070" i="4"/>
  <c r="G1069" i="4"/>
  <c r="G1068" i="4"/>
  <c r="G1070" i="4"/>
  <c r="G1072" i="4"/>
  <c r="G1071" i="4"/>
  <c r="S1070" i="4"/>
  <c r="F1068" i="4"/>
  <c r="S1072" i="4"/>
  <c r="F1069" i="4"/>
  <c r="F1072" i="4"/>
  <c r="P1074" i="4"/>
  <c r="S1074" i="4" s="1"/>
  <c r="R1074" i="4"/>
  <c r="G1075" i="4" s="1"/>
  <c r="P1451" i="13"/>
  <c r="P697" i="4"/>
  <c r="S696" i="4" s="1"/>
  <c r="R697" i="4"/>
  <c r="G696" i="4" s="1"/>
  <c r="P710" i="4"/>
  <c r="F713" i="4" s="1"/>
  <c r="R710" i="4"/>
  <c r="G714" i="4" s="1"/>
  <c r="P508" i="4"/>
  <c r="S510" i="4" s="1"/>
  <c r="R1457" i="13"/>
  <c r="H1939" i="1"/>
  <c r="L597" i="4"/>
  <c r="P1371" i="13"/>
  <c r="R1371" i="13"/>
  <c r="G1370" i="13"/>
  <c r="G1368" i="13"/>
  <c r="G1366" i="13"/>
  <c r="G1365" i="13"/>
  <c r="G1363" i="13"/>
  <c r="G1364" i="13"/>
  <c r="G1369" i="13"/>
  <c r="G1367" i="13"/>
  <c r="F1369" i="13"/>
  <c r="F1367" i="13"/>
  <c r="F1364" i="13"/>
  <c r="F1370" i="13"/>
  <c r="F1368" i="13"/>
  <c r="F1366" i="13"/>
  <c r="F1365" i="13"/>
  <c r="F1363" i="13"/>
  <c r="S1363" i="13"/>
  <c r="S1364" i="13"/>
  <c r="S1365" i="13"/>
  <c r="S1366" i="13"/>
  <c r="S1367" i="13"/>
  <c r="S1368" i="13"/>
  <c r="S1369" i="13"/>
  <c r="S1370" i="13"/>
  <c r="S1013" i="4"/>
  <c r="P1404" i="13"/>
  <c r="R1404" i="13"/>
  <c r="P1405" i="13"/>
  <c r="R1405" i="13"/>
  <c r="S35" i="17422"/>
  <c r="R41" i="17422"/>
  <c r="S29" i="17422"/>
  <c r="F994" i="4"/>
  <c r="S998" i="4"/>
  <c r="S995" i="4"/>
  <c r="F997" i="4"/>
  <c r="F999" i="4"/>
  <c r="S999" i="4"/>
  <c r="S997" i="4"/>
  <c r="F995" i="4"/>
  <c r="F998" i="4"/>
  <c r="S994" i="4"/>
  <c r="F996" i="4"/>
  <c r="S996" i="4"/>
  <c r="R995" i="4"/>
  <c r="P1001" i="4"/>
  <c r="R1001" i="4"/>
  <c r="G1000" i="4" s="1"/>
  <c r="S1036" i="4"/>
  <c r="F1036" i="4"/>
  <c r="S1038" i="4"/>
  <c r="F1038" i="4"/>
  <c r="S1035" i="4"/>
  <c r="F1035" i="4"/>
  <c r="R1036" i="4"/>
  <c r="G1038" i="4" s="1"/>
  <c r="P1456" i="13"/>
  <c r="F1936" i="1" s="1"/>
  <c r="H1936" i="1" s="1"/>
  <c r="R1456" i="13"/>
  <c r="G1458" i="13" s="1"/>
  <c r="R1421" i="13"/>
  <c r="P1033" i="4"/>
  <c r="F1032" i="4" s="1"/>
  <c r="R1033" i="4"/>
  <c r="G1034" i="4" s="1"/>
  <c r="P1050" i="4"/>
  <c r="R1050" i="4"/>
  <c r="S562" i="4"/>
  <c r="S554" i="4"/>
  <c r="S559" i="4"/>
  <c r="S555" i="4"/>
  <c r="S560" i="4"/>
  <c r="S556" i="4"/>
  <c r="S561" i="4"/>
  <c r="S558" i="4"/>
  <c r="S563" i="4"/>
  <c r="S557" i="4"/>
  <c r="S553" i="4"/>
  <c r="R72" i="13"/>
  <c r="P1004" i="4"/>
  <c r="R1004" i="4"/>
  <c r="P1005" i="4"/>
  <c r="R1005" i="4"/>
  <c r="U24" i="14"/>
  <c r="F591" i="4"/>
  <c r="S591" i="4"/>
  <c r="R1058" i="4"/>
  <c r="P1503" i="13"/>
  <c r="R1503" i="13"/>
  <c r="P1314" i="13"/>
  <c r="R803" i="4"/>
  <c r="P1054" i="4"/>
  <c r="R1054" i="4"/>
  <c r="R1482" i="13"/>
  <c r="F1488" i="13"/>
  <c r="S1489" i="13"/>
  <c r="S1484" i="13"/>
  <c r="F1484" i="13"/>
  <c r="S1485" i="13"/>
  <c r="S1482" i="13"/>
  <c r="F1930" i="1"/>
  <c r="L1029" i="4" s="1"/>
  <c r="S1486" i="13"/>
  <c r="F1486" i="13"/>
  <c r="S1487" i="13"/>
  <c r="S1488" i="13"/>
  <c r="P1498" i="13"/>
  <c r="F1501" i="13" s="1"/>
  <c r="R1498" i="13"/>
  <c r="S1491" i="13"/>
  <c r="R1492" i="13"/>
  <c r="S1481" i="13"/>
  <c r="F1485" i="13"/>
  <c r="F1483" i="13"/>
  <c r="S1490" i="13"/>
  <c r="S1483" i="13"/>
  <c r="F1489" i="13"/>
  <c r="F1481" i="13"/>
  <c r="F1487" i="13"/>
  <c r="F1482" i="13"/>
  <c r="F1490" i="13"/>
  <c r="P57" i="14"/>
  <c r="P1467" i="13"/>
  <c r="R1467" i="13"/>
  <c r="P487" i="6"/>
  <c r="F488" i="6" s="1"/>
  <c r="R487" i="6"/>
  <c r="G487" i="6" s="1"/>
  <c r="P1475" i="13"/>
  <c r="R1475" i="13"/>
  <c r="R1450" i="13"/>
  <c r="G1453" i="13" s="1"/>
  <c r="F1452" i="13"/>
  <c r="F1449" i="13"/>
  <c r="S1453" i="13"/>
  <c r="F1926" i="1"/>
  <c r="S1454" i="13"/>
  <c r="S1449" i="13"/>
  <c r="F1453" i="13"/>
  <c r="F1451" i="13"/>
  <c r="S1450" i="13"/>
  <c r="S1451" i="13"/>
  <c r="F1454" i="13"/>
  <c r="F1450" i="13"/>
  <c r="S1452" i="13"/>
  <c r="P1460" i="13"/>
  <c r="S1461" i="13" s="1"/>
  <c r="R1460" i="13"/>
  <c r="P484" i="6"/>
  <c r="F485" i="6" s="1"/>
  <c r="R484" i="6"/>
  <c r="G484" i="6" s="1"/>
  <c r="R1429" i="13"/>
  <c r="P1440" i="13"/>
  <c r="R1440" i="13"/>
  <c r="P1441" i="13"/>
  <c r="R1441" i="13"/>
  <c r="P1428" i="13"/>
  <c r="R1428" i="13"/>
  <c r="P656" i="4"/>
  <c r="F655" i="4" s="1"/>
  <c r="R656" i="4"/>
  <c r="G662" i="4" s="1"/>
  <c r="P1393" i="13"/>
  <c r="P1422" i="13"/>
  <c r="S1424" i="13" s="1"/>
  <c r="R1422" i="13"/>
  <c r="R1415" i="13"/>
  <c r="G595" i="4"/>
  <c r="G593" i="4"/>
  <c r="G590" i="4"/>
  <c r="G588" i="4"/>
  <c r="G596" i="4"/>
  <c r="G594" i="4"/>
  <c r="G592" i="4"/>
  <c r="G589" i="4"/>
  <c r="F596" i="4"/>
  <c r="F594" i="4"/>
  <c r="F589" i="4"/>
  <c r="F593" i="4"/>
  <c r="F590" i="4"/>
  <c r="F595" i="4"/>
  <c r="F588" i="4"/>
  <c r="F592" i="4"/>
  <c r="S590" i="4"/>
  <c r="S596" i="4"/>
  <c r="S593" i="4"/>
  <c r="S589" i="4"/>
  <c r="S595" i="4"/>
  <c r="S594" i="4"/>
  <c r="S592" i="4"/>
  <c r="S588" i="4"/>
  <c r="P1355" i="13"/>
  <c r="P1414" i="13"/>
  <c r="F1922" i="1" s="1"/>
  <c r="L1016" i="4" s="1"/>
  <c r="R1414" i="13"/>
  <c r="P1394" i="13"/>
  <c r="R1394" i="13"/>
  <c r="G1401" i="13" s="1"/>
  <c r="P1382" i="13"/>
  <c r="R1382" i="13"/>
  <c r="P1349" i="13"/>
  <c r="F1918" i="1" s="1"/>
  <c r="L1020" i="4" s="1"/>
  <c r="P1358" i="13"/>
  <c r="R1358" i="13"/>
  <c r="P1356" i="13"/>
  <c r="R1356" i="13"/>
  <c r="G1351" i="13"/>
  <c r="G1350" i="13"/>
  <c r="G1353" i="13"/>
  <c r="G1348" i="13"/>
  <c r="G1352" i="13"/>
  <c r="G1349" i="13"/>
  <c r="P1342" i="13"/>
  <c r="R1342" i="13"/>
  <c r="P977" i="4"/>
  <c r="R977" i="4"/>
  <c r="G984" i="4" s="1"/>
  <c r="R714" i="13"/>
  <c r="P572" i="4"/>
  <c r="S574" i="4" s="1"/>
  <c r="R572" i="4"/>
  <c r="P576" i="4"/>
  <c r="R576" i="4"/>
  <c r="AD263" i="17418"/>
  <c r="AD285" i="17418"/>
  <c r="S26" i="17422"/>
  <c r="AC259" i="17418"/>
  <c r="AD239" i="17418"/>
  <c r="AD251" i="17418"/>
  <c r="AC265" i="17418"/>
  <c r="AD269" i="17418"/>
  <c r="AD271" i="17418"/>
  <c r="P22" i="14"/>
  <c r="H20" i="1"/>
  <c r="X12" i="14"/>
  <c r="R864" i="4"/>
  <c r="P867" i="4"/>
  <c r="S865" i="4" s="1"/>
  <c r="R867" i="4"/>
  <c r="R857" i="4"/>
  <c r="S864" i="4"/>
  <c r="S863" i="4"/>
  <c r="S862" i="4"/>
  <c r="P861" i="4"/>
  <c r="R861" i="4"/>
  <c r="S856" i="4"/>
  <c r="S857" i="4"/>
  <c r="S854" i="4"/>
  <c r="R247" i="4"/>
  <c r="P247" i="4"/>
  <c r="S794" i="4"/>
  <c r="S791" i="4"/>
  <c r="S790" i="4"/>
  <c r="S397" i="4"/>
  <c r="S403" i="4"/>
  <c r="S406" i="4"/>
  <c r="S793" i="4"/>
  <c r="S795" i="4"/>
  <c r="S402" i="4"/>
  <c r="S401" i="4"/>
  <c r="S787" i="4"/>
  <c r="S789" i="4"/>
  <c r="S398" i="4"/>
  <c r="S792" i="4"/>
  <c r="S788" i="4"/>
  <c r="S405" i="4"/>
  <c r="S400" i="4"/>
  <c r="S399" i="4"/>
  <c r="S404" i="4"/>
  <c r="S800" i="4"/>
  <c r="S802" i="4"/>
  <c r="S803" i="4"/>
  <c r="S801" i="4"/>
  <c r="S799" i="4"/>
  <c r="G805" i="4"/>
  <c r="G806" i="4"/>
  <c r="G804" i="4"/>
  <c r="F806" i="4"/>
  <c r="F805" i="4"/>
  <c r="F804" i="4"/>
  <c r="S805" i="4"/>
  <c r="S806" i="4"/>
  <c r="S804" i="4"/>
  <c r="P780" i="4"/>
  <c r="R780" i="4"/>
  <c r="P783" i="4"/>
  <c r="R783" i="4"/>
  <c r="R784" i="4"/>
  <c r="P784" i="4"/>
  <c r="G465" i="4"/>
  <c r="G463" i="4"/>
  <c r="G464" i="4"/>
  <c r="S464" i="4"/>
  <c r="F465" i="4"/>
  <c r="S463" i="4"/>
  <c r="F463" i="4"/>
  <c r="F464" i="4"/>
  <c r="S465" i="4"/>
  <c r="R458" i="4"/>
  <c r="G456" i="4" s="1"/>
  <c r="R462" i="4"/>
  <c r="G462" i="4" s="1"/>
  <c r="P462" i="4"/>
  <c r="S461" i="4" s="1"/>
  <c r="F456" i="4"/>
  <c r="P737" i="4"/>
  <c r="S735" i="4" s="1"/>
  <c r="R737" i="4"/>
  <c r="P731" i="4"/>
  <c r="R731" i="4"/>
  <c r="P766" i="4"/>
  <c r="F765" i="4" s="1"/>
  <c r="R766" i="4"/>
  <c r="G763" i="4" s="1"/>
  <c r="P746" i="4"/>
  <c r="R746" i="4"/>
  <c r="P761" i="4"/>
  <c r="R761" i="4"/>
  <c r="P740" i="4"/>
  <c r="R740" i="4"/>
  <c r="P749" i="4"/>
  <c r="R749" i="4"/>
  <c r="P752" i="4"/>
  <c r="R752" i="4"/>
  <c r="P743" i="4"/>
  <c r="R743" i="4"/>
  <c r="P755" i="4"/>
  <c r="R755" i="4"/>
  <c r="P758" i="4"/>
  <c r="R758" i="4"/>
  <c r="P768" i="4"/>
  <c r="S768" i="4" s="1"/>
  <c r="R768" i="4"/>
  <c r="G768" i="4" s="1"/>
  <c r="G678" i="4"/>
  <c r="P704" i="4"/>
  <c r="F708" i="4" s="1"/>
  <c r="R704" i="4"/>
  <c r="G708" i="4" s="1"/>
  <c r="P716" i="4"/>
  <c r="R716" i="4"/>
  <c r="P719" i="4"/>
  <c r="F718" i="4" s="1"/>
  <c r="R719" i="4"/>
  <c r="G719" i="4" s="1"/>
  <c r="P721" i="4"/>
  <c r="S723" i="4" s="1"/>
  <c r="R721" i="4"/>
  <c r="P729" i="4"/>
  <c r="S729" i="4" s="1"/>
  <c r="R729" i="4"/>
  <c r="P673" i="4"/>
  <c r="P691" i="4"/>
  <c r="F690" i="4" s="1"/>
  <c r="R691" i="4"/>
  <c r="G691" i="4" s="1"/>
  <c r="G677" i="4"/>
  <c r="G675" i="4"/>
  <c r="G674" i="4"/>
  <c r="G672" i="4"/>
  <c r="G673" i="4"/>
  <c r="G676" i="4"/>
  <c r="P648" i="4"/>
  <c r="F651" i="4" s="1"/>
  <c r="R648" i="4"/>
  <c r="G652" i="4" s="1"/>
  <c r="P665" i="4"/>
  <c r="F664" i="4" s="1"/>
  <c r="R665" i="4"/>
  <c r="G666" i="4" s="1"/>
  <c r="P988" i="13"/>
  <c r="P681" i="13"/>
  <c r="R574" i="13"/>
  <c r="R564" i="4"/>
  <c r="P1251" i="13"/>
  <c r="F1250" i="13" s="1"/>
  <c r="R10" i="6"/>
  <c r="P401" i="6"/>
  <c r="S402" i="6" s="1"/>
  <c r="P1106" i="13"/>
  <c r="R458" i="6"/>
  <c r="R723" i="13"/>
  <c r="R969" i="13"/>
  <c r="P294" i="6"/>
  <c r="P390" i="6"/>
  <c r="P342" i="6"/>
  <c r="P631" i="4"/>
  <c r="R631" i="4"/>
  <c r="P580" i="4"/>
  <c r="R580" i="4"/>
  <c r="G583" i="4" s="1"/>
  <c r="P644" i="4"/>
  <c r="S646" i="4" s="1"/>
  <c r="R644" i="4"/>
  <c r="P624" i="4"/>
  <c r="R624" i="4"/>
  <c r="P618" i="4"/>
  <c r="R618" i="4"/>
  <c r="P621" i="4"/>
  <c r="R621" i="4"/>
  <c r="P612" i="4"/>
  <c r="R612" i="4"/>
  <c r="P599" i="4"/>
  <c r="R599" i="4"/>
  <c r="P568" i="4"/>
  <c r="R568" i="4"/>
  <c r="P628" i="4"/>
  <c r="R628" i="4"/>
  <c r="P615" i="4"/>
  <c r="R615" i="4"/>
  <c r="P634" i="4"/>
  <c r="S636" i="4" s="1"/>
  <c r="R634" i="4"/>
  <c r="P638" i="4"/>
  <c r="S638" i="4" s="1"/>
  <c r="R638" i="4"/>
  <c r="P641" i="4"/>
  <c r="S640" i="4" s="1"/>
  <c r="R641" i="4"/>
  <c r="P565" i="13"/>
  <c r="F571" i="13" s="1"/>
  <c r="R1058" i="13"/>
  <c r="S565" i="4"/>
  <c r="S566" i="4"/>
  <c r="S567" i="4"/>
  <c r="S564" i="4"/>
  <c r="P671" i="13"/>
  <c r="S677" i="13" s="1"/>
  <c r="R400" i="6"/>
  <c r="P80" i="6"/>
  <c r="P439" i="6"/>
  <c r="R713" i="13"/>
  <c r="P847" i="13"/>
  <c r="P361" i="6"/>
  <c r="F361" i="6" s="1"/>
  <c r="R1023" i="13"/>
  <c r="P423" i="6"/>
  <c r="P950" i="13"/>
  <c r="R1134" i="13"/>
  <c r="R564" i="13"/>
  <c r="R505" i="4"/>
  <c r="P428" i="6"/>
  <c r="P949" i="13"/>
  <c r="P303" i="13"/>
  <c r="R721" i="13"/>
  <c r="R333" i="13"/>
  <c r="P822" i="13"/>
  <c r="P374" i="6"/>
  <c r="F375" i="6" s="1"/>
  <c r="P1315" i="13"/>
  <c r="R1315" i="13"/>
  <c r="P1316" i="13"/>
  <c r="R1316" i="13"/>
  <c r="P1313" i="13"/>
  <c r="R1313" i="13"/>
  <c r="P345" i="6"/>
  <c r="R415" i="6"/>
  <c r="G414" i="6" s="1"/>
  <c r="R573" i="13"/>
  <c r="R311" i="6"/>
  <c r="R670" i="13"/>
  <c r="R684" i="13"/>
  <c r="G684" i="13" s="1"/>
  <c r="R418" i="6"/>
  <c r="G417" i="6" s="1"/>
  <c r="P394" i="6"/>
  <c r="F1775" i="1" s="1"/>
  <c r="L602" i="13" s="1"/>
  <c r="P763" i="13"/>
  <c r="G930" i="13"/>
  <c r="R1090" i="13"/>
  <c r="P408" i="6"/>
  <c r="F1778" i="1" s="1"/>
  <c r="L1278" i="13" s="1"/>
  <c r="R687" i="13"/>
  <c r="G686" i="13" s="1"/>
  <c r="P98" i="6"/>
  <c r="R1035" i="13"/>
  <c r="P917" i="13"/>
  <c r="G931" i="13"/>
  <c r="P680" i="13"/>
  <c r="R846" i="13"/>
  <c r="P1056" i="13"/>
  <c r="R402" i="6"/>
  <c r="P341" i="13"/>
  <c r="F1242" i="13"/>
  <c r="G375" i="6"/>
  <c r="R201" i="13"/>
  <c r="P455" i="13"/>
  <c r="P289" i="6"/>
  <c r="R970" i="13"/>
  <c r="P971" i="13"/>
  <c r="P793" i="13"/>
  <c r="P1232" i="13"/>
  <c r="P1311" i="13"/>
  <c r="R377" i="6"/>
  <c r="G379" i="6" s="1"/>
  <c r="P791" i="13"/>
  <c r="P948" i="13"/>
  <c r="S506" i="4"/>
  <c r="S505" i="4"/>
  <c r="S504" i="4"/>
  <c r="S687" i="13"/>
  <c r="P742" i="13"/>
  <c r="P308" i="6"/>
  <c r="R976" i="13"/>
  <c r="R180" i="13"/>
  <c r="R380" i="13"/>
  <c r="G380" i="13" s="1"/>
  <c r="R79" i="13"/>
  <c r="P839" i="13"/>
  <c r="P961" i="13"/>
  <c r="R1004" i="13"/>
  <c r="R383" i="6"/>
  <c r="G383" i="6" s="1"/>
  <c r="P438" i="6"/>
  <c r="R79" i="6"/>
  <c r="P384" i="13"/>
  <c r="P431" i="6"/>
  <c r="F431" i="6" s="1"/>
  <c r="R202" i="13"/>
  <c r="R566" i="13"/>
  <c r="R780" i="13"/>
  <c r="P626" i="13"/>
  <c r="R582" i="13"/>
  <c r="P990" i="13"/>
  <c r="R888" i="13"/>
  <c r="R459" i="6"/>
  <c r="P343" i="6"/>
  <c r="R672" i="13"/>
  <c r="R309" i="6"/>
  <c r="P291" i="6"/>
  <c r="R1240" i="13"/>
  <c r="G1239" i="13" s="1"/>
  <c r="P1044" i="13"/>
  <c r="P1133" i="13"/>
  <c r="P940" i="13"/>
  <c r="R1196" i="13"/>
  <c r="P790" i="13"/>
  <c r="R1013" i="13"/>
  <c r="R1285" i="13"/>
  <c r="R1292" i="13"/>
  <c r="G36" i="4"/>
  <c r="R487" i="4"/>
  <c r="R500" i="4"/>
  <c r="G500" i="4" s="1"/>
  <c r="P500" i="4"/>
  <c r="F499" i="4" s="1"/>
  <c r="P378" i="6"/>
  <c r="S380" i="6" s="1"/>
  <c r="R421" i="6"/>
  <c r="G424" i="6" s="1"/>
  <c r="P659" i="13"/>
  <c r="R583" i="13"/>
  <c r="R326" i="6"/>
  <c r="R437" i="6"/>
  <c r="R1014" i="13"/>
  <c r="P889" i="13"/>
  <c r="P977" i="13"/>
  <c r="F1839" i="1"/>
  <c r="H1839" i="1" s="1"/>
  <c r="R741" i="13"/>
  <c r="R397" i="6"/>
  <c r="G398" i="6" s="1"/>
  <c r="R736" i="13"/>
  <c r="P978" i="13"/>
  <c r="R740" i="13"/>
  <c r="P186" i="13"/>
  <c r="R781" i="13"/>
  <c r="P868" i="13"/>
  <c r="P850" i="13"/>
  <c r="R313" i="13"/>
  <c r="P627" i="13"/>
  <c r="R717" i="13"/>
  <c r="R867" i="13"/>
  <c r="P1229" i="13"/>
  <c r="F1228" i="13" s="1"/>
  <c r="P890" i="13"/>
  <c r="R461" i="6"/>
  <c r="R1245" i="13"/>
  <c r="G1246" i="13" s="1"/>
  <c r="R1200" i="13"/>
  <c r="P642" i="13"/>
  <c r="P1281" i="13"/>
  <c r="R282" i="6"/>
  <c r="R712" i="13"/>
  <c r="R909" i="13"/>
  <c r="P284" i="6"/>
  <c r="G929" i="13"/>
  <c r="R792" i="13"/>
  <c r="G110" i="13"/>
  <c r="R1057" i="13"/>
  <c r="P782" i="13"/>
  <c r="R91" i="6"/>
  <c r="R1202" i="13"/>
  <c r="R1086" i="13"/>
  <c r="P1201" i="13"/>
  <c r="P373" i="13"/>
  <c r="R283" i="6"/>
  <c r="P556" i="13"/>
  <c r="P658" i="13"/>
  <c r="P1003" i="13"/>
  <c r="R292" i="6"/>
  <c r="P323" i="6"/>
  <c r="R805" i="13"/>
  <c r="R341" i="6"/>
  <c r="R325" i="6"/>
  <c r="P927" i="13"/>
  <c r="F1844" i="1" s="1"/>
  <c r="L385" i="4" s="1"/>
  <c r="S537" i="13"/>
  <c r="R804" i="13"/>
  <c r="P422" i="6"/>
  <c r="F424" i="6" s="1"/>
  <c r="P1022" i="13"/>
  <c r="R97" i="6"/>
  <c r="P690" i="13"/>
  <c r="S692" i="13" s="1"/>
  <c r="R816" i="13"/>
  <c r="R689" i="13"/>
  <c r="G690" i="13" s="1"/>
  <c r="R643" i="13"/>
  <c r="R321" i="13"/>
  <c r="P722" i="13"/>
  <c r="R1080" i="13"/>
  <c r="P751" i="13"/>
  <c r="P33" i="13"/>
  <c r="S536" i="13"/>
  <c r="P962" i="13"/>
  <c r="S538" i="13"/>
  <c r="G37" i="4"/>
  <c r="F385" i="6"/>
  <c r="Q147" i="4"/>
  <c r="R147" i="4" s="1"/>
  <c r="P147" i="4"/>
  <c r="P142" i="4"/>
  <c r="R142" i="4"/>
  <c r="R315" i="4"/>
  <c r="P315" i="4"/>
  <c r="P434" i="4"/>
  <c r="R434" i="4"/>
  <c r="P95" i="4"/>
  <c r="R95" i="4"/>
  <c r="P419" i="4"/>
  <c r="R419" i="4"/>
  <c r="P441" i="4"/>
  <c r="S440" i="4" s="1"/>
  <c r="R441" i="4"/>
  <c r="G442" i="4" s="1"/>
  <c r="P103" i="4"/>
  <c r="R103" i="4"/>
  <c r="P474" i="4"/>
  <c r="R474" i="4"/>
  <c r="P84" i="4"/>
  <c r="R84" i="4"/>
  <c r="R110" i="4"/>
  <c r="P110" i="4"/>
  <c r="P330" i="4"/>
  <c r="R330" i="4"/>
  <c r="P467" i="4"/>
  <c r="R467" i="4"/>
  <c r="P270" i="4"/>
  <c r="S269" i="4" s="1"/>
  <c r="R270" i="4"/>
  <c r="R363" i="4"/>
  <c r="P363" i="4"/>
  <c r="P332" i="4"/>
  <c r="R332" i="4"/>
  <c r="P111" i="4"/>
  <c r="R111" i="4"/>
  <c r="R90" i="4"/>
  <c r="P90" i="4"/>
  <c r="P448" i="4"/>
  <c r="S443" i="4" s="1"/>
  <c r="R448" i="4"/>
  <c r="P119" i="4"/>
  <c r="R119" i="4"/>
  <c r="R102" i="4"/>
  <c r="P102" i="4"/>
  <c r="R118" i="4"/>
  <c r="P118" i="4"/>
  <c r="P89" i="4"/>
  <c r="R89" i="4"/>
  <c r="R328" i="4"/>
  <c r="P328" i="4"/>
  <c r="P273" i="4"/>
  <c r="F275" i="4" s="1"/>
  <c r="R273" i="4"/>
  <c r="G274" i="4" s="1"/>
  <c r="P392" i="4"/>
  <c r="R392" i="4"/>
  <c r="P379" i="4"/>
  <c r="S376" i="4" s="1"/>
  <c r="R379" i="4"/>
  <c r="G377" i="4" s="1"/>
  <c r="P388" i="4"/>
  <c r="R388" i="4"/>
  <c r="P311" i="4"/>
  <c r="R311" i="4"/>
  <c r="R394" i="4"/>
  <c r="P394" i="4"/>
  <c r="P471" i="4"/>
  <c r="R471" i="4"/>
  <c r="R425" i="4"/>
  <c r="P425" i="4"/>
  <c r="P79" i="4"/>
  <c r="R79" i="4"/>
  <c r="R74" i="4"/>
  <c r="P74" i="4"/>
  <c r="P367" i="4"/>
  <c r="R367" i="4"/>
  <c r="P396" i="4"/>
  <c r="R396" i="4"/>
  <c r="R313" i="4"/>
  <c r="P313" i="4"/>
  <c r="S272" i="4"/>
  <c r="S36" i="4"/>
  <c r="S37" i="4"/>
  <c r="S35" i="4"/>
  <c r="P451" i="4"/>
  <c r="R451" i="4"/>
  <c r="P438" i="4"/>
  <c r="S438" i="4" s="1"/>
  <c r="R438" i="4"/>
  <c r="G437" i="4" s="1"/>
  <c r="P432" i="4"/>
  <c r="S431" i="4" s="1"/>
  <c r="R432" i="4"/>
  <c r="G430" i="4" s="1"/>
  <c r="R335" i="4"/>
  <c r="P335" i="4"/>
  <c r="P422" i="4"/>
  <c r="R422" i="4"/>
  <c r="P85" i="4"/>
  <c r="R85" i="4"/>
  <c r="R453" i="4"/>
  <c r="P453" i="4"/>
  <c r="P135" i="4"/>
  <c r="R135" i="4"/>
  <c r="R94" i="4"/>
  <c r="P94" i="4"/>
  <c r="P469" i="4"/>
  <c r="R469" i="4"/>
  <c r="P420" i="4"/>
  <c r="R420" i="4"/>
  <c r="P387" i="4"/>
  <c r="R387" i="4"/>
  <c r="L262" i="4"/>
  <c r="L14" i="4"/>
  <c r="L131" i="4"/>
  <c r="L283" i="4"/>
  <c r="L32" i="4"/>
  <c r="L68" i="4"/>
  <c r="L20" i="4"/>
  <c r="F37" i="4"/>
  <c r="F36" i="4"/>
  <c r="F35" i="4"/>
  <c r="P1302" i="13"/>
  <c r="P1282" i="13"/>
  <c r="R1298" i="13"/>
  <c r="F683" i="13"/>
  <c r="F538" i="13"/>
  <c r="F536" i="13"/>
  <c r="S416" i="6"/>
  <c r="P1308" i="13"/>
  <c r="R1308" i="13"/>
  <c r="G1307" i="13" s="1"/>
  <c r="R628" i="13"/>
  <c r="P90" i="6"/>
  <c r="P427" i="6"/>
  <c r="F1790" i="1" s="1"/>
  <c r="P328" i="6"/>
  <c r="G111" i="13"/>
  <c r="R752" i="13"/>
  <c r="P762" i="13"/>
  <c r="R181" i="6"/>
  <c r="R557" i="13"/>
  <c r="R941" i="13"/>
  <c r="R407" i="6"/>
  <c r="G409" i="6" s="1"/>
  <c r="P1307" i="13"/>
  <c r="U27" i="14"/>
  <c r="R1294" i="13"/>
  <c r="P1310" i="13"/>
  <c r="R1310" i="13"/>
  <c r="G426" i="6"/>
  <c r="R70" i="13"/>
  <c r="P42" i="13"/>
  <c r="F1909" i="1"/>
  <c r="H1909" i="1" s="1"/>
  <c r="P1301" i="13"/>
  <c r="R1301" i="13"/>
  <c r="P1297" i="13"/>
  <c r="S1297" i="13" s="1"/>
  <c r="R1297" i="13"/>
  <c r="P1305" i="13"/>
  <c r="R1305" i="13"/>
  <c r="R8" i="6"/>
  <c r="R34" i="13"/>
  <c r="R314" i="13"/>
  <c r="P386" i="13"/>
  <c r="P284" i="13"/>
  <c r="IA26" i="17418"/>
  <c r="EG26" i="17418"/>
  <c r="CJ26" i="17418"/>
  <c r="GD26" i="17418"/>
  <c r="JX26" i="17418"/>
  <c r="CJ36" i="17418"/>
  <c r="IJ36" i="17418" s="1"/>
  <c r="EG36" i="17418"/>
  <c r="KG36" i="17418" s="1"/>
  <c r="GD36" i="17418"/>
  <c r="IA23" i="17418"/>
  <c r="EG23" i="17418"/>
  <c r="CJ23" i="17418"/>
  <c r="JX23" i="17418"/>
  <c r="GD23" i="17418"/>
  <c r="EG27" i="17418"/>
  <c r="CJ27" i="17418"/>
  <c r="IJ27" i="17418" s="1"/>
  <c r="GD27" i="17418"/>
  <c r="JX27" i="17418"/>
  <c r="IA24" i="17418"/>
  <c r="EG24" i="17418"/>
  <c r="GD24" i="17418"/>
  <c r="CJ24" i="17418"/>
  <c r="JX24" i="17418"/>
  <c r="CJ37" i="17418"/>
  <c r="IJ37" i="17418" s="1"/>
  <c r="EG37" i="17418"/>
  <c r="KG37" i="17418" s="1"/>
  <c r="GD37" i="17418"/>
  <c r="IA25" i="17418"/>
  <c r="EG25" i="17418"/>
  <c r="JX25" i="17418"/>
  <c r="GD25" i="17418"/>
  <c r="CJ25" i="17418"/>
  <c r="AD260" i="17418"/>
  <c r="AD282" i="17418"/>
  <c r="AD289" i="17418"/>
  <c r="AD273" i="17418"/>
  <c r="R158" i="13"/>
  <c r="R334" i="13"/>
  <c r="P412" i="13"/>
  <c r="P453" i="13"/>
  <c r="R60" i="13"/>
  <c r="R554" i="13"/>
  <c r="R10" i="13"/>
  <c r="R306" i="6"/>
  <c r="H6" i="1"/>
  <c r="F684" i="13"/>
  <c r="R77" i="13"/>
  <c r="S685" i="13"/>
  <c r="F685" i="13"/>
  <c r="P1283" i="13"/>
  <c r="R1283" i="13"/>
  <c r="P1280" i="13"/>
  <c r="R1280" i="13"/>
  <c r="F1800" i="1"/>
  <c r="H1800" i="1" s="1"/>
  <c r="S683" i="13"/>
  <c r="S684" i="13"/>
  <c r="F379" i="13"/>
  <c r="F1701" i="1" s="1"/>
  <c r="L384" i="4" s="1"/>
  <c r="G1228" i="13"/>
  <c r="G1227" i="13"/>
  <c r="F1772" i="1"/>
  <c r="L1271" i="13" s="1"/>
  <c r="R1271" i="13" s="1"/>
  <c r="S1242" i="13"/>
  <c r="G1251" i="13"/>
  <c r="S381" i="13"/>
  <c r="F381" i="13"/>
  <c r="S379" i="13"/>
  <c r="F396" i="6"/>
  <c r="F688" i="13"/>
  <c r="S380" i="13"/>
  <c r="G374" i="6"/>
  <c r="F1776" i="1"/>
  <c r="L1273" i="13" s="1"/>
  <c r="S398" i="6"/>
  <c r="F398" i="6"/>
  <c r="G373" i="6"/>
  <c r="S415" i="6"/>
  <c r="G430" i="6"/>
  <c r="S1240" i="13"/>
  <c r="S383" i="6"/>
  <c r="S397" i="6"/>
  <c r="F415" i="6"/>
  <c r="F1243" i="13"/>
  <c r="F397" i="6"/>
  <c r="F1785" i="1"/>
  <c r="H1785" i="1" s="1"/>
  <c r="S414" i="6"/>
  <c r="S1239" i="13"/>
  <c r="S1241" i="13"/>
  <c r="S385" i="6"/>
  <c r="F383" i="6"/>
  <c r="F414" i="6"/>
  <c r="G432" i="6"/>
  <c r="S1243" i="13"/>
  <c r="F1240" i="13"/>
  <c r="F1241" i="13"/>
  <c r="F382" i="6"/>
  <c r="S384" i="6"/>
  <c r="AE24" i="17418"/>
  <c r="AE25" i="17418"/>
  <c r="AE27" i="17418"/>
  <c r="AE23" i="17418"/>
  <c r="AE26" i="17418"/>
  <c r="F416" i="6"/>
  <c r="F1898" i="1"/>
  <c r="H1898" i="1" s="1"/>
  <c r="F1239" i="13"/>
  <c r="S382" i="6"/>
  <c r="F384" i="6"/>
  <c r="F686" i="13"/>
  <c r="S686" i="13"/>
  <c r="F687" i="13"/>
  <c r="S688" i="13"/>
  <c r="F1801" i="1"/>
  <c r="H1801" i="1" s="1"/>
  <c r="S200" i="13"/>
  <c r="G1252" i="13"/>
  <c r="H17" i="1"/>
  <c r="U44" i="14"/>
  <c r="C44" i="14" s="1"/>
  <c r="F52" i="1" s="1"/>
  <c r="L177" i="4" s="1"/>
  <c r="G360" i="6"/>
  <c r="G362" i="6"/>
  <c r="G429" i="6"/>
  <c r="G21" i="1"/>
  <c r="H1661" i="1"/>
  <c r="F418" i="6"/>
  <c r="F419" i="6"/>
  <c r="S417" i="6"/>
  <c r="S419" i="6"/>
  <c r="F417" i="6"/>
  <c r="S418" i="6"/>
  <c r="F1786" i="1"/>
  <c r="G428" i="6"/>
  <c r="C55" i="14"/>
  <c r="F63" i="1" s="1"/>
  <c r="L188" i="4" s="1"/>
  <c r="V55" i="14"/>
  <c r="G427" i="6"/>
  <c r="F403" i="6"/>
  <c r="P159" i="13"/>
  <c r="R159" i="13"/>
  <c r="P227" i="13"/>
  <c r="R227" i="13"/>
  <c r="P1236" i="13"/>
  <c r="R1236" i="13"/>
  <c r="P40" i="6"/>
  <c r="R40" i="6"/>
  <c r="P62" i="6"/>
  <c r="R62" i="6"/>
  <c r="P54" i="13"/>
  <c r="R54" i="13"/>
  <c r="R97" i="13"/>
  <c r="P97" i="13"/>
  <c r="R461" i="13"/>
  <c r="P461" i="13"/>
  <c r="P7" i="6"/>
  <c r="R7" i="6"/>
  <c r="P33" i="6"/>
  <c r="R33" i="6"/>
  <c r="P65" i="13"/>
  <c r="R65" i="13"/>
  <c r="P424" i="13"/>
  <c r="R424" i="13"/>
  <c r="S205" i="13"/>
  <c r="S204" i="13"/>
  <c r="F204" i="13"/>
  <c r="R349" i="13"/>
  <c r="P349" i="13"/>
  <c r="P342" i="13"/>
  <c r="R342" i="13"/>
  <c r="P300" i="13"/>
  <c r="R300" i="13"/>
  <c r="R232" i="13"/>
  <c r="P232" i="13"/>
  <c r="P305" i="13"/>
  <c r="R305" i="13"/>
  <c r="P80" i="13"/>
  <c r="R80" i="13"/>
  <c r="P259" i="6"/>
  <c r="R259" i="6"/>
  <c r="P86" i="6"/>
  <c r="R86" i="6"/>
  <c r="P228" i="6"/>
  <c r="R228" i="6"/>
  <c r="P464" i="13"/>
  <c r="R464" i="13"/>
  <c r="R68" i="6"/>
  <c r="P68" i="6"/>
  <c r="P254" i="6"/>
  <c r="R254" i="6"/>
  <c r="P273" i="13"/>
  <c r="R273" i="13"/>
  <c r="R124" i="13"/>
  <c r="P124" i="13"/>
  <c r="R225" i="6"/>
  <c r="P225" i="6"/>
  <c r="P240" i="13"/>
  <c r="R240" i="13"/>
  <c r="P43" i="6"/>
  <c r="R43" i="6"/>
  <c r="P61" i="6"/>
  <c r="R61" i="6"/>
  <c r="P296" i="13"/>
  <c r="R296" i="13"/>
  <c r="P8" i="13"/>
  <c r="R8" i="13"/>
  <c r="P187" i="13"/>
  <c r="R187" i="13"/>
  <c r="P367" i="13"/>
  <c r="R367" i="13"/>
  <c r="P364" i="13"/>
  <c r="R364" i="13"/>
  <c r="R322" i="13"/>
  <c r="P322" i="13"/>
  <c r="P52" i="6"/>
  <c r="R52" i="6"/>
  <c r="G393" i="6"/>
  <c r="C22" i="14"/>
  <c r="F30" i="1" s="1"/>
  <c r="L155" i="4" s="1"/>
  <c r="V22" i="14"/>
  <c r="P915" i="13"/>
  <c r="R915" i="13"/>
  <c r="P374" i="13"/>
  <c r="R374" i="13"/>
  <c r="G373" i="13" s="1"/>
  <c r="R738" i="13"/>
  <c r="P738" i="13"/>
  <c r="P1260" i="13"/>
  <c r="R1260" i="13"/>
  <c r="P430" i="13"/>
  <c r="R430" i="13"/>
  <c r="P750" i="13"/>
  <c r="R750" i="13"/>
  <c r="P585" i="13"/>
  <c r="R585" i="13"/>
  <c r="P817" i="13"/>
  <c r="R817" i="13"/>
  <c r="P1055" i="13"/>
  <c r="R1055" i="13"/>
  <c r="P903" i="13"/>
  <c r="R903" i="13"/>
  <c r="P558" i="13"/>
  <c r="R558" i="13"/>
  <c r="P828" i="13"/>
  <c r="R828" i="13"/>
  <c r="P1192" i="13"/>
  <c r="R1192" i="13"/>
  <c r="R233" i="6"/>
  <c r="P233" i="6"/>
  <c r="P1108" i="13"/>
  <c r="R1108" i="13"/>
  <c r="G1105" i="13" s="1"/>
  <c r="P307" i="6"/>
  <c r="R307" i="6"/>
  <c r="P389" i="13"/>
  <c r="R389" i="13"/>
  <c r="R629" i="13"/>
  <c r="P629" i="13"/>
  <c r="R1254" i="13"/>
  <c r="P1254" i="13"/>
  <c r="P225" i="13"/>
  <c r="R225" i="13"/>
  <c r="R28" i="13"/>
  <c r="P28" i="13"/>
  <c r="R753" i="13"/>
  <c r="P753" i="13"/>
  <c r="P119" i="13"/>
  <c r="R119" i="13"/>
  <c r="P968" i="13"/>
  <c r="R968" i="13"/>
  <c r="P848" i="13"/>
  <c r="R848" i="13"/>
  <c r="R918" i="13"/>
  <c r="P918" i="13"/>
  <c r="R433" i="6"/>
  <c r="P433" i="6"/>
  <c r="P657" i="13"/>
  <c r="R657" i="13"/>
  <c r="R802" i="13"/>
  <c r="P802" i="13"/>
  <c r="P324" i="6"/>
  <c r="R324" i="6"/>
  <c r="R584" i="13"/>
  <c r="P584" i="13"/>
  <c r="P193" i="6"/>
  <c r="R193" i="6"/>
  <c r="P408" i="13"/>
  <c r="R408" i="13"/>
  <c r="P1265" i="13"/>
  <c r="R1265" i="13"/>
  <c r="P456" i="6"/>
  <c r="R456" i="6"/>
  <c r="P761" i="13"/>
  <c r="R761" i="13"/>
  <c r="R1153" i="13"/>
  <c r="P1153" i="13"/>
  <c r="P975" i="13"/>
  <c r="R975" i="13"/>
  <c r="P1085" i="13"/>
  <c r="R1085" i="13"/>
  <c r="P947" i="13"/>
  <c r="R947" i="13"/>
  <c r="R959" i="13"/>
  <c r="P959" i="13"/>
  <c r="P837" i="13"/>
  <c r="R837" i="13"/>
  <c r="P1045" i="13"/>
  <c r="R1045" i="13"/>
  <c r="G1044" i="13" s="1"/>
  <c r="P942" i="13"/>
  <c r="R942" i="13"/>
  <c r="P1199" i="13"/>
  <c r="R1199" i="13"/>
  <c r="P724" i="13"/>
  <c r="R724" i="13"/>
  <c r="P1079" i="13"/>
  <c r="R1079" i="13"/>
  <c r="P1168" i="13"/>
  <c r="R1168" i="13"/>
  <c r="R1021" i="13"/>
  <c r="P1021" i="13"/>
  <c r="P1113" i="13"/>
  <c r="R1113" i="13"/>
  <c r="P149" i="6"/>
  <c r="R149" i="6"/>
  <c r="F1869" i="1"/>
  <c r="C29" i="14"/>
  <c r="F37" i="1" s="1"/>
  <c r="L162" i="4" s="1"/>
  <c r="V29" i="14"/>
  <c r="G928" i="13"/>
  <c r="C23" i="14"/>
  <c r="F31" i="1" s="1"/>
  <c r="L156" i="4" s="1"/>
  <c r="V23" i="14"/>
  <c r="V44" i="14"/>
  <c r="M149" i="4"/>
  <c r="O148" i="4"/>
  <c r="R279" i="13"/>
  <c r="P279" i="13"/>
  <c r="R347" i="13"/>
  <c r="P347" i="13"/>
  <c r="R139" i="13"/>
  <c r="P139" i="13"/>
  <c r="P382" i="13"/>
  <c r="R382" i="13"/>
  <c r="P69" i="6"/>
  <c r="R69" i="6"/>
  <c r="P360" i="13"/>
  <c r="R360" i="13"/>
  <c r="P285" i="13"/>
  <c r="R285" i="13"/>
  <c r="R36" i="6"/>
  <c r="P36" i="6"/>
  <c r="R181" i="13"/>
  <c r="P181" i="13"/>
  <c r="F179" i="13" s="1"/>
  <c r="F1671" i="1" s="1"/>
  <c r="L33" i="4" s="1"/>
  <c r="R57" i="6"/>
  <c r="P57" i="6"/>
  <c r="S203" i="13"/>
  <c r="F203" i="13"/>
  <c r="F202" i="13"/>
  <c r="P77" i="6"/>
  <c r="R77" i="6"/>
  <c r="P13" i="6"/>
  <c r="R13" i="6"/>
  <c r="P459" i="13"/>
  <c r="R459" i="13"/>
  <c r="R504" i="13"/>
  <c r="P504" i="13"/>
  <c r="P89" i="6"/>
  <c r="R89" i="6"/>
  <c r="R169" i="13"/>
  <c r="P169" i="13"/>
  <c r="P270" i="6"/>
  <c r="R270" i="6"/>
  <c r="P230" i="6"/>
  <c r="R230" i="6"/>
  <c r="P253" i="6"/>
  <c r="R253" i="6"/>
  <c r="P1171" i="13"/>
  <c r="R1171" i="13"/>
  <c r="R226" i="13"/>
  <c r="P226" i="13"/>
  <c r="P272" i="13"/>
  <c r="R272" i="13"/>
  <c r="P9" i="13"/>
  <c r="R9" i="13"/>
  <c r="R193" i="13"/>
  <c r="P193" i="13"/>
  <c r="P258" i="13"/>
  <c r="R258" i="13"/>
  <c r="P233" i="13"/>
  <c r="R233" i="13"/>
  <c r="P223" i="6"/>
  <c r="R223" i="6"/>
  <c r="P108" i="6"/>
  <c r="R108" i="6"/>
  <c r="P440" i="13"/>
  <c r="R440" i="13"/>
  <c r="R211" i="13"/>
  <c r="P211" i="13"/>
  <c r="R1163" i="13"/>
  <c r="P1163" i="13"/>
  <c r="P46" i="6"/>
  <c r="R46" i="6"/>
  <c r="R219" i="13"/>
  <c r="P219" i="13"/>
  <c r="P272" i="6"/>
  <c r="R272" i="6"/>
  <c r="H1845" i="1"/>
  <c r="G395" i="6"/>
  <c r="C56" i="14"/>
  <c r="F64" i="1" s="1"/>
  <c r="L189" i="4" s="1"/>
  <c r="V56" i="14"/>
  <c r="R276" i="6"/>
  <c r="P276" i="6"/>
  <c r="P389" i="6"/>
  <c r="R389" i="6"/>
  <c r="P935" i="13"/>
  <c r="R935" i="13"/>
  <c r="R934" i="13"/>
  <c r="P934" i="13"/>
  <c r="R1187" i="13"/>
  <c r="P1187" i="13"/>
  <c r="R340" i="13"/>
  <c r="P340" i="13"/>
  <c r="P967" i="13"/>
  <c r="R967" i="13"/>
  <c r="P1089" i="13"/>
  <c r="R1089" i="13"/>
  <c r="P1160" i="13"/>
  <c r="R1160" i="13"/>
  <c r="P327" i="6"/>
  <c r="R327" i="6"/>
  <c r="R963" i="13"/>
  <c r="P963" i="13"/>
  <c r="P1077" i="13"/>
  <c r="R1077" i="13"/>
  <c r="R946" i="13"/>
  <c r="P946" i="13"/>
  <c r="P679" i="13"/>
  <c r="R679" i="13"/>
  <c r="P1173" i="13"/>
  <c r="R1173" i="13"/>
  <c r="R78" i="13"/>
  <c r="P78" i="13"/>
  <c r="P1203" i="13"/>
  <c r="R1203" i="13"/>
  <c r="R983" i="13"/>
  <c r="P983" i="13"/>
  <c r="R1036" i="13"/>
  <c r="P1036" i="13"/>
  <c r="F1039" i="13" s="1"/>
  <c r="P960" i="13"/>
  <c r="R960" i="13"/>
  <c r="P710" i="13"/>
  <c r="R710" i="13"/>
  <c r="R340" i="6"/>
  <c r="P340" i="6"/>
  <c r="P61" i="13"/>
  <c r="R61" i="13"/>
  <c r="P1221" i="13"/>
  <c r="R1221" i="13"/>
  <c r="P411" i="13"/>
  <c r="R411" i="13"/>
  <c r="R344" i="6"/>
  <c r="P344" i="6"/>
  <c r="R312" i="13"/>
  <c r="P312" i="13"/>
  <c r="R1024" i="13"/>
  <c r="P1024" i="13"/>
  <c r="P555" i="13"/>
  <c r="R555" i="13"/>
  <c r="P993" i="13"/>
  <c r="R993" i="13"/>
  <c r="R71" i="13"/>
  <c r="P71" i="13"/>
  <c r="R1132" i="13"/>
  <c r="P1132" i="13"/>
  <c r="P460" i="6"/>
  <c r="R460" i="6"/>
  <c r="P956" i="13"/>
  <c r="R956" i="13"/>
  <c r="R281" i="6"/>
  <c r="P281" i="6"/>
  <c r="R794" i="13"/>
  <c r="P794" i="13"/>
  <c r="P1258" i="13"/>
  <c r="R1258" i="13"/>
  <c r="P1049" i="13"/>
  <c r="R1049" i="13"/>
  <c r="P779" i="13"/>
  <c r="R779" i="13"/>
  <c r="P371" i="6"/>
  <c r="R371" i="6"/>
  <c r="P1012" i="13"/>
  <c r="R1012" i="13"/>
  <c r="R789" i="13"/>
  <c r="P789" i="13"/>
  <c r="P368" i="6"/>
  <c r="R368" i="6"/>
  <c r="P283" i="13"/>
  <c r="R283" i="13"/>
  <c r="P834" i="13"/>
  <c r="R834" i="13"/>
  <c r="P453" i="6"/>
  <c r="R453" i="6"/>
  <c r="C25" i="14"/>
  <c r="F33" i="1" s="1"/>
  <c r="L158" i="4" s="1"/>
  <c r="V25" i="14"/>
  <c r="G927" i="13"/>
  <c r="V47" i="14"/>
  <c r="C47" i="14"/>
  <c r="F55" i="1" s="1"/>
  <c r="L180" i="4" s="1"/>
  <c r="R456" i="13"/>
  <c r="P456" i="13"/>
  <c r="P72" i="6"/>
  <c r="R72" i="6"/>
  <c r="P194" i="13"/>
  <c r="R194" i="13"/>
  <c r="P241" i="13"/>
  <c r="R241" i="13"/>
  <c r="R220" i="13"/>
  <c r="P220" i="13"/>
  <c r="P413" i="13"/>
  <c r="R413" i="13"/>
  <c r="R242" i="6"/>
  <c r="P242" i="6"/>
  <c r="R7" i="13"/>
  <c r="P7" i="13"/>
  <c r="F201" i="13"/>
  <c r="F205" i="13"/>
  <c r="S202" i="13"/>
  <c r="P96" i="6"/>
  <c r="R96" i="6"/>
  <c r="P232" i="6"/>
  <c r="R232" i="6"/>
  <c r="P1235" i="13"/>
  <c r="R1235" i="13"/>
  <c r="P11" i="6"/>
  <c r="R11" i="6"/>
  <c r="P429" i="13"/>
  <c r="R429" i="13"/>
  <c r="P257" i="13"/>
  <c r="R257" i="13"/>
  <c r="R141" i="13"/>
  <c r="P141" i="13"/>
  <c r="P123" i="13"/>
  <c r="R123" i="13"/>
  <c r="R85" i="13"/>
  <c r="P85" i="13"/>
  <c r="R140" i="13"/>
  <c r="P140" i="13"/>
  <c r="P78" i="6"/>
  <c r="R78" i="6"/>
  <c r="P179" i="6"/>
  <c r="R179" i="6"/>
  <c r="P304" i="13"/>
  <c r="R304" i="13"/>
  <c r="P86" i="13"/>
  <c r="R86" i="13"/>
  <c r="R213" i="13"/>
  <c r="P213" i="13"/>
  <c r="R506" i="13"/>
  <c r="P506" i="13"/>
  <c r="P81" i="13"/>
  <c r="R81" i="13"/>
  <c r="R182" i="6"/>
  <c r="P182" i="6"/>
  <c r="P248" i="6"/>
  <c r="R248" i="6"/>
  <c r="P30" i="6"/>
  <c r="R30" i="6"/>
  <c r="P245" i="6"/>
  <c r="R245" i="6"/>
  <c r="P191" i="6"/>
  <c r="R191" i="6"/>
  <c r="P348" i="13"/>
  <c r="R348" i="13"/>
  <c r="R12" i="6"/>
  <c r="P12" i="6"/>
  <c r="R271" i="13"/>
  <c r="P271" i="13"/>
  <c r="P457" i="6"/>
  <c r="R457" i="6"/>
  <c r="P1220" i="13"/>
  <c r="R1220" i="13"/>
  <c r="P938" i="13"/>
  <c r="R938" i="13"/>
  <c r="R388" i="13"/>
  <c r="P388" i="13"/>
  <c r="R916" i="13"/>
  <c r="P916" i="13"/>
  <c r="P838" i="13"/>
  <c r="R838" i="13"/>
  <c r="R390" i="13"/>
  <c r="P390" i="13"/>
  <c r="P293" i="6"/>
  <c r="R293" i="6"/>
  <c r="P1226" i="13"/>
  <c r="R1226" i="13"/>
  <c r="R1175" i="13"/>
  <c r="P1175" i="13"/>
  <c r="R764" i="13"/>
  <c r="P764" i="13"/>
  <c r="P270" i="13"/>
  <c r="R270" i="13"/>
  <c r="P955" i="13"/>
  <c r="R955" i="13"/>
  <c r="R866" i="13"/>
  <c r="P866" i="13"/>
  <c r="P310" i="6"/>
  <c r="R310" i="6"/>
  <c r="R534" i="13"/>
  <c r="P534" i="13"/>
  <c r="P823" i="13"/>
  <c r="R823" i="13"/>
  <c r="G823" i="13" s="1"/>
  <c r="R720" i="13"/>
  <c r="P720" i="13"/>
  <c r="P1129" i="13"/>
  <c r="S1121" i="13" s="1"/>
  <c r="R1129" i="13"/>
  <c r="P644" i="13"/>
  <c r="R644" i="13"/>
  <c r="P386" i="6"/>
  <c r="R386" i="6"/>
  <c r="R991" i="13"/>
  <c r="P991" i="13"/>
  <c r="P711" i="13"/>
  <c r="R711" i="13"/>
  <c r="R1001" i="13"/>
  <c r="P1001" i="13"/>
  <c r="P1054" i="13"/>
  <c r="R1054" i="13"/>
  <c r="R452" i="6"/>
  <c r="P452" i="6"/>
  <c r="R908" i="13"/>
  <c r="P908" i="13"/>
  <c r="R152" i="6"/>
  <c r="P152" i="6"/>
  <c r="R743" i="13"/>
  <c r="P743" i="13"/>
  <c r="R1262" i="13"/>
  <c r="P1262" i="13"/>
  <c r="P1215" i="13"/>
  <c r="R1215" i="13"/>
  <c r="P803" i="13"/>
  <c r="R803" i="13"/>
  <c r="P339" i="6"/>
  <c r="R339" i="6"/>
  <c r="R157" i="13"/>
  <c r="P157" i="13"/>
  <c r="P845" i="13"/>
  <c r="R845" i="13"/>
  <c r="P992" i="13"/>
  <c r="R992" i="13"/>
  <c r="R1248" i="13"/>
  <c r="P1248" i="13"/>
  <c r="P869" i="13"/>
  <c r="R869" i="13"/>
  <c r="P332" i="13"/>
  <c r="R332" i="13"/>
  <c r="P1216" i="13"/>
  <c r="R1216" i="13"/>
  <c r="S1245" i="13"/>
  <c r="F1899" i="1"/>
  <c r="F1245" i="13"/>
  <c r="S1244" i="13"/>
  <c r="F1244" i="13"/>
  <c r="F1246" i="13"/>
  <c r="S1246" i="13"/>
  <c r="G926" i="13"/>
  <c r="C53" i="14"/>
  <c r="F61" i="1" s="1"/>
  <c r="L186" i="4" s="1"/>
  <c r="V53" i="14"/>
  <c r="C24" i="14"/>
  <c r="F32" i="1" s="1"/>
  <c r="L157" i="4" s="1"/>
  <c r="V24" i="14"/>
  <c r="R122" i="13"/>
  <c r="P122" i="13"/>
  <c r="P212" i="13"/>
  <c r="R212" i="13"/>
  <c r="P256" i="13"/>
  <c r="R256" i="13"/>
  <c r="R180" i="6"/>
  <c r="P180" i="6"/>
  <c r="P170" i="13"/>
  <c r="R170" i="13"/>
  <c r="R20" i="13"/>
  <c r="P20" i="13"/>
  <c r="R43" i="13"/>
  <c r="P43" i="13"/>
  <c r="R84" i="13"/>
  <c r="P84" i="13"/>
  <c r="P74" i="6"/>
  <c r="R74" i="6"/>
  <c r="F200" i="13"/>
  <c r="F1674" i="1" s="1"/>
  <c r="S201" i="13"/>
  <c r="R371" i="13"/>
  <c r="G371" i="13" s="1"/>
  <c r="P371" i="13"/>
  <c r="S371" i="13" s="1"/>
  <c r="R195" i="13"/>
  <c r="P195" i="13"/>
  <c r="P251" i="6"/>
  <c r="R251" i="6"/>
  <c r="P257" i="6"/>
  <c r="R257" i="6"/>
  <c r="P9" i="6"/>
  <c r="R9" i="6"/>
  <c r="P73" i="13"/>
  <c r="R73" i="13"/>
  <c r="P99" i="13"/>
  <c r="R99" i="13"/>
  <c r="P98" i="13"/>
  <c r="R98" i="13"/>
  <c r="R323" i="13"/>
  <c r="P323" i="13"/>
  <c r="R246" i="13"/>
  <c r="P246" i="13"/>
  <c r="P55" i="6"/>
  <c r="R55" i="6"/>
  <c r="P147" i="6"/>
  <c r="R147" i="6"/>
  <c r="R66" i="6"/>
  <c r="P66" i="6"/>
  <c r="R49" i="6"/>
  <c r="P49" i="6"/>
  <c r="P59" i="6"/>
  <c r="R59" i="6"/>
  <c r="R377" i="13"/>
  <c r="P377" i="13"/>
  <c r="P253" i="13"/>
  <c r="R253" i="13"/>
  <c r="R444" i="13"/>
  <c r="P444" i="13"/>
  <c r="P140" i="6"/>
  <c r="R140" i="6"/>
  <c r="R107" i="6"/>
  <c r="P107" i="6"/>
  <c r="P887" i="13"/>
  <c r="R887" i="13"/>
  <c r="P41" i="13"/>
  <c r="R41" i="13"/>
  <c r="R891" i="13"/>
  <c r="P891" i="13"/>
  <c r="R788" i="13"/>
  <c r="P788" i="13"/>
  <c r="P364" i="6"/>
  <c r="R364" i="6"/>
  <c r="P154" i="13"/>
  <c r="R154" i="13"/>
  <c r="P32" i="13"/>
  <c r="R32" i="13"/>
  <c r="P437" i="13"/>
  <c r="S436" i="13" s="1"/>
  <c r="R437" i="13"/>
  <c r="G435" i="13" s="1"/>
  <c r="P939" i="13"/>
  <c r="R939" i="13"/>
  <c r="R1131" i="13"/>
  <c r="P1131" i="13"/>
  <c r="P886" i="13"/>
  <c r="R886" i="13"/>
  <c r="P1198" i="13"/>
  <c r="R1198" i="13"/>
  <c r="P290" i="6"/>
  <c r="R290" i="6"/>
  <c r="R1002" i="13"/>
  <c r="P1002" i="13"/>
  <c r="R299" i="13"/>
  <c r="P299" i="13"/>
  <c r="P478" i="6"/>
  <c r="R478" i="6"/>
  <c r="P207" i="13"/>
  <c r="R207" i="13"/>
  <c r="R910" i="13"/>
  <c r="P910" i="13"/>
  <c r="P196" i="6"/>
  <c r="R196" i="6"/>
  <c r="P575" i="13"/>
  <c r="R575" i="13"/>
  <c r="P1015" i="13"/>
  <c r="R1015" i="13"/>
  <c r="R1059" i="13"/>
  <c r="P1059" i="13"/>
  <c r="P1182" i="13"/>
  <c r="R1182" i="13"/>
  <c r="P1231" i="13"/>
  <c r="R1231" i="13"/>
  <c r="R294" i="13"/>
  <c r="P294" i="13"/>
  <c r="P320" i="13"/>
  <c r="R320" i="13"/>
  <c r="P114" i="13"/>
  <c r="R114" i="13"/>
  <c r="R1011" i="13"/>
  <c r="P1011" i="13"/>
  <c r="P412" i="6"/>
  <c r="R412" i="6"/>
  <c r="P1120" i="13"/>
  <c r="F1120" i="13" s="1"/>
  <c r="R1120" i="13"/>
  <c r="G1120" i="13" s="1"/>
  <c r="P719" i="13"/>
  <c r="R719" i="13"/>
  <c r="P907" i="13"/>
  <c r="R907" i="13"/>
  <c r="P806" i="13"/>
  <c r="R806" i="13"/>
  <c r="P260" i="6"/>
  <c r="R260" i="6"/>
  <c r="P385" i="13"/>
  <c r="R385" i="13"/>
  <c r="P576" i="13"/>
  <c r="R576" i="13"/>
  <c r="P110" i="6"/>
  <c r="R110" i="6"/>
  <c r="R454" i="13"/>
  <c r="P454" i="13"/>
  <c r="R481" i="6"/>
  <c r="P481" i="6"/>
  <c r="R136" i="13"/>
  <c r="P136" i="13"/>
  <c r="R436" i="6"/>
  <c r="P436" i="6"/>
  <c r="P113" i="6"/>
  <c r="R113" i="6"/>
  <c r="R739" i="13"/>
  <c r="P739" i="13"/>
  <c r="R1135" i="13"/>
  <c r="P1135" i="13"/>
  <c r="R840" i="13"/>
  <c r="P840" i="13"/>
  <c r="P1151" i="13"/>
  <c r="F1148" i="13" s="1"/>
  <c r="R1151" i="13"/>
  <c r="G1147" i="13" s="1"/>
  <c r="C27" i="14"/>
  <c r="F35" i="1" s="1"/>
  <c r="L160" i="4" s="1"/>
  <c r="V27" i="14"/>
  <c r="C57" i="14"/>
  <c r="F65" i="1" s="1"/>
  <c r="L190" i="4" s="1"/>
  <c r="V57" i="14"/>
  <c r="C26" i="14"/>
  <c r="F34" i="1" s="1"/>
  <c r="L159" i="4" s="1"/>
  <c r="V26" i="14"/>
  <c r="AD276" i="17418"/>
  <c r="AD258" i="17418"/>
  <c r="AD275" i="17418"/>
  <c r="AD264" i="17418"/>
  <c r="AD241" i="17418"/>
  <c r="AD287" i="17418"/>
  <c r="AD266" i="17418"/>
  <c r="AD288" i="17418"/>
  <c r="AD256" i="17418"/>
  <c r="AD242" i="17418"/>
  <c r="AD261" i="17418"/>
  <c r="AD247" i="17418"/>
  <c r="AD253" i="17418"/>
  <c r="AD254" i="17418"/>
  <c r="AD248" i="17418"/>
  <c r="AD267" i="17418"/>
  <c r="AD280" i="17418"/>
  <c r="AD270" i="17418"/>
  <c r="AD255" i="17418"/>
  <c r="AD238" i="17418"/>
  <c r="AD283" i="17418"/>
  <c r="AD277" i="17418"/>
  <c r="AD278" i="17418"/>
  <c r="AD240" i="17418"/>
  <c r="AD274" i="17418"/>
  <c r="AD245" i="17418"/>
  <c r="AD252" i="17418"/>
  <c r="AD281" i="17418"/>
  <c r="U57" i="17419"/>
  <c r="AD257" i="17418"/>
  <c r="AD272" i="17418"/>
  <c r="V42" i="17419"/>
  <c r="V63" i="17419" s="1"/>
  <c r="AE60" i="17418"/>
  <c r="AE57" i="17418"/>
  <c r="V9" i="17419"/>
  <c r="AE55" i="17418"/>
  <c r="AE52" i="17418"/>
  <c r="AE48" i="17418"/>
  <c r="AE44" i="17418"/>
  <c r="AE41" i="17418"/>
  <c r="AE38" i="17418"/>
  <c r="AE36" i="17418"/>
  <c r="AE30" i="17418"/>
  <c r="AE58" i="17418"/>
  <c r="AE54" i="17418"/>
  <c r="AE49" i="17418"/>
  <c r="AE47" i="17418"/>
  <c r="AE43" i="17418"/>
  <c r="AE42" i="17418"/>
  <c r="AE39" i="17418"/>
  <c r="AE37" i="17418"/>
  <c r="AE34" i="17418"/>
  <c r="AE56" i="17418"/>
  <c r="AE35" i="17418"/>
  <c r="AE45" i="17418"/>
  <c r="AE31" i="17418"/>
  <c r="AE15" i="17418"/>
  <c r="AE14" i="17418" s="1"/>
  <c r="AE50" i="17418"/>
  <c r="AE33" i="17418"/>
  <c r="AE59" i="17418"/>
  <c r="AE53" i="17418"/>
  <c r="AE51" i="17418"/>
  <c r="AE40" i="17418"/>
  <c r="AE29" i="17418"/>
  <c r="AF7" i="17418"/>
  <c r="AE46" i="17418"/>
  <c r="T32" i="17422"/>
  <c r="T38" i="17422"/>
  <c r="AE32" i="17418"/>
  <c r="AD284" i="17418"/>
  <c r="AD286" i="17418"/>
  <c r="AD279" i="17418"/>
  <c r="AD246" i="17418"/>
  <c r="AD262" i="17418"/>
  <c r="AD244" i="17418"/>
  <c r="AD243" i="17418"/>
  <c r="AD250" i="17418"/>
  <c r="AD249" i="17418"/>
  <c r="AD268" i="17418"/>
  <c r="G1303" i="13" l="1"/>
  <c r="S446" i="4"/>
  <c r="F6" i="1"/>
  <c r="S1462" i="13"/>
  <c r="G484" i="4"/>
  <c r="G1438" i="13"/>
  <c r="S484" i="4"/>
  <c r="S485" i="4"/>
  <c r="S483" i="4"/>
  <c r="G1424" i="13"/>
  <c r="G1073" i="4"/>
  <c r="G485" i="4"/>
  <c r="G1037" i="4"/>
  <c r="F484" i="4"/>
  <c r="F485" i="4"/>
  <c r="F696" i="4"/>
  <c r="S508" i="4"/>
  <c r="G454" i="4"/>
  <c r="G450" i="4"/>
  <c r="S509" i="4"/>
  <c r="F450" i="4"/>
  <c r="S450" i="4"/>
  <c r="F449" i="4"/>
  <c r="S449" i="4"/>
  <c r="G1074" i="4"/>
  <c r="S507" i="4"/>
  <c r="G1076" i="4"/>
  <c r="G451" i="4"/>
  <c r="G449" i="4"/>
  <c r="F454" i="4"/>
  <c r="S454" i="4"/>
  <c r="S1075" i="4"/>
  <c r="S1073" i="4"/>
  <c r="F1076" i="4"/>
  <c r="F1075" i="4"/>
  <c r="S1076" i="4"/>
  <c r="F1074" i="4"/>
  <c r="F1073" i="4"/>
  <c r="S714" i="4"/>
  <c r="S709" i="4"/>
  <c r="S711" i="4"/>
  <c r="F710" i="4"/>
  <c r="G700" i="4"/>
  <c r="G713" i="4"/>
  <c r="S701" i="4"/>
  <c r="F699" i="4"/>
  <c r="S710" i="4"/>
  <c r="F709" i="4"/>
  <c r="F712" i="4"/>
  <c r="G697" i="4"/>
  <c r="G710" i="4"/>
  <c r="S698" i="4"/>
  <c r="F701" i="4"/>
  <c r="S713" i="4"/>
  <c r="F711" i="4"/>
  <c r="F714" i="4"/>
  <c r="G699" i="4"/>
  <c r="G709" i="4"/>
  <c r="G712" i="4"/>
  <c r="S699" i="4"/>
  <c r="S700" i="4"/>
  <c r="F698" i="4"/>
  <c r="S712" i="4"/>
  <c r="G698" i="4"/>
  <c r="G701" i="4"/>
  <c r="G711" i="4"/>
  <c r="S697" i="4"/>
  <c r="F697" i="4"/>
  <c r="F700" i="4"/>
  <c r="F1438" i="13"/>
  <c r="S1438" i="13"/>
  <c r="S1493" i="13"/>
  <c r="S1455" i="13"/>
  <c r="S1456" i="13"/>
  <c r="S1458" i="13"/>
  <c r="F1457" i="13"/>
  <c r="F1456" i="13"/>
  <c r="F1455" i="13"/>
  <c r="G1374" i="13"/>
  <c r="G1375" i="13"/>
  <c r="G1379" i="13"/>
  <c r="F1379" i="13"/>
  <c r="F1375" i="13"/>
  <c r="S1375" i="13"/>
  <c r="S1379" i="13"/>
  <c r="P597" i="4"/>
  <c r="R597" i="4"/>
  <c r="F1374" i="13"/>
  <c r="S1374" i="13"/>
  <c r="G1381" i="13"/>
  <c r="G1378" i="13"/>
  <c r="G1376" i="13"/>
  <c r="G1372" i="13"/>
  <c r="G1380" i="13"/>
  <c r="G1377" i="13"/>
  <c r="G1373" i="13"/>
  <c r="G1371" i="13"/>
  <c r="F1381" i="13"/>
  <c r="F1378" i="13"/>
  <c r="F1376" i="13"/>
  <c r="F1372" i="13"/>
  <c r="F1940" i="1"/>
  <c r="F1380" i="13"/>
  <c r="F1377" i="13"/>
  <c r="F1373" i="13"/>
  <c r="F1371" i="13"/>
  <c r="S1377" i="13"/>
  <c r="S1376" i="13"/>
  <c r="S1380" i="13"/>
  <c r="S1381" i="13"/>
  <c r="S1371" i="13"/>
  <c r="S1372" i="13"/>
  <c r="S1378" i="13"/>
  <c r="S1373" i="13"/>
  <c r="S598" i="4"/>
  <c r="S597" i="4"/>
  <c r="G1407" i="13"/>
  <c r="F1407" i="13"/>
  <c r="S1407" i="13"/>
  <c r="S1011" i="4"/>
  <c r="F1937" i="1"/>
  <c r="F1938" i="1"/>
  <c r="S1010" i="4"/>
  <c r="G1410" i="13"/>
  <c r="G1406" i="13"/>
  <c r="G1413" i="13"/>
  <c r="G1405" i="13"/>
  <c r="G1412" i="13"/>
  <c r="G1409" i="13"/>
  <c r="G1408" i="13"/>
  <c r="G1404" i="13"/>
  <c r="G1411" i="13"/>
  <c r="F1411" i="13"/>
  <c r="F1408" i="13"/>
  <c r="F1404" i="13"/>
  <c r="F1410" i="13"/>
  <c r="F1406" i="13"/>
  <c r="F1413" i="13"/>
  <c r="F1405" i="13"/>
  <c r="F1412" i="13"/>
  <c r="F1409" i="13"/>
  <c r="S1409" i="13"/>
  <c r="S1405" i="13"/>
  <c r="S1411" i="13"/>
  <c r="S1410" i="13"/>
  <c r="S1406" i="13"/>
  <c r="S1413" i="13"/>
  <c r="S1408" i="13"/>
  <c r="S1412" i="13"/>
  <c r="S1404" i="13"/>
  <c r="G1036" i="4"/>
  <c r="S1457" i="13"/>
  <c r="F1458" i="13"/>
  <c r="T35" i="17422"/>
  <c r="S41" i="17422"/>
  <c r="G1035" i="4"/>
  <c r="T29" i="17422"/>
  <c r="S1002" i="4"/>
  <c r="F1000" i="4"/>
  <c r="G1001" i="4"/>
  <c r="S1001" i="4"/>
  <c r="F1001" i="4"/>
  <c r="G1002" i="4"/>
  <c r="S1000" i="4"/>
  <c r="F1002" i="4"/>
  <c r="G996" i="4"/>
  <c r="G997" i="4"/>
  <c r="G994" i="4"/>
  <c r="G999" i="4"/>
  <c r="G995" i="4"/>
  <c r="G998" i="4"/>
  <c r="H1926" i="1"/>
  <c r="L974" i="4"/>
  <c r="G1456" i="13"/>
  <c r="G1455" i="13"/>
  <c r="G1457" i="13"/>
  <c r="S1034" i="4"/>
  <c r="S1033" i="4"/>
  <c r="S1032" i="4"/>
  <c r="F1033" i="4"/>
  <c r="G1033" i="4"/>
  <c r="F1034" i="4"/>
  <c r="G1032" i="4"/>
  <c r="F678" i="4"/>
  <c r="S1006" i="4"/>
  <c r="S1003" i="4"/>
  <c r="S1008" i="4"/>
  <c r="S1007" i="4"/>
  <c r="S1005" i="4"/>
  <c r="S1004" i="4"/>
  <c r="S1009" i="4"/>
  <c r="P1020" i="4"/>
  <c r="R1020" i="4"/>
  <c r="G1454" i="13"/>
  <c r="F564" i="13"/>
  <c r="S565" i="13"/>
  <c r="G1452" i="13"/>
  <c r="F583" i="4"/>
  <c r="S583" i="4"/>
  <c r="S1459" i="13"/>
  <c r="G1506" i="13"/>
  <c r="G1503" i="13"/>
  <c r="G1505" i="13"/>
  <c r="G1507" i="13"/>
  <c r="G1504" i="13"/>
  <c r="G1502" i="13"/>
  <c r="F1507" i="13"/>
  <c r="F1502" i="13"/>
  <c r="S1507" i="13"/>
  <c r="S1503" i="13"/>
  <c r="F1506" i="13"/>
  <c r="F1503" i="13"/>
  <c r="S1502" i="13"/>
  <c r="F1505" i="13"/>
  <c r="F1935" i="1"/>
  <c r="S1505" i="13"/>
  <c r="F1504" i="13"/>
  <c r="S1504" i="13"/>
  <c r="S1506" i="13"/>
  <c r="F980" i="4"/>
  <c r="S980" i="4"/>
  <c r="G980" i="4"/>
  <c r="S1495" i="13"/>
  <c r="S1496" i="13"/>
  <c r="F1402" i="13"/>
  <c r="S1421" i="13"/>
  <c r="S1426" i="13"/>
  <c r="S1397" i="13"/>
  <c r="S1403" i="13"/>
  <c r="F1396" i="13"/>
  <c r="F1923" i="1"/>
  <c r="S1394" i="13"/>
  <c r="S1401" i="13"/>
  <c r="F1423" i="13"/>
  <c r="F1424" i="13"/>
  <c r="S1355" i="13"/>
  <c r="S1402" i="13"/>
  <c r="S1398" i="13"/>
  <c r="S1400" i="13"/>
  <c r="G1445" i="13"/>
  <c r="S1501" i="13"/>
  <c r="S1500" i="13"/>
  <c r="G1500" i="13"/>
  <c r="S1399" i="13"/>
  <c r="S1393" i="13"/>
  <c r="F1500" i="13"/>
  <c r="G1501" i="13"/>
  <c r="G1436" i="13"/>
  <c r="L975" i="4"/>
  <c r="F1933" i="1"/>
  <c r="L1478" i="13" s="1"/>
  <c r="H1930" i="1"/>
  <c r="G1484" i="13"/>
  <c r="G1483" i="13"/>
  <c r="G1487" i="13"/>
  <c r="G1482" i="13"/>
  <c r="G1481" i="13"/>
  <c r="G1488" i="13"/>
  <c r="G1485" i="13"/>
  <c r="G1489" i="13"/>
  <c r="G1486" i="13"/>
  <c r="G1490" i="13"/>
  <c r="F1393" i="13"/>
  <c r="S1492" i="13"/>
  <c r="S1498" i="13"/>
  <c r="S1395" i="13"/>
  <c r="S1494" i="13"/>
  <c r="S1497" i="13"/>
  <c r="S1499" i="13"/>
  <c r="S1396" i="13"/>
  <c r="S1422" i="13"/>
  <c r="F1425" i="13"/>
  <c r="F486" i="6"/>
  <c r="S1425" i="13"/>
  <c r="S1423" i="13"/>
  <c r="P1029" i="4"/>
  <c r="R1029" i="4"/>
  <c r="F1397" i="13"/>
  <c r="F1921" i="1"/>
  <c r="L1019" i="4" s="1"/>
  <c r="F1399" i="13"/>
  <c r="F1400" i="13"/>
  <c r="F1394" i="13"/>
  <c r="G1428" i="13"/>
  <c r="S1464" i="13"/>
  <c r="S487" i="6"/>
  <c r="F487" i="6"/>
  <c r="S486" i="6"/>
  <c r="S488" i="6"/>
  <c r="F1422" i="13"/>
  <c r="F1426" i="13"/>
  <c r="S1465" i="13"/>
  <c r="S1460" i="13"/>
  <c r="G486" i="6"/>
  <c r="S1478" i="13"/>
  <c r="S1466" i="13"/>
  <c r="S1469" i="13"/>
  <c r="S1480" i="13"/>
  <c r="S1479" i="13"/>
  <c r="S1473" i="13"/>
  <c r="S1472" i="13"/>
  <c r="G488" i="6"/>
  <c r="S1474" i="13"/>
  <c r="S1476" i="13"/>
  <c r="S1470" i="13"/>
  <c r="S1468" i="13"/>
  <c r="S1475" i="13"/>
  <c r="S1477" i="13"/>
  <c r="S1467" i="13"/>
  <c r="S1471" i="13"/>
  <c r="G1431" i="13"/>
  <c r="G485" i="6"/>
  <c r="F1932" i="1"/>
  <c r="G1437" i="13"/>
  <c r="F1350" i="13"/>
  <c r="F483" i="6"/>
  <c r="G483" i="6"/>
  <c r="S484" i="6"/>
  <c r="G1450" i="13"/>
  <c r="G1449" i="13"/>
  <c r="G1451" i="13"/>
  <c r="F1395" i="13"/>
  <c r="F1398" i="13"/>
  <c r="F1401" i="13"/>
  <c r="F1421" i="13"/>
  <c r="G1435" i="13"/>
  <c r="S1463" i="13"/>
  <c r="S483" i="6"/>
  <c r="F484" i="6"/>
  <c r="G1439" i="13"/>
  <c r="G1430" i="13"/>
  <c r="S485" i="6"/>
  <c r="G1433" i="13"/>
  <c r="G1441" i="13"/>
  <c r="F1448" i="13"/>
  <c r="S1442" i="13"/>
  <c r="F1403" i="13"/>
  <c r="G1421" i="13"/>
  <c r="G1434" i="13"/>
  <c r="G1427" i="13"/>
  <c r="G1444" i="13"/>
  <c r="G1448" i="13"/>
  <c r="F1349" i="13"/>
  <c r="G1442" i="13"/>
  <c r="G1446" i="13"/>
  <c r="G1440" i="13"/>
  <c r="P975" i="4"/>
  <c r="R975" i="4"/>
  <c r="G1432" i="13"/>
  <c r="G1443" i="13"/>
  <c r="G1447" i="13"/>
  <c r="G1422" i="13"/>
  <c r="S1441" i="13"/>
  <c r="F1440" i="13"/>
  <c r="F1445" i="13"/>
  <c r="G1426" i="13"/>
  <c r="F1428" i="13"/>
  <c r="F1429" i="13"/>
  <c r="F1431" i="13"/>
  <c r="F1434" i="13"/>
  <c r="S1432" i="13"/>
  <c r="S1437" i="13"/>
  <c r="S1428" i="13"/>
  <c r="F1924" i="1"/>
  <c r="F1437" i="13"/>
  <c r="F1436" i="13"/>
  <c r="F1427" i="13"/>
  <c r="S1436" i="13"/>
  <c r="S1434" i="13"/>
  <c r="F1435" i="13"/>
  <c r="F1430" i="13"/>
  <c r="S1429" i="13"/>
  <c r="S1433" i="13"/>
  <c r="S1435" i="13"/>
  <c r="F1433" i="13"/>
  <c r="F1432" i="13"/>
  <c r="S1427" i="13"/>
  <c r="S1430" i="13"/>
  <c r="S1431" i="13"/>
  <c r="S1447" i="13"/>
  <c r="S1439" i="13"/>
  <c r="S1444" i="13"/>
  <c r="F1442" i="13"/>
  <c r="F1446" i="13"/>
  <c r="S1445" i="13"/>
  <c r="S1448" i="13"/>
  <c r="S1446" i="13"/>
  <c r="F1441" i="13"/>
  <c r="F1443" i="13"/>
  <c r="F1447" i="13"/>
  <c r="F1439" i="13"/>
  <c r="S1443" i="13"/>
  <c r="S1440" i="13"/>
  <c r="F1925" i="1"/>
  <c r="F1444" i="13"/>
  <c r="G1429" i="13"/>
  <c r="S655" i="4"/>
  <c r="S663" i="4"/>
  <c r="F660" i="4"/>
  <c r="F657" i="4"/>
  <c r="G657" i="4"/>
  <c r="G658" i="4"/>
  <c r="G1423" i="13"/>
  <c r="S661" i="4"/>
  <c r="S657" i="4"/>
  <c r="S662" i="4"/>
  <c r="F663" i="4"/>
  <c r="F659" i="4"/>
  <c r="G659" i="4"/>
  <c r="G660" i="4"/>
  <c r="G1425" i="13"/>
  <c r="S660" i="4"/>
  <c r="S659" i="4"/>
  <c r="F656" i="4"/>
  <c r="F662" i="4"/>
  <c r="F661" i="4"/>
  <c r="G661" i="4"/>
  <c r="G663" i="4"/>
  <c r="S658" i="4"/>
  <c r="S656" i="4"/>
  <c r="F658" i="4"/>
  <c r="G655" i="4"/>
  <c r="G656" i="4"/>
  <c r="H1923" i="1"/>
  <c r="L1014" i="4"/>
  <c r="P1016" i="4"/>
  <c r="R1016" i="4"/>
  <c r="F1348" i="13"/>
  <c r="G1395" i="13"/>
  <c r="F1353" i="13"/>
  <c r="F1351" i="13"/>
  <c r="F1352" i="13"/>
  <c r="S1351" i="13"/>
  <c r="G1393" i="13"/>
  <c r="S1348" i="13"/>
  <c r="G1402" i="13"/>
  <c r="G1399" i="13"/>
  <c r="S1353" i="13"/>
  <c r="S1349" i="13"/>
  <c r="G1394" i="13"/>
  <c r="G1397" i="13"/>
  <c r="S1350" i="13"/>
  <c r="S1352" i="13"/>
  <c r="G1400" i="13"/>
  <c r="G1396" i="13"/>
  <c r="G1403" i="13"/>
  <c r="G1398" i="13"/>
  <c r="L1022" i="4"/>
  <c r="H1922" i="1"/>
  <c r="G1420" i="13"/>
  <c r="G1419" i="13"/>
  <c r="G1418" i="13"/>
  <c r="G1417" i="13"/>
  <c r="G1416" i="13"/>
  <c r="G1415" i="13"/>
  <c r="G1414" i="13"/>
  <c r="F1420" i="13"/>
  <c r="F1419" i="13"/>
  <c r="F1418" i="13"/>
  <c r="F1417" i="13"/>
  <c r="F1416" i="13"/>
  <c r="F1415" i="13"/>
  <c r="F1414" i="13"/>
  <c r="S1416" i="13"/>
  <c r="S1417" i="13"/>
  <c r="S1415" i="13"/>
  <c r="S1414" i="13"/>
  <c r="S1420" i="13"/>
  <c r="S1419" i="13"/>
  <c r="S1418" i="13"/>
  <c r="G1390" i="13"/>
  <c r="G1387" i="13"/>
  <c r="G1385" i="13"/>
  <c r="G1392" i="13"/>
  <c r="G1391" i="13"/>
  <c r="G1388" i="13"/>
  <c r="G1386" i="13"/>
  <c r="G1389" i="13"/>
  <c r="G1383" i="13"/>
  <c r="G1384" i="13"/>
  <c r="G1382" i="13"/>
  <c r="F1389" i="13"/>
  <c r="F1390" i="13"/>
  <c r="F1387" i="13"/>
  <c r="F1385" i="13"/>
  <c r="F1382" i="13"/>
  <c r="F1392" i="13"/>
  <c r="F1391" i="13"/>
  <c r="F1388" i="13"/>
  <c r="F1386" i="13"/>
  <c r="F1384" i="13"/>
  <c r="F1383" i="13"/>
  <c r="F1920" i="1"/>
  <c r="S1386" i="13"/>
  <c r="S1389" i="13"/>
  <c r="S1387" i="13"/>
  <c r="S1384" i="13"/>
  <c r="S1391" i="13"/>
  <c r="S1382" i="13"/>
  <c r="S1390" i="13"/>
  <c r="S1383" i="13"/>
  <c r="S1392" i="13"/>
  <c r="S1385" i="13"/>
  <c r="S1388" i="13"/>
  <c r="S1357" i="13"/>
  <c r="S1360" i="13"/>
  <c r="S1361" i="13"/>
  <c r="S1362" i="13"/>
  <c r="S1356" i="13"/>
  <c r="S1359" i="13"/>
  <c r="S1358" i="13"/>
  <c r="S1354" i="13"/>
  <c r="L992" i="4"/>
  <c r="H1918" i="1"/>
  <c r="F984" i="4"/>
  <c r="S984" i="4"/>
  <c r="G978" i="4"/>
  <c r="G979" i="4"/>
  <c r="G982" i="4"/>
  <c r="G981" i="4"/>
  <c r="G976" i="4"/>
  <c r="G983" i="4"/>
  <c r="G977" i="4"/>
  <c r="F981" i="4"/>
  <c r="S976" i="4"/>
  <c r="S977" i="4"/>
  <c r="F982" i="4"/>
  <c r="F977" i="4"/>
  <c r="S979" i="4"/>
  <c r="S982" i="4"/>
  <c r="F976" i="4"/>
  <c r="F983" i="4"/>
  <c r="S981" i="4"/>
  <c r="S983" i="4"/>
  <c r="F979" i="4"/>
  <c r="F978" i="4"/>
  <c r="S978" i="4"/>
  <c r="S575" i="4"/>
  <c r="S572" i="4"/>
  <c r="S573" i="4"/>
  <c r="S568" i="4"/>
  <c r="S576" i="4"/>
  <c r="S578" i="4"/>
  <c r="S577" i="4"/>
  <c r="S579" i="4"/>
  <c r="AE261" i="17418"/>
  <c r="T26" i="17422"/>
  <c r="AD259" i="17418"/>
  <c r="AD265" i="17418"/>
  <c r="AE239" i="17418"/>
  <c r="AE263" i="17418"/>
  <c r="AE251" i="17418"/>
  <c r="AE269" i="17418"/>
  <c r="AE271" i="17418"/>
  <c r="H21" i="1"/>
  <c r="X13" i="14"/>
  <c r="S858" i="4"/>
  <c r="S859" i="4"/>
  <c r="S866" i="4"/>
  <c r="S867" i="4"/>
  <c r="S861" i="4"/>
  <c r="S860" i="4"/>
  <c r="S247" i="4"/>
  <c r="S241" i="4"/>
  <c r="S246" i="4"/>
  <c r="S242" i="4"/>
  <c r="S245" i="4"/>
  <c r="S243" i="4"/>
  <c r="S244" i="4"/>
  <c r="F247" i="4"/>
  <c r="F244" i="4"/>
  <c r="F245" i="4"/>
  <c r="F242" i="4"/>
  <c r="F246" i="4"/>
  <c r="F243" i="4"/>
  <c r="F241" i="4"/>
  <c r="G247" i="4"/>
  <c r="G242" i="4"/>
  <c r="G241" i="4"/>
  <c r="G246" i="4"/>
  <c r="G245" i="4"/>
  <c r="G244" i="4"/>
  <c r="G243" i="4"/>
  <c r="AF21" i="17418"/>
  <c r="G418" i="4"/>
  <c r="F418" i="4"/>
  <c r="S418" i="4"/>
  <c r="S405" i="6"/>
  <c r="S404" i="6"/>
  <c r="F404" i="6"/>
  <c r="F401" i="6"/>
  <c r="F405" i="6"/>
  <c r="S785" i="4"/>
  <c r="S784" i="4"/>
  <c r="S782" i="4"/>
  <c r="S783" i="4"/>
  <c r="S781" i="4"/>
  <c r="G1244" i="13"/>
  <c r="F1777" i="1"/>
  <c r="H1777" i="1" s="1"/>
  <c r="G687" i="13"/>
  <c r="S780" i="4"/>
  <c r="S779" i="4"/>
  <c r="F784" i="4"/>
  <c r="F785" i="4"/>
  <c r="G784" i="4"/>
  <c r="G785" i="4"/>
  <c r="G781" i="4"/>
  <c r="G782" i="4"/>
  <c r="G783" i="4"/>
  <c r="F782" i="4"/>
  <c r="F783" i="4"/>
  <c r="F781" i="4"/>
  <c r="G779" i="4"/>
  <c r="G780" i="4"/>
  <c r="F780" i="4"/>
  <c r="F779" i="4"/>
  <c r="F400" i="6"/>
  <c r="F1765" i="1"/>
  <c r="G1245" i="13"/>
  <c r="F823" i="13"/>
  <c r="F402" i="6"/>
  <c r="S403" i="6"/>
  <c r="F563" i="13"/>
  <c r="F569" i="13"/>
  <c r="F674" i="13"/>
  <c r="G419" i="6"/>
  <c r="S669" i="13"/>
  <c r="S411" i="6"/>
  <c r="G764" i="4"/>
  <c r="G766" i="4"/>
  <c r="S762" i="4"/>
  <c r="G765" i="4"/>
  <c r="S459" i="4"/>
  <c r="S765" i="4"/>
  <c r="G762" i="4"/>
  <c r="F766" i="4"/>
  <c r="S749" i="4"/>
  <c r="F409" i="6"/>
  <c r="S764" i="4"/>
  <c r="F763" i="4"/>
  <c r="F762" i="4"/>
  <c r="S759" i="4"/>
  <c r="S766" i="4"/>
  <c r="F764" i="4"/>
  <c r="S760" i="4"/>
  <c r="G422" i="6"/>
  <c r="S763" i="4"/>
  <c r="S738" i="4"/>
  <c r="S744" i="4"/>
  <c r="S752" i="4"/>
  <c r="S751" i="4"/>
  <c r="G466" i="4"/>
  <c r="S466" i="4"/>
  <c r="F466" i="4"/>
  <c r="S750" i="4"/>
  <c r="S747" i="4"/>
  <c r="S740" i="4"/>
  <c r="F460" i="4"/>
  <c r="S741" i="4"/>
  <c r="S754" i="4"/>
  <c r="S742" i="4"/>
  <c r="S746" i="4"/>
  <c r="S757" i="4"/>
  <c r="F462" i="4"/>
  <c r="F459" i="4"/>
  <c r="G460" i="4"/>
  <c r="G459" i="4"/>
  <c r="F461" i="4"/>
  <c r="G461" i="4"/>
  <c r="S756" i="4"/>
  <c r="S462" i="4"/>
  <c r="S447" i="4"/>
  <c r="S460" i="4"/>
  <c r="S739" i="4"/>
  <c r="S737" i="4"/>
  <c r="S743" i="4"/>
  <c r="S748" i="4"/>
  <c r="S758" i="4"/>
  <c r="S745" i="4"/>
  <c r="S753" i="4"/>
  <c r="S733" i="4"/>
  <c r="S761" i="4"/>
  <c r="S755" i="4"/>
  <c r="S734" i="4"/>
  <c r="S736" i="4"/>
  <c r="G457" i="4"/>
  <c r="G458" i="4"/>
  <c r="F458" i="4"/>
  <c r="F457" i="4"/>
  <c r="S451" i="4"/>
  <c r="S458" i="4"/>
  <c r="S456" i="4"/>
  <c r="S457" i="4"/>
  <c r="F768" i="4"/>
  <c r="G767" i="4"/>
  <c r="G731" i="4"/>
  <c r="G730" i="4"/>
  <c r="G732" i="4"/>
  <c r="F767" i="4"/>
  <c r="F731" i="4"/>
  <c r="F732" i="4"/>
  <c r="F730" i="4"/>
  <c r="S731" i="4"/>
  <c r="S730" i="4"/>
  <c r="S732" i="4"/>
  <c r="S767" i="4"/>
  <c r="S445" i="4"/>
  <c r="S444" i="4"/>
  <c r="G683" i="13"/>
  <c r="S400" i="6"/>
  <c r="S567" i="13"/>
  <c r="S563" i="13"/>
  <c r="F570" i="13"/>
  <c r="S566" i="13"/>
  <c r="S401" i="6"/>
  <c r="F399" i="6"/>
  <c r="G382" i="6"/>
  <c r="S399" i="6"/>
  <c r="S564" i="13"/>
  <c r="F567" i="13"/>
  <c r="S570" i="13"/>
  <c r="F568" i="13"/>
  <c r="F430" i="6"/>
  <c r="S708" i="4"/>
  <c r="F707" i="4"/>
  <c r="F704" i="4"/>
  <c r="S719" i="4"/>
  <c r="S707" i="4"/>
  <c r="G706" i="4"/>
  <c r="G718" i="4"/>
  <c r="S725" i="4"/>
  <c r="S703" i="4"/>
  <c r="S704" i="4"/>
  <c r="S728" i="4"/>
  <c r="S720" i="4"/>
  <c r="F706" i="4"/>
  <c r="S706" i="4"/>
  <c r="G705" i="4"/>
  <c r="G703" i="4"/>
  <c r="S726" i="4"/>
  <c r="S718" i="4"/>
  <c r="S717" i="4"/>
  <c r="G717" i="4"/>
  <c r="S724" i="4"/>
  <c r="F1769" i="1"/>
  <c r="L1277" i="13" s="1"/>
  <c r="P1277" i="13" s="1"/>
  <c r="F703" i="4"/>
  <c r="S705" i="4"/>
  <c r="F705" i="4"/>
  <c r="G704" i="4"/>
  <c r="G707" i="4"/>
  <c r="S727" i="4"/>
  <c r="F719" i="4"/>
  <c r="F717" i="4"/>
  <c r="S722" i="4"/>
  <c r="S721" i="4"/>
  <c r="G716" i="4"/>
  <c r="G715" i="4"/>
  <c r="F716" i="4"/>
  <c r="F715" i="4"/>
  <c r="S716" i="4"/>
  <c r="S715" i="4"/>
  <c r="G1090" i="13"/>
  <c r="S1251" i="13"/>
  <c r="F677" i="13"/>
  <c r="S673" i="4"/>
  <c r="S675" i="4"/>
  <c r="S421" i="6"/>
  <c r="F672" i="13"/>
  <c r="S676" i="13"/>
  <c r="S673" i="13"/>
  <c r="S671" i="13"/>
  <c r="S643" i="13"/>
  <c r="G179" i="13"/>
  <c r="S670" i="13"/>
  <c r="F676" i="13"/>
  <c r="F671" i="13"/>
  <c r="F669" i="13"/>
  <c r="F674" i="4"/>
  <c r="H1844" i="1"/>
  <c r="F393" i="6"/>
  <c r="G381" i="13"/>
  <c r="F407" i="6"/>
  <c r="G406" i="6"/>
  <c r="G571" i="13"/>
  <c r="G63" i="13"/>
  <c r="G685" i="13"/>
  <c r="F406" i="6"/>
  <c r="S374" i="6"/>
  <c r="F394" i="6"/>
  <c r="S394" i="6"/>
  <c r="S409" i="6"/>
  <c r="S410" i="6"/>
  <c r="S672" i="4"/>
  <c r="F676" i="4"/>
  <c r="F675" i="4"/>
  <c r="S678" i="4"/>
  <c r="S691" i="4"/>
  <c r="F673" i="4"/>
  <c r="S677" i="4"/>
  <c r="F677" i="4"/>
  <c r="S690" i="4"/>
  <c r="S676" i="4"/>
  <c r="S674" i="4"/>
  <c r="F672" i="4"/>
  <c r="S694" i="4"/>
  <c r="S695" i="4"/>
  <c r="F695" i="4"/>
  <c r="G695" i="4"/>
  <c r="S692" i="4"/>
  <c r="F692" i="4"/>
  <c r="G692" i="4"/>
  <c r="S693" i="4"/>
  <c r="F694" i="4"/>
  <c r="G693" i="4"/>
  <c r="F693" i="4"/>
  <c r="F691" i="4"/>
  <c r="G690" i="4"/>
  <c r="G694" i="4"/>
  <c r="G567" i="13"/>
  <c r="F690" i="13"/>
  <c r="S1100" i="13"/>
  <c r="S373" i="6"/>
  <c r="S362" i="6"/>
  <c r="S568" i="13"/>
  <c r="S569" i="13"/>
  <c r="F1762" i="1"/>
  <c r="H1762" i="1" s="1"/>
  <c r="F566" i="13"/>
  <c r="F565" i="13"/>
  <c r="F432" i="6"/>
  <c r="S432" i="6"/>
  <c r="L294" i="4"/>
  <c r="R294" i="4" s="1"/>
  <c r="L685" i="4"/>
  <c r="S1252" i="13"/>
  <c r="G418" i="6"/>
  <c r="S674" i="13"/>
  <c r="F673" i="13"/>
  <c r="S672" i="13"/>
  <c r="F1798" i="1"/>
  <c r="H1798" i="1" s="1"/>
  <c r="F670" i="13"/>
  <c r="S675" i="13"/>
  <c r="F675" i="13"/>
  <c r="F671" i="4"/>
  <c r="S654" i="4"/>
  <c r="G654" i="4"/>
  <c r="F654" i="4"/>
  <c r="S671" i="4"/>
  <c r="G671" i="4"/>
  <c r="S571" i="13"/>
  <c r="G566" i="13"/>
  <c r="S571" i="4"/>
  <c r="G564" i="13"/>
  <c r="G569" i="13"/>
  <c r="G570" i="13"/>
  <c r="G1240" i="13"/>
  <c r="F1252" i="13"/>
  <c r="F1251" i="13"/>
  <c r="F451" i="4"/>
  <c r="S690" i="13"/>
  <c r="F689" i="13"/>
  <c r="F1904" i="1"/>
  <c r="G416" i="6"/>
  <c r="G415" i="6"/>
  <c r="S689" i="13"/>
  <c r="G1241" i="13"/>
  <c r="S691" i="13"/>
  <c r="S1250" i="13"/>
  <c r="F373" i="6"/>
  <c r="S375" i="6"/>
  <c r="F374" i="6"/>
  <c r="S633" i="4"/>
  <c r="S634" i="4"/>
  <c r="S653" i="4"/>
  <c r="F652" i="4"/>
  <c r="S651" i="4"/>
  <c r="S652" i="4"/>
  <c r="G647" i="4"/>
  <c r="F650" i="4"/>
  <c r="S650" i="4"/>
  <c r="F649" i="4"/>
  <c r="G650" i="4"/>
  <c r="F666" i="4"/>
  <c r="F668" i="4"/>
  <c r="F670" i="4"/>
  <c r="F665" i="4"/>
  <c r="G670" i="4"/>
  <c r="F653" i="4"/>
  <c r="G653" i="4"/>
  <c r="S666" i="4"/>
  <c r="S668" i="4"/>
  <c r="F669" i="4"/>
  <c r="G667" i="4"/>
  <c r="G664" i="4"/>
  <c r="G649" i="4"/>
  <c r="G651" i="4"/>
  <c r="S669" i="4"/>
  <c r="S667" i="4"/>
  <c r="S665" i="4"/>
  <c r="G668" i="4"/>
  <c r="G665" i="4"/>
  <c r="S649" i="4"/>
  <c r="S664" i="4"/>
  <c r="F667" i="4"/>
  <c r="S670" i="4"/>
  <c r="G669" i="4"/>
  <c r="F431" i="4"/>
  <c r="G568" i="13"/>
  <c r="G378" i="6"/>
  <c r="G379" i="13"/>
  <c r="S430" i="4"/>
  <c r="S569" i="4"/>
  <c r="S645" i="4"/>
  <c r="S570" i="4"/>
  <c r="S644" i="4"/>
  <c r="S648" i="4"/>
  <c r="S647" i="4"/>
  <c r="F648" i="4"/>
  <c r="S641" i="4"/>
  <c r="G648" i="4"/>
  <c r="G431" i="4"/>
  <c r="S635" i="4"/>
  <c r="S643" i="4"/>
  <c r="F647" i="4"/>
  <c r="S639" i="4"/>
  <c r="S642" i="4"/>
  <c r="S637" i="4"/>
  <c r="S615" i="4"/>
  <c r="S616" i="4"/>
  <c r="S614" i="4"/>
  <c r="S627" i="4"/>
  <c r="S629" i="4"/>
  <c r="S628" i="4"/>
  <c r="S601" i="4"/>
  <c r="S600" i="4"/>
  <c r="S599" i="4"/>
  <c r="S602" i="4"/>
  <c r="S611" i="4"/>
  <c r="S613" i="4"/>
  <c r="S612" i="4"/>
  <c r="S622" i="4"/>
  <c r="S620" i="4"/>
  <c r="S621" i="4"/>
  <c r="S619" i="4"/>
  <c r="S617" i="4"/>
  <c r="S618" i="4"/>
  <c r="S623" i="4"/>
  <c r="S624" i="4"/>
  <c r="S626" i="4"/>
  <c r="S625" i="4"/>
  <c r="G580" i="4"/>
  <c r="G587" i="4"/>
  <c r="G584" i="4"/>
  <c r="G586" i="4"/>
  <c r="G581" i="4"/>
  <c r="G585" i="4"/>
  <c r="G582" i="4"/>
  <c r="F582" i="4"/>
  <c r="F586" i="4"/>
  <c r="F585" i="4"/>
  <c r="F580" i="4"/>
  <c r="F584" i="4"/>
  <c r="F587" i="4"/>
  <c r="F581" i="4"/>
  <c r="S586" i="4"/>
  <c r="S581" i="4"/>
  <c r="S580" i="4"/>
  <c r="S584" i="4"/>
  <c r="S587" i="4"/>
  <c r="S585" i="4"/>
  <c r="S582" i="4"/>
  <c r="S630" i="4"/>
  <c r="S632" i="4"/>
  <c r="S631" i="4"/>
  <c r="G429" i="4"/>
  <c r="S429" i="4"/>
  <c r="F430" i="4"/>
  <c r="F429" i="4"/>
  <c r="L1071" i="13"/>
  <c r="G677" i="13"/>
  <c r="L635" i="13"/>
  <c r="L596" i="13"/>
  <c r="G674" i="13"/>
  <c r="S1047" i="13"/>
  <c r="G563" i="13"/>
  <c r="S424" i="6"/>
  <c r="S422" i="6"/>
  <c r="S393" i="6"/>
  <c r="G689" i="13"/>
  <c r="S406" i="6"/>
  <c r="F411" i="6"/>
  <c r="S360" i="6"/>
  <c r="L1062" i="13"/>
  <c r="G420" i="6"/>
  <c r="G691" i="13"/>
  <c r="S408" i="6"/>
  <c r="S407" i="6"/>
  <c r="F360" i="6"/>
  <c r="F928" i="13"/>
  <c r="G692" i="13"/>
  <c r="G423" i="6"/>
  <c r="F395" i="6"/>
  <c r="S395" i="6"/>
  <c r="F410" i="6"/>
  <c r="F408" i="6"/>
  <c r="F362" i="6"/>
  <c r="H1775" i="1"/>
  <c r="G421" i="6"/>
  <c r="G425" i="6"/>
  <c r="S927" i="13"/>
  <c r="F926" i="13"/>
  <c r="F929" i="13"/>
  <c r="S928" i="13"/>
  <c r="S427" i="6"/>
  <c r="H1776" i="1"/>
  <c r="S929" i="13"/>
  <c r="S926" i="13"/>
  <c r="F927" i="13"/>
  <c r="G816" i="13"/>
  <c r="F421" i="6"/>
  <c r="F420" i="6"/>
  <c r="F1789" i="1"/>
  <c r="G403" i="6"/>
  <c r="F378" i="6"/>
  <c r="S376" i="6"/>
  <c r="F1770" i="1"/>
  <c r="F1320" i="13"/>
  <c r="F691" i="13"/>
  <c r="F1802" i="1"/>
  <c r="H1802" i="1" s="1"/>
  <c r="L609" i="13"/>
  <c r="F428" i="6"/>
  <c r="G410" i="6"/>
  <c r="L617" i="13"/>
  <c r="G411" i="6"/>
  <c r="F427" i="6"/>
  <c r="F426" i="6"/>
  <c r="F1229" i="13"/>
  <c r="G317" i="13"/>
  <c r="F692" i="13"/>
  <c r="F373" i="13"/>
  <c r="F1699" i="1" s="1"/>
  <c r="H1699" i="1" s="1"/>
  <c r="L1067" i="13"/>
  <c r="S190" i="13"/>
  <c r="G407" i="6"/>
  <c r="L1069" i="13"/>
  <c r="S428" i="6"/>
  <c r="F429" i="6"/>
  <c r="G408" i="6"/>
  <c r="S1227" i="13"/>
  <c r="F1227" i="13"/>
  <c r="F1319" i="13"/>
  <c r="S1315" i="13"/>
  <c r="F1314" i="13"/>
  <c r="G399" i="6"/>
  <c r="F423" i="6"/>
  <c r="G565" i="13"/>
  <c r="G1037" i="13"/>
  <c r="L619" i="13"/>
  <c r="F422" i="6"/>
  <c r="S361" i="6"/>
  <c r="S426" i="6"/>
  <c r="S429" i="6"/>
  <c r="S420" i="6"/>
  <c r="S423" i="6"/>
  <c r="F377" i="6"/>
  <c r="G676" i="13"/>
  <c r="F381" i="6"/>
  <c r="S378" i="6"/>
  <c r="G673" i="13"/>
  <c r="F379" i="6"/>
  <c r="S1229" i="13"/>
  <c r="S377" i="6"/>
  <c r="G671" i="13"/>
  <c r="S1324" i="13"/>
  <c r="F376" i="6"/>
  <c r="G670" i="13"/>
  <c r="F380" i="6"/>
  <c r="S381" i="6"/>
  <c r="S425" i="6"/>
  <c r="G669" i="13"/>
  <c r="S379" i="6"/>
  <c r="G675" i="13"/>
  <c r="G405" i="6"/>
  <c r="G401" i="6"/>
  <c r="G672" i="13"/>
  <c r="G397" i="6"/>
  <c r="G202" i="13"/>
  <c r="S1318" i="13"/>
  <c r="G400" i="6"/>
  <c r="G402" i="6"/>
  <c r="S1321" i="13"/>
  <c r="S1314" i="13"/>
  <c r="S1320" i="13"/>
  <c r="F1317" i="13"/>
  <c r="S430" i="6"/>
  <c r="G404" i="6"/>
  <c r="G381" i="6"/>
  <c r="S1319" i="13"/>
  <c r="S1317" i="13"/>
  <c r="S1316" i="13"/>
  <c r="F1318" i="13"/>
  <c r="F1911" i="1"/>
  <c r="L528" i="4" s="1"/>
  <c r="F632" i="13"/>
  <c r="G385" i="6"/>
  <c r="G688" i="13"/>
  <c r="G384" i="6"/>
  <c r="F425" i="6"/>
  <c r="S431" i="6"/>
  <c r="F1791" i="1"/>
  <c r="G376" i="6"/>
  <c r="S1323" i="13"/>
  <c r="S1322" i="13"/>
  <c r="S1313" i="13"/>
  <c r="S1312" i="13"/>
  <c r="F185" i="13"/>
  <c r="F1672" i="1" s="1"/>
  <c r="F1323" i="13"/>
  <c r="F1315" i="13"/>
  <c r="G396" i="6"/>
  <c r="S1228" i="13"/>
  <c r="F1321" i="13"/>
  <c r="F1316" i="13"/>
  <c r="F1322" i="13"/>
  <c r="F1312" i="13"/>
  <c r="F1324" i="13"/>
  <c r="F1313" i="13"/>
  <c r="G1316" i="13"/>
  <c r="G1323" i="13"/>
  <c r="G1314" i="13"/>
  <c r="G1319" i="13"/>
  <c r="G1315" i="13"/>
  <c r="G1322" i="13"/>
  <c r="G1313" i="13"/>
  <c r="G1318" i="13"/>
  <c r="G1312" i="13"/>
  <c r="G1321" i="13"/>
  <c r="G1317" i="13"/>
  <c r="G1324" i="13"/>
  <c r="G1320" i="13"/>
  <c r="G201" i="13"/>
  <c r="G1242" i="13"/>
  <c r="G377" i="6"/>
  <c r="G203" i="13"/>
  <c r="G380" i="6"/>
  <c r="L342" i="4"/>
  <c r="R342" i="4" s="1"/>
  <c r="G204" i="13"/>
  <c r="G205" i="13"/>
  <c r="G1243" i="13"/>
  <c r="G200" i="13"/>
  <c r="L407" i="4"/>
  <c r="P407" i="4" s="1"/>
  <c r="F276" i="4"/>
  <c r="L289" i="4"/>
  <c r="R289" i="4" s="1"/>
  <c r="F500" i="4"/>
  <c r="S500" i="4"/>
  <c r="F498" i="4"/>
  <c r="S498" i="4"/>
  <c r="S499" i="4"/>
  <c r="G499" i="4"/>
  <c r="G498" i="4"/>
  <c r="G438" i="4"/>
  <c r="F427" i="4"/>
  <c r="F274" i="4"/>
  <c r="S439" i="4"/>
  <c r="F277" i="4"/>
  <c r="F273" i="4"/>
  <c r="S442" i="4"/>
  <c r="G439" i="4"/>
  <c r="G273" i="4"/>
  <c r="F419" i="4"/>
  <c r="L611" i="13"/>
  <c r="L634" i="13"/>
  <c r="H1772" i="1"/>
  <c r="L652" i="13"/>
  <c r="P652" i="13" s="1"/>
  <c r="G1297" i="13"/>
  <c r="G1306" i="13"/>
  <c r="L1063" i="13"/>
  <c r="R1063" i="13" s="1"/>
  <c r="L603" i="13"/>
  <c r="L667" i="13"/>
  <c r="L700" i="13"/>
  <c r="G1308" i="13"/>
  <c r="F437" i="4"/>
  <c r="F423" i="4"/>
  <c r="S271" i="4"/>
  <c r="S396" i="4"/>
  <c r="S93" i="4"/>
  <c r="S436" i="4"/>
  <c r="S476" i="4"/>
  <c r="G417" i="4"/>
  <c r="G419" i="4"/>
  <c r="F436" i="4"/>
  <c r="G440" i="4"/>
  <c r="G276" i="4"/>
  <c r="G277" i="4"/>
  <c r="S1303" i="13"/>
  <c r="G421" i="4"/>
  <c r="F438" i="4"/>
  <c r="G441" i="4"/>
  <c r="G275" i="4"/>
  <c r="F1098" i="13"/>
  <c r="F1308" i="13"/>
  <c r="S437" i="4"/>
  <c r="F1100" i="13"/>
  <c r="F589" i="13"/>
  <c r="S1307" i="13"/>
  <c r="F1306" i="13"/>
  <c r="S270" i="4"/>
  <c r="G322" i="4"/>
  <c r="S322" i="4"/>
  <c r="F424" i="4"/>
  <c r="G420" i="4"/>
  <c r="G427" i="4"/>
  <c r="G425" i="4"/>
  <c r="G422" i="4"/>
  <c r="F428" i="4"/>
  <c r="F421" i="4"/>
  <c r="F422" i="4"/>
  <c r="F1097" i="13"/>
  <c r="F309" i="13"/>
  <c r="H1701" i="1"/>
  <c r="S1306" i="13"/>
  <c r="G424" i="4"/>
  <c r="G423" i="4"/>
  <c r="G426" i="4"/>
  <c r="F426" i="4"/>
  <c r="F417" i="4"/>
  <c r="G436" i="4"/>
  <c r="G1101" i="13"/>
  <c r="F1307" i="13"/>
  <c r="G428" i="4"/>
  <c r="F425" i="4"/>
  <c r="F420" i="4"/>
  <c r="S1308" i="13"/>
  <c r="F376" i="4"/>
  <c r="G379" i="4"/>
  <c r="F377" i="4"/>
  <c r="G376" i="4"/>
  <c r="F379" i="4"/>
  <c r="G378" i="4"/>
  <c r="F378" i="4"/>
  <c r="S422" i="4"/>
  <c r="G323" i="4"/>
  <c r="Q148" i="4"/>
  <c r="R148" i="4" s="1"/>
  <c r="P148" i="4"/>
  <c r="S323" i="4"/>
  <c r="S316" i="4"/>
  <c r="S310" i="4"/>
  <c r="G315" i="4"/>
  <c r="G319" i="4"/>
  <c r="S434" i="4"/>
  <c r="S433" i="4"/>
  <c r="S432" i="4"/>
  <c r="S435" i="4"/>
  <c r="S77" i="4"/>
  <c r="S75" i="4"/>
  <c r="S76" i="4"/>
  <c r="S74" i="4"/>
  <c r="S78" i="4"/>
  <c r="S337" i="4"/>
  <c r="S332" i="4"/>
  <c r="S326" i="4"/>
  <c r="S331" i="4"/>
  <c r="S333" i="4"/>
  <c r="S328" i="4"/>
  <c r="S335" i="4"/>
  <c r="S327" i="4"/>
  <c r="S338" i="4"/>
  <c r="S336" i="4"/>
  <c r="S334" i="4"/>
  <c r="S330" i="4"/>
  <c r="S329" i="4"/>
  <c r="F335" i="4"/>
  <c r="F331" i="4"/>
  <c r="F327" i="4"/>
  <c r="F338" i="4"/>
  <c r="F334" i="4"/>
  <c r="F330" i="4"/>
  <c r="F326" i="4"/>
  <c r="F337" i="4"/>
  <c r="F333" i="4"/>
  <c r="F329" i="4"/>
  <c r="F336" i="4"/>
  <c r="F332" i="4"/>
  <c r="F328" i="4"/>
  <c r="S317" i="4"/>
  <c r="S319" i="4"/>
  <c r="S119" i="4"/>
  <c r="S118" i="4"/>
  <c r="S120" i="4"/>
  <c r="S124" i="4"/>
  <c r="S123" i="4"/>
  <c r="S121" i="4"/>
  <c r="S125" i="4"/>
  <c r="S122" i="4"/>
  <c r="S377" i="4"/>
  <c r="S421" i="4"/>
  <c r="S420" i="4"/>
  <c r="S427" i="4"/>
  <c r="G314" i="4"/>
  <c r="F271" i="4"/>
  <c r="F270" i="4"/>
  <c r="F269" i="4"/>
  <c r="F272" i="4"/>
  <c r="S88" i="4"/>
  <c r="S84" i="4"/>
  <c r="S87" i="4"/>
  <c r="S86" i="4"/>
  <c r="S85" i="4"/>
  <c r="S390" i="4"/>
  <c r="S389" i="4"/>
  <c r="S395" i="4"/>
  <c r="S392" i="4"/>
  <c r="S391" i="4"/>
  <c r="S393" i="4"/>
  <c r="S388" i="4"/>
  <c r="S394" i="4"/>
  <c r="G316" i="4"/>
  <c r="G337" i="4"/>
  <c r="G333" i="4"/>
  <c r="G329" i="4"/>
  <c r="G336" i="4"/>
  <c r="G332" i="4"/>
  <c r="G328" i="4"/>
  <c r="G335" i="4"/>
  <c r="G331" i="4"/>
  <c r="G327" i="4"/>
  <c r="G338" i="4"/>
  <c r="G334" i="4"/>
  <c r="G330" i="4"/>
  <c r="G326" i="4"/>
  <c r="S324" i="4"/>
  <c r="S315" i="4"/>
  <c r="S314" i="4"/>
  <c r="S313" i="4"/>
  <c r="S379" i="4"/>
  <c r="S426" i="4"/>
  <c r="S423" i="4"/>
  <c r="S424" i="4"/>
  <c r="G474" i="4"/>
  <c r="G470" i="4"/>
  <c r="G473" i="4"/>
  <c r="G469" i="4"/>
  <c r="G476" i="4"/>
  <c r="G472" i="4"/>
  <c r="G468" i="4"/>
  <c r="G475" i="4"/>
  <c r="G471" i="4"/>
  <c r="G467" i="4"/>
  <c r="S111" i="4"/>
  <c r="S113" i="4"/>
  <c r="S116" i="4"/>
  <c r="S114" i="4"/>
  <c r="S112" i="4"/>
  <c r="S110" i="4"/>
  <c r="S117" i="4"/>
  <c r="S115" i="4"/>
  <c r="S137" i="4"/>
  <c r="S138" i="4"/>
  <c r="S139" i="4"/>
  <c r="S136" i="4"/>
  <c r="S135" i="4"/>
  <c r="G320" i="4"/>
  <c r="G313" i="4"/>
  <c r="G310" i="4"/>
  <c r="G311" i="4"/>
  <c r="G324" i="4"/>
  <c r="G321" i="4"/>
  <c r="S312" i="4"/>
  <c r="S325" i="4"/>
  <c r="S109" i="4"/>
  <c r="S105" i="4"/>
  <c r="S106" i="4"/>
  <c r="S108" i="4"/>
  <c r="S103" i="4"/>
  <c r="S104" i="4"/>
  <c r="S102" i="4"/>
  <c r="S107" i="4"/>
  <c r="S361" i="4"/>
  <c r="S366" i="4"/>
  <c r="S364" i="4"/>
  <c r="S362" i="4"/>
  <c r="S367" i="4"/>
  <c r="S365" i="4"/>
  <c r="S363" i="4"/>
  <c r="F366" i="4"/>
  <c r="F362" i="4"/>
  <c r="F365" i="4"/>
  <c r="F361" i="4"/>
  <c r="F364" i="4"/>
  <c r="F367" i="4"/>
  <c r="F363" i="4"/>
  <c r="S378" i="4"/>
  <c r="S419" i="4"/>
  <c r="S428" i="4"/>
  <c r="S425" i="4"/>
  <c r="G312" i="4"/>
  <c r="S469" i="4"/>
  <c r="S471" i="4"/>
  <c r="S470" i="4"/>
  <c r="S467" i="4"/>
  <c r="S475" i="4"/>
  <c r="S473" i="4"/>
  <c r="S472" i="4"/>
  <c r="S468" i="4"/>
  <c r="S474" i="4"/>
  <c r="F475" i="4"/>
  <c r="F472" i="4"/>
  <c r="F474" i="4"/>
  <c r="F471" i="4"/>
  <c r="F468" i="4"/>
  <c r="F470" i="4"/>
  <c r="F467" i="4"/>
  <c r="F473" i="4"/>
  <c r="F476" i="4"/>
  <c r="F469" i="4"/>
  <c r="S441" i="4"/>
  <c r="F439" i="4"/>
  <c r="F440" i="4"/>
  <c r="F441" i="4"/>
  <c r="F442" i="4"/>
  <c r="S100" i="4"/>
  <c r="S95" i="4"/>
  <c r="S96" i="4"/>
  <c r="S98" i="4"/>
  <c r="S94" i="4"/>
  <c r="S99" i="4"/>
  <c r="S101" i="4"/>
  <c r="S97" i="4"/>
  <c r="S455" i="4"/>
  <c r="S453" i="4"/>
  <c r="S82" i="4"/>
  <c r="S80" i="4"/>
  <c r="S81" i="4"/>
  <c r="S83" i="4"/>
  <c r="S79" i="4"/>
  <c r="F325" i="4"/>
  <c r="F321" i="4"/>
  <c r="F317" i="4"/>
  <c r="F313" i="4"/>
  <c r="F324" i="4"/>
  <c r="F320" i="4"/>
  <c r="F316" i="4"/>
  <c r="F312" i="4"/>
  <c r="F323" i="4"/>
  <c r="F319" i="4"/>
  <c r="F315" i="4"/>
  <c r="F311" i="4"/>
  <c r="F322" i="4"/>
  <c r="F318" i="4"/>
  <c r="F314" i="4"/>
  <c r="F310" i="4"/>
  <c r="G318" i="4"/>
  <c r="S275" i="4"/>
  <c r="S277" i="4"/>
  <c r="S274" i="4"/>
  <c r="S276" i="4"/>
  <c r="S273" i="4"/>
  <c r="S321" i="4"/>
  <c r="S318" i="4"/>
  <c r="S311" i="4"/>
  <c r="S320" i="4"/>
  <c r="S90" i="4"/>
  <c r="S89" i="4"/>
  <c r="S91" i="4"/>
  <c r="S92" i="4"/>
  <c r="S452" i="4"/>
  <c r="S448" i="4"/>
  <c r="G367" i="4"/>
  <c r="G363" i="4"/>
  <c r="G366" i="4"/>
  <c r="G362" i="4"/>
  <c r="G365" i="4"/>
  <c r="G361" i="4"/>
  <c r="G364" i="4"/>
  <c r="S417" i="4"/>
  <c r="G317" i="4"/>
  <c r="G269" i="4"/>
  <c r="G270" i="4"/>
  <c r="G271" i="4"/>
  <c r="G272" i="4"/>
  <c r="G325" i="4"/>
  <c r="F310" i="13"/>
  <c r="R33" i="4"/>
  <c r="P33" i="4"/>
  <c r="P384" i="4"/>
  <c r="R384" i="4"/>
  <c r="P385" i="4"/>
  <c r="R385" i="4"/>
  <c r="P20" i="4"/>
  <c r="R20" i="4"/>
  <c r="R68" i="4"/>
  <c r="P68" i="4"/>
  <c r="P32" i="4"/>
  <c r="R32" i="4"/>
  <c r="P283" i="4"/>
  <c r="R283" i="4"/>
  <c r="P131" i="4"/>
  <c r="R131" i="4"/>
  <c r="P14" i="4"/>
  <c r="R14" i="4"/>
  <c r="P262" i="4"/>
  <c r="R262" i="4"/>
  <c r="L42" i="4"/>
  <c r="L40" i="4"/>
  <c r="G396" i="4"/>
  <c r="G395" i="4"/>
  <c r="G394" i="4"/>
  <c r="G393" i="4"/>
  <c r="G392" i="4"/>
  <c r="G391" i="4"/>
  <c r="G390" i="4"/>
  <c r="G389" i="4"/>
  <c r="G388" i="4"/>
  <c r="F394" i="4"/>
  <c r="F395" i="4"/>
  <c r="F391" i="4"/>
  <c r="F390" i="4"/>
  <c r="F389" i="4"/>
  <c r="F388" i="4"/>
  <c r="F396" i="4"/>
  <c r="F392" i="4"/>
  <c r="F393" i="4"/>
  <c r="F85" i="4"/>
  <c r="F86" i="4"/>
  <c r="F87" i="4"/>
  <c r="F84" i="4"/>
  <c r="F88" i="4"/>
  <c r="G88" i="4"/>
  <c r="G86" i="4"/>
  <c r="G85" i="4"/>
  <c r="G87" i="4"/>
  <c r="G84" i="4"/>
  <c r="G455" i="4"/>
  <c r="G453" i="4"/>
  <c r="F453" i="4"/>
  <c r="F455" i="4"/>
  <c r="G139" i="4"/>
  <c r="G138" i="4"/>
  <c r="G136" i="4"/>
  <c r="G135" i="4"/>
  <c r="G137" i="4"/>
  <c r="F137" i="4"/>
  <c r="F138" i="4"/>
  <c r="F139" i="4"/>
  <c r="F135" i="4"/>
  <c r="F136" i="4"/>
  <c r="F452" i="4"/>
  <c r="G452" i="4"/>
  <c r="G93" i="4"/>
  <c r="G92" i="4"/>
  <c r="G90" i="4"/>
  <c r="G89" i="4"/>
  <c r="G91" i="4"/>
  <c r="F93" i="4"/>
  <c r="F89" i="4"/>
  <c r="F90" i="4"/>
  <c r="F92" i="4"/>
  <c r="F91" i="4"/>
  <c r="S1217" i="13"/>
  <c r="S556" i="13"/>
  <c r="F1108" i="13"/>
  <c r="F189" i="13"/>
  <c r="F187" i="13"/>
  <c r="G1309" i="13"/>
  <c r="G1311" i="13"/>
  <c r="G1310" i="13"/>
  <c r="F1310" i="13"/>
  <c r="S1310" i="13"/>
  <c r="F1910" i="1"/>
  <c r="S1311" i="13"/>
  <c r="F1309" i="13"/>
  <c r="S1309" i="13"/>
  <c r="F1311" i="13"/>
  <c r="S562" i="13"/>
  <c r="G1296" i="13"/>
  <c r="F1818" i="1"/>
  <c r="H1818" i="1" s="1"/>
  <c r="G1298" i="13"/>
  <c r="F1908" i="1"/>
  <c r="F1301" i="13"/>
  <c r="S1300" i="13"/>
  <c r="G1304" i="13"/>
  <c r="G1301" i="13"/>
  <c r="F1299" i="13"/>
  <c r="S1299" i="13"/>
  <c r="G1299" i="13"/>
  <c r="F1305" i="13"/>
  <c r="S1302" i="13"/>
  <c r="S1305" i="13"/>
  <c r="G1305" i="13"/>
  <c r="F1297" i="13"/>
  <c r="S1298" i="13"/>
  <c r="F1304" i="13"/>
  <c r="F1300" i="13"/>
  <c r="S1304" i="13"/>
  <c r="S1301" i="13"/>
  <c r="G1302" i="13"/>
  <c r="F1296" i="13"/>
  <c r="S1296" i="13"/>
  <c r="F1303" i="13"/>
  <c r="F1302" i="13"/>
  <c r="G1300" i="13"/>
  <c r="F1907" i="1"/>
  <c r="F1298" i="13"/>
  <c r="S330" i="6"/>
  <c r="IB24" i="17418"/>
  <c r="GE24" i="17418"/>
  <c r="CK24" i="17418"/>
  <c r="EH24" i="17418"/>
  <c r="JY24" i="17418"/>
  <c r="IB26" i="17418"/>
  <c r="GE26" i="17418"/>
  <c r="JY26" i="17418"/>
  <c r="CK26" i="17418"/>
  <c r="EH26" i="17418"/>
  <c r="IB23" i="17418"/>
  <c r="EH23" i="17418"/>
  <c r="CK23" i="17418"/>
  <c r="GE23" i="17418"/>
  <c r="JY23" i="17418"/>
  <c r="CK37" i="17418"/>
  <c r="IK37" i="17418" s="1"/>
  <c r="EH37" i="17418"/>
  <c r="KH37" i="17418" s="1"/>
  <c r="GE37" i="17418"/>
  <c r="EH27" i="17418"/>
  <c r="CK27" i="17418"/>
  <c r="IK27" i="17418" s="1"/>
  <c r="JY27" i="17418"/>
  <c r="GE27" i="17418"/>
  <c r="CK36" i="17418"/>
  <c r="IK36" i="17418" s="1"/>
  <c r="EH36" i="17418"/>
  <c r="KH36" i="17418" s="1"/>
  <c r="GE36" i="17418"/>
  <c r="IB25" i="17418"/>
  <c r="EH25" i="17418"/>
  <c r="GE25" i="17418"/>
  <c r="JY25" i="17418"/>
  <c r="CK25" i="17418"/>
  <c r="AE289" i="17418"/>
  <c r="AE286" i="17418"/>
  <c r="AE264" i="17418"/>
  <c r="G328" i="6"/>
  <c r="S641" i="13"/>
  <c r="S454" i="13"/>
  <c r="S586" i="13"/>
  <c r="S179" i="13"/>
  <c r="G1199" i="13"/>
  <c r="G429" i="13"/>
  <c r="G1103" i="13"/>
  <c r="G1099" i="13"/>
  <c r="F588" i="13"/>
  <c r="G1100" i="13"/>
  <c r="F1285" i="13"/>
  <c r="F1282" i="13"/>
  <c r="F1283" i="13"/>
  <c r="S1283" i="13"/>
  <c r="S1284" i="13"/>
  <c r="S1282" i="13"/>
  <c r="F1284" i="13"/>
  <c r="F1289" i="13"/>
  <c r="F1280" i="13"/>
  <c r="S1287" i="13"/>
  <c r="S1289" i="13"/>
  <c r="S1286" i="13"/>
  <c r="F1281" i="13"/>
  <c r="F1288" i="13"/>
  <c r="F1279" i="13"/>
  <c r="S1288" i="13"/>
  <c r="S1281" i="13"/>
  <c r="F1286" i="13"/>
  <c r="F1287" i="13"/>
  <c r="S1279" i="13"/>
  <c r="S1280" i="13"/>
  <c r="S1285" i="13"/>
  <c r="G1279" i="13"/>
  <c r="G1286" i="13"/>
  <c r="G1280" i="13"/>
  <c r="G1289" i="13"/>
  <c r="G1285" i="13"/>
  <c r="G1283" i="13"/>
  <c r="G1288" i="13"/>
  <c r="G1284" i="13"/>
  <c r="G1281" i="13"/>
  <c r="G1287" i="13"/>
  <c r="G1282" i="13"/>
  <c r="F1905" i="1"/>
  <c r="L686" i="4" s="1"/>
  <c r="G1107" i="13"/>
  <c r="F183" i="13"/>
  <c r="G1098" i="13"/>
  <c r="G335" i="6"/>
  <c r="F303" i="13"/>
  <c r="G182" i="13"/>
  <c r="S1097" i="13"/>
  <c r="F1107" i="13"/>
  <c r="S1098" i="13"/>
  <c r="S431" i="13"/>
  <c r="G183" i="13"/>
  <c r="F1104" i="13"/>
  <c r="F1099" i="13"/>
  <c r="S1102" i="13"/>
  <c r="G242" i="13"/>
  <c r="P1271" i="13"/>
  <c r="F585" i="13"/>
  <c r="G326" i="6"/>
  <c r="S305" i="13"/>
  <c r="F325" i="6"/>
  <c r="S560" i="13"/>
  <c r="G323" i="6"/>
  <c r="S585" i="13"/>
  <c r="S555" i="13"/>
  <c r="F324" i="6"/>
  <c r="S588" i="13"/>
  <c r="F330" i="6"/>
  <c r="G460" i="13"/>
  <c r="F586" i="13"/>
  <c r="F584" i="13"/>
  <c r="F587" i="13"/>
  <c r="S554" i="13"/>
  <c r="S338" i="6"/>
  <c r="G184" i="13"/>
  <c r="F304" i="6"/>
  <c r="R1277" i="13"/>
  <c r="P1278" i="13"/>
  <c r="R1278" i="13"/>
  <c r="R1273" i="13"/>
  <c r="P1273" i="13"/>
  <c r="F583" i="13"/>
  <c r="F188" i="13"/>
  <c r="S191" i="13"/>
  <c r="S310" i="13"/>
  <c r="F191" i="13"/>
  <c r="G329" i="6"/>
  <c r="F190" i="13"/>
  <c r="F295" i="6"/>
  <c r="F430" i="13"/>
  <c r="F429" i="13"/>
  <c r="S308" i="13"/>
  <c r="G1047" i="13"/>
  <c r="G392" i="13"/>
  <c r="S184" i="13"/>
  <c r="S582" i="13"/>
  <c r="S384" i="13"/>
  <c r="F222" i="13"/>
  <c r="G454" i="13"/>
  <c r="G173" i="6"/>
  <c r="S559" i="13"/>
  <c r="S323" i="6"/>
  <c r="AF27" i="17418"/>
  <c r="AF23" i="17418"/>
  <c r="AF24" i="17418"/>
  <c r="AF26" i="17418"/>
  <c r="AF25" i="17418"/>
  <c r="F1868" i="1"/>
  <c r="F336" i="6"/>
  <c r="S335" i="6"/>
  <c r="F333" i="6"/>
  <c r="S460" i="13"/>
  <c r="G1048" i="13"/>
  <c r="F331" i="6"/>
  <c r="S322" i="6"/>
  <c r="S1101" i="13"/>
  <c r="F1105" i="13"/>
  <c r="S1108" i="13"/>
  <c r="S215" i="13"/>
  <c r="F182" i="13"/>
  <c r="F323" i="6"/>
  <c r="F334" i="6"/>
  <c r="G1106" i="13"/>
  <c r="G1102" i="13"/>
  <c r="G1097" i="13"/>
  <c r="G1045" i="13"/>
  <c r="F180" i="13"/>
  <c r="F741" i="13"/>
  <c r="G720" i="13"/>
  <c r="S558" i="13"/>
  <c r="S553" i="13"/>
  <c r="S183" i="13"/>
  <c r="F1788" i="1"/>
  <c r="L286" i="4" s="1"/>
  <c r="S642" i="13"/>
  <c r="G737" i="13"/>
  <c r="S719" i="13"/>
  <c r="S561" i="13"/>
  <c r="S557" i="13"/>
  <c r="S337" i="6"/>
  <c r="S181" i="13"/>
  <c r="S324" i="6"/>
  <c r="F337" i="6"/>
  <c r="G181" i="13"/>
  <c r="G1104" i="13"/>
  <c r="G1108" i="13"/>
  <c r="S180" i="13"/>
  <c r="G305" i="13"/>
  <c r="F158" i="6"/>
  <c r="G324" i="6"/>
  <c r="S1197" i="13"/>
  <c r="S152" i="6"/>
  <c r="S1107" i="13"/>
  <c r="F1870" i="1"/>
  <c r="S1106" i="13"/>
  <c r="F1103" i="13"/>
  <c r="S1104" i="13"/>
  <c r="S1103" i="13"/>
  <c r="G168" i="13"/>
  <c r="F434" i="13"/>
  <c r="G327" i="6"/>
  <c r="G322" i="6"/>
  <c r="F304" i="13"/>
  <c r="G303" i="13"/>
  <c r="G304" i="13"/>
  <c r="G1046" i="13"/>
  <c r="F1764" i="1"/>
  <c r="H1764" i="1" s="1"/>
  <c r="F1106" i="13"/>
  <c r="F1102" i="13"/>
  <c r="S1105" i="13"/>
  <c r="F1101" i="13"/>
  <c r="S1099" i="13"/>
  <c r="S432" i="13"/>
  <c r="G331" i="6"/>
  <c r="G338" i="6"/>
  <c r="G337" i="6"/>
  <c r="V57" i="17419"/>
  <c r="F151" i="6"/>
  <c r="F993" i="13"/>
  <c r="G455" i="13"/>
  <c r="G320" i="13"/>
  <c r="F144" i="6"/>
  <c r="F162" i="6"/>
  <c r="S434" i="13"/>
  <c r="F432" i="13"/>
  <c r="F428" i="13"/>
  <c r="S433" i="13"/>
  <c r="F306" i="13"/>
  <c r="G333" i="6"/>
  <c r="S583" i="13"/>
  <c r="G68" i="6"/>
  <c r="S185" i="13"/>
  <c r="S170" i="6"/>
  <c r="F171" i="6"/>
  <c r="S145" i="6"/>
  <c r="F427" i="13"/>
  <c r="F1707" i="1" s="1"/>
  <c r="H1707" i="1" s="1"/>
  <c r="F433" i="13"/>
  <c r="F431" i="13"/>
  <c r="S430" i="13"/>
  <c r="S302" i="13"/>
  <c r="G223" i="13"/>
  <c r="G334" i="6"/>
  <c r="S584" i="13"/>
  <c r="S188" i="13"/>
  <c r="S156" i="6"/>
  <c r="S163" i="6"/>
  <c r="S427" i="13"/>
  <c r="S429" i="13"/>
  <c r="S187" i="13"/>
  <c r="F147" i="6"/>
  <c r="S167" i="6"/>
  <c r="F150" i="6"/>
  <c r="S159" i="6"/>
  <c r="F141" i="6"/>
  <c r="F1741" i="1" s="1"/>
  <c r="L491" i="13" s="1"/>
  <c r="F157" i="6"/>
  <c r="S177" i="6"/>
  <c r="S147" i="6"/>
  <c r="F178" i="6"/>
  <c r="S176" i="6"/>
  <c r="F163" i="6"/>
  <c r="F149" i="6"/>
  <c r="S168" i="6"/>
  <c r="S155" i="6"/>
  <c r="F169" i="6"/>
  <c r="S143" i="6"/>
  <c r="S150" i="6"/>
  <c r="S173" i="6"/>
  <c r="S160" i="6"/>
  <c r="F153" i="6"/>
  <c r="F166" i="6"/>
  <c r="S178" i="6"/>
  <c r="F160" i="6"/>
  <c r="F161" i="6"/>
  <c r="S153" i="6"/>
  <c r="S174" i="6"/>
  <c r="F168" i="6"/>
  <c r="F174" i="6"/>
  <c r="S146" i="6"/>
  <c r="F159" i="6"/>
  <c r="F142" i="6"/>
  <c r="S169" i="6"/>
  <c r="S149" i="6"/>
  <c r="F167" i="6"/>
  <c r="F146" i="6"/>
  <c r="S141" i="6"/>
  <c r="F155" i="6"/>
  <c r="F143" i="6"/>
  <c r="S175" i="6"/>
  <c r="F179" i="6"/>
  <c r="S171" i="6"/>
  <c r="S151" i="6"/>
  <c r="F165" i="6"/>
  <c r="S158" i="6"/>
  <c r="F173" i="6"/>
  <c r="F145" i="6"/>
  <c r="F176" i="6"/>
  <c r="S162" i="6"/>
  <c r="F156" i="6"/>
  <c r="S172" i="6"/>
  <c r="S142" i="6"/>
  <c r="S164" i="6"/>
  <c r="F164" i="6"/>
  <c r="F170" i="6"/>
  <c r="F175" i="6"/>
  <c r="F154" i="6"/>
  <c r="S148" i="6"/>
  <c r="F152" i="6"/>
  <c r="S166" i="6"/>
  <c r="F177" i="6"/>
  <c r="F148" i="6"/>
  <c r="S165" i="6"/>
  <c r="S161" i="6"/>
  <c r="S144" i="6"/>
  <c r="S179" i="6"/>
  <c r="S154" i="6"/>
  <c r="S157" i="6"/>
  <c r="F172" i="6"/>
  <c r="S303" i="6"/>
  <c r="S645" i="13"/>
  <c r="S1134" i="13"/>
  <c r="F290" i="6"/>
  <c r="F642" i="13"/>
  <c r="G578" i="13"/>
  <c r="G117" i="6"/>
  <c r="F291" i="6"/>
  <c r="F301" i="6"/>
  <c r="S572" i="13"/>
  <c r="G194" i="6"/>
  <c r="G330" i="6"/>
  <c r="F294" i="6"/>
  <c r="F288" i="6"/>
  <c r="F138" i="1" s="1"/>
  <c r="H138" i="1" s="1"/>
  <c r="F1009" i="13"/>
  <c r="S277" i="13"/>
  <c r="F197" i="6"/>
  <c r="G581" i="13"/>
  <c r="F332" i="6"/>
  <c r="S581" i="13"/>
  <c r="F126" i="6"/>
  <c r="G990" i="13"/>
  <c r="H1671" i="1"/>
  <c r="G138" i="13"/>
  <c r="G135" i="13"/>
  <c r="G136" i="13"/>
  <c r="G137" i="13"/>
  <c r="G1017" i="13"/>
  <c r="G1018" i="13"/>
  <c r="G1014" i="13"/>
  <c r="G1012" i="13"/>
  <c r="G1016" i="13"/>
  <c r="G1015" i="13"/>
  <c r="G1011" i="13"/>
  <c r="G1010" i="13"/>
  <c r="G1013" i="13"/>
  <c r="G1019" i="13"/>
  <c r="F322" i="13"/>
  <c r="S330" i="13"/>
  <c r="F330" i="13"/>
  <c r="F321" i="13"/>
  <c r="S321" i="13"/>
  <c r="S327" i="13"/>
  <c r="F319" i="13"/>
  <c r="F1691" i="1" s="1"/>
  <c r="H1691" i="1" s="1"/>
  <c r="F324" i="13"/>
  <c r="F320" i="13"/>
  <c r="F328" i="13"/>
  <c r="S323" i="13"/>
  <c r="S324" i="13"/>
  <c r="F325" i="13"/>
  <c r="F323" i="13"/>
  <c r="F326" i="13"/>
  <c r="S328" i="13"/>
  <c r="S320" i="13"/>
  <c r="S326" i="13"/>
  <c r="F329" i="13"/>
  <c r="S325" i="13"/>
  <c r="S322" i="13"/>
  <c r="F327" i="13"/>
  <c r="S319" i="13"/>
  <c r="S329" i="13"/>
  <c r="S1184" i="13"/>
  <c r="S1183" i="13"/>
  <c r="S1182" i="13"/>
  <c r="S1181" i="13"/>
  <c r="S1185" i="13"/>
  <c r="G299" i="13"/>
  <c r="G301" i="13"/>
  <c r="G300" i="13"/>
  <c r="F154" i="13"/>
  <c r="F153" i="13"/>
  <c r="F1667" i="1" s="1"/>
  <c r="H1667" i="1" s="1"/>
  <c r="S153" i="13"/>
  <c r="F155" i="13"/>
  <c r="S155" i="13"/>
  <c r="S154" i="13"/>
  <c r="F364" i="6"/>
  <c r="S365" i="6"/>
  <c r="S363" i="6"/>
  <c r="F363" i="6"/>
  <c r="S364" i="6"/>
  <c r="S366" i="6"/>
  <c r="S367" i="6"/>
  <c r="F1766" i="1"/>
  <c r="F367" i="6"/>
  <c r="F365" i="6"/>
  <c r="F366" i="6"/>
  <c r="G789" i="13"/>
  <c r="G796" i="13"/>
  <c r="G794" i="13"/>
  <c r="G797" i="13"/>
  <c r="G798" i="13"/>
  <c r="G800" i="13"/>
  <c r="G795" i="13"/>
  <c r="G792" i="13"/>
  <c r="G788" i="13"/>
  <c r="G799" i="13"/>
  <c r="G790" i="13"/>
  <c r="G787" i="13"/>
  <c r="G791" i="13"/>
  <c r="G793" i="13"/>
  <c r="G1151" i="13"/>
  <c r="S376" i="13"/>
  <c r="S378" i="13"/>
  <c r="F377" i="13"/>
  <c r="F376" i="13"/>
  <c r="F1700" i="1" s="1"/>
  <c r="F378" i="13"/>
  <c r="S377" i="13"/>
  <c r="S49" i="6"/>
  <c r="F49" i="6"/>
  <c r="F48" i="6"/>
  <c r="F1730" i="1" s="1"/>
  <c r="F50" i="6"/>
  <c r="S50" i="6"/>
  <c r="S48" i="6"/>
  <c r="G56" i="6"/>
  <c r="G55" i="6"/>
  <c r="G54" i="6"/>
  <c r="G252" i="6"/>
  <c r="G250" i="6"/>
  <c r="G251" i="6"/>
  <c r="F1206" i="13"/>
  <c r="S1206" i="13"/>
  <c r="S1203" i="13"/>
  <c r="S1204" i="13"/>
  <c r="S1205" i="13"/>
  <c r="S1196" i="13"/>
  <c r="G399" i="13"/>
  <c r="G402" i="13"/>
  <c r="G406" i="13"/>
  <c r="G397" i="13"/>
  <c r="G386" i="13"/>
  <c r="G74" i="6"/>
  <c r="G75" i="6"/>
  <c r="F183" i="6"/>
  <c r="F180" i="6"/>
  <c r="F1742" i="1" s="1"/>
  <c r="S181" i="6"/>
  <c r="S183" i="6"/>
  <c r="S182" i="6"/>
  <c r="F184" i="6"/>
  <c r="F181" i="6"/>
  <c r="F182" i="6"/>
  <c r="S180" i="6"/>
  <c r="S184" i="6"/>
  <c r="S134" i="13"/>
  <c r="S133" i="13"/>
  <c r="S127" i="13"/>
  <c r="S132" i="13"/>
  <c r="S130" i="13"/>
  <c r="S125" i="13"/>
  <c r="S123" i="13"/>
  <c r="S128" i="13"/>
  <c r="S126" i="13"/>
  <c r="S129" i="13"/>
  <c r="S124" i="13"/>
  <c r="S122" i="13"/>
  <c r="S131" i="13"/>
  <c r="F298" i="6"/>
  <c r="F302" i="6"/>
  <c r="F336" i="13"/>
  <c r="F337" i="13"/>
  <c r="F335" i="13"/>
  <c r="S337" i="13"/>
  <c r="F332" i="13"/>
  <c r="F331" i="13"/>
  <c r="F1692" i="1" s="1"/>
  <c r="F334" i="13"/>
  <c r="S334" i="13"/>
  <c r="S336" i="13"/>
  <c r="S338" i="13"/>
  <c r="S331" i="13"/>
  <c r="F333" i="13"/>
  <c r="S332" i="13"/>
  <c r="S333" i="13"/>
  <c r="F338" i="13"/>
  <c r="S335" i="13"/>
  <c r="G1249" i="13"/>
  <c r="G1247" i="13"/>
  <c r="G1248" i="13"/>
  <c r="S849" i="13"/>
  <c r="S850" i="13"/>
  <c r="S851" i="13"/>
  <c r="F850" i="13"/>
  <c r="F844" i="13"/>
  <c r="S854" i="13"/>
  <c r="F856" i="13"/>
  <c r="F851" i="13"/>
  <c r="F846" i="13"/>
  <c r="F847" i="13"/>
  <c r="F845" i="13"/>
  <c r="F852" i="13"/>
  <c r="S844" i="13"/>
  <c r="S855" i="13"/>
  <c r="S856" i="13"/>
  <c r="S847" i="13"/>
  <c r="S845" i="13"/>
  <c r="F848" i="13"/>
  <c r="S846" i="13"/>
  <c r="S857" i="13"/>
  <c r="F854" i="13"/>
  <c r="F857" i="13"/>
  <c r="F849" i="13"/>
  <c r="S853" i="13"/>
  <c r="S848" i="13"/>
  <c r="S852" i="13"/>
  <c r="F1836" i="1"/>
  <c r="F853" i="13"/>
  <c r="F855" i="13"/>
  <c r="F352" i="6"/>
  <c r="F340" i="6"/>
  <c r="F344" i="6"/>
  <c r="F359" i="6"/>
  <c r="F348" i="6"/>
  <c r="F354" i="6"/>
  <c r="F358" i="6"/>
  <c r="F343" i="6"/>
  <c r="F345" i="6"/>
  <c r="F346" i="6"/>
  <c r="F353" i="6"/>
  <c r="F349" i="6"/>
  <c r="F357" i="6"/>
  <c r="F341" i="6"/>
  <c r="F342" i="6"/>
  <c r="F1761" i="1"/>
  <c r="H1761" i="1" s="1"/>
  <c r="F350" i="6"/>
  <c r="F339" i="6"/>
  <c r="F347" i="6"/>
  <c r="F356" i="6"/>
  <c r="F355" i="6"/>
  <c r="F351" i="6"/>
  <c r="S357" i="6"/>
  <c r="S350" i="6"/>
  <c r="S353" i="6"/>
  <c r="S339" i="6"/>
  <c r="S346" i="6"/>
  <c r="S348" i="6"/>
  <c r="S354" i="6"/>
  <c r="S341" i="6"/>
  <c r="S345" i="6"/>
  <c r="S356" i="6"/>
  <c r="S342" i="6"/>
  <c r="S343" i="6"/>
  <c r="S349" i="6"/>
  <c r="S359" i="6"/>
  <c r="S358" i="6"/>
  <c r="S355" i="6"/>
  <c r="S344" i="6"/>
  <c r="S351" i="6"/>
  <c r="S352" i="6"/>
  <c r="S347" i="6"/>
  <c r="S340" i="6"/>
  <c r="F1054" i="13"/>
  <c r="S1057" i="13"/>
  <c r="F1059" i="13"/>
  <c r="F1058" i="13"/>
  <c r="F1861" i="1"/>
  <c r="F1057" i="13"/>
  <c r="S1060" i="13"/>
  <c r="S1053" i="13"/>
  <c r="F1061" i="13"/>
  <c r="S1058" i="13"/>
  <c r="F1056" i="13"/>
  <c r="F1053" i="13"/>
  <c r="S1056" i="13"/>
  <c r="F1060" i="13"/>
  <c r="S1061" i="13"/>
  <c r="S1054" i="13"/>
  <c r="S1059" i="13"/>
  <c r="F1055" i="13"/>
  <c r="S1055" i="13"/>
  <c r="G1009" i="13"/>
  <c r="G1001" i="13"/>
  <c r="G1003" i="13"/>
  <c r="G1006" i="13"/>
  <c r="G1008" i="13"/>
  <c r="G1000" i="13"/>
  <c r="G1002" i="13"/>
  <c r="G1005" i="13"/>
  <c r="G1004" i="13"/>
  <c r="G1007" i="13"/>
  <c r="G534" i="13"/>
  <c r="G535" i="13"/>
  <c r="G872" i="13"/>
  <c r="G868" i="13"/>
  <c r="G874" i="13"/>
  <c r="G875" i="13"/>
  <c r="G870" i="13"/>
  <c r="G865" i="13"/>
  <c r="G869" i="13"/>
  <c r="G871" i="13"/>
  <c r="G866" i="13"/>
  <c r="G877" i="13"/>
  <c r="G876" i="13"/>
  <c r="G867" i="13"/>
  <c r="G873" i="13"/>
  <c r="S1226" i="13"/>
  <c r="F1224" i="13"/>
  <c r="F1226" i="13"/>
  <c r="S1224" i="13"/>
  <c r="S1225" i="13"/>
  <c r="F1225" i="13"/>
  <c r="F943" i="13"/>
  <c r="F942" i="13"/>
  <c r="F1847" i="1"/>
  <c r="S939" i="13"/>
  <c r="F941" i="13"/>
  <c r="F940" i="13"/>
  <c r="S940" i="13"/>
  <c r="S941" i="13"/>
  <c r="F938" i="13"/>
  <c r="S937" i="13"/>
  <c r="S944" i="13"/>
  <c r="S943" i="13"/>
  <c r="F937" i="13"/>
  <c r="F939" i="13"/>
  <c r="F944" i="13"/>
  <c r="S938" i="13"/>
  <c r="S942" i="13"/>
  <c r="S1146" i="13"/>
  <c r="F1146" i="13"/>
  <c r="F1149" i="13"/>
  <c r="G156" i="6"/>
  <c r="G152" i="6"/>
  <c r="G154" i="6"/>
  <c r="G175" i="6"/>
  <c r="G178" i="6"/>
  <c r="G144" i="6"/>
  <c r="G142" i="6"/>
  <c r="G171" i="6"/>
  <c r="G174" i="6"/>
  <c r="G162" i="6"/>
  <c r="G31" i="6"/>
  <c r="G30" i="6"/>
  <c r="G29" i="6"/>
  <c r="G1205" i="13"/>
  <c r="G1200" i="13"/>
  <c r="G1206" i="13"/>
  <c r="F389" i="13"/>
  <c r="F385" i="13"/>
  <c r="F388" i="13"/>
  <c r="F402" i="13"/>
  <c r="F400" i="13"/>
  <c r="S403" i="13"/>
  <c r="S397" i="13"/>
  <c r="S401" i="13"/>
  <c r="F387" i="13"/>
  <c r="F403" i="13"/>
  <c r="S385" i="13"/>
  <c r="S19" i="13"/>
  <c r="S7" i="13"/>
  <c r="S11" i="13"/>
  <c r="S15" i="13"/>
  <c r="S13" i="13"/>
  <c r="S14" i="13"/>
  <c r="S18" i="13"/>
  <c r="S17" i="13"/>
  <c r="S8" i="13"/>
  <c r="S12" i="13"/>
  <c r="S9" i="13"/>
  <c r="S16" i="13"/>
  <c r="S10" i="13"/>
  <c r="G430" i="13"/>
  <c r="S309" i="13"/>
  <c r="G745" i="13"/>
  <c r="G747" i="13"/>
  <c r="G742" i="13"/>
  <c r="F645" i="13"/>
  <c r="F292" i="6"/>
  <c r="S290" i="6"/>
  <c r="S291" i="6"/>
  <c r="G286" i="13"/>
  <c r="G287" i="13"/>
  <c r="G288" i="13"/>
  <c r="G283" i="13"/>
  <c r="G293" i="13"/>
  <c r="G291" i="13"/>
  <c r="G292" i="13"/>
  <c r="G289" i="13"/>
  <c r="G284" i="13"/>
  <c r="G290" i="13"/>
  <c r="G285" i="13"/>
  <c r="G282" i="13"/>
  <c r="G370" i="6"/>
  <c r="G371" i="6"/>
  <c r="G372" i="6"/>
  <c r="G786" i="13"/>
  <c r="G785" i="13"/>
  <c r="G783" i="13"/>
  <c r="G781" i="13"/>
  <c r="G784" i="13"/>
  <c r="G779" i="13"/>
  <c r="G782" i="13"/>
  <c r="G780" i="13"/>
  <c r="G778" i="13"/>
  <c r="G1052" i="13"/>
  <c r="G1051" i="13"/>
  <c r="G1050" i="13"/>
  <c r="G1049" i="13"/>
  <c r="G1261" i="13"/>
  <c r="G1258" i="13"/>
  <c r="G1265" i="13"/>
  <c r="G1264" i="13"/>
  <c r="G1262" i="13"/>
  <c r="G1259" i="13"/>
  <c r="G1257" i="13"/>
  <c r="G1263" i="13"/>
  <c r="G1260" i="13"/>
  <c r="F284" i="6"/>
  <c r="F1837" i="1"/>
  <c r="S282" i="6"/>
  <c r="S281" i="6"/>
  <c r="F281" i="6"/>
  <c r="F283" i="6"/>
  <c r="F285" i="6"/>
  <c r="S285" i="6"/>
  <c r="F286" i="6"/>
  <c r="S287" i="6"/>
  <c r="S280" i="6"/>
  <c r="F280" i="6"/>
  <c r="F287" i="6"/>
  <c r="S286" i="6"/>
  <c r="S283" i="6"/>
  <c r="F282" i="6"/>
  <c r="S284" i="6"/>
  <c r="S83" i="13"/>
  <c r="F78" i="13"/>
  <c r="S81" i="13"/>
  <c r="F76" i="13"/>
  <c r="F1658" i="1" s="1"/>
  <c r="S79" i="13"/>
  <c r="F82" i="13"/>
  <c r="F77" i="13"/>
  <c r="S78" i="13"/>
  <c r="S82" i="13"/>
  <c r="S77" i="13"/>
  <c r="F83" i="13"/>
  <c r="F79" i="13"/>
  <c r="F80" i="13"/>
  <c r="S76" i="13"/>
  <c r="F81" i="13"/>
  <c r="S80" i="13"/>
  <c r="G679" i="13"/>
  <c r="G681" i="13"/>
  <c r="G680" i="13"/>
  <c r="G682" i="13"/>
  <c r="G678" i="13"/>
  <c r="G1163" i="13"/>
  <c r="G1162" i="13"/>
  <c r="G1161" i="13"/>
  <c r="G1160" i="13"/>
  <c r="G1158" i="13"/>
  <c r="G1159" i="13"/>
  <c r="G1156" i="13"/>
  <c r="G1157" i="13"/>
  <c r="F340" i="13"/>
  <c r="S341" i="13"/>
  <c r="S339" i="13"/>
  <c r="F344" i="13"/>
  <c r="S344" i="13"/>
  <c r="S340" i="13"/>
  <c r="F341" i="13"/>
  <c r="S342" i="13"/>
  <c r="S343" i="13"/>
  <c r="F346" i="13"/>
  <c r="S345" i="13"/>
  <c r="S346" i="13"/>
  <c r="F342" i="13"/>
  <c r="F345" i="13"/>
  <c r="F339" i="13"/>
  <c r="F1693" i="1" s="1"/>
  <c r="F343" i="13"/>
  <c r="F934" i="13"/>
  <c r="S935" i="13"/>
  <c r="F936" i="13"/>
  <c r="S934" i="13"/>
  <c r="S933" i="13"/>
  <c r="F933" i="13"/>
  <c r="F935" i="13"/>
  <c r="F1846" i="1"/>
  <c r="S936" i="13"/>
  <c r="G390" i="6"/>
  <c r="G391" i="6"/>
  <c r="G389" i="6"/>
  <c r="G392" i="6"/>
  <c r="G388" i="6"/>
  <c r="S276" i="6"/>
  <c r="S278" i="6"/>
  <c r="F277" i="6"/>
  <c r="S277" i="6"/>
  <c r="F279" i="6"/>
  <c r="F1822" i="1"/>
  <c r="F278" i="6"/>
  <c r="F276" i="6"/>
  <c r="S279" i="6"/>
  <c r="F437" i="13"/>
  <c r="F204" i="6"/>
  <c r="F209" i="6"/>
  <c r="S208" i="6"/>
  <c r="F193" i="6"/>
  <c r="S193" i="6"/>
  <c r="S199" i="6"/>
  <c r="S189" i="6"/>
  <c r="S205" i="6"/>
  <c r="S186" i="6"/>
  <c r="F216" i="6"/>
  <c r="F218" i="6"/>
  <c r="S221" i="6"/>
  <c r="F187" i="6"/>
  <c r="S197" i="6"/>
  <c r="F217" i="6"/>
  <c r="F211" i="6"/>
  <c r="S218" i="6"/>
  <c r="S207" i="6"/>
  <c r="F210" i="6"/>
  <c r="F322" i="6"/>
  <c r="F186" i="1" s="1"/>
  <c r="S326" i="6"/>
  <c r="G307" i="13"/>
  <c r="G45" i="6"/>
  <c r="G46" i="6"/>
  <c r="G47" i="6"/>
  <c r="S214" i="13"/>
  <c r="S217" i="13"/>
  <c r="F217" i="13"/>
  <c r="S211" i="13"/>
  <c r="S213" i="13"/>
  <c r="F212" i="13"/>
  <c r="F210" i="13"/>
  <c r="F1676" i="1" s="1"/>
  <c r="H1676" i="1" s="1"/>
  <c r="F215" i="13"/>
  <c r="F216" i="13"/>
  <c r="F213" i="13"/>
  <c r="F214" i="13"/>
  <c r="S216" i="13"/>
  <c r="S210" i="13"/>
  <c r="S212" i="13"/>
  <c r="F211" i="13"/>
  <c r="F196" i="13"/>
  <c r="S193" i="13"/>
  <c r="F198" i="13"/>
  <c r="F199" i="13"/>
  <c r="F195" i="13"/>
  <c r="S194" i="13"/>
  <c r="F197" i="13"/>
  <c r="S198" i="13"/>
  <c r="S199" i="13"/>
  <c r="F192" i="13"/>
  <c r="F1673" i="1" s="1"/>
  <c r="S195" i="13"/>
  <c r="S196" i="13"/>
  <c r="S192" i="13"/>
  <c r="S197" i="13"/>
  <c r="F193" i="13"/>
  <c r="F194" i="13"/>
  <c r="G233" i="6"/>
  <c r="G230" i="6"/>
  <c r="G235" i="6"/>
  <c r="G237" i="6"/>
  <c r="G234" i="6"/>
  <c r="G239" i="6"/>
  <c r="G236" i="6"/>
  <c r="G232" i="6"/>
  <c r="G240" i="6"/>
  <c r="G241" i="6"/>
  <c r="G238" i="6"/>
  <c r="G92" i="6"/>
  <c r="G94" i="6"/>
  <c r="G90" i="6"/>
  <c r="G91" i="6"/>
  <c r="G93" i="6"/>
  <c r="G89" i="6"/>
  <c r="G88" i="6"/>
  <c r="G77" i="6"/>
  <c r="G84" i="6"/>
  <c r="G81" i="6"/>
  <c r="G82" i="6"/>
  <c r="G78" i="6"/>
  <c r="G79" i="6"/>
  <c r="G76" i="6"/>
  <c r="G83" i="6"/>
  <c r="G80" i="6"/>
  <c r="G726" i="13"/>
  <c r="G727" i="13"/>
  <c r="G728" i="13"/>
  <c r="G57" i="6"/>
  <c r="G58" i="6"/>
  <c r="G37" i="6"/>
  <c r="G36" i="6"/>
  <c r="G38" i="6"/>
  <c r="F360" i="13"/>
  <c r="F1695" i="1" s="1"/>
  <c r="L78" i="4" s="1"/>
  <c r="S362" i="13"/>
  <c r="S360" i="13"/>
  <c r="F361" i="13"/>
  <c r="F362" i="13"/>
  <c r="S361" i="13"/>
  <c r="G281" i="13"/>
  <c r="G280" i="13"/>
  <c r="G279" i="13"/>
  <c r="G278" i="13"/>
  <c r="S1119" i="13"/>
  <c r="F1117" i="13"/>
  <c r="S1118" i="13"/>
  <c r="F459" i="13"/>
  <c r="F464" i="13"/>
  <c r="F461" i="13"/>
  <c r="F463" i="13"/>
  <c r="G992" i="13"/>
  <c r="G999" i="13"/>
  <c r="G989" i="13"/>
  <c r="G332" i="6"/>
  <c r="F308" i="13"/>
  <c r="F184" i="13"/>
  <c r="S739" i="13"/>
  <c r="S742" i="13"/>
  <c r="S738" i="13"/>
  <c r="S740" i="13"/>
  <c r="S743" i="13"/>
  <c r="S745" i="13"/>
  <c r="F641" i="13"/>
  <c r="S304" i="6"/>
  <c r="S294" i="6"/>
  <c r="F299" i="6"/>
  <c r="G1021" i="13"/>
  <c r="G1028" i="13"/>
  <c r="G1025" i="13"/>
  <c r="G1032" i="13"/>
  <c r="G1031" i="13"/>
  <c r="G1026" i="13"/>
  <c r="G1020" i="13"/>
  <c r="G1024" i="13"/>
  <c r="G1023" i="13"/>
  <c r="G1033" i="13"/>
  <c r="G1022" i="13"/>
  <c r="G1030" i="13"/>
  <c r="G1029" i="13"/>
  <c r="G1027" i="13"/>
  <c r="S1164" i="13"/>
  <c r="S1169" i="13"/>
  <c r="S1168" i="13"/>
  <c r="S1165" i="13"/>
  <c r="S1171" i="13"/>
  <c r="F1165" i="13"/>
  <c r="F1169" i="13"/>
  <c r="F1881" i="1"/>
  <c r="F1164" i="13"/>
  <c r="F1166" i="13"/>
  <c r="F1171" i="13"/>
  <c r="F1167" i="13"/>
  <c r="F1168" i="13"/>
  <c r="F1170" i="13"/>
  <c r="S1170" i="13"/>
  <c r="S1166" i="13"/>
  <c r="S1167" i="13"/>
  <c r="F978" i="13"/>
  <c r="F975" i="13"/>
  <c r="S974" i="13"/>
  <c r="F980" i="13"/>
  <c r="S980" i="13"/>
  <c r="S975" i="13"/>
  <c r="F974" i="13"/>
  <c r="S976" i="13"/>
  <c r="F1850" i="1"/>
  <c r="F981" i="13"/>
  <c r="S978" i="13"/>
  <c r="F979" i="13"/>
  <c r="F976" i="13"/>
  <c r="S977" i="13"/>
  <c r="S979" i="13"/>
  <c r="S981" i="13"/>
  <c r="F977" i="13"/>
  <c r="S769" i="13"/>
  <c r="S761" i="13"/>
  <c r="S763" i="13"/>
  <c r="S767" i="13"/>
  <c r="S762" i="13"/>
  <c r="S768" i="13"/>
  <c r="S760" i="13"/>
  <c r="S764" i="13"/>
  <c r="S766" i="13"/>
  <c r="S759" i="13"/>
  <c r="S409" i="13"/>
  <c r="F407" i="13"/>
  <c r="F1704" i="1" s="1"/>
  <c r="L13" i="4" s="1"/>
  <c r="S407" i="13"/>
  <c r="F408" i="13"/>
  <c r="F409" i="13"/>
  <c r="S408" i="13"/>
  <c r="F658" i="13"/>
  <c r="F662" i="13"/>
  <c r="S656" i="13"/>
  <c r="S660" i="13"/>
  <c r="F1796" i="1"/>
  <c r="F660" i="13"/>
  <c r="S663" i="13"/>
  <c r="S661" i="13"/>
  <c r="F663" i="13"/>
  <c r="F661" i="13"/>
  <c r="S657" i="13"/>
  <c r="S662" i="13"/>
  <c r="F656" i="13"/>
  <c r="F657" i="13"/>
  <c r="F659" i="13"/>
  <c r="S658" i="13"/>
  <c r="S659" i="13"/>
  <c r="G434" i="6"/>
  <c r="G433" i="6"/>
  <c r="S118" i="13"/>
  <c r="S120" i="13"/>
  <c r="F119" i="13"/>
  <c r="F121" i="13"/>
  <c r="F118" i="13"/>
  <c r="F1663" i="1" s="1"/>
  <c r="L72" i="4" s="1"/>
  <c r="F120" i="13"/>
  <c r="S119" i="13"/>
  <c r="S121" i="13"/>
  <c r="G27" i="13"/>
  <c r="G30" i="13"/>
  <c r="G28" i="13"/>
  <c r="G29" i="13"/>
  <c r="F225" i="13"/>
  <c r="F230" i="13"/>
  <c r="S225" i="13"/>
  <c r="S224" i="13"/>
  <c r="F227" i="13"/>
  <c r="F228" i="13"/>
  <c r="S228" i="13"/>
  <c r="S230" i="13"/>
  <c r="F226" i="13"/>
  <c r="F229" i="13"/>
  <c r="S227" i="13"/>
  <c r="F224" i="13"/>
  <c r="F1678" i="1" s="1"/>
  <c r="S226" i="13"/>
  <c r="S229" i="13"/>
  <c r="G1256" i="13"/>
  <c r="G1254" i="13"/>
  <c r="G1253" i="13"/>
  <c r="G1255" i="13"/>
  <c r="F310" i="6"/>
  <c r="F1816" i="1"/>
  <c r="S311" i="6"/>
  <c r="F307" i="6"/>
  <c r="F318" i="6"/>
  <c r="F321" i="6"/>
  <c r="S320" i="6"/>
  <c r="S315" i="6"/>
  <c r="S312" i="6"/>
  <c r="S318" i="6"/>
  <c r="F313" i="6"/>
  <c r="F314" i="6"/>
  <c r="F315" i="6"/>
  <c r="S305" i="6"/>
  <c r="S306" i="6"/>
  <c r="F312" i="6"/>
  <c r="F308" i="6"/>
  <c r="F311" i="6"/>
  <c r="S321" i="6"/>
  <c r="S309" i="6"/>
  <c r="S316" i="6"/>
  <c r="S310" i="6"/>
  <c r="F317" i="6"/>
  <c r="F306" i="6"/>
  <c r="S319" i="6"/>
  <c r="S317" i="6"/>
  <c r="F309" i="6"/>
  <c r="F319" i="6"/>
  <c r="F320" i="6"/>
  <c r="S307" i="6"/>
  <c r="S308" i="6"/>
  <c r="S314" i="6"/>
  <c r="S313" i="6"/>
  <c r="F305" i="6"/>
  <c r="F141" i="1" s="1"/>
  <c r="H141" i="1" s="1"/>
  <c r="F316" i="6"/>
  <c r="S1195" i="13"/>
  <c r="S1194" i="13"/>
  <c r="S1192" i="13"/>
  <c r="S1193" i="13"/>
  <c r="S1191" i="13"/>
  <c r="F1833" i="1"/>
  <c r="F832" i="13"/>
  <c r="S829" i="13"/>
  <c r="S831" i="13"/>
  <c r="F827" i="13"/>
  <c r="F829" i="13"/>
  <c r="F831" i="13"/>
  <c r="S828" i="13"/>
  <c r="S830" i="13"/>
  <c r="S832" i="13"/>
  <c r="F828" i="13"/>
  <c r="F830" i="13"/>
  <c r="S827" i="13"/>
  <c r="S758" i="13"/>
  <c r="S751" i="13"/>
  <c r="S748" i="13"/>
  <c r="S756" i="13"/>
  <c r="S752" i="13"/>
  <c r="S750" i="13"/>
  <c r="S754" i="13"/>
  <c r="S749" i="13"/>
  <c r="S757" i="13"/>
  <c r="S755" i="13"/>
  <c r="S753" i="13"/>
  <c r="R1067" i="13"/>
  <c r="P1067" i="13"/>
  <c r="G437" i="13"/>
  <c r="G214" i="6"/>
  <c r="G203" i="6"/>
  <c r="G192" i="6"/>
  <c r="G195" i="6"/>
  <c r="G198" i="6"/>
  <c r="G209" i="6"/>
  <c r="G211" i="6"/>
  <c r="G197" i="6"/>
  <c r="G207" i="6"/>
  <c r="G213" i="6"/>
  <c r="F329" i="6"/>
  <c r="F338" i="6"/>
  <c r="S328" i="6"/>
  <c r="G51" i="6"/>
  <c r="G52" i="6"/>
  <c r="G53" i="6"/>
  <c r="G363" i="13"/>
  <c r="G364" i="13"/>
  <c r="G365" i="13"/>
  <c r="G191" i="13"/>
  <c r="G188" i="13"/>
  <c r="G190" i="13"/>
  <c r="G189" i="13"/>
  <c r="G187" i="13"/>
  <c r="G185" i="13"/>
  <c r="G186" i="13"/>
  <c r="G43" i="6"/>
  <c r="G44" i="6"/>
  <c r="G42" i="6"/>
  <c r="S226" i="6"/>
  <c r="S224" i="6"/>
  <c r="F225" i="6"/>
  <c r="F224" i="6"/>
  <c r="F1744" i="1" s="1"/>
  <c r="F226" i="6"/>
  <c r="S225" i="6"/>
  <c r="F68" i="6"/>
  <c r="F70" i="6"/>
  <c r="S68" i="6"/>
  <c r="S71" i="6"/>
  <c r="F71" i="6"/>
  <c r="F69" i="6"/>
  <c r="S69" i="6"/>
  <c r="S70" i="6"/>
  <c r="G227" i="6"/>
  <c r="G229" i="6"/>
  <c r="G228" i="6"/>
  <c r="F726" i="13"/>
  <c r="F727" i="13"/>
  <c r="F718" i="13"/>
  <c r="S725" i="13"/>
  <c r="S722" i="13"/>
  <c r="S717" i="13"/>
  <c r="S726" i="13"/>
  <c r="S65" i="13"/>
  <c r="S68" i="13"/>
  <c r="F64" i="13"/>
  <c r="F1656" i="1" s="1"/>
  <c r="S66" i="13"/>
  <c r="F68" i="13"/>
  <c r="F65" i="13"/>
  <c r="F67" i="13"/>
  <c r="S67" i="13"/>
  <c r="F66" i="13"/>
  <c r="S64" i="13"/>
  <c r="S11" i="6"/>
  <c r="F11" i="6"/>
  <c r="S14" i="6"/>
  <c r="S13" i="6"/>
  <c r="S27" i="6"/>
  <c r="S26" i="6"/>
  <c r="F19" i="6"/>
  <c r="S10" i="6"/>
  <c r="S12" i="6"/>
  <c r="S7" i="6"/>
  <c r="F24" i="6"/>
  <c r="F7" i="6"/>
  <c r="F21" i="6"/>
  <c r="F9" i="6"/>
  <c r="S18" i="6"/>
  <c r="S24" i="6"/>
  <c r="S22" i="6"/>
  <c r="F16" i="6"/>
  <c r="F23" i="6"/>
  <c r="F10" i="6"/>
  <c r="S23" i="6"/>
  <c r="F15" i="6"/>
  <c r="F22" i="6"/>
  <c r="F13" i="6"/>
  <c r="S25" i="6"/>
  <c r="S9" i="6"/>
  <c r="F17" i="6"/>
  <c r="F25" i="6"/>
  <c r="S8" i="6"/>
  <c r="S19" i="6"/>
  <c r="S21" i="6"/>
  <c r="F26" i="6"/>
  <c r="F14" i="6"/>
  <c r="F8" i="6"/>
  <c r="S15" i="6"/>
  <c r="S16" i="6"/>
  <c r="F12" i="6"/>
  <c r="S17" i="6"/>
  <c r="S20" i="6"/>
  <c r="F18" i="6"/>
  <c r="F27" i="6"/>
  <c r="F20" i="6"/>
  <c r="F64" i="6"/>
  <c r="S156" i="13"/>
  <c r="G1118" i="13"/>
  <c r="G465" i="13"/>
  <c r="G461" i="13"/>
  <c r="P1063" i="13"/>
  <c r="R603" i="13"/>
  <c r="P603" i="13"/>
  <c r="F1044" i="13"/>
  <c r="S1044" i="13"/>
  <c r="S1045" i="13"/>
  <c r="S998" i="13"/>
  <c r="S997" i="13"/>
  <c r="F994" i="13"/>
  <c r="S995" i="13"/>
  <c r="S996" i="13"/>
  <c r="F998" i="13"/>
  <c r="S644" i="13"/>
  <c r="G369" i="13"/>
  <c r="R652" i="13"/>
  <c r="F576" i="13"/>
  <c r="F572" i="13"/>
  <c r="F573" i="13"/>
  <c r="S574" i="13"/>
  <c r="F627" i="13"/>
  <c r="F633" i="13"/>
  <c r="S625" i="13"/>
  <c r="H1765" i="1"/>
  <c r="L590" i="13"/>
  <c r="G452" i="13"/>
  <c r="G60" i="13"/>
  <c r="S369" i="13"/>
  <c r="F371" i="13"/>
  <c r="G579" i="13"/>
  <c r="G573" i="13"/>
  <c r="G575" i="13"/>
  <c r="F452" i="13"/>
  <c r="F1713" i="1" s="1"/>
  <c r="S455" i="13"/>
  <c r="F457" i="13"/>
  <c r="S1139" i="13"/>
  <c r="S1137" i="13"/>
  <c r="F186" i="13"/>
  <c r="F574" i="13"/>
  <c r="S1125" i="13"/>
  <c r="S1122" i="13"/>
  <c r="F106" i="6"/>
  <c r="F114" i="6"/>
  <c r="S112" i="6"/>
  <c r="S125" i="6"/>
  <c r="S126" i="6"/>
  <c r="F128" i="6"/>
  <c r="S110" i="6"/>
  <c r="F110" i="6"/>
  <c r="S130" i="6"/>
  <c r="S128" i="6"/>
  <c r="S118" i="6"/>
  <c r="S131" i="6"/>
  <c r="S124" i="6"/>
  <c r="F111" i="6"/>
  <c r="S139" i="6"/>
  <c r="S106" i="6"/>
  <c r="F124" i="6"/>
  <c r="S132" i="6"/>
  <c r="F132" i="6"/>
  <c r="F107" i="6"/>
  <c r="G582" i="13"/>
  <c r="G587" i="13"/>
  <c r="S822" i="13"/>
  <c r="F824" i="13"/>
  <c r="F826" i="13"/>
  <c r="G1034" i="13"/>
  <c r="S332" i="6"/>
  <c r="F626" i="13"/>
  <c r="G104" i="6"/>
  <c r="G101" i="6"/>
  <c r="G128" i="6"/>
  <c r="G124" i="6"/>
  <c r="G110" i="6"/>
  <c r="G112" i="6"/>
  <c r="G123" i="6"/>
  <c r="G125" i="6"/>
  <c r="G127" i="6"/>
  <c r="G821" i="13"/>
  <c r="F374" i="13"/>
  <c r="F375" i="13"/>
  <c r="S1035" i="13"/>
  <c r="F1857" i="1"/>
  <c r="S1034" i="13"/>
  <c r="F580" i="13"/>
  <c r="S435" i="6"/>
  <c r="F435" i="6"/>
  <c r="F437" i="6"/>
  <c r="F442" i="6"/>
  <c r="S439" i="6"/>
  <c r="F440" i="6"/>
  <c r="S436" i="6"/>
  <c r="F443" i="6"/>
  <c r="S441" i="6"/>
  <c r="F436" i="6"/>
  <c r="S442" i="6"/>
  <c r="S437" i="6"/>
  <c r="F438" i="6"/>
  <c r="S438" i="6"/>
  <c r="S440" i="6"/>
  <c r="F439" i="6"/>
  <c r="S443" i="6"/>
  <c r="F1794" i="1"/>
  <c r="H1794" i="1" s="1"/>
  <c r="F441" i="6"/>
  <c r="S481" i="6"/>
  <c r="F482" i="6"/>
  <c r="S482" i="6"/>
  <c r="F481" i="6"/>
  <c r="F480" i="6"/>
  <c r="S480" i="6"/>
  <c r="G413" i="6"/>
  <c r="G412" i="6"/>
  <c r="G116" i="13"/>
  <c r="G115" i="13"/>
  <c r="G117" i="13"/>
  <c r="G114" i="13"/>
  <c r="G113" i="13"/>
  <c r="F298" i="13"/>
  <c r="F296" i="13"/>
  <c r="F294" i="13"/>
  <c r="F1687" i="1" s="1"/>
  <c r="H1687" i="1" s="1"/>
  <c r="F297" i="13"/>
  <c r="F295" i="13"/>
  <c r="S295" i="13"/>
  <c r="S294" i="13"/>
  <c r="S296" i="13"/>
  <c r="S297" i="13"/>
  <c r="S298" i="13"/>
  <c r="G1231" i="13"/>
  <c r="G1230" i="13"/>
  <c r="G1233" i="13"/>
  <c r="G1232" i="13"/>
  <c r="G208" i="13"/>
  <c r="G206" i="13"/>
  <c r="G209" i="13"/>
  <c r="G207" i="13"/>
  <c r="G479" i="6"/>
  <c r="G478" i="6"/>
  <c r="G290" i="6"/>
  <c r="G289" i="6"/>
  <c r="G298" i="6"/>
  <c r="G288" i="6"/>
  <c r="G299" i="6"/>
  <c r="G291" i="6"/>
  <c r="G300" i="6"/>
  <c r="G301" i="6"/>
  <c r="G294" i="6"/>
  <c r="G296" i="6"/>
  <c r="G293" i="6"/>
  <c r="G302" i="6"/>
  <c r="G292" i="6"/>
  <c r="G295" i="6"/>
  <c r="G297" i="6"/>
  <c r="G303" i="6"/>
  <c r="G304" i="6"/>
  <c r="G885" i="13"/>
  <c r="G891" i="13"/>
  <c r="G888" i="13"/>
  <c r="G895" i="13"/>
  <c r="G892" i="13"/>
  <c r="G893" i="13"/>
  <c r="G889" i="13"/>
  <c r="G890" i="13"/>
  <c r="G887" i="13"/>
  <c r="G886" i="13"/>
  <c r="G894" i="13"/>
  <c r="G39" i="13"/>
  <c r="G35" i="13"/>
  <c r="G33" i="13"/>
  <c r="G38" i="13"/>
  <c r="G37" i="13"/>
  <c r="G36" i="13"/>
  <c r="G32" i="13"/>
  <c r="G31" i="13"/>
  <c r="G34" i="13"/>
  <c r="G43" i="13"/>
  <c r="G45" i="13"/>
  <c r="G50" i="13"/>
  <c r="G48" i="13"/>
  <c r="G47" i="13"/>
  <c r="G41" i="13"/>
  <c r="G49" i="13"/>
  <c r="G52" i="13"/>
  <c r="G51" i="13"/>
  <c r="G46" i="13"/>
  <c r="G44" i="13"/>
  <c r="G42" i="13"/>
  <c r="G40" i="13"/>
  <c r="G1148" i="13"/>
  <c r="G1146" i="13"/>
  <c r="G378" i="13"/>
  <c r="G377" i="13"/>
  <c r="G376" i="13"/>
  <c r="G48" i="6"/>
  <c r="G49" i="6"/>
  <c r="G50" i="6"/>
  <c r="S56" i="6"/>
  <c r="S54" i="6"/>
  <c r="S55" i="6"/>
  <c r="F55" i="6"/>
  <c r="F54" i="6"/>
  <c r="F1732" i="1" s="1"/>
  <c r="F56" i="6"/>
  <c r="S252" i="6"/>
  <c r="F251" i="6"/>
  <c r="S250" i="6"/>
  <c r="F250" i="6"/>
  <c r="F1752" i="1" s="1"/>
  <c r="S251" i="6"/>
  <c r="F252" i="6"/>
  <c r="F1197" i="13"/>
  <c r="F1199" i="13"/>
  <c r="S1200" i="13"/>
  <c r="S1202" i="13"/>
  <c r="F1204" i="13"/>
  <c r="G405" i="13"/>
  <c r="G404" i="13"/>
  <c r="G388" i="13"/>
  <c r="G395" i="13"/>
  <c r="G387" i="13"/>
  <c r="G403" i="13"/>
  <c r="F74" i="6"/>
  <c r="F1718" i="1" s="1"/>
  <c r="S74" i="6"/>
  <c r="S75" i="6"/>
  <c r="F75" i="6"/>
  <c r="G184" i="6"/>
  <c r="G181" i="6"/>
  <c r="G180" i="6"/>
  <c r="G183" i="6"/>
  <c r="G182" i="6"/>
  <c r="G721" i="13"/>
  <c r="H1899" i="1"/>
  <c r="S292" i="6"/>
  <c r="S296" i="6"/>
  <c r="S301" i="6"/>
  <c r="F160" i="13"/>
  <c r="F166" i="13"/>
  <c r="F167" i="13"/>
  <c r="F157" i="13"/>
  <c r="S157" i="13"/>
  <c r="S164" i="13"/>
  <c r="F162" i="13"/>
  <c r="S161" i="13"/>
  <c r="S158" i="13"/>
  <c r="S159" i="13"/>
  <c r="S165" i="13"/>
  <c r="S160" i="13"/>
  <c r="F165" i="13"/>
  <c r="F161" i="13"/>
  <c r="F156" i="13"/>
  <c r="F1668" i="1" s="1"/>
  <c r="S163" i="13"/>
  <c r="S166" i="13"/>
  <c r="F163" i="13"/>
  <c r="F158" i="13"/>
  <c r="F164" i="13"/>
  <c r="F159" i="13"/>
  <c r="S162" i="13"/>
  <c r="S167" i="13"/>
  <c r="G1216" i="13"/>
  <c r="G1218" i="13"/>
  <c r="G1214" i="13"/>
  <c r="G1217" i="13"/>
  <c r="G1215" i="13"/>
  <c r="F1829" i="1"/>
  <c r="S453" i="6"/>
  <c r="S451" i="6"/>
  <c r="F452" i="6"/>
  <c r="S452" i="6"/>
  <c r="F453" i="6"/>
  <c r="F451" i="6"/>
  <c r="F454" i="6"/>
  <c r="S454" i="6"/>
  <c r="G386" i="6"/>
  <c r="G387" i="6"/>
  <c r="G958" i="13"/>
  <c r="G965" i="13"/>
  <c r="G953" i="13"/>
  <c r="G955" i="13"/>
  <c r="G956" i="13"/>
  <c r="G964" i="13"/>
  <c r="G954" i="13"/>
  <c r="G961" i="13"/>
  <c r="G968" i="13"/>
  <c r="G970" i="13"/>
  <c r="G969" i="13"/>
  <c r="G959" i="13"/>
  <c r="G973" i="13"/>
  <c r="G962" i="13"/>
  <c r="G972" i="13"/>
  <c r="G971" i="13"/>
  <c r="G966" i="13"/>
  <c r="G960" i="13"/>
  <c r="G957" i="13"/>
  <c r="G963" i="13"/>
  <c r="G967" i="13"/>
  <c r="G275" i="13"/>
  <c r="G272" i="13"/>
  <c r="G277" i="13"/>
  <c r="G276" i="13"/>
  <c r="G269" i="13"/>
  <c r="G270" i="13"/>
  <c r="G271" i="13"/>
  <c r="G274" i="13"/>
  <c r="G273" i="13"/>
  <c r="G1222" i="13"/>
  <c r="G1221" i="13"/>
  <c r="G1223" i="13"/>
  <c r="G1219" i="13"/>
  <c r="G1220" i="13"/>
  <c r="F1151" i="13"/>
  <c r="S1148" i="13"/>
  <c r="S1147" i="13"/>
  <c r="G150" i="6"/>
  <c r="G148" i="6"/>
  <c r="G157" i="6"/>
  <c r="G151" i="6"/>
  <c r="G170" i="6"/>
  <c r="G167" i="6"/>
  <c r="G176" i="6"/>
  <c r="G158" i="6"/>
  <c r="G145" i="6"/>
  <c r="F29" i="6"/>
  <c r="F1724" i="1" s="1"/>
  <c r="S31" i="6"/>
  <c r="S30" i="6"/>
  <c r="S29" i="6"/>
  <c r="F30" i="6"/>
  <c r="F31" i="6"/>
  <c r="G1204" i="13"/>
  <c r="G1202" i="13"/>
  <c r="S399" i="13"/>
  <c r="S406" i="13"/>
  <c r="F392" i="13"/>
  <c r="F406" i="13"/>
  <c r="F396" i="13"/>
  <c r="S387" i="13"/>
  <c r="F394" i="13"/>
  <c r="S394" i="13"/>
  <c r="F399" i="13"/>
  <c r="F395" i="13"/>
  <c r="S389" i="13"/>
  <c r="S405" i="13"/>
  <c r="G432" i="13"/>
  <c r="G434" i="13"/>
  <c r="G106" i="6"/>
  <c r="S306" i="13"/>
  <c r="G743" i="13"/>
  <c r="G740" i="13"/>
  <c r="G746" i="13"/>
  <c r="F646" i="13"/>
  <c r="S297" i="6"/>
  <c r="S289" i="6"/>
  <c r="S288" i="13"/>
  <c r="S286" i="13"/>
  <c r="S292" i="13"/>
  <c r="F288" i="13"/>
  <c r="F285" i="13"/>
  <c r="F290" i="13"/>
  <c r="S289" i="13"/>
  <c r="S287" i="13"/>
  <c r="S283" i="13"/>
  <c r="S282" i="13"/>
  <c r="S284" i="13"/>
  <c r="F293" i="13"/>
  <c r="S293" i="13"/>
  <c r="S290" i="13"/>
  <c r="F287" i="13"/>
  <c r="F284" i="13"/>
  <c r="F292" i="13"/>
  <c r="F289" i="13"/>
  <c r="S291" i="13"/>
  <c r="S285" i="13"/>
  <c r="F286" i="13"/>
  <c r="F291" i="13"/>
  <c r="F282" i="13"/>
  <c r="F1686" i="1" s="1"/>
  <c r="F283" i="13"/>
  <c r="F371" i="6"/>
  <c r="F372" i="6"/>
  <c r="S372" i="6"/>
  <c r="F370" i="6"/>
  <c r="S370" i="6"/>
  <c r="F1768" i="1"/>
  <c r="L1276" i="13" s="1"/>
  <c r="S371" i="6"/>
  <c r="F784" i="13"/>
  <c r="F785" i="13"/>
  <c r="S785" i="13"/>
  <c r="S780" i="13"/>
  <c r="S781" i="13"/>
  <c r="F779" i="13"/>
  <c r="F781" i="13"/>
  <c r="S784" i="13"/>
  <c r="S778" i="13"/>
  <c r="F780" i="13"/>
  <c r="F782" i="13"/>
  <c r="F778" i="13"/>
  <c r="S783" i="13"/>
  <c r="S782" i="13"/>
  <c r="F783" i="13"/>
  <c r="F1824" i="1"/>
  <c r="F786" i="13"/>
  <c r="S779" i="13"/>
  <c r="S786" i="13"/>
  <c r="F1860" i="1"/>
  <c r="F1049" i="13"/>
  <c r="F1051" i="13"/>
  <c r="S1052" i="13"/>
  <c r="S1050" i="13"/>
  <c r="S1049" i="13"/>
  <c r="S1051" i="13"/>
  <c r="F1052" i="13"/>
  <c r="F1050" i="13"/>
  <c r="F1260" i="13"/>
  <c r="F1258" i="13"/>
  <c r="F1262" i="13"/>
  <c r="F1261" i="13"/>
  <c r="F1902" i="1"/>
  <c r="L399" i="4" s="1"/>
  <c r="F1265" i="13"/>
  <c r="F1264" i="13"/>
  <c r="F1257" i="13"/>
  <c r="F1263" i="13"/>
  <c r="F1259" i="13"/>
  <c r="S1263" i="13"/>
  <c r="S1265" i="13"/>
  <c r="S1260" i="13"/>
  <c r="S1259" i="13"/>
  <c r="S1261" i="13"/>
  <c r="S1262" i="13"/>
  <c r="S1257" i="13"/>
  <c r="S1258" i="13"/>
  <c r="S1264" i="13"/>
  <c r="G285" i="6"/>
  <c r="G284" i="6"/>
  <c r="G281" i="6"/>
  <c r="G280" i="6"/>
  <c r="G287" i="6"/>
  <c r="G286" i="6"/>
  <c r="G283" i="6"/>
  <c r="G282" i="6"/>
  <c r="G76" i="13"/>
  <c r="G80" i="13"/>
  <c r="G82" i="13"/>
  <c r="G77" i="13"/>
  <c r="G81" i="13"/>
  <c r="G83" i="13"/>
  <c r="G79" i="13"/>
  <c r="G78" i="13"/>
  <c r="F679" i="13"/>
  <c r="F678" i="13"/>
  <c r="S679" i="13"/>
  <c r="S681" i="13"/>
  <c r="F1799" i="1"/>
  <c r="S678" i="13"/>
  <c r="F680" i="13"/>
  <c r="S682" i="13"/>
  <c r="S680" i="13"/>
  <c r="F682" i="13"/>
  <c r="F681" i="13"/>
  <c r="S1157" i="13"/>
  <c r="S1160" i="13"/>
  <c r="S1161" i="13"/>
  <c r="S1163" i="13"/>
  <c r="S1156" i="13"/>
  <c r="F1157" i="13"/>
  <c r="F1161" i="13"/>
  <c r="F1158" i="13"/>
  <c r="F1162" i="13"/>
  <c r="F1159" i="13"/>
  <c r="F1163" i="13"/>
  <c r="F1156" i="13"/>
  <c r="F1160" i="13"/>
  <c r="S1162" i="13"/>
  <c r="S1158" i="13"/>
  <c r="S1159" i="13"/>
  <c r="F1880" i="1"/>
  <c r="G340" i="13"/>
  <c r="G344" i="13"/>
  <c r="G346" i="13"/>
  <c r="G343" i="13"/>
  <c r="G341" i="13"/>
  <c r="G345" i="13"/>
  <c r="G342" i="13"/>
  <c r="G339" i="13"/>
  <c r="G936" i="13"/>
  <c r="G933" i="13"/>
  <c r="G935" i="13"/>
  <c r="G934" i="13"/>
  <c r="F389" i="6"/>
  <c r="S390" i="6"/>
  <c r="S391" i="6"/>
  <c r="S389" i="6"/>
  <c r="F390" i="6"/>
  <c r="F392" i="6"/>
  <c r="F391" i="6"/>
  <c r="S388" i="6"/>
  <c r="F388" i="6"/>
  <c r="S392" i="6"/>
  <c r="G279" i="6"/>
  <c r="G278" i="6"/>
  <c r="G276" i="6"/>
  <c r="G277" i="6"/>
  <c r="F435" i="13"/>
  <c r="F1709" i="1" s="1"/>
  <c r="S437" i="13"/>
  <c r="F1867" i="1"/>
  <c r="F223" i="6"/>
  <c r="F213" i="6"/>
  <c r="S212" i="6"/>
  <c r="F198" i="6"/>
  <c r="S185" i="6"/>
  <c r="F195" i="6"/>
  <c r="S206" i="6"/>
  <c r="S190" i="6"/>
  <c r="F208" i="6"/>
  <c r="F192" i="6"/>
  <c r="F205" i="6"/>
  <c r="S203" i="6"/>
  <c r="S219" i="6"/>
  <c r="F203" i="6"/>
  <c r="S196" i="6"/>
  <c r="S216" i="6"/>
  <c r="F186" i="6"/>
  <c r="S194" i="6"/>
  <c r="F206" i="6"/>
  <c r="S327" i="6"/>
  <c r="S334" i="6"/>
  <c r="S333" i="6"/>
  <c r="S45" i="6"/>
  <c r="F47" i="6"/>
  <c r="S47" i="6"/>
  <c r="S46" i="6"/>
  <c r="F45" i="6"/>
  <c r="F1729" i="1" s="1"/>
  <c r="F46" i="6"/>
  <c r="G214" i="13"/>
  <c r="G217" i="13"/>
  <c r="G213" i="13"/>
  <c r="G212" i="13"/>
  <c r="G211" i="13"/>
  <c r="G210" i="13"/>
  <c r="G216" i="13"/>
  <c r="G215" i="13"/>
  <c r="G198" i="13"/>
  <c r="G197" i="13"/>
  <c r="G194" i="13"/>
  <c r="G192" i="13"/>
  <c r="G196" i="13"/>
  <c r="G195" i="13"/>
  <c r="G199" i="13"/>
  <c r="G193" i="13"/>
  <c r="F231" i="6"/>
  <c r="F239" i="6"/>
  <c r="F237" i="6"/>
  <c r="S232" i="6"/>
  <c r="S233" i="6"/>
  <c r="S240" i="6"/>
  <c r="F232" i="6"/>
  <c r="F240" i="6"/>
  <c r="F230" i="6"/>
  <c r="F1747" i="1" s="1"/>
  <c r="S241" i="6"/>
  <c r="S234" i="6"/>
  <c r="S237" i="6"/>
  <c r="F233" i="6"/>
  <c r="F241" i="6"/>
  <c r="S236" i="6"/>
  <c r="S231" i="6"/>
  <c r="S238" i="6"/>
  <c r="S239" i="6"/>
  <c r="F235" i="6"/>
  <c r="F234" i="6"/>
  <c r="F236" i="6"/>
  <c r="S230" i="6"/>
  <c r="S235" i="6"/>
  <c r="F238" i="6"/>
  <c r="S93" i="6"/>
  <c r="F88" i="6"/>
  <c r="F1738" i="1" s="1"/>
  <c r="F94" i="6"/>
  <c r="S88" i="6"/>
  <c r="F90" i="6"/>
  <c r="S92" i="6"/>
  <c r="S90" i="6"/>
  <c r="S94" i="6"/>
  <c r="F91" i="6"/>
  <c r="F89" i="6"/>
  <c r="S89" i="6"/>
  <c r="S91" i="6"/>
  <c r="F92" i="6"/>
  <c r="F93" i="6"/>
  <c r="F82" i="6"/>
  <c r="F84" i="6"/>
  <c r="S84" i="6"/>
  <c r="S81" i="6"/>
  <c r="S77" i="6"/>
  <c r="F77" i="6"/>
  <c r="F83" i="6"/>
  <c r="F79" i="6"/>
  <c r="F80" i="6"/>
  <c r="S76" i="6"/>
  <c r="S83" i="6"/>
  <c r="F81" i="6"/>
  <c r="F76" i="6"/>
  <c r="F1719" i="1" s="1"/>
  <c r="H1719" i="1" s="1"/>
  <c r="F78" i="6"/>
  <c r="S78" i="6"/>
  <c r="S82" i="6"/>
  <c r="S79" i="6"/>
  <c r="S80" i="6"/>
  <c r="G724" i="13"/>
  <c r="G719" i="13"/>
  <c r="G382" i="13"/>
  <c r="G383" i="13"/>
  <c r="S354" i="13"/>
  <c r="S350" i="13"/>
  <c r="S355" i="13"/>
  <c r="S356" i="13"/>
  <c r="S351" i="13"/>
  <c r="S352" i="13"/>
  <c r="S358" i="13"/>
  <c r="S359" i="13"/>
  <c r="S347" i="13"/>
  <c r="S348" i="13"/>
  <c r="S349" i="13"/>
  <c r="S357" i="13"/>
  <c r="S353" i="13"/>
  <c r="F1118" i="13"/>
  <c r="S1117" i="13"/>
  <c r="F1119" i="13"/>
  <c r="F458" i="13"/>
  <c r="F1714" i="1" s="1"/>
  <c r="F465" i="13"/>
  <c r="S464" i="13"/>
  <c r="S461" i="13"/>
  <c r="G988" i="13"/>
  <c r="G997" i="13"/>
  <c r="G998" i="13"/>
  <c r="G336" i="6"/>
  <c r="S303" i="13"/>
  <c r="H1869" i="1"/>
  <c r="S746" i="13"/>
  <c r="F738" i="13"/>
  <c r="S747" i="13"/>
  <c r="F747" i="13"/>
  <c r="F742" i="13"/>
  <c r="S741" i="13"/>
  <c r="F644" i="13"/>
  <c r="F1814" i="1"/>
  <c r="S288" i="6"/>
  <c r="G1109" i="13"/>
  <c r="G1110" i="13"/>
  <c r="G1113" i="13"/>
  <c r="G1112" i="13"/>
  <c r="G1111" i="13"/>
  <c r="G1114" i="13"/>
  <c r="G1084" i="13"/>
  <c r="G1079" i="13"/>
  <c r="G1082" i="13"/>
  <c r="G1080" i="13"/>
  <c r="G1083" i="13"/>
  <c r="G1081" i="13"/>
  <c r="G842" i="13"/>
  <c r="G838" i="13"/>
  <c r="G837" i="13"/>
  <c r="G836" i="13"/>
  <c r="G839" i="13"/>
  <c r="G840" i="13"/>
  <c r="G843" i="13"/>
  <c r="G841" i="13"/>
  <c r="G1085" i="13"/>
  <c r="G1086" i="13"/>
  <c r="G1088" i="13"/>
  <c r="G1087" i="13"/>
  <c r="F1879" i="1"/>
  <c r="H1879" i="1" s="1"/>
  <c r="F1152" i="13"/>
  <c r="F1155" i="13"/>
  <c r="F1154" i="13"/>
  <c r="F1153" i="13"/>
  <c r="S1152" i="13"/>
  <c r="S1154" i="13"/>
  <c r="S1153" i="13"/>
  <c r="S1155" i="13"/>
  <c r="G465" i="6"/>
  <c r="G458" i="6"/>
  <c r="G472" i="6"/>
  <c r="G468" i="6"/>
  <c r="G471" i="6"/>
  <c r="G470" i="6"/>
  <c r="G459" i="6"/>
  <c r="G462" i="6"/>
  <c r="G460" i="6"/>
  <c r="G467" i="6"/>
  <c r="G456" i="6"/>
  <c r="G464" i="6"/>
  <c r="G463" i="6"/>
  <c r="G461" i="6"/>
  <c r="G457" i="6"/>
  <c r="G469" i="6"/>
  <c r="G466" i="6"/>
  <c r="G455" i="6"/>
  <c r="F807" i="13"/>
  <c r="F801" i="13"/>
  <c r="F802" i="13"/>
  <c r="F809" i="13"/>
  <c r="S805" i="13"/>
  <c r="F808" i="13"/>
  <c r="F810" i="13"/>
  <c r="F803" i="13"/>
  <c r="S807" i="13"/>
  <c r="S810" i="13"/>
  <c r="F804" i="13"/>
  <c r="F1828" i="1"/>
  <c r="H1828" i="1" s="1"/>
  <c r="F806" i="13"/>
  <c r="S808" i="13"/>
  <c r="S804" i="13"/>
  <c r="S802" i="13"/>
  <c r="S809" i="13"/>
  <c r="S806" i="13"/>
  <c r="F805" i="13"/>
  <c r="S801" i="13"/>
  <c r="S803" i="13"/>
  <c r="G818" i="13"/>
  <c r="G819" i="13"/>
  <c r="G817" i="13"/>
  <c r="G820" i="13"/>
  <c r="G815" i="13"/>
  <c r="G428" i="13"/>
  <c r="F582" i="13"/>
  <c r="G436" i="13"/>
  <c r="G223" i="6"/>
  <c r="G215" i="6"/>
  <c r="G199" i="6"/>
  <c r="G218" i="6"/>
  <c r="G205" i="6"/>
  <c r="G216" i="6"/>
  <c r="G200" i="6"/>
  <c r="G202" i="6"/>
  <c r="G217" i="6"/>
  <c r="F326" i="6"/>
  <c r="F327" i="6"/>
  <c r="G308" i="13"/>
  <c r="G180" i="13"/>
  <c r="F53" i="6"/>
  <c r="S52" i="6"/>
  <c r="F51" i="6"/>
  <c r="F1731" i="1" s="1"/>
  <c r="F52" i="6"/>
  <c r="S53" i="6"/>
  <c r="S51" i="6"/>
  <c r="F363" i="13"/>
  <c r="F1696" i="1" s="1"/>
  <c r="L83" i="4" s="1"/>
  <c r="F364" i="13"/>
  <c r="F365" i="13"/>
  <c r="S365" i="13"/>
  <c r="S364" i="13"/>
  <c r="S363" i="13"/>
  <c r="S43" i="6"/>
  <c r="F42" i="6"/>
  <c r="F1728" i="1" s="1"/>
  <c r="F44" i="6"/>
  <c r="F43" i="6"/>
  <c r="S42" i="6"/>
  <c r="S44" i="6"/>
  <c r="G226" i="6"/>
  <c r="G225" i="6"/>
  <c r="G224" i="6"/>
  <c r="G70" i="6"/>
  <c r="G71" i="6"/>
  <c r="G69" i="6"/>
  <c r="F227" i="6"/>
  <c r="F1746" i="1" s="1"/>
  <c r="F228" i="6"/>
  <c r="S228" i="6"/>
  <c r="F229" i="6"/>
  <c r="S229" i="6"/>
  <c r="S227" i="6"/>
  <c r="F720" i="13"/>
  <c r="F722" i="13"/>
  <c r="F728" i="13"/>
  <c r="F725" i="13"/>
  <c r="F1808" i="1"/>
  <c r="H1808" i="1" s="1"/>
  <c r="F719" i="13"/>
  <c r="G423" i="13"/>
  <c r="G424" i="13"/>
  <c r="G426" i="13"/>
  <c r="G425" i="13"/>
  <c r="G32" i="6"/>
  <c r="G35" i="6"/>
  <c r="G33" i="6"/>
  <c r="G34" i="6"/>
  <c r="S465" i="13"/>
  <c r="G58" i="13"/>
  <c r="G55" i="13"/>
  <c r="G56" i="13"/>
  <c r="G54" i="13"/>
  <c r="G57" i="13"/>
  <c r="G53" i="13"/>
  <c r="G40" i="6"/>
  <c r="G41" i="6"/>
  <c r="G39" i="6"/>
  <c r="G1117" i="13"/>
  <c r="G458" i="13"/>
  <c r="G462" i="13"/>
  <c r="S186" i="13"/>
  <c r="P1071" i="13"/>
  <c r="R1071" i="13"/>
  <c r="F1859" i="1"/>
  <c r="F1047" i="13"/>
  <c r="F990" i="13"/>
  <c r="F1852" i="1"/>
  <c r="L382" i="4" s="1"/>
  <c r="S999" i="13"/>
  <c r="F997" i="13"/>
  <c r="S990" i="13"/>
  <c r="F989" i="13"/>
  <c r="F992" i="13"/>
  <c r="S182" i="13"/>
  <c r="S576" i="13"/>
  <c r="G372" i="13"/>
  <c r="P667" i="13"/>
  <c r="R667" i="13"/>
  <c r="R700" i="13"/>
  <c r="P700" i="13"/>
  <c r="L616" i="13"/>
  <c r="H1778" i="1"/>
  <c r="L1076" i="13"/>
  <c r="L624" i="13"/>
  <c r="L608" i="13"/>
  <c r="L1068" i="13"/>
  <c r="F577" i="13"/>
  <c r="S578" i="13"/>
  <c r="S579" i="13"/>
  <c r="F625" i="13"/>
  <c r="S632" i="13"/>
  <c r="S627" i="13"/>
  <c r="F631" i="13"/>
  <c r="G457" i="13"/>
  <c r="G59" i="13"/>
  <c r="F370" i="13"/>
  <c r="F372" i="13"/>
  <c r="G577" i="13"/>
  <c r="G574" i="13"/>
  <c r="S453" i="13"/>
  <c r="S457" i="13"/>
  <c r="S456" i="13"/>
  <c r="S1136" i="13"/>
  <c r="S1131" i="13"/>
  <c r="F575" i="13"/>
  <c r="S1129" i="13"/>
  <c r="S1128" i="13"/>
  <c r="F138" i="6"/>
  <c r="F104" i="6"/>
  <c r="F134" i="6"/>
  <c r="F123" i="6"/>
  <c r="S129" i="6"/>
  <c r="F137" i="6"/>
  <c r="F125" i="6"/>
  <c r="F129" i="6"/>
  <c r="F105" i="6"/>
  <c r="F119" i="6"/>
  <c r="S111" i="6"/>
  <c r="F113" i="6"/>
  <c r="S135" i="6"/>
  <c r="S107" i="6"/>
  <c r="S103" i="6"/>
  <c r="S120" i="6"/>
  <c r="S104" i="6"/>
  <c r="S108" i="6"/>
  <c r="S119" i="6"/>
  <c r="S114" i="6"/>
  <c r="G585" i="13"/>
  <c r="G583" i="13"/>
  <c r="F821" i="13"/>
  <c r="F1832" i="1"/>
  <c r="S826" i="13"/>
  <c r="G375" i="13"/>
  <c r="G1035" i="13"/>
  <c r="G1039" i="13"/>
  <c r="F300" i="6"/>
  <c r="G61" i="13"/>
  <c r="G136" i="6"/>
  <c r="G130" i="6"/>
  <c r="G126" i="6"/>
  <c r="G137" i="6"/>
  <c r="G119" i="6"/>
  <c r="G138" i="6"/>
  <c r="G107" i="6"/>
  <c r="G109" i="6"/>
  <c r="G103" i="6"/>
  <c r="G111" i="6"/>
  <c r="G824" i="13"/>
  <c r="S373" i="13"/>
  <c r="S375" i="13"/>
  <c r="F1034" i="13"/>
  <c r="S1038" i="13"/>
  <c r="F1035" i="13"/>
  <c r="F630" i="13"/>
  <c r="G443" i="6"/>
  <c r="G437" i="6"/>
  <c r="G441" i="6"/>
  <c r="G442" i="6"/>
  <c r="G440" i="6"/>
  <c r="G435" i="6"/>
  <c r="G439" i="6"/>
  <c r="G438" i="6"/>
  <c r="G436" i="6"/>
  <c r="G481" i="6"/>
  <c r="G482" i="6"/>
  <c r="G480" i="6"/>
  <c r="F412" i="6"/>
  <c r="F413" i="6"/>
  <c r="S412" i="6"/>
  <c r="F1782" i="1"/>
  <c r="H1782" i="1" s="1"/>
  <c r="S413" i="6"/>
  <c r="S117" i="13"/>
  <c r="S113" i="13"/>
  <c r="S115" i="13"/>
  <c r="F114" i="13"/>
  <c r="S116" i="13"/>
  <c r="F116" i="13"/>
  <c r="F115" i="13"/>
  <c r="F113" i="13"/>
  <c r="F1662" i="1" s="1"/>
  <c r="L509" i="4" s="1"/>
  <c r="F117" i="13"/>
  <c r="S114" i="13"/>
  <c r="G298" i="13"/>
  <c r="G294" i="13"/>
  <c r="G296" i="13"/>
  <c r="G297" i="13"/>
  <c r="G295" i="13"/>
  <c r="S1233" i="13"/>
  <c r="F1231" i="13"/>
  <c r="F1233" i="13"/>
  <c r="S1231" i="13"/>
  <c r="F1896" i="1"/>
  <c r="L859" i="4" s="1"/>
  <c r="S1230" i="13"/>
  <c r="F1232" i="13"/>
  <c r="F1230" i="13"/>
  <c r="S1232" i="13"/>
  <c r="S208" i="13"/>
  <c r="F209" i="13"/>
  <c r="F207" i="13"/>
  <c r="S209" i="13"/>
  <c r="F206" i="13"/>
  <c r="F1675" i="1" s="1"/>
  <c r="H1675" i="1" s="1"/>
  <c r="S207" i="13"/>
  <c r="F208" i="13"/>
  <c r="S206" i="13"/>
  <c r="S478" i="6"/>
  <c r="S479" i="6"/>
  <c r="F479" i="6"/>
  <c r="F1887" i="1"/>
  <c r="F478" i="6"/>
  <c r="S886" i="13"/>
  <c r="S885" i="13"/>
  <c r="F886" i="13"/>
  <c r="F889" i="13"/>
  <c r="F890" i="13"/>
  <c r="S894" i="13"/>
  <c r="F892" i="13"/>
  <c r="F893" i="13"/>
  <c r="S889" i="13"/>
  <c r="F1842" i="1"/>
  <c r="S891" i="13"/>
  <c r="F887" i="13"/>
  <c r="S892" i="13"/>
  <c r="S887" i="13"/>
  <c r="F894" i="13"/>
  <c r="F891" i="13"/>
  <c r="S888" i="13"/>
  <c r="F888" i="13"/>
  <c r="S895" i="13"/>
  <c r="S893" i="13"/>
  <c r="F895" i="13"/>
  <c r="S890" i="13"/>
  <c r="F885" i="13"/>
  <c r="S39" i="13"/>
  <c r="S37" i="13"/>
  <c r="S32" i="13"/>
  <c r="S36" i="13"/>
  <c r="F32" i="13"/>
  <c r="S31" i="13"/>
  <c r="F35" i="13"/>
  <c r="F33" i="13"/>
  <c r="F39" i="13"/>
  <c r="S33" i="13"/>
  <c r="S34" i="13"/>
  <c r="S38" i="13"/>
  <c r="F31" i="13"/>
  <c r="F1652" i="1" s="1"/>
  <c r="F37" i="13"/>
  <c r="F38" i="13"/>
  <c r="S35" i="13"/>
  <c r="F34" i="13"/>
  <c r="F36" i="13"/>
  <c r="S42" i="13"/>
  <c r="S44" i="13"/>
  <c r="S51" i="13"/>
  <c r="F51" i="13"/>
  <c r="F44" i="13"/>
  <c r="F47" i="13"/>
  <c r="S47" i="13"/>
  <c r="S40" i="13"/>
  <c r="S43" i="13"/>
  <c r="F52" i="13"/>
  <c r="F48" i="13"/>
  <c r="F50" i="13"/>
  <c r="S48" i="13"/>
  <c r="S49" i="13"/>
  <c r="S41" i="13"/>
  <c r="F40" i="13"/>
  <c r="F1653" i="1" s="1"/>
  <c r="F43" i="13"/>
  <c r="F45" i="13"/>
  <c r="F49" i="13"/>
  <c r="S46" i="13"/>
  <c r="S52" i="13"/>
  <c r="S50" i="13"/>
  <c r="F46" i="13"/>
  <c r="F42" i="13"/>
  <c r="F41" i="13"/>
  <c r="S45" i="13"/>
  <c r="G1150" i="13"/>
  <c r="F444" i="13"/>
  <c r="F447" i="13"/>
  <c r="S443" i="13"/>
  <c r="S448" i="13"/>
  <c r="F448" i="13"/>
  <c r="S444" i="13"/>
  <c r="S446" i="13"/>
  <c r="S450" i="13"/>
  <c r="F443" i="13"/>
  <c r="F1711" i="1" s="1"/>
  <c r="S445" i="13"/>
  <c r="S447" i="13"/>
  <c r="F446" i="13"/>
  <c r="F450" i="13"/>
  <c r="S449" i="13"/>
  <c r="F449" i="13"/>
  <c r="F445" i="13"/>
  <c r="G252" i="13"/>
  <c r="G255" i="13"/>
  <c r="G254" i="13"/>
  <c r="G253" i="13"/>
  <c r="G60" i="6"/>
  <c r="G59" i="6"/>
  <c r="F67" i="6"/>
  <c r="S65" i="6"/>
  <c r="S66" i="6"/>
  <c r="F66" i="6"/>
  <c r="S67" i="6"/>
  <c r="F65" i="6"/>
  <c r="F1736" i="1" s="1"/>
  <c r="S245" i="13"/>
  <c r="S246" i="13"/>
  <c r="S249" i="13"/>
  <c r="S247" i="13"/>
  <c r="S250" i="13"/>
  <c r="S251" i="13"/>
  <c r="S248" i="13"/>
  <c r="G259" i="6"/>
  <c r="G258" i="6"/>
  <c r="G267" i="6"/>
  <c r="G262" i="6"/>
  <c r="G261" i="6"/>
  <c r="G266" i="6"/>
  <c r="G264" i="6"/>
  <c r="G257" i="6"/>
  <c r="G268" i="6"/>
  <c r="G263" i="6"/>
  <c r="G265" i="6"/>
  <c r="G260" i="6"/>
  <c r="H1870" i="1"/>
  <c r="F1196" i="13"/>
  <c r="F1205" i="13"/>
  <c r="F1198" i="13"/>
  <c r="S1198" i="13"/>
  <c r="F1203" i="13"/>
  <c r="S1201" i="13"/>
  <c r="G389" i="13"/>
  <c r="G385" i="13"/>
  <c r="G394" i="13"/>
  <c r="G391" i="13"/>
  <c r="G393" i="13"/>
  <c r="G390" i="13"/>
  <c r="S96" i="13"/>
  <c r="S89" i="13"/>
  <c r="S93" i="13"/>
  <c r="S86" i="13"/>
  <c r="S84" i="13"/>
  <c r="S92" i="13"/>
  <c r="S88" i="13"/>
  <c r="S90" i="13"/>
  <c r="S94" i="13"/>
  <c r="S85" i="13"/>
  <c r="S91" i="13"/>
  <c r="S95" i="13"/>
  <c r="S87" i="13"/>
  <c r="S25" i="13"/>
  <c r="S20" i="13"/>
  <c r="S21" i="13"/>
  <c r="S22" i="13"/>
  <c r="S23" i="13"/>
  <c r="S24" i="13"/>
  <c r="F21" i="13"/>
  <c r="F24" i="13"/>
  <c r="F26" i="13"/>
  <c r="F23" i="13"/>
  <c r="S26" i="13"/>
  <c r="F20" i="13"/>
  <c r="F1649" i="1" s="1"/>
  <c r="F22" i="13"/>
  <c r="F25" i="13"/>
  <c r="H1868" i="1"/>
  <c r="S134" i="6"/>
  <c r="S295" i="6"/>
  <c r="S300" i="6"/>
  <c r="G164" i="13"/>
  <c r="G165" i="13"/>
  <c r="G157" i="13"/>
  <c r="G156" i="13"/>
  <c r="G162" i="13"/>
  <c r="G158" i="13"/>
  <c r="G161" i="13"/>
  <c r="G159" i="13"/>
  <c r="G163" i="13"/>
  <c r="G167" i="13"/>
  <c r="G160" i="13"/>
  <c r="G166" i="13"/>
  <c r="S1216" i="13"/>
  <c r="F1216" i="13"/>
  <c r="F1218" i="13"/>
  <c r="S1215" i="13"/>
  <c r="F1894" i="1"/>
  <c r="F1215" i="13"/>
  <c r="S1218" i="13"/>
  <c r="S1214" i="13"/>
  <c r="F1217" i="13"/>
  <c r="F1214" i="13"/>
  <c r="G452" i="6"/>
  <c r="G451" i="6"/>
  <c r="G453" i="6"/>
  <c r="G454" i="6"/>
  <c r="F386" i="6"/>
  <c r="S387" i="6"/>
  <c r="F1773" i="1"/>
  <c r="L1272" i="13" s="1"/>
  <c r="S386" i="6"/>
  <c r="F387" i="6"/>
  <c r="S968" i="13"/>
  <c r="S972" i="13"/>
  <c r="S971" i="13"/>
  <c r="F972" i="13"/>
  <c r="S969" i="13"/>
  <c r="F958" i="13"/>
  <c r="S958" i="13"/>
  <c r="F961" i="13"/>
  <c r="S963" i="13"/>
  <c r="F968" i="13"/>
  <c r="S959" i="13"/>
  <c r="S964" i="13"/>
  <c r="S965" i="13"/>
  <c r="S956" i="13"/>
  <c r="F959" i="13"/>
  <c r="S973" i="13"/>
  <c r="F955" i="13"/>
  <c r="F953" i="13"/>
  <c r="F962" i="13"/>
  <c r="F1849" i="1"/>
  <c r="F965" i="13"/>
  <c r="S957" i="13"/>
  <c r="S960" i="13"/>
  <c r="F967" i="13"/>
  <c r="F971" i="13"/>
  <c r="F970" i="13"/>
  <c r="F963" i="13"/>
  <c r="F969" i="13"/>
  <c r="F954" i="13"/>
  <c r="F956" i="13"/>
  <c r="F973" i="13"/>
  <c r="S966" i="13"/>
  <c r="S954" i="13"/>
  <c r="S962" i="13"/>
  <c r="F964" i="13"/>
  <c r="S953" i="13"/>
  <c r="F957" i="13"/>
  <c r="S961" i="13"/>
  <c r="F960" i="13"/>
  <c r="S955" i="13"/>
  <c r="F966" i="13"/>
  <c r="S970" i="13"/>
  <c r="F275" i="13"/>
  <c r="F270" i="13"/>
  <c r="F272" i="13"/>
  <c r="S273" i="13"/>
  <c r="F271" i="13"/>
  <c r="F274" i="13"/>
  <c r="F273" i="13"/>
  <c r="S272" i="13"/>
  <c r="S270" i="13"/>
  <c r="F269" i="13"/>
  <c r="F1684" i="1" s="1"/>
  <c r="F277" i="13"/>
  <c r="S269" i="13"/>
  <c r="S275" i="13"/>
  <c r="S276" i="13"/>
  <c r="F276" i="13"/>
  <c r="S274" i="13"/>
  <c r="S271" i="13"/>
  <c r="S1220" i="13"/>
  <c r="S1221" i="13"/>
  <c r="F1220" i="13"/>
  <c r="F1219" i="13"/>
  <c r="S1219" i="13"/>
  <c r="F1223" i="13"/>
  <c r="S1223" i="13"/>
  <c r="S1222" i="13"/>
  <c r="F1221" i="13"/>
  <c r="F1222" i="13"/>
  <c r="F1895" i="1"/>
  <c r="L383" i="4" s="1"/>
  <c r="S1151" i="13"/>
  <c r="S1149" i="13"/>
  <c r="F1150" i="13"/>
  <c r="G153" i="6"/>
  <c r="G159" i="6"/>
  <c r="G147" i="6"/>
  <c r="G141" i="6"/>
  <c r="G149" i="6"/>
  <c r="G160" i="6"/>
  <c r="G163" i="6"/>
  <c r="G166" i="6"/>
  <c r="G155" i="6"/>
  <c r="G244" i="6"/>
  <c r="G246" i="6"/>
  <c r="G245" i="6"/>
  <c r="G248" i="6"/>
  <c r="G247" i="6"/>
  <c r="G249" i="6"/>
  <c r="F507" i="13"/>
  <c r="F506" i="13"/>
  <c r="F1745" i="1" s="1"/>
  <c r="S506" i="13"/>
  <c r="S507" i="13"/>
  <c r="G1235" i="13"/>
  <c r="G1238" i="13"/>
  <c r="G1234" i="13"/>
  <c r="G1237" i="13"/>
  <c r="G99" i="6"/>
  <c r="G98" i="6"/>
  <c r="G97" i="6"/>
  <c r="G100" i="6"/>
  <c r="G96" i="6"/>
  <c r="G95" i="6"/>
  <c r="G1201" i="13"/>
  <c r="G1196" i="13"/>
  <c r="G1197" i="13"/>
  <c r="S395" i="13"/>
  <c r="S396" i="13"/>
  <c r="S392" i="13"/>
  <c r="F404" i="13"/>
  <c r="S390" i="13"/>
  <c r="S386" i="13"/>
  <c r="S388" i="13"/>
  <c r="S402" i="13"/>
  <c r="F397" i="13"/>
  <c r="S398" i="13"/>
  <c r="F401" i="13"/>
  <c r="F393" i="13"/>
  <c r="S243" i="6"/>
  <c r="S242" i="6"/>
  <c r="F243" i="6"/>
  <c r="F242" i="6"/>
  <c r="F1749" i="1" s="1"/>
  <c r="G72" i="6"/>
  <c r="G73" i="6"/>
  <c r="G431" i="13"/>
  <c r="G433" i="13"/>
  <c r="S307" i="13"/>
  <c r="G741" i="13"/>
  <c r="G744" i="13"/>
  <c r="G736" i="13"/>
  <c r="F643" i="13"/>
  <c r="F296" i="6"/>
  <c r="F293" i="6"/>
  <c r="G835" i="13"/>
  <c r="G834" i="13"/>
  <c r="G833" i="13"/>
  <c r="G368" i="6"/>
  <c r="G369" i="6"/>
  <c r="F70" i="13"/>
  <c r="F74" i="13"/>
  <c r="F75" i="13"/>
  <c r="S72" i="13"/>
  <c r="S69" i="13"/>
  <c r="S70" i="13"/>
  <c r="S71" i="13"/>
  <c r="S74" i="13"/>
  <c r="S75" i="13"/>
  <c r="S73" i="13"/>
  <c r="F71" i="13"/>
  <c r="F72" i="13"/>
  <c r="F69" i="13"/>
  <c r="F1657" i="1" s="1"/>
  <c r="F73" i="13"/>
  <c r="F311" i="13"/>
  <c r="F1690" i="1" s="1"/>
  <c r="F318" i="13"/>
  <c r="S313" i="13"/>
  <c r="S311" i="13"/>
  <c r="F317" i="13"/>
  <c r="F313" i="13"/>
  <c r="S316" i="13"/>
  <c r="S312" i="13"/>
  <c r="F314" i="13"/>
  <c r="F316" i="13"/>
  <c r="S315" i="13"/>
  <c r="S317" i="13"/>
  <c r="F312" i="13"/>
  <c r="F315" i="13"/>
  <c r="S314" i="13"/>
  <c r="S318" i="13"/>
  <c r="G411" i="13"/>
  <c r="G417" i="13"/>
  <c r="G419" i="13"/>
  <c r="G416" i="13"/>
  <c r="G414" i="13"/>
  <c r="G413" i="13"/>
  <c r="G418" i="13"/>
  <c r="G421" i="13"/>
  <c r="G420" i="13"/>
  <c r="G422" i="13"/>
  <c r="G412" i="13"/>
  <c r="G415" i="13"/>
  <c r="G410" i="13"/>
  <c r="G712" i="13"/>
  <c r="G709" i="13"/>
  <c r="G715" i="13"/>
  <c r="G710" i="13"/>
  <c r="G714" i="13"/>
  <c r="G711" i="13"/>
  <c r="G713" i="13"/>
  <c r="G716" i="13"/>
  <c r="S986" i="13"/>
  <c r="F984" i="13"/>
  <c r="S987" i="13"/>
  <c r="F985" i="13"/>
  <c r="S985" i="13"/>
  <c r="S984" i="13"/>
  <c r="F986" i="13"/>
  <c r="F982" i="13"/>
  <c r="S983" i="13"/>
  <c r="S982" i="13"/>
  <c r="F983" i="13"/>
  <c r="F1851" i="1"/>
  <c r="F987" i="13"/>
  <c r="G1173" i="13"/>
  <c r="G1174" i="13"/>
  <c r="G1172" i="13"/>
  <c r="G1175" i="13"/>
  <c r="G1176" i="13"/>
  <c r="S949" i="13"/>
  <c r="S948" i="13"/>
  <c r="S945" i="13"/>
  <c r="F950" i="13"/>
  <c r="S951" i="13"/>
  <c r="F948" i="13"/>
  <c r="F951" i="13"/>
  <c r="F946" i="13"/>
  <c r="F949" i="13"/>
  <c r="F952" i="13"/>
  <c r="S947" i="13"/>
  <c r="S946" i="13"/>
  <c r="F1848" i="1"/>
  <c r="S952" i="13"/>
  <c r="F945" i="13"/>
  <c r="S950" i="13"/>
  <c r="F947" i="13"/>
  <c r="G1078" i="13"/>
  <c r="G1077" i="13"/>
  <c r="G1089" i="13"/>
  <c r="G1092" i="13"/>
  <c r="G1091" i="13"/>
  <c r="S1190" i="13"/>
  <c r="S1187" i="13"/>
  <c r="S1188" i="13"/>
  <c r="S1189" i="13"/>
  <c r="S1186" i="13"/>
  <c r="F436" i="13"/>
  <c r="S438" i="13"/>
  <c r="S187" i="6"/>
  <c r="S211" i="6"/>
  <c r="S201" i="6"/>
  <c r="S202" i="6"/>
  <c r="S204" i="6"/>
  <c r="F190" i="6"/>
  <c r="S222" i="6"/>
  <c r="S200" i="6"/>
  <c r="F207" i="6"/>
  <c r="F200" i="6"/>
  <c r="S209" i="6"/>
  <c r="F185" i="6"/>
  <c r="F1743" i="1" s="1"/>
  <c r="S214" i="6"/>
  <c r="S220" i="6"/>
  <c r="F189" i="6"/>
  <c r="F201" i="6"/>
  <c r="F191" i="6"/>
  <c r="F194" i="6"/>
  <c r="F221" i="6"/>
  <c r="S191" i="6"/>
  <c r="F335" i="6"/>
  <c r="S331" i="6"/>
  <c r="G306" i="13"/>
  <c r="S222" i="13"/>
  <c r="S221" i="13"/>
  <c r="F219" i="13"/>
  <c r="S223" i="13"/>
  <c r="S219" i="13"/>
  <c r="F218" i="13"/>
  <c r="F1677" i="1" s="1"/>
  <c r="F221" i="13"/>
  <c r="S220" i="13"/>
  <c r="F220" i="13"/>
  <c r="S218" i="13"/>
  <c r="F223" i="13"/>
  <c r="G439" i="13"/>
  <c r="G441" i="13"/>
  <c r="G442" i="13"/>
  <c r="G440" i="13"/>
  <c r="G254" i="6"/>
  <c r="G253" i="6"/>
  <c r="G255" i="6"/>
  <c r="G256" i="6"/>
  <c r="G269" i="6"/>
  <c r="G273" i="6"/>
  <c r="G274" i="6"/>
  <c r="G272" i="6"/>
  <c r="G275" i="6"/>
  <c r="G271" i="6"/>
  <c r="G270" i="6"/>
  <c r="F171" i="13"/>
  <c r="F169" i="13"/>
  <c r="F173" i="13"/>
  <c r="S173" i="13"/>
  <c r="F170" i="13"/>
  <c r="S171" i="13"/>
  <c r="F172" i="13"/>
  <c r="S170" i="13"/>
  <c r="F168" i="13"/>
  <c r="F1669" i="1" s="1"/>
  <c r="S168" i="13"/>
  <c r="S172" i="13"/>
  <c r="S169" i="13"/>
  <c r="F504" i="13"/>
  <c r="F1723" i="1" s="1"/>
  <c r="H1723" i="1" s="1"/>
  <c r="F505" i="13"/>
  <c r="S505" i="13"/>
  <c r="S504" i="13"/>
  <c r="G717" i="13"/>
  <c r="G725" i="13"/>
  <c r="G723" i="13"/>
  <c r="F382" i="13"/>
  <c r="F1702" i="1" s="1"/>
  <c r="S382" i="13"/>
  <c r="S383" i="13"/>
  <c r="F383" i="13"/>
  <c r="S1115" i="13"/>
  <c r="F1116" i="13"/>
  <c r="S1116" i="13"/>
  <c r="S1120" i="13"/>
  <c r="S462" i="13"/>
  <c r="F462" i="13"/>
  <c r="S458" i="13"/>
  <c r="G994" i="13"/>
  <c r="G996" i="13"/>
  <c r="G993" i="13"/>
  <c r="G325" i="6"/>
  <c r="S304" i="13"/>
  <c r="F181" i="13"/>
  <c r="L175" i="13"/>
  <c r="S737" i="13"/>
  <c r="F1810" i="1"/>
  <c r="F743" i="13"/>
  <c r="F737" i="13"/>
  <c r="F744" i="13"/>
  <c r="F736" i="13"/>
  <c r="S298" i="6"/>
  <c r="S293" i="6"/>
  <c r="F1110" i="13"/>
  <c r="S1113" i="13"/>
  <c r="S1110" i="13"/>
  <c r="F1113" i="13"/>
  <c r="F1111" i="13"/>
  <c r="F1114" i="13"/>
  <c r="F1109" i="13"/>
  <c r="S1109" i="13"/>
  <c r="F1112" i="13"/>
  <c r="S1112" i="13"/>
  <c r="S1111" i="13"/>
  <c r="F1871" i="1"/>
  <c r="S1114" i="13"/>
  <c r="S1084" i="13"/>
  <c r="S1080" i="13"/>
  <c r="F1079" i="13"/>
  <c r="F1864" i="1"/>
  <c r="F1081" i="13"/>
  <c r="F1084" i="13"/>
  <c r="F1083" i="13"/>
  <c r="F1080" i="13"/>
  <c r="F1082" i="13"/>
  <c r="S1082" i="13"/>
  <c r="S1081" i="13"/>
  <c r="S1083" i="13"/>
  <c r="S1079" i="13"/>
  <c r="F841" i="13"/>
  <c r="F839" i="13"/>
  <c r="S841" i="13"/>
  <c r="S838" i="13"/>
  <c r="F843" i="13"/>
  <c r="F836" i="13"/>
  <c r="S836" i="13"/>
  <c r="S843" i="13"/>
  <c r="F842" i="13"/>
  <c r="F838" i="13"/>
  <c r="F837" i="13"/>
  <c r="S840" i="13"/>
  <c r="S839" i="13"/>
  <c r="F840" i="13"/>
  <c r="F1835" i="1"/>
  <c r="L554" i="4" s="1"/>
  <c r="S842" i="13"/>
  <c r="S837" i="13"/>
  <c r="F1882" i="1"/>
  <c r="S1087" i="13"/>
  <c r="F1086" i="13"/>
  <c r="S1088" i="13"/>
  <c r="S1085" i="13"/>
  <c r="S1086" i="13"/>
  <c r="F1085" i="13"/>
  <c r="F1088" i="13"/>
  <c r="F1087" i="13"/>
  <c r="G1154" i="13"/>
  <c r="G1153" i="13"/>
  <c r="G1152" i="13"/>
  <c r="G1155" i="13"/>
  <c r="F468" i="6"/>
  <c r="S472" i="6"/>
  <c r="F470" i="6"/>
  <c r="F462" i="6"/>
  <c r="S458" i="6"/>
  <c r="F458" i="6"/>
  <c r="S468" i="6"/>
  <c r="S465" i="6"/>
  <c r="F464" i="6"/>
  <c r="S460" i="6"/>
  <c r="F472" i="6"/>
  <c r="F469" i="6"/>
  <c r="S461" i="6"/>
  <c r="S463" i="6"/>
  <c r="S459" i="6"/>
  <c r="S469" i="6"/>
  <c r="S471" i="6"/>
  <c r="S464" i="6"/>
  <c r="F457" i="6"/>
  <c r="S456" i="6"/>
  <c r="S462" i="6"/>
  <c r="F466" i="6"/>
  <c r="F455" i="6"/>
  <c r="F471" i="6"/>
  <c r="F461" i="6"/>
  <c r="F465" i="6"/>
  <c r="F459" i="6"/>
  <c r="S457" i="6"/>
  <c r="F460" i="6"/>
  <c r="S455" i="6"/>
  <c r="F456" i="6"/>
  <c r="S466" i="6"/>
  <c r="S467" i="6"/>
  <c r="F463" i="6"/>
  <c r="S470" i="6"/>
  <c r="F1820" i="1"/>
  <c r="F467" i="6"/>
  <c r="G806" i="13"/>
  <c r="G801" i="13"/>
  <c r="G803" i="13"/>
  <c r="G802" i="13"/>
  <c r="G810" i="13"/>
  <c r="G807" i="13"/>
  <c r="G804" i="13"/>
  <c r="G808" i="13"/>
  <c r="G805" i="13"/>
  <c r="G809" i="13"/>
  <c r="G632" i="13"/>
  <c r="G631" i="13"/>
  <c r="G633" i="13"/>
  <c r="G629" i="13"/>
  <c r="G627" i="13"/>
  <c r="G625" i="13"/>
  <c r="G626" i="13"/>
  <c r="G630" i="13"/>
  <c r="G628" i="13"/>
  <c r="G231" i="6"/>
  <c r="S920" i="13"/>
  <c r="S904" i="13"/>
  <c r="S916" i="13"/>
  <c r="S900" i="13"/>
  <c r="S915" i="13"/>
  <c r="S899" i="13"/>
  <c r="S910" i="13"/>
  <c r="S925" i="13"/>
  <c r="S909" i="13"/>
  <c r="S924" i="13"/>
  <c r="S908" i="13"/>
  <c r="S923" i="13"/>
  <c r="S907" i="13"/>
  <c r="S918" i="13"/>
  <c r="S902" i="13"/>
  <c r="S917" i="13"/>
  <c r="S901" i="13"/>
  <c r="S896" i="13"/>
  <c r="S922" i="13"/>
  <c r="S921" i="13"/>
  <c r="S919" i="13"/>
  <c r="S914" i="13"/>
  <c r="S913" i="13"/>
  <c r="S911" i="13"/>
  <c r="S906" i="13"/>
  <c r="S905" i="13"/>
  <c r="S912" i="13"/>
  <c r="S903" i="13"/>
  <c r="S898" i="13"/>
  <c r="S897" i="13"/>
  <c r="F818" i="13"/>
  <c r="F817" i="13"/>
  <c r="F1831" i="1"/>
  <c r="S816" i="13"/>
  <c r="S819" i="13"/>
  <c r="S817" i="13"/>
  <c r="F816" i="13"/>
  <c r="F815" i="13"/>
  <c r="S820" i="13"/>
  <c r="F820" i="13"/>
  <c r="S818" i="13"/>
  <c r="F819" i="13"/>
  <c r="S815" i="13"/>
  <c r="S428" i="13"/>
  <c r="S589" i="13"/>
  <c r="G438" i="13"/>
  <c r="G188" i="6"/>
  <c r="G191" i="6"/>
  <c r="G201" i="6"/>
  <c r="G222" i="6"/>
  <c r="G185" i="6"/>
  <c r="G187" i="6"/>
  <c r="G210" i="6"/>
  <c r="G212" i="6"/>
  <c r="G220" i="6"/>
  <c r="G219" i="6"/>
  <c r="S329" i="6"/>
  <c r="S336" i="6"/>
  <c r="G309" i="13"/>
  <c r="R635" i="13"/>
  <c r="P635" i="13"/>
  <c r="G367" i="13"/>
  <c r="G366" i="13"/>
  <c r="G368" i="13"/>
  <c r="G62" i="6"/>
  <c r="G64" i="6"/>
  <c r="G63" i="6"/>
  <c r="G241" i="13"/>
  <c r="G244" i="13"/>
  <c r="G240" i="13"/>
  <c r="G239" i="13"/>
  <c r="G243" i="13"/>
  <c r="G85" i="6"/>
  <c r="G87" i="6"/>
  <c r="G86" i="6"/>
  <c r="F234" i="13"/>
  <c r="S231" i="13"/>
  <c r="S235" i="13"/>
  <c r="S236" i="13"/>
  <c r="S233" i="13"/>
  <c r="F238" i="13"/>
  <c r="S232" i="13"/>
  <c r="F235" i="13"/>
  <c r="F232" i="13"/>
  <c r="F233" i="13"/>
  <c r="S237" i="13"/>
  <c r="S238" i="13"/>
  <c r="S234" i="13"/>
  <c r="F231" i="13"/>
  <c r="F1679" i="1" s="1"/>
  <c r="H1679" i="1" s="1"/>
  <c r="F236" i="13"/>
  <c r="F237" i="13"/>
  <c r="G168" i="6"/>
  <c r="F723" i="13"/>
  <c r="F721" i="13"/>
  <c r="S724" i="13"/>
  <c r="S727" i="13"/>
  <c r="S720" i="13"/>
  <c r="S718" i="13"/>
  <c r="S426" i="13"/>
  <c r="S425" i="13"/>
  <c r="S424" i="13"/>
  <c r="S423" i="13"/>
  <c r="F425" i="13"/>
  <c r="F423" i="13"/>
  <c r="F1706" i="1" s="1"/>
  <c r="F424" i="13"/>
  <c r="F426" i="13"/>
  <c r="S32" i="6"/>
  <c r="S33" i="6"/>
  <c r="F34" i="6"/>
  <c r="F32" i="6"/>
  <c r="F1725" i="1" s="1"/>
  <c r="F33" i="6"/>
  <c r="S35" i="6"/>
  <c r="F35" i="6"/>
  <c r="S34" i="6"/>
  <c r="G459" i="13"/>
  <c r="F56" i="13"/>
  <c r="F54" i="13"/>
  <c r="S56" i="13"/>
  <c r="S57" i="13"/>
  <c r="F55" i="13"/>
  <c r="F57" i="13"/>
  <c r="F58" i="13"/>
  <c r="S55" i="13"/>
  <c r="S58" i="13"/>
  <c r="S53" i="13"/>
  <c r="F53" i="13"/>
  <c r="F1654" i="1" s="1"/>
  <c r="S54" i="13"/>
  <c r="F41" i="6"/>
  <c r="F39" i="6"/>
  <c r="F1727" i="1" s="1"/>
  <c r="S41" i="6"/>
  <c r="F40" i="6"/>
  <c r="S39" i="6"/>
  <c r="S40" i="6"/>
  <c r="G1115" i="13"/>
  <c r="G464" i="13"/>
  <c r="G463" i="13"/>
  <c r="S189" i="13"/>
  <c r="R619" i="13"/>
  <c r="P619" i="13"/>
  <c r="F1048" i="13"/>
  <c r="S1048" i="13"/>
  <c r="F1045" i="13"/>
  <c r="F999" i="13"/>
  <c r="F995" i="13"/>
  <c r="S991" i="13"/>
  <c r="F991" i="13"/>
  <c r="S992" i="13"/>
  <c r="S988" i="13"/>
  <c r="F302" i="13"/>
  <c r="F1689" i="1" s="1"/>
  <c r="S629" i="13"/>
  <c r="G370" i="13"/>
  <c r="H1789" i="1"/>
  <c r="L648" i="13"/>
  <c r="R596" i="13"/>
  <c r="P596" i="13"/>
  <c r="P617" i="13"/>
  <c r="R617" i="13"/>
  <c r="S575" i="13"/>
  <c r="F579" i="13"/>
  <c r="F1763" i="1"/>
  <c r="F628" i="13"/>
  <c r="F1783" i="1"/>
  <c r="S626" i="13"/>
  <c r="S628" i="13"/>
  <c r="G456" i="13"/>
  <c r="G310" i="13"/>
  <c r="S372" i="13"/>
  <c r="F369" i="13"/>
  <c r="F1698" i="1" s="1"/>
  <c r="S967" i="13"/>
  <c r="L649" i="13"/>
  <c r="H1790" i="1"/>
  <c r="G576" i="13"/>
  <c r="G580" i="13"/>
  <c r="F455" i="13"/>
  <c r="F453" i="13"/>
  <c r="S452" i="13"/>
  <c r="S1135" i="13"/>
  <c r="S1133" i="13"/>
  <c r="S1132" i="13"/>
  <c r="R1062" i="13"/>
  <c r="P1062" i="13"/>
  <c r="S631" i="13"/>
  <c r="S1124" i="13"/>
  <c r="S1127" i="13"/>
  <c r="S123" i="6"/>
  <c r="F120" i="6"/>
  <c r="F117" i="6"/>
  <c r="F103" i="6"/>
  <c r="S136" i="6"/>
  <c r="S102" i="6"/>
  <c r="F102" i="6"/>
  <c r="F101" i="6"/>
  <c r="F1740" i="1" s="1"/>
  <c r="F122" i="6"/>
  <c r="F140" i="6"/>
  <c r="F139" i="6"/>
  <c r="F133" i="6"/>
  <c r="S117" i="6"/>
  <c r="S113" i="6"/>
  <c r="F118" i="6"/>
  <c r="F121" i="6"/>
  <c r="S138" i="6"/>
  <c r="F109" i="6"/>
  <c r="S122" i="6"/>
  <c r="S127" i="6"/>
  <c r="G589" i="13"/>
  <c r="G588" i="13"/>
  <c r="G584" i="13"/>
  <c r="F822" i="13"/>
  <c r="S824" i="13"/>
  <c r="F825" i="13"/>
  <c r="G374" i="13"/>
  <c r="G1038" i="13"/>
  <c r="G1036" i="13"/>
  <c r="L637" i="13"/>
  <c r="H1786" i="1"/>
  <c r="S577" i="13"/>
  <c r="G134" i="6"/>
  <c r="G108" i="6"/>
  <c r="G131" i="6"/>
  <c r="G118" i="6"/>
  <c r="G102" i="6"/>
  <c r="G133" i="6"/>
  <c r="G113" i="6"/>
  <c r="G139" i="6"/>
  <c r="G120" i="6"/>
  <c r="G105" i="6"/>
  <c r="G825" i="13"/>
  <c r="G826" i="13"/>
  <c r="S374" i="13"/>
  <c r="S1036" i="13"/>
  <c r="S1039" i="13"/>
  <c r="F1038" i="13"/>
  <c r="F1037" i="13"/>
  <c r="G62" i="13"/>
  <c r="F136" i="13"/>
  <c r="F137" i="13"/>
  <c r="S138" i="13"/>
  <c r="F135" i="13"/>
  <c r="F1665" i="1" s="1"/>
  <c r="H1665" i="1" s="1"/>
  <c r="S136" i="13"/>
  <c r="S137" i="13"/>
  <c r="F138" i="13"/>
  <c r="S135" i="13"/>
  <c r="F1014" i="13"/>
  <c r="F1855" i="1"/>
  <c r="F1013" i="13"/>
  <c r="S1019" i="13"/>
  <c r="S1011" i="13"/>
  <c r="F1019" i="13"/>
  <c r="F1018" i="13"/>
  <c r="S1018" i="13"/>
  <c r="S1013" i="13"/>
  <c r="S1010" i="13"/>
  <c r="F1010" i="13"/>
  <c r="F1016" i="13"/>
  <c r="F1017" i="13"/>
  <c r="S1012" i="13"/>
  <c r="S1014" i="13"/>
  <c r="S1017" i="13"/>
  <c r="F1011" i="13"/>
  <c r="F1015" i="13"/>
  <c r="F1012" i="13"/>
  <c r="S1015" i="13"/>
  <c r="S1016" i="13"/>
  <c r="G319" i="13"/>
  <c r="G326" i="13"/>
  <c r="G329" i="13"/>
  <c r="G328" i="13"/>
  <c r="G323" i="13"/>
  <c r="G322" i="13"/>
  <c r="G327" i="13"/>
  <c r="G324" i="13"/>
  <c r="G325" i="13"/>
  <c r="G321" i="13"/>
  <c r="G330" i="13"/>
  <c r="F300" i="13"/>
  <c r="F301" i="13"/>
  <c r="F299" i="13"/>
  <c r="F1688" i="1" s="1"/>
  <c r="H1688" i="1" s="1"/>
  <c r="S301" i="13"/>
  <c r="S299" i="13"/>
  <c r="S300" i="13"/>
  <c r="G154" i="13"/>
  <c r="G155" i="13"/>
  <c r="G153" i="13"/>
  <c r="G367" i="6"/>
  <c r="G363" i="6"/>
  <c r="G365" i="6"/>
  <c r="G366" i="6"/>
  <c r="G364" i="6"/>
  <c r="F790" i="13"/>
  <c r="F798" i="13"/>
  <c r="F787" i="13"/>
  <c r="S792" i="13"/>
  <c r="S798" i="13"/>
  <c r="S790" i="13"/>
  <c r="F792" i="13"/>
  <c r="F796" i="13"/>
  <c r="F799" i="13"/>
  <c r="S799" i="13"/>
  <c r="S796" i="13"/>
  <c r="S797" i="13"/>
  <c r="S788" i="13"/>
  <c r="F1827" i="1"/>
  <c r="H1827" i="1" s="1"/>
  <c r="F797" i="13"/>
  <c r="F800" i="13"/>
  <c r="S787" i="13"/>
  <c r="S794" i="13"/>
  <c r="S793" i="13"/>
  <c r="S795" i="13"/>
  <c r="F788" i="13"/>
  <c r="F789" i="13"/>
  <c r="F793" i="13"/>
  <c r="F795" i="13"/>
  <c r="S800" i="13"/>
  <c r="S791" i="13"/>
  <c r="S789" i="13"/>
  <c r="F791" i="13"/>
  <c r="F794" i="13"/>
  <c r="G1149" i="13"/>
  <c r="G450" i="13"/>
  <c r="G448" i="13"/>
  <c r="G446" i="13"/>
  <c r="G447" i="13"/>
  <c r="G444" i="13"/>
  <c r="G445" i="13"/>
  <c r="G443" i="13"/>
  <c r="G449" i="13"/>
  <c r="F254" i="13"/>
  <c r="S255" i="13"/>
  <c r="S254" i="13"/>
  <c r="S253" i="13"/>
  <c r="F253" i="13"/>
  <c r="F252" i="13"/>
  <c r="F1682" i="1" s="1"/>
  <c r="L59" i="4" s="1"/>
  <c r="F255" i="13"/>
  <c r="S252" i="13"/>
  <c r="F60" i="6"/>
  <c r="S59" i="6"/>
  <c r="S60" i="6"/>
  <c r="F59" i="6"/>
  <c r="F1734" i="1" s="1"/>
  <c r="G67" i="6"/>
  <c r="G65" i="6"/>
  <c r="G66" i="6"/>
  <c r="F258" i="6"/>
  <c r="F266" i="6"/>
  <c r="F265" i="6"/>
  <c r="S265" i="6"/>
  <c r="S258" i="6"/>
  <c r="S259" i="6"/>
  <c r="F268" i="6"/>
  <c r="F264" i="6"/>
  <c r="F263" i="6"/>
  <c r="S266" i="6"/>
  <c r="S267" i="6"/>
  <c r="S257" i="6"/>
  <c r="F261" i="6"/>
  <c r="F257" i="6"/>
  <c r="F1757" i="1" s="1"/>
  <c r="F262" i="6"/>
  <c r="S260" i="6"/>
  <c r="S268" i="6"/>
  <c r="S262" i="6"/>
  <c r="F260" i="6"/>
  <c r="F267" i="6"/>
  <c r="F259" i="6"/>
  <c r="S261" i="6"/>
  <c r="S263" i="6"/>
  <c r="S264" i="6"/>
  <c r="F1200" i="13"/>
  <c r="F1201" i="13"/>
  <c r="F1202" i="13"/>
  <c r="F1892" i="1"/>
  <c r="S1199" i="13"/>
  <c r="G398" i="13"/>
  <c r="G400" i="13"/>
  <c r="G384" i="13"/>
  <c r="G401" i="13"/>
  <c r="G396" i="13"/>
  <c r="H1674" i="1"/>
  <c r="G22" i="13"/>
  <c r="G26" i="13"/>
  <c r="G20" i="13"/>
  <c r="G24" i="13"/>
  <c r="G25" i="13"/>
  <c r="G21" i="13"/>
  <c r="G23" i="13"/>
  <c r="S266" i="13"/>
  <c r="S262" i="13"/>
  <c r="S267" i="13"/>
  <c r="S268" i="13"/>
  <c r="S256" i="13"/>
  <c r="S259" i="13"/>
  <c r="S257" i="13"/>
  <c r="S260" i="13"/>
  <c r="S261" i="13"/>
  <c r="S265" i="13"/>
  <c r="S258" i="13"/>
  <c r="S264" i="13"/>
  <c r="S263" i="13"/>
  <c r="H1672" i="1"/>
  <c r="F454" i="13"/>
  <c r="S302" i="6"/>
  <c r="F289" i="6"/>
  <c r="G337" i="13"/>
  <c r="G333" i="13"/>
  <c r="G331" i="13"/>
  <c r="G334" i="13"/>
  <c r="G336" i="13"/>
  <c r="G332" i="13"/>
  <c r="G335" i="13"/>
  <c r="G338" i="13"/>
  <c r="S1247" i="13"/>
  <c r="S1248" i="13"/>
  <c r="S1249" i="13"/>
  <c r="F1900" i="1"/>
  <c r="F1248" i="13"/>
  <c r="F1249" i="13"/>
  <c r="F1247" i="13"/>
  <c r="G856" i="13"/>
  <c r="G855" i="13"/>
  <c r="G850" i="13"/>
  <c r="G849" i="13"/>
  <c r="G851" i="13"/>
  <c r="G845" i="13"/>
  <c r="G847" i="13"/>
  <c r="G852" i="13"/>
  <c r="G846" i="13"/>
  <c r="G848" i="13"/>
  <c r="G857" i="13"/>
  <c r="G844" i="13"/>
  <c r="G854" i="13"/>
  <c r="G853" i="13"/>
  <c r="G359" i="6"/>
  <c r="G340" i="6"/>
  <c r="G352" i="6"/>
  <c r="G342" i="6"/>
  <c r="G349" i="6"/>
  <c r="G347" i="6"/>
  <c r="G339" i="6"/>
  <c r="G355" i="6"/>
  <c r="G341" i="6"/>
  <c r="G345" i="6"/>
  <c r="G344" i="6"/>
  <c r="G351" i="6"/>
  <c r="G354" i="6"/>
  <c r="G356" i="6"/>
  <c r="G348" i="6"/>
  <c r="G353" i="6"/>
  <c r="G343" i="6"/>
  <c r="G346" i="6"/>
  <c r="G358" i="6"/>
  <c r="G357" i="6"/>
  <c r="G350" i="6"/>
  <c r="G1058" i="13"/>
  <c r="G1053" i="13"/>
  <c r="G1060" i="13"/>
  <c r="G1061" i="13"/>
  <c r="G1059" i="13"/>
  <c r="G1056" i="13"/>
  <c r="G1057" i="13"/>
  <c r="G1054" i="13"/>
  <c r="G1055" i="13"/>
  <c r="F1002" i="13"/>
  <c r="F1854" i="1"/>
  <c r="H1854" i="1" s="1"/>
  <c r="S1001" i="13"/>
  <c r="S1003" i="13"/>
  <c r="F1005" i="13"/>
  <c r="F1008" i="13"/>
  <c r="F1007" i="13"/>
  <c r="S1009" i="13"/>
  <c r="S1004" i="13"/>
  <c r="F1006" i="13"/>
  <c r="F1004" i="13"/>
  <c r="F1001" i="13"/>
  <c r="S1002" i="13"/>
  <c r="S1000" i="13"/>
  <c r="S1007" i="13"/>
  <c r="F1003" i="13"/>
  <c r="F1000" i="13"/>
  <c r="S1008" i="13"/>
  <c r="S1005" i="13"/>
  <c r="S1006" i="13"/>
  <c r="G642" i="13"/>
  <c r="G644" i="13"/>
  <c r="G641" i="13"/>
  <c r="G643" i="13"/>
  <c r="G645" i="13"/>
  <c r="G646" i="13"/>
  <c r="F1825" i="1"/>
  <c r="L682" i="4" s="1"/>
  <c r="F534" i="13"/>
  <c r="S534" i="13"/>
  <c r="F535" i="13"/>
  <c r="S535" i="13"/>
  <c r="F873" i="13"/>
  <c r="F876" i="13"/>
  <c r="F865" i="13"/>
  <c r="F872" i="13"/>
  <c r="S865" i="13"/>
  <c r="S868" i="13"/>
  <c r="S866" i="13"/>
  <c r="F877" i="13"/>
  <c r="F875" i="13"/>
  <c r="F874" i="13"/>
  <c r="S869" i="13"/>
  <c r="S871" i="13"/>
  <c r="S877" i="13"/>
  <c r="S876" i="13"/>
  <c r="F866" i="13"/>
  <c r="F871" i="13"/>
  <c r="F867" i="13"/>
  <c r="S875" i="13"/>
  <c r="S870" i="13"/>
  <c r="S874" i="13"/>
  <c r="F868" i="13"/>
  <c r="F869" i="13"/>
  <c r="F1840" i="1"/>
  <c r="L560" i="4" s="1"/>
  <c r="F870" i="13"/>
  <c r="S872" i="13"/>
  <c r="S867" i="13"/>
  <c r="S873" i="13"/>
  <c r="G1224" i="13"/>
  <c r="G1226" i="13"/>
  <c r="G1225" i="13"/>
  <c r="G942" i="13"/>
  <c r="G943" i="13"/>
  <c r="G941" i="13"/>
  <c r="G940" i="13"/>
  <c r="G944" i="13"/>
  <c r="G937" i="13"/>
  <c r="G939" i="13"/>
  <c r="G938" i="13"/>
  <c r="F1147" i="13"/>
  <c r="F1878" i="1"/>
  <c r="H1878" i="1" s="1"/>
  <c r="S1150" i="13"/>
  <c r="G179" i="6"/>
  <c r="G172" i="6"/>
  <c r="G169" i="6"/>
  <c r="G165" i="6"/>
  <c r="G143" i="6"/>
  <c r="G146" i="6"/>
  <c r="G177" i="6"/>
  <c r="G161" i="6"/>
  <c r="G164" i="6"/>
  <c r="G302" i="13"/>
  <c r="F244" i="6"/>
  <c r="F1750" i="1" s="1"/>
  <c r="S244" i="6"/>
  <c r="F246" i="6"/>
  <c r="S246" i="6"/>
  <c r="S245" i="6"/>
  <c r="F245" i="6"/>
  <c r="F247" i="6"/>
  <c r="F1751" i="1" s="1"/>
  <c r="S248" i="6"/>
  <c r="S247" i="6"/>
  <c r="F248" i="6"/>
  <c r="F249" i="6"/>
  <c r="S249" i="6"/>
  <c r="G507" i="13"/>
  <c r="G506" i="13"/>
  <c r="S1236" i="13"/>
  <c r="S1234" i="13"/>
  <c r="F1236" i="13"/>
  <c r="S1238" i="13"/>
  <c r="S1235" i="13"/>
  <c r="F1235" i="13"/>
  <c r="F1238" i="13"/>
  <c r="F1237" i="13"/>
  <c r="F1234" i="13"/>
  <c r="S1237" i="13"/>
  <c r="F1897" i="1"/>
  <c r="L43" i="4" s="1"/>
  <c r="S97" i="6"/>
  <c r="F98" i="6"/>
  <c r="F96" i="6"/>
  <c r="S96" i="6"/>
  <c r="F95" i="6"/>
  <c r="F1739" i="1" s="1"/>
  <c r="F100" i="6"/>
  <c r="F97" i="6"/>
  <c r="S98" i="6"/>
  <c r="F99" i="6"/>
  <c r="S100" i="6"/>
  <c r="S99" i="6"/>
  <c r="S95" i="6"/>
  <c r="G1203" i="13"/>
  <c r="G1198" i="13"/>
  <c r="F390" i="13"/>
  <c r="F398" i="13"/>
  <c r="S391" i="13"/>
  <c r="S400" i="13"/>
  <c r="F386" i="13"/>
  <c r="S404" i="13"/>
  <c r="F391" i="13"/>
  <c r="S393" i="13"/>
  <c r="F405" i="13"/>
  <c r="F384" i="13"/>
  <c r="F1703" i="1" s="1"/>
  <c r="G242" i="6"/>
  <c r="G243" i="6"/>
  <c r="F72" i="6"/>
  <c r="F1717" i="1" s="1"/>
  <c r="S73" i="6"/>
  <c r="F73" i="6"/>
  <c r="S72" i="6"/>
  <c r="G427" i="13"/>
  <c r="F305" i="13"/>
  <c r="G738" i="13"/>
  <c r="G739" i="13"/>
  <c r="S299" i="6"/>
  <c r="F297" i="6"/>
  <c r="F835" i="13"/>
  <c r="S833" i="13"/>
  <c r="F834" i="13"/>
  <c r="F1834" i="1"/>
  <c r="S834" i="13"/>
  <c r="S835" i="13"/>
  <c r="F833" i="13"/>
  <c r="F1767" i="1"/>
  <c r="F368" i="6"/>
  <c r="F369" i="6"/>
  <c r="S369" i="6"/>
  <c r="S368" i="6"/>
  <c r="G73" i="13"/>
  <c r="G71" i="13"/>
  <c r="G74" i="13"/>
  <c r="G75" i="13"/>
  <c r="G70" i="13"/>
  <c r="G72" i="13"/>
  <c r="G69" i="13"/>
  <c r="G318" i="13"/>
  <c r="G311" i="13"/>
  <c r="G314" i="13"/>
  <c r="G315" i="13"/>
  <c r="G313" i="13"/>
  <c r="G312" i="13"/>
  <c r="G316" i="13"/>
  <c r="F415" i="13"/>
  <c r="F416" i="13"/>
  <c r="F414" i="13"/>
  <c r="S413" i="13"/>
  <c r="F421" i="13"/>
  <c r="S414" i="13"/>
  <c r="S420" i="13"/>
  <c r="F412" i="13"/>
  <c r="S410" i="13"/>
  <c r="F419" i="13"/>
  <c r="F413" i="13"/>
  <c r="F410" i="13"/>
  <c r="F1705" i="1" s="1"/>
  <c r="S411" i="13"/>
  <c r="F420" i="13"/>
  <c r="S416" i="13"/>
  <c r="S422" i="13"/>
  <c r="F417" i="13"/>
  <c r="S418" i="13"/>
  <c r="S419" i="13"/>
  <c r="S412" i="13"/>
  <c r="F418" i="13"/>
  <c r="F422" i="13"/>
  <c r="F411" i="13"/>
  <c r="S421" i="13"/>
  <c r="S415" i="13"/>
  <c r="S417" i="13"/>
  <c r="S59" i="13"/>
  <c r="S63" i="13"/>
  <c r="F61" i="13"/>
  <c r="F60" i="13"/>
  <c r="S62" i="13"/>
  <c r="F59" i="13"/>
  <c r="F1655" i="1" s="1"/>
  <c r="F63" i="13"/>
  <c r="S60" i="13"/>
  <c r="S61" i="13"/>
  <c r="F62" i="13"/>
  <c r="F716" i="13"/>
  <c r="F714" i="13"/>
  <c r="S716" i="13"/>
  <c r="S713" i="13"/>
  <c r="F712" i="13"/>
  <c r="S709" i="13"/>
  <c r="S712" i="13"/>
  <c r="F709" i="13"/>
  <c r="F710" i="13"/>
  <c r="S715" i="13"/>
  <c r="F713" i="13"/>
  <c r="S710" i="13"/>
  <c r="F715" i="13"/>
  <c r="F711" i="13"/>
  <c r="F1807" i="1"/>
  <c r="S711" i="13"/>
  <c r="S714" i="13"/>
  <c r="G985" i="13"/>
  <c r="G984" i="13"/>
  <c r="G986" i="13"/>
  <c r="G983" i="13"/>
  <c r="G987" i="13"/>
  <c r="G982" i="13"/>
  <c r="F1885" i="1"/>
  <c r="F1173" i="13"/>
  <c r="S1174" i="13"/>
  <c r="F1176" i="13"/>
  <c r="S1173" i="13"/>
  <c r="S1172" i="13"/>
  <c r="F1175" i="13"/>
  <c r="F1174" i="13"/>
  <c r="S1176" i="13"/>
  <c r="F1172" i="13"/>
  <c r="S1175" i="13"/>
  <c r="G950" i="13"/>
  <c r="G952" i="13"/>
  <c r="G945" i="13"/>
  <c r="G948" i="13"/>
  <c r="G949" i="13"/>
  <c r="G947" i="13"/>
  <c r="G951" i="13"/>
  <c r="G946" i="13"/>
  <c r="S1078" i="13"/>
  <c r="S1077" i="13"/>
  <c r="F1077" i="13"/>
  <c r="F1078" i="13"/>
  <c r="F1883" i="1"/>
  <c r="F1091" i="13"/>
  <c r="S1092" i="13"/>
  <c r="F1865" i="1"/>
  <c r="F1089" i="13"/>
  <c r="S1090" i="13"/>
  <c r="F1090" i="13"/>
  <c r="S1089" i="13"/>
  <c r="F1092" i="13"/>
  <c r="S1091" i="13"/>
  <c r="S435" i="13"/>
  <c r="F438" i="13"/>
  <c r="S198" i="6"/>
  <c r="F212" i="6"/>
  <c r="F220" i="6"/>
  <c r="F215" i="6"/>
  <c r="S223" i="6"/>
  <c r="F199" i="6"/>
  <c r="S195" i="6"/>
  <c r="F202" i="6"/>
  <c r="F188" i="6"/>
  <c r="F219" i="6"/>
  <c r="F222" i="6"/>
  <c r="F214" i="6"/>
  <c r="S188" i="6"/>
  <c r="F196" i="6"/>
  <c r="S192" i="6"/>
  <c r="S215" i="6"/>
  <c r="S210" i="6"/>
  <c r="S217" i="6"/>
  <c r="S213" i="6"/>
  <c r="F328" i="6"/>
  <c r="G218" i="13"/>
  <c r="G221" i="13"/>
  <c r="G222" i="13"/>
  <c r="G219" i="13"/>
  <c r="G220" i="13"/>
  <c r="F439" i="13"/>
  <c r="F1710" i="1" s="1"/>
  <c r="S439" i="13"/>
  <c r="S440" i="13"/>
  <c r="F441" i="13"/>
  <c r="F442" i="13"/>
  <c r="S441" i="13"/>
  <c r="F440" i="13"/>
  <c r="S442" i="13"/>
  <c r="F254" i="6"/>
  <c r="F256" i="6"/>
  <c r="S255" i="6"/>
  <c r="S256" i="6"/>
  <c r="S253" i="6"/>
  <c r="F255" i="6"/>
  <c r="F253" i="6"/>
  <c r="F1753" i="1" s="1"/>
  <c r="F270" i="6"/>
  <c r="F271" i="6"/>
  <c r="S270" i="6"/>
  <c r="S269" i="6"/>
  <c r="S273" i="6"/>
  <c r="S275" i="6"/>
  <c r="F269" i="6"/>
  <c r="F1758" i="1" s="1"/>
  <c r="S271" i="6"/>
  <c r="F273" i="6"/>
  <c r="F275" i="6"/>
  <c r="F274" i="6"/>
  <c r="F272" i="6"/>
  <c r="S272" i="6"/>
  <c r="S274" i="6"/>
  <c r="G170" i="13"/>
  <c r="G172" i="13"/>
  <c r="G173" i="13"/>
  <c r="G171" i="13"/>
  <c r="G169" i="13"/>
  <c r="G505" i="13"/>
  <c r="G504" i="13"/>
  <c r="G718" i="13"/>
  <c r="G722" i="13"/>
  <c r="F57" i="6"/>
  <c r="F1733" i="1" s="1"/>
  <c r="F58" i="6"/>
  <c r="S58" i="6"/>
  <c r="S57" i="6"/>
  <c r="S37" i="6"/>
  <c r="F36" i="6"/>
  <c r="F1726" i="1" s="1"/>
  <c r="S36" i="6"/>
  <c r="F37" i="6"/>
  <c r="S38" i="6"/>
  <c r="F38" i="6"/>
  <c r="G362" i="13"/>
  <c r="G360" i="13"/>
  <c r="G361" i="13"/>
  <c r="S149" i="13"/>
  <c r="S152" i="13"/>
  <c r="S144" i="13"/>
  <c r="S147" i="13"/>
  <c r="S150" i="13"/>
  <c r="S148" i="13"/>
  <c r="S145" i="13"/>
  <c r="S141" i="13"/>
  <c r="S143" i="13"/>
  <c r="S140" i="13"/>
  <c r="S142" i="13"/>
  <c r="S139" i="13"/>
  <c r="S146" i="13"/>
  <c r="S151" i="13"/>
  <c r="S279" i="13"/>
  <c r="F279" i="13"/>
  <c r="S278" i="13"/>
  <c r="F281" i="13"/>
  <c r="S280" i="13"/>
  <c r="F278" i="13"/>
  <c r="F1685" i="1" s="1"/>
  <c r="S281" i="13"/>
  <c r="F280" i="13"/>
  <c r="F1115" i="13"/>
  <c r="F1872" i="1"/>
  <c r="F460" i="13"/>
  <c r="S459" i="13"/>
  <c r="S463" i="13"/>
  <c r="O149" i="4"/>
  <c r="M150" i="4"/>
  <c r="F1774" i="1"/>
  <c r="G995" i="13"/>
  <c r="G991" i="13"/>
  <c r="F307" i="13"/>
  <c r="F740" i="13"/>
  <c r="S744" i="13"/>
  <c r="F745" i="13"/>
  <c r="F746" i="13"/>
  <c r="F739" i="13"/>
  <c r="S736" i="13"/>
  <c r="S646" i="13"/>
  <c r="F303" i="6"/>
  <c r="F1027" i="13"/>
  <c r="F1025" i="13"/>
  <c r="S1026" i="13"/>
  <c r="F1033" i="13"/>
  <c r="S1021" i="13"/>
  <c r="S1032" i="13"/>
  <c r="S1024" i="13"/>
  <c r="F1029" i="13"/>
  <c r="F1030" i="13"/>
  <c r="F1032" i="13"/>
  <c r="S1020" i="13"/>
  <c r="S1025" i="13"/>
  <c r="S1033" i="13"/>
  <c r="F1021" i="13"/>
  <c r="S1023" i="13"/>
  <c r="F1022" i="13"/>
  <c r="F1023" i="13"/>
  <c r="F1031" i="13"/>
  <c r="S1027" i="13"/>
  <c r="S1030" i="13"/>
  <c r="F1856" i="1"/>
  <c r="S1022" i="13"/>
  <c r="F1026" i="13"/>
  <c r="F1024" i="13"/>
  <c r="F1028" i="13"/>
  <c r="S1031" i="13"/>
  <c r="F1020" i="13"/>
  <c r="S1029" i="13"/>
  <c r="S1028" i="13"/>
  <c r="G1169" i="13"/>
  <c r="G1166" i="13"/>
  <c r="G1170" i="13"/>
  <c r="G1168" i="13"/>
  <c r="G1171" i="13"/>
  <c r="G1167" i="13"/>
  <c r="G1165" i="13"/>
  <c r="G1164" i="13"/>
  <c r="G976" i="13"/>
  <c r="G975" i="13"/>
  <c r="G978" i="13"/>
  <c r="G981" i="13"/>
  <c r="G977" i="13"/>
  <c r="G974" i="13"/>
  <c r="G979" i="13"/>
  <c r="G980" i="13"/>
  <c r="G407" i="13"/>
  <c r="G409" i="13"/>
  <c r="G408" i="13"/>
  <c r="G657" i="13"/>
  <c r="G661" i="13"/>
  <c r="G663" i="13"/>
  <c r="G662" i="13"/>
  <c r="G659" i="13"/>
  <c r="G656" i="13"/>
  <c r="G658" i="13"/>
  <c r="G660" i="13"/>
  <c r="S433" i="6"/>
  <c r="S434" i="6"/>
  <c r="F434" i="6"/>
  <c r="F433" i="6"/>
  <c r="F1793" i="1"/>
  <c r="G121" i="13"/>
  <c r="G119" i="13"/>
  <c r="G118" i="13"/>
  <c r="G120" i="13"/>
  <c r="F27" i="13"/>
  <c r="F1650" i="1" s="1"/>
  <c r="L28" i="4" s="1"/>
  <c r="S28" i="13"/>
  <c r="S30" i="13"/>
  <c r="S27" i="13"/>
  <c r="F28" i="13"/>
  <c r="F30" i="13"/>
  <c r="F29" i="13"/>
  <c r="S29" i="13"/>
  <c r="G227" i="13"/>
  <c r="G225" i="13"/>
  <c r="G228" i="13"/>
  <c r="G230" i="13"/>
  <c r="G226" i="13"/>
  <c r="G224" i="13"/>
  <c r="G229" i="13"/>
  <c r="S1254" i="13"/>
  <c r="F1255" i="13"/>
  <c r="S1253" i="13"/>
  <c r="F1901" i="1"/>
  <c r="F1256" i="13"/>
  <c r="S1255" i="13"/>
  <c r="F1254" i="13"/>
  <c r="S1256" i="13"/>
  <c r="F1253" i="13"/>
  <c r="G317" i="6"/>
  <c r="G321" i="6"/>
  <c r="G318" i="6"/>
  <c r="G308" i="6"/>
  <c r="G306" i="6"/>
  <c r="G310" i="6"/>
  <c r="G315" i="6"/>
  <c r="G316" i="6"/>
  <c r="G309" i="6"/>
  <c r="G305" i="6"/>
  <c r="G314" i="6"/>
  <c r="G320" i="6"/>
  <c r="G319" i="6"/>
  <c r="G313" i="6"/>
  <c r="G307" i="6"/>
  <c r="G312" i="6"/>
  <c r="G311" i="6"/>
  <c r="G828" i="13"/>
  <c r="G829" i="13"/>
  <c r="G831" i="13"/>
  <c r="G832" i="13"/>
  <c r="G830" i="13"/>
  <c r="G827" i="13"/>
  <c r="S587" i="13"/>
  <c r="F581" i="13"/>
  <c r="G206" i="6"/>
  <c r="G189" i="6"/>
  <c r="G204" i="6"/>
  <c r="G193" i="6"/>
  <c r="G196" i="6"/>
  <c r="G190" i="6"/>
  <c r="G186" i="6"/>
  <c r="G221" i="6"/>
  <c r="G208" i="6"/>
  <c r="S325" i="6"/>
  <c r="S367" i="13"/>
  <c r="F367" i="13"/>
  <c r="S366" i="13"/>
  <c r="F366" i="13"/>
  <c r="F1697" i="1" s="1"/>
  <c r="F368" i="13"/>
  <c r="S368" i="13"/>
  <c r="F61" i="6"/>
  <c r="F1735" i="1" s="1"/>
  <c r="S64" i="6"/>
  <c r="F63" i="6"/>
  <c r="S63" i="6"/>
  <c r="S62" i="6"/>
  <c r="F62" i="6"/>
  <c r="S61" i="6"/>
  <c r="S240" i="13"/>
  <c r="S239" i="13"/>
  <c r="F243" i="13"/>
  <c r="F244" i="13"/>
  <c r="S243" i="13"/>
  <c r="F241" i="13"/>
  <c r="F240" i="13"/>
  <c r="F242" i="13"/>
  <c r="S244" i="13"/>
  <c r="S241" i="13"/>
  <c r="S242" i="13"/>
  <c r="F239" i="13"/>
  <c r="F1680" i="1" s="1"/>
  <c r="S254" i="6"/>
  <c r="F86" i="6"/>
  <c r="F87" i="6"/>
  <c r="S85" i="6"/>
  <c r="S87" i="6"/>
  <c r="F85" i="6"/>
  <c r="F1737" i="1" s="1"/>
  <c r="S86" i="6"/>
  <c r="G232" i="13"/>
  <c r="G237" i="13"/>
  <c r="G231" i="13"/>
  <c r="G238" i="13"/>
  <c r="G234" i="13"/>
  <c r="G233" i="13"/>
  <c r="G235" i="13"/>
  <c r="G236" i="13"/>
  <c r="F724" i="13"/>
  <c r="F717" i="13"/>
  <c r="S728" i="13"/>
  <c r="S723" i="13"/>
  <c r="S721" i="13"/>
  <c r="G68" i="13"/>
  <c r="G64" i="13"/>
  <c r="G67" i="13"/>
  <c r="G65" i="13"/>
  <c r="G66" i="13"/>
  <c r="G25" i="6"/>
  <c r="G24" i="6"/>
  <c r="G18" i="6"/>
  <c r="G9" i="6"/>
  <c r="G22" i="6"/>
  <c r="G14" i="6"/>
  <c r="G13" i="6"/>
  <c r="G7" i="6"/>
  <c r="G19" i="6"/>
  <c r="G11" i="6"/>
  <c r="G26" i="6"/>
  <c r="G17" i="6"/>
  <c r="G16" i="6"/>
  <c r="G10" i="6"/>
  <c r="G8" i="6"/>
  <c r="G21" i="6"/>
  <c r="G15" i="6"/>
  <c r="G27" i="6"/>
  <c r="G20" i="6"/>
  <c r="G12" i="6"/>
  <c r="G23" i="6"/>
  <c r="S109" i="13"/>
  <c r="S107" i="13"/>
  <c r="S99" i="13"/>
  <c r="S97" i="13"/>
  <c r="S104" i="13"/>
  <c r="S103" i="13"/>
  <c r="S100" i="13"/>
  <c r="S101" i="13"/>
  <c r="S108" i="13"/>
  <c r="S105" i="13"/>
  <c r="S98" i="13"/>
  <c r="S102" i="13"/>
  <c r="S106" i="13"/>
  <c r="G61" i="6"/>
  <c r="G1236" i="13"/>
  <c r="G1119" i="13"/>
  <c r="G1116" i="13"/>
  <c r="G22" i="1"/>
  <c r="R611" i="13"/>
  <c r="P611" i="13"/>
  <c r="F1046" i="13"/>
  <c r="S1046" i="13"/>
  <c r="S993" i="13"/>
  <c r="F988" i="13"/>
  <c r="S989" i="13"/>
  <c r="F996" i="13"/>
  <c r="S994" i="13"/>
  <c r="R634" i="13"/>
  <c r="P634" i="13"/>
  <c r="P609" i="13"/>
  <c r="R609" i="13"/>
  <c r="R1069" i="13"/>
  <c r="P1069" i="13"/>
  <c r="S580" i="13"/>
  <c r="F578" i="13"/>
  <c r="S573" i="13"/>
  <c r="S630" i="13"/>
  <c r="F629" i="13"/>
  <c r="S633" i="13"/>
  <c r="G453" i="13"/>
  <c r="H1904" i="1"/>
  <c r="S370" i="13"/>
  <c r="G572" i="13"/>
  <c r="F456" i="13"/>
  <c r="S1138" i="13"/>
  <c r="S1130" i="13"/>
  <c r="R602" i="13"/>
  <c r="P602" i="13"/>
  <c r="S1126" i="13"/>
  <c r="S1123" i="13"/>
  <c r="S101" i="6"/>
  <c r="S133" i="6"/>
  <c r="F112" i="6"/>
  <c r="S115" i="6"/>
  <c r="S121" i="6"/>
  <c r="S116" i="6"/>
  <c r="S109" i="6"/>
  <c r="S140" i="6"/>
  <c r="F131" i="6"/>
  <c r="F130" i="6"/>
  <c r="F116" i="6"/>
  <c r="F108" i="6"/>
  <c r="F127" i="6"/>
  <c r="S137" i="6"/>
  <c r="F115" i="6"/>
  <c r="F135" i="6"/>
  <c r="S105" i="6"/>
  <c r="F136" i="6"/>
  <c r="S765" i="13"/>
  <c r="G586" i="13"/>
  <c r="S821" i="13"/>
  <c r="S825" i="13"/>
  <c r="S823" i="13"/>
  <c r="G135" i="6"/>
  <c r="G140" i="6"/>
  <c r="G115" i="6"/>
  <c r="G121" i="6"/>
  <c r="G132" i="6"/>
  <c r="G122" i="6"/>
  <c r="G129" i="6"/>
  <c r="G114" i="6"/>
  <c r="G116" i="6"/>
  <c r="G822" i="13"/>
  <c r="S1037" i="13"/>
  <c r="F1036" i="13"/>
  <c r="AE274" i="17418"/>
  <c r="AE283" i="17418"/>
  <c r="AE246" i="17418"/>
  <c r="AE270" i="17418"/>
  <c r="AE277" i="17418"/>
  <c r="AE280" i="17418"/>
  <c r="AE249" i="17418"/>
  <c r="AE273" i="17418"/>
  <c r="AE278" i="17418"/>
  <c r="AE248" i="17418"/>
  <c r="AE242" i="17418"/>
  <c r="AE255" i="17418"/>
  <c r="AE247" i="17418"/>
  <c r="AE250" i="17418"/>
  <c r="AE241" i="17418"/>
  <c r="AE287" i="17418"/>
  <c r="AE281" i="17418"/>
  <c r="AE260" i="17418"/>
  <c r="AE272" i="17418"/>
  <c r="AE243" i="17418"/>
  <c r="AE253" i="17418"/>
  <c r="AE252" i="17418"/>
  <c r="AE244" i="17418"/>
  <c r="AE268" i="17418"/>
  <c r="AE276" i="17418"/>
  <c r="AE288" i="17418"/>
  <c r="AE245" i="17418"/>
  <c r="AE240" i="17418"/>
  <c r="AE267" i="17418"/>
  <c r="AE285" i="17418"/>
  <c r="AE256" i="17418"/>
  <c r="AE238" i="17418"/>
  <c r="AE254" i="17418"/>
  <c r="AE282" i="17418"/>
  <c r="AE275" i="17418"/>
  <c r="AE279" i="17418"/>
  <c r="AE262" i="17418"/>
  <c r="AE258" i="17418"/>
  <c r="AE257" i="17418"/>
  <c r="AF59" i="17418"/>
  <c r="W42" i="17419"/>
  <c r="W63" i="17419" s="1"/>
  <c r="AF60" i="17418"/>
  <c r="AF57" i="17418"/>
  <c r="AF51" i="17418"/>
  <c r="AF47" i="17418"/>
  <c r="AF58" i="17418"/>
  <c r="AF53" i="17418"/>
  <c r="AF50" i="17418"/>
  <c r="AF48" i="17418"/>
  <c r="AF43" i="17418"/>
  <c r="W9" i="17419"/>
  <c r="AF56" i="17418"/>
  <c r="AF55" i="17418"/>
  <c r="AF54" i="17418"/>
  <c r="AF49" i="17418"/>
  <c r="AF45" i="17418"/>
  <c r="AF42" i="17418"/>
  <c r="AF40" i="17418"/>
  <c r="AF34" i="17418"/>
  <c r="AF52" i="17418"/>
  <c r="AF41" i="17418"/>
  <c r="AF31" i="17418"/>
  <c r="AF44" i="17418"/>
  <c r="AF38" i="17418"/>
  <c r="AF36" i="17418"/>
  <c r="AF37" i="17418"/>
  <c r="AF35" i="17418"/>
  <c r="AF33" i="17418"/>
  <c r="AF39" i="17418"/>
  <c r="AF29" i="17418"/>
  <c r="AF46" i="17418"/>
  <c r="AF15" i="17418"/>
  <c r="AF30" i="17418"/>
  <c r="AG7" i="17418"/>
  <c r="AF17" i="17418"/>
  <c r="U32" i="17422" s="1"/>
  <c r="AF16" i="17418"/>
  <c r="U29" i="17422" s="1"/>
  <c r="AF18" i="17418"/>
  <c r="AF19" i="17418"/>
  <c r="U38" i="17422" s="1"/>
  <c r="AF20" i="17418"/>
  <c r="AF32" i="17418"/>
  <c r="AE266" i="17418"/>
  <c r="AE284" i="17418"/>
  <c r="H1921" i="1" l="1"/>
  <c r="L1013" i="4"/>
  <c r="R1013" i="4" s="1"/>
  <c r="L1012" i="4"/>
  <c r="H1940" i="1"/>
  <c r="L598" i="4"/>
  <c r="L1011" i="4"/>
  <c r="R1011" i="4" s="1"/>
  <c r="H1938" i="1"/>
  <c r="L1010" i="4"/>
  <c r="H1937" i="1"/>
  <c r="P509" i="4"/>
  <c r="R509" i="4"/>
  <c r="G510" i="4" s="1"/>
  <c r="U35" i="17422"/>
  <c r="T41" i="17422"/>
  <c r="L1341" i="13"/>
  <c r="P1341" i="13" s="1"/>
  <c r="H186" i="1"/>
  <c r="P974" i="4"/>
  <c r="R974" i="4"/>
  <c r="L605" i="4"/>
  <c r="P605" i="4" s="1"/>
  <c r="L555" i="4"/>
  <c r="P554" i="4"/>
  <c r="R554" i="4"/>
  <c r="L609" i="4"/>
  <c r="R609" i="4" s="1"/>
  <c r="L559" i="4"/>
  <c r="L688" i="4"/>
  <c r="P688" i="4" s="1"/>
  <c r="L557" i="4"/>
  <c r="L689" i="4"/>
  <c r="R689" i="4" s="1"/>
  <c r="L558" i="4"/>
  <c r="P560" i="4"/>
  <c r="R560" i="4"/>
  <c r="H1935" i="1"/>
  <c r="H1933" i="1"/>
  <c r="P1478" i="13"/>
  <c r="R1478" i="13"/>
  <c r="H1932" i="1"/>
  <c r="L1465" i="13"/>
  <c r="L1472" i="13"/>
  <c r="H1925" i="1"/>
  <c r="L973" i="4"/>
  <c r="H1924" i="1"/>
  <c r="L972" i="4"/>
  <c r="P1014" i="4"/>
  <c r="R1014" i="4"/>
  <c r="P1022" i="4"/>
  <c r="R1022" i="4"/>
  <c r="P1019" i="4"/>
  <c r="R1019" i="4"/>
  <c r="L1015" i="4"/>
  <c r="H1920" i="1"/>
  <c r="P992" i="4"/>
  <c r="R992" i="4"/>
  <c r="L548" i="13"/>
  <c r="P548" i="13" s="1"/>
  <c r="L1340" i="13"/>
  <c r="P1340" i="13" s="1"/>
  <c r="F1916" i="1" s="1"/>
  <c r="L646" i="4" s="1"/>
  <c r="AF14" i="17418"/>
  <c r="U26" i="17422" s="1"/>
  <c r="AE265" i="17418"/>
  <c r="AE259" i="17418"/>
  <c r="AF263" i="17418"/>
  <c r="AF239" i="17418"/>
  <c r="AF251" i="17418"/>
  <c r="AF269" i="17418"/>
  <c r="AF271" i="17418"/>
  <c r="H22" i="1"/>
  <c r="L22" i="1" s="1"/>
  <c r="X14" i="14"/>
  <c r="P859" i="4"/>
  <c r="R859" i="4"/>
  <c r="L1093" i="13"/>
  <c r="P1093" i="13" s="1"/>
  <c r="L862" i="4"/>
  <c r="P862" i="4" s="1"/>
  <c r="L865" i="4"/>
  <c r="L854" i="4"/>
  <c r="P854" i="4" s="1"/>
  <c r="L858" i="4"/>
  <c r="AG21" i="17418"/>
  <c r="P294" i="4"/>
  <c r="L607" i="13"/>
  <c r="L504" i="4"/>
  <c r="P504" i="4" s="1"/>
  <c r="L786" i="4"/>
  <c r="L594" i="13"/>
  <c r="L615" i="13"/>
  <c r="H1769" i="1"/>
  <c r="L623" i="13"/>
  <c r="L1075" i="13"/>
  <c r="L1209" i="13"/>
  <c r="R1209" i="13" s="1"/>
  <c r="L860" i="13"/>
  <c r="R860" i="13" s="1"/>
  <c r="H1741" i="1"/>
  <c r="P682" i="4"/>
  <c r="R682" i="4"/>
  <c r="L604" i="4"/>
  <c r="P604" i="4" s="1"/>
  <c r="L684" i="4"/>
  <c r="P685" i="4"/>
  <c r="R685" i="4"/>
  <c r="R686" i="4"/>
  <c r="P686" i="4"/>
  <c r="P289" i="4"/>
  <c r="R407" i="4"/>
  <c r="P342" i="4"/>
  <c r="L1332" i="13"/>
  <c r="P1332" i="13" s="1"/>
  <c r="L1336" i="13"/>
  <c r="L1333" i="13"/>
  <c r="H1911" i="1"/>
  <c r="L1326" i="13"/>
  <c r="P1326" i="13" s="1"/>
  <c r="L1329" i="13"/>
  <c r="L552" i="4"/>
  <c r="P552" i="4" s="1"/>
  <c r="L610" i="4"/>
  <c r="L549" i="4"/>
  <c r="P549" i="4" s="1"/>
  <c r="L607" i="4"/>
  <c r="L550" i="4"/>
  <c r="R550" i="4" s="1"/>
  <c r="L608" i="4"/>
  <c r="H1770" i="1"/>
  <c r="L595" i="13"/>
  <c r="L541" i="13"/>
  <c r="R541" i="13" s="1"/>
  <c r="L706" i="13"/>
  <c r="P706" i="13" s="1"/>
  <c r="L445" i="6"/>
  <c r="P445" i="6" s="1"/>
  <c r="L655" i="13"/>
  <c r="P655" i="13" s="1"/>
  <c r="L880" i="13"/>
  <c r="R880" i="13" s="1"/>
  <c r="L733" i="13"/>
  <c r="P733" i="13" s="1"/>
  <c r="L774" i="13"/>
  <c r="P774" i="13" s="1"/>
  <c r="L898" i="13"/>
  <c r="P898" i="13" s="1"/>
  <c r="H1788" i="1"/>
  <c r="H1791" i="1"/>
  <c r="L650" i="13"/>
  <c r="L539" i="4"/>
  <c r="P539" i="4" s="1"/>
  <c r="L547" i="4"/>
  <c r="L538" i="4"/>
  <c r="R538" i="4" s="1"/>
  <c r="L546" i="4"/>
  <c r="L543" i="4"/>
  <c r="R543" i="4" s="1"/>
  <c r="L551" i="4"/>
  <c r="L373" i="4"/>
  <c r="P373" i="4" s="1"/>
  <c r="L544" i="4"/>
  <c r="L533" i="4"/>
  <c r="P533" i="4" s="1"/>
  <c r="L541" i="4"/>
  <c r="L534" i="4"/>
  <c r="P534" i="4" s="1"/>
  <c r="L542" i="4"/>
  <c r="P528" i="4"/>
  <c r="R528" i="4"/>
  <c r="L536" i="4"/>
  <c r="P536" i="4" s="1"/>
  <c r="L523" i="4"/>
  <c r="R523" i="4" s="1"/>
  <c r="L530" i="4"/>
  <c r="L527" i="4"/>
  <c r="R527" i="4" s="1"/>
  <c r="L535" i="4"/>
  <c r="L519" i="4"/>
  <c r="P519" i="4" s="1"/>
  <c r="L525" i="4"/>
  <c r="L520" i="4"/>
  <c r="R520" i="4" s="1"/>
  <c r="L526" i="4"/>
  <c r="L309" i="4"/>
  <c r="P309" i="4" s="1"/>
  <c r="L521" i="4"/>
  <c r="L514" i="4"/>
  <c r="P514" i="4" s="1"/>
  <c r="L517" i="4"/>
  <c r="L44" i="4"/>
  <c r="R44" i="4" s="1"/>
  <c r="L503" i="4"/>
  <c r="P486" i="4"/>
  <c r="L496" i="4"/>
  <c r="Q149" i="4"/>
  <c r="R149" i="4" s="1"/>
  <c r="P149" i="4"/>
  <c r="P28" i="4"/>
  <c r="R28" i="4"/>
  <c r="P43" i="4"/>
  <c r="R43" i="4"/>
  <c r="P59" i="4"/>
  <c r="R59" i="4"/>
  <c r="P383" i="4"/>
  <c r="R383" i="4"/>
  <c r="P382" i="4"/>
  <c r="R382" i="4"/>
  <c r="P83" i="4"/>
  <c r="R83" i="4"/>
  <c r="P399" i="4"/>
  <c r="R399" i="4"/>
  <c r="R72" i="4"/>
  <c r="P72" i="4"/>
  <c r="R13" i="4"/>
  <c r="P13" i="4"/>
  <c r="R78" i="4"/>
  <c r="P78" i="4"/>
  <c r="P286" i="4"/>
  <c r="R286" i="4"/>
  <c r="P40" i="4"/>
  <c r="R40" i="4"/>
  <c r="P42" i="4"/>
  <c r="R42" i="4"/>
  <c r="L46" i="4"/>
  <c r="L60" i="4"/>
  <c r="L53" i="4"/>
  <c r="L77" i="4"/>
  <c r="L80" i="4"/>
  <c r="L398" i="4"/>
  <c r="L408" i="4"/>
  <c r="L358" i="4"/>
  <c r="L290" i="4"/>
  <c r="L343" i="4"/>
  <c r="L299" i="4"/>
  <c r="L295" i="4"/>
  <c r="L266" i="4"/>
  <c r="L73" i="4"/>
  <c r="L9" i="4"/>
  <c r="L62" i="4"/>
  <c r="L23" i="4"/>
  <c r="L482" i="4"/>
  <c r="L375" i="4"/>
  <c r="L360" i="4"/>
  <c r="L340" i="4"/>
  <c r="L305" i="4"/>
  <c r="L297" i="4"/>
  <c r="L292" i="4"/>
  <c r="L357" i="4"/>
  <c r="L293" i="4"/>
  <c r="L341" i="4"/>
  <c r="L288" i="4"/>
  <c r="L346" i="4"/>
  <c r="L347" i="4"/>
  <c r="L134" i="4"/>
  <c r="L220" i="4"/>
  <c r="L22" i="4"/>
  <c r="L65" i="4"/>
  <c r="L478" i="4"/>
  <c r="L298" i="4"/>
  <c r="L372" i="4"/>
  <c r="L11" i="4"/>
  <c r="L51" i="4"/>
  <c r="L39" i="4"/>
  <c r="L57" i="4"/>
  <c r="L64" i="4"/>
  <c r="L25" i="4"/>
  <c r="L71" i="4"/>
  <c r="L265" i="4"/>
  <c r="L129" i="4"/>
  <c r="L381" i="4"/>
  <c r="L380" i="4"/>
  <c r="L38" i="4"/>
  <c r="L127" i="4"/>
  <c r="L67" i="4"/>
  <c r="L55" i="4"/>
  <c r="L279" i="4"/>
  <c r="L27" i="4"/>
  <c r="L133" i="4"/>
  <c r="L49" i="4"/>
  <c r="L45" i="4"/>
  <c r="L260" i="4"/>
  <c r="L70" i="4"/>
  <c r="L31" i="4"/>
  <c r="L132" i="4"/>
  <c r="L15" i="4"/>
  <c r="L284" i="4"/>
  <c r="L264" i="4"/>
  <c r="L21" i="4"/>
  <c r="L282" i="4"/>
  <c r="L130" i="4"/>
  <c r="L30" i="4"/>
  <c r="L261" i="4"/>
  <c r="L19" i="4"/>
  <c r="L125" i="4"/>
  <c r="L101" i="4"/>
  <c r="L109" i="4"/>
  <c r="L117" i="4"/>
  <c r="L66" i="4"/>
  <c r="L24" i="4"/>
  <c r="L58" i="4"/>
  <c r="L52" i="4"/>
  <c r="L307" i="4"/>
  <c r="L301" i="4"/>
  <c r="L26" i="4"/>
  <c r="L63" i="4"/>
  <c r="L302" i="4"/>
  <c r="L308" i="4"/>
  <c r="H1910" i="1"/>
  <c r="H1907" i="1"/>
  <c r="H1908" i="1"/>
  <c r="L1275" i="13"/>
  <c r="P1275" i="13" s="1"/>
  <c r="L1291" i="13"/>
  <c r="L1274" i="13"/>
  <c r="R1274" i="13" s="1"/>
  <c r="L1293" i="13"/>
  <c r="IC25" i="17418"/>
  <c r="EI25" i="17418"/>
  <c r="CL25" i="17418"/>
  <c r="GF25" i="17418"/>
  <c r="JZ25" i="17418"/>
  <c r="IC26" i="17418"/>
  <c r="EI26" i="17418"/>
  <c r="CL26" i="17418"/>
  <c r="JZ26" i="17418"/>
  <c r="GF26" i="17418"/>
  <c r="IC23" i="17418"/>
  <c r="EI23" i="17418"/>
  <c r="CL23" i="17418"/>
  <c r="JZ23" i="17418"/>
  <c r="GF23" i="17418"/>
  <c r="CL37" i="17418"/>
  <c r="IL37" i="17418" s="1"/>
  <c r="EI37" i="17418"/>
  <c r="KI37" i="17418" s="1"/>
  <c r="GF37" i="17418"/>
  <c r="EI27" i="17418"/>
  <c r="CL27" i="17418"/>
  <c r="IL27" i="17418" s="1"/>
  <c r="GF27" i="17418"/>
  <c r="JZ27" i="17418"/>
  <c r="EI36" i="17418"/>
  <c r="KI36" i="17418" s="1"/>
  <c r="CL36" i="17418"/>
  <c r="IL36" i="17418" s="1"/>
  <c r="GF36" i="17418"/>
  <c r="EI24" i="17418"/>
  <c r="IC24" i="17418"/>
  <c r="CL24" i="17418"/>
  <c r="GF24" i="17418"/>
  <c r="JZ24" i="17418"/>
  <c r="AF289" i="17418"/>
  <c r="AF253" i="17418"/>
  <c r="AF254" i="17418"/>
  <c r="AF286" i="17418"/>
  <c r="H1905" i="1"/>
  <c r="P1272" i="13"/>
  <c r="R1272" i="13"/>
  <c r="R1276" i="13"/>
  <c r="P1276" i="13"/>
  <c r="AG27" i="17418"/>
  <c r="AG26" i="17418"/>
  <c r="AG25" i="17418"/>
  <c r="AG24" i="17418"/>
  <c r="AG23" i="17418"/>
  <c r="H1697" i="1"/>
  <c r="H1793" i="1"/>
  <c r="L666" i="13"/>
  <c r="L668" i="13"/>
  <c r="L653" i="13"/>
  <c r="L699" i="13"/>
  <c r="L701" i="13"/>
  <c r="H1872" i="1"/>
  <c r="H1685" i="1"/>
  <c r="L533" i="13"/>
  <c r="H1758" i="1"/>
  <c r="H1883" i="1"/>
  <c r="H1807" i="1"/>
  <c r="L526" i="13"/>
  <c r="H1751" i="1"/>
  <c r="L514" i="13"/>
  <c r="H1840" i="1"/>
  <c r="H1682" i="1"/>
  <c r="H1654" i="1"/>
  <c r="L484" i="13"/>
  <c r="H1725" i="1"/>
  <c r="L500" i="13"/>
  <c r="L467" i="13"/>
  <c r="L527" i="13"/>
  <c r="L515" i="13"/>
  <c r="H1831" i="1"/>
  <c r="L1096" i="13"/>
  <c r="H1820" i="1"/>
  <c r="H1882" i="1"/>
  <c r="H1702" i="1"/>
  <c r="H1848" i="1"/>
  <c r="H1745" i="1"/>
  <c r="L479" i="13"/>
  <c r="L495" i="13"/>
  <c r="H1736" i="1"/>
  <c r="L478" i="13"/>
  <c r="H1653" i="1"/>
  <c r="H1652" i="1"/>
  <c r="H1896" i="1"/>
  <c r="H1662" i="1"/>
  <c r="R624" i="13"/>
  <c r="P624" i="13"/>
  <c r="H1859" i="1"/>
  <c r="H1746" i="1"/>
  <c r="L509" i="13"/>
  <c r="L521" i="13"/>
  <c r="H1728" i="1"/>
  <c r="L470" i="13"/>
  <c r="H1729" i="1"/>
  <c r="L471" i="13"/>
  <c r="H1709" i="1"/>
  <c r="H1902" i="1"/>
  <c r="L814" i="13"/>
  <c r="H1829" i="1"/>
  <c r="H1752" i="1"/>
  <c r="L530" i="13"/>
  <c r="L518" i="13"/>
  <c r="R491" i="13"/>
  <c r="P491" i="13"/>
  <c r="R590" i="13"/>
  <c r="P590" i="13"/>
  <c r="H1656" i="1"/>
  <c r="H1833" i="1"/>
  <c r="H1836" i="1"/>
  <c r="H1692" i="1"/>
  <c r="H1730" i="1"/>
  <c r="L472" i="13"/>
  <c r="L483" i="13"/>
  <c r="H1737" i="1"/>
  <c r="H1735" i="1"/>
  <c r="L480" i="13"/>
  <c r="L477" i="13"/>
  <c r="H1901" i="1"/>
  <c r="L501" i="13"/>
  <c r="L516" i="13"/>
  <c r="L468" i="13"/>
  <c r="L528" i="13"/>
  <c r="L485" i="13"/>
  <c r="H1726" i="1"/>
  <c r="H1710" i="1"/>
  <c r="H1865" i="1"/>
  <c r="H1767" i="1"/>
  <c r="L1065" i="13"/>
  <c r="L1073" i="13"/>
  <c r="L1270" i="13"/>
  <c r="L599" i="13"/>
  <c r="L250" i="13"/>
  <c r="L613" i="13"/>
  <c r="L1179" i="13"/>
  <c r="L694" i="13"/>
  <c r="L639" i="13"/>
  <c r="L1125" i="13"/>
  <c r="L605" i="13"/>
  <c r="L592" i="13"/>
  <c r="L621" i="13"/>
  <c r="H1834" i="1"/>
  <c r="H1739" i="1"/>
  <c r="L488" i="13"/>
  <c r="H1892" i="1"/>
  <c r="H1855" i="1"/>
  <c r="H1763" i="1"/>
  <c r="L469" i="13"/>
  <c r="L486" i="13"/>
  <c r="L529" i="13"/>
  <c r="H1727" i="1"/>
  <c r="L502" i="13"/>
  <c r="L517" i="13"/>
  <c r="H1810" i="1"/>
  <c r="H1669" i="1"/>
  <c r="H1690" i="1"/>
  <c r="H1749" i="1"/>
  <c r="L512" i="13"/>
  <c r="L524" i="13"/>
  <c r="H1895" i="1"/>
  <c r="H1684" i="1"/>
  <c r="H1849" i="1"/>
  <c r="H1894" i="1"/>
  <c r="L7" i="4"/>
  <c r="H1649" i="1"/>
  <c r="L1188" i="13"/>
  <c r="L1183" i="13"/>
  <c r="L1177" i="13"/>
  <c r="H1887" i="1"/>
  <c r="L1193" i="13"/>
  <c r="H1832" i="1"/>
  <c r="R1076" i="13"/>
  <c r="P1076" i="13"/>
  <c r="H1852" i="1"/>
  <c r="H1867" i="1"/>
  <c r="H1860" i="1"/>
  <c r="H1824" i="1"/>
  <c r="H1668" i="1"/>
  <c r="H1732" i="1"/>
  <c r="L474" i="13"/>
  <c r="H1857" i="1"/>
  <c r="F1648" i="1"/>
  <c r="H1796" i="1"/>
  <c r="H1673" i="1"/>
  <c r="L550" i="13"/>
  <c r="L735" i="13"/>
  <c r="L543" i="13"/>
  <c r="L1267" i="13"/>
  <c r="L862" i="13"/>
  <c r="L1211" i="13"/>
  <c r="L776" i="13"/>
  <c r="L882" i="13"/>
  <c r="L900" i="13"/>
  <c r="L708" i="13"/>
  <c r="H1847" i="1"/>
  <c r="H1861" i="1"/>
  <c r="H1700" i="1"/>
  <c r="H1766" i="1"/>
  <c r="L1269" i="13"/>
  <c r="L604" i="13"/>
  <c r="L693" i="13"/>
  <c r="L638" i="13"/>
  <c r="L598" i="13"/>
  <c r="L249" i="13"/>
  <c r="L620" i="13"/>
  <c r="L612" i="13"/>
  <c r="L1064" i="13"/>
  <c r="L591" i="13"/>
  <c r="L1124" i="13"/>
  <c r="L1178" i="13"/>
  <c r="L1072" i="13"/>
  <c r="L601" i="13"/>
  <c r="H1774" i="1"/>
  <c r="L475" i="13"/>
  <c r="H1733" i="1"/>
  <c r="H1703" i="1"/>
  <c r="H1897" i="1"/>
  <c r="L525" i="13"/>
  <c r="H1750" i="1"/>
  <c r="L513" i="13"/>
  <c r="H1900" i="1"/>
  <c r="L476" i="13"/>
  <c r="H1734" i="1"/>
  <c r="P637" i="13"/>
  <c r="R637" i="13"/>
  <c r="H1698" i="1"/>
  <c r="H1706" i="1"/>
  <c r="H1677" i="1"/>
  <c r="H1773" i="1"/>
  <c r="L618" i="13"/>
  <c r="L597" i="13"/>
  <c r="L636" i="13"/>
  <c r="L647" i="13"/>
  <c r="L610" i="13"/>
  <c r="L696" i="13"/>
  <c r="L1070" i="13"/>
  <c r="H1711" i="1"/>
  <c r="H1842" i="1"/>
  <c r="P1068" i="13"/>
  <c r="R1068" i="13"/>
  <c r="H1814" i="1"/>
  <c r="L1095" i="13"/>
  <c r="L487" i="13"/>
  <c r="L503" i="13"/>
  <c r="H1738" i="1"/>
  <c r="H1747" i="1"/>
  <c r="L511" i="13"/>
  <c r="H1799" i="1"/>
  <c r="L1180" i="13"/>
  <c r="L640" i="13"/>
  <c r="L606" i="13"/>
  <c r="L593" i="13"/>
  <c r="H1768" i="1"/>
  <c r="L614" i="13"/>
  <c r="L622" i="13"/>
  <c r="L695" i="13"/>
  <c r="L600" i="13"/>
  <c r="L1066" i="13"/>
  <c r="L251" i="13"/>
  <c r="L1074" i="13"/>
  <c r="L498" i="13"/>
  <c r="L497" i="13"/>
  <c r="H1718" i="1"/>
  <c r="H1713" i="1"/>
  <c r="L499" i="13"/>
  <c r="H1744" i="1"/>
  <c r="H1663" i="1"/>
  <c r="H1704" i="1"/>
  <c r="H1850" i="1"/>
  <c r="H1881" i="1"/>
  <c r="H1695" i="1"/>
  <c r="L1139" i="13"/>
  <c r="L901" i="13"/>
  <c r="L1212" i="13"/>
  <c r="L777" i="13"/>
  <c r="H1822" i="1"/>
  <c r="L863" i="13"/>
  <c r="L544" i="13"/>
  <c r="L883" i="13"/>
  <c r="L551" i="13"/>
  <c r="L562" i="13"/>
  <c r="H1846" i="1"/>
  <c r="H1680" i="1"/>
  <c r="H1650" i="1"/>
  <c r="H1856" i="1"/>
  <c r="M151" i="4"/>
  <c r="O150" i="4"/>
  <c r="H1753" i="1"/>
  <c r="L519" i="13"/>
  <c r="L531" i="13"/>
  <c r="H1885" i="1"/>
  <c r="H1655" i="1"/>
  <c r="H1705" i="1"/>
  <c r="L481" i="13"/>
  <c r="H1717" i="1"/>
  <c r="L482" i="13"/>
  <c r="L522" i="13"/>
  <c r="L510" i="13"/>
  <c r="H1825" i="1"/>
  <c r="L523" i="13"/>
  <c r="H1757" i="1"/>
  <c r="H1740" i="1"/>
  <c r="L489" i="13"/>
  <c r="R649" i="13"/>
  <c r="P649" i="13"/>
  <c r="H1783" i="1"/>
  <c r="R648" i="13"/>
  <c r="P648" i="13"/>
  <c r="H1689" i="1"/>
  <c r="H1835" i="1"/>
  <c r="H1864" i="1"/>
  <c r="H1871" i="1"/>
  <c r="P175" i="13"/>
  <c r="R175" i="13"/>
  <c r="G23" i="1"/>
  <c r="H1743" i="1"/>
  <c r="L493" i="13"/>
  <c r="H1851" i="1"/>
  <c r="H1657" i="1"/>
  <c r="R608" i="13"/>
  <c r="P608" i="13"/>
  <c r="P616" i="13"/>
  <c r="R616" i="13"/>
  <c r="H1696" i="1"/>
  <c r="L490" i="13"/>
  <c r="L532" i="13"/>
  <c r="L473" i="13"/>
  <c r="H1731" i="1"/>
  <c r="H1714" i="1"/>
  <c r="H1880" i="1"/>
  <c r="H1686" i="1"/>
  <c r="H1724" i="1"/>
  <c r="L466" i="13"/>
  <c r="X4" i="6"/>
  <c r="S4" i="6"/>
  <c r="T4" i="6"/>
  <c r="U4" i="6"/>
  <c r="V4" i="6"/>
  <c r="W4" i="6"/>
  <c r="L446" i="6"/>
  <c r="L542" i="13"/>
  <c r="L707" i="13"/>
  <c r="L899" i="13"/>
  <c r="L861" i="13"/>
  <c r="L1210" i="13"/>
  <c r="L549" i="13"/>
  <c r="L734" i="13"/>
  <c r="L775" i="13"/>
  <c r="L881" i="13"/>
  <c r="H1816" i="1"/>
  <c r="L1094" i="13"/>
  <c r="H1678" i="1"/>
  <c r="H1693" i="1"/>
  <c r="H1658" i="1"/>
  <c r="L884" i="13"/>
  <c r="L864" i="13"/>
  <c r="L902" i="13"/>
  <c r="L552" i="13"/>
  <c r="L545" i="13"/>
  <c r="H1837" i="1"/>
  <c r="L1213" i="13"/>
  <c r="H1742" i="1"/>
  <c r="L494" i="13"/>
  <c r="L496" i="13"/>
  <c r="L492" i="13"/>
  <c r="R1093" i="13"/>
  <c r="G1093" i="13" s="1"/>
  <c r="AF274" i="17418"/>
  <c r="AF262" i="17418"/>
  <c r="AF270" i="17418"/>
  <c r="AF287" i="17418"/>
  <c r="AF279" i="17418"/>
  <c r="AF276" i="17418"/>
  <c r="AF268" i="17418"/>
  <c r="AF255" i="17418"/>
  <c r="AF264" i="17418"/>
  <c r="AF280" i="17418"/>
  <c r="AF256" i="17418"/>
  <c r="AF267" i="17418"/>
  <c r="AF247" i="17418"/>
  <c r="AF275" i="17418"/>
  <c r="AF243" i="17418"/>
  <c r="AF242" i="17418"/>
  <c r="AF241" i="17418"/>
  <c r="AF246" i="17418"/>
  <c r="AF249" i="17418"/>
  <c r="AF248" i="17418"/>
  <c r="AF283" i="17418"/>
  <c r="AF257" i="17418"/>
  <c r="AF273" i="17418"/>
  <c r="AF258" i="17418"/>
  <c r="AF240" i="17418"/>
  <c r="AF266" i="17418"/>
  <c r="AF282" i="17418"/>
  <c r="AF261" i="17418"/>
  <c r="AF278" i="17418"/>
  <c r="AF260" i="17418"/>
  <c r="AF244" i="17418"/>
  <c r="AF288" i="17418"/>
  <c r="X9" i="17419"/>
  <c r="X42" i="17419"/>
  <c r="X63" i="17419" s="1"/>
  <c r="AG58" i="17418"/>
  <c r="AG59" i="17418"/>
  <c r="AG56" i="17418"/>
  <c r="AG54" i="17418"/>
  <c r="AG50" i="17418"/>
  <c r="AG46" i="17418"/>
  <c r="AG47" i="17418"/>
  <c r="AG42" i="17418"/>
  <c r="AG57" i="17418"/>
  <c r="AG53" i="17418"/>
  <c r="AG48" i="17418"/>
  <c r="AG37" i="17418"/>
  <c r="AG33" i="17418"/>
  <c r="AG31" i="17418"/>
  <c r="AG29" i="17418"/>
  <c r="AG40" i="17418"/>
  <c r="AG38" i="17418"/>
  <c r="AG35" i="17418"/>
  <c r="AG45" i="17418"/>
  <c r="AG41" i="17418"/>
  <c r="AG30" i="17418"/>
  <c r="AG52" i="17418"/>
  <c r="AG43" i="17418"/>
  <c r="AG34" i="17418"/>
  <c r="AG49" i="17418"/>
  <c r="AG39" i="17418"/>
  <c r="AG36" i="17418"/>
  <c r="AH7" i="17418"/>
  <c r="AG51" i="17418"/>
  <c r="AG60" i="17418"/>
  <c r="AG55" i="17418"/>
  <c r="AG15" i="17418"/>
  <c r="AG44" i="17418"/>
  <c r="AG18" i="17418"/>
  <c r="AG19" i="17418"/>
  <c r="AG20" i="17418"/>
  <c r="AG17" i="17418"/>
  <c r="V32" i="17422" s="1"/>
  <c r="AG16" i="17418"/>
  <c r="V29" i="17422" s="1"/>
  <c r="AG32" i="17418"/>
  <c r="AF238" i="17418"/>
  <c r="AF252" i="17418"/>
  <c r="AF250" i="17418"/>
  <c r="AF284" i="17418"/>
  <c r="AF277" i="17418"/>
  <c r="AF272" i="17418"/>
  <c r="AF245" i="17418"/>
  <c r="AF281" i="17418"/>
  <c r="AF285" i="17418"/>
  <c r="W57" i="17419"/>
  <c r="AT1037" i="4" l="1"/>
  <c r="AT1084" i="4"/>
  <c r="AT1081" i="4"/>
  <c r="AT1085" i="4"/>
  <c r="AT1083" i="4"/>
  <c r="AT1082" i="4"/>
  <c r="AT1086" i="4"/>
  <c r="AR1037" i="4"/>
  <c r="AR1084" i="4"/>
  <c r="AR1081" i="4"/>
  <c r="AR1082" i="4"/>
  <c r="AR1086" i="4"/>
  <c r="AR1085" i="4"/>
  <c r="AR1083" i="4"/>
  <c r="AU1037" i="4"/>
  <c r="AU1084" i="4"/>
  <c r="AU1081" i="4"/>
  <c r="AU1083" i="4"/>
  <c r="AU1085" i="4"/>
  <c r="AU1082" i="4"/>
  <c r="AU1086" i="4"/>
  <c r="AQ1037" i="4"/>
  <c r="AQ1083" i="4"/>
  <c r="AQ1085" i="4"/>
  <c r="AQ1084" i="4"/>
  <c r="AQ1081" i="4"/>
  <c r="AQ1082" i="4"/>
  <c r="AQ1086" i="4"/>
  <c r="AS1037" i="4"/>
  <c r="AS1085" i="4"/>
  <c r="AS1084" i="4"/>
  <c r="AS1081" i="4"/>
  <c r="AS1083" i="4"/>
  <c r="AS1086" i="4"/>
  <c r="AS1082" i="4"/>
  <c r="AR1079" i="4"/>
  <c r="AR1077" i="4"/>
  <c r="AR1080" i="4"/>
  <c r="AR1078" i="4"/>
  <c r="AU1080" i="4"/>
  <c r="AU1079" i="4"/>
  <c r="AU1077" i="4"/>
  <c r="AU1078" i="4"/>
  <c r="AQ1079" i="4"/>
  <c r="AQ1078" i="4"/>
  <c r="AQ1077" i="4"/>
  <c r="AQ1080" i="4"/>
  <c r="AT1078" i="4"/>
  <c r="AT1079" i="4"/>
  <c r="AT1077" i="4"/>
  <c r="AT1080" i="4"/>
  <c r="AS1079" i="4"/>
  <c r="AS1077" i="4"/>
  <c r="AS1080" i="4"/>
  <c r="AS1078" i="4"/>
  <c r="AR450" i="4"/>
  <c r="AR485" i="4"/>
  <c r="AR484" i="4"/>
  <c r="AR483" i="4"/>
  <c r="AU450" i="4"/>
  <c r="AU484" i="4"/>
  <c r="AU485" i="4"/>
  <c r="AU483" i="4"/>
  <c r="AQ450" i="4"/>
  <c r="AQ485" i="4"/>
  <c r="AQ484" i="4"/>
  <c r="AQ483" i="4"/>
  <c r="AT450" i="4"/>
  <c r="AT484" i="4"/>
  <c r="AT485" i="4"/>
  <c r="AT483" i="4"/>
  <c r="AS450" i="4"/>
  <c r="AS485" i="4"/>
  <c r="AS484" i="4"/>
  <c r="AS483" i="4"/>
  <c r="AR454" i="4"/>
  <c r="AR449" i="4"/>
  <c r="AU454" i="4"/>
  <c r="AU449" i="4"/>
  <c r="AQ454" i="4"/>
  <c r="AQ449" i="4"/>
  <c r="AT454" i="4"/>
  <c r="AT449" i="4"/>
  <c r="AS454" i="4"/>
  <c r="AS449" i="4"/>
  <c r="AR1068" i="4"/>
  <c r="AR1072" i="4"/>
  <c r="AR1070" i="4"/>
  <c r="AR1071" i="4"/>
  <c r="AR1069" i="4"/>
  <c r="AU1072" i="4"/>
  <c r="AU1068" i="4"/>
  <c r="AU1071" i="4"/>
  <c r="AU1070" i="4"/>
  <c r="AU1069" i="4"/>
  <c r="AQ1068" i="4"/>
  <c r="AQ1070" i="4"/>
  <c r="AQ1072" i="4"/>
  <c r="AQ1071" i="4"/>
  <c r="AQ1069" i="4"/>
  <c r="AT1072" i="4"/>
  <c r="AT1068" i="4"/>
  <c r="AT1070" i="4"/>
  <c r="AT1071" i="4"/>
  <c r="AT1069" i="4"/>
  <c r="AS1070" i="4"/>
  <c r="AS1068" i="4"/>
  <c r="AS1072" i="4"/>
  <c r="AS1069" i="4"/>
  <c r="AS1071" i="4"/>
  <c r="AU1073" i="4"/>
  <c r="AU1075" i="4"/>
  <c r="AU1076" i="4"/>
  <c r="AU1074" i="4"/>
  <c r="AQ1073" i="4"/>
  <c r="AQ1075" i="4"/>
  <c r="AQ1076" i="4"/>
  <c r="AQ1074" i="4"/>
  <c r="AT1075" i="4"/>
  <c r="AT1073" i="4"/>
  <c r="AT1076" i="4"/>
  <c r="AT1074" i="4"/>
  <c r="AS1073" i="4"/>
  <c r="AS1075" i="4"/>
  <c r="AS1074" i="4"/>
  <c r="AS1076" i="4"/>
  <c r="AR1073" i="4"/>
  <c r="AR1075" i="4"/>
  <c r="AR1076" i="4"/>
  <c r="AR1074" i="4"/>
  <c r="AU1063" i="4"/>
  <c r="AU1067" i="4"/>
  <c r="AU1060" i="4"/>
  <c r="AU1061" i="4"/>
  <c r="AU1065" i="4"/>
  <c r="AU1064" i="4"/>
  <c r="AU1062" i="4"/>
  <c r="AU1066" i="4"/>
  <c r="AQ1060" i="4"/>
  <c r="AQ1062" i="4"/>
  <c r="AQ1066" i="4"/>
  <c r="AQ1061" i="4"/>
  <c r="AQ1065" i="4"/>
  <c r="AQ1067" i="4"/>
  <c r="AQ1063" i="4"/>
  <c r="AQ1064" i="4"/>
  <c r="AT1062" i="4"/>
  <c r="AT1066" i="4"/>
  <c r="AT1067" i="4"/>
  <c r="AT1065" i="4"/>
  <c r="AT1063" i="4"/>
  <c r="AT1061" i="4"/>
  <c r="AT1064" i="4"/>
  <c r="AT1060" i="4"/>
  <c r="AS1061" i="4"/>
  <c r="AS1063" i="4"/>
  <c r="AS1065" i="4"/>
  <c r="AS1067" i="4"/>
  <c r="AS1066" i="4"/>
  <c r="AS1062" i="4"/>
  <c r="AS1060" i="4"/>
  <c r="AS1064" i="4"/>
  <c r="AR1067" i="4"/>
  <c r="AR1065" i="4"/>
  <c r="AR1063" i="4"/>
  <c r="AR1061" i="4"/>
  <c r="AR1060" i="4"/>
  <c r="AR1066" i="4"/>
  <c r="AR1062" i="4"/>
  <c r="AR1064" i="4"/>
  <c r="AR1012" i="4"/>
  <c r="AR699" i="4"/>
  <c r="AR697" i="4"/>
  <c r="AR713" i="4"/>
  <c r="AR711" i="4"/>
  <c r="AR709" i="4"/>
  <c r="AR712" i="4"/>
  <c r="AR696" i="4"/>
  <c r="AR698" i="4"/>
  <c r="AR700" i="4"/>
  <c r="AR714" i="4"/>
  <c r="AR701" i="4"/>
  <c r="AR710" i="4"/>
  <c r="AU1012" i="4"/>
  <c r="AU697" i="4"/>
  <c r="AU699" i="4"/>
  <c r="AU713" i="4"/>
  <c r="AU712" i="4"/>
  <c r="AU698" i="4"/>
  <c r="AU700" i="4"/>
  <c r="AU711" i="4"/>
  <c r="AU709" i="4"/>
  <c r="AU696" i="4"/>
  <c r="AU714" i="4"/>
  <c r="AU710" i="4"/>
  <c r="AU701" i="4"/>
  <c r="AQ1012" i="4"/>
  <c r="AQ699" i="4"/>
  <c r="AQ697" i="4"/>
  <c r="AQ698" i="4"/>
  <c r="AQ700" i="4"/>
  <c r="AQ696" i="4"/>
  <c r="AQ709" i="4"/>
  <c r="AQ701" i="4"/>
  <c r="AQ712" i="4"/>
  <c r="AQ710" i="4"/>
  <c r="AQ713" i="4"/>
  <c r="AQ714" i="4"/>
  <c r="AQ711" i="4"/>
  <c r="AT1012" i="4"/>
  <c r="AT698" i="4"/>
  <c r="AT699" i="4"/>
  <c r="AT712" i="4"/>
  <c r="AT711" i="4"/>
  <c r="AT713" i="4"/>
  <c r="AT709" i="4"/>
  <c r="AT697" i="4"/>
  <c r="AT696" i="4"/>
  <c r="AT700" i="4"/>
  <c r="AT714" i="4"/>
  <c r="AT701" i="4"/>
  <c r="AT710" i="4"/>
  <c r="AS1012" i="4"/>
  <c r="AS696" i="4"/>
  <c r="AS709" i="4"/>
  <c r="AS714" i="4"/>
  <c r="AS711" i="4"/>
  <c r="AS713" i="4"/>
  <c r="AS698" i="4"/>
  <c r="AS697" i="4"/>
  <c r="AS700" i="4"/>
  <c r="AS699" i="4"/>
  <c r="AS710" i="4"/>
  <c r="AS701" i="4"/>
  <c r="AS712" i="4"/>
  <c r="P1013" i="4"/>
  <c r="P1012" i="4"/>
  <c r="R1012" i="4"/>
  <c r="G1012" i="4" s="1"/>
  <c r="P1011" i="4"/>
  <c r="AU1374" i="13"/>
  <c r="AU1379" i="13"/>
  <c r="AU1375" i="13"/>
  <c r="AQ1374" i="13"/>
  <c r="AQ1379" i="13"/>
  <c r="AQ1375" i="13"/>
  <c r="AT1374" i="13"/>
  <c r="AT1379" i="13"/>
  <c r="AT1375" i="13"/>
  <c r="AS1374" i="13"/>
  <c r="AS1379" i="13"/>
  <c r="AS1375" i="13"/>
  <c r="AR1374" i="13"/>
  <c r="AR1379" i="13"/>
  <c r="AR1375" i="13"/>
  <c r="P598" i="4"/>
  <c r="R598" i="4"/>
  <c r="AT1381" i="13"/>
  <c r="AT1378" i="13"/>
  <c r="AT1380" i="13"/>
  <c r="AT1371" i="13"/>
  <c r="AT1377" i="13"/>
  <c r="AT1372" i="13"/>
  <c r="AT1376" i="13"/>
  <c r="AT1373" i="13"/>
  <c r="AU1371" i="13"/>
  <c r="AU1381" i="13"/>
  <c r="AU1380" i="13"/>
  <c r="AU1372" i="13"/>
  <c r="AU1378" i="13"/>
  <c r="AU1373" i="13"/>
  <c r="AU1376" i="13"/>
  <c r="AU1377" i="13"/>
  <c r="AQ1371" i="13"/>
  <c r="AQ1377" i="13"/>
  <c r="AQ1380" i="13"/>
  <c r="AQ1381" i="13"/>
  <c r="AQ1373" i="13"/>
  <c r="AQ1372" i="13"/>
  <c r="AQ1378" i="13"/>
  <c r="AQ1376" i="13"/>
  <c r="AS1380" i="13"/>
  <c r="AS1371" i="13"/>
  <c r="AS1381" i="13"/>
  <c r="AS1372" i="13"/>
  <c r="AS1373" i="13"/>
  <c r="AS1376" i="13"/>
  <c r="AS1377" i="13"/>
  <c r="AS1378" i="13"/>
  <c r="AR1380" i="13"/>
  <c r="AR1371" i="13"/>
  <c r="AR1378" i="13"/>
  <c r="AR1381" i="13"/>
  <c r="AR1377" i="13"/>
  <c r="AR1372" i="13"/>
  <c r="AR1373" i="13"/>
  <c r="AR1376" i="13"/>
  <c r="AR1364" i="13"/>
  <c r="AR1366" i="13"/>
  <c r="AR1370" i="13"/>
  <c r="AR1368" i="13"/>
  <c r="AR1369" i="13"/>
  <c r="AR1367" i="13"/>
  <c r="AR1365" i="13"/>
  <c r="AR1363" i="13"/>
  <c r="AU1364" i="13"/>
  <c r="AU1369" i="13"/>
  <c r="AU1367" i="13"/>
  <c r="AU1370" i="13"/>
  <c r="AU1366" i="13"/>
  <c r="AU1365" i="13"/>
  <c r="AU1363" i="13"/>
  <c r="AU1368" i="13"/>
  <c r="AQ1364" i="13"/>
  <c r="AQ1367" i="13"/>
  <c r="AQ1369" i="13"/>
  <c r="AQ1370" i="13"/>
  <c r="AQ1363" i="13"/>
  <c r="AQ1368" i="13"/>
  <c r="AQ1366" i="13"/>
  <c r="AQ1365" i="13"/>
  <c r="AT1363" i="13"/>
  <c r="AT1369" i="13"/>
  <c r="AT1364" i="13"/>
  <c r="AT1370" i="13"/>
  <c r="AT1367" i="13"/>
  <c r="AT1365" i="13"/>
  <c r="AT1368" i="13"/>
  <c r="AT1366" i="13"/>
  <c r="AS1364" i="13"/>
  <c r="AS1367" i="13"/>
  <c r="AS1369" i="13"/>
  <c r="AS1370" i="13"/>
  <c r="AS1363" i="13"/>
  <c r="AS1368" i="13"/>
  <c r="AS1366" i="13"/>
  <c r="AS1365" i="13"/>
  <c r="AR597" i="4"/>
  <c r="AR598" i="4"/>
  <c r="AU597" i="4"/>
  <c r="AU598" i="4"/>
  <c r="AQ597" i="4"/>
  <c r="AQ598" i="4"/>
  <c r="AT597" i="4"/>
  <c r="AT598" i="4"/>
  <c r="AS597" i="4"/>
  <c r="AS598" i="4"/>
  <c r="R1341" i="13"/>
  <c r="AT1011" i="4"/>
  <c r="AT1013" i="4"/>
  <c r="AS1011" i="4"/>
  <c r="AS1013" i="4"/>
  <c r="AR1011" i="4"/>
  <c r="AR1013" i="4"/>
  <c r="AU1011" i="4"/>
  <c r="AU1013" i="4"/>
  <c r="AQ1011" i="4"/>
  <c r="AQ1013" i="4"/>
  <c r="P1010" i="4"/>
  <c r="R1010" i="4"/>
  <c r="G1011" i="4" s="1"/>
  <c r="AR510" i="4"/>
  <c r="AR1010" i="4"/>
  <c r="AT510" i="4"/>
  <c r="AT1010" i="4"/>
  <c r="AU510" i="4"/>
  <c r="AU1010" i="4"/>
  <c r="AQ510" i="4"/>
  <c r="AQ1010" i="4"/>
  <c r="AS510" i="4"/>
  <c r="AS1010" i="4"/>
  <c r="X510" i="4"/>
  <c r="F510" i="4"/>
  <c r="AR508" i="4"/>
  <c r="AR507" i="4"/>
  <c r="AR509" i="4"/>
  <c r="AT508" i="4"/>
  <c r="AT507" i="4"/>
  <c r="AT509" i="4"/>
  <c r="AU508" i="4"/>
  <c r="AU507" i="4"/>
  <c r="AU509" i="4"/>
  <c r="AQ507" i="4"/>
  <c r="AQ508" i="4"/>
  <c r="AQ509" i="4"/>
  <c r="AS507" i="4"/>
  <c r="AS508" i="4"/>
  <c r="AS509" i="4"/>
  <c r="G508" i="4"/>
  <c r="G509" i="4"/>
  <c r="G507" i="4"/>
  <c r="X508" i="4"/>
  <c r="X507" i="4"/>
  <c r="X509" i="4"/>
  <c r="F508" i="4"/>
  <c r="F507" i="4"/>
  <c r="F509" i="4"/>
  <c r="V35" i="17422"/>
  <c r="U41" i="17422"/>
  <c r="V38" i="17422"/>
  <c r="AR1001" i="4"/>
  <c r="AR1000" i="4"/>
  <c r="AR1002" i="4"/>
  <c r="AU1001" i="4"/>
  <c r="AU1000" i="4"/>
  <c r="AU1002" i="4"/>
  <c r="AQ1001" i="4"/>
  <c r="AQ1002" i="4"/>
  <c r="AQ1000" i="4"/>
  <c r="AT1000" i="4"/>
  <c r="AT1001" i="4"/>
  <c r="AT1002" i="4"/>
  <c r="AS1002" i="4"/>
  <c r="AS1001" i="4"/>
  <c r="AS1000" i="4"/>
  <c r="AT974" i="4"/>
  <c r="AT998" i="4"/>
  <c r="AT994" i="4"/>
  <c r="AT995" i="4"/>
  <c r="AT999" i="4"/>
  <c r="AT997" i="4"/>
  <c r="AT996" i="4"/>
  <c r="AR974" i="4"/>
  <c r="AR994" i="4"/>
  <c r="AR999" i="4"/>
  <c r="AR995" i="4"/>
  <c r="AR998" i="4"/>
  <c r="AR996" i="4"/>
  <c r="AR997" i="4"/>
  <c r="AU974" i="4"/>
  <c r="AU999" i="4"/>
  <c r="AU994" i="4"/>
  <c r="AU995" i="4"/>
  <c r="AU998" i="4"/>
  <c r="AU996" i="4"/>
  <c r="AU997" i="4"/>
  <c r="AQ974" i="4"/>
  <c r="AQ994" i="4"/>
  <c r="AQ995" i="4"/>
  <c r="AQ997" i="4"/>
  <c r="AQ998" i="4"/>
  <c r="AQ999" i="4"/>
  <c r="AQ996" i="4"/>
  <c r="AS974" i="4"/>
  <c r="AS994" i="4"/>
  <c r="AS996" i="4"/>
  <c r="AS999" i="4"/>
  <c r="AS998" i="4"/>
  <c r="AS995" i="4"/>
  <c r="AS997" i="4"/>
  <c r="P689" i="4"/>
  <c r="AS1036" i="4"/>
  <c r="AS1035" i="4"/>
  <c r="AS1038" i="4"/>
  <c r="AR1038" i="4"/>
  <c r="AR1035" i="4"/>
  <c r="AR1036" i="4"/>
  <c r="AQ1038" i="4"/>
  <c r="AQ1035" i="4"/>
  <c r="AQ1036" i="4"/>
  <c r="AU1038" i="4"/>
  <c r="AU1035" i="4"/>
  <c r="AU1036" i="4"/>
  <c r="AT1038" i="4"/>
  <c r="AT1035" i="4"/>
  <c r="AT1036" i="4"/>
  <c r="AT1034" i="4"/>
  <c r="AT1033" i="4"/>
  <c r="AT1032" i="4"/>
  <c r="AR1033" i="4"/>
  <c r="AR1032" i="4"/>
  <c r="AR1034" i="4"/>
  <c r="AU1033" i="4"/>
  <c r="AU1032" i="4"/>
  <c r="AU1034" i="4"/>
  <c r="AQ1033" i="4"/>
  <c r="AQ1034" i="4"/>
  <c r="AQ1032" i="4"/>
  <c r="AS1033" i="4"/>
  <c r="AS1032" i="4"/>
  <c r="AS1034" i="4"/>
  <c r="R688" i="4"/>
  <c r="AU562" i="4"/>
  <c r="AU563" i="4"/>
  <c r="AU561" i="4"/>
  <c r="AT563" i="4"/>
  <c r="AT562" i="4"/>
  <c r="AT561" i="4"/>
  <c r="AS563" i="4"/>
  <c r="AS562" i="4"/>
  <c r="AS561" i="4"/>
  <c r="AR562" i="4"/>
  <c r="AR563" i="4"/>
  <c r="AR561" i="4"/>
  <c r="AQ563" i="4"/>
  <c r="AQ562" i="4"/>
  <c r="AQ561" i="4"/>
  <c r="P609" i="4"/>
  <c r="R605" i="4"/>
  <c r="AR488" i="4"/>
  <c r="AR556" i="4"/>
  <c r="AR553" i="4"/>
  <c r="AR557" i="4"/>
  <c r="AR558" i="4"/>
  <c r="AR554" i="4"/>
  <c r="AR559" i="4"/>
  <c r="AR555" i="4"/>
  <c r="AR560" i="4"/>
  <c r="AU488" i="4"/>
  <c r="AU556" i="4"/>
  <c r="AU553" i="4"/>
  <c r="AU557" i="4"/>
  <c r="AU558" i="4"/>
  <c r="AU554" i="4"/>
  <c r="AU555" i="4"/>
  <c r="AU560" i="4"/>
  <c r="AU559" i="4"/>
  <c r="AQ488" i="4"/>
  <c r="AQ556" i="4"/>
  <c r="AQ553" i="4"/>
  <c r="AQ554" i="4"/>
  <c r="AQ557" i="4"/>
  <c r="AQ558" i="4"/>
  <c r="AQ560" i="4"/>
  <c r="AQ555" i="4"/>
  <c r="AQ559" i="4"/>
  <c r="R557" i="4"/>
  <c r="P557" i="4"/>
  <c r="AS557" i="4" s="1"/>
  <c r="AT488" i="4"/>
  <c r="AT556" i="4"/>
  <c r="AT553" i="4"/>
  <c r="AT558" i="4"/>
  <c r="AT554" i="4"/>
  <c r="AT557" i="4"/>
  <c r="AT555" i="4"/>
  <c r="AT559" i="4"/>
  <c r="AT560" i="4"/>
  <c r="AS488" i="4"/>
  <c r="AS556" i="4"/>
  <c r="AS554" i="4"/>
  <c r="AS559" i="4"/>
  <c r="AS555" i="4"/>
  <c r="AS560" i="4"/>
  <c r="P558" i="4"/>
  <c r="AS558" i="4" s="1"/>
  <c r="R558" i="4"/>
  <c r="R559" i="4"/>
  <c r="P559" i="4"/>
  <c r="P555" i="4"/>
  <c r="R555" i="4"/>
  <c r="F488" i="4"/>
  <c r="F486" i="4"/>
  <c r="S488" i="4"/>
  <c r="S490" i="4"/>
  <c r="S486" i="4"/>
  <c r="S489" i="4"/>
  <c r="S487" i="4"/>
  <c r="AT1005" i="4"/>
  <c r="AT1004" i="4"/>
  <c r="AS1005" i="4"/>
  <c r="AS1004" i="4"/>
  <c r="AR1005" i="4"/>
  <c r="AR1004" i="4"/>
  <c r="AU1005" i="4"/>
  <c r="AU1004" i="4"/>
  <c r="AQ1005" i="4"/>
  <c r="AQ1004" i="4"/>
  <c r="AR1025" i="4"/>
  <c r="AR1021" i="4"/>
  <c r="AU1025" i="4"/>
  <c r="AU1021" i="4"/>
  <c r="AQ1025" i="4"/>
  <c r="AQ1021" i="4"/>
  <c r="AT1025" i="4"/>
  <c r="AT1021" i="4"/>
  <c r="AS1025" i="4"/>
  <c r="AS1024" i="4"/>
  <c r="AS253" i="4"/>
  <c r="AS252" i="4"/>
  <c r="AR1024" i="4"/>
  <c r="AR253" i="4"/>
  <c r="AR252" i="4"/>
  <c r="AU1024" i="4"/>
  <c r="AU253" i="4"/>
  <c r="AU252" i="4"/>
  <c r="AQ1024" i="4"/>
  <c r="AQ253" i="4"/>
  <c r="AQ252" i="4"/>
  <c r="AT1024" i="4"/>
  <c r="AT253" i="4"/>
  <c r="AT252" i="4"/>
  <c r="AR591" i="4"/>
  <c r="AR583" i="4"/>
  <c r="AU591" i="4"/>
  <c r="AU583" i="4"/>
  <c r="AQ591" i="4"/>
  <c r="AQ583" i="4"/>
  <c r="AT591" i="4"/>
  <c r="AT583" i="4"/>
  <c r="AS591" i="4"/>
  <c r="AS583" i="4"/>
  <c r="P1009" i="4"/>
  <c r="R1009" i="4"/>
  <c r="G1009" i="4" s="1"/>
  <c r="AT980" i="4"/>
  <c r="AT1009" i="4"/>
  <c r="AR980" i="4"/>
  <c r="AR1009" i="4"/>
  <c r="AS980" i="4"/>
  <c r="AU980" i="4"/>
  <c r="AU1009" i="4"/>
  <c r="AQ980" i="4"/>
  <c r="AQ1009" i="4"/>
  <c r="F1346" i="13"/>
  <c r="S1346" i="13"/>
  <c r="G1347" i="13"/>
  <c r="G1346" i="13"/>
  <c r="F1917" i="1"/>
  <c r="L991" i="4" s="1"/>
  <c r="F1347" i="13"/>
  <c r="AU1058" i="4"/>
  <c r="AU1059" i="4"/>
  <c r="AQ1058" i="4"/>
  <c r="AQ1059" i="4"/>
  <c r="AT1058" i="4"/>
  <c r="AT1059" i="4"/>
  <c r="AS1058" i="4"/>
  <c r="AS1059" i="4"/>
  <c r="AR1058" i="4"/>
  <c r="AR1059" i="4"/>
  <c r="AU1045" i="4"/>
  <c r="AU1054" i="4"/>
  <c r="AQ1045" i="4"/>
  <c r="AQ1054" i="4"/>
  <c r="AS1045" i="4"/>
  <c r="AS1054" i="4"/>
  <c r="AT1045" i="4"/>
  <c r="AT1054" i="4"/>
  <c r="AR1045" i="4"/>
  <c r="AR1054" i="4"/>
  <c r="R1340" i="13"/>
  <c r="P1495" i="13"/>
  <c r="R1495" i="13"/>
  <c r="P1496" i="13"/>
  <c r="R1496" i="13"/>
  <c r="G1474" i="13"/>
  <c r="G1477" i="13"/>
  <c r="G1479" i="13"/>
  <c r="G1480" i="13"/>
  <c r="G1475" i="13"/>
  <c r="G1476" i="13"/>
  <c r="G1478" i="13"/>
  <c r="F1477" i="13"/>
  <c r="X1477" i="13"/>
  <c r="X1475" i="13"/>
  <c r="X1480" i="13"/>
  <c r="X1479" i="13"/>
  <c r="X1474" i="13"/>
  <c r="AV1028" i="4" s="1"/>
  <c r="AQ1028" i="4" s="1"/>
  <c r="X1476" i="13"/>
  <c r="X1478" i="13"/>
  <c r="F1478" i="13"/>
  <c r="F1476" i="13"/>
  <c r="F1480" i="13"/>
  <c r="F1475" i="13"/>
  <c r="F1929" i="1"/>
  <c r="F1474" i="13"/>
  <c r="F1479" i="13"/>
  <c r="P1472" i="13"/>
  <c r="R1472" i="13"/>
  <c r="G1473" i="13" s="1"/>
  <c r="P1465" i="13"/>
  <c r="R1465" i="13"/>
  <c r="AR1029" i="4"/>
  <c r="AU1029" i="4"/>
  <c r="AQ1029" i="4"/>
  <c r="AT1029" i="4"/>
  <c r="AS1029" i="4"/>
  <c r="R548" i="13"/>
  <c r="P973" i="4"/>
  <c r="R973" i="4"/>
  <c r="R972" i="4"/>
  <c r="P972" i="4"/>
  <c r="AS975" i="4"/>
  <c r="AS973" i="4"/>
  <c r="AS972" i="4"/>
  <c r="AU975" i="4"/>
  <c r="AU973" i="4"/>
  <c r="AU972" i="4"/>
  <c r="AT975" i="4"/>
  <c r="AT973" i="4"/>
  <c r="AT972" i="4"/>
  <c r="AR975" i="4"/>
  <c r="AR973" i="4"/>
  <c r="AR972" i="4"/>
  <c r="AQ975" i="4"/>
  <c r="AQ973" i="4"/>
  <c r="AQ972" i="4"/>
  <c r="AU658" i="4"/>
  <c r="AU656" i="4"/>
  <c r="AU655" i="4"/>
  <c r="AU657" i="4"/>
  <c r="AU662" i="4"/>
  <c r="AU660" i="4"/>
  <c r="AU659" i="4"/>
  <c r="AU663" i="4"/>
  <c r="AU661" i="4"/>
  <c r="AQ658" i="4"/>
  <c r="AQ656" i="4"/>
  <c r="AQ661" i="4"/>
  <c r="AQ655" i="4"/>
  <c r="AQ660" i="4"/>
  <c r="AQ659" i="4"/>
  <c r="AQ657" i="4"/>
  <c r="AQ662" i="4"/>
  <c r="AQ663" i="4"/>
  <c r="AT662" i="4"/>
  <c r="AT656" i="4"/>
  <c r="AT658" i="4"/>
  <c r="AT660" i="4"/>
  <c r="AT655" i="4"/>
  <c r="AT659" i="4"/>
  <c r="AT661" i="4"/>
  <c r="AT657" i="4"/>
  <c r="AT663" i="4"/>
  <c r="AS656" i="4"/>
  <c r="AS657" i="4"/>
  <c r="AS659" i="4"/>
  <c r="AS658" i="4"/>
  <c r="AS655" i="4"/>
  <c r="AS660" i="4"/>
  <c r="AS662" i="4"/>
  <c r="AS661" i="4"/>
  <c r="AS663" i="4"/>
  <c r="AR660" i="4"/>
  <c r="AR658" i="4"/>
  <c r="AR656" i="4"/>
  <c r="AR655" i="4"/>
  <c r="AR657" i="4"/>
  <c r="AR659" i="4"/>
  <c r="AR662" i="4"/>
  <c r="AR661" i="4"/>
  <c r="AR663" i="4"/>
  <c r="AU588" i="4"/>
  <c r="AU595" i="4"/>
  <c r="AU593" i="4"/>
  <c r="AU596" i="4"/>
  <c r="AU590" i="4"/>
  <c r="AU592" i="4"/>
  <c r="AU594" i="4"/>
  <c r="AU589" i="4"/>
  <c r="AQ593" i="4"/>
  <c r="AQ596" i="4"/>
  <c r="AQ590" i="4"/>
  <c r="AQ592" i="4"/>
  <c r="AQ594" i="4"/>
  <c r="AQ588" i="4"/>
  <c r="AQ589" i="4"/>
  <c r="AQ595" i="4"/>
  <c r="AT590" i="4"/>
  <c r="AT592" i="4"/>
  <c r="AT588" i="4"/>
  <c r="AT593" i="4"/>
  <c r="AT594" i="4"/>
  <c r="AT596" i="4"/>
  <c r="AT589" i="4"/>
  <c r="AT595" i="4"/>
  <c r="AS588" i="4"/>
  <c r="AS592" i="4"/>
  <c r="AS593" i="4"/>
  <c r="AS589" i="4"/>
  <c r="AS590" i="4"/>
  <c r="AS596" i="4"/>
  <c r="AS594" i="4"/>
  <c r="AS595" i="4"/>
  <c r="AR593" i="4"/>
  <c r="AR590" i="4"/>
  <c r="AR588" i="4"/>
  <c r="AR592" i="4"/>
  <c r="AR595" i="4"/>
  <c r="AR596" i="4"/>
  <c r="AR594" i="4"/>
  <c r="AR589" i="4"/>
  <c r="AU1019" i="4"/>
  <c r="AU1018" i="4"/>
  <c r="AU1020" i="4"/>
  <c r="AU1022" i="4"/>
  <c r="AU1023" i="4"/>
  <c r="AQ1020" i="4"/>
  <c r="AQ1019" i="4"/>
  <c r="AQ1018" i="4"/>
  <c r="AQ1022" i="4"/>
  <c r="AQ1023" i="4"/>
  <c r="AT1020" i="4"/>
  <c r="AT1022" i="4"/>
  <c r="AT1019" i="4"/>
  <c r="AT1018" i="4"/>
  <c r="AT1023" i="4"/>
  <c r="AS1020" i="4"/>
  <c r="AS1022" i="4"/>
  <c r="AS1019" i="4"/>
  <c r="AS1018" i="4"/>
  <c r="AS1023" i="4"/>
  <c r="AR1020" i="4"/>
  <c r="AR1022" i="4"/>
  <c r="AR1018" i="4"/>
  <c r="AR1019" i="4"/>
  <c r="AR1023" i="4"/>
  <c r="AS1014" i="4"/>
  <c r="AS1016" i="4"/>
  <c r="AS1017" i="4"/>
  <c r="R1015" i="4"/>
  <c r="P1015" i="4"/>
  <c r="AS1015" i="4" s="1"/>
  <c r="AT1017" i="4"/>
  <c r="AT1016" i="4"/>
  <c r="AT1014" i="4"/>
  <c r="AT1015" i="4"/>
  <c r="AR1016" i="4"/>
  <c r="AR1014" i="4"/>
  <c r="AR1017" i="4"/>
  <c r="AR1015" i="4"/>
  <c r="AU1014" i="4"/>
  <c r="AU1017" i="4"/>
  <c r="AU1016" i="4"/>
  <c r="AU1015" i="4"/>
  <c r="AQ1017" i="4"/>
  <c r="AQ1016" i="4"/>
  <c r="AQ1014" i="4"/>
  <c r="AQ1015" i="4"/>
  <c r="S1341" i="13"/>
  <c r="AQ991" i="4" s="1"/>
  <c r="S1347" i="13"/>
  <c r="S1344" i="13"/>
  <c r="S1342" i="13"/>
  <c r="S1345" i="13"/>
  <c r="S1343" i="13"/>
  <c r="AT990" i="4"/>
  <c r="AT1003" i="4"/>
  <c r="AT993" i="4"/>
  <c r="AT1008" i="4"/>
  <c r="AT992" i="4"/>
  <c r="AT991" i="4"/>
  <c r="AT1006" i="4"/>
  <c r="AT1007" i="4"/>
  <c r="AU990" i="4"/>
  <c r="AU1008" i="4"/>
  <c r="AU1007" i="4"/>
  <c r="AU992" i="4"/>
  <c r="AU991" i="4"/>
  <c r="AU1003" i="4"/>
  <c r="AU993" i="4"/>
  <c r="AU1006" i="4"/>
  <c r="AQ990" i="4"/>
  <c r="AQ1007" i="4"/>
  <c r="AQ1003" i="4"/>
  <c r="AQ992" i="4"/>
  <c r="AQ993" i="4"/>
  <c r="AQ1008" i="4"/>
  <c r="AQ1006" i="4"/>
  <c r="AS990" i="4"/>
  <c r="AS1007" i="4"/>
  <c r="AS1008" i="4"/>
  <c r="AS1003" i="4"/>
  <c r="AS992" i="4"/>
  <c r="AS1006" i="4"/>
  <c r="F1345" i="13"/>
  <c r="F1344" i="13"/>
  <c r="F1343" i="13"/>
  <c r="F1342" i="13"/>
  <c r="F1341" i="13"/>
  <c r="U1344" i="13"/>
  <c r="U1342" i="13"/>
  <c r="U1341" i="13"/>
  <c r="AS991" i="4" s="1"/>
  <c r="U1345" i="13"/>
  <c r="U1343" i="13"/>
  <c r="U1347" i="13"/>
  <c r="AR990" i="4"/>
  <c r="AR1008" i="4"/>
  <c r="AR992" i="4"/>
  <c r="AR1003" i="4"/>
  <c r="AR993" i="4"/>
  <c r="AR1007" i="4"/>
  <c r="AR1006" i="4"/>
  <c r="AR991" i="4"/>
  <c r="G1345" i="13"/>
  <c r="G1344" i="13"/>
  <c r="G1343" i="13"/>
  <c r="G1342" i="13"/>
  <c r="G1341" i="13"/>
  <c r="AT984" i="4"/>
  <c r="AT988" i="4"/>
  <c r="AT989" i="4"/>
  <c r="AT986" i="4"/>
  <c r="AT987" i="4"/>
  <c r="AT985" i="4"/>
  <c r="AU984" i="4"/>
  <c r="AU988" i="4"/>
  <c r="AU989" i="4"/>
  <c r="AU985" i="4"/>
  <c r="AU986" i="4"/>
  <c r="AU987" i="4"/>
  <c r="AQ984" i="4"/>
  <c r="AQ988" i="4"/>
  <c r="AQ989" i="4"/>
  <c r="AQ987" i="4"/>
  <c r="AQ985" i="4"/>
  <c r="AQ986" i="4"/>
  <c r="AS984" i="4"/>
  <c r="AS989" i="4"/>
  <c r="AS988" i="4"/>
  <c r="AS985" i="4"/>
  <c r="AS987" i="4"/>
  <c r="AS986" i="4"/>
  <c r="G987" i="4"/>
  <c r="G985" i="4"/>
  <c r="G986" i="4"/>
  <c r="AR984" i="4"/>
  <c r="AR986" i="4"/>
  <c r="AR987" i="4"/>
  <c r="AR985" i="4"/>
  <c r="AR989" i="4"/>
  <c r="AR988" i="4"/>
  <c r="F986" i="4"/>
  <c r="F985" i="4"/>
  <c r="F987" i="4"/>
  <c r="X985" i="4"/>
  <c r="X987" i="4"/>
  <c r="X986" i="4"/>
  <c r="AS979" i="4"/>
  <c r="AS981" i="4"/>
  <c r="AS977" i="4"/>
  <c r="AS982" i="4"/>
  <c r="AS976" i="4"/>
  <c r="AS983" i="4"/>
  <c r="AS978" i="4"/>
  <c r="AT979" i="4"/>
  <c r="AT977" i="4"/>
  <c r="AT982" i="4"/>
  <c r="AT981" i="4"/>
  <c r="AT983" i="4"/>
  <c r="AT976" i="4"/>
  <c r="AT978" i="4"/>
  <c r="AR981" i="4"/>
  <c r="AR979" i="4"/>
  <c r="AR982" i="4"/>
  <c r="AR977" i="4"/>
  <c r="AR976" i="4"/>
  <c r="AR983" i="4"/>
  <c r="AR978" i="4"/>
  <c r="AU977" i="4"/>
  <c r="AU982" i="4"/>
  <c r="AU976" i="4"/>
  <c r="AU979" i="4"/>
  <c r="AU983" i="4"/>
  <c r="AU981" i="4"/>
  <c r="AU978" i="4"/>
  <c r="AQ977" i="4"/>
  <c r="AQ981" i="4"/>
  <c r="AQ976" i="4"/>
  <c r="AQ982" i="4"/>
  <c r="AQ979" i="4"/>
  <c r="AQ978" i="4"/>
  <c r="AQ983" i="4"/>
  <c r="L1337" i="13"/>
  <c r="AT575" i="4"/>
  <c r="AT579" i="4"/>
  <c r="AR575" i="4"/>
  <c r="AR579" i="4"/>
  <c r="AU575" i="4"/>
  <c r="AU579" i="4"/>
  <c r="AQ579" i="4"/>
  <c r="AQ575" i="4"/>
  <c r="AU572" i="4"/>
  <c r="AU574" i="4"/>
  <c r="AU576" i="4"/>
  <c r="AU578" i="4"/>
  <c r="AU577" i="4"/>
  <c r="AU573" i="4"/>
  <c r="AT574" i="4"/>
  <c r="AT572" i="4"/>
  <c r="AT577" i="4"/>
  <c r="AT576" i="4"/>
  <c r="AT573" i="4"/>
  <c r="AT578" i="4"/>
  <c r="AS572" i="4"/>
  <c r="AS574" i="4"/>
  <c r="AS576" i="4"/>
  <c r="AS577" i="4"/>
  <c r="AS578" i="4"/>
  <c r="AS573" i="4"/>
  <c r="AR572" i="4"/>
  <c r="AR573" i="4"/>
  <c r="AR577" i="4"/>
  <c r="AR576" i="4"/>
  <c r="AR578" i="4"/>
  <c r="AR574" i="4"/>
  <c r="AQ572" i="4"/>
  <c r="AQ573" i="4"/>
  <c r="AQ574" i="4"/>
  <c r="AQ576" i="4"/>
  <c r="AQ577" i="4"/>
  <c r="AQ578" i="4"/>
  <c r="AG256" i="17418"/>
  <c r="AR831" i="4"/>
  <c r="AR834" i="4"/>
  <c r="AR827" i="4"/>
  <c r="AR829" i="4"/>
  <c r="AR833" i="4"/>
  <c r="AR832" i="4"/>
  <c r="AR828" i="4"/>
  <c r="AR830" i="4"/>
  <c r="AU833" i="4"/>
  <c r="AU827" i="4"/>
  <c r="AU829" i="4"/>
  <c r="AU831" i="4"/>
  <c r="AU830" i="4"/>
  <c r="AU828" i="4"/>
  <c r="AU832" i="4"/>
  <c r="AU834" i="4"/>
  <c r="AQ827" i="4"/>
  <c r="AQ833" i="4"/>
  <c r="AQ831" i="4"/>
  <c r="AQ832" i="4"/>
  <c r="AQ828" i="4"/>
  <c r="AQ834" i="4"/>
  <c r="AQ830" i="4"/>
  <c r="AQ829" i="4"/>
  <c r="AT828" i="4"/>
  <c r="AT831" i="4"/>
  <c r="AT833" i="4"/>
  <c r="AT829" i="4"/>
  <c r="AT827" i="4"/>
  <c r="AT832" i="4"/>
  <c r="AT834" i="4"/>
  <c r="AT830" i="4"/>
  <c r="AS827" i="4"/>
  <c r="AS829" i="4"/>
  <c r="AS831" i="4"/>
  <c r="AS833" i="4"/>
  <c r="AS830" i="4"/>
  <c r="AS834" i="4"/>
  <c r="AS828" i="4"/>
  <c r="AS832" i="4"/>
  <c r="AG14" i="17418"/>
  <c r="V26" i="17422" s="1"/>
  <c r="V41" i="17422"/>
  <c r="AF265" i="17418"/>
  <c r="AF259" i="17418"/>
  <c r="AG239" i="17418"/>
  <c r="AG251" i="17418"/>
  <c r="AG263" i="17418"/>
  <c r="AG266" i="17418"/>
  <c r="AG271" i="17418"/>
  <c r="H23" i="1"/>
  <c r="X15" i="14"/>
  <c r="AU859" i="4"/>
  <c r="AU855" i="4"/>
  <c r="AT859" i="4"/>
  <c r="AT855" i="4"/>
  <c r="AS859" i="4"/>
  <c r="AS855" i="4"/>
  <c r="AR859" i="4"/>
  <c r="AR855" i="4"/>
  <c r="AQ859" i="4"/>
  <c r="AQ855" i="4"/>
  <c r="F855" i="4"/>
  <c r="X855" i="4"/>
  <c r="W859" i="4"/>
  <c r="W860" i="4"/>
  <c r="W861" i="4"/>
  <c r="W858" i="4"/>
  <c r="R862" i="4"/>
  <c r="G864" i="4" s="1"/>
  <c r="P865" i="4"/>
  <c r="X865" i="4" s="1"/>
  <c r="R865" i="4"/>
  <c r="AU866" i="4"/>
  <c r="AU867" i="4"/>
  <c r="AT866" i="4"/>
  <c r="AT867" i="4"/>
  <c r="AS866" i="4"/>
  <c r="AS867" i="4"/>
  <c r="AR866" i="4"/>
  <c r="AR867" i="4"/>
  <c r="AQ866" i="4"/>
  <c r="AQ867" i="4"/>
  <c r="X863" i="4"/>
  <c r="X864" i="4"/>
  <c r="X862" i="4"/>
  <c r="F862" i="4"/>
  <c r="F864" i="4"/>
  <c r="F863" i="4"/>
  <c r="AU863" i="4"/>
  <c r="AU864" i="4"/>
  <c r="AT864" i="4"/>
  <c r="AT863" i="4"/>
  <c r="AS863" i="4"/>
  <c r="AS864" i="4"/>
  <c r="AR863" i="4"/>
  <c r="AR864" i="4"/>
  <c r="AQ863" i="4"/>
  <c r="AQ864" i="4"/>
  <c r="R854" i="4"/>
  <c r="P858" i="4"/>
  <c r="R858" i="4"/>
  <c r="G859" i="4" s="1"/>
  <c r="AU861" i="4"/>
  <c r="AU860" i="4"/>
  <c r="AT861" i="4"/>
  <c r="AT860" i="4"/>
  <c r="AS861" i="4"/>
  <c r="AS860" i="4"/>
  <c r="AR861" i="4"/>
  <c r="AR860" i="4"/>
  <c r="AQ861" i="4"/>
  <c r="AQ860" i="4"/>
  <c r="X854" i="4"/>
  <c r="X856" i="4"/>
  <c r="X857" i="4"/>
  <c r="F854" i="4"/>
  <c r="F856" i="4"/>
  <c r="F857" i="4"/>
  <c r="AU247" i="4"/>
  <c r="AU856" i="4"/>
  <c r="AU857" i="4"/>
  <c r="AU858" i="4"/>
  <c r="AT247" i="4"/>
  <c r="AT856" i="4"/>
  <c r="AT857" i="4"/>
  <c r="AT858" i="4"/>
  <c r="AS247" i="4"/>
  <c r="AS856" i="4"/>
  <c r="AS857" i="4"/>
  <c r="AS858" i="4"/>
  <c r="AR247" i="4"/>
  <c r="AR856" i="4"/>
  <c r="AR857" i="4"/>
  <c r="AR858" i="4"/>
  <c r="AQ247" i="4"/>
  <c r="AQ856" i="4"/>
  <c r="AQ857" i="4"/>
  <c r="AQ858" i="4"/>
  <c r="AH21" i="17418"/>
  <c r="AU492" i="4"/>
  <c r="AU235" i="4"/>
  <c r="AT492" i="4"/>
  <c r="AT235" i="4"/>
  <c r="AS492" i="4"/>
  <c r="AS235" i="4"/>
  <c r="AR492" i="4"/>
  <c r="AR235" i="4"/>
  <c r="AQ492" i="4"/>
  <c r="AQ235" i="4"/>
  <c r="R607" i="13"/>
  <c r="P607" i="13"/>
  <c r="AS418" i="4"/>
  <c r="AS794" i="4"/>
  <c r="AS792" i="4"/>
  <c r="AS790" i="4"/>
  <c r="AS788" i="4"/>
  <c r="AS787" i="4"/>
  <c r="AS793" i="4"/>
  <c r="AS795" i="4"/>
  <c r="AS791" i="4"/>
  <c r="AS789" i="4"/>
  <c r="AR418" i="4"/>
  <c r="AR795" i="4"/>
  <c r="AR793" i="4"/>
  <c r="AR791" i="4"/>
  <c r="AR789" i="4"/>
  <c r="AR787" i="4"/>
  <c r="AR794" i="4"/>
  <c r="AR792" i="4"/>
  <c r="AR790" i="4"/>
  <c r="AR788" i="4"/>
  <c r="AU418" i="4"/>
  <c r="AU795" i="4"/>
  <c r="AU793" i="4"/>
  <c r="AU791" i="4"/>
  <c r="AU789" i="4"/>
  <c r="AU787" i="4"/>
  <c r="AU792" i="4"/>
  <c r="AU790" i="4"/>
  <c r="AU794" i="4"/>
  <c r="AU788" i="4"/>
  <c r="AQ418" i="4"/>
  <c r="AQ795" i="4"/>
  <c r="AQ793" i="4"/>
  <c r="AQ791" i="4"/>
  <c r="AQ789" i="4"/>
  <c r="AQ787" i="4"/>
  <c r="AQ794" i="4"/>
  <c r="AQ788" i="4"/>
  <c r="AQ792" i="4"/>
  <c r="AQ790" i="4"/>
  <c r="AT418" i="4"/>
  <c r="AT795" i="4"/>
  <c r="AT793" i="4"/>
  <c r="AT791" i="4"/>
  <c r="AT789" i="4"/>
  <c r="AT787" i="4"/>
  <c r="AT794" i="4"/>
  <c r="AT788" i="4"/>
  <c r="AT792" i="4"/>
  <c r="AT790" i="4"/>
  <c r="AS970" i="4"/>
  <c r="AS964" i="4"/>
  <c r="AS962" i="4"/>
  <c r="AS960" i="4"/>
  <c r="AS958" i="4"/>
  <c r="AS956" i="4"/>
  <c r="AS954" i="4"/>
  <c r="AS968" i="4"/>
  <c r="AS969" i="4"/>
  <c r="AS966" i="4"/>
  <c r="AS967" i="4"/>
  <c r="AS961" i="4"/>
  <c r="AS971" i="4"/>
  <c r="AS955" i="4"/>
  <c r="AS965" i="4"/>
  <c r="AS959" i="4"/>
  <c r="AS963" i="4"/>
  <c r="AS957" i="4"/>
  <c r="AR962" i="4"/>
  <c r="AR960" i="4"/>
  <c r="AR958" i="4"/>
  <c r="AR956" i="4"/>
  <c r="AR954" i="4"/>
  <c r="AR970" i="4"/>
  <c r="AR966" i="4"/>
  <c r="AR964" i="4"/>
  <c r="AR968" i="4"/>
  <c r="AR965" i="4"/>
  <c r="AR957" i="4"/>
  <c r="AR961" i="4"/>
  <c r="AR963" i="4"/>
  <c r="AR969" i="4"/>
  <c r="AR959" i="4"/>
  <c r="AR971" i="4"/>
  <c r="AR967" i="4"/>
  <c r="AR955" i="4"/>
  <c r="AU966" i="4"/>
  <c r="AU962" i="4"/>
  <c r="AU960" i="4"/>
  <c r="AU958" i="4"/>
  <c r="AU956" i="4"/>
  <c r="AU954" i="4"/>
  <c r="AU970" i="4"/>
  <c r="AU968" i="4"/>
  <c r="AU965" i="4"/>
  <c r="AU964" i="4"/>
  <c r="AU957" i="4"/>
  <c r="AU971" i="4"/>
  <c r="AU969" i="4"/>
  <c r="AU961" i="4"/>
  <c r="AU955" i="4"/>
  <c r="AU959" i="4"/>
  <c r="AU963" i="4"/>
  <c r="AU967" i="4"/>
  <c r="AQ966" i="4"/>
  <c r="AQ964" i="4"/>
  <c r="AQ962" i="4"/>
  <c r="AQ960" i="4"/>
  <c r="AQ958" i="4"/>
  <c r="AQ956" i="4"/>
  <c r="AQ954" i="4"/>
  <c r="AQ970" i="4"/>
  <c r="AQ968" i="4"/>
  <c r="AQ969" i="4"/>
  <c r="AQ965" i="4"/>
  <c r="AQ963" i="4"/>
  <c r="AQ957" i="4"/>
  <c r="AQ971" i="4"/>
  <c r="AQ961" i="4"/>
  <c r="AQ955" i="4"/>
  <c r="AQ967" i="4"/>
  <c r="AQ959" i="4"/>
  <c r="AT962" i="4"/>
  <c r="AT960" i="4"/>
  <c r="AT970" i="4"/>
  <c r="AT968" i="4"/>
  <c r="AT954" i="4"/>
  <c r="AT957" i="4"/>
  <c r="AT964" i="4"/>
  <c r="AT969" i="4"/>
  <c r="AT956" i="4"/>
  <c r="AT958" i="4"/>
  <c r="AT966" i="4"/>
  <c r="AT963" i="4"/>
  <c r="AT965" i="4"/>
  <c r="AT959" i="4"/>
  <c r="AT955" i="4"/>
  <c r="AT967" i="4"/>
  <c r="AT971" i="4"/>
  <c r="AT961" i="4"/>
  <c r="AR948" i="4"/>
  <c r="AR940" i="4"/>
  <c r="AR952" i="4"/>
  <c r="AR944" i="4"/>
  <c r="AR920" i="4"/>
  <c r="AR934" i="4"/>
  <c r="AR932" i="4"/>
  <c r="AR936" i="4"/>
  <c r="AR929" i="4"/>
  <c r="AR946" i="4"/>
  <c r="AR922" i="4"/>
  <c r="AR927" i="4"/>
  <c r="AR938" i="4"/>
  <c r="AR942" i="4"/>
  <c r="AR950" i="4"/>
  <c r="AR921" i="4"/>
  <c r="AR919" i="4"/>
  <c r="AR928" i="4"/>
  <c r="AR943" i="4"/>
  <c r="AR930" i="4"/>
  <c r="AR951" i="4"/>
  <c r="AR939" i="4"/>
  <c r="AR947" i="4"/>
  <c r="AR941" i="4"/>
  <c r="AR931" i="4"/>
  <c r="AR933" i="4"/>
  <c r="AR949" i="4"/>
  <c r="AR945" i="4"/>
  <c r="AR937" i="4"/>
  <c r="AR953" i="4"/>
  <c r="AR923" i="4"/>
  <c r="AR924" i="4"/>
  <c r="AR926" i="4"/>
  <c r="AR935" i="4"/>
  <c r="AR925" i="4"/>
  <c r="AU952" i="4"/>
  <c r="AU944" i="4"/>
  <c r="AU948" i="4"/>
  <c r="AU940" i="4"/>
  <c r="AU922" i="4"/>
  <c r="AU919" i="4"/>
  <c r="AU921" i="4"/>
  <c r="AU932" i="4"/>
  <c r="AU946" i="4"/>
  <c r="AU931" i="4"/>
  <c r="AU927" i="4"/>
  <c r="AU942" i="4"/>
  <c r="AU950" i="4"/>
  <c r="AU936" i="4"/>
  <c r="AU949" i="4"/>
  <c r="AU928" i="4"/>
  <c r="AU920" i="4"/>
  <c r="AU934" i="4"/>
  <c r="AU938" i="4"/>
  <c r="AU941" i="4"/>
  <c r="AU947" i="4"/>
  <c r="AU943" i="4"/>
  <c r="AU925" i="4"/>
  <c r="AU951" i="4"/>
  <c r="AU930" i="4"/>
  <c r="AU924" i="4"/>
  <c r="AU926" i="4"/>
  <c r="AU953" i="4"/>
  <c r="AU945" i="4"/>
  <c r="AU929" i="4"/>
  <c r="AU923" i="4"/>
  <c r="AU937" i="4"/>
  <c r="AU933" i="4"/>
  <c r="AU939" i="4"/>
  <c r="AU935" i="4"/>
  <c r="AQ952" i="4"/>
  <c r="AQ944" i="4"/>
  <c r="AQ948" i="4"/>
  <c r="AQ940" i="4"/>
  <c r="AQ950" i="4"/>
  <c r="AQ942" i="4"/>
  <c r="AQ922" i="4"/>
  <c r="AQ920" i="4"/>
  <c r="AQ934" i="4"/>
  <c r="AQ924" i="4"/>
  <c r="AQ929" i="4"/>
  <c r="AQ930" i="4"/>
  <c r="AQ919" i="4"/>
  <c r="AQ921" i="4"/>
  <c r="AQ928" i="4"/>
  <c r="AQ938" i="4"/>
  <c r="AQ946" i="4"/>
  <c r="AQ943" i="4"/>
  <c r="AQ932" i="4"/>
  <c r="AQ927" i="4"/>
  <c r="AQ936" i="4"/>
  <c r="AQ951" i="4"/>
  <c r="AQ937" i="4"/>
  <c r="AQ953" i="4"/>
  <c r="AQ933" i="4"/>
  <c r="AQ923" i="4"/>
  <c r="AQ935" i="4"/>
  <c r="AQ939" i="4"/>
  <c r="AQ925" i="4"/>
  <c r="AQ949" i="4"/>
  <c r="AQ941" i="4"/>
  <c r="AQ945" i="4"/>
  <c r="AQ947" i="4"/>
  <c r="AQ931" i="4"/>
  <c r="AQ926" i="4"/>
  <c r="AT933" i="4"/>
  <c r="AT929" i="4"/>
  <c r="AT944" i="4"/>
  <c r="AT948" i="4"/>
  <c r="AT924" i="4"/>
  <c r="AT927" i="4"/>
  <c r="AT928" i="4"/>
  <c r="AT934" i="4"/>
  <c r="AT942" i="4"/>
  <c r="AT951" i="4"/>
  <c r="AT921" i="4"/>
  <c r="AT940" i="4"/>
  <c r="AT922" i="4"/>
  <c r="AT920" i="4"/>
  <c r="AT952" i="4"/>
  <c r="AT938" i="4"/>
  <c r="AT950" i="4"/>
  <c r="AT939" i="4"/>
  <c r="AT946" i="4"/>
  <c r="AT947" i="4"/>
  <c r="AT936" i="4"/>
  <c r="AT943" i="4"/>
  <c r="AT945" i="4"/>
  <c r="AT925" i="4"/>
  <c r="AT923" i="4"/>
  <c r="AT932" i="4"/>
  <c r="AT931" i="4"/>
  <c r="AT941" i="4"/>
  <c r="AT953" i="4"/>
  <c r="AT937" i="4"/>
  <c r="AT926" i="4"/>
  <c r="AT949" i="4"/>
  <c r="AT930" i="4"/>
  <c r="AT919" i="4"/>
  <c r="AT935" i="4"/>
  <c r="AS952" i="4"/>
  <c r="AS944" i="4"/>
  <c r="AS950" i="4"/>
  <c r="AS942" i="4"/>
  <c r="AS919" i="4"/>
  <c r="AS927" i="4"/>
  <c r="AS922" i="4"/>
  <c r="AS948" i="4"/>
  <c r="AS920" i="4"/>
  <c r="AS921" i="4"/>
  <c r="AS928" i="4"/>
  <c r="AS932" i="4"/>
  <c r="AS933" i="4"/>
  <c r="AS938" i="4"/>
  <c r="AS946" i="4"/>
  <c r="AS940" i="4"/>
  <c r="AS934" i="4"/>
  <c r="AS937" i="4"/>
  <c r="AS949" i="4"/>
  <c r="AS936" i="4"/>
  <c r="AS941" i="4"/>
  <c r="AS939" i="4"/>
  <c r="AS929" i="4"/>
  <c r="AS930" i="4"/>
  <c r="AS953" i="4"/>
  <c r="AS947" i="4"/>
  <c r="AS925" i="4"/>
  <c r="AS943" i="4"/>
  <c r="AS923" i="4"/>
  <c r="AS951" i="4"/>
  <c r="AS935" i="4"/>
  <c r="AS931" i="4"/>
  <c r="AS924" i="4"/>
  <c r="AS945" i="4"/>
  <c r="AS926" i="4"/>
  <c r="AR894" i="4"/>
  <c r="AR895" i="4"/>
  <c r="AR897" i="4"/>
  <c r="AR899" i="4"/>
  <c r="AR900" i="4"/>
  <c r="AR901" i="4"/>
  <c r="AR903" i="4"/>
  <c r="AR905" i="4"/>
  <c r="AR907" i="4"/>
  <c r="AR909" i="4"/>
  <c r="AR910" i="4"/>
  <c r="AR911" i="4"/>
  <c r="AR913" i="4"/>
  <c r="AR915" i="4"/>
  <c r="AR916" i="4"/>
  <c r="AR917" i="4"/>
  <c r="AR886" i="4"/>
  <c r="AR890" i="4"/>
  <c r="AR883" i="4"/>
  <c r="AR893" i="4"/>
  <c r="AR896" i="4"/>
  <c r="AR904" i="4"/>
  <c r="AR906" i="4"/>
  <c r="AR912" i="4"/>
  <c r="AR878" i="4"/>
  <c r="AR880" i="4"/>
  <c r="AR888" i="4"/>
  <c r="AR873" i="4"/>
  <c r="AR882" i="4"/>
  <c r="AR884" i="4"/>
  <c r="AR876" i="4"/>
  <c r="AR881" i="4"/>
  <c r="AR914" i="4"/>
  <c r="AR879" i="4"/>
  <c r="AR918" i="4"/>
  <c r="AR877" i="4"/>
  <c r="AR887" i="4"/>
  <c r="AR902" i="4"/>
  <c r="AR885" i="4"/>
  <c r="AR875" i="4"/>
  <c r="AR889" i="4"/>
  <c r="AR874" i="4"/>
  <c r="AR891" i="4"/>
  <c r="AR892" i="4"/>
  <c r="AR908" i="4"/>
  <c r="AR898" i="4"/>
  <c r="AS905" i="4"/>
  <c r="AS883" i="4"/>
  <c r="AS887" i="4"/>
  <c r="AS899" i="4"/>
  <c r="AS907" i="4"/>
  <c r="AS915" i="4"/>
  <c r="AS874" i="4"/>
  <c r="AS892" i="4"/>
  <c r="AS880" i="4"/>
  <c r="AS875" i="4"/>
  <c r="AS894" i="4"/>
  <c r="AS896" i="4"/>
  <c r="AS897" i="4"/>
  <c r="AS901" i="4"/>
  <c r="AS902" i="4"/>
  <c r="AS904" i="4"/>
  <c r="AS908" i="4"/>
  <c r="AS909" i="4"/>
  <c r="AS910" i="4"/>
  <c r="AS912" i="4"/>
  <c r="AS893" i="4"/>
  <c r="AS885" i="4"/>
  <c r="AS918" i="4"/>
  <c r="AS884" i="4"/>
  <c r="AS877" i="4"/>
  <c r="AS913" i="4"/>
  <c r="AS917" i="4"/>
  <c r="AS878" i="4"/>
  <c r="AS886" i="4"/>
  <c r="AS890" i="4"/>
  <c r="AS876" i="4"/>
  <c r="AS888" i="4"/>
  <c r="AS903" i="4"/>
  <c r="AS891" i="4"/>
  <c r="AS916" i="4"/>
  <c r="AS900" i="4"/>
  <c r="AS882" i="4"/>
  <c r="AS906" i="4"/>
  <c r="AS914" i="4"/>
  <c r="AS889" i="4"/>
  <c r="AS873" i="4"/>
  <c r="AS911" i="4"/>
  <c r="AS895" i="4"/>
  <c r="AS879" i="4"/>
  <c r="AS881" i="4"/>
  <c r="AS898" i="4"/>
  <c r="AU895" i="4"/>
  <c r="AU897" i="4"/>
  <c r="AU901" i="4"/>
  <c r="AU904" i="4"/>
  <c r="AU909" i="4"/>
  <c r="AU911" i="4"/>
  <c r="AU913" i="4"/>
  <c r="AU917" i="4"/>
  <c r="AU878" i="4"/>
  <c r="AU893" i="4"/>
  <c r="AU896" i="4"/>
  <c r="AU903" i="4"/>
  <c r="AU912" i="4"/>
  <c r="AU884" i="4"/>
  <c r="AU875" i="4"/>
  <c r="AU883" i="4"/>
  <c r="AU898" i="4"/>
  <c r="AU900" i="4"/>
  <c r="AU905" i="4"/>
  <c r="AU908" i="4"/>
  <c r="AU880" i="4"/>
  <c r="AU918" i="4"/>
  <c r="AU892" i="4"/>
  <c r="AU916" i="4"/>
  <c r="AU888" i="4"/>
  <c r="AU889" i="4"/>
  <c r="AU894" i="4"/>
  <c r="AU873" i="4"/>
  <c r="AU881" i="4"/>
  <c r="AU914" i="4"/>
  <c r="AU899" i="4"/>
  <c r="AU879" i="4"/>
  <c r="AU891" i="4"/>
  <c r="AU890" i="4"/>
  <c r="AU882" i="4"/>
  <c r="AU906" i="4"/>
  <c r="AU907" i="4"/>
  <c r="AU877" i="4"/>
  <c r="AU874" i="4"/>
  <c r="AU902" i="4"/>
  <c r="AU915" i="4"/>
  <c r="AU886" i="4"/>
  <c r="AU910" i="4"/>
  <c r="AU887" i="4"/>
  <c r="AU876" i="4"/>
  <c r="AU885" i="4"/>
  <c r="AQ893" i="4"/>
  <c r="AQ896" i="4"/>
  <c r="AQ899" i="4"/>
  <c r="AQ903" i="4"/>
  <c r="AQ912" i="4"/>
  <c r="AQ915" i="4"/>
  <c r="AQ878" i="4"/>
  <c r="AQ892" i="4"/>
  <c r="AQ895" i="4"/>
  <c r="AQ901" i="4"/>
  <c r="AQ904" i="4"/>
  <c r="AQ909" i="4"/>
  <c r="AQ911" i="4"/>
  <c r="AQ917" i="4"/>
  <c r="AQ886" i="4"/>
  <c r="AQ890" i="4"/>
  <c r="AQ877" i="4"/>
  <c r="AQ876" i="4"/>
  <c r="AQ887" i="4"/>
  <c r="AQ894" i="4"/>
  <c r="AQ900" i="4"/>
  <c r="AQ902" i="4"/>
  <c r="AQ907" i="4"/>
  <c r="AQ910" i="4"/>
  <c r="AQ884" i="4"/>
  <c r="AQ916" i="4"/>
  <c r="AQ885" i="4"/>
  <c r="AQ880" i="4"/>
  <c r="AQ879" i="4"/>
  <c r="AQ898" i="4"/>
  <c r="AQ873" i="4"/>
  <c r="AQ882" i="4"/>
  <c r="AQ888" i="4"/>
  <c r="AQ875" i="4"/>
  <c r="AQ905" i="4"/>
  <c r="AQ883" i="4"/>
  <c r="AQ913" i="4"/>
  <c r="AQ897" i="4"/>
  <c r="AQ891" i="4"/>
  <c r="AQ881" i="4"/>
  <c r="AQ918" i="4"/>
  <c r="AQ908" i="4"/>
  <c r="AQ914" i="4"/>
  <c r="AQ906" i="4"/>
  <c r="AQ889" i="4"/>
  <c r="AQ874" i="4"/>
  <c r="AT907" i="4"/>
  <c r="AT892" i="4"/>
  <c r="AT884" i="4"/>
  <c r="AT883" i="4"/>
  <c r="AT893" i="4"/>
  <c r="AT897" i="4"/>
  <c r="AT905" i="4"/>
  <c r="AT913" i="4"/>
  <c r="AT878" i="4"/>
  <c r="AT895" i="4"/>
  <c r="AT899" i="4"/>
  <c r="AT903" i="4"/>
  <c r="AT911" i="4"/>
  <c r="AT876" i="4"/>
  <c r="AT874" i="4"/>
  <c r="AT882" i="4"/>
  <c r="AT891" i="4"/>
  <c r="AT915" i="4"/>
  <c r="AT873" i="4"/>
  <c r="AT914" i="4"/>
  <c r="AT917" i="4"/>
  <c r="AT909" i="4"/>
  <c r="AT900" i="4"/>
  <c r="AT877" i="4"/>
  <c r="AT918" i="4"/>
  <c r="AT908" i="4"/>
  <c r="AT902" i="4"/>
  <c r="AT910" i="4"/>
  <c r="AT894" i="4"/>
  <c r="AT889" i="4"/>
  <c r="AT881" i="4"/>
  <c r="AT912" i="4"/>
  <c r="AT896" i="4"/>
  <c r="AT880" i="4"/>
  <c r="AT879" i="4"/>
  <c r="AT898" i="4"/>
  <c r="AT886" i="4"/>
  <c r="AT888" i="4"/>
  <c r="AT887" i="4"/>
  <c r="AT901" i="4"/>
  <c r="AT885" i="4"/>
  <c r="AT906" i="4"/>
  <c r="AT890" i="4"/>
  <c r="AT916" i="4"/>
  <c r="AT904" i="4"/>
  <c r="AT875" i="4"/>
  <c r="R504" i="4"/>
  <c r="G505" i="4" s="1"/>
  <c r="AU869" i="4"/>
  <c r="AU851" i="4"/>
  <c r="AU843" i="4"/>
  <c r="AU872" i="4"/>
  <c r="AU854" i="4"/>
  <c r="AU846" i="4"/>
  <c r="AU865" i="4"/>
  <c r="AU849" i="4"/>
  <c r="AU868" i="4"/>
  <c r="AU850" i="4"/>
  <c r="AU871" i="4"/>
  <c r="AU853" i="4"/>
  <c r="AU845" i="4"/>
  <c r="AU847" i="4"/>
  <c r="AU844" i="4"/>
  <c r="AU848" i="4"/>
  <c r="AU862" i="4"/>
  <c r="AU870" i="4"/>
  <c r="AU852" i="4"/>
  <c r="AT871" i="4"/>
  <c r="AT853" i="4"/>
  <c r="AT845" i="4"/>
  <c r="AT847" i="4"/>
  <c r="AT869" i="4"/>
  <c r="AT851" i="4"/>
  <c r="AT843" i="4"/>
  <c r="AT865" i="4"/>
  <c r="AT849" i="4"/>
  <c r="AT854" i="4"/>
  <c r="AT844" i="4"/>
  <c r="AT850" i="4"/>
  <c r="AT852" i="4"/>
  <c r="AT848" i="4"/>
  <c r="AT870" i="4"/>
  <c r="AT868" i="4"/>
  <c r="AT846" i="4"/>
  <c r="AT862" i="4"/>
  <c r="AT872" i="4"/>
  <c r="AS847" i="4"/>
  <c r="AS872" i="4"/>
  <c r="AS865" i="4"/>
  <c r="AS849" i="4"/>
  <c r="AS852" i="4"/>
  <c r="AS846" i="4"/>
  <c r="AS850" i="4"/>
  <c r="AS871" i="4"/>
  <c r="AS853" i="4"/>
  <c r="AS845" i="4"/>
  <c r="AS869" i="4"/>
  <c r="AS851" i="4"/>
  <c r="AS843" i="4"/>
  <c r="AS844" i="4"/>
  <c r="AS854" i="4"/>
  <c r="AS862" i="4"/>
  <c r="AS848" i="4"/>
  <c r="AS868" i="4"/>
  <c r="AS870" i="4"/>
  <c r="AR851" i="4"/>
  <c r="AR845" i="4"/>
  <c r="AR849" i="4"/>
  <c r="AR869" i="4"/>
  <c r="AR853" i="4"/>
  <c r="AR865" i="4"/>
  <c r="AR868" i="4"/>
  <c r="AR850" i="4"/>
  <c r="AR843" i="4"/>
  <c r="AR872" i="4"/>
  <c r="AR854" i="4"/>
  <c r="AR846" i="4"/>
  <c r="AR871" i="4"/>
  <c r="AR847" i="4"/>
  <c r="AR870" i="4"/>
  <c r="AR862" i="4"/>
  <c r="AR844" i="4"/>
  <c r="AR852" i="4"/>
  <c r="AR848" i="4"/>
  <c r="AQ843" i="4"/>
  <c r="AQ868" i="4"/>
  <c r="AQ850" i="4"/>
  <c r="AQ851" i="4"/>
  <c r="AQ845" i="4"/>
  <c r="AQ849" i="4"/>
  <c r="AQ870" i="4"/>
  <c r="AQ852" i="4"/>
  <c r="AQ844" i="4"/>
  <c r="AQ871" i="4"/>
  <c r="AQ847" i="4"/>
  <c r="AQ862" i="4"/>
  <c r="AQ848" i="4"/>
  <c r="AQ869" i="4"/>
  <c r="AQ853" i="4"/>
  <c r="AQ865" i="4"/>
  <c r="AQ872" i="4"/>
  <c r="AQ854" i="4"/>
  <c r="AQ846" i="4"/>
  <c r="AU841" i="4"/>
  <c r="AU839" i="4"/>
  <c r="AU837" i="4"/>
  <c r="AU835" i="4"/>
  <c r="AU825" i="4"/>
  <c r="AU823" i="4"/>
  <c r="AU821" i="4"/>
  <c r="AU819" i="4"/>
  <c r="AU817" i="4"/>
  <c r="AU815" i="4"/>
  <c r="AU820" i="4"/>
  <c r="AU836" i="4"/>
  <c r="AU822" i="4"/>
  <c r="AU838" i="4"/>
  <c r="AU816" i="4"/>
  <c r="AU824" i="4"/>
  <c r="AU840" i="4"/>
  <c r="AU818" i="4"/>
  <c r="AU826" i="4"/>
  <c r="AU842" i="4"/>
  <c r="AT815" i="4"/>
  <c r="AT823" i="4"/>
  <c r="AT839" i="4"/>
  <c r="AT817" i="4"/>
  <c r="AT825" i="4"/>
  <c r="AT841" i="4"/>
  <c r="AT819" i="4"/>
  <c r="AT835" i="4"/>
  <c r="AT816" i="4"/>
  <c r="AT824" i="4"/>
  <c r="AT840" i="4"/>
  <c r="AT818" i="4"/>
  <c r="AT826" i="4"/>
  <c r="AT842" i="4"/>
  <c r="AT820" i="4"/>
  <c r="AT836" i="4"/>
  <c r="AT821" i="4"/>
  <c r="AT837" i="4"/>
  <c r="AT822" i="4"/>
  <c r="AT838" i="4"/>
  <c r="AS841" i="4"/>
  <c r="AS839" i="4"/>
  <c r="AS837" i="4"/>
  <c r="AS835" i="4"/>
  <c r="AS825" i="4"/>
  <c r="AS823" i="4"/>
  <c r="AS821" i="4"/>
  <c r="AS819" i="4"/>
  <c r="AS817" i="4"/>
  <c r="AS815" i="4"/>
  <c r="AS820" i="4"/>
  <c r="AS836" i="4"/>
  <c r="AS822" i="4"/>
  <c r="AS838" i="4"/>
  <c r="AS816" i="4"/>
  <c r="AS824" i="4"/>
  <c r="AS840" i="4"/>
  <c r="AS818" i="4"/>
  <c r="AS826" i="4"/>
  <c r="AS842" i="4"/>
  <c r="AR841" i="4"/>
  <c r="AR839" i="4"/>
  <c r="AR837" i="4"/>
  <c r="AR835" i="4"/>
  <c r="AR825" i="4"/>
  <c r="AR823" i="4"/>
  <c r="AR821" i="4"/>
  <c r="AR819" i="4"/>
  <c r="AR817" i="4"/>
  <c r="AR815" i="4"/>
  <c r="AR820" i="4"/>
  <c r="AR836" i="4"/>
  <c r="AR838" i="4"/>
  <c r="AR816" i="4"/>
  <c r="AR824" i="4"/>
  <c r="AR840" i="4"/>
  <c r="AR818" i="4"/>
  <c r="AR826" i="4"/>
  <c r="AR842" i="4"/>
  <c r="AR822" i="4"/>
  <c r="AQ841" i="4"/>
  <c r="AQ839" i="4"/>
  <c r="AQ837" i="4"/>
  <c r="AQ835" i="4"/>
  <c r="AQ825" i="4"/>
  <c r="AQ823" i="4"/>
  <c r="AQ821" i="4"/>
  <c r="AQ819" i="4"/>
  <c r="AQ817" i="4"/>
  <c r="AQ815" i="4"/>
  <c r="AQ820" i="4"/>
  <c r="AQ836" i="4"/>
  <c r="AQ822" i="4"/>
  <c r="AQ838" i="4"/>
  <c r="AQ816" i="4"/>
  <c r="AQ824" i="4"/>
  <c r="AQ840" i="4"/>
  <c r="AQ818" i="4"/>
  <c r="AQ826" i="4"/>
  <c r="AQ842" i="4"/>
  <c r="P786" i="4"/>
  <c r="R786" i="4"/>
  <c r="G786" i="4" s="1"/>
  <c r="AU812" i="4"/>
  <c r="AU804" i="4"/>
  <c r="AU798" i="4"/>
  <c r="AU783" i="4"/>
  <c r="AU810" i="4"/>
  <c r="AU796" i="4"/>
  <c r="AU808" i="4"/>
  <c r="AU802" i="4"/>
  <c r="AU785" i="4"/>
  <c r="AU807" i="4"/>
  <c r="AU800" i="4"/>
  <c r="AU806" i="4"/>
  <c r="AU811" i="4"/>
  <c r="AU799" i="4"/>
  <c r="AU814" i="4"/>
  <c r="AU797" i="4"/>
  <c r="AU801" i="4"/>
  <c r="AU803" i="4"/>
  <c r="AU786" i="4"/>
  <c r="AU782" i="4"/>
  <c r="AU805" i="4"/>
  <c r="AU813" i="4"/>
  <c r="AU784" i="4"/>
  <c r="AU809" i="4"/>
  <c r="AT804" i="4"/>
  <c r="AT783" i="4"/>
  <c r="AT798" i="4"/>
  <c r="AT785" i="4"/>
  <c r="AT812" i="4"/>
  <c r="AT807" i="4"/>
  <c r="AT800" i="4"/>
  <c r="AT802" i="4"/>
  <c r="AT796" i="4"/>
  <c r="AT808" i="4"/>
  <c r="AT801" i="4"/>
  <c r="AT806" i="4"/>
  <c r="AT814" i="4"/>
  <c r="AT810" i="4"/>
  <c r="AT786" i="4"/>
  <c r="AT797" i="4"/>
  <c r="AT799" i="4"/>
  <c r="AT811" i="4"/>
  <c r="AT805" i="4"/>
  <c r="AT809" i="4"/>
  <c r="AT782" i="4"/>
  <c r="AT813" i="4"/>
  <c r="AT803" i="4"/>
  <c r="AT784" i="4"/>
  <c r="AS798" i="4"/>
  <c r="AS783" i="4"/>
  <c r="AS796" i="4"/>
  <c r="AS808" i="4"/>
  <c r="AS803" i="4"/>
  <c r="AS812" i="4"/>
  <c r="AS786" i="4"/>
  <c r="AS810" i="4"/>
  <c r="AS802" i="4"/>
  <c r="AS814" i="4"/>
  <c r="AS807" i="4"/>
  <c r="AS811" i="4"/>
  <c r="AS806" i="4"/>
  <c r="AS785" i="4"/>
  <c r="AS800" i="4"/>
  <c r="AS804" i="4"/>
  <c r="AS809" i="4"/>
  <c r="AS784" i="4"/>
  <c r="AS797" i="4"/>
  <c r="AS799" i="4"/>
  <c r="AS805" i="4"/>
  <c r="AS782" i="4"/>
  <c r="AS813" i="4"/>
  <c r="AR812" i="4"/>
  <c r="AR804" i="4"/>
  <c r="AR810" i="4"/>
  <c r="AR798" i="4"/>
  <c r="AR783" i="4"/>
  <c r="AR785" i="4"/>
  <c r="AR800" i="4"/>
  <c r="AR807" i="4"/>
  <c r="AR803" i="4"/>
  <c r="AR802" i="4"/>
  <c r="AR814" i="4"/>
  <c r="AR805" i="4"/>
  <c r="AR808" i="4"/>
  <c r="AR796" i="4"/>
  <c r="AR786" i="4"/>
  <c r="AR801" i="4"/>
  <c r="AR806" i="4"/>
  <c r="AR813" i="4"/>
  <c r="AR797" i="4"/>
  <c r="AR784" i="4"/>
  <c r="AR799" i="4"/>
  <c r="AR782" i="4"/>
  <c r="AR811" i="4"/>
  <c r="AR809" i="4"/>
  <c r="AQ798" i="4"/>
  <c r="AQ783" i="4"/>
  <c r="AQ796" i="4"/>
  <c r="AQ802" i="4"/>
  <c r="AQ812" i="4"/>
  <c r="AQ804" i="4"/>
  <c r="AQ800" i="4"/>
  <c r="AQ785" i="4"/>
  <c r="AQ803" i="4"/>
  <c r="AQ808" i="4"/>
  <c r="AQ806" i="4"/>
  <c r="AQ814" i="4"/>
  <c r="AQ810" i="4"/>
  <c r="AQ807" i="4"/>
  <c r="AQ786" i="4"/>
  <c r="AQ801" i="4"/>
  <c r="AQ805" i="4"/>
  <c r="AQ809" i="4"/>
  <c r="AQ813" i="4"/>
  <c r="AQ784" i="4"/>
  <c r="AQ799" i="4"/>
  <c r="AQ811" i="4"/>
  <c r="AQ782" i="4"/>
  <c r="AQ797" i="4"/>
  <c r="R615" i="13"/>
  <c r="P615" i="13"/>
  <c r="P594" i="13"/>
  <c r="R594" i="13"/>
  <c r="AU461" i="4"/>
  <c r="AU466" i="4"/>
  <c r="AU464" i="4"/>
  <c r="AU465" i="4"/>
  <c r="AU463" i="4"/>
  <c r="AT461" i="4"/>
  <c r="AT466" i="4"/>
  <c r="AT464" i="4"/>
  <c r="AT465" i="4"/>
  <c r="AT463" i="4"/>
  <c r="AS461" i="4"/>
  <c r="AS466" i="4"/>
  <c r="AS464" i="4"/>
  <c r="AS463" i="4"/>
  <c r="AS465" i="4"/>
  <c r="AR461" i="4"/>
  <c r="AR466" i="4"/>
  <c r="AR464" i="4"/>
  <c r="AR465" i="4"/>
  <c r="AR463" i="4"/>
  <c r="AQ461" i="4"/>
  <c r="AQ466" i="4"/>
  <c r="AQ464" i="4"/>
  <c r="AQ465" i="4"/>
  <c r="AQ463" i="4"/>
  <c r="AU460" i="4"/>
  <c r="AU462" i="4"/>
  <c r="AU459" i="4"/>
  <c r="AT462" i="4"/>
  <c r="AT460" i="4"/>
  <c r="AT459" i="4"/>
  <c r="AS462" i="4"/>
  <c r="AS459" i="4"/>
  <c r="AS460" i="4"/>
  <c r="AR460" i="4"/>
  <c r="AR459" i="4"/>
  <c r="AR462" i="4"/>
  <c r="AQ460" i="4"/>
  <c r="AQ462" i="4"/>
  <c r="AQ459" i="4"/>
  <c r="AU695" i="4"/>
  <c r="AU457" i="4"/>
  <c r="AU458" i="4"/>
  <c r="AU456" i="4"/>
  <c r="AT695" i="4"/>
  <c r="AT457" i="4"/>
  <c r="AT458" i="4"/>
  <c r="AT456" i="4"/>
  <c r="AS695" i="4"/>
  <c r="AS457" i="4"/>
  <c r="AS458" i="4"/>
  <c r="AS456" i="4"/>
  <c r="AR695" i="4"/>
  <c r="AR457" i="4"/>
  <c r="AR456" i="4"/>
  <c r="AR458" i="4"/>
  <c r="AQ695" i="4"/>
  <c r="AQ457" i="4"/>
  <c r="AQ458" i="4"/>
  <c r="AQ456" i="4"/>
  <c r="P860" i="13"/>
  <c r="P1209" i="13"/>
  <c r="P1075" i="13"/>
  <c r="R1075" i="13"/>
  <c r="R623" i="13"/>
  <c r="P623" i="13"/>
  <c r="P520" i="4"/>
  <c r="R655" i="13"/>
  <c r="AR671" i="4"/>
  <c r="AR687" i="4"/>
  <c r="AR683" i="4"/>
  <c r="AR679" i="4"/>
  <c r="AR685" i="4"/>
  <c r="AR682" i="4"/>
  <c r="AR686" i="4"/>
  <c r="AR684" i="4"/>
  <c r="AR689" i="4"/>
  <c r="AR688" i="4"/>
  <c r="AU671" i="4"/>
  <c r="AU679" i="4"/>
  <c r="AU683" i="4"/>
  <c r="AU687" i="4"/>
  <c r="AU686" i="4"/>
  <c r="AU685" i="4"/>
  <c r="AU682" i="4"/>
  <c r="AU684" i="4"/>
  <c r="AU689" i="4"/>
  <c r="AU688" i="4"/>
  <c r="AQ671" i="4"/>
  <c r="AQ683" i="4"/>
  <c r="AQ679" i="4"/>
  <c r="AQ687" i="4"/>
  <c r="AQ686" i="4"/>
  <c r="AQ685" i="4"/>
  <c r="AQ682" i="4"/>
  <c r="AQ688" i="4"/>
  <c r="AQ684" i="4"/>
  <c r="AQ689" i="4"/>
  <c r="P684" i="4"/>
  <c r="R684" i="4"/>
  <c r="AT671" i="4"/>
  <c r="AT687" i="4"/>
  <c r="AT683" i="4"/>
  <c r="AT679" i="4"/>
  <c r="AT682" i="4"/>
  <c r="AT686" i="4"/>
  <c r="AT685" i="4"/>
  <c r="AT684" i="4"/>
  <c r="AT688" i="4"/>
  <c r="AT689" i="4"/>
  <c r="AS671" i="4"/>
  <c r="AS679" i="4"/>
  <c r="AS687" i="4"/>
  <c r="AS682" i="4"/>
  <c r="AS686" i="4"/>
  <c r="AS685" i="4"/>
  <c r="AS684" i="4"/>
  <c r="AS689" i="4"/>
  <c r="AS688" i="4"/>
  <c r="R604" i="4"/>
  <c r="AU646" i="4"/>
  <c r="AU654" i="4"/>
  <c r="AT646" i="4"/>
  <c r="AT654" i="4"/>
  <c r="AS654" i="4"/>
  <c r="AR646" i="4"/>
  <c r="AR654" i="4"/>
  <c r="AQ646" i="4"/>
  <c r="AQ654" i="4"/>
  <c r="P646" i="4"/>
  <c r="R646" i="4"/>
  <c r="AU676" i="4"/>
  <c r="AU673" i="4"/>
  <c r="AU677" i="4"/>
  <c r="AU674" i="4"/>
  <c r="AU675" i="4"/>
  <c r="AU672" i="4"/>
  <c r="AT673" i="4"/>
  <c r="AT676" i="4"/>
  <c r="AT677" i="4"/>
  <c r="AT672" i="4"/>
  <c r="AT674" i="4"/>
  <c r="AT675" i="4"/>
  <c r="AS676" i="4"/>
  <c r="AS673" i="4"/>
  <c r="AS677" i="4"/>
  <c r="AS675" i="4"/>
  <c r="AS674" i="4"/>
  <c r="AS672" i="4"/>
  <c r="AR676" i="4"/>
  <c r="AR673" i="4"/>
  <c r="AR677" i="4"/>
  <c r="AR674" i="4"/>
  <c r="AR672" i="4"/>
  <c r="AR675" i="4"/>
  <c r="AQ677" i="4"/>
  <c r="AQ676" i="4"/>
  <c r="AQ673" i="4"/>
  <c r="AQ672" i="4"/>
  <c r="AQ674" i="4"/>
  <c r="AQ675" i="4"/>
  <c r="AU667" i="4"/>
  <c r="AU668" i="4"/>
  <c r="AU669" i="4"/>
  <c r="AU665" i="4"/>
  <c r="AU670" i="4"/>
  <c r="AU666" i="4"/>
  <c r="AU664" i="4"/>
  <c r="AT665" i="4"/>
  <c r="AT670" i="4"/>
  <c r="AT664" i="4"/>
  <c r="AT669" i="4"/>
  <c r="AT666" i="4"/>
  <c r="AT667" i="4"/>
  <c r="AT668" i="4"/>
  <c r="AS665" i="4"/>
  <c r="AS667" i="4"/>
  <c r="AS669" i="4"/>
  <c r="AS668" i="4"/>
  <c r="AS666" i="4"/>
  <c r="AS670" i="4"/>
  <c r="AS664" i="4"/>
  <c r="AR669" i="4"/>
  <c r="AR667" i="4"/>
  <c r="AR665" i="4"/>
  <c r="AR668" i="4"/>
  <c r="AR670" i="4"/>
  <c r="AR666" i="4"/>
  <c r="AR664" i="4"/>
  <c r="AQ665" i="4"/>
  <c r="AQ670" i="4"/>
  <c r="AQ667" i="4"/>
  <c r="AQ668" i="4"/>
  <c r="AQ664" i="4"/>
  <c r="AQ669" i="4"/>
  <c r="AQ666" i="4"/>
  <c r="AU745" i="4"/>
  <c r="AU749" i="4"/>
  <c r="AU751" i="4"/>
  <c r="AU735" i="4"/>
  <c r="AU727" i="4"/>
  <c r="AU773" i="4"/>
  <c r="AU769" i="4"/>
  <c r="AU765" i="4"/>
  <c r="AU761" i="4"/>
  <c r="AU757" i="4"/>
  <c r="AU753" i="4"/>
  <c r="AU731" i="4"/>
  <c r="AU724" i="4"/>
  <c r="AU718" i="4"/>
  <c r="AU708" i="4"/>
  <c r="AU704" i="4"/>
  <c r="AU702" i="4"/>
  <c r="AU691" i="4"/>
  <c r="AU771" i="4"/>
  <c r="AU767" i="4"/>
  <c r="AU763" i="4"/>
  <c r="AU759" i="4"/>
  <c r="AU755" i="4"/>
  <c r="AU739" i="4"/>
  <c r="AU722" i="4"/>
  <c r="AU720" i="4"/>
  <c r="AU716" i="4"/>
  <c r="AU706" i="4"/>
  <c r="AU693" i="4"/>
  <c r="AU747" i="4"/>
  <c r="AU779" i="4"/>
  <c r="AU729" i="4"/>
  <c r="AU730" i="4"/>
  <c r="AU743" i="4"/>
  <c r="AU725" i="4"/>
  <c r="AU732" i="4"/>
  <c r="AU738" i="4"/>
  <c r="AU736" i="4"/>
  <c r="AU777" i="4"/>
  <c r="AU733" i="4"/>
  <c r="AU737" i="4"/>
  <c r="AU741" i="4"/>
  <c r="AU775" i="4"/>
  <c r="AU781" i="4"/>
  <c r="AU726" i="4"/>
  <c r="AU717" i="4"/>
  <c r="AU760" i="4"/>
  <c r="AU778" i="4"/>
  <c r="AU723" i="4"/>
  <c r="AU694" i="4"/>
  <c r="AU678" i="4"/>
  <c r="AU774" i="4"/>
  <c r="AU754" i="4"/>
  <c r="AU744" i="4"/>
  <c r="AU776" i="4"/>
  <c r="AU740" i="4"/>
  <c r="AU762" i="4"/>
  <c r="AU742" i="4"/>
  <c r="AU692" i="4"/>
  <c r="AU768" i="4"/>
  <c r="AU715" i="4"/>
  <c r="AU780" i="4"/>
  <c r="AU721" i="4"/>
  <c r="AU758" i="4"/>
  <c r="AU750" i="4"/>
  <c r="AU703" i="4"/>
  <c r="AU772" i="4"/>
  <c r="AU756" i="4"/>
  <c r="AU752" i="4"/>
  <c r="AU748" i="4"/>
  <c r="AU728" i="4"/>
  <c r="AU719" i="4"/>
  <c r="AU690" i="4"/>
  <c r="AU746" i="4"/>
  <c r="AU734" i="4"/>
  <c r="AU770" i="4"/>
  <c r="AU766" i="4"/>
  <c r="AU764" i="4"/>
  <c r="AU705" i="4"/>
  <c r="AU707" i="4"/>
  <c r="AT693" i="4"/>
  <c r="AT708" i="4"/>
  <c r="AT722" i="4"/>
  <c r="AT736" i="4"/>
  <c r="AT691" i="4"/>
  <c r="AT705" i="4"/>
  <c r="AT719" i="4"/>
  <c r="AT755" i="4"/>
  <c r="AT763" i="4"/>
  <c r="AT771" i="4"/>
  <c r="AT729" i="4"/>
  <c r="AT742" i="4"/>
  <c r="AT773" i="4"/>
  <c r="AT781" i="4"/>
  <c r="AT757" i="4"/>
  <c r="AT765" i="4"/>
  <c r="AT733" i="4"/>
  <c r="AT756" i="4"/>
  <c r="AT772" i="4"/>
  <c r="AT704" i="4"/>
  <c r="AT718" i="4"/>
  <c r="AT739" i="4"/>
  <c r="AT759" i="4"/>
  <c r="AT767" i="4"/>
  <c r="AT737" i="4"/>
  <c r="AT751" i="4"/>
  <c r="AT747" i="4"/>
  <c r="AT777" i="4"/>
  <c r="AT706" i="4"/>
  <c r="AT720" i="4"/>
  <c r="AT749" i="4"/>
  <c r="AT727" i="4"/>
  <c r="AT735" i="4"/>
  <c r="AT743" i="4"/>
  <c r="AT753" i="4"/>
  <c r="AT761" i="4"/>
  <c r="AT769" i="4"/>
  <c r="AT725" i="4"/>
  <c r="AT741" i="4"/>
  <c r="AT775" i="4"/>
  <c r="AT702" i="4"/>
  <c r="AT716" i="4"/>
  <c r="AT724" i="4"/>
  <c r="AT730" i="4"/>
  <c r="AT678" i="4"/>
  <c r="AT731" i="4"/>
  <c r="AT745" i="4"/>
  <c r="AT726" i="4"/>
  <c r="AT764" i="4"/>
  <c r="AT779" i="4"/>
  <c r="AT776" i="4"/>
  <c r="AT721" i="4"/>
  <c r="AT770" i="4"/>
  <c r="AT748" i="4"/>
  <c r="AT734" i="4"/>
  <c r="AT780" i="4"/>
  <c r="AT694" i="4"/>
  <c r="AT707" i="4"/>
  <c r="AT740" i="4"/>
  <c r="AT728" i="4"/>
  <c r="AT768" i="4"/>
  <c r="AT717" i="4"/>
  <c r="AT723" i="4"/>
  <c r="AT744" i="4"/>
  <c r="AT746" i="4"/>
  <c r="AT760" i="4"/>
  <c r="AT703" i="4"/>
  <c r="AT690" i="4"/>
  <c r="AT758" i="4"/>
  <c r="AT732" i="4"/>
  <c r="AT715" i="4"/>
  <c r="AT750" i="4"/>
  <c r="AT738" i="4"/>
  <c r="AT762" i="4"/>
  <c r="AT766" i="4"/>
  <c r="AT692" i="4"/>
  <c r="AT778" i="4"/>
  <c r="AT752" i="4"/>
  <c r="AT774" i="4"/>
  <c r="AT754" i="4"/>
  <c r="AS769" i="4"/>
  <c r="AS767" i="4"/>
  <c r="AS765" i="4"/>
  <c r="AS763" i="4"/>
  <c r="AS761" i="4"/>
  <c r="AS759" i="4"/>
  <c r="AS757" i="4"/>
  <c r="AS755" i="4"/>
  <c r="AS753" i="4"/>
  <c r="AS751" i="4"/>
  <c r="AS727" i="4"/>
  <c r="AS739" i="4"/>
  <c r="AS731" i="4"/>
  <c r="AS749" i="4"/>
  <c r="AS722" i="4"/>
  <c r="AS720" i="4"/>
  <c r="AS718" i="4"/>
  <c r="AS716" i="4"/>
  <c r="AS708" i="4"/>
  <c r="AS706" i="4"/>
  <c r="AS704" i="4"/>
  <c r="AS702" i="4"/>
  <c r="AS693" i="4"/>
  <c r="AS745" i="4"/>
  <c r="AS691" i="4"/>
  <c r="AS741" i="4"/>
  <c r="AS737" i="4"/>
  <c r="AS779" i="4"/>
  <c r="AS730" i="4"/>
  <c r="AS773" i="4"/>
  <c r="AS775" i="4"/>
  <c r="AS735" i="4"/>
  <c r="AS743" i="4"/>
  <c r="AS736" i="4"/>
  <c r="AS781" i="4"/>
  <c r="AS729" i="4"/>
  <c r="AS744" i="4"/>
  <c r="AS777" i="4"/>
  <c r="AS762" i="4"/>
  <c r="AS692" i="4"/>
  <c r="AS768" i="4"/>
  <c r="AS715" i="4"/>
  <c r="AS721" i="4"/>
  <c r="AS778" i="4"/>
  <c r="AS717" i="4"/>
  <c r="AS760" i="4"/>
  <c r="AS752" i="4"/>
  <c r="AS723" i="4"/>
  <c r="AS694" i="4"/>
  <c r="AS774" i="4"/>
  <c r="AS754" i="4"/>
  <c r="AS740" i="4"/>
  <c r="AS734" i="4"/>
  <c r="AS770" i="4"/>
  <c r="AS766" i="4"/>
  <c r="AS764" i="4"/>
  <c r="AS705" i="4"/>
  <c r="AS707" i="4"/>
  <c r="AS678" i="4"/>
  <c r="AS726" i="4"/>
  <c r="AS776" i="4"/>
  <c r="AS758" i="4"/>
  <c r="AS728" i="4"/>
  <c r="AS703" i="4"/>
  <c r="AS780" i="4"/>
  <c r="AS756" i="4"/>
  <c r="AS748" i="4"/>
  <c r="AS719" i="4"/>
  <c r="AS690" i="4"/>
  <c r="AS732" i="4"/>
  <c r="AS746" i="4"/>
  <c r="AS742" i="4"/>
  <c r="AR771" i="4"/>
  <c r="AR769" i="4"/>
  <c r="AR767" i="4"/>
  <c r="AR765" i="4"/>
  <c r="AR763" i="4"/>
  <c r="AR761" i="4"/>
  <c r="AR759" i="4"/>
  <c r="AR757" i="4"/>
  <c r="AR755" i="4"/>
  <c r="AR753" i="4"/>
  <c r="AR751" i="4"/>
  <c r="AR749" i="4"/>
  <c r="AR747" i="4"/>
  <c r="AR745" i="4"/>
  <c r="AR724" i="4"/>
  <c r="AR722" i="4"/>
  <c r="AR720" i="4"/>
  <c r="AR718" i="4"/>
  <c r="AR716" i="4"/>
  <c r="AR708" i="4"/>
  <c r="AR706" i="4"/>
  <c r="AR704" i="4"/>
  <c r="AR702" i="4"/>
  <c r="AR693" i="4"/>
  <c r="AR691" i="4"/>
  <c r="AR741" i="4"/>
  <c r="AR739" i="4"/>
  <c r="AR731" i="4"/>
  <c r="AR743" i="4"/>
  <c r="AR727" i="4"/>
  <c r="AR735" i="4"/>
  <c r="AR736" i="4"/>
  <c r="AR781" i="4"/>
  <c r="AR742" i="4"/>
  <c r="AR733" i="4"/>
  <c r="AR740" i="4"/>
  <c r="AR737" i="4"/>
  <c r="AR777" i="4"/>
  <c r="AR729" i="4"/>
  <c r="AR730" i="4"/>
  <c r="AR725" i="4"/>
  <c r="AR732" i="4"/>
  <c r="AR779" i="4"/>
  <c r="AR734" i="4"/>
  <c r="AR773" i="4"/>
  <c r="AR744" i="4"/>
  <c r="AR774" i="4"/>
  <c r="AR726" i="4"/>
  <c r="AR775" i="4"/>
  <c r="AR678" i="4"/>
  <c r="AR766" i="4"/>
  <c r="AR768" i="4"/>
  <c r="AR752" i="4"/>
  <c r="AR719" i="4"/>
  <c r="AR690" i="4"/>
  <c r="AR746" i="4"/>
  <c r="AR707" i="4"/>
  <c r="AR762" i="4"/>
  <c r="AR778" i="4"/>
  <c r="AR760" i="4"/>
  <c r="AR728" i="4"/>
  <c r="AR705" i="4"/>
  <c r="AR738" i="4"/>
  <c r="AR754" i="4"/>
  <c r="AR721" i="4"/>
  <c r="AR692" i="4"/>
  <c r="AR776" i="4"/>
  <c r="AR780" i="4"/>
  <c r="AR772" i="4"/>
  <c r="AR756" i="4"/>
  <c r="AR723" i="4"/>
  <c r="AR694" i="4"/>
  <c r="AR750" i="4"/>
  <c r="AR717" i="4"/>
  <c r="AR770" i="4"/>
  <c r="AR764" i="4"/>
  <c r="AR748" i="4"/>
  <c r="AR715" i="4"/>
  <c r="AR758" i="4"/>
  <c r="AR703" i="4"/>
  <c r="AQ749" i="4"/>
  <c r="AQ739" i="4"/>
  <c r="AQ731" i="4"/>
  <c r="AQ771" i="4"/>
  <c r="AQ769" i="4"/>
  <c r="AQ767" i="4"/>
  <c r="AQ765" i="4"/>
  <c r="AQ763" i="4"/>
  <c r="AQ761" i="4"/>
  <c r="AQ759" i="4"/>
  <c r="AQ757" i="4"/>
  <c r="AQ755" i="4"/>
  <c r="AQ753" i="4"/>
  <c r="AQ745" i="4"/>
  <c r="AQ743" i="4"/>
  <c r="AQ735" i="4"/>
  <c r="AQ727" i="4"/>
  <c r="AQ775" i="4"/>
  <c r="AQ747" i="4"/>
  <c r="AQ741" i="4"/>
  <c r="AQ733" i="4"/>
  <c r="AQ725" i="4"/>
  <c r="AQ737" i="4"/>
  <c r="AQ724" i="4"/>
  <c r="AQ722" i="4"/>
  <c r="AQ720" i="4"/>
  <c r="AQ718" i="4"/>
  <c r="AQ716" i="4"/>
  <c r="AQ708" i="4"/>
  <c r="AQ706" i="4"/>
  <c r="AQ704" i="4"/>
  <c r="AQ702" i="4"/>
  <c r="AQ693" i="4"/>
  <c r="AQ751" i="4"/>
  <c r="AQ691" i="4"/>
  <c r="AQ730" i="4"/>
  <c r="AQ726" i="4"/>
  <c r="AQ773" i="4"/>
  <c r="AQ781" i="4"/>
  <c r="AQ729" i="4"/>
  <c r="AQ777" i="4"/>
  <c r="AQ779" i="4"/>
  <c r="AQ780" i="4"/>
  <c r="AQ776" i="4"/>
  <c r="AQ758" i="4"/>
  <c r="AQ703" i="4"/>
  <c r="AQ772" i="4"/>
  <c r="AQ756" i="4"/>
  <c r="AQ752" i="4"/>
  <c r="AQ719" i="4"/>
  <c r="AQ690" i="4"/>
  <c r="AQ746" i="4"/>
  <c r="AQ742" i="4"/>
  <c r="AQ778" i="4"/>
  <c r="AQ770" i="4"/>
  <c r="AQ766" i="4"/>
  <c r="AQ750" i="4"/>
  <c r="AQ764" i="4"/>
  <c r="AQ748" i="4"/>
  <c r="AQ736" i="4"/>
  <c r="AQ705" i="4"/>
  <c r="AQ738" i="4"/>
  <c r="AQ732" i="4"/>
  <c r="AQ707" i="4"/>
  <c r="AQ762" i="4"/>
  <c r="AQ728" i="4"/>
  <c r="AQ692" i="4"/>
  <c r="AQ768" i="4"/>
  <c r="AQ715" i="4"/>
  <c r="AQ721" i="4"/>
  <c r="AQ740" i="4"/>
  <c r="AQ717" i="4"/>
  <c r="AQ760" i="4"/>
  <c r="AQ723" i="4"/>
  <c r="AQ694" i="4"/>
  <c r="AQ774" i="4"/>
  <c r="AQ734" i="4"/>
  <c r="AQ754" i="4"/>
  <c r="AQ744" i="4"/>
  <c r="AQ678" i="4"/>
  <c r="L645" i="4"/>
  <c r="P645" i="4" s="1"/>
  <c r="H1916" i="1"/>
  <c r="G1338" i="13"/>
  <c r="G1340" i="13"/>
  <c r="G1339" i="13"/>
  <c r="F1340" i="13"/>
  <c r="F1338" i="13"/>
  <c r="F1339" i="13"/>
  <c r="U1338" i="13"/>
  <c r="AS645" i="4" s="1"/>
  <c r="U1339" i="13"/>
  <c r="U1340" i="13"/>
  <c r="AU640" i="4"/>
  <c r="AU641" i="4"/>
  <c r="AU642" i="4"/>
  <c r="AT640" i="4"/>
  <c r="AT641" i="4"/>
  <c r="AT642" i="4"/>
  <c r="AS640" i="4"/>
  <c r="AS641" i="4"/>
  <c r="AR640" i="4"/>
  <c r="AR641" i="4"/>
  <c r="AR642" i="4"/>
  <c r="AQ640" i="4"/>
  <c r="AQ641" i="4"/>
  <c r="AQ642" i="4"/>
  <c r="AU637" i="4"/>
  <c r="AU638" i="4"/>
  <c r="AU639" i="4"/>
  <c r="AT638" i="4"/>
  <c r="AT637" i="4"/>
  <c r="AT639" i="4"/>
  <c r="AS638" i="4"/>
  <c r="AS637" i="4"/>
  <c r="AR637" i="4"/>
  <c r="AR638" i="4"/>
  <c r="AR639" i="4"/>
  <c r="AQ637" i="4"/>
  <c r="AQ638" i="4"/>
  <c r="AQ639" i="4"/>
  <c r="P541" i="13"/>
  <c r="AU634" i="4"/>
  <c r="AU633" i="4"/>
  <c r="AT634" i="4"/>
  <c r="AT633" i="4"/>
  <c r="AS634" i="4"/>
  <c r="AS633" i="4"/>
  <c r="AR634" i="4"/>
  <c r="AR633" i="4"/>
  <c r="AQ634" i="4"/>
  <c r="AQ633" i="4"/>
  <c r="AU628" i="4"/>
  <c r="AU627" i="4"/>
  <c r="AU629" i="4"/>
  <c r="AT629" i="4"/>
  <c r="AT628" i="4"/>
  <c r="AT627" i="4"/>
  <c r="AS629" i="4"/>
  <c r="AS628" i="4"/>
  <c r="AR628" i="4"/>
  <c r="AR629" i="4"/>
  <c r="AR627" i="4"/>
  <c r="AQ629" i="4"/>
  <c r="AQ628" i="4"/>
  <c r="AQ627" i="4"/>
  <c r="R1332" i="13"/>
  <c r="P1336" i="13"/>
  <c r="R1336" i="13"/>
  <c r="P1333" i="13"/>
  <c r="F1914" i="1" s="1"/>
  <c r="H1914" i="1" s="1"/>
  <c r="R1333" i="13"/>
  <c r="AU615" i="4"/>
  <c r="AU614" i="4"/>
  <c r="AU616" i="4"/>
  <c r="AT614" i="4"/>
  <c r="AT616" i="4"/>
  <c r="AT615" i="4"/>
  <c r="AS616" i="4"/>
  <c r="AS615" i="4"/>
  <c r="AR615" i="4"/>
  <c r="AR614" i="4"/>
  <c r="AR616" i="4"/>
  <c r="AQ615" i="4"/>
  <c r="AQ616" i="4"/>
  <c r="AQ614" i="4"/>
  <c r="R1326" i="13"/>
  <c r="G1325" i="13" s="1"/>
  <c r="P1329" i="13"/>
  <c r="F1913" i="1" s="1"/>
  <c r="R1329" i="13"/>
  <c r="F1912" i="1"/>
  <c r="R549" i="4"/>
  <c r="R445" i="6"/>
  <c r="R774" i="13"/>
  <c r="P550" i="4"/>
  <c r="G1327" i="13"/>
  <c r="F1325" i="13"/>
  <c r="F1326" i="13"/>
  <c r="U1326" i="13"/>
  <c r="F1327" i="13"/>
  <c r="U1327" i="13"/>
  <c r="U1325" i="13"/>
  <c r="AS630" i="4" s="1"/>
  <c r="R539" i="4"/>
  <c r="R552" i="4"/>
  <c r="AT607" i="4"/>
  <c r="AT605" i="4"/>
  <c r="AT604" i="4"/>
  <c r="AT610" i="4"/>
  <c r="AT608" i="4"/>
  <c r="AT609" i="4"/>
  <c r="AR608" i="4"/>
  <c r="AR607" i="4"/>
  <c r="AR604" i="4"/>
  <c r="AR610" i="4"/>
  <c r="AR605" i="4"/>
  <c r="AR609" i="4"/>
  <c r="AS604" i="4"/>
  <c r="AS610" i="4"/>
  <c r="AS607" i="4"/>
  <c r="AS608" i="4"/>
  <c r="AS605" i="4"/>
  <c r="AS609" i="4"/>
  <c r="AU608" i="4"/>
  <c r="AU604" i="4"/>
  <c r="AU605" i="4"/>
  <c r="AU609" i="4"/>
  <c r="AU610" i="4"/>
  <c r="AU607" i="4"/>
  <c r="AQ605" i="4"/>
  <c r="AQ609" i="4"/>
  <c r="AQ610" i="4"/>
  <c r="AQ604" i="4"/>
  <c r="AQ608" i="4"/>
  <c r="AQ607" i="4"/>
  <c r="AU653" i="4"/>
  <c r="AU649" i="4"/>
  <c r="AU644" i="4"/>
  <c r="AU636" i="4"/>
  <c r="AU632" i="4"/>
  <c r="AU624" i="4"/>
  <c r="AU620" i="4"/>
  <c r="AU612" i="4"/>
  <c r="AU651" i="4"/>
  <c r="AU648" i="4"/>
  <c r="AU631" i="4"/>
  <c r="AU618" i="4"/>
  <c r="AU652" i="4"/>
  <c r="AU622" i="4"/>
  <c r="AU619" i="4"/>
  <c r="AU626" i="4"/>
  <c r="AU623" i="4"/>
  <c r="AU606" i="4"/>
  <c r="AU603" i="4"/>
  <c r="AU647" i="4"/>
  <c r="AU643" i="4"/>
  <c r="AU630" i="4"/>
  <c r="AU611" i="4"/>
  <c r="AU650" i="4"/>
  <c r="AU621" i="4"/>
  <c r="AU613" i="4"/>
  <c r="AU645" i="4"/>
  <c r="AU625" i="4"/>
  <c r="AU617" i="4"/>
  <c r="AT651" i="4"/>
  <c r="AT647" i="4"/>
  <c r="AT630" i="4"/>
  <c r="AT626" i="4"/>
  <c r="AT622" i="4"/>
  <c r="AT618" i="4"/>
  <c r="AT606" i="4"/>
  <c r="AT644" i="4"/>
  <c r="AT612" i="4"/>
  <c r="AT649" i="4"/>
  <c r="AT632" i="4"/>
  <c r="AT653" i="4"/>
  <c r="AT636" i="4"/>
  <c r="AT620" i="4"/>
  <c r="AT624" i="4"/>
  <c r="AT613" i="4"/>
  <c r="AT645" i="4"/>
  <c r="AT625" i="4"/>
  <c r="AT611" i="4"/>
  <c r="AT643" i="4"/>
  <c r="AT650" i="4"/>
  <c r="AT617" i="4"/>
  <c r="AT631" i="4"/>
  <c r="AT648" i="4"/>
  <c r="AT621" i="4"/>
  <c r="AT603" i="4"/>
  <c r="AT619" i="4"/>
  <c r="AT652" i="4"/>
  <c r="AT623" i="4"/>
  <c r="AS651" i="4"/>
  <c r="AS647" i="4"/>
  <c r="AS626" i="4"/>
  <c r="AS622" i="4"/>
  <c r="AS618" i="4"/>
  <c r="AS606" i="4"/>
  <c r="AS643" i="4"/>
  <c r="AS624" i="4"/>
  <c r="AS648" i="4"/>
  <c r="AS644" i="4"/>
  <c r="AS631" i="4"/>
  <c r="AS612" i="4"/>
  <c r="AS652" i="4"/>
  <c r="AS649" i="4"/>
  <c r="AS632" i="4"/>
  <c r="AS619" i="4"/>
  <c r="AS653" i="4"/>
  <c r="AS636" i="4"/>
  <c r="AS621" i="4"/>
  <c r="AS625" i="4"/>
  <c r="AS650" i="4"/>
  <c r="AS613" i="4"/>
  <c r="AR653" i="4"/>
  <c r="AR651" i="4"/>
  <c r="AR649" i="4"/>
  <c r="AR647" i="4"/>
  <c r="AR644" i="4"/>
  <c r="AR636" i="4"/>
  <c r="AR632" i="4"/>
  <c r="AR630" i="4"/>
  <c r="AR626" i="4"/>
  <c r="AR624" i="4"/>
  <c r="AR622" i="4"/>
  <c r="AR620" i="4"/>
  <c r="AR618" i="4"/>
  <c r="AR612" i="4"/>
  <c r="AR606" i="4"/>
  <c r="AR625" i="4"/>
  <c r="AR645" i="4"/>
  <c r="AR613" i="4"/>
  <c r="AR650" i="4"/>
  <c r="AR617" i="4"/>
  <c r="AR611" i="4"/>
  <c r="AR643" i="4"/>
  <c r="AR603" i="4"/>
  <c r="AR621" i="4"/>
  <c r="AR631" i="4"/>
  <c r="AR648" i="4"/>
  <c r="AR619" i="4"/>
  <c r="AR652" i="4"/>
  <c r="AR623" i="4"/>
  <c r="AQ653" i="4"/>
  <c r="AQ649" i="4"/>
  <c r="AQ644" i="4"/>
  <c r="AQ636" i="4"/>
  <c r="AQ632" i="4"/>
  <c r="AQ624" i="4"/>
  <c r="AQ620" i="4"/>
  <c r="AQ612" i="4"/>
  <c r="AQ652" i="4"/>
  <c r="AQ648" i="4"/>
  <c r="AQ643" i="4"/>
  <c r="AQ631" i="4"/>
  <c r="AQ623" i="4"/>
  <c r="AQ619" i="4"/>
  <c r="AQ611" i="4"/>
  <c r="AQ647" i="4"/>
  <c r="AQ630" i="4"/>
  <c r="AQ651" i="4"/>
  <c r="AQ618" i="4"/>
  <c r="AQ625" i="4"/>
  <c r="AQ622" i="4"/>
  <c r="AQ645" i="4"/>
  <c r="AQ626" i="4"/>
  <c r="AQ613" i="4"/>
  <c r="AQ606" i="4"/>
  <c r="AQ650" i="4"/>
  <c r="AQ617" i="4"/>
  <c r="AQ621" i="4"/>
  <c r="AQ603" i="4"/>
  <c r="R608" i="4"/>
  <c r="P608" i="4"/>
  <c r="P607" i="4"/>
  <c r="R607" i="4"/>
  <c r="R610" i="4"/>
  <c r="P610" i="4"/>
  <c r="R898" i="13"/>
  <c r="AU601" i="4"/>
  <c r="AU599" i="4"/>
  <c r="AU600" i="4"/>
  <c r="AT601" i="4"/>
  <c r="AT600" i="4"/>
  <c r="AT599" i="4"/>
  <c r="AS601" i="4"/>
  <c r="AS599" i="4"/>
  <c r="AS600" i="4"/>
  <c r="AR601" i="4"/>
  <c r="AR599" i="4"/>
  <c r="AR600" i="4"/>
  <c r="AQ599" i="4"/>
  <c r="AQ601" i="4"/>
  <c r="AQ600" i="4"/>
  <c r="R733" i="13"/>
  <c r="P880" i="13"/>
  <c r="R706" i="13"/>
  <c r="P595" i="13"/>
  <c r="R595" i="13"/>
  <c r="P523" i="4"/>
  <c r="AU570" i="4"/>
  <c r="AU569" i="4"/>
  <c r="AU568" i="4"/>
  <c r="AT570" i="4"/>
  <c r="AT569" i="4"/>
  <c r="AT568" i="4"/>
  <c r="AS569" i="4"/>
  <c r="AS570" i="4"/>
  <c r="AS568" i="4"/>
  <c r="AR569" i="4"/>
  <c r="AR570" i="4"/>
  <c r="AR568" i="4"/>
  <c r="AQ570" i="4"/>
  <c r="AQ569" i="4"/>
  <c r="AQ568" i="4"/>
  <c r="P538" i="4"/>
  <c r="R373" i="4"/>
  <c r="P543" i="4"/>
  <c r="R650" i="13"/>
  <c r="P650" i="13"/>
  <c r="P551" i="4"/>
  <c r="R551" i="4"/>
  <c r="P546" i="4"/>
  <c r="R546" i="4"/>
  <c r="P547" i="4"/>
  <c r="R547" i="4"/>
  <c r="R533" i="4"/>
  <c r="R534" i="4"/>
  <c r="P542" i="4"/>
  <c r="R542" i="4"/>
  <c r="P541" i="4"/>
  <c r="R541" i="4"/>
  <c r="P544" i="4"/>
  <c r="R544" i="4"/>
  <c r="P527" i="4"/>
  <c r="R536" i="4"/>
  <c r="R519" i="4"/>
  <c r="R309" i="4"/>
  <c r="P535" i="4"/>
  <c r="R535" i="4"/>
  <c r="P530" i="4"/>
  <c r="R530" i="4"/>
  <c r="P526" i="4"/>
  <c r="R526" i="4"/>
  <c r="P525" i="4"/>
  <c r="R525" i="4"/>
  <c r="P521" i="4"/>
  <c r="R521" i="4"/>
  <c r="R514" i="4"/>
  <c r="P517" i="4"/>
  <c r="R517" i="4"/>
  <c r="X513" i="4"/>
  <c r="X514" i="4"/>
  <c r="AU552" i="4"/>
  <c r="AU581" i="4"/>
  <c r="AU586" i="4"/>
  <c r="AU550" i="4"/>
  <c r="AU584" i="4"/>
  <c r="AU548" i="4"/>
  <c r="AU547" i="4"/>
  <c r="AU549" i="4"/>
  <c r="AU565" i="4"/>
  <c r="AU580" i="4"/>
  <c r="AU564" i="4"/>
  <c r="AU587" i="4"/>
  <c r="AU551" i="4"/>
  <c r="AU585" i="4"/>
  <c r="AU582" i="4"/>
  <c r="AU566" i="4"/>
  <c r="AT584" i="4"/>
  <c r="AT585" i="4"/>
  <c r="AT580" i="4"/>
  <c r="AT564" i="4"/>
  <c r="AT586" i="4"/>
  <c r="AT550" i="4"/>
  <c r="AT548" i="4"/>
  <c r="AT582" i="4"/>
  <c r="AT566" i="4"/>
  <c r="AT552" i="4"/>
  <c r="AT547" i="4"/>
  <c r="AT587" i="4"/>
  <c r="AT565" i="4"/>
  <c r="AT551" i="4"/>
  <c r="AT581" i="4"/>
  <c r="AT549" i="4"/>
  <c r="AS552" i="4"/>
  <c r="AS584" i="4"/>
  <c r="AS547" i="4"/>
  <c r="AS581" i="4"/>
  <c r="AS565" i="4"/>
  <c r="AS587" i="4"/>
  <c r="AS585" i="4"/>
  <c r="AS582" i="4"/>
  <c r="AS580" i="4"/>
  <c r="AS566" i="4"/>
  <c r="AS564" i="4"/>
  <c r="AS551" i="4"/>
  <c r="AS586" i="4"/>
  <c r="AS548" i="4"/>
  <c r="AS550" i="4"/>
  <c r="AS549" i="4"/>
  <c r="AR586" i="4"/>
  <c r="AR550" i="4"/>
  <c r="AR548" i="4"/>
  <c r="AR587" i="4"/>
  <c r="AR585" i="4"/>
  <c r="AR582" i="4"/>
  <c r="AR580" i="4"/>
  <c r="AR566" i="4"/>
  <c r="AR564" i="4"/>
  <c r="AR551" i="4"/>
  <c r="AR565" i="4"/>
  <c r="AR584" i="4"/>
  <c r="AR552" i="4"/>
  <c r="AR581" i="4"/>
  <c r="AR547" i="4"/>
  <c r="AR549" i="4"/>
  <c r="AQ552" i="4"/>
  <c r="AQ585" i="4"/>
  <c r="AQ580" i="4"/>
  <c r="AQ564" i="4"/>
  <c r="AQ581" i="4"/>
  <c r="AQ565" i="4"/>
  <c r="AQ586" i="4"/>
  <c r="AQ550" i="4"/>
  <c r="AQ547" i="4"/>
  <c r="AQ584" i="4"/>
  <c r="AQ548" i="4"/>
  <c r="AQ587" i="4"/>
  <c r="AQ582" i="4"/>
  <c r="AQ566" i="4"/>
  <c r="AQ551" i="4"/>
  <c r="AQ549" i="4"/>
  <c r="P44" i="4"/>
  <c r="F504" i="4"/>
  <c r="F506" i="4"/>
  <c r="F505" i="4"/>
  <c r="X505" i="4"/>
  <c r="X504" i="4"/>
  <c r="X506" i="4"/>
  <c r="AR501" i="4"/>
  <c r="AR503" i="4"/>
  <c r="AU501" i="4"/>
  <c r="AU503" i="4"/>
  <c r="AQ382" i="4"/>
  <c r="AQ501" i="4"/>
  <c r="AQ503" i="4"/>
  <c r="AT501" i="4"/>
  <c r="AT503" i="4"/>
  <c r="AS503" i="4"/>
  <c r="P503" i="4"/>
  <c r="R503" i="4"/>
  <c r="R486" i="4"/>
  <c r="P496" i="4"/>
  <c r="R496" i="4"/>
  <c r="G493" i="4"/>
  <c r="G491" i="4"/>
  <c r="F493" i="4"/>
  <c r="X489" i="4"/>
  <c r="X493" i="4"/>
  <c r="X487" i="4"/>
  <c r="X490" i="4"/>
  <c r="X486" i="4"/>
  <c r="X491" i="4"/>
  <c r="F487" i="4"/>
  <c r="F490" i="4"/>
  <c r="F489" i="4"/>
  <c r="F491" i="4"/>
  <c r="Q150" i="4"/>
  <c r="R150" i="4" s="1"/>
  <c r="P150" i="4"/>
  <c r="P308" i="4"/>
  <c r="R308" i="4"/>
  <c r="P302" i="4"/>
  <c r="R302" i="4"/>
  <c r="P63" i="4"/>
  <c r="R63" i="4"/>
  <c r="P26" i="4"/>
  <c r="R26" i="4"/>
  <c r="R301" i="4"/>
  <c r="P301" i="4"/>
  <c r="R307" i="4"/>
  <c r="P307" i="4"/>
  <c r="P52" i="4"/>
  <c r="R52" i="4"/>
  <c r="R58" i="4"/>
  <c r="P58" i="4"/>
  <c r="P24" i="4"/>
  <c r="R24" i="4"/>
  <c r="R66" i="4"/>
  <c r="P66" i="4"/>
  <c r="P117" i="4"/>
  <c r="R117" i="4"/>
  <c r="P109" i="4"/>
  <c r="R109" i="4"/>
  <c r="P101" i="4"/>
  <c r="R101" i="4"/>
  <c r="P125" i="4"/>
  <c r="R125" i="4"/>
  <c r="P19" i="4"/>
  <c r="R19" i="4"/>
  <c r="P261" i="4"/>
  <c r="R261" i="4"/>
  <c r="P30" i="4"/>
  <c r="R30" i="4"/>
  <c r="R130" i="4"/>
  <c r="P130" i="4"/>
  <c r="P282" i="4"/>
  <c r="R282" i="4"/>
  <c r="R21" i="4"/>
  <c r="P21" i="4"/>
  <c r="P264" i="4"/>
  <c r="R264" i="4"/>
  <c r="P284" i="4"/>
  <c r="R284" i="4"/>
  <c r="P15" i="4"/>
  <c r="R15" i="4"/>
  <c r="P132" i="4"/>
  <c r="R132" i="4"/>
  <c r="P31" i="4"/>
  <c r="R31" i="4"/>
  <c r="R70" i="4"/>
  <c r="P70" i="4"/>
  <c r="P260" i="4"/>
  <c r="R260" i="4"/>
  <c r="R45" i="4"/>
  <c r="P45" i="4"/>
  <c r="R49" i="4"/>
  <c r="P49" i="4"/>
  <c r="P133" i="4"/>
  <c r="R133" i="4"/>
  <c r="P27" i="4"/>
  <c r="R27" i="4"/>
  <c r="P279" i="4"/>
  <c r="R279" i="4"/>
  <c r="P55" i="4"/>
  <c r="R55" i="4"/>
  <c r="P67" i="4"/>
  <c r="R67" i="4"/>
  <c r="P127" i="4"/>
  <c r="R127" i="4"/>
  <c r="P38" i="4"/>
  <c r="R38" i="4"/>
  <c r="P380" i="4"/>
  <c r="F380" i="4" s="1"/>
  <c r="R380" i="4"/>
  <c r="G380" i="4" s="1"/>
  <c r="P381" i="4"/>
  <c r="R381" i="4"/>
  <c r="P129" i="4"/>
  <c r="R129" i="4"/>
  <c r="P265" i="4"/>
  <c r="R265" i="4"/>
  <c r="P71" i="4"/>
  <c r="R71" i="4"/>
  <c r="P25" i="4"/>
  <c r="R25" i="4"/>
  <c r="R64" i="4"/>
  <c r="P64" i="4"/>
  <c r="P57" i="4"/>
  <c r="R57" i="4"/>
  <c r="P39" i="4"/>
  <c r="R39" i="4"/>
  <c r="P51" i="4"/>
  <c r="R51" i="4"/>
  <c r="P11" i="4"/>
  <c r="R11" i="4"/>
  <c r="P372" i="4"/>
  <c r="R372" i="4"/>
  <c r="P298" i="4"/>
  <c r="R298" i="4"/>
  <c r="R478" i="4"/>
  <c r="P478" i="4"/>
  <c r="P65" i="4"/>
  <c r="R65" i="4"/>
  <c r="P22" i="4"/>
  <c r="R22" i="4"/>
  <c r="P220" i="4"/>
  <c r="R220" i="4"/>
  <c r="R134" i="4"/>
  <c r="P134" i="4"/>
  <c r="R347" i="4"/>
  <c r="P347" i="4"/>
  <c r="P346" i="4"/>
  <c r="R346" i="4"/>
  <c r="P288" i="4"/>
  <c r="R288" i="4"/>
  <c r="P341" i="4"/>
  <c r="R341" i="4"/>
  <c r="P293" i="4"/>
  <c r="R293" i="4"/>
  <c r="P357" i="4"/>
  <c r="R357" i="4"/>
  <c r="P292" i="4"/>
  <c r="R292" i="4"/>
  <c r="R297" i="4"/>
  <c r="P297" i="4"/>
  <c r="R305" i="4"/>
  <c r="P305" i="4"/>
  <c r="P340" i="4"/>
  <c r="R340" i="4"/>
  <c r="P360" i="4"/>
  <c r="R360" i="4"/>
  <c r="R375" i="4"/>
  <c r="P375" i="4"/>
  <c r="R482" i="4"/>
  <c r="G482" i="4" s="1"/>
  <c r="P482" i="4"/>
  <c r="X482" i="4" s="1"/>
  <c r="P23" i="4"/>
  <c r="R23" i="4"/>
  <c r="R62" i="4"/>
  <c r="P62" i="4"/>
  <c r="R9" i="4"/>
  <c r="P9" i="4"/>
  <c r="P73" i="4"/>
  <c r="R73" i="4"/>
  <c r="P266" i="4"/>
  <c r="R266" i="4"/>
  <c r="R295" i="4"/>
  <c r="P295" i="4"/>
  <c r="R299" i="4"/>
  <c r="P299" i="4"/>
  <c r="R343" i="4"/>
  <c r="P343" i="4"/>
  <c r="P290" i="4"/>
  <c r="R290" i="4"/>
  <c r="P358" i="4"/>
  <c r="R358" i="4"/>
  <c r="P408" i="4"/>
  <c r="R408" i="4"/>
  <c r="P398" i="4"/>
  <c r="R398" i="4"/>
  <c r="P80" i="4"/>
  <c r="R80" i="4"/>
  <c r="P77" i="4"/>
  <c r="R77" i="4"/>
  <c r="P53" i="4"/>
  <c r="R53" i="4"/>
  <c r="P60" i="4"/>
  <c r="R60" i="4"/>
  <c r="P46" i="4"/>
  <c r="R46" i="4"/>
  <c r="AQ307" i="4"/>
  <c r="AQ66" i="4"/>
  <c r="AQ22" i="4"/>
  <c r="AQ290" i="4"/>
  <c r="AQ343" i="4"/>
  <c r="AQ347" i="4"/>
  <c r="AQ44" i="4"/>
  <c r="AQ261" i="4"/>
  <c r="AQ31" i="4"/>
  <c r="AQ264" i="4"/>
  <c r="AQ380" i="4"/>
  <c r="AQ360" i="4"/>
  <c r="AQ80" i="4"/>
  <c r="AQ53" i="4"/>
  <c r="AQ286" i="4"/>
  <c r="AQ109" i="4"/>
  <c r="AQ83" i="4"/>
  <c r="AQ127" i="4"/>
  <c r="AQ133" i="4"/>
  <c r="AQ383" i="4"/>
  <c r="AQ298" i="4"/>
  <c r="AQ357" i="4"/>
  <c r="AQ28" i="4"/>
  <c r="AQ25" i="4"/>
  <c r="AQ51" i="4"/>
  <c r="AQ26" i="4"/>
  <c r="AQ58" i="4"/>
  <c r="AQ399" i="4"/>
  <c r="AQ65" i="4"/>
  <c r="AQ295" i="4"/>
  <c r="AQ408" i="4"/>
  <c r="AQ346" i="4"/>
  <c r="AQ30" i="4"/>
  <c r="AQ19" i="4"/>
  <c r="AQ21" i="4"/>
  <c r="AQ340" i="4"/>
  <c r="AQ292" i="4"/>
  <c r="AQ77" i="4"/>
  <c r="AQ101" i="4"/>
  <c r="AQ38" i="4"/>
  <c r="AQ67" i="4"/>
  <c r="AQ260" i="4"/>
  <c r="AQ71" i="4"/>
  <c r="AQ478" i="4"/>
  <c r="AQ288" i="4"/>
  <c r="AQ9" i="4"/>
  <c r="AQ302" i="4"/>
  <c r="AQ309" i="4"/>
  <c r="AR499" i="4"/>
  <c r="AR423" i="4"/>
  <c r="AR414" i="4"/>
  <c r="AR406" i="4"/>
  <c r="AR394" i="4"/>
  <c r="AR392" i="4"/>
  <c r="AR390" i="4"/>
  <c r="AR378" i="4"/>
  <c r="AR362" i="4"/>
  <c r="AR356" i="4"/>
  <c r="AR335" i="4"/>
  <c r="AR329" i="4"/>
  <c r="AR319" i="4"/>
  <c r="AR313" i="4"/>
  <c r="AR273" i="4"/>
  <c r="AR269" i="4"/>
  <c r="AR259" i="4"/>
  <c r="AR238" i="4"/>
  <c r="AR231" i="4"/>
  <c r="AR227" i="4"/>
  <c r="AR217" i="4"/>
  <c r="AR213" i="4"/>
  <c r="AR149" i="4"/>
  <c r="AR121" i="4"/>
  <c r="AR119" i="4"/>
  <c r="AR115" i="4"/>
  <c r="AR95" i="4"/>
  <c r="AR91" i="4"/>
  <c r="AR81" i="4"/>
  <c r="AR61" i="4"/>
  <c r="AR37" i="4"/>
  <c r="AR400" i="4"/>
  <c r="AR376" i="4"/>
  <c r="AR331" i="4"/>
  <c r="AR325" i="4"/>
  <c r="AR315" i="4"/>
  <c r="AR303" i="4"/>
  <c r="AR545" i="4"/>
  <c r="AR544" i="4"/>
  <c r="AR541" i="4"/>
  <c r="AR540" i="4"/>
  <c r="AR537" i="4"/>
  <c r="AR533" i="4"/>
  <c r="AR528" i="4"/>
  <c r="AR524" i="4"/>
  <c r="AR520" i="4"/>
  <c r="AR512" i="4"/>
  <c r="AR498" i="4"/>
  <c r="AR497" i="4"/>
  <c r="AR489" i="4"/>
  <c r="AR487" i="4"/>
  <c r="AR425" i="4"/>
  <c r="AR416" i="4"/>
  <c r="AR513" i="4"/>
  <c r="AR493" i="4"/>
  <c r="AR427" i="4"/>
  <c r="AR419" i="4"/>
  <c r="AR546" i="4"/>
  <c r="AR543" i="4"/>
  <c r="AR538" i="4"/>
  <c r="AR535" i="4"/>
  <c r="AR529" i="4"/>
  <c r="AR526" i="4"/>
  <c r="AR521" i="4"/>
  <c r="AR366" i="4"/>
  <c r="AR363" i="4"/>
  <c r="AR354" i="4"/>
  <c r="AR350" i="4"/>
  <c r="AR332" i="4"/>
  <c r="AR323" i="4"/>
  <c r="AR321" i="4"/>
  <c r="AR271" i="4"/>
  <c r="AR267" i="4"/>
  <c r="AR251" i="4"/>
  <c r="AR240" i="4"/>
  <c r="AR236" i="4"/>
  <c r="AR229" i="4"/>
  <c r="AR223" i="4"/>
  <c r="AR221" i="4"/>
  <c r="AR219" i="4"/>
  <c r="AR218" i="4"/>
  <c r="AR207" i="4"/>
  <c r="AR204" i="4"/>
  <c r="AR203" i="4"/>
  <c r="AR201" i="4"/>
  <c r="AR429" i="4"/>
  <c r="AR336" i="4"/>
  <c r="AR274" i="4"/>
  <c r="AR140" i="4"/>
  <c r="AR122" i="4"/>
  <c r="AR74" i="4"/>
  <c r="AR542" i="4"/>
  <c r="AR539" i="4"/>
  <c r="AR534" i="4"/>
  <c r="AR530" i="4"/>
  <c r="AR525" i="4"/>
  <c r="AR522" i="4"/>
  <c r="AR395" i="4"/>
  <c r="AR379" i="4"/>
  <c r="AR316" i="4"/>
  <c r="AR388" i="4"/>
  <c r="AR317" i="4"/>
  <c r="AR234" i="4"/>
  <c r="AR210" i="4"/>
  <c r="AR205" i="4"/>
  <c r="AR145" i="4"/>
  <c r="AR141" i="4"/>
  <c r="AR135" i="4"/>
  <c r="AR107" i="4"/>
  <c r="AR100" i="4"/>
  <c r="AR98" i="4"/>
  <c r="AR35" i="4"/>
  <c r="AR396" i="4"/>
  <c r="AR393" i="4"/>
  <c r="AR148" i="4"/>
  <c r="AR146" i="4"/>
  <c r="AR108" i="4"/>
  <c r="AR99" i="4"/>
  <c r="AR85" i="4"/>
  <c r="AR245" i="4"/>
  <c r="AR237" i="4"/>
  <c r="AR147" i="4"/>
  <c r="AR87" i="4"/>
  <c r="AR12" i="4"/>
  <c r="AR320" i="4"/>
  <c r="AR311" i="4"/>
  <c r="AR249" i="4"/>
  <c r="AR233" i="4"/>
  <c r="AR111" i="4"/>
  <c r="AR97" i="4"/>
  <c r="AR93" i="4"/>
  <c r="AR82" i="4"/>
  <c r="AR79" i="4"/>
  <c r="AR17" i="4"/>
  <c r="AR212" i="4"/>
  <c r="AR211" i="4"/>
  <c r="AR209" i="4"/>
  <c r="AR268" i="4"/>
  <c r="AR215" i="4"/>
  <c r="AR106" i="4"/>
  <c r="AR105" i="4"/>
  <c r="AR138" i="4"/>
  <c r="AR92" i="4"/>
  <c r="AR143" i="4"/>
  <c r="AR114" i="4"/>
  <c r="AR137" i="4"/>
  <c r="AR246" i="4"/>
  <c r="AR103" i="4"/>
  <c r="AR312" i="4"/>
  <c r="AR258" i="4"/>
  <c r="AR412" i="4"/>
  <c r="AR413" i="4"/>
  <c r="AR84" i="4"/>
  <c r="AR318" i="4"/>
  <c r="AR514" i="4"/>
  <c r="AR411" i="4"/>
  <c r="AR428" i="4"/>
  <c r="AR310" i="4"/>
  <c r="AR417" i="4"/>
  <c r="AR518" i="4"/>
  <c r="AR242" i="4"/>
  <c r="AR364" i="4"/>
  <c r="AR337" i="4"/>
  <c r="AR90" i="4"/>
  <c r="AR123" i="4"/>
  <c r="AR243" i="4"/>
  <c r="AR228" i="4"/>
  <c r="AR327" i="4"/>
  <c r="AR421" i="4"/>
  <c r="AR415" i="4"/>
  <c r="AR491" i="4"/>
  <c r="AR519" i="4"/>
  <c r="AR527" i="4"/>
  <c r="AR536" i="4"/>
  <c r="AR277" i="4"/>
  <c r="AR470" i="4"/>
  <c r="AR523" i="4"/>
  <c r="AR532" i="4"/>
  <c r="AR432" i="4"/>
  <c r="AR440" i="4"/>
  <c r="AR448" i="4"/>
  <c r="AR467" i="4"/>
  <c r="AR475" i="4"/>
  <c r="AR351" i="4"/>
  <c r="AR367" i="4"/>
  <c r="AR426" i="4"/>
  <c r="AR442" i="4"/>
  <c r="AR469" i="4"/>
  <c r="AR500" i="4"/>
  <c r="AR54" i="4"/>
  <c r="AR96" i="4"/>
  <c r="AR112" i="4"/>
  <c r="AR352" i="4"/>
  <c r="AR443" i="4"/>
  <c r="AR226" i="4"/>
  <c r="AR402" i="4"/>
  <c r="AR76" i="4"/>
  <c r="AR139" i="4"/>
  <c r="AR202" i="4"/>
  <c r="AR244" i="4"/>
  <c r="AR276" i="4"/>
  <c r="AR506" i="4"/>
  <c r="AR324" i="4"/>
  <c r="AR355" i="4"/>
  <c r="AR422" i="4"/>
  <c r="AR420" i="4"/>
  <c r="AR433" i="4"/>
  <c r="AR441" i="4"/>
  <c r="AR468" i="4"/>
  <c r="AR476" i="4"/>
  <c r="AR348" i="4"/>
  <c r="AR285" i="4"/>
  <c r="AR494" i="4"/>
  <c r="AR403" i="4"/>
  <c r="AR280" i="4"/>
  <c r="AR144" i="4"/>
  <c r="AR208" i="4"/>
  <c r="AR232" i="4"/>
  <c r="AR86" i="4"/>
  <c r="AR102" i="4"/>
  <c r="AR118" i="4"/>
  <c r="AR150" i="4"/>
  <c r="AR214" i="4"/>
  <c r="AR230" i="4"/>
  <c r="AR248" i="4"/>
  <c r="AR270" i="4"/>
  <c r="AR334" i="4"/>
  <c r="AR389" i="4"/>
  <c r="AR397" i="4"/>
  <c r="AR437" i="4"/>
  <c r="AR480" i="4"/>
  <c r="AR353" i="4"/>
  <c r="AR431" i="4"/>
  <c r="AR447" i="4"/>
  <c r="AR474" i="4"/>
  <c r="AR495" i="4"/>
  <c r="AR405" i="4"/>
  <c r="AR124" i="4"/>
  <c r="AR404" i="4"/>
  <c r="AR116" i="4"/>
  <c r="AR328" i="4"/>
  <c r="AR424" i="4"/>
  <c r="AR434" i="4"/>
  <c r="AR477" i="4"/>
  <c r="AR216" i="4"/>
  <c r="AR10" i="4"/>
  <c r="AR272" i="4"/>
  <c r="AR349" i="4"/>
  <c r="AR330" i="4"/>
  <c r="AR365" i="4"/>
  <c r="AR436" i="4"/>
  <c r="AR471" i="4"/>
  <c r="AR479" i="4"/>
  <c r="AR445" i="4"/>
  <c r="AR377" i="4"/>
  <c r="AR391" i="4"/>
  <c r="AR438" i="4"/>
  <c r="AR451" i="4"/>
  <c r="AR94" i="4"/>
  <c r="AR110" i="4"/>
  <c r="AR126" i="4"/>
  <c r="AR142" i="4"/>
  <c r="AR206" i="4"/>
  <c r="AR222" i="4"/>
  <c r="AR239" i="4"/>
  <c r="AR278" i="4"/>
  <c r="AR314" i="4"/>
  <c r="AR326" i="4"/>
  <c r="AR511" i="4"/>
  <c r="AR490" i="4"/>
  <c r="AR439" i="4"/>
  <c r="AR75" i="4"/>
  <c r="AR453" i="4"/>
  <c r="AR430" i="4"/>
  <c r="AR306" i="4"/>
  <c r="AR409" i="4"/>
  <c r="AR452" i="4"/>
  <c r="AR88" i="4"/>
  <c r="AR104" i="4"/>
  <c r="AR224" i="4"/>
  <c r="AR200" i="4"/>
  <c r="AR250" i="4"/>
  <c r="AR300" i="4"/>
  <c r="AR361" i="4"/>
  <c r="AR486" i="4"/>
  <c r="AR504" i="4"/>
  <c r="AR496" i="4"/>
  <c r="AR517" i="4"/>
  <c r="AR446" i="4"/>
  <c r="AR473" i="4"/>
  <c r="AR515" i="4"/>
  <c r="AR410" i="4"/>
  <c r="AR225" i="4"/>
  <c r="AR89" i="4"/>
  <c r="AR113" i="4"/>
  <c r="AR275" i="4"/>
  <c r="AR401" i="4"/>
  <c r="AR505" i="4"/>
  <c r="AR120" i="4"/>
  <c r="AR241" i="4"/>
  <c r="AR136" i="4"/>
  <c r="AR16" i="4"/>
  <c r="AR36" i="4"/>
  <c r="AR48" i="4"/>
  <c r="AR455" i="4"/>
  <c r="AR345" i="4"/>
  <c r="AR333" i="4"/>
  <c r="AR322" i="4"/>
  <c r="AR338" i="4"/>
  <c r="AR472" i="4"/>
  <c r="AR383" i="4"/>
  <c r="AR309" i="4"/>
  <c r="AR380" i="4"/>
  <c r="AR28" i="4"/>
  <c r="AR384" i="4"/>
  <c r="AR46" i="4"/>
  <c r="AR44" i="4"/>
  <c r="AR83" i="4"/>
  <c r="AR382" i="4"/>
  <c r="AR381" i="4"/>
  <c r="AR387" i="4"/>
  <c r="AR60" i="4"/>
  <c r="AR398" i="4"/>
  <c r="AR286" i="4"/>
  <c r="AR72" i="4"/>
  <c r="AR53" i="4"/>
  <c r="AR13" i="4"/>
  <c r="AR408" i="4"/>
  <c r="AR385" i="4"/>
  <c r="AR68" i="4"/>
  <c r="AR283" i="4"/>
  <c r="AR80" i="4"/>
  <c r="AR131" i="4"/>
  <c r="AR101" i="4"/>
  <c r="AR308" i="4"/>
  <c r="AR341" i="4"/>
  <c r="AR295" i="4"/>
  <c r="AR59" i="4"/>
  <c r="AR66" i="4"/>
  <c r="AR297" i="4"/>
  <c r="AR32" i="4"/>
  <c r="AR73" i="4"/>
  <c r="AR57" i="4"/>
  <c r="AR15" i="4"/>
  <c r="AR70" i="4"/>
  <c r="AR373" i="4"/>
  <c r="AR19" i="4"/>
  <c r="AR478" i="4"/>
  <c r="AR292" i="4"/>
  <c r="AR399" i="4"/>
  <c r="AR71" i="4"/>
  <c r="AR125" i="4"/>
  <c r="AR302" i="4"/>
  <c r="AR293" i="4"/>
  <c r="AR290" i="4"/>
  <c r="AR482" i="4"/>
  <c r="AR25" i="4"/>
  <c r="AR266" i="4"/>
  <c r="AR51" i="4"/>
  <c r="AR284" i="4"/>
  <c r="AR264" i="4"/>
  <c r="AR62" i="4"/>
  <c r="AR347" i="4"/>
  <c r="AR342" i="4"/>
  <c r="AR294" i="4"/>
  <c r="AR282" i="4"/>
  <c r="AR30" i="4"/>
  <c r="AR298" i="4"/>
  <c r="AR360" i="4"/>
  <c r="AR265" i="4"/>
  <c r="AR305" i="4"/>
  <c r="AR63" i="4"/>
  <c r="AR109" i="4"/>
  <c r="AR42" i="4"/>
  <c r="AR288" i="4"/>
  <c r="AR299" i="4"/>
  <c r="AR9" i="4"/>
  <c r="AR43" i="4"/>
  <c r="AR132" i="4"/>
  <c r="AR34" i="4"/>
  <c r="AR24" i="4"/>
  <c r="AR220" i="4"/>
  <c r="AR130" i="4"/>
  <c r="AR52" i="4"/>
  <c r="AR11" i="4"/>
  <c r="AR407" i="4"/>
  <c r="AR289" i="4"/>
  <c r="AR346" i="4"/>
  <c r="AR14" i="4"/>
  <c r="AR20" i="4"/>
  <c r="AR262" i="4"/>
  <c r="AR26" i="4"/>
  <c r="AR129" i="4"/>
  <c r="AR77" i="4"/>
  <c r="AR307" i="4"/>
  <c r="AR340" i="4"/>
  <c r="AR117" i="4"/>
  <c r="AR40" i="4"/>
  <c r="AR357" i="4"/>
  <c r="AR358" i="4"/>
  <c r="AR343" i="4"/>
  <c r="AR301" i="4"/>
  <c r="AR23" i="4"/>
  <c r="AR39" i="4"/>
  <c r="AR21" i="4"/>
  <c r="AR31" i="4"/>
  <c r="AR33" i="4"/>
  <c r="AR375" i="4"/>
  <c r="AR64" i="4"/>
  <c r="AR134" i="4"/>
  <c r="AR261" i="4"/>
  <c r="AR58" i="4"/>
  <c r="AR372" i="4"/>
  <c r="AR45" i="4"/>
  <c r="AR49" i="4"/>
  <c r="AR38" i="4"/>
  <c r="AR65" i="4"/>
  <c r="AR279" i="4"/>
  <c r="AR27" i="4"/>
  <c r="AR22" i="4"/>
  <c r="AR78" i="4"/>
  <c r="AR127" i="4"/>
  <c r="AR260" i="4"/>
  <c r="AR67" i="4"/>
  <c r="AR55" i="4"/>
  <c r="AR133" i="4"/>
  <c r="AU545" i="4"/>
  <c r="AU543" i="4"/>
  <c r="AU541" i="4"/>
  <c r="AU539" i="4"/>
  <c r="AU406" i="4"/>
  <c r="AU394" i="4"/>
  <c r="AU392" i="4"/>
  <c r="AU390" i="4"/>
  <c r="AU378" i="4"/>
  <c r="AU363" i="4"/>
  <c r="AU362" i="4"/>
  <c r="AU356" i="4"/>
  <c r="AU336" i="4"/>
  <c r="AU335" i="4"/>
  <c r="AU329" i="4"/>
  <c r="AU320" i="4"/>
  <c r="AU319" i="4"/>
  <c r="AU313" i="4"/>
  <c r="AU515" i="4"/>
  <c r="AU423" i="4"/>
  <c r="AU414" i="4"/>
  <c r="AU473" i="4"/>
  <c r="AU451" i="4"/>
  <c r="AU446" i="4"/>
  <c r="AU438" i="4"/>
  <c r="AU425" i="4"/>
  <c r="AU416" i="4"/>
  <c r="AU497" i="4"/>
  <c r="AU427" i="4"/>
  <c r="AU367" i="4"/>
  <c r="AU351" i="4"/>
  <c r="AU315" i="4"/>
  <c r="AU278" i="4"/>
  <c r="AU273" i="4"/>
  <c r="AU245" i="4"/>
  <c r="AU213" i="4"/>
  <c r="AU440" i="4"/>
  <c r="AU432" i="4"/>
  <c r="AU419" i="4"/>
  <c r="AU402" i="4"/>
  <c r="AU376" i="4"/>
  <c r="AU355" i="4"/>
  <c r="AU337" i="4"/>
  <c r="AU325" i="4"/>
  <c r="AU316" i="4"/>
  <c r="AU269" i="4"/>
  <c r="AU238" i="4"/>
  <c r="AU149" i="4"/>
  <c r="AU108" i="4"/>
  <c r="AU475" i="4"/>
  <c r="AU467" i="4"/>
  <c r="AU448" i="4"/>
  <c r="AU400" i="4"/>
  <c r="AU331" i="4"/>
  <c r="AU303" i="4"/>
  <c r="AU270" i="4"/>
  <c r="AU268" i="4"/>
  <c r="AU306" i="4"/>
  <c r="AU148" i="4"/>
  <c r="AU91" i="4"/>
  <c r="AU87" i="4"/>
  <c r="AU86" i="4"/>
  <c r="AU61" i="4"/>
  <c r="AU487" i="4"/>
  <c r="AU366" i="4"/>
  <c r="AU350" i="4"/>
  <c r="AU332" i="4"/>
  <c r="AU321" i="4"/>
  <c r="AU276" i="4"/>
  <c r="AU237" i="4"/>
  <c r="AU219" i="4"/>
  <c r="AU203" i="4"/>
  <c r="AU150" i="4"/>
  <c r="AU93" i="4"/>
  <c r="AU81" i="4"/>
  <c r="AU37" i="4"/>
  <c r="AU259" i="4"/>
  <c r="AU231" i="4"/>
  <c r="AU229" i="4"/>
  <c r="AU222" i="4"/>
  <c r="AU141" i="4"/>
  <c r="AU121" i="4"/>
  <c r="AU251" i="4"/>
  <c r="AU246" i="4"/>
  <c r="AU239" i="4"/>
  <c r="AU227" i="4"/>
  <c r="AU225" i="4"/>
  <c r="AU223" i="4"/>
  <c r="AU135" i="4"/>
  <c r="AU126" i="4"/>
  <c r="AU123" i="4"/>
  <c r="AU119" i="4"/>
  <c r="AU118" i="4"/>
  <c r="AU115" i="4"/>
  <c r="AU100" i="4"/>
  <c r="AU95" i="4"/>
  <c r="AU94" i="4"/>
  <c r="AU84" i="4"/>
  <c r="AU217" i="4"/>
  <c r="AU207" i="4"/>
  <c r="AU204" i="4"/>
  <c r="AU140" i="4"/>
  <c r="AU89" i="4"/>
  <c r="AU354" i="4"/>
  <c r="AU275" i="4"/>
  <c r="AU364" i="4"/>
  <c r="AU116" i="4"/>
  <c r="AU75" i="4"/>
  <c r="AU143" i="4"/>
  <c r="AU206" i="4"/>
  <c r="AU228" i="4"/>
  <c r="AU327" i="4"/>
  <c r="AU412" i="4"/>
  <c r="AU99" i="4"/>
  <c r="AU147" i="4"/>
  <c r="AU236" i="4"/>
  <c r="AU267" i="4"/>
  <c r="AU317" i="4"/>
  <c r="AU388" i="4"/>
  <c r="AU505" i="4"/>
  <c r="AU526" i="4"/>
  <c r="AU495" i="4"/>
  <c r="AU107" i="4"/>
  <c r="AU145" i="4"/>
  <c r="AU17" i="4"/>
  <c r="AU97" i="4"/>
  <c r="AU105" i="4"/>
  <c r="AU209" i="4"/>
  <c r="AU233" i="4"/>
  <c r="AU285" i="4"/>
  <c r="AU124" i="4"/>
  <c r="AU230" i="4"/>
  <c r="AU35" i="4"/>
  <c r="AU85" i="4"/>
  <c r="AU201" i="4"/>
  <c r="AU240" i="4"/>
  <c r="AU271" i="4"/>
  <c r="AU248" i="4"/>
  <c r="AU324" i="4"/>
  <c r="AU404" i="4"/>
  <c r="AU530" i="4"/>
  <c r="AU525" i="4"/>
  <c r="AU534" i="4"/>
  <c r="AU520" i="4"/>
  <c r="AU528" i="4"/>
  <c r="AU537" i="4"/>
  <c r="AU540" i="4"/>
  <c r="AU88" i="4"/>
  <c r="AU104" i="4"/>
  <c r="AU120" i="4"/>
  <c r="AU280" i="4"/>
  <c r="AU144" i="4"/>
  <c r="AU208" i="4"/>
  <c r="AU224" i="4"/>
  <c r="AU241" i="4"/>
  <c r="AU136" i="4"/>
  <c r="AU200" i="4"/>
  <c r="AU216" i="4"/>
  <c r="AU232" i="4"/>
  <c r="AU250" i="4"/>
  <c r="AU113" i="4"/>
  <c r="AU205" i="4"/>
  <c r="AU410" i="4"/>
  <c r="AU142" i="4"/>
  <c r="AU328" i="4"/>
  <c r="AU348" i="4"/>
  <c r="AU137" i="4"/>
  <c r="AU249" i="4"/>
  <c r="AU103" i="4"/>
  <c r="AU111" i="4"/>
  <c r="AU312" i="4"/>
  <c r="AU92" i="4"/>
  <c r="AU214" i="4"/>
  <c r="AU242" i="4"/>
  <c r="AU431" i="4"/>
  <c r="AU519" i="4"/>
  <c r="AU527" i="4"/>
  <c r="AU536" i="4"/>
  <c r="AU221" i="4"/>
  <c r="AU211" i="4"/>
  <c r="AU352" i="4"/>
  <c r="AU429" i="4"/>
  <c r="AU523" i="4"/>
  <c r="AU532" i="4"/>
  <c r="AU518" i="4"/>
  <c r="AU535" i="4"/>
  <c r="AU102" i="4"/>
  <c r="AU311" i="4"/>
  <c r="AU421" i="4"/>
  <c r="AU529" i="4"/>
  <c r="AU544" i="4"/>
  <c r="AU10" i="4"/>
  <c r="AU112" i="4"/>
  <c r="AU272" i="4"/>
  <c r="AU314" i="4"/>
  <c r="AU330" i="4"/>
  <c r="AU361" i="4"/>
  <c r="AU377" i="4"/>
  <c r="AU472" i="4"/>
  <c r="AU470" i="4"/>
  <c r="AU491" i="4"/>
  <c r="AU512" i="4"/>
  <c r="AU500" i="4"/>
  <c r="AU494" i="4"/>
  <c r="AU489" i="4"/>
  <c r="AU506" i="4"/>
  <c r="AU139" i="4"/>
  <c r="AU244" i="4"/>
  <c r="AU79" i="4"/>
  <c r="AU212" i="4"/>
  <c r="AU215" i="4"/>
  <c r="AU524" i="4"/>
  <c r="AU546" i="4"/>
  <c r="AU12" i="4"/>
  <c r="AU36" i="4"/>
  <c r="AU54" i="4"/>
  <c r="AU96" i="4"/>
  <c r="AU74" i="4"/>
  <c r="AU90" i="4"/>
  <c r="AU106" i="4"/>
  <c r="AU122" i="4"/>
  <c r="AU138" i="4"/>
  <c r="AU202" i="4"/>
  <c r="AU218" i="4"/>
  <c r="AU234" i="4"/>
  <c r="AU258" i="4"/>
  <c r="AU274" i="4"/>
  <c r="AU318" i="4"/>
  <c r="AU334" i="4"/>
  <c r="AU345" i="4"/>
  <c r="AU391" i="4"/>
  <c r="AU511" i="4"/>
  <c r="AU437" i="4"/>
  <c r="AU480" i="4"/>
  <c r="AU365" i="4"/>
  <c r="AU397" i="4"/>
  <c r="AU401" i="4"/>
  <c r="AU403" i="4"/>
  <c r="AU405" i="4"/>
  <c r="AU409" i="4"/>
  <c r="AU411" i="4"/>
  <c r="AU413" i="4"/>
  <c r="AU415" i="4"/>
  <c r="AU417" i="4"/>
  <c r="AU420" i="4"/>
  <c r="AU422" i="4"/>
  <c r="AU424" i="4"/>
  <c r="AU426" i="4"/>
  <c r="AU428" i="4"/>
  <c r="AU430" i="4"/>
  <c r="AU490" i="4"/>
  <c r="AU453" i="4"/>
  <c r="AU486" i="4"/>
  <c r="AU504" i="4"/>
  <c r="AU439" i="4"/>
  <c r="AU496" i="4"/>
  <c r="AU517" i="4"/>
  <c r="AU433" i="4"/>
  <c r="AU442" i="4"/>
  <c r="AU469" i="4"/>
  <c r="AU476" i="4"/>
  <c r="AU322" i="4"/>
  <c r="AU338" i="4"/>
  <c r="AU353" i="4"/>
  <c r="AU436" i="4"/>
  <c r="AU471" i="4"/>
  <c r="AU479" i="4"/>
  <c r="AU389" i="4"/>
  <c r="AU443" i="4"/>
  <c r="AU499" i="4"/>
  <c r="AU513" i="4"/>
  <c r="AU498" i="4"/>
  <c r="AU522" i="4"/>
  <c r="AU521" i="4"/>
  <c r="AU533" i="4"/>
  <c r="AU542" i="4"/>
  <c r="AU349" i="4"/>
  <c r="AU82" i="4"/>
  <c r="AU98" i="4"/>
  <c r="AU114" i="4"/>
  <c r="AU146" i="4"/>
  <c r="AU210" i="4"/>
  <c r="AU226" i="4"/>
  <c r="AU243" i="4"/>
  <c r="AU310" i="4"/>
  <c r="AU326" i="4"/>
  <c r="AU379" i="4"/>
  <c r="AU447" i="4"/>
  <c r="AU474" i="4"/>
  <c r="AU434" i="4"/>
  <c r="AU441" i="4"/>
  <c r="AU452" i="4"/>
  <c r="AU468" i="4"/>
  <c r="AU477" i="4"/>
  <c r="AU493" i="4"/>
  <c r="AU514" i="4"/>
  <c r="AU76" i="4"/>
  <c r="AU333" i="4"/>
  <c r="AU277" i="4"/>
  <c r="AU538" i="4"/>
  <c r="AU16" i="4"/>
  <c r="AU393" i="4"/>
  <c r="AU445" i="4"/>
  <c r="AU323" i="4"/>
  <c r="AU110" i="4"/>
  <c r="AU300" i="4"/>
  <c r="AU396" i="4"/>
  <c r="AU48" i="4"/>
  <c r="AU455" i="4"/>
  <c r="AU395" i="4"/>
  <c r="AU44" i="4"/>
  <c r="AU72" i="4"/>
  <c r="AU380" i="4"/>
  <c r="AU309" i="4"/>
  <c r="AU261" i="4"/>
  <c r="AU52" i="4"/>
  <c r="AU46" i="4"/>
  <c r="AU385" i="4"/>
  <c r="AU382" i="4"/>
  <c r="AU77" i="4"/>
  <c r="AU383" i="4"/>
  <c r="AU25" i="4"/>
  <c r="AU83" i="4"/>
  <c r="AU381" i="4"/>
  <c r="AU130" i="4"/>
  <c r="AU59" i="4"/>
  <c r="AU125" i="4"/>
  <c r="AU373" i="4"/>
  <c r="AU80" i="4"/>
  <c r="AU23" i="4"/>
  <c r="AU64" i="4"/>
  <c r="AU289" i="4"/>
  <c r="AU71" i="4"/>
  <c r="AU399" i="4"/>
  <c r="AU384" i="4"/>
  <c r="AU282" i="4"/>
  <c r="AU358" i="4"/>
  <c r="AU101" i="4"/>
  <c r="AU53" i="4"/>
  <c r="AU34" i="4"/>
  <c r="AU13" i="4"/>
  <c r="AU62" i="4"/>
  <c r="AU220" i="4"/>
  <c r="AU294" i="4"/>
  <c r="AU28" i="4"/>
  <c r="AU286" i="4"/>
  <c r="AU33" i="4"/>
  <c r="AU387" i="4"/>
  <c r="AU78" i="4"/>
  <c r="AU19" i="4"/>
  <c r="AU30" i="4"/>
  <c r="AU58" i="4"/>
  <c r="AU117" i="4"/>
  <c r="AU60" i="4"/>
  <c r="AU407" i="4"/>
  <c r="AU43" i="4"/>
  <c r="AU134" i="4"/>
  <c r="AU342" i="4"/>
  <c r="AU292" i="4"/>
  <c r="AU70" i="4"/>
  <c r="AU32" i="4"/>
  <c r="AU260" i="4"/>
  <c r="AU133" i="4"/>
  <c r="AU11" i="4"/>
  <c r="AU55" i="4"/>
  <c r="AU340" i="4"/>
  <c r="AU51" i="4"/>
  <c r="AU478" i="4"/>
  <c r="AU109" i="4"/>
  <c r="AU9" i="4"/>
  <c r="AU307" i="4"/>
  <c r="AU22" i="4"/>
  <c r="AU375" i="4"/>
  <c r="AU372" i="4"/>
  <c r="AU131" i="4"/>
  <c r="AU360" i="4"/>
  <c r="AU38" i="4"/>
  <c r="AU341" i="4"/>
  <c r="AU63" i="4"/>
  <c r="AU284" i="4"/>
  <c r="AU299" i="4"/>
  <c r="AU49" i="4"/>
  <c r="AU66" i="4"/>
  <c r="AU14" i="4"/>
  <c r="AU293" i="4"/>
  <c r="AU15" i="4"/>
  <c r="AU24" i="4"/>
  <c r="AU308" i="4"/>
  <c r="AU42" i="4"/>
  <c r="AU357" i="4"/>
  <c r="AU288" i="4"/>
  <c r="AU398" i="4"/>
  <c r="AU27" i="4"/>
  <c r="AU65" i="4"/>
  <c r="AU39" i="4"/>
  <c r="AU297" i="4"/>
  <c r="AU295" i="4"/>
  <c r="AU20" i="4"/>
  <c r="AU346" i="4"/>
  <c r="AU132" i="4"/>
  <c r="AU68" i="4"/>
  <c r="AU347" i="4"/>
  <c r="AU127" i="4"/>
  <c r="AU26" i="4"/>
  <c r="AU265" i="4"/>
  <c r="AU290" i="4"/>
  <c r="AU408" i="4"/>
  <c r="AU45" i="4"/>
  <c r="AU266" i="4"/>
  <c r="AU279" i="4"/>
  <c r="AU264" i="4"/>
  <c r="AU283" i="4"/>
  <c r="AU21" i="4"/>
  <c r="AU302" i="4"/>
  <c r="AU57" i="4"/>
  <c r="AU67" i="4"/>
  <c r="AU482" i="4"/>
  <c r="AU73" i="4"/>
  <c r="AU301" i="4"/>
  <c r="AU262" i="4"/>
  <c r="AU31" i="4"/>
  <c r="AU343" i="4"/>
  <c r="AU298" i="4"/>
  <c r="AU305" i="4"/>
  <c r="AU129" i="4"/>
  <c r="AU40" i="4"/>
  <c r="AQ497" i="4"/>
  <c r="AQ487" i="4"/>
  <c r="AQ543" i="4"/>
  <c r="AQ539" i="4"/>
  <c r="AQ245" i="4"/>
  <c r="AQ204" i="4"/>
  <c r="AQ140" i="4"/>
  <c r="AQ108" i="4"/>
  <c r="AQ406" i="4"/>
  <c r="AQ394" i="4"/>
  <c r="AQ392" i="4"/>
  <c r="AQ390" i="4"/>
  <c r="AQ378" i="4"/>
  <c r="AQ367" i="4"/>
  <c r="AQ365" i="4"/>
  <c r="AQ362" i="4"/>
  <c r="AQ356" i="4"/>
  <c r="AQ351" i="4"/>
  <c r="AQ349" i="4"/>
  <c r="AQ335" i="4"/>
  <c r="AQ329" i="4"/>
  <c r="AQ319" i="4"/>
  <c r="AQ313" i="4"/>
  <c r="AQ306" i="4"/>
  <c r="AQ499" i="4"/>
  <c r="AQ423" i="4"/>
  <c r="AQ414" i="4"/>
  <c r="AQ545" i="4"/>
  <c r="AQ541" i="4"/>
  <c r="AQ537" i="4"/>
  <c r="AQ533" i="4"/>
  <c r="AQ528" i="4"/>
  <c r="AQ524" i="4"/>
  <c r="AQ520" i="4"/>
  <c r="AQ515" i="4"/>
  <c r="AQ495" i="4"/>
  <c r="AQ475" i="4"/>
  <c r="AQ471" i="4"/>
  <c r="AQ467" i="4"/>
  <c r="AQ448" i="4"/>
  <c r="AQ440" i="4"/>
  <c r="AQ436" i="4"/>
  <c r="AQ432" i="4"/>
  <c r="AQ425" i="4"/>
  <c r="AQ416" i="4"/>
  <c r="AQ479" i="4"/>
  <c r="AQ438" i="4"/>
  <c r="AQ400" i="4"/>
  <c r="AQ331" i="4"/>
  <c r="AQ320" i="4"/>
  <c r="AQ303" i="4"/>
  <c r="AQ269" i="4"/>
  <c r="AQ268" i="4"/>
  <c r="AQ238" i="4"/>
  <c r="AQ237" i="4"/>
  <c r="AQ233" i="4"/>
  <c r="AQ224" i="4"/>
  <c r="AQ222" i="4"/>
  <c r="AQ205" i="4"/>
  <c r="AQ473" i="4"/>
  <c r="AQ451" i="4"/>
  <c r="AQ446" i="4"/>
  <c r="AQ427" i="4"/>
  <c r="AQ366" i="4"/>
  <c r="AQ363" i="4"/>
  <c r="AQ354" i="4"/>
  <c r="AQ350" i="4"/>
  <c r="AQ324" i="4"/>
  <c r="AQ321" i="4"/>
  <c r="AQ280" i="4"/>
  <c r="AQ278" i="4"/>
  <c r="AQ259" i="4"/>
  <c r="AQ251" i="4"/>
  <c r="AQ229" i="4"/>
  <c r="AQ223" i="4"/>
  <c r="AQ219" i="4"/>
  <c r="AQ218" i="4"/>
  <c r="AQ207" i="4"/>
  <c r="AQ203" i="4"/>
  <c r="AQ141" i="4"/>
  <c r="AQ126" i="4"/>
  <c r="AQ93" i="4"/>
  <c r="AQ87" i="4"/>
  <c r="AQ82" i="4"/>
  <c r="AQ513" i="4"/>
  <c r="AQ419" i="4"/>
  <c r="AQ336" i="4"/>
  <c r="AQ315" i="4"/>
  <c r="AQ300" i="4"/>
  <c r="AQ275" i="4"/>
  <c r="AQ274" i="4"/>
  <c r="AQ249" i="4"/>
  <c r="AQ246" i="4"/>
  <c r="AQ239" i="4"/>
  <c r="AQ227" i="4"/>
  <c r="AQ225" i="4"/>
  <c r="AQ213" i="4"/>
  <c r="AQ122" i="4"/>
  <c r="AQ121" i="4"/>
  <c r="AQ111" i="4"/>
  <c r="AQ106" i="4"/>
  <c r="AQ97" i="4"/>
  <c r="AQ89" i="4"/>
  <c r="AQ17" i="4"/>
  <c r="AQ353" i="4"/>
  <c r="AQ214" i="4"/>
  <c r="AQ119" i="4"/>
  <c r="AQ115" i="4"/>
  <c r="AQ100" i="4"/>
  <c r="AQ95" i="4"/>
  <c r="AQ86" i="4"/>
  <c r="AQ84" i="4"/>
  <c r="AQ74" i="4"/>
  <c r="AQ285" i="4"/>
  <c r="AQ273" i="4"/>
  <c r="AQ149" i="4"/>
  <c r="AQ110" i="4"/>
  <c r="AQ337" i="4"/>
  <c r="AQ325" i="4"/>
  <c r="AQ243" i="4"/>
  <c r="AQ231" i="4"/>
  <c r="AQ139" i="4"/>
  <c r="AQ113" i="4"/>
  <c r="AQ81" i="4"/>
  <c r="AQ402" i="4"/>
  <c r="AQ376" i="4"/>
  <c r="AQ148" i="4"/>
  <c r="AQ91" i="4"/>
  <c r="AQ88" i="4"/>
  <c r="AQ61" i="4"/>
  <c r="AQ270" i="4"/>
  <c r="AQ217" i="4"/>
  <c r="AQ212" i="4"/>
  <c r="AQ209" i="4"/>
  <c r="AQ37" i="4"/>
  <c r="AQ410" i="4"/>
  <c r="AQ124" i="4"/>
  <c r="AQ333" i="4"/>
  <c r="AQ348" i="4"/>
  <c r="AQ75" i="4"/>
  <c r="AQ241" i="4"/>
  <c r="AQ79" i="4"/>
  <c r="AQ107" i="4"/>
  <c r="AQ120" i="4"/>
  <c r="AQ226" i="4"/>
  <c r="AQ345" i="4"/>
  <c r="AQ138" i="4"/>
  <c r="AQ230" i="4"/>
  <c r="AQ277" i="4"/>
  <c r="AQ323" i="4"/>
  <c r="AQ431" i="4"/>
  <c r="AQ276" i="4"/>
  <c r="AQ328" i="4"/>
  <c r="AQ396" i="4"/>
  <c r="AQ421" i="4"/>
  <c r="AQ215" i="4"/>
  <c r="AQ493" i="4"/>
  <c r="AQ112" i="4"/>
  <c r="AQ526" i="4"/>
  <c r="AQ535" i="4"/>
  <c r="AQ116" i="4"/>
  <c r="AQ114" i="4"/>
  <c r="AQ123" i="4"/>
  <c r="AQ145" i="4"/>
  <c r="AQ312" i="4"/>
  <c r="AQ104" i="4"/>
  <c r="AQ258" i="4"/>
  <c r="AQ412" i="4"/>
  <c r="AQ96" i="4"/>
  <c r="AQ99" i="4"/>
  <c r="AQ144" i="4"/>
  <c r="AQ147" i="4"/>
  <c r="AQ236" i="4"/>
  <c r="AQ267" i="4"/>
  <c r="AQ317" i="4"/>
  <c r="AQ388" i="4"/>
  <c r="AQ210" i="4"/>
  <c r="AQ505" i="4"/>
  <c r="AQ16" i="4"/>
  <c r="AQ48" i="4"/>
  <c r="AQ12" i="4"/>
  <c r="AQ10" i="4"/>
  <c r="AQ36" i="4"/>
  <c r="AQ54" i="4"/>
  <c r="AQ232" i="4"/>
  <c r="AQ206" i="4"/>
  <c r="AQ364" i="4"/>
  <c r="AQ94" i="4"/>
  <c r="AQ90" i="4"/>
  <c r="AQ143" i="4"/>
  <c r="AQ105" i="4"/>
  <c r="AQ244" i="4"/>
  <c r="AQ228" i="4"/>
  <c r="AQ327" i="4"/>
  <c r="AQ332" i="4"/>
  <c r="AQ377" i="4"/>
  <c r="AQ35" i="4"/>
  <c r="AQ85" i="4"/>
  <c r="AQ201" i="4"/>
  <c r="AQ240" i="4"/>
  <c r="AQ271" i="4"/>
  <c r="AQ272" i="4"/>
  <c r="AQ311" i="4"/>
  <c r="AQ404" i="4"/>
  <c r="AQ518" i="4"/>
  <c r="AQ102" i="4"/>
  <c r="AQ118" i="4"/>
  <c r="AQ76" i="4"/>
  <c r="AQ142" i="4"/>
  <c r="AQ146" i="4"/>
  <c r="AQ211" i="4"/>
  <c r="AQ316" i="4"/>
  <c r="AQ477" i="4"/>
  <c r="AQ522" i="4"/>
  <c r="AQ200" i="4"/>
  <c r="AQ310" i="4"/>
  <c r="AQ326" i="4"/>
  <c r="AQ455" i="4"/>
  <c r="AQ379" i="4"/>
  <c r="AQ395" i="4"/>
  <c r="AQ447" i="4"/>
  <c r="AQ474" i="4"/>
  <c r="AQ441" i="4"/>
  <c r="AQ468" i="4"/>
  <c r="AQ514" i="4"/>
  <c r="AQ523" i="4"/>
  <c r="AQ532" i="4"/>
  <c r="AQ540" i="4"/>
  <c r="AQ202" i="4"/>
  <c r="AQ137" i="4"/>
  <c r="AQ92" i="4"/>
  <c r="AQ98" i="4"/>
  <c r="AQ221" i="4"/>
  <c r="AQ442" i="4"/>
  <c r="AQ136" i="4"/>
  <c r="AQ216" i="4"/>
  <c r="AQ314" i="4"/>
  <c r="AQ330" i="4"/>
  <c r="AQ472" i="4"/>
  <c r="AQ470" i="4"/>
  <c r="AQ491" i="4"/>
  <c r="AQ512" i="4"/>
  <c r="AQ500" i="4"/>
  <c r="AQ494" i="4"/>
  <c r="AQ489" i="4"/>
  <c r="AQ506" i="4"/>
  <c r="AQ525" i="4"/>
  <c r="AQ534" i="4"/>
  <c r="AQ542" i="4"/>
  <c r="AQ318" i="4"/>
  <c r="AQ334" i="4"/>
  <c r="AQ391" i="4"/>
  <c r="AQ397" i="4"/>
  <c r="AQ405" i="4"/>
  <c r="AQ409" i="4"/>
  <c r="AQ411" i="4"/>
  <c r="AQ413" i="4"/>
  <c r="AQ415" i="4"/>
  <c r="AQ417" i="4"/>
  <c r="AQ420" i="4"/>
  <c r="AQ422" i="4"/>
  <c r="AQ424" i="4"/>
  <c r="AQ426" i="4"/>
  <c r="AQ428" i="4"/>
  <c r="AQ430" i="4"/>
  <c r="AQ453" i="4"/>
  <c r="AQ486" i="4"/>
  <c r="AQ504" i="4"/>
  <c r="AQ439" i="4"/>
  <c r="AQ496" i="4"/>
  <c r="AQ517" i="4"/>
  <c r="AQ433" i="4"/>
  <c r="AQ476" i="4"/>
  <c r="AQ519" i="4"/>
  <c r="AQ527" i="4"/>
  <c r="AQ536" i="4"/>
  <c r="AQ544" i="4"/>
  <c r="AQ208" i="4"/>
  <c r="AQ355" i="4"/>
  <c r="AQ469" i="4"/>
  <c r="AQ389" i="4"/>
  <c r="AQ490" i="4"/>
  <c r="AQ498" i="4"/>
  <c r="AQ521" i="4"/>
  <c r="AQ529" i="4"/>
  <c r="AQ538" i="4"/>
  <c r="AQ546" i="4"/>
  <c r="AQ135" i="4"/>
  <c r="AQ234" i="4"/>
  <c r="AQ361" i="4"/>
  <c r="AQ352" i="4"/>
  <c r="AQ429" i="4"/>
  <c r="AQ434" i="4"/>
  <c r="AQ452" i="4"/>
  <c r="AQ530" i="4"/>
  <c r="AQ250" i="4"/>
  <c r="AQ437" i="4"/>
  <c r="AQ480" i="4"/>
  <c r="AQ401" i="4"/>
  <c r="AQ403" i="4"/>
  <c r="AQ103" i="4"/>
  <c r="AQ248" i="4"/>
  <c r="AQ242" i="4"/>
  <c r="AQ322" i="4"/>
  <c r="AQ338" i="4"/>
  <c r="AQ511" i="4"/>
  <c r="AQ393" i="4"/>
  <c r="AQ445" i="4"/>
  <c r="AQ443" i="4"/>
  <c r="AQ14" i="4"/>
  <c r="AQ294" i="4"/>
  <c r="AQ131" i="4"/>
  <c r="AQ32" i="4"/>
  <c r="AQ289" i="4"/>
  <c r="AQ283" i="4"/>
  <c r="AQ20" i="4"/>
  <c r="AQ387" i="4"/>
  <c r="AQ342" i="4"/>
  <c r="AQ68" i="4"/>
  <c r="AQ262" i="4"/>
  <c r="AQ385" i="4"/>
  <c r="AQ407" i="4"/>
  <c r="AQ384" i="4"/>
  <c r="AQ42" i="4"/>
  <c r="AQ40" i="4"/>
  <c r="AQ63" i="4"/>
  <c r="AQ52" i="4"/>
  <c r="AQ59" i="4"/>
  <c r="AQ358" i="4"/>
  <c r="AQ398" i="4"/>
  <c r="AQ134" i="4"/>
  <c r="AQ78" i="4"/>
  <c r="AQ130" i="4"/>
  <c r="AQ284" i="4"/>
  <c r="AQ70" i="4"/>
  <c r="AQ482" i="4"/>
  <c r="AQ297" i="4"/>
  <c r="AQ46" i="4"/>
  <c r="AQ62" i="4"/>
  <c r="AQ117" i="4"/>
  <c r="AQ49" i="4"/>
  <c r="AQ279" i="4"/>
  <c r="AQ27" i="4"/>
  <c r="AQ265" i="4"/>
  <c r="AQ11" i="4"/>
  <c r="AQ341" i="4"/>
  <c r="AQ73" i="4"/>
  <c r="AQ308" i="4"/>
  <c r="AQ39" i="4"/>
  <c r="AS544" i="4"/>
  <c r="AS540" i="4"/>
  <c r="AS498" i="4"/>
  <c r="AS489" i="4"/>
  <c r="AS353" i="4"/>
  <c r="AS500" i="4"/>
  <c r="AS546" i="4"/>
  <c r="AS542" i="4"/>
  <c r="AS538" i="4"/>
  <c r="AS534" i="4"/>
  <c r="AS525" i="4"/>
  <c r="AS521" i="4"/>
  <c r="AS362" i="4"/>
  <c r="AS329" i="4"/>
  <c r="AS306" i="4"/>
  <c r="AS274" i="4"/>
  <c r="AS259" i="4"/>
  <c r="AS504" i="4"/>
  <c r="AS486" i="4"/>
  <c r="BR14" i="17418" s="1"/>
  <c r="AS414" i="4"/>
  <c r="AS404" i="4"/>
  <c r="AS395" i="4"/>
  <c r="AS394" i="4"/>
  <c r="AS379" i="4"/>
  <c r="AS378" i="4"/>
  <c r="AS367" i="4"/>
  <c r="AS352" i="4"/>
  <c r="AS351" i="4"/>
  <c r="AS335" i="4"/>
  <c r="AS245" i="4"/>
  <c r="AS231" i="4"/>
  <c r="AS227" i="4"/>
  <c r="AS217" i="4"/>
  <c r="AS119" i="4"/>
  <c r="AS115" i="4"/>
  <c r="AS95" i="4"/>
  <c r="AS91" i="4"/>
  <c r="AS81" i="4"/>
  <c r="AS61" i="4"/>
  <c r="AS406" i="4"/>
  <c r="AS392" i="4"/>
  <c r="AS313" i="4"/>
  <c r="AS273" i="4"/>
  <c r="AS377" i="4"/>
  <c r="AS356" i="4"/>
  <c r="AS251" i="4"/>
  <c r="AS223" i="4"/>
  <c r="AS218" i="4"/>
  <c r="AS146" i="4"/>
  <c r="AS137" i="4"/>
  <c r="AS123" i="4"/>
  <c r="AS108" i="4"/>
  <c r="AS99" i="4"/>
  <c r="AS85" i="4"/>
  <c r="AS84" i="4"/>
  <c r="AS74" i="4"/>
  <c r="AS390" i="4"/>
  <c r="AS319" i="4"/>
  <c r="AS271" i="4"/>
  <c r="AS269" i="4"/>
  <c r="AS267" i="4"/>
  <c r="AS240" i="4"/>
  <c r="AS236" i="4"/>
  <c r="AS221" i="4"/>
  <c r="AS211" i="4"/>
  <c r="AS149" i="4"/>
  <c r="AS147" i="4"/>
  <c r="AS87" i="4"/>
  <c r="AS82" i="4"/>
  <c r="AS79" i="4"/>
  <c r="AS37" i="4"/>
  <c r="AS17" i="4"/>
  <c r="AS238" i="4"/>
  <c r="AS234" i="4"/>
  <c r="AS201" i="4"/>
  <c r="AS140" i="4"/>
  <c r="AS122" i="4"/>
  <c r="AS121" i="4"/>
  <c r="AS114" i="4"/>
  <c r="AS98" i="4"/>
  <c r="AS89" i="4"/>
  <c r="AS423" i="4"/>
  <c r="AS323" i="4"/>
  <c r="AS219" i="4"/>
  <c r="AS215" i="4"/>
  <c r="AS105" i="4"/>
  <c r="AS213" i="4"/>
  <c r="AS205" i="4"/>
  <c r="AS204" i="4"/>
  <c r="AS141" i="4"/>
  <c r="AS103" i="4"/>
  <c r="AS35" i="4"/>
  <c r="AS92" i="4"/>
  <c r="AS210" i="4"/>
  <c r="AS107" i="4"/>
  <c r="AS145" i="4"/>
  <c r="AS315" i="4"/>
  <c r="AS425" i="4"/>
  <c r="AS97" i="4"/>
  <c r="AS209" i="4"/>
  <c r="AS285" i="4"/>
  <c r="AS90" i="4"/>
  <c r="AS116" i="4"/>
  <c r="AS350" i="4"/>
  <c r="AS366" i="4"/>
  <c r="AS441" i="4"/>
  <c r="AS519" i="4"/>
  <c r="AS527" i="4"/>
  <c r="AS536" i="4"/>
  <c r="AS93" i="4"/>
  <c r="AS207" i="4"/>
  <c r="AS300" i="4"/>
  <c r="AS276" i="4"/>
  <c r="AS376" i="4"/>
  <c r="AS402" i="4"/>
  <c r="AS416" i="4"/>
  <c r="AS470" i="4"/>
  <c r="AS523" i="4"/>
  <c r="AS532" i="4"/>
  <c r="AS432" i="4"/>
  <c r="AS448" i="4"/>
  <c r="AS475" i="4"/>
  <c r="AS438" i="4"/>
  <c r="AS446" i="4"/>
  <c r="AS451" i="4"/>
  <c r="AS473" i="4"/>
  <c r="AS258" i="4"/>
  <c r="AS361" i="4"/>
  <c r="AS410" i="4"/>
  <c r="AS317" i="4"/>
  <c r="AS348" i="4"/>
  <c r="AS388" i="4"/>
  <c r="AS443" i="4"/>
  <c r="AS76" i="4"/>
  <c r="AS249" i="4"/>
  <c r="AS111" i="4"/>
  <c r="AS345" i="4"/>
  <c r="AS139" i="4"/>
  <c r="AS242" i="4"/>
  <c r="AS433" i="4"/>
  <c r="AS106" i="4"/>
  <c r="AS229" i="4"/>
  <c r="AS331" i="4"/>
  <c r="AS506" i="4"/>
  <c r="AS212" i="4"/>
  <c r="AS233" i="4"/>
  <c r="AS277" i="4"/>
  <c r="AS337" i="4"/>
  <c r="AS389" i="4"/>
  <c r="AS429" i="4"/>
  <c r="AS434" i="4"/>
  <c r="AS452" i="4"/>
  <c r="AS477" i="4"/>
  <c r="AS518" i="4"/>
  <c r="AS419" i="4"/>
  <c r="AS487" i="4"/>
  <c r="AS272" i="4"/>
  <c r="AS228" i="4"/>
  <c r="AS202" i="4"/>
  <c r="AS468" i="4"/>
  <c r="AS244" i="4"/>
  <c r="AS333" i="4"/>
  <c r="AS391" i="4"/>
  <c r="AS113" i="4"/>
  <c r="AS225" i="4"/>
  <c r="AS75" i="4"/>
  <c r="AS124" i="4"/>
  <c r="AS447" i="4"/>
  <c r="AS474" i="4"/>
  <c r="AS321" i="4"/>
  <c r="AS354" i="4"/>
  <c r="AS439" i="4"/>
  <c r="AS400" i="4"/>
  <c r="AS421" i="4"/>
  <c r="AS397" i="4"/>
  <c r="AS453" i="4"/>
  <c r="AS440" i="4"/>
  <c r="AS467" i="4"/>
  <c r="AS496" i="4"/>
  <c r="AS203" i="4"/>
  <c r="AS311" i="4"/>
  <c r="AS442" i="4"/>
  <c r="AS16" i="4"/>
  <c r="AS88" i="4"/>
  <c r="AS224" i="4"/>
  <c r="AS250" i="4"/>
  <c r="AS314" i="4"/>
  <c r="AS338" i="4"/>
  <c r="AS349" i="4"/>
  <c r="AS316" i="4"/>
  <c r="AS328" i="4"/>
  <c r="AS310" i="4"/>
  <c r="AS94" i="4"/>
  <c r="AS126" i="4"/>
  <c r="AS222" i="4"/>
  <c r="AS511" i="4"/>
  <c r="AS445" i="4"/>
  <c r="AS363" i="4"/>
  <c r="AS401" i="4"/>
  <c r="AS403" i="4"/>
  <c r="AS405" i="4"/>
  <c r="AS409" i="4"/>
  <c r="AS411" i="4"/>
  <c r="AS413" i="4"/>
  <c r="AS415" i="4"/>
  <c r="AS417" i="4"/>
  <c r="AS420" i="4"/>
  <c r="AS422" i="4"/>
  <c r="AS424" i="4"/>
  <c r="AS426" i="4"/>
  <c r="AS428" i="4"/>
  <c r="AS430" i="4"/>
  <c r="AS490" i="4"/>
  <c r="AS135" i="4"/>
  <c r="AS327" i="4"/>
  <c r="AS148" i="4"/>
  <c r="AS268" i="4"/>
  <c r="AS325" i="4"/>
  <c r="AS469" i="4"/>
  <c r="AS427" i="4"/>
  <c r="AS497" i="4"/>
  <c r="AS48" i="4"/>
  <c r="AS120" i="4"/>
  <c r="AS144" i="4"/>
  <c r="AS208" i="4"/>
  <c r="AS10" i="4"/>
  <c r="AS232" i="4"/>
  <c r="AS112" i="4"/>
  <c r="AS330" i="4"/>
  <c r="AS312" i="4"/>
  <c r="AS324" i="4"/>
  <c r="AS102" i="4"/>
  <c r="AS230" i="4"/>
  <c r="AS270" i="4"/>
  <c r="AS455" i="4"/>
  <c r="AS355" i="4"/>
  <c r="AS499" i="4"/>
  <c r="AS512" i="4"/>
  <c r="AS514" i="4"/>
  <c r="AS526" i="4"/>
  <c r="AS530" i="4"/>
  <c r="AS535" i="4"/>
  <c r="AS539" i="4"/>
  <c r="AS543" i="4"/>
  <c r="AS322" i="4"/>
  <c r="AS334" i="4"/>
  <c r="AS320" i="4"/>
  <c r="AS336" i="4"/>
  <c r="AS318" i="4"/>
  <c r="AS110" i="4"/>
  <c r="AS142" i="4"/>
  <c r="AS206" i="4"/>
  <c r="AS239" i="4"/>
  <c r="AS278" i="4"/>
  <c r="AS365" i="4"/>
  <c r="AS431" i="4"/>
  <c r="AS491" i="4"/>
  <c r="AS494" i="4"/>
  <c r="AS275" i="4"/>
  <c r="AS517" i="4"/>
  <c r="AS280" i="4"/>
  <c r="AS12" i="4"/>
  <c r="AS241" i="4"/>
  <c r="AS36" i="4"/>
  <c r="AS136" i="4"/>
  <c r="AS326" i="4"/>
  <c r="AS436" i="4"/>
  <c r="AS493" i="4"/>
  <c r="AS495" i="4"/>
  <c r="AS520" i="4"/>
  <c r="AS524" i="4"/>
  <c r="AS528" i="4"/>
  <c r="AS533" i="4"/>
  <c r="AS541" i="4"/>
  <c r="AS364" i="4"/>
  <c r="AS143" i="4"/>
  <c r="AS226" i="4"/>
  <c r="AS396" i="4"/>
  <c r="AS393" i="4"/>
  <c r="AS100" i="4"/>
  <c r="AS243" i="4"/>
  <c r="AS505" i="4"/>
  <c r="AS104" i="4"/>
  <c r="AS54" i="4"/>
  <c r="AS200" i="4"/>
  <c r="AS216" i="4"/>
  <c r="AS96" i="4"/>
  <c r="AS472" i="4"/>
  <c r="AS476" i="4"/>
  <c r="AS246" i="4"/>
  <c r="AS138" i="4"/>
  <c r="AS412" i="4"/>
  <c r="AS237" i="4"/>
  <c r="AS332" i="4"/>
  <c r="AS86" i="4"/>
  <c r="AS118" i="4"/>
  <c r="AS150" i="4"/>
  <c r="AS214" i="4"/>
  <c r="AS248" i="4"/>
  <c r="AS471" i="4"/>
  <c r="AS479" i="4"/>
  <c r="AS437" i="4"/>
  <c r="AS34" i="4"/>
  <c r="AS309" i="4"/>
  <c r="AS384" i="4"/>
  <c r="AS80" i="4"/>
  <c r="AS399" i="4"/>
  <c r="AS44" i="4"/>
  <c r="AS297" i="4"/>
  <c r="AS340" i="4"/>
  <c r="AS288" i="4"/>
  <c r="AS283" i="4"/>
  <c r="AS32" i="4"/>
  <c r="AS59" i="4"/>
  <c r="AS373" i="4"/>
  <c r="AS286" i="4"/>
  <c r="AS43" i="4"/>
  <c r="AS83" i="4"/>
  <c r="AS375" i="4"/>
  <c r="AS482" i="4"/>
  <c r="AS357" i="4"/>
  <c r="AS301" i="4"/>
  <c r="AS14" i="4"/>
  <c r="AS387" i="4"/>
  <c r="AS33" i="4"/>
  <c r="AS72" i="4"/>
  <c r="AS52" i="4"/>
  <c r="AS382" i="4"/>
  <c r="AS78" i="4"/>
  <c r="AS380" i="4"/>
  <c r="AS13" i="4"/>
  <c r="AS305" i="4"/>
  <c r="AS293" i="4"/>
  <c r="AS307" i="4"/>
  <c r="AS131" i="4"/>
  <c r="AS20" i="4"/>
  <c r="AS28" i="4"/>
  <c r="AS383" i="4"/>
  <c r="AS360" i="4"/>
  <c r="AS292" i="4"/>
  <c r="AS341" i="4"/>
  <c r="AS68" i="4"/>
  <c r="AS262" i="4"/>
  <c r="AS343" i="4"/>
  <c r="AS295" i="4"/>
  <c r="AS15" i="4"/>
  <c r="AS67" i="4"/>
  <c r="AS407" i="4"/>
  <c r="AS77" i="4"/>
  <c r="AS298" i="4"/>
  <c r="AS385" i="4"/>
  <c r="AS398" i="4"/>
  <c r="AS42" i="4"/>
  <c r="AS372" i="4"/>
  <c r="AS45" i="4"/>
  <c r="AS284" i="4"/>
  <c r="AS23" i="4"/>
  <c r="AS408" i="4"/>
  <c r="AS30" i="4"/>
  <c r="AS478" i="4"/>
  <c r="AS55" i="4"/>
  <c r="AS266" i="4"/>
  <c r="AS62" i="4"/>
  <c r="AS130" i="4"/>
  <c r="AS64" i="4"/>
  <c r="AS39" i="4"/>
  <c r="AS21" i="4"/>
  <c r="AS261" i="4"/>
  <c r="AS132" i="4"/>
  <c r="AS58" i="4"/>
  <c r="AS51" i="4"/>
  <c r="AS101" i="4"/>
  <c r="AS260" i="4"/>
  <c r="AS63" i="4"/>
  <c r="AS282" i="4"/>
  <c r="AS66" i="4"/>
  <c r="AS109" i="4"/>
  <c r="AS279" i="4"/>
  <c r="AS290" i="4"/>
  <c r="AS381" i="4"/>
  <c r="AS24" i="4"/>
  <c r="AS125" i="4"/>
  <c r="AS265" i="4"/>
  <c r="AS117" i="4"/>
  <c r="AS26" i="4"/>
  <c r="AS71" i="4"/>
  <c r="AS220" i="4"/>
  <c r="AS73" i="4"/>
  <c r="AS49" i="4"/>
  <c r="AS358" i="4"/>
  <c r="AS133" i="4"/>
  <c r="AS60" i="4"/>
  <c r="AS294" i="4"/>
  <c r="AS57" i="4"/>
  <c r="AS308" i="4"/>
  <c r="AS65" i="4"/>
  <c r="AS299" i="4"/>
  <c r="AS46" i="4"/>
  <c r="AS25" i="4"/>
  <c r="AS347" i="4"/>
  <c r="AS40" i="4"/>
  <c r="AS22" i="4"/>
  <c r="AS342" i="4"/>
  <c r="AS31" i="4"/>
  <c r="AS127" i="4"/>
  <c r="AS302" i="4"/>
  <c r="AS19" i="4"/>
  <c r="AS134" i="4"/>
  <c r="AS9" i="4"/>
  <c r="AS38" i="4"/>
  <c r="AS70" i="4"/>
  <c r="AS289" i="4"/>
  <c r="AS129" i="4"/>
  <c r="AS27" i="4"/>
  <c r="AS264" i="4"/>
  <c r="AS53" i="4"/>
  <c r="AS346" i="4"/>
  <c r="AS11" i="4"/>
  <c r="AT546" i="4"/>
  <c r="AT544" i="4"/>
  <c r="AT542" i="4"/>
  <c r="AT540" i="4"/>
  <c r="AT538" i="4"/>
  <c r="AT497" i="4"/>
  <c r="AT487" i="4"/>
  <c r="AT495" i="4"/>
  <c r="AT423" i="4"/>
  <c r="AT518" i="4"/>
  <c r="AT499" i="4"/>
  <c r="AT476" i="4"/>
  <c r="AT468" i="4"/>
  <c r="AT425" i="4"/>
  <c r="AT414" i="4"/>
  <c r="AT394" i="4"/>
  <c r="AT378" i="4"/>
  <c r="AT335" i="4"/>
  <c r="AT231" i="4"/>
  <c r="AT227" i="4"/>
  <c r="AT217" i="4"/>
  <c r="AT489" i="4"/>
  <c r="AT442" i="4"/>
  <c r="AT434" i="4"/>
  <c r="AT416" i="4"/>
  <c r="AT406" i="4"/>
  <c r="AT392" i="4"/>
  <c r="AT315" i="4"/>
  <c r="AT313" i="4"/>
  <c r="AT273" i="4"/>
  <c r="AT213" i="4"/>
  <c r="AT121" i="4"/>
  <c r="AT37" i="4"/>
  <c r="AT517" i="4"/>
  <c r="AT498" i="4"/>
  <c r="AT496" i="4"/>
  <c r="AT477" i="4"/>
  <c r="AT469" i="4"/>
  <c r="AT452" i="4"/>
  <c r="AT390" i="4"/>
  <c r="AT376" i="4"/>
  <c r="AT356" i="4"/>
  <c r="AT325" i="4"/>
  <c r="AT319" i="4"/>
  <c r="AT271" i="4"/>
  <c r="AT269" i="4"/>
  <c r="AT267" i="4"/>
  <c r="AT505" i="4"/>
  <c r="AT240" i="4"/>
  <c r="AT236" i="4"/>
  <c r="AT221" i="4"/>
  <c r="AT149" i="4"/>
  <c r="AT147" i="4"/>
  <c r="AT119" i="4"/>
  <c r="AT115" i="4"/>
  <c r="AT95" i="4"/>
  <c r="AT400" i="4"/>
  <c r="AT91" i="4"/>
  <c r="AT61" i="4"/>
  <c r="AT238" i="4"/>
  <c r="AT233" i="4"/>
  <c r="AT203" i="4"/>
  <c r="AT111" i="4"/>
  <c r="AT81" i="4"/>
  <c r="AT35" i="4"/>
  <c r="AT433" i="4"/>
  <c r="AT331" i="4"/>
  <c r="AT303" i="4"/>
  <c r="AT259" i="4"/>
  <c r="AT229" i="4"/>
  <c r="AT99" i="4"/>
  <c r="AT85" i="4"/>
  <c r="AT441" i="4"/>
  <c r="AT362" i="4"/>
  <c r="AT329" i="4"/>
  <c r="AT201" i="4"/>
  <c r="AT103" i="4"/>
  <c r="AT97" i="4"/>
  <c r="AT93" i="4"/>
  <c r="AT277" i="4"/>
  <c r="AT207" i="4"/>
  <c r="AT145" i="4"/>
  <c r="AT137" i="4"/>
  <c r="AT107" i="4"/>
  <c r="AT410" i="4"/>
  <c r="AT90" i="4"/>
  <c r="AT244" i="4"/>
  <c r="AT348" i="4"/>
  <c r="AT123" i="4"/>
  <c r="AT17" i="4"/>
  <c r="AT143" i="4"/>
  <c r="AT215" i="4"/>
  <c r="AT102" i="4"/>
  <c r="AT242" i="4"/>
  <c r="AT275" i="4"/>
  <c r="AT106" i="4"/>
  <c r="AT141" i="4"/>
  <c r="AT150" i="4"/>
  <c r="AT223" i="4"/>
  <c r="AT239" i="4"/>
  <c r="AT270" i="4"/>
  <c r="AT506" i="4"/>
  <c r="AT210" i="4"/>
  <c r="AT212" i="4"/>
  <c r="AT248" i="4"/>
  <c r="AT337" i="4"/>
  <c r="AT352" i="4"/>
  <c r="AT429" i="4"/>
  <c r="AT521" i="4"/>
  <c r="AT529" i="4"/>
  <c r="AT74" i="4"/>
  <c r="AT245" i="4"/>
  <c r="AT365" i="4"/>
  <c r="AT440" i="4"/>
  <c r="AT467" i="4"/>
  <c r="AT202" i="4"/>
  <c r="AT94" i="4"/>
  <c r="AT142" i="4"/>
  <c r="AT333" i="4"/>
  <c r="AT139" i="4"/>
  <c r="AT225" i="4"/>
  <c r="AT79" i="4"/>
  <c r="AT226" i="4"/>
  <c r="AT76" i="4"/>
  <c r="AT92" i="4"/>
  <c r="AT211" i="4"/>
  <c r="AT276" i="4"/>
  <c r="AT321" i="4"/>
  <c r="AT323" i="4"/>
  <c r="AT354" i="4"/>
  <c r="AT377" i="4"/>
  <c r="AT219" i="4"/>
  <c r="AT396" i="4"/>
  <c r="AT421" i="4"/>
  <c r="AT355" i="4"/>
  <c r="AT419" i="4"/>
  <c r="AT514" i="4"/>
  <c r="AT351" i="4"/>
  <c r="AT82" i="4"/>
  <c r="AT122" i="4"/>
  <c r="AT204" i="4"/>
  <c r="AT274" i="4"/>
  <c r="AT314" i="4"/>
  <c r="AT326" i="4"/>
  <c r="AT334" i="4"/>
  <c r="AT75" i="4"/>
  <c r="AT364" i="4"/>
  <c r="AT135" i="4"/>
  <c r="AT124" i="4"/>
  <c r="AT118" i="4"/>
  <c r="AT246" i="4"/>
  <c r="AT89" i="4"/>
  <c r="AT209" i="4"/>
  <c r="AT285" i="4"/>
  <c r="AT113" i="4"/>
  <c r="AT138" i="4"/>
  <c r="AT327" i="4"/>
  <c r="AT412" i="4"/>
  <c r="AT98" i="4"/>
  <c r="AT100" i="4"/>
  <c r="AT110" i="4"/>
  <c r="AT146" i="4"/>
  <c r="AT148" i="4"/>
  <c r="AT234" i="4"/>
  <c r="AT237" i="4"/>
  <c r="AT268" i="4"/>
  <c r="AT300" i="4"/>
  <c r="AT311" i="4"/>
  <c r="AT317" i="4"/>
  <c r="AT361" i="4"/>
  <c r="AT388" i="4"/>
  <c r="AT205" i="4"/>
  <c r="AT214" i="4"/>
  <c r="AT243" i="4"/>
  <c r="AT494" i="4"/>
  <c r="AT525" i="4"/>
  <c r="AT534" i="4"/>
  <c r="AT367" i="4"/>
  <c r="AT116" i="4"/>
  <c r="AT249" i="4"/>
  <c r="AT105" i="4"/>
  <c r="AT206" i="4"/>
  <c r="AT258" i="4"/>
  <c r="AT447" i="4"/>
  <c r="AT350" i="4"/>
  <c r="AT439" i="4"/>
  <c r="AT87" i="4"/>
  <c r="AT251" i="4"/>
  <c r="AT402" i="4"/>
  <c r="AT306" i="4"/>
  <c r="AT126" i="4"/>
  <c r="AT218" i="4"/>
  <c r="AT353" i="4"/>
  <c r="AT432" i="4"/>
  <c r="AT475" i="4"/>
  <c r="AT48" i="4"/>
  <c r="AT120" i="4"/>
  <c r="AT216" i="4"/>
  <c r="AT96" i="4"/>
  <c r="AT330" i="4"/>
  <c r="AT312" i="4"/>
  <c r="AT324" i="4"/>
  <c r="AT391" i="4"/>
  <c r="AT436" i="4"/>
  <c r="AT471" i="4"/>
  <c r="AT479" i="4"/>
  <c r="AT511" i="4"/>
  <c r="AT472" i="4"/>
  <c r="AT397" i="4"/>
  <c r="AT490" i="4"/>
  <c r="AT446" i="4"/>
  <c r="AT493" i="4"/>
  <c r="AT513" i="4"/>
  <c r="AT453" i="4"/>
  <c r="AT504" i="4"/>
  <c r="AT522" i="4"/>
  <c r="AT526" i="4"/>
  <c r="AT530" i="4"/>
  <c r="AT535" i="4"/>
  <c r="AT539" i="4"/>
  <c r="AT543" i="4"/>
  <c r="AT345" i="4"/>
  <c r="AT228" i="4"/>
  <c r="AT474" i="4"/>
  <c r="AT366" i="4"/>
  <c r="AT519" i="4"/>
  <c r="AT404" i="4"/>
  <c r="AT523" i="4"/>
  <c r="AT140" i="4"/>
  <c r="AT222" i="4"/>
  <c r="AT363" i="4"/>
  <c r="AT104" i="4"/>
  <c r="AT241" i="4"/>
  <c r="AT136" i="4"/>
  <c r="AT200" i="4"/>
  <c r="AT322" i="4"/>
  <c r="AT320" i="4"/>
  <c r="AT336" i="4"/>
  <c r="AT318" i="4"/>
  <c r="AT393" i="4"/>
  <c r="AT437" i="4"/>
  <c r="AT480" i="4"/>
  <c r="AT389" i="4"/>
  <c r="AT438" i="4"/>
  <c r="AT486" i="4"/>
  <c r="AT332" i="4"/>
  <c r="AT379" i="4"/>
  <c r="AT473" i="4"/>
  <c r="AT491" i="4"/>
  <c r="AT512" i="4"/>
  <c r="AT500" i="4"/>
  <c r="AT443" i="4"/>
  <c r="AT470" i="4"/>
  <c r="AT520" i="4"/>
  <c r="AT524" i="4"/>
  <c r="AT528" i="4"/>
  <c r="AT533" i="4"/>
  <c r="AT537" i="4"/>
  <c r="AT541" i="4"/>
  <c r="AT545" i="4"/>
  <c r="AT108" i="4"/>
  <c r="AT515" i="4"/>
  <c r="AT144" i="4"/>
  <c r="AT208" i="4"/>
  <c r="AT54" i="4"/>
  <c r="AT232" i="4"/>
  <c r="AT338" i="4"/>
  <c r="AT409" i="4"/>
  <c r="AT411" i="4"/>
  <c r="AT413" i="4"/>
  <c r="AT415" i="4"/>
  <c r="AT417" i="4"/>
  <c r="AT420" i="4"/>
  <c r="AT422" i="4"/>
  <c r="AT424" i="4"/>
  <c r="AT426" i="4"/>
  <c r="AT428" i="4"/>
  <c r="AT430" i="4"/>
  <c r="AT427" i="4"/>
  <c r="AT230" i="4"/>
  <c r="AT527" i="4"/>
  <c r="AT532" i="4"/>
  <c r="AT86" i="4"/>
  <c r="AT278" i="4"/>
  <c r="AT448" i="4"/>
  <c r="AT88" i="4"/>
  <c r="AT280" i="4"/>
  <c r="AT12" i="4"/>
  <c r="AT224" i="4"/>
  <c r="AT10" i="4"/>
  <c r="AT36" i="4"/>
  <c r="AT250" i="4"/>
  <c r="AT349" i="4"/>
  <c r="AT445" i="4"/>
  <c r="AT395" i="4"/>
  <c r="AT114" i="4"/>
  <c r="AT431" i="4"/>
  <c r="AT536" i="4"/>
  <c r="AT84" i="4"/>
  <c r="AT16" i="4"/>
  <c r="AT112" i="4"/>
  <c r="AT272" i="4"/>
  <c r="AT316" i="4"/>
  <c r="AT328" i="4"/>
  <c r="AT310" i="4"/>
  <c r="AT455" i="4"/>
  <c r="AT401" i="4"/>
  <c r="AT403" i="4"/>
  <c r="AT405" i="4"/>
  <c r="AT451" i="4"/>
  <c r="AT44" i="4"/>
  <c r="AT286" i="4"/>
  <c r="AT387" i="4"/>
  <c r="AT28" i="4"/>
  <c r="AT129" i="4"/>
  <c r="AT58" i="4"/>
  <c r="AT399" i="4"/>
  <c r="AT59" i="4"/>
  <c r="AT383" i="4"/>
  <c r="AT283" i="4"/>
  <c r="AT20" i="4"/>
  <c r="AT408" i="4"/>
  <c r="AT295" i="4"/>
  <c r="AT80" i="4"/>
  <c r="AT43" i="4"/>
  <c r="AT33" i="4"/>
  <c r="AT380" i="4"/>
  <c r="AT34" i="4"/>
  <c r="AT309" i="4"/>
  <c r="AT13" i="4"/>
  <c r="AT52" i="4"/>
  <c r="AT63" i="4"/>
  <c r="AT131" i="4"/>
  <c r="AT398" i="4"/>
  <c r="AT261" i="4"/>
  <c r="AT72" i="4"/>
  <c r="AT127" i="4"/>
  <c r="AT45" i="4"/>
  <c r="AT385" i="4"/>
  <c r="AT83" i="4"/>
  <c r="AT381" i="4"/>
  <c r="AT23" i="4"/>
  <c r="AT125" i="4"/>
  <c r="AT71" i="4"/>
  <c r="AT346" i="4"/>
  <c r="AT25" i="4"/>
  <c r="AT26" i="4"/>
  <c r="AT14" i="4"/>
  <c r="AT382" i="4"/>
  <c r="AT19" i="4"/>
  <c r="AT39" i="4"/>
  <c r="AT299" i="4"/>
  <c r="AT49" i="4"/>
  <c r="AT27" i="4"/>
  <c r="AT407" i="4"/>
  <c r="AT384" i="4"/>
  <c r="AT62" i="4"/>
  <c r="AT265" i="4"/>
  <c r="AT373" i="4"/>
  <c r="AT64" i="4"/>
  <c r="AT78" i="4"/>
  <c r="AT32" i="4"/>
  <c r="AT30" i="4"/>
  <c r="AT358" i="4"/>
  <c r="AT77" i="4"/>
  <c r="AT279" i="4"/>
  <c r="AT67" i="4"/>
  <c r="AT38" i="4"/>
  <c r="AT73" i="4"/>
  <c r="AT21" i="4"/>
  <c r="AT42" i="4"/>
  <c r="AT11" i="4"/>
  <c r="AT298" i="4"/>
  <c r="AT357" i="4"/>
  <c r="AT15" i="4"/>
  <c r="AT282" i="4"/>
  <c r="AT9" i="4"/>
  <c r="AT132" i="4"/>
  <c r="AT343" i="4"/>
  <c r="AT288" i="4"/>
  <c r="AT60" i="4"/>
  <c r="AT307" i="4"/>
  <c r="AT220" i="4"/>
  <c r="AT40" i="4"/>
  <c r="AT293" i="4"/>
  <c r="AT340" i="4"/>
  <c r="AT294" i="4"/>
  <c r="AT341" i="4"/>
  <c r="AT308" i="4"/>
  <c r="AT297" i="4"/>
  <c r="AT51" i="4"/>
  <c r="AT109" i="4"/>
  <c r="AT57" i="4"/>
  <c r="AT22" i="4"/>
  <c r="AT55" i="4"/>
  <c r="AT117" i="4"/>
  <c r="AT289" i="4"/>
  <c r="AT24" i="4"/>
  <c r="AT478" i="4"/>
  <c r="AT302" i="4"/>
  <c r="AT290" i="4"/>
  <c r="AT134" i="4"/>
  <c r="AT262" i="4"/>
  <c r="AT347" i="4"/>
  <c r="AT31" i="4"/>
  <c r="AT260" i="4"/>
  <c r="AT68" i="4"/>
  <c r="AT301" i="4"/>
  <c r="AT375" i="4"/>
  <c r="AT360" i="4"/>
  <c r="AT284" i="4"/>
  <c r="AT482" i="4"/>
  <c r="AT342" i="4"/>
  <c r="AT53" i="4"/>
  <c r="AT133" i="4"/>
  <c r="AT264" i="4"/>
  <c r="AT65" i="4"/>
  <c r="AT372" i="4"/>
  <c r="AT66" i="4"/>
  <c r="AT70" i="4"/>
  <c r="AT46" i="4"/>
  <c r="AT266" i="4"/>
  <c r="AT130" i="4"/>
  <c r="AT101" i="4"/>
  <c r="AT292" i="4"/>
  <c r="AT305" i="4"/>
  <c r="AQ301" i="4"/>
  <c r="AQ24" i="4"/>
  <c r="AQ373" i="4"/>
  <c r="AQ299" i="4"/>
  <c r="AQ33" i="4"/>
  <c r="AQ220" i="4"/>
  <c r="AQ72" i="4"/>
  <c r="AQ282" i="4"/>
  <c r="AQ15" i="4"/>
  <c r="AQ132" i="4"/>
  <c r="AQ381" i="4"/>
  <c r="AQ375" i="4"/>
  <c r="AQ305" i="4"/>
  <c r="AQ60" i="4"/>
  <c r="AQ23" i="4"/>
  <c r="AQ13" i="4"/>
  <c r="AQ125" i="4"/>
  <c r="AQ55" i="4"/>
  <c r="AQ45" i="4"/>
  <c r="AQ129" i="4"/>
  <c r="AQ372" i="4"/>
  <c r="AQ293" i="4"/>
  <c r="AQ266" i="4"/>
  <c r="AQ64" i="4"/>
  <c r="AQ57" i="4"/>
  <c r="AQ43" i="4"/>
  <c r="P1274" i="13"/>
  <c r="F1271" i="13" s="1"/>
  <c r="R1275" i="13"/>
  <c r="G1271" i="13" s="1"/>
  <c r="P1293" i="13"/>
  <c r="R1293" i="13"/>
  <c r="P1291" i="13"/>
  <c r="R1291" i="13"/>
  <c r="EJ36" i="17418"/>
  <c r="KJ36" i="17418" s="1"/>
  <c r="GG36" i="17418"/>
  <c r="CM36" i="17418"/>
  <c r="IM36" i="17418" s="1"/>
  <c r="EJ24" i="17418"/>
  <c r="CM24" i="17418"/>
  <c r="GG24" i="17418"/>
  <c r="ID24" i="17418"/>
  <c r="KA24" i="17418"/>
  <c r="ID25" i="17418"/>
  <c r="EJ25" i="17418"/>
  <c r="KA25" i="17418"/>
  <c r="GG25" i="17418"/>
  <c r="CM25" i="17418"/>
  <c r="ID26" i="17418"/>
  <c r="EJ26" i="17418"/>
  <c r="CM26" i="17418"/>
  <c r="KA26" i="17418"/>
  <c r="GG26" i="17418"/>
  <c r="CM37" i="17418"/>
  <c r="IM37" i="17418" s="1"/>
  <c r="EJ37" i="17418"/>
  <c r="KJ37" i="17418" s="1"/>
  <c r="GG37" i="17418"/>
  <c r="ID23" i="17418"/>
  <c r="EJ23" i="17418"/>
  <c r="CM23" i="17418"/>
  <c r="GG23" i="17418"/>
  <c r="KA23" i="17418"/>
  <c r="EJ27" i="17418"/>
  <c r="CM27" i="17418"/>
  <c r="IM27" i="17418" s="1"/>
  <c r="GG27" i="17418"/>
  <c r="KA27" i="17418"/>
  <c r="AG262" i="17418"/>
  <c r="AG289" i="17418"/>
  <c r="AG281" i="17418"/>
  <c r="AG267" i="17418"/>
  <c r="AG253" i="17418"/>
  <c r="AG270" i="17418"/>
  <c r="AG246" i="17418"/>
  <c r="AG245" i="17418"/>
  <c r="AH27" i="17418"/>
  <c r="AH26" i="17418"/>
  <c r="AH25" i="17418"/>
  <c r="AH24" i="17418"/>
  <c r="AH23" i="17418"/>
  <c r="X57" i="17419"/>
  <c r="P494" i="13"/>
  <c r="R494" i="13"/>
  <c r="P552" i="13"/>
  <c r="R552" i="13"/>
  <c r="R549" i="13"/>
  <c r="P549" i="13"/>
  <c r="P899" i="13"/>
  <c r="R899" i="13"/>
  <c r="AR7" i="4"/>
  <c r="P466" i="13"/>
  <c r="R466" i="13"/>
  <c r="R532" i="13"/>
  <c r="P532" i="13"/>
  <c r="AQ7" i="4"/>
  <c r="R523" i="13"/>
  <c r="P523" i="13"/>
  <c r="P482" i="13"/>
  <c r="R482" i="13"/>
  <c r="P519" i="13"/>
  <c r="R519" i="13"/>
  <c r="R883" i="13"/>
  <c r="P883" i="13"/>
  <c r="R777" i="13"/>
  <c r="P777" i="13"/>
  <c r="P497" i="13"/>
  <c r="R497" i="13"/>
  <c r="P600" i="13"/>
  <c r="R600" i="13"/>
  <c r="R1180" i="13"/>
  <c r="P1180" i="13"/>
  <c r="P610" i="13"/>
  <c r="R610" i="13"/>
  <c r="P618" i="13"/>
  <c r="R618" i="13"/>
  <c r="R476" i="13"/>
  <c r="P476" i="13"/>
  <c r="R591" i="13"/>
  <c r="P591" i="13"/>
  <c r="P1064" i="13"/>
  <c r="R1064" i="13"/>
  <c r="R693" i="13"/>
  <c r="P693" i="13"/>
  <c r="P776" i="13"/>
  <c r="R776" i="13"/>
  <c r="P1267" i="13"/>
  <c r="R1267" i="13"/>
  <c r="P1177" i="13"/>
  <c r="R1177" i="13"/>
  <c r="G1177" i="13" s="1"/>
  <c r="P7" i="4"/>
  <c r="R7" i="4"/>
  <c r="R592" i="13"/>
  <c r="P592" i="13"/>
  <c r="P639" i="13"/>
  <c r="R639" i="13"/>
  <c r="R599" i="13"/>
  <c r="P599" i="13"/>
  <c r="R1065" i="13"/>
  <c r="P1065" i="13"/>
  <c r="P468" i="13"/>
  <c r="R468" i="13"/>
  <c r="R483" i="13"/>
  <c r="P483" i="13"/>
  <c r="R518" i="13"/>
  <c r="P518" i="13"/>
  <c r="R471" i="13"/>
  <c r="P471" i="13"/>
  <c r="P470" i="13"/>
  <c r="R470" i="13"/>
  <c r="P1096" i="13"/>
  <c r="R1096" i="13"/>
  <c r="G1096" i="13" s="1"/>
  <c r="R467" i="13"/>
  <c r="P467" i="13"/>
  <c r="P668" i="13"/>
  <c r="R668" i="13"/>
  <c r="P1213" i="13"/>
  <c r="R1213" i="13"/>
  <c r="R902" i="13"/>
  <c r="P902" i="13"/>
  <c r="R881" i="13"/>
  <c r="P881" i="13"/>
  <c r="P707" i="13"/>
  <c r="R707" i="13"/>
  <c r="AU7" i="4"/>
  <c r="R490" i="13"/>
  <c r="P490" i="13"/>
  <c r="R489" i="13"/>
  <c r="P489" i="13"/>
  <c r="P510" i="13"/>
  <c r="R510" i="13"/>
  <c r="R562" i="13"/>
  <c r="P562" i="13"/>
  <c r="P544" i="13"/>
  <c r="R544" i="13"/>
  <c r="P1212" i="13"/>
  <c r="R1212" i="13"/>
  <c r="P499" i="13"/>
  <c r="R499" i="13"/>
  <c r="P1074" i="13"/>
  <c r="R1074" i="13"/>
  <c r="R695" i="13"/>
  <c r="P695" i="13"/>
  <c r="R593" i="13"/>
  <c r="P593" i="13"/>
  <c r="R647" i="13"/>
  <c r="P647" i="13"/>
  <c r="P513" i="13"/>
  <c r="R513" i="13"/>
  <c r="P601" i="13"/>
  <c r="R601" i="13"/>
  <c r="R1072" i="13"/>
  <c r="P1072" i="13"/>
  <c r="P612" i="13"/>
  <c r="R612" i="13"/>
  <c r="R604" i="13"/>
  <c r="P604" i="13"/>
  <c r="R708" i="13"/>
  <c r="P708" i="13"/>
  <c r="R543" i="13"/>
  <c r="P543" i="13"/>
  <c r="H1648" i="1"/>
  <c r="L358" i="13"/>
  <c r="L132" i="13"/>
  <c r="L94" i="13"/>
  <c r="L357" i="13"/>
  <c r="L267" i="13"/>
  <c r="L108" i="13"/>
  <c r="L17" i="13"/>
  <c r="L151" i="13"/>
  <c r="L107" i="13"/>
  <c r="L150" i="13"/>
  <c r="L451" i="13"/>
  <c r="L18" i="13"/>
  <c r="L95" i="13"/>
  <c r="L266" i="13"/>
  <c r="L133" i="13"/>
  <c r="R474" i="13"/>
  <c r="P474" i="13"/>
  <c r="R1183" i="13"/>
  <c r="P1183" i="13"/>
  <c r="R524" i="13"/>
  <c r="P524" i="13"/>
  <c r="R529" i="13"/>
  <c r="P529" i="13"/>
  <c r="R605" i="13"/>
  <c r="P605" i="13"/>
  <c r="R694" i="13"/>
  <c r="P694" i="13"/>
  <c r="P1179" i="13"/>
  <c r="R1179" i="13"/>
  <c r="R516" i="13"/>
  <c r="P516" i="13"/>
  <c r="R530" i="13"/>
  <c r="P530" i="13"/>
  <c r="R479" i="13"/>
  <c r="P479" i="13"/>
  <c r="P500" i="13"/>
  <c r="R500" i="13"/>
  <c r="P514" i="13"/>
  <c r="R514" i="13"/>
  <c r="G24" i="1"/>
  <c r="R701" i="13"/>
  <c r="P701" i="13"/>
  <c r="R666" i="13"/>
  <c r="P666" i="13"/>
  <c r="R492" i="13"/>
  <c r="P492" i="13"/>
  <c r="R496" i="13"/>
  <c r="P496" i="13"/>
  <c r="R864" i="13"/>
  <c r="P864" i="13"/>
  <c r="P775" i="13"/>
  <c r="R775" i="13"/>
  <c r="P1210" i="13"/>
  <c r="R1210" i="13"/>
  <c r="P542" i="13"/>
  <c r="R542" i="13"/>
  <c r="AT7" i="4"/>
  <c r="P473" i="13"/>
  <c r="R473" i="13"/>
  <c r="G176" i="13"/>
  <c r="G175" i="13"/>
  <c r="G174" i="13"/>
  <c r="G178" i="13"/>
  <c r="G177" i="13"/>
  <c r="M152" i="4"/>
  <c r="O151" i="4"/>
  <c r="P863" i="13"/>
  <c r="R863" i="13"/>
  <c r="P901" i="13"/>
  <c r="R901" i="13"/>
  <c r="R498" i="13"/>
  <c r="P498" i="13"/>
  <c r="R251" i="13"/>
  <c r="P251" i="13"/>
  <c r="R622" i="13"/>
  <c r="P622" i="13"/>
  <c r="R606" i="13"/>
  <c r="P606" i="13"/>
  <c r="R503" i="13"/>
  <c r="P503" i="13"/>
  <c r="P1095" i="13"/>
  <c r="R1095" i="13"/>
  <c r="G1095" i="13" s="1"/>
  <c r="P1070" i="13"/>
  <c r="R1070" i="13"/>
  <c r="P636" i="13"/>
  <c r="R636" i="13"/>
  <c r="P1178" i="13"/>
  <c r="R1178" i="13"/>
  <c r="P620" i="13"/>
  <c r="R620" i="13"/>
  <c r="P598" i="13"/>
  <c r="R598" i="13"/>
  <c r="R1269" i="13"/>
  <c r="P1269" i="13"/>
  <c r="R900" i="13"/>
  <c r="P900" i="13"/>
  <c r="P1211" i="13"/>
  <c r="R1211" i="13"/>
  <c r="R735" i="13"/>
  <c r="P735" i="13"/>
  <c r="P1193" i="13"/>
  <c r="R1193" i="13"/>
  <c r="R1188" i="13"/>
  <c r="P1188" i="13"/>
  <c r="P512" i="13"/>
  <c r="R512" i="13"/>
  <c r="P517" i="13"/>
  <c r="R517" i="13"/>
  <c r="R486" i="13"/>
  <c r="P486" i="13"/>
  <c r="R613" i="13"/>
  <c r="P613" i="13"/>
  <c r="P1270" i="13"/>
  <c r="R1270" i="13"/>
  <c r="P485" i="13"/>
  <c r="R485" i="13"/>
  <c r="R501" i="13"/>
  <c r="P501" i="13"/>
  <c r="R477" i="13"/>
  <c r="P477" i="13"/>
  <c r="G24" i="17413"/>
  <c r="F24" i="17413" s="1"/>
  <c r="R472" i="13"/>
  <c r="P472" i="13"/>
  <c r="P814" i="13"/>
  <c r="R814" i="13"/>
  <c r="R521" i="13"/>
  <c r="P521" i="13"/>
  <c r="P495" i="13"/>
  <c r="R495" i="13"/>
  <c r="P515" i="13"/>
  <c r="R515" i="13"/>
  <c r="R699" i="13"/>
  <c r="P699" i="13"/>
  <c r="F1819" i="1"/>
  <c r="L368" i="4" s="1"/>
  <c r="F1093" i="13"/>
  <c r="X1093" i="13"/>
  <c r="AV368" i="4" s="1"/>
  <c r="R545" i="13"/>
  <c r="P545" i="13"/>
  <c r="P884" i="13"/>
  <c r="R884" i="13"/>
  <c r="R1094" i="13"/>
  <c r="G1094" i="13" s="1"/>
  <c r="P1094" i="13"/>
  <c r="P734" i="13"/>
  <c r="R734" i="13"/>
  <c r="R861" i="13"/>
  <c r="P861" i="13"/>
  <c r="R446" i="6"/>
  <c r="P446" i="6"/>
  <c r="U446" i="6" s="1"/>
  <c r="AS7" i="4"/>
  <c r="R493" i="13"/>
  <c r="P493" i="13"/>
  <c r="F176" i="13"/>
  <c r="F174" i="13"/>
  <c r="F1670" i="1" s="1"/>
  <c r="L34" i="4" s="1"/>
  <c r="S176" i="13"/>
  <c r="S175" i="13"/>
  <c r="S174" i="13"/>
  <c r="AQ34" i="4" s="1"/>
  <c r="F175" i="13"/>
  <c r="S177" i="13"/>
  <c r="F178" i="13"/>
  <c r="S178" i="13"/>
  <c r="F177" i="13"/>
  <c r="P522" i="13"/>
  <c r="R522" i="13"/>
  <c r="R481" i="13"/>
  <c r="P481" i="13"/>
  <c r="P531" i="13"/>
  <c r="R531" i="13"/>
  <c r="R551" i="13"/>
  <c r="P551" i="13"/>
  <c r="R1139" i="13"/>
  <c r="P1139" i="13"/>
  <c r="P1066" i="13"/>
  <c r="R1066" i="13"/>
  <c r="P614" i="13"/>
  <c r="R614" i="13"/>
  <c r="P640" i="13"/>
  <c r="R640" i="13"/>
  <c r="P511" i="13"/>
  <c r="R511" i="13"/>
  <c r="P487" i="13"/>
  <c r="R487" i="13"/>
  <c r="R696" i="13"/>
  <c r="G696" i="13" s="1"/>
  <c r="P696" i="13"/>
  <c r="P597" i="13"/>
  <c r="R597" i="13"/>
  <c r="P525" i="13"/>
  <c r="R525" i="13"/>
  <c r="R475" i="13"/>
  <c r="P475" i="13"/>
  <c r="P1124" i="13"/>
  <c r="R1124" i="13"/>
  <c r="R249" i="13"/>
  <c r="P249" i="13"/>
  <c r="P638" i="13"/>
  <c r="R638" i="13"/>
  <c r="P882" i="13"/>
  <c r="R882" i="13"/>
  <c r="R862" i="13"/>
  <c r="P862" i="13"/>
  <c r="R550" i="13"/>
  <c r="P550" i="13"/>
  <c r="P502" i="13"/>
  <c r="R502" i="13"/>
  <c r="R469" i="13"/>
  <c r="P469" i="13"/>
  <c r="P488" i="13"/>
  <c r="R488" i="13"/>
  <c r="R621" i="13"/>
  <c r="P621" i="13"/>
  <c r="P1125" i="13"/>
  <c r="R1125" i="13"/>
  <c r="R250" i="13"/>
  <c r="P250" i="13"/>
  <c r="R1073" i="13"/>
  <c r="P1073" i="13"/>
  <c r="R528" i="13"/>
  <c r="P528" i="13"/>
  <c r="R480" i="13"/>
  <c r="P480" i="13"/>
  <c r="R509" i="13"/>
  <c r="P509" i="13"/>
  <c r="R478" i="13"/>
  <c r="P478" i="13"/>
  <c r="P527" i="13"/>
  <c r="R527" i="13"/>
  <c r="R484" i="13"/>
  <c r="P484" i="13"/>
  <c r="R526" i="13"/>
  <c r="P526" i="13"/>
  <c r="P533" i="13"/>
  <c r="R533" i="13"/>
  <c r="P653" i="13"/>
  <c r="R653" i="13"/>
  <c r="AG288" i="17418"/>
  <c r="AG278" i="17418"/>
  <c r="AG286" i="17418"/>
  <c r="AG248" i="17418"/>
  <c r="AG285" i="17418"/>
  <c r="AG282" i="17418"/>
  <c r="AG254" i="17418"/>
  <c r="AG279" i="17418"/>
  <c r="AG244" i="17418"/>
  <c r="AG255" i="17418"/>
  <c r="AG250" i="17418"/>
  <c r="AG269" i="17418"/>
  <c r="AG280" i="17418"/>
  <c r="AG272" i="17418"/>
  <c r="AG252" i="17418"/>
  <c r="AG264" i="17418"/>
  <c r="AG241" i="17418"/>
  <c r="AG261" i="17418"/>
  <c r="AG273" i="17418"/>
  <c r="AG276" i="17418"/>
  <c r="AG257" i="17418"/>
  <c r="AG247" i="17418"/>
  <c r="AG284" i="17418"/>
  <c r="AG275" i="17418"/>
  <c r="AG274" i="17418"/>
  <c r="AG260" i="17418"/>
  <c r="AG240" i="17418"/>
  <c r="AG243" i="17418"/>
  <c r="AG238" i="17418"/>
  <c r="AG268" i="17418"/>
  <c r="AG287" i="17418"/>
  <c r="AG277" i="17418"/>
  <c r="AG258" i="17418"/>
  <c r="AG242" i="17418"/>
  <c r="AG249" i="17418"/>
  <c r="AH58" i="17418"/>
  <c r="AH60" i="17418"/>
  <c r="AH56" i="17418"/>
  <c r="AH53" i="17418"/>
  <c r="AH49" i="17418"/>
  <c r="AH59" i="17418"/>
  <c r="AH52" i="17418"/>
  <c r="AH45" i="17418"/>
  <c r="AH47" i="17418"/>
  <c r="AH44" i="17418"/>
  <c r="AH39" i="17418"/>
  <c r="AH35" i="17418"/>
  <c r="Y9" i="17419"/>
  <c r="AH55" i="17418"/>
  <c r="AH50" i="17418"/>
  <c r="AH36" i="17418"/>
  <c r="AH33" i="17418"/>
  <c r="AH29" i="17418"/>
  <c r="AH54" i="17418"/>
  <c r="AH51" i="17418"/>
  <c r="AH42" i="17418"/>
  <c r="AH40" i="17418"/>
  <c r="AH34" i="17418"/>
  <c r="AH46" i="17418"/>
  <c r="AH38" i="17418"/>
  <c r="Y42" i="17419"/>
  <c r="Y63" i="17419" s="1"/>
  <c r="AH41" i="17418"/>
  <c r="AH31" i="17418"/>
  <c r="AH43" i="17418"/>
  <c r="AH37" i="17418"/>
  <c r="AH30" i="17418"/>
  <c r="AH48" i="17418"/>
  <c r="AI7" i="17418"/>
  <c r="AH57" i="17418"/>
  <c r="AH15" i="17418"/>
  <c r="AH18" i="17418"/>
  <c r="AH20" i="17418"/>
  <c r="AH16" i="17418"/>
  <c r="W29" i="17422" s="1"/>
  <c r="AH32" i="17418"/>
  <c r="AH17" i="17418"/>
  <c r="W32" i="17422" s="1"/>
  <c r="AH19" i="17418"/>
  <c r="AG283" i="17418"/>
  <c r="G1334" i="13" l="1"/>
  <c r="G1493" i="13"/>
  <c r="U1493" i="13"/>
  <c r="F1493" i="13"/>
  <c r="F1012" i="4"/>
  <c r="X1012" i="4"/>
  <c r="G597" i="4"/>
  <c r="G598" i="4"/>
  <c r="F598" i="4"/>
  <c r="F597" i="4"/>
  <c r="X597" i="4"/>
  <c r="X598" i="4"/>
  <c r="F1013" i="4"/>
  <c r="U1009" i="4"/>
  <c r="U1005" i="4"/>
  <c r="U1007" i="4"/>
  <c r="U1004" i="4"/>
  <c r="U1006" i="4"/>
  <c r="U1003" i="4"/>
  <c r="U1008" i="4"/>
  <c r="AS1009" i="4"/>
  <c r="X1013" i="4"/>
  <c r="G1013" i="4"/>
  <c r="X1011" i="4"/>
  <c r="F1011" i="4"/>
  <c r="G1010" i="4"/>
  <c r="X1010" i="4"/>
  <c r="F1010" i="4"/>
  <c r="W35" i="17422"/>
  <c r="W38" i="17422"/>
  <c r="BT14" i="17418"/>
  <c r="BS14" i="17418"/>
  <c r="BP14" i="17418"/>
  <c r="BQ14" i="17418"/>
  <c r="G974" i="4"/>
  <c r="F974" i="4"/>
  <c r="X974" i="4"/>
  <c r="X558" i="4"/>
  <c r="X562" i="4"/>
  <c r="X563" i="4"/>
  <c r="X561" i="4"/>
  <c r="X555" i="4"/>
  <c r="X553" i="4"/>
  <c r="X559" i="4"/>
  <c r="X556" i="4"/>
  <c r="X557" i="4"/>
  <c r="X560" i="4"/>
  <c r="X554" i="4"/>
  <c r="H1917" i="1"/>
  <c r="G489" i="4"/>
  <c r="G488" i="4"/>
  <c r="G1005" i="4"/>
  <c r="G1004" i="4"/>
  <c r="X1004" i="4"/>
  <c r="X1005" i="4"/>
  <c r="F1004" i="4"/>
  <c r="F1005" i="4"/>
  <c r="AR1028" i="4"/>
  <c r="AT1028" i="4"/>
  <c r="AU1028" i="4"/>
  <c r="F1009" i="4"/>
  <c r="X1009" i="4"/>
  <c r="AS1028" i="4"/>
  <c r="U1492" i="13"/>
  <c r="U1496" i="13"/>
  <c r="U1491" i="13"/>
  <c r="U1495" i="13"/>
  <c r="U1494" i="13"/>
  <c r="G1499" i="13"/>
  <c r="G1498" i="13"/>
  <c r="G1497" i="13"/>
  <c r="X1499" i="13"/>
  <c r="X1497" i="13"/>
  <c r="X1498" i="13"/>
  <c r="F1499" i="13"/>
  <c r="F1934" i="1"/>
  <c r="F1497" i="13"/>
  <c r="F1498" i="13"/>
  <c r="G1492" i="13"/>
  <c r="G1491" i="13"/>
  <c r="G1496" i="13"/>
  <c r="G1494" i="13"/>
  <c r="G1495" i="13"/>
  <c r="X1491" i="13"/>
  <c r="X1495" i="13"/>
  <c r="X1494" i="13"/>
  <c r="X1492" i="13"/>
  <c r="X1496" i="13"/>
  <c r="F1495" i="13"/>
  <c r="F1491" i="13"/>
  <c r="F1496" i="13"/>
  <c r="F1494" i="13"/>
  <c r="F1931" i="1"/>
  <c r="H1931" i="1" s="1"/>
  <c r="F1492" i="13"/>
  <c r="L1028" i="4"/>
  <c r="H1929" i="1"/>
  <c r="X1473" i="13"/>
  <c r="F1473" i="13"/>
  <c r="G1465" i="13"/>
  <c r="G1461" i="13"/>
  <c r="G1462" i="13"/>
  <c r="G1459" i="13"/>
  <c r="G1460" i="13"/>
  <c r="G1463" i="13"/>
  <c r="G1464" i="13"/>
  <c r="X1463" i="13"/>
  <c r="X1462" i="13"/>
  <c r="X1465" i="13"/>
  <c r="X1464" i="13"/>
  <c r="X1459" i="13"/>
  <c r="AV1026" i="4" s="1"/>
  <c r="X1461" i="13"/>
  <c r="X1460" i="13"/>
  <c r="F1461" i="13"/>
  <c r="F1460" i="13"/>
  <c r="F1465" i="13"/>
  <c r="F1462" i="13"/>
  <c r="F1463" i="13"/>
  <c r="F1927" i="1"/>
  <c r="F1464" i="13"/>
  <c r="F1459" i="13"/>
  <c r="G1470" i="13"/>
  <c r="G1466" i="13"/>
  <c r="G1471" i="13"/>
  <c r="G1469" i="13"/>
  <c r="G1467" i="13"/>
  <c r="G1472" i="13"/>
  <c r="G1468" i="13"/>
  <c r="F1466" i="13"/>
  <c r="F1472" i="13"/>
  <c r="F1467" i="13"/>
  <c r="F1471" i="13"/>
  <c r="F1928" i="1"/>
  <c r="F1468" i="13"/>
  <c r="F1469" i="13"/>
  <c r="F1470" i="13"/>
  <c r="X1471" i="13"/>
  <c r="X1468" i="13"/>
  <c r="X1470" i="13"/>
  <c r="X1467" i="13"/>
  <c r="X1472" i="13"/>
  <c r="X1469" i="13"/>
  <c r="X1466" i="13"/>
  <c r="AV1027" i="4" s="1"/>
  <c r="F975" i="4"/>
  <c r="F972" i="4"/>
  <c r="F973" i="4"/>
  <c r="G972" i="4"/>
  <c r="G973" i="4"/>
  <c r="G975" i="4"/>
  <c r="X973" i="4"/>
  <c r="X975" i="4"/>
  <c r="X972" i="4"/>
  <c r="U1014" i="4"/>
  <c r="U1016" i="4"/>
  <c r="U1017" i="4"/>
  <c r="U1015" i="4"/>
  <c r="F1014" i="4"/>
  <c r="F1017" i="4"/>
  <c r="F1015" i="4"/>
  <c r="F1016" i="4"/>
  <c r="X1016" i="4"/>
  <c r="X1015" i="4"/>
  <c r="X1014" i="4"/>
  <c r="X1017" i="4"/>
  <c r="G1015" i="4"/>
  <c r="G1014" i="4"/>
  <c r="G1016" i="4"/>
  <c r="G1017" i="4"/>
  <c r="G1007" i="4"/>
  <c r="G1008" i="4"/>
  <c r="G1003" i="4"/>
  <c r="G1006" i="4"/>
  <c r="F1007" i="4"/>
  <c r="F1006" i="4"/>
  <c r="F1008" i="4"/>
  <c r="F1003" i="4"/>
  <c r="P991" i="4"/>
  <c r="R991" i="4"/>
  <c r="P1337" i="13"/>
  <c r="F1915" i="1" s="1"/>
  <c r="R1337" i="13"/>
  <c r="G863" i="4"/>
  <c r="G862" i="4"/>
  <c r="AS579" i="4"/>
  <c r="AS575" i="4"/>
  <c r="L772" i="4"/>
  <c r="R772" i="4" s="1"/>
  <c r="L575" i="4"/>
  <c r="L579" i="4"/>
  <c r="AH287" i="17418"/>
  <c r="AH285" i="17418"/>
  <c r="AH14" i="17418"/>
  <c r="W26" i="17422" s="1"/>
  <c r="AG259" i="17418"/>
  <c r="AG265" i="17418"/>
  <c r="W41" i="17422"/>
  <c r="AH251" i="17418"/>
  <c r="AH239" i="17418"/>
  <c r="AH264" i="17418"/>
  <c r="AH265" i="17418"/>
  <c r="AH271" i="17418"/>
  <c r="H24" i="1"/>
  <c r="X16" i="14"/>
  <c r="G854" i="4"/>
  <c r="G855" i="4"/>
  <c r="F859" i="4"/>
  <c r="X859" i="4"/>
  <c r="G856" i="4"/>
  <c r="G506" i="4"/>
  <c r="X867" i="4"/>
  <c r="X866" i="4"/>
  <c r="G867" i="4"/>
  <c r="G865" i="4"/>
  <c r="G866" i="4"/>
  <c r="F865" i="4"/>
  <c r="F867" i="4"/>
  <c r="F866" i="4"/>
  <c r="G857" i="4"/>
  <c r="X858" i="4"/>
  <c r="G861" i="4"/>
  <c r="G860" i="4"/>
  <c r="G858" i="4"/>
  <c r="F858" i="4"/>
  <c r="F860" i="4"/>
  <c r="F861" i="4"/>
  <c r="X861" i="4"/>
  <c r="X860" i="4"/>
  <c r="G504" i="4"/>
  <c r="G445" i="6"/>
  <c r="AI21" i="17418"/>
  <c r="G791" i="4"/>
  <c r="G793" i="4"/>
  <c r="G794" i="4"/>
  <c r="G789" i="4"/>
  <c r="G795" i="4"/>
  <c r="G792" i="4"/>
  <c r="G787" i="4"/>
  <c r="G790" i="4"/>
  <c r="G788" i="4"/>
  <c r="F795" i="4"/>
  <c r="F788" i="4"/>
  <c r="F793" i="4"/>
  <c r="F790" i="4"/>
  <c r="F794" i="4"/>
  <c r="F791" i="4"/>
  <c r="F787" i="4"/>
  <c r="F789" i="4"/>
  <c r="F792" i="4"/>
  <c r="X794" i="4"/>
  <c r="X792" i="4"/>
  <c r="X790" i="4"/>
  <c r="X791" i="4"/>
  <c r="X788" i="4"/>
  <c r="X793" i="4"/>
  <c r="X787" i="4"/>
  <c r="X789" i="4"/>
  <c r="X795" i="4"/>
  <c r="F786" i="4"/>
  <c r="X786" i="4"/>
  <c r="X380" i="4"/>
  <c r="AS772" i="4"/>
  <c r="F482" i="4"/>
  <c r="L750" i="4"/>
  <c r="P750" i="4" s="1"/>
  <c r="L738" i="4"/>
  <c r="P738" i="4" s="1"/>
  <c r="AS738" i="4"/>
  <c r="AS733" i="4"/>
  <c r="L725" i="4"/>
  <c r="P725" i="4" s="1"/>
  <c r="L733" i="4"/>
  <c r="AS725" i="4"/>
  <c r="U646" i="4"/>
  <c r="U644" i="4"/>
  <c r="U645" i="4"/>
  <c r="U643" i="4"/>
  <c r="AS646" i="4"/>
  <c r="X646" i="4"/>
  <c r="F646" i="4"/>
  <c r="F643" i="4"/>
  <c r="F645" i="4"/>
  <c r="F644" i="4"/>
  <c r="R645" i="4"/>
  <c r="G646" i="4" s="1"/>
  <c r="X644" i="4"/>
  <c r="X645" i="4"/>
  <c r="X643" i="4"/>
  <c r="L639" i="4"/>
  <c r="R639" i="4" s="1"/>
  <c r="L642" i="4"/>
  <c r="G1326" i="13"/>
  <c r="AS639" i="4"/>
  <c r="L630" i="4"/>
  <c r="G1335" i="13"/>
  <c r="F1334" i="13"/>
  <c r="U1335" i="13"/>
  <c r="G1337" i="13"/>
  <c r="G1336" i="13"/>
  <c r="L617" i="4"/>
  <c r="P617" i="4" s="1"/>
  <c r="U1332" i="13"/>
  <c r="F1332" i="13"/>
  <c r="U1334" i="13"/>
  <c r="U1333" i="13"/>
  <c r="F1333" i="13"/>
  <c r="G1332" i="13"/>
  <c r="G1333" i="13"/>
  <c r="F1328" i="13"/>
  <c r="H1913" i="1"/>
  <c r="L614" i="4"/>
  <c r="U1328" i="13"/>
  <c r="H1912" i="1"/>
  <c r="L611" i="4"/>
  <c r="G1328" i="13"/>
  <c r="G1329" i="13"/>
  <c r="G1330" i="13"/>
  <c r="G1331" i="13"/>
  <c r="F1329" i="13"/>
  <c r="F1331" i="13"/>
  <c r="U1331" i="13"/>
  <c r="F1330" i="13"/>
  <c r="U1329" i="13"/>
  <c r="U1330" i="13"/>
  <c r="X605" i="4"/>
  <c r="X603" i="4"/>
  <c r="X604" i="4"/>
  <c r="X608" i="4"/>
  <c r="X609" i="4"/>
  <c r="X610" i="4"/>
  <c r="X607" i="4"/>
  <c r="X606" i="4"/>
  <c r="X545" i="4"/>
  <c r="X523" i="4"/>
  <c r="X539" i="4"/>
  <c r="X546" i="4"/>
  <c r="X550" i="4"/>
  <c r="X547" i="4"/>
  <c r="X548" i="4"/>
  <c r="X552" i="4"/>
  <c r="X549" i="4"/>
  <c r="X551" i="4"/>
  <c r="X537" i="4"/>
  <c r="X540" i="4"/>
  <c r="X527" i="4"/>
  <c r="X543" i="4"/>
  <c r="X544" i="4"/>
  <c r="X538" i="4"/>
  <c r="X542" i="4"/>
  <c r="X541" i="4"/>
  <c r="X525" i="4"/>
  <c r="X524" i="4"/>
  <c r="X528" i="4"/>
  <c r="X522" i="4"/>
  <c r="X526" i="4"/>
  <c r="G486" i="4"/>
  <c r="G490" i="4"/>
  <c r="G487" i="4"/>
  <c r="G496" i="4"/>
  <c r="G497" i="4"/>
  <c r="F497" i="4"/>
  <c r="X497" i="4"/>
  <c r="F496" i="4"/>
  <c r="X496" i="4"/>
  <c r="Q151" i="4"/>
  <c r="R151" i="4" s="1"/>
  <c r="P151" i="4"/>
  <c r="AU151" i="4"/>
  <c r="AT151" i="4"/>
  <c r="AR151" i="4"/>
  <c r="AS151" i="4"/>
  <c r="F1863" i="1"/>
  <c r="G76" i="4"/>
  <c r="G74" i="4"/>
  <c r="G78" i="4"/>
  <c r="G77" i="4"/>
  <c r="G75" i="4"/>
  <c r="G406" i="4"/>
  <c r="G402" i="4"/>
  <c r="G398" i="4"/>
  <c r="G405" i="4"/>
  <c r="G401" i="4"/>
  <c r="G397" i="4"/>
  <c r="G404" i="4"/>
  <c r="G400" i="4"/>
  <c r="G403" i="4"/>
  <c r="G399" i="4"/>
  <c r="G219" i="4"/>
  <c r="G213" i="4"/>
  <c r="G207" i="4"/>
  <c r="G217" i="4"/>
  <c r="G206" i="4"/>
  <c r="G218" i="4"/>
  <c r="G212" i="4"/>
  <c r="G205" i="4"/>
  <c r="G214" i="4"/>
  <c r="G216" i="4"/>
  <c r="G210" i="4"/>
  <c r="G204" i="4"/>
  <c r="G211" i="4"/>
  <c r="G220" i="4"/>
  <c r="G215" i="4"/>
  <c r="G209" i="4"/>
  <c r="G203" i="4"/>
  <c r="G208" i="4"/>
  <c r="G99" i="4"/>
  <c r="G100" i="4"/>
  <c r="G98" i="4"/>
  <c r="G97" i="4"/>
  <c r="G96" i="4"/>
  <c r="G94" i="4"/>
  <c r="G101" i="4"/>
  <c r="G95" i="4"/>
  <c r="G116" i="4"/>
  <c r="G110" i="4"/>
  <c r="G114" i="4"/>
  <c r="G115" i="4"/>
  <c r="G113" i="4"/>
  <c r="G112" i="4"/>
  <c r="G117" i="4"/>
  <c r="G111" i="4"/>
  <c r="F77" i="4"/>
  <c r="F76" i="4"/>
  <c r="F78" i="4"/>
  <c r="F74" i="4"/>
  <c r="F75" i="4"/>
  <c r="F406" i="4"/>
  <c r="F399" i="4"/>
  <c r="F397" i="4"/>
  <c r="F402" i="4"/>
  <c r="F404" i="4"/>
  <c r="F405" i="4"/>
  <c r="F401" i="4"/>
  <c r="F398" i="4"/>
  <c r="F400" i="4"/>
  <c r="F403" i="4"/>
  <c r="F205" i="4"/>
  <c r="F206" i="4"/>
  <c r="F219" i="4"/>
  <c r="F203" i="4"/>
  <c r="F217" i="4"/>
  <c r="F218" i="4"/>
  <c r="F220" i="4"/>
  <c r="F215" i="4"/>
  <c r="F216" i="4"/>
  <c r="F210" i="4"/>
  <c r="F204" i="4"/>
  <c r="F213" i="4"/>
  <c r="F214" i="4"/>
  <c r="F212" i="4"/>
  <c r="F211" i="4"/>
  <c r="F208" i="4"/>
  <c r="F209" i="4"/>
  <c r="F207" i="4"/>
  <c r="F97" i="4"/>
  <c r="F95" i="4"/>
  <c r="F98" i="4"/>
  <c r="F96" i="4"/>
  <c r="F94" i="4"/>
  <c r="F100" i="4"/>
  <c r="F101" i="4"/>
  <c r="F99" i="4"/>
  <c r="F113" i="4"/>
  <c r="F116" i="4"/>
  <c r="F114" i="4"/>
  <c r="F115" i="4"/>
  <c r="F110" i="4"/>
  <c r="F112" i="4"/>
  <c r="F117" i="4"/>
  <c r="F111" i="4"/>
  <c r="G772" i="13"/>
  <c r="G79" i="4"/>
  <c r="G83" i="4"/>
  <c r="G81" i="4"/>
  <c r="G82" i="4"/>
  <c r="G80" i="4"/>
  <c r="G414" i="4"/>
  <c r="G410" i="4"/>
  <c r="G413" i="4"/>
  <c r="G409" i="4"/>
  <c r="G416" i="4"/>
  <c r="G412" i="4"/>
  <c r="G408" i="4"/>
  <c r="G415" i="4"/>
  <c r="G411" i="4"/>
  <c r="G407" i="4"/>
  <c r="G122" i="4"/>
  <c r="G123" i="4"/>
  <c r="G120" i="4"/>
  <c r="G121" i="4"/>
  <c r="G119" i="4"/>
  <c r="G118" i="4"/>
  <c r="G125" i="4"/>
  <c r="G124" i="4"/>
  <c r="G107" i="4"/>
  <c r="G109" i="4"/>
  <c r="G105" i="4"/>
  <c r="G106" i="4"/>
  <c r="G104" i="4"/>
  <c r="G103" i="4"/>
  <c r="G108" i="4"/>
  <c r="G102" i="4"/>
  <c r="F306" i="4"/>
  <c r="F309" i="4"/>
  <c r="F308" i="4"/>
  <c r="F307" i="4"/>
  <c r="X1271" i="13"/>
  <c r="F83" i="4"/>
  <c r="F80" i="4"/>
  <c r="F81" i="4"/>
  <c r="F79" i="4"/>
  <c r="F82" i="4"/>
  <c r="X413" i="4"/>
  <c r="X414" i="4"/>
  <c r="X408" i="4"/>
  <c r="F414" i="4"/>
  <c r="F407" i="4"/>
  <c r="F413" i="4"/>
  <c r="X409" i="4"/>
  <c r="X412" i="4"/>
  <c r="X407" i="4"/>
  <c r="F410" i="4"/>
  <c r="F416" i="4"/>
  <c r="F409" i="4"/>
  <c r="X416" i="4"/>
  <c r="X411" i="4"/>
  <c r="F415" i="4"/>
  <c r="F412" i="4"/>
  <c r="X415" i="4"/>
  <c r="X410" i="4"/>
  <c r="F411" i="4"/>
  <c r="F408" i="4"/>
  <c r="F121" i="4"/>
  <c r="F119" i="4"/>
  <c r="F122" i="4"/>
  <c r="F120" i="4"/>
  <c r="F118" i="4"/>
  <c r="F124" i="4"/>
  <c r="F125" i="4"/>
  <c r="F123" i="4"/>
  <c r="F105" i="4"/>
  <c r="F108" i="4"/>
  <c r="F106" i="4"/>
  <c r="F104" i="4"/>
  <c r="F102" i="4"/>
  <c r="F103" i="4"/>
  <c r="F109" i="4"/>
  <c r="F107" i="4"/>
  <c r="G306" i="4"/>
  <c r="G307" i="4"/>
  <c r="G308" i="4"/>
  <c r="G309" i="4"/>
  <c r="P34" i="4"/>
  <c r="R34" i="4"/>
  <c r="P368" i="4"/>
  <c r="X368" i="4" s="1"/>
  <c r="R368" i="4"/>
  <c r="X75" i="4"/>
  <c r="X77" i="4"/>
  <c r="X76" i="4"/>
  <c r="X74" i="4"/>
  <c r="X78" i="4"/>
  <c r="X83" i="4"/>
  <c r="X79" i="4"/>
  <c r="X82" i="4"/>
  <c r="X81" i="4"/>
  <c r="X80" i="4"/>
  <c r="X405" i="4"/>
  <c r="X401" i="4"/>
  <c r="X397" i="4"/>
  <c r="X400" i="4"/>
  <c r="X403" i="4"/>
  <c r="X398" i="4"/>
  <c r="X406" i="4"/>
  <c r="X404" i="4"/>
  <c r="X402" i="4"/>
  <c r="X399" i="4"/>
  <c r="X347" i="4"/>
  <c r="X346" i="4"/>
  <c r="X219" i="4"/>
  <c r="X215" i="4"/>
  <c r="X211" i="4"/>
  <c r="X207" i="4"/>
  <c r="X203" i="4"/>
  <c r="X220" i="4"/>
  <c r="X206" i="4"/>
  <c r="X205" i="4"/>
  <c r="X204" i="4"/>
  <c r="X210" i="4"/>
  <c r="X209" i="4"/>
  <c r="X208" i="4"/>
  <c r="X214" i="4"/>
  <c r="X213" i="4"/>
  <c r="X212" i="4"/>
  <c r="X217" i="4"/>
  <c r="X216" i="4"/>
  <c r="X218" i="4"/>
  <c r="X26" i="4"/>
  <c r="X22" i="4"/>
  <c r="X25" i="4"/>
  <c r="X24" i="4"/>
  <c r="X23" i="4"/>
  <c r="X383" i="4"/>
  <c r="X382" i="4"/>
  <c r="X381" i="4"/>
  <c r="X39" i="4"/>
  <c r="X38" i="4"/>
  <c r="X40" i="4"/>
  <c r="X134" i="4"/>
  <c r="X133" i="4"/>
  <c r="X123" i="4"/>
  <c r="X119" i="4"/>
  <c r="X121" i="4"/>
  <c r="X124" i="4"/>
  <c r="X118" i="4"/>
  <c r="X125" i="4"/>
  <c r="X122" i="4"/>
  <c r="X120" i="4"/>
  <c r="X99" i="4"/>
  <c r="X95" i="4"/>
  <c r="X101" i="4"/>
  <c r="X100" i="4"/>
  <c r="X94" i="4"/>
  <c r="X98" i="4"/>
  <c r="X97" i="4"/>
  <c r="X96" i="4"/>
  <c r="X107" i="4"/>
  <c r="X103" i="4"/>
  <c r="X109" i="4"/>
  <c r="X108" i="4"/>
  <c r="X102" i="4"/>
  <c r="X106" i="4"/>
  <c r="X105" i="4"/>
  <c r="X104" i="4"/>
  <c r="X115" i="4"/>
  <c r="X111" i="4"/>
  <c r="X116" i="4"/>
  <c r="X110" i="4"/>
  <c r="X117" i="4"/>
  <c r="X114" i="4"/>
  <c r="X112" i="4"/>
  <c r="X113" i="4"/>
  <c r="X308" i="4"/>
  <c r="X309" i="4"/>
  <c r="X307" i="4"/>
  <c r="X306" i="4"/>
  <c r="F26" i="4"/>
  <c r="F25" i="4"/>
  <c r="F24" i="4"/>
  <c r="F23" i="4"/>
  <c r="F22" i="4"/>
  <c r="G26" i="4"/>
  <c r="G25" i="4"/>
  <c r="G24" i="4"/>
  <c r="G23" i="4"/>
  <c r="G22" i="4"/>
  <c r="F383" i="4"/>
  <c r="F382" i="4"/>
  <c r="F381" i="4"/>
  <c r="G383" i="4"/>
  <c r="G382" i="4"/>
  <c r="G381" i="4"/>
  <c r="F40" i="4"/>
  <c r="F39" i="4"/>
  <c r="F38" i="4"/>
  <c r="G40" i="4"/>
  <c r="G39" i="4"/>
  <c r="G38" i="4"/>
  <c r="F133" i="4"/>
  <c r="F134" i="4"/>
  <c r="G133" i="4"/>
  <c r="G134" i="4"/>
  <c r="F347" i="4"/>
  <c r="F346" i="4"/>
  <c r="G347" i="4"/>
  <c r="G346" i="4"/>
  <c r="AQ368" i="4"/>
  <c r="AT368" i="4"/>
  <c r="AU368" i="4"/>
  <c r="AR368" i="4"/>
  <c r="AS368" i="4"/>
  <c r="AQ150" i="4"/>
  <c r="U879" i="13"/>
  <c r="G776" i="13"/>
  <c r="G771" i="13"/>
  <c r="G770" i="13"/>
  <c r="G774" i="13"/>
  <c r="G777" i="13"/>
  <c r="F1906" i="1"/>
  <c r="H1906" i="1" s="1"/>
  <c r="G773" i="13"/>
  <c r="G775" i="13"/>
  <c r="G1295" i="13"/>
  <c r="G1294" i="13"/>
  <c r="G731" i="13"/>
  <c r="S1293" i="13"/>
  <c r="S1290" i="13"/>
  <c r="S1295" i="13"/>
  <c r="S1292" i="13"/>
  <c r="F1295" i="13"/>
  <c r="S1291" i="13"/>
  <c r="F1294" i="13"/>
  <c r="S1294" i="13"/>
  <c r="G595" i="13"/>
  <c r="T1292" i="13"/>
  <c r="T1295" i="13"/>
  <c r="T1294" i="13"/>
  <c r="T1290" i="13"/>
  <c r="T1293" i="13"/>
  <c r="T1291" i="13"/>
  <c r="G592" i="13"/>
  <c r="F777" i="13"/>
  <c r="U702" i="13"/>
  <c r="G1292" i="13"/>
  <c r="G1291" i="13"/>
  <c r="G1290" i="13"/>
  <c r="G1293" i="13"/>
  <c r="F1290" i="13"/>
  <c r="F1293" i="13"/>
  <c r="F1291" i="13"/>
  <c r="U1292" i="13"/>
  <c r="U1290" i="13"/>
  <c r="F1292" i="13"/>
  <c r="U1293" i="13"/>
  <c r="U1291" i="13"/>
  <c r="X1290" i="13"/>
  <c r="X1293" i="13"/>
  <c r="X1292" i="13"/>
  <c r="X1291" i="13"/>
  <c r="U706" i="13"/>
  <c r="F702" i="13"/>
  <c r="U1208" i="13"/>
  <c r="U1213" i="13"/>
  <c r="U772" i="13"/>
  <c r="G594" i="13"/>
  <c r="EK24" i="17418"/>
  <c r="IE24" i="17418"/>
  <c r="KB24" i="17418"/>
  <c r="CN24" i="17418"/>
  <c r="GH24" i="17418"/>
  <c r="IE25" i="17418"/>
  <c r="EK25" i="17418"/>
  <c r="CN25" i="17418"/>
  <c r="KB25" i="17418"/>
  <c r="GH25" i="17418"/>
  <c r="IE26" i="17418"/>
  <c r="EK26" i="17418"/>
  <c r="CN26" i="17418"/>
  <c r="GH26" i="17418"/>
  <c r="KB26" i="17418"/>
  <c r="CN36" i="17418"/>
  <c r="IN36" i="17418" s="1"/>
  <c r="EK36" i="17418"/>
  <c r="KK36" i="17418" s="1"/>
  <c r="GH36" i="17418"/>
  <c r="CN37" i="17418"/>
  <c r="IN37" i="17418" s="1"/>
  <c r="GH37" i="17418"/>
  <c r="EK37" i="17418"/>
  <c r="KK37" i="17418" s="1"/>
  <c r="IE23" i="17418"/>
  <c r="EK23" i="17418"/>
  <c r="CN23" i="17418"/>
  <c r="GH23" i="17418"/>
  <c r="KB23" i="17418"/>
  <c r="EK27" i="17418"/>
  <c r="CN27" i="17418"/>
  <c r="IN27" i="17418" s="1"/>
  <c r="GH27" i="17418"/>
  <c r="KB27" i="17418"/>
  <c r="BT16" i="17418"/>
  <c r="BP16" i="17418"/>
  <c r="BR16" i="17418"/>
  <c r="BS16" i="17418"/>
  <c r="AH269" i="17418"/>
  <c r="AH281" i="17418"/>
  <c r="AH289" i="17418"/>
  <c r="AH270" i="17418"/>
  <c r="AH257" i="17418"/>
  <c r="AH252" i="17418"/>
  <c r="BQ16" i="17418"/>
  <c r="G878" i="13"/>
  <c r="U1209" i="13"/>
  <c r="U776" i="13"/>
  <c r="U774" i="13"/>
  <c r="U771" i="13"/>
  <c r="F775" i="13"/>
  <c r="U705" i="13"/>
  <c r="F1823" i="1"/>
  <c r="L769" i="13" s="1"/>
  <c r="F776" i="13"/>
  <c r="F770" i="13"/>
  <c r="U708" i="13"/>
  <c r="U703" i="13"/>
  <c r="U777" i="13"/>
  <c r="F773" i="13"/>
  <c r="F772" i="13"/>
  <c r="F708" i="13"/>
  <c r="F705" i="13"/>
  <c r="U707" i="13"/>
  <c r="F615" i="13"/>
  <c r="F774" i="13"/>
  <c r="U730" i="13"/>
  <c r="F771" i="13"/>
  <c r="U775" i="13"/>
  <c r="U770" i="13"/>
  <c r="U773" i="13"/>
  <c r="F704" i="13"/>
  <c r="F707" i="13"/>
  <c r="X595" i="13"/>
  <c r="F1210" i="13"/>
  <c r="F733" i="13"/>
  <c r="U1212" i="13"/>
  <c r="F729" i="13"/>
  <c r="F721" i="1" s="1"/>
  <c r="H721" i="1" s="1"/>
  <c r="U1211" i="13"/>
  <c r="U1207" i="13"/>
  <c r="G591" i="13"/>
  <c r="U1210" i="13"/>
  <c r="G590" i="13"/>
  <c r="G593" i="13"/>
  <c r="X592" i="13"/>
  <c r="F703" i="13"/>
  <c r="U734" i="13"/>
  <c r="H1863" i="1"/>
  <c r="G1272" i="13"/>
  <c r="G1273" i="13"/>
  <c r="G1275" i="13"/>
  <c r="G1278" i="13"/>
  <c r="G1274" i="13"/>
  <c r="G1277" i="13"/>
  <c r="G1276" i="13"/>
  <c r="X1275" i="13"/>
  <c r="X1273" i="13"/>
  <c r="F1272" i="13"/>
  <c r="F1276" i="13"/>
  <c r="F1275" i="13"/>
  <c r="F1273" i="13"/>
  <c r="X1278" i="13"/>
  <c r="X1272" i="13"/>
  <c r="F1274" i="13"/>
  <c r="F1278" i="13"/>
  <c r="X1277" i="13"/>
  <c r="X1274" i="13"/>
  <c r="F1277" i="13"/>
  <c r="X1276" i="13"/>
  <c r="F1209" i="13"/>
  <c r="U735" i="13"/>
  <c r="F731" i="13"/>
  <c r="F1893" i="1"/>
  <c r="F735" i="13"/>
  <c r="F1213" i="13"/>
  <c r="F1211" i="13"/>
  <c r="F1207" i="13"/>
  <c r="F706" i="13"/>
  <c r="U704" i="13"/>
  <c r="F1806" i="1"/>
  <c r="H1806" i="1" s="1"/>
  <c r="F1208" i="13"/>
  <c r="F1212" i="13"/>
  <c r="G702" i="13"/>
  <c r="AI26" i="17418"/>
  <c r="AI27" i="17418"/>
  <c r="AI23" i="17418"/>
  <c r="AI25" i="17418"/>
  <c r="AI24" i="17418"/>
  <c r="F595" i="13"/>
  <c r="F546" i="13"/>
  <c r="U729" i="13"/>
  <c r="F590" i="13"/>
  <c r="F1771" i="1"/>
  <c r="H1771" i="1" s="1"/>
  <c r="G862" i="13"/>
  <c r="X591" i="13"/>
  <c r="F1809" i="1"/>
  <c r="H1809" i="1" s="1"/>
  <c r="F732" i="13"/>
  <c r="F730" i="13"/>
  <c r="F734" i="13"/>
  <c r="U732" i="13"/>
  <c r="U733" i="13"/>
  <c r="U731" i="13"/>
  <c r="F539" i="13"/>
  <c r="U539" i="13"/>
  <c r="F593" i="13"/>
  <c r="F594" i="13"/>
  <c r="X590" i="13"/>
  <c r="G705" i="13"/>
  <c r="X593" i="13"/>
  <c r="F591" i="13"/>
  <c r="X594" i="13"/>
  <c r="F592" i="13"/>
  <c r="G548" i="13"/>
  <c r="G734" i="13"/>
  <c r="G732" i="13"/>
  <c r="G619" i="13"/>
  <c r="G544" i="13"/>
  <c r="U540" i="13"/>
  <c r="U544" i="13"/>
  <c r="G707" i="13"/>
  <c r="U541" i="13"/>
  <c r="U545" i="13"/>
  <c r="F861" i="13"/>
  <c r="G612" i="13"/>
  <c r="G1208" i="13"/>
  <c r="U542" i="13"/>
  <c r="U543" i="13"/>
  <c r="G478" i="13"/>
  <c r="F597" i="13"/>
  <c r="F599" i="13"/>
  <c r="F596" i="13"/>
  <c r="F600" i="13"/>
  <c r="X599" i="13"/>
  <c r="F601" i="13"/>
  <c r="X597" i="13"/>
  <c r="X596" i="13"/>
  <c r="AV681" i="4" s="1"/>
  <c r="X601" i="13"/>
  <c r="F1784" i="1"/>
  <c r="L681" i="4" s="1"/>
  <c r="F598" i="13"/>
  <c r="X598" i="13"/>
  <c r="X600" i="13"/>
  <c r="F511" i="13"/>
  <c r="G550" i="13"/>
  <c r="X549" i="13"/>
  <c r="X552" i="13"/>
  <c r="X547" i="13"/>
  <c r="X546" i="13"/>
  <c r="X548" i="13"/>
  <c r="X551" i="13"/>
  <c r="X550" i="13"/>
  <c r="H1670" i="1"/>
  <c r="G864" i="13"/>
  <c r="G859" i="13"/>
  <c r="G522" i="13"/>
  <c r="G523" i="13"/>
  <c r="G520" i="13"/>
  <c r="G733" i="13"/>
  <c r="F472" i="13"/>
  <c r="F1716" i="1" s="1"/>
  <c r="H1716" i="1" s="1"/>
  <c r="X475" i="13"/>
  <c r="F481" i="13"/>
  <c r="X481" i="13"/>
  <c r="X472" i="13"/>
  <c r="X482" i="13"/>
  <c r="F478" i="13"/>
  <c r="X479" i="13"/>
  <c r="F475" i="13"/>
  <c r="X480" i="13"/>
  <c r="F476" i="13"/>
  <c r="X477" i="13"/>
  <c r="F473" i="13"/>
  <c r="F479" i="13"/>
  <c r="F474" i="13"/>
  <c r="X478" i="13"/>
  <c r="X476" i="13"/>
  <c r="F480" i="13"/>
  <c r="F477" i="13"/>
  <c r="X473" i="13"/>
  <c r="X474" i="13"/>
  <c r="F482" i="13"/>
  <c r="G1191" i="13"/>
  <c r="G1193" i="13"/>
  <c r="G1195" i="13"/>
  <c r="G1194" i="13"/>
  <c r="G1192" i="13"/>
  <c r="G1070" i="13"/>
  <c r="G1069" i="13"/>
  <c r="G1074" i="13"/>
  <c r="G1075" i="13"/>
  <c r="G1073" i="13"/>
  <c r="G1071" i="13"/>
  <c r="G1072" i="13"/>
  <c r="G1076" i="13"/>
  <c r="G444" i="6"/>
  <c r="X921" i="13"/>
  <c r="X902" i="13"/>
  <c r="X920" i="13"/>
  <c r="X907" i="13"/>
  <c r="X916" i="13"/>
  <c r="X899" i="13"/>
  <c r="X912" i="13"/>
  <c r="X922" i="13"/>
  <c r="X924" i="13"/>
  <c r="X915" i="13"/>
  <c r="X904" i="13"/>
  <c r="X898" i="13"/>
  <c r="X900" i="13"/>
  <c r="X909" i="13"/>
  <c r="X896" i="13"/>
  <c r="AV344" i="4" s="1"/>
  <c r="X897" i="13"/>
  <c r="X908" i="13"/>
  <c r="X910" i="13"/>
  <c r="X911" i="13"/>
  <c r="X918" i="13"/>
  <c r="X903" i="13"/>
  <c r="X906" i="13"/>
  <c r="X914" i="13"/>
  <c r="X919" i="13"/>
  <c r="X905" i="13"/>
  <c r="X917" i="13"/>
  <c r="X925" i="13"/>
  <c r="X901" i="13"/>
  <c r="X913" i="13"/>
  <c r="X923" i="13"/>
  <c r="AQ151" i="4"/>
  <c r="F884" i="13"/>
  <c r="F882" i="13"/>
  <c r="F880" i="13"/>
  <c r="F878" i="13"/>
  <c r="X665" i="13"/>
  <c r="X667" i="13"/>
  <c r="X668" i="13"/>
  <c r="X664" i="13"/>
  <c r="X666" i="13"/>
  <c r="I22" i="8"/>
  <c r="F541" i="13"/>
  <c r="F543" i="13"/>
  <c r="F545" i="13"/>
  <c r="X1184" i="13"/>
  <c r="X1185" i="13"/>
  <c r="X1182" i="13"/>
  <c r="X1183" i="13"/>
  <c r="X1181" i="13"/>
  <c r="F1185" i="13"/>
  <c r="F1889" i="1"/>
  <c r="F1182" i="13"/>
  <c r="F1181" i="13"/>
  <c r="F1184" i="13"/>
  <c r="F1183" i="13"/>
  <c r="R133" i="13"/>
  <c r="P133" i="13"/>
  <c r="P451" i="13"/>
  <c r="R451" i="13"/>
  <c r="G451" i="13" s="1"/>
  <c r="P17" i="13"/>
  <c r="R17" i="13"/>
  <c r="P94" i="13"/>
  <c r="R94" i="13"/>
  <c r="G603" i="13"/>
  <c r="G605" i="13"/>
  <c r="G608" i="13"/>
  <c r="G606" i="13"/>
  <c r="G602" i="13"/>
  <c r="G607" i="13"/>
  <c r="G604" i="13"/>
  <c r="G703" i="13"/>
  <c r="U444" i="6"/>
  <c r="U445" i="6"/>
  <c r="G502" i="13"/>
  <c r="G499" i="13"/>
  <c r="G501" i="13"/>
  <c r="G503" i="13"/>
  <c r="G500" i="13"/>
  <c r="G880" i="13"/>
  <c r="G882" i="13"/>
  <c r="F1096" i="13"/>
  <c r="F1821" i="1"/>
  <c r="L371" i="4" s="1"/>
  <c r="X1096" i="13"/>
  <c r="AV371" i="4" s="1"/>
  <c r="G539" i="13"/>
  <c r="G541" i="13"/>
  <c r="G1213" i="13"/>
  <c r="G1212" i="13"/>
  <c r="G1266" i="13"/>
  <c r="G1269" i="13"/>
  <c r="G1268" i="13"/>
  <c r="G1267" i="13"/>
  <c r="G1270" i="13"/>
  <c r="F617" i="13"/>
  <c r="F1781" i="1"/>
  <c r="F620" i="13"/>
  <c r="X619" i="13"/>
  <c r="X624" i="13"/>
  <c r="X620" i="13"/>
  <c r="X623" i="13"/>
  <c r="X622" i="13"/>
  <c r="F623" i="13"/>
  <c r="X621" i="13"/>
  <c r="X618" i="13"/>
  <c r="X617" i="13"/>
  <c r="F619" i="13"/>
  <c r="F621" i="13"/>
  <c r="F618" i="13"/>
  <c r="F622" i="13"/>
  <c r="F624" i="13"/>
  <c r="F548" i="13"/>
  <c r="F1874" i="1"/>
  <c r="U551" i="13"/>
  <c r="U546" i="13"/>
  <c r="G521" i="13"/>
  <c r="U861" i="13"/>
  <c r="F862" i="13"/>
  <c r="U862" i="13"/>
  <c r="F863" i="13"/>
  <c r="X251" i="13"/>
  <c r="X247" i="13"/>
  <c r="X245" i="13"/>
  <c r="X250" i="13"/>
  <c r="X249" i="13"/>
  <c r="X248" i="13"/>
  <c r="X246" i="13"/>
  <c r="F251" i="13"/>
  <c r="F249" i="13"/>
  <c r="F247" i="13"/>
  <c r="F250" i="13"/>
  <c r="F246" i="13"/>
  <c r="F245" i="13"/>
  <c r="F1681" i="1" s="1"/>
  <c r="F248" i="13"/>
  <c r="G1124" i="13"/>
  <c r="G1125" i="13"/>
  <c r="G1128" i="13"/>
  <c r="G1122" i="13"/>
  <c r="G1123" i="13"/>
  <c r="G1126" i="13"/>
  <c r="G1127" i="13"/>
  <c r="G1121" i="13"/>
  <c r="G1129" i="13"/>
  <c r="F696" i="13"/>
  <c r="X696" i="13"/>
  <c r="F1804" i="1"/>
  <c r="G552" i="13"/>
  <c r="G547" i="13"/>
  <c r="G863" i="13"/>
  <c r="G861" i="13"/>
  <c r="F1094" i="13"/>
  <c r="X1094" i="13"/>
  <c r="AV369" i="4" s="1"/>
  <c r="F1817" i="1"/>
  <c r="L369" i="4" s="1"/>
  <c r="G477" i="13"/>
  <c r="G475" i="13"/>
  <c r="G482" i="13"/>
  <c r="G472" i="13"/>
  <c r="G481" i="13"/>
  <c r="G480" i="13"/>
  <c r="G474" i="13"/>
  <c r="G476" i="13"/>
  <c r="G479" i="13"/>
  <c r="G473" i="13"/>
  <c r="X1193" i="13"/>
  <c r="X1192" i="13"/>
  <c r="X1195" i="13"/>
  <c r="X1191" i="13"/>
  <c r="X1194" i="13"/>
  <c r="F1194" i="13"/>
  <c r="F1193" i="13"/>
  <c r="F1891" i="1"/>
  <c r="F1192" i="13"/>
  <c r="F1195" i="13"/>
  <c r="F1191" i="13"/>
  <c r="F1073" i="13"/>
  <c r="F1884" i="1"/>
  <c r="X1076" i="13"/>
  <c r="X1075" i="13"/>
  <c r="F1070" i="13"/>
  <c r="F1071" i="13"/>
  <c r="F1074" i="13"/>
  <c r="X1070" i="13"/>
  <c r="F1072" i="13"/>
  <c r="X1069" i="13"/>
  <c r="F1069" i="13"/>
  <c r="X1074" i="13"/>
  <c r="X1073" i="13"/>
  <c r="F1075" i="13"/>
  <c r="F1076" i="13"/>
  <c r="X1071" i="13"/>
  <c r="X1072" i="13"/>
  <c r="G446" i="6"/>
  <c r="M153" i="4"/>
  <c r="O152" i="4"/>
  <c r="F1841" i="1"/>
  <c r="F883" i="13"/>
  <c r="F881" i="13"/>
  <c r="F879" i="13"/>
  <c r="G1183" i="13"/>
  <c r="G1185" i="13"/>
  <c r="G1181" i="13"/>
  <c r="G1182" i="13"/>
  <c r="G1184" i="13"/>
  <c r="R266" i="13"/>
  <c r="P266" i="13"/>
  <c r="P150" i="13"/>
  <c r="R150" i="13"/>
  <c r="R108" i="13"/>
  <c r="P108" i="13"/>
  <c r="P132" i="13"/>
  <c r="R132" i="13"/>
  <c r="F648" i="13"/>
  <c r="X648" i="13"/>
  <c r="F647" i="13"/>
  <c r="X649" i="13"/>
  <c r="X647" i="13"/>
  <c r="AV287" i="4" s="1"/>
  <c r="F649" i="13"/>
  <c r="F650" i="13"/>
  <c r="F1792" i="1"/>
  <c r="L287" i="4" s="1"/>
  <c r="X650" i="13"/>
  <c r="F1811" i="1"/>
  <c r="H1811" i="1" s="1"/>
  <c r="F444" i="6"/>
  <c r="F499" i="13"/>
  <c r="F1722" i="1" s="1"/>
  <c r="H1722" i="1" s="1"/>
  <c r="X499" i="13"/>
  <c r="X503" i="13"/>
  <c r="F501" i="13"/>
  <c r="X501" i="13"/>
  <c r="F500" i="13"/>
  <c r="F502" i="13"/>
  <c r="X502" i="13"/>
  <c r="X500" i="13"/>
  <c r="F503" i="13"/>
  <c r="X542" i="13"/>
  <c r="X541" i="13"/>
  <c r="X540" i="13"/>
  <c r="X539" i="13"/>
  <c r="AV680" i="4" s="1"/>
  <c r="X545" i="13"/>
  <c r="X544" i="13"/>
  <c r="X543" i="13"/>
  <c r="G25" i="1"/>
  <c r="X495" i="13"/>
  <c r="F496" i="13"/>
  <c r="X490" i="13"/>
  <c r="F493" i="13"/>
  <c r="X489" i="13"/>
  <c r="F492" i="13"/>
  <c r="F495" i="13"/>
  <c r="F494" i="13"/>
  <c r="X492" i="13"/>
  <c r="X496" i="13"/>
  <c r="X498" i="13"/>
  <c r="F491" i="13"/>
  <c r="X493" i="13"/>
  <c r="X497" i="13"/>
  <c r="F489" i="13"/>
  <c r="F1721" i="1" s="1"/>
  <c r="H1721" i="1" s="1"/>
  <c r="F497" i="13"/>
  <c r="X491" i="13"/>
  <c r="X494" i="13"/>
  <c r="F498" i="13"/>
  <c r="F490" i="13"/>
  <c r="G884" i="13"/>
  <c r="G879" i="13"/>
  <c r="G543" i="13"/>
  <c r="F485" i="13"/>
  <c r="X483" i="13"/>
  <c r="X484" i="13"/>
  <c r="X486" i="13"/>
  <c r="X485" i="13"/>
  <c r="F488" i="13"/>
  <c r="F484" i="13"/>
  <c r="X487" i="13"/>
  <c r="F487" i="13"/>
  <c r="F486" i="13"/>
  <c r="F483" i="13"/>
  <c r="F1720" i="1" s="1"/>
  <c r="H1720" i="1" s="1"/>
  <c r="X488" i="13"/>
  <c r="G1210" i="13"/>
  <c r="G1211" i="13"/>
  <c r="U1268" i="13"/>
  <c r="F1270" i="13"/>
  <c r="F1266" i="13"/>
  <c r="F1267" i="13"/>
  <c r="F1268" i="13"/>
  <c r="F1269" i="13"/>
  <c r="U1269" i="13"/>
  <c r="F1903" i="1"/>
  <c r="U1266" i="13"/>
  <c r="U1267" i="13"/>
  <c r="U1270" i="13"/>
  <c r="F1803" i="1"/>
  <c r="F694" i="13"/>
  <c r="X695" i="13"/>
  <c r="X693" i="13"/>
  <c r="F695" i="13"/>
  <c r="F693" i="13"/>
  <c r="X694" i="13"/>
  <c r="G1065" i="13"/>
  <c r="G1068" i="13"/>
  <c r="G1067" i="13"/>
  <c r="G1063" i="13"/>
  <c r="G1062" i="13"/>
  <c r="G1066" i="13"/>
  <c r="G1064" i="13"/>
  <c r="G609" i="13"/>
  <c r="G616" i="13"/>
  <c r="G615" i="13"/>
  <c r="G610" i="13"/>
  <c r="G613" i="13"/>
  <c r="G611" i="13"/>
  <c r="G614" i="13"/>
  <c r="U548" i="13"/>
  <c r="F550" i="13"/>
  <c r="F552" i="13"/>
  <c r="F547" i="13"/>
  <c r="X881" i="13"/>
  <c r="X879" i="13"/>
  <c r="X883" i="13"/>
  <c r="X878" i="13"/>
  <c r="X884" i="13"/>
  <c r="X880" i="13"/>
  <c r="X882" i="13"/>
  <c r="G471" i="13"/>
  <c r="G469" i="13"/>
  <c r="G467" i="13"/>
  <c r="G468" i="13"/>
  <c r="G470" i="13"/>
  <c r="G466" i="13"/>
  <c r="U863" i="13"/>
  <c r="F864" i="13"/>
  <c r="U864" i="13"/>
  <c r="F1838" i="1"/>
  <c r="L291" i="4" s="1"/>
  <c r="X652" i="13"/>
  <c r="X653" i="13"/>
  <c r="X654" i="13"/>
  <c r="X651" i="13"/>
  <c r="X655" i="13"/>
  <c r="X510" i="13"/>
  <c r="X511" i="13"/>
  <c r="X508" i="13"/>
  <c r="AV254" i="4" s="1"/>
  <c r="F508" i="13"/>
  <c r="F1748" i="1" s="1"/>
  <c r="L254" i="4" s="1"/>
  <c r="F509" i="13"/>
  <c r="X509" i="13"/>
  <c r="F510" i="13"/>
  <c r="G247" i="13"/>
  <c r="G245" i="13"/>
  <c r="G250" i="13"/>
  <c r="G248" i="13"/>
  <c r="G246" i="13"/>
  <c r="G251" i="13"/>
  <c r="G249" i="13"/>
  <c r="F1129" i="13"/>
  <c r="F1123" i="13"/>
  <c r="F1873" i="1"/>
  <c r="X1123" i="13"/>
  <c r="X1126" i="13"/>
  <c r="X1129" i="13"/>
  <c r="F1122" i="13"/>
  <c r="F1125" i="13"/>
  <c r="F1128" i="13"/>
  <c r="X1122" i="13"/>
  <c r="X1125" i="13"/>
  <c r="X1128" i="13"/>
  <c r="F1124" i="13"/>
  <c r="F1127" i="13"/>
  <c r="F1121" i="13"/>
  <c r="X1121" i="13"/>
  <c r="X1124" i="13"/>
  <c r="X1127" i="13"/>
  <c r="F1126" i="13"/>
  <c r="G549" i="13"/>
  <c r="G551" i="13"/>
  <c r="X1134" i="13"/>
  <c r="X1136" i="13"/>
  <c r="X1139" i="13"/>
  <c r="X1131" i="13"/>
  <c r="X1138" i="13"/>
  <c r="X1132" i="13"/>
  <c r="X1130" i="13"/>
  <c r="AV531" i="4" s="1"/>
  <c r="X1133" i="13"/>
  <c r="X1135" i="13"/>
  <c r="X1137" i="13"/>
  <c r="F1138" i="13"/>
  <c r="F1136" i="13"/>
  <c r="F1133" i="13"/>
  <c r="F1135" i="13"/>
  <c r="F1130" i="13"/>
  <c r="F1131" i="13"/>
  <c r="F1137" i="13"/>
  <c r="F1134" i="13"/>
  <c r="F1132" i="13"/>
  <c r="F1875" i="1"/>
  <c r="F1139" i="13"/>
  <c r="G858" i="13"/>
  <c r="G812" i="13"/>
  <c r="G811" i="13"/>
  <c r="G814" i="13"/>
  <c r="G813" i="13"/>
  <c r="G730" i="13"/>
  <c r="G735" i="13"/>
  <c r="G512" i="13"/>
  <c r="G514" i="13"/>
  <c r="G517" i="13"/>
  <c r="G519" i="13"/>
  <c r="G513" i="13"/>
  <c r="G515" i="13"/>
  <c r="G516" i="13"/>
  <c r="G518" i="13"/>
  <c r="X1190" i="13"/>
  <c r="X1186" i="13"/>
  <c r="X1189" i="13"/>
  <c r="X1187" i="13"/>
  <c r="X1188" i="13"/>
  <c r="F1189" i="13"/>
  <c r="F1186" i="13"/>
  <c r="F1190" i="13"/>
  <c r="F1188" i="13"/>
  <c r="F1890" i="1"/>
  <c r="F1187" i="13"/>
  <c r="X1268" i="13"/>
  <c r="X1269" i="13"/>
  <c r="X1267" i="13"/>
  <c r="X1270" i="13"/>
  <c r="X1266" i="13"/>
  <c r="G1179" i="13"/>
  <c r="G1178" i="13"/>
  <c r="G1180" i="13"/>
  <c r="G640" i="13"/>
  <c r="G636" i="13"/>
  <c r="G634" i="13"/>
  <c r="G637" i="13"/>
  <c r="G638" i="13"/>
  <c r="G639" i="13"/>
  <c r="G635" i="13"/>
  <c r="F1095" i="13"/>
  <c r="X1095" i="13"/>
  <c r="AV370" i="4" s="1"/>
  <c r="F1815" i="1"/>
  <c r="L370" i="4" s="1"/>
  <c r="X860" i="13"/>
  <c r="X859" i="13"/>
  <c r="X858" i="13"/>
  <c r="AV291" i="4" s="1"/>
  <c r="X864" i="13"/>
  <c r="X863" i="13"/>
  <c r="X862" i="13"/>
  <c r="X861" i="13"/>
  <c r="U881" i="13"/>
  <c r="U882" i="13"/>
  <c r="U880" i="13"/>
  <c r="F1853" i="1"/>
  <c r="L680" i="4" s="1"/>
  <c r="F540" i="13"/>
  <c r="F542" i="13"/>
  <c r="F544" i="13"/>
  <c r="X528" i="13"/>
  <c r="X527" i="13"/>
  <c r="X526" i="13"/>
  <c r="X529" i="13"/>
  <c r="F531" i="13"/>
  <c r="F530" i="13"/>
  <c r="F525" i="13"/>
  <c r="F524" i="13"/>
  <c r="F1756" i="1" s="1"/>
  <c r="L257" i="4" s="1"/>
  <c r="F527" i="13"/>
  <c r="F526" i="13"/>
  <c r="X525" i="13"/>
  <c r="X524" i="13"/>
  <c r="AV257" i="4" s="1"/>
  <c r="F528" i="13"/>
  <c r="X531" i="13"/>
  <c r="X530" i="13"/>
  <c r="F529" i="13"/>
  <c r="R95" i="13"/>
  <c r="P95" i="13"/>
  <c r="P107" i="13"/>
  <c r="R107" i="13"/>
  <c r="P267" i="13"/>
  <c r="R267" i="13"/>
  <c r="P358" i="13"/>
  <c r="R358" i="13"/>
  <c r="G648" i="13"/>
  <c r="G647" i="13"/>
  <c r="G650" i="13"/>
  <c r="G649" i="13"/>
  <c r="G704" i="13"/>
  <c r="G706" i="13"/>
  <c r="F446" i="6"/>
  <c r="F445" i="6"/>
  <c r="X559" i="13"/>
  <c r="X561" i="13"/>
  <c r="X557" i="13"/>
  <c r="X556" i="13"/>
  <c r="X555" i="13"/>
  <c r="X560" i="13"/>
  <c r="X554" i="13"/>
  <c r="X562" i="13"/>
  <c r="X553" i="13"/>
  <c r="X558" i="13"/>
  <c r="F553" i="13"/>
  <c r="F554" i="13"/>
  <c r="F556" i="13"/>
  <c r="F555" i="13"/>
  <c r="F559" i="13"/>
  <c r="F562" i="13"/>
  <c r="F560" i="13"/>
  <c r="F557" i="13"/>
  <c r="F1876" i="1"/>
  <c r="F558" i="13"/>
  <c r="F561" i="13"/>
  <c r="G495" i="13"/>
  <c r="G490" i="13"/>
  <c r="G496" i="13"/>
  <c r="G491" i="13"/>
  <c r="G497" i="13"/>
  <c r="G492" i="13"/>
  <c r="G498" i="13"/>
  <c r="G493" i="13"/>
  <c r="G494" i="13"/>
  <c r="G489" i="13"/>
  <c r="G881" i="13"/>
  <c r="G883" i="13"/>
  <c r="G545" i="13"/>
  <c r="G540" i="13"/>
  <c r="G484" i="13"/>
  <c r="G488" i="13"/>
  <c r="G487" i="13"/>
  <c r="G485" i="13"/>
  <c r="G483" i="13"/>
  <c r="G486" i="13"/>
  <c r="F1886" i="1"/>
  <c r="L386" i="4" s="1"/>
  <c r="F1177" i="13"/>
  <c r="X1177" i="13"/>
  <c r="AV386" i="4" s="1"/>
  <c r="G1207" i="13"/>
  <c r="G694" i="13"/>
  <c r="G693" i="13"/>
  <c r="G695" i="13"/>
  <c r="X1068" i="13"/>
  <c r="F1068" i="13"/>
  <c r="X1066" i="13"/>
  <c r="F1062" i="13"/>
  <c r="F1063" i="13"/>
  <c r="X1063" i="13"/>
  <c r="X1062" i="13"/>
  <c r="X1065" i="13"/>
  <c r="F1862" i="1"/>
  <c r="X1067" i="13"/>
  <c r="F1066" i="13"/>
  <c r="F1065" i="13"/>
  <c r="F1067" i="13"/>
  <c r="X1064" i="13"/>
  <c r="F1064" i="13"/>
  <c r="F612" i="13"/>
  <c r="F610" i="13"/>
  <c r="X609" i="13"/>
  <c r="X615" i="13"/>
  <c r="F609" i="13"/>
  <c r="F613" i="13"/>
  <c r="F1780" i="1"/>
  <c r="F616" i="13"/>
  <c r="X611" i="13"/>
  <c r="X610" i="13"/>
  <c r="X612" i="13"/>
  <c r="F614" i="13"/>
  <c r="X614" i="13"/>
  <c r="F611" i="13"/>
  <c r="X616" i="13"/>
  <c r="X613" i="13"/>
  <c r="F549" i="13"/>
  <c r="U550" i="13"/>
  <c r="U552" i="13"/>
  <c r="U547" i="13"/>
  <c r="X533" i="13"/>
  <c r="X532" i="13"/>
  <c r="F533" i="13"/>
  <c r="F532" i="13"/>
  <c r="F1759" i="1" s="1"/>
  <c r="X467" i="13"/>
  <c r="F471" i="13"/>
  <c r="X470" i="13"/>
  <c r="F470" i="13"/>
  <c r="X469" i="13"/>
  <c r="X466" i="13"/>
  <c r="X471" i="13"/>
  <c r="F469" i="13"/>
  <c r="F467" i="13"/>
  <c r="F468" i="13"/>
  <c r="X468" i="13"/>
  <c r="F466" i="13"/>
  <c r="F1715" i="1" s="1"/>
  <c r="H1715" i="1" s="1"/>
  <c r="F858" i="13"/>
  <c r="F720" i="1" s="1"/>
  <c r="U858" i="13"/>
  <c r="F859" i="13"/>
  <c r="G510" i="13"/>
  <c r="G508" i="13"/>
  <c r="G509" i="13"/>
  <c r="G597" i="13"/>
  <c r="G600" i="13"/>
  <c r="G599" i="13"/>
  <c r="G601" i="13"/>
  <c r="G598" i="13"/>
  <c r="G596" i="13"/>
  <c r="G511" i="13"/>
  <c r="G546" i="13"/>
  <c r="G1138" i="13"/>
  <c r="G1136" i="13"/>
  <c r="G1139" i="13"/>
  <c r="G1132" i="13"/>
  <c r="G1131" i="13"/>
  <c r="G1133" i="13"/>
  <c r="G1130" i="13"/>
  <c r="G1134" i="13"/>
  <c r="G1135" i="13"/>
  <c r="G1137" i="13"/>
  <c r="G860" i="13"/>
  <c r="H1819" i="1"/>
  <c r="X700" i="13"/>
  <c r="X697" i="13"/>
  <c r="X699" i="13"/>
  <c r="X698" i="13"/>
  <c r="X701" i="13"/>
  <c r="F523" i="13"/>
  <c r="F520" i="13"/>
  <c r="F1755" i="1" s="1"/>
  <c r="L256" i="4" s="1"/>
  <c r="X520" i="13"/>
  <c r="AV256" i="4" s="1"/>
  <c r="X521" i="13"/>
  <c r="X523" i="13"/>
  <c r="F522" i="13"/>
  <c r="F521" i="13"/>
  <c r="X814" i="13"/>
  <c r="X811" i="13"/>
  <c r="F812" i="13"/>
  <c r="F813" i="13"/>
  <c r="F811" i="13"/>
  <c r="X813" i="13"/>
  <c r="X812" i="13"/>
  <c r="F1830" i="1"/>
  <c r="F814" i="13"/>
  <c r="G729" i="13"/>
  <c r="F519" i="13"/>
  <c r="F518" i="13"/>
  <c r="F517" i="13"/>
  <c r="F516" i="13"/>
  <c r="F515" i="13"/>
  <c r="F514" i="13"/>
  <c r="F513" i="13"/>
  <c r="F512" i="13"/>
  <c r="F1754" i="1" s="1"/>
  <c r="L255" i="4" s="1"/>
  <c r="X519" i="13"/>
  <c r="X518" i="13"/>
  <c r="X517" i="13"/>
  <c r="X516" i="13"/>
  <c r="X515" i="13"/>
  <c r="X514" i="13"/>
  <c r="X513" i="13"/>
  <c r="X512" i="13"/>
  <c r="AV255" i="4" s="1"/>
  <c r="G1190" i="13"/>
  <c r="G1187" i="13"/>
  <c r="G1186" i="13"/>
  <c r="G1189" i="13"/>
  <c r="G1188" i="13"/>
  <c r="X1179" i="13"/>
  <c r="F1179" i="13"/>
  <c r="F1178" i="13"/>
  <c r="F1180" i="13"/>
  <c r="F1888" i="1"/>
  <c r="X1178" i="13"/>
  <c r="X1180" i="13"/>
  <c r="F640" i="13"/>
  <c r="X636" i="13"/>
  <c r="F634" i="13"/>
  <c r="F635" i="13"/>
  <c r="F636" i="13"/>
  <c r="F637" i="13"/>
  <c r="X640" i="13"/>
  <c r="X637" i="13"/>
  <c r="X638" i="13"/>
  <c r="X639" i="13"/>
  <c r="F639" i="13"/>
  <c r="F1787" i="1"/>
  <c r="X634" i="13"/>
  <c r="X635" i="13"/>
  <c r="F638" i="13"/>
  <c r="F1708" i="1"/>
  <c r="U878" i="13"/>
  <c r="U884" i="13"/>
  <c r="U883" i="13"/>
  <c r="G524" i="13"/>
  <c r="G529" i="13"/>
  <c r="G531" i="13"/>
  <c r="G526" i="13"/>
  <c r="G527" i="13"/>
  <c r="G525" i="13"/>
  <c r="G528" i="13"/>
  <c r="G530" i="13"/>
  <c r="R18" i="13"/>
  <c r="P18" i="13"/>
  <c r="R151" i="13"/>
  <c r="P151" i="13"/>
  <c r="P357" i="13"/>
  <c r="R357" i="13"/>
  <c r="X607" i="13"/>
  <c r="F606" i="13"/>
  <c r="X606" i="13"/>
  <c r="X602" i="13"/>
  <c r="F602" i="13"/>
  <c r="X608" i="13"/>
  <c r="X603" i="13"/>
  <c r="F608" i="13"/>
  <c r="X605" i="13"/>
  <c r="F603" i="13"/>
  <c r="F604" i="13"/>
  <c r="X604" i="13"/>
  <c r="F1779" i="1"/>
  <c r="F607" i="13"/>
  <c r="F605" i="13"/>
  <c r="G708" i="13"/>
  <c r="X1211" i="13"/>
  <c r="X1210" i="13"/>
  <c r="X1209" i="13"/>
  <c r="X1208" i="13"/>
  <c r="X1207" i="13"/>
  <c r="X1213" i="13"/>
  <c r="X1212" i="13"/>
  <c r="G557" i="13"/>
  <c r="G560" i="13"/>
  <c r="G561" i="13"/>
  <c r="G558" i="13"/>
  <c r="G553" i="13"/>
  <c r="G559" i="13"/>
  <c r="G562" i="13"/>
  <c r="G556" i="13"/>
  <c r="G555" i="13"/>
  <c r="G554" i="13"/>
  <c r="G542" i="13"/>
  <c r="G1209" i="13"/>
  <c r="G618" i="13"/>
  <c r="G622" i="13"/>
  <c r="G624" i="13"/>
  <c r="G617" i="13"/>
  <c r="G623" i="13"/>
  <c r="G620" i="13"/>
  <c r="G621" i="13"/>
  <c r="U549" i="13"/>
  <c r="F551" i="13"/>
  <c r="X771" i="13"/>
  <c r="X777" i="13"/>
  <c r="X775" i="13"/>
  <c r="X774" i="13"/>
  <c r="X770" i="13"/>
  <c r="X776" i="13"/>
  <c r="X773" i="13"/>
  <c r="X772" i="13"/>
  <c r="X522" i="13"/>
  <c r="G533" i="13"/>
  <c r="G532" i="13"/>
  <c r="U859" i="13"/>
  <c r="F860" i="13"/>
  <c r="U860" i="13"/>
  <c r="AH282" i="17418"/>
  <c r="AH247" i="17418"/>
  <c r="AH283" i="17418"/>
  <c r="AH245" i="17418"/>
  <c r="AH276" i="17418"/>
  <c r="AH261" i="17418"/>
  <c r="AH286" i="17418"/>
  <c r="AH249" i="17418"/>
  <c r="AH274" i="17418"/>
  <c r="AH263" i="17418"/>
  <c r="AH240" i="17418"/>
  <c r="AH243" i="17418"/>
  <c r="AH253" i="17418"/>
  <c r="AH280" i="17418"/>
  <c r="AH266" i="17418"/>
  <c r="AH272" i="17418"/>
  <c r="AH273" i="17418"/>
  <c r="AH244" i="17418"/>
  <c r="AH258" i="17418"/>
  <c r="AH288" i="17418"/>
  <c r="AH275" i="17418"/>
  <c r="AH255" i="17418"/>
  <c r="AH260" i="17418"/>
  <c r="AH279" i="17418"/>
  <c r="AH238" i="17418"/>
  <c r="AH284" i="17418"/>
  <c r="AH250" i="17418"/>
  <c r="AH254" i="17418"/>
  <c r="AH268" i="17418"/>
  <c r="AH242" i="17418"/>
  <c r="AH278" i="17418"/>
  <c r="AH246" i="17418"/>
  <c r="AH277" i="17418"/>
  <c r="AH241" i="17418"/>
  <c r="Y57" i="17419"/>
  <c r="Z42" i="17419"/>
  <c r="Z63" i="17419" s="1"/>
  <c r="AI60" i="17418"/>
  <c r="AI57" i="17418"/>
  <c r="AI59" i="17418"/>
  <c r="AI55" i="17418"/>
  <c r="Z9" i="17419"/>
  <c r="AI52" i="17418"/>
  <c r="AI48" i="17418"/>
  <c r="AI56" i="17418"/>
  <c r="AI54" i="17418"/>
  <c r="AI51" i="17418"/>
  <c r="AI49" i="17418"/>
  <c r="AI46" i="17418"/>
  <c r="AI44" i="17418"/>
  <c r="AI43" i="17418"/>
  <c r="AI41" i="17418"/>
  <c r="AI38" i="17418"/>
  <c r="AI36" i="17418"/>
  <c r="AI30" i="17418"/>
  <c r="AI45" i="17418"/>
  <c r="AI47" i="17418"/>
  <c r="AI37" i="17418"/>
  <c r="AI50" i="17418"/>
  <c r="AI39" i="17418"/>
  <c r="AI35" i="17418"/>
  <c r="AI29" i="17418"/>
  <c r="AI15" i="17418"/>
  <c r="AI53" i="17418"/>
  <c r="AI40" i="17418"/>
  <c r="AI58" i="17418"/>
  <c r="AI42" i="17418"/>
  <c r="AI34" i="17418"/>
  <c r="AJ7" i="17418"/>
  <c r="AI33" i="17418"/>
  <c r="AI31" i="17418"/>
  <c r="AI17" i="17418"/>
  <c r="X32" i="17422" s="1"/>
  <c r="AI16" i="17418"/>
  <c r="AI20" i="17418"/>
  <c r="AI18" i="17418"/>
  <c r="AI19" i="17418"/>
  <c r="AI32" i="17418"/>
  <c r="AH256" i="17418"/>
  <c r="AH262" i="17418"/>
  <c r="AH267" i="17418"/>
  <c r="AH248" i="17418"/>
  <c r="U1337" i="13" l="1"/>
  <c r="P639" i="4"/>
  <c r="F1336" i="13"/>
  <c r="X38" i="17422"/>
  <c r="X35" i="17422"/>
  <c r="L553" i="4"/>
  <c r="P553" i="4" s="1"/>
  <c r="H720" i="1"/>
  <c r="P772" i="4"/>
  <c r="X29" i="17422"/>
  <c r="U1336" i="13"/>
  <c r="F1337" i="13"/>
  <c r="F1335" i="13"/>
  <c r="AV1047" i="4"/>
  <c r="AV1046" i="4"/>
  <c r="AV1048" i="4"/>
  <c r="L1048" i="4"/>
  <c r="L1047" i="4"/>
  <c r="L1046" i="4"/>
  <c r="AV1056" i="4"/>
  <c r="AV1053" i="4"/>
  <c r="AV1051" i="4"/>
  <c r="AV1049" i="4"/>
  <c r="AV1043" i="4"/>
  <c r="AV1044" i="4"/>
  <c r="AV1052" i="4"/>
  <c r="AV1055" i="4"/>
  <c r="AV1042" i="4"/>
  <c r="AV1050" i="4"/>
  <c r="AV1057" i="4"/>
  <c r="L1043" i="4"/>
  <c r="L1057" i="4"/>
  <c r="L1044" i="4"/>
  <c r="R1044" i="4" s="1"/>
  <c r="L1042" i="4"/>
  <c r="L1056" i="4"/>
  <c r="L1041" i="4"/>
  <c r="L1039" i="4"/>
  <c r="L1040" i="4"/>
  <c r="L1031" i="4"/>
  <c r="AV1030" i="4"/>
  <c r="AS1030" i="4" s="1"/>
  <c r="AV1041" i="4"/>
  <c r="AV1039" i="4"/>
  <c r="AV1031" i="4"/>
  <c r="AV1040" i="4"/>
  <c r="L1030" i="4"/>
  <c r="H1934" i="1"/>
  <c r="P1028" i="4"/>
  <c r="R1028" i="4"/>
  <c r="AR1027" i="4"/>
  <c r="AQ1027" i="4"/>
  <c r="AT1027" i="4"/>
  <c r="AS1027" i="4"/>
  <c r="AU1027" i="4"/>
  <c r="L1026" i="4"/>
  <c r="H1927" i="1"/>
  <c r="AU1026" i="4"/>
  <c r="AQ1026" i="4"/>
  <c r="AT1026" i="4"/>
  <c r="AS1026" i="4"/>
  <c r="AR1026" i="4"/>
  <c r="L1027" i="4"/>
  <c r="H1928" i="1"/>
  <c r="L771" i="4"/>
  <c r="R771" i="4" s="1"/>
  <c r="L747" i="4"/>
  <c r="R747" i="4" s="1"/>
  <c r="H1915" i="1"/>
  <c r="L627" i="4"/>
  <c r="P627" i="4" s="1"/>
  <c r="L724" i="4"/>
  <c r="P724" i="4" s="1"/>
  <c r="F722" i="4" s="1"/>
  <c r="L620" i="4"/>
  <c r="P620" i="4" s="1"/>
  <c r="L905" i="13"/>
  <c r="L1357" i="13"/>
  <c r="R579" i="4"/>
  <c r="P579" i="4"/>
  <c r="R575" i="4"/>
  <c r="P575" i="4"/>
  <c r="AI284" i="17418"/>
  <c r="AI247" i="17418"/>
  <c r="AI14" i="17418"/>
  <c r="X26" i="17422" s="1"/>
  <c r="AH259" i="17418"/>
  <c r="X41" i="17422"/>
  <c r="AI269" i="17418"/>
  <c r="H25" i="1"/>
  <c r="X17" i="14"/>
  <c r="H1823" i="1"/>
  <c r="AJ21" i="17418"/>
  <c r="AS747" i="4"/>
  <c r="AS771" i="4"/>
  <c r="R750" i="4"/>
  <c r="AS642" i="4"/>
  <c r="AS750" i="4"/>
  <c r="R738" i="4"/>
  <c r="R725" i="4"/>
  <c r="G729" i="4" s="1"/>
  <c r="P733" i="4"/>
  <c r="R733" i="4"/>
  <c r="G737" i="4" s="1"/>
  <c r="F729" i="4"/>
  <c r="F727" i="4"/>
  <c r="F728" i="4"/>
  <c r="F726" i="4"/>
  <c r="X727" i="4"/>
  <c r="X726" i="4"/>
  <c r="X728" i="4"/>
  <c r="X729" i="4"/>
  <c r="F725" i="4"/>
  <c r="X725" i="4"/>
  <c r="AS627" i="4"/>
  <c r="AS724" i="4"/>
  <c r="AS680" i="4"/>
  <c r="AU680" i="4"/>
  <c r="AQ680" i="4"/>
  <c r="AT680" i="4"/>
  <c r="AR680" i="4"/>
  <c r="AU681" i="4"/>
  <c r="AQ681" i="4"/>
  <c r="AS681" i="4"/>
  <c r="AR681" i="4"/>
  <c r="AT681" i="4"/>
  <c r="L603" i="4"/>
  <c r="P603" i="4" s="1"/>
  <c r="AS603" i="4" s="1"/>
  <c r="L683" i="4"/>
  <c r="P680" i="4"/>
  <c r="R680" i="4"/>
  <c r="P681" i="4"/>
  <c r="R681" i="4"/>
  <c r="G643" i="4"/>
  <c r="G645" i="4"/>
  <c r="G644" i="4"/>
  <c r="P642" i="4"/>
  <c r="X641" i="4" s="1"/>
  <c r="R642" i="4"/>
  <c r="G640" i="4" s="1"/>
  <c r="AV602" i="4"/>
  <c r="AQ602" i="4" s="1"/>
  <c r="AV635" i="4"/>
  <c r="L602" i="4"/>
  <c r="R602" i="4" s="1"/>
  <c r="L635" i="4"/>
  <c r="P630" i="4"/>
  <c r="R630" i="4"/>
  <c r="L623" i="4"/>
  <c r="P623" i="4" s="1"/>
  <c r="R617" i="4"/>
  <c r="G619" i="4" s="1"/>
  <c r="AS617" i="4"/>
  <c r="AS620" i="4"/>
  <c r="F618" i="4"/>
  <c r="F619" i="4"/>
  <c r="X619" i="4"/>
  <c r="X618" i="4"/>
  <c r="AS611" i="4"/>
  <c r="AS614" i="4"/>
  <c r="P614" i="4"/>
  <c r="R614" i="4"/>
  <c r="P611" i="4"/>
  <c r="R611" i="4"/>
  <c r="AV567" i="4"/>
  <c r="AR567" i="4" s="1"/>
  <c r="AV571" i="4"/>
  <c r="L567" i="4"/>
  <c r="R567" i="4" s="1"/>
  <c r="L571" i="4"/>
  <c r="L758" i="13"/>
  <c r="P758" i="13" s="1"/>
  <c r="L537" i="4"/>
  <c r="P537" i="4" s="1"/>
  <c r="L545" i="4"/>
  <c r="H1875" i="1"/>
  <c r="L531" i="4"/>
  <c r="AU531" i="4"/>
  <c r="AS531" i="4"/>
  <c r="AQ531" i="4"/>
  <c r="AR531" i="4"/>
  <c r="AT531" i="4"/>
  <c r="AS291" i="4"/>
  <c r="L522" i="4"/>
  <c r="P522" i="4" s="1"/>
  <c r="L529" i="4"/>
  <c r="L513" i="4"/>
  <c r="P513" i="4" s="1"/>
  <c r="L515" i="4"/>
  <c r="AU254" i="4"/>
  <c r="AQ254" i="4"/>
  <c r="AT254" i="4"/>
  <c r="AS254" i="4"/>
  <c r="AR254" i="4"/>
  <c r="AU256" i="4"/>
  <c r="AQ256" i="4"/>
  <c r="AT256" i="4"/>
  <c r="AS256" i="4"/>
  <c r="AR256" i="4"/>
  <c r="AS255" i="4"/>
  <c r="AR255" i="4"/>
  <c r="AU255" i="4"/>
  <c r="AQ255" i="4"/>
  <c r="AT255" i="4"/>
  <c r="R255" i="4"/>
  <c r="P255" i="4"/>
  <c r="P256" i="4"/>
  <c r="R256" i="4"/>
  <c r="AV41" i="4"/>
  <c r="AT41" i="4" s="1"/>
  <c r="AV502" i="4"/>
  <c r="L41" i="4"/>
  <c r="P41" i="4" s="1"/>
  <c r="L502" i="4"/>
  <c r="AS257" i="4"/>
  <c r="AR257" i="4"/>
  <c r="AU257" i="4"/>
  <c r="AQ257" i="4"/>
  <c r="AT257" i="4"/>
  <c r="P257" i="4"/>
  <c r="R257" i="4"/>
  <c r="P254" i="4"/>
  <c r="R254" i="4"/>
  <c r="Q152" i="4"/>
  <c r="R152" i="4" s="1"/>
  <c r="P152" i="4"/>
  <c r="AQ152" i="4" s="1"/>
  <c r="AR152" i="4"/>
  <c r="AU152" i="4"/>
  <c r="AS152" i="4"/>
  <c r="AT152" i="4"/>
  <c r="G34" i="4"/>
  <c r="G33" i="4"/>
  <c r="X34" i="4"/>
  <c r="X33" i="4"/>
  <c r="F33" i="4"/>
  <c r="F34" i="4"/>
  <c r="R386" i="4"/>
  <c r="P386" i="4"/>
  <c r="P370" i="4"/>
  <c r="X370" i="4" s="1"/>
  <c r="R370" i="4"/>
  <c r="P291" i="4"/>
  <c r="R291" i="4"/>
  <c r="P287" i="4"/>
  <c r="R287" i="4"/>
  <c r="P369" i="4"/>
  <c r="X369" i="4" s="1"/>
  <c r="R369" i="4"/>
  <c r="R371" i="4"/>
  <c r="P371" i="4"/>
  <c r="X371" i="4" s="1"/>
  <c r="L359" i="4"/>
  <c r="L339" i="4"/>
  <c r="L435" i="4"/>
  <c r="L444" i="4"/>
  <c r="L374" i="4"/>
  <c r="L296" i="4"/>
  <c r="L50" i="4"/>
  <c r="L47" i="4"/>
  <c r="L56" i="4"/>
  <c r="L303" i="4"/>
  <c r="L480" i="4"/>
  <c r="L481" i="4"/>
  <c r="L304" i="4"/>
  <c r="AV374" i="4"/>
  <c r="AS374" i="4" s="1"/>
  <c r="AV296" i="4"/>
  <c r="AV339" i="4"/>
  <c r="AS339" i="4" s="1"/>
  <c r="AV359" i="4"/>
  <c r="AS359" i="4" s="1"/>
  <c r="AS287" i="4"/>
  <c r="AU287" i="4"/>
  <c r="AQ287" i="4"/>
  <c r="AT287" i="4"/>
  <c r="AR287" i="4"/>
  <c r="AV56" i="4"/>
  <c r="AV50" i="4"/>
  <c r="AV47" i="4"/>
  <c r="AV481" i="4"/>
  <c r="AS481" i="4" s="1"/>
  <c r="AV304" i="4"/>
  <c r="AS304" i="4" s="1"/>
  <c r="AT344" i="4"/>
  <c r="AU344" i="4"/>
  <c r="AR344" i="4"/>
  <c r="AQ344" i="4"/>
  <c r="AS386" i="4"/>
  <c r="AT386" i="4"/>
  <c r="AU386" i="4"/>
  <c r="AQ386" i="4"/>
  <c r="AR386" i="4"/>
  <c r="AT291" i="4"/>
  <c r="AR291" i="4"/>
  <c r="AQ291" i="4"/>
  <c r="AU291" i="4"/>
  <c r="AT370" i="4"/>
  <c r="AS370" i="4"/>
  <c r="AR370" i="4"/>
  <c r="AU370" i="4"/>
  <c r="AQ370" i="4"/>
  <c r="AV444" i="4"/>
  <c r="AS444" i="4" s="1"/>
  <c r="AV435" i="4"/>
  <c r="AS435" i="4" s="1"/>
  <c r="AT369" i="4"/>
  <c r="AS369" i="4"/>
  <c r="AQ369" i="4"/>
  <c r="AR369" i="4"/>
  <c r="AU369" i="4"/>
  <c r="AT371" i="4"/>
  <c r="AU371" i="4"/>
  <c r="AS371" i="4"/>
  <c r="AR371" i="4"/>
  <c r="AQ371" i="4"/>
  <c r="H1893" i="1"/>
  <c r="J22" i="8"/>
  <c r="CO37" i="17418"/>
  <c r="IO37" i="17418" s="1"/>
  <c r="EL37" i="17418"/>
  <c r="KL37" i="17418" s="1"/>
  <c r="GI37" i="17418"/>
  <c r="CO36" i="17418"/>
  <c r="IO36" i="17418" s="1"/>
  <c r="GI36" i="17418"/>
  <c r="EL36" i="17418"/>
  <c r="KL36" i="17418" s="1"/>
  <c r="IF24" i="17418"/>
  <c r="GI24" i="17418"/>
  <c r="CO24" i="17418"/>
  <c r="EL24" i="17418"/>
  <c r="KC24" i="17418"/>
  <c r="IF25" i="17418"/>
  <c r="EL25" i="17418"/>
  <c r="GI25" i="17418"/>
  <c r="KC25" i="17418"/>
  <c r="CO25" i="17418"/>
  <c r="IF23" i="17418"/>
  <c r="EL23" i="17418"/>
  <c r="CO23" i="17418"/>
  <c r="KC23" i="17418"/>
  <c r="GI23" i="17418"/>
  <c r="EL27" i="17418"/>
  <c r="CO27" i="17418"/>
  <c r="IO27" i="17418" s="1"/>
  <c r="KC27" i="17418"/>
  <c r="GI27" i="17418"/>
  <c r="IF26" i="17418"/>
  <c r="CO26" i="17418"/>
  <c r="EL26" i="17418"/>
  <c r="GI26" i="17418"/>
  <c r="KC26" i="17418"/>
  <c r="GI16" i="17418"/>
  <c r="GE16" i="17418"/>
  <c r="GA16" i="17418"/>
  <c r="FW16" i="17418"/>
  <c r="FS16" i="17418"/>
  <c r="GD16" i="17418"/>
  <c r="FY16" i="17418"/>
  <c r="FT16" i="17418"/>
  <c r="FQ16" i="17418"/>
  <c r="GF16" i="17418"/>
  <c r="FX16" i="17418"/>
  <c r="GC16" i="17418"/>
  <c r="FV16" i="17418"/>
  <c r="GG16" i="17418"/>
  <c r="FR16" i="17418"/>
  <c r="GB16" i="17418"/>
  <c r="GH16" i="17418"/>
  <c r="FZ16" i="17418"/>
  <c r="FU16" i="17418"/>
  <c r="JZ20" i="17418"/>
  <c r="JV20" i="17418"/>
  <c r="JR20" i="17418"/>
  <c r="JN20" i="17418"/>
  <c r="KA20" i="17418"/>
  <c r="JU20" i="17418"/>
  <c r="JP20" i="17418"/>
  <c r="JK20" i="17418"/>
  <c r="JY20" i="17418"/>
  <c r="JT20" i="17418"/>
  <c r="JO20" i="17418"/>
  <c r="KC20" i="17418"/>
  <c r="JX20" i="17418"/>
  <c r="JS20" i="17418"/>
  <c r="JM20" i="17418"/>
  <c r="JL20" i="17418"/>
  <c r="KB20" i="17418"/>
  <c r="JW20" i="17418"/>
  <c r="JQ20" i="17418"/>
  <c r="JZ18" i="17418"/>
  <c r="JV18" i="17418"/>
  <c r="JR18" i="17418"/>
  <c r="JN18" i="17418"/>
  <c r="KA18" i="17418"/>
  <c r="JU18" i="17418"/>
  <c r="JP18" i="17418"/>
  <c r="JK18" i="17418"/>
  <c r="JY18" i="17418"/>
  <c r="JT18" i="17418"/>
  <c r="JO18" i="17418"/>
  <c r="KC18" i="17418"/>
  <c r="JX18" i="17418"/>
  <c r="JS18" i="17418"/>
  <c r="JM18" i="17418"/>
  <c r="JW18" i="17418"/>
  <c r="JQ18" i="17418"/>
  <c r="JL18" i="17418"/>
  <c r="KB18" i="17418"/>
  <c r="CF20" i="17418"/>
  <c r="BZ20" i="17418"/>
  <c r="BW20" i="17418"/>
  <c r="BY20" i="17418"/>
  <c r="CC20" i="17418"/>
  <c r="CM20" i="17418"/>
  <c r="CH20" i="17418"/>
  <c r="CD20" i="17418"/>
  <c r="CB20" i="17418"/>
  <c r="CN20" i="17418"/>
  <c r="CE20" i="17418"/>
  <c r="CA20" i="17418"/>
  <c r="CL20" i="17418"/>
  <c r="CI20" i="17418"/>
  <c r="BX20" i="17418"/>
  <c r="CO20" i="17418"/>
  <c r="CG20" i="17418"/>
  <c r="CJ20" i="17418"/>
  <c r="CK20" i="17418"/>
  <c r="HP20" i="17418"/>
  <c r="ID20" i="17418"/>
  <c r="HX20" i="17418"/>
  <c r="HV20" i="17418"/>
  <c r="IE20" i="17418"/>
  <c r="IF20" i="17418"/>
  <c r="HN20" i="17418"/>
  <c r="HS20" i="17418"/>
  <c r="HZ20" i="17418"/>
  <c r="HY20" i="17418"/>
  <c r="HW20" i="17418"/>
  <c r="HU20" i="17418"/>
  <c r="IB20" i="17418"/>
  <c r="HO20" i="17418"/>
  <c r="HT20" i="17418"/>
  <c r="HQ20" i="17418"/>
  <c r="IA20" i="17418"/>
  <c r="IC20" i="17418"/>
  <c r="HR20" i="17418"/>
  <c r="IA16" i="17418"/>
  <c r="HZ16" i="17418"/>
  <c r="IC16" i="17418"/>
  <c r="IB16" i="17418"/>
  <c r="HO16" i="17418"/>
  <c r="HR16" i="17418"/>
  <c r="HY16" i="17418"/>
  <c r="IF16" i="17418"/>
  <c r="ID16" i="17418"/>
  <c r="HU16" i="17418"/>
  <c r="HP16" i="17418"/>
  <c r="IE16" i="17418"/>
  <c r="HV16" i="17418"/>
  <c r="HQ16" i="17418"/>
  <c r="HW16" i="17418"/>
  <c r="HN16" i="17418"/>
  <c r="HX16" i="17418"/>
  <c r="HS16" i="17418"/>
  <c r="HT16" i="17418"/>
  <c r="CB16" i="17418"/>
  <c r="CE16" i="17418"/>
  <c r="CK16" i="17418"/>
  <c r="CH16" i="17418"/>
  <c r="CO16" i="17418"/>
  <c r="CM16" i="17418"/>
  <c r="BW16" i="17418"/>
  <c r="CF16" i="17418"/>
  <c r="CG16" i="17418"/>
  <c r="CD16" i="17418"/>
  <c r="CL16" i="17418"/>
  <c r="CC16" i="17418"/>
  <c r="BY16" i="17418"/>
  <c r="BX16" i="17418"/>
  <c r="CI16" i="17418"/>
  <c r="CJ16" i="17418"/>
  <c r="CA16" i="17418"/>
  <c r="CN16" i="17418"/>
  <c r="BZ16" i="17418"/>
  <c r="JR16" i="17418"/>
  <c r="JV16" i="17418"/>
  <c r="JN16" i="17418"/>
  <c r="JQ16" i="17418"/>
  <c r="KB16" i="17418"/>
  <c r="JP16" i="17418"/>
  <c r="JO16" i="17418"/>
  <c r="KC16" i="17418"/>
  <c r="JU16" i="17418"/>
  <c r="JL16" i="17418"/>
  <c r="KA16" i="17418"/>
  <c r="JM16" i="17418"/>
  <c r="JK16" i="17418"/>
  <c r="JZ16" i="17418"/>
  <c r="JY16" i="17418"/>
  <c r="JT16" i="17418"/>
  <c r="JX16" i="17418"/>
  <c r="JW16" i="17418"/>
  <c r="JS16" i="17418"/>
  <c r="EH20" i="17418"/>
  <c r="EL20" i="17418"/>
  <c r="EB20" i="17418"/>
  <c r="DV20" i="17418"/>
  <c r="EA20" i="17418"/>
  <c r="DT20" i="17418"/>
  <c r="DW20" i="17418"/>
  <c r="ED20" i="17418"/>
  <c r="EC20" i="17418"/>
  <c r="EI20" i="17418"/>
  <c r="EF20" i="17418"/>
  <c r="DU20" i="17418"/>
  <c r="DX20" i="17418"/>
  <c r="EE20" i="17418"/>
  <c r="DY20" i="17418"/>
  <c r="EK20" i="17418"/>
  <c r="DZ20" i="17418"/>
  <c r="EJ20" i="17418"/>
  <c r="EG20" i="17418"/>
  <c r="HT18" i="17418"/>
  <c r="HS18" i="17418"/>
  <c r="HR18" i="17418"/>
  <c r="HU18" i="17418"/>
  <c r="IF18" i="17418"/>
  <c r="HP18" i="17418"/>
  <c r="IE18" i="17418"/>
  <c r="HO18" i="17418"/>
  <c r="ID18" i="17418"/>
  <c r="HN18" i="17418"/>
  <c r="HQ18" i="17418"/>
  <c r="IB18" i="17418"/>
  <c r="IA18" i="17418"/>
  <c r="HZ18" i="17418"/>
  <c r="IC18" i="17418"/>
  <c r="HX18" i="17418"/>
  <c r="HW18" i="17418"/>
  <c r="HV18" i="17418"/>
  <c r="HY18" i="17418"/>
  <c r="AI248" i="17418"/>
  <c r="AI253" i="17418"/>
  <c r="AI289" i="17418"/>
  <c r="AI255" i="17418"/>
  <c r="AI278" i="17418"/>
  <c r="AI258" i="17418"/>
  <c r="AI264" i="17418"/>
  <c r="AI261" i="17418"/>
  <c r="AI276" i="17418"/>
  <c r="EK18" i="17418"/>
  <c r="EG18" i="17418"/>
  <c r="EC18" i="17418"/>
  <c r="DY18" i="17418"/>
  <c r="DU18" i="17418"/>
  <c r="EJ18" i="17418"/>
  <c r="EF18" i="17418"/>
  <c r="EB18" i="17418"/>
  <c r="DX18" i="17418"/>
  <c r="DT18" i="17418"/>
  <c r="EI18" i="17418"/>
  <c r="EE18" i="17418"/>
  <c r="EA18" i="17418"/>
  <c r="DW18" i="17418"/>
  <c r="EL18" i="17418"/>
  <c r="EH18" i="17418"/>
  <c r="ED18" i="17418"/>
  <c r="DZ18" i="17418"/>
  <c r="DV18" i="17418"/>
  <c r="EK16" i="17418"/>
  <c r="EG16" i="17418"/>
  <c r="EC16" i="17418"/>
  <c r="DY16" i="17418"/>
  <c r="DU16" i="17418"/>
  <c r="EJ16" i="17418"/>
  <c r="EF16" i="17418"/>
  <c r="EB16" i="17418"/>
  <c r="DX16" i="17418"/>
  <c r="DT16" i="17418"/>
  <c r="EI16" i="17418"/>
  <c r="EE16" i="17418"/>
  <c r="EA16" i="17418"/>
  <c r="DW16" i="17418"/>
  <c r="EL16" i="17418"/>
  <c r="EH16" i="17418"/>
  <c r="ED16" i="17418"/>
  <c r="DZ16" i="17418"/>
  <c r="DV16" i="17418"/>
  <c r="BZ18" i="17418"/>
  <c r="CL18" i="17418"/>
  <c r="CH18" i="17418"/>
  <c r="CD18" i="17418"/>
  <c r="BW18" i="17418"/>
  <c r="CF18" i="17418"/>
  <c r="CG18" i="17418"/>
  <c r="CE18" i="17418"/>
  <c r="CJ18" i="17418"/>
  <c r="CK18" i="17418"/>
  <c r="CA18" i="17418"/>
  <c r="CM18" i="17418"/>
  <c r="BX18" i="17418"/>
  <c r="CN18" i="17418"/>
  <c r="BY18" i="17418"/>
  <c r="CO18" i="17418"/>
  <c r="CI18" i="17418"/>
  <c r="CB18" i="17418"/>
  <c r="CC18" i="17418"/>
  <c r="AI266" i="17418"/>
  <c r="AI244" i="17418"/>
  <c r="AI246" i="17418"/>
  <c r="AJ25" i="17418"/>
  <c r="AJ26" i="17418"/>
  <c r="AJ24" i="17418"/>
  <c r="AJ27" i="17418"/>
  <c r="AJ23" i="17418"/>
  <c r="H2" i="1"/>
  <c r="G39" i="17413"/>
  <c r="F39" i="17413" s="1"/>
  <c r="H1779" i="1"/>
  <c r="G354" i="13"/>
  <c r="G348" i="13"/>
  <c r="G347" i="13"/>
  <c r="G356" i="13"/>
  <c r="G352" i="13"/>
  <c r="G359" i="13"/>
  <c r="G355" i="13"/>
  <c r="G358" i="13"/>
  <c r="G349" i="13"/>
  <c r="G351" i="13"/>
  <c r="G353" i="13"/>
  <c r="G350" i="13"/>
  <c r="G357" i="13"/>
  <c r="X347" i="13"/>
  <c r="X349" i="13"/>
  <c r="X355" i="13"/>
  <c r="X351" i="13"/>
  <c r="X348" i="13"/>
  <c r="X358" i="13"/>
  <c r="X359" i="13"/>
  <c r="X356" i="13"/>
  <c r="X352" i="13"/>
  <c r="X353" i="13"/>
  <c r="X354" i="13"/>
  <c r="X357" i="13"/>
  <c r="X350" i="13"/>
  <c r="F349" i="13"/>
  <c r="F359" i="13"/>
  <c r="F350" i="13"/>
  <c r="F356" i="13"/>
  <c r="F347" i="13"/>
  <c r="F1694" i="1" s="1"/>
  <c r="H1694" i="1" s="1"/>
  <c r="F348" i="13"/>
  <c r="F358" i="13"/>
  <c r="F354" i="13"/>
  <c r="F352" i="13"/>
  <c r="F351" i="13"/>
  <c r="F353" i="13"/>
  <c r="F357" i="13"/>
  <c r="F355" i="13"/>
  <c r="H1708" i="1"/>
  <c r="H1787" i="1"/>
  <c r="H1888" i="1"/>
  <c r="H1754" i="1"/>
  <c r="H1830" i="1"/>
  <c r="H1755" i="1"/>
  <c r="G368" i="4"/>
  <c r="F368" i="4"/>
  <c r="H1759" i="1"/>
  <c r="H1780" i="1"/>
  <c r="H1862" i="1"/>
  <c r="H1886" i="1"/>
  <c r="H1876" i="1"/>
  <c r="G105" i="13"/>
  <c r="G101" i="13"/>
  <c r="G98" i="13"/>
  <c r="G99" i="13"/>
  <c r="G106" i="13"/>
  <c r="G100" i="13"/>
  <c r="G97" i="13"/>
  <c r="G109" i="13"/>
  <c r="G104" i="13"/>
  <c r="G107" i="13"/>
  <c r="G108" i="13"/>
  <c r="G102" i="13"/>
  <c r="G103" i="13"/>
  <c r="X97" i="13"/>
  <c r="AV29" i="4" s="1"/>
  <c r="X102" i="13"/>
  <c r="X104" i="13"/>
  <c r="X103" i="13"/>
  <c r="X106" i="13"/>
  <c r="X108" i="13"/>
  <c r="X105" i="13"/>
  <c r="X101" i="13"/>
  <c r="X109" i="13"/>
  <c r="X99" i="13"/>
  <c r="X107" i="13"/>
  <c r="X98" i="13"/>
  <c r="X100" i="13"/>
  <c r="F97" i="13"/>
  <c r="F1660" i="1" s="1"/>
  <c r="L29" i="4" s="1"/>
  <c r="F100" i="13"/>
  <c r="F107" i="13"/>
  <c r="F108" i="13"/>
  <c r="F109" i="13"/>
  <c r="F106" i="13"/>
  <c r="F99" i="13"/>
  <c r="F105" i="13"/>
  <c r="F102" i="13"/>
  <c r="F101" i="13"/>
  <c r="F104" i="13"/>
  <c r="F98" i="13"/>
  <c r="F103" i="13"/>
  <c r="H1756" i="1"/>
  <c r="H1853" i="1"/>
  <c r="H1815" i="1"/>
  <c r="H1890" i="1"/>
  <c r="H1873" i="1"/>
  <c r="H1748" i="1"/>
  <c r="H1838" i="1"/>
  <c r="H1803" i="1"/>
  <c r="H1903" i="1"/>
  <c r="H1792" i="1"/>
  <c r="G129" i="13"/>
  <c r="G125" i="13"/>
  <c r="G132" i="13"/>
  <c r="G134" i="13"/>
  <c r="G122" i="13"/>
  <c r="G128" i="13"/>
  <c r="G133" i="13"/>
  <c r="G131" i="13"/>
  <c r="G127" i="13"/>
  <c r="G123" i="13"/>
  <c r="G130" i="13"/>
  <c r="G126" i="13"/>
  <c r="G124" i="13"/>
  <c r="X124" i="13"/>
  <c r="X125" i="13"/>
  <c r="X126" i="13"/>
  <c r="X128" i="13"/>
  <c r="X129" i="13"/>
  <c r="X122" i="13"/>
  <c r="X130" i="13"/>
  <c r="X123" i="13"/>
  <c r="X132" i="13"/>
  <c r="X133" i="13"/>
  <c r="X134" i="13"/>
  <c r="X127" i="13"/>
  <c r="X131" i="13"/>
  <c r="F125" i="13"/>
  <c r="F124" i="13"/>
  <c r="F126" i="13"/>
  <c r="F131" i="13"/>
  <c r="F122" i="13"/>
  <c r="F1664" i="1" s="1"/>
  <c r="H1664" i="1" s="1"/>
  <c r="F130" i="13"/>
  <c r="F128" i="13"/>
  <c r="F134" i="13"/>
  <c r="F129" i="13"/>
  <c r="F133" i="13"/>
  <c r="F127" i="13"/>
  <c r="F132" i="13"/>
  <c r="F123" i="13"/>
  <c r="G146" i="13"/>
  <c r="G151" i="13"/>
  <c r="G143" i="13"/>
  <c r="G147" i="13"/>
  <c r="G140" i="13"/>
  <c r="G150" i="13"/>
  <c r="G152" i="13"/>
  <c r="G141" i="13"/>
  <c r="G149" i="13"/>
  <c r="G145" i="13"/>
  <c r="G144" i="13"/>
  <c r="G142" i="13"/>
  <c r="G139" i="13"/>
  <c r="G148" i="13"/>
  <c r="X143" i="13"/>
  <c r="X145" i="13"/>
  <c r="X150" i="13"/>
  <c r="X148" i="13"/>
  <c r="X151" i="13"/>
  <c r="X147" i="13"/>
  <c r="X149" i="13"/>
  <c r="X140" i="13"/>
  <c r="X144" i="13"/>
  <c r="X139" i="13"/>
  <c r="X141" i="13"/>
  <c r="X146" i="13"/>
  <c r="X152" i="13"/>
  <c r="X142" i="13"/>
  <c r="F142" i="13"/>
  <c r="F143" i="13"/>
  <c r="F139" i="13"/>
  <c r="F1666" i="1" s="1"/>
  <c r="H1666" i="1" s="1"/>
  <c r="F151" i="13"/>
  <c r="F147" i="13"/>
  <c r="F144" i="13"/>
  <c r="F152" i="13"/>
  <c r="F140" i="13"/>
  <c r="F146" i="13"/>
  <c r="F145" i="13"/>
  <c r="F148" i="13"/>
  <c r="F150" i="13"/>
  <c r="F149" i="13"/>
  <c r="F141" i="13"/>
  <c r="X256" i="13"/>
  <c r="AV69" i="4" s="1"/>
  <c r="X261" i="13"/>
  <c r="X264" i="13"/>
  <c r="X263" i="13"/>
  <c r="X259" i="13"/>
  <c r="X258" i="13"/>
  <c r="X268" i="13"/>
  <c r="X265" i="13"/>
  <c r="X267" i="13"/>
  <c r="X262" i="13"/>
  <c r="X266" i="13"/>
  <c r="X257" i="13"/>
  <c r="X260" i="13"/>
  <c r="F259" i="13"/>
  <c r="F258" i="13"/>
  <c r="F267" i="13"/>
  <c r="F257" i="13"/>
  <c r="F268" i="13"/>
  <c r="F260" i="13"/>
  <c r="F262" i="13"/>
  <c r="F266" i="13"/>
  <c r="F263" i="13"/>
  <c r="F256" i="13"/>
  <c r="F1683" i="1" s="1"/>
  <c r="L69" i="4" s="1"/>
  <c r="F261" i="13"/>
  <c r="F265" i="13"/>
  <c r="F264" i="13"/>
  <c r="G265" i="13"/>
  <c r="G266" i="13"/>
  <c r="G268" i="13"/>
  <c r="G264" i="13"/>
  <c r="G262" i="13"/>
  <c r="G267" i="13"/>
  <c r="G256" i="13"/>
  <c r="G261" i="13"/>
  <c r="G258" i="13"/>
  <c r="G259" i="13"/>
  <c r="G257" i="13"/>
  <c r="G260" i="13"/>
  <c r="G263" i="13"/>
  <c r="H1841" i="1"/>
  <c r="M154" i="4"/>
  <c r="O153" i="4"/>
  <c r="H1884" i="1"/>
  <c r="H1891" i="1"/>
  <c r="R769" i="13"/>
  <c r="P769" i="13"/>
  <c r="H1817" i="1"/>
  <c r="H1804" i="1"/>
  <c r="H1681" i="1"/>
  <c r="P905" i="13"/>
  <c r="R905" i="13"/>
  <c r="H1874" i="1"/>
  <c r="H1781" i="1"/>
  <c r="H1821" i="1"/>
  <c r="G93" i="13"/>
  <c r="G85" i="13"/>
  <c r="G95" i="13"/>
  <c r="G86" i="13"/>
  <c r="G94" i="13"/>
  <c r="G84" i="13"/>
  <c r="G90" i="13"/>
  <c r="G89" i="13"/>
  <c r="G96" i="13"/>
  <c r="G92" i="13"/>
  <c r="G88" i="13"/>
  <c r="G87" i="13"/>
  <c r="G91" i="13"/>
  <c r="X87" i="13"/>
  <c r="X92" i="13"/>
  <c r="X94" i="13"/>
  <c r="X85" i="13"/>
  <c r="X96" i="13"/>
  <c r="X93" i="13"/>
  <c r="X95" i="13"/>
  <c r="X84" i="13"/>
  <c r="AV516" i="4" s="1"/>
  <c r="X89" i="13"/>
  <c r="X86" i="13"/>
  <c r="X88" i="13"/>
  <c r="X90" i="13"/>
  <c r="X91" i="13"/>
  <c r="F96" i="13"/>
  <c r="F95" i="13"/>
  <c r="F92" i="13"/>
  <c r="F86" i="13"/>
  <c r="F84" i="13"/>
  <c r="F1659" i="1" s="1"/>
  <c r="L516" i="4" s="1"/>
  <c r="F89" i="13"/>
  <c r="F94" i="13"/>
  <c r="F87" i="13"/>
  <c r="F90" i="13"/>
  <c r="F85" i="13"/>
  <c r="F88" i="13"/>
  <c r="F91" i="13"/>
  <c r="F93" i="13"/>
  <c r="G12" i="13"/>
  <c r="G18" i="13"/>
  <c r="G9" i="13"/>
  <c r="G19" i="13"/>
  <c r="G11" i="13"/>
  <c r="G13" i="13"/>
  <c r="G17" i="13"/>
  <c r="G10" i="13"/>
  <c r="G16" i="13"/>
  <c r="G8" i="13"/>
  <c r="G15" i="13"/>
  <c r="G14" i="13"/>
  <c r="G7" i="13"/>
  <c r="X18" i="13"/>
  <c r="X9" i="13"/>
  <c r="X11" i="13"/>
  <c r="X17" i="13"/>
  <c r="X10" i="13"/>
  <c r="X19" i="13"/>
  <c r="X15" i="13"/>
  <c r="X14" i="13"/>
  <c r="X12" i="13"/>
  <c r="X8" i="13"/>
  <c r="X16" i="13"/>
  <c r="X7" i="13"/>
  <c r="X13" i="13"/>
  <c r="F19" i="13"/>
  <c r="F11" i="13"/>
  <c r="F18" i="13"/>
  <c r="F14" i="13"/>
  <c r="F7" i="13"/>
  <c r="F16" i="13"/>
  <c r="F13" i="13"/>
  <c r="F12" i="13"/>
  <c r="F17" i="13"/>
  <c r="F8" i="13"/>
  <c r="F15" i="13"/>
  <c r="F9" i="13"/>
  <c r="F10" i="13"/>
  <c r="F451" i="13"/>
  <c r="F1712" i="1" s="1"/>
  <c r="X451" i="13"/>
  <c r="H1889" i="1"/>
  <c r="G26" i="1"/>
  <c r="H1784" i="1"/>
  <c r="AI279" i="17418"/>
  <c r="AI252" i="17418"/>
  <c r="AI283" i="17418"/>
  <c r="AI288" i="17418"/>
  <c r="AI262" i="17418"/>
  <c r="AI243" i="17418"/>
  <c r="AI250" i="17418"/>
  <c r="AI277" i="17418"/>
  <c r="AI268" i="17418"/>
  <c r="Z57" i="17419"/>
  <c r="AI241" i="17418"/>
  <c r="AI274" i="17418"/>
  <c r="AI254" i="17418"/>
  <c r="AI285" i="17418"/>
  <c r="AI275" i="17418"/>
  <c r="AI282" i="17418"/>
  <c r="AI281" i="17418"/>
  <c r="AI257" i="17418"/>
  <c r="AI260" i="17418"/>
  <c r="AI245" i="17418"/>
  <c r="AI240" i="17418"/>
  <c r="AI287" i="17418"/>
  <c r="AJ59" i="17418"/>
  <c r="AA9" i="17419"/>
  <c r="AJ57" i="17418"/>
  <c r="AJ58" i="17418"/>
  <c r="AJ55" i="17418"/>
  <c r="AJ51" i="17418"/>
  <c r="AJ47" i="17418"/>
  <c r="AJ43" i="17418"/>
  <c r="AA42" i="17419"/>
  <c r="AA63" i="17419" s="1"/>
  <c r="AJ52" i="17418"/>
  <c r="AJ50" i="17418"/>
  <c r="AJ46" i="17418"/>
  <c r="AJ40" i="17418"/>
  <c r="AJ34" i="17418"/>
  <c r="AJ53" i="17418"/>
  <c r="AJ48" i="17418"/>
  <c r="AJ39" i="17418"/>
  <c r="AJ37" i="17418"/>
  <c r="AJ30" i="17418"/>
  <c r="AJ49" i="17418"/>
  <c r="AJ33" i="17418"/>
  <c r="AJ31" i="17418"/>
  <c r="AJ29" i="17418"/>
  <c r="AJ54" i="17418"/>
  <c r="AJ42" i="17418"/>
  <c r="AJ56" i="17418"/>
  <c r="AJ60" i="17418"/>
  <c r="AJ45" i="17418"/>
  <c r="AJ44" i="17418"/>
  <c r="AJ38" i="17418"/>
  <c r="AJ15" i="17418"/>
  <c r="AJ36" i="17418"/>
  <c r="AJ35" i="17418"/>
  <c r="AK7" i="17418"/>
  <c r="AJ41" i="17418"/>
  <c r="AJ19" i="17418"/>
  <c r="AJ16" i="17418"/>
  <c r="AJ18" i="17418"/>
  <c r="AJ20" i="17418"/>
  <c r="AJ32" i="17418"/>
  <c r="AJ17" i="17418"/>
  <c r="Y32" i="17422" s="1"/>
  <c r="AI280" i="17418"/>
  <c r="AI270" i="17418"/>
  <c r="AI267" i="17418"/>
  <c r="AI272" i="17418"/>
  <c r="AI238" i="17418"/>
  <c r="AI273" i="17418"/>
  <c r="AI242" i="17418"/>
  <c r="AI256" i="17418"/>
  <c r="AI286" i="17418"/>
  <c r="AI249" i="17418"/>
  <c r="G725" i="4" l="1"/>
  <c r="Y35" i="17422"/>
  <c r="X724" i="4"/>
  <c r="R516" i="4"/>
  <c r="P516" i="4"/>
  <c r="AT516" i="4"/>
  <c r="BS21" i="17418" s="1"/>
  <c r="IG21" i="17418" s="1"/>
  <c r="AS516" i="4"/>
  <c r="AQ516" i="4"/>
  <c r="BP21" i="17418" s="1"/>
  <c r="AR516" i="4"/>
  <c r="BQ21" i="17418" s="1"/>
  <c r="EM21" i="17418" s="1"/>
  <c r="AU516" i="4"/>
  <c r="BT21" i="17418" s="1"/>
  <c r="AR41" i="4"/>
  <c r="BP19" i="17418"/>
  <c r="CO19" i="17418" s="1"/>
  <c r="R553" i="4"/>
  <c r="G563" i="4" s="1"/>
  <c r="BS19" i="17418"/>
  <c r="IF19" i="17418" s="1"/>
  <c r="BT19" i="17418"/>
  <c r="KC19" i="17418" s="1"/>
  <c r="BQ19" i="17418"/>
  <c r="EL19" i="17418" s="1"/>
  <c r="Y38" i="17422"/>
  <c r="BT15" i="17418"/>
  <c r="BS15" i="17418"/>
  <c r="BQ15" i="17418"/>
  <c r="BR15" i="17418"/>
  <c r="BP15" i="17418"/>
  <c r="F720" i="4"/>
  <c r="X721" i="4"/>
  <c r="U563" i="4"/>
  <c r="U562" i="4"/>
  <c r="U561" i="4"/>
  <c r="F562" i="4"/>
  <c r="F563" i="4"/>
  <c r="F561" i="4"/>
  <c r="G562" i="4"/>
  <c r="F559" i="4"/>
  <c r="F557" i="4"/>
  <c r="F555" i="4"/>
  <c r="F553" i="4"/>
  <c r="F560" i="4"/>
  <c r="F558" i="4"/>
  <c r="F556" i="4"/>
  <c r="F554" i="4"/>
  <c r="U555" i="4"/>
  <c r="U560" i="4"/>
  <c r="U558" i="4"/>
  <c r="U556" i="4"/>
  <c r="U554" i="4"/>
  <c r="U553" i="4"/>
  <c r="U557" i="4"/>
  <c r="U559" i="4"/>
  <c r="AS553" i="4"/>
  <c r="G558" i="4"/>
  <c r="G555" i="4"/>
  <c r="G559" i="4"/>
  <c r="R620" i="4"/>
  <c r="P747" i="4"/>
  <c r="F749" i="4" s="1"/>
  <c r="P771" i="4"/>
  <c r="X775" i="4" s="1"/>
  <c r="AQ1030" i="4"/>
  <c r="P1043" i="4"/>
  <c r="AQ1043" i="4" s="1"/>
  <c r="R1043" i="4"/>
  <c r="P1042" i="4"/>
  <c r="AQ1042" i="4" s="1"/>
  <c r="R1042" i="4"/>
  <c r="AR1030" i="4"/>
  <c r="AT1030" i="4"/>
  <c r="P1046" i="4"/>
  <c r="AS1046" i="4" s="1"/>
  <c r="R1046" i="4"/>
  <c r="AU1048" i="4"/>
  <c r="AQ1048" i="4"/>
  <c r="AR1048" i="4"/>
  <c r="AT1048" i="4"/>
  <c r="AU1030" i="4"/>
  <c r="R1047" i="4"/>
  <c r="P1047" i="4"/>
  <c r="AS1047" i="4" s="1"/>
  <c r="AQ1046" i="4"/>
  <c r="AT1046" i="4"/>
  <c r="AU1046" i="4"/>
  <c r="AR1046" i="4"/>
  <c r="P1048" i="4"/>
  <c r="AS1048" i="4" s="1"/>
  <c r="R1048" i="4"/>
  <c r="AT1047" i="4"/>
  <c r="AQ1047" i="4"/>
  <c r="AU1047" i="4"/>
  <c r="AR1047" i="4"/>
  <c r="AU1057" i="4"/>
  <c r="AT1057" i="4"/>
  <c r="AR1057" i="4"/>
  <c r="AS1057" i="4"/>
  <c r="AR1052" i="4"/>
  <c r="AQ1052" i="4"/>
  <c r="AS1052" i="4"/>
  <c r="AU1052" i="4"/>
  <c r="AT1052" i="4"/>
  <c r="AR1051" i="4"/>
  <c r="AU1051" i="4"/>
  <c r="AQ1051" i="4"/>
  <c r="AS1051" i="4"/>
  <c r="AT1051" i="4"/>
  <c r="R1055" i="4"/>
  <c r="P1055" i="4"/>
  <c r="AS1055" i="4" s="1"/>
  <c r="AT1050" i="4"/>
  <c r="AS1050" i="4"/>
  <c r="AU1050" i="4"/>
  <c r="AR1050" i="4"/>
  <c r="AU1044" i="4"/>
  <c r="AQ1044" i="4"/>
  <c r="AT1044" i="4"/>
  <c r="AR1044" i="4"/>
  <c r="AR1053" i="4"/>
  <c r="AU1053" i="4"/>
  <c r="AS1053" i="4"/>
  <c r="AT1053" i="4"/>
  <c r="P1053" i="4"/>
  <c r="R1053" i="4"/>
  <c r="P1044" i="4"/>
  <c r="P1057" i="4"/>
  <c r="R1057" i="4"/>
  <c r="AU1042" i="4"/>
  <c r="AT1042" i="4"/>
  <c r="AR1042" i="4"/>
  <c r="AS1042" i="4"/>
  <c r="AS1043" i="4"/>
  <c r="AR1043" i="4"/>
  <c r="AU1043" i="4"/>
  <c r="AT1043" i="4"/>
  <c r="AR1056" i="4"/>
  <c r="AU1056" i="4"/>
  <c r="AQ1056" i="4"/>
  <c r="AT1056" i="4"/>
  <c r="P1056" i="4"/>
  <c r="AS1056" i="4" s="1"/>
  <c r="R1056" i="4"/>
  <c r="AQ1055" i="4"/>
  <c r="AU1055" i="4"/>
  <c r="AR1055" i="4"/>
  <c r="AT1055" i="4"/>
  <c r="AR1049" i="4"/>
  <c r="AU1049" i="4"/>
  <c r="AQ1049" i="4"/>
  <c r="AS1049" i="4"/>
  <c r="AT1049" i="4"/>
  <c r="AT1031" i="4"/>
  <c r="AS1031" i="4"/>
  <c r="AU1031" i="4"/>
  <c r="AR1031" i="4"/>
  <c r="AQ1031" i="4"/>
  <c r="P1031" i="4"/>
  <c r="R1031" i="4"/>
  <c r="AS1039" i="4"/>
  <c r="AR1039" i="4"/>
  <c r="AU1039" i="4"/>
  <c r="AT1039" i="4"/>
  <c r="P1040" i="4"/>
  <c r="AQ1040" i="4" s="1"/>
  <c r="R1040" i="4"/>
  <c r="AR1041" i="4"/>
  <c r="AU1041" i="4"/>
  <c r="AQ1041" i="4"/>
  <c r="AT1041" i="4"/>
  <c r="P1039" i="4"/>
  <c r="R1039" i="4"/>
  <c r="AS1040" i="4"/>
  <c r="AR1040" i="4"/>
  <c r="AT1040" i="4"/>
  <c r="AU1040" i="4"/>
  <c r="P1041" i="4"/>
  <c r="R1041" i="4"/>
  <c r="P1030" i="4"/>
  <c r="R1030" i="4"/>
  <c r="R627" i="4"/>
  <c r="G628" i="4" s="1"/>
  <c r="X723" i="4"/>
  <c r="F723" i="4"/>
  <c r="X720" i="4"/>
  <c r="F721" i="4"/>
  <c r="F724" i="4"/>
  <c r="R724" i="4"/>
  <c r="G723" i="4" s="1"/>
  <c r="X722" i="4"/>
  <c r="R1026" i="4"/>
  <c r="P1026" i="4"/>
  <c r="P1027" i="4"/>
  <c r="R1027" i="4"/>
  <c r="P1357" i="13"/>
  <c r="R1357" i="13"/>
  <c r="G573" i="4"/>
  <c r="G572" i="4"/>
  <c r="G574" i="4"/>
  <c r="G575" i="4"/>
  <c r="GJ16" i="17418"/>
  <c r="Y29" i="17422"/>
  <c r="AJ279" i="17418"/>
  <c r="AJ261" i="17418"/>
  <c r="AI263" i="17418"/>
  <c r="AI271" i="17418"/>
  <c r="AI259" i="17418"/>
  <c r="AJ14" i="17418"/>
  <c r="Y26" i="17422" s="1"/>
  <c r="Y41" i="17422"/>
  <c r="AI251" i="17418"/>
  <c r="AI239" i="17418"/>
  <c r="AI265" i="17418"/>
  <c r="AJ269" i="17418"/>
  <c r="H26" i="1"/>
  <c r="X18" i="14"/>
  <c r="AK21" i="17418"/>
  <c r="AK286" i="17418"/>
  <c r="G775" i="4"/>
  <c r="G776" i="4"/>
  <c r="G773" i="4"/>
  <c r="G774" i="4"/>
  <c r="G771" i="4"/>
  <c r="G772" i="4"/>
  <c r="G759" i="4"/>
  <c r="G760" i="4"/>
  <c r="G761" i="4"/>
  <c r="G742" i="4"/>
  <c r="G740" i="4"/>
  <c r="G748" i="4"/>
  <c r="G745" i="4"/>
  <c r="G758" i="4"/>
  <c r="G756" i="4"/>
  <c r="G757" i="4"/>
  <c r="G754" i="4"/>
  <c r="G755" i="4"/>
  <c r="G753" i="4"/>
  <c r="G738" i="4"/>
  <c r="G743" i="4"/>
  <c r="G744" i="4"/>
  <c r="G746" i="4"/>
  <c r="G739" i="4"/>
  <c r="G741" i="4"/>
  <c r="G750" i="4"/>
  <c r="G751" i="4"/>
  <c r="G752" i="4"/>
  <c r="G747" i="4"/>
  <c r="G749" i="4"/>
  <c r="G727" i="4"/>
  <c r="G726" i="4"/>
  <c r="G728" i="4"/>
  <c r="F737" i="4"/>
  <c r="X737" i="4"/>
  <c r="G736" i="4"/>
  <c r="G733" i="4"/>
  <c r="G735" i="4"/>
  <c r="G734" i="4"/>
  <c r="F735" i="4"/>
  <c r="F736" i="4"/>
  <c r="F733" i="4"/>
  <c r="F734" i="4"/>
  <c r="X736" i="4"/>
  <c r="X735" i="4"/>
  <c r="X733" i="4"/>
  <c r="X734" i="4"/>
  <c r="AT602" i="4"/>
  <c r="R603" i="4"/>
  <c r="G608" i="4" s="1"/>
  <c r="P683" i="4"/>
  <c r="F684" i="4" s="1"/>
  <c r="R683" i="4"/>
  <c r="G683" i="4" s="1"/>
  <c r="X685" i="4"/>
  <c r="X683" i="4"/>
  <c r="X681" i="4"/>
  <c r="X689" i="4"/>
  <c r="X688" i="4"/>
  <c r="X687" i="4"/>
  <c r="X679" i="4"/>
  <c r="X686" i="4"/>
  <c r="X682" i="4"/>
  <c r="X684" i="4"/>
  <c r="X680" i="4"/>
  <c r="AU602" i="4"/>
  <c r="AS602" i="4"/>
  <c r="P602" i="4"/>
  <c r="F641" i="4"/>
  <c r="F640" i="4"/>
  <c r="F642" i="4"/>
  <c r="X642" i="4"/>
  <c r="X640" i="4"/>
  <c r="G641" i="4"/>
  <c r="G642" i="4"/>
  <c r="AR602" i="4"/>
  <c r="P635" i="4"/>
  <c r="R635" i="4"/>
  <c r="AU635" i="4"/>
  <c r="AQ635" i="4"/>
  <c r="AS635" i="4"/>
  <c r="AT635" i="4"/>
  <c r="AR635" i="4"/>
  <c r="G632" i="4"/>
  <c r="G630" i="4"/>
  <c r="G631" i="4"/>
  <c r="F630" i="4"/>
  <c r="F631" i="4"/>
  <c r="F632" i="4"/>
  <c r="X632" i="4"/>
  <c r="X631" i="4"/>
  <c r="X630" i="4"/>
  <c r="G627" i="4"/>
  <c r="X629" i="4"/>
  <c r="X627" i="4"/>
  <c r="F629" i="4"/>
  <c r="F627" i="4"/>
  <c r="F628" i="4"/>
  <c r="X628" i="4"/>
  <c r="U625" i="4"/>
  <c r="U624" i="4"/>
  <c r="U623" i="4"/>
  <c r="U626" i="4"/>
  <c r="AS623" i="4"/>
  <c r="R623" i="4"/>
  <c r="G625" i="4" s="1"/>
  <c r="F624" i="4"/>
  <c r="F626" i="4"/>
  <c r="F625" i="4"/>
  <c r="X625" i="4"/>
  <c r="X626" i="4"/>
  <c r="X624" i="4"/>
  <c r="X623" i="4"/>
  <c r="F623" i="4"/>
  <c r="G617" i="4"/>
  <c r="G618" i="4"/>
  <c r="G621" i="4"/>
  <c r="G622" i="4"/>
  <c r="G620" i="4"/>
  <c r="F620" i="4"/>
  <c r="F621" i="4"/>
  <c r="F622" i="4"/>
  <c r="X621" i="4"/>
  <c r="X622" i="4"/>
  <c r="X620" i="4"/>
  <c r="X617" i="4"/>
  <c r="F617" i="4"/>
  <c r="G614" i="4"/>
  <c r="G615" i="4"/>
  <c r="G616" i="4"/>
  <c r="F616" i="4"/>
  <c r="F614" i="4"/>
  <c r="F615" i="4"/>
  <c r="X615" i="4"/>
  <c r="X616" i="4"/>
  <c r="X614" i="4"/>
  <c r="G611" i="4"/>
  <c r="G613" i="4"/>
  <c r="G612" i="4"/>
  <c r="F611" i="4"/>
  <c r="F613" i="4"/>
  <c r="F612" i="4"/>
  <c r="X613" i="4"/>
  <c r="X611" i="4"/>
  <c r="X612" i="4"/>
  <c r="R758" i="13"/>
  <c r="G753" i="13" s="1"/>
  <c r="AU567" i="4"/>
  <c r="U609" i="4"/>
  <c r="U607" i="4"/>
  <c r="U605" i="4"/>
  <c r="U603" i="4"/>
  <c r="U608" i="4"/>
  <c r="U604" i="4"/>
  <c r="U610" i="4"/>
  <c r="U606" i="4"/>
  <c r="F607" i="4"/>
  <c r="F610" i="4"/>
  <c r="F604" i="4"/>
  <c r="F605" i="4"/>
  <c r="F608" i="4"/>
  <c r="F609" i="4"/>
  <c r="F606" i="4"/>
  <c r="F603" i="4"/>
  <c r="AT567" i="4"/>
  <c r="AS567" i="4"/>
  <c r="AQ567" i="4"/>
  <c r="P567" i="4"/>
  <c r="P571" i="4"/>
  <c r="R571" i="4"/>
  <c r="AR571" i="4"/>
  <c r="AS571" i="4"/>
  <c r="AU571" i="4"/>
  <c r="AQ571" i="4"/>
  <c r="AT571" i="4"/>
  <c r="G566" i="4"/>
  <c r="G567" i="4"/>
  <c r="G565" i="4"/>
  <c r="R537" i="4"/>
  <c r="G537" i="4" s="1"/>
  <c r="P545" i="4"/>
  <c r="AS545" i="4" s="1"/>
  <c r="R545" i="4"/>
  <c r="G545" i="4" s="1"/>
  <c r="AS537" i="4"/>
  <c r="F537" i="4"/>
  <c r="F544" i="4"/>
  <c r="F542" i="4"/>
  <c r="U544" i="4"/>
  <c r="U540" i="4"/>
  <c r="F543" i="4"/>
  <c r="F541" i="4"/>
  <c r="U543" i="4"/>
  <c r="U537" i="4"/>
  <c r="U542" i="4"/>
  <c r="U539" i="4"/>
  <c r="F540" i="4"/>
  <c r="F539" i="4"/>
  <c r="F538" i="4"/>
  <c r="U538" i="4"/>
  <c r="U541" i="4"/>
  <c r="P531" i="4"/>
  <c r="R531" i="4"/>
  <c r="R522" i="4"/>
  <c r="G525" i="4" s="1"/>
  <c r="P529" i="4"/>
  <c r="R529" i="4"/>
  <c r="AS522" i="4"/>
  <c r="F522" i="4"/>
  <c r="U522" i="4"/>
  <c r="U525" i="4"/>
  <c r="U526" i="4"/>
  <c r="F524" i="4"/>
  <c r="U527" i="4"/>
  <c r="F527" i="4"/>
  <c r="U528" i="4"/>
  <c r="F526" i="4"/>
  <c r="U524" i="4"/>
  <c r="F528" i="4"/>
  <c r="F523" i="4"/>
  <c r="U523" i="4"/>
  <c r="F525" i="4"/>
  <c r="R513" i="4"/>
  <c r="G513" i="4" s="1"/>
  <c r="AS41" i="4"/>
  <c r="P515" i="4"/>
  <c r="R515" i="4"/>
  <c r="U513" i="4"/>
  <c r="F513" i="4"/>
  <c r="F514" i="4"/>
  <c r="U514" i="4"/>
  <c r="AS513" i="4"/>
  <c r="AQ41" i="4"/>
  <c r="AU41" i="4"/>
  <c r="R41" i="4"/>
  <c r="G255" i="4"/>
  <c r="G254" i="4"/>
  <c r="F255" i="4"/>
  <c r="F254" i="4"/>
  <c r="X254" i="4"/>
  <c r="X255" i="4"/>
  <c r="P502" i="4"/>
  <c r="R502" i="4"/>
  <c r="G256" i="4"/>
  <c r="G257" i="4"/>
  <c r="F256" i="4"/>
  <c r="F257" i="4"/>
  <c r="X256" i="4"/>
  <c r="X257" i="4"/>
  <c r="AS502" i="4"/>
  <c r="AR502" i="4"/>
  <c r="AU502" i="4"/>
  <c r="AQ502" i="4"/>
  <c r="AT502" i="4"/>
  <c r="Q153" i="4"/>
  <c r="R153" i="4" s="1"/>
  <c r="P153" i="4"/>
  <c r="AQ153" i="4" s="1"/>
  <c r="AR153" i="4"/>
  <c r="AU153" i="4"/>
  <c r="AS153" i="4"/>
  <c r="AT153" i="4"/>
  <c r="G287" i="4"/>
  <c r="G285" i="4"/>
  <c r="G286" i="4"/>
  <c r="F287" i="4"/>
  <c r="X285" i="4"/>
  <c r="F286" i="4"/>
  <c r="X287" i="4"/>
  <c r="F285" i="4"/>
  <c r="X286" i="4"/>
  <c r="G289" i="4"/>
  <c r="G292" i="4"/>
  <c r="G290" i="4"/>
  <c r="G291" i="4"/>
  <c r="G288" i="4"/>
  <c r="X384" i="4"/>
  <c r="F387" i="4"/>
  <c r="X386" i="4"/>
  <c r="F386" i="4"/>
  <c r="X387" i="4"/>
  <c r="F385" i="4"/>
  <c r="X385" i="4"/>
  <c r="F384" i="4"/>
  <c r="X292" i="4"/>
  <c r="X289" i="4"/>
  <c r="F291" i="4"/>
  <c r="X288" i="4"/>
  <c r="F290" i="4"/>
  <c r="X291" i="4"/>
  <c r="F289" i="4"/>
  <c r="X290" i="4"/>
  <c r="F292" i="4"/>
  <c r="F288" i="4"/>
  <c r="G387" i="4"/>
  <c r="G386" i="4"/>
  <c r="G385" i="4"/>
  <c r="G384" i="4"/>
  <c r="P69" i="4"/>
  <c r="R69" i="4"/>
  <c r="P29" i="4"/>
  <c r="R29" i="4"/>
  <c r="P304" i="4"/>
  <c r="R304" i="4"/>
  <c r="P481" i="4"/>
  <c r="R481" i="4"/>
  <c r="P480" i="4"/>
  <c r="R480" i="4"/>
  <c r="R303" i="4"/>
  <c r="P303" i="4"/>
  <c r="AS303" i="4" s="1"/>
  <c r="P56" i="4"/>
  <c r="R56" i="4"/>
  <c r="P47" i="4"/>
  <c r="R47" i="4"/>
  <c r="P50" i="4"/>
  <c r="R50" i="4"/>
  <c r="P296" i="4"/>
  <c r="R296" i="4"/>
  <c r="P374" i="4"/>
  <c r="R374" i="4"/>
  <c r="P444" i="4"/>
  <c r="R444" i="4"/>
  <c r="G448" i="4" s="1"/>
  <c r="P435" i="4"/>
  <c r="R435" i="4"/>
  <c r="R339" i="4"/>
  <c r="P339" i="4"/>
  <c r="R359" i="4"/>
  <c r="P359" i="4"/>
  <c r="X43" i="4"/>
  <c r="X42" i="4"/>
  <c r="X41" i="4"/>
  <c r="X44" i="4"/>
  <c r="L18" i="4"/>
  <c r="L281" i="4"/>
  <c r="AV8" i="4"/>
  <c r="AV128" i="4"/>
  <c r="AV263" i="4"/>
  <c r="AT304" i="4"/>
  <c r="AU304" i="4"/>
  <c r="AR304" i="4"/>
  <c r="AQ304" i="4"/>
  <c r="AS47" i="4"/>
  <c r="AT47" i="4"/>
  <c r="AU47" i="4"/>
  <c r="AR47" i="4"/>
  <c r="AQ47" i="4"/>
  <c r="AT359" i="4"/>
  <c r="AQ359" i="4"/>
  <c r="AR359" i="4"/>
  <c r="AU359" i="4"/>
  <c r="AT296" i="4"/>
  <c r="AU296" i="4"/>
  <c r="AR296" i="4"/>
  <c r="AQ296" i="4"/>
  <c r="AS29" i="4"/>
  <c r="AU29" i="4"/>
  <c r="AT29" i="4"/>
  <c r="AR29" i="4"/>
  <c r="BQ22" i="17418" s="1"/>
  <c r="AQ29" i="4"/>
  <c r="AQ481" i="4"/>
  <c r="AU481" i="4"/>
  <c r="AT481" i="4"/>
  <c r="AR481" i="4"/>
  <c r="AT50" i="4"/>
  <c r="AU50" i="4"/>
  <c r="AS50" i="4"/>
  <c r="AR50" i="4"/>
  <c r="AQ50" i="4"/>
  <c r="AQ339" i="4"/>
  <c r="AU339" i="4"/>
  <c r="AT339" i="4"/>
  <c r="AR339" i="4"/>
  <c r="AR374" i="4"/>
  <c r="AT374" i="4"/>
  <c r="AQ374" i="4"/>
  <c r="AU374" i="4"/>
  <c r="AU435" i="4"/>
  <c r="AQ435" i="4"/>
  <c r="AR435" i="4"/>
  <c r="AT435" i="4"/>
  <c r="AU56" i="4"/>
  <c r="AS56" i="4"/>
  <c r="AT56" i="4"/>
  <c r="AR56" i="4"/>
  <c r="AQ56" i="4"/>
  <c r="AS296" i="4"/>
  <c r="AV18" i="4"/>
  <c r="AV281" i="4"/>
  <c r="AT69" i="4"/>
  <c r="AS69" i="4"/>
  <c r="AU69" i="4"/>
  <c r="AR69" i="4"/>
  <c r="AQ69" i="4"/>
  <c r="AR444" i="4"/>
  <c r="AQ444" i="4"/>
  <c r="AT444" i="4"/>
  <c r="AU444" i="4"/>
  <c r="KD20" i="17418"/>
  <c r="KD21" i="17418"/>
  <c r="KD18" i="17418"/>
  <c r="AJ289" i="17418"/>
  <c r="KD19" i="17418"/>
  <c r="CP36" i="17418"/>
  <c r="IP36" i="17418" s="1"/>
  <c r="EM36" i="17418"/>
  <c r="KM36" i="17418" s="1"/>
  <c r="GJ36" i="17418"/>
  <c r="CP37" i="17418"/>
  <c r="IP37" i="17418" s="1"/>
  <c r="EM37" i="17418"/>
  <c r="KM37" i="17418" s="1"/>
  <c r="GJ37" i="17418"/>
  <c r="IG23" i="17418"/>
  <c r="EM23" i="17418"/>
  <c r="CP23" i="17418"/>
  <c r="GJ23" i="17418"/>
  <c r="KD23" i="17418"/>
  <c r="EM27" i="17418"/>
  <c r="CP27" i="17418"/>
  <c r="IP27" i="17418" s="1"/>
  <c r="KD27" i="17418"/>
  <c r="GJ27" i="17418"/>
  <c r="IG24" i="17418"/>
  <c r="EM24" i="17418"/>
  <c r="KD24" i="17418"/>
  <c r="CP24" i="17418"/>
  <c r="GJ24" i="17418"/>
  <c r="IG26" i="17418"/>
  <c r="EM26" i="17418"/>
  <c r="CP26" i="17418"/>
  <c r="KD26" i="17418"/>
  <c r="GJ26" i="17418"/>
  <c r="IG25" i="17418"/>
  <c r="EM25" i="17418"/>
  <c r="GJ25" i="17418"/>
  <c r="KD25" i="17418"/>
  <c r="CP25" i="17418"/>
  <c r="CP21" i="17418"/>
  <c r="IG18" i="17418"/>
  <c r="IG16" i="17418"/>
  <c r="CP16" i="17418"/>
  <c r="KD16" i="17418"/>
  <c r="CP18" i="17418"/>
  <c r="EM16" i="17418"/>
  <c r="EM18" i="17418"/>
  <c r="EM20" i="17418"/>
  <c r="IG20" i="17418"/>
  <c r="CP20" i="17418"/>
  <c r="IG19" i="17418"/>
  <c r="AJ248" i="17418"/>
  <c r="AJ268" i="17418"/>
  <c r="AJ283" i="17418"/>
  <c r="AA57" i="17419"/>
  <c r="AK27" i="17418"/>
  <c r="AK26" i="17418"/>
  <c r="AK25" i="17418"/>
  <c r="AK24" i="17418"/>
  <c r="AK23" i="17418"/>
  <c r="F911" i="13"/>
  <c r="U900" i="13"/>
  <c r="U906" i="13"/>
  <c r="F924" i="13"/>
  <c r="F919" i="13"/>
  <c r="U921" i="13"/>
  <c r="U915" i="13"/>
  <c r="F909" i="13"/>
  <c r="U911" i="13"/>
  <c r="F922" i="13"/>
  <c r="F916" i="13"/>
  <c r="U905" i="13"/>
  <c r="U914" i="13"/>
  <c r="U920" i="13"/>
  <c r="F905" i="13"/>
  <c r="U916" i="13"/>
  <c r="U922" i="13"/>
  <c r="U897" i="13"/>
  <c r="F917" i="13"/>
  <c r="U919" i="13"/>
  <c r="F898" i="13"/>
  <c r="F899" i="13"/>
  <c r="U909" i="13"/>
  <c r="F920" i="13"/>
  <c r="U910" i="13"/>
  <c r="U903" i="13"/>
  <c r="F914" i="13"/>
  <c r="F901" i="13"/>
  <c r="F903" i="13"/>
  <c r="F906" i="13"/>
  <c r="F925" i="13"/>
  <c r="F913" i="13"/>
  <c r="U899" i="13"/>
  <c r="F918" i="13"/>
  <c r="U904" i="13"/>
  <c r="U912" i="13"/>
  <c r="U901" i="13"/>
  <c r="F912" i="13"/>
  <c r="U908" i="13"/>
  <c r="F902" i="13"/>
  <c r="F904" i="13"/>
  <c r="F915" i="13"/>
  <c r="U918" i="13"/>
  <c r="F1843" i="1"/>
  <c r="L344" i="4" s="1"/>
  <c r="F907" i="13"/>
  <c r="U917" i="13"/>
  <c r="F896" i="13"/>
  <c r="U913" i="13"/>
  <c r="F908" i="13"/>
  <c r="U898" i="13"/>
  <c r="F897" i="13"/>
  <c r="F900" i="13"/>
  <c r="F910" i="13"/>
  <c r="U923" i="13"/>
  <c r="U924" i="13"/>
  <c r="U896" i="13"/>
  <c r="AS344" i="4" s="1"/>
  <c r="U902" i="13"/>
  <c r="F921" i="13"/>
  <c r="U907" i="13"/>
  <c r="U925" i="13"/>
  <c r="F923" i="13"/>
  <c r="H1712" i="1"/>
  <c r="F1651" i="1"/>
  <c r="H1659" i="1"/>
  <c r="G371" i="4"/>
  <c r="F371" i="4"/>
  <c r="F219" i="1" s="1"/>
  <c r="H219" i="1" s="1"/>
  <c r="G913" i="13"/>
  <c r="G922" i="13"/>
  <c r="G905" i="13"/>
  <c r="G914" i="13"/>
  <c r="G918" i="13"/>
  <c r="G906" i="13"/>
  <c r="G908" i="13"/>
  <c r="G924" i="13"/>
  <c r="G902" i="13"/>
  <c r="G901" i="13"/>
  <c r="G917" i="13"/>
  <c r="G921" i="13"/>
  <c r="G911" i="13"/>
  <c r="G903" i="13"/>
  <c r="G920" i="13"/>
  <c r="G907" i="13"/>
  <c r="G899" i="13"/>
  <c r="G897" i="13"/>
  <c r="G910" i="13"/>
  <c r="G923" i="13"/>
  <c r="G904" i="13"/>
  <c r="G912" i="13"/>
  <c r="G909" i="13"/>
  <c r="G896" i="13"/>
  <c r="G919" i="13"/>
  <c r="G925" i="13"/>
  <c r="G915" i="13"/>
  <c r="G900" i="13"/>
  <c r="G916" i="13"/>
  <c r="G898" i="13"/>
  <c r="G369" i="4"/>
  <c r="F369" i="4"/>
  <c r="X750" i="13"/>
  <c r="X754" i="13"/>
  <c r="F754" i="13"/>
  <c r="F1812" i="1"/>
  <c r="H1812" i="1" s="1"/>
  <c r="F755" i="13"/>
  <c r="X752" i="13"/>
  <c r="X757" i="13"/>
  <c r="F752" i="13"/>
  <c r="F756" i="13"/>
  <c r="X749" i="13"/>
  <c r="X756" i="13"/>
  <c r="F751" i="13"/>
  <c r="F750" i="13"/>
  <c r="F757" i="13"/>
  <c r="X751" i="13"/>
  <c r="X755" i="13"/>
  <c r="F753" i="13"/>
  <c r="F749" i="13"/>
  <c r="X748" i="13"/>
  <c r="X753" i="13"/>
  <c r="X758" i="13"/>
  <c r="F758" i="13"/>
  <c r="F748" i="13"/>
  <c r="G757" i="13"/>
  <c r="G758" i="13"/>
  <c r="G751" i="13"/>
  <c r="F763" i="13"/>
  <c r="X763" i="13"/>
  <c r="F768" i="13"/>
  <c r="F762" i="13"/>
  <c r="F767" i="13"/>
  <c r="X767" i="13"/>
  <c r="F764" i="13"/>
  <c r="X764" i="13"/>
  <c r="X766" i="13"/>
  <c r="F765" i="13"/>
  <c r="F759" i="13"/>
  <c r="X769" i="13"/>
  <c r="X762" i="13"/>
  <c r="F766" i="13"/>
  <c r="X761" i="13"/>
  <c r="X765" i="13"/>
  <c r="X760" i="13"/>
  <c r="F1813" i="1"/>
  <c r="F760" i="13"/>
  <c r="X759" i="13"/>
  <c r="F769" i="13"/>
  <c r="F761" i="13"/>
  <c r="X768" i="13"/>
  <c r="G760" i="13"/>
  <c r="G767" i="13"/>
  <c r="G765" i="13"/>
  <c r="G762" i="13"/>
  <c r="G759" i="13"/>
  <c r="G766" i="13"/>
  <c r="G764" i="13"/>
  <c r="G761" i="13"/>
  <c r="G769" i="13"/>
  <c r="G768" i="13"/>
  <c r="G763" i="13"/>
  <c r="O154" i="4"/>
  <c r="M155" i="4"/>
  <c r="G27" i="1"/>
  <c r="H1683" i="1"/>
  <c r="F370" i="4"/>
  <c r="G370" i="4"/>
  <c r="H1660" i="1"/>
  <c r="AJ252" i="17418"/>
  <c r="AJ254" i="17418"/>
  <c r="AJ280" i="17418"/>
  <c r="AJ285" i="17418"/>
  <c r="AJ249" i="17418"/>
  <c r="AJ244" i="17418"/>
  <c r="AJ247" i="17418"/>
  <c r="AJ284" i="17418"/>
  <c r="AJ256" i="17418"/>
  <c r="AJ287" i="17418"/>
  <c r="AJ276" i="17418"/>
  <c r="AJ274" i="17418"/>
  <c r="AJ278" i="17418"/>
  <c r="AJ260" i="17418"/>
  <c r="AJ264" i="17418"/>
  <c r="AJ253" i="17418"/>
  <c r="AJ266" i="17418"/>
  <c r="AJ267" i="17418"/>
  <c r="AJ282" i="17418"/>
  <c r="AJ281" i="17418"/>
  <c r="AJ240" i="17418"/>
  <c r="AJ277" i="17418"/>
  <c r="AJ243" i="17418"/>
  <c r="AJ241" i="17418"/>
  <c r="AJ262" i="17418"/>
  <c r="AB9" i="17419"/>
  <c r="AK54" i="17418"/>
  <c r="AK50" i="17418"/>
  <c r="AK46" i="17418"/>
  <c r="AK60" i="17418"/>
  <c r="AK55" i="17418"/>
  <c r="AK53" i="17418"/>
  <c r="AK48" i="17418"/>
  <c r="AK42" i="17418"/>
  <c r="AK58" i="17418"/>
  <c r="AK51" i="17418"/>
  <c r="AK45" i="17418"/>
  <c r="AK37" i="17418"/>
  <c r="AK33" i="17418"/>
  <c r="AK31" i="17418"/>
  <c r="AK29" i="17418"/>
  <c r="AB42" i="17419"/>
  <c r="AB63" i="17419" s="1"/>
  <c r="AK59" i="17418"/>
  <c r="AK44" i="17418"/>
  <c r="AK41" i="17418"/>
  <c r="AK34" i="17418"/>
  <c r="AK43" i="17418"/>
  <c r="AK39" i="17418"/>
  <c r="AK35" i="17418"/>
  <c r="AK40" i="17418"/>
  <c r="AL7" i="17418"/>
  <c r="AK52" i="17418"/>
  <c r="AK38" i="17418"/>
  <c r="AK30" i="17418"/>
  <c r="AK57" i="17418"/>
  <c r="AK36" i="17418"/>
  <c r="AK15" i="17418"/>
  <c r="AK47" i="17418"/>
  <c r="AK56" i="17418"/>
  <c r="AK49" i="17418"/>
  <c r="AK18" i="17418"/>
  <c r="AK20" i="17418"/>
  <c r="AK19" i="17418"/>
  <c r="Z38" i="17422" s="1"/>
  <c r="AK16" i="17418"/>
  <c r="AK17" i="17418"/>
  <c r="Z32" i="17422" s="1"/>
  <c r="AK32" i="17418"/>
  <c r="AJ275" i="17418"/>
  <c r="AJ245" i="17418"/>
  <c r="AJ270" i="17418"/>
  <c r="AJ246" i="17418"/>
  <c r="AJ255" i="17418"/>
  <c r="AJ242" i="17418"/>
  <c r="AJ238" i="17418"/>
  <c r="AJ250" i="17418"/>
  <c r="AJ272" i="17418"/>
  <c r="AJ273" i="17418"/>
  <c r="AJ288" i="17418"/>
  <c r="AJ257" i="17418"/>
  <c r="AJ258" i="17418"/>
  <c r="AJ286" i="17418"/>
  <c r="CK15" i="17418" l="1"/>
  <c r="CC15" i="17418"/>
  <c r="CQ15" i="17418"/>
  <c r="CI15" i="17418"/>
  <c r="CA15" i="17418"/>
  <c r="CP15" i="17418"/>
  <c r="CH15" i="17418"/>
  <c r="BZ15" i="17418"/>
  <c r="CO15" i="17418"/>
  <c r="CG15" i="17418"/>
  <c r="BY15" i="17418"/>
  <c r="CM15" i="17418"/>
  <c r="CE15" i="17418"/>
  <c r="BW15" i="17418"/>
  <c r="CN15" i="17418"/>
  <c r="CL15" i="17418"/>
  <c r="CJ15" i="17418"/>
  <c r="CF15" i="17418"/>
  <c r="BX15" i="17418"/>
  <c r="CD15" i="17418"/>
  <c r="CB15" i="17418"/>
  <c r="HR19" i="17418"/>
  <c r="CP19" i="17418"/>
  <c r="CD19" i="17418"/>
  <c r="CE19" i="17418"/>
  <c r="EM19" i="17418"/>
  <c r="HU19" i="17418"/>
  <c r="HO19" i="17418"/>
  <c r="HN19" i="17418"/>
  <c r="G514" i="4"/>
  <c r="HY19" i="17418"/>
  <c r="HX19" i="17418"/>
  <c r="EC22" i="17418"/>
  <c r="EL22" i="17418"/>
  <c r="JU19" i="17418"/>
  <c r="JK19" i="17418"/>
  <c r="HT19" i="17418"/>
  <c r="CG19" i="17418"/>
  <c r="HS19" i="17418"/>
  <c r="CF19" i="17418"/>
  <c r="BR22" i="17418"/>
  <c r="GE22" i="17418" s="1"/>
  <c r="F742" i="4"/>
  <c r="X742" i="4"/>
  <c r="F752" i="4"/>
  <c r="X753" i="4"/>
  <c r="X740" i="4"/>
  <c r="X747" i="4"/>
  <c r="F747" i="4"/>
  <c r="X751" i="4"/>
  <c r="X757" i="4"/>
  <c r="F756" i="4"/>
  <c r="F748" i="4"/>
  <c r="X746" i="4"/>
  <c r="F760" i="4"/>
  <c r="F755" i="4"/>
  <c r="X759" i="4"/>
  <c r="X749" i="4"/>
  <c r="X748" i="4"/>
  <c r="F751" i="4"/>
  <c r="X750" i="4"/>
  <c r="X755" i="4"/>
  <c r="F746" i="4"/>
  <c r="F739" i="4"/>
  <c r="F754" i="4"/>
  <c r="F744" i="4"/>
  <c r="F758" i="4"/>
  <c r="X756" i="4"/>
  <c r="F743" i="4"/>
  <c r="F750" i="4"/>
  <c r="F753" i="4"/>
  <c r="X752" i="4"/>
  <c r="X754" i="4"/>
  <c r="F757" i="4"/>
  <c r="X758" i="4"/>
  <c r="F759" i="4"/>
  <c r="F740" i="4"/>
  <c r="JW19" i="17418"/>
  <c r="G560" i="4"/>
  <c r="G561" i="4"/>
  <c r="KB19" i="17418"/>
  <c r="JR19" i="17418"/>
  <c r="JP19" i="17418"/>
  <c r="KA19" i="17418"/>
  <c r="G1031" i="4"/>
  <c r="F1031" i="4"/>
  <c r="IA19" i="17418"/>
  <c r="HZ19" i="17418"/>
  <c r="IE19" i="17418"/>
  <c r="HP19" i="17418"/>
  <c r="HQ19" i="17418"/>
  <c r="CL19" i="17418"/>
  <c r="CN19" i="17418"/>
  <c r="BZ19" i="17418"/>
  <c r="BX19" i="17418"/>
  <c r="BW19" i="17418"/>
  <c r="HW19" i="17418"/>
  <c r="HV19" i="17418"/>
  <c r="IC19" i="17418"/>
  <c r="IB19" i="17418"/>
  <c r="ID19" i="17418"/>
  <c r="CH19" i="17418"/>
  <c r="CK19" i="17418"/>
  <c r="CJ19" i="17418"/>
  <c r="CI19" i="17418"/>
  <c r="CM19" i="17418"/>
  <c r="BY19" i="17418"/>
  <c r="CC19" i="17418"/>
  <c r="CB19" i="17418"/>
  <c r="CA19" i="17418"/>
  <c r="G629" i="4"/>
  <c r="G521" i="4"/>
  <c r="G516" i="4"/>
  <c r="F516" i="4"/>
  <c r="X516" i="4"/>
  <c r="JV21" i="17418"/>
  <c r="JU21" i="17418"/>
  <c r="JT21" i="17418"/>
  <c r="JS21" i="17418"/>
  <c r="JQ21" i="17418"/>
  <c r="JR21" i="17418"/>
  <c r="JP21" i="17418"/>
  <c r="JO21" i="17418"/>
  <c r="JM21" i="17418"/>
  <c r="JL21" i="17418"/>
  <c r="JN21" i="17418"/>
  <c r="JK21" i="17418"/>
  <c r="KC21" i="17418"/>
  <c r="KB21" i="17418"/>
  <c r="JZ21" i="17418"/>
  <c r="KA21" i="17418"/>
  <c r="JY21" i="17418"/>
  <c r="JX21" i="17418"/>
  <c r="JW21" i="17418"/>
  <c r="HR21" i="17418"/>
  <c r="HX21" i="17418"/>
  <c r="HS21" i="17418"/>
  <c r="HU21" i="17418"/>
  <c r="IE21" i="17418"/>
  <c r="HV21" i="17418"/>
  <c r="HP21" i="17418"/>
  <c r="IB21" i="17418"/>
  <c r="HN21" i="17418"/>
  <c r="HQ21" i="17418"/>
  <c r="HZ21" i="17418"/>
  <c r="HT21" i="17418"/>
  <c r="IF21" i="17418"/>
  <c r="HW21" i="17418"/>
  <c r="ID21" i="17418"/>
  <c r="IC21" i="17418"/>
  <c r="HY21" i="17418"/>
  <c r="HO21" i="17418"/>
  <c r="IA21" i="17418"/>
  <c r="EL21" i="17418"/>
  <c r="EB21" i="17418"/>
  <c r="EG21" i="17418"/>
  <c r="EC21" i="17418"/>
  <c r="EI21" i="17418"/>
  <c r="DT21" i="17418"/>
  <c r="EF21" i="17418"/>
  <c r="DW21" i="17418"/>
  <c r="DY21" i="17418"/>
  <c r="DU21" i="17418"/>
  <c r="ED21" i="17418"/>
  <c r="EJ21" i="17418"/>
  <c r="EA21" i="17418"/>
  <c r="DV21" i="17418"/>
  <c r="EH21" i="17418"/>
  <c r="EK21" i="17418"/>
  <c r="DX21" i="17418"/>
  <c r="EE21" i="17418"/>
  <c r="DZ21" i="17418"/>
  <c r="CN21" i="17418"/>
  <c r="CO21" i="17418"/>
  <c r="CJ21" i="17418"/>
  <c r="CC21" i="17418"/>
  <c r="CB21" i="17418"/>
  <c r="CK21" i="17418"/>
  <c r="CM21" i="17418"/>
  <c r="BY21" i="17418"/>
  <c r="BZ21" i="17418"/>
  <c r="CI21" i="17418"/>
  <c r="CE21" i="17418"/>
  <c r="CF21" i="17418"/>
  <c r="CG21" i="17418"/>
  <c r="CH21" i="17418"/>
  <c r="CL21" i="17418"/>
  <c r="BX21" i="17418"/>
  <c r="CA21" i="17418"/>
  <c r="CD21" i="17418"/>
  <c r="BW21" i="17418"/>
  <c r="X521" i="4"/>
  <c r="X518" i="4"/>
  <c r="X520" i="4"/>
  <c r="X517" i="4"/>
  <c r="X515" i="4"/>
  <c r="X519" i="4"/>
  <c r="G557" i="4"/>
  <c r="G556" i="4"/>
  <c r="JM19" i="17418"/>
  <c r="JL19" i="17418"/>
  <c r="JZ19" i="17418"/>
  <c r="G553" i="4"/>
  <c r="G554" i="4"/>
  <c r="JY19" i="17418"/>
  <c r="JX19" i="17418"/>
  <c r="JO19" i="17418"/>
  <c r="JN19" i="17418"/>
  <c r="JQ19" i="17418"/>
  <c r="JT19" i="17418"/>
  <c r="JS19" i="17418"/>
  <c r="JV19" i="17418"/>
  <c r="F761" i="4"/>
  <c r="X741" i="4"/>
  <c r="X738" i="4"/>
  <c r="EI19" i="17418"/>
  <c r="EF19" i="17418"/>
  <c r="EK19" i="17418"/>
  <c r="EG19" i="17418"/>
  <c r="DV19" i="17418"/>
  <c r="DY19" i="17418"/>
  <c r="DX19" i="17418"/>
  <c r="EA19" i="17418"/>
  <c r="ED19" i="17418"/>
  <c r="DY22" i="17418"/>
  <c r="DT19" i="17418"/>
  <c r="DU19" i="17418"/>
  <c r="DW19" i="17418"/>
  <c r="DZ19" i="17418"/>
  <c r="EC19" i="17418"/>
  <c r="EB19" i="17418"/>
  <c r="EE19" i="17418"/>
  <c r="EH19" i="17418"/>
  <c r="EJ19" i="17418"/>
  <c r="BS22" i="17418"/>
  <c r="HP22" i="17418" s="1"/>
  <c r="BT22" i="17418"/>
  <c r="KC22" i="17418" s="1"/>
  <c r="EK22" i="17418"/>
  <c r="DX22" i="17418"/>
  <c r="DV22" i="17418"/>
  <c r="DU22" i="17418"/>
  <c r="DW22" i="17418"/>
  <c r="EB22" i="17418"/>
  <c r="DZ22" i="17418"/>
  <c r="EA22" i="17418"/>
  <c r="EF22" i="17418"/>
  <c r="ED22" i="17418"/>
  <c r="EE22" i="17418"/>
  <c r="EJ22" i="17418"/>
  <c r="EG22" i="17418"/>
  <c r="DT22" i="17418"/>
  <c r="EH22" i="17418"/>
  <c r="EI22" i="17418"/>
  <c r="BP22" i="17418"/>
  <c r="CO22" i="17418" s="1"/>
  <c r="Z35" i="17422"/>
  <c r="U517" i="4"/>
  <c r="I16" i="8"/>
  <c r="I14" i="8"/>
  <c r="I18" i="8"/>
  <c r="I15" i="8"/>
  <c r="X761" i="4"/>
  <c r="F738" i="4"/>
  <c r="F741" i="4"/>
  <c r="GK20" i="17418"/>
  <c r="G720" i="4"/>
  <c r="GK18" i="17418"/>
  <c r="G609" i="4"/>
  <c r="X745" i="4"/>
  <c r="X744" i="4"/>
  <c r="X760" i="4"/>
  <c r="X739" i="4"/>
  <c r="X743" i="4"/>
  <c r="F772" i="4"/>
  <c r="F775" i="4"/>
  <c r="X773" i="4"/>
  <c r="X772" i="4"/>
  <c r="F773" i="4"/>
  <c r="X771" i="4"/>
  <c r="F774" i="4"/>
  <c r="X776" i="4"/>
  <c r="F771" i="4"/>
  <c r="F745" i="4"/>
  <c r="I19" i="17418"/>
  <c r="J19" i="17418" s="1"/>
  <c r="J18" i="17418" s="1"/>
  <c r="AQ1057" i="4"/>
  <c r="F776" i="4"/>
  <c r="X774" i="4"/>
  <c r="AQ1039" i="4"/>
  <c r="G1058" i="4"/>
  <c r="G1059" i="4"/>
  <c r="F1059" i="4"/>
  <c r="F1058" i="4"/>
  <c r="S1058" i="4"/>
  <c r="S1059" i="4"/>
  <c r="S1057" i="4"/>
  <c r="G1054" i="4"/>
  <c r="AQ1053" i="4"/>
  <c r="S1056" i="4"/>
  <c r="U1054" i="4"/>
  <c r="U1056" i="4"/>
  <c r="F1054" i="4"/>
  <c r="S1055" i="4"/>
  <c r="S1054" i="4"/>
  <c r="S1053" i="4"/>
  <c r="S1052" i="4"/>
  <c r="AQ1050" i="4"/>
  <c r="U1053" i="4"/>
  <c r="U1052" i="4"/>
  <c r="U1055" i="4"/>
  <c r="S1050" i="4"/>
  <c r="S1051" i="4"/>
  <c r="S1049" i="4"/>
  <c r="G724" i="4"/>
  <c r="G722" i="4"/>
  <c r="F1047" i="4"/>
  <c r="U1048" i="4"/>
  <c r="U1043" i="4"/>
  <c r="U1047" i="4"/>
  <c r="U1042" i="4"/>
  <c r="U1045" i="4"/>
  <c r="U1046" i="4"/>
  <c r="U1044" i="4"/>
  <c r="AS1044" i="4"/>
  <c r="G1045" i="4"/>
  <c r="G1048" i="4"/>
  <c r="G1047" i="4"/>
  <c r="G1046" i="4"/>
  <c r="F1046" i="4"/>
  <c r="F1045" i="4"/>
  <c r="F1048" i="4"/>
  <c r="S1042" i="4"/>
  <c r="S1043" i="4"/>
  <c r="S1045" i="4"/>
  <c r="S1047" i="4"/>
  <c r="S1048" i="4"/>
  <c r="S1044" i="4"/>
  <c r="S1046" i="4"/>
  <c r="X1047" i="4"/>
  <c r="X1048" i="4"/>
  <c r="X1045" i="4"/>
  <c r="X1046" i="4"/>
  <c r="U1040" i="4"/>
  <c r="U1039" i="4"/>
  <c r="U1041" i="4"/>
  <c r="AS1041" i="4"/>
  <c r="F1043" i="4"/>
  <c r="F1044" i="4"/>
  <c r="F1042" i="4"/>
  <c r="X1043" i="4"/>
  <c r="X1044" i="4"/>
  <c r="X1042" i="4"/>
  <c r="G1057" i="4"/>
  <c r="G1056" i="4"/>
  <c r="G1055" i="4"/>
  <c r="G1052" i="4"/>
  <c r="G1053" i="4"/>
  <c r="G1050" i="4"/>
  <c r="G1051" i="4"/>
  <c r="G1049" i="4"/>
  <c r="S1039" i="4"/>
  <c r="S1040" i="4"/>
  <c r="S1041" i="4"/>
  <c r="F1056" i="4"/>
  <c r="F1057" i="4"/>
  <c r="X1056" i="4"/>
  <c r="X1057" i="4"/>
  <c r="G1044" i="4"/>
  <c r="G1042" i="4"/>
  <c r="G1043" i="4"/>
  <c r="F1053" i="4"/>
  <c r="F1055" i="4"/>
  <c r="F1052" i="4"/>
  <c r="X1052" i="4"/>
  <c r="X1053" i="4"/>
  <c r="X1055" i="4"/>
  <c r="F1051" i="4"/>
  <c r="F1049" i="4"/>
  <c r="F1050" i="4"/>
  <c r="X1049" i="4"/>
  <c r="X1051" i="4"/>
  <c r="X1050" i="4"/>
  <c r="G1041" i="4"/>
  <c r="G1039" i="4"/>
  <c r="G1040" i="4"/>
  <c r="F1041" i="4"/>
  <c r="F1039" i="4"/>
  <c r="F1040" i="4"/>
  <c r="X1040" i="4"/>
  <c r="X1041" i="4"/>
  <c r="X1031" i="4"/>
  <c r="X1039" i="4"/>
  <c r="F1030" i="4"/>
  <c r="X1030" i="4"/>
  <c r="G1030" i="4"/>
  <c r="G721" i="4"/>
  <c r="F1029" i="4"/>
  <c r="F1028" i="4"/>
  <c r="X1027" i="4"/>
  <c r="X1026" i="4"/>
  <c r="F1027" i="4"/>
  <c r="X1029" i="4"/>
  <c r="F1026" i="4"/>
  <c r="X1028" i="4"/>
  <c r="G1028" i="4"/>
  <c r="G1029" i="4"/>
  <c r="G1026" i="4"/>
  <c r="G1027" i="4"/>
  <c r="G1358" i="13"/>
  <c r="G1362" i="13"/>
  <c r="G1355" i="13"/>
  <c r="G1354" i="13"/>
  <c r="G1356" i="13"/>
  <c r="G1360" i="13"/>
  <c r="G1357" i="13"/>
  <c r="G1361" i="13"/>
  <c r="G1359" i="13"/>
  <c r="U1360" i="13"/>
  <c r="U1361" i="13"/>
  <c r="U1357" i="13"/>
  <c r="U1362" i="13"/>
  <c r="U1359" i="13"/>
  <c r="U1355" i="13"/>
  <c r="U1356" i="13"/>
  <c r="U1358" i="13"/>
  <c r="U1354" i="13"/>
  <c r="F1361" i="13"/>
  <c r="F1360" i="13"/>
  <c r="F1354" i="13"/>
  <c r="F1362" i="13"/>
  <c r="F1919" i="1"/>
  <c r="L1021" i="4" s="1"/>
  <c r="F1358" i="13"/>
  <c r="F1357" i="13"/>
  <c r="F1355" i="13"/>
  <c r="F1359" i="13"/>
  <c r="F1356" i="13"/>
  <c r="U545" i="4"/>
  <c r="L801" i="4"/>
  <c r="P801" i="4" s="1"/>
  <c r="AS801" i="4" s="1"/>
  <c r="AK261" i="17418"/>
  <c r="G577" i="4"/>
  <c r="G578" i="4"/>
  <c r="G576" i="4"/>
  <c r="G579" i="4"/>
  <c r="F577" i="4"/>
  <c r="F578" i="4"/>
  <c r="F579" i="4"/>
  <c r="F576" i="4"/>
  <c r="F575" i="4"/>
  <c r="F572" i="4"/>
  <c r="F573" i="4"/>
  <c r="F574" i="4"/>
  <c r="X579" i="4"/>
  <c r="X578" i="4"/>
  <c r="X576" i="4"/>
  <c r="X577" i="4"/>
  <c r="X574" i="4"/>
  <c r="X572" i="4"/>
  <c r="X573" i="4"/>
  <c r="X575" i="4"/>
  <c r="GK16" i="17418"/>
  <c r="Z29" i="17422"/>
  <c r="AK289" i="17418"/>
  <c r="AK275" i="17418"/>
  <c r="AK14" i="17418"/>
  <c r="Z26" i="17422" s="1"/>
  <c r="EM22" i="17418"/>
  <c r="AJ263" i="17418"/>
  <c r="AJ239" i="17418"/>
  <c r="AJ265" i="17418"/>
  <c r="AJ251" i="17418"/>
  <c r="AJ259" i="17418"/>
  <c r="AJ271" i="17418"/>
  <c r="H27" i="1"/>
  <c r="X19" i="14"/>
  <c r="AL21" i="17418"/>
  <c r="L501" i="4"/>
  <c r="P501" i="4" s="1"/>
  <c r="F502" i="4" s="1"/>
  <c r="X448" i="4"/>
  <c r="F448" i="4"/>
  <c r="F679" i="4"/>
  <c r="G607" i="4"/>
  <c r="G604" i="4"/>
  <c r="G605" i="4"/>
  <c r="G610" i="4"/>
  <c r="G603" i="4"/>
  <c r="G606" i="4"/>
  <c r="G748" i="13"/>
  <c r="G754" i="13"/>
  <c r="G756" i="13"/>
  <c r="G749" i="13"/>
  <c r="G755" i="13"/>
  <c r="F687" i="4"/>
  <c r="G750" i="13"/>
  <c r="G752" i="13"/>
  <c r="F682" i="4"/>
  <c r="F683" i="4"/>
  <c r="F688" i="4"/>
  <c r="F681" i="4"/>
  <c r="F689" i="4"/>
  <c r="F686" i="4"/>
  <c r="F680" i="4"/>
  <c r="F685" i="4"/>
  <c r="G686" i="4"/>
  <c r="G679" i="4"/>
  <c r="G685" i="4"/>
  <c r="G687" i="4"/>
  <c r="G680" i="4"/>
  <c r="G684" i="4"/>
  <c r="G681" i="4"/>
  <c r="G682" i="4"/>
  <c r="G689" i="4"/>
  <c r="G688" i="4"/>
  <c r="U689" i="4"/>
  <c r="U679" i="4"/>
  <c r="U682" i="4"/>
  <c r="U683" i="4"/>
  <c r="U686" i="4"/>
  <c r="U687" i="4"/>
  <c r="U680" i="4"/>
  <c r="U685" i="4"/>
  <c r="U688" i="4"/>
  <c r="U684" i="4"/>
  <c r="U681" i="4"/>
  <c r="AS683" i="4"/>
  <c r="G636" i="4"/>
  <c r="G638" i="4"/>
  <c r="G639" i="4"/>
  <c r="G637" i="4"/>
  <c r="X639" i="4"/>
  <c r="X637" i="4"/>
  <c r="X638" i="4"/>
  <c r="F638" i="4"/>
  <c r="F639" i="4"/>
  <c r="F637" i="4"/>
  <c r="G626" i="4"/>
  <c r="G624" i="4"/>
  <c r="G623" i="4"/>
  <c r="X636" i="4"/>
  <c r="F636" i="4"/>
  <c r="G634" i="4"/>
  <c r="G635" i="4"/>
  <c r="G633" i="4"/>
  <c r="F633" i="4"/>
  <c r="F634" i="4"/>
  <c r="F635" i="4"/>
  <c r="X634" i="4"/>
  <c r="X635" i="4"/>
  <c r="X633" i="4"/>
  <c r="F545" i="4"/>
  <c r="X567" i="4"/>
  <c r="G600" i="4"/>
  <c r="G601" i="4"/>
  <c r="G602" i="4"/>
  <c r="G599" i="4"/>
  <c r="X570" i="4"/>
  <c r="X600" i="4"/>
  <c r="X599" i="4"/>
  <c r="X601" i="4"/>
  <c r="X602" i="4"/>
  <c r="F601" i="4"/>
  <c r="F600" i="4"/>
  <c r="F602" i="4"/>
  <c r="F599" i="4"/>
  <c r="F567" i="4"/>
  <c r="X565" i="4"/>
  <c r="F565" i="4"/>
  <c r="X571" i="4"/>
  <c r="X564" i="4"/>
  <c r="F566" i="4"/>
  <c r="X569" i="4"/>
  <c r="X566" i="4"/>
  <c r="F570" i="4"/>
  <c r="F571" i="4"/>
  <c r="F569" i="4"/>
  <c r="G568" i="4"/>
  <c r="G571" i="4"/>
  <c r="G569" i="4"/>
  <c r="G570" i="4"/>
  <c r="F568" i="4"/>
  <c r="X568" i="4"/>
  <c r="G540" i="4"/>
  <c r="F529" i="4"/>
  <c r="G544" i="4"/>
  <c r="G538" i="4"/>
  <c r="F519" i="4"/>
  <c r="G541" i="4"/>
  <c r="G542" i="4"/>
  <c r="G539" i="4"/>
  <c r="G543" i="4"/>
  <c r="U520" i="4"/>
  <c r="U529" i="4"/>
  <c r="G546" i="4"/>
  <c r="G552" i="4"/>
  <c r="G548" i="4"/>
  <c r="G564" i="4"/>
  <c r="G550" i="4"/>
  <c r="G547" i="4"/>
  <c r="G551" i="4"/>
  <c r="G549" i="4"/>
  <c r="F546" i="4"/>
  <c r="F552" i="4"/>
  <c r="F547" i="4"/>
  <c r="U550" i="4"/>
  <c r="F564" i="4"/>
  <c r="F548" i="4"/>
  <c r="U549" i="4"/>
  <c r="U547" i="4"/>
  <c r="U552" i="4"/>
  <c r="U564" i="4"/>
  <c r="U551" i="4"/>
  <c r="U546" i="4"/>
  <c r="F550" i="4"/>
  <c r="F549" i="4"/>
  <c r="U548" i="4"/>
  <c r="F551" i="4"/>
  <c r="G526" i="4"/>
  <c r="G527" i="4"/>
  <c r="G524" i="4"/>
  <c r="U518" i="4"/>
  <c r="G531" i="4"/>
  <c r="G529" i="4"/>
  <c r="G522" i="4"/>
  <c r="G528" i="4"/>
  <c r="G523" i="4"/>
  <c r="X529" i="4"/>
  <c r="X533" i="4"/>
  <c r="X531" i="4"/>
  <c r="X532" i="4"/>
  <c r="X536" i="4"/>
  <c r="X534" i="4"/>
  <c r="X535" i="4"/>
  <c r="X530" i="4"/>
  <c r="U515" i="4"/>
  <c r="F515" i="4"/>
  <c r="F517" i="4"/>
  <c r="F518" i="4"/>
  <c r="F520" i="4"/>
  <c r="U519" i="4"/>
  <c r="AS529" i="4"/>
  <c r="F531" i="4"/>
  <c r="U531" i="4"/>
  <c r="G536" i="4"/>
  <c r="G535" i="4"/>
  <c r="G534" i="4"/>
  <c r="G533" i="4"/>
  <c r="G532" i="4"/>
  <c r="G530" i="4"/>
  <c r="F536" i="4"/>
  <c r="F534" i="4"/>
  <c r="F530" i="4"/>
  <c r="F535" i="4"/>
  <c r="F532" i="4"/>
  <c r="F533" i="4"/>
  <c r="U532" i="4"/>
  <c r="U530" i="4"/>
  <c r="U533" i="4"/>
  <c r="U536" i="4"/>
  <c r="U535" i="4"/>
  <c r="U534" i="4"/>
  <c r="G519" i="4"/>
  <c r="G515" i="4"/>
  <c r="G518" i="4"/>
  <c r="G520" i="4"/>
  <c r="G517" i="4"/>
  <c r="U521" i="4"/>
  <c r="F521" i="4"/>
  <c r="AS515" i="4"/>
  <c r="X502" i="4"/>
  <c r="X501" i="4"/>
  <c r="X503" i="4"/>
  <c r="Q154" i="4"/>
  <c r="R154" i="4" s="1"/>
  <c r="P154" i="4"/>
  <c r="AQ154" i="4" s="1"/>
  <c r="AU154" i="4"/>
  <c r="AS154" i="4"/>
  <c r="AT154" i="4"/>
  <c r="AR154" i="4"/>
  <c r="G294" i="4"/>
  <c r="G295" i="4"/>
  <c r="G297" i="4"/>
  <c r="G296" i="4"/>
  <c r="G293" i="4"/>
  <c r="G45" i="4"/>
  <c r="G47" i="4"/>
  <c r="G46" i="4"/>
  <c r="F302" i="4"/>
  <c r="F298" i="4"/>
  <c r="F305" i="4"/>
  <c r="F301" i="4"/>
  <c r="F304" i="4"/>
  <c r="F300" i="4"/>
  <c r="F303" i="4"/>
  <c r="F299" i="4"/>
  <c r="G31" i="4"/>
  <c r="G27" i="4"/>
  <c r="G30" i="4"/>
  <c r="G29" i="4"/>
  <c r="G32" i="4"/>
  <c r="G28" i="4"/>
  <c r="X294" i="4"/>
  <c r="F294" i="4"/>
  <c r="X293" i="4"/>
  <c r="F297" i="4"/>
  <c r="F293" i="4"/>
  <c r="X297" i="4"/>
  <c r="F296" i="4"/>
  <c r="X296" i="4"/>
  <c r="X295" i="4"/>
  <c r="F295" i="4"/>
  <c r="F45" i="4"/>
  <c r="X47" i="4"/>
  <c r="F47" i="4"/>
  <c r="X46" i="4"/>
  <c r="X45" i="4"/>
  <c r="F46" i="4"/>
  <c r="G298" i="4"/>
  <c r="G300" i="4"/>
  <c r="G305" i="4"/>
  <c r="G303" i="4"/>
  <c r="G301" i="4"/>
  <c r="G299" i="4"/>
  <c r="G302" i="4"/>
  <c r="G304" i="4"/>
  <c r="X480" i="4"/>
  <c r="X479" i="4"/>
  <c r="X481" i="4"/>
  <c r="X478" i="4"/>
  <c r="X477" i="4"/>
  <c r="X29" i="4"/>
  <c r="X31" i="4"/>
  <c r="F29" i="4"/>
  <c r="X28" i="4"/>
  <c r="F32" i="4"/>
  <c r="F28" i="4"/>
  <c r="X27" i="4"/>
  <c r="F31" i="4"/>
  <c r="F27" i="4"/>
  <c r="X30" i="4"/>
  <c r="X32" i="4"/>
  <c r="F30" i="4"/>
  <c r="X357" i="4"/>
  <c r="X359" i="4"/>
  <c r="F374" i="4"/>
  <c r="F359" i="4"/>
  <c r="X372" i="4"/>
  <c r="X374" i="4"/>
  <c r="F373" i="4"/>
  <c r="F358" i="4"/>
  <c r="X360" i="4"/>
  <c r="X358" i="4"/>
  <c r="F372" i="4"/>
  <c r="F357" i="4"/>
  <c r="X373" i="4"/>
  <c r="X375" i="4"/>
  <c r="F375" i="4"/>
  <c r="F360" i="4"/>
  <c r="G434" i="4"/>
  <c r="G433" i="4"/>
  <c r="G432" i="4"/>
  <c r="G435" i="4"/>
  <c r="G52" i="4"/>
  <c r="G49" i="4"/>
  <c r="G48" i="4"/>
  <c r="G53" i="4"/>
  <c r="G50" i="4"/>
  <c r="G51" i="4"/>
  <c r="G60" i="4"/>
  <c r="G58" i="4"/>
  <c r="G55" i="4"/>
  <c r="G54" i="4"/>
  <c r="G59" i="4"/>
  <c r="G56" i="4"/>
  <c r="G57" i="4"/>
  <c r="G480" i="4"/>
  <c r="G478" i="4"/>
  <c r="G479" i="4"/>
  <c r="G481" i="4"/>
  <c r="G477" i="4"/>
  <c r="G73" i="4"/>
  <c r="G70" i="4"/>
  <c r="G68" i="4"/>
  <c r="G61" i="4"/>
  <c r="G69" i="4"/>
  <c r="G62" i="4"/>
  <c r="G72" i="4"/>
  <c r="G71" i="4"/>
  <c r="G63" i="4"/>
  <c r="G64" i="4"/>
  <c r="G66" i="4"/>
  <c r="G65" i="4"/>
  <c r="G67" i="4"/>
  <c r="G374" i="4"/>
  <c r="G359" i="4"/>
  <c r="G373" i="4"/>
  <c r="G358" i="4"/>
  <c r="G372" i="4"/>
  <c r="G357" i="4"/>
  <c r="G375" i="4"/>
  <c r="G360" i="4"/>
  <c r="F432" i="4"/>
  <c r="F433" i="4"/>
  <c r="F434" i="4"/>
  <c r="F435" i="4"/>
  <c r="F51" i="4"/>
  <c r="F48" i="4"/>
  <c r="X50" i="4"/>
  <c r="X48" i="4"/>
  <c r="F53" i="4"/>
  <c r="F50" i="4"/>
  <c r="X49" i="4"/>
  <c r="F52" i="4"/>
  <c r="X53" i="4"/>
  <c r="F49" i="4"/>
  <c r="X51" i="4"/>
  <c r="X52" i="4"/>
  <c r="X55" i="4"/>
  <c r="X56" i="4"/>
  <c r="F59" i="4"/>
  <c r="F56" i="4"/>
  <c r="X57" i="4"/>
  <c r="X54" i="4"/>
  <c r="F57" i="4"/>
  <c r="X60" i="4"/>
  <c r="F54" i="4"/>
  <c r="F60" i="4"/>
  <c r="X59" i="4"/>
  <c r="X58" i="4"/>
  <c r="F55" i="4"/>
  <c r="F58" i="4"/>
  <c r="F481" i="4"/>
  <c r="F478" i="4"/>
  <c r="F480" i="4"/>
  <c r="F477" i="4"/>
  <c r="F479" i="4"/>
  <c r="X300" i="4"/>
  <c r="X299" i="4"/>
  <c r="X305" i="4"/>
  <c r="X302" i="4"/>
  <c r="X303" i="4"/>
  <c r="X298" i="4"/>
  <c r="X304" i="4"/>
  <c r="X301" i="4"/>
  <c r="F66" i="4"/>
  <c r="F68" i="4"/>
  <c r="F73" i="4"/>
  <c r="X63" i="4"/>
  <c r="X73" i="4"/>
  <c r="X72" i="4"/>
  <c r="F72" i="4"/>
  <c r="F61" i="4"/>
  <c r="F70" i="4"/>
  <c r="X70" i="4"/>
  <c r="X69" i="4"/>
  <c r="X68" i="4"/>
  <c r="F65" i="4"/>
  <c r="F71" i="4"/>
  <c r="F63" i="4"/>
  <c r="X71" i="4"/>
  <c r="X66" i="4"/>
  <c r="X65" i="4"/>
  <c r="X64" i="4"/>
  <c r="F69" i="4"/>
  <c r="F62" i="4"/>
  <c r="F67" i="4"/>
  <c r="F64" i="4"/>
  <c r="X67" i="4"/>
  <c r="X62" i="4"/>
  <c r="X61" i="4"/>
  <c r="P344" i="4"/>
  <c r="R344" i="4"/>
  <c r="P281" i="4"/>
  <c r="R281" i="4"/>
  <c r="P18" i="4"/>
  <c r="R18" i="4"/>
  <c r="X341" i="4"/>
  <c r="X340" i="4"/>
  <c r="X343" i="4"/>
  <c r="X339" i="4"/>
  <c r="X342" i="4"/>
  <c r="X434" i="4"/>
  <c r="X433" i="4"/>
  <c r="X435" i="4"/>
  <c r="X432" i="4"/>
  <c r="X446" i="4"/>
  <c r="X444" i="4"/>
  <c r="X445" i="4"/>
  <c r="X443" i="4"/>
  <c r="X447" i="4"/>
  <c r="U299" i="4"/>
  <c r="U301" i="4"/>
  <c r="U305" i="4"/>
  <c r="U300" i="4"/>
  <c r="U304" i="4"/>
  <c r="U298" i="4"/>
  <c r="U303" i="4"/>
  <c r="U302" i="4"/>
  <c r="U479" i="4"/>
  <c r="U478" i="4"/>
  <c r="U481" i="4"/>
  <c r="U480" i="4"/>
  <c r="U477" i="4"/>
  <c r="L263" i="4"/>
  <c r="L128" i="4"/>
  <c r="L8" i="4"/>
  <c r="G44" i="4"/>
  <c r="G43" i="4"/>
  <c r="G42" i="4"/>
  <c r="G41" i="4"/>
  <c r="F44" i="4"/>
  <c r="F43" i="4"/>
  <c r="F42" i="4"/>
  <c r="F41" i="4"/>
  <c r="F343" i="4"/>
  <c r="F342" i="4"/>
  <c r="F341" i="4"/>
  <c r="F340" i="4"/>
  <c r="F339" i="4"/>
  <c r="G343" i="4"/>
  <c r="G342" i="4"/>
  <c r="G341" i="4"/>
  <c r="G340" i="4"/>
  <c r="G339" i="4"/>
  <c r="G447" i="4"/>
  <c r="G443" i="4"/>
  <c r="G446" i="4"/>
  <c r="G445" i="4"/>
  <c r="G444" i="4"/>
  <c r="F447" i="4"/>
  <c r="F446" i="4"/>
  <c r="F443" i="4"/>
  <c r="F444" i="4"/>
  <c r="F445" i="4"/>
  <c r="AT263" i="4"/>
  <c r="AS263" i="4"/>
  <c r="AU263" i="4"/>
  <c r="AR263" i="4"/>
  <c r="AQ263" i="4"/>
  <c r="AT281" i="4"/>
  <c r="AS281" i="4"/>
  <c r="AU281" i="4"/>
  <c r="AR281" i="4"/>
  <c r="AQ281" i="4"/>
  <c r="AQ128" i="4"/>
  <c r="AT128" i="4"/>
  <c r="AS128" i="4"/>
  <c r="AU128" i="4"/>
  <c r="AR128" i="4"/>
  <c r="AS480" i="4"/>
  <c r="AS18" i="4"/>
  <c r="AT18" i="4"/>
  <c r="AU18" i="4"/>
  <c r="AR18" i="4"/>
  <c r="AQ18" i="4"/>
  <c r="AT8" i="4"/>
  <c r="AU8" i="4"/>
  <c r="AS8" i="4"/>
  <c r="AR8" i="4"/>
  <c r="AQ8" i="4"/>
  <c r="KE21" i="17418"/>
  <c r="KE20" i="17418"/>
  <c r="KE18" i="17418"/>
  <c r="KE19" i="17418"/>
  <c r="AB57" i="17419"/>
  <c r="EN36" i="17418"/>
  <c r="KN36" i="17418" s="1"/>
  <c r="GK36" i="17418"/>
  <c r="CQ36" i="17418"/>
  <c r="IQ36" i="17418" s="1"/>
  <c r="GK37" i="17418"/>
  <c r="CQ37" i="17418"/>
  <c r="IQ37" i="17418" s="1"/>
  <c r="EN37" i="17418"/>
  <c r="KN37" i="17418" s="1"/>
  <c r="IH23" i="17418"/>
  <c r="EN23" i="17418"/>
  <c r="CQ23" i="17418"/>
  <c r="GK23" i="17418"/>
  <c r="KE23" i="17418"/>
  <c r="EN24" i="17418"/>
  <c r="KE24" i="17418"/>
  <c r="IH24" i="17418"/>
  <c r="GK24" i="17418"/>
  <c r="CQ24" i="17418"/>
  <c r="CQ25" i="17418"/>
  <c r="IH25" i="17418"/>
  <c r="EN25" i="17418"/>
  <c r="KE25" i="17418"/>
  <c r="GK25" i="17418"/>
  <c r="IH26" i="17418"/>
  <c r="EN26" i="17418"/>
  <c r="CQ26" i="17418"/>
  <c r="GK26" i="17418"/>
  <c r="KE26" i="17418"/>
  <c r="EN27" i="17418"/>
  <c r="CQ27" i="17418"/>
  <c r="IQ27" i="17418" s="1"/>
  <c r="GK27" i="17418"/>
  <c r="KE27" i="17418"/>
  <c r="IH18" i="17418"/>
  <c r="CQ18" i="17418"/>
  <c r="EN18" i="17418"/>
  <c r="EN21" i="17418"/>
  <c r="CQ21" i="17418"/>
  <c r="IH21" i="17418"/>
  <c r="CQ20" i="17418"/>
  <c r="IH20" i="17418"/>
  <c r="EN20" i="17418"/>
  <c r="BP17" i="17418"/>
  <c r="IH16" i="17418"/>
  <c r="CQ16" i="17418"/>
  <c r="KE16" i="17418"/>
  <c r="EN16" i="17418"/>
  <c r="BT17" i="17418"/>
  <c r="BQ17" i="17418"/>
  <c r="BS17" i="17418"/>
  <c r="BR17" i="17418"/>
  <c r="IH19" i="17418"/>
  <c r="CQ19" i="17418"/>
  <c r="EN19" i="17418"/>
  <c r="AK280" i="17418"/>
  <c r="AK256" i="17418"/>
  <c r="AK281" i="17418"/>
  <c r="AK282" i="17418"/>
  <c r="AK287" i="17418"/>
  <c r="AK258" i="17418"/>
  <c r="AL27" i="17418"/>
  <c r="AL26" i="17418"/>
  <c r="AL25" i="17418"/>
  <c r="AL24" i="17418"/>
  <c r="AL23" i="17418"/>
  <c r="I21" i="8"/>
  <c r="H1843" i="1"/>
  <c r="M156" i="4"/>
  <c r="O155" i="4"/>
  <c r="G28" i="1"/>
  <c r="H1813" i="1"/>
  <c r="F1760" i="1"/>
  <c r="H1760" i="1" s="1"/>
  <c r="H1651" i="1"/>
  <c r="H1647" i="1" s="1"/>
  <c r="AK276" i="17418"/>
  <c r="AK262" i="17418"/>
  <c r="AK267" i="17418"/>
  <c r="AK253" i="17418"/>
  <c r="AK278" i="17418"/>
  <c r="AK264" i="17418"/>
  <c r="AK268" i="17418"/>
  <c r="AK273" i="17418"/>
  <c r="AK283" i="17418"/>
  <c r="AK250" i="17418"/>
  <c r="AK249" i="17418"/>
  <c r="AK277" i="17418"/>
  <c r="AK245" i="17418"/>
  <c r="AK279" i="17418"/>
  <c r="AK269" i="17418"/>
  <c r="AK248" i="17418"/>
  <c r="AK274" i="17418"/>
  <c r="AK252" i="17418"/>
  <c r="AK270" i="17418"/>
  <c r="AK242" i="17418"/>
  <c r="AK243" i="17418"/>
  <c r="AK241" i="17418"/>
  <c r="AK247" i="17418"/>
  <c r="AK285" i="17418"/>
  <c r="AK272" i="17418"/>
  <c r="AK244" i="17418"/>
  <c r="AK246" i="17418"/>
  <c r="AK238" i="17418"/>
  <c r="AK254" i="17418"/>
  <c r="AK257" i="17418"/>
  <c r="AK240" i="17418"/>
  <c r="AK260" i="17418"/>
  <c r="AK255" i="17418"/>
  <c r="AK288" i="17418"/>
  <c r="AL58" i="17418"/>
  <c r="AC42" i="17419"/>
  <c r="AC63" i="17419" s="1"/>
  <c r="AL56" i="17418"/>
  <c r="AL60" i="17418"/>
  <c r="AL57" i="17418"/>
  <c r="AL53" i="17418"/>
  <c r="AL49" i="17418"/>
  <c r="AL50" i="17418"/>
  <c r="AL47" i="17418"/>
  <c r="AL45" i="17418"/>
  <c r="AL42" i="17418"/>
  <c r="AL39" i="17418"/>
  <c r="AL35" i="17418"/>
  <c r="AL51" i="17418"/>
  <c r="AL46" i="17418"/>
  <c r="AL43" i="17418"/>
  <c r="AL40" i="17418"/>
  <c r="AL38" i="17418"/>
  <c r="AL31" i="17418"/>
  <c r="AL36" i="17418"/>
  <c r="AL48" i="17418"/>
  <c r="AL44" i="17418"/>
  <c r="AL33" i="17418"/>
  <c r="AL30" i="17418"/>
  <c r="AL29" i="17418"/>
  <c r="AL52" i="17418"/>
  <c r="AL37" i="17418"/>
  <c r="AC9" i="17419"/>
  <c r="AL59" i="17418"/>
  <c r="AL55" i="17418"/>
  <c r="AL34" i="17418"/>
  <c r="AL54" i="17418"/>
  <c r="AL41" i="17418"/>
  <c r="AL15" i="17418"/>
  <c r="CR15" i="17418" s="1"/>
  <c r="AM7" i="17418"/>
  <c r="AL18" i="17418"/>
  <c r="AL16" i="17418"/>
  <c r="AL20" i="17418"/>
  <c r="AL17" i="17418"/>
  <c r="AA32" i="17422" s="1"/>
  <c r="AL19" i="17418"/>
  <c r="AL32" i="17418"/>
  <c r="AK266" i="17418"/>
  <c r="AK284" i="17418"/>
  <c r="FX22" i="17418" l="1"/>
  <c r="GA22" i="17418"/>
  <c r="GH22" i="17418"/>
  <c r="AA38" i="17422"/>
  <c r="GG22" i="17418"/>
  <c r="FV22" i="17418"/>
  <c r="FS22" i="17418"/>
  <c r="KE22" i="17418"/>
  <c r="FU22" i="17418"/>
  <c r="GF22" i="17418"/>
  <c r="CQ22" i="17418"/>
  <c r="IG22" i="17418"/>
  <c r="GI22" i="17418"/>
  <c r="FY22" i="17418"/>
  <c r="FZ22" i="17418"/>
  <c r="FT22" i="17418"/>
  <c r="FR22" i="17418"/>
  <c r="FW22" i="17418"/>
  <c r="GB22" i="17418"/>
  <c r="FQ22" i="17418"/>
  <c r="GD22" i="17418"/>
  <c r="GJ22" i="17418"/>
  <c r="GC22" i="17418"/>
  <c r="CP22" i="17418"/>
  <c r="CJ22" i="17418"/>
  <c r="KD22" i="17418"/>
  <c r="BY22" i="17418"/>
  <c r="CG22" i="17418"/>
  <c r="J18" i="8"/>
  <c r="J17" i="8" s="1"/>
  <c r="BZ22" i="17418"/>
  <c r="CD22" i="17418"/>
  <c r="CK22" i="17418"/>
  <c r="CE22" i="17418"/>
  <c r="CB22" i="17418"/>
  <c r="CL22" i="17418"/>
  <c r="CA22" i="17418"/>
  <c r="JX22" i="17418"/>
  <c r="IB22" i="17418"/>
  <c r="CI22" i="17418"/>
  <c r="BW22" i="17418"/>
  <c r="CH22" i="17418"/>
  <c r="HQ22" i="17418"/>
  <c r="JV22" i="17418"/>
  <c r="ID22" i="17418"/>
  <c r="JO22" i="17418"/>
  <c r="HV22" i="17418"/>
  <c r="IA22" i="17418"/>
  <c r="KB22" i="17418"/>
  <c r="BX22" i="17418"/>
  <c r="CN22" i="17418"/>
  <c r="CM22" i="17418"/>
  <c r="CC22" i="17418"/>
  <c r="CF22" i="17418"/>
  <c r="IF22" i="17418"/>
  <c r="IC22" i="17418"/>
  <c r="HR22" i="17418"/>
  <c r="JL22" i="17418"/>
  <c r="JP22" i="17418"/>
  <c r="HY22" i="17418"/>
  <c r="HZ22" i="17418"/>
  <c r="HN22" i="17418"/>
  <c r="JZ22" i="17418"/>
  <c r="JM22" i="17418"/>
  <c r="JY22" i="17418"/>
  <c r="JK22" i="17418"/>
  <c r="JR22" i="17418"/>
  <c r="IE22" i="17418"/>
  <c r="HU22" i="17418"/>
  <c r="HW22" i="17418"/>
  <c r="HT22" i="17418"/>
  <c r="JU22" i="17418"/>
  <c r="KA22" i="17418"/>
  <c r="JN22" i="17418"/>
  <c r="JT22" i="17418"/>
  <c r="JS22" i="17418"/>
  <c r="JQ22" i="17418"/>
  <c r="JW22" i="17418"/>
  <c r="HS22" i="17418"/>
  <c r="HO22" i="17418"/>
  <c r="HX22" i="17418"/>
  <c r="J16" i="8"/>
  <c r="I17" i="17418"/>
  <c r="J15" i="8"/>
  <c r="I16" i="17418"/>
  <c r="J16" i="17418" s="1"/>
  <c r="BO16" i="17418" s="1"/>
  <c r="BR21" i="17418"/>
  <c r="GL21" i="17418" s="1"/>
  <c r="I22" i="17418"/>
  <c r="J22" i="17418" s="1"/>
  <c r="BO22" i="17418" s="1"/>
  <c r="J14" i="8"/>
  <c r="I15" i="17418"/>
  <c r="J15" i="17418" s="1"/>
  <c r="AA35" i="17422"/>
  <c r="Z41" i="17422"/>
  <c r="GA18" i="17418"/>
  <c r="FY18" i="17418"/>
  <c r="FU18" i="17418"/>
  <c r="FV18" i="17418"/>
  <c r="GC18" i="17418"/>
  <c r="FW18" i="17418"/>
  <c r="FT18" i="17418"/>
  <c r="GG18" i="17418"/>
  <c r="GF18" i="17418"/>
  <c r="GI18" i="17418"/>
  <c r="FS18" i="17418"/>
  <c r="GH18" i="17418"/>
  <c r="FZ18" i="17418"/>
  <c r="FQ18" i="17418"/>
  <c r="GE18" i="17418"/>
  <c r="GD18" i="17418"/>
  <c r="GB18" i="17418"/>
  <c r="FR18" i="17418"/>
  <c r="FX18" i="17418"/>
  <c r="GJ18" i="17418"/>
  <c r="BR19" i="17418"/>
  <c r="BO19" i="17418" s="1"/>
  <c r="GE20" i="17418"/>
  <c r="GD20" i="17418"/>
  <c r="FX20" i="17418"/>
  <c r="FZ20" i="17418"/>
  <c r="GB20" i="17418"/>
  <c r="GA20" i="17418"/>
  <c r="FY20" i="17418"/>
  <c r="FQ20" i="17418"/>
  <c r="GH20" i="17418"/>
  <c r="FR20" i="17418"/>
  <c r="FW20" i="17418"/>
  <c r="FT20" i="17418"/>
  <c r="GC20" i="17418"/>
  <c r="FU20" i="17418"/>
  <c r="GI20" i="17418"/>
  <c r="FS20" i="17418"/>
  <c r="GF20" i="17418"/>
  <c r="FV20" i="17418"/>
  <c r="GG20" i="17418"/>
  <c r="GJ20" i="17418"/>
  <c r="P1021" i="4"/>
  <c r="R1021" i="4"/>
  <c r="AS993" i="4"/>
  <c r="AS1021" i="4"/>
  <c r="L993" i="4"/>
  <c r="H1919" i="1"/>
  <c r="R801" i="4"/>
  <c r="G802" i="4" s="1"/>
  <c r="AK251" i="17418"/>
  <c r="AL268" i="17418"/>
  <c r="GL16" i="17418"/>
  <c r="AA29" i="17422"/>
  <c r="AL247" i="17418"/>
  <c r="AL254" i="17418"/>
  <c r="AL14" i="17418"/>
  <c r="AA26" i="17422" s="1"/>
  <c r="AK271" i="17418"/>
  <c r="EN22" i="17418"/>
  <c r="GK22" i="17418"/>
  <c r="IH22" i="17418"/>
  <c r="EO22" i="17418"/>
  <c r="AK265" i="17418"/>
  <c r="AK263" i="17418"/>
  <c r="AK259" i="17418"/>
  <c r="AK239" i="17418"/>
  <c r="AL239" i="17418"/>
  <c r="AL259" i="17418"/>
  <c r="H28" i="1"/>
  <c r="X20" i="14"/>
  <c r="J21" i="8"/>
  <c r="AM21" i="17418"/>
  <c r="R501" i="4"/>
  <c r="G501" i="4" s="1"/>
  <c r="F801" i="4"/>
  <c r="F803" i="4"/>
  <c r="F799" i="4"/>
  <c r="F800" i="4"/>
  <c r="U799" i="4"/>
  <c r="F802" i="4"/>
  <c r="U800" i="4"/>
  <c r="U801" i="4"/>
  <c r="U802" i="4"/>
  <c r="U803" i="4"/>
  <c r="F501" i="4"/>
  <c r="F503" i="4"/>
  <c r="U503" i="4"/>
  <c r="U501" i="4"/>
  <c r="U502" i="4"/>
  <c r="AS501" i="4"/>
  <c r="Q155" i="4"/>
  <c r="R155" i="4" s="1"/>
  <c r="P155" i="4"/>
  <c r="AQ155" i="4" s="1"/>
  <c r="AS155" i="4"/>
  <c r="AR155" i="4"/>
  <c r="AU155" i="4"/>
  <c r="AT155" i="4"/>
  <c r="F18" i="4"/>
  <c r="F21" i="4"/>
  <c r="F17" i="4"/>
  <c r="F20" i="4"/>
  <c r="F16" i="4"/>
  <c r="F19" i="4"/>
  <c r="G279" i="4"/>
  <c r="G281" i="4"/>
  <c r="G284" i="4"/>
  <c r="G282" i="4"/>
  <c r="G280" i="4"/>
  <c r="G283" i="4"/>
  <c r="X279" i="4"/>
  <c r="F283" i="4"/>
  <c r="F279" i="4"/>
  <c r="X284" i="4"/>
  <c r="X282" i="4"/>
  <c r="F282" i="4"/>
  <c r="X280" i="4"/>
  <c r="X281" i="4"/>
  <c r="F281" i="4"/>
  <c r="X283" i="4"/>
  <c r="F284" i="4"/>
  <c r="F280" i="4"/>
  <c r="G20" i="4"/>
  <c r="G16" i="4"/>
  <c r="G19" i="4"/>
  <c r="G21" i="4"/>
  <c r="G17" i="4"/>
  <c r="G18" i="4"/>
  <c r="P8" i="4"/>
  <c r="R8" i="4"/>
  <c r="P128" i="4"/>
  <c r="R128" i="4"/>
  <c r="P263" i="4"/>
  <c r="R263" i="4"/>
  <c r="X18" i="4"/>
  <c r="X20" i="4"/>
  <c r="X19" i="4"/>
  <c r="X16" i="4"/>
  <c r="X21" i="4"/>
  <c r="X17" i="4"/>
  <c r="X345" i="4"/>
  <c r="X344" i="4"/>
  <c r="G11" i="17413"/>
  <c r="F11" i="17413" s="1"/>
  <c r="AL270" i="17418"/>
  <c r="AL287" i="17418"/>
  <c r="KF21" i="17418"/>
  <c r="KF20" i="17418"/>
  <c r="GL20" i="17418"/>
  <c r="BS28" i="17418"/>
  <c r="E16" i="17419" s="1"/>
  <c r="BQ28" i="17418"/>
  <c r="KF18" i="17418"/>
  <c r="GL18" i="17418"/>
  <c r="BT28" i="17418"/>
  <c r="E12" i="17419" s="1"/>
  <c r="KF19" i="17418"/>
  <c r="CR37" i="17418"/>
  <c r="IR37" i="17418" s="1"/>
  <c r="EO37" i="17418"/>
  <c r="KO37" i="17418" s="1"/>
  <c r="GL37" i="17418"/>
  <c r="EO36" i="17418"/>
  <c r="KO36" i="17418" s="1"/>
  <c r="GL36" i="17418"/>
  <c r="CR36" i="17418"/>
  <c r="IR36" i="17418" s="1"/>
  <c r="II23" i="17418"/>
  <c r="EO23" i="17418"/>
  <c r="CR23" i="17418"/>
  <c r="KF23" i="17418"/>
  <c r="GL23" i="17418"/>
  <c r="II24" i="17418"/>
  <c r="EO24" i="17418"/>
  <c r="KF24" i="17418"/>
  <c r="CR24" i="17418"/>
  <c r="GL24" i="17418"/>
  <c r="II25" i="17418"/>
  <c r="EO25" i="17418"/>
  <c r="GL25" i="17418"/>
  <c r="CR25" i="17418"/>
  <c r="KF25" i="17418"/>
  <c r="II26" i="17418"/>
  <c r="EO26" i="17418"/>
  <c r="CR26" i="17418"/>
  <c r="GL26" i="17418"/>
  <c r="KF26" i="17418"/>
  <c r="EO27" i="17418"/>
  <c r="CR27" i="17418"/>
  <c r="IR27" i="17418" s="1"/>
  <c r="GL27" i="17418"/>
  <c r="KF27" i="17418"/>
  <c r="GI17" i="17418"/>
  <c r="GE17" i="17418"/>
  <c r="GA17" i="17418"/>
  <c r="FW17" i="17418"/>
  <c r="FS17" i="17418"/>
  <c r="GJ17" i="17418"/>
  <c r="GD17" i="17418"/>
  <c r="FY17" i="17418"/>
  <c r="FT17" i="17418"/>
  <c r="GG17" i="17418"/>
  <c r="FZ17" i="17418"/>
  <c r="FR17" i="17418"/>
  <c r="GL17" i="17418"/>
  <c r="GF17" i="17418"/>
  <c r="FX17" i="17418"/>
  <c r="FQ17" i="17418"/>
  <c r="GB17" i="17418"/>
  <c r="GK17" i="17418"/>
  <c r="FV17" i="17418"/>
  <c r="GH17" i="17418"/>
  <c r="GC17" i="17418"/>
  <c r="FU17" i="17418"/>
  <c r="KD17" i="17418"/>
  <c r="JZ17" i="17418"/>
  <c r="JV17" i="17418"/>
  <c r="JR17" i="17418"/>
  <c r="JN17" i="17418"/>
  <c r="KF17" i="17418"/>
  <c r="KA17" i="17418"/>
  <c r="JU17" i="17418"/>
  <c r="JP17" i="17418"/>
  <c r="JK17" i="17418"/>
  <c r="KE17" i="17418"/>
  <c r="JY17" i="17418"/>
  <c r="JT17" i="17418"/>
  <c r="JO17" i="17418"/>
  <c r="KC17" i="17418"/>
  <c r="JX17" i="17418"/>
  <c r="JS17" i="17418"/>
  <c r="JM17" i="17418"/>
  <c r="KB17" i="17418"/>
  <c r="JW17" i="17418"/>
  <c r="JQ17" i="17418"/>
  <c r="JL17" i="17418"/>
  <c r="II21" i="17418"/>
  <c r="CR21" i="17418"/>
  <c r="EO21" i="17418"/>
  <c r="CR20" i="17418"/>
  <c r="II20" i="17418"/>
  <c r="EO20" i="17418"/>
  <c r="CG17" i="17418"/>
  <c r="CK17" i="17418"/>
  <c r="CN17" i="17418"/>
  <c r="CO17" i="17418"/>
  <c r="CJ17" i="17418"/>
  <c r="CQ17" i="17418"/>
  <c r="CD17" i="17418"/>
  <c r="BW17" i="17418"/>
  <c r="BY17" i="17418"/>
  <c r="CC17" i="17418"/>
  <c r="CH17" i="17418"/>
  <c r="CM17" i="17418"/>
  <c r="CI17" i="17418"/>
  <c r="CE17" i="17418"/>
  <c r="CF17" i="17418"/>
  <c r="CB17" i="17418"/>
  <c r="BZ17" i="17418"/>
  <c r="CP17" i="17418"/>
  <c r="CA17" i="17418"/>
  <c r="BX17" i="17418"/>
  <c r="CR17" i="17418"/>
  <c r="CL17" i="17418"/>
  <c r="KF16" i="17418"/>
  <c r="II16" i="17418"/>
  <c r="CR16" i="17418"/>
  <c r="EO16" i="17418"/>
  <c r="II18" i="17418"/>
  <c r="EO18" i="17418"/>
  <c r="CR18" i="17418"/>
  <c r="EK17" i="17418"/>
  <c r="DY17" i="17418"/>
  <c r="EH17" i="17418"/>
  <c r="EG17" i="17418"/>
  <c r="DT17" i="17418"/>
  <c r="EN17" i="17418"/>
  <c r="EE17" i="17418"/>
  <c r="EO17" i="17418"/>
  <c r="DW17" i="17418"/>
  <c r="EJ17" i="17418"/>
  <c r="EC17" i="17418"/>
  <c r="DZ17" i="17418"/>
  <c r="EI17" i="17418"/>
  <c r="EL17" i="17418"/>
  <c r="DV17" i="17418"/>
  <c r="DU17" i="17418"/>
  <c r="ED17" i="17418"/>
  <c r="EM17" i="17418"/>
  <c r="EA17" i="17418"/>
  <c r="EB17" i="17418"/>
  <c r="EF17" i="17418"/>
  <c r="DX17" i="17418"/>
  <c r="IB17" i="17418"/>
  <c r="IF17" i="17418"/>
  <c r="HN17" i="17418"/>
  <c r="HX17" i="17418"/>
  <c r="IE17" i="17418"/>
  <c r="HQ17" i="17418"/>
  <c r="HU17" i="17418"/>
  <c r="ID17" i="17418"/>
  <c r="IH17" i="17418"/>
  <c r="HW17" i="17418"/>
  <c r="HS17" i="17418"/>
  <c r="HY17" i="17418"/>
  <c r="HV17" i="17418"/>
  <c r="HZ17" i="17418"/>
  <c r="IC17" i="17418"/>
  <c r="HR17" i="17418"/>
  <c r="IA17" i="17418"/>
  <c r="IG17" i="17418"/>
  <c r="HP17" i="17418"/>
  <c r="HT17" i="17418"/>
  <c r="HO17" i="17418"/>
  <c r="II17" i="17418"/>
  <c r="EO19" i="17418"/>
  <c r="CR19" i="17418"/>
  <c r="II19" i="17418"/>
  <c r="AL278" i="17418"/>
  <c r="AL267" i="17418"/>
  <c r="AL252" i="17418"/>
  <c r="AL275" i="17418"/>
  <c r="AL282" i="17418"/>
  <c r="AL289" i="17418"/>
  <c r="AL288" i="17418"/>
  <c r="H76" i="1"/>
  <c r="L353" i="1" s="1"/>
  <c r="AL246" i="17418"/>
  <c r="AM24" i="17418"/>
  <c r="AM25" i="17418"/>
  <c r="AM26" i="17418"/>
  <c r="AM27" i="17418"/>
  <c r="AM23" i="17418"/>
  <c r="G29" i="1"/>
  <c r="O156" i="4"/>
  <c r="M157" i="4"/>
  <c r="L654" i="13"/>
  <c r="L665" i="13"/>
  <c r="L698" i="13"/>
  <c r="AL274" i="17418"/>
  <c r="AL250" i="17418"/>
  <c r="AL277" i="17418"/>
  <c r="AL245" i="17418"/>
  <c r="AL243" i="17418"/>
  <c r="AL253" i="17418"/>
  <c r="AL266" i="17418"/>
  <c r="AL283" i="17418"/>
  <c r="AL286" i="17418"/>
  <c r="AL264" i="17418"/>
  <c r="AL273" i="17418"/>
  <c r="AL279" i="17418"/>
  <c r="AL240" i="17418"/>
  <c r="AL272" i="17418"/>
  <c r="AL238" i="17418"/>
  <c r="AL281" i="17418"/>
  <c r="AL280" i="17418"/>
  <c r="AL258" i="17418"/>
  <c r="AL257" i="17418"/>
  <c r="AL276" i="17418"/>
  <c r="AL262" i="17418"/>
  <c r="AL255" i="17418"/>
  <c r="AL284" i="17418"/>
  <c r="AL244" i="17418"/>
  <c r="AL242" i="17418"/>
  <c r="AL260" i="17418"/>
  <c r="AL261" i="17418"/>
  <c r="AL241" i="17418"/>
  <c r="AD42" i="17419"/>
  <c r="AD63" i="17419" s="1"/>
  <c r="AM60" i="17418"/>
  <c r="AM57" i="17418"/>
  <c r="AM58" i="17418"/>
  <c r="AM55" i="17418"/>
  <c r="AM59" i="17418"/>
  <c r="AM56" i="17418"/>
  <c r="AM52" i="17418"/>
  <c r="AM48" i="17418"/>
  <c r="AD9" i="17419"/>
  <c r="AM44" i="17418"/>
  <c r="AM54" i="17418"/>
  <c r="AM49" i="17418"/>
  <c r="AM41" i="17418"/>
  <c r="AM38" i="17418"/>
  <c r="AM36" i="17418"/>
  <c r="AM30" i="17418"/>
  <c r="AM42" i="17418"/>
  <c r="AM35" i="17418"/>
  <c r="AM33" i="17418"/>
  <c r="AM29" i="17418"/>
  <c r="AM53" i="17418"/>
  <c r="AM46" i="17418"/>
  <c r="AM51" i="17418"/>
  <c r="AM50" i="17418"/>
  <c r="AM45" i="17418"/>
  <c r="AM43" i="17418"/>
  <c r="AM40" i="17418"/>
  <c r="AM34" i="17418"/>
  <c r="AM15" i="17418"/>
  <c r="CS15" i="17418" s="1"/>
  <c r="AM47" i="17418"/>
  <c r="AM31" i="17418"/>
  <c r="AN7" i="17418"/>
  <c r="AM39" i="17418"/>
  <c r="AM37" i="17418"/>
  <c r="AM16" i="17418"/>
  <c r="AM17" i="17418"/>
  <c r="AB32" i="17422" s="1"/>
  <c r="AM19" i="17418"/>
  <c r="AM18" i="17418"/>
  <c r="AM32" i="17418"/>
  <c r="AM20" i="17418"/>
  <c r="AL256" i="17418"/>
  <c r="AL249" i="17418"/>
  <c r="AL248" i="17418"/>
  <c r="AL285" i="17418"/>
  <c r="AC57" i="17419"/>
  <c r="L351" i="1" l="1"/>
  <c r="L352" i="1"/>
  <c r="L791" i="1"/>
  <c r="L803" i="1"/>
  <c r="BP28" i="17418"/>
  <c r="E10" i="17419" s="1"/>
  <c r="AB35" i="17422"/>
  <c r="J13" i="8"/>
  <c r="GJ21" i="17418"/>
  <c r="GD21" i="17418"/>
  <c r="GA21" i="17418"/>
  <c r="GB21" i="17418"/>
  <c r="FU21" i="17418"/>
  <c r="FX21" i="17418"/>
  <c r="FZ21" i="17418"/>
  <c r="FY21" i="17418"/>
  <c r="FW21" i="17418"/>
  <c r="GI21" i="17418"/>
  <c r="GC21" i="17418"/>
  <c r="FQ21" i="17418"/>
  <c r="FR21" i="17418"/>
  <c r="FT21" i="17418"/>
  <c r="FS21" i="17418"/>
  <c r="GE21" i="17418"/>
  <c r="FV21" i="17418"/>
  <c r="GH21" i="17418"/>
  <c r="GF21" i="17418"/>
  <c r="GG21" i="17418"/>
  <c r="GK21" i="17418"/>
  <c r="AA41" i="17422"/>
  <c r="GL19" i="17418"/>
  <c r="AB38" i="17422"/>
  <c r="GG19" i="17418"/>
  <c r="FQ19" i="17418"/>
  <c r="FV19" i="17418"/>
  <c r="FZ19" i="17418"/>
  <c r="GD19" i="17418"/>
  <c r="FT19" i="17418"/>
  <c r="FW19" i="17418"/>
  <c r="GA19" i="17418"/>
  <c r="GE19" i="17418"/>
  <c r="GH19" i="17418"/>
  <c r="FS19" i="17418"/>
  <c r="FX19" i="17418"/>
  <c r="GB19" i="17418"/>
  <c r="GF19" i="17418"/>
  <c r="FR19" i="17418"/>
  <c r="FU19" i="17418"/>
  <c r="FY19" i="17418"/>
  <c r="GC19" i="17418"/>
  <c r="GI19" i="17418"/>
  <c r="GJ19" i="17418"/>
  <c r="GK19" i="17418"/>
  <c r="G1021" i="4"/>
  <c r="G1018" i="4"/>
  <c r="G1023" i="4"/>
  <c r="G1024" i="4"/>
  <c r="G1020" i="4"/>
  <c r="G1019" i="4"/>
  <c r="G1025" i="4"/>
  <c r="G1022" i="4"/>
  <c r="X1021" i="4"/>
  <c r="F1020" i="4"/>
  <c r="X1018" i="4"/>
  <c r="I20" i="8"/>
  <c r="X1025" i="4"/>
  <c r="F1019" i="4"/>
  <c r="X1020" i="4"/>
  <c r="X1023" i="4"/>
  <c r="F1025" i="4"/>
  <c r="F1024" i="4"/>
  <c r="F1023" i="4"/>
  <c r="X1019" i="4"/>
  <c r="X1022" i="4"/>
  <c r="F1021" i="4"/>
  <c r="X1024" i="4"/>
  <c r="F1018" i="4"/>
  <c r="F1022" i="4"/>
  <c r="L808" i="1"/>
  <c r="L793" i="1"/>
  <c r="L792" i="1"/>
  <c r="G800" i="4"/>
  <c r="AL251" i="17418"/>
  <c r="P993" i="4"/>
  <c r="R993" i="4"/>
  <c r="G801" i="4"/>
  <c r="G803" i="4"/>
  <c r="G799" i="4"/>
  <c r="L818" i="1"/>
  <c r="L816" i="1"/>
  <c r="L789" i="1"/>
  <c r="L788" i="1"/>
  <c r="L138" i="1"/>
  <c r="L186" i="1"/>
  <c r="L720" i="1"/>
  <c r="L806" i="1"/>
  <c r="L801" i="1"/>
  <c r="L794" i="1"/>
  <c r="L787" i="1"/>
  <c r="L434" i="1"/>
  <c r="L347" i="1"/>
  <c r="L343" i="1"/>
  <c r="L812" i="1"/>
  <c r="L805" i="1"/>
  <c r="L797" i="1"/>
  <c r="L790" i="1"/>
  <c r="L760" i="1"/>
  <c r="L350" i="1"/>
  <c r="L346" i="1"/>
  <c r="L136" i="1"/>
  <c r="L809" i="1"/>
  <c r="L804" i="1"/>
  <c r="L796" i="1"/>
  <c r="L552" i="1"/>
  <c r="L349" i="1"/>
  <c r="L345" i="1"/>
  <c r="L807" i="1"/>
  <c r="L802" i="1"/>
  <c r="L795" i="1"/>
  <c r="L545" i="1"/>
  <c r="L348" i="1"/>
  <c r="L344" i="1"/>
  <c r="AL269" i="17418"/>
  <c r="AM289" i="17418"/>
  <c r="GM16" i="17418"/>
  <c r="AB29" i="17422"/>
  <c r="CR22" i="17418"/>
  <c r="AM14" i="17418"/>
  <c r="AB26" i="17422" s="1"/>
  <c r="GL22" i="17418"/>
  <c r="II22" i="17418"/>
  <c r="KF22" i="17418"/>
  <c r="EP22" i="17418"/>
  <c r="AL265" i="17418"/>
  <c r="AL263" i="17418"/>
  <c r="AL271" i="17418"/>
  <c r="H29" i="1"/>
  <c r="L29" i="1" s="1"/>
  <c r="X21" i="14"/>
  <c r="G503" i="4"/>
  <c r="G502" i="4"/>
  <c r="AN21" i="17418"/>
  <c r="Q156" i="4"/>
  <c r="R156" i="4" s="1"/>
  <c r="P156" i="4"/>
  <c r="AQ156" i="4" s="1"/>
  <c r="AR156" i="4"/>
  <c r="AS156" i="4"/>
  <c r="AU156" i="4"/>
  <c r="AT156" i="4"/>
  <c r="F259" i="4"/>
  <c r="F265" i="4"/>
  <c r="X264" i="4"/>
  <c r="X266" i="4"/>
  <c r="X258" i="4"/>
  <c r="F266" i="4"/>
  <c r="F261" i="4"/>
  <c r="X260" i="4"/>
  <c r="X265" i="4"/>
  <c r="F262" i="4"/>
  <c r="F264" i="4"/>
  <c r="X263" i="4"/>
  <c r="X262" i="4"/>
  <c r="F263" i="4"/>
  <c r="F258" i="4"/>
  <c r="F260" i="4"/>
  <c r="X259" i="4"/>
  <c r="X261" i="4"/>
  <c r="X15" i="4"/>
  <c r="X13" i="4"/>
  <c r="F12" i="4"/>
  <c r="F8" i="4"/>
  <c r="X12" i="4"/>
  <c r="X9" i="4"/>
  <c r="F15" i="4"/>
  <c r="F11" i="4"/>
  <c r="X14" i="4"/>
  <c r="X11" i="4"/>
  <c r="F14" i="4"/>
  <c r="F10" i="4"/>
  <c r="X10" i="4"/>
  <c r="X8" i="4"/>
  <c r="F13" i="4"/>
  <c r="F9" i="4"/>
  <c r="G127" i="4"/>
  <c r="G128" i="4"/>
  <c r="G132" i="4"/>
  <c r="G129" i="4"/>
  <c r="G131" i="4"/>
  <c r="G126" i="4"/>
  <c r="G130" i="4"/>
  <c r="X128" i="4"/>
  <c r="F131" i="4"/>
  <c r="F128" i="4"/>
  <c r="X131" i="4"/>
  <c r="X126" i="4"/>
  <c r="F129" i="4"/>
  <c r="F126" i="4"/>
  <c r="X127" i="4"/>
  <c r="X132" i="4"/>
  <c r="F132" i="4"/>
  <c r="F127" i="4"/>
  <c r="X129" i="4"/>
  <c r="X130" i="4"/>
  <c r="F130" i="4"/>
  <c r="G266" i="4"/>
  <c r="G264" i="4"/>
  <c r="G259" i="4"/>
  <c r="G265" i="4"/>
  <c r="G261" i="4"/>
  <c r="G262" i="4"/>
  <c r="G258" i="4"/>
  <c r="G263" i="4"/>
  <c r="G260" i="4"/>
  <c r="G12" i="4"/>
  <c r="G8" i="4"/>
  <c r="G15" i="4"/>
  <c r="G11" i="4"/>
  <c r="G14" i="4"/>
  <c r="G10" i="4"/>
  <c r="G13" i="4"/>
  <c r="G9" i="4"/>
  <c r="F345" i="4"/>
  <c r="F344" i="4"/>
  <c r="G345" i="4"/>
  <c r="G344" i="4"/>
  <c r="E15" i="17419"/>
  <c r="E14" i="17419"/>
  <c r="GM17" i="17418"/>
  <c r="KG17" i="17418"/>
  <c r="GM21" i="17418"/>
  <c r="KG21" i="17418"/>
  <c r="KG20" i="17418"/>
  <c r="GM20" i="17418"/>
  <c r="GM18" i="17418"/>
  <c r="KG18" i="17418"/>
  <c r="GM19" i="17418"/>
  <c r="KG19" i="17418"/>
  <c r="CS37" i="17418"/>
  <c r="IS37" i="17418" s="1"/>
  <c r="EP37" i="17418"/>
  <c r="KP37" i="17418" s="1"/>
  <c r="GM37" i="17418"/>
  <c r="CS36" i="17418"/>
  <c r="IS36" i="17418" s="1"/>
  <c r="EP36" i="17418"/>
  <c r="KP36" i="17418" s="1"/>
  <c r="GM36" i="17418"/>
  <c r="IJ23" i="17418"/>
  <c r="EP23" i="17418"/>
  <c r="CS23" i="17418"/>
  <c r="KG23" i="17418"/>
  <c r="GM23" i="17418"/>
  <c r="EP27" i="17418"/>
  <c r="CS27" i="17418"/>
  <c r="IS27" i="17418" s="1"/>
  <c r="GM27" i="17418"/>
  <c r="KG27" i="17418"/>
  <c r="IJ26" i="17418"/>
  <c r="CS26" i="17418"/>
  <c r="EP26" i="17418"/>
  <c r="GM26" i="17418"/>
  <c r="KG26" i="17418"/>
  <c r="IJ25" i="17418"/>
  <c r="EP25" i="17418"/>
  <c r="GM25" i="17418"/>
  <c r="KG25" i="17418"/>
  <c r="CS25" i="17418"/>
  <c r="EP24" i="17418"/>
  <c r="KG24" i="17418"/>
  <c r="IJ24" i="17418"/>
  <c r="GM24" i="17418"/>
  <c r="CS24" i="17418"/>
  <c r="IJ17" i="17418"/>
  <c r="CS17" i="17418"/>
  <c r="EP17" i="17418"/>
  <c r="CS21" i="17418"/>
  <c r="IJ21" i="17418"/>
  <c r="EP21" i="17418"/>
  <c r="CS20" i="17418"/>
  <c r="IJ20" i="17418"/>
  <c r="EP20" i="17418"/>
  <c r="IJ18" i="17418"/>
  <c r="EP18" i="17418"/>
  <c r="CS18" i="17418"/>
  <c r="CS16" i="17418"/>
  <c r="IJ16" i="17418"/>
  <c r="KG16" i="17418"/>
  <c r="EP16" i="17418"/>
  <c r="EP19" i="17418"/>
  <c r="CS19" i="17418"/>
  <c r="IJ19" i="17418"/>
  <c r="AM285" i="17418"/>
  <c r="AM275" i="17418"/>
  <c r="AM282" i="17418"/>
  <c r="AM286" i="17418"/>
  <c r="AM256" i="17418"/>
  <c r="AM278" i="17418"/>
  <c r="AM266" i="17418"/>
  <c r="AN27" i="17418"/>
  <c r="AN23" i="17418"/>
  <c r="AN24" i="17418"/>
  <c r="AN25" i="17418"/>
  <c r="AN26" i="17418"/>
  <c r="X7" i="4"/>
  <c r="F7" i="4"/>
  <c r="G12" i="17413"/>
  <c r="F12" i="17413" s="1"/>
  <c r="G7" i="4"/>
  <c r="R698" i="13"/>
  <c r="P698" i="13"/>
  <c r="R665" i="13"/>
  <c r="P665" i="13"/>
  <c r="P654" i="13"/>
  <c r="R654" i="13"/>
  <c r="M158" i="4"/>
  <c r="O157" i="4"/>
  <c r="G30" i="1"/>
  <c r="AM252" i="17418"/>
  <c r="AM253" i="17418"/>
  <c r="AM247" i="17418"/>
  <c r="AM267" i="17418"/>
  <c r="AM287" i="17418"/>
  <c r="AM249" i="17418"/>
  <c r="AM283" i="17418"/>
  <c r="AM262" i="17418"/>
  <c r="AM241" i="17418"/>
  <c r="AM248" i="17418"/>
  <c r="AM288" i="17418"/>
  <c r="AM264" i="17418"/>
  <c r="AM243" i="17418"/>
  <c r="AM270" i="17418"/>
  <c r="AM276" i="17418"/>
  <c r="AM272" i="17418"/>
  <c r="AM246" i="17418"/>
  <c r="AM240" i="17418"/>
  <c r="AM258" i="17418"/>
  <c r="AM250" i="17418"/>
  <c r="AM268" i="17418"/>
  <c r="AM281" i="17418"/>
  <c r="AM273" i="17418"/>
  <c r="AM242" i="17418"/>
  <c r="AM244" i="17418"/>
  <c r="AM257" i="17418"/>
  <c r="AM274" i="17418"/>
  <c r="AM277" i="17418"/>
  <c r="AM261" i="17418"/>
  <c r="AM255" i="17418"/>
  <c r="AN59" i="17418"/>
  <c r="AN60" i="17418"/>
  <c r="AE42" i="17419"/>
  <c r="AE63" i="17419" s="1"/>
  <c r="AN51" i="17418"/>
  <c r="AN47" i="17418"/>
  <c r="AN57" i="17418"/>
  <c r="AN54" i="17418"/>
  <c r="AN52" i="17418"/>
  <c r="AN49" i="17418"/>
  <c r="AN46" i="17418"/>
  <c r="AN43" i="17418"/>
  <c r="AN55" i="17418"/>
  <c r="AN53" i="17418"/>
  <c r="AN48" i="17418"/>
  <c r="AN44" i="17418"/>
  <c r="AN40" i="17418"/>
  <c r="AN34" i="17418"/>
  <c r="AN56" i="17418"/>
  <c r="AN36" i="17418"/>
  <c r="AN50" i="17418"/>
  <c r="AN41" i="17418"/>
  <c r="AN38" i="17418"/>
  <c r="AN30" i="17418"/>
  <c r="AN58" i="17418"/>
  <c r="AN37" i="17418"/>
  <c r="AN31" i="17418"/>
  <c r="AE9" i="17419"/>
  <c r="AN42" i="17418"/>
  <c r="AN39" i="17418"/>
  <c r="AN35" i="17418"/>
  <c r="AN33" i="17418"/>
  <c r="AN15" i="17418"/>
  <c r="CT15" i="17418" s="1"/>
  <c r="AN45" i="17418"/>
  <c r="AN29" i="17418"/>
  <c r="AO7" i="17418"/>
  <c r="AN18" i="17418"/>
  <c r="AN20" i="17418"/>
  <c r="AN19" i="17418"/>
  <c r="AN17" i="17418"/>
  <c r="AC32" i="17422" s="1"/>
  <c r="AN32" i="17418"/>
  <c r="AN16" i="17418"/>
  <c r="AM280" i="17418"/>
  <c r="AM238" i="17418"/>
  <c r="AM254" i="17418"/>
  <c r="AM284" i="17418"/>
  <c r="AD57" i="17419"/>
  <c r="AM245" i="17418"/>
  <c r="AM279" i="17418"/>
  <c r="AM260" i="17418"/>
  <c r="J17" i="17418" l="1"/>
  <c r="I21" i="17418"/>
  <c r="J21" i="17418" s="1"/>
  <c r="AB41" i="17422"/>
  <c r="AC35" i="17422"/>
  <c r="AC38" i="17422"/>
  <c r="J20" i="8"/>
  <c r="IJ22" i="17418"/>
  <c r="KG22" i="17418"/>
  <c r="G991" i="4"/>
  <c r="G992" i="4"/>
  <c r="G993" i="4"/>
  <c r="F991" i="4"/>
  <c r="F993" i="4"/>
  <c r="F992" i="4"/>
  <c r="X992" i="4"/>
  <c r="X1008" i="4"/>
  <c r="X1003" i="4"/>
  <c r="X1006" i="4"/>
  <c r="X1007" i="4"/>
  <c r="X993" i="4"/>
  <c r="X991" i="4"/>
  <c r="GM22" i="17418"/>
  <c r="CS22" i="17418"/>
  <c r="AM263" i="17418"/>
  <c r="L76" i="1"/>
  <c r="G43" i="17419"/>
  <c r="AM269" i="17418"/>
  <c r="AN285" i="17418"/>
  <c r="GN16" i="17418"/>
  <c r="AC29" i="17422"/>
  <c r="AM251" i="17418"/>
  <c r="AN14" i="17418"/>
  <c r="AC26" i="17422" s="1"/>
  <c r="AM271" i="17418"/>
  <c r="AM239" i="17418"/>
  <c r="AM259" i="17418"/>
  <c r="KH22" i="17418"/>
  <c r="AM265" i="17418"/>
  <c r="H30" i="1"/>
  <c r="X22" i="14"/>
  <c r="AO21" i="17418"/>
  <c r="Q157" i="4"/>
  <c r="R157" i="4" s="1"/>
  <c r="P157" i="4"/>
  <c r="AQ157" i="4" s="1"/>
  <c r="AR157" i="4"/>
  <c r="AU157" i="4"/>
  <c r="AS157" i="4"/>
  <c r="AT157" i="4"/>
  <c r="G53" i="17419"/>
  <c r="GN17" i="17418"/>
  <c r="KH17" i="17418"/>
  <c r="GN21" i="17418"/>
  <c r="KH21" i="17418"/>
  <c r="GN18" i="17418"/>
  <c r="KH18" i="17418"/>
  <c r="KH20" i="17418"/>
  <c r="GN20" i="17418"/>
  <c r="GN19" i="17418"/>
  <c r="KH19" i="17418"/>
  <c r="CT37" i="17418"/>
  <c r="IT37" i="17418" s="1"/>
  <c r="EQ37" i="17418"/>
  <c r="KQ37" i="17418" s="1"/>
  <c r="GN37" i="17418"/>
  <c r="GN36" i="17418"/>
  <c r="CT36" i="17418"/>
  <c r="IT36" i="17418" s="1"/>
  <c r="EQ36" i="17418"/>
  <c r="KQ36" i="17418" s="1"/>
  <c r="IK26" i="17418"/>
  <c r="EQ26" i="17418"/>
  <c r="CT26" i="17418"/>
  <c r="GN26" i="17418"/>
  <c r="KH26" i="17418"/>
  <c r="IK25" i="17418"/>
  <c r="EQ25" i="17418"/>
  <c r="GN25" i="17418"/>
  <c r="CT25" i="17418"/>
  <c r="KH25" i="17418"/>
  <c r="IK24" i="17418"/>
  <c r="EQ24" i="17418"/>
  <c r="CT24" i="17418"/>
  <c r="GN24" i="17418"/>
  <c r="KH24" i="17418"/>
  <c r="IK23" i="17418"/>
  <c r="EQ23" i="17418"/>
  <c r="CT23" i="17418"/>
  <c r="GN23" i="17418"/>
  <c r="KH23" i="17418"/>
  <c r="EQ27" i="17418"/>
  <c r="CT27" i="17418"/>
  <c r="IT27" i="17418" s="1"/>
  <c r="GN27" i="17418"/>
  <c r="KH27" i="17418"/>
  <c r="CT16" i="17418"/>
  <c r="KH16" i="17418"/>
  <c r="IK16" i="17418"/>
  <c r="EQ16" i="17418"/>
  <c r="CT17" i="17418"/>
  <c r="EQ17" i="17418"/>
  <c r="IK17" i="17418"/>
  <c r="CT20" i="17418"/>
  <c r="IK20" i="17418"/>
  <c r="EQ20" i="17418"/>
  <c r="CT21" i="17418"/>
  <c r="IK21" i="17418"/>
  <c r="EQ21" i="17418"/>
  <c r="IK18" i="17418"/>
  <c r="EQ18" i="17418"/>
  <c r="CT18" i="17418"/>
  <c r="AN244" i="17418"/>
  <c r="EQ19" i="17418"/>
  <c r="IK19" i="17418"/>
  <c r="CT19" i="17418"/>
  <c r="AN255" i="17418"/>
  <c r="AN289" i="17418"/>
  <c r="AN253" i="17418"/>
  <c r="AN284" i="17418"/>
  <c r="AN280" i="17418"/>
  <c r="AN252" i="17418"/>
  <c r="G49" i="17419"/>
  <c r="G48" i="17419"/>
  <c r="G52" i="17419"/>
  <c r="G44" i="17419"/>
  <c r="G46" i="17419"/>
  <c r="AN266" i="17418"/>
  <c r="AO27" i="17418"/>
  <c r="AO26" i="17418"/>
  <c r="AO25" i="17418"/>
  <c r="AO24" i="17418"/>
  <c r="AO23" i="17418"/>
  <c r="AE57" i="17419"/>
  <c r="G652" i="13"/>
  <c r="G654" i="13"/>
  <c r="G655" i="13"/>
  <c r="G651" i="13"/>
  <c r="G653" i="13"/>
  <c r="L13" i="8"/>
  <c r="G31" i="1"/>
  <c r="F1795" i="1"/>
  <c r="F655" i="13"/>
  <c r="F654" i="13"/>
  <c r="F652" i="13"/>
  <c r="F651" i="13"/>
  <c r="F653" i="13"/>
  <c r="O158" i="4"/>
  <c r="M159" i="4"/>
  <c r="U655" i="13"/>
  <c r="U653" i="13"/>
  <c r="U652" i="13"/>
  <c r="U654" i="13"/>
  <c r="U651" i="13"/>
  <c r="F668" i="13"/>
  <c r="F667" i="13"/>
  <c r="U666" i="13"/>
  <c r="U664" i="13"/>
  <c r="U668" i="13"/>
  <c r="U665" i="13"/>
  <c r="F665" i="13"/>
  <c r="U667" i="13"/>
  <c r="F1797" i="1"/>
  <c r="F666" i="13"/>
  <c r="F664" i="13"/>
  <c r="G664" i="13"/>
  <c r="G667" i="13"/>
  <c r="G666" i="13"/>
  <c r="G668" i="13"/>
  <c r="G665" i="13"/>
  <c r="U698" i="13"/>
  <c r="U699" i="13"/>
  <c r="F698" i="13"/>
  <c r="U700" i="13"/>
  <c r="F700" i="13"/>
  <c r="U701" i="13"/>
  <c r="F1805" i="1"/>
  <c r="F697" i="13"/>
  <c r="F699" i="13"/>
  <c r="F701" i="13"/>
  <c r="U697" i="13"/>
  <c r="G698" i="13"/>
  <c r="G701" i="13"/>
  <c r="G697" i="13"/>
  <c r="G699" i="13"/>
  <c r="G700" i="13"/>
  <c r="AN249" i="17418"/>
  <c r="AN248" i="17418"/>
  <c r="AN283" i="17418"/>
  <c r="AN287" i="17418"/>
  <c r="AN275" i="17418"/>
  <c r="AN247" i="17418"/>
  <c r="AN281" i="17418"/>
  <c r="AN254" i="17418"/>
  <c r="AN271" i="17418"/>
  <c r="AN240" i="17418"/>
  <c r="AN246" i="17418"/>
  <c r="AN268" i="17418"/>
  <c r="AN274" i="17418"/>
  <c r="AN243" i="17418"/>
  <c r="AN261" i="17418"/>
  <c r="AN264" i="17418"/>
  <c r="AN242" i="17418"/>
  <c r="AN288" i="17418"/>
  <c r="AN276" i="17418"/>
  <c r="AN272" i="17418"/>
  <c r="AN258" i="17418"/>
  <c r="AN241" i="17418"/>
  <c r="AN238" i="17418"/>
  <c r="AN286" i="17418"/>
  <c r="AN273" i="17418"/>
  <c r="AN260" i="17418"/>
  <c r="AN250" i="17418"/>
  <c r="AN282" i="17418"/>
  <c r="AN277" i="17418"/>
  <c r="AN270" i="17418"/>
  <c r="AN278" i="17418"/>
  <c r="AN257" i="17418"/>
  <c r="AN279" i="17418"/>
  <c r="AN245" i="17418"/>
  <c r="AF9" i="17419"/>
  <c r="AO59" i="17418"/>
  <c r="AO57" i="17418"/>
  <c r="AO55" i="17418"/>
  <c r="AO54" i="17418"/>
  <c r="AO50" i="17418"/>
  <c r="AO46" i="17418"/>
  <c r="AF42" i="17419"/>
  <c r="AF63" i="17419" s="1"/>
  <c r="AO58" i="17418"/>
  <c r="AO56" i="17418"/>
  <c r="AO51" i="17418"/>
  <c r="AO42" i="17418"/>
  <c r="AO60" i="17418"/>
  <c r="AO47" i="17418"/>
  <c r="AO43" i="17418"/>
  <c r="AO37" i="17418"/>
  <c r="AO33" i="17418"/>
  <c r="AO31" i="17418"/>
  <c r="AO29" i="17418"/>
  <c r="AO52" i="17418"/>
  <c r="AO49" i="17418"/>
  <c r="AO45" i="17418"/>
  <c r="AO39" i="17418"/>
  <c r="AO30" i="17418"/>
  <c r="AO48" i="17418"/>
  <c r="AO44" i="17418"/>
  <c r="AO40" i="17418"/>
  <c r="AO34" i="17418"/>
  <c r="AO53" i="17418"/>
  <c r="AO41" i="17418"/>
  <c r="AO36" i="17418"/>
  <c r="AO38" i="17418"/>
  <c r="AP7" i="17418"/>
  <c r="AO35" i="17418"/>
  <c r="AO15" i="17418"/>
  <c r="CU15" i="17418" s="1"/>
  <c r="AO16" i="17418"/>
  <c r="GO16" i="17418" s="1"/>
  <c r="AO19" i="17418"/>
  <c r="AO20" i="17418"/>
  <c r="AO17" i="17418"/>
  <c r="AO18" i="17418"/>
  <c r="AO32" i="17418"/>
  <c r="AN256" i="17418"/>
  <c r="AN262" i="17418"/>
  <c r="AN267" i="17418"/>
  <c r="J19" i="8" l="1"/>
  <c r="G15" i="17413"/>
  <c r="F15" i="17413" s="1"/>
  <c r="BO17" i="17418"/>
  <c r="J48" i="17419"/>
  <c r="Q47" i="17419"/>
  <c r="I53" i="17419"/>
  <c r="O48" i="17419"/>
  <c r="U45" i="17419"/>
  <c r="M46" i="17419"/>
  <c r="S46" i="17419"/>
  <c r="J44" i="17419"/>
  <c r="Q53" i="17419"/>
  <c r="I50" i="17419"/>
  <c r="N53" i="17419"/>
  <c r="U52" i="17419"/>
  <c r="L50" i="17419"/>
  <c r="N50" i="17419"/>
  <c r="R51" i="17419"/>
  <c r="T50" i="17419"/>
  <c r="J51" i="17419"/>
  <c r="K51" i="17419"/>
  <c r="P48" i="17419"/>
  <c r="R44" i="17419"/>
  <c r="I48" i="17419"/>
  <c r="K52" i="17419"/>
  <c r="M45" i="17419"/>
  <c r="O52" i="17419"/>
  <c r="P53" i="17419"/>
  <c r="S47" i="17419"/>
  <c r="T47" i="17419"/>
  <c r="U50" i="17419"/>
  <c r="J14" i="17418"/>
  <c r="J20" i="17418"/>
  <c r="L44" i="17419" s="1"/>
  <c r="BO21" i="17418"/>
  <c r="AC41" i="17422"/>
  <c r="ER22" i="17418"/>
  <c r="AN265" i="17418"/>
  <c r="AO14" i="17418"/>
  <c r="IK22" i="17418"/>
  <c r="GN22" i="17418"/>
  <c r="EQ22" i="17418"/>
  <c r="CT22" i="17418"/>
  <c r="AN269" i="17418"/>
  <c r="AN263" i="17418"/>
  <c r="AN239" i="17418"/>
  <c r="AN259" i="17418"/>
  <c r="AN251" i="17418"/>
  <c r="H31" i="1"/>
  <c r="X23" i="14"/>
  <c r="G14" i="17413"/>
  <c r="F14" i="17413" s="1"/>
  <c r="AP21" i="17418"/>
  <c r="Q158" i="4"/>
  <c r="R158" i="4" s="1"/>
  <c r="P158" i="4"/>
  <c r="AQ158" i="4" s="1"/>
  <c r="AS158" i="4"/>
  <c r="AU158" i="4"/>
  <c r="AR158" i="4"/>
  <c r="AT158" i="4"/>
  <c r="GO17" i="17418"/>
  <c r="KI17" i="17418"/>
  <c r="GO18" i="17418"/>
  <c r="KI18" i="17418"/>
  <c r="GO20" i="17418"/>
  <c r="KI20" i="17418"/>
  <c r="GO21" i="17418"/>
  <c r="KI21" i="17418"/>
  <c r="GO19" i="17418"/>
  <c r="KI19" i="17418"/>
  <c r="CU36" i="17418"/>
  <c r="IU36" i="17418" s="1"/>
  <c r="ER36" i="17418"/>
  <c r="KR36" i="17418" s="1"/>
  <c r="GO36" i="17418"/>
  <c r="CU37" i="17418"/>
  <c r="IU37" i="17418" s="1"/>
  <c r="ER37" i="17418"/>
  <c r="KR37" i="17418" s="1"/>
  <c r="GO37" i="17418"/>
  <c r="IL23" i="17418"/>
  <c r="ER23" i="17418"/>
  <c r="CU23" i="17418"/>
  <c r="GO23" i="17418"/>
  <c r="KI23" i="17418"/>
  <c r="ER24" i="17418"/>
  <c r="KI24" i="17418"/>
  <c r="IL24" i="17418"/>
  <c r="CU24" i="17418"/>
  <c r="GO24" i="17418"/>
  <c r="IL25" i="17418"/>
  <c r="ER25" i="17418"/>
  <c r="KI25" i="17418"/>
  <c r="GO25" i="17418"/>
  <c r="CU25" i="17418"/>
  <c r="IL26" i="17418"/>
  <c r="ER26" i="17418"/>
  <c r="CU26" i="17418"/>
  <c r="KI26" i="17418"/>
  <c r="GO26" i="17418"/>
  <c r="ER27" i="17418"/>
  <c r="CU27" i="17418"/>
  <c r="IU27" i="17418" s="1"/>
  <c r="GO27" i="17418"/>
  <c r="KI27" i="17418"/>
  <c r="IL18" i="17418"/>
  <c r="ER18" i="17418"/>
  <c r="CU18" i="17418"/>
  <c r="ER17" i="17418"/>
  <c r="IL17" i="17418"/>
  <c r="CU17" i="17418"/>
  <c r="ER20" i="17418"/>
  <c r="CU20" i="17418"/>
  <c r="IL20" i="17418"/>
  <c r="KI16" i="17418"/>
  <c r="CU16" i="17418"/>
  <c r="IL16" i="17418"/>
  <c r="ER16" i="17418"/>
  <c r="ER21" i="17418"/>
  <c r="CU21" i="17418"/>
  <c r="IL21" i="17418"/>
  <c r="ER19" i="17418"/>
  <c r="IL19" i="17418"/>
  <c r="CU19" i="17418"/>
  <c r="AP27" i="17418"/>
  <c r="AP26" i="17418"/>
  <c r="AP25" i="17418"/>
  <c r="AP24" i="17418"/>
  <c r="AP23" i="17418"/>
  <c r="AF57" i="17419"/>
  <c r="G32" i="1"/>
  <c r="G2" i="1"/>
  <c r="H1795" i="1"/>
  <c r="O159" i="4"/>
  <c r="M160" i="4"/>
  <c r="H1805" i="1"/>
  <c r="H1797" i="1"/>
  <c r="AP58" i="17418"/>
  <c r="AG9" i="17419"/>
  <c r="AP56" i="17418"/>
  <c r="AP53" i="17418"/>
  <c r="AP49" i="17418"/>
  <c r="AP45" i="17418"/>
  <c r="AP48" i="17418"/>
  <c r="AP59" i="17418"/>
  <c r="AP52" i="17418"/>
  <c r="AP39" i="17418"/>
  <c r="AP35" i="17418"/>
  <c r="AP57" i="17418"/>
  <c r="AP54" i="17418"/>
  <c r="AP50" i="17418"/>
  <c r="AP47" i="17418"/>
  <c r="AP41" i="17418"/>
  <c r="AP37" i="17418"/>
  <c r="AP34" i="17418"/>
  <c r="AP55" i="17418"/>
  <c r="AP42" i="17418"/>
  <c r="AG42" i="17419"/>
  <c r="AG63" i="17419" s="1"/>
  <c r="AP60" i="17418"/>
  <c r="AP51" i="17418"/>
  <c r="AP38" i="17418"/>
  <c r="AP30" i="17418"/>
  <c r="AP46" i="17418"/>
  <c r="AP44" i="17418"/>
  <c r="AP36" i="17418"/>
  <c r="AP33" i="17418"/>
  <c r="AP31" i="17418"/>
  <c r="AP29" i="17418"/>
  <c r="AP40" i="17418"/>
  <c r="AQ7" i="17418"/>
  <c r="AP43" i="17418"/>
  <c r="AP15" i="17418"/>
  <c r="CV15" i="17418" s="1"/>
  <c r="AP18" i="17418"/>
  <c r="AP20" i="17418"/>
  <c r="AP17" i="17418"/>
  <c r="AP19" i="17418"/>
  <c r="AP16" i="17418"/>
  <c r="GP16" i="17418" s="1"/>
  <c r="AP32" i="17418"/>
  <c r="N51" i="17419" l="1"/>
  <c r="V44" i="17419"/>
  <c r="O47" i="17419"/>
  <c r="H53" i="17419"/>
  <c r="R52" i="17419"/>
  <c r="J49" i="17419"/>
  <c r="T46" i="17419"/>
  <c r="N45" i="17419"/>
  <c r="V46" i="17419"/>
  <c r="P47" i="17419"/>
  <c r="I51" i="17419"/>
  <c r="R49" i="17419"/>
  <c r="L45" i="17419"/>
  <c r="T48" i="17419"/>
  <c r="N47" i="17419"/>
  <c r="I47" i="17419"/>
  <c r="P49" i="17419"/>
  <c r="K46" i="17419"/>
  <c r="U49" i="17419"/>
  <c r="O49" i="17419"/>
  <c r="H44" i="17419"/>
  <c r="Q49" i="17419"/>
  <c r="J52" i="17419"/>
  <c r="S48" i="17419"/>
  <c r="M48" i="17419"/>
  <c r="U46" i="17419"/>
  <c r="O45" i="17419"/>
  <c r="H48" i="17419"/>
  <c r="Q44" i="17419"/>
  <c r="K45" i="17419"/>
  <c r="T53" i="17419"/>
  <c r="M53" i="17419"/>
  <c r="V45" i="17419"/>
  <c r="P46" i="17419"/>
  <c r="H49" i="17419"/>
  <c r="S50" i="17419"/>
  <c r="L47" i="17419"/>
  <c r="T51" i="17419"/>
  <c r="N46" i="17419"/>
  <c r="V50" i="17419"/>
  <c r="P52" i="17419"/>
  <c r="K48" i="17419"/>
  <c r="R46" i="17419"/>
  <c r="L46" i="17419"/>
  <c r="U51" i="17419"/>
  <c r="N48" i="17419"/>
  <c r="H45" i="17419"/>
  <c r="Q46" i="17419"/>
  <c r="K49" i="17419"/>
  <c r="S53" i="17419"/>
  <c r="L48" i="17419"/>
  <c r="U48" i="17419"/>
  <c r="O51" i="17419"/>
  <c r="H52" i="17419"/>
  <c r="R48" i="17419"/>
  <c r="J50" i="17419"/>
  <c r="S51" i="17419"/>
  <c r="M52" i="17419"/>
  <c r="V48" i="17419"/>
  <c r="O50" i="17419"/>
  <c r="I46" i="17419"/>
  <c r="R47" i="17419"/>
  <c r="K53" i="17419"/>
  <c r="T49" i="17419"/>
  <c r="M44" i="17419"/>
  <c r="V53" i="17419"/>
  <c r="P44" i="17419"/>
  <c r="H50" i="17419"/>
  <c r="R53" i="17419"/>
  <c r="L53" i="17419"/>
  <c r="T52" i="17419"/>
  <c r="N44" i="17419"/>
  <c r="H46" i="17419"/>
  <c r="Q50" i="17419"/>
  <c r="K47" i="17419"/>
  <c r="S52" i="17419"/>
  <c r="L51" i="17419"/>
  <c r="U47" i="17419"/>
  <c r="N49" i="17419"/>
  <c r="H47" i="17419"/>
  <c r="Q45" i="17419"/>
  <c r="K44" i="17419"/>
  <c r="S44" i="17419"/>
  <c r="M51" i="17419"/>
  <c r="U44" i="17419"/>
  <c r="O44" i="17419"/>
  <c r="I45" i="17419"/>
  <c r="Q48" i="17419"/>
  <c r="J45" i="17419"/>
  <c r="T44" i="17419"/>
  <c r="M49" i="17419"/>
  <c r="V47" i="17419"/>
  <c r="P45" i="17419"/>
  <c r="K50" i="17419"/>
  <c r="R50" i="17419"/>
  <c r="L49" i="17419"/>
  <c r="U53" i="17419"/>
  <c r="N52" i="17419"/>
  <c r="H51" i="17419"/>
  <c r="P50" i="17419"/>
  <c r="J47" i="17419"/>
  <c r="S49" i="17419"/>
  <c r="L52" i="17419"/>
  <c r="V49" i="17419"/>
  <c r="O46" i="17419"/>
  <c r="I52" i="17419"/>
  <c r="Q52" i="17419"/>
  <c r="J46" i="17419"/>
  <c r="S45" i="17419"/>
  <c r="M47" i="17419"/>
  <c r="V51" i="17419"/>
  <c r="O53" i="17419"/>
  <c r="I49" i="17419"/>
  <c r="Q51" i="17419"/>
  <c r="J53" i="17419"/>
  <c r="T45" i="17419"/>
  <c r="M50" i="17419"/>
  <c r="V52" i="17419"/>
  <c r="P51" i="17419"/>
  <c r="I44" i="17419"/>
  <c r="R45" i="17419"/>
  <c r="IL22" i="17418"/>
  <c r="GO22" i="17418"/>
  <c r="I43" i="17419"/>
  <c r="V43" i="17419"/>
  <c r="H43" i="17419"/>
  <c r="T43" i="17419"/>
  <c r="Q43" i="17419"/>
  <c r="L43" i="17419"/>
  <c r="S43" i="17419"/>
  <c r="P43" i="17419"/>
  <c r="K43" i="17419"/>
  <c r="R43" i="17419"/>
  <c r="O43" i="17419"/>
  <c r="J43" i="17419"/>
  <c r="U43" i="17419"/>
  <c r="N43" i="17419"/>
  <c r="M43" i="17419"/>
  <c r="CU22" i="17418"/>
  <c r="KI22" i="17418"/>
  <c r="AP14" i="17418"/>
  <c r="GP22" i="17418"/>
  <c r="H32" i="1"/>
  <c r="X24" i="14"/>
  <c r="AQ21" i="17418"/>
  <c r="Q159" i="4"/>
  <c r="R159" i="4" s="1"/>
  <c r="P159" i="4"/>
  <c r="AQ159" i="4" s="1"/>
  <c r="AU159" i="4"/>
  <c r="AS159" i="4"/>
  <c r="AT159" i="4"/>
  <c r="AR159" i="4"/>
  <c r="KJ18" i="17418"/>
  <c r="GP18" i="17418"/>
  <c r="GP17" i="17418"/>
  <c r="KJ17" i="17418"/>
  <c r="GP21" i="17418"/>
  <c r="KJ21" i="17418"/>
  <c r="KJ20" i="17418"/>
  <c r="GP20" i="17418"/>
  <c r="GP19" i="17418"/>
  <c r="KJ19" i="17418"/>
  <c r="AG57" i="17419"/>
  <c r="CV36" i="17418"/>
  <c r="IV36" i="17418" s="1"/>
  <c r="ES36" i="17418"/>
  <c r="KS36" i="17418" s="1"/>
  <c r="GP36" i="17418"/>
  <c r="CV37" i="17418"/>
  <c r="IV37" i="17418" s="1"/>
  <c r="ES37" i="17418"/>
  <c r="KS37" i="17418" s="1"/>
  <c r="GP37" i="17418"/>
  <c r="IM23" i="17418"/>
  <c r="ES23" i="17418"/>
  <c r="CV23" i="17418"/>
  <c r="GP23" i="17418"/>
  <c r="KJ23" i="17418"/>
  <c r="CV24" i="17418"/>
  <c r="ES24" i="17418"/>
  <c r="IM24" i="17418"/>
  <c r="GP24" i="17418"/>
  <c r="KJ24" i="17418"/>
  <c r="CV25" i="17418"/>
  <c r="IM25" i="17418"/>
  <c r="ES25" i="17418"/>
  <c r="KJ25" i="17418"/>
  <c r="GP25" i="17418"/>
  <c r="IM26" i="17418"/>
  <c r="ES26" i="17418"/>
  <c r="CV26" i="17418"/>
  <c r="GP26" i="17418"/>
  <c r="KJ26" i="17418"/>
  <c r="ES27" i="17418"/>
  <c r="CV27" i="17418"/>
  <c r="IV27" i="17418" s="1"/>
  <c r="GP27" i="17418"/>
  <c r="KJ27" i="17418"/>
  <c r="IM18" i="17418"/>
  <c r="CV18" i="17418"/>
  <c r="ES18" i="17418"/>
  <c r="IM16" i="17418"/>
  <c r="KJ16" i="17418"/>
  <c r="CV16" i="17418"/>
  <c r="ES16" i="17418"/>
  <c r="ES17" i="17418"/>
  <c r="IM17" i="17418"/>
  <c r="CV17" i="17418"/>
  <c r="CV21" i="17418"/>
  <c r="ES21" i="17418"/>
  <c r="IM21" i="17418"/>
  <c r="IM20" i="17418"/>
  <c r="CV20" i="17418"/>
  <c r="ES20" i="17418"/>
  <c r="CV19" i="17418"/>
  <c r="ES19" i="17418"/>
  <c r="IM19" i="17418"/>
  <c r="G45" i="17419"/>
  <c r="AQ26" i="17418"/>
  <c r="AQ27" i="17418"/>
  <c r="AQ23" i="17418"/>
  <c r="AQ24" i="17418"/>
  <c r="AQ25" i="17418"/>
  <c r="M161" i="4"/>
  <c r="O160" i="4"/>
  <c r="G33" i="1"/>
  <c r="AH42" i="17419"/>
  <c r="AH63" i="17419" s="1"/>
  <c r="AQ60" i="17418"/>
  <c r="AQ57" i="17418"/>
  <c r="AQ55" i="17418"/>
  <c r="AH9" i="17419"/>
  <c r="AQ58" i="17418"/>
  <c r="AQ52" i="17418"/>
  <c r="AQ48" i="17418"/>
  <c r="AQ59" i="17418"/>
  <c r="AQ53" i="17418"/>
  <c r="AQ50" i="17418"/>
  <c r="AQ47" i="17418"/>
  <c r="AQ45" i="17418"/>
  <c r="AQ44" i="17418"/>
  <c r="AQ56" i="17418"/>
  <c r="AQ51" i="17418"/>
  <c r="AQ46" i="17418"/>
  <c r="AQ42" i="17418"/>
  <c r="AQ41" i="17418"/>
  <c r="AQ38" i="17418"/>
  <c r="AQ36" i="17418"/>
  <c r="AQ30" i="17418"/>
  <c r="AQ40" i="17418"/>
  <c r="AQ31" i="17418"/>
  <c r="AQ37" i="17418"/>
  <c r="AQ33" i="17418"/>
  <c r="AQ29" i="17418"/>
  <c r="AQ43" i="17418"/>
  <c r="AQ35" i="17418"/>
  <c r="AQ34" i="17418"/>
  <c r="AQ15" i="17418"/>
  <c r="CW15" i="17418" s="1"/>
  <c r="AQ54" i="17418"/>
  <c r="AQ39" i="17418"/>
  <c r="AQ49" i="17418"/>
  <c r="AR7" i="17418"/>
  <c r="AQ17" i="17418"/>
  <c r="AQ19" i="17418"/>
  <c r="AQ16" i="17418"/>
  <c r="GQ16" i="17418" s="1"/>
  <c r="AQ20" i="17418"/>
  <c r="AQ18" i="17418"/>
  <c r="AQ32" i="17418"/>
  <c r="IM22" i="17418" l="1"/>
  <c r="KJ22" i="17418"/>
  <c r="AQ14" i="17418"/>
  <c r="ES22" i="17418"/>
  <c r="CV22" i="17418"/>
  <c r="GQ22" i="17418"/>
  <c r="H33" i="1"/>
  <c r="X25" i="14"/>
  <c r="AR21" i="17418"/>
  <c r="Q160" i="4"/>
  <c r="R160" i="4" s="1"/>
  <c r="P160" i="4"/>
  <c r="AQ160" i="4" s="1"/>
  <c r="AS160" i="4"/>
  <c r="AR160" i="4"/>
  <c r="AU160" i="4"/>
  <c r="AT160" i="4"/>
  <c r="BR28" i="17418"/>
  <c r="E11" i="17419" s="1"/>
  <c r="GQ21" i="17418"/>
  <c r="KK21" i="17418"/>
  <c r="GQ18" i="17418"/>
  <c r="KK18" i="17418"/>
  <c r="GQ17" i="17418"/>
  <c r="KK17" i="17418"/>
  <c r="KK20" i="17418"/>
  <c r="GQ20" i="17418"/>
  <c r="GQ19" i="17418"/>
  <c r="KK19" i="17418"/>
  <c r="CW37" i="17418"/>
  <c r="IW37" i="17418" s="1"/>
  <c r="ET37" i="17418"/>
  <c r="KT37" i="17418" s="1"/>
  <c r="GQ37" i="17418"/>
  <c r="CW36" i="17418"/>
  <c r="IW36" i="17418" s="1"/>
  <c r="GQ36" i="17418"/>
  <c r="ET36" i="17418"/>
  <c r="KT36" i="17418" s="1"/>
  <c r="IN25" i="17418"/>
  <c r="ET25" i="17418"/>
  <c r="CW25" i="17418"/>
  <c r="GQ25" i="17418"/>
  <c r="KK25" i="17418"/>
  <c r="IN24" i="17418"/>
  <c r="ET24" i="17418"/>
  <c r="KK24" i="17418"/>
  <c r="CW24" i="17418"/>
  <c r="GQ24" i="17418"/>
  <c r="IN23" i="17418"/>
  <c r="ET23" i="17418"/>
  <c r="CW23" i="17418"/>
  <c r="KK23" i="17418"/>
  <c r="GQ23" i="17418"/>
  <c r="ET27" i="17418"/>
  <c r="CW27" i="17418"/>
  <c r="IW27" i="17418" s="1"/>
  <c r="GQ27" i="17418"/>
  <c r="KK27" i="17418"/>
  <c r="IN26" i="17418"/>
  <c r="ET26" i="17418"/>
  <c r="GQ26" i="17418"/>
  <c r="KK26" i="17418"/>
  <c r="CW26" i="17418"/>
  <c r="IN18" i="17418"/>
  <c r="ET18" i="17418"/>
  <c r="CW18" i="17418"/>
  <c r="ET21" i="17418"/>
  <c r="IN21" i="17418"/>
  <c r="CW21" i="17418"/>
  <c r="ET17" i="17418"/>
  <c r="CW17" i="17418"/>
  <c r="IN17" i="17418"/>
  <c r="IN20" i="17418"/>
  <c r="ET20" i="17418"/>
  <c r="CW20" i="17418"/>
  <c r="KK16" i="17418"/>
  <c r="IN16" i="17418"/>
  <c r="CW16" i="17418"/>
  <c r="ET16" i="17418"/>
  <c r="ET19" i="17418"/>
  <c r="CW19" i="17418"/>
  <c r="IN19" i="17418"/>
  <c r="AR25" i="17418"/>
  <c r="AR26" i="17418"/>
  <c r="AR27" i="17418"/>
  <c r="AR24" i="17418"/>
  <c r="AR23" i="17418"/>
  <c r="G34" i="1"/>
  <c r="M162" i="4"/>
  <c r="O161" i="4"/>
  <c r="AH57" i="17419"/>
  <c r="AR59" i="17418"/>
  <c r="AI42" i="17419"/>
  <c r="AI63" i="17419" s="1"/>
  <c r="AR58" i="17418"/>
  <c r="AR56" i="17418"/>
  <c r="AR51" i="17418"/>
  <c r="AR47" i="17418"/>
  <c r="AR55" i="17418"/>
  <c r="AR43" i="17418"/>
  <c r="AI9" i="17419"/>
  <c r="AR57" i="17418"/>
  <c r="AR50" i="17418"/>
  <c r="AR45" i="17418"/>
  <c r="AR40" i="17418"/>
  <c r="AR34" i="17418"/>
  <c r="AR60" i="17418"/>
  <c r="AR44" i="17418"/>
  <c r="AR38" i="17418"/>
  <c r="AR35" i="17418"/>
  <c r="AR33" i="17418"/>
  <c r="AR29" i="17418"/>
  <c r="AR54" i="17418"/>
  <c r="AR52" i="17418"/>
  <c r="AR39" i="17418"/>
  <c r="AR31" i="17418"/>
  <c r="AR49" i="17418"/>
  <c r="AR53" i="17418"/>
  <c r="AR46" i="17418"/>
  <c r="AR42" i="17418"/>
  <c r="AR36" i="17418"/>
  <c r="AR41" i="17418"/>
  <c r="AR48" i="17418"/>
  <c r="AR37" i="17418"/>
  <c r="AR15" i="17418"/>
  <c r="CX15" i="17418" s="1"/>
  <c r="AR30" i="17418"/>
  <c r="AS7" i="17418"/>
  <c r="AR18" i="17418"/>
  <c r="AR19" i="17418"/>
  <c r="AR16" i="17418"/>
  <c r="GR16" i="17418" s="1"/>
  <c r="AR17" i="17418"/>
  <c r="AR20" i="17418"/>
  <c r="AR32" i="17418"/>
  <c r="AR14" i="17418" l="1"/>
  <c r="IN22" i="17418"/>
  <c r="CW22" i="17418"/>
  <c r="KK22" i="17418"/>
  <c r="ET22" i="17418"/>
  <c r="IO22" i="17418"/>
  <c r="H34" i="1"/>
  <c r="X26" i="14"/>
  <c r="AS21" i="17418"/>
  <c r="Q161" i="4"/>
  <c r="R161" i="4" s="1"/>
  <c r="P161" i="4"/>
  <c r="AQ161" i="4" s="1"/>
  <c r="AU161" i="4"/>
  <c r="AR161" i="4"/>
  <c r="AS161" i="4"/>
  <c r="AT161" i="4"/>
  <c r="KL20" i="17418"/>
  <c r="GR20" i="17418"/>
  <c r="GR17" i="17418"/>
  <c r="KL17" i="17418"/>
  <c r="GR21" i="17418"/>
  <c r="KL21" i="17418"/>
  <c r="KL18" i="17418"/>
  <c r="GR18" i="17418"/>
  <c r="GR19" i="17418"/>
  <c r="KL19" i="17418"/>
  <c r="CX37" i="17418"/>
  <c r="IX37" i="17418" s="1"/>
  <c r="EU37" i="17418"/>
  <c r="KU37" i="17418" s="1"/>
  <c r="GR37" i="17418"/>
  <c r="EU36" i="17418"/>
  <c r="KU36" i="17418" s="1"/>
  <c r="GR36" i="17418"/>
  <c r="CX36" i="17418"/>
  <c r="IX36" i="17418" s="1"/>
  <c r="IO23" i="17418"/>
  <c r="EU23" i="17418"/>
  <c r="CX23" i="17418"/>
  <c r="GR23" i="17418"/>
  <c r="KL23" i="17418"/>
  <c r="EU24" i="17418"/>
  <c r="GR24" i="17418"/>
  <c r="KL24" i="17418"/>
  <c r="CX24" i="17418"/>
  <c r="IO24" i="17418"/>
  <c r="EU27" i="17418"/>
  <c r="CX27" i="17418"/>
  <c r="IX27" i="17418" s="1"/>
  <c r="GR27" i="17418"/>
  <c r="KL27" i="17418"/>
  <c r="IO26" i="17418"/>
  <c r="EU26" i="17418"/>
  <c r="CX26" i="17418"/>
  <c r="GR26" i="17418"/>
  <c r="KL26" i="17418"/>
  <c r="IO25" i="17418"/>
  <c r="EU25" i="17418"/>
  <c r="KL25" i="17418"/>
  <c r="GR25" i="17418"/>
  <c r="CX25" i="17418"/>
  <c r="CX21" i="17418"/>
  <c r="EU21" i="17418"/>
  <c r="IO21" i="17418"/>
  <c r="IO20" i="17418"/>
  <c r="CX20" i="17418"/>
  <c r="EU20" i="17418"/>
  <c r="KL16" i="17418"/>
  <c r="IO16" i="17418"/>
  <c r="CX16" i="17418"/>
  <c r="EU16" i="17418"/>
  <c r="IO18" i="17418"/>
  <c r="CX18" i="17418"/>
  <c r="EU18" i="17418"/>
  <c r="CX17" i="17418"/>
  <c r="IO17" i="17418"/>
  <c r="EU17" i="17418"/>
  <c r="EU19" i="17418"/>
  <c r="CX19" i="17418"/>
  <c r="IO19" i="17418"/>
  <c r="AS27" i="17418"/>
  <c r="AS26" i="17418"/>
  <c r="AS25" i="17418"/>
  <c r="AS24" i="17418"/>
  <c r="AS23" i="17418"/>
  <c r="O162" i="4"/>
  <c r="M163" i="4"/>
  <c r="G35" i="1"/>
  <c r="AI57" i="17419"/>
  <c r="AJ9" i="17419"/>
  <c r="AS60" i="17418"/>
  <c r="AS57" i="17418"/>
  <c r="AS54" i="17418"/>
  <c r="AS50" i="17418"/>
  <c r="AS46" i="17418"/>
  <c r="AS52" i="17418"/>
  <c r="AS49" i="17418"/>
  <c r="AS42" i="17418"/>
  <c r="AS44" i="17418"/>
  <c r="AS37" i="17418"/>
  <c r="AS33" i="17418"/>
  <c r="AS31" i="17418"/>
  <c r="AS29" i="17418"/>
  <c r="AS53" i="17418"/>
  <c r="AS48" i="17418"/>
  <c r="AS43" i="17418"/>
  <c r="AS36" i="17418"/>
  <c r="AJ42" i="17419"/>
  <c r="AJ63" i="17419" s="1"/>
  <c r="AS59" i="17418"/>
  <c r="AS58" i="17418"/>
  <c r="AS45" i="17418"/>
  <c r="AS35" i="17418"/>
  <c r="AS56" i="17418"/>
  <c r="AS55" i="17418"/>
  <c r="AS39" i="17418"/>
  <c r="AS41" i="17418"/>
  <c r="AT7" i="17418"/>
  <c r="AS47" i="17418"/>
  <c r="AS40" i="17418"/>
  <c r="AS30" i="17418"/>
  <c r="AS15" i="17418"/>
  <c r="CY15" i="17418" s="1"/>
  <c r="AS38" i="17418"/>
  <c r="AS34" i="17418"/>
  <c r="AS51" i="17418"/>
  <c r="AS18" i="17418"/>
  <c r="AS19" i="17418"/>
  <c r="AS17" i="17418"/>
  <c r="AS32" i="17418"/>
  <c r="AS20" i="17418"/>
  <c r="AS16" i="17418"/>
  <c r="GS16" i="17418" s="1"/>
  <c r="AS14" i="17418" l="1"/>
  <c r="EU22" i="17418"/>
  <c r="GR22" i="17418"/>
  <c r="CX22" i="17418"/>
  <c r="KL22" i="17418"/>
  <c r="IP22" i="17418"/>
  <c r="H35" i="1"/>
  <c r="X27" i="14"/>
  <c r="AT21" i="17418"/>
  <c r="Q162" i="4"/>
  <c r="R162" i="4" s="1"/>
  <c r="P162" i="4"/>
  <c r="AQ162" i="4" s="1"/>
  <c r="AU162" i="4"/>
  <c r="AS162" i="4"/>
  <c r="AT162" i="4"/>
  <c r="AR162" i="4"/>
  <c r="KM18" i="17418"/>
  <c r="GS18" i="17418"/>
  <c r="KM21" i="17418"/>
  <c r="GS21" i="17418"/>
  <c r="KM20" i="17418"/>
  <c r="GS20" i="17418"/>
  <c r="GS17" i="17418"/>
  <c r="KM17" i="17418"/>
  <c r="GS19" i="17418"/>
  <c r="KM19" i="17418"/>
  <c r="CY36" i="17418"/>
  <c r="IY36" i="17418" s="1"/>
  <c r="EV36" i="17418"/>
  <c r="KV36" i="17418" s="1"/>
  <c r="GS36" i="17418"/>
  <c r="EV37" i="17418"/>
  <c r="KV37" i="17418" s="1"/>
  <c r="CY37" i="17418"/>
  <c r="IY37" i="17418" s="1"/>
  <c r="GS37" i="17418"/>
  <c r="IP23" i="17418"/>
  <c r="EV23" i="17418"/>
  <c r="CY23" i="17418"/>
  <c r="KM23" i="17418"/>
  <c r="GS23" i="17418"/>
  <c r="EV24" i="17418"/>
  <c r="KM24" i="17418"/>
  <c r="GS24" i="17418"/>
  <c r="IP24" i="17418"/>
  <c r="CY24" i="17418"/>
  <c r="IP25" i="17418"/>
  <c r="EV25" i="17418"/>
  <c r="GS25" i="17418"/>
  <c r="KM25" i="17418"/>
  <c r="CY25" i="17418"/>
  <c r="IP26" i="17418"/>
  <c r="EV26" i="17418"/>
  <c r="CY26" i="17418"/>
  <c r="GS26" i="17418"/>
  <c r="KM26" i="17418"/>
  <c r="EV27" i="17418"/>
  <c r="CY27" i="17418"/>
  <c r="IY27" i="17418" s="1"/>
  <c r="GS27" i="17418"/>
  <c r="KM27" i="17418"/>
  <c r="CY21" i="17418"/>
  <c r="EV21" i="17418"/>
  <c r="IP21" i="17418"/>
  <c r="IP16" i="17418"/>
  <c r="CY16" i="17418"/>
  <c r="KM16" i="17418"/>
  <c r="EV16" i="17418"/>
  <c r="IP18" i="17418"/>
  <c r="EV18" i="17418"/>
  <c r="CY18" i="17418"/>
  <c r="IP20" i="17418"/>
  <c r="EV20" i="17418"/>
  <c r="CY20" i="17418"/>
  <c r="CY17" i="17418"/>
  <c r="EV17" i="17418"/>
  <c r="IP17" i="17418"/>
  <c r="EV19" i="17418"/>
  <c r="IP19" i="17418"/>
  <c r="CY19" i="17418"/>
  <c r="AT27" i="17418"/>
  <c r="AT26" i="17418"/>
  <c r="AT25" i="17418"/>
  <c r="AT24" i="17418"/>
  <c r="AT23" i="17418"/>
  <c r="AJ57" i="17419"/>
  <c r="G36" i="1"/>
  <c r="O163" i="4"/>
  <c r="M164" i="4"/>
  <c r="G13" i="17413"/>
  <c r="F13" i="17413" s="1"/>
  <c r="AT58" i="17418"/>
  <c r="AT59" i="17418"/>
  <c r="AT57" i="17418"/>
  <c r="AT56" i="17418"/>
  <c r="AK42" i="17419"/>
  <c r="AK63" i="17419" s="1"/>
  <c r="AT60" i="17418"/>
  <c r="AT55" i="17418"/>
  <c r="AT53" i="17418"/>
  <c r="AT49" i="17418"/>
  <c r="AT45" i="17418"/>
  <c r="AT54" i="17418"/>
  <c r="AT51" i="17418"/>
  <c r="AT46" i="17418"/>
  <c r="AT48" i="17418"/>
  <c r="AT43" i="17418"/>
  <c r="AT39" i="17418"/>
  <c r="AT35" i="17418"/>
  <c r="AT42" i="17418"/>
  <c r="AT30" i="17418"/>
  <c r="AK9" i="17419"/>
  <c r="AT47" i="17418"/>
  <c r="AT41" i="17418"/>
  <c r="AT38" i="17418"/>
  <c r="AT36" i="17418"/>
  <c r="AT40" i="17418"/>
  <c r="AT44" i="17418"/>
  <c r="AT33" i="17418"/>
  <c r="AT31" i="17418"/>
  <c r="AT37" i="17418"/>
  <c r="AT29" i="17418"/>
  <c r="AT34" i="17418"/>
  <c r="AT50" i="17418"/>
  <c r="AU7" i="17418"/>
  <c r="AT52" i="17418"/>
  <c r="AT15" i="17418"/>
  <c r="CZ15" i="17418" s="1"/>
  <c r="AT20" i="17418"/>
  <c r="AT16" i="17418"/>
  <c r="GT16" i="17418" s="1"/>
  <c r="AT18" i="17418"/>
  <c r="AT17" i="17418"/>
  <c r="AT19" i="17418"/>
  <c r="AT32" i="17418"/>
  <c r="GS22" i="17418" l="1"/>
  <c r="EV22" i="17418"/>
  <c r="AT14" i="17418"/>
  <c r="CY22" i="17418"/>
  <c r="IQ22" i="17418"/>
  <c r="KM22" i="17418"/>
  <c r="H36" i="1"/>
  <c r="X28" i="14"/>
  <c r="AU21" i="17418"/>
  <c r="Q163" i="4"/>
  <c r="R163" i="4" s="1"/>
  <c r="P163" i="4"/>
  <c r="AQ163" i="4" s="1"/>
  <c r="AR163" i="4"/>
  <c r="AU163" i="4"/>
  <c r="AT163" i="4"/>
  <c r="AS163" i="4"/>
  <c r="J28" i="17418"/>
  <c r="KN18" i="17418"/>
  <c r="GT18" i="17418"/>
  <c r="KN20" i="17418"/>
  <c r="GT20" i="17418"/>
  <c r="KN21" i="17418"/>
  <c r="GT21" i="17418"/>
  <c r="KN17" i="17418"/>
  <c r="GT17" i="17418"/>
  <c r="GT19" i="17418"/>
  <c r="KN19" i="17418"/>
  <c r="CZ37" i="17418"/>
  <c r="IZ37" i="17418" s="1"/>
  <c r="EW37" i="17418"/>
  <c r="KW37" i="17418" s="1"/>
  <c r="GT37" i="17418"/>
  <c r="CZ36" i="17418"/>
  <c r="IZ36" i="17418" s="1"/>
  <c r="EW36" i="17418"/>
  <c r="KW36" i="17418" s="1"/>
  <c r="GT36" i="17418"/>
  <c r="IQ23" i="17418"/>
  <c r="EW23" i="17418"/>
  <c r="CZ23" i="17418"/>
  <c r="GT23" i="17418"/>
  <c r="KN23" i="17418"/>
  <c r="IQ24" i="17418"/>
  <c r="EW24" i="17418"/>
  <c r="GT24" i="17418"/>
  <c r="CZ24" i="17418"/>
  <c r="KN24" i="17418"/>
  <c r="IQ25" i="17418"/>
  <c r="EW25" i="17418"/>
  <c r="CZ25" i="17418"/>
  <c r="KN25" i="17418"/>
  <c r="GT25" i="17418"/>
  <c r="IQ26" i="17418"/>
  <c r="EW26" i="17418"/>
  <c r="CZ26" i="17418"/>
  <c r="GT26" i="17418"/>
  <c r="KN26" i="17418"/>
  <c r="EW27" i="17418"/>
  <c r="CZ27" i="17418"/>
  <c r="IZ27" i="17418" s="1"/>
  <c r="KN27" i="17418"/>
  <c r="GT27" i="17418"/>
  <c r="CZ17" i="17418"/>
  <c r="IQ17" i="17418"/>
  <c r="EW17" i="17418"/>
  <c r="IQ18" i="17418"/>
  <c r="EW18" i="17418"/>
  <c r="CZ18" i="17418"/>
  <c r="EW20" i="17418"/>
  <c r="CZ20" i="17418"/>
  <c r="IQ20" i="17418"/>
  <c r="CZ21" i="17418"/>
  <c r="IQ21" i="17418"/>
  <c r="EW21" i="17418"/>
  <c r="IQ16" i="17418"/>
  <c r="KN16" i="17418"/>
  <c r="CZ16" i="17418"/>
  <c r="EW16" i="17418"/>
  <c r="EW19" i="17418"/>
  <c r="IQ19" i="17418"/>
  <c r="CZ19" i="17418"/>
  <c r="G47" i="17419"/>
  <c r="G51" i="17419"/>
  <c r="G50" i="17419"/>
  <c r="AU24" i="17418"/>
  <c r="AU25" i="17418"/>
  <c r="AU27" i="17418"/>
  <c r="AU23" i="17418"/>
  <c r="AU26" i="17418"/>
  <c r="O164" i="4"/>
  <c r="M165" i="4"/>
  <c r="G37" i="1"/>
  <c r="AK57" i="17419"/>
  <c r="AL42" i="17419"/>
  <c r="AL63" i="17419" s="1"/>
  <c r="AU60" i="17418"/>
  <c r="AU57" i="17418"/>
  <c r="AL9" i="17419"/>
  <c r="AU55" i="17418"/>
  <c r="AU59" i="17418"/>
  <c r="AU52" i="17418"/>
  <c r="AU48" i="17418"/>
  <c r="AU44" i="17418"/>
  <c r="AU54" i="17418"/>
  <c r="AU53" i="17418"/>
  <c r="AU49" i="17418"/>
  <c r="AU47" i="17418"/>
  <c r="AU41" i="17418"/>
  <c r="AU38" i="17418"/>
  <c r="AU36" i="17418"/>
  <c r="AU30" i="17418"/>
  <c r="AU58" i="17418"/>
  <c r="AU51" i="17418"/>
  <c r="AU46" i="17418"/>
  <c r="AU39" i="17418"/>
  <c r="AU37" i="17418"/>
  <c r="AU34" i="17418"/>
  <c r="AU56" i="17418"/>
  <c r="AU43" i="17418"/>
  <c r="AU40" i="17418"/>
  <c r="AU45" i="17418"/>
  <c r="AU33" i="17418"/>
  <c r="AU29" i="17418"/>
  <c r="AU35" i="17418"/>
  <c r="AU15" i="17418"/>
  <c r="DA15" i="17418" s="1"/>
  <c r="AU50" i="17418"/>
  <c r="AV7" i="17418"/>
  <c r="AU31" i="17418"/>
  <c r="AU42" i="17418"/>
  <c r="AU17" i="17418"/>
  <c r="AU16" i="17418"/>
  <c r="GU16" i="17418" s="1"/>
  <c r="AU20" i="17418"/>
  <c r="AU18" i="17418"/>
  <c r="AU32" i="17418"/>
  <c r="AU19" i="17418"/>
  <c r="AU14" i="17418" l="1"/>
  <c r="EW22" i="17418"/>
  <c r="GT22" i="17418"/>
  <c r="KN22" i="17418"/>
  <c r="CZ22" i="17418"/>
  <c r="IR22" i="17418"/>
  <c r="H37" i="1"/>
  <c r="X29" i="14"/>
  <c r="AV21" i="17418"/>
  <c r="Q164" i="4"/>
  <c r="R164" i="4" s="1"/>
  <c r="P164" i="4"/>
  <c r="AQ164" i="4" s="1"/>
  <c r="AR164" i="4"/>
  <c r="AU164" i="4"/>
  <c r="AS164" i="4"/>
  <c r="AT164" i="4"/>
  <c r="GU17" i="17418"/>
  <c r="KO17" i="17418"/>
  <c r="GU18" i="17418"/>
  <c r="KO18" i="17418"/>
  <c r="KO20" i="17418"/>
  <c r="GU20" i="17418"/>
  <c r="KO21" i="17418"/>
  <c r="GU21" i="17418"/>
  <c r="GU19" i="17418"/>
  <c r="KO19" i="17418"/>
  <c r="DA37" i="17418"/>
  <c r="JA37" i="17418" s="1"/>
  <c r="EX37" i="17418"/>
  <c r="KX37" i="17418" s="1"/>
  <c r="GU37" i="17418"/>
  <c r="DA36" i="17418"/>
  <c r="JA36" i="17418" s="1"/>
  <c r="EX36" i="17418"/>
  <c r="KX36" i="17418" s="1"/>
  <c r="GU36" i="17418"/>
  <c r="IR26" i="17418"/>
  <c r="GU26" i="17418"/>
  <c r="KO26" i="17418"/>
  <c r="DA26" i="17418"/>
  <c r="EX26" i="17418"/>
  <c r="IR23" i="17418"/>
  <c r="EX23" i="17418"/>
  <c r="DA23" i="17418"/>
  <c r="GU23" i="17418"/>
  <c r="KO23" i="17418"/>
  <c r="EX27" i="17418"/>
  <c r="DA27" i="17418"/>
  <c r="JA27" i="17418" s="1"/>
  <c r="KO27" i="17418"/>
  <c r="GU27" i="17418"/>
  <c r="IR25" i="17418"/>
  <c r="EX25" i="17418"/>
  <c r="GU25" i="17418"/>
  <c r="KO25" i="17418"/>
  <c r="DA25" i="17418"/>
  <c r="IR24" i="17418"/>
  <c r="GU24" i="17418"/>
  <c r="DA24" i="17418"/>
  <c r="EX24" i="17418"/>
  <c r="KO24" i="17418"/>
  <c r="IR16" i="17418"/>
  <c r="KO16" i="17418"/>
  <c r="DA16" i="17418"/>
  <c r="EX16" i="17418"/>
  <c r="DA21" i="17418"/>
  <c r="EX21" i="17418"/>
  <c r="IR21" i="17418"/>
  <c r="IR18" i="17418"/>
  <c r="EX18" i="17418"/>
  <c r="DA18" i="17418"/>
  <c r="DA17" i="17418"/>
  <c r="IR17" i="17418"/>
  <c r="EX17" i="17418"/>
  <c r="DA20" i="17418"/>
  <c r="EX20" i="17418"/>
  <c r="IR20" i="17418"/>
  <c r="IR19" i="17418"/>
  <c r="EX19" i="17418"/>
  <c r="DA19" i="17418"/>
  <c r="AV27" i="17418"/>
  <c r="AV23" i="17418"/>
  <c r="AV24" i="17418"/>
  <c r="AV26" i="17418"/>
  <c r="AV25" i="17418"/>
  <c r="G38" i="1"/>
  <c r="M166" i="4"/>
  <c r="O165" i="4"/>
  <c r="AV59" i="17418"/>
  <c r="AV51" i="17418"/>
  <c r="AV47" i="17418"/>
  <c r="AM9" i="17419"/>
  <c r="AV60" i="17418"/>
  <c r="AV56" i="17418"/>
  <c r="AV53" i="17418"/>
  <c r="AV50" i="17418"/>
  <c r="AV48" i="17418"/>
  <c r="AV45" i="17418"/>
  <c r="AV43" i="17418"/>
  <c r="AM42" i="17419"/>
  <c r="AM63" i="17419" s="1"/>
  <c r="AV58" i="17418"/>
  <c r="AV42" i="17418"/>
  <c r="AV40" i="17418"/>
  <c r="AV34" i="17418"/>
  <c r="AV55" i="17418"/>
  <c r="AV41" i="17418"/>
  <c r="AV31" i="17418"/>
  <c r="AV57" i="17418"/>
  <c r="AV49" i="17418"/>
  <c r="AV30" i="17418"/>
  <c r="AV52" i="17418"/>
  <c r="AV54" i="17418"/>
  <c r="AV39" i="17418"/>
  <c r="AV37" i="17418"/>
  <c r="AV29" i="17418"/>
  <c r="AV38" i="17418"/>
  <c r="AV33" i="17418"/>
  <c r="AV46" i="17418"/>
  <c r="AV36" i="17418"/>
  <c r="AV15" i="17418"/>
  <c r="DB15" i="17418" s="1"/>
  <c r="AV44" i="17418"/>
  <c r="AV35" i="17418"/>
  <c r="AW7" i="17418"/>
  <c r="AV19" i="17418"/>
  <c r="AV16" i="17418"/>
  <c r="GV16" i="17418" s="1"/>
  <c r="AV20" i="17418"/>
  <c r="AV17" i="17418"/>
  <c r="AV32" i="17418"/>
  <c r="AV18" i="17418"/>
  <c r="AL57" i="17419"/>
  <c r="AV14" i="17418" l="1"/>
  <c r="DA22" i="17418"/>
  <c r="GU22" i="17418"/>
  <c r="EX22" i="17418"/>
  <c r="KO22" i="17418"/>
  <c r="IS22" i="17418"/>
  <c r="H38" i="1"/>
  <c r="X30" i="14"/>
  <c r="AW21" i="17418"/>
  <c r="Q165" i="4"/>
  <c r="R165" i="4" s="1"/>
  <c r="P165" i="4"/>
  <c r="AQ165" i="4" s="1"/>
  <c r="AR165" i="4"/>
  <c r="AT165" i="4"/>
  <c r="AU165" i="4"/>
  <c r="AS165" i="4"/>
  <c r="KP18" i="17418"/>
  <c r="GV18" i="17418"/>
  <c r="KP17" i="17418"/>
  <c r="GV17" i="17418"/>
  <c r="KP20" i="17418"/>
  <c r="GV20" i="17418"/>
  <c r="KP21" i="17418"/>
  <c r="GV21" i="17418"/>
  <c r="GV19" i="17418"/>
  <c r="KP19" i="17418"/>
  <c r="DB36" i="17418"/>
  <c r="JB36" i="17418" s="1"/>
  <c r="GV36" i="17418"/>
  <c r="EY36" i="17418"/>
  <c r="KY36" i="17418" s="1"/>
  <c r="DB37" i="17418"/>
  <c r="JB37" i="17418" s="1"/>
  <c r="EY37" i="17418"/>
  <c r="KY37" i="17418" s="1"/>
  <c r="GV37" i="17418"/>
  <c r="DB25" i="17418"/>
  <c r="IS25" i="17418"/>
  <c r="EY25" i="17418"/>
  <c r="KP25" i="17418"/>
  <c r="GV25" i="17418"/>
  <c r="IS26" i="17418"/>
  <c r="EY26" i="17418"/>
  <c r="DB26" i="17418"/>
  <c r="GV26" i="17418"/>
  <c r="KP26" i="17418"/>
  <c r="EY24" i="17418"/>
  <c r="IS24" i="17418"/>
  <c r="GV24" i="17418"/>
  <c r="DB24" i="17418"/>
  <c r="KP24" i="17418"/>
  <c r="IS23" i="17418"/>
  <c r="EY23" i="17418"/>
  <c r="DB23" i="17418"/>
  <c r="GV23" i="17418"/>
  <c r="KP23" i="17418"/>
  <c r="EY27" i="17418"/>
  <c r="DB27" i="17418"/>
  <c r="JB27" i="17418" s="1"/>
  <c r="GV27" i="17418"/>
  <c r="KP27" i="17418"/>
  <c r="DB21" i="17418"/>
  <c r="EY21" i="17418"/>
  <c r="IS21" i="17418"/>
  <c r="DB20" i="17418"/>
  <c r="IS20" i="17418"/>
  <c r="EY20" i="17418"/>
  <c r="IS18" i="17418"/>
  <c r="EY18" i="17418"/>
  <c r="DB18" i="17418"/>
  <c r="EY17" i="17418"/>
  <c r="DB17" i="17418"/>
  <c r="IS17" i="17418"/>
  <c r="DB16" i="17418"/>
  <c r="KP16" i="17418"/>
  <c r="IS16" i="17418"/>
  <c r="EY16" i="17418"/>
  <c r="IS19" i="17418"/>
  <c r="DB19" i="17418"/>
  <c r="EY19" i="17418"/>
  <c r="AW27" i="17418"/>
  <c r="AW26" i="17418"/>
  <c r="AW25" i="17418"/>
  <c r="AW24" i="17418"/>
  <c r="AW23" i="17418"/>
  <c r="M167" i="4"/>
  <c r="O166" i="4"/>
  <c r="G39" i="1"/>
  <c r="AN9" i="17419"/>
  <c r="AN42" i="17419"/>
  <c r="AN63" i="17419" s="1"/>
  <c r="AW58" i="17418"/>
  <c r="AW56" i="17418"/>
  <c r="AW54" i="17418"/>
  <c r="AW50" i="17418"/>
  <c r="AW46" i="17418"/>
  <c r="AW57" i="17418"/>
  <c r="AW47" i="17418"/>
  <c r="AW42" i="17418"/>
  <c r="AW55" i="17418"/>
  <c r="AW52" i="17418"/>
  <c r="AW37" i="17418"/>
  <c r="AW33" i="17418"/>
  <c r="AW31" i="17418"/>
  <c r="AW29" i="17418"/>
  <c r="AW49" i="17418"/>
  <c r="AW40" i="17418"/>
  <c r="AW38" i="17418"/>
  <c r="AW35" i="17418"/>
  <c r="AW60" i="17418"/>
  <c r="AW51" i="17418"/>
  <c r="AW44" i="17418"/>
  <c r="AW34" i="17418"/>
  <c r="AW36" i="17418"/>
  <c r="AW30" i="17418"/>
  <c r="AW59" i="17418"/>
  <c r="AX7" i="17418"/>
  <c r="AW48" i="17418"/>
  <c r="AW45" i="17418"/>
  <c r="AW43" i="17418"/>
  <c r="AW15" i="17418"/>
  <c r="DC15" i="17418" s="1"/>
  <c r="AW53" i="17418"/>
  <c r="AW41" i="17418"/>
  <c r="AW39" i="17418"/>
  <c r="AW19" i="17418"/>
  <c r="AW17" i="17418"/>
  <c r="AW20" i="17418"/>
  <c r="AW32" i="17418"/>
  <c r="AW18" i="17418"/>
  <c r="AW16" i="17418"/>
  <c r="GW16" i="17418" s="1"/>
  <c r="AM57" i="17419"/>
  <c r="GV22" i="17418" l="1"/>
  <c r="KP22" i="17418"/>
  <c r="EY22" i="17418"/>
  <c r="AW14" i="17418"/>
  <c r="EZ22" i="17418"/>
  <c r="DB22" i="17418"/>
  <c r="H39" i="1"/>
  <c r="X31" i="14"/>
  <c r="G10" i="17413"/>
  <c r="F10" i="17413" s="1"/>
  <c r="AX21" i="17418"/>
  <c r="Q166" i="4"/>
  <c r="R166" i="4" s="1"/>
  <c r="P166" i="4"/>
  <c r="AQ166" i="4" s="1"/>
  <c r="AS166" i="4"/>
  <c r="AT166" i="4"/>
  <c r="AR166" i="4"/>
  <c r="AU166" i="4"/>
  <c r="KQ20" i="17418"/>
  <c r="GW20" i="17418"/>
  <c r="GW17" i="17418"/>
  <c r="KQ17" i="17418"/>
  <c r="GW21" i="17418"/>
  <c r="KQ21" i="17418"/>
  <c r="KQ18" i="17418"/>
  <c r="GW18" i="17418"/>
  <c r="GW19" i="17418"/>
  <c r="KQ19" i="17418"/>
  <c r="AN57" i="17419"/>
  <c r="EZ36" i="17418"/>
  <c r="KZ36" i="17418" s="1"/>
  <c r="GW36" i="17418"/>
  <c r="DC36" i="17418"/>
  <c r="JC36" i="17418" s="1"/>
  <c r="EZ37" i="17418"/>
  <c r="KZ37" i="17418" s="1"/>
  <c r="GW37" i="17418"/>
  <c r="DC37" i="17418"/>
  <c r="JC37" i="17418" s="1"/>
  <c r="IT23" i="17418"/>
  <c r="EZ23" i="17418"/>
  <c r="DC23" i="17418"/>
  <c r="GW23" i="17418"/>
  <c r="KQ23" i="17418"/>
  <c r="EZ24" i="17418"/>
  <c r="DC24" i="17418"/>
  <c r="IT24" i="17418"/>
  <c r="GW24" i="17418"/>
  <c r="KQ24" i="17418"/>
  <c r="IT25" i="17418"/>
  <c r="EZ25" i="17418"/>
  <c r="GW25" i="17418"/>
  <c r="KQ25" i="17418"/>
  <c r="DC25" i="17418"/>
  <c r="IT26" i="17418"/>
  <c r="EZ26" i="17418"/>
  <c r="DC26" i="17418"/>
  <c r="GW26" i="17418"/>
  <c r="KQ26" i="17418"/>
  <c r="EZ27" i="17418"/>
  <c r="DC27" i="17418"/>
  <c r="JC27" i="17418" s="1"/>
  <c r="GW27" i="17418"/>
  <c r="KQ27" i="17418"/>
  <c r="IT18" i="17418"/>
  <c r="DC18" i="17418"/>
  <c r="EZ18" i="17418"/>
  <c r="IT21" i="17418"/>
  <c r="EZ21" i="17418"/>
  <c r="DC21" i="17418"/>
  <c r="EZ20" i="17418"/>
  <c r="DC20" i="17418"/>
  <c r="IT20" i="17418"/>
  <c r="DC17" i="17418"/>
  <c r="EZ17" i="17418"/>
  <c r="IT17" i="17418"/>
  <c r="IT16" i="17418"/>
  <c r="KQ16" i="17418"/>
  <c r="DC16" i="17418"/>
  <c r="EZ16" i="17418"/>
  <c r="EZ19" i="17418"/>
  <c r="DC19" i="17418"/>
  <c r="IT19" i="17418"/>
  <c r="AX27" i="17418"/>
  <c r="AX26" i="17418"/>
  <c r="AX25" i="17418"/>
  <c r="AX24" i="17418"/>
  <c r="AX23" i="17418"/>
  <c r="G40" i="1"/>
  <c r="O167" i="4"/>
  <c r="M168" i="4"/>
  <c r="AX58" i="17418"/>
  <c r="AX60" i="17418"/>
  <c r="AX56" i="17418"/>
  <c r="AO9" i="17419"/>
  <c r="AX53" i="17418"/>
  <c r="AX49" i="17418"/>
  <c r="AX45" i="17418"/>
  <c r="AO42" i="17419"/>
  <c r="AO63" i="17419" s="1"/>
  <c r="AX55" i="17418"/>
  <c r="AX52" i="17418"/>
  <c r="AX51" i="17418"/>
  <c r="AX46" i="17418"/>
  <c r="AX44" i="17418"/>
  <c r="AX39" i="17418"/>
  <c r="AX35" i="17418"/>
  <c r="AX59" i="17418"/>
  <c r="AX54" i="17418"/>
  <c r="AX36" i="17418"/>
  <c r="AX33" i="17418"/>
  <c r="AX29" i="17418"/>
  <c r="AX37" i="17418"/>
  <c r="AX50" i="17418"/>
  <c r="AX47" i="17418"/>
  <c r="AX42" i="17418"/>
  <c r="AX41" i="17418"/>
  <c r="AX31" i="17418"/>
  <c r="AX48" i="17418"/>
  <c r="AX57" i="17418"/>
  <c r="AX43" i="17418"/>
  <c r="AX40" i="17418"/>
  <c r="AX38" i="17418"/>
  <c r="AX34" i="17418"/>
  <c r="AX30" i="17418"/>
  <c r="AY7" i="17418"/>
  <c r="AX15" i="17418"/>
  <c r="DD15" i="17418" s="1"/>
  <c r="AX20" i="17418"/>
  <c r="AX16" i="17418"/>
  <c r="GX16" i="17418" s="1"/>
  <c r="AX18" i="17418"/>
  <c r="AX17" i="17418"/>
  <c r="AX19" i="17418"/>
  <c r="AX32" i="17418"/>
  <c r="FA22" i="17418" l="1"/>
  <c r="KQ22" i="17418"/>
  <c r="IT22" i="17418"/>
  <c r="GW22" i="17418"/>
  <c r="DC22" i="17418"/>
  <c r="AX14" i="17418"/>
  <c r="H40" i="1"/>
  <c r="X32" i="14"/>
  <c r="L19" i="8"/>
  <c r="AY21" i="17418"/>
  <c r="Q167" i="4"/>
  <c r="R167" i="4" s="1"/>
  <c r="P167" i="4"/>
  <c r="AQ167" i="4" s="1"/>
  <c r="AR167" i="4"/>
  <c r="AU167" i="4"/>
  <c r="AT167" i="4"/>
  <c r="AS167" i="4"/>
  <c r="KR21" i="17418"/>
  <c r="GX21" i="17418"/>
  <c r="GX22" i="17418"/>
  <c r="KR20" i="17418"/>
  <c r="GX20" i="17418"/>
  <c r="KR18" i="17418"/>
  <c r="GX18" i="17418"/>
  <c r="KR17" i="17418"/>
  <c r="GX17" i="17418"/>
  <c r="GX19" i="17418"/>
  <c r="KR19" i="17418"/>
  <c r="DD37" i="17418"/>
  <c r="JD37" i="17418" s="1"/>
  <c r="GX37" i="17418"/>
  <c r="FA37" i="17418"/>
  <c r="LA37" i="17418" s="1"/>
  <c r="FA36" i="17418"/>
  <c r="LA36" i="17418" s="1"/>
  <c r="GX36" i="17418"/>
  <c r="DD36" i="17418"/>
  <c r="JD36" i="17418" s="1"/>
  <c r="IU23" i="17418"/>
  <c r="FA23" i="17418"/>
  <c r="DD23" i="17418"/>
  <c r="KR23" i="17418"/>
  <c r="GX23" i="17418"/>
  <c r="FA24" i="17418"/>
  <c r="GX24" i="17418"/>
  <c r="KR24" i="17418"/>
  <c r="IU24" i="17418"/>
  <c r="DD24" i="17418"/>
  <c r="IU25" i="17418"/>
  <c r="FA25" i="17418"/>
  <c r="KR25" i="17418"/>
  <c r="GX25" i="17418"/>
  <c r="DD25" i="17418"/>
  <c r="IU26" i="17418"/>
  <c r="FA26" i="17418"/>
  <c r="DD26" i="17418"/>
  <c r="GX26" i="17418"/>
  <c r="KR26" i="17418"/>
  <c r="FA27" i="17418"/>
  <c r="DD27" i="17418"/>
  <c r="JD27" i="17418" s="1"/>
  <c r="GX27" i="17418"/>
  <c r="KR27" i="17418"/>
  <c r="IU22" i="17418"/>
  <c r="IU20" i="17418"/>
  <c r="FA20" i="17418"/>
  <c r="DD20" i="17418"/>
  <c r="DD17" i="17418"/>
  <c r="FA17" i="17418"/>
  <c r="IU17" i="17418"/>
  <c r="IU16" i="17418"/>
  <c r="KR16" i="17418"/>
  <c r="DD16" i="17418"/>
  <c r="FA16" i="17418"/>
  <c r="IU18" i="17418"/>
  <c r="FA18" i="17418"/>
  <c r="DD18" i="17418"/>
  <c r="DD21" i="17418"/>
  <c r="FA21" i="17418"/>
  <c r="IU21" i="17418"/>
  <c r="IU19" i="17418"/>
  <c r="DD19" i="17418"/>
  <c r="FA19" i="17418"/>
  <c r="AY26" i="17418"/>
  <c r="AY27" i="17418"/>
  <c r="AY23" i="17418"/>
  <c r="AY25" i="17418"/>
  <c r="AY24" i="17418"/>
  <c r="G41" i="1"/>
  <c r="O168" i="4"/>
  <c r="M169" i="4"/>
  <c r="AO57" i="17419"/>
  <c r="AP42" i="17419"/>
  <c r="AP63" i="17419" s="1"/>
  <c r="AY60" i="17418"/>
  <c r="AY57" i="17418"/>
  <c r="AY59" i="17418"/>
  <c r="AY55" i="17418"/>
  <c r="AY58" i="17418"/>
  <c r="AY52" i="17418"/>
  <c r="AY48" i="17418"/>
  <c r="AY54" i="17418"/>
  <c r="AY51" i="17418"/>
  <c r="AY49" i="17418"/>
  <c r="AY46" i="17418"/>
  <c r="AY44" i="17418"/>
  <c r="AY50" i="17418"/>
  <c r="AY45" i="17418"/>
  <c r="AY43" i="17418"/>
  <c r="AY41" i="17418"/>
  <c r="AY38" i="17418"/>
  <c r="AY36" i="17418"/>
  <c r="AY30" i="17418"/>
  <c r="AP9" i="17419"/>
  <c r="AY47" i="17418"/>
  <c r="AY53" i="17418"/>
  <c r="AY42" i="17418"/>
  <c r="AY39" i="17418"/>
  <c r="AY33" i="17418"/>
  <c r="AY31" i="17418"/>
  <c r="AY29" i="17418"/>
  <c r="AY37" i="17418"/>
  <c r="AY34" i="17418"/>
  <c r="AY40" i="17418"/>
  <c r="AY15" i="17418"/>
  <c r="DE15" i="17418" s="1"/>
  <c r="AY56" i="17418"/>
  <c r="AY35" i="17418"/>
  <c r="AZ7" i="17418"/>
  <c r="AY17" i="17418"/>
  <c r="AY16" i="17418"/>
  <c r="GY16" i="17418" s="1"/>
  <c r="AY20" i="17418"/>
  <c r="AY18" i="17418"/>
  <c r="AY32" i="17418"/>
  <c r="AY19" i="17418"/>
  <c r="DD22" i="17418" l="1"/>
  <c r="KR22" i="17418"/>
  <c r="AY14" i="17418"/>
  <c r="KS22" i="17418"/>
  <c r="H41" i="1"/>
  <c r="X33" i="14"/>
  <c r="L17" i="8"/>
  <c r="AZ21" i="17418"/>
  <c r="Q168" i="4"/>
  <c r="R168" i="4" s="1"/>
  <c r="P168" i="4"/>
  <c r="AQ168" i="4" s="1"/>
  <c r="AT168" i="4"/>
  <c r="AS168" i="4"/>
  <c r="AR168" i="4"/>
  <c r="AU168" i="4"/>
  <c r="KS20" i="17418"/>
  <c r="GY20" i="17418"/>
  <c r="KS17" i="17418"/>
  <c r="GY17" i="17418"/>
  <c r="KS21" i="17418"/>
  <c r="GY21" i="17418"/>
  <c r="KS18" i="17418"/>
  <c r="GY18" i="17418"/>
  <c r="GY19" i="17418"/>
  <c r="KS19" i="17418"/>
  <c r="DE37" i="17418"/>
  <c r="JE37" i="17418" s="1"/>
  <c r="FB37" i="17418"/>
  <c r="LB37" i="17418" s="1"/>
  <c r="GY37" i="17418"/>
  <c r="DE36" i="17418"/>
  <c r="JE36" i="17418" s="1"/>
  <c r="FB36" i="17418"/>
  <c r="LB36" i="17418" s="1"/>
  <c r="GY36" i="17418"/>
  <c r="IV24" i="17418"/>
  <c r="GY24" i="17418"/>
  <c r="DE24" i="17418"/>
  <c r="FB24" i="17418"/>
  <c r="KS24" i="17418"/>
  <c r="IV25" i="17418"/>
  <c r="FB25" i="17418"/>
  <c r="GY25" i="17418"/>
  <c r="KS25" i="17418"/>
  <c r="DE25" i="17418"/>
  <c r="IV23" i="17418"/>
  <c r="FB23" i="17418"/>
  <c r="DE23" i="17418"/>
  <c r="KS23" i="17418"/>
  <c r="GY23" i="17418"/>
  <c r="FB27" i="17418"/>
  <c r="DE27" i="17418"/>
  <c r="JE27" i="17418" s="1"/>
  <c r="GY27" i="17418"/>
  <c r="KS27" i="17418"/>
  <c r="IV26" i="17418"/>
  <c r="DE26" i="17418"/>
  <c r="FB26" i="17418"/>
  <c r="GY26" i="17418"/>
  <c r="KS26" i="17418"/>
  <c r="DE16" i="17418"/>
  <c r="IV16" i="17418"/>
  <c r="KS16" i="17418"/>
  <c r="FB16" i="17418"/>
  <c r="IV18" i="17418"/>
  <c r="DE18" i="17418"/>
  <c r="FB18" i="17418"/>
  <c r="DE20" i="17418"/>
  <c r="IV20" i="17418"/>
  <c r="FB20" i="17418"/>
  <c r="FB17" i="17418"/>
  <c r="DE17" i="17418"/>
  <c r="IV17" i="17418"/>
  <c r="IV21" i="17418"/>
  <c r="DE21" i="17418"/>
  <c r="FB21" i="17418"/>
  <c r="FB19" i="17418"/>
  <c r="IV19" i="17418"/>
  <c r="DE19" i="17418"/>
  <c r="AZ25" i="17418"/>
  <c r="AZ26" i="17418"/>
  <c r="AZ24" i="17418"/>
  <c r="AZ27" i="17418"/>
  <c r="AZ23" i="17418"/>
  <c r="G42" i="1"/>
  <c r="O169" i="4"/>
  <c r="M170" i="4"/>
  <c r="AZ59" i="17418"/>
  <c r="AQ9" i="17419"/>
  <c r="AZ57" i="17418"/>
  <c r="AZ55" i="17418"/>
  <c r="AZ51" i="17418"/>
  <c r="AZ47" i="17418"/>
  <c r="AZ58" i="17418"/>
  <c r="AZ43" i="17418"/>
  <c r="AZ60" i="17418"/>
  <c r="AZ56" i="17418"/>
  <c r="AZ40" i="17418"/>
  <c r="AZ34" i="17418"/>
  <c r="AZ52" i="17418"/>
  <c r="AZ50" i="17418"/>
  <c r="AZ45" i="17418"/>
  <c r="AZ44" i="17418"/>
  <c r="AZ42" i="17418"/>
  <c r="AZ39" i="17418"/>
  <c r="AZ37" i="17418"/>
  <c r="AZ30" i="17418"/>
  <c r="AZ48" i="17418"/>
  <c r="AZ46" i="17418"/>
  <c r="AZ35" i="17418"/>
  <c r="AZ54" i="17418"/>
  <c r="AZ38" i="17418"/>
  <c r="AZ49" i="17418"/>
  <c r="AZ53" i="17418"/>
  <c r="AZ41" i="17418"/>
  <c r="AZ36" i="17418"/>
  <c r="AZ33" i="17418"/>
  <c r="AZ31" i="17418"/>
  <c r="AZ15" i="17418"/>
  <c r="DF15" i="17418" s="1"/>
  <c r="AQ42" i="17419"/>
  <c r="AQ63" i="17419" s="1"/>
  <c r="AZ29" i="17418"/>
  <c r="BA7" i="17418"/>
  <c r="AZ19" i="17418"/>
  <c r="AZ18" i="17418"/>
  <c r="AZ17" i="17418"/>
  <c r="AZ20" i="17418"/>
  <c r="AZ32" i="17418"/>
  <c r="AZ16" i="17418"/>
  <c r="GZ16" i="17418" s="1"/>
  <c r="AP57" i="17419"/>
  <c r="AZ14" i="17418" l="1"/>
  <c r="IV22" i="17418"/>
  <c r="GY22" i="17418"/>
  <c r="FB22" i="17418"/>
  <c r="DE22" i="17418"/>
  <c r="FC22" i="17418"/>
  <c r="H42" i="1"/>
  <c r="X34" i="14"/>
  <c r="BA21" i="17418"/>
  <c r="Q169" i="4"/>
  <c r="R169" i="4" s="1"/>
  <c r="P169" i="4"/>
  <c r="AQ169" i="4" s="1"/>
  <c r="AR169" i="4"/>
  <c r="AS169" i="4"/>
  <c r="AU169" i="4"/>
  <c r="AT169" i="4"/>
  <c r="KT21" i="17418"/>
  <c r="GZ21" i="17418"/>
  <c r="GZ17" i="17418"/>
  <c r="KT17" i="17418"/>
  <c r="KT20" i="17418"/>
  <c r="GZ20" i="17418"/>
  <c r="GZ18" i="17418"/>
  <c r="KT18" i="17418"/>
  <c r="GZ19" i="17418"/>
  <c r="KT19" i="17418"/>
  <c r="DF36" i="17418"/>
  <c r="JF36" i="17418" s="1"/>
  <c r="FC36" i="17418"/>
  <c r="LC36" i="17418" s="1"/>
  <c r="GZ36" i="17418"/>
  <c r="DF37" i="17418"/>
  <c r="JF37" i="17418" s="1"/>
  <c r="FC37" i="17418"/>
  <c r="LC37" i="17418" s="1"/>
  <c r="GZ37" i="17418"/>
  <c r="IW23" i="17418"/>
  <c r="FC23" i="17418"/>
  <c r="DF23" i="17418"/>
  <c r="GZ23" i="17418"/>
  <c r="KT23" i="17418"/>
  <c r="FC27" i="17418"/>
  <c r="DF27" i="17418"/>
  <c r="JF27" i="17418" s="1"/>
  <c r="GZ27" i="17418"/>
  <c r="KT27" i="17418"/>
  <c r="IW24" i="17418"/>
  <c r="FC24" i="17418"/>
  <c r="GZ24" i="17418"/>
  <c r="DF24" i="17418"/>
  <c r="KT24" i="17418"/>
  <c r="IW26" i="17418"/>
  <c r="FC26" i="17418"/>
  <c r="DF26" i="17418"/>
  <c r="GZ26" i="17418"/>
  <c r="KT26" i="17418"/>
  <c r="IW25" i="17418"/>
  <c r="FC25" i="17418"/>
  <c r="KT25" i="17418"/>
  <c r="GZ25" i="17418"/>
  <c r="DF25" i="17418"/>
  <c r="DF16" i="17418"/>
  <c r="IW16" i="17418"/>
  <c r="KT16" i="17418"/>
  <c r="FC16" i="17418"/>
  <c r="FC21" i="17418"/>
  <c r="IW21" i="17418"/>
  <c r="DF21" i="17418"/>
  <c r="FC17" i="17418"/>
  <c r="IW17" i="17418"/>
  <c r="DF17" i="17418"/>
  <c r="IW18" i="17418"/>
  <c r="DF18" i="17418"/>
  <c r="FC18" i="17418"/>
  <c r="IW20" i="17418"/>
  <c r="DF20" i="17418"/>
  <c r="FC20" i="17418"/>
  <c r="IW19" i="17418"/>
  <c r="FC19" i="17418"/>
  <c r="DF19" i="17418"/>
  <c r="BA27" i="17418"/>
  <c r="BA26" i="17418"/>
  <c r="BA25" i="17418"/>
  <c r="BA24" i="17418"/>
  <c r="BA23" i="17418"/>
  <c r="M171" i="4"/>
  <c r="O170" i="4"/>
  <c r="G43" i="1"/>
  <c r="AR9" i="17419"/>
  <c r="BA56" i="17418"/>
  <c r="AR42" i="17419"/>
  <c r="AR63" i="17419" s="1"/>
  <c r="BA60" i="17418"/>
  <c r="BA57" i="17418"/>
  <c r="BA54" i="17418"/>
  <c r="BA50" i="17418"/>
  <c r="BA46" i="17418"/>
  <c r="BA59" i="17418"/>
  <c r="BA53" i="17418"/>
  <c r="BA48" i="17418"/>
  <c r="BA45" i="17418"/>
  <c r="BA42" i="17418"/>
  <c r="BA49" i="17418"/>
  <c r="BA37" i="17418"/>
  <c r="BA33" i="17418"/>
  <c r="BA31" i="17418"/>
  <c r="BA29" i="17418"/>
  <c r="BA43" i="17418"/>
  <c r="BA41" i="17418"/>
  <c r="BA34" i="17418"/>
  <c r="BA38" i="17418"/>
  <c r="BA36" i="17418"/>
  <c r="BA44" i="17418"/>
  <c r="BA35" i="17418"/>
  <c r="BA55" i="17418"/>
  <c r="BA47" i="17418"/>
  <c r="BA30" i="17418"/>
  <c r="BB7" i="17418"/>
  <c r="BA58" i="17418"/>
  <c r="BA52" i="17418"/>
  <c r="BA51" i="17418"/>
  <c r="BA39" i="17418"/>
  <c r="BA15" i="17418"/>
  <c r="DG15" i="17418" s="1"/>
  <c r="BA40" i="17418"/>
  <c r="BA17" i="17418"/>
  <c r="BA19" i="17418"/>
  <c r="BA18" i="17418"/>
  <c r="BA20" i="17418"/>
  <c r="BA16" i="17418"/>
  <c r="HA16" i="17418" s="1"/>
  <c r="BA32" i="17418"/>
  <c r="AQ57" i="17419"/>
  <c r="IW22" i="17418" l="1"/>
  <c r="GZ22" i="17418"/>
  <c r="BA14" i="17418"/>
  <c r="DF22" i="17418"/>
  <c r="KT22" i="17418"/>
  <c r="FD22" i="17418"/>
  <c r="H43" i="1"/>
  <c r="X35" i="14"/>
  <c r="BB21" i="17418"/>
  <c r="Q170" i="4"/>
  <c r="R170" i="4" s="1"/>
  <c r="P170" i="4"/>
  <c r="AQ170" i="4" s="1"/>
  <c r="AT170" i="4"/>
  <c r="AR170" i="4"/>
  <c r="AU170" i="4"/>
  <c r="AS170" i="4"/>
  <c r="KU20" i="17418"/>
  <c r="HA20" i="17418"/>
  <c r="KU18" i="17418"/>
  <c r="HA18" i="17418"/>
  <c r="HA21" i="17418"/>
  <c r="KU21" i="17418"/>
  <c r="HA17" i="17418"/>
  <c r="KU17" i="17418"/>
  <c r="HA19" i="17418"/>
  <c r="KU19" i="17418"/>
  <c r="FD36" i="17418"/>
  <c r="LD36" i="17418" s="1"/>
  <c r="HA36" i="17418"/>
  <c r="DG36" i="17418"/>
  <c r="JG36" i="17418" s="1"/>
  <c r="DG37" i="17418"/>
  <c r="JG37" i="17418" s="1"/>
  <c r="HA37" i="17418"/>
  <c r="FD37" i="17418"/>
  <c r="LD37" i="17418" s="1"/>
  <c r="IX23" i="17418"/>
  <c r="FD23" i="17418"/>
  <c r="DG23" i="17418"/>
  <c r="KU23" i="17418"/>
  <c r="HA23" i="17418"/>
  <c r="FD24" i="17418"/>
  <c r="DG24" i="17418"/>
  <c r="HA24" i="17418"/>
  <c r="KU24" i="17418"/>
  <c r="IX24" i="17418"/>
  <c r="DG25" i="17418"/>
  <c r="IX25" i="17418"/>
  <c r="FD25" i="17418"/>
  <c r="HA25" i="17418"/>
  <c r="KU25" i="17418"/>
  <c r="IX26" i="17418"/>
  <c r="FD26" i="17418"/>
  <c r="DG26" i="17418"/>
  <c r="KU26" i="17418"/>
  <c r="HA26" i="17418"/>
  <c r="FD27" i="17418"/>
  <c r="DG27" i="17418"/>
  <c r="JG27" i="17418" s="1"/>
  <c r="KU27" i="17418"/>
  <c r="HA27" i="17418"/>
  <c r="DG20" i="17418"/>
  <c r="IX20" i="17418"/>
  <c r="FD20" i="17418"/>
  <c r="DG17" i="17418"/>
  <c r="IX17" i="17418"/>
  <c r="FD17" i="17418"/>
  <c r="IX18" i="17418"/>
  <c r="FD18" i="17418"/>
  <c r="DG18" i="17418"/>
  <c r="IX16" i="17418"/>
  <c r="KU16" i="17418"/>
  <c r="DG16" i="17418"/>
  <c r="FD16" i="17418"/>
  <c r="DG21" i="17418"/>
  <c r="FD21" i="17418"/>
  <c r="IX21" i="17418"/>
  <c r="FD19" i="17418"/>
  <c r="IX19" i="17418"/>
  <c r="DG19" i="17418"/>
  <c r="AR57" i="17419"/>
  <c r="BB27" i="17418"/>
  <c r="BB26" i="17418"/>
  <c r="BB25" i="17418"/>
  <c r="BB24" i="17418"/>
  <c r="BB23" i="17418"/>
  <c r="G44" i="1"/>
  <c r="M172" i="4"/>
  <c r="O171" i="4"/>
  <c r="BB58" i="17418"/>
  <c r="AS42" i="17419"/>
  <c r="AS63" i="17419" s="1"/>
  <c r="BB59" i="17418"/>
  <c r="BB53" i="17418"/>
  <c r="BB49" i="17418"/>
  <c r="BB45" i="17418"/>
  <c r="BB50" i="17418"/>
  <c r="BB47" i="17418"/>
  <c r="BB54" i="17418"/>
  <c r="BB48" i="17418"/>
  <c r="BB42" i="17418"/>
  <c r="BB39" i="17418"/>
  <c r="BB35" i="17418"/>
  <c r="BB56" i="17418"/>
  <c r="BB40" i="17418"/>
  <c r="BB38" i="17418"/>
  <c r="BB31" i="17418"/>
  <c r="BB52" i="17418"/>
  <c r="BB41" i="17418"/>
  <c r="BB30" i="17418"/>
  <c r="BB57" i="17418"/>
  <c r="BB46" i="17418"/>
  <c r="BB60" i="17418"/>
  <c r="BB43" i="17418"/>
  <c r="BB34" i="17418"/>
  <c r="BB51" i="17418"/>
  <c r="BB36" i="17418"/>
  <c r="BB33" i="17418"/>
  <c r="BB44" i="17418"/>
  <c r="BB29" i="17418"/>
  <c r="BB37" i="17418"/>
  <c r="AS9" i="17419"/>
  <c r="BB15" i="17418"/>
  <c r="DH15" i="17418" s="1"/>
  <c r="BC7" i="17418"/>
  <c r="BB55" i="17418"/>
  <c r="BB16" i="17418"/>
  <c r="HB16" i="17418" s="1"/>
  <c r="BB18" i="17418"/>
  <c r="BB17" i="17418"/>
  <c r="BB19" i="17418"/>
  <c r="BB32" i="17418"/>
  <c r="BB20" i="17418"/>
  <c r="DG22" i="17418" l="1"/>
  <c r="BB14" i="17418"/>
  <c r="HA22" i="17418"/>
  <c r="IX22" i="17418"/>
  <c r="KU22" i="17418"/>
  <c r="KV22" i="17418"/>
  <c r="H44" i="1"/>
  <c r="X36" i="14"/>
  <c r="BC21" i="17418"/>
  <c r="Q171" i="4"/>
  <c r="R171" i="4" s="1"/>
  <c r="P171" i="4"/>
  <c r="AQ171" i="4" s="1"/>
  <c r="AR171" i="4"/>
  <c r="AU171" i="4"/>
  <c r="AT171" i="4"/>
  <c r="AS171" i="4"/>
  <c r="KV18" i="17418"/>
  <c r="HB18" i="17418"/>
  <c r="KV21" i="17418"/>
  <c r="HB21" i="17418"/>
  <c r="KV20" i="17418"/>
  <c r="HB20" i="17418"/>
  <c r="KV17" i="17418"/>
  <c r="HB17" i="17418"/>
  <c r="HB19" i="17418"/>
  <c r="KV19" i="17418"/>
  <c r="DH37" i="17418"/>
  <c r="JH37" i="17418" s="1"/>
  <c r="FE37" i="17418"/>
  <c r="LE37" i="17418" s="1"/>
  <c r="HB37" i="17418"/>
  <c r="FE36" i="17418"/>
  <c r="LE36" i="17418" s="1"/>
  <c r="HB36" i="17418"/>
  <c r="DH36" i="17418"/>
  <c r="JH36" i="17418" s="1"/>
  <c r="IY23" i="17418"/>
  <c r="FE23" i="17418"/>
  <c r="DH23" i="17418"/>
  <c r="KV23" i="17418"/>
  <c r="HB23" i="17418"/>
  <c r="FE24" i="17418"/>
  <c r="IY24" i="17418"/>
  <c r="DH24" i="17418"/>
  <c r="HB24" i="17418"/>
  <c r="KV24" i="17418"/>
  <c r="IY25" i="17418"/>
  <c r="FE25" i="17418"/>
  <c r="HB25" i="17418"/>
  <c r="KV25" i="17418"/>
  <c r="DH25" i="17418"/>
  <c r="IY26" i="17418"/>
  <c r="FE26" i="17418"/>
  <c r="DH26" i="17418"/>
  <c r="KV26" i="17418"/>
  <c r="HB26" i="17418"/>
  <c r="FE27" i="17418"/>
  <c r="DH27" i="17418"/>
  <c r="JH27" i="17418" s="1"/>
  <c r="KV27" i="17418"/>
  <c r="HB27" i="17418"/>
  <c r="IY21" i="17418"/>
  <c r="DH21" i="17418"/>
  <c r="FE21" i="17418"/>
  <c r="IY18" i="17418"/>
  <c r="DH18" i="17418"/>
  <c r="FE18" i="17418"/>
  <c r="DH20" i="17418"/>
  <c r="IY20" i="17418"/>
  <c r="FE20" i="17418"/>
  <c r="DH17" i="17418"/>
  <c r="FE17" i="17418"/>
  <c r="IY17" i="17418"/>
  <c r="DH16" i="17418"/>
  <c r="IY16" i="17418"/>
  <c r="KV16" i="17418"/>
  <c r="FE16" i="17418"/>
  <c r="DH19" i="17418"/>
  <c r="FE19" i="17418"/>
  <c r="IY19" i="17418"/>
  <c r="BC24" i="17418"/>
  <c r="BC25" i="17418"/>
  <c r="BC26" i="17418"/>
  <c r="BC27" i="17418"/>
  <c r="BC23" i="17418"/>
  <c r="G45" i="1"/>
  <c r="M173" i="4"/>
  <c r="O172" i="4"/>
  <c r="AT42" i="17419"/>
  <c r="AT63" i="17419" s="1"/>
  <c r="BC60" i="17418"/>
  <c r="BC57" i="17418"/>
  <c r="BC58" i="17418"/>
  <c r="BC56" i="17418"/>
  <c r="BC55" i="17418"/>
  <c r="BC52" i="17418"/>
  <c r="BC48" i="17418"/>
  <c r="BC44" i="17418"/>
  <c r="AT9" i="17419"/>
  <c r="BC59" i="17418"/>
  <c r="BC53" i="17418"/>
  <c r="BC47" i="17418"/>
  <c r="BC41" i="17418"/>
  <c r="BC38" i="17418"/>
  <c r="BC36" i="17418"/>
  <c r="BC30" i="17418"/>
  <c r="BC51" i="17418"/>
  <c r="BC46" i="17418"/>
  <c r="BC35" i="17418"/>
  <c r="BC33" i="17418"/>
  <c r="BC29" i="17418"/>
  <c r="BC50" i="17418"/>
  <c r="BC43" i="17418"/>
  <c r="BC40" i="17418"/>
  <c r="BC34" i="17418"/>
  <c r="BC39" i="17418"/>
  <c r="BC49" i="17418"/>
  <c r="BC15" i="17418"/>
  <c r="DI15" i="17418" s="1"/>
  <c r="BC45" i="17418"/>
  <c r="BC31" i="17418"/>
  <c r="BC42" i="17418"/>
  <c r="BC37" i="17418"/>
  <c r="BD7" i="17418"/>
  <c r="BC54" i="17418"/>
  <c r="BC16" i="17418"/>
  <c r="HC16" i="17418" s="1"/>
  <c r="BC17" i="17418"/>
  <c r="BC19" i="17418"/>
  <c r="BC20" i="17418"/>
  <c r="BC18" i="17418"/>
  <c r="BC32" i="17418"/>
  <c r="AS57" i="17419"/>
  <c r="IY22" i="17418" l="1"/>
  <c r="BC14" i="17418"/>
  <c r="FE22" i="17418"/>
  <c r="HB22" i="17418"/>
  <c r="DH22" i="17418"/>
  <c r="KW22" i="17418"/>
  <c r="H45" i="1"/>
  <c r="X37" i="14"/>
  <c r="BD21" i="17418"/>
  <c r="Q172" i="4"/>
  <c r="R172" i="4" s="1"/>
  <c r="P172" i="4"/>
  <c r="AQ172" i="4" s="1"/>
  <c r="AR172" i="4"/>
  <c r="AS172" i="4"/>
  <c r="AT172" i="4"/>
  <c r="AU172" i="4"/>
  <c r="KW18" i="17418"/>
  <c r="HC18" i="17418"/>
  <c r="HC17" i="17418"/>
  <c r="KW17" i="17418"/>
  <c r="HC20" i="17418"/>
  <c r="KW20" i="17418"/>
  <c r="KW21" i="17418"/>
  <c r="HC21" i="17418"/>
  <c r="HC19" i="17418"/>
  <c r="KW19" i="17418"/>
  <c r="DI37" i="17418"/>
  <c r="JI37" i="17418" s="1"/>
  <c r="FF37" i="17418"/>
  <c r="LF37" i="17418" s="1"/>
  <c r="HC37" i="17418"/>
  <c r="HC36" i="17418"/>
  <c r="DI36" i="17418"/>
  <c r="JI36" i="17418" s="1"/>
  <c r="FF36" i="17418"/>
  <c r="LF36" i="17418" s="1"/>
  <c r="IZ23" i="17418"/>
  <c r="FF23" i="17418"/>
  <c r="DI23" i="17418"/>
  <c r="KW23" i="17418"/>
  <c r="HC23" i="17418"/>
  <c r="FF27" i="17418"/>
  <c r="DI27" i="17418"/>
  <c r="JI27" i="17418" s="1"/>
  <c r="HC27" i="17418"/>
  <c r="KW27" i="17418"/>
  <c r="IZ26" i="17418"/>
  <c r="DI26" i="17418"/>
  <c r="FF26" i="17418"/>
  <c r="HC26" i="17418"/>
  <c r="KW26" i="17418"/>
  <c r="IZ25" i="17418"/>
  <c r="FF25" i="17418"/>
  <c r="HC25" i="17418"/>
  <c r="KW25" i="17418"/>
  <c r="DI25" i="17418"/>
  <c r="IZ24" i="17418"/>
  <c r="FF24" i="17418"/>
  <c r="KW24" i="17418"/>
  <c r="HC24" i="17418"/>
  <c r="DI24" i="17418"/>
  <c r="KW16" i="17418"/>
  <c r="DI16" i="17418"/>
  <c r="IZ16" i="17418"/>
  <c r="FF16" i="17418"/>
  <c r="IZ18" i="17418"/>
  <c r="FF18" i="17418"/>
  <c r="DI18" i="17418"/>
  <c r="FF21" i="17418"/>
  <c r="DI21" i="17418"/>
  <c r="IZ21" i="17418"/>
  <c r="DI20" i="17418"/>
  <c r="IZ20" i="17418"/>
  <c r="FF20" i="17418"/>
  <c r="DI17" i="17418"/>
  <c r="IZ17" i="17418"/>
  <c r="FF17" i="17418"/>
  <c r="FF19" i="17418"/>
  <c r="DI19" i="17418"/>
  <c r="IZ19" i="17418"/>
  <c r="BD27" i="17418"/>
  <c r="BD23" i="17418"/>
  <c r="BD24" i="17418"/>
  <c r="BD25" i="17418"/>
  <c r="BD26" i="17418"/>
  <c r="M174" i="4"/>
  <c r="O173" i="4"/>
  <c r="G46" i="1"/>
  <c r="AT57" i="17419"/>
  <c r="BD59" i="17418"/>
  <c r="BD60" i="17418"/>
  <c r="BD54" i="17418"/>
  <c r="AU9" i="17419"/>
  <c r="BD56" i="17418"/>
  <c r="BD51" i="17418"/>
  <c r="BD47" i="17418"/>
  <c r="BD52" i="17418"/>
  <c r="BD49" i="17418"/>
  <c r="BD46" i="17418"/>
  <c r="BD43" i="17418"/>
  <c r="BD57" i="17418"/>
  <c r="BD44" i="17418"/>
  <c r="BD40" i="17418"/>
  <c r="BD34" i="17418"/>
  <c r="AU42" i="17419"/>
  <c r="AU63" i="17419" s="1"/>
  <c r="BD53" i="17418"/>
  <c r="BD48" i="17418"/>
  <c r="BD36" i="17418"/>
  <c r="BD55" i="17418"/>
  <c r="BD45" i="17418"/>
  <c r="BD37" i="17418"/>
  <c r="BD33" i="17418"/>
  <c r="BD29" i="17418"/>
  <c r="BD58" i="17418"/>
  <c r="BD38" i="17418"/>
  <c r="BD31" i="17418"/>
  <c r="BD50" i="17418"/>
  <c r="BD42" i="17418"/>
  <c r="BD41" i="17418"/>
  <c r="BD39" i="17418"/>
  <c r="BD35" i="17418"/>
  <c r="BD30" i="17418"/>
  <c r="BE7" i="17418"/>
  <c r="BD15" i="17418"/>
  <c r="DJ15" i="17418" s="1"/>
  <c r="BD17" i="17418"/>
  <c r="BD19" i="17418"/>
  <c r="BD18" i="17418"/>
  <c r="BD20" i="17418"/>
  <c r="BD32" i="17418"/>
  <c r="BD16" i="17418"/>
  <c r="HD16" i="17418" s="1"/>
  <c r="FF22" i="17418" l="1"/>
  <c r="BD14" i="17418"/>
  <c r="DI22" i="17418"/>
  <c r="HC22" i="17418"/>
  <c r="IZ22" i="17418"/>
  <c r="HD22" i="17418"/>
  <c r="H46" i="1"/>
  <c r="X38" i="14"/>
  <c r="BE21" i="17418"/>
  <c r="Q173" i="4"/>
  <c r="R173" i="4" s="1"/>
  <c r="P173" i="4"/>
  <c r="AQ173" i="4" s="1"/>
  <c r="AS173" i="4"/>
  <c r="AU173" i="4"/>
  <c r="AT173" i="4"/>
  <c r="AR173" i="4"/>
  <c r="KX20" i="17418"/>
  <c r="HD20" i="17418"/>
  <c r="KX21" i="17418"/>
  <c r="HD21" i="17418"/>
  <c r="HD18" i="17418"/>
  <c r="KX18" i="17418"/>
  <c r="KX17" i="17418"/>
  <c r="HD17" i="17418"/>
  <c r="HD19" i="17418"/>
  <c r="KX19" i="17418"/>
  <c r="DJ37" i="17418"/>
  <c r="FG37" i="17418"/>
  <c r="HD37" i="17418"/>
  <c r="AU57" i="17419"/>
  <c r="DJ36" i="17418"/>
  <c r="HD36" i="17418"/>
  <c r="FG36" i="17418"/>
  <c r="JA26" i="17418"/>
  <c r="FG26" i="17418"/>
  <c r="DJ26" i="17418"/>
  <c r="HD26" i="17418"/>
  <c r="KX26" i="17418"/>
  <c r="JA25" i="17418"/>
  <c r="FG25" i="17418"/>
  <c r="HD25" i="17418"/>
  <c r="DJ25" i="17418"/>
  <c r="KX25" i="17418"/>
  <c r="JA24" i="17418"/>
  <c r="FG24" i="17418"/>
  <c r="KX24" i="17418"/>
  <c r="HD24" i="17418"/>
  <c r="DJ24" i="17418"/>
  <c r="JA23" i="17418"/>
  <c r="FG23" i="17418"/>
  <c r="DJ23" i="17418"/>
  <c r="KX23" i="17418"/>
  <c r="HD23" i="17418"/>
  <c r="FG27" i="17418"/>
  <c r="DJ27" i="17418"/>
  <c r="KX27" i="17418"/>
  <c r="HD27" i="17418"/>
  <c r="FG20" i="17418"/>
  <c r="DJ20" i="17418"/>
  <c r="JA20" i="17418"/>
  <c r="DJ21" i="17418"/>
  <c r="FG21" i="17418"/>
  <c r="JA21" i="17418"/>
  <c r="JA18" i="17418"/>
  <c r="FG18" i="17418"/>
  <c r="DJ18" i="17418"/>
  <c r="JA16" i="17418"/>
  <c r="DJ16" i="17418"/>
  <c r="KX16" i="17418"/>
  <c r="FG16" i="17418"/>
  <c r="DJ17" i="17418"/>
  <c r="JA17" i="17418"/>
  <c r="FG17" i="17418"/>
  <c r="DJ19" i="17418"/>
  <c r="FG19" i="17418"/>
  <c r="JA19" i="17418"/>
  <c r="BE27" i="17418"/>
  <c r="BE26" i="17418"/>
  <c r="BE25" i="17418"/>
  <c r="BE24" i="17418"/>
  <c r="BE23" i="17418"/>
  <c r="O174" i="4"/>
  <c r="M175" i="4"/>
  <c r="G47" i="1"/>
  <c r="AV9" i="17419"/>
  <c r="BE56" i="17418"/>
  <c r="BE59" i="17418"/>
  <c r="BE57" i="17418"/>
  <c r="BE58" i="17418"/>
  <c r="BE55" i="17418"/>
  <c r="BE50" i="17418"/>
  <c r="BE46" i="17418"/>
  <c r="BE60" i="17418"/>
  <c r="BE54" i="17418"/>
  <c r="BE51" i="17418"/>
  <c r="BE42" i="17418"/>
  <c r="BE52" i="17418"/>
  <c r="BE45" i="17418"/>
  <c r="BE43" i="17418"/>
  <c r="BE37" i="17418"/>
  <c r="BE33" i="17418"/>
  <c r="BE31" i="17418"/>
  <c r="BE29" i="17418"/>
  <c r="BE39" i="17418"/>
  <c r="BE30" i="17418"/>
  <c r="BE53" i="17418"/>
  <c r="BE48" i="17418"/>
  <c r="BE40" i="17418"/>
  <c r="BE41" i="17418"/>
  <c r="BE36" i="17418"/>
  <c r="BE35" i="17418"/>
  <c r="BF7" i="17418"/>
  <c r="BE44" i="17418"/>
  <c r="AV42" i="17419"/>
  <c r="AV63" i="17419" s="1"/>
  <c r="BE15" i="17418"/>
  <c r="DK15" i="17418" s="1"/>
  <c r="BE47" i="17418"/>
  <c r="BE38" i="17418"/>
  <c r="BE34" i="17418"/>
  <c r="BE49" i="17418"/>
  <c r="BE20" i="17418"/>
  <c r="BE18" i="17418"/>
  <c r="BE16" i="17418"/>
  <c r="HE16" i="17418" s="1"/>
  <c r="BE17" i="17418"/>
  <c r="BE19" i="17418"/>
  <c r="BE32" i="17418"/>
  <c r="JA22" i="17418" l="1"/>
  <c r="KX22" i="17418"/>
  <c r="BE14" i="17418"/>
  <c r="FG22" i="17418"/>
  <c r="DJ22" i="17418"/>
  <c r="DK22" i="17418"/>
  <c r="H47" i="1"/>
  <c r="L47" i="1" s="1"/>
  <c r="X39" i="14"/>
  <c r="BF21" i="17418"/>
  <c r="Q174" i="4"/>
  <c r="R174" i="4" s="1"/>
  <c r="P174" i="4"/>
  <c r="AQ174" i="4" s="1"/>
  <c r="AR174" i="4"/>
  <c r="AU174" i="4"/>
  <c r="AS174" i="4"/>
  <c r="AT174" i="4"/>
  <c r="HE17" i="17418"/>
  <c r="KY17" i="17418"/>
  <c r="KY20" i="17418"/>
  <c r="HE20" i="17418"/>
  <c r="KY18" i="17418"/>
  <c r="HE18" i="17418"/>
  <c r="HE21" i="17418"/>
  <c r="KY21" i="17418"/>
  <c r="HE19" i="17418"/>
  <c r="KY19" i="17418"/>
  <c r="DK36" i="17418"/>
  <c r="JK36" i="17418" s="1"/>
  <c r="FH36" i="17418"/>
  <c r="HE36" i="17418"/>
  <c r="DK37" i="17418"/>
  <c r="JK37" i="17418" s="1"/>
  <c r="HE37" i="17418"/>
  <c r="FH37" i="17418"/>
  <c r="JB23" i="17418"/>
  <c r="FH23" i="17418"/>
  <c r="DK23" i="17418"/>
  <c r="HE23" i="17418"/>
  <c r="KY23" i="17418"/>
  <c r="FH24" i="17418"/>
  <c r="KY24" i="17418"/>
  <c r="DK24" i="17418"/>
  <c r="HE24" i="17418"/>
  <c r="JB24" i="17418"/>
  <c r="JB25" i="17418"/>
  <c r="FH25" i="17418"/>
  <c r="HE25" i="17418"/>
  <c r="KY25" i="17418"/>
  <c r="DK25" i="17418"/>
  <c r="JB26" i="17418"/>
  <c r="FH26" i="17418"/>
  <c r="DK26" i="17418"/>
  <c r="KY26" i="17418"/>
  <c r="HE26" i="17418"/>
  <c r="FH27" i="17418"/>
  <c r="DK27" i="17418"/>
  <c r="HE27" i="17418"/>
  <c r="KY27" i="17418"/>
  <c r="DK16" i="17418"/>
  <c r="JB16" i="17418"/>
  <c r="KY16" i="17418"/>
  <c r="FH16" i="17418"/>
  <c r="FH21" i="17418"/>
  <c r="DK21" i="17418"/>
  <c r="JB21" i="17418"/>
  <c r="JB17" i="17418"/>
  <c r="FH17" i="17418"/>
  <c r="DK17" i="17418"/>
  <c r="FH20" i="17418"/>
  <c r="DK20" i="17418"/>
  <c r="JB20" i="17418"/>
  <c r="JB18" i="17418"/>
  <c r="FH18" i="17418"/>
  <c r="DK18" i="17418"/>
  <c r="JB19" i="17418"/>
  <c r="DK19" i="17418"/>
  <c r="FH19" i="17418"/>
  <c r="AV57" i="17419"/>
  <c r="BF27" i="17418"/>
  <c r="BF26" i="17418"/>
  <c r="BF25" i="17418"/>
  <c r="BF24" i="17418"/>
  <c r="BF23" i="17418"/>
  <c r="O175" i="4"/>
  <c r="M176" i="4"/>
  <c r="G48" i="1"/>
  <c r="BF58" i="17418"/>
  <c r="AW9" i="17419"/>
  <c r="BF54" i="17418"/>
  <c r="BF53" i="17418"/>
  <c r="BF49" i="17418"/>
  <c r="BF45" i="17418"/>
  <c r="AW42" i="17419"/>
  <c r="AW63" i="17419" s="1"/>
  <c r="BF57" i="17418"/>
  <c r="BF56" i="17418"/>
  <c r="BF55" i="17418"/>
  <c r="BF48" i="17418"/>
  <c r="BF51" i="17418"/>
  <c r="BF50" i="17418"/>
  <c r="BF46" i="17418"/>
  <c r="BF39" i="17418"/>
  <c r="BF35" i="17418"/>
  <c r="BF44" i="17418"/>
  <c r="BF41" i="17418"/>
  <c r="BF37" i="17418"/>
  <c r="BF34" i="17418"/>
  <c r="BF47" i="17418"/>
  <c r="BF33" i="17418"/>
  <c r="BF31" i="17418"/>
  <c r="BF29" i="17418"/>
  <c r="BF59" i="17418"/>
  <c r="BF43" i="17418"/>
  <c r="BF36" i="17418"/>
  <c r="BF30" i="17418"/>
  <c r="BF42" i="17418"/>
  <c r="BF52" i="17418"/>
  <c r="BF40" i="17418"/>
  <c r="BF38" i="17418"/>
  <c r="BG7" i="17418"/>
  <c r="BF60" i="17418"/>
  <c r="BF15" i="17418"/>
  <c r="DL15" i="17418" s="1"/>
  <c r="BF17" i="17418"/>
  <c r="BF19" i="17418"/>
  <c r="BF18" i="17418"/>
  <c r="BF20" i="17418"/>
  <c r="BF16" i="17418"/>
  <c r="HF16" i="17418" s="1"/>
  <c r="BF32" i="17418"/>
  <c r="BF14" i="17418" l="1"/>
  <c r="FH22" i="17418"/>
  <c r="KY22" i="17418"/>
  <c r="JB22" i="17418"/>
  <c r="HE22" i="17418"/>
  <c r="KZ22" i="17418"/>
  <c r="H48" i="1"/>
  <c r="X40" i="14"/>
  <c r="BG21" i="17418"/>
  <c r="Q175" i="4"/>
  <c r="R175" i="4" s="1"/>
  <c r="P175" i="4"/>
  <c r="AQ175" i="4" s="1"/>
  <c r="AR175" i="4"/>
  <c r="AU175" i="4"/>
  <c r="AS175" i="4"/>
  <c r="AT175" i="4"/>
  <c r="HF20" i="17418"/>
  <c r="KZ20" i="17418"/>
  <c r="HF17" i="17418"/>
  <c r="KZ17" i="17418"/>
  <c r="HF18" i="17418"/>
  <c r="KZ18" i="17418"/>
  <c r="HF21" i="17418"/>
  <c r="KZ21" i="17418"/>
  <c r="HF19" i="17418"/>
  <c r="KZ19" i="17418"/>
  <c r="DL36" i="17418"/>
  <c r="JL36" i="17418" s="1"/>
  <c r="FI36" i="17418"/>
  <c r="HF36" i="17418"/>
  <c r="FI37" i="17418"/>
  <c r="DL37" i="17418"/>
  <c r="JL37" i="17418" s="1"/>
  <c r="HF37" i="17418"/>
  <c r="JC23" i="17418"/>
  <c r="FI23" i="17418"/>
  <c r="DL23" i="17418"/>
  <c r="HF23" i="17418"/>
  <c r="KZ23" i="17418"/>
  <c r="JC24" i="17418"/>
  <c r="FI24" i="17418"/>
  <c r="KZ24" i="17418"/>
  <c r="DL24" i="17418"/>
  <c r="HF24" i="17418"/>
  <c r="DL25" i="17418"/>
  <c r="JC25" i="17418"/>
  <c r="FI25" i="17418"/>
  <c r="HF25" i="17418"/>
  <c r="KZ25" i="17418"/>
  <c r="JC26" i="17418"/>
  <c r="FI26" i="17418"/>
  <c r="DL26" i="17418"/>
  <c r="HF26" i="17418"/>
  <c r="KZ26" i="17418"/>
  <c r="FI27" i="17418"/>
  <c r="DL27" i="17418"/>
  <c r="HF27" i="17418"/>
  <c r="KZ27" i="17418"/>
  <c r="FI20" i="17418"/>
  <c r="JC20" i="17418"/>
  <c r="DL20" i="17418"/>
  <c r="JC17" i="17418"/>
  <c r="FI17" i="17418"/>
  <c r="DL17" i="17418"/>
  <c r="FI21" i="17418"/>
  <c r="DL21" i="17418"/>
  <c r="JC21" i="17418"/>
  <c r="JC16" i="17418"/>
  <c r="KZ16" i="17418"/>
  <c r="DL16" i="17418"/>
  <c r="FI16" i="17418"/>
  <c r="JC18" i="17418"/>
  <c r="FI18" i="17418"/>
  <c r="DL18" i="17418"/>
  <c r="FI19" i="17418"/>
  <c r="DL19" i="17418"/>
  <c r="JC19" i="17418"/>
  <c r="BG26" i="17418"/>
  <c r="BG27" i="17418"/>
  <c r="BG23" i="17418"/>
  <c r="BG24" i="17418"/>
  <c r="BG25" i="17418"/>
  <c r="AW57" i="17419"/>
  <c r="G49" i="1"/>
  <c r="O176" i="4"/>
  <c r="M177" i="4"/>
  <c r="AX42" i="17419"/>
  <c r="AX63" i="17419" s="1"/>
  <c r="BG60" i="17418"/>
  <c r="BG57" i="17418"/>
  <c r="BG55" i="17418"/>
  <c r="BG52" i="17418"/>
  <c r="BG48" i="17418"/>
  <c r="AX9" i="17419"/>
  <c r="BG53" i="17418"/>
  <c r="BG50" i="17418"/>
  <c r="BG47" i="17418"/>
  <c r="BG45" i="17418"/>
  <c r="BG44" i="17418"/>
  <c r="BG42" i="17418"/>
  <c r="BG41" i="17418"/>
  <c r="BG38" i="17418"/>
  <c r="BG36" i="17418"/>
  <c r="BG30" i="17418"/>
  <c r="BG49" i="17418"/>
  <c r="BG43" i="17418"/>
  <c r="BG40" i="17418"/>
  <c r="BG31" i="17418"/>
  <c r="BG54" i="17418"/>
  <c r="BG39" i="17418"/>
  <c r="BG35" i="17418"/>
  <c r="BG51" i="17418"/>
  <c r="BG33" i="17418"/>
  <c r="BG15" i="17418"/>
  <c r="DM15" i="17418" s="1"/>
  <c r="BG56" i="17418"/>
  <c r="BG37" i="17418"/>
  <c r="BG29" i="17418"/>
  <c r="BG46" i="17418"/>
  <c r="BG34" i="17418"/>
  <c r="BH7" i="17418"/>
  <c r="BG59" i="17418"/>
  <c r="BG58" i="17418"/>
  <c r="BG17" i="17418"/>
  <c r="BG16" i="17418"/>
  <c r="HG16" i="17418" s="1"/>
  <c r="BG19" i="17418"/>
  <c r="BG18" i="17418"/>
  <c r="BG20" i="17418"/>
  <c r="BG32" i="17418"/>
  <c r="JC22" i="17418" l="1"/>
  <c r="BG14" i="17418"/>
  <c r="HF22" i="17418"/>
  <c r="FI22" i="17418"/>
  <c r="DL22" i="17418"/>
  <c r="HG22" i="17418"/>
  <c r="H49" i="1"/>
  <c r="X41" i="14"/>
  <c r="BH21" i="17418"/>
  <c r="Q176" i="4"/>
  <c r="R176" i="4" s="1"/>
  <c r="P176" i="4"/>
  <c r="AQ176" i="4" s="1"/>
  <c r="AR176" i="4"/>
  <c r="AU176" i="4"/>
  <c r="AS176" i="4"/>
  <c r="AT176" i="4"/>
  <c r="LA20" i="17418"/>
  <c r="HG20" i="17418"/>
  <c r="LA21" i="17418"/>
  <c r="HG21" i="17418"/>
  <c r="LA18" i="17418"/>
  <c r="HG18" i="17418"/>
  <c r="LA17" i="17418"/>
  <c r="HG17" i="17418"/>
  <c r="HG19" i="17418"/>
  <c r="LA19" i="17418"/>
  <c r="DM37" i="17418"/>
  <c r="JM37" i="17418" s="1"/>
  <c r="FJ37" i="17418"/>
  <c r="HG37" i="17418"/>
  <c r="HG36" i="17418"/>
  <c r="FJ36" i="17418"/>
  <c r="DM36" i="17418"/>
  <c r="JM36" i="17418" s="1"/>
  <c r="JD25" i="17418"/>
  <c r="FJ25" i="17418"/>
  <c r="DM25" i="17418"/>
  <c r="HG25" i="17418"/>
  <c r="LA25" i="17418"/>
  <c r="JD24" i="17418"/>
  <c r="FJ24" i="17418"/>
  <c r="LA24" i="17418"/>
  <c r="HG24" i="17418"/>
  <c r="DM24" i="17418"/>
  <c r="JD23" i="17418"/>
  <c r="FJ23" i="17418"/>
  <c r="DM23" i="17418"/>
  <c r="HG23" i="17418"/>
  <c r="LA23" i="17418"/>
  <c r="FJ27" i="17418"/>
  <c r="DM27" i="17418"/>
  <c r="LA27" i="17418"/>
  <c r="HG27" i="17418"/>
  <c r="JD26" i="17418"/>
  <c r="FJ26" i="17418"/>
  <c r="HG26" i="17418"/>
  <c r="LA26" i="17418"/>
  <c r="DM26" i="17418"/>
  <c r="JD21" i="17418"/>
  <c r="DM21" i="17418"/>
  <c r="FJ21" i="17418"/>
  <c r="JD18" i="17418"/>
  <c r="FJ18" i="17418"/>
  <c r="DM18" i="17418"/>
  <c r="DM17" i="17418"/>
  <c r="JD17" i="17418"/>
  <c r="FJ17" i="17418"/>
  <c r="LA16" i="17418"/>
  <c r="DM16" i="17418"/>
  <c r="JD16" i="17418"/>
  <c r="FJ16" i="17418"/>
  <c r="DM20" i="17418"/>
  <c r="JD20" i="17418"/>
  <c r="FJ20" i="17418"/>
  <c r="DM19" i="17418"/>
  <c r="JD19" i="17418"/>
  <c r="FJ19" i="17418"/>
  <c r="BH25" i="17418"/>
  <c r="BH26" i="17418"/>
  <c r="BH23" i="17418"/>
  <c r="BH24" i="17418"/>
  <c r="BH27" i="17418"/>
  <c r="O177" i="4"/>
  <c r="M178" i="4"/>
  <c r="G50" i="1"/>
  <c r="AX57" i="17419"/>
  <c r="BH59" i="17418"/>
  <c r="AY42" i="17419"/>
  <c r="AY63" i="17419" s="1"/>
  <c r="BH58" i="17418"/>
  <c r="BH56" i="17418"/>
  <c r="BH54" i="17418"/>
  <c r="BH60" i="17418"/>
  <c r="BH57" i="17418"/>
  <c r="BH51" i="17418"/>
  <c r="BH47" i="17418"/>
  <c r="BH43" i="17418"/>
  <c r="BH55" i="17418"/>
  <c r="BH49" i="17418"/>
  <c r="BH40" i="17418"/>
  <c r="BH34" i="17418"/>
  <c r="BH52" i="17418"/>
  <c r="BH42" i="17418"/>
  <c r="BH38" i="17418"/>
  <c r="BH35" i="17418"/>
  <c r="BH33" i="17418"/>
  <c r="BH29" i="17418"/>
  <c r="BH44" i="17418"/>
  <c r="BH36" i="17418"/>
  <c r="AY9" i="17419"/>
  <c r="BH41" i="17418"/>
  <c r="BH37" i="17418"/>
  <c r="BH31" i="17418"/>
  <c r="BH50" i="17418"/>
  <c r="BH45" i="17418"/>
  <c r="BH39" i="17418"/>
  <c r="BH53" i="17418"/>
  <c r="BH46" i="17418"/>
  <c r="BH30" i="17418"/>
  <c r="BH15" i="17418"/>
  <c r="DN15" i="17418" s="1"/>
  <c r="BH48" i="17418"/>
  <c r="BI7" i="17418"/>
  <c r="BH16" i="17418"/>
  <c r="HH16" i="17418" s="1"/>
  <c r="BH18" i="17418"/>
  <c r="BH19" i="17418"/>
  <c r="BH17" i="17418"/>
  <c r="BH20" i="17418"/>
  <c r="BH32" i="17418"/>
  <c r="JD22" i="17418" l="1"/>
  <c r="BH14" i="17418"/>
  <c r="LA22" i="17418"/>
  <c r="FJ22" i="17418"/>
  <c r="DM22" i="17418"/>
  <c r="H50" i="1"/>
  <c r="L50" i="1" s="1"/>
  <c r="X42" i="14"/>
  <c r="BI21" i="17418"/>
  <c r="Q177" i="4"/>
  <c r="R177" i="4" s="1"/>
  <c r="P177" i="4"/>
  <c r="AQ177" i="4" s="1"/>
  <c r="AT177" i="4"/>
  <c r="AU177" i="4"/>
  <c r="AR177" i="4"/>
  <c r="AS177" i="4"/>
  <c r="LB20" i="17418"/>
  <c r="HH20" i="17418"/>
  <c r="LB18" i="17418"/>
  <c r="HH18" i="17418"/>
  <c r="HH17" i="17418"/>
  <c r="LB17" i="17418"/>
  <c r="HH21" i="17418"/>
  <c r="LB21" i="17418"/>
  <c r="HH19" i="17418"/>
  <c r="LB19" i="17418"/>
  <c r="DN37" i="17418"/>
  <c r="JN37" i="17418" s="1"/>
  <c r="FK37" i="17418"/>
  <c r="HH37" i="17418"/>
  <c r="DN36" i="17418"/>
  <c r="JN36" i="17418" s="1"/>
  <c r="FK36" i="17418"/>
  <c r="HH36" i="17418"/>
  <c r="FK27" i="17418"/>
  <c r="DN27" i="17418"/>
  <c r="HH27" i="17418"/>
  <c r="LB27" i="17418"/>
  <c r="FK24" i="17418"/>
  <c r="HH24" i="17418"/>
  <c r="LB24" i="17418"/>
  <c r="DN24" i="17418"/>
  <c r="JE24" i="17418"/>
  <c r="JE23" i="17418"/>
  <c r="FK23" i="17418"/>
  <c r="DN23" i="17418"/>
  <c r="HH23" i="17418"/>
  <c r="LB23" i="17418"/>
  <c r="JE26" i="17418"/>
  <c r="FK26" i="17418"/>
  <c r="DN26" i="17418"/>
  <c r="LB26" i="17418"/>
  <c r="HH26" i="17418"/>
  <c r="JE25" i="17418"/>
  <c r="FK25" i="17418"/>
  <c r="DN25" i="17418"/>
  <c r="HH25" i="17418"/>
  <c r="LB25" i="17418"/>
  <c r="JE18" i="17418"/>
  <c r="FK18" i="17418"/>
  <c r="DN18" i="17418"/>
  <c r="FK21" i="17418"/>
  <c r="DN21" i="17418"/>
  <c r="JE21" i="17418"/>
  <c r="JE20" i="17418"/>
  <c r="FK20" i="17418"/>
  <c r="DN20" i="17418"/>
  <c r="DN17" i="17418"/>
  <c r="FK17" i="17418"/>
  <c r="JE17" i="17418"/>
  <c r="JE16" i="17418"/>
  <c r="DN16" i="17418"/>
  <c r="LB16" i="17418"/>
  <c r="FK16" i="17418"/>
  <c r="FK19" i="17418"/>
  <c r="DN19" i="17418"/>
  <c r="JE19" i="17418"/>
  <c r="BI27" i="17418"/>
  <c r="BI26" i="17418"/>
  <c r="BI25" i="17418"/>
  <c r="BI24" i="17418"/>
  <c r="BI23" i="17418"/>
  <c r="AY57" i="17419"/>
  <c r="G51" i="1"/>
  <c r="O178" i="4"/>
  <c r="M179" i="4"/>
  <c r="AZ9" i="17419"/>
  <c r="BI56" i="17418"/>
  <c r="BI60" i="17418"/>
  <c r="AZ42" i="17419"/>
  <c r="AZ63" i="17419" s="1"/>
  <c r="BI59" i="17418"/>
  <c r="BI50" i="17418"/>
  <c r="BI46" i="17418"/>
  <c r="BI58" i="17418"/>
  <c r="BI52" i="17418"/>
  <c r="BI49" i="17418"/>
  <c r="BI42" i="17418"/>
  <c r="BI53" i="17418"/>
  <c r="BI48" i="17418"/>
  <c r="BI44" i="17418"/>
  <c r="BI37" i="17418"/>
  <c r="BI33" i="17418"/>
  <c r="BI31" i="17418"/>
  <c r="BI29" i="17418"/>
  <c r="BI57" i="17418"/>
  <c r="BI55" i="17418"/>
  <c r="BI54" i="17418"/>
  <c r="BI47" i="17418"/>
  <c r="BI45" i="17418"/>
  <c r="BI36" i="17418"/>
  <c r="BI51" i="17418"/>
  <c r="BI41" i="17418"/>
  <c r="BI38" i="17418"/>
  <c r="BI30" i="17418"/>
  <c r="BI34" i="17418"/>
  <c r="BJ7" i="17418"/>
  <c r="BI40" i="17418"/>
  <c r="BI15" i="17418"/>
  <c r="DO15" i="17418" s="1"/>
  <c r="BI43" i="17418"/>
  <c r="BI35" i="17418"/>
  <c r="BI39" i="17418"/>
  <c r="BI18" i="17418"/>
  <c r="BI20" i="17418"/>
  <c r="BI19" i="17418"/>
  <c r="BI16" i="17418"/>
  <c r="HI16" i="17418" s="1"/>
  <c r="BI32" i="17418"/>
  <c r="BI17" i="17418"/>
  <c r="FK22" i="17418" l="1"/>
  <c r="HH22" i="17418"/>
  <c r="DN22" i="17418"/>
  <c r="BI14" i="17418"/>
  <c r="JE22" i="17418"/>
  <c r="LB22" i="17418"/>
  <c r="JF22" i="17418"/>
  <c r="H51" i="1"/>
  <c r="X43" i="14"/>
  <c r="BJ21" i="17418"/>
  <c r="Q178" i="4"/>
  <c r="R178" i="4" s="1"/>
  <c r="P178" i="4"/>
  <c r="AQ178" i="4" s="1"/>
  <c r="AR178" i="4"/>
  <c r="AT178" i="4"/>
  <c r="AU178" i="4"/>
  <c r="AS178" i="4"/>
  <c r="LC21" i="17418"/>
  <c r="HI21" i="17418"/>
  <c r="HI17" i="17418"/>
  <c r="LC17" i="17418"/>
  <c r="LC20" i="17418"/>
  <c r="HI20" i="17418"/>
  <c r="HI18" i="17418"/>
  <c r="LC18" i="17418"/>
  <c r="HI19" i="17418"/>
  <c r="LC19" i="17418"/>
  <c r="DO36" i="17418"/>
  <c r="JO36" i="17418" s="1"/>
  <c r="FL36" i="17418"/>
  <c r="HI36" i="17418"/>
  <c r="DO37" i="17418"/>
  <c r="JO37" i="17418" s="1"/>
  <c r="HI37" i="17418"/>
  <c r="FL37" i="17418"/>
  <c r="JF23" i="17418"/>
  <c r="FL23" i="17418"/>
  <c r="DO23" i="17418"/>
  <c r="LC23" i="17418"/>
  <c r="HI23" i="17418"/>
  <c r="FL24" i="17418"/>
  <c r="DO24" i="17418"/>
  <c r="JF24" i="17418"/>
  <c r="HI24" i="17418"/>
  <c r="LC24" i="17418"/>
  <c r="JF25" i="17418"/>
  <c r="FL25" i="17418"/>
  <c r="HI25" i="17418"/>
  <c r="DO25" i="17418"/>
  <c r="LC25" i="17418"/>
  <c r="JF26" i="17418"/>
  <c r="FL26" i="17418"/>
  <c r="DO26" i="17418"/>
  <c r="LC26" i="17418"/>
  <c r="HI26" i="17418"/>
  <c r="FL27" i="17418"/>
  <c r="DO27" i="17418"/>
  <c r="LC27" i="17418"/>
  <c r="HI27" i="17418"/>
  <c r="JF18" i="17418"/>
  <c r="FL18" i="17418"/>
  <c r="DO18" i="17418"/>
  <c r="DO16" i="17418"/>
  <c r="LC16" i="17418"/>
  <c r="JF16" i="17418"/>
  <c r="FL16" i="17418"/>
  <c r="FL21" i="17418"/>
  <c r="DO21" i="17418"/>
  <c r="JF21" i="17418"/>
  <c r="FL17" i="17418"/>
  <c r="DO17" i="17418"/>
  <c r="JF17" i="17418"/>
  <c r="DO20" i="17418"/>
  <c r="JF20" i="17418"/>
  <c r="FL20" i="17418"/>
  <c r="FL19" i="17418"/>
  <c r="JF19" i="17418"/>
  <c r="DO19" i="17418"/>
  <c r="BJ27" i="17418"/>
  <c r="BJ26" i="17418"/>
  <c r="BJ25" i="17418"/>
  <c r="BJ24" i="17418"/>
  <c r="BJ23" i="17418"/>
  <c r="M180" i="4"/>
  <c r="O179" i="4"/>
  <c r="G52" i="1"/>
  <c r="BJ58" i="17418"/>
  <c r="BJ59" i="17418"/>
  <c r="BJ57" i="17418"/>
  <c r="BJ55" i="17418"/>
  <c r="BJ53" i="17418"/>
  <c r="BJ49" i="17418"/>
  <c r="BJ45" i="17418"/>
  <c r="BJ51" i="17418"/>
  <c r="BJ46" i="17418"/>
  <c r="BA42" i="17419"/>
  <c r="BA63" i="17419" s="1"/>
  <c r="BJ54" i="17418"/>
  <c r="BJ47" i="17418"/>
  <c r="BJ43" i="17418"/>
  <c r="BJ39" i="17418"/>
  <c r="BJ35" i="17418"/>
  <c r="BJ60" i="17418"/>
  <c r="BJ50" i="17418"/>
  <c r="BJ30" i="17418"/>
  <c r="BJ42" i="17418"/>
  <c r="BJ40" i="17418"/>
  <c r="BJ34" i="17418"/>
  <c r="BJ38" i="17418"/>
  <c r="BJ56" i="17418"/>
  <c r="BJ52" i="17418"/>
  <c r="BJ44" i="17418"/>
  <c r="BJ37" i="17418"/>
  <c r="BJ29" i="17418"/>
  <c r="BA9" i="17419"/>
  <c r="BJ48" i="17418"/>
  <c r="BJ41" i="17418"/>
  <c r="BJ36" i="17418"/>
  <c r="BJ31" i="17418"/>
  <c r="BJ15" i="17418"/>
  <c r="DP15" i="17418" s="1"/>
  <c r="BJ33" i="17418"/>
  <c r="BK7" i="17418"/>
  <c r="BJ20" i="17418"/>
  <c r="BJ18" i="17418"/>
  <c r="BJ16" i="17418"/>
  <c r="HJ16" i="17418" s="1"/>
  <c r="BJ17" i="17418"/>
  <c r="BJ19" i="17418"/>
  <c r="BJ32" i="17418"/>
  <c r="AZ57" i="17419"/>
  <c r="LC22" i="17418" l="1"/>
  <c r="BJ14" i="17418"/>
  <c r="FL22" i="17418"/>
  <c r="HI22" i="17418"/>
  <c r="DO22" i="17418"/>
  <c r="HJ22" i="17418"/>
  <c r="H52" i="1"/>
  <c r="X44" i="14"/>
  <c r="BK21" i="17418"/>
  <c r="Q179" i="4"/>
  <c r="R179" i="4" s="1"/>
  <c r="P179" i="4"/>
  <c r="AQ179" i="4" s="1"/>
  <c r="AU179" i="4"/>
  <c r="AT179" i="4"/>
  <c r="AR179" i="4"/>
  <c r="AS179" i="4"/>
  <c r="LD18" i="17418"/>
  <c r="HJ18" i="17418"/>
  <c r="HJ17" i="17418"/>
  <c r="LD17" i="17418"/>
  <c r="HJ21" i="17418"/>
  <c r="LD21" i="17418"/>
  <c r="LD20" i="17418"/>
  <c r="HJ20" i="17418"/>
  <c r="HJ19" i="17418"/>
  <c r="LD19" i="17418"/>
  <c r="DP36" i="17418"/>
  <c r="JP36" i="17418" s="1"/>
  <c r="FM36" i="17418"/>
  <c r="HJ36" i="17418"/>
  <c r="DP37" i="17418"/>
  <c r="JP37" i="17418" s="1"/>
  <c r="FM37" i="17418"/>
  <c r="HJ37" i="17418"/>
  <c r="JG23" i="17418"/>
  <c r="FM23" i="17418"/>
  <c r="DP23" i="17418"/>
  <c r="HJ23" i="17418"/>
  <c r="LD23" i="17418"/>
  <c r="JG24" i="17418"/>
  <c r="FM24" i="17418"/>
  <c r="LD24" i="17418"/>
  <c r="HJ24" i="17418"/>
  <c r="DP24" i="17418"/>
  <c r="DP25" i="17418"/>
  <c r="JG25" i="17418"/>
  <c r="FM25" i="17418"/>
  <c r="LD25" i="17418"/>
  <c r="HJ25" i="17418"/>
  <c r="JG26" i="17418"/>
  <c r="FM26" i="17418"/>
  <c r="DP26" i="17418"/>
  <c r="LD26" i="17418"/>
  <c r="HJ26" i="17418"/>
  <c r="FM27" i="17418"/>
  <c r="DP27" i="17418"/>
  <c r="LD27" i="17418"/>
  <c r="HJ27" i="17418"/>
  <c r="JG16" i="17418"/>
  <c r="DP16" i="17418"/>
  <c r="LD16" i="17418"/>
  <c r="FM16" i="17418"/>
  <c r="FM21" i="17418"/>
  <c r="JG21" i="17418"/>
  <c r="DP21" i="17418"/>
  <c r="JG18" i="17418"/>
  <c r="FM18" i="17418"/>
  <c r="DP18" i="17418"/>
  <c r="JG20" i="17418"/>
  <c r="FM20" i="17418"/>
  <c r="DP20" i="17418"/>
  <c r="FM17" i="17418"/>
  <c r="DP17" i="17418"/>
  <c r="JG17" i="17418"/>
  <c r="FM19" i="17418"/>
  <c r="JG19" i="17418"/>
  <c r="DP19" i="17418"/>
  <c r="BK24" i="17418"/>
  <c r="BK25" i="17418"/>
  <c r="BK27" i="17418"/>
  <c r="BK23" i="17418"/>
  <c r="BK26" i="17418"/>
  <c r="G53" i="1"/>
  <c r="M181" i="4"/>
  <c r="O180" i="4"/>
  <c r="BB42" i="17419"/>
  <c r="BB63" i="17419" s="1"/>
  <c r="BK60" i="17418"/>
  <c r="BK57" i="17418"/>
  <c r="BB9" i="17419"/>
  <c r="BK55" i="17418"/>
  <c r="BK56" i="17418"/>
  <c r="BK54" i="17418"/>
  <c r="BK52" i="17418"/>
  <c r="BK48" i="17418"/>
  <c r="BK59" i="17418"/>
  <c r="BK44" i="17418"/>
  <c r="BK58" i="17418"/>
  <c r="BK41" i="17418"/>
  <c r="BK38" i="17418"/>
  <c r="BK36" i="17418"/>
  <c r="BK30" i="17418"/>
  <c r="BK39" i="17418"/>
  <c r="BK37" i="17418"/>
  <c r="BK34" i="17418"/>
  <c r="BK53" i="17418"/>
  <c r="BK49" i="17418"/>
  <c r="BK46" i="17418"/>
  <c r="BK45" i="17418"/>
  <c r="BK42" i="17418"/>
  <c r="BK35" i="17418"/>
  <c r="BK51" i="17418"/>
  <c r="BK40" i="17418"/>
  <c r="BK15" i="17418"/>
  <c r="DQ15" i="17418" s="1"/>
  <c r="BK47" i="17418"/>
  <c r="BK43" i="17418"/>
  <c r="BK33" i="17418"/>
  <c r="BK31" i="17418"/>
  <c r="BL7" i="17418"/>
  <c r="BK50" i="17418"/>
  <c r="BK29" i="17418"/>
  <c r="BK18" i="17418"/>
  <c r="BK20" i="17418"/>
  <c r="BK17" i="17418"/>
  <c r="BK19" i="17418"/>
  <c r="BK32" i="17418"/>
  <c r="BK16" i="17418"/>
  <c r="HK16" i="17418" s="1"/>
  <c r="BA57" i="17419"/>
  <c r="FM22" i="17418" l="1"/>
  <c r="BK14" i="17418"/>
  <c r="JG22" i="17418"/>
  <c r="LD22" i="17418"/>
  <c r="DP22" i="17418"/>
  <c r="HK22" i="17418"/>
  <c r="H53" i="1"/>
  <c r="X45" i="14"/>
  <c r="BL21" i="17418"/>
  <c r="Q180" i="4"/>
  <c r="R180" i="4" s="1"/>
  <c r="P180" i="4"/>
  <c r="AQ180" i="4" s="1"/>
  <c r="AR180" i="4"/>
  <c r="AU180" i="4"/>
  <c r="AT180" i="4"/>
  <c r="AS180" i="4"/>
  <c r="HK17" i="17418"/>
  <c r="LE17" i="17418"/>
  <c r="HK21" i="17418"/>
  <c r="LE21" i="17418"/>
  <c r="LE20" i="17418"/>
  <c r="HK20" i="17418"/>
  <c r="LE18" i="17418"/>
  <c r="HK18" i="17418"/>
  <c r="HK19" i="17418"/>
  <c r="LE19" i="17418"/>
  <c r="DQ37" i="17418"/>
  <c r="JQ37" i="17418" s="1"/>
  <c r="FN37" i="17418"/>
  <c r="HK37" i="17418"/>
  <c r="FN36" i="17418"/>
  <c r="DQ36" i="17418"/>
  <c r="JQ36" i="17418" s="1"/>
  <c r="HK36" i="17418"/>
  <c r="JH26" i="17418"/>
  <c r="HK26" i="17418"/>
  <c r="LE26" i="17418"/>
  <c r="FN26" i="17418"/>
  <c r="DQ26" i="17418"/>
  <c r="JH23" i="17418"/>
  <c r="FN23" i="17418"/>
  <c r="DQ23" i="17418"/>
  <c r="HK23" i="17418"/>
  <c r="LE23" i="17418"/>
  <c r="FN27" i="17418"/>
  <c r="DQ27" i="17418"/>
  <c r="HK27" i="17418"/>
  <c r="LE27" i="17418"/>
  <c r="JH25" i="17418"/>
  <c r="FN25" i="17418"/>
  <c r="HK25" i="17418"/>
  <c r="LE25" i="17418"/>
  <c r="DQ25" i="17418"/>
  <c r="JH24" i="17418"/>
  <c r="HK24" i="17418"/>
  <c r="DQ24" i="17418"/>
  <c r="FN24" i="17418"/>
  <c r="LE24" i="17418"/>
  <c r="JH18" i="17418"/>
  <c r="FN18" i="17418"/>
  <c r="DQ18" i="17418"/>
  <c r="DQ16" i="17418"/>
  <c r="JH16" i="17418"/>
  <c r="LE16" i="17418"/>
  <c r="FN16" i="17418"/>
  <c r="FN17" i="17418"/>
  <c r="JH17" i="17418"/>
  <c r="DQ17" i="17418"/>
  <c r="DQ20" i="17418"/>
  <c r="JH20" i="17418"/>
  <c r="FN20" i="17418"/>
  <c r="FN21" i="17418"/>
  <c r="DQ21" i="17418"/>
  <c r="JH21" i="17418"/>
  <c r="FN19" i="17418"/>
  <c r="JH19" i="17418"/>
  <c r="DQ19" i="17418"/>
  <c r="BL27" i="17418"/>
  <c r="BL23" i="17418"/>
  <c r="BL24" i="17418"/>
  <c r="BL26" i="17418"/>
  <c r="BL25" i="17418"/>
  <c r="G54" i="1"/>
  <c r="M182" i="4"/>
  <c r="O181" i="4"/>
  <c r="BB57" i="17419"/>
  <c r="BL59" i="17418"/>
  <c r="BL54" i="17418"/>
  <c r="BC9" i="17419"/>
  <c r="BL58" i="17418"/>
  <c r="BL51" i="17418"/>
  <c r="BL47" i="17418"/>
  <c r="BL53" i="17418"/>
  <c r="BL50" i="17418"/>
  <c r="BL48" i="17418"/>
  <c r="BL45" i="17418"/>
  <c r="BL43" i="17418"/>
  <c r="BL60" i="17418"/>
  <c r="BL56" i="17418"/>
  <c r="BL52" i="17418"/>
  <c r="BL46" i="17418"/>
  <c r="BL42" i="17418"/>
  <c r="BL40" i="17418"/>
  <c r="BL34" i="17418"/>
  <c r="BL41" i="17418"/>
  <c r="BL31" i="17418"/>
  <c r="BL37" i="17418"/>
  <c r="BL33" i="17418"/>
  <c r="BL29" i="17418"/>
  <c r="BL49" i="17418"/>
  <c r="BL44" i="17418"/>
  <c r="BL39" i="17418"/>
  <c r="P39" i="17418" s="1"/>
  <c r="BL57" i="17418"/>
  <c r="BC42" i="17419"/>
  <c r="BC63" i="17419" s="1"/>
  <c r="BL38" i="17418"/>
  <c r="BL30" i="17418"/>
  <c r="BL55" i="17418"/>
  <c r="BL36" i="17418"/>
  <c r="BL35" i="17418"/>
  <c r="BL15" i="17418"/>
  <c r="DR15" i="17418" s="1"/>
  <c r="BM7" i="17418"/>
  <c r="BL18" i="17418"/>
  <c r="BL20" i="17418"/>
  <c r="BL17" i="17418"/>
  <c r="BL19" i="17418"/>
  <c r="BL32" i="17418"/>
  <c r="BL16" i="17418"/>
  <c r="HL16" i="17418" s="1"/>
  <c r="BL14" i="17418" l="1"/>
  <c r="FN22" i="17418"/>
  <c r="DQ22" i="17418"/>
  <c r="LE22" i="17418"/>
  <c r="JH22" i="17418"/>
  <c r="JI22" i="17418"/>
  <c r="H54" i="1"/>
  <c r="X46" i="14"/>
  <c r="BM21" i="17418"/>
  <c r="P21" i="17418" s="1"/>
  <c r="Q181" i="4"/>
  <c r="R181" i="4" s="1"/>
  <c r="P181" i="4"/>
  <c r="AQ181" i="4" s="1"/>
  <c r="AS181" i="4"/>
  <c r="AT181" i="4"/>
  <c r="AU181" i="4"/>
  <c r="AR181" i="4"/>
  <c r="LF20" i="17418"/>
  <c r="HL20" i="17418"/>
  <c r="LF21" i="17418"/>
  <c r="HL21" i="17418"/>
  <c r="HL18" i="17418"/>
  <c r="LF18" i="17418"/>
  <c r="LF17" i="17418"/>
  <c r="HL17" i="17418"/>
  <c r="HL19" i="17418"/>
  <c r="LF19" i="17418"/>
  <c r="HL36" i="17418"/>
  <c r="DR36" i="17418"/>
  <c r="JR36" i="17418" s="1"/>
  <c r="FO36" i="17418"/>
  <c r="P37" i="17418"/>
  <c r="DR37" i="17418"/>
  <c r="JR37" i="17418" s="1"/>
  <c r="FO37" i="17418"/>
  <c r="HL37" i="17418"/>
  <c r="JI25" i="17418"/>
  <c r="FO25" i="17418"/>
  <c r="DR25" i="17418"/>
  <c r="HL25" i="17418"/>
  <c r="LF25" i="17418"/>
  <c r="JI26" i="17418"/>
  <c r="FO26" i="17418"/>
  <c r="DR26" i="17418"/>
  <c r="HL26" i="17418"/>
  <c r="LF26" i="17418"/>
  <c r="JI24" i="17418"/>
  <c r="FO24" i="17418"/>
  <c r="DR24" i="17418"/>
  <c r="HL24" i="17418"/>
  <c r="LF24" i="17418"/>
  <c r="JI23" i="17418"/>
  <c r="FO23" i="17418"/>
  <c r="DR23" i="17418"/>
  <c r="HL23" i="17418"/>
  <c r="LF23" i="17418"/>
  <c r="FO27" i="17418"/>
  <c r="DR27" i="17418"/>
  <c r="HL27" i="17418"/>
  <c r="LF27" i="17418"/>
  <c r="JI21" i="17418"/>
  <c r="FO21" i="17418"/>
  <c r="DR21" i="17418"/>
  <c r="JI18" i="17418"/>
  <c r="FO18" i="17418"/>
  <c r="DR18" i="17418"/>
  <c r="FO20" i="17418"/>
  <c r="DR20" i="17418"/>
  <c r="JI20" i="17418"/>
  <c r="JI16" i="17418"/>
  <c r="LF16" i="17418"/>
  <c r="DR16" i="17418"/>
  <c r="FO16" i="17418"/>
  <c r="DR17" i="17418"/>
  <c r="FO17" i="17418"/>
  <c r="JI17" i="17418"/>
  <c r="DR19" i="17418"/>
  <c r="JI19" i="17418"/>
  <c r="FO19" i="17418"/>
  <c r="BM27" i="17418"/>
  <c r="BM26" i="17418"/>
  <c r="BM25" i="17418"/>
  <c r="BM24" i="17418"/>
  <c r="BM23" i="17418"/>
  <c r="O182" i="4"/>
  <c r="M183" i="4"/>
  <c r="G55" i="1"/>
  <c r="BC57" i="17419"/>
  <c r="BM15" i="17418"/>
  <c r="BM18" i="17418"/>
  <c r="P18" i="17418" s="1"/>
  <c r="BM20" i="17418"/>
  <c r="P20" i="17418" s="1"/>
  <c r="BM19" i="17418"/>
  <c r="P19" i="17418" s="1"/>
  <c r="BM17" i="17418"/>
  <c r="P17" i="17418" s="1"/>
  <c r="BM16" i="17418"/>
  <c r="P16" i="17418" s="1"/>
  <c r="BM14" i="17418" l="1"/>
  <c r="DR22" i="17418"/>
  <c r="LF22" i="17418"/>
  <c r="FO22" i="17418"/>
  <c r="HL22" i="17418"/>
  <c r="P15" i="17418"/>
  <c r="P22" i="17418"/>
  <c r="H55" i="1"/>
  <c r="X47" i="14"/>
  <c r="Q182" i="4"/>
  <c r="R182" i="4" s="1"/>
  <c r="P182" i="4"/>
  <c r="AQ182" i="4" s="1"/>
  <c r="AU182" i="4"/>
  <c r="AS182" i="4"/>
  <c r="AR182" i="4"/>
  <c r="AT182" i="4"/>
  <c r="O183" i="4"/>
  <c r="M184" i="4"/>
  <c r="G56" i="1"/>
  <c r="H56" i="1" l="1"/>
  <c r="X48" i="14"/>
  <c r="Q183" i="4"/>
  <c r="R183" i="4" s="1"/>
  <c r="P183" i="4"/>
  <c r="AS183" i="4"/>
  <c r="AT183" i="4"/>
  <c r="AR183" i="4"/>
  <c r="AU183" i="4"/>
  <c r="G57" i="1"/>
  <c r="M185" i="4"/>
  <c r="O184" i="4"/>
  <c r="AQ183" i="4"/>
  <c r="H57" i="1" l="1"/>
  <c r="L57" i="1" s="1"/>
  <c r="X49" i="14"/>
  <c r="Q184" i="4"/>
  <c r="R184" i="4" s="1"/>
  <c r="P184" i="4"/>
  <c r="AQ184" i="4" s="1"/>
  <c r="AR184" i="4"/>
  <c r="AU184" i="4"/>
  <c r="AS184" i="4"/>
  <c r="AT184" i="4"/>
  <c r="O185" i="4"/>
  <c r="M186" i="4"/>
  <c r="G58" i="1"/>
  <c r="H58" i="1" l="1"/>
  <c r="X50" i="14"/>
  <c r="Q185" i="4"/>
  <c r="R185" i="4" s="1"/>
  <c r="P185" i="4"/>
  <c r="AQ185" i="4" s="1"/>
  <c r="AR185" i="4"/>
  <c r="AU185" i="4"/>
  <c r="AS185" i="4"/>
  <c r="AT185" i="4"/>
  <c r="O186" i="4"/>
  <c r="M187" i="4"/>
  <c r="G59" i="1"/>
  <c r="H59" i="1" l="1"/>
  <c r="X51" i="14"/>
  <c r="Q186" i="4"/>
  <c r="R186" i="4" s="1"/>
  <c r="P186" i="4"/>
  <c r="AQ186" i="4" s="1"/>
  <c r="AR186" i="4"/>
  <c r="AU186" i="4"/>
  <c r="AT186" i="4"/>
  <c r="AS186" i="4"/>
  <c r="M188" i="4"/>
  <c r="O187" i="4"/>
  <c r="G60" i="1"/>
  <c r="H60" i="1" l="1"/>
  <c r="X52" i="14"/>
  <c r="Q187" i="4"/>
  <c r="R187" i="4" s="1"/>
  <c r="P187" i="4"/>
  <c r="AQ187" i="4" s="1"/>
  <c r="AT187" i="4"/>
  <c r="AU187" i="4"/>
  <c r="AR187" i="4"/>
  <c r="AS187" i="4"/>
  <c r="G61" i="1"/>
  <c r="O188" i="4"/>
  <c r="M189" i="4"/>
  <c r="H61" i="1" l="1"/>
  <c r="X53" i="14"/>
  <c r="Q188" i="4"/>
  <c r="R188" i="4" s="1"/>
  <c r="P188" i="4"/>
  <c r="AQ188" i="4" s="1"/>
  <c r="AR188" i="4"/>
  <c r="AU188" i="4"/>
  <c r="AS188" i="4"/>
  <c r="AT188" i="4"/>
  <c r="M190" i="4"/>
  <c r="O189" i="4"/>
  <c r="G62" i="1"/>
  <c r="H62" i="1" l="1"/>
  <c r="X54" i="14"/>
  <c r="Q189" i="4"/>
  <c r="R189" i="4" s="1"/>
  <c r="P189" i="4"/>
  <c r="AQ189" i="4" s="1"/>
  <c r="AR189" i="4"/>
  <c r="AU189" i="4"/>
  <c r="AT189" i="4"/>
  <c r="AS189" i="4"/>
  <c r="G63" i="1"/>
  <c r="O190" i="4"/>
  <c r="M191" i="4"/>
  <c r="H63" i="1" l="1"/>
  <c r="X55" i="14"/>
  <c r="Q190" i="4"/>
  <c r="R190" i="4" s="1"/>
  <c r="P190" i="4"/>
  <c r="AQ190" i="4" s="1"/>
  <c r="AU190" i="4"/>
  <c r="AR190" i="4"/>
  <c r="AS190" i="4"/>
  <c r="AT190" i="4"/>
  <c r="G64" i="1"/>
  <c r="O191" i="4"/>
  <c r="M192" i="4"/>
  <c r="H64" i="1" l="1"/>
  <c r="X56" i="14"/>
  <c r="Q191" i="4"/>
  <c r="R191" i="4" s="1"/>
  <c r="P191" i="4"/>
  <c r="AQ191" i="4" s="1"/>
  <c r="AU191" i="4"/>
  <c r="AR191" i="4"/>
  <c r="AS191" i="4"/>
  <c r="AT191" i="4"/>
  <c r="O192" i="4"/>
  <c r="M193" i="4"/>
  <c r="G65" i="1"/>
  <c r="H65" i="1" l="1"/>
  <c r="X57" i="14"/>
  <c r="Q192" i="4"/>
  <c r="R192" i="4" s="1"/>
  <c r="P192" i="4"/>
  <c r="AQ192" i="4" s="1"/>
  <c r="AS192" i="4"/>
  <c r="AU192" i="4"/>
  <c r="AT192" i="4"/>
  <c r="AR192" i="4"/>
  <c r="G66" i="1"/>
  <c r="M194" i="4"/>
  <c r="O193" i="4"/>
  <c r="H66" i="1" l="1"/>
  <c r="X58" i="14"/>
  <c r="Q193" i="4"/>
  <c r="R193" i="4" s="1"/>
  <c r="P193" i="4"/>
  <c r="AQ193" i="4" s="1"/>
  <c r="AR193" i="4"/>
  <c r="AS193" i="4"/>
  <c r="AT193" i="4"/>
  <c r="AU193" i="4"/>
  <c r="G67" i="1"/>
  <c r="M195" i="4"/>
  <c r="O194" i="4"/>
  <c r="H67" i="1" l="1"/>
  <c r="X59" i="14"/>
  <c r="Q194" i="4"/>
  <c r="R194" i="4" s="1"/>
  <c r="P194" i="4"/>
  <c r="AQ194" i="4" s="1"/>
  <c r="AS194" i="4"/>
  <c r="AT194" i="4"/>
  <c r="AR194" i="4"/>
  <c r="AU194" i="4"/>
  <c r="O195" i="4"/>
  <c r="M196" i="4"/>
  <c r="G68" i="1"/>
  <c r="H68" i="1" l="1"/>
  <c r="X60" i="14"/>
  <c r="Q195" i="4"/>
  <c r="R195" i="4" s="1"/>
  <c r="P195" i="4"/>
  <c r="AQ195" i="4" s="1"/>
  <c r="AT195" i="4"/>
  <c r="AR195" i="4"/>
  <c r="AU195" i="4"/>
  <c r="AS195" i="4"/>
  <c r="G69" i="1"/>
  <c r="X61" i="14" s="1"/>
  <c r="O196" i="4"/>
  <c r="M197" i="4"/>
  <c r="Q196" i="4" l="1"/>
  <c r="R196" i="4" s="1"/>
  <c r="P196" i="4"/>
  <c r="AQ196" i="4" s="1"/>
  <c r="AR196" i="4"/>
  <c r="AS196" i="4"/>
  <c r="AT196" i="4"/>
  <c r="AU196" i="4"/>
  <c r="G70" i="1"/>
  <c r="H69" i="1"/>
  <c r="M198" i="4"/>
  <c r="O197" i="4"/>
  <c r="H70" i="1" l="1"/>
  <c r="X62" i="14"/>
  <c r="Q197" i="4"/>
  <c r="R197" i="4" s="1"/>
  <c r="P197" i="4"/>
  <c r="AQ197" i="4" s="1"/>
  <c r="AR197" i="4"/>
  <c r="AU197" i="4"/>
  <c r="AT197" i="4"/>
  <c r="AS197" i="4"/>
  <c r="O198" i="4"/>
  <c r="M199" i="4"/>
  <c r="O199" i="4" s="1"/>
  <c r="G71" i="1"/>
  <c r="X63" i="14" s="1"/>
  <c r="Q199" i="4" l="1"/>
  <c r="R199" i="4" s="1"/>
  <c r="AO187" i="4"/>
  <c r="AO173" i="4"/>
  <c r="AO169" i="4"/>
  <c r="AO186" i="4"/>
  <c r="AO148" i="4"/>
  <c r="AO162" i="4"/>
  <c r="AO142" i="4"/>
  <c r="AO161" i="4"/>
  <c r="AO140" i="4"/>
  <c r="O32" i="17418" s="1"/>
  <c r="AO164" i="4"/>
  <c r="AO146" i="4"/>
  <c r="AO167" i="4"/>
  <c r="AO166" i="4"/>
  <c r="AO191" i="4"/>
  <c r="AO180" i="4"/>
  <c r="AO154" i="4"/>
  <c r="AO179" i="4"/>
  <c r="AO183" i="4"/>
  <c r="AO195" i="4"/>
  <c r="AO150" i="4"/>
  <c r="AO190" i="4"/>
  <c r="AO147" i="4"/>
  <c r="AO198" i="4"/>
  <c r="AO178" i="4"/>
  <c r="AO196" i="4"/>
  <c r="AO176" i="4"/>
  <c r="AO143" i="4"/>
  <c r="AO149" i="4"/>
  <c r="AO200" i="4"/>
  <c r="AO155" i="4"/>
  <c r="AO168" i="4"/>
  <c r="AO184" i="4"/>
  <c r="AO199" i="4"/>
  <c r="AO144" i="4"/>
  <c r="AO177" i="4"/>
  <c r="AO188" i="4"/>
  <c r="AO194" i="4"/>
  <c r="AO152" i="4"/>
  <c r="AO151" i="4"/>
  <c r="AO185" i="4"/>
  <c r="AO153" i="4"/>
  <c r="AO181" i="4"/>
  <c r="AO160" i="4"/>
  <c r="AO165" i="4"/>
  <c r="AO163" i="4"/>
  <c r="AO174" i="4"/>
  <c r="AO192" i="4"/>
  <c r="AO172" i="4"/>
  <c r="AO175" i="4"/>
  <c r="AO141" i="4"/>
  <c r="AO201" i="4"/>
  <c r="AO158" i="4"/>
  <c r="AO182" i="4"/>
  <c r="AO170" i="4"/>
  <c r="AO197" i="4"/>
  <c r="AO157" i="4"/>
  <c r="AO156" i="4"/>
  <c r="AO193" i="4"/>
  <c r="AO189" i="4"/>
  <c r="AO171" i="4"/>
  <c r="AO145" i="4"/>
  <c r="AO159" i="4"/>
  <c r="P199" i="4"/>
  <c r="AR199" i="4"/>
  <c r="AU199" i="4"/>
  <c r="AT199" i="4"/>
  <c r="AS199" i="4"/>
  <c r="Q198" i="4"/>
  <c r="R198" i="4" s="1"/>
  <c r="P198" i="4"/>
  <c r="AQ198" i="4" s="1"/>
  <c r="AR198" i="4"/>
  <c r="AU198" i="4"/>
  <c r="AS198" i="4"/>
  <c r="AT198" i="4"/>
  <c r="G72" i="1"/>
  <c r="H71" i="1"/>
  <c r="F13" i="10"/>
  <c r="H13" i="10" s="1"/>
  <c r="J13" i="10" s="1"/>
  <c r="H72" i="1" l="1"/>
  <c r="X64" i="14"/>
  <c r="F173" i="4"/>
  <c r="BR32" i="17418"/>
  <c r="HB32" i="17418" s="1"/>
  <c r="HB34" i="17418" s="1"/>
  <c r="S149" i="4"/>
  <c r="S145" i="4"/>
  <c r="S161" i="4"/>
  <c r="F199" i="4"/>
  <c r="S188" i="4"/>
  <c r="S195" i="4"/>
  <c r="S200" i="4"/>
  <c r="S179" i="4"/>
  <c r="S181" i="4"/>
  <c r="S151" i="4"/>
  <c r="S170" i="4"/>
  <c r="S147" i="4"/>
  <c r="S159" i="4"/>
  <c r="S187" i="4"/>
  <c r="S150" i="4"/>
  <c r="S142" i="4"/>
  <c r="S171" i="4"/>
  <c r="S196" i="4"/>
  <c r="S154" i="4"/>
  <c r="S201" i="4"/>
  <c r="S194" i="4"/>
  <c r="S173" i="4"/>
  <c r="S197" i="4"/>
  <c r="S172" i="4"/>
  <c r="S153" i="4"/>
  <c r="S140" i="4"/>
  <c r="S148" i="4"/>
  <c r="F193" i="4"/>
  <c r="S176" i="4"/>
  <c r="S185" i="4"/>
  <c r="S169" i="4"/>
  <c r="S146" i="4"/>
  <c r="S190" i="4"/>
  <c r="S143" i="4"/>
  <c r="S162" i="4"/>
  <c r="S177" i="4"/>
  <c r="S152" i="4"/>
  <c r="F178" i="4"/>
  <c r="F196" i="4"/>
  <c r="F184" i="4"/>
  <c r="S158" i="4"/>
  <c r="S165" i="4"/>
  <c r="S163" i="4"/>
  <c r="S184" i="4"/>
  <c r="S186" i="4"/>
  <c r="S155" i="4"/>
  <c r="S178" i="4"/>
  <c r="S192" i="4"/>
  <c r="S156" i="4"/>
  <c r="F150" i="4"/>
  <c r="S199" i="4"/>
  <c r="F172" i="4"/>
  <c r="S157" i="4"/>
  <c r="S198" i="4"/>
  <c r="S160" i="4"/>
  <c r="S144" i="4"/>
  <c r="F183" i="4"/>
  <c r="S175" i="4"/>
  <c r="S189" i="4"/>
  <c r="S182" i="4"/>
  <c r="S141" i="4"/>
  <c r="F188" i="4"/>
  <c r="S174" i="4"/>
  <c r="S191" i="4"/>
  <c r="S193" i="4"/>
  <c r="S164" i="4"/>
  <c r="S183" i="4"/>
  <c r="S180" i="4"/>
  <c r="S168" i="4"/>
  <c r="S166" i="4"/>
  <c r="S167" i="4"/>
  <c r="F159" i="4"/>
  <c r="F161" i="4"/>
  <c r="F177" i="4"/>
  <c r="F147" i="4"/>
  <c r="F168" i="4"/>
  <c r="F169" i="4"/>
  <c r="F167" i="4"/>
  <c r="F189" i="4"/>
  <c r="F142" i="4"/>
  <c r="F149" i="4"/>
  <c r="F194" i="4"/>
  <c r="F180" i="4"/>
  <c r="F140" i="4"/>
  <c r="F141" i="4"/>
  <c r="F152" i="4"/>
  <c r="F192" i="4"/>
  <c r="F170" i="4"/>
  <c r="F185" i="4"/>
  <c r="F166" i="4"/>
  <c r="F171" i="4"/>
  <c r="F146" i="4"/>
  <c r="F164" i="4"/>
  <c r="F186" i="4"/>
  <c r="F179" i="4"/>
  <c r="F190" i="4"/>
  <c r="F151" i="4"/>
  <c r="F181" i="4"/>
  <c r="F174" i="4"/>
  <c r="F163" i="4"/>
  <c r="F156" i="4"/>
  <c r="F182" i="4"/>
  <c r="F187" i="4"/>
  <c r="F191" i="4"/>
  <c r="F155" i="4"/>
  <c r="F198" i="4"/>
  <c r="F157" i="4"/>
  <c r="F175" i="4"/>
  <c r="F154" i="4"/>
  <c r="F165" i="4"/>
  <c r="F148" i="4"/>
  <c r="F195" i="4"/>
  <c r="F153" i="4"/>
  <c r="F197" i="4"/>
  <c r="F145" i="4"/>
  <c r="F144" i="4"/>
  <c r="F176" i="4"/>
  <c r="F160" i="4"/>
  <c r="F200" i="4"/>
  <c r="F201" i="4"/>
  <c r="F162" i="4"/>
  <c r="F143" i="4"/>
  <c r="F158" i="4"/>
  <c r="G190" i="4"/>
  <c r="G144" i="4"/>
  <c r="G171" i="4"/>
  <c r="G156" i="4"/>
  <c r="G148" i="4"/>
  <c r="G162" i="4"/>
  <c r="G176" i="4"/>
  <c r="G143" i="4"/>
  <c r="G140" i="4"/>
  <c r="G166" i="4"/>
  <c r="G158" i="4"/>
  <c r="G142" i="4"/>
  <c r="G195" i="4"/>
  <c r="G161" i="4"/>
  <c r="G182" i="4"/>
  <c r="G154" i="4"/>
  <c r="G173" i="4"/>
  <c r="G164" i="4"/>
  <c r="G152" i="4"/>
  <c r="G197" i="4"/>
  <c r="G188" i="4"/>
  <c r="G200" i="4"/>
  <c r="G191" i="4"/>
  <c r="G169" i="4"/>
  <c r="G146" i="4"/>
  <c r="G167" i="4"/>
  <c r="G172" i="4"/>
  <c r="G149" i="4"/>
  <c r="G187" i="4"/>
  <c r="G147" i="4"/>
  <c r="G183" i="4"/>
  <c r="G181" i="4"/>
  <c r="G163" i="4"/>
  <c r="G159" i="4"/>
  <c r="G160" i="4"/>
  <c r="G184" i="4"/>
  <c r="G170" i="4"/>
  <c r="G177" i="4"/>
  <c r="G193" i="4"/>
  <c r="G189" i="4"/>
  <c r="G175" i="4"/>
  <c r="G151" i="4"/>
  <c r="G145" i="4"/>
  <c r="G141" i="4"/>
  <c r="G196" i="4"/>
  <c r="G185" i="4"/>
  <c r="G198" i="4"/>
  <c r="G174" i="4"/>
  <c r="G186" i="4"/>
  <c r="G150" i="4"/>
  <c r="G194" i="4"/>
  <c r="G201" i="4"/>
  <c r="G153" i="4"/>
  <c r="G199" i="4"/>
  <c r="G180" i="4"/>
  <c r="G168" i="4"/>
  <c r="G157" i="4"/>
  <c r="G178" i="4"/>
  <c r="G179" i="4"/>
  <c r="G192" i="4"/>
  <c r="G155" i="4"/>
  <c r="G165" i="4"/>
  <c r="AQ199" i="4"/>
  <c r="BP32" i="17418" s="1"/>
  <c r="BQ32" i="17418"/>
  <c r="FA32" i="17418" s="1"/>
  <c r="FA34" i="17418" s="1"/>
  <c r="BS32" i="17418"/>
  <c r="HV32" i="17418" s="1"/>
  <c r="HV34" i="17418" s="1"/>
  <c r="BT32" i="17418"/>
  <c r="BT34" i="17418" s="1"/>
  <c r="E21" i="17419" s="1"/>
  <c r="BM64" i="17418"/>
  <c r="AW64" i="17418"/>
  <c r="AG64" i="17418"/>
  <c r="V64" i="17418"/>
  <c r="AZ64" i="17418"/>
  <c r="AJ64" i="17418"/>
  <c r="S64" i="17418"/>
  <c r="AY64" i="17418"/>
  <c r="AI64" i="17418"/>
  <c r="R64" i="17418"/>
  <c r="AX64" i="17418"/>
  <c r="AH64" i="17418"/>
  <c r="Q64" i="17418"/>
  <c r="BI64" i="17418"/>
  <c r="AS64" i="17418"/>
  <c r="AC64" i="17418"/>
  <c r="BL64" i="17418"/>
  <c r="AV64" i="17418"/>
  <c r="AF64" i="17418"/>
  <c r="BK64" i="17418"/>
  <c r="AU64" i="17418"/>
  <c r="AE64" i="17418"/>
  <c r="BJ64" i="17418"/>
  <c r="AT64" i="17418"/>
  <c r="AD64" i="17418"/>
  <c r="BE64" i="17418"/>
  <c r="AO64" i="17418"/>
  <c r="Y64" i="17418"/>
  <c r="BH64" i="17418"/>
  <c r="AR64" i="17418"/>
  <c r="AB64" i="17418"/>
  <c r="BG64" i="17418"/>
  <c r="AQ64" i="17418"/>
  <c r="AA64" i="17418"/>
  <c r="BF64" i="17418"/>
  <c r="AP64" i="17418"/>
  <c r="Z64" i="17418"/>
  <c r="BA64" i="17418"/>
  <c r="AK64" i="17418"/>
  <c r="T64" i="17418"/>
  <c r="BD64" i="17418"/>
  <c r="AN64" i="17418"/>
  <c r="X64" i="17418"/>
  <c r="BC64" i="17418"/>
  <c r="AM64" i="17418"/>
  <c r="W64" i="17418"/>
  <c r="BB64" i="17418"/>
  <c r="AL64" i="17418"/>
  <c r="U64" i="17418"/>
  <c r="I27" i="8"/>
  <c r="J27" i="8" s="1"/>
  <c r="J29" i="8" s="1"/>
  <c r="G74" i="1"/>
  <c r="X66" i="14" s="1"/>
  <c r="G73" i="1"/>
  <c r="X65" i="14" s="1"/>
  <c r="GF32" i="17418" l="1"/>
  <c r="GF34" i="17418" s="1"/>
  <c r="GP32" i="17418"/>
  <c r="GP34" i="17418" s="1"/>
  <c r="FZ32" i="17418"/>
  <c r="FZ34" i="17418" s="1"/>
  <c r="FS32" i="17418"/>
  <c r="FS34" i="17418" s="1"/>
  <c r="GN32" i="17418"/>
  <c r="GN34" i="17418" s="1"/>
  <c r="HL32" i="17418"/>
  <c r="HL34" i="17418" s="1"/>
  <c r="HI32" i="17418"/>
  <c r="HI34" i="17418" s="1"/>
  <c r="GK32" i="17418"/>
  <c r="GK34" i="17418" s="1"/>
  <c r="HE32" i="17418"/>
  <c r="HE34" i="17418" s="1"/>
  <c r="GB32" i="17418"/>
  <c r="GB34" i="17418" s="1"/>
  <c r="GJ32" i="17418"/>
  <c r="GJ34" i="17418" s="1"/>
  <c r="HF32" i="17418"/>
  <c r="HF34" i="17418" s="1"/>
  <c r="BR34" i="17418"/>
  <c r="E20" i="17419" s="1"/>
  <c r="GG32" i="17418"/>
  <c r="GG34" i="17418" s="1"/>
  <c r="FW32" i="17418"/>
  <c r="FW34" i="17418" s="1"/>
  <c r="GV32" i="17418"/>
  <c r="GV34" i="17418" s="1"/>
  <c r="GM32" i="17418"/>
  <c r="GM34" i="17418" s="1"/>
  <c r="FX32" i="17418"/>
  <c r="FX34" i="17418" s="1"/>
  <c r="GS32" i="17418"/>
  <c r="GS34" i="17418" s="1"/>
  <c r="FT32" i="17418"/>
  <c r="FT34" i="17418" s="1"/>
  <c r="GO32" i="17418"/>
  <c r="GO34" i="17418" s="1"/>
  <c r="HK32" i="17418"/>
  <c r="HK34" i="17418" s="1"/>
  <c r="GD32" i="17418"/>
  <c r="GD34" i="17418" s="1"/>
  <c r="GT32" i="17418"/>
  <c r="GT34" i="17418" s="1"/>
  <c r="HJ32" i="17418"/>
  <c r="HJ34" i="17418" s="1"/>
  <c r="HA32" i="17418"/>
  <c r="HA34" i="17418" s="1"/>
  <c r="FU32" i="17418"/>
  <c r="FU34" i="17418" s="1"/>
  <c r="GR32" i="17418"/>
  <c r="GR34" i="17418" s="1"/>
  <c r="HG32" i="17418"/>
  <c r="HG34" i="17418" s="1"/>
  <c r="GW32" i="17418"/>
  <c r="GW34" i="17418" s="1"/>
  <c r="GC32" i="17418"/>
  <c r="GC34" i="17418" s="1"/>
  <c r="GY32" i="17418"/>
  <c r="GY34" i="17418" s="1"/>
  <c r="FY32" i="17418"/>
  <c r="FY34" i="17418" s="1"/>
  <c r="GU32" i="17418"/>
  <c r="GU34" i="17418" s="1"/>
  <c r="FR32" i="17418"/>
  <c r="FR34" i="17418" s="1"/>
  <c r="GH32" i="17418"/>
  <c r="GH34" i="17418" s="1"/>
  <c r="GX32" i="17418"/>
  <c r="GX34" i="17418" s="1"/>
  <c r="HC32" i="17418"/>
  <c r="HC34" i="17418" s="1"/>
  <c r="GQ32" i="17418"/>
  <c r="GQ34" i="17418" s="1"/>
  <c r="GA32" i="17418"/>
  <c r="GA34" i="17418" s="1"/>
  <c r="FQ32" i="17418"/>
  <c r="FQ34" i="17418" s="1"/>
  <c r="HH32" i="17418"/>
  <c r="HH34" i="17418" s="1"/>
  <c r="GI32" i="17418"/>
  <c r="GI34" i="17418" s="1"/>
  <c r="HD32" i="17418"/>
  <c r="HD34" i="17418" s="1"/>
  <c r="GE32" i="17418"/>
  <c r="GE34" i="17418" s="1"/>
  <c r="GZ32" i="17418"/>
  <c r="GZ34" i="17418" s="1"/>
  <c r="FV32" i="17418"/>
  <c r="FV34" i="17418" s="1"/>
  <c r="GL32" i="17418"/>
  <c r="GL34" i="17418" s="1"/>
  <c r="I32" i="17418"/>
  <c r="J32" i="17418" s="1"/>
  <c r="BO32" i="17418" s="1"/>
  <c r="HO32" i="17418" s="1"/>
  <c r="HO34" i="17418" s="1"/>
  <c r="DT32" i="17418"/>
  <c r="DT34" i="17418" s="1"/>
  <c r="FF32" i="17418"/>
  <c r="FF34" i="17418" s="1"/>
  <c r="EH32" i="17418"/>
  <c r="EH34" i="17418" s="1"/>
  <c r="EO32" i="17418"/>
  <c r="EO34" i="17418" s="1"/>
  <c r="DX32" i="17418"/>
  <c r="DX34" i="17418" s="1"/>
  <c r="FE32" i="17418"/>
  <c r="FE34" i="17418" s="1"/>
  <c r="FG32" i="17418"/>
  <c r="FG34" i="17418" s="1"/>
  <c r="BS34" i="17418"/>
  <c r="E25" i="17419" s="1"/>
  <c r="FO32" i="17418"/>
  <c r="FO34" i="17418" s="1"/>
  <c r="FC32" i="17418"/>
  <c r="FC34" i="17418" s="1"/>
  <c r="HS32" i="17418"/>
  <c r="HS34" i="17418" s="1"/>
  <c r="ED32" i="17418"/>
  <c r="ED34" i="17418" s="1"/>
  <c r="EL32" i="17418"/>
  <c r="EL34" i="17418" s="1"/>
  <c r="DY32" i="17418"/>
  <c r="DY34" i="17418" s="1"/>
  <c r="HR32" i="17418"/>
  <c r="HR34" i="17418" s="1"/>
  <c r="KX32" i="17418"/>
  <c r="KX34" i="17418" s="1"/>
  <c r="JP32" i="17418"/>
  <c r="KG32" i="17418"/>
  <c r="KG34" i="17418" s="1"/>
  <c r="FK32" i="17418"/>
  <c r="FK34" i="17418" s="1"/>
  <c r="EY32" i="17418"/>
  <c r="EY34" i="17418" s="1"/>
  <c r="EI32" i="17418"/>
  <c r="EI34" i="17418" s="1"/>
  <c r="DZ32" i="17418"/>
  <c r="DZ34" i="17418" s="1"/>
  <c r="DV32" i="17418"/>
  <c r="DV34" i="17418" s="1"/>
  <c r="EQ32" i="17418"/>
  <c r="EQ34" i="17418" s="1"/>
  <c r="FL32" i="17418"/>
  <c r="FL34" i="17418" s="1"/>
  <c r="EM32" i="17418"/>
  <c r="EM34" i="17418" s="1"/>
  <c r="FH32" i="17418"/>
  <c r="FH34" i="17418" s="1"/>
  <c r="EC32" i="17418"/>
  <c r="EC34" i="17418" s="1"/>
  <c r="ES32" i="17418"/>
  <c r="ES34" i="17418" s="1"/>
  <c r="FI32" i="17418"/>
  <c r="FI34" i="17418" s="1"/>
  <c r="HU32" i="17418"/>
  <c r="HU34" i="17418" s="1"/>
  <c r="JQ32" i="17418"/>
  <c r="KU32" i="17418"/>
  <c r="KU34" i="17418" s="1"/>
  <c r="BQ34" i="17418"/>
  <c r="E24" i="17419" s="1"/>
  <c r="EN32" i="17418"/>
  <c r="EN34" i="17418" s="1"/>
  <c r="EE32" i="17418"/>
  <c r="EE34" i="17418" s="1"/>
  <c r="ET32" i="17418"/>
  <c r="ET34" i="17418" s="1"/>
  <c r="EJ32" i="17418"/>
  <c r="EJ34" i="17418" s="1"/>
  <c r="EA32" i="17418"/>
  <c r="EA34" i="17418" s="1"/>
  <c r="EV32" i="17418"/>
  <c r="EV34" i="17418" s="1"/>
  <c r="DW32" i="17418"/>
  <c r="DW34" i="17418" s="1"/>
  <c r="ER32" i="17418"/>
  <c r="ER34" i="17418" s="1"/>
  <c r="FN32" i="17418"/>
  <c r="FN34" i="17418" s="1"/>
  <c r="EG32" i="17418"/>
  <c r="EG34" i="17418" s="1"/>
  <c r="EW32" i="17418"/>
  <c r="EW34" i="17418" s="1"/>
  <c r="FM32" i="17418"/>
  <c r="FM34" i="17418" s="1"/>
  <c r="HQ32" i="17418"/>
  <c r="HQ34" i="17418" s="1"/>
  <c r="FJ32" i="17418"/>
  <c r="FJ34" i="17418" s="1"/>
  <c r="EP32" i="17418"/>
  <c r="EP34" i="17418" s="1"/>
  <c r="EZ32" i="17418"/>
  <c r="EZ34" i="17418" s="1"/>
  <c r="FD32" i="17418"/>
  <c r="FD34" i="17418" s="1"/>
  <c r="EU32" i="17418"/>
  <c r="EU34" i="17418" s="1"/>
  <c r="EF32" i="17418"/>
  <c r="EF34" i="17418" s="1"/>
  <c r="FB32" i="17418"/>
  <c r="FB34" i="17418" s="1"/>
  <c r="EB32" i="17418"/>
  <c r="EB34" i="17418" s="1"/>
  <c r="EX32" i="17418"/>
  <c r="EX34" i="17418" s="1"/>
  <c r="DU32" i="17418"/>
  <c r="DU34" i="17418" s="1"/>
  <c r="EK32" i="17418"/>
  <c r="EK34" i="17418" s="1"/>
  <c r="KH32" i="17418"/>
  <c r="KH34" i="17418" s="1"/>
  <c r="HN32" i="17418"/>
  <c r="HN34" i="17418" s="1"/>
  <c r="KV32" i="17418"/>
  <c r="KV34" i="17418" s="1"/>
  <c r="JR32" i="17418"/>
  <c r="KE32" i="17418"/>
  <c r="KE34" i="17418" s="1"/>
  <c r="KF32" i="17418"/>
  <c r="KF34" i="17418" s="1"/>
  <c r="KW32" i="17418"/>
  <c r="KW34" i="17418" s="1"/>
  <c r="JO32" i="17418"/>
  <c r="HT32" i="17418"/>
  <c r="HT34" i="17418" s="1"/>
  <c r="JT32" i="17418"/>
  <c r="JT34" i="17418" s="1"/>
  <c r="KJ32" i="17418"/>
  <c r="KJ34" i="17418" s="1"/>
  <c r="KZ32" i="17418"/>
  <c r="KZ34" i="17418" s="1"/>
  <c r="JU32" i="17418"/>
  <c r="JU34" i="17418" s="1"/>
  <c r="KK32" i="17418"/>
  <c r="KK34" i="17418" s="1"/>
  <c r="LA32" i="17418"/>
  <c r="LA34" i="17418" s="1"/>
  <c r="JV32" i="17418"/>
  <c r="JV34" i="17418" s="1"/>
  <c r="KL32" i="17418"/>
  <c r="KL34" i="17418" s="1"/>
  <c r="LB32" i="17418"/>
  <c r="LB34" i="17418" s="1"/>
  <c r="JS32" i="17418"/>
  <c r="JS34" i="17418" s="1"/>
  <c r="KI32" i="17418"/>
  <c r="KI34" i="17418" s="1"/>
  <c r="KY32" i="17418"/>
  <c r="KY34" i="17418" s="1"/>
  <c r="JX32" i="17418"/>
  <c r="JX34" i="17418" s="1"/>
  <c r="KN32" i="17418"/>
  <c r="KN34" i="17418" s="1"/>
  <c r="LD32" i="17418"/>
  <c r="LD34" i="17418" s="1"/>
  <c r="JY32" i="17418"/>
  <c r="JY34" i="17418" s="1"/>
  <c r="KO32" i="17418"/>
  <c r="KO34" i="17418" s="1"/>
  <c r="LE32" i="17418"/>
  <c r="LE34" i="17418" s="1"/>
  <c r="JZ32" i="17418"/>
  <c r="JZ34" i="17418" s="1"/>
  <c r="KP32" i="17418"/>
  <c r="KP34" i="17418" s="1"/>
  <c r="LF32" i="17418"/>
  <c r="LF34" i="17418" s="1"/>
  <c r="JW32" i="17418"/>
  <c r="JW34" i="17418" s="1"/>
  <c r="KM32" i="17418"/>
  <c r="KM34" i="17418" s="1"/>
  <c r="LC32" i="17418"/>
  <c r="LC34" i="17418" s="1"/>
  <c r="JL32" i="17418"/>
  <c r="KB32" i="17418"/>
  <c r="KB34" i="17418" s="1"/>
  <c r="KR32" i="17418"/>
  <c r="KR34" i="17418" s="1"/>
  <c r="JM32" i="17418"/>
  <c r="KC32" i="17418"/>
  <c r="KC34" i="17418" s="1"/>
  <c r="KS32" i="17418"/>
  <c r="KS34" i="17418" s="1"/>
  <c r="JN32" i="17418"/>
  <c r="KD32" i="17418"/>
  <c r="KD34" i="17418" s="1"/>
  <c r="KT32" i="17418"/>
  <c r="KT34" i="17418" s="1"/>
  <c r="JK32" i="17418"/>
  <c r="KA32" i="17418"/>
  <c r="KA34" i="17418" s="1"/>
  <c r="KQ32" i="17418"/>
  <c r="KQ34" i="17418" s="1"/>
  <c r="HP32" i="17418"/>
  <c r="HP34" i="17418" s="1"/>
  <c r="DP32" i="17418"/>
  <c r="DL32" i="17418"/>
  <c r="DH32" i="17418"/>
  <c r="DD32" i="17418"/>
  <c r="CZ32" i="17418"/>
  <c r="CV32" i="17418"/>
  <c r="CR32" i="17418"/>
  <c r="CN32" i="17418"/>
  <c r="CJ32" i="17418"/>
  <c r="CF32" i="17418"/>
  <c r="CB32" i="17418"/>
  <c r="BX32" i="17418"/>
  <c r="DQ32" i="17418"/>
  <c r="DK32" i="17418"/>
  <c r="DF32" i="17418"/>
  <c r="DA32" i="17418"/>
  <c r="CU32" i="17418"/>
  <c r="CP32" i="17418"/>
  <c r="CK32" i="17418"/>
  <c r="CE32" i="17418"/>
  <c r="BZ32" i="17418"/>
  <c r="DO32" i="17418"/>
  <c r="DJ32" i="17418"/>
  <c r="DJ34" i="17418" s="1"/>
  <c r="DE32" i="17418"/>
  <c r="CY32" i="17418"/>
  <c r="CT32" i="17418"/>
  <c r="CO32" i="17418"/>
  <c r="CI32" i="17418"/>
  <c r="CD32" i="17418"/>
  <c r="BY32" i="17418"/>
  <c r="DN32" i="17418"/>
  <c r="DC32" i="17418"/>
  <c r="CS32" i="17418"/>
  <c r="CH32" i="17418"/>
  <c r="BW32" i="17418"/>
  <c r="DM32" i="17418"/>
  <c r="DB32" i="17418"/>
  <c r="CQ32" i="17418"/>
  <c r="CG32" i="17418"/>
  <c r="DI32" i="17418"/>
  <c r="CM32" i="17418"/>
  <c r="DG32" i="17418"/>
  <c r="CL32" i="17418"/>
  <c r="CX32" i="17418"/>
  <c r="CW32" i="17418"/>
  <c r="CC32" i="17418"/>
  <c r="DR32" i="17418"/>
  <c r="CA32" i="17418"/>
  <c r="BP34" i="17418"/>
  <c r="E19" i="17419" s="1"/>
  <c r="F2" i="1"/>
  <c r="F9" i="10"/>
  <c r="H9" i="10" s="1"/>
  <c r="J9" i="10" s="1"/>
  <c r="H74" i="1"/>
  <c r="H73" i="1"/>
  <c r="F12" i="10"/>
  <c r="H12" i="10" s="1"/>
  <c r="J12" i="10" s="1"/>
  <c r="G14" i="1"/>
  <c r="F14" i="1" s="1"/>
  <c r="G40" i="17413"/>
  <c r="Y56" i="17419" l="1"/>
  <c r="AY56" i="17419"/>
  <c r="AF56" i="17419"/>
  <c r="AD56" i="17419"/>
  <c r="AP56" i="17419"/>
  <c r="O56" i="17419"/>
  <c r="L56" i="17419"/>
  <c r="U56" i="17419"/>
  <c r="AZ56" i="17419"/>
  <c r="S56" i="17419"/>
  <c r="AO56" i="17419"/>
  <c r="Z56" i="17419"/>
  <c r="P32" i="17418"/>
  <c r="AI56" i="17419"/>
  <c r="J56" i="17419"/>
  <c r="AJ56" i="17419"/>
  <c r="R56" i="17419"/>
  <c r="AC56" i="17419"/>
  <c r="J34" i="17418"/>
  <c r="P34" i="17418" s="1"/>
  <c r="AU56" i="17419"/>
  <c r="M56" i="17419"/>
  <c r="W56" i="17419"/>
  <c r="K56" i="17419"/>
  <c r="AH56" i="17419"/>
  <c r="AW56" i="17419"/>
  <c r="E23" i="17419"/>
  <c r="AA56" i="17419"/>
  <c r="AQ56" i="17419"/>
  <c r="Q56" i="17419"/>
  <c r="AG56" i="17419"/>
  <c r="AR56" i="17419"/>
  <c r="X56" i="17419"/>
  <c r="BC56" i="17419"/>
  <c r="BA56" i="17419"/>
  <c r="V56" i="17419"/>
  <c r="AL56" i="17419"/>
  <c r="AK56" i="17419"/>
  <c r="AM56" i="17419"/>
  <c r="P56" i="17419"/>
  <c r="T56" i="17419"/>
  <c r="AN56" i="17419"/>
  <c r="AE56" i="17419"/>
  <c r="AX56" i="17419"/>
  <c r="BB56" i="17419"/>
  <c r="AB56" i="17419"/>
  <c r="H56" i="17419"/>
  <c r="AV56" i="17419"/>
  <c r="N56" i="17419"/>
  <c r="I56" i="17419"/>
  <c r="AT56" i="17419"/>
  <c r="AS56" i="17419"/>
  <c r="AV73" i="17419"/>
  <c r="DB34" i="17418"/>
  <c r="AN73" i="17419" s="1"/>
  <c r="JB32" i="17418"/>
  <c r="JB34" i="17418" s="1"/>
  <c r="CD34" i="17418"/>
  <c r="ID32" i="17418"/>
  <c r="ID34" i="17418" s="1"/>
  <c r="BZ34" i="17418"/>
  <c r="HZ32" i="17418"/>
  <c r="HZ34" i="17418" s="1"/>
  <c r="IU32" i="17418"/>
  <c r="IU34" i="17418" s="1"/>
  <c r="CU34" i="17418"/>
  <c r="CJ34" i="17418"/>
  <c r="IJ32" i="17418"/>
  <c r="IJ34" i="17418" s="1"/>
  <c r="CZ34" i="17418"/>
  <c r="AL73" i="17419" s="1"/>
  <c r="IZ32" i="17418"/>
  <c r="IZ34" i="17418" s="1"/>
  <c r="IA32" i="17418"/>
  <c r="IA34" i="17418" s="1"/>
  <c r="CA34" i="17418"/>
  <c r="CX34" i="17418"/>
  <c r="AJ73" i="17419" s="1"/>
  <c r="IX32" i="17418"/>
  <c r="IX34" i="17418" s="1"/>
  <c r="JC32" i="17418"/>
  <c r="JC34" i="17418" s="1"/>
  <c r="DC34" i="17418"/>
  <c r="BX34" i="17418"/>
  <c r="HX32" i="17418"/>
  <c r="HX34" i="17418" s="1"/>
  <c r="CN34" i="17418"/>
  <c r="IN32" i="17418"/>
  <c r="IN34" i="17418" s="1"/>
  <c r="DD34" i="17418"/>
  <c r="AP73" i="17419" s="1"/>
  <c r="JD32" i="17418"/>
  <c r="JD34" i="17418" s="1"/>
  <c r="CL34" i="17418"/>
  <c r="IL32" i="17418"/>
  <c r="IL34" i="17418" s="1"/>
  <c r="DF34" i="17418"/>
  <c r="AR73" i="17419" s="1"/>
  <c r="JF32" i="17418"/>
  <c r="JF34" i="17418" s="1"/>
  <c r="CB34" i="17418"/>
  <c r="IB32" i="17418"/>
  <c r="IB34" i="17418" s="1"/>
  <c r="CR34" i="17418"/>
  <c r="IR32" i="17418"/>
  <c r="IR34" i="17418" s="1"/>
  <c r="DH34" i="17418"/>
  <c r="AT73" i="17419" s="1"/>
  <c r="JH32" i="17418"/>
  <c r="JH34" i="17418" s="1"/>
  <c r="JG32" i="17418"/>
  <c r="JG34" i="17418" s="1"/>
  <c r="DG34" i="17418"/>
  <c r="IQ32" i="17418"/>
  <c r="IQ34" i="17418" s="1"/>
  <c r="CQ34" i="17418"/>
  <c r="CH34" i="17418"/>
  <c r="IH32" i="17418"/>
  <c r="IH34" i="17418" s="1"/>
  <c r="CT34" i="17418"/>
  <c r="IT32" i="17418"/>
  <c r="IT34" i="17418" s="1"/>
  <c r="JO34" i="17418"/>
  <c r="DO34" i="17418"/>
  <c r="CP34" i="17418"/>
  <c r="IP32" i="17418"/>
  <c r="IP34" i="17418" s="1"/>
  <c r="CF34" i="17418"/>
  <c r="IF32" i="17418"/>
  <c r="IF34" i="17418" s="1"/>
  <c r="CV34" i="17418"/>
  <c r="AH73" i="17419" s="1"/>
  <c r="IV32" i="17418"/>
  <c r="IV34" i="17418" s="1"/>
  <c r="JL34" i="17418"/>
  <c r="DL34" i="17418"/>
  <c r="AX73" i="17419" s="1"/>
  <c r="JR34" i="17418"/>
  <c r="DR34" i="17418"/>
  <c r="IC32" i="17418"/>
  <c r="IC34" i="17418" s="1"/>
  <c r="CC34" i="17418"/>
  <c r="IW32" i="17418"/>
  <c r="IW34" i="17418" s="1"/>
  <c r="CW34" i="17418"/>
  <c r="IM32" i="17418"/>
  <c r="IM34" i="17418" s="1"/>
  <c r="CM34" i="17418"/>
  <c r="JI32" i="17418"/>
  <c r="JI34" i="17418" s="1"/>
  <c r="DI34" i="17418"/>
  <c r="IG32" i="17418"/>
  <c r="IG34" i="17418" s="1"/>
  <c r="CG34" i="17418"/>
  <c r="JM34" i="17418"/>
  <c r="DM34" i="17418"/>
  <c r="HW32" i="17418"/>
  <c r="HW34" i="17418" s="1"/>
  <c r="BW34" i="17418"/>
  <c r="IS32" i="17418"/>
  <c r="IS34" i="17418" s="1"/>
  <c r="CS34" i="17418"/>
  <c r="JN34" i="17418"/>
  <c r="DN34" i="17418"/>
  <c r="AZ73" i="17419" s="1"/>
  <c r="HY32" i="17418"/>
  <c r="HY34" i="17418" s="1"/>
  <c r="BY34" i="17418"/>
  <c r="II32" i="17418"/>
  <c r="II34" i="17418" s="1"/>
  <c r="CI34" i="17418"/>
  <c r="IO32" i="17418"/>
  <c r="IO34" i="17418" s="1"/>
  <c r="CO34" i="17418"/>
  <c r="IY32" i="17418"/>
  <c r="IY34" i="17418" s="1"/>
  <c r="CY34" i="17418"/>
  <c r="JE32" i="17418"/>
  <c r="JE34" i="17418" s="1"/>
  <c r="DE34" i="17418"/>
  <c r="IE32" i="17418"/>
  <c r="IE34" i="17418" s="1"/>
  <c r="CE34" i="17418"/>
  <c r="IK32" i="17418"/>
  <c r="IK34" i="17418" s="1"/>
  <c r="CK34" i="17418"/>
  <c r="JA32" i="17418"/>
  <c r="JA34" i="17418" s="1"/>
  <c r="DA34" i="17418"/>
  <c r="JK34" i="17418"/>
  <c r="DK34" i="17418"/>
  <c r="AW73" i="17419" s="1"/>
  <c r="JQ34" i="17418"/>
  <c r="DQ34" i="17418"/>
  <c r="JP34" i="17418"/>
  <c r="DP34" i="17418"/>
  <c r="BB73" i="17419" s="1"/>
  <c r="H14" i="1"/>
  <c r="I3" i="1" s="1"/>
  <c r="G37" i="17413"/>
  <c r="F40" i="17413"/>
  <c r="K27" i="8"/>
  <c r="L29" i="8"/>
  <c r="G56" i="17419"/>
  <c r="I924" i="1" l="1"/>
  <c r="I579" i="1"/>
  <c r="I811" i="1"/>
  <c r="I925" i="1"/>
  <c r="I353" i="1"/>
  <c r="I894" i="1"/>
  <c r="I351" i="1"/>
  <c r="I352" i="1"/>
  <c r="I896" i="1"/>
  <c r="I898" i="1"/>
  <c r="I803" i="1"/>
  <c r="I867" i="1"/>
  <c r="I1939" i="1"/>
  <c r="I1940" i="1"/>
  <c r="I849" i="1"/>
  <c r="I791" i="1"/>
  <c r="I847" i="1"/>
  <c r="I1938" i="1"/>
  <c r="AK73" i="17419"/>
  <c r="BC73" i="17419"/>
  <c r="AM73" i="17419"/>
  <c r="BA73" i="17419"/>
  <c r="AS73" i="17419"/>
  <c r="AG73" i="17419"/>
  <c r="AQ73" i="17419"/>
  <c r="AY73" i="17419"/>
  <c r="AU73" i="17419"/>
  <c r="AI73" i="17419"/>
  <c r="AO73" i="17419"/>
  <c r="E26" i="17419"/>
  <c r="J41" i="17418"/>
  <c r="J60" i="17418" s="1"/>
  <c r="I870" i="1" l="1"/>
  <c r="I944" i="1"/>
  <c r="I932" i="1"/>
  <c r="I942" i="1"/>
  <c r="I929" i="1"/>
  <c r="I941" i="1"/>
  <c r="I946" i="1"/>
  <c r="I934" i="1"/>
  <c r="I931" i="1"/>
  <c r="I943" i="1"/>
  <c r="I928" i="1"/>
  <c r="I938" i="1"/>
  <c r="I945" i="1"/>
  <c r="I937" i="1"/>
  <c r="I947" i="1"/>
  <c r="I930" i="1"/>
  <c r="I940" i="1"/>
  <c r="I939" i="1"/>
  <c r="I936" i="1"/>
  <c r="I933" i="1"/>
  <c r="I935" i="1"/>
  <c r="I542" i="1"/>
  <c r="I846" i="1"/>
  <c r="I541" i="1"/>
  <c r="I948" i="1"/>
  <c r="I844" i="1"/>
  <c r="I927" i="1"/>
  <c r="I926" i="1"/>
  <c r="I921" i="1"/>
  <c r="I793" i="1"/>
  <c r="I792" i="1"/>
  <c r="I920" i="1"/>
  <c r="I922" i="1"/>
  <c r="I923" i="1"/>
  <c r="I915" i="1"/>
  <c r="I916" i="1"/>
  <c r="I914" i="1"/>
  <c r="I917" i="1"/>
  <c r="I918" i="1"/>
  <c r="I913" i="1"/>
  <c r="I891" i="1"/>
  <c r="I903" i="1"/>
  <c r="I897" i="1"/>
  <c r="I887" i="1"/>
  <c r="I890" i="1"/>
  <c r="I899" i="1"/>
  <c r="I893" i="1"/>
  <c r="I912" i="1"/>
  <c r="I902" i="1"/>
  <c r="I911" i="1"/>
  <c r="I895" i="1"/>
  <c r="I888" i="1"/>
  <c r="I900" i="1"/>
  <c r="I892" i="1"/>
  <c r="I901" i="1"/>
  <c r="I919" i="1"/>
  <c r="I904" i="1"/>
  <c r="I889" i="1"/>
  <c r="I908" i="1"/>
  <c r="I910" i="1"/>
  <c r="I909" i="1"/>
  <c r="I906" i="1"/>
  <c r="I905" i="1"/>
  <c r="I907" i="1"/>
  <c r="I1936" i="1"/>
  <c r="I1935" i="1"/>
  <c r="I1937" i="1"/>
  <c r="I1934" i="1"/>
  <c r="I877" i="1"/>
  <c r="I876" i="1"/>
  <c r="I1932" i="1"/>
  <c r="I1929" i="1"/>
  <c r="I1930" i="1"/>
  <c r="I1928" i="1"/>
  <c r="I1931" i="1"/>
  <c r="I871" i="1"/>
  <c r="I872" i="1"/>
  <c r="I880" i="1"/>
  <c r="I885" i="1"/>
  <c r="I875" i="1"/>
  <c r="I884" i="1"/>
  <c r="I882" i="1"/>
  <c r="I883" i="1"/>
  <c r="I874" i="1"/>
  <c r="I886" i="1"/>
  <c r="I873" i="1"/>
  <c r="I881" i="1"/>
  <c r="I862" i="1"/>
  <c r="I879" i="1"/>
  <c r="I878" i="1"/>
  <c r="I856" i="1"/>
  <c r="I866" i="1"/>
  <c r="I859" i="1"/>
  <c r="I861" i="1"/>
  <c r="I864" i="1"/>
  <c r="I858" i="1"/>
  <c r="I863" i="1"/>
  <c r="I865" i="1"/>
  <c r="I857" i="1"/>
  <c r="I868" i="1"/>
  <c r="I860" i="1"/>
  <c r="I855" i="1"/>
  <c r="I869" i="1"/>
  <c r="I852" i="1"/>
  <c r="I853" i="1"/>
  <c r="I854" i="1"/>
  <c r="I851" i="1"/>
  <c r="I835" i="1"/>
  <c r="I1921" i="1"/>
  <c r="I1933" i="1"/>
  <c r="I1925" i="1"/>
  <c r="I1923" i="1"/>
  <c r="I1920" i="1"/>
  <c r="I1927" i="1"/>
  <c r="I1924" i="1"/>
  <c r="I1922" i="1"/>
  <c r="I1919" i="1"/>
  <c r="I1926" i="1"/>
  <c r="I1217" i="1"/>
  <c r="I789" i="1"/>
  <c r="I790" i="1"/>
  <c r="I788" i="1"/>
  <c r="I1211" i="1"/>
  <c r="I1210" i="1"/>
  <c r="I1215" i="1"/>
  <c r="I1214" i="1"/>
  <c r="I1213" i="1"/>
  <c r="I1212" i="1"/>
  <c r="I1216" i="1"/>
  <c r="G25" i="17419"/>
  <c r="I1143" i="1"/>
  <c r="I1634" i="1"/>
  <c r="I348" i="1"/>
  <c r="I350" i="1"/>
  <c r="I347" i="1"/>
  <c r="I349" i="1"/>
  <c r="I365" i="1"/>
  <c r="I1245" i="1"/>
  <c r="I1246" i="1"/>
  <c r="I1247" i="1"/>
  <c r="I1403" i="1"/>
  <c r="I1395" i="1"/>
  <c r="I1391" i="1"/>
  <c r="I1386" i="1"/>
  <c r="I1383" i="1"/>
  <c r="I1385" i="1"/>
  <c r="I1291" i="1"/>
  <c r="I1307" i="1"/>
  <c r="I1323" i="1"/>
  <c r="I1339" i="1"/>
  <c r="I1355" i="1"/>
  <c r="I1371" i="1"/>
  <c r="I1389" i="1"/>
  <c r="I1298" i="1"/>
  <c r="I1314" i="1"/>
  <c r="I1330" i="1"/>
  <c r="I1346" i="1"/>
  <c r="I1362" i="1"/>
  <c r="I1378" i="1"/>
  <c r="I1415" i="1"/>
  <c r="I1302" i="1"/>
  <c r="I1318" i="1"/>
  <c r="I1334" i="1"/>
  <c r="I1350" i="1"/>
  <c r="I1366" i="1"/>
  <c r="I1382" i="1"/>
  <c r="I1303" i="1"/>
  <c r="I1319" i="1"/>
  <c r="I1335" i="1"/>
  <c r="I1351" i="1"/>
  <c r="I1367" i="1"/>
  <c r="I1394" i="1"/>
  <c r="I1412" i="1"/>
  <c r="I1430" i="1"/>
  <c r="I1410" i="1"/>
  <c r="I1428" i="1"/>
  <c r="I1400" i="1"/>
  <c r="I1426" i="1"/>
  <c r="I1406" i="1"/>
  <c r="I1419" i="1"/>
  <c r="I1435" i="1"/>
  <c r="I1294" i="1"/>
  <c r="I1310" i="1"/>
  <c r="I1326" i="1"/>
  <c r="I1342" i="1"/>
  <c r="I1358" i="1"/>
  <c r="I1374" i="1"/>
  <c r="I1411" i="1"/>
  <c r="I1305" i="1"/>
  <c r="I1321" i="1"/>
  <c r="I1337" i="1"/>
  <c r="I1353" i="1"/>
  <c r="I1369" i="1"/>
  <c r="I1387" i="1"/>
  <c r="I1293" i="1"/>
  <c r="I1309" i="1"/>
  <c r="I1325" i="1"/>
  <c r="I1341" i="1"/>
  <c r="I1357" i="1"/>
  <c r="I1373" i="1"/>
  <c r="I1390" i="1"/>
  <c r="I1306" i="1"/>
  <c r="I1322" i="1"/>
  <c r="I1338" i="1"/>
  <c r="I1354" i="1"/>
  <c r="I1370" i="1"/>
  <c r="I1407" i="1"/>
  <c r="I1392" i="1"/>
  <c r="I1417" i="1"/>
  <c r="I1433" i="1"/>
  <c r="I1397" i="1"/>
  <c r="I1413" i="1"/>
  <c r="I1431" i="1"/>
  <c r="I1408" i="1"/>
  <c r="I1429" i="1"/>
  <c r="I1388" i="1"/>
  <c r="I1409" i="1"/>
  <c r="I1424" i="1"/>
  <c r="I1440" i="1"/>
  <c r="I1301" i="1"/>
  <c r="I1317" i="1"/>
  <c r="I1333" i="1"/>
  <c r="I1349" i="1"/>
  <c r="I1365" i="1"/>
  <c r="I1381" i="1"/>
  <c r="I1292" i="1"/>
  <c r="I1308" i="1"/>
  <c r="I1324" i="1"/>
  <c r="I1340" i="1"/>
  <c r="I1356" i="1"/>
  <c r="I1372" i="1"/>
  <c r="I1393" i="1"/>
  <c r="I1296" i="1"/>
  <c r="I1312" i="1"/>
  <c r="I1328" i="1"/>
  <c r="I1344" i="1"/>
  <c r="I1360" i="1"/>
  <c r="I1376" i="1"/>
  <c r="I1297" i="1"/>
  <c r="I1313" i="1"/>
  <c r="I1329" i="1"/>
  <c r="I1345" i="1"/>
  <c r="I1361" i="1"/>
  <c r="I1377" i="1"/>
  <c r="I1396" i="1"/>
  <c r="I1422" i="1"/>
  <c r="I1438" i="1"/>
  <c r="I1402" i="1"/>
  <c r="I1420" i="1"/>
  <c r="I1436" i="1"/>
  <c r="I1418" i="1"/>
  <c r="I1434" i="1"/>
  <c r="I1398" i="1"/>
  <c r="I1414" i="1"/>
  <c r="I1427" i="1"/>
  <c r="I1304" i="1"/>
  <c r="I1320" i="1"/>
  <c r="I1336" i="1"/>
  <c r="I1352" i="1"/>
  <c r="I1368" i="1"/>
  <c r="I1384" i="1"/>
  <c r="I1295" i="1"/>
  <c r="I1311" i="1"/>
  <c r="I1327" i="1"/>
  <c r="I1343" i="1"/>
  <c r="I1359" i="1"/>
  <c r="I1375" i="1"/>
  <c r="I1399" i="1"/>
  <c r="I1299" i="1"/>
  <c r="I1315" i="1"/>
  <c r="I1331" i="1"/>
  <c r="I1347" i="1"/>
  <c r="I1363" i="1"/>
  <c r="I1379" i="1"/>
  <c r="I1300" i="1"/>
  <c r="I1316" i="1"/>
  <c r="I1332" i="1"/>
  <c r="I1348" i="1"/>
  <c r="I1364" i="1"/>
  <c r="I1380" i="1"/>
  <c r="I1404" i="1"/>
  <c r="I1425" i="1"/>
  <c r="I1405" i="1"/>
  <c r="I1423" i="1"/>
  <c r="I1439" i="1"/>
  <c r="I1421" i="1"/>
  <c r="I1437" i="1"/>
  <c r="I1401" i="1"/>
  <c r="I1416" i="1"/>
  <c r="I1432" i="1"/>
  <c r="I1281" i="1"/>
  <c r="I1265" i="1"/>
  <c r="I1249" i="1"/>
  <c r="I1277" i="1"/>
  <c r="I1269" i="1"/>
  <c r="I1253" i="1"/>
  <c r="I1273" i="1"/>
  <c r="I1257" i="1"/>
  <c r="I1261" i="1"/>
  <c r="I1289" i="1"/>
  <c r="I1442" i="1"/>
  <c r="I1264" i="1"/>
  <c r="I1260" i="1"/>
  <c r="I1278" i="1"/>
  <c r="I1272" i="1"/>
  <c r="I1443" i="1"/>
  <c r="I1290" i="1"/>
  <c r="I1259" i="1"/>
  <c r="I1284" i="1"/>
  <c r="I1266" i="1"/>
  <c r="I1262" i="1"/>
  <c r="I1283" i="1"/>
  <c r="I1256" i="1"/>
  <c r="I1274" i="1"/>
  <c r="I1271" i="1"/>
  <c r="I1268" i="1"/>
  <c r="I1287" i="1"/>
  <c r="I1267" i="1"/>
  <c r="I1288" i="1"/>
  <c r="I1248" i="1"/>
  <c r="I1258" i="1"/>
  <c r="I1279" i="1"/>
  <c r="I1280" i="1"/>
  <c r="I1252" i="1"/>
  <c r="I1270" i="1"/>
  <c r="I1441" i="1"/>
  <c r="I1285" i="1"/>
  <c r="I1255" i="1"/>
  <c r="I1251" i="1"/>
  <c r="I1276" i="1"/>
  <c r="I1250" i="1"/>
  <c r="I1263" i="1"/>
  <c r="I1286" i="1"/>
  <c r="I1282" i="1"/>
  <c r="I1254" i="1"/>
  <c r="I1275" i="1"/>
  <c r="I1444" i="1"/>
  <c r="I1239" i="1"/>
  <c r="I1218" i="1"/>
  <c r="I1220" i="1"/>
  <c r="I1237" i="1"/>
  <c r="I1229" i="1"/>
  <c r="I1235" i="1"/>
  <c r="I1219" i="1"/>
  <c r="I1233" i="1"/>
  <c r="I1223" i="1"/>
  <c r="I1234" i="1"/>
  <c r="I1224" i="1"/>
  <c r="I1238" i="1"/>
  <c r="I1222" i="1"/>
  <c r="I1236" i="1"/>
  <c r="I1228" i="1"/>
  <c r="I1221" i="1"/>
  <c r="I1240" i="1"/>
  <c r="I1227" i="1"/>
  <c r="I1241" i="1"/>
  <c r="I1225" i="1"/>
  <c r="I1242" i="1"/>
  <c r="I1231" i="1"/>
  <c r="I1226" i="1"/>
  <c r="I1243" i="1"/>
  <c r="I1232" i="1"/>
  <c r="I1244" i="1"/>
  <c r="I1230" i="1"/>
  <c r="I1445" i="1"/>
  <c r="I1188" i="1"/>
  <c r="I1192" i="1"/>
  <c r="I1208" i="1"/>
  <c r="I1193" i="1"/>
  <c r="I1209" i="1"/>
  <c r="I1191" i="1"/>
  <c r="I1184" i="1"/>
  <c r="I1200" i="1"/>
  <c r="I1451" i="1"/>
  <c r="I1448" i="1"/>
  <c r="I1194" i="1"/>
  <c r="I1195" i="1"/>
  <c r="I1446" i="1"/>
  <c r="I1196" i="1"/>
  <c r="I1447" i="1"/>
  <c r="I1201" i="1"/>
  <c r="I1187" i="1"/>
  <c r="I1203" i="1"/>
  <c r="I1204" i="1"/>
  <c r="I1198" i="1"/>
  <c r="I1449" i="1"/>
  <c r="I1199" i="1"/>
  <c r="I1450" i="1"/>
  <c r="I1207" i="1"/>
  <c r="I1190" i="1"/>
  <c r="I1206" i="1"/>
  <c r="I1205" i="1"/>
  <c r="I1186" i="1"/>
  <c r="I1202" i="1"/>
  <c r="I1185" i="1"/>
  <c r="I1189" i="1"/>
  <c r="I1197" i="1"/>
  <c r="I346" i="1"/>
  <c r="I834" i="1"/>
  <c r="I841" i="1"/>
  <c r="I836" i="1"/>
  <c r="I838" i="1"/>
  <c r="I843" i="1"/>
  <c r="I845" i="1"/>
  <c r="I842" i="1"/>
  <c r="I839" i="1"/>
  <c r="I832" i="1"/>
  <c r="I831" i="1"/>
  <c r="I837" i="1"/>
  <c r="I840" i="1"/>
  <c r="I848" i="1"/>
  <c r="I833" i="1"/>
  <c r="I821" i="1"/>
  <c r="I818" i="1"/>
  <c r="I828" i="1"/>
  <c r="I824" i="1"/>
  <c r="I822" i="1"/>
  <c r="I826" i="1"/>
  <c r="I827" i="1"/>
  <c r="I825" i="1"/>
  <c r="I820" i="1"/>
  <c r="I829" i="1"/>
  <c r="I850" i="1"/>
  <c r="I830" i="1"/>
  <c r="I823" i="1"/>
  <c r="I819" i="1"/>
  <c r="I546" i="1"/>
  <c r="I815" i="1"/>
  <c r="I812" i="1"/>
  <c r="I813" i="1"/>
  <c r="I814" i="1"/>
  <c r="I808" i="1"/>
  <c r="I806" i="1"/>
  <c r="I807" i="1"/>
  <c r="I805" i="1"/>
  <c r="I802" i="1"/>
  <c r="I804" i="1"/>
  <c r="I817" i="1"/>
  <c r="I816" i="1"/>
  <c r="I809" i="1"/>
  <c r="I810" i="1"/>
  <c r="I720" i="1"/>
  <c r="I798" i="1"/>
  <c r="I795" i="1"/>
  <c r="I799" i="1"/>
  <c r="I794" i="1"/>
  <c r="I787" i="1"/>
  <c r="I797" i="1"/>
  <c r="I796" i="1"/>
  <c r="I800" i="1"/>
  <c r="P41" i="17418"/>
  <c r="I780" i="1"/>
  <c r="I781" i="1"/>
  <c r="P60" i="17418"/>
  <c r="I774" i="1"/>
  <c r="I758" i="1"/>
  <c r="I742" i="1"/>
  <c r="I643" i="1"/>
  <c r="I687" i="1"/>
  <c r="I651" i="1"/>
  <c r="I619" i="1"/>
  <c r="I659" i="1"/>
  <c r="I627" i="1"/>
  <c r="I667" i="1"/>
  <c r="I635" i="1"/>
  <c r="I493" i="1"/>
  <c r="I485" i="1"/>
  <c r="I477" i="1"/>
  <c r="I469" i="1"/>
  <c r="I461" i="1"/>
  <c r="I453" i="1"/>
  <c r="I445" i="1"/>
  <c r="I437" i="1"/>
  <c r="I429" i="1"/>
  <c r="I421" i="1"/>
  <c r="I406" i="1"/>
  <c r="I378" i="1"/>
  <c r="I386" i="1"/>
  <c r="I242" i="1"/>
  <c r="I237" i="1"/>
  <c r="I179" i="1"/>
  <c r="I180" i="1"/>
  <c r="I200" i="1"/>
  <c r="I87" i="1"/>
  <c r="I119" i="1"/>
  <c r="I151" i="1"/>
  <c r="I85" i="1"/>
  <c r="I117" i="1"/>
  <c r="I152" i="1"/>
  <c r="I78" i="1"/>
  <c r="I94" i="1"/>
  <c r="I110" i="1"/>
  <c r="I126" i="1"/>
  <c r="I142" i="1"/>
  <c r="I158" i="1"/>
  <c r="I174" i="1"/>
  <c r="I82" i="1"/>
  <c r="I114" i="1"/>
  <c r="I143" i="1"/>
  <c r="I172" i="1"/>
  <c r="I101" i="1"/>
  <c r="I136" i="1"/>
  <c r="I160" i="1"/>
  <c r="I81" i="1"/>
  <c r="I97" i="1"/>
  <c r="I113" i="1"/>
  <c r="I129" i="1"/>
  <c r="I145" i="1"/>
  <c r="I162" i="1"/>
  <c r="I178" i="1"/>
  <c r="I183" i="1"/>
  <c r="I191" i="1"/>
  <c r="I210" i="1"/>
  <c r="I226" i="1"/>
  <c r="I244" i="1"/>
  <c r="I208" i="1"/>
  <c r="I224" i="1"/>
  <c r="I250" i="1"/>
  <c r="I206" i="1"/>
  <c r="I222" i="1"/>
  <c r="I240" i="1"/>
  <c r="I195" i="1"/>
  <c r="I212" i="1"/>
  <c r="I232" i="1"/>
  <c r="I239" i="1"/>
  <c r="I265" i="1"/>
  <c r="I281" i="1"/>
  <c r="I297" i="1"/>
  <c r="I313" i="1"/>
  <c r="I329" i="1"/>
  <c r="I345" i="1"/>
  <c r="I369" i="1"/>
  <c r="I389" i="1"/>
  <c r="I404" i="1"/>
  <c r="I440" i="1"/>
  <c r="I472" i="1"/>
  <c r="I504" i="1"/>
  <c r="I571" i="1"/>
  <c r="I263" i="1"/>
  <c r="I279" i="1"/>
  <c r="I295" i="1"/>
  <c r="I311" i="1"/>
  <c r="I327" i="1"/>
  <c r="I343" i="1"/>
  <c r="I367" i="1"/>
  <c r="I384" i="1"/>
  <c r="I426" i="1"/>
  <c r="I264" i="1"/>
  <c r="I280" i="1"/>
  <c r="I296" i="1"/>
  <c r="I312" i="1"/>
  <c r="I328" i="1"/>
  <c r="I344" i="1"/>
  <c r="I368" i="1"/>
  <c r="I418" i="1"/>
  <c r="I251" i="1"/>
  <c r="I267" i="1"/>
  <c r="I283" i="1"/>
  <c r="I299" i="1"/>
  <c r="I315" i="1"/>
  <c r="I331" i="1"/>
  <c r="I355" i="1"/>
  <c r="I371" i="1"/>
  <c r="I400" i="1"/>
  <c r="I413" i="1"/>
  <c r="I452" i="1"/>
  <c r="I484" i="1"/>
  <c r="I508" i="1"/>
  <c r="I575" i="1"/>
  <c r="I385" i="1"/>
  <c r="I402" i="1"/>
  <c r="I444" i="1"/>
  <c r="I476" i="1"/>
  <c r="I512" i="1"/>
  <c r="I580" i="1"/>
  <c r="I408" i="1"/>
  <c r="I428" i="1"/>
  <c r="I448" i="1"/>
  <c r="I480" i="1"/>
  <c r="I551" i="1"/>
  <c r="I510" i="1"/>
  <c r="I544" i="1"/>
  <c r="I577" i="1"/>
  <c r="I610" i="1"/>
  <c r="I664" i="1"/>
  <c r="I711" i="1"/>
  <c r="I728" i="1"/>
  <c r="I430" i="1"/>
  <c r="I462" i="1"/>
  <c r="I494" i="1"/>
  <c r="I513" i="1"/>
  <c r="I529" i="1"/>
  <c r="I548" i="1"/>
  <c r="I564" i="1"/>
  <c r="I581" i="1"/>
  <c r="I608" i="1"/>
  <c r="I639" i="1"/>
  <c r="I699" i="1"/>
  <c r="I435" i="1"/>
  <c r="I467" i="1"/>
  <c r="I499" i="1"/>
  <c r="I530" i="1"/>
  <c r="I565" i="1"/>
  <c r="I598" i="1"/>
  <c r="I631" i="1"/>
  <c r="I681" i="1"/>
  <c r="I703" i="1"/>
  <c r="I449" i="1"/>
  <c r="I481" i="1"/>
  <c r="I507" i="1"/>
  <c r="I523" i="1"/>
  <c r="I539" i="1"/>
  <c r="I558" i="1"/>
  <c r="I574" i="1"/>
  <c r="I591" i="1"/>
  <c r="I612" i="1"/>
  <c r="I655" i="1"/>
  <c r="I597" i="1"/>
  <c r="I605" i="1"/>
  <c r="I613" i="1"/>
  <c r="I633" i="1"/>
  <c r="I665" i="1"/>
  <c r="I685" i="1"/>
  <c r="I705" i="1"/>
  <c r="I722" i="1"/>
  <c r="I746" i="1"/>
  <c r="I778" i="1"/>
  <c r="I626" i="1"/>
  <c r="I642" i="1"/>
  <c r="I658" i="1"/>
  <c r="I674" i="1"/>
  <c r="I688" i="1"/>
  <c r="I709" i="1"/>
  <c r="I726" i="1"/>
  <c r="I637" i="1"/>
  <c r="I669" i="1"/>
  <c r="I689" i="1"/>
  <c r="I707" i="1"/>
  <c r="I724" i="1"/>
  <c r="I750" i="1"/>
  <c r="I740" i="1"/>
  <c r="I765" i="1"/>
  <c r="I785" i="1"/>
  <c r="I752" i="1"/>
  <c r="I777" i="1"/>
  <c r="I743" i="1"/>
  <c r="I764" i="1"/>
  <c r="I737" i="1"/>
  <c r="I755" i="1"/>
  <c r="I776" i="1"/>
  <c r="I135" i="1"/>
  <c r="I95" i="1"/>
  <c r="I88" i="1"/>
  <c r="I98" i="1"/>
  <c r="I130" i="1"/>
  <c r="I166" i="1"/>
  <c r="I93" i="1"/>
  <c r="I128" i="1"/>
  <c r="I163" i="1"/>
  <c r="I83" i="1"/>
  <c r="I99" i="1"/>
  <c r="I115" i="1"/>
  <c r="I131" i="1"/>
  <c r="I147" i="1"/>
  <c r="I161" i="1"/>
  <c r="I177" i="1"/>
  <c r="I90" i="1"/>
  <c r="I122" i="1"/>
  <c r="I154" i="1"/>
  <c r="I186" i="1"/>
  <c r="I109" i="1"/>
  <c r="I144" i="1"/>
  <c r="I170" i="1"/>
  <c r="I84" i="1"/>
  <c r="I100" i="1"/>
  <c r="I116" i="1"/>
  <c r="I132" i="1"/>
  <c r="I148" i="1"/>
  <c r="I165" i="1"/>
  <c r="I188" i="1"/>
  <c r="I185" i="1"/>
  <c r="I193" i="1"/>
  <c r="I215" i="1"/>
  <c r="I229" i="1"/>
  <c r="I194" i="1"/>
  <c r="I213" i="1"/>
  <c r="I227" i="1"/>
  <c r="I398" i="1"/>
  <c r="I211" i="1"/>
  <c r="I228" i="1"/>
  <c r="I243" i="1"/>
  <c r="I197" i="1"/>
  <c r="I217" i="1"/>
  <c r="I235" i="1"/>
  <c r="I252" i="1"/>
  <c r="I268" i="1"/>
  <c r="I284" i="1"/>
  <c r="I300" i="1"/>
  <c r="I316" i="1"/>
  <c r="I332" i="1"/>
  <c r="I356" i="1"/>
  <c r="I372" i="1"/>
  <c r="I392" i="1"/>
  <c r="I410" i="1"/>
  <c r="I460" i="1"/>
  <c r="I492" i="1"/>
  <c r="I520" i="1"/>
  <c r="I588" i="1"/>
  <c r="I266" i="1"/>
  <c r="I282" i="1"/>
  <c r="I298" i="1"/>
  <c r="I314" i="1"/>
  <c r="I330" i="1"/>
  <c r="I354" i="1"/>
  <c r="I370" i="1"/>
  <c r="I390" i="1"/>
  <c r="I253" i="1"/>
  <c r="I269" i="1"/>
  <c r="I285" i="1"/>
  <c r="I301" i="1"/>
  <c r="I317" i="1"/>
  <c r="I333" i="1"/>
  <c r="I357" i="1"/>
  <c r="I373" i="1"/>
  <c r="I245" i="1"/>
  <c r="I254" i="1"/>
  <c r="I270" i="1"/>
  <c r="I286" i="1"/>
  <c r="I302" i="1"/>
  <c r="I318" i="1"/>
  <c r="I334" i="1"/>
  <c r="I358" i="1"/>
  <c r="I374" i="1"/>
  <c r="I403" i="1"/>
  <c r="I415" i="1"/>
  <c r="I455" i="1"/>
  <c r="I487" i="1"/>
  <c r="I524" i="1"/>
  <c r="I592" i="1"/>
  <c r="I387" i="1"/>
  <c r="I405" i="1"/>
  <c r="I447" i="1"/>
  <c r="I479" i="1"/>
  <c r="I528" i="1"/>
  <c r="I394" i="1"/>
  <c r="I411" i="1"/>
  <c r="I436" i="1"/>
  <c r="I468" i="1"/>
  <c r="I500" i="1"/>
  <c r="I567" i="1"/>
  <c r="I518" i="1"/>
  <c r="I553" i="1"/>
  <c r="I586" i="1"/>
  <c r="I632" i="1"/>
  <c r="I670" i="1"/>
  <c r="I714" i="1"/>
  <c r="I731" i="1"/>
  <c r="I438" i="1"/>
  <c r="I470" i="1"/>
  <c r="I503" i="1"/>
  <c r="I519" i="1"/>
  <c r="I535" i="1"/>
  <c r="I554" i="1"/>
  <c r="I570" i="1"/>
  <c r="I587" i="1"/>
  <c r="I616" i="1"/>
  <c r="I656" i="1"/>
  <c r="I702" i="1"/>
  <c r="I443" i="1"/>
  <c r="I475" i="1"/>
  <c r="I506" i="1"/>
  <c r="I538" i="1"/>
  <c r="I573" i="1"/>
  <c r="I606" i="1"/>
  <c r="I648" i="1"/>
  <c r="I684" i="1"/>
  <c r="I425" i="1"/>
  <c r="I457" i="1"/>
  <c r="I489" i="1"/>
  <c r="I509" i="1"/>
  <c r="I525" i="1"/>
  <c r="I543" i="1"/>
  <c r="I560" i="1"/>
  <c r="I576" i="1"/>
  <c r="I593" i="1"/>
  <c r="I623" i="1"/>
  <c r="I672" i="1"/>
  <c r="I599" i="1"/>
  <c r="I607" i="1"/>
  <c r="I615" i="1"/>
  <c r="I641" i="1"/>
  <c r="I673" i="1"/>
  <c r="I691" i="1"/>
  <c r="I708" i="1"/>
  <c r="I725" i="1"/>
  <c r="I754" i="1"/>
  <c r="I801" i="1"/>
  <c r="I628" i="1"/>
  <c r="I644" i="1"/>
  <c r="I660" i="1"/>
  <c r="I677" i="1"/>
  <c r="I697" i="1"/>
  <c r="I712" i="1"/>
  <c r="I729" i="1"/>
  <c r="I645" i="1"/>
  <c r="I675" i="1"/>
  <c r="I692" i="1"/>
  <c r="I710" i="1"/>
  <c r="I727" i="1"/>
  <c r="I766" i="1"/>
  <c r="I749" i="1"/>
  <c r="I767" i="1"/>
  <c r="I736" i="1"/>
  <c r="I761" i="1"/>
  <c r="I779" i="1"/>
  <c r="I748" i="1"/>
  <c r="I773" i="1"/>
  <c r="I739" i="1"/>
  <c r="I760" i="1"/>
  <c r="I106" i="1"/>
  <c r="I175" i="1"/>
  <c r="I104" i="1"/>
  <c r="I133" i="1"/>
  <c r="I173" i="1"/>
  <c r="I86" i="1"/>
  <c r="I102" i="1"/>
  <c r="I118" i="1"/>
  <c r="I134" i="1"/>
  <c r="I150" i="1"/>
  <c r="I164" i="1"/>
  <c r="I182" i="1"/>
  <c r="I127" i="1"/>
  <c r="I159" i="1"/>
  <c r="I120" i="1"/>
  <c r="I111" i="1"/>
  <c r="I141" i="1"/>
  <c r="I123" i="1"/>
  <c r="I190" i="1"/>
  <c r="I96" i="1"/>
  <c r="I176" i="1"/>
  <c r="I105" i="1"/>
  <c r="I137" i="1"/>
  <c r="I168" i="1"/>
  <c r="I187" i="1"/>
  <c r="I218" i="1"/>
  <c r="I203" i="1"/>
  <c r="I230" i="1"/>
  <c r="I214" i="1"/>
  <c r="I248" i="1"/>
  <c r="I220" i="1"/>
  <c r="I257" i="1"/>
  <c r="I289" i="1"/>
  <c r="I321" i="1"/>
  <c r="I361" i="1"/>
  <c r="I395" i="1"/>
  <c r="I463" i="1"/>
  <c r="I536" i="1"/>
  <c r="I271" i="1"/>
  <c r="I303" i="1"/>
  <c r="I335" i="1"/>
  <c r="I375" i="1"/>
  <c r="I256" i="1"/>
  <c r="I288" i="1"/>
  <c r="I320" i="1"/>
  <c r="I360" i="1"/>
  <c r="I247" i="1"/>
  <c r="I275" i="1"/>
  <c r="I307" i="1"/>
  <c r="I339" i="1"/>
  <c r="I388" i="1"/>
  <c r="I424" i="1"/>
  <c r="I490" i="1"/>
  <c r="I377" i="1"/>
  <c r="I407" i="1"/>
  <c r="I482" i="1"/>
  <c r="I397" i="1"/>
  <c r="I439" i="1"/>
  <c r="I516" i="1"/>
  <c r="I526" i="1"/>
  <c r="I594" i="1"/>
  <c r="I695" i="1"/>
  <c r="I734" i="1"/>
  <c r="I478" i="1"/>
  <c r="I521" i="1"/>
  <c r="I556" i="1"/>
  <c r="I589" i="1"/>
  <c r="I662" i="1"/>
  <c r="I451" i="1"/>
  <c r="I514" i="1"/>
  <c r="I582" i="1"/>
  <c r="I654" i="1"/>
  <c r="I433" i="1"/>
  <c r="I497" i="1"/>
  <c r="I531" i="1"/>
  <c r="I566" i="1"/>
  <c r="I596" i="1"/>
  <c r="I679" i="1"/>
  <c r="I609" i="1"/>
  <c r="I649" i="1"/>
  <c r="I694" i="1"/>
  <c r="I732" i="1"/>
  <c r="I618" i="1"/>
  <c r="I650" i="1"/>
  <c r="I683" i="1"/>
  <c r="I719" i="1"/>
  <c r="I653" i="1"/>
  <c r="I698" i="1"/>
  <c r="I730" i="1"/>
  <c r="I751" i="1"/>
  <c r="I745" i="1"/>
  <c r="I786" i="1"/>
  <c r="I775" i="1"/>
  <c r="I769" i="1"/>
  <c r="I319" i="1"/>
  <c r="I376" i="1"/>
  <c r="I291" i="1"/>
  <c r="I363" i="1"/>
  <c r="I540" i="1"/>
  <c r="I450" i="1"/>
  <c r="I417" i="1"/>
  <c r="I584" i="1"/>
  <c r="I638" i="1"/>
  <c r="I446" i="1"/>
  <c r="I505" i="1"/>
  <c r="I572" i="1"/>
  <c r="I419" i="1"/>
  <c r="I549" i="1"/>
  <c r="I690" i="1"/>
  <c r="I515" i="1"/>
  <c r="I583" i="1"/>
  <c r="I640" i="1"/>
  <c r="I617" i="1"/>
  <c r="I715" i="1"/>
  <c r="I634" i="1"/>
  <c r="I700" i="1"/>
  <c r="I678" i="1"/>
  <c r="I784" i="1"/>
  <c r="I763" i="1"/>
  <c r="I744" i="1"/>
  <c r="I79" i="1"/>
  <c r="I107" i="1"/>
  <c r="I169" i="1"/>
  <c r="I157" i="1"/>
  <c r="I124" i="1"/>
  <c r="I204" i="1"/>
  <c r="I241" i="1"/>
  <c r="I201" i="1"/>
  <c r="I209" i="1"/>
  <c r="I276" i="1"/>
  <c r="I340" i="1"/>
  <c r="I434" i="1"/>
  <c r="I290" i="1"/>
  <c r="I362" i="1"/>
  <c r="I277" i="1"/>
  <c r="I341" i="1"/>
  <c r="I262" i="1"/>
  <c r="I326" i="1"/>
  <c r="I412" i="1"/>
  <c r="I559" i="1"/>
  <c r="I456" i="1"/>
  <c r="I420" i="1"/>
  <c r="I502" i="1"/>
  <c r="I647" i="1"/>
  <c r="I454" i="1"/>
  <c r="I545" i="1"/>
  <c r="I630" i="1"/>
  <c r="I491" i="1"/>
  <c r="I622" i="1"/>
  <c r="I473" i="1"/>
  <c r="I552" i="1"/>
  <c r="I646" i="1"/>
  <c r="I625" i="1"/>
  <c r="I718" i="1"/>
  <c r="I636" i="1"/>
  <c r="I706" i="1"/>
  <c r="I680" i="1"/>
  <c r="I716" i="1"/>
  <c r="I783" i="1"/>
  <c r="I759" i="1"/>
  <c r="I146" i="1"/>
  <c r="I192" i="1"/>
  <c r="I139" i="1"/>
  <c r="I103" i="1"/>
  <c r="I125" i="1"/>
  <c r="I184" i="1"/>
  <c r="I108" i="1"/>
  <c r="I140" i="1"/>
  <c r="I171" i="1"/>
  <c r="I189" i="1"/>
  <c r="I223" i="1"/>
  <c r="I205" i="1"/>
  <c r="I233" i="1"/>
  <c r="I219" i="1"/>
  <c r="I181" i="1"/>
  <c r="I225" i="1"/>
  <c r="I260" i="1"/>
  <c r="I292" i="1"/>
  <c r="I324" i="1"/>
  <c r="I364" i="1"/>
  <c r="I401" i="1"/>
  <c r="I466" i="1"/>
  <c r="I555" i="1"/>
  <c r="I274" i="1"/>
  <c r="I306" i="1"/>
  <c r="I338" i="1"/>
  <c r="I381" i="1"/>
  <c r="I261" i="1"/>
  <c r="I293" i="1"/>
  <c r="I325" i="1"/>
  <c r="I249" i="1"/>
  <c r="I278" i="1"/>
  <c r="I310" i="1"/>
  <c r="I342" i="1"/>
  <c r="I391" i="1"/>
  <c r="I432" i="1"/>
  <c r="I496" i="1"/>
  <c r="I379" i="1"/>
  <c r="I416" i="1"/>
  <c r="I488" i="1"/>
  <c r="I399" i="1"/>
  <c r="I442" i="1"/>
  <c r="I532" i="1"/>
  <c r="I534" i="1"/>
  <c r="I602" i="1"/>
  <c r="I704" i="1"/>
  <c r="I422" i="1"/>
  <c r="I486" i="1"/>
  <c r="I527" i="1"/>
  <c r="I562" i="1"/>
  <c r="I600" i="1"/>
  <c r="I671" i="1"/>
  <c r="I459" i="1"/>
  <c r="I522" i="1"/>
  <c r="I590" i="1"/>
  <c r="I663" i="1"/>
  <c r="I441" i="1"/>
  <c r="I501" i="1"/>
  <c r="I533" i="1"/>
  <c r="I568" i="1"/>
  <c r="I604" i="1"/>
  <c r="I595" i="1"/>
  <c r="I611" i="1"/>
  <c r="I657" i="1"/>
  <c r="I696" i="1"/>
  <c r="I738" i="1"/>
  <c r="I620" i="1"/>
  <c r="I652" i="1"/>
  <c r="I686" i="1"/>
  <c r="I723" i="1"/>
  <c r="I661" i="1"/>
  <c r="I701" i="1"/>
  <c r="I733" i="1"/>
  <c r="I756" i="1"/>
  <c r="I747" i="1"/>
  <c r="I741" i="1"/>
  <c r="I782" i="1"/>
  <c r="I771" i="1"/>
  <c r="I80" i="1"/>
  <c r="I91" i="1"/>
  <c r="I155" i="1"/>
  <c r="I138" i="1"/>
  <c r="I149" i="1"/>
  <c r="I89" i="1"/>
  <c r="I121" i="1"/>
  <c r="I153" i="1"/>
  <c r="I196" i="1"/>
  <c r="I198" i="1"/>
  <c r="I236" i="1"/>
  <c r="I216" i="1"/>
  <c r="I199" i="1"/>
  <c r="I231" i="1"/>
  <c r="I202" i="1"/>
  <c r="I238" i="1"/>
  <c r="I273" i="1"/>
  <c r="I305" i="1"/>
  <c r="I337" i="1"/>
  <c r="I380" i="1"/>
  <c r="I431" i="1"/>
  <c r="I495" i="1"/>
  <c r="I255" i="1"/>
  <c r="I287" i="1"/>
  <c r="I359" i="1"/>
  <c r="I414" i="1"/>
  <c r="I272" i="1"/>
  <c r="I304" i="1"/>
  <c r="I336" i="1"/>
  <c r="I259" i="1"/>
  <c r="I323" i="1"/>
  <c r="I409" i="1"/>
  <c r="I458" i="1"/>
  <c r="I393" i="1"/>
  <c r="I547" i="1"/>
  <c r="I471" i="1"/>
  <c r="I561" i="1"/>
  <c r="I717" i="1"/>
  <c r="I537" i="1"/>
  <c r="I624" i="1"/>
  <c r="I483" i="1"/>
  <c r="I614" i="1"/>
  <c r="I465" i="1"/>
  <c r="I550" i="1"/>
  <c r="I601" i="1"/>
  <c r="I676" i="1"/>
  <c r="I762" i="1"/>
  <c r="I666" i="1"/>
  <c r="I621" i="1"/>
  <c r="I713" i="1"/>
  <c r="I772" i="1"/>
  <c r="I757" i="1"/>
  <c r="I112" i="1"/>
  <c r="I167" i="1"/>
  <c r="I92" i="1"/>
  <c r="I156" i="1"/>
  <c r="I207" i="1"/>
  <c r="I221" i="1"/>
  <c r="I234" i="1"/>
  <c r="I246" i="1"/>
  <c r="I308" i="1"/>
  <c r="I383" i="1"/>
  <c r="I498" i="1"/>
  <c r="I258" i="1"/>
  <c r="I322" i="1"/>
  <c r="I423" i="1"/>
  <c r="I309" i="1"/>
  <c r="I382" i="1"/>
  <c r="I294" i="1"/>
  <c r="I366" i="1"/>
  <c r="I464" i="1"/>
  <c r="I396" i="1"/>
  <c r="I563" i="1"/>
  <c r="I474" i="1"/>
  <c r="I569" i="1"/>
  <c r="I721" i="1"/>
  <c r="I511" i="1"/>
  <c r="I578" i="1"/>
  <c r="I427" i="1"/>
  <c r="I557" i="1"/>
  <c r="I693" i="1"/>
  <c r="I517" i="1"/>
  <c r="I585" i="1"/>
  <c r="I603" i="1"/>
  <c r="I682" i="1"/>
  <c r="I770" i="1"/>
  <c r="I668" i="1"/>
  <c r="I629" i="1"/>
  <c r="I735" i="1"/>
  <c r="I768" i="1"/>
  <c r="I753" i="1"/>
  <c r="I1169" i="1"/>
  <c r="I1153" i="1"/>
  <c r="I1137" i="1"/>
  <c r="I1157" i="1"/>
  <c r="I1141" i="1"/>
  <c r="I1161" i="1"/>
  <c r="I1145" i="1"/>
  <c r="I1040" i="1"/>
  <c r="I1032" i="1"/>
  <c r="I1024" i="1"/>
  <c r="I1165" i="1"/>
  <c r="I1149" i="1"/>
  <c r="I1099" i="1"/>
  <c r="I1091" i="1"/>
  <c r="I1084" i="1"/>
  <c r="I1071" i="1"/>
  <c r="I1063" i="1"/>
  <c r="I1056" i="1"/>
  <c r="I1048" i="1"/>
  <c r="I957" i="1"/>
  <c r="I1012" i="1"/>
  <c r="I964" i="1"/>
  <c r="I983" i="1"/>
  <c r="I1010" i="1"/>
  <c r="I979" i="1"/>
  <c r="I952" i="1"/>
  <c r="I968" i="1"/>
  <c r="I992" i="1"/>
  <c r="I1036" i="1"/>
  <c r="I1095" i="1"/>
  <c r="I982" i="1"/>
  <c r="I966" i="1"/>
  <c r="I978" i="1"/>
  <c r="I1006" i="1"/>
  <c r="I1045" i="1"/>
  <c r="I1060" i="1"/>
  <c r="I1075" i="1"/>
  <c r="I1088" i="1"/>
  <c r="I1103" i="1"/>
  <c r="I1134" i="1"/>
  <c r="I1176" i="1"/>
  <c r="I1061" i="1"/>
  <c r="I1089" i="1"/>
  <c r="I1106" i="1"/>
  <c r="I1121" i="1"/>
  <c r="I1025" i="1"/>
  <c r="I1041" i="1"/>
  <c r="I1057" i="1"/>
  <c r="I1072" i="1"/>
  <c r="I1085" i="1"/>
  <c r="I1100" i="1"/>
  <c r="I1130" i="1"/>
  <c r="I1029" i="1"/>
  <c r="I987" i="1"/>
  <c r="I995" i="1"/>
  <c r="I1003" i="1"/>
  <c r="I1011" i="1"/>
  <c r="I1018" i="1"/>
  <c r="I1026" i="1"/>
  <c r="I1058" i="1"/>
  <c r="I1086" i="1"/>
  <c r="I1110" i="1"/>
  <c r="I1125" i="1"/>
  <c r="I1154" i="1"/>
  <c r="I1155" i="1"/>
  <c r="I1174" i="1"/>
  <c r="I1112" i="1"/>
  <c r="I1127" i="1"/>
  <c r="I1146" i="1"/>
  <c r="I1167" i="1"/>
  <c r="I1140" i="1"/>
  <c r="I1158" i="1"/>
  <c r="I1183" i="1"/>
  <c r="I1113" i="1"/>
  <c r="I1139" i="1"/>
  <c r="I1164" i="1"/>
  <c r="I1131" i="1"/>
  <c r="I1172" i="1"/>
  <c r="I1142" i="1"/>
  <c r="I1160" i="1"/>
  <c r="I1147" i="1"/>
  <c r="I988" i="1"/>
  <c r="I1002" i="1"/>
  <c r="I960" i="1"/>
  <c r="I984" i="1"/>
  <c r="I973" i="1"/>
  <c r="I959" i="1"/>
  <c r="I1043" i="1"/>
  <c r="I1054" i="1"/>
  <c r="I1104" i="1"/>
  <c r="I1132" i="1"/>
  <c r="I1055" i="1"/>
  <c r="I1027" i="1"/>
  <c r="I985" i="1"/>
  <c r="I1009" i="1"/>
  <c r="I1030" i="1"/>
  <c r="I1079" i="1"/>
  <c r="I1120" i="1"/>
  <c r="I1171" i="1"/>
  <c r="I1144" i="1"/>
  <c r="I1162" i="1"/>
  <c r="I1178" i="1"/>
  <c r="I963" i="1"/>
  <c r="I967" i="1"/>
  <c r="I986" i="1"/>
  <c r="I1004" i="1"/>
  <c r="I955" i="1"/>
  <c r="I971" i="1"/>
  <c r="I1000" i="1"/>
  <c r="I1052" i="1"/>
  <c r="I954" i="1"/>
  <c r="I996" i="1"/>
  <c r="I953" i="1"/>
  <c r="I969" i="1"/>
  <c r="I981" i="1"/>
  <c r="I1014" i="1"/>
  <c r="I1051" i="1"/>
  <c r="I1066" i="1"/>
  <c r="I1080" i="1"/>
  <c r="I1094" i="1"/>
  <c r="I1111" i="1"/>
  <c r="I1152" i="1"/>
  <c r="I1181" i="1"/>
  <c r="I1069" i="1"/>
  <c r="I1097" i="1"/>
  <c r="I1109" i="1"/>
  <c r="I1124" i="1"/>
  <c r="I1168" i="1"/>
  <c r="I1031" i="1"/>
  <c r="I1047" i="1"/>
  <c r="I1062" i="1"/>
  <c r="I1077" i="1"/>
  <c r="I1090" i="1"/>
  <c r="I1107" i="1"/>
  <c r="I1138" i="1"/>
  <c r="I1035" i="1"/>
  <c r="I989" i="1"/>
  <c r="I997" i="1"/>
  <c r="I1005" i="1"/>
  <c r="I1013" i="1"/>
  <c r="I1020" i="1"/>
  <c r="I1034" i="1"/>
  <c r="I1065" i="1"/>
  <c r="I1093" i="1"/>
  <c r="I1128" i="1"/>
  <c r="I1179" i="1"/>
  <c r="I1151" i="1"/>
  <c r="I1163" i="1"/>
  <c r="I961" i="1"/>
  <c r="I965" i="1"/>
  <c r="I1081" i="1"/>
  <c r="I975" i="1"/>
  <c r="I1074" i="1"/>
  <c r="I1126" i="1"/>
  <c r="I1116" i="1"/>
  <c r="I1039" i="1"/>
  <c r="I1098" i="1"/>
  <c r="I993" i="1"/>
  <c r="I1050" i="1"/>
  <c r="I1136" i="1"/>
  <c r="I1123" i="1"/>
  <c r="I1156" i="1"/>
  <c r="I976" i="1"/>
  <c r="I958" i="1"/>
  <c r="I974" i="1"/>
  <c r="I994" i="1"/>
  <c r="I1105" i="1"/>
  <c r="I1028" i="1"/>
  <c r="I962" i="1"/>
  <c r="I977" i="1"/>
  <c r="I1008" i="1"/>
  <c r="I1067" i="1"/>
  <c r="I970" i="1"/>
  <c r="I1019" i="1"/>
  <c r="I956" i="1"/>
  <c r="I972" i="1"/>
  <c r="I990" i="1"/>
  <c r="I1021" i="1"/>
  <c r="I1053" i="1"/>
  <c r="I1068" i="1"/>
  <c r="I1082" i="1"/>
  <c r="I1096" i="1"/>
  <c r="I1118" i="1"/>
  <c r="I1170" i="1"/>
  <c r="I1046" i="1"/>
  <c r="I1076" i="1"/>
  <c r="I1101" i="1"/>
  <c r="I1114" i="1"/>
  <c r="I1129" i="1"/>
  <c r="I1038" i="1"/>
  <c r="I1033" i="1"/>
  <c r="I1049" i="1"/>
  <c r="I1064" i="1"/>
  <c r="I1078" i="1"/>
  <c r="I1092" i="1"/>
  <c r="I1115" i="1"/>
  <c r="I1159" i="1"/>
  <c r="I1037" i="1"/>
  <c r="I991" i="1"/>
  <c r="I999" i="1"/>
  <c r="I1007" i="1"/>
  <c r="I1015" i="1"/>
  <c r="I1022" i="1"/>
  <c r="I1042" i="1"/>
  <c r="I1073" i="1"/>
  <c r="I1117" i="1"/>
  <c r="I1133" i="1"/>
  <c r="I1148" i="1"/>
  <c r="I1166" i="1"/>
  <c r="I1182" i="1"/>
  <c r="I1119" i="1"/>
  <c r="I1135" i="1"/>
  <c r="I1177" i="1"/>
  <c r="I1175" i="1"/>
  <c r="I980" i="1"/>
  <c r="I1087" i="1"/>
  <c r="I1016" i="1"/>
  <c r="I1044" i="1"/>
  <c r="I998" i="1"/>
  <c r="I1059" i="1"/>
  <c r="I1173" i="1"/>
  <c r="I1083" i="1"/>
  <c r="I1023" i="1"/>
  <c r="I1070" i="1"/>
  <c r="I1122" i="1"/>
  <c r="I1001" i="1"/>
  <c r="I1017" i="1"/>
  <c r="I1102" i="1"/>
  <c r="I1150" i="1"/>
  <c r="I1108" i="1"/>
  <c r="I1180" i="1"/>
  <c r="I1601" i="1"/>
  <c r="I1553" i="1"/>
  <c r="I1521" i="1"/>
  <c r="I1545" i="1"/>
  <c r="I1513" i="1"/>
  <c r="I1504" i="1"/>
  <c r="I1496" i="1"/>
  <c r="I1609" i="1"/>
  <c r="I1577" i="1"/>
  <c r="I1540" i="1"/>
  <c r="I1529" i="1"/>
  <c r="I1625" i="1"/>
  <c r="I1593" i="1"/>
  <c r="I1556" i="1"/>
  <c r="I1488" i="1"/>
  <c r="I1480" i="1"/>
  <c r="I1617" i="1"/>
  <c r="I1585" i="1"/>
  <c r="I1537" i="1"/>
  <c r="I1524" i="1"/>
  <c r="I1469" i="1"/>
  <c r="I1471" i="1"/>
  <c r="I1464" i="1"/>
  <c r="I1482" i="1"/>
  <c r="I1532" i="1"/>
  <c r="I1501" i="1"/>
  <c r="I1489" i="1"/>
  <c r="I1460" i="1"/>
  <c r="I1481" i="1"/>
  <c r="I1516" i="1"/>
  <c r="I1506" i="1"/>
  <c r="I1538" i="1"/>
  <c r="I1567" i="1"/>
  <c r="I1597" i="1"/>
  <c r="I1502" i="1"/>
  <c r="I1560" i="1"/>
  <c r="I1569" i="1"/>
  <c r="I1594" i="1"/>
  <c r="I1631" i="1"/>
  <c r="I1551" i="1"/>
  <c r="I1570" i="1"/>
  <c r="I1607" i="1"/>
  <c r="I1510" i="1"/>
  <c r="I1519" i="1"/>
  <c r="I1599" i="1"/>
  <c r="I1588" i="1"/>
  <c r="I1615" i="1"/>
  <c r="I1630" i="1"/>
  <c r="I1574" i="1"/>
  <c r="I1590" i="1"/>
  <c r="I1606" i="1"/>
  <c r="I1576" i="1"/>
  <c r="I1608" i="1"/>
  <c r="I1624" i="1"/>
  <c r="I1633" i="1"/>
  <c r="I1614" i="1"/>
  <c r="I1584" i="1"/>
  <c r="I1611" i="1"/>
  <c r="I1622" i="1"/>
  <c r="I1508" i="1"/>
  <c r="I1517" i="1"/>
  <c r="I1461" i="1"/>
  <c r="I1509" i="1"/>
  <c r="I1478" i="1"/>
  <c r="I1591" i="1"/>
  <c r="I1629" i="1"/>
  <c r="I1589" i="1"/>
  <c r="I1581" i="1"/>
  <c r="I1612" i="1"/>
  <c r="I1600" i="1"/>
  <c r="I1619" i="1"/>
  <c r="I1474" i="1"/>
  <c r="I1484" i="1"/>
  <c r="I1466" i="1"/>
  <c r="I1493" i="1"/>
  <c r="I1462" i="1"/>
  <c r="I1549" i="1"/>
  <c r="I1500" i="1"/>
  <c r="I1463" i="1"/>
  <c r="I1492" i="1"/>
  <c r="I1525" i="1"/>
  <c r="I1520" i="1"/>
  <c r="I1552" i="1"/>
  <c r="I1571" i="1"/>
  <c r="I1618" i="1"/>
  <c r="I1528" i="1"/>
  <c r="I1564" i="1"/>
  <c r="I1572" i="1"/>
  <c r="I1605" i="1"/>
  <c r="I1530" i="1"/>
  <c r="I1558" i="1"/>
  <c r="I1575" i="1"/>
  <c r="I1610" i="1"/>
  <c r="I1514" i="1"/>
  <c r="I1526" i="1"/>
  <c r="I1602" i="1"/>
  <c r="I1596" i="1"/>
  <c r="I1620" i="1"/>
  <c r="I1627" i="1"/>
  <c r="I1533" i="1"/>
  <c r="I1473" i="1"/>
  <c r="I1561" i="1"/>
  <c r="I1586" i="1"/>
  <c r="I1568" i="1"/>
  <c r="I1566" i="1"/>
  <c r="I1512" i="1"/>
  <c r="I1536" i="1"/>
  <c r="I1580" i="1"/>
  <c r="I1632" i="1"/>
  <c r="I1490" i="1"/>
  <c r="I1505" i="1"/>
  <c r="I1470" i="1"/>
  <c r="I1498" i="1"/>
  <c r="I1472" i="1"/>
  <c r="I1468" i="1"/>
  <c r="I1548" i="1"/>
  <c r="I1465" i="1"/>
  <c r="I1497" i="1"/>
  <c r="I1535" i="1"/>
  <c r="I1583" i="1"/>
  <c r="I1621" i="1"/>
  <c r="I1542" i="1"/>
  <c r="I1565" i="1"/>
  <c r="I1573" i="1"/>
  <c r="I1626" i="1"/>
  <c r="I1541" i="1"/>
  <c r="I1562" i="1"/>
  <c r="I1578" i="1"/>
  <c r="I1486" i="1"/>
  <c r="I1546" i="1"/>
  <c r="I1522" i="1"/>
  <c r="I1554" i="1"/>
  <c r="I1613" i="1"/>
  <c r="I1604" i="1"/>
  <c r="I1623" i="1"/>
  <c r="I1582" i="1"/>
  <c r="I1598" i="1"/>
  <c r="I1592" i="1"/>
  <c r="I1616" i="1"/>
  <c r="I1477" i="1"/>
  <c r="I1485" i="1"/>
  <c r="I1476" i="1"/>
  <c r="I1557" i="1"/>
  <c r="I1544" i="1"/>
  <c r="I1494" i="1"/>
  <c r="I1628" i="1"/>
  <c r="I1603" i="1"/>
  <c r="I1547" i="1"/>
  <c r="I1467" i="1"/>
  <c r="I1595" i="1"/>
  <c r="I1487" i="1"/>
  <c r="I1563" i="1"/>
  <c r="I1499" i="1"/>
  <c r="I1543" i="1"/>
  <c r="I1475" i="1"/>
  <c r="I1479" i="1"/>
  <c r="I1555" i="1"/>
  <c r="I1515" i="1"/>
  <c r="I1559" i="1"/>
  <c r="I1507" i="1"/>
  <c r="I1587" i="1"/>
  <c r="I1579" i="1"/>
  <c r="I1523" i="1"/>
  <c r="I1503" i="1"/>
  <c r="I1483" i="1"/>
  <c r="I1527" i="1"/>
  <c r="I1550" i="1"/>
  <c r="I1491" i="1"/>
  <c r="I1539" i="1"/>
  <c r="I1511" i="1"/>
  <c r="I1534" i="1"/>
  <c r="I1495" i="1"/>
  <c r="I1518" i="1"/>
  <c r="I1531" i="1"/>
  <c r="I14" i="1"/>
  <c r="E9" i="17419"/>
  <c r="I1858" i="1"/>
  <c r="I1457" i="1"/>
  <c r="I951" i="1"/>
  <c r="I15" i="1"/>
  <c r="I1908" i="1"/>
  <c r="I1915" i="1"/>
  <c r="I1868" i="1"/>
  <c r="I1849" i="1"/>
  <c r="I1882" i="1"/>
  <c r="I1688" i="1"/>
  <c r="I1665" i="1"/>
  <c r="I1737" i="1"/>
  <c r="I1702" i="1"/>
  <c r="I1850" i="1"/>
  <c r="I1729" i="1"/>
  <c r="I1824" i="1"/>
  <c r="I1684" i="1"/>
  <c r="I1886" i="1"/>
  <c r="I1874" i="1"/>
  <c r="I1823" i="1"/>
  <c r="I1813" i="1"/>
  <c r="I23" i="1"/>
  <c r="I1879" i="1"/>
  <c r="I1723" i="1"/>
  <c r="I1878" i="1"/>
  <c r="I1866" i="1"/>
  <c r="I1675" i="1"/>
  <c r="I1871" i="1"/>
  <c r="I1887" i="1"/>
  <c r="I1692" i="1"/>
  <c r="I1686" i="1"/>
  <c r="I1851" i="1"/>
  <c r="I1778" i="1"/>
  <c r="I1458" i="1"/>
  <c r="I1731" i="1"/>
  <c r="I1725" i="1"/>
  <c r="I1810" i="1"/>
  <c r="I1875" i="1"/>
  <c r="I1841" i="1"/>
  <c r="I1712" i="1"/>
  <c r="I13" i="1"/>
  <c r="I16" i="1"/>
  <c r="I1808" i="1"/>
  <c r="I1825" i="1"/>
  <c r="I1872" i="1"/>
  <c r="I1682" i="1"/>
  <c r="I1689" i="1"/>
  <c r="I1798" i="1"/>
  <c r="I1717" i="1"/>
  <c r="I1753" i="1"/>
  <c r="I1735" i="1"/>
  <c r="I1791" i="1"/>
  <c r="I1891" i="1"/>
  <c r="I1817" i="1"/>
  <c r="I1884" i="1"/>
  <c r="I76" i="1"/>
  <c r="I1453" i="1"/>
  <c r="I22" i="1"/>
  <c r="I6" i="1"/>
  <c r="I1762" i="1"/>
  <c r="I1859" i="1"/>
  <c r="I1861" i="1"/>
  <c r="I1772" i="1"/>
  <c r="I1770" i="1"/>
  <c r="I1677" i="1"/>
  <c r="I1724" i="1"/>
  <c r="I1749" i="1"/>
  <c r="I1718" i="1"/>
  <c r="I1758" i="1"/>
  <c r="I1663" i="1"/>
  <c r="I1757" i="1"/>
  <c r="I1721" i="1"/>
  <c r="I1756" i="1"/>
  <c r="I1683" i="1"/>
  <c r="I950" i="1"/>
  <c r="I17" i="1"/>
  <c r="I1701" i="1"/>
  <c r="I1865" i="1"/>
  <c r="I1864" i="1"/>
  <c r="I1877" i="1"/>
  <c r="I1869" i="1"/>
  <c r="I1827" i="1"/>
  <c r="I1739" i="1"/>
  <c r="I1674" i="1"/>
  <c r="I1820" i="1"/>
  <c r="I1816" i="1"/>
  <c r="I1742" i="1"/>
  <c r="I1648" i="1"/>
  <c r="I1681" i="1"/>
  <c r="I1893" i="1"/>
  <c r="I1815" i="1"/>
  <c r="I1843" i="1"/>
  <c r="I1459" i="1"/>
  <c r="I19" i="1"/>
  <c r="I8" i="1"/>
  <c r="I1917" i="1"/>
  <c r="I1918" i="1"/>
  <c r="I1833" i="1"/>
  <c r="I1840" i="1"/>
  <c r="I1699" i="1"/>
  <c r="I1764" i="1"/>
  <c r="I1669" i="1"/>
  <c r="I1845" i="1"/>
  <c r="I1818" i="1"/>
  <c r="I1650" i="1"/>
  <c r="I1766" i="1"/>
  <c r="I1822" i="1"/>
  <c r="I1857" i="1"/>
  <c r="I1811" i="1"/>
  <c r="I1821" i="1"/>
  <c r="I1659" i="1"/>
  <c r="I2" i="1"/>
  <c r="I1790" i="1"/>
  <c r="I75" i="1"/>
  <c r="I10" i="1"/>
  <c r="I1835" i="1"/>
  <c r="I1691" i="1"/>
  <c r="I1746" i="1"/>
  <c r="I1711" i="1"/>
  <c r="I1789" i="1"/>
  <c r="I1707" i="1"/>
  <c r="I1722" i="1"/>
  <c r="I1876" i="1"/>
  <c r="I1855" i="1"/>
  <c r="I1883" i="1"/>
  <c r="I1667" i="1"/>
  <c r="I1690" i="1"/>
  <c r="I1714" i="1"/>
  <c r="I1709" i="1"/>
  <c r="I1894" i="1"/>
  <c r="I1716" i="1"/>
  <c r="I1781" i="1"/>
  <c r="I1452" i="1"/>
  <c r="I1775" i="1"/>
  <c r="I1783" i="1"/>
  <c r="I1856" i="1"/>
  <c r="I1696" i="1"/>
  <c r="I1842" i="1"/>
  <c r="I1773" i="1"/>
  <c r="I1697" i="1"/>
  <c r="I1779" i="1"/>
  <c r="I1792" i="1"/>
  <c r="I11" i="1"/>
  <c r="I24" i="1"/>
  <c r="I1774" i="1"/>
  <c r="I1763" i="1"/>
  <c r="I1668" i="1"/>
  <c r="I1830" i="1"/>
  <c r="I1804" i="1"/>
  <c r="I1780" i="1"/>
  <c r="I1846" i="1"/>
  <c r="I1455" i="1"/>
  <c r="I1907" i="1"/>
  <c r="I1745" i="1"/>
  <c r="I1867" i="1"/>
  <c r="I1693" i="1"/>
  <c r="I1844" i="1"/>
  <c r="I1705" i="1"/>
  <c r="I1694" i="1"/>
  <c r="I1645" i="1"/>
  <c r="I1839" i="1"/>
  <c r="I1769" i="1"/>
  <c r="I1700" i="1"/>
  <c r="I1658" i="1"/>
  <c r="I1898" i="1"/>
  <c r="I1698" i="1"/>
  <c r="I1759" i="1"/>
  <c r="I1456" i="1"/>
  <c r="I1802" i="1"/>
  <c r="I1854" i="1"/>
  <c r="I7" i="1"/>
  <c r="I1906" i="1"/>
  <c r="I1912" i="1"/>
  <c r="I1836" i="1"/>
  <c r="I1881" i="1"/>
  <c r="I1761" i="1"/>
  <c r="I1776" i="1"/>
  <c r="I1743" i="1"/>
  <c r="I1649" i="1"/>
  <c r="I1656" i="1"/>
  <c r="I1704" i="1"/>
  <c r="I1750" i="1"/>
  <c r="I1727" i="1"/>
  <c r="I1890" i="1"/>
  <c r="I1803" i="1"/>
  <c r="I1838" i="1"/>
  <c r="I25" i="1"/>
  <c r="I1805" i="1"/>
  <c r="I30" i="1"/>
  <c r="I32" i="1"/>
  <c r="I36" i="1"/>
  <c r="I41" i="1"/>
  <c r="I45" i="1"/>
  <c r="I49" i="1"/>
  <c r="I53" i="1"/>
  <c r="I57" i="1"/>
  <c r="I61" i="1"/>
  <c r="I65" i="1"/>
  <c r="I69" i="1"/>
  <c r="I21" i="1"/>
  <c r="I1799" i="1"/>
  <c r="I1870" i="1"/>
  <c r="I1828" i="1"/>
  <c r="I1673" i="1"/>
  <c r="I1744" i="1"/>
  <c r="I1733" i="1"/>
  <c r="I1819" i="1"/>
  <c r="I1760" i="1"/>
  <c r="I1782" i="1"/>
  <c r="I1899" i="1"/>
  <c r="I1657" i="1"/>
  <c r="I1666" i="1"/>
  <c r="I77" i="1"/>
  <c r="I12" i="1"/>
  <c r="I1916" i="1"/>
  <c r="I1794" i="1"/>
  <c r="I1671" i="1"/>
  <c r="I1713" i="1"/>
  <c r="I1765" i="1"/>
  <c r="I1755" i="1"/>
  <c r="I1651" i="1"/>
  <c r="I1905" i="1"/>
  <c r="I1911" i="1"/>
  <c r="I1847" i="1"/>
  <c r="I1676" i="1"/>
  <c r="I1768" i="1"/>
  <c r="I1679" i="1"/>
  <c r="I1863" i="1"/>
  <c r="I1662" i="1"/>
  <c r="I1738" i="1"/>
  <c r="I1751" i="1"/>
  <c r="I1730" i="1"/>
  <c r="I1732" i="1"/>
  <c r="I1834" i="1"/>
  <c r="I1904" i="1"/>
  <c r="I1736" i="1"/>
  <c r="I1720" i="1"/>
  <c r="I1873" i="1"/>
  <c r="I1784" i="1"/>
  <c r="I1787" i="1"/>
  <c r="I1797" i="1"/>
  <c r="I1795" i="1"/>
  <c r="I29" i="1"/>
  <c r="I34" i="1"/>
  <c r="I38" i="1"/>
  <c r="I42" i="1"/>
  <c r="I46" i="1"/>
  <c r="I50" i="1"/>
  <c r="I54" i="1"/>
  <c r="I58" i="1"/>
  <c r="I62" i="1"/>
  <c r="I67" i="1"/>
  <c r="I70" i="1"/>
  <c r="I1910" i="1"/>
  <c r="I1680" i="1"/>
  <c r="I1903" i="1"/>
  <c r="I1685" i="1"/>
  <c r="I1889" i="1"/>
  <c r="I1807" i="1"/>
  <c r="I1703" i="1"/>
  <c r="I1862" i="1"/>
  <c r="I1913" i="1"/>
  <c r="I1885" i="1"/>
  <c r="I1655" i="1"/>
  <c r="I1786" i="1"/>
  <c r="I1653" i="1"/>
  <c r="I1888" i="1"/>
  <c r="I1647" i="1"/>
  <c r="I47" i="1"/>
  <c r="I59" i="1"/>
  <c r="I66" i="1"/>
  <c r="I1902" i="1"/>
  <c r="I1646" i="1"/>
  <c r="I1788" i="1"/>
  <c r="I1454" i="1"/>
  <c r="I1826" i="1"/>
  <c r="I1719" i="1"/>
  <c r="I1726" i="1"/>
  <c r="I1767" i="1"/>
  <c r="I1800" i="1"/>
  <c r="I1740" i="1"/>
  <c r="I1806" i="1"/>
  <c r="I1660" i="1"/>
  <c r="I31" i="1"/>
  <c r="I43" i="1"/>
  <c r="I55" i="1"/>
  <c r="I1687" i="1"/>
  <c r="I1644" i="1"/>
  <c r="I1793" i="1"/>
  <c r="I1752" i="1"/>
  <c r="I1715" i="1"/>
  <c r="I1754" i="1"/>
  <c r="I18" i="1"/>
  <c r="I9" i="1"/>
  <c r="I1785" i="1"/>
  <c r="I1914" i="1"/>
  <c r="I1896" i="1"/>
  <c r="I1672" i="1"/>
  <c r="I1831" i="1"/>
  <c r="I1741" i="1"/>
  <c r="I1748" i="1"/>
  <c r="I1892" i="1"/>
  <c r="I1848" i="1"/>
  <c r="I1777" i="1"/>
  <c r="I1832" i="1"/>
  <c r="I1710" i="1"/>
  <c r="I1771" i="1"/>
  <c r="I1909" i="1"/>
  <c r="I1897" i="1"/>
  <c r="I1796" i="1"/>
  <c r="I1801" i="1"/>
  <c r="I1654" i="1"/>
  <c r="I1678" i="1"/>
  <c r="I1661" i="1"/>
  <c r="I1900" i="1"/>
  <c r="I1814" i="1"/>
  <c r="I1837" i="1"/>
  <c r="I1695" i="1"/>
  <c r="I1895" i="1"/>
  <c r="I1652" i="1"/>
  <c r="I1809" i="1"/>
  <c r="I1708" i="1"/>
  <c r="I1664" i="1"/>
  <c r="I1812" i="1"/>
  <c r="I27" i="1"/>
  <c r="I28" i="1"/>
  <c r="I33" i="1"/>
  <c r="I37" i="1"/>
  <c r="I40" i="1"/>
  <c r="I44" i="1"/>
  <c r="I48" i="1"/>
  <c r="I52" i="1"/>
  <c r="I56" i="1"/>
  <c r="I60" i="1"/>
  <c r="I64" i="1"/>
  <c r="I68" i="1"/>
  <c r="I1728" i="1"/>
  <c r="I20" i="1"/>
  <c r="I1829" i="1"/>
  <c r="I1901" i="1"/>
  <c r="I1880" i="1"/>
  <c r="I1706" i="1"/>
  <c r="I1860" i="1"/>
  <c r="I1670" i="1"/>
  <c r="I1747" i="1"/>
  <c r="I1734" i="1"/>
  <c r="I1852" i="1"/>
  <c r="I1853" i="1"/>
  <c r="I26" i="1"/>
  <c r="I35" i="1"/>
  <c r="I39" i="1"/>
  <c r="I51" i="1"/>
  <c r="I63" i="1"/>
  <c r="I72" i="1"/>
  <c r="I71" i="1"/>
  <c r="I73" i="1"/>
  <c r="I74" i="1"/>
  <c r="G25" i="17413" l="1"/>
  <c r="F25" i="17413" s="1"/>
  <c r="F24" i="17419"/>
  <c r="F20" i="17419"/>
  <c r="F25" i="17419"/>
  <c r="F21" i="17419"/>
  <c r="F23" i="17419"/>
  <c r="F22" i="17419" s="1"/>
  <c r="F19" i="17419"/>
  <c r="F16" i="17419"/>
  <c r="F11" i="17419"/>
  <c r="F15" i="17419"/>
  <c r="E36" i="17419"/>
  <c r="F10" i="17419"/>
  <c r="F14" i="17419"/>
  <c r="F26" i="17419"/>
  <c r="F12" i="17419"/>
  <c r="M29" i="8"/>
  <c r="G8" i="17413" l="1"/>
  <c r="G47" i="17413" s="1"/>
  <c r="H41" i="17413" s="1"/>
  <c r="F13" i="17419"/>
  <c r="F46" i="17419"/>
  <c r="F48" i="17419"/>
  <c r="F50" i="17419"/>
  <c r="F47" i="17419"/>
  <c r="F49" i="17419"/>
  <c r="F51" i="17419"/>
  <c r="F44" i="17419"/>
  <c r="F52" i="17419"/>
  <c r="F45" i="17419"/>
  <c r="E34" i="17419"/>
  <c r="F53" i="17419"/>
  <c r="E33" i="17419"/>
  <c r="F43" i="17419"/>
  <c r="E32" i="17419"/>
  <c r="H34" i="17413" l="1"/>
  <c r="H11" i="17413"/>
  <c r="H44" i="17413"/>
  <c r="H15" i="17413"/>
  <c r="H24" i="17413"/>
  <c r="H13" i="17413"/>
  <c r="H14" i="17413"/>
  <c r="H10" i="17413"/>
  <c r="H31" i="17413"/>
  <c r="H40" i="17413"/>
  <c r="H33" i="17413"/>
  <c r="H30" i="17413"/>
  <c r="H27" i="17413"/>
  <c r="H28" i="17413"/>
  <c r="H32" i="17413"/>
  <c r="H25" i="17413"/>
  <c r="H35" i="17413"/>
  <c r="H45" i="17413"/>
  <c r="H26" i="17413"/>
  <c r="H39" i="17413"/>
  <c r="H12" i="17413"/>
  <c r="H29" i="17413"/>
  <c r="F59" i="17419"/>
  <c r="E31" i="17419"/>
  <c r="AG84" i="17419"/>
  <c r="EQ28" i="17418" l="1"/>
  <c r="AY28" i="17418"/>
  <c r="IV28" i="17418"/>
  <c r="AN28" i="17418"/>
  <c r="BM63" i="17418"/>
  <c r="AE26" i="17419" l="1"/>
  <c r="AE15" i="17419"/>
  <c r="AE14" i="17419"/>
  <c r="AE24" i="17419"/>
  <c r="AE23" i="17419"/>
  <c r="CT28" i="17418"/>
  <c r="IK28" i="17418"/>
  <c r="KH28" i="17418"/>
  <c r="GY28" i="17418"/>
  <c r="GN28" i="17418"/>
  <c r="AY63" i="17418"/>
  <c r="DE28" i="17418"/>
  <c r="FV28" i="17418"/>
  <c r="JP28" i="17418"/>
  <c r="AL28" i="17418"/>
  <c r="AL63" i="17418" s="1"/>
  <c r="GL28" i="17418"/>
  <c r="KF28" i="17418"/>
  <c r="HE28" i="17418"/>
  <c r="KY28" i="17418"/>
  <c r="JR28" i="17418"/>
  <c r="FX28" i="17418"/>
  <c r="HJ28" i="17418"/>
  <c r="LD28" i="17418"/>
  <c r="KJ28" i="17418"/>
  <c r="GP28" i="17418"/>
  <c r="GD28" i="17418"/>
  <c r="JX28" i="17418"/>
  <c r="HA28" i="17418"/>
  <c r="KU28" i="17418"/>
  <c r="FS28" i="17418"/>
  <c r="JM28" i="17418"/>
  <c r="GK28" i="17418"/>
  <c r="KE28" i="17418"/>
  <c r="Q28" i="17418"/>
  <c r="FQ28" i="17418"/>
  <c r="JK28" i="17418"/>
  <c r="BI28" i="17418"/>
  <c r="BI63" i="17418" s="1"/>
  <c r="HI28" i="17418"/>
  <c r="LC28" i="17418"/>
  <c r="BK28" i="17418"/>
  <c r="BK63" i="17418" s="1"/>
  <c r="HK28" i="17418"/>
  <c r="LE28" i="17418"/>
  <c r="FT28" i="17418"/>
  <c r="JN28" i="17418"/>
  <c r="GX28" i="17418"/>
  <c r="KR28" i="17418"/>
  <c r="GE28" i="17418"/>
  <c r="JY28" i="17418"/>
  <c r="AH28" i="17418"/>
  <c r="AH63" i="17418" s="1"/>
  <c r="GH28" i="17418"/>
  <c r="KB28" i="17418"/>
  <c r="GI28" i="17418"/>
  <c r="KC28" i="17418"/>
  <c r="AS28" i="17418"/>
  <c r="GS28" i="17418"/>
  <c r="KM28" i="17418"/>
  <c r="GG28" i="17418"/>
  <c r="KA28" i="17418"/>
  <c r="GJ28" i="17418"/>
  <c r="KD28" i="17418"/>
  <c r="HF28" i="17418"/>
  <c r="KZ28" i="17418"/>
  <c r="KV28" i="17418"/>
  <c r="HB28" i="17418"/>
  <c r="GZ28" i="17418"/>
  <c r="KT28" i="17418"/>
  <c r="AO28" i="17418"/>
  <c r="AO63" i="17418" s="1"/>
  <c r="GO28" i="17418"/>
  <c r="KI28" i="17418"/>
  <c r="W28" i="17418"/>
  <c r="FW28" i="17418"/>
  <c r="JQ28" i="17418"/>
  <c r="AA28" i="17418"/>
  <c r="AA63" i="17418" s="1"/>
  <c r="GA28" i="17418"/>
  <c r="JU28" i="17418"/>
  <c r="BL28" i="17418"/>
  <c r="HL28" i="17418"/>
  <c r="LF28" i="17418"/>
  <c r="FU28" i="17418"/>
  <c r="JO28" i="17418"/>
  <c r="AR28" i="17418"/>
  <c r="GR28" i="17418"/>
  <c r="KL28" i="17418"/>
  <c r="AV28" i="17418"/>
  <c r="AV63" i="17418" s="1"/>
  <c r="GV28" i="17418"/>
  <c r="KP28" i="17418"/>
  <c r="BD28" i="17418"/>
  <c r="BD63" i="17418" s="1"/>
  <c r="HD28" i="17418"/>
  <c r="KX28" i="17418"/>
  <c r="GB28" i="17418"/>
  <c r="JV28" i="17418"/>
  <c r="GT28" i="17418"/>
  <c r="KN28" i="17418"/>
  <c r="BH28" i="17418"/>
  <c r="HH28" i="17418"/>
  <c r="LB28" i="17418"/>
  <c r="AQ28" i="17418"/>
  <c r="AQ63" i="17418" s="1"/>
  <c r="GQ28" i="17418"/>
  <c r="KK28" i="17418"/>
  <c r="GC28" i="17418"/>
  <c r="JW28" i="17418"/>
  <c r="FY28" i="17418"/>
  <c r="JS28" i="17418"/>
  <c r="HC28" i="17418"/>
  <c r="KW28" i="17418"/>
  <c r="FZ28" i="17418"/>
  <c r="JT28" i="17418"/>
  <c r="AW28" i="17418"/>
  <c r="AW63" i="17418" s="1"/>
  <c r="GW28" i="17418"/>
  <c r="KQ28" i="17418"/>
  <c r="BG28" i="17418"/>
  <c r="HG28" i="17418"/>
  <c r="LA28" i="17418"/>
  <c r="FR28" i="17418"/>
  <c r="JL28" i="17418"/>
  <c r="AF28" i="17418"/>
  <c r="AF63" i="17418" s="1"/>
  <c r="GF28" i="17418"/>
  <c r="JZ28" i="17418"/>
  <c r="AU28" i="17418"/>
  <c r="AU63" i="17418" s="1"/>
  <c r="GU28" i="17418"/>
  <c r="KO28" i="17418"/>
  <c r="KG28" i="17418"/>
  <c r="GM28" i="17418"/>
  <c r="FB28" i="17418"/>
  <c r="KS28" i="17418"/>
  <c r="DY28" i="17418"/>
  <c r="HS28" i="17418"/>
  <c r="CB28" i="17418"/>
  <c r="V28" i="17418"/>
  <c r="FH28" i="17418"/>
  <c r="DK28" i="17418"/>
  <c r="JB28" i="17418"/>
  <c r="JG28" i="17418"/>
  <c r="BA80" i="17419" s="1"/>
  <c r="DP28" i="17418"/>
  <c r="FM28" i="17418"/>
  <c r="IA28" i="17418"/>
  <c r="EG28" i="17418"/>
  <c r="CJ28" i="17418"/>
  <c r="IX28" i="17418"/>
  <c r="FD28" i="17418"/>
  <c r="DG28" i="17418"/>
  <c r="HP28" i="17418"/>
  <c r="DV28" i="17418"/>
  <c r="BY28" i="17418"/>
  <c r="CQ28" i="17418"/>
  <c r="IH28" i="17418"/>
  <c r="EN28" i="17418"/>
  <c r="CS28" i="17418"/>
  <c r="EP28" i="17418"/>
  <c r="IJ28" i="17418"/>
  <c r="BE28" i="17418"/>
  <c r="BE63" i="17418" s="1"/>
  <c r="AD28" i="17418"/>
  <c r="AK28" i="17418"/>
  <c r="AK63" i="17418" s="1"/>
  <c r="BA28" i="17418"/>
  <c r="BJ28" i="17418"/>
  <c r="BJ63" i="17418" s="1"/>
  <c r="S28" i="17418"/>
  <c r="S63" i="17418" s="1"/>
  <c r="HQ28" i="17418"/>
  <c r="DW28" i="17418"/>
  <c r="BZ28" i="17418"/>
  <c r="IU28" i="17418"/>
  <c r="AO80" i="17419" s="1"/>
  <c r="DD28" i="17418"/>
  <c r="FA28" i="17418"/>
  <c r="AX28" i="17418"/>
  <c r="AX63" i="17418" s="1"/>
  <c r="EH28" i="17418"/>
  <c r="IB28" i="17418"/>
  <c r="CK28" i="17418"/>
  <c r="IF28" i="17418"/>
  <c r="EL28" i="17418"/>
  <c r="CO28" i="17418"/>
  <c r="ID28" i="17418"/>
  <c r="EJ28" i="17418"/>
  <c r="CM28" i="17418"/>
  <c r="DL28" i="17418"/>
  <c r="FI28" i="17418"/>
  <c r="JC28" i="17418"/>
  <c r="AW80" i="17419" s="1"/>
  <c r="BF28" i="17418"/>
  <c r="FC28" i="17418"/>
  <c r="IW28" i="17418"/>
  <c r="AQ80" i="17419" s="1"/>
  <c r="DF28" i="17418"/>
  <c r="DZ28" i="17418"/>
  <c r="CC28" i="17418"/>
  <c r="HT28" i="17418"/>
  <c r="HR28" i="17418"/>
  <c r="DX28" i="17418"/>
  <c r="CA28" i="17418"/>
  <c r="IS28" i="17418"/>
  <c r="AM80" i="17419" s="1"/>
  <c r="EY28" i="17418"/>
  <c r="DB28" i="17418"/>
  <c r="DJ28" i="17418"/>
  <c r="FG28" i="17418"/>
  <c r="JA28" i="17418"/>
  <c r="AU80" i="17419" s="1"/>
  <c r="EE28" i="17418"/>
  <c r="CH28" i="17418"/>
  <c r="HY28" i="17418"/>
  <c r="IQ28" i="17418"/>
  <c r="AK80" i="17419" s="1"/>
  <c r="EW28" i="17418"/>
  <c r="CZ28" i="17418"/>
  <c r="AT28" i="17418"/>
  <c r="AT63" i="17418" s="1"/>
  <c r="DN28" i="17418"/>
  <c r="JE28" i="17418"/>
  <c r="AY80" i="17419" s="1"/>
  <c r="FK28" i="17418"/>
  <c r="AM28" i="17418"/>
  <c r="AI28" i="17418"/>
  <c r="U28" i="17418"/>
  <c r="AE28" i="17418"/>
  <c r="AZ28" i="17418"/>
  <c r="AZ63" i="17418" s="1"/>
  <c r="HN28" i="17418"/>
  <c r="BW28" i="17418"/>
  <c r="DT28" i="17418"/>
  <c r="EO28" i="17418"/>
  <c r="II28" i="17418"/>
  <c r="CR28" i="17418"/>
  <c r="CD28" i="17418"/>
  <c r="HU28" i="17418"/>
  <c r="EA28" i="17418"/>
  <c r="IM28" i="17418"/>
  <c r="AG80" i="17419" s="1"/>
  <c r="ES28" i="17418"/>
  <c r="CV28" i="17418"/>
  <c r="AP28" i="17418"/>
  <c r="AP63" i="17418" s="1"/>
  <c r="FN28" i="17418"/>
  <c r="DQ28" i="17418"/>
  <c r="JH28" i="17418"/>
  <c r="BB80" i="17419" s="1"/>
  <c r="IE28" i="17418"/>
  <c r="EK28" i="17418"/>
  <c r="CN28" i="17418"/>
  <c r="IP28" i="17418"/>
  <c r="AJ80" i="17419" s="1"/>
  <c r="CY28" i="17418"/>
  <c r="EV28" i="17418"/>
  <c r="IG28" i="17418"/>
  <c r="EM28" i="17418"/>
  <c r="CP28" i="17418"/>
  <c r="FE28" i="17418"/>
  <c r="DH28" i="17418"/>
  <c r="IY28" i="17418"/>
  <c r="AS80" i="17419" s="1"/>
  <c r="ER28" i="17418"/>
  <c r="CU28" i="17418"/>
  <c r="IL28" i="17418"/>
  <c r="CG28" i="17418"/>
  <c r="HX28" i="17418"/>
  <c r="ED28" i="17418"/>
  <c r="DR28" i="17418"/>
  <c r="BC19" i="17419" s="1"/>
  <c r="AF73" i="17419" s="1"/>
  <c r="JI28" i="17418"/>
  <c r="FO28" i="17418"/>
  <c r="IO28" i="17418"/>
  <c r="AI80" i="17419" s="1"/>
  <c r="CX28" i="17418"/>
  <c r="EU28" i="17418"/>
  <c r="CW28" i="17418"/>
  <c r="IN28" i="17418"/>
  <c r="AH80" i="17419" s="1"/>
  <c r="ET28" i="17418"/>
  <c r="HZ28" i="17418"/>
  <c r="EF28" i="17418"/>
  <c r="CI28" i="17418"/>
  <c r="AC28" i="17418"/>
  <c r="AC63" i="17418" s="1"/>
  <c r="EB28" i="17418"/>
  <c r="CE28" i="17418"/>
  <c r="HV28" i="17418"/>
  <c r="Y28" i="17418"/>
  <c r="Y63" i="17418" s="1"/>
  <c r="IZ28" i="17418"/>
  <c r="AT80" i="17419" s="1"/>
  <c r="DI28" i="17418"/>
  <c r="FF28" i="17418"/>
  <c r="HW28" i="17418"/>
  <c r="CF28" i="17418"/>
  <c r="EC28" i="17418"/>
  <c r="IT28" i="17418"/>
  <c r="EZ28" i="17418"/>
  <c r="DC28" i="17418"/>
  <c r="JD28" i="17418"/>
  <c r="AX80" i="17419" s="1"/>
  <c r="FJ28" i="17418"/>
  <c r="DM28" i="17418"/>
  <c r="HO28" i="17418"/>
  <c r="DU28" i="17418"/>
  <c r="BX28" i="17418"/>
  <c r="EI28" i="17418"/>
  <c r="CL28" i="17418"/>
  <c r="IC28" i="17418"/>
  <c r="IR28" i="17418"/>
  <c r="DA28" i="17418"/>
  <c r="EX28" i="17418"/>
  <c r="AN63" i="17418"/>
  <c r="JF28" i="17418"/>
  <c r="FL28" i="17418"/>
  <c r="DO28" i="17418"/>
  <c r="T28" i="17418"/>
  <c r="R28" i="17418"/>
  <c r="AB28" i="17418"/>
  <c r="X28" i="17418"/>
  <c r="X63" i="17418" s="1"/>
  <c r="AJ28" i="17418"/>
  <c r="BB28" i="17418"/>
  <c r="BB63" i="17418" s="1"/>
  <c r="AG28" i="17418"/>
  <c r="BC28" i="17418"/>
  <c r="Z28" i="17418"/>
  <c r="Z63" i="17418" s="1"/>
  <c r="AM63" i="17418"/>
  <c r="AZ10" i="17419" l="1"/>
  <c r="AZ19" i="17419"/>
  <c r="AZ23" i="17419"/>
  <c r="AZ24" i="17419"/>
  <c r="AZ26" i="17419"/>
  <c r="AZ15" i="17419"/>
  <c r="AZ14" i="17419"/>
  <c r="AL24" i="17419"/>
  <c r="AL27" i="17419" s="1"/>
  <c r="AL26" i="17419"/>
  <c r="AL15" i="17419"/>
  <c r="AL14" i="17419"/>
  <c r="AL23" i="17419"/>
  <c r="AL10" i="17419"/>
  <c r="AL19" i="17419"/>
  <c r="W10" i="17419"/>
  <c r="W19" i="17419"/>
  <c r="P73" i="17419" s="1"/>
  <c r="W26" i="17419"/>
  <c r="W15" i="17419"/>
  <c r="W14" i="17419"/>
  <c r="W24" i="17419"/>
  <c r="W23" i="17419"/>
  <c r="I19" i="17419"/>
  <c r="I73" i="17419" s="1"/>
  <c r="I10" i="17419"/>
  <c r="I23" i="17419"/>
  <c r="I27" i="17419" s="1"/>
  <c r="I24" i="17419"/>
  <c r="I15" i="17419"/>
  <c r="I26" i="17419"/>
  <c r="I14" i="17419"/>
  <c r="AX10" i="17419"/>
  <c r="AX19" i="17419"/>
  <c r="AX23" i="17419"/>
  <c r="AX24" i="17419"/>
  <c r="AX26" i="17419"/>
  <c r="AX15" i="17419"/>
  <c r="AX14" i="17419"/>
  <c r="AN10" i="17419"/>
  <c r="AN19" i="17419"/>
  <c r="AN23" i="17419"/>
  <c r="AN26" i="17419"/>
  <c r="AN15" i="17419"/>
  <c r="AN14" i="17419"/>
  <c r="AN24" i="17419"/>
  <c r="Q23" i="17419"/>
  <c r="Q24" i="17419"/>
  <c r="Q15" i="17419"/>
  <c r="Q26" i="17419"/>
  <c r="Q14" i="17419"/>
  <c r="Q19" i="17419"/>
  <c r="M73" i="17419" s="1"/>
  <c r="Q10" i="17419"/>
  <c r="AT24" i="17419"/>
  <c r="AT26" i="17419"/>
  <c r="AT15" i="17419"/>
  <c r="AT14" i="17419"/>
  <c r="AT23" i="17419"/>
  <c r="AT10" i="17419"/>
  <c r="AT19" i="17419"/>
  <c r="AT27" i="17419" s="1"/>
  <c r="P19" i="17419"/>
  <c r="P10" i="17419"/>
  <c r="P23" i="17419"/>
  <c r="P26" i="17419"/>
  <c r="P15" i="17419"/>
  <c r="P14" i="17419"/>
  <c r="P24" i="17419"/>
  <c r="T19" i="17419"/>
  <c r="T10" i="17419"/>
  <c r="T23" i="17419"/>
  <c r="T24" i="17419"/>
  <c r="T26" i="17419"/>
  <c r="T15" i="17419"/>
  <c r="T14" i="17419"/>
  <c r="AH23" i="17419"/>
  <c r="AH24" i="17419"/>
  <c r="AH26" i="17419"/>
  <c r="AH15" i="17419"/>
  <c r="AH14" i="17419"/>
  <c r="AH10" i="17419"/>
  <c r="AH19" i="17419"/>
  <c r="AI23" i="17419"/>
  <c r="AI24" i="17419"/>
  <c r="AI26" i="17419"/>
  <c r="V81" i="17419" s="1"/>
  <c r="AI15" i="17419"/>
  <c r="AI14" i="17419"/>
  <c r="AI10" i="17419"/>
  <c r="AI19" i="17419"/>
  <c r="V73" i="17419" s="1"/>
  <c r="BC26" i="17419"/>
  <c r="BC15" i="17419"/>
  <c r="BC14" i="17419"/>
  <c r="BC24" i="17419"/>
  <c r="BC23" i="17419"/>
  <c r="R23" i="17419"/>
  <c r="R24" i="17419"/>
  <c r="R26" i="17419"/>
  <c r="R15" i="17419"/>
  <c r="R14" i="17419"/>
  <c r="R19" i="17419"/>
  <c r="R10" i="17419"/>
  <c r="AF10" i="17419"/>
  <c r="AF19" i="17419"/>
  <c r="AF23" i="17419"/>
  <c r="AF26" i="17419"/>
  <c r="AF15" i="17419"/>
  <c r="AF14" i="17419"/>
  <c r="AF24" i="17419"/>
  <c r="AS10" i="17419"/>
  <c r="AS19" i="17419"/>
  <c r="AA73" i="17419" s="1"/>
  <c r="AS23" i="17419"/>
  <c r="AS24" i="17419"/>
  <c r="AS26" i="17419"/>
  <c r="AS15" i="17419"/>
  <c r="AS14" i="17419"/>
  <c r="AA10" i="17419"/>
  <c r="AA19" i="17419"/>
  <c r="R73" i="17419" s="1"/>
  <c r="AA23" i="17419"/>
  <c r="AA24" i="17419"/>
  <c r="AA26" i="17419"/>
  <c r="AA15" i="17419"/>
  <c r="AA14" i="17419"/>
  <c r="AJ23" i="17419"/>
  <c r="AJ24" i="17419"/>
  <c r="AJ26" i="17419"/>
  <c r="AJ27" i="17419" s="1"/>
  <c r="AJ15" i="17419"/>
  <c r="AJ14" i="17419"/>
  <c r="AJ10" i="17419"/>
  <c r="AJ19" i="17419"/>
  <c r="Y10" i="17419"/>
  <c r="Y19" i="17419"/>
  <c r="Q73" i="17419" s="1"/>
  <c r="Y23" i="17419"/>
  <c r="Y24" i="17419"/>
  <c r="Y27" i="17419" s="1"/>
  <c r="Y26" i="17419"/>
  <c r="Y15" i="17419"/>
  <c r="Y14" i="17419"/>
  <c r="BB10" i="17419"/>
  <c r="BB19" i="17419"/>
  <c r="BB24" i="17419"/>
  <c r="BB26" i="17419"/>
  <c r="BB15" i="17419"/>
  <c r="BB14" i="17419"/>
  <c r="BB23" i="17419"/>
  <c r="AG10" i="17419"/>
  <c r="AG19" i="17419"/>
  <c r="U73" i="17419" s="1"/>
  <c r="AG23" i="17419"/>
  <c r="AG24" i="17419"/>
  <c r="AG26" i="17419"/>
  <c r="AG14" i="17419"/>
  <c r="AG15" i="17419"/>
  <c r="O26" i="17419"/>
  <c r="O15" i="17419"/>
  <c r="O14" i="17419"/>
  <c r="O24" i="17419"/>
  <c r="O23" i="17419"/>
  <c r="O19" i="17419"/>
  <c r="L73" i="17419" s="1"/>
  <c r="O10" i="17419"/>
  <c r="AC10" i="17419"/>
  <c r="AC19" i="17419"/>
  <c r="S73" i="17419" s="1"/>
  <c r="AC23" i="17419"/>
  <c r="AC24" i="17419"/>
  <c r="AC26" i="17419"/>
  <c r="AC15" i="17419"/>
  <c r="AC14" i="17419"/>
  <c r="H26" i="17419"/>
  <c r="H27" i="17419" s="1"/>
  <c r="H23" i="17419"/>
  <c r="H15" i="17419"/>
  <c r="H14" i="17419"/>
  <c r="H24" i="17419"/>
  <c r="H19" i="17419"/>
  <c r="H10" i="17419"/>
  <c r="AY23" i="17419"/>
  <c r="AY24" i="17419"/>
  <c r="AY27" i="17419" s="1"/>
  <c r="AY26" i="17419"/>
  <c r="AY15" i="17419"/>
  <c r="AY14" i="17419"/>
  <c r="AY10" i="17419"/>
  <c r="AY19" i="17419"/>
  <c r="AD73" i="17419" s="1"/>
  <c r="AK10" i="17419"/>
  <c r="AK19" i="17419"/>
  <c r="W73" i="17419" s="1"/>
  <c r="AK23" i="17419"/>
  <c r="AK24" i="17419"/>
  <c r="AK26" i="17419"/>
  <c r="AK15" i="17419"/>
  <c r="AK14" i="17419"/>
  <c r="S19" i="17419"/>
  <c r="N73" i="17419" s="1"/>
  <c r="S10" i="17419"/>
  <c r="S23" i="17419"/>
  <c r="S24" i="17419"/>
  <c r="S27" i="17419" s="1"/>
  <c r="S26" i="17419"/>
  <c r="S15" i="17419"/>
  <c r="S14" i="17419"/>
  <c r="AU26" i="17419"/>
  <c r="AU15" i="17419"/>
  <c r="AU14" i="17419"/>
  <c r="AU24" i="17419"/>
  <c r="AU23" i="17419"/>
  <c r="AU10" i="17419"/>
  <c r="AU19" i="17419"/>
  <c r="AB73" i="17419" s="1"/>
  <c r="AM10" i="17419"/>
  <c r="AM19" i="17419"/>
  <c r="X73" i="17419" s="1"/>
  <c r="AM26" i="17419"/>
  <c r="AM15" i="17419"/>
  <c r="AM14" i="17419"/>
  <c r="AM24" i="17419"/>
  <c r="AM27" i="17419" s="1"/>
  <c r="AM23" i="17419"/>
  <c r="L19" i="17419"/>
  <c r="L10" i="17419"/>
  <c r="L23" i="17419"/>
  <c r="L24" i="17419"/>
  <c r="L26" i="17419"/>
  <c r="L15" i="17419"/>
  <c r="L14" i="17419"/>
  <c r="N10" i="17419"/>
  <c r="N19" i="17419"/>
  <c r="N24" i="17419"/>
  <c r="N26" i="17419"/>
  <c r="N15" i="17419"/>
  <c r="N14" i="17419"/>
  <c r="N23" i="17419"/>
  <c r="AQ10" i="17419"/>
  <c r="Z72" i="17419" s="1"/>
  <c r="AQ19" i="17419"/>
  <c r="Z73" i="17419" s="1"/>
  <c r="AQ23" i="17419"/>
  <c r="AQ24" i="17419"/>
  <c r="AQ26" i="17419"/>
  <c r="AQ15" i="17419"/>
  <c r="AQ14" i="17419"/>
  <c r="AW23" i="17419"/>
  <c r="AW24" i="17419"/>
  <c r="AW27" i="17419" s="1"/>
  <c r="AW26" i="17419"/>
  <c r="AW14" i="17419"/>
  <c r="AW15" i="17419"/>
  <c r="AW10" i="17419"/>
  <c r="AW19" i="17419"/>
  <c r="AC73" i="17419" s="1"/>
  <c r="X10" i="17419"/>
  <c r="X19" i="17419"/>
  <c r="X23" i="17419"/>
  <c r="X26" i="17419"/>
  <c r="X15" i="17419"/>
  <c r="X14" i="17419"/>
  <c r="X24" i="17419"/>
  <c r="Z10" i="17419"/>
  <c r="Z19" i="17419"/>
  <c r="Z23" i="17419"/>
  <c r="Z24" i="17419"/>
  <c r="Z26" i="17419"/>
  <c r="Z15" i="17419"/>
  <c r="Z14" i="17419"/>
  <c r="V10" i="17419"/>
  <c r="V19" i="17419"/>
  <c r="V24" i="17419"/>
  <c r="V26" i="17419"/>
  <c r="V15" i="17419"/>
  <c r="V14" i="17419"/>
  <c r="V23" i="17419"/>
  <c r="AO23" i="17419"/>
  <c r="AO24" i="17419"/>
  <c r="AO26" i="17419"/>
  <c r="AO14" i="17419"/>
  <c r="AO15" i="17419"/>
  <c r="AO10" i="17419"/>
  <c r="AO19" i="17419"/>
  <c r="Y73" i="17419" s="1"/>
  <c r="K19" i="17419"/>
  <c r="J73" i="17419" s="1"/>
  <c r="K10" i="17419"/>
  <c r="K23" i="17419"/>
  <c r="K24" i="17419"/>
  <c r="K26" i="17419"/>
  <c r="K15" i="17419"/>
  <c r="K14" i="17419"/>
  <c r="AD24" i="17419"/>
  <c r="AD26" i="17419"/>
  <c r="AD15" i="17419"/>
  <c r="AD14" i="17419"/>
  <c r="AD23" i="17419"/>
  <c r="AD10" i="17419"/>
  <c r="AD19" i="17419"/>
  <c r="AB23" i="17419"/>
  <c r="AB24" i="17419"/>
  <c r="AB26" i="17419"/>
  <c r="AB15" i="17419"/>
  <c r="AB14" i="17419"/>
  <c r="AB10" i="17419"/>
  <c r="AB19" i="17419"/>
  <c r="J19" i="17419"/>
  <c r="J10" i="17419"/>
  <c r="G10" i="17419" s="1"/>
  <c r="J23" i="17419"/>
  <c r="J24" i="17419"/>
  <c r="J26" i="17419"/>
  <c r="J15" i="17419"/>
  <c r="J14" i="17419"/>
  <c r="AR10" i="17419"/>
  <c r="AR19" i="17419"/>
  <c r="AR23" i="17419"/>
  <c r="AR24" i="17419"/>
  <c r="AR26" i="17419"/>
  <c r="AR15" i="17419"/>
  <c r="AR14" i="17419"/>
  <c r="U19" i="17419"/>
  <c r="O73" i="17419" s="1"/>
  <c r="U10" i="17419"/>
  <c r="U23" i="17419"/>
  <c r="U24" i="17419"/>
  <c r="U27" i="17419" s="1"/>
  <c r="U26" i="17419"/>
  <c r="U15" i="17419"/>
  <c r="U14" i="17419"/>
  <c r="BA23" i="17419"/>
  <c r="BA24" i="17419"/>
  <c r="BA26" i="17419"/>
  <c r="BA15" i="17419"/>
  <c r="BA14" i="17419"/>
  <c r="BA10" i="17419"/>
  <c r="BA19" i="17419"/>
  <c r="AE73" i="17419" s="1"/>
  <c r="AV10" i="17419"/>
  <c r="AV19" i="17419"/>
  <c r="AV23" i="17419"/>
  <c r="AV26" i="17419"/>
  <c r="AV15" i="17419"/>
  <c r="AV14" i="17419"/>
  <c r="AV24" i="17419"/>
  <c r="M19" i="17419"/>
  <c r="K73" i="17419" s="1"/>
  <c r="M10" i="17419"/>
  <c r="M23" i="17419"/>
  <c r="M24" i="17419"/>
  <c r="M26" i="17419"/>
  <c r="M15" i="17419"/>
  <c r="M14" i="17419"/>
  <c r="AP21" i="17419"/>
  <c r="AP12" i="17419"/>
  <c r="AP23" i="17419"/>
  <c r="AP24" i="17419"/>
  <c r="AP26" i="17419"/>
  <c r="AP15" i="17419"/>
  <c r="AP14" i="17419"/>
  <c r="AD20" i="17419"/>
  <c r="AD27" i="17419" s="1"/>
  <c r="AD11" i="17419"/>
  <c r="AD21" i="17419"/>
  <c r="AD12" i="17419"/>
  <c r="AL21" i="17419"/>
  <c r="AL12" i="17419"/>
  <c r="AL20" i="17419"/>
  <c r="AL11" i="17419"/>
  <c r="W21" i="17419"/>
  <c r="P77" i="17419" s="1"/>
  <c r="W12" i="17419"/>
  <c r="W20" i="17419"/>
  <c r="W11" i="17419"/>
  <c r="I21" i="17419"/>
  <c r="I12" i="17419"/>
  <c r="I20" i="17419"/>
  <c r="I11" i="17419"/>
  <c r="AX21" i="17419"/>
  <c r="AX12" i="17419"/>
  <c r="AX20" i="17419"/>
  <c r="AX11" i="17419"/>
  <c r="AN21" i="17419"/>
  <c r="AN12" i="17419"/>
  <c r="AN20" i="17419"/>
  <c r="AN11" i="17419"/>
  <c r="Q12" i="17419"/>
  <c r="Q21" i="17419"/>
  <c r="Q20" i="17419"/>
  <c r="Q11" i="17419"/>
  <c r="AT21" i="17419"/>
  <c r="AT12" i="17419"/>
  <c r="AT20" i="17419"/>
  <c r="AT11" i="17419"/>
  <c r="P21" i="17419"/>
  <c r="P27" i="17419" s="1"/>
  <c r="P12" i="17419"/>
  <c r="P11" i="17419"/>
  <c r="P20" i="17419"/>
  <c r="T21" i="17419"/>
  <c r="T12" i="17419"/>
  <c r="T20" i="17419"/>
  <c r="T11" i="17419"/>
  <c r="AH21" i="17419"/>
  <c r="AH12" i="17419"/>
  <c r="AH20" i="17419"/>
  <c r="AH11" i="17419"/>
  <c r="AY21" i="17419"/>
  <c r="AY12" i="17419"/>
  <c r="AY20" i="17419"/>
  <c r="AY11" i="17419"/>
  <c r="AK21" i="17419"/>
  <c r="AK27" i="17419" s="1"/>
  <c r="AK12" i="17419"/>
  <c r="AK20" i="17419"/>
  <c r="AK11" i="17419"/>
  <c r="S21" i="17419"/>
  <c r="S12" i="17419"/>
  <c r="S20" i="17419"/>
  <c r="S11" i="17419"/>
  <c r="AU21" i="17419"/>
  <c r="AU27" i="17419" s="1"/>
  <c r="AU12" i="17419"/>
  <c r="AU20" i="17419"/>
  <c r="AU11" i="17419"/>
  <c r="AM21" i="17419"/>
  <c r="AM12" i="17419"/>
  <c r="AM20" i="17419"/>
  <c r="AM11" i="17419"/>
  <c r="AI21" i="17419"/>
  <c r="AI27" i="17419" s="1"/>
  <c r="AI12" i="17419"/>
  <c r="AI20" i="17419"/>
  <c r="AI11" i="17419"/>
  <c r="L21" i="17419"/>
  <c r="L12" i="17419"/>
  <c r="L20" i="17419"/>
  <c r="L11" i="17419"/>
  <c r="BC21" i="17419"/>
  <c r="AF77" i="17419" s="1"/>
  <c r="BC12" i="17419"/>
  <c r="BC20" i="17419"/>
  <c r="BC11" i="17419"/>
  <c r="R21" i="17419"/>
  <c r="R12" i="17419"/>
  <c r="R20" i="17419"/>
  <c r="R11" i="17419"/>
  <c r="N21" i="17419"/>
  <c r="N27" i="17419" s="1"/>
  <c r="N12" i="17419"/>
  <c r="N20" i="17419"/>
  <c r="N11" i="17419"/>
  <c r="AF21" i="17419"/>
  <c r="AF12" i="17419"/>
  <c r="AF11" i="17419"/>
  <c r="AF20" i="17419"/>
  <c r="AQ21" i="17419"/>
  <c r="Z77" i="17419" s="1"/>
  <c r="AQ12" i="17419"/>
  <c r="AQ20" i="17419"/>
  <c r="AQ11" i="17419"/>
  <c r="AS20" i="17419"/>
  <c r="AS11" i="17419"/>
  <c r="AS21" i="17419"/>
  <c r="AS12" i="17419"/>
  <c r="AW12" i="17419"/>
  <c r="AC77" i="17419" s="1"/>
  <c r="AW21" i="17419"/>
  <c r="AW20" i="17419"/>
  <c r="AW11" i="17419"/>
  <c r="AA21" i="17419"/>
  <c r="AA12" i="17419"/>
  <c r="AA20" i="17419"/>
  <c r="AA11" i="17419"/>
  <c r="X21" i="17419"/>
  <c r="X12" i="17419"/>
  <c r="X20" i="17419"/>
  <c r="X11" i="17419"/>
  <c r="AJ21" i="17419"/>
  <c r="AJ12" i="17419"/>
  <c r="AJ20" i="17419"/>
  <c r="AJ11" i="17419"/>
  <c r="Z21" i="17419"/>
  <c r="Z12" i="17419"/>
  <c r="Z20" i="17419"/>
  <c r="Z11" i="17419"/>
  <c r="Y12" i="17419"/>
  <c r="Y21" i="17419"/>
  <c r="Y20" i="17419"/>
  <c r="Y11" i="17419"/>
  <c r="V21" i="17419"/>
  <c r="V27" i="17419" s="1"/>
  <c r="V12" i="17419"/>
  <c r="V20" i="17419"/>
  <c r="V11" i="17419"/>
  <c r="AO12" i="17419"/>
  <c r="AO21" i="17419"/>
  <c r="AO20" i="17419"/>
  <c r="AO11" i="17419"/>
  <c r="K21" i="17419"/>
  <c r="K27" i="17419" s="1"/>
  <c r="K12" i="17419"/>
  <c r="K20" i="17419"/>
  <c r="K11" i="17419"/>
  <c r="BB21" i="17419"/>
  <c r="BB12" i="17419"/>
  <c r="BB20" i="17419"/>
  <c r="BB11" i="17419"/>
  <c r="AZ21" i="17419"/>
  <c r="AZ27" i="17419" s="1"/>
  <c r="AZ12" i="17419"/>
  <c r="AZ20" i="17419"/>
  <c r="AZ11" i="17419"/>
  <c r="H21" i="17419"/>
  <c r="H12" i="17419"/>
  <c r="H11" i="17419"/>
  <c r="H20" i="17419"/>
  <c r="AB21" i="17419"/>
  <c r="AB12" i="17419"/>
  <c r="AB20" i="17419"/>
  <c r="AB11" i="17419"/>
  <c r="J21" i="17419"/>
  <c r="J12" i="17419"/>
  <c r="J20" i="17419"/>
  <c r="J11" i="17419"/>
  <c r="AR21" i="17419"/>
  <c r="AR27" i="17419" s="1"/>
  <c r="AR12" i="17419"/>
  <c r="AR20" i="17419"/>
  <c r="AR11" i="17419"/>
  <c r="U21" i="17419"/>
  <c r="U12" i="17419"/>
  <c r="U20" i="17419"/>
  <c r="U11" i="17419"/>
  <c r="AG20" i="17419"/>
  <c r="U75" i="17419" s="1"/>
  <c r="AG11" i="17419"/>
  <c r="AG21" i="17419"/>
  <c r="AG12" i="17419"/>
  <c r="BA21" i="17419"/>
  <c r="BA12" i="17419"/>
  <c r="BA20" i="17419"/>
  <c r="BA11" i="17419"/>
  <c r="O20" i="17419"/>
  <c r="K74" i="17419" s="1"/>
  <c r="O11" i="17419"/>
  <c r="O21" i="17419"/>
  <c r="O12" i="17419"/>
  <c r="AV21" i="17419"/>
  <c r="AV12" i="17419"/>
  <c r="AV20" i="17419"/>
  <c r="AV11" i="17419"/>
  <c r="AC21" i="17419"/>
  <c r="AC27" i="17419" s="1"/>
  <c r="AC12" i="17419"/>
  <c r="AC20" i="17419"/>
  <c r="AC11" i="17419"/>
  <c r="M21" i="17419"/>
  <c r="M12" i="17419"/>
  <c r="M20" i="17419"/>
  <c r="M11" i="17419"/>
  <c r="AP10" i="17419"/>
  <c r="AP19" i="17419"/>
  <c r="AE20" i="17419"/>
  <c r="AE11" i="17419"/>
  <c r="AP20" i="17419"/>
  <c r="AP11" i="17419"/>
  <c r="AE21" i="17419"/>
  <c r="AE12" i="17419"/>
  <c r="AE10" i="17419"/>
  <c r="S71" i="17419" s="1"/>
  <c r="AE19" i="17419"/>
  <c r="BC71" i="17419"/>
  <c r="BC10" i="17419"/>
  <c r="I81" i="17419"/>
  <c r="AF81" i="17419"/>
  <c r="H80" i="17419"/>
  <c r="AZ80" i="17419"/>
  <c r="AL80" i="17419"/>
  <c r="AY81" i="17419"/>
  <c r="AN80" i="17419"/>
  <c r="R27" i="17419"/>
  <c r="Q72" i="17419"/>
  <c r="Z27" i="17419"/>
  <c r="AN27" i="17419"/>
  <c r="O72" i="17419"/>
  <c r="AV80" i="17419"/>
  <c r="BF63" i="17418"/>
  <c r="T71" i="17419"/>
  <c r="J72" i="17419"/>
  <c r="U80" i="17419"/>
  <c r="Z81" i="17419"/>
  <c r="Q74" i="17419"/>
  <c r="R74" i="17419"/>
  <c r="BL63" i="17418"/>
  <c r="T27" i="17419"/>
  <c r="U71" i="17419"/>
  <c r="H73" i="17419"/>
  <c r="H81" i="17419"/>
  <c r="R80" i="17419"/>
  <c r="AJ71" i="17419"/>
  <c r="AC80" i="17419"/>
  <c r="L80" i="17419"/>
  <c r="X27" i="17419"/>
  <c r="AC81" i="17419"/>
  <c r="J81" i="17419"/>
  <c r="AR80" i="17419"/>
  <c r="AW72" i="17419"/>
  <c r="M80" i="17419"/>
  <c r="S74" i="17419"/>
  <c r="Q77" i="17419"/>
  <c r="M75" i="17419"/>
  <c r="N77" i="17419"/>
  <c r="AD76" i="17419"/>
  <c r="K77" i="17419"/>
  <c r="AV76" i="17419"/>
  <c r="Y74" i="17419"/>
  <c r="BC80" i="17419"/>
  <c r="H72" i="17419"/>
  <c r="H75" i="17419"/>
  <c r="H78" i="17419"/>
  <c r="I78" i="17419"/>
  <c r="H77" i="17419"/>
  <c r="N80" i="17419"/>
  <c r="X80" i="17419"/>
  <c r="AD80" i="17419"/>
  <c r="AB80" i="17419"/>
  <c r="I80" i="17419"/>
  <c r="I74" i="17419"/>
  <c r="AW75" i="17419"/>
  <c r="AM72" i="17419"/>
  <c r="AC71" i="17419"/>
  <c r="AF80" i="17419"/>
  <c r="AA80" i="17419"/>
  <c r="AF72" i="17419"/>
  <c r="M72" i="17419"/>
  <c r="Q71" i="17419"/>
  <c r="V80" i="17419"/>
  <c r="K80" i="17419"/>
  <c r="R71" i="17419"/>
  <c r="AS72" i="17419"/>
  <c r="X77" i="17419"/>
  <c r="AT76" i="17419"/>
  <c r="N76" i="17419"/>
  <c r="AG77" i="17419"/>
  <c r="P74" i="17419"/>
  <c r="R77" i="17419"/>
  <c r="AE74" i="17419"/>
  <c r="AE80" i="17419"/>
  <c r="AP80" i="17419"/>
  <c r="AD63" i="17418"/>
  <c r="U63" i="17418"/>
  <c r="W63" i="17418"/>
  <c r="BA63" i="17418"/>
  <c r="BC63" i="17418"/>
  <c r="AJ63" i="17418"/>
  <c r="T63" i="17418"/>
  <c r="BG63" i="17418"/>
  <c r="AI63" i="17418"/>
  <c r="BC76" i="17419"/>
  <c r="BC74" i="17419"/>
  <c r="H76" i="17419"/>
  <c r="I77" i="17419"/>
  <c r="I75" i="17419"/>
  <c r="H74" i="17419"/>
  <c r="AS27" i="17419"/>
  <c r="AT81" i="17419"/>
  <c r="AL81" i="17419"/>
  <c r="AN72" i="17419"/>
  <c r="AM71" i="17419"/>
  <c r="L27" i="17419"/>
  <c r="M81" i="17419"/>
  <c r="AZ75" i="17419"/>
  <c r="AY74" i="17419"/>
  <c r="AM75" i="17419"/>
  <c r="AL74" i="17419"/>
  <c r="AT74" i="17419"/>
  <c r="AU75" i="17419"/>
  <c r="AL77" i="17419"/>
  <c r="AK76" i="17419"/>
  <c r="AH76" i="17419"/>
  <c r="AI77" i="17419"/>
  <c r="AT71" i="17419"/>
  <c r="AU72" i="17419"/>
  <c r="AB72" i="17419"/>
  <c r="AA71" i="17419"/>
  <c r="AR72" i="17419"/>
  <c r="AQ71" i="17419"/>
  <c r="BA27" i="17419"/>
  <c r="BB81" i="17419"/>
  <c r="AJ77" i="17419"/>
  <c r="AI76" i="17419"/>
  <c r="BA75" i="17419"/>
  <c r="AZ74" i="17419"/>
  <c r="AK77" i="17419"/>
  <c r="AJ76" i="17419"/>
  <c r="M74" i="17419"/>
  <c r="N75" i="17419"/>
  <c r="T77" i="17419"/>
  <c r="S76" i="17419"/>
  <c r="P75" i="17419"/>
  <c r="O74" i="17419"/>
  <c r="AK74" i="17419"/>
  <c r="AL75" i="17419"/>
  <c r="X75" i="17419"/>
  <c r="W74" i="17419"/>
  <c r="BB77" i="17419"/>
  <c r="BA76" i="17419"/>
  <c r="L77" i="17419"/>
  <c r="K76" i="17419"/>
  <c r="BB76" i="17419"/>
  <c r="BC77" i="17419"/>
  <c r="AW76" i="17419"/>
  <c r="AX77" i="17419"/>
  <c r="AR75" i="17419"/>
  <c r="AQ74" i="17419"/>
  <c r="BA72" i="17419"/>
  <c r="AZ71" i="17419"/>
  <c r="AM81" i="17419"/>
  <c r="AO72" i="17419"/>
  <c r="AN71" i="17419"/>
  <c r="AJ81" i="17419"/>
  <c r="AB81" i="17419"/>
  <c r="AH72" i="17419"/>
  <c r="AG71" i="17419"/>
  <c r="AD81" i="17419"/>
  <c r="AV81" i="17419"/>
  <c r="AX81" i="17419"/>
  <c r="W72" i="17419"/>
  <c r="V71" i="17419"/>
  <c r="AO27" i="17419"/>
  <c r="AP81" i="17419"/>
  <c r="L81" i="17419"/>
  <c r="BB72" i="17419"/>
  <c r="BA71" i="17419"/>
  <c r="AV27" i="17419"/>
  <c r="AW81" i="17419"/>
  <c r="M27" i="17419"/>
  <c r="N81" i="17419"/>
  <c r="Y77" i="17419"/>
  <c r="X76" i="17419"/>
  <c r="AO76" i="17419"/>
  <c r="AP77" i="17419"/>
  <c r="S75" i="17419"/>
  <c r="R75" i="17419"/>
  <c r="AJ75" i="17419"/>
  <c r="AI74" i="17419"/>
  <c r="AO77" i="17419"/>
  <c r="AN76" i="17419"/>
  <c r="AK75" i="17419"/>
  <c r="AJ74" i="17419"/>
  <c r="T75" i="17419"/>
  <c r="AX76" i="17419"/>
  <c r="AY77" i="17419"/>
  <c r="AP76" i="17419"/>
  <c r="AQ77" i="17419"/>
  <c r="BB75" i="17419"/>
  <c r="BA74" i="17419"/>
  <c r="L75" i="17419"/>
  <c r="V74" i="17419"/>
  <c r="W75" i="17419"/>
  <c r="AX75" i="17419"/>
  <c r="AW74" i="17419"/>
  <c r="O77" i="17419"/>
  <c r="AQ72" i="17419"/>
  <c r="AP71" i="17419"/>
  <c r="AK81" i="17419"/>
  <c r="BB27" i="17419"/>
  <c r="BC81" i="17419"/>
  <c r="I72" i="17419"/>
  <c r="H71" i="17419"/>
  <c r="T81" i="17419"/>
  <c r="AE72" i="17419"/>
  <c r="AD71" i="17419"/>
  <c r="N72" i="17419"/>
  <c r="M71" i="17419"/>
  <c r="AN75" i="17419"/>
  <c r="AM74" i="17419"/>
  <c r="AV75" i="17419"/>
  <c r="AU74" i="17419"/>
  <c r="V75" i="17419"/>
  <c r="U74" i="17419"/>
  <c r="M76" i="17419"/>
  <c r="AH75" i="17419"/>
  <c r="AG74" i="17419"/>
  <c r="AB75" i="17419"/>
  <c r="AA74" i="17419"/>
  <c r="M77" i="17419"/>
  <c r="AD75" i="17419"/>
  <c r="AC74" i="17419"/>
  <c r="AS74" i="17419"/>
  <c r="AT75" i="17419"/>
  <c r="R81" i="17419"/>
  <c r="AZ72" i="17419"/>
  <c r="AY71" i="17419"/>
  <c r="AN81" i="17419"/>
  <c r="BA81" i="17419"/>
  <c r="X81" i="17419"/>
  <c r="AH27" i="17419"/>
  <c r="AI81" i="17419"/>
  <c r="AJ72" i="17419"/>
  <c r="AI71" i="17419"/>
  <c r="AT72" i="17419"/>
  <c r="AS71" i="17419"/>
  <c r="AG27" i="17419"/>
  <c r="AH81" i="17419"/>
  <c r="P72" i="17419"/>
  <c r="O71" i="17419"/>
  <c r="AZ81" i="17419"/>
  <c r="AL72" i="17419"/>
  <c r="AK71" i="17419"/>
  <c r="T72" i="17419"/>
  <c r="AV72" i="17419"/>
  <c r="AU71" i="17419"/>
  <c r="AR81" i="17419"/>
  <c r="AX72" i="17419"/>
  <c r="AW71" i="17419"/>
  <c r="AP72" i="17419"/>
  <c r="AO71" i="17419"/>
  <c r="AR77" i="17419"/>
  <c r="AQ76" i="17419"/>
  <c r="AN77" i="17419"/>
  <c r="AM76" i="17419"/>
  <c r="AZ77" i="17419"/>
  <c r="AY76" i="17419"/>
  <c r="AP75" i="17419"/>
  <c r="AO74" i="17419"/>
  <c r="AV77" i="17419"/>
  <c r="AU76" i="17419"/>
  <c r="AO75" i="17419"/>
  <c r="AN74" i="17419"/>
  <c r="AG76" i="17419"/>
  <c r="AH77" i="17419"/>
  <c r="AX74" i="17419"/>
  <c r="AY75" i="17419"/>
  <c r="Z75" i="17419"/>
  <c r="AA76" i="17419"/>
  <c r="AC76" i="17419"/>
  <c r="AD77" i="17419"/>
  <c r="AT77" i="17419"/>
  <c r="AS76" i="17419"/>
  <c r="AH74" i="17419"/>
  <c r="AI75" i="17419"/>
  <c r="AE77" i="17419"/>
  <c r="O75" i="17419"/>
  <c r="N74" i="17419"/>
  <c r="AG63" i="17418"/>
  <c r="AR63" i="17418"/>
  <c r="R63" i="17418"/>
  <c r="V63" i="17418"/>
  <c r="AE63" i="17418"/>
  <c r="BH63" i="17418"/>
  <c r="AB63" i="17418"/>
  <c r="AS63" i="17418"/>
  <c r="AZ79" i="17419"/>
  <c r="BB78" i="17419"/>
  <c r="AL79" i="17419"/>
  <c r="AX79" i="17419"/>
  <c r="AZ78" i="17419"/>
  <c r="AN79" i="17419"/>
  <c r="AT79" i="17419"/>
  <c r="AH79" i="17419"/>
  <c r="AJ78" i="17419"/>
  <c r="AI79" i="17419"/>
  <c r="BC79" i="17419"/>
  <c r="AF79" i="17419"/>
  <c r="AU78" i="17419"/>
  <c r="AS79" i="17419"/>
  <c r="AJ79" i="17419"/>
  <c r="BB79" i="17419"/>
  <c r="AI78" i="17419"/>
  <c r="AG79" i="17419"/>
  <c r="AY79" i="17419"/>
  <c r="BA78" i="17419"/>
  <c r="AM78" i="17419"/>
  <c r="AU79" i="17419"/>
  <c r="AM79" i="17419"/>
  <c r="AS78" i="17419"/>
  <c r="AQ79" i="17419"/>
  <c r="AW79" i="17419"/>
  <c r="AO79" i="17419"/>
  <c r="AT78" i="17419"/>
  <c r="AR79" i="17419"/>
  <c r="BC78" i="17419"/>
  <c r="AV79" i="17419"/>
  <c r="AP79" i="17419"/>
  <c r="AR78" i="17419"/>
  <c r="M54" i="17419"/>
  <c r="P28" i="17418"/>
  <c r="AZ54" i="17419"/>
  <c r="AM54" i="17419"/>
  <c r="W54" i="17419"/>
  <c r="Q54" i="17419"/>
  <c r="AH54" i="17419"/>
  <c r="AQ54" i="17419"/>
  <c r="Z54" i="17419"/>
  <c r="AP54" i="17419"/>
  <c r="S54" i="17419"/>
  <c r="N54" i="17419"/>
  <c r="AO54" i="17419"/>
  <c r="U54" i="17419"/>
  <c r="AV54" i="17419"/>
  <c r="I54" i="17419"/>
  <c r="AW54" i="17419"/>
  <c r="AG54" i="17419"/>
  <c r="AE54" i="17419"/>
  <c r="AX54" i="17419"/>
  <c r="P54" i="17419"/>
  <c r="R54" i="17419"/>
  <c r="AA54" i="17419"/>
  <c r="K54" i="17419"/>
  <c r="AY54" i="17419"/>
  <c r="AI54" i="17419"/>
  <c r="X54" i="17419"/>
  <c r="J54" i="17419"/>
  <c r="BA54" i="17419"/>
  <c r="AT54" i="17419"/>
  <c r="BC54" i="17419"/>
  <c r="V54" i="17419"/>
  <c r="AS54" i="17419"/>
  <c r="AB54" i="17419"/>
  <c r="AC54" i="17419"/>
  <c r="AD54" i="17419"/>
  <c r="AU54" i="17419"/>
  <c r="AL54" i="17419"/>
  <c r="AN54" i="17419"/>
  <c r="T54" i="17419"/>
  <c r="AF54" i="17419"/>
  <c r="AJ54" i="17419"/>
  <c r="BB54" i="17419"/>
  <c r="AK54" i="17419"/>
  <c r="L54" i="17419"/>
  <c r="Y54" i="17419"/>
  <c r="AR54" i="17419"/>
  <c r="O54" i="17419"/>
  <c r="H54" i="17419"/>
  <c r="AB77" i="17419" l="1"/>
  <c r="U76" i="17419"/>
  <c r="Y71" i="17419"/>
  <c r="G20" i="17419"/>
  <c r="V77" i="17419"/>
  <c r="W27" i="17419"/>
  <c r="Q27" i="17419"/>
  <c r="O76" i="17419"/>
  <c r="G19" i="17419"/>
  <c r="AQ27" i="17419"/>
  <c r="V76" i="17419"/>
  <c r="G21" i="17419"/>
  <c r="G24" i="17419"/>
  <c r="BC27" i="17419"/>
  <c r="Y76" i="17419"/>
  <c r="AA27" i="17419"/>
  <c r="W77" i="17419"/>
  <c r="AE17" i="17419"/>
  <c r="AE76" i="17419"/>
  <c r="O27" i="17419"/>
  <c r="J77" i="17419"/>
  <c r="T73" i="17419"/>
  <c r="AE27" i="17419"/>
  <c r="G23" i="17419"/>
  <c r="V79" i="17419"/>
  <c r="H79" i="17419"/>
  <c r="X79" i="17419"/>
  <c r="AD79" i="17419"/>
  <c r="AF78" i="17419"/>
  <c r="J78" i="17419"/>
  <c r="AG78" i="17419"/>
  <c r="M79" i="17419"/>
  <c r="W80" i="17419"/>
  <c r="Q76" i="17419"/>
  <c r="S80" i="17419"/>
  <c r="AV74" i="17419"/>
  <c r="AA81" i="17419"/>
  <c r="AO81" i="17419"/>
  <c r="AF76" i="17419"/>
  <c r="AB27" i="17419"/>
  <c r="AX27" i="17419"/>
  <c r="AR71" i="17419"/>
  <c r="R76" i="17419"/>
  <c r="AE81" i="17419"/>
  <c r="L71" i="17419"/>
  <c r="AX71" i="17419"/>
  <c r="AH71" i="17419"/>
  <c r="AU77" i="17419"/>
  <c r="AU81" i="17419"/>
  <c r="AY72" i="17419"/>
  <c r="AA75" i="17419"/>
  <c r="AS81" i="17419"/>
  <c r="O81" i="17419"/>
  <c r="AW77" i="17419"/>
  <c r="AC72" i="17419"/>
  <c r="BC75" i="17419"/>
  <c r="Q81" i="17419"/>
  <c r="AK72" i="17419"/>
  <c r="Z76" i="17419"/>
  <c r="AQ75" i="17419"/>
  <c r="AP74" i="17419"/>
  <c r="AB74" i="17419"/>
  <c r="AA72" i="17419"/>
  <c r="L74" i="17419"/>
  <c r="T76" i="17419"/>
  <c r="AV71" i="17419"/>
  <c r="S81" i="17419"/>
  <c r="Y72" i="17419"/>
  <c r="BB74" i="17419"/>
  <c r="Z71" i="17419"/>
  <c r="U77" i="17419"/>
  <c r="AC75" i="17419"/>
  <c r="S77" i="17419"/>
  <c r="AE75" i="17419"/>
  <c r="AG72" i="17419"/>
  <c r="AD74" i="17419"/>
  <c r="AZ76" i="17419"/>
  <c r="AQ81" i="17419"/>
  <c r="BA77" i="17419"/>
  <c r="X71" i="17419"/>
  <c r="U81" i="17419"/>
  <c r="K71" i="17419"/>
  <c r="J75" i="17419"/>
  <c r="P71" i="17419"/>
  <c r="AP27" i="17419"/>
  <c r="L72" i="17419"/>
  <c r="U72" i="17419"/>
  <c r="Z74" i="17419"/>
  <c r="W71" i="17419"/>
  <c r="L76" i="17419"/>
  <c r="N79" i="17419"/>
  <c r="Q75" i="17419"/>
  <c r="I76" i="17419"/>
  <c r="X72" i="17419"/>
  <c r="Z80" i="17419"/>
  <c r="AR74" i="17419"/>
  <c r="X74" i="17419"/>
  <c r="N71" i="17419"/>
  <c r="AS77" i="17419"/>
  <c r="K81" i="17419"/>
  <c r="J71" i="17419"/>
  <c r="G26" i="17419"/>
  <c r="AS75" i="17419"/>
  <c r="AF71" i="17419"/>
  <c r="Y81" i="17419"/>
  <c r="G12" i="17419"/>
  <c r="Y75" i="17419"/>
  <c r="BB71" i="17419"/>
  <c r="AL71" i="17419"/>
  <c r="AI72" i="17419"/>
  <c r="AF74" i="17419"/>
  <c r="P76" i="17419"/>
  <c r="J74" i="17419"/>
  <c r="J76" i="17419"/>
  <c r="K72" i="17419"/>
  <c r="G11" i="17419"/>
  <c r="AM77" i="17419"/>
  <c r="BC72" i="17419"/>
  <c r="AG75" i="17419"/>
  <c r="W81" i="17419"/>
  <c r="G16" i="17419"/>
  <c r="AL76" i="17419"/>
  <c r="AG81" i="17419"/>
  <c r="AR76" i="17419"/>
  <c r="AB76" i="17419"/>
  <c r="K75" i="17419"/>
  <c r="AB71" i="17419"/>
  <c r="I79" i="17419"/>
  <c r="T74" i="17419"/>
  <c r="V72" i="17419"/>
  <c r="J27" i="17419"/>
  <c r="AF27" i="17419"/>
  <c r="S72" i="17419"/>
  <c r="P81" i="17419"/>
  <c r="I71" i="17419"/>
  <c r="Y80" i="17419"/>
  <c r="K79" i="17419"/>
  <c r="U79" i="17419"/>
  <c r="L78" i="17419"/>
  <c r="AB78" i="17419"/>
  <c r="P78" i="17419"/>
  <c r="AC79" i="17419"/>
  <c r="Y79" i="17419"/>
  <c r="AA79" i="17419"/>
  <c r="P79" i="17419"/>
  <c r="Q79" i="17419"/>
  <c r="W79" i="17419"/>
  <c r="R72" i="17419"/>
  <c r="AF75" i="17419"/>
  <c r="T80" i="17419"/>
  <c r="AB79" i="17419"/>
  <c r="L79" i="17419"/>
  <c r="AA77" i="17419"/>
  <c r="W76" i="17419"/>
  <c r="AD72" i="17419"/>
  <c r="O78" i="17419"/>
  <c r="AD78" i="17419"/>
  <c r="M78" i="17419"/>
  <c r="N78" i="17419"/>
  <c r="O79" i="17419"/>
  <c r="R79" i="17419"/>
  <c r="T79" i="17419"/>
  <c r="K78" i="17419"/>
  <c r="AE71" i="17419"/>
  <c r="Q80" i="17419"/>
  <c r="J80" i="17419"/>
  <c r="AE79" i="17419"/>
  <c r="U78" i="17419"/>
  <c r="J79" i="17419"/>
  <c r="Z79" i="17419"/>
  <c r="S79" i="17419"/>
  <c r="AA78" i="17419"/>
  <c r="O80" i="17419"/>
  <c r="P80" i="17419"/>
  <c r="AV17" i="17419"/>
  <c r="AV28" i="17419" s="1"/>
  <c r="AX78" i="17419"/>
  <c r="AW17" i="17419"/>
  <c r="AW28" i="17419" s="1"/>
  <c r="AY78" i="17419"/>
  <c r="AM17" i="17419"/>
  <c r="AM28" i="17419" s="1"/>
  <c r="AO78" i="17419"/>
  <c r="AC17" i="17419"/>
  <c r="AC28" i="17419" s="1"/>
  <c r="AE78" i="17419"/>
  <c r="AA17" i="17419"/>
  <c r="AA28" i="17419" s="1"/>
  <c r="AC78" i="17419"/>
  <c r="AF17" i="17419"/>
  <c r="AH78" i="17419"/>
  <c r="BC17" i="17419"/>
  <c r="BC28" i="17419" s="1"/>
  <c r="P17" i="17419"/>
  <c r="P28" i="17419" s="1"/>
  <c r="R78" i="17419"/>
  <c r="Q17" i="17419"/>
  <c r="S78" i="17419"/>
  <c r="W17" i="17419"/>
  <c r="W28" i="17419" s="1"/>
  <c r="Y78" i="17419"/>
  <c r="U17" i="17419"/>
  <c r="U28" i="17419" s="1"/>
  <c r="W78" i="17419"/>
  <c r="AO17" i="17419"/>
  <c r="AO28" i="17419" s="1"/>
  <c r="AQ78" i="17419"/>
  <c r="BA17" i="17419"/>
  <c r="BA28" i="17419" s="1"/>
  <c r="BA79" i="17419"/>
  <c r="V17" i="17419"/>
  <c r="V28" i="17419" s="1"/>
  <c r="X78" i="17419"/>
  <c r="X17" i="17419"/>
  <c r="X28" i="17419" s="1"/>
  <c r="Z78" i="17419"/>
  <c r="AU17" i="17419"/>
  <c r="AU28" i="17419" s="1"/>
  <c r="AW78" i="17419"/>
  <c r="AK17" i="17419"/>
  <c r="AK28" i="17419" s="1"/>
  <c r="AK79" i="17419"/>
  <c r="O17" i="17419"/>
  <c r="O28" i="17419" s="1"/>
  <c r="Q78" i="17419"/>
  <c r="BB17" i="17419"/>
  <c r="BB28" i="17419" s="1"/>
  <c r="AJ17" i="17419"/>
  <c r="AJ28" i="17419" s="1"/>
  <c r="AL78" i="17419"/>
  <c r="R17" i="17419"/>
  <c r="R28" i="17419" s="1"/>
  <c r="T78" i="17419"/>
  <c r="AI17" i="17419"/>
  <c r="AI28" i="17419" s="1"/>
  <c r="AK78" i="17419"/>
  <c r="T17" i="17419"/>
  <c r="T28" i="17419" s="1"/>
  <c r="V78" i="17419"/>
  <c r="AT17" i="17419"/>
  <c r="AT28" i="17419" s="1"/>
  <c r="AV78" i="17419"/>
  <c r="AN17" i="17419"/>
  <c r="AN28" i="17419" s="1"/>
  <c r="AP78" i="17419"/>
  <c r="AL17" i="17419"/>
  <c r="AL28" i="17419" s="1"/>
  <c r="AN78" i="17419"/>
  <c r="H17" i="17419"/>
  <c r="H28" i="17419" s="1"/>
  <c r="I17" i="17419"/>
  <c r="I28" i="17419" s="1"/>
  <c r="K17" i="17419"/>
  <c r="K28" i="17419" s="1"/>
  <c r="M17" i="17419"/>
  <c r="M28" i="17419" s="1"/>
  <c r="AR17" i="17419"/>
  <c r="AR28" i="17419" s="1"/>
  <c r="AB17" i="17419"/>
  <c r="AQ17" i="17419"/>
  <c r="AQ28" i="17419" s="1"/>
  <c r="L17" i="17419"/>
  <c r="L28" i="17419" s="1"/>
  <c r="AS17" i="17419"/>
  <c r="AS28" i="17419" s="1"/>
  <c r="AP17" i="17419"/>
  <c r="J17" i="17419"/>
  <c r="AD17" i="17419"/>
  <c r="AD28" i="17419" s="1"/>
  <c r="Z17" i="17419"/>
  <c r="Z28" i="17419" s="1"/>
  <c r="N17" i="17419"/>
  <c r="N28" i="17419" s="1"/>
  <c r="S17" i="17419"/>
  <c r="S28" i="17419" s="1"/>
  <c r="AY17" i="17419"/>
  <c r="AY28" i="17419" s="1"/>
  <c r="AG17" i="17419"/>
  <c r="AG28" i="17419" s="1"/>
  <c r="Y17" i="17419"/>
  <c r="Y28" i="17419" s="1"/>
  <c r="AH17" i="17419"/>
  <c r="AH28" i="17419" s="1"/>
  <c r="AX17" i="17419"/>
  <c r="AZ17" i="17419"/>
  <c r="AZ28" i="17419" s="1"/>
  <c r="G14" i="17419"/>
  <c r="G15" i="17419"/>
  <c r="Q28" i="17419" l="1"/>
  <c r="AE28" i="17419"/>
  <c r="AB28" i="17419"/>
  <c r="AX28" i="17419"/>
  <c r="AP28" i="17419"/>
  <c r="G27" i="17419"/>
  <c r="AF28" i="17419"/>
  <c r="J28" i="17419"/>
  <c r="G17" i="17419"/>
  <c r="AE18" i="17419" s="1"/>
  <c r="G28" i="17419" l="1"/>
  <c r="I83" i="17419"/>
  <c r="H82" i="17419"/>
  <c r="I82" i="17419"/>
  <c r="H83" i="17419"/>
  <c r="AA18" i="17419"/>
  <c r="H18" i="17419"/>
  <c r="V18" i="17419"/>
  <c r="AB18" i="17419"/>
  <c r="AV18" i="17419"/>
  <c r="AH18" i="17419"/>
  <c r="I18" i="17419"/>
  <c r="AI18" i="17419"/>
  <c r="N18" i="17419"/>
  <c r="P18" i="17419"/>
  <c r="AM18" i="17419"/>
  <c r="AS18" i="17419"/>
  <c r="K18" i="17419"/>
  <c r="X18" i="17419"/>
  <c r="AK18" i="17419"/>
  <c r="AZ18" i="17419"/>
  <c r="AW18" i="17419"/>
  <c r="AY18" i="17419"/>
  <c r="Q18" i="17419"/>
  <c r="AJ18" i="17419"/>
  <c r="M18" i="17419"/>
  <c r="T18" i="17419"/>
  <c r="BA18" i="17419"/>
  <c r="AL18" i="17419"/>
  <c r="AO18" i="17419"/>
  <c r="J18" i="17419"/>
  <c r="AU18" i="17419"/>
  <c r="U18" i="17419"/>
  <c r="AR18" i="17419"/>
  <c r="AP18" i="17419"/>
  <c r="Y18" i="17419"/>
  <c r="O18" i="17419"/>
  <c r="L18" i="17419"/>
  <c r="W18" i="17419"/>
  <c r="AF18" i="17419"/>
  <c r="BC18" i="17419"/>
  <c r="AG18" i="17419"/>
  <c r="BB18" i="17419"/>
  <c r="AC18" i="17419"/>
  <c r="AQ18" i="17419"/>
  <c r="AD18" i="17419"/>
  <c r="AX18" i="17419"/>
  <c r="AT18" i="17419"/>
  <c r="Z18" i="17419"/>
  <c r="AN18" i="17419"/>
  <c r="R18" i="17419"/>
  <c r="S18" i="17419"/>
  <c r="G13" i="17419"/>
  <c r="I88" i="17419" l="1"/>
  <c r="H88" i="17419"/>
  <c r="I70" i="17419"/>
  <c r="H70" i="17419" l="1"/>
  <c r="P14" i="17418" l="1"/>
  <c r="Q63" i="17418"/>
  <c r="J11" i="8" l="1"/>
  <c r="J23" i="8"/>
  <c r="K14" i="8" l="1"/>
  <c r="K18" i="8"/>
  <c r="K16" i="8"/>
  <c r="K15" i="8"/>
  <c r="K17" i="8"/>
  <c r="K21" i="8"/>
  <c r="K20" i="8"/>
  <c r="E33" i="17422" s="1"/>
  <c r="K19" i="8"/>
  <c r="K13" i="8"/>
  <c r="E27" i="17422" s="1"/>
  <c r="K22" i="8"/>
  <c r="L23" i="8"/>
  <c r="J36" i="8"/>
  <c r="K23" i="8" s="1"/>
  <c r="E36" i="17422" l="1"/>
  <c r="E30" i="17422"/>
  <c r="AL31" i="17422" s="1"/>
  <c r="E39" i="17422"/>
  <c r="AE40" i="17422" s="1"/>
  <c r="E42" i="17422"/>
  <c r="AM43" i="17422" s="1"/>
  <c r="AH28" i="17422"/>
  <c r="AL28" i="17422"/>
  <c r="AP28" i="17422"/>
  <c r="AK28" i="17422"/>
  <c r="AO28" i="17422"/>
  <c r="AJ28" i="17422"/>
  <c r="AN28" i="17422"/>
  <c r="AI28" i="17422"/>
  <c r="AM28" i="17422"/>
  <c r="AG28" i="17422"/>
  <c r="AF28" i="17422"/>
  <c r="AE28" i="17422"/>
  <c r="AF37" i="17422"/>
  <c r="AG37" i="17422"/>
  <c r="AI37" i="17422"/>
  <c r="AL37" i="17422"/>
  <c r="AJ37" i="17422"/>
  <c r="AE37" i="17422"/>
  <c r="AM37" i="17422"/>
  <c r="AP37" i="17422"/>
  <c r="AN37" i="17422"/>
  <c r="AO37" i="17422"/>
  <c r="AK37" i="17422"/>
  <c r="AH37" i="17422"/>
  <c r="K29" i="8"/>
  <c r="J55" i="8"/>
  <c r="K34" i="8"/>
  <c r="L36" i="8"/>
  <c r="AN34" i="17422"/>
  <c r="AF34" i="17422"/>
  <c r="AP34" i="17422"/>
  <c r="AO34" i="17422"/>
  <c r="AH34" i="17422"/>
  <c r="AM34" i="17422"/>
  <c r="AE34" i="17422"/>
  <c r="AG34" i="17422"/>
  <c r="AJ34" i="17422"/>
  <c r="AL34" i="17422"/>
  <c r="AI34" i="17422"/>
  <c r="AK34" i="17422"/>
  <c r="AJ31" i="17422"/>
  <c r="AE31" i="17422"/>
  <c r="AK31" i="17422"/>
  <c r="AF31" i="17422"/>
  <c r="AG31" i="17422"/>
  <c r="AO31" i="17422"/>
  <c r="AI31" i="17422"/>
  <c r="AP31" i="17422"/>
  <c r="AN31" i="17422" l="1"/>
  <c r="AH31" i="17422"/>
  <c r="AM31" i="17422"/>
  <c r="AJ43" i="17422"/>
  <c r="AG43" i="17422"/>
  <c r="AO40" i="17422"/>
  <c r="AI40" i="17422"/>
  <c r="AN40" i="17422"/>
  <c r="AN45" i="17422" s="1"/>
  <c r="AF40" i="17422"/>
  <c r="AK40" i="17422"/>
  <c r="AM40" i="17422"/>
  <c r="AL43" i="17422"/>
  <c r="AP40" i="17422"/>
  <c r="AF43" i="17422"/>
  <c r="AH40" i="17422"/>
  <c r="AP43" i="17422"/>
  <c r="AL40" i="17422"/>
  <c r="AJ40" i="17422"/>
  <c r="AG40" i="17422"/>
  <c r="AI43" i="17422"/>
  <c r="AK43" i="17422"/>
  <c r="AO43" i="17422"/>
  <c r="AO45" i="17422" s="1"/>
  <c r="AN43" i="17422"/>
  <c r="AH43" i="17422"/>
  <c r="AH45" i="17422" s="1"/>
  <c r="AE43" i="17422"/>
  <c r="AE45" i="17422" s="1"/>
  <c r="E45" i="17422"/>
  <c r="J38" i="8"/>
  <c r="J56" i="8"/>
  <c r="J40" i="8"/>
  <c r="J45" i="17418" s="1"/>
  <c r="P45" i="17418" s="1"/>
  <c r="J48" i="8"/>
  <c r="J53" i="17418" s="1"/>
  <c r="P53" i="17418" s="1"/>
  <c r="J46" i="8"/>
  <c r="J51" i="17418" s="1"/>
  <c r="P51" i="17418" s="1"/>
  <c r="J49" i="8"/>
  <c r="J54" i="17418" s="1"/>
  <c r="P54" i="17418" s="1"/>
  <c r="J39" i="8"/>
  <c r="J44" i="17418" s="1"/>
  <c r="P44" i="17418" s="1"/>
  <c r="L55" i="8"/>
  <c r="J43" i="8"/>
  <c r="J48" i="17418" s="1"/>
  <c r="P48" i="17418" s="1"/>
  <c r="J47" i="8"/>
  <c r="J52" i="17418" s="1"/>
  <c r="P52" i="17418" s="1"/>
  <c r="J41" i="8"/>
  <c r="J46" i="17418" s="1"/>
  <c r="P46" i="17418" s="1"/>
  <c r="E37" i="17419"/>
  <c r="E38" i="17419" s="1"/>
  <c r="J50" i="8"/>
  <c r="J55" i="17418" s="1"/>
  <c r="P55" i="17418" s="1"/>
  <c r="J42" i="8"/>
  <c r="J47" i="17418" s="1"/>
  <c r="P47" i="17418" s="1"/>
  <c r="J51" i="8"/>
  <c r="J56" i="17418" s="1"/>
  <c r="P56" i="17418" s="1"/>
  <c r="J45" i="8"/>
  <c r="J50" i="17418" s="1"/>
  <c r="P50" i="17418" s="1"/>
  <c r="J44" i="8"/>
  <c r="J49" i="17418" s="1"/>
  <c r="P49" i="17418" s="1"/>
  <c r="AM45" i="17422" l="1"/>
  <c r="AK45" i="17422"/>
  <c r="AJ45" i="17422"/>
  <c r="AG45" i="17422"/>
  <c r="AI45" i="17422"/>
  <c r="AF45" i="17422"/>
  <c r="AL45" i="17422"/>
  <c r="AP45" i="17422"/>
  <c r="AE46" i="17422"/>
  <c r="L56" i="8"/>
  <c r="K61" i="8"/>
  <c r="J53" i="8"/>
  <c r="G58" i="17419" s="1"/>
  <c r="J43" i="17418"/>
  <c r="AF46" i="17422" l="1"/>
  <c r="AG46" i="17422" s="1"/>
  <c r="AH46" i="17422" s="1"/>
  <c r="AI46" i="17422" s="1"/>
  <c r="AJ46" i="17422" s="1"/>
  <c r="AK46" i="17422" s="1"/>
  <c r="AL46" i="17422" s="1"/>
  <c r="AM46" i="17422" s="1"/>
  <c r="AN46" i="17422" s="1"/>
  <c r="AO46" i="17422" s="1"/>
  <c r="AP46" i="17422" s="1"/>
  <c r="AV58" i="17419"/>
  <c r="AV59" i="17419" s="1"/>
  <c r="V58" i="17419"/>
  <c r="V59" i="17419" s="1"/>
  <c r="AF58" i="17419"/>
  <c r="AF59" i="17419" s="1"/>
  <c r="BA58" i="17419"/>
  <c r="BA59" i="17419" s="1"/>
  <c r="AL58" i="17419"/>
  <c r="AL59" i="17419" s="1"/>
  <c r="X58" i="17419"/>
  <c r="X59" i="17419" s="1"/>
  <c r="AB58" i="17419"/>
  <c r="AB59" i="17419" s="1"/>
  <c r="AQ58" i="17419"/>
  <c r="AQ59" i="17419" s="1"/>
  <c r="AO58" i="17419"/>
  <c r="AO59" i="17419" s="1"/>
  <c r="AK58" i="17419"/>
  <c r="AK59" i="17419" s="1"/>
  <c r="AW58" i="17419"/>
  <c r="AW59" i="17419" s="1"/>
  <c r="BC58" i="17419"/>
  <c r="BC59" i="17419" s="1"/>
  <c r="N58" i="17419"/>
  <c r="N59" i="17419" s="1"/>
  <c r="L58" i="17419"/>
  <c r="L59" i="17419" s="1"/>
  <c r="AD58" i="17419"/>
  <c r="AD59" i="17419" s="1"/>
  <c r="AN58" i="17419"/>
  <c r="AN59" i="17419" s="1"/>
  <c r="AC58" i="17419"/>
  <c r="AC59" i="17419" s="1"/>
  <c r="H58" i="17419"/>
  <c r="H59" i="17419" s="1"/>
  <c r="M58" i="17419"/>
  <c r="M59" i="17419" s="1"/>
  <c r="R58" i="17419"/>
  <c r="R59" i="17419" s="1"/>
  <c r="AR58" i="17419"/>
  <c r="AR59" i="17419" s="1"/>
  <c r="AY58" i="17419"/>
  <c r="AY59" i="17419" s="1"/>
  <c r="W58" i="17419"/>
  <c r="W59" i="17419" s="1"/>
  <c r="AA58" i="17419"/>
  <c r="AA59" i="17419" s="1"/>
  <c r="AE58" i="17419"/>
  <c r="AE59" i="17419" s="1"/>
  <c r="Q58" i="17419"/>
  <c r="Q59" i="17419" s="1"/>
  <c r="AX58" i="17419"/>
  <c r="AX59" i="17419" s="1"/>
  <c r="AS58" i="17419"/>
  <c r="AS59" i="17419" s="1"/>
  <c r="AH58" i="17419"/>
  <c r="AH59" i="17419" s="1"/>
  <c r="AU58" i="17419"/>
  <c r="AU59" i="17419" s="1"/>
  <c r="P58" i="17419"/>
  <c r="P59" i="17419" s="1"/>
  <c r="AT58" i="17419"/>
  <c r="AT59" i="17419" s="1"/>
  <c r="AJ58" i="17419"/>
  <c r="AJ59" i="17419" s="1"/>
  <c r="U58" i="17419"/>
  <c r="U59" i="17419" s="1"/>
  <c r="S58" i="17419"/>
  <c r="S59" i="17419" s="1"/>
  <c r="AZ58" i="17419"/>
  <c r="AZ59" i="17419" s="1"/>
  <c r="BB58" i="17419"/>
  <c r="BB59" i="17419" s="1"/>
  <c r="AG58" i="17419"/>
  <c r="AG59" i="17419" s="1"/>
  <c r="J58" i="17418"/>
  <c r="P58" i="17418" s="1"/>
  <c r="P43" i="17418"/>
  <c r="I58" i="17419"/>
  <c r="I59" i="17419" s="1"/>
  <c r="AM58" i="17419"/>
  <c r="AM59" i="17419" s="1"/>
  <c r="AP58" i="17419"/>
  <c r="AP59" i="17419" s="1"/>
  <c r="Y58" i="17419"/>
  <c r="Y59" i="17419" s="1"/>
  <c r="J58" i="17419"/>
  <c r="J59" i="17419" s="1"/>
  <c r="AI58" i="17419"/>
  <c r="AI59" i="17419" s="1"/>
  <c r="O58" i="17419"/>
  <c r="O59" i="17419" s="1"/>
  <c r="Z58" i="17419"/>
  <c r="Z59" i="17419" s="1"/>
  <c r="T58" i="17419"/>
  <c r="T59" i="17419" s="1"/>
  <c r="K58" i="17419"/>
  <c r="K59" i="17419" s="1"/>
  <c r="W33" i="17419" l="1"/>
  <c r="Q83" i="17419" s="1"/>
  <c r="W32" i="17419"/>
  <c r="Q82" i="17419" s="1"/>
  <c r="W34" i="17419"/>
  <c r="AD32" i="17419"/>
  <c r="AD34" i="17419"/>
  <c r="AD33" i="17419"/>
  <c r="AB33" i="17419"/>
  <c r="AB34" i="17419"/>
  <c r="AB32" i="17419"/>
  <c r="AU34" i="17419"/>
  <c r="AU33" i="17419"/>
  <c r="AU32" i="17419"/>
  <c r="AY32" i="17419"/>
  <c r="AY33" i="17419"/>
  <c r="AY34" i="17419"/>
  <c r="L33" i="17419"/>
  <c r="L34" i="17419"/>
  <c r="L32" i="17419"/>
  <c r="X33" i="17419"/>
  <c r="X34" i="17419"/>
  <c r="X32" i="17419"/>
  <c r="O33" i="17419"/>
  <c r="M83" i="17419" s="1"/>
  <c r="O32" i="17419"/>
  <c r="M82" i="17419" s="1"/>
  <c r="O34" i="17419"/>
  <c r="BB33" i="17419"/>
  <c r="BB34" i="17419"/>
  <c r="BB32" i="17419"/>
  <c r="AH33" i="17419"/>
  <c r="AJ83" i="17419" s="1"/>
  <c r="AH34" i="17419"/>
  <c r="AH32" i="17419"/>
  <c r="AJ82" i="17419" s="1"/>
  <c r="AR33" i="17419"/>
  <c r="AT83" i="17419" s="1"/>
  <c r="AR32" i="17419"/>
  <c r="AT82" i="17419" s="1"/>
  <c r="AR34" i="17419"/>
  <c r="N34" i="17419"/>
  <c r="N33" i="17419"/>
  <c r="N32" i="17419"/>
  <c r="AL34" i="17419"/>
  <c r="AL33" i="17419"/>
  <c r="AN83" i="17419" s="1"/>
  <c r="AL32" i="17419"/>
  <c r="AN82" i="17419" s="1"/>
  <c r="AN88" i="17419" s="1"/>
  <c r="P32" i="17419"/>
  <c r="P33" i="17419"/>
  <c r="P34" i="17419"/>
  <c r="AS33" i="17419"/>
  <c r="AS34" i="17419"/>
  <c r="AS32" i="17419"/>
  <c r="R34" i="17419"/>
  <c r="R33" i="17419"/>
  <c r="R32" i="17419"/>
  <c r="BC32" i="17419"/>
  <c r="AG82" i="17419" s="1"/>
  <c r="BC33" i="17419"/>
  <c r="AG83" i="17419" s="1"/>
  <c r="BC34" i="17419"/>
  <c r="BA32" i="17419"/>
  <c r="BA33" i="17419"/>
  <c r="BA34" i="17419"/>
  <c r="AI32" i="17419"/>
  <c r="AI33" i="17419"/>
  <c r="AI34" i="17419"/>
  <c r="AP34" i="17419"/>
  <c r="AP33" i="17419"/>
  <c r="AR83" i="17419" s="1"/>
  <c r="AP32" i="17419"/>
  <c r="AR82" i="17419" s="1"/>
  <c r="AR88" i="17419" s="1"/>
  <c r="AX32" i="17419"/>
  <c r="AZ82" i="17419" s="1"/>
  <c r="AX33" i="17419"/>
  <c r="AZ83" i="17419" s="1"/>
  <c r="AX34" i="17419"/>
  <c r="M34" i="17419"/>
  <c r="M33" i="17419"/>
  <c r="L83" i="17419" s="1"/>
  <c r="M32" i="17419"/>
  <c r="L82" i="17419" s="1"/>
  <c r="AW34" i="17419"/>
  <c r="AW32" i="17419"/>
  <c r="AW33" i="17419"/>
  <c r="AF34" i="17419"/>
  <c r="AF33" i="17419"/>
  <c r="AH83" i="17419" s="1"/>
  <c r="AF32" i="17419"/>
  <c r="AH82" i="17419" s="1"/>
  <c r="J32" i="17419"/>
  <c r="J33" i="17419"/>
  <c r="J34" i="17419"/>
  <c r="S33" i="17419"/>
  <c r="O83" i="17419" s="1"/>
  <c r="S34" i="17419"/>
  <c r="S32" i="17419"/>
  <c r="O82" i="17419" s="1"/>
  <c r="U34" i="17419"/>
  <c r="U33" i="17419"/>
  <c r="P83" i="17419" s="1"/>
  <c r="U32" i="17419"/>
  <c r="P82" i="17419" s="1"/>
  <c r="Q34" i="17419"/>
  <c r="Q33" i="17419"/>
  <c r="N83" i="17419" s="1"/>
  <c r="Q32" i="17419"/>
  <c r="N82" i="17419" s="1"/>
  <c r="H32" i="17419"/>
  <c r="H33" i="17419"/>
  <c r="G59" i="17419"/>
  <c r="H34" i="17419"/>
  <c r="AK33" i="17419"/>
  <c r="AK32" i="17419"/>
  <c r="AK34" i="17419"/>
  <c r="V32" i="17419"/>
  <c r="V34" i="17419"/>
  <c r="V33" i="17419"/>
  <c r="AG33" i="17419"/>
  <c r="AG32" i="17419"/>
  <c r="AG34" i="17419"/>
  <c r="AZ34" i="17419"/>
  <c r="AZ33" i="17419"/>
  <c r="BB83" i="17419" s="1"/>
  <c r="AZ32" i="17419"/>
  <c r="BB82" i="17419" s="1"/>
  <c r="BB88" i="17419" s="1"/>
  <c r="AM32" i="17419"/>
  <c r="AM34" i="17419"/>
  <c r="AM33" i="17419"/>
  <c r="I34" i="17419"/>
  <c r="I33" i="17419"/>
  <c r="J83" i="17419" s="1"/>
  <c r="I32" i="17419"/>
  <c r="J82" i="17419" s="1"/>
  <c r="AJ32" i="17419"/>
  <c r="AL82" i="17419" s="1"/>
  <c r="AJ33" i="17419"/>
  <c r="AL83" i="17419" s="1"/>
  <c r="AJ34" i="17419"/>
  <c r="AE34" i="17419"/>
  <c r="AE32" i="17419"/>
  <c r="U82" i="17419" s="1"/>
  <c r="AE33" i="17419"/>
  <c r="U83" i="17419" s="1"/>
  <c r="AC33" i="17419"/>
  <c r="T83" i="17419" s="1"/>
  <c r="AC34" i="17419"/>
  <c r="AC32" i="17419"/>
  <c r="T82" i="17419" s="1"/>
  <c r="AO33" i="17419"/>
  <c r="AO34" i="17419"/>
  <c r="AO32" i="17419"/>
  <c r="AV32" i="17419"/>
  <c r="AX82" i="17419" s="1"/>
  <c r="AX88" i="17419" s="1"/>
  <c r="AV34" i="17419"/>
  <c r="AV33" i="17419"/>
  <c r="AX83" i="17419" s="1"/>
  <c r="Y34" i="17419"/>
  <c r="Y32" i="17419"/>
  <c r="R82" i="17419" s="1"/>
  <c r="Y33" i="17419"/>
  <c r="R83" i="17419" s="1"/>
  <c r="K33" i="17419"/>
  <c r="K83" i="17419" s="1"/>
  <c r="K34" i="17419"/>
  <c r="K32" i="17419"/>
  <c r="K82" i="17419" s="1"/>
  <c r="K70" i="17419" s="1"/>
  <c r="T33" i="17419"/>
  <c r="T32" i="17419"/>
  <c r="T34" i="17419"/>
  <c r="Z34" i="17419"/>
  <c r="Z32" i="17419"/>
  <c r="Z33" i="17419"/>
  <c r="AT32" i="17419"/>
  <c r="AV82" i="17419" s="1"/>
  <c r="AT33" i="17419"/>
  <c r="AV83" i="17419" s="1"/>
  <c r="AT34" i="17419"/>
  <c r="AA34" i="17419"/>
  <c r="AA33" i="17419"/>
  <c r="S83" i="17419" s="1"/>
  <c r="AA32" i="17419"/>
  <c r="S82" i="17419" s="1"/>
  <c r="AN32" i="17419"/>
  <c r="AP82" i="17419" s="1"/>
  <c r="AP88" i="17419" s="1"/>
  <c r="AN34" i="17419"/>
  <c r="AN33" i="17419"/>
  <c r="AP83" i="17419" s="1"/>
  <c r="AQ32" i="17419"/>
  <c r="AQ34" i="17419"/>
  <c r="AQ33" i="17419"/>
  <c r="AU62" i="17418"/>
  <c r="AF62" i="17418"/>
  <c r="AJ62" i="17418"/>
  <c r="BK62" i="17418"/>
  <c r="T62" i="17418"/>
  <c r="BJ62" i="17418"/>
  <c r="AI62" i="17418"/>
  <c r="BB62" i="17418"/>
  <c r="BG62" i="17418"/>
  <c r="AL62" i="17418"/>
  <c r="AT62" i="17418"/>
  <c r="AV62" i="17418"/>
  <c r="BD62" i="17418"/>
  <c r="S62" i="17418"/>
  <c r="W62" i="17418"/>
  <c r="AX62" i="17418"/>
  <c r="AW62" i="17418"/>
  <c r="BH62" i="17418"/>
  <c r="AK62" i="17418"/>
  <c r="AQ62" i="17418"/>
  <c r="BA62" i="17418"/>
  <c r="X62" i="17418"/>
  <c r="AS62" i="17418"/>
  <c r="BM62" i="17418"/>
  <c r="BE62" i="17418"/>
  <c r="AR62" i="17418"/>
  <c r="AD62" i="17418"/>
  <c r="AH62" i="17418"/>
  <c r="V62" i="17418"/>
  <c r="BF62" i="17418"/>
  <c r="AP62" i="17418"/>
  <c r="AE62" i="17418"/>
  <c r="U62" i="17418"/>
  <c r="BI62" i="17418"/>
  <c r="BL62" i="17418"/>
  <c r="AY62" i="17418"/>
  <c r="AC62" i="17418"/>
  <c r="AA62" i="17418"/>
  <c r="AG62" i="17418"/>
  <c r="Y62" i="17418"/>
  <c r="AZ62" i="17418"/>
  <c r="BC62" i="17418"/>
  <c r="AM62" i="17418"/>
  <c r="Z62" i="17418"/>
  <c r="Q62" i="17418"/>
  <c r="Q65" i="17418" s="1"/>
  <c r="AO62" i="17418"/>
  <c r="AB62" i="17418"/>
  <c r="R62" i="17418"/>
  <c r="AN62" i="17418"/>
  <c r="AI82" i="17419" l="1"/>
  <c r="V82" i="17419"/>
  <c r="G34" i="17419"/>
  <c r="AH88" i="17419"/>
  <c r="AH70" i="17419"/>
  <c r="AK83" i="17419"/>
  <c r="W83" i="17419"/>
  <c r="AT88" i="17419"/>
  <c r="AS82" i="17419"/>
  <c r="AA82" i="17419"/>
  <c r="U88" i="17419"/>
  <c r="U70" i="17419"/>
  <c r="AO83" i="17419"/>
  <c r="Y83" i="17419"/>
  <c r="AI83" i="17419"/>
  <c r="V83" i="17419"/>
  <c r="H67" i="17419"/>
  <c r="N65" i="17419"/>
  <c r="AD65" i="17419"/>
  <c r="AF65" i="17419"/>
  <c r="AQ65" i="17419"/>
  <c r="AT65" i="17419"/>
  <c r="AI65" i="17419"/>
  <c r="AG65" i="17419"/>
  <c r="AW65" i="17419"/>
  <c r="AO65" i="17419"/>
  <c r="AR65" i="17419"/>
  <c r="AM65" i="17419"/>
  <c r="K65" i="17419"/>
  <c r="AB65" i="17419"/>
  <c r="AA65" i="17419"/>
  <c r="R65" i="17419"/>
  <c r="I65" i="17419"/>
  <c r="U65" i="17419"/>
  <c r="AH65" i="17419"/>
  <c r="AL65" i="17419"/>
  <c r="BB65" i="17419"/>
  <c r="AP65" i="17419"/>
  <c r="AV65" i="17419"/>
  <c r="Y65" i="17419"/>
  <c r="BC65" i="17419"/>
  <c r="X65" i="17419"/>
  <c r="AY65" i="17419"/>
  <c r="AE65" i="17419"/>
  <c r="Q65" i="17419"/>
  <c r="P65" i="17419"/>
  <c r="V65" i="17419"/>
  <c r="O65" i="17419"/>
  <c r="Z65" i="17419"/>
  <c r="S65" i="17419"/>
  <c r="AS65" i="17419"/>
  <c r="BA65" i="17419"/>
  <c r="L65" i="17419"/>
  <c r="T65" i="17419"/>
  <c r="AC65" i="17419"/>
  <c r="AZ65" i="17419"/>
  <c r="H65" i="17419"/>
  <c r="H66" i="17419" s="1"/>
  <c r="H64" i="17419" s="1"/>
  <c r="M65" i="17419"/>
  <c r="J65" i="17419"/>
  <c r="AN65" i="17419"/>
  <c r="AJ65" i="17419"/>
  <c r="W65" i="17419"/>
  <c r="AE68" i="17419"/>
  <c r="AX65" i="17419"/>
  <c r="AK65" i="17419"/>
  <c r="AU65" i="17419"/>
  <c r="AK82" i="17419"/>
  <c r="W82" i="17419"/>
  <c r="M88" i="17419"/>
  <c r="M70" i="17419"/>
  <c r="AV88" i="17419"/>
  <c r="AQ82" i="17419"/>
  <c r="Z82" i="17419"/>
  <c r="G33" i="17419"/>
  <c r="O88" i="17419"/>
  <c r="O70" i="17419"/>
  <c r="AJ88" i="17419"/>
  <c r="AJ70" i="17419"/>
  <c r="BA83" i="17419"/>
  <c r="AE83" i="17419"/>
  <c r="K88" i="17419"/>
  <c r="AO82" i="17419"/>
  <c r="Y82" i="17419"/>
  <c r="G32" i="17419"/>
  <c r="AY83" i="17419"/>
  <c r="AD83" i="17419"/>
  <c r="AZ88" i="17419"/>
  <c r="BC83" i="17419"/>
  <c r="AF83" i="17419"/>
  <c r="AU82" i="17419"/>
  <c r="AB82" i="17419"/>
  <c r="BA82" i="17419"/>
  <c r="AE82" i="17419"/>
  <c r="AQ83" i="17419"/>
  <c r="Z83" i="17419"/>
  <c r="N88" i="17419"/>
  <c r="N70" i="17419"/>
  <c r="AY82" i="17419"/>
  <c r="AD82" i="17419"/>
  <c r="BC82" i="17419"/>
  <c r="BC88" i="17419" s="1"/>
  <c r="AF82" i="17419"/>
  <c r="AW82" i="17419"/>
  <c r="AW88" i="17419" s="1"/>
  <c r="AC82" i="17419"/>
  <c r="S88" i="17419"/>
  <c r="S70" i="17419"/>
  <c r="R88" i="17419"/>
  <c r="R70" i="17419"/>
  <c r="T88" i="17419"/>
  <c r="T70" i="17419"/>
  <c r="AL88" i="17419"/>
  <c r="AL70" i="17419"/>
  <c r="AU83" i="17419"/>
  <c r="AB83" i="17419"/>
  <c r="AW83" i="17419"/>
  <c r="AC83" i="17419"/>
  <c r="J88" i="17419"/>
  <c r="J70" i="17419"/>
  <c r="AM82" i="17419"/>
  <c r="X82" i="17419"/>
  <c r="L88" i="17419"/>
  <c r="L70" i="17419"/>
  <c r="Q88" i="17419"/>
  <c r="Q70" i="17419"/>
  <c r="AS83" i="17419"/>
  <c r="AA83" i="17419"/>
  <c r="AM83" i="17419"/>
  <c r="X83" i="17419"/>
  <c r="P88" i="17419"/>
  <c r="P70" i="17419"/>
  <c r="AG88" i="17419"/>
  <c r="AG70" i="17419"/>
  <c r="R65" i="17418"/>
  <c r="S65" i="17418" s="1"/>
  <c r="AC88" i="17419" l="1"/>
  <c r="AC70" i="17419"/>
  <c r="AC67" i="17419"/>
  <c r="AC66" i="17419"/>
  <c r="AC64" i="17419"/>
  <c r="AC89" i="17419" s="1"/>
  <c r="V66" i="17419"/>
  <c r="V67" i="17419"/>
  <c r="V64" i="17419"/>
  <c r="V89" i="17419" s="1"/>
  <c r="AV67" i="17419"/>
  <c r="AV66" i="17419"/>
  <c r="AA66" i="17419"/>
  <c r="AA67" i="17419"/>
  <c r="AA64" i="17419"/>
  <c r="AA89" i="17419" s="1"/>
  <c r="AI66" i="17419"/>
  <c r="AI67" i="17419"/>
  <c r="AI64" i="17419"/>
  <c r="AI89" i="17419" s="1"/>
  <c r="P67" i="17419"/>
  <c r="P66" i="17419"/>
  <c r="P64" i="17419"/>
  <c r="P89" i="17419" s="1"/>
  <c r="AF88" i="17419"/>
  <c r="AF70" i="17419"/>
  <c r="AF91" i="17419" s="1"/>
  <c r="AJ66" i="17419"/>
  <c r="AJ64" i="17419" s="1"/>
  <c r="AJ67" i="17419"/>
  <c r="L66" i="17419"/>
  <c r="L67" i="17419"/>
  <c r="L64" i="17419"/>
  <c r="L89" i="17419" s="1"/>
  <c r="Q67" i="17419"/>
  <c r="Q66" i="17419"/>
  <c r="Q64" i="17419"/>
  <c r="Q89" i="17419" s="1"/>
  <c r="BB67" i="17419"/>
  <c r="BB66" i="17419"/>
  <c r="K66" i="17419"/>
  <c r="K67" i="17419"/>
  <c r="K64" i="17419"/>
  <c r="AQ66" i="17419"/>
  <c r="AQ67" i="17419"/>
  <c r="W66" i="17419"/>
  <c r="W64" i="17419" s="1"/>
  <c r="W89" i="17419" s="1"/>
  <c r="W67" i="17419"/>
  <c r="BA88" i="17419"/>
  <c r="W88" i="17419"/>
  <c r="W70" i="17419"/>
  <c r="AN67" i="17419"/>
  <c r="AN66" i="17419"/>
  <c r="BA67" i="17419"/>
  <c r="BA66" i="17419"/>
  <c r="AE66" i="17419"/>
  <c r="AE67" i="17419"/>
  <c r="AE64" i="17419"/>
  <c r="AE89" i="17419" s="1"/>
  <c r="AL67" i="17419"/>
  <c r="AL66" i="17419"/>
  <c r="AL64" i="17419"/>
  <c r="AL89" i="17419" s="1"/>
  <c r="AM66" i="17419"/>
  <c r="AM67" i="17419"/>
  <c r="AF67" i="17419"/>
  <c r="AF66" i="17419"/>
  <c r="AF64" i="17419"/>
  <c r="AF89" i="17419" s="1"/>
  <c r="AH91" i="17419"/>
  <c r="AB67" i="17419"/>
  <c r="AB64" i="17419" s="1"/>
  <c r="AB89" i="17419" s="1"/>
  <c r="AB66" i="17419"/>
  <c r="AB88" i="17419"/>
  <c r="AB70" i="17419"/>
  <c r="Y88" i="17419"/>
  <c r="Y70" i="17419"/>
  <c r="AK88" i="17419"/>
  <c r="AK70" i="17419"/>
  <c r="J67" i="17419"/>
  <c r="J66" i="17419"/>
  <c r="J64" i="17419"/>
  <c r="AS67" i="17419"/>
  <c r="AS66" i="17419"/>
  <c r="AY66" i="17419"/>
  <c r="AY67" i="17419"/>
  <c r="AH67" i="17419"/>
  <c r="AH66" i="17419"/>
  <c r="AH64" i="17419"/>
  <c r="AH89" i="17419" s="1"/>
  <c r="AR66" i="17419"/>
  <c r="AR67" i="17419"/>
  <c r="AD67" i="17419"/>
  <c r="AD66" i="17419"/>
  <c r="AD64" i="17419"/>
  <c r="AD89" i="17419" s="1"/>
  <c r="AT66" i="17419"/>
  <c r="AT67" i="17419"/>
  <c r="AE88" i="17419"/>
  <c r="AE70" i="17419"/>
  <c r="AE91" i="17419" s="1"/>
  <c r="AD88" i="17419"/>
  <c r="AD70" i="17419"/>
  <c r="AY88" i="17419"/>
  <c r="AU88" i="17419"/>
  <c r="AO88" i="17419"/>
  <c r="AU66" i="17419"/>
  <c r="AU67" i="17419"/>
  <c r="M67" i="17419"/>
  <c r="M66" i="17419"/>
  <c r="M64" i="17419"/>
  <c r="M89" i="17419" s="1"/>
  <c r="S67" i="17419"/>
  <c r="S66" i="17419"/>
  <c r="S64" i="17419"/>
  <c r="S89" i="17419" s="1"/>
  <c r="X67" i="17419"/>
  <c r="X64" i="17419" s="1"/>
  <c r="X89" i="17419" s="1"/>
  <c r="X66" i="17419"/>
  <c r="U67" i="17419"/>
  <c r="U66" i="17419"/>
  <c r="U64" i="17419"/>
  <c r="U89" i="17419" s="1"/>
  <c r="AO67" i="17419"/>
  <c r="AO66" i="17419"/>
  <c r="N67" i="17419"/>
  <c r="N64" i="17419" s="1"/>
  <c r="N66" i="17419"/>
  <c r="AM88" i="17419"/>
  <c r="T66" i="17419"/>
  <c r="T67" i="17419"/>
  <c r="T64" i="17419"/>
  <c r="T89" i="17419" s="1"/>
  <c r="R91" i="17419"/>
  <c r="Z88" i="17419"/>
  <c r="Z70" i="17419"/>
  <c r="Z91" i="17419" s="1"/>
  <c r="AK67" i="17419"/>
  <c r="AK66" i="17419"/>
  <c r="AK64" i="17419" s="1"/>
  <c r="AK89" i="17419" s="1"/>
  <c r="H89" i="17419"/>
  <c r="H91" i="17419"/>
  <c r="H92" i="17419" s="1"/>
  <c r="Z67" i="17419"/>
  <c r="Z66" i="17419"/>
  <c r="Z64" i="17419"/>
  <c r="Z89" i="17419" s="1"/>
  <c r="BC66" i="17419"/>
  <c r="BC67" i="17419"/>
  <c r="I67" i="17419"/>
  <c r="I66" i="17419"/>
  <c r="I64" i="17419"/>
  <c r="AW66" i="17419"/>
  <c r="AW67" i="17419"/>
  <c r="AA88" i="17419"/>
  <c r="AA70" i="17419"/>
  <c r="AA91" i="17419" s="1"/>
  <c r="V88" i="17419"/>
  <c r="V70" i="17419"/>
  <c r="X88" i="17419"/>
  <c r="X70" i="17419"/>
  <c r="AP67" i="17419"/>
  <c r="AP66" i="17419"/>
  <c r="AQ88" i="17419"/>
  <c r="AX66" i="17419"/>
  <c r="AX67" i="17419"/>
  <c r="AZ66" i="17419"/>
  <c r="AZ67" i="17419"/>
  <c r="O66" i="17419"/>
  <c r="O67" i="17419"/>
  <c r="O64" i="17419"/>
  <c r="O89" i="17419" s="1"/>
  <c r="Y66" i="17419"/>
  <c r="Y64" i="17419" s="1"/>
  <c r="Y89" i="17419" s="1"/>
  <c r="Y67" i="17419"/>
  <c r="R67" i="17419"/>
  <c r="R66" i="17419"/>
  <c r="R64" i="17419"/>
  <c r="R89" i="17419" s="1"/>
  <c r="AG66" i="17419"/>
  <c r="AG67" i="17419"/>
  <c r="AG64" i="17419"/>
  <c r="AG89" i="17419" s="1"/>
  <c r="AS88" i="17419"/>
  <c r="AI88" i="17419"/>
  <c r="AI70" i="17419"/>
  <c r="T65" i="17418"/>
  <c r="AJ89" i="17419" l="1"/>
  <c r="AJ91" i="17419"/>
  <c r="N89" i="17419"/>
  <c r="N91" i="17419"/>
  <c r="Y91" i="17419"/>
  <c r="AC87" i="17419"/>
  <c r="U91" i="17419"/>
  <c r="W91" i="17419"/>
  <c r="AB91" i="17419"/>
  <c r="K89" i="17419"/>
  <c r="AI87" i="17419" s="1"/>
  <c r="K91" i="17419"/>
  <c r="AD91" i="17419"/>
  <c r="J89" i="17419"/>
  <c r="J91" i="17419"/>
  <c r="O91" i="17419"/>
  <c r="Y87" i="17419"/>
  <c r="X91" i="17419"/>
  <c r="T91" i="17419"/>
  <c r="L91" i="17419"/>
  <c r="AH87" i="17419"/>
  <c r="AA87" i="17419"/>
  <c r="AC91" i="17419"/>
  <c r="AG91" i="17419"/>
  <c r="Q91" i="17419"/>
  <c r="I89" i="17419"/>
  <c r="I91" i="17419"/>
  <c r="I92" i="17419" s="1"/>
  <c r="S91" i="17419"/>
  <c r="AI91" i="17419"/>
  <c r="H87" i="17419"/>
  <c r="V91" i="17419"/>
  <c r="P91" i="17419"/>
  <c r="W87" i="17419"/>
  <c r="N87" i="17419"/>
  <c r="M91" i="17419"/>
  <c r="AK91" i="17419"/>
  <c r="AL91" i="17419"/>
  <c r="U65" i="17418"/>
  <c r="P87" i="17419" l="1"/>
  <c r="T87" i="17419"/>
  <c r="J87" i="17419"/>
  <c r="M87" i="17419"/>
  <c r="K87" i="17419"/>
  <c r="U87" i="17419"/>
  <c r="R87" i="17419"/>
  <c r="O87" i="17419"/>
  <c r="Q87" i="17419"/>
  <c r="AJ87" i="17419"/>
  <c r="S87" i="17419"/>
  <c r="AL87" i="17419"/>
  <c r="AE87" i="17419"/>
  <c r="X87" i="17419"/>
  <c r="J92" i="17419"/>
  <c r="K92" i="17419" s="1"/>
  <c r="L92" i="17419" s="1"/>
  <c r="M92" i="17419" s="1"/>
  <c r="N92" i="17419" s="1"/>
  <c r="O92" i="17419" s="1"/>
  <c r="P92" i="17419" s="1"/>
  <c r="Q92" i="17419" s="1"/>
  <c r="R92" i="17419" s="1"/>
  <c r="S92" i="17419" s="1"/>
  <c r="T92" i="17419" s="1"/>
  <c r="U92" i="17419" s="1"/>
  <c r="V92" i="17419" s="1"/>
  <c r="W92" i="17419" s="1"/>
  <c r="X92" i="17419" s="1"/>
  <c r="Y92" i="17419" s="1"/>
  <c r="Z92" i="17419" s="1"/>
  <c r="AA92" i="17419" s="1"/>
  <c r="AB92" i="17419" s="1"/>
  <c r="AC92" i="17419" s="1"/>
  <c r="AD92" i="17419" s="1"/>
  <c r="AE92" i="17419" s="1"/>
  <c r="AF92" i="17419" s="1"/>
  <c r="AG92" i="17419" s="1"/>
  <c r="AH92" i="17419" s="1"/>
  <c r="AI92" i="17419" s="1"/>
  <c r="AJ92" i="17419" s="1"/>
  <c r="AK92" i="17419" s="1"/>
  <c r="AL92" i="17419" s="1"/>
  <c r="AM92" i="17419" s="1"/>
  <c r="AN92" i="17419" s="1"/>
  <c r="AO92" i="17419" s="1"/>
  <c r="AP92" i="17419" s="1"/>
  <c r="AQ92" i="17419" s="1"/>
  <c r="AR92" i="17419" s="1"/>
  <c r="AS92" i="17419" s="1"/>
  <c r="AT92" i="17419" s="1"/>
  <c r="AU92" i="17419" s="1"/>
  <c r="AV92" i="17419" s="1"/>
  <c r="AW92" i="17419" s="1"/>
  <c r="AX92" i="17419" s="1"/>
  <c r="AY92" i="17419" s="1"/>
  <c r="AZ92" i="17419" s="1"/>
  <c r="BA92" i="17419" s="1"/>
  <c r="BB92" i="17419" s="1"/>
  <c r="BC92" i="17419" s="1"/>
  <c r="AK87" i="17419"/>
  <c r="Z87" i="17419"/>
  <c r="V87" i="17419"/>
  <c r="I87" i="17419"/>
  <c r="AG87" i="17419"/>
  <c r="AF87" i="17419"/>
  <c r="L87" i="17419"/>
  <c r="AD87" i="17419"/>
  <c r="AB87" i="17419"/>
  <c r="V65" i="17418"/>
  <c r="W65" i="17418" l="1"/>
  <c r="X65" i="17418" l="1"/>
  <c r="Y65" i="17418" l="1"/>
  <c r="Z65" i="17418" l="1"/>
  <c r="AA65" i="17418" l="1"/>
  <c r="AB65" i="17418" l="1"/>
  <c r="AC65" i="17418" l="1"/>
  <c r="AD65" i="17418" l="1"/>
  <c r="AE65" i="17418" l="1"/>
  <c r="AF65" i="17418" l="1"/>
  <c r="AG65" i="17418" l="1"/>
  <c r="AH65" i="17418" l="1"/>
  <c r="AI65" i="17418" l="1"/>
  <c r="AJ65" i="17418" l="1"/>
  <c r="AK65" i="17418" l="1"/>
  <c r="AL65" i="17418" l="1"/>
  <c r="AM65" i="17418" l="1"/>
  <c r="AN65" i="17418" s="1"/>
  <c r="AM66" i="17418" l="1"/>
  <c r="AN66" i="17418"/>
  <c r="R66" i="17418"/>
  <c r="Q66" i="17418"/>
  <c r="S66" i="17418"/>
  <c r="T66" i="17418"/>
  <c r="U66" i="17418"/>
  <c r="V66" i="17418"/>
  <c r="W66" i="17418"/>
  <c r="X66" i="17418"/>
  <c r="Y66" i="17418"/>
  <c r="Z66" i="17418"/>
  <c r="AA66" i="17418"/>
  <c r="AB66" i="17418"/>
  <c r="AC66" i="17418"/>
  <c r="AD66" i="17418"/>
  <c r="AE66" i="17418"/>
  <c r="AF66" i="17418"/>
  <c r="AG66" i="17418"/>
  <c r="AH66" i="17418"/>
  <c r="AI66" i="17418"/>
  <c r="AJ66" i="17418"/>
  <c r="AK66" i="17418"/>
  <c r="AL66" i="17418"/>
</calcChain>
</file>

<file path=xl/comments1.xml><?xml version="1.0" encoding="utf-8"?>
<comments xmlns="http://schemas.openxmlformats.org/spreadsheetml/2006/main">
  <authors>
    <author>sanchezar</author>
  </authors>
  <commentList>
    <comment ref="R16" authorId="0" shapeId="0">
      <text>
        <r>
          <rPr>
            <b/>
            <sz val="8"/>
            <color indexed="81"/>
            <rFont val="Tahoma"/>
            <family val="2"/>
          </rPr>
          <t>sanchezar:</t>
        </r>
        <r>
          <rPr>
            <sz val="8"/>
            <color indexed="81"/>
            <rFont val="Tahoma"/>
            <family val="2"/>
          </rPr>
          <t xml:space="preserve">
el 5% del personal recibe esta ropa</t>
        </r>
      </text>
    </comment>
    <comment ref="Q22" authorId="0" shapeId="0">
      <text>
        <r>
          <rPr>
            <b/>
            <sz val="8"/>
            <color indexed="81"/>
            <rFont val="Tahoma"/>
            <family val="2"/>
          </rPr>
          <t>sanchezar:</t>
        </r>
        <r>
          <rPr>
            <sz val="8"/>
            <color indexed="81"/>
            <rFont val="Tahoma"/>
            <family val="2"/>
          </rPr>
          <t xml:space="preserve">
sòlo el 40% del personal come en obrador</t>
        </r>
      </text>
    </comment>
    <comment ref="Q23" authorId="0" shapeId="0">
      <text>
        <r>
          <rPr>
            <b/>
            <sz val="8"/>
            <color indexed="81"/>
            <rFont val="Tahoma"/>
            <family val="2"/>
          </rPr>
          <t>sanchezar:</t>
        </r>
        <r>
          <rPr>
            <sz val="8"/>
            <color indexed="81"/>
            <rFont val="Tahoma"/>
            <family val="2"/>
          </rPr>
          <t xml:space="preserve">
sòlo el 40% del personal come en obrador</t>
        </r>
      </text>
    </comment>
  </commentList>
</comments>
</file>

<file path=xl/comments2.xml><?xml version="1.0" encoding="utf-8"?>
<comments xmlns="http://schemas.openxmlformats.org/spreadsheetml/2006/main">
  <authors>
    <author>asanchez</author>
    <author>Patricio</author>
  </authors>
  <commentList>
    <comment ref="M285" authorId="0" shapeId="0">
      <text>
        <r>
          <rPr>
            <sz val="8"/>
            <color indexed="81"/>
            <rFont val="Tahoma"/>
            <family val="2"/>
          </rPr>
          <t>1,35 m3b/m3c
0,52 vol.exc.por m3 de escollera</t>
        </r>
      </text>
    </comment>
    <comment ref="M291" authorId="0" shapeId="0">
      <text>
        <r>
          <rPr>
            <sz val="8"/>
            <color indexed="81"/>
            <rFont val="Tahoma"/>
            <family val="2"/>
          </rPr>
          <t>1,05 desperdicio
0,03 sobrehormigon
4,50 m2/m3 encofrado
5 km DMT</t>
        </r>
      </text>
    </comment>
    <comment ref="M296" authorId="0" shapeId="0">
      <text>
        <r>
          <rPr>
            <sz val="8"/>
            <color indexed="81"/>
            <rFont val="Tahoma"/>
            <family val="2"/>
          </rPr>
          <t>1,05 desperdicio
0,03 sobrehormigon
3.80 m2/m3 encofrado
5km DMT</t>
        </r>
      </text>
    </comment>
    <comment ref="M304" authorId="0" shapeId="0">
      <text>
        <r>
          <rPr>
            <sz val="8"/>
            <color indexed="81"/>
            <rFont val="Tahoma"/>
            <family val="2"/>
          </rPr>
          <t>1,25 desperdicio
0,10 sobrehormigon
0,50 m2/m3 encofrado
5 km DMT</t>
        </r>
      </text>
    </comment>
    <comment ref="M306" authorId="0" shapeId="0">
      <text>
        <r>
          <rPr>
            <sz val="8"/>
            <color indexed="81"/>
            <rFont val="Tahoma"/>
            <family val="2"/>
          </rPr>
          <t>1,08 desperdicio
0,25 prop.coloc.manual</t>
        </r>
      </text>
    </comment>
    <comment ref="M314" authorId="0" shapeId="0">
      <text>
        <r>
          <rPr>
            <sz val="8"/>
            <color indexed="81"/>
            <rFont val="Tahoma"/>
            <family val="2"/>
          </rPr>
          <t>8 un/hr de plantación
1,10 pérdidas</t>
        </r>
      </text>
    </comment>
    <comment ref="M326" authorId="0" shapeId="0">
      <text>
        <r>
          <rPr>
            <sz val="8"/>
            <color indexed="81"/>
            <rFont val="Tahoma"/>
            <family val="2"/>
          </rPr>
          <t>10 m3/hr rend.retro
0,80 m3/hr rend.martillo
0,25 picado martillo</t>
        </r>
      </text>
    </comment>
    <comment ref="M341" authorId="0" shapeId="0">
      <text>
        <r>
          <rPr>
            <sz val="8"/>
            <color indexed="81"/>
            <rFont val="Tahoma"/>
            <family val="2"/>
          </rPr>
          <t xml:space="preserve">1,10 desperdicio
3,40 m2/m3 encofrado
7km DMT
</t>
        </r>
      </text>
    </comment>
    <comment ref="N346" authorId="0" shapeId="0">
      <text>
        <r>
          <rPr>
            <sz val="8"/>
            <color indexed="81"/>
            <rFont val="Tahoma"/>
            <family val="2"/>
          </rPr>
          <t>0,20 con arboles</t>
        </r>
      </text>
    </comment>
    <comment ref="M359" authorId="0" shapeId="0">
      <text>
        <r>
          <rPr>
            <sz val="8"/>
            <color indexed="81"/>
            <rFont val="Tahoma"/>
            <family val="2"/>
          </rPr>
          <t>1,25 desperdicio
0,10 sobrehormigon
0,50 m2/m3 encofrado
20 km DMT
15 cm esp</t>
        </r>
      </text>
    </comment>
    <comment ref="M374" authorId="0" shapeId="0">
      <text>
        <r>
          <rPr>
            <sz val="8"/>
            <color indexed="81"/>
            <rFont val="Tahoma"/>
            <family val="2"/>
          </rPr>
          <t>1,25 desperdicio
0,10 sobrehormigon
0,50 m2/m3 encofrado
20 km DMT</t>
        </r>
      </text>
    </comment>
    <comment ref="N381" authorId="1" shapeId="0">
      <text>
        <r>
          <rPr>
            <sz val="9"/>
            <color indexed="81"/>
            <rFont val="Tahoma"/>
            <family val="2"/>
          </rPr>
          <t>Rendimiento: 100m/h
Vol a Demoler: 200m3
Long: 10610</t>
        </r>
      </text>
    </comment>
    <comment ref="M384" authorId="0" shapeId="0">
      <text>
        <r>
          <rPr>
            <sz val="8"/>
            <color indexed="81"/>
            <rFont val="Tahoma"/>
            <family val="2"/>
          </rPr>
          <t>95% Exc. Mecanica
50% sobre-excavacion
30% A botadero
DMT 20Km</t>
        </r>
      </text>
    </comment>
    <comment ref="N388" authorId="1" shapeId="0">
      <text>
        <r>
          <rPr>
            <sz val="9"/>
            <color indexed="81"/>
            <rFont val="Tahoma"/>
            <family val="2"/>
          </rPr>
          <t>Rend.: 4hs/arbol</t>
        </r>
      </text>
    </comment>
    <comment ref="N397" authorId="1" shapeId="0">
      <text>
        <r>
          <rPr>
            <sz val="9"/>
            <color indexed="81"/>
            <rFont val="Tahoma"/>
            <family val="2"/>
          </rPr>
          <t xml:space="preserve">Espesor capa: 0,10m
Rend: 500m2/h
Rend.Semilla: 30Kg/m2
</t>
        </r>
      </text>
    </comment>
    <comment ref="N400" authorId="1" shapeId="0">
      <text>
        <r>
          <rPr>
            <sz val="9"/>
            <color indexed="81"/>
            <rFont val="Tahoma"/>
            <family val="2"/>
          </rPr>
          <t>Rend.: 30m2/Kg</t>
        </r>
      </text>
    </comment>
    <comment ref="N407" authorId="1" shapeId="0">
      <text>
        <r>
          <rPr>
            <sz val="9"/>
            <color indexed="81"/>
            <rFont val="Tahoma"/>
            <family val="2"/>
          </rPr>
          <t>Zanja: 0,20x0,3
Sep.Zanjas: 15m
Resevorio: 10.000ltr/4000m2
Bomba: 1 c/20.000m2
tubo 1/2": 7m/15m
Radio Asper: 15m
Cobertura Asp: 50%
Circuitos: 4/bomba
Rend: 600m2/h</t>
        </r>
      </text>
    </comment>
    <comment ref="N417" authorId="1" shapeId="0">
      <text>
        <r>
          <rPr>
            <sz val="9"/>
            <color indexed="81"/>
            <rFont val="Tahoma"/>
            <family val="2"/>
          </rPr>
          <t xml:space="preserve"> Rend. Demol. Manual: 0.2m3/h</t>
        </r>
      </text>
    </comment>
    <comment ref="N420" authorId="1" shapeId="0">
      <text>
        <r>
          <rPr>
            <sz val="9"/>
            <color indexed="81"/>
            <rFont val="Tahoma"/>
            <family val="2"/>
          </rPr>
          <t xml:space="preserve">Rend.Demol.Martillo: 0.80m3/h
</t>
        </r>
      </text>
    </comment>
    <comment ref="M466" authorId="0" shapeId="0">
      <text>
        <r>
          <rPr>
            <sz val="8"/>
            <color indexed="81"/>
            <rFont val="Tahoma"/>
            <family val="2"/>
          </rPr>
          <t>10 m3/hr rend.retro
0,80 m3/hr rend.martillo
0,25 picado martillo</t>
        </r>
      </text>
    </comment>
    <comment ref="M481" authorId="0" shapeId="0">
      <text>
        <r>
          <rPr>
            <sz val="8"/>
            <color indexed="81"/>
            <rFont val="Tahoma"/>
            <family val="2"/>
          </rPr>
          <t>1,25 desperdicio
0,10 sobrehormigon
0,50 m2/m3 encofrado
5 km DMT</t>
        </r>
      </text>
    </comment>
    <comment ref="N501" authorId="1" shapeId="0">
      <text>
        <r>
          <rPr>
            <sz val="9"/>
            <color indexed="81"/>
            <rFont val="Tahoma"/>
            <family val="2"/>
          </rPr>
          <t>Desperdicio: 10%
Humedad: 8%</t>
        </r>
      </text>
    </comment>
    <comment ref="M548" authorId="0" shapeId="0">
      <text>
        <r>
          <rPr>
            <sz val="8"/>
            <color indexed="81"/>
            <rFont val="Tahoma"/>
            <family val="2"/>
          </rPr>
          <t>1,08 desperdicio
0,25 prop.coloc.manual</t>
        </r>
      </text>
    </comment>
    <comment ref="M606" authorId="0" shapeId="0">
      <text>
        <r>
          <rPr>
            <sz val="8"/>
            <color indexed="81"/>
            <rFont val="Tahoma"/>
            <family val="2"/>
          </rPr>
          <t>1,08 desperdicio
0,25 prop.coloc.manual</t>
        </r>
      </text>
    </comment>
    <comment ref="M682" authorId="0" shapeId="0">
      <text>
        <r>
          <rPr>
            <sz val="8"/>
            <color indexed="81"/>
            <rFont val="Tahoma"/>
            <family val="2"/>
          </rPr>
          <t xml:space="preserve">0,10 m3 de hgón por m
1,03 desperdicio
</t>
        </r>
      </text>
    </comment>
    <comment ref="N738" authorId="1" shapeId="0">
      <text>
        <r>
          <rPr>
            <sz val="9"/>
            <color indexed="81"/>
            <rFont val="Tahoma"/>
            <family val="2"/>
          </rPr>
          <t>CAPA NIVELACION 2CM</t>
        </r>
      </text>
    </comment>
    <comment ref="N741" authorId="1" shapeId="0">
      <text>
        <r>
          <rPr>
            <sz val="9"/>
            <color indexed="81"/>
            <rFont val="Tahoma"/>
            <family val="2"/>
          </rPr>
          <t>PINTURA ASFALTICA: 2 MANOS</t>
        </r>
      </text>
    </comment>
    <comment ref="N744" authorId="1" shapeId="0">
      <text>
        <r>
          <rPr>
            <sz val="9"/>
            <color indexed="81"/>
            <rFont val="Tahoma"/>
            <family val="2"/>
          </rPr>
          <t>POLIESTIRENO EXPANDIDO</t>
        </r>
      </text>
    </comment>
    <comment ref="N747" authorId="1" shapeId="0">
      <text>
        <r>
          <rPr>
            <sz val="9"/>
            <color indexed="81"/>
            <rFont val="Tahoma"/>
            <family val="2"/>
          </rPr>
          <t>CONTRAPISO CON PENDIENTE: 20CM PROMEDIO</t>
        </r>
      </text>
    </comment>
    <comment ref="N750" authorId="1" shapeId="0">
      <text>
        <r>
          <rPr>
            <sz val="9"/>
            <color indexed="81"/>
            <rFont val="Tahoma"/>
            <family val="2"/>
          </rPr>
          <t>CAPA NIVELACION CON HIDROFUGO 2CM</t>
        </r>
      </text>
    </comment>
    <comment ref="N753" authorId="1" shapeId="0">
      <text>
        <r>
          <rPr>
            <sz val="9"/>
            <color indexed="81"/>
            <rFont val="Tahoma"/>
            <family val="2"/>
          </rPr>
          <t>MEMBRANA AFALTICA</t>
        </r>
      </text>
    </comment>
    <comment ref="N756" authorId="1" shapeId="0">
      <text>
        <r>
          <rPr>
            <sz val="9"/>
            <color indexed="81"/>
            <rFont val="Tahoma"/>
            <family val="2"/>
          </rPr>
          <t>MEMBRANA LIQUIDA</t>
        </r>
      </text>
    </comment>
    <comment ref="N759" authorId="1" shapeId="0">
      <text>
        <r>
          <rPr>
            <sz val="9"/>
            <color indexed="81"/>
            <rFont val="Tahoma"/>
            <family val="2"/>
          </rPr>
          <t>MEMBRANA AFALTICA</t>
        </r>
      </text>
    </comment>
    <comment ref="N787" authorId="1" shapeId="0">
      <text>
        <r>
          <rPr>
            <sz val="9"/>
            <color indexed="81"/>
            <rFont val="Tahoma"/>
            <family val="2"/>
          </rPr>
          <t xml:space="preserve">Espesor capa: 0,10m
Rend: 500m2/h
Rend.Semilla: 30Kg/m2
</t>
        </r>
      </text>
    </comment>
    <comment ref="N789" authorId="1" shapeId="0">
      <text>
        <r>
          <rPr>
            <sz val="9"/>
            <color indexed="81"/>
            <rFont val="Tahoma"/>
            <family val="2"/>
          </rPr>
          <t>Rend.: 30m2/Kg</t>
        </r>
      </text>
    </comment>
  </commentList>
</comments>
</file>

<file path=xl/comments3.xml><?xml version="1.0" encoding="utf-8"?>
<comments xmlns="http://schemas.openxmlformats.org/spreadsheetml/2006/main">
  <authors>
    <author>Patricio</author>
    <author>asanchez</author>
    <author>rodriguezp</author>
  </authors>
  <commentList>
    <comment ref="N113" authorId="0" shapeId="0">
      <text>
        <r>
          <rPr>
            <b/>
            <sz val="9"/>
            <color indexed="81"/>
            <rFont val="Tahoma"/>
            <family val="2"/>
          </rPr>
          <t>Patricio:</t>
        </r>
        <r>
          <rPr>
            <sz val="9"/>
            <color indexed="81"/>
            <rFont val="Tahoma"/>
            <family val="2"/>
          </rPr>
          <t xml:space="preserve">
Rendimiento Retro: 25m3/h
Rendimiento Compact.: 6m3/h</t>
        </r>
      </text>
    </comment>
    <comment ref="M535" authorId="1" shapeId="0">
      <text>
        <r>
          <rPr>
            <sz val="8"/>
            <color indexed="81"/>
            <rFont val="Tahoma"/>
            <family val="2"/>
          </rPr>
          <t>35 km/hr vel.cargado
45 km/hr vel.descargado
20 km DMT
1,30 Mano de obra
Capacidad: 6m3</t>
        </r>
      </text>
    </comment>
    <comment ref="M542" authorId="1" shapeId="0">
      <text>
        <r>
          <rPr>
            <sz val="8"/>
            <color indexed="81"/>
            <rFont val="Tahoma"/>
            <family val="2"/>
          </rPr>
          <t>0,45 relacion a/c
420 kg/m3 dosif.cemento
10 km DMT
0,50 % Aditivo por peso de Cem.
1,05 desperdicio
0,60 agr.grueso
0,20 ag.fino
0,20 arena zarandeada
2,40 tn/m3 densidad hgón</t>
        </r>
      </text>
    </comment>
    <comment ref="M554" authorId="1" shapeId="0">
      <text>
        <r>
          <rPr>
            <sz val="8"/>
            <color indexed="81"/>
            <rFont val="Tahoma"/>
            <family val="2"/>
          </rPr>
          <t>8m3/hr rend.colado
1,60 Mano de obra</t>
        </r>
      </text>
    </comment>
    <comment ref="M559" authorId="1" shapeId="0">
      <text>
        <r>
          <rPr>
            <sz val="8"/>
            <color indexed="81"/>
            <rFont val="Tahoma"/>
            <family val="2"/>
          </rPr>
          <t>0,50 relacion a/c
210 kg/m3 dosif.cemento
20 km DMT
0,50 % Aditivo por peso de Cem.
1,05 desperdicio
0,60 agr.grueso
0,20 ag.fino
0,20 arena zarandeada
2,40 tn/m3 densidad hgón</t>
        </r>
      </text>
    </comment>
    <comment ref="M580" authorId="1" shapeId="0">
      <text>
        <r>
          <rPr>
            <sz val="8"/>
            <color indexed="81"/>
            <rFont val="Tahoma"/>
            <family val="2"/>
          </rPr>
          <t>0,25 m espesor removido, 20 arboles a talar. 
400 m3/h rend.topadora
125 m3/hr rend.cargadora</t>
        </r>
      </text>
    </comment>
    <comment ref="M588" authorId="1" shapeId="0">
      <text>
        <r>
          <rPr>
            <sz val="8"/>
            <color indexed="81"/>
            <rFont val="Tahoma"/>
            <family val="2"/>
          </rPr>
          <t>0,25 m espesor removido, 0arboles a talar. 
400 m3/h rend.topadora
125 m3/hr rend.cargadora</t>
        </r>
      </text>
    </comment>
    <comment ref="M593" authorId="1" shapeId="0">
      <text>
        <r>
          <rPr>
            <sz val="8"/>
            <color indexed="81"/>
            <rFont val="Tahoma"/>
            <family val="2"/>
          </rPr>
          <t>0,15 espesor a tratar
1,80 densid.compact. (tn/m3)
0,10 humectación en peso.</t>
        </r>
      </text>
    </comment>
    <comment ref="M597" authorId="1" shapeId="0">
      <text>
        <r>
          <rPr>
            <sz val="8"/>
            <color indexed="81"/>
            <rFont val="Tahoma"/>
            <family val="2"/>
          </rPr>
          <t>10 km DMT
0 m3 de alcantarillas
1 m3 de fundacion
0,10 humectación</t>
        </r>
      </text>
    </comment>
    <comment ref="M605" authorId="1" shapeId="0">
      <text>
        <r>
          <rPr>
            <sz val="8"/>
            <color indexed="81"/>
            <rFont val="Tahoma"/>
            <family val="2"/>
          </rPr>
          <t>1 Proporcion humectada
0,06 de agua
1,45 indice m3s por m3c
0,83 lateral
2 equipos de riego</t>
        </r>
      </text>
    </comment>
    <comment ref="M612" authorId="1" shapeId="0">
      <text>
        <r>
          <rPr>
            <sz val="8"/>
            <color indexed="81"/>
            <rFont val="Tahoma"/>
            <family val="2"/>
          </rPr>
          <t>5 DMT
1,20 indice m3c por m3b
0,06 de agua
2 equipos de riego
1,45 m3s por m3c</t>
        </r>
      </text>
    </comment>
    <comment ref="M620" authorId="1" shapeId="0">
      <text>
        <r>
          <rPr>
            <sz val="8"/>
            <color indexed="81"/>
            <rFont val="Tahoma"/>
            <family val="2"/>
          </rPr>
          <t>15 DMT
1,20 indice m3c por m3b
0,06 de agua
2 equipos de riego
1,45 m3s por m3c</t>
        </r>
      </text>
    </comment>
    <comment ref="M630" authorId="1" shapeId="0">
      <text>
        <r>
          <rPr>
            <sz val="8"/>
            <color indexed="81"/>
            <rFont val="Tahoma"/>
            <family val="2"/>
          </rPr>
          <t>1000 m2/hr rend.moto
0,30 m espesor de capa
1,25 mano de obra
0,50 perm.regador
0,50 perm.compact.
0,10 x 5 capataz</t>
        </r>
      </text>
    </comment>
    <comment ref="M637" authorId="1" shapeId="0">
      <text>
        <r>
          <rPr>
            <sz val="8"/>
            <color indexed="81"/>
            <rFont val="Tahoma"/>
            <family val="2"/>
          </rPr>
          <t>1,45 m3/s por m3c
20 km DMT
1,20 m3/c por m3/b
2 eq de riego
0,12 humectacion</t>
        </r>
      </text>
    </comment>
    <comment ref="M645" authorId="1" shapeId="0">
      <text>
        <r>
          <rPr>
            <sz val="8"/>
            <color indexed="81"/>
            <rFont val="Tahoma"/>
            <family val="2"/>
          </rPr>
          <t>15 m3/hr rendimiento retro
1,25 Mano de obra
0,50 camiones
0,1 x 4  capataz
4 Ayudantes</t>
        </r>
      </text>
    </comment>
    <comment ref="M647" authorId="1" shapeId="0">
      <text>
        <r>
          <rPr>
            <sz val="8"/>
            <color indexed="81"/>
            <rFont val="Tahoma"/>
            <family val="2"/>
          </rPr>
          <t>20 km DMT
1,60 m3s/m3c
1,35 m3b/m3c
0,52 prop.zanja</t>
        </r>
      </text>
    </comment>
    <comment ref="M654" authorId="1" shapeId="0">
      <text>
        <r>
          <rPr>
            <sz val="8"/>
            <color indexed="81"/>
            <rFont val="Tahoma"/>
            <family val="2"/>
          </rPr>
          <t>1,35 m3c/m3s
30 m3/hr rend.planta
1,20 m3/b/m3c
5 km DMT
0,0 prop.base comprada</t>
        </r>
      </text>
    </comment>
    <comment ref="M661" authorId="1" shapeId="0">
      <text>
        <r>
          <rPr>
            <sz val="8"/>
            <color indexed="81"/>
            <rFont val="Tahoma"/>
            <family val="2"/>
          </rPr>
          <t>20 m3/hr rend.colocación
1,30 Mano de obra
4 equipos de colocación
0,1 * 4 capataz</t>
        </r>
      </text>
    </comment>
    <comment ref="M667" authorId="1" shapeId="0">
      <text>
        <r>
          <rPr>
            <sz val="8"/>
            <color indexed="81"/>
            <rFont val="Tahoma"/>
            <family val="2"/>
          </rPr>
          <t>0,10 suelo cohesivo
50 m3/hr prod.subbase
1,25 m3b/m3c
10 km DMT</t>
        </r>
      </text>
    </comment>
    <comment ref="M676" authorId="1" shapeId="0">
      <text>
        <r>
          <rPr>
            <sz val="8"/>
            <color indexed="81"/>
            <rFont val="Tahoma"/>
            <family val="2"/>
          </rPr>
          <t>150 m3/hr rendimiento mezcl.
1,25 mano de obra</t>
        </r>
      </text>
    </comment>
    <comment ref="M682" authorId="1" shapeId="0">
      <text>
        <r>
          <rPr>
            <sz val="8"/>
            <color indexed="81"/>
            <rFont val="Tahoma"/>
            <family val="2"/>
          </rPr>
          <t>150 m3/hr rend. distribuidora
1,25 mano de obra
2 ayudantes</t>
        </r>
      </text>
    </comment>
    <comment ref="M685" authorId="1" shapeId="0">
      <text>
        <r>
          <rPr>
            <sz val="8"/>
            <color indexed="81"/>
            <rFont val="Tahoma"/>
            <family val="2"/>
          </rPr>
          <t xml:space="preserve">75 m3/hr rend. moto
1,25 mano de obra
</t>
        </r>
      </text>
    </comment>
    <comment ref="M688" authorId="1" shapeId="0">
      <text>
        <r>
          <rPr>
            <sz val="8"/>
            <color indexed="81"/>
            <rFont val="Tahoma"/>
            <family val="2"/>
          </rPr>
          <t xml:space="preserve">50 m3/hr rend. moto
1,25 mano de obra
</t>
        </r>
      </text>
    </comment>
    <comment ref="M691" authorId="1" shapeId="0">
      <text>
        <r>
          <rPr>
            <sz val="8"/>
            <color indexed="81"/>
            <rFont val="Tahoma"/>
            <family val="2"/>
          </rPr>
          <t>60 m3/hr rend.rodillo liso
120 m3/hr rend.rodillo neum.</t>
        </r>
      </text>
    </comment>
    <comment ref="M700" authorId="1" shapeId="0">
      <text>
        <r>
          <rPr>
            <sz val="8"/>
            <color indexed="81"/>
            <rFont val="Tahoma"/>
            <family val="2"/>
          </rPr>
          <t>0,0 suelo cohesivo
50 m3/hr prod.subbase
1,25 m3b/m3c
20 km DMT</t>
        </r>
      </text>
    </comment>
    <comment ref="M705" authorId="1" shapeId="0">
      <text>
        <r>
          <rPr>
            <sz val="8"/>
            <color indexed="81"/>
            <rFont val="Tahoma"/>
            <family val="2"/>
          </rPr>
          <t>5 % asfalto en mezcla
3% de filler
0,45 agr.grueso
0,40 agr.fino
1,035 desperd.
1,2% fuel oil
1,02 desp.filler
0,005 de mejora. de adherencia</t>
        </r>
      </text>
    </comment>
    <comment ref="N709" authorId="0" shapeId="0">
      <text>
        <r>
          <rPr>
            <sz val="9"/>
            <color indexed="81"/>
            <rFont val="Tahoma"/>
            <family val="2"/>
          </rPr>
          <t>Permanencia MO: 1,6</t>
        </r>
      </text>
    </comment>
    <comment ref="M724" authorId="1" shapeId="0">
      <text>
        <r>
          <rPr>
            <sz val="8"/>
            <color indexed="81"/>
            <rFont val="Tahoma"/>
            <family val="2"/>
          </rPr>
          <t>80 tn/hr rend.colocación
1,60 mano de obra
2 compactadores</t>
        </r>
      </text>
    </comment>
    <comment ref="M732" authorId="1" shapeId="0">
      <text>
        <r>
          <rPr>
            <sz val="8"/>
            <color indexed="81"/>
            <rFont val="Tahoma"/>
            <family val="2"/>
          </rPr>
          <t>5 % asfalto en mezcla
3% de filler
0,45 agr.grueso
0,40 agr.fino
1,035 desperd.
1,2% fuel oil
1,02 desp.filler
0,005 de mejora. de adherencia</t>
        </r>
      </text>
    </comment>
    <comment ref="M743" authorId="1" shapeId="0">
      <text>
        <r>
          <rPr>
            <sz val="8"/>
            <color indexed="81"/>
            <rFont val="Tahoma"/>
            <family val="2"/>
          </rPr>
          <t>80 tn/hr rend.colocación
1,60 mano de obra
2 compactadores</t>
        </r>
      </text>
    </comment>
    <comment ref="M755" authorId="1" shapeId="0">
      <text>
        <r>
          <rPr>
            <sz val="8"/>
            <color indexed="81"/>
            <rFont val="Tahoma"/>
            <family val="2"/>
          </rPr>
          <t>600 m2/hr rendim.colocación
1,30 Mano de obra
0,02 dosif.material
2,40 tn/m2 material
2 Banderillero
4 Ayudante</t>
        </r>
      </text>
    </comment>
    <comment ref="M766" authorId="1" shapeId="0">
      <text>
        <r>
          <rPr>
            <sz val="8"/>
            <color indexed="81"/>
            <rFont val="Tahoma"/>
            <family val="2"/>
          </rPr>
          <t>600 m2/hr rendim.colocación
1,30 Mano de obra
0,025 dosif.material
2,40 tn/m2 material
2 Banderillero
4 Ayudante</t>
        </r>
      </text>
    </comment>
    <comment ref="M772" authorId="1" shapeId="0">
      <text>
        <r>
          <rPr>
            <sz val="8"/>
            <color indexed="81"/>
            <rFont val="Tahoma"/>
            <family val="2"/>
          </rPr>
          <t>0,45 relación a/c
380 kg/m3 de cemento
0,5% aditivos por peso cemen.
0,50 incorp.aire
0,60 ag.grueso
2,40 tn/m3</t>
        </r>
      </text>
    </comment>
    <comment ref="M782" authorId="1" shapeId="0">
      <text>
        <r>
          <rPr>
            <sz val="8"/>
            <color indexed="81"/>
            <rFont val="Tahoma"/>
            <family val="2"/>
          </rPr>
          <t>15 m3/hr rend.planta
1,80 factor mano de obra</t>
        </r>
      </text>
    </comment>
    <comment ref="M798" authorId="1" shapeId="0">
      <text>
        <r>
          <rPr>
            <sz val="8"/>
            <color indexed="81"/>
            <rFont val="Tahoma"/>
            <family val="2"/>
          </rPr>
          <t>30 m3/hr rendimiento coloc.
1,40 Mano de obra
7,30 ancho camino
0,28 espesor pavimento
0,40 permanencia regador</t>
        </r>
      </text>
    </comment>
    <comment ref="M809" authorId="1" shapeId="0">
      <text>
        <r>
          <rPr>
            <sz val="8"/>
            <color indexed="81"/>
            <rFont val="Tahoma"/>
            <family val="2"/>
          </rPr>
          <t>7 m3/hr rend.colocacion
1,80 mano de obra
7,80 m ancho pavimento
0,20 m esp.pavimento
2 equipos</t>
        </r>
      </text>
    </comment>
    <comment ref="M813" authorId="1" shapeId="0">
      <text>
        <r>
          <rPr>
            <sz val="8"/>
            <color indexed="81"/>
            <rFont val="Tahoma"/>
            <family val="2"/>
          </rPr>
          <t>1,05 desperdicio
5 kg Acero nervurado 
16 kg acero trilogic
80 kg acero liso
7,80 ancho pavimento
4,50 largo pavimento
0,20m espesor de pavimento</t>
        </r>
      </text>
    </comment>
    <comment ref="M819" authorId="1" shapeId="0">
      <text>
        <r>
          <rPr>
            <sz val="8"/>
            <color indexed="81"/>
            <rFont val="Tahoma"/>
            <family val="2"/>
          </rPr>
          <t>50 m/hr rend.aserrado
1,25 mano de obra
1200 m vutil.disco</t>
        </r>
      </text>
    </comment>
    <comment ref="M825" authorId="1" shapeId="0">
      <text>
        <r>
          <rPr>
            <sz val="8"/>
            <color indexed="81"/>
            <rFont val="Tahoma"/>
            <family val="2"/>
          </rPr>
          <t>100 m/hr rend.aserrado
1,30 mano de obra
1200 m vutil.disco</t>
        </r>
      </text>
    </comment>
    <comment ref="M831" authorId="1" shapeId="0">
      <text>
        <r>
          <rPr>
            <sz val="8"/>
            <color indexed="81"/>
            <rFont val="Tahoma"/>
            <family val="2"/>
          </rPr>
          <t>20 m/hr rend.sellado
1,30 mano de obra
1200 m vutil.disco
1,05 desperdicio</t>
        </r>
      </text>
    </comment>
    <comment ref="N835" authorId="1" shapeId="0">
      <text>
        <r>
          <rPr>
            <sz val="8"/>
            <color indexed="81"/>
            <rFont val="Tahoma"/>
            <family val="2"/>
          </rPr>
          <t>1 extracción por hora
100 extracciones VUtil</t>
        </r>
      </text>
    </comment>
    <comment ref="M842" authorId="1" shapeId="0">
      <text>
        <r>
          <rPr>
            <sz val="8"/>
            <color indexed="81"/>
            <rFont val="Tahoma"/>
            <family val="2"/>
          </rPr>
          <t xml:space="preserve">6 m3/hr colocación
1,50 Mano de obra
</t>
        </r>
      </text>
    </comment>
    <comment ref="M854" authorId="1" shapeId="0">
      <text>
        <r>
          <rPr>
            <sz val="8"/>
            <color indexed="81"/>
            <rFont val="Tahoma"/>
            <family val="2"/>
          </rPr>
          <t>8 usos
1,25 Mano de obra
1,1 desperdicio</t>
        </r>
      </text>
    </comment>
    <comment ref="M861" authorId="1" shapeId="0">
      <text>
        <r>
          <rPr>
            <sz val="8"/>
            <color indexed="81"/>
            <rFont val="Tahoma"/>
            <family val="2"/>
          </rPr>
          <t>0,50 relacion a/c
320 kg/m3 dosif.cemento
20 km DMT
0,50 % Aditivo por peso de Cem.
1,05 desperdicio
0,60 agr.grueso
0,20 ag.fino
0,20 arena zarandeada
2,40 tn/m3 densidad hgón</t>
        </r>
      </text>
    </comment>
    <comment ref="M874" authorId="1" shapeId="0">
      <text>
        <r>
          <rPr>
            <sz val="8"/>
            <color indexed="81"/>
            <rFont val="Tahoma"/>
            <family val="2"/>
          </rPr>
          <t>6 usos
1,4 Mano de obra
1,1 desperdicio
6,5hh/m2</t>
        </r>
      </text>
    </comment>
    <comment ref="M881" authorId="1" shapeId="0">
      <text>
        <r>
          <rPr>
            <sz val="8"/>
            <color indexed="81"/>
            <rFont val="Tahoma"/>
            <family val="2"/>
          </rPr>
          <t>0,50 relacion a/c
210 kg/m3 dosif.cemento
20 km DMT
0,50 % Aditivo por peso de Cem.
1,05 desperdicio
0,60 agr.grueso
0,20 ag.fino
0,20 arena zarandeada
2,40 tn/m3 densidad hgón</t>
        </r>
      </text>
    </comment>
    <comment ref="M894" authorId="1" shapeId="0">
      <text>
        <r>
          <rPr>
            <sz val="8"/>
            <color indexed="81"/>
            <rFont val="Tahoma"/>
            <family val="2"/>
          </rPr>
          <t>3m/h rend.colocación
1m de diám.alcantarilla
1,30 Mano de obra</t>
        </r>
      </text>
    </comment>
    <comment ref="M899" authorId="1" shapeId="0">
      <text>
        <r>
          <rPr>
            <sz val="8"/>
            <color indexed="81"/>
            <rFont val="Tahoma"/>
            <family val="2"/>
          </rPr>
          <t>PRODUCCION
0,50 relacion a/c
280 kg/m3 dosif.cemento
10 km DMT
0,50 % Aditivo por peso de Cem.
1,05 desperdicio
0,60 agr.grueso
0,20 ag.fino
0,20 arena zarandeada
2,40 tn/m3 densidad hgón</t>
        </r>
      </text>
    </comment>
    <comment ref="M904" authorId="1" shapeId="0">
      <text>
        <r>
          <rPr>
            <sz val="8"/>
            <color indexed="81"/>
            <rFont val="Tahoma"/>
            <family val="2"/>
          </rPr>
          <t>TRANSPORTE
35 km/hr vel.cargado
45 km/hr vel.descargado
10 km DMT
1,30 Mano de obra</t>
        </r>
      </text>
    </comment>
    <comment ref="M912" authorId="1" shapeId="0">
      <text>
        <r>
          <rPr>
            <sz val="8"/>
            <color indexed="81"/>
            <rFont val="Tahoma"/>
            <family val="2"/>
          </rPr>
          <t xml:space="preserve">COLADO
10 m3/hr colocación
1,50 Mano de obra
</t>
        </r>
      </text>
    </comment>
    <comment ref="M928" authorId="1" shapeId="0">
      <text>
        <r>
          <rPr>
            <sz val="8"/>
            <color indexed="81"/>
            <rFont val="Tahoma"/>
            <family val="2"/>
          </rPr>
          <t>4 m3/hr rend.
1,25 mano de obra</t>
        </r>
      </text>
    </comment>
    <comment ref="M931" authorId="1" shapeId="0">
      <text>
        <r>
          <rPr>
            <sz val="8"/>
            <color indexed="81"/>
            <rFont val="Tahoma"/>
            <family val="2"/>
          </rPr>
          <t>20 m3/hr rendim.
1,25 Mano Obra</t>
        </r>
      </text>
    </comment>
    <comment ref="N958" authorId="1" shapeId="0">
      <text>
        <r>
          <rPr>
            <b/>
            <sz val="8"/>
            <color indexed="81"/>
            <rFont val="Tahoma"/>
            <family val="2"/>
          </rPr>
          <t>asanchez:</t>
        </r>
        <r>
          <rPr>
            <sz val="8"/>
            <color indexed="81"/>
            <rFont val="Tahoma"/>
            <family val="2"/>
          </rPr>
          <t xml:space="preserve">
0,25 % colocación manual</t>
        </r>
      </text>
    </comment>
    <comment ref="M980" authorId="1" shapeId="0">
      <text>
        <r>
          <rPr>
            <sz val="8"/>
            <color indexed="81"/>
            <rFont val="Tahoma"/>
            <family val="2"/>
          </rPr>
          <t>15m3/hr rendimiento.
1,30 Mano de obra
3 planchas
0,30 compac.con plancha</t>
        </r>
      </text>
    </comment>
    <comment ref="M984" authorId="1" shapeId="0">
      <text>
        <r>
          <rPr>
            <sz val="8"/>
            <color indexed="81"/>
            <rFont val="Tahoma"/>
            <family val="2"/>
          </rPr>
          <t xml:space="preserve">210 hs por cuadrilla
7 meses plazo pilotes 
</t>
        </r>
      </text>
    </comment>
    <comment ref="M994" authorId="1" shapeId="0">
      <text>
        <r>
          <rPr>
            <sz val="8"/>
            <color indexed="81"/>
            <rFont val="Tahoma"/>
            <family val="2"/>
          </rPr>
          <t>10 m3/hr rend.retro
0,80 m3/hr rend.martillo
25% picado martillo</t>
        </r>
      </text>
    </comment>
    <comment ref="M1018" authorId="1" shapeId="0">
      <text>
        <r>
          <rPr>
            <sz val="8"/>
            <color indexed="81"/>
            <rFont val="Tahoma"/>
            <family val="2"/>
          </rPr>
          <t>6m3/hr rend.colado
1,60 Mano de obra
mayoracion para cubrir el alquiler: 3</t>
        </r>
      </text>
    </comment>
    <comment ref="M1038" authorId="1" shapeId="0">
      <text>
        <r>
          <rPr>
            <sz val="8"/>
            <color indexed="81"/>
            <rFont val="Tahoma"/>
            <family val="2"/>
          </rPr>
          <t>600 m2/hr rend.riego
0,56 l/m2 consumo asfalto
1,60 Mano de obra
0,50 perm.regador</t>
        </r>
      </text>
    </comment>
    <comment ref="M1042" authorId="1" shapeId="0">
      <text>
        <r>
          <rPr>
            <sz val="8"/>
            <color indexed="81"/>
            <rFont val="Tahoma"/>
            <family val="2"/>
          </rPr>
          <t>2 un/dia de tesado
31,56 tn de acero
59 vigas
400 kg/t de cemento
0,008 de aditivos</t>
        </r>
      </text>
    </comment>
    <comment ref="M1046" authorId="1" shapeId="0">
      <text>
        <r>
          <rPr>
            <sz val="8"/>
            <color indexed="81"/>
            <rFont val="Tahoma"/>
            <family val="2"/>
          </rPr>
          <t>1 un/hr rend.carga
1,25 Mano de obra</t>
        </r>
      </text>
    </comment>
    <comment ref="M1051" authorId="1" shapeId="0">
      <text>
        <r>
          <rPr>
            <sz val="8"/>
            <color indexed="81"/>
            <rFont val="Tahoma"/>
            <family val="2"/>
          </rPr>
          <t>4 hs transp.ida y vuelta
1 viga por viaje
1,25 mano de obra</t>
        </r>
      </text>
    </comment>
    <comment ref="M1060" authorId="1" shapeId="0">
      <text>
        <r>
          <rPr>
            <sz val="8"/>
            <color indexed="81"/>
            <rFont val="Tahoma"/>
            <family val="2"/>
          </rPr>
          <t>2,50 hs/un
2 grúas
1,25 Mano de obra</t>
        </r>
      </text>
    </comment>
    <comment ref="M1065" authorId="1" shapeId="0">
      <text>
        <r>
          <rPr>
            <sz val="8"/>
            <color indexed="81"/>
            <rFont val="Tahoma"/>
            <family val="2"/>
          </rPr>
          <t>1 Proporcion humectada
0,06 de agua
1,35 indice m3s por m3c
1 lateral
1 equipos de riego
0.35 de riego al material</t>
        </r>
      </text>
    </comment>
    <comment ref="M1072" authorId="1" shapeId="0">
      <text>
        <r>
          <rPr>
            <sz val="8"/>
            <color indexed="81"/>
            <rFont val="Tahoma"/>
            <family val="2"/>
          </rPr>
          <t>5 DMT
1,20 indice m3c por m3b
0,06 de agua
1 equipos de riego
1,45 m3s por m3c
1 aporte lateral</t>
        </r>
      </text>
    </comment>
    <comment ref="N1078" authorId="1" shapeId="0">
      <text>
        <r>
          <rPr>
            <sz val="8"/>
            <color indexed="81"/>
            <rFont val="Tahoma"/>
            <family val="2"/>
          </rPr>
          <t>40 km/hr
25 km de DMT
12 m3 de capacidad
100 m3/hr de carga</t>
        </r>
      </text>
    </comment>
    <comment ref="M1117" authorId="2" shapeId="0">
      <text>
        <r>
          <rPr>
            <sz val="8"/>
            <color indexed="81"/>
            <rFont val="Tahoma"/>
            <family val="2"/>
          </rPr>
          <t>1 placa c/3m
30m/h rendimiento colocacion</t>
        </r>
      </text>
    </comment>
    <comment ref="M1122" authorId="2" shapeId="0">
      <text>
        <r>
          <rPr>
            <sz val="8"/>
            <color indexed="81"/>
            <rFont val="Tahoma"/>
            <family val="2"/>
          </rPr>
          <t>68% cemento/m3Lech
31% Agua/m3 Lech
6.5% Acelerante/m3Lech
6.5% expansivo/m3Lech
0.25m3/h rendimiento</t>
        </r>
      </text>
    </comment>
    <comment ref="M1138" authorId="1" shapeId="0">
      <text>
        <r>
          <rPr>
            <sz val="8"/>
            <color indexed="81"/>
            <rFont val="Tahoma"/>
            <family val="2"/>
          </rPr>
          <t>8m3/hr rend.colado
1,60 Mano de obra</t>
        </r>
      </text>
    </comment>
    <comment ref="N1172" authorId="0" shapeId="0">
      <text>
        <r>
          <rPr>
            <b/>
            <sz val="9"/>
            <color indexed="81"/>
            <rFont val="Tahoma"/>
            <family val="2"/>
          </rPr>
          <t>Patricio:</t>
        </r>
        <r>
          <rPr>
            <sz val="9"/>
            <color indexed="81"/>
            <rFont val="Tahoma"/>
            <family val="2"/>
          </rPr>
          <t xml:space="preserve">
Rendimiento Carga: 25m3/h
Permanencia MO: 1,25
Permanencia Camion: 50%</t>
        </r>
      </text>
    </comment>
    <comment ref="N1181" authorId="0" shapeId="0">
      <text>
        <r>
          <rPr>
            <sz val="9"/>
            <color indexed="81"/>
            <rFont val="Tahoma"/>
            <family val="2"/>
          </rPr>
          <t>Rendimiento de relleno: 25m3/h
DMT: 20Km
Permanencia MO: 1,25</t>
        </r>
      </text>
    </comment>
    <comment ref="N1186" authorId="0" shapeId="0">
      <text>
        <r>
          <rPr>
            <sz val="9"/>
            <color indexed="81"/>
            <rFont val="Tahoma"/>
            <family val="2"/>
          </rPr>
          <t>Rendimiento de relleno: 25m3/h
DMT: 0Km
Permanencia MO: 1,25</t>
        </r>
      </text>
    </comment>
    <comment ref="N1191" authorId="0" shapeId="0">
      <text>
        <r>
          <rPr>
            <sz val="9"/>
            <color indexed="81"/>
            <rFont val="Tahoma"/>
            <family val="2"/>
          </rPr>
          <t>Rendimiento de relleno: 25m3/h
DMT: 0Km
Permanencia MO: 1,25
Rendimiento Grillado: 40m3/h</t>
        </r>
      </text>
    </comment>
    <comment ref="M1203" authorId="1" shapeId="0">
      <text>
        <r>
          <rPr>
            <sz val="8"/>
            <color indexed="81"/>
            <rFont val="Tahoma"/>
            <family val="2"/>
          </rPr>
          <t>20 tn/hr rend.colocación
1,25 mano de obra
1 compactadores</t>
        </r>
      </text>
    </comment>
    <comment ref="M1210" authorId="1" shapeId="0">
      <text>
        <r>
          <rPr>
            <sz val="8"/>
            <color indexed="81"/>
            <rFont val="Tahoma"/>
            <family val="2"/>
          </rPr>
          <t>0,50 relacion a/c
360 kg/m3 dosif.cemento
20 km DMT
0,50 % Aditivo por peso de Cem.
1,05 desperdicio
0,60 agr.grueso
0,20 ag.fino
0,20 arena zarandeada
2,40 tn/m3 densidad hgón</t>
        </r>
      </text>
    </comment>
    <comment ref="M1274" authorId="1" shapeId="0">
      <text>
        <r>
          <rPr>
            <sz val="8"/>
            <color indexed="81"/>
            <rFont val="Tahoma"/>
            <family val="2"/>
          </rPr>
          <t>5 DMT
1,20 indice m3c por m3b
0,06 de agua
2 equipos de riego
1,45 m3s por m3c</t>
        </r>
      </text>
    </comment>
    <comment ref="N1300" authorId="0" shapeId="0">
      <text>
        <r>
          <rPr>
            <sz val="9"/>
            <color indexed="81"/>
            <rFont val="Tahoma"/>
            <family val="2"/>
          </rPr>
          <t>Long.Tramo: 400m
Tpo.Prep: 2,5hs
Tpo.Terminacion: 1.25hs
Rend: 750m/h</t>
        </r>
      </text>
    </comment>
    <comment ref="N1306" authorId="0" shapeId="0">
      <text>
        <r>
          <rPr>
            <sz val="9"/>
            <color indexed="81"/>
            <rFont val="Tahoma"/>
            <family val="2"/>
          </rPr>
          <t>Cant.Extremos.: 1
Cant. Puntas: 3
Prep.Punta: 0,45hs
Ejec.Terminacion: 0,9hs</t>
        </r>
      </text>
    </comment>
    <comment ref="N1309" authorId="0" shapeId="0">
      <text>
        <r>
          <rPr>
            <sz val="9"/>
            <color indexed="81"/>
            <rFont val="Tahoma"/>
            <family val="2"/>
          </rPr>
          <t>Cant.Empalmes: 3
Cant. Puntas/Emp: 2
Prep.Punta: 0,45hs
Ejec.Terminacion: 0,9hs</t>
        </r>
      </text>
    </comment>
    <comment ref="M1321" authorId="1" shapeId="0">
      <text>
        <r>
          <rPr>
            <sz val="8"/>
            <color indexed="81"/>
            <rFont val="Tahoma"/>
            <family val="2"/>
          </rPr>
          <t>6 usos
1,4 Mano de obra
1,1 desperdicio
6,5hh/m2</t>
        </r>
      </text>
    </comment>
  </commentList>
</comments>
</file>

<file path=xl/comments4.xml><?xml version="1.0" encoding="utf-8"?>
<comments xmlns="http://schemas.openxmlformats.org/spreadsheetml/2006/main">
  <authors>
    <author>asanchez</author>
    <author>Patricio</author>
    <author>rodriguezp</author>
  </authors>
  <commentList>
    <comment ref="M278" authorId="0" shapeId="0">
      <text>
        <r>
          <rPr>
            <sz val="8"/>
            <color indexed="81"/>
            <rFont val="Tahoma"/>
            <family val="2"/>
          </rPr>
          <t>10 m3/hr rend.bomba
8 m3 capcidad camion
1,25 mano de obra</t>
        </r>
      </text>
    </comment>
    <comment ref="M287" authorId="0" shapeId="0">
      <text>
        <r>
          <rPr>
            <sz val="8"/>
            <color indexed="81"/>
            <rFont val="Tahoma"/>
            <family val="2"/>
          </rPr>
          <t>12 m3/hr rend.planta
1,60 mano de obra</t>
        </r>
      </text>
    </comment>
    <comment ref="M300" authorId="0" shapeId="0">
      <text>
        <r>
          <rPr>
            <sz val="8"/>
            <color indexed="81"/>
            <rFont val="Tahoma"/>
            <family val="2"/>
          </rPr>
          <t>75 m3/hr rend.planta
1,50 m3c/m3s
1,35 m3b/m3c
1km DMT
1,30 Mano de obra
14 m3 de capacidad camion
35 km/hr cargado
45 km/hr descargado
70 m3/hr de retro
0,00 transporte por terceros</t>
        </r>
      </text>
    </comment>
    <comment ref="M317" authorId="0" shapeId="0">
      <text>
        <r>
          <rPr>
            <sz val="8"/>
            <color indexed="81"/>
            <rFont val="Tahoma"/>
            <family val="2"/>
          </rPr>
          <t>75 m3/hr rend.planta
1,50 m3c/m3s
1,35 m3b/m3c
1km DMT
1,30 Mano de obra
14 m3 de capacidad camion
35 km/hr cargado
45 km/hr descargado
70 m3/hr de retro
0,00 transporte por terceros</t>
        </r>
      </text>
    </comment>
    <comment ref="M334" authorId="0" shapeId="0">
      <text>
        <r>
          <rPr>
            <sz val="8"/>
            <color indexed="81"/>
            <rFont val="Tahoma"/>
            <family val="2"/>
          </rPr>
          <t>80 m3/hr rend.planta
1,50 m3c/m3s
1,35 m3b/m3c
1km DMT
1,20 Mano de obra
14 m3 de capacidad camion
35 km/hr cargado
45 km/hr descargado
70 m3/hr de retro
0,00 transporte por terceros</t>
        </r>
      </text>
    </comment>
    <comment ref="N363" authorId="1" shapeId="0">
      <text>
        <r>
          <rPr>
            <b/>
            <sz val="9"/>
            <color indexed="81"/>
            <rFont val="Tahoma"/>
            <family val="2"/>
          </rPr>
          <t>Patricio:</t>
        </r>
        <r>
          <rPr>
            <sz val="9"/>
            <color indexed="81"/>
            <rFont val="Tahoma"/>
            <family val="2"/>
          </rPr>
          <t xml:space="preserve">
Rendimiento Bomba: 75m3/h
Permanencia MO: 1,25</t>
        </r>
      </text>
    </comment>
    <comment ref="M369" authorId="0" shapeId="0">
      <text>
        <r>
          <rPr>
            <sz val="8"/>
            <color indexed="81"/>
            <rFont val="Tahoma"/>
            <family val="2"/>
          </rPr>
          <t>20 km DMT
8 m3 Camion
35 km/hr Vel.Cargado
45 Km/hr Vel.Descargado 
1,25 MObra</t>
        </r>
      </text>
    </comment>
    <comment ref="M372" authorId="0" shapeId="0">
      <text>
        <r>
          <rPr>
            <sz val="8"/>
            <color indexed="81"/>
            <rFont val="Tahoma"/>
            <family val="2"/>
          </rPr>
          <t>30 min vaciado camión
8 m3 capacidad camion</t>
        </r>
      </text>
    </comment>
    <comment ref="M380" authorId="0" shapeId="0">
      <text>
        <r>
          <rPr>
            <sz val="8"/>
            <color indexed="81"/>
            <rFont val="Tahoma"/>
            <family val="2"/>
          </rPr>
          <t>1,00 proporcion pata cabra
400 m2/hr rendimiento
0,25 permanen.neumatico
1,30 mano de obra
0,10 perm.capataz</t>
        </r>
      </text>
    </comment>
    <comment ref="M384" authorId="0" shapeId="0">
      <text>
        <r>
          <rPr>
            <sz val="8"/>
            <color indexed="81"/>
            <rFont val="Tahoma"/>
            <family val="2"/>
          </rPr>
          <t>110 m3/hr rend.retro 2m3
65 m3/hr rend.retro 1m3
0,30 propo.retro 1 m3
1,25 Mano de obra</t>
        </r>
      </text>
    </comment>
    <comment ref="M387" authorId="0" shapeId="0">
      <text>
        <r>
          <rPr>
            <sz val="8"/>
            <color indexed="81"/>
            <rFont val="Tahoma"/>
            <family val="2"/>
          </rPr>
          <t>5km DMT
35 km/hr veloc.cargado
45 km/hr veloc.descarg.
14 m3 por camión</t>
        </r>
      </text>
    </comment>
    <comment ref="M392" authorId="0" shapeId="0">
      <text>
        <r>
          <rPr>
            <sz val="8"/>
            <color indexed="81"/>
            <rFont val="Tahoma"/>
            <family val="2"/>
          </rPr>
          <t>4 m3/hr rend. Relleno
0,25 permanencia retro
1,25 mano de obra</t>
        </r>
      </text>
    </comment>
    <comment ref="M395" authorId="0" shapeId="0">
      <text>
        <r>
          <rPr>
            <sz val="8"/>
            <color indexed="81"/>
            <rFont val="Tahoma"/>
            <family val="2"/>
          </rPr>
          <t>50 m3/hr rend.topadora
1,25 Mano de obra</t>
        </r>
      </text>
    </comment>
    <comment ref="M398" authorId="0" shapeId="0">
      <text>
        <r>
          <rPr>
            <sz val="8"/>
            <color indexed="81"/>
            <rFont val="Tahoma"/>
            <family val="2"/>
          </rPr>
          <t>300 m3/hr rend.moto
1,25 Mano de obra</t>
        </r>
      </text>
    </comment>
    <comment ref="M403" authorId="0" shapeId="0">
      <text>
        <r>
          <rPr>
            <sz val="8"/>
            <color indexed="81"/>
            <rFont val="Tahoma"/>
            <family val="2"/>
          </rPr>
          <t>150 m3/hr rend.rastra
270 m3/hr rend.moto
1,25 Mano de obra
0,30 permanencia capataz</t>
        </r>
      </text>
    </comment>
    <comment ref="M411" authorId="0" shapeId="0">
      <text>
        <r>
          <rPr>
            <sz val="8"/>
            <color indexed="81"/>
            <rFont val="Tahoma"/>
            <family val="2"/>
          </rPr>
          <t>0,50 prop.pata de cabra
100 m3/hr rend.pata cabr.
0,25 perman.neumatico
1,25 mano de obra</t>
        </r>
        <r>
          <rPr>
            <sz val="8"/>
            <color indexed="81"/>
            <rFont val="Tahoma"/>
            <family val="2"/>
          </rPr>
          <t xml:space="preserve">
0,40 capataz
2 ayudantes</t>
        </r>
      </text>
    </comment>
    <comment ref="M413" authorId="0" shapeId="0">
      <text>
        <r>
          <rPr>
            <sz val="8"/>
            <color indexed="81"/>
            <rFont val="Tahoma"/>
            <family val="2"/>
          </rPr>
          <t>15km DMT
35 km/hr veloc.cargado
45 km/hr veloc.descarg.
14 m3 por camión</t>
        </r>
      </text>
    </comment>
    <comment ref="M416" authorId="0" shapeId="0">
      <text>
        <r>
          <rPr>
            <sz val="8"/>
            <color indexed="81"/>
            <rFont val="Tahoma"/>
            <family val="2"/>
          </rPr>
          <t>100 m3/hr rend.topadora
1,25 Mano de obra</t>
        </r>
      </text>
    </comment>
    <comment ref="M419" authorId="0" shapeId="0">
      <text>
        <r>
          <rPr>
            <sz val="8"/>
            <color indexed="81"/>
            <rFont val="Tahoma"/>
            <family val="2"/>
          </rPr>
          <t>100 m3/hr rend.topadora
1,25 Mano de obra</t>
        </r>
      </text>
    </comment>
    <comment ref="M424" authorId="0" shapeId="0">
      <text>
        <r>
          <rPr>
            <sz val="8"/>
            <color indexed="81"/>
            <rFont val="Tahoma"/>
            <family val="2"/>
          </rPr>
          <t>30 m3/hr rend.retro
150 m3/hr rend.comp.
1,25 mano obra
0,1 * 4 Capataz
4 ayudantes</t>
        </r>
      </text>
    </comment>
    <comment ref="M428" authorId="0" shapeId="0">
      <text>
        <r>
          <rPr>
            <sz val="8"/>
            <color indexed="81"/>
            <rFont val="Tahoma"/>
            <family val="2"/>
          </rPr>
          <t>10 m3/hr rend.retro
1,25 mano de obra
0,10 * 4 Capataz
4 Ayudantes</t>
        </r>
      </text>
    </comment>
    <comment ref="M431" authorId="0" shapeId="0">
      <text>
        <r>
          <rPr>
            <sz val="8"/>
            <color indexed="81"/>
            <rFont val="Tahoma"/>
            <family val="2"/>
          </rPr>
          <t xml:space="preserve">30 m3/hr rend.retro
1,25 mano de obra
</t>
        </r>
      </text>
    </comment>
    <comment ref="M433" authorId="0" shapeId="0">
      <text>
        <r>
          <rPr>
            <sz val="8"/>
            <color indexed="81"/>
            <rFont val="Tahoma"/>
            <family val="2"/>
          </rPr>
          <t>18 km DMT
45 km/hr cargado
35 km/hr descarg.
14 m3 por viaje</t>
        </r>
      </text>
    </comment>
    <comment ref="M445" authorId="0" shapeId="0">
      <text>
        <r>
          <rPr>
            <sz val="8"/>
            <color indexed="81"/>
            <rFont val="Tahoma"/>
            <family val="2"/>
          </rPr>
          <t>5% asfalto en mezcla
3% filler
0,45 agr.grueso</t>
        </r>
      </text>
    </comment>
    <comment ref="M467" authorId="0" shapeId="0">
      <text>
        <r>
          <rPr>
            <sz val="8"/>
            <color indexed="81"/>
            <rFont val="Tahoma"/>
            <family val="2"/>
          </rPr>
          <t>120 m3/hr rend.planta
1,50 m3c/m3s
1,35 m3b/m3c
18km DMT
1,20 Mano de obra
14 m3 de capacidad camion
35 km/hr cargado
45 km/hr descargado
70 m3/hr de retro
0,00 transporte por terceros</t>
        </r>
      </text>
    </comment>
    <comment ref="M473" authorId="2" shapeId="0">
      <text>
        <r>
          <rPr>
            <sz val="8"/>
            <color indexed="81"/>
            <rFont val="Tahoma"/>
            <family val="2"/>
          </rPr>
          <t>400m duracion broca
800m duracion barra
800m duracion manguito
10% perforacion con escariador</t>
        </r>
      </text>
    </comment>
    <comment ref="M479" authorId="0" shapeId="0">
      <text>
        <r>
          <rPr>
            <sz val="8"/>
            <color indexed="81"/>
            <rFont val="Tahoma"/>
            <family val="2"/>
          </rPr>
          <t>20km DMT
35 km/hr veloc.cargado
45 km/hr veloc.descarg.
14 m3 por camión
100m3/h rendimiento carga</t>
        </r>
      </text>
    </comment>
    <comment ref="M482" authorId="0" shapeId="0">
      <text>
        <r>
          <rPr>
            <sz val="8"/>
            <color indexed="81"/>
            <rFont val="Tahoma"/>
            <family val="2"/>
          </rPr>
          <t>30 min vaciado camión
8 m3 capacidad camion</t>
        </r>
      </text>
    </comment>
  </commentList>
</comments>
</file>

<file path=xl/comments5.xml><?xml version="1.0" encoding="utf-8"?>
<comments xmlns="http://schemas.openxmlformats.org/spreadsheetml/2006/main">
  <authors>
    <author>sanchezar</author>
    <author>asanchez</author>
  </authors>
  <commentList>
    <comment ref="F324" authorId="0" shapeId="0">
      <text>
        <r>
          <rPr>
            <b/>
            <sz val="8"/>
            <color indexed="81"/>
            <rFont val="Tahoma"/>
            <family val="2"/>
          </rPr>
          <t>sanchezar:</t>
        </r>
        <r>
          <rPr>
            <sz val="8"/>
            <color indexed="81"/>
            <rFont val="Tahoma"/>
            <family val="2"/>
          </rPr>
          <t xml:space="preserve">
500 gr de explosivo por m3 de voladura. Con un costo de 0.45 U$S/kg</t>
        </r>
      </text>
    </comment>
    <comment ref="F565" authorId="0" shapeId="0">
      <text>
        <r>
          <rPr>
            <b/>
            <sz val="8"/>
            <color indexed="81"/>
            <rFont val="Tahoma"/>
            <family val="2"/>
          </rPr>
          <t>sanchezar:</t>
        </r>
        <r>
          <rPr>
            <sz val="8"/>
            <color indexed="81"/>
            <rFont val="Tahoma"/>
            <family val="2"/>
          </rPr>
          <t xml:space="preserve">
500 gr de explosivo por m3 de voladura. Con un costo de 0.45 U$S/kg</t>
        </r>
      </text>
    </comment>
    <comment ref="F954" authorId="1" shapeId="0">
      <text>
        <r>
          <rPr>
            <b/>
            <sz val="8"/>
            <color indexed="81"/>
            <rFont val="Tahoma"/>
            <family val="2"/>
          </rPr>
          <t>asanchez:</t>
        </r>
        <r>
          <rPr>
            <sz val="8"/>
            <color indexed="81"/>
            <rFont val="Tahoma"/>
            <family val="2"/>
          </rPr>
          <t xml:space="preserve">
Incluye:
Perforación + Cemento + Ensayos
SIN MATERIAL</t>
        </r>
      </text>
    </comment>
    <comment ref="F964" authorId="1" shapeId="0">
      <text>
        <r>
          <rPr>
            <b/>
            <sz val="8"/>
            <color indexed="81"/>
            <rFont val="Tahoma"/>
            <family val="2"/>
          </rPr>
          <t>asanchez:</t>
        </r>
        <r>
          <rPr>
            <sz val="8"/>
            <color indexed="81"/>
            <rFont val="Tahoma"/>
            <family val="2"/>
          </rPr>
          <t xml:space="preserve">
Incluye:
Perforación + Cemento + Ensayos
SIN MATERIAL</t>
        </r>
      </text>
    </comment>
    <comment ref="F1003" authorId="1" shapeId="0">
      <text>
        <r>
          <rPr>
            <b/>
            <sz val="8"/>
            <color indexed="81"/>
            <rFont val="Tahoma"/>
            <family val="2"/>
          </rPr>
          <t>asanchez:</t>
        </r>
        <r>
          <rPr>
            <sz val="8"/>
            <color indexed="81"/>
            <rFont val="Tahoma"/>
            <family val="2"/>
          </rPr>
          <t xml:space="preserve">
Incluye:
Perforación + Cemento + Ensayos
SIN MATERIAL</t>
        </r>
      </text>
    </comment>
    <comment ref="F1004" authorId="1" shapeId="0">
      <text>
        <r>
          <rPr>
            <b/>
            <sz val="8"/>
            <color indexed="81"/>
            <rFont val="Tahoma"/>
            <family val="2"/>
          </rPr>
          <t>asanchez:</t>
        </r>
        <r>
          <rPr>
            <sz val="8"/>
            <color indexed="81"/>
            <rFont val="Tahoma"/>
            <family val="2"/>
          </rPr>
          <t xml:space="preserve">
Incluye:
Perforación + Cemento + Ensayos
SIN MATERIAL</t>
        </r>
      </text>
    </comment>
    <comment ref="F1008" authorId="0" shapeId="0">
      <text>
        <r>
          <rPr>
            <b/>
            <sz val="8"/>
            <color indexed="81"/>
            <rFont val="Tahoma"/>
            <family val="2"/>
          </rPr>
          <t xml:space="preserve">sanchezar:
</t>
        </r>
        <r>
          <rPr>
            <sz val="8"/>
            <color indexed="81"/>
            <rFont val="Tahoma"/>
            <family val="2"/>
          </rPr>
          <t>Linea Baja Tensión: $ 15.000
Linea 13,2 KV: $ 90.000
5 Generadores 7KVA: $ 15.000
1 Generador 45 KVA: $ 10.000</t>
        </r>
      </text>
    </comment>
    <comment ref="F1009" authorId="0" shapeId="0">
      <text>
        <r>
          <rPr>
            <b/>
            <sz val="8"/>
            <color indexed="81"/>
            <rFont val="Tahoma"/>
            <family val="2"/>
          </rPr>
          <t xml:space="preserve">sanchezar:
</t>
        </r>
        <r>
          <rPr>
            <sz val="8"/>
            <color indexed="81"/>
            <rFont val="Tahoma"/>
            <family val="2"/>
          </rPr>
          <t>Linea Baja Tensión: $ 15.000
Linea 13,2 KV: $ 90.000
5 Generadores 7KVA: $ 15.000
1 Generador 45 KVA: $ 10.000</t>
        </r>
      </text>
    </comment>
  </commentList>
</comments>
</file>

<file path=xl/comments6.xml><?xml version="1.0" encoding="utf-8"?>
<comments xmlns="http://schemas.openxmlformats.org/spreadsheetml/2006/main">
  <authors>
    <author>asanchez</author>
  </authors>
  <commentList>
    <comment ref="I4" authorId="0" shapeId="0">
      <text>
        <r>
          <rPr>
            <b/>
            <sz val="10"/>
            <color indexed="81"/>
            <rFont val="Tahoma"/>
            <family val="2"/>
          </rPr>
          <t xml:space="preserve">asanchez:
</t>
        </r>
        <r>
          <rPr>
            <sz val="10"/>
            <color indexed="81"/>
            <rFont val="Tahoma"/>
            <family val="2"/>
          </rPr>
          <t xml:space="preserve">
7% Jubilación
3% INSSJ
3% OSocial</t>
        </r>
      </text>
    </comment>
    <comment ref="J4" authorId="0" shapeId="0">
      <text>
        <r>
          <rPr>
            <b/>
            <sz val="10"/>
            <color indexed="81"/>
            <rFont val="Tahoma"/>
            <family val="2"/>
          </rPr>
          <t xml:space="preserve">asanchez:
</t>
        </r>
        <r>
          <rPr>
            <sz val="10"/>
            <color indexed="81"/>
            <rFont val="Tahoma"/>
            <family val="2"/>
          </rPr>
          <t xml:space="preserve">
10,17 % Osocial
6,00 % INSSJ
 1,50 % OSocial</t>
        </r>
      </text>
    </comment>
  </commentList>
</comments>
</file>

<file path=xl/sharedStrings.xml><?xml version="1.0" encoding="utf-8"?>
<sst xmlns="http://schemas.openxmlformats.org/spreadsheetml/2006/main" count="19372" uniqueCount="4708">
  <si>
    <t>Rodillo Pata de Cabra tipo CA-25</t>
  </si>
  <si>
    <t>0-PERNOS</t>
  </si>
  <si>
    <t>0-EXCTUND</t>
  </si>
  <si>
    <t>S-AUSCU</t>
  </si>
  <si>
    <t>Auscultación Casa de Máquinas</t>
  </si>
  <si>
    <t>S-TERMN</t>
  </si>
  <si>
    <t>Terminaciones en Casa de Máquinas</t>
  </si>
  <si>
    <t>A-J27</t>
  </si>
  <si>
    <t>A-J29</t>
  </si>
  <si>
    <t>Colocación Manual de Armaduras</t>
  </si>
  <si>
    <t>Colocación de Armadura con Grúa</t>
  </si>
  <si>
    <t xml:space="preserve">Materiales Dosificación Hormigón H17 </t>
  </si>
  <si>
    <t>Materiales Dosificación Hormigón H08</t>
  </si>
  <si>
    <t>Curado de estructuras de hgón.</t>
  </si>
  <si>
    <t xml:space="preserve">Relleno Manual y compactación </t>
  </si>
  <si>
    <t>Terminación Superficial de Plateas</t>
  </si>
  <si>
    <t>Materiales Dosificación Mortero</t>
  </si>
  <si>
    <t>Provisión y Colocación de Ladrillos Cerámicos</t>
  </si>
  <si>
    <t>Materiales Dosificación Revoques</t>
  </si>
  <si>
    <t>Colocación y Terminación de Revoques</t>
  </si>
  <si>
    <t>Encofrados para Canales de Cables</t>
  </si>
  <si>
    <t>Excavación de Fundaciones con PC 200 - Con tpte. (3 vjs.hora)</t>
  </si>
  <si>
    <t>Depresión de Napa para Excavaciones (Bombeo)</t>
  </si>
  <si>
    <t>Item al que Pertence</t>
  </si>
  <si>
    <t>Item al que pertenece</t>
  </si>
  <si>
    <t xml:space="preserve">Excavación de Fundaciones con Cat.416 - Con tpte a 5 km </t>
  </si>
  <si>
    <t>Relleno y perfilado con Motoniveladora</t>
  </si>
  <si>
    <t>Escarpe y Nivelación con Topadora</t>
  </si>
  <si>
    <t>Distribución y Compactación de Terrenos</t>
  </si>
  <si>
    <t>Pintado de Superficies</t>
  </si>
  <si>
    <t>Espacimiento y Humectación Suelo Cemento</t>
  </si>
  <si>
    <t>Mezclado in Situ de Cemento y Suelo</t>
  </si>
  <si>
    <t>Distribución y Compactación de Terrenos con suelo cemento</t>
  </si>
  <si>
    <t>Tratamiento de Subrasante-Escarificado y Riego</t>
  </si>
  <si>
    <t>Compactación de Subrasante</t>
  </si>
  <si>
    <t>Terminación Corte con Moto</t>
  </si>
  <si>
    <t>Materiales Dosificación Hormigón H25</t>
  </si>
  <si>
    <t>Producción de Hgón en Planta</t>
  </si>
  <si>
    <t>Tte y colado de Hgón - Pta</t>
  </si>
  <si>
    <t>Sostenimiento de Excavación con Agua</t>
  </si>
  <si>
    <t>Excavación de Cilindro con Hoyadora</t>
  </si>
  <si>
    <t>Excavación de Trinchera para Barra</t>
  </si>
  <si>
    <t>Relleno y perfilado con Motoniveladora Accesos</t>
  </si>
  <si>
    <t>Colado de SHOTCRETE</t>
  </si>
  <si>
    <t>Producción de Hgón en Planta 120 m3/hr</t>
  </si>
  <si>
    <t>Colado de Hgón Elaborado con grúa móvil</t>
  </si>
  <si>
    <t>Colado de Hgón Elaborado con grúa torre</t>
  </si>
  <si>
    <t>Materiales Dosificación Hormigón H30</t>
  </si>
  <si>
    <t>M-PINTURA</t>
  </si>
  <si>
    <t>0-HORMH21</t>
  </si>
  <si>
    <t>0-HORMH17c</t>
  </si>
  <si>
    <t>0-ACEROca</t>
  </si>
  <si>
    <t>0-HORMH08</t>
  </si>
  <si>
    <t>0-EXCAVfu</t>
  </si>
  <si>
    <t>0-CINTANEO</t>
  </si>
  <si>
    <t>Costo</t>
  </si>
  <si>
    <t>Cash Flow</t>
  </si>
  <si>
    <t>Certificado</t>
  </si>
  <si>
    <t>Retención fondo de reparo</t>
  </si>
  <si>
    <t>Anticipo</t>
  </si>
  <si>
    <t>Devolución fondo de reparo</t>
  </si>
  <si>
    <t>CASH FLOW</t>
  </si>
  <si>
    <t>Amortización equipos</t>
  </si>
  <si>
    <t>Operación equipos</t>
  </si>
  <si>
    <t>Alquiler Equipos</t>
  </si>
  <si>
    <t>Riesgo y Otros</t>
  </si>
  <si>
    <t>IVA Venta</t>
  </si>
  <si>
    <t>INGRESOS</t>
  </si>
  <si>
    <t>EGRESOS</t>
  </si>
  <si>
    <t>FLUJO DE CAJA MENSUAL</t>
  </si>
  <si>
    <t>FLUJO DE CAJA ACUMULADO</t>
  </si>
  <si>
    <t>Balance Acumulado</t>
  </si>
  <si>
    <t>IVA Compra (Compro materiales)</t>
  </si>
  <si>
    <t>0-RELLSVC</t>
  </si>
  <si>
    <t>0-RELLSVtn</t>
  </si>
  <si>
    <t>0-SRTRATA</t>
  </si>
  <si>
    <t>0-SBTRATA</t>
  </si>
  <si>
    <t>0-BTRATA</t>
  </si>
  <si>
    <t>0-HORMH25</t>
  </si>
  <si>
    <t>0-EXSS1</t>
  </si>
  <si>
    <t>0-EXSS2</t>
  </si>
  <si>
    <t>0-EXSS3</t>
  </si>
  <si>
    <t>0-EXSS4</t>
  </si>
  <si>
    <t>0-EXSS1a</t>
  </si>
  <si>
    <t>0-EXSS2a</t>
  </si>
  <si>
    <t>0-EXSS3a</t>
  </si>
  <si>
    <t>0-EXSS4a</t>
  </si>
  <si>
    <t>0-HORMH21b</t>
  </si>
  <si>
    <t>0-RELLacc</t>
  </si>
  <si>
    <t>0-MANTacc</t>
  </si>
  <si>
    <t>0-OARTE</t>
  </si>
  <si>
    <t>0-TRANQUERA</t>
  </si>
  <si>
    <t>0-ALAMBRADOS</t>
  </si>
  <si>
    <t>0-CIMBRAS</t>
  </si>
  <si>
    <t>I-PERSONAL</t>
  </si>
  <si>
    <t>I-ASESOR</t>
  </si>
  <si>
    <t>I-CAMP</t>
  </si>
  <si>
    <t>I-COMUN</t>
  </si>
  <si>
    <t>I-OYM</t>
  </si>
  <si>
    <t>I-MOV</t>
  </si>
  <si>
    <t>I-INSPEC</t>
  </si>
  <si>
    <t>I-MOVIL</t>
  </si>
  <si>
    <t>I-FDO</t>
  </si>
  <si>
    <t>0-HORMH21sc</t>
  </si>
  <si>
    <t>0-CEMENTO</t>
  </si>
  <si>
    <t>0-SHOTCRETE</t>
  </si>
  <si>
    <t>0-CAÑOpvc50</t>
  </si>
  <si>
    <t>0-ADITIVOia</t>
  </si>
  <si>
    <t>0-ANC001m</t>
  </si>
  <si>
    <t>0-ANC001h</t>
  </si>
  <si>
    <t>M-RESINA</t>
  </si>
  <si>
    <t>Cartuchos de Resina</t>
  </si>
  <si>
    <t>0-RESINA</t>
  </si>
  <si>
    <t>0-PERNOSLech</t>
  </si>
  <si>
    <t>M-SIGUNIT</t>
  </si>
  <si>
    <t>Sigunita en polvo</t>
  </si>
  <si>
    <t>M-MICRO</t>
  </si>
  <si>
    <t>Microsilica en polvo</t>
  </si>
  <si>
    <t>M-FIBRA</t>
  </si>
  <si>
    <t>Fibra metálica para Shotcrete</t>
  </si>
  <si>
    <t>0-MALLA</t>
  </si>
  <si>
    <t>0-MARCOS</t>
  </si>
  <si>
    <t>Hormigón H08 para limpieza</t>
  </si>
  <si>
    <t>Excavación de Fundaciones - Con Bombeo</t>
  </si>
  <si>
    <t>Colocacion de Cinta de Neoprene en Canales de Cables</t>
  </si>
  <si>
    <t>Rellenos y Compactacion de Suelos</t>
  </si>
  <si>
    <t>Relleno de suelos compactados- terrenos naturales</t>
  </si>
  <si>
    <t>Subrasante tratada según Espec.Técnica</t>
  </si>
  <si>
    <t>Subbase tratada según Espec.Técnica</t>
  </si>
  <si>
    <t>Base Granular S/ET</t>
  </si>
  <si>
    <t>Hormigón H25 estructural para carpeta de rodamiento</t>
  </si>
  <si>
    <t>X-INYECC</t>
  </si>
  <si>
    <t>Inyecciones de consolidación</t>
  </si>
  <si>
    <t>Inyecciones de Consolidación por m</t>
  </si>
  <si>
    <t>0-PREPfund</t>
  </si>
  <si>
    <t>0-COMPSR</t>
  </si>
  <si>
    <t>0-ARQCEN</t>
  </si>
  <si>
    <t>0-TERMINA</t>
  </si>
  <si>
    <t>0-TECHOS</t>
  </si>
  <si>
    <t>S-PTATRA</t>
  </si>
  <si>
    <t>Puesta a tierra de Subestación</t>
  </si>
  <si>
    <t>0-PtaTra</t>
  </si>
  <si>
    <t>0-CCOPER</t>
  </si>
  <si>
    <t>0-KIOSCO</t>
  </si>
  <si>
    <t>0-Enripiado</t>
  </si>
  <si>
    <t>0-CANCAB</t>
  </si>
  <si>
    <t>0-CONFCCAM</t>
  </si>
  <si>
    <t>0-GEOTEXTIL</t>
  </si>
  <si>
    <t>M-ENCFMET</t>
  </si>
  <si>
    <t>Encofrado metálico para canal</t>
  </si>
  <si>
    <t>0-ENCFME</t>
  </si>
  <si>
    <t>0-Colchoneta</t>
  </si>
  <si>
    <t>M-JTAWS</t>
  </si>
  <si>
    <t>Junta Water Stop (goma)</t>
  </si>
  <si>
    <t>M-JTAWm</t>
  </si>
  <si>
    <t>Junta Water Stop (metalica)</t>
  </si>
  <si>
    <t>0-TRAJTA</t>
  </si>
  <si>
    <t>M-JTAIG</t>
  </si>
  <si>
    <t>Juntas Igastira -cintas de 3.5m- (Costo por metro)</t>
  </si>
  <si>
    <t>S-ALCANT</t>
  </si>
  <si>
    <t>Provisión y colocación de alcantarilla (Hgon)</t>
  </si>
  <si>
    <t>0-ALCANTA</t>
  </si>
  <si>
    <t>0-CONTEP</t>
  </si>
  <si>
    <t>S-GEOMEM</t>
  </si>
  <si>
    <t>Provisión e Instalación Geomembrana</t>
  </si>
  <si>
    <t>0-INSTMEM</t>
  </si>
  <si>
    <t>0-HH13MAS</t>
  </si>
  <si>
    <t>Excavación en suelo suelto tipo 4 (SIN AGUA)</t>
  </si>
  <si>
    <t>Excavación en suelo suelto tipo 1 (CON AGUA)</t>
  </si>
  <si>
    <t>Excavación en suelo suelto tipo 2 (CON AGUA)</t>
  </si>
  <si>
    <t>Excavación en suelo suelto tipo 3 (CON AGUA)</t>
  </si>
  <si>
    <t>Excavación en suelo suelto tipo 4 (CON AGUA)</t>
  </si>
  <si>
    <t>0-LIMPFUND</t>
  </si>
  <si>
    <t>M-GEOM</t>
  </si>
  <si>
    <t>Geomembrana-Geotextil</t>
  </si>
  <si>
    <t xml:space="preserve">Hormigón H21 estructural para premoldeados </t>
  </si>
  <si>
    <t>Relleno de suelos compactados para caminos</t>
  </si>
  <si>
    <t>Obras de Arte</t>
  </si>
  <si>
    <t>Hormigón H21 estructural</t>
  </si>
  <si>
    <t>Cemento para Hgones</t>
  </si>
  <si>
    <t>X-ACEROpo</t>
  </si>
  <si>
    <t>S-DESMOCHE</t>
  </si>
  <si>
    <t>S-PCPILOTE</t>
  </si>
  <si>
    <t>X-EXCAV416</t>
  </si>
  <si>
    <t>X-DEPRENAPA</t>
  </si>
  <si>
    <t>un</t>
  </si>
  <si>
    <t>Lt</t>
  </si>
  <si>
    <t>Nº Recursos en Item</t>
  </si>
  <si>
    <t>Nª Recursos en Item</t>
  </si>
  <si>
    <t>CANT.</t>
  </si>
  <si>
    <t>HS EFEC.</t>
  </si>
  <si>
    <t>Hombre/mes</t>
  </si>
  <si>
    <t>Mes Obra</t>
  </si>
  <si>
    <t>Hombre</t>
  </si>
  <si>
    <t>DATOS RESUMEN - GENERALES DE OBRA</t>
  </si>
  <si>
    <t>Costos Indirectos</t>
  </si>
  <si>
    <t>Indirectos Iniciales</t>
  </si>
  <si>
    <t>Indirectos Operativos</t>
  </si>
  <si>
    <t>Indirectos Finales</t>
  </si>
  <si>
    <t>Alquiler de Equipos</t>
  </si>
  <si>
    <t>$</t>
  </si>
  <si>
    <t>COSTOS TOTALES</t>
  </si>
  <si>
    <t>Mes Equipo</t>
  </si>
  <si>
    <t>Adoptado</t>
  </si>
  <si>
    <t>Recursos en Aux-Nivel2</t>
  </si>
  <si>
    <t>Nº Recursos en Aux-Niv3</t>
  </si>
  <si>
    <t>DATOS DE ITEMES GENERALES</t>
  </si>
  <si>
    <t>Excavación en suelo suelto tipo 1 (PC300)</t>
  </si>
  <si>
    <t>Excavación en suelo suelto tipo 2 (PC400)</t>
  </si>
  <si>
    <t>Excavación en suelo suelto tipo 3 (PC200)</t>
  </si>
  <si>
    <t>m3/hr rendimiento excavación</t>
  </si>
  <si>
    <t>X-CargaPC300</t>
  </si>
  <si>
    <t>X-EXCPC200</t>
  </si>
  <si>
    <t>rendimiento excavación (m3/hr)</t>
  </si>
  <si>
    <t>Excavación y carga de material con PC200</t>
  </si>
  <si>
    <t>X-TRANP9</t>
  </si>
  <si>
    <t>DMT en Km</t>
  </si>
  <si>
    <t>ida y vuelta</t>
  </si>
  <si>
    <t>Velocidad Media (Km/hr)</t>
  </si>
  <si>
    <t>minutos de tiempos muertos (incl. descarga)</t>
  </si>
  <si>
    <t>minutos de carga (PC200)</t>
  </si>
  <si>
    <t>viajes en la hora</t>
  </si>
  <si>
    <t>m3 por viaje</t>
  </si>
  <si>
    <t>Transporte de materiales con camiones de 7 m3</t>
  </si>
  <si>
    <t>0-EXCSUES</t>
  </si>
  <si>
    <t>DATOS GENERALES DE PROYECTO</t>
  </si>
  <si>
    <t>ANALISIS DE HORAS EFECTIVAS POR MES</t>
  </si>
  <si>
    <t>Obra:</t>
  </si>
  <si>
    <t>EPP</t>
  </si>
  <si>
    <t>Frec.</t>
  </si>
  <si>
    <t>[$]</t>
  </si>
  <si>
    <t>[$] / mes</t>
  </si>
  <si>
    <t>Comitente:</t>
  </si>
  <si>
    <t>Horarios de trabajo - Análisis de factibilidad anual</t>
  </si>
  <si>
    <t>Guan. largo</t>
  </si>
  <si>
    <t>Lugar:</t>
  </si>
  <si>
    <t>Guan. corto</t>
  </si>
  <si>
    <t>Plazo:</t>
  </si>
  <si>
    <t>CONCEPTOS Y CALCULOS (tiempos en horas)</t>
  </si>
  <si>
    <t>Distribución tiempo Neto - Tiempo corrido</t>
  </si>
  <si>
    <t>Cintur. segur.</t>
  </si>
  <si>
    <t>Nº:</t>
  </si>
  <si>
    <t>días / año</t>
  </si>
  <si>
    <t>hs / año</t>
  </si>
  <si>
    <t>hs / mes</t>
  </si>
  <si>
    <t xml:space="preserve">Casco </t>
  </si>
  <si>
    <t>Bota goma</t>
  </si>
  <si>
    <t>Tasa de cambio EURO</t>
  </si>
  <si>
    <t>DETERMINACION DEL TIEMPO QUE LA OBRA TRABAJA:</t>
  </si>
  <si>
    <t>Protec.au.ext.</t>
  </si>
  <si>
    <t>Tasa de cambio Dólar</t>
  </si>
  <si>
    <t>hs días netas trabajadas</t>
  </si>
  <si>
    <t>Protec.au.int.</t>
  </si>
  <si>
    <t>1-AÑO CALENDARIO</t>
  </si>
  <si>
    <t>Botín medio</t>
  </si>
  <si>
    <t>Antip. oxigen.</t>
  </si>
  <si>
    <t>0-EXCTRI</t>
  </si>
  <si>
    <t>Perf.zona de túneles (m de perf.)</t>
  </si>
  <si>
    <t>m de perforacion por hora</t>
  </si>
  <si>
    <t>m2 de sección</t>
  </si>
  <si>
    <t>Densidad de hoyos por m2 de sección</t>
  </si>
  <si>
    <t>Avance por pega</t>
  </si>
  <si>
    <t>m3 por pega</t>
  </si>
  <si>
    <t>M-EXPLO1</t>
  </si>
  <si>
    <t>M-EXPLO2</t>
  </si>
  <si>
    <t>M-EXPLO3</t>
  </si>
  <si>
    <t>M-EXPLO4</t>
  </si>
  <si>
    <t>M-EXPLO5</t>
  </si>
  <si>
    <t>M-EXPLO6</t>
  </si>
  <si>
    <t>M-EXPLO7</t>
  </si>
  <si>
    <t>Explosivo tipo Gelamon</t>
  </si>
  <si>
    <t>Mecha Lenta</t>
  </si>
  <si>
    <t>Detonador</t>
  </si>
  <si>
    <t>Cordón detonante</t>
  </si>
  <si>
    <t>Explosivo en polvo</t>
  </si>
  <si>
    <t>Estacas</t>
  </si>
  <si>
    <t>Detonador común n° 8</t>
  </si>
  <si>
    <t>m por pega</t>
  </si>
  <si>
    <t>densidad de hoyo por m2 de sección</t>
  </si>
  <si>
    <t>m de avance</t>
  </si>
  <si>
    <t>pi</t>
  </si>
  <si>
    <t>m de diámetro</t>
  </si>
  <si>
    <t>2 veces el perímetro de cordón detonante</t>
  </si>
  <si>
    <t>Constante (2 veces el perímetro y 4 denominador de area de túnel)</t>
  </si>
  <si>
    <t>diámetro de túnel</t>
  </si>
  <si>
    <t>m de avance por pega</t>
  </si>
  <si>
    <t>un por pega</t>
  </si>
  <si>
    <t>m3 de avance</t>
  </si>
  <si>
    <t>hr hombre por pega</t>
  </si>
  <si>
    <t>0-EXCTRII</t>
  </si>
  <si>
    <t>0-EXCTRIII</t>
  </si>
  <si>
    <t>0-EXCTRIV</t>
  </si>
  <si>
    <t>0-EXCTRV</t>
  </si>
  <si>
    <t>0-EXCTRIm</t>
  </si>
  <si>
    <t>0-EXCTRIIm</t>
  </si>
  <si>
    <t>0-EXCTRIIIm</t>
  </si>
  <si>
    <t>0-EXCTRIVm</t>
  </si>
  <si>
    <t>0-EXCTRVm</t>
  </si>
  <si>
    <t>0-EXCPZRI</t>
  </si>
  <si>
    <t>X-CARGATV</t>
  </si>
  <si>
    <t>Carga de explosivos en frente-Cuadrilla Servicios-Pozo Vertical</t>
  </si>
  <si>
    <t>Carga de explosivos en frente-Cuadrilla Servicios-Pozo Vtcal</t>
  </si>
  <si>
    <t>X-CARMARV</t>
  </si>
  <si>
    <t xml:space="preserve">Carga-Tpte de Marina en POZO </t>
  </si>
  <si>
    <t>0-EXCPZRII</t>
  </si>
  <si>
    <t>0-EXCPZRIII</t>
  </si>
  <si>
    <t>0-EXCPZRIV</t>
  </si>
  <si>
    <t>0-EXCPZRV</t>
  </si>
  <si>
    <t>2-TIEMPOS NO TRABAJADOS POR LA OBRA Y SALDOS:</t>
  </si>
  <si>
    <t>Traje agua</t>
  </si>
  <si>
    <t>Costo litro GasOil</t>
  </si>
  <si>
    <t>$/litro</t>
  </si>
  <si>
    <t>a) Domingos</t>
  </si>
  <si>
    <t>Lentes segur.</t>
  </si>
  <si>
    <t>Porcentaje Rep. y Repuestos</t>
  </si>
  <si>
    <t xml:space="preserve">b) Medios Sábados </t>
  </si>
  <si>
    <t>Ropa soldad.</t>
  </si>
  <si>
    <t>Porcentaje Lubricantes</t>
  </si>
  <si>
    <t>c) Feriados que no sean sábado ni domingo:</t>
  </si>
  <si>
    <t>Valor Residual de Equipos</t>
  </si>
  <si>
    <t>(se contabiliza para el año en curso un promedio)</t>
  </si>
  <si>
    <t>d) Paralización por causas climáticas (s/ domingos, sábados y feriados):</t>
  </si>
  <si>
    <t>Porcentaje Perdidas</t>
  </si>
  <si>
    <t>Comida</t>
  </si>
  <si>
    <t>Frecuencia</t>
  </si>
  <si>
    <t>Monto</t>
  </si>
  <si>
    <t>Costo Mes</t>
  </si>
  <si>
    <t>Porcentaje Indirectos</t>
  </si>
  <si>
    <t>Almuerzo</t>
  </si>
  <si>
    <t>Porcentaje Beneficios</t>
  </si>
  <si>
    <t xml:space="preserve">Equivalen, excluyendo a (a), (b) y (c): </t>
  </si>
  <si>
    <t>Cena</t>
  </si>
  <si>
    <t>Porcentaje Financiero</t>
  </si>
  <si>
    <t>Desayuno</t>
  </si>
  <si>
    <t>Porcentaje IVA</t>
  </si>
  <si>
    <t xml:space="preserve">DETERMINACION DEL TIEMPO QUE LOS OPERARIOS TRABAJAN: </t>
  </si>
  <si>
    <t>3-OTROS TIEMPOS NO TRABAJADOS Y SALDOS:</t>
  </si>
  <si>
    <t>e) Licencia ordinaria anual paga, excepto (a) hasta (d): Considerando la alta</t>
  </si>
  <si>
    <t>Transporte</t>
  </si>
  <si>
    <t>Revisión Nº 00</t>
  </si>
  <si>
    <t>rotación actual y algún pequeño porcentaje del personal con antigüedad</t>
  </si>
  <si>
    <t>Avion</t>
  </si>
  <si>
    <t>Ida y Vuelta</t>
  </si>
  <si>
    <t>superior a 5 años, se adoptan 15 días corridos, en media.</t>
  </si>
  <si>
    <t>Media Distancia</t>
  </si>
  <si>
    <t>Larga Distancia</t>
  </si>
  <si>
    <t>Archivo:</t>
  </si>
  <si>
    <t>Local</t>
  </si>
  <si>
    <t>f) Licencias no remuneradas, excluidas (a) hasta (e), según art. 18 del</t>
  </si>
  <si>
    <t>PO:</t>
  </si>
  <si>
    <t>(Datos en Pesos Argentinos)</t>
  </si>
  <si>
    <t>Conveni 76/75. Se adopta</t>
  </si>
  <si>
    <t>Oferente</t>
  </si>
  <si>
    <t>Ropa</t>
  </si>
  <si>
    <t>Presenta</t>
  </si>
  <si>
    <t>g) Enfermedad inculpable, excluidos (a) hasta (f). Estimado 10 días corridos</t>
  </si>
  <si>
    <t>Pantalón</t>
  </si>
  <si>
    <t>Botín corto</t>
  </si>
  <si>
    <t>Camisa</t>
  </si>
  <si>
    <t>h) Licencias especiales, pagas (enlace, nacimientos, fallecimientos,</t>
  </si>
  <si>
    <t>Campera</t>
  </si>
  <si>
    <t>exámenes). Estimado</t>
  </si>
  <si>
    <t xml:space="preserve">i) Accidentes de trabajo. Estimado </t>
  </si>
  <si>
    <t>(*) Los días corridos se corrigen con los días efectivos.</t>
  </si>
  <si>
    <t>Hs por día, efectivamente trabajados</t>
  </si>
  <si>
    <t>ANALISIS DE [$] ADICIONALES A MANO DE OBRA</t>
  </si>
  <si>
    <t>DETALLE DE COSTOS UNITARIOS DE RECURSOS</t>
  </si>
  <si>
    <t>Valores expresados en Pesos Argentinos</t>
  </si>
  <si>
    <t>Histog.</t>
  </si>
  <si>
    <t>CÓDIGO</t>
  </si>
  <si>
    <t>DESCRIPCION</t>
  </si>
  <si>
    <t>UN</t>
  </si>
  <si>
    <t>CU</t>
  </si>
  <si>
    <t>Cantidad</t>
  </si>
  <si>
    <t>Costos</t>
  </si>
  <si>
    <t>Hs Efectivas Mes</t>
  </si>
  <si>
    <t>Sueldo Bolsillo</t>
  </si>
  <si>
    <t>Incrementos</t>
  </si>
  <si>
    <t>Aguinaldo</t>
  </si>
  <si>
    <t>Aportes Empleado</t>
  </si>
  <si>
    <t>Aportes Empleador</t>
  </si>
  <si>
    <t>Cargas Sociales A</t>
  </si>
  <si>
    <t>ART Fijo</t>
  </si>
  <si>
    <t>ART Variable</t>
  </si>
  <si>
    <t>Comisión Ticket</t>
  </si>
  <si>
    <t>Costo Empresa MES</t>
  </si>
  <si>
    <t>K (Cemp/Bols.)</t>
  </si>
  <si>
    <t>Ropa Trabajo</t>
  </si>
  <si>
    <t>CE.Total</t>
  </si>
  <si>
    <t>K Vestido</t>
  </si>
  <si>
    <t>MANO DE OBRA</t>
  </si>
  <si>
    <t>AYUDANTE</t>
  </si>
  <si>
    <t>hh</t>
  </si>
  <si>
    <t>CHOFER</t>
  </si>
  <si>
    <t>MEDIO OFICIAL</t>
  </si>
  <si>
    <t>OFICIAL</t>
  </si>
  <si>
    <t>OFICIAL ESPECIALIZADO</t>
  </si>
  <si>
    <t>A-J01</t>
  </si>
  <si>
    <t>Capataces de Obra, Plantas</t>
  </si>
  <si>
    <t>Comp.[%]</t>
  </si>
  <si>
    <t>A-J02</t>
  </si>
  <si>
    <t>A-J03</t>
  </si>
  <si>
    <t>A-J04</t>
  </si>
  <si>
    <t>A-J05</t>
  </si>
  <si>
    <t>0-HORMH21l</t>
  </si>
  <si>
    <t>0-HORMH21mp</t>
  </si>
  <si>
    <t>M-GAVION</t>
  </si>
  <si>
    <t>0-Gaviones</t>
  </si>
  <si>
    <t>0-Conting</t>
  </si>
  <si>
    <t>S-CTG</t>
  </si>
  <si>
    <t>Gaviones de Acero Galvanizado (2x1x1)</t>
  </si>
  <si>
    <t>Prov.y Colocación de Barandas p/puente(Fleax Beam y Peatonal)</t>
  </si>
  <si>
    <t>0-Baranda</t>
  </si>
  <si>
    <t>M-TUB150</t>
  </si>
  <si>
    <t>Tuberías Vitaulic 150 mm</t>
  </si>
  <si>
    <t>0-Bombeo</t>
  </si>
  <si>
    <t>0-MontGT</t>
  </si>
  <si>
    <t>A-J06</t>
  </si>
  <si>
    <t>A-J07</t>
  </si>
  <si>
    <t>A-J08</t>
  </si>
  <si>
    <t>A-J09</t>
  </si>
  <si>
    <t>A-J10</t>
  </si>
  <si>
    <t>A-J11</t>
  </si>
  <si>
    <t>A-J12</t>
  </si>
  <si>
    <t>A-J13</t>
  </si>
  <si>
    <t>A-J14</t>
  </si>
  <si>
    <t>A-J15</t>
  </si>
  <si>
    <t>A-J16</t>
  </si>
  <si>
    <t>A-J17</t>
  </si>
  <si>
    <t>A-J18</t>
  </si>
  <si>
    <t>A-J19</t>
  </si>
  <si>
    <t>A-J20</t>
  </si>
  <si>
    <t>A-J21</t>
  </si>
  <si>
    <t>A-J22</t>
  </si>
  <si>
    <t>A-J23</t>
  </si>
  <si>
    <t>A-J24</t>
  </si>
  <si>
    <t>A-J25</t>
  </si>
  <si>
    <t>A-J26</t>
  </si>
  <si>
    <t>MATERIALES</t>
  </si>
  <si>
    <t>M-ACERO</t>
  </si>
  <si>
    <t>ACERO TIPO ADN 420</t>
  </si>
  <si>
    <t>tn</t>
  </si>
  <si>
    <t>M-ACEROF24</t>
  </si>
  <si>
    <t>ACERO TIPO F24</t>
  </si>
  <si>
    <t>KG</t>
  </si>
  <si>
    <t>M-AGREGADO</t>
  </si>
  <si>
    <t>AGREGADOS PETREOS - RIPIOS</t>
  </si>
  <si>
    <t>M3</t>
  </si>
  <si>
    <t>M-ALAMBRE</t>
  </si>
  <si>
    <t>ALAMBRE RECOCIDO #14</t>
  </si>
  <si>
    <t>Kg</t>
  </si>
  <si>
    <t>M-ALQCASA</t>
  </si>
  <si>
    <t>ALQUILER DE CASAS</t>
  </si>
  <si>
    <t>MES</t>
  </si>
  <si>
    <t>M-ANTI</t>
  </si>
  <si>
    <t>ANTISOL</t>
  </si>
  <si>
    <t>L</t>
  </si>
  <si>
    <t>M-CEMgra</t>
  </si>
  <si>
    <t>CEMENTO A GRANEL (NORMAL)</t>
  </si>
  <si>
    <t>TN</t>
  </si>
  <si>
    <t>M-CA24</t>
  </si>
  <si>
    <t>CABLE DE ACERO DIAM. 24 mm (Para Riendas)</t>
  </si>
  <si>
    <t>M</t>
  </si>
  <si>
    <t>M-CA26</t>
  </si>
  <si>
    <t>CABLE DE ACERO DIAM. 26 mm (Para CR ppal)</t>
  </si>
  <si>
    <t>CONJ</t>
  </si>
  <si>
    <t>M-CAL</t>
  </si>
  <si>
    <t>CAL</t>
  </si>
  <si>
    <t>bolsa</t>
  </si>
  <si>
    <t>M-CAÑO</t>
  </si>
  <si>
    <t>CAÑERIA DIAM. 100 H°F°</t>
  </si>
  <si>
    <t>M-CAÑOPVC</t>
  </si>
  <si>
    <t>TUBERIAS DE PVC DIAM. 150</t>
  </si>
  <si>
    <t>M-CAÑOPVCA</t>
  </si>
  <si>
    <t>CAÑO DE PVC DIAM. 100 MM</t>
  </si>
  <si>
    <t>M-CAÑOPVCA1</t>
  </si>
  <si>
    <t>CAÑO DE PVC DIAM. 100 MM Reforzado</t>
  </si>
  <si>
    <t>m</t>
  </si>
  <si>
    <t>M-CARTELES</t>
  </si>
  <si>
    <t>CARTELERIA PARA TORRES</t>
  </si>
  <si>
    <t>M-CEAD01</t>
  </si>
  <si>
    <t>MEMBRANA DE CURADO</t>
  </si>
  <si>
    <t>M-CEAG10</t>
  </si>
  <si>
    <t>PIEDRA PARA ENROCADO</t>
  </si>
  <si>
    <t>Tn</t>
  </si>
  <si>
    <t>M-CEAG20</t>
  </si>
  <si>
    <t>PIEDRA PARA GAVIONES</t>
  </si>
  <si>
    <t>M-CEMaf</t>
  </si>
  <si>
    <t>AGREGADO FINO P/HORMIGONES (tpte a 100 km)</t>
  </si>
  <si>
    <t>M-CEMag</t>
  </si>
  <si>
    <t>AGREGADO GRUESO P/HORMIGONES (tpte a 100 Km)</t>
  </si>
  <si>
    <t>M-CEMar</t>
  </si>
  <si>
    <t>ARENA P/HORMIGONES (tpte a 100 km)</t>
  </si>
  <si>
    <t>M-CEMbol</t>
  </si>
  <si>
    <t>CEMENTO (en obra-bolsa)</t>
  </si>
  <si>
    <t>M-CEMpla</t>
  </si>
  <si>
    <t>PLASTIFICANTE</t>
  </si>
  <si>
    <t>M-CETP65</t>
  </si>
  <si>
    <t>TUBERIA PVC D=400 mm PERF.SUBDREN</t>
  </si>
  <si>
    <t>M-CEVR04</t>
  </si>
  <si>
    <t>MEMBRANA DE POLIETILENO 2 mm</t>
  </si>
  <si>
    <t>m2</t>
  </si>
  <si>
    <t>M-CINTA</t>
  </si>
  <si>
    <t>CINTA DE NEOPRENE</t>
  </si>
  <si>
    <t>M-CLAVO</t>
  </si>
  <si>
    <t>CLAVO DE 2 A 4"</t>
  </si>
  <si>
    <t>M-CODO</t>
  </si>
  <si>
    <t>CODO DE DIAM. 100 PVC</t>
  </si>
  <si>
    <t>M-CON</t>
  </si>
  <si>
    <t>SUNCHO ACERO INOX 19 mm Y HEBILLA</t>
  </si>
  <si>
    <t>M-CSIR</t>
  </si>
  <si>
    <t>[x] Incluye Sumas Remunerativas de Convenio</t>
  </si>
  <si>
    <t>Sumas No Remunerativas</t>
  </si>
  <si>
    <t>M.Of.</t>
  </si>
  <si>
    <t>Ofi.</t>
  </si>
  <si>
    <t>Of.E.</t>
  </si>
  <si>
    <t>Oper.</t>
  </si>
  <si>
    <t>TOTAL DE COSTOS DIRECTOS</t>
  </si>
  <si>
    <t>Jefe de Seguridad Industrial y Patrimonial</t>
  </si>
  <si>
    <t>Jefe Administrativo Contable</t>
  </si>
  <si>
    <t>Jefe de Calidad</t>
  </si>
  <si>
    <t>Jefe de Seguridad Industrial</t>
  </si>
  <si>
    <t>Jefe de Seguridad Patrimonial</t>
  </si>
  <si>
    <t>Secretaría</t>
  </si>
  <si>
    <t>Asesores Externos</t>
  </si>
  <si>
    <t>Prevencionistas</t>
  </si>
  <si>
    <t xml:space="preserve">Medicos </t>
  </si>
  <si>
    <t>Enfermeros</t>
  </si>
  <si>
    <t>Auxiliares Generales</t>
  </si>
  <si>
    <t>Jefe de Obra</t>
  </si>
  <si>
    <t>Encargado de Contratos y Subc.</t>
  </si>
  <si>
    <t>Certificación, Programac. y CG.</t>
  </si>
  <si>
    <t xml:space="preserve">Topografos </t>
  </si>
  <si>
    <t>Auxiliares de Topografía</t>
  </si>
  <si>
    <t>Dibujantes</t>
  </si>
  <si>
    <t>Apuntadores</t>
  </si>
  <si>
    <t>Materiales Permanentes</t>
  </si>
  <si>
    <t>Jefe de Minería Subt. Y C.Abierto</t>
  </si>
  <si>
    <t>Jefe de Planteles</t>
  </si>
  <si>
    <t>Jefe de Laboratorio</t>
  </si>
  <si>
    <t>Personal de Calidad</t>
  </si>
  <si>
    <t>Personal de Medio Ambiente</t>
  </si>
  <si>
    <t>Laboratoristas</t>
  </si>
  <si>
    <t>Jefe de Mov. de Suelos</t>
  </si>
  <si>
    <t>Capataces Generales</t>
  </si>
  <si>
    <t>Jefe de Hormigones</t>
  </si>
  <si>
    <t>kg</t>
  </si>
  <si>
    <t>S-METAL</t>
  </si>
  <si>
    <t>Provisión y montaje de estructuras metálicas</t>
  </si>
  <si>
    <t>S-ECOM</t>
  </si>
  <si>
    <t>Electrificación de compartos</t>
  </si>
  <si>
    <t>Mensuales</t>
  </si>
  <si>
    <t>Riesgo y otros</t>
  </si>
  <si>
    <t>Of. Especializado</t>
  </si>
  <si>
    <t>Medio Oficial</t>
  </si>
  <si>
    <t>Sumas Remunerativas</t>
  </si>
  <si>
    <t>Costos Alquiler de Equipos</t>
  </si>
  <si>
    <t>Jefe de Armaduras y Playa Hierro</t>
  </si>
  <si>
    <t>Jefe Encofrados y Carpinterias</t>
  </si>
  <si>
    <t>Gomerías</t>
  </si>
  <si>
    <t>Taller Hidráulico</t>
  </si>
  <si>
    <t>Mecanicos y/o Electricos de 1°</t>
  </si>
  <si>
    <t>Mecanicos y/o Electricos de 2°</t>
  </si>
  <si>
    <t>Auxiliares de Taller</t>
  </si>
  <si>
    <t>Electromecánica y Bombas</t>
  </si>
  <si>
    <t>Jefe de Compras</t>
  </si>
  <si>
    <t>Jefe de Deposito</t>
  </si>
  <si>
    <t>Jefe de Campamento</t>
  </si>
  <si>
    <t>Enc.Servicios Generales</t>
  </si>
  <si>
    <t>Encargado Financiero</t>
  </si>
  <si>
    <t>Enc. Administrativo</t>
  </si>
  <si>
    <t>Jefe de Personal</t>
  </si>
  <si>
    <t>Administrativos</t>
  </si>
  <si>
    <t>Auxiliares de Vigilancia</t>
  </si>
  <si>
    <t>Observaciones</t>
  </si>
  <si>
    <t>0-Blanketm3</t>
  </si>
  <si>
    <t>Contingencias</t>
  </si>
  <si>
    <t>Hormigón H21 estructural masivo</t>
  </si>
  <si>
    <t>0-ADITIVO</t>
  </si>
  <si>
    <t>CONJUNTO DE ANCLAJE SUP. E INF. DE RIENDAS</t>
  </si>
  <si>
    <t>M-DESMO</t>
  </si>
  <si>
    <t>DESMOLDANTE</t>
  </si>
  <si>
    <t>M-ENSMA</t>
  </si>
  <si>
    <t>MADERA PARA SOSTEN. DE EXCAVACIONES</t>
  </si>
  <si>
    <t>M-FENOL</t>
  </si>
  <si>
    <t>FENOLICO PARA ENCOFRADO</t>
  </si>
  <si>
    <t>M2</t>
  </si>
  <si>
    <t>M-HIDRO</t>
  </si>
  <si>
    <t>HIDROFUGOS</t>
  </si>
  <si>
    <t>LTS</t>
  </si>
  <si>
    <t>M-JABALINA</t>
  </si>
  <si>
    <t>JABALINA PARA PUESTA A TIERRA JL 24x2500</t>
  </si>
  <si>
    <t>M-LADRILLO</t>
  </si>
  <si>
    <t>LADRILLOS CERÁMICOS</t>
  </si>
  <si>
    <t>M-LISTON</t>
  </si>
  <si>
    <t>LISTON TIPO PARA ENCOFRADO</t>
  </si>
  <si>
    <t>M-MAELE</t>
  </si>
  <si>
    <t>MALLA ELECTROSOLDADA Q-92</t>
  </si>
  <si>
    <t>M-MALLA</t>
  </si>
  <si>
    <t>MALLA ARTÍSTICA</t>
  </si>
  <si>
    <t>M-MATTEN1</t>
  </si>
  <si>
    <t>EXPLOSIVOS POR M3 DE MATERIAL VOLADO BANCO</t>
  </si>
  <si>
    <t>M-PERFIL</t>
  </si>
  <si>
    <t>PERFIL L ANGULAR</t>
  </si>
  <si>
    <t>M-Pintura</t>
  </si>
  <si>
    <t>PINTURA TERMINACION MURETES</t>
  </si>
  <si>
    <t>M-POSTEm</t>
  </si>
  <si>
    <t>POSTE METÁLICO CON ABRAZADERAS</t>
  </si>
  <si>
    <t>M-PUNTAL</t>
  </si>
  <si>
    <t>PUNTAL PARA ENCOFRADO</t>
  </si>
  <si>
    <t>Un</t>
  </si>
  <si>
    <t>M-TAPA</t>
  </si>
  <si>
    <t xml:space="preserve">TAPA Y REJA DE BRONCE </t>
  </si>
  <si>
    <t>M-TAPAS</t>
  </si>
  <si>
    <t>TAPA Y REJA DE BRONCE SUMIDERO</t>
  </si>
  <si>
    <t>M-TERMINAL</t>
  </si>
  <si>
    <t>TERMINAL A COMPRESION DE DIAM. 10,50 mm</t>
  </si>
  <si>
    <t>M-TUBOAC</t>
  </si>
  <si>
    <t>TUBO DE ACERO DE 1,20 DE DIAMETRO</t>
  </si>
  <si>
    <t>M-VALVULA</t>
  </si>
  <si>
    <t>VALVULA ESFERICA DE DIAM. 100</t>
  </si>
  <si>
    <t>M-VARIOS</t>
  </si>
  <si>
    <t>MATERIALES VARIOS</t>
  </si>
  <si>
    <t>GL</t>
  </si>
  <si>
    <t>M-IAIRE</t>
  </si>
  <si>
    <t>INCORPORADOR DE AIRE</t>
  </si>
  <si>
    <t>SUBCONTRATOS</t>
  </si>
  <si>
    <t>S-POZO</t>
  </si>
  <si>
    <t>TUBERIAS PARA AGUA</t>
  </si>
  <si>
    <t>S-HH21</t>
  </si>
  <si>
    <t>PROVISION DE H21</t>
  </si>
  <si>
    <t>S-PCPilote</t>
  </si>
  <si>
    <t>PRUEBA DE CARGA PILOTES</t>
  </si>
  <si>
    <t>$/M3</t>
  </si>
  <si>
    <t>S-Desmoche</t>
  </si>
  <si>
    <t>DESMOCHE DE PILOTES</t>
  </si>
  <si>
    <t>S-PLAYA</t>
  </si>
  <si>
    <t>PLAYA DE PREMOLDEADOS</t>
  </si>
  <si>
    <t>S-EXPILO</t>
  </si>
  <si>
    <t>EXCAVACION DE PILOTES</t>
  </si>
  <si>
    <t>S-REJA</t>
  </si>
  <si>
    <t>COLOCACION DE REJA EN CÁMARA DE ACEITE (Metálica Galvanizada)</t>
  </si>
  <si>
    <t>S-PARQU</t>
  </si>
  <si>
    <t>PARQUIZACION</t>
  </si>
  <si>
    <t>S-SUELOS</t>
  </si>
  <si>
    <t>ESTUDIOS DE SUELOS S/PLIEGO</t>
  </si>
  <si>
    <t>S-PERFORA</t>
  </si>
  <si>
    <t>PERFORACIÓN E INSTALACIÓN ANCLAJE F24</t>
  </si>
  <si>
    <t>S-ROCA</t>
  </si>
  <si>
    <t>EXCAVACIONES EN ROCA</t>
  </si>
  <si>
    <t>S-CERCO</t>
  </si>
  <si>
    <t>CONSTRUCCION DE CERO PERIMETRAL</t>
  </si>
  <si>
    <t>S-POSTE</t>
  </si>
  <si>
    <t>POSTE PREMOLDEADO</t>
  </si>
  <si>
    <t>S-PORTON</t>
  </si>
  <si>
    <t>PORTON DE ACCESO</t>
  </si>
  <si>
    <t>S-EDIFICIO1</t>
  </si>
  <si>
    <t>CONSTRUCCION DE EDIFICIO TIPO 1</t>
  </si>
  <si>
    <t>S-PI080</t>
  </si>
  <si>
    <t>EXCAVACION DE PILOTES DE 0,80 M</t>
  </si>
  <si>
    <t>S-PI100</t>
  </si>
  <si>
    <t>EXCAVACION DE PILOTES DE 1,00 M</t>
  </si>
  <si>
    <t>S-PI120</t>
  </si>
  <si>
    <t>EXCAVACION DE PILOTES DE 1,20 M</t>
  </si>
  <si>
    <t>S-MPI020</t>
  </si>
  <si>
    <t>EJECUCION DE MICROPILOTES</t>
  </si>
  <si>
    <t>S-AIA</t>
  </si>
  <si>
    <t xml:space="preserve">ANCLAJE INYECTADO </t>
  </si>
  <si>
    <t>S-ANCCIL</t>
  </si>
  <si>
    <t>BARRAS DE ANCLAJE DE CILINDROS</t>
  </si>
  <si>
    <t>S-TRANQ</t>
  </si>
  <si>
    <t>CONSTRUCCION DE TRANQUERA</t>
  </si>
  <si>
    <t>S-ALAMB</t>
  </si>
  <si>
    <t>CONSTRUCCION DE ALAMBRADOS</t>
  </si>
  <si>
    <t>S-CIMBRAS</t>
  </si>
  <si>
    <t>CONSTRUCCION DE CIMBRAS</t>
  </si>
  <si>
    <t>S-CERR</t>
  </si>
  <si>
    <t>CERRAMIENTOS Y TECHADOS</t>
  </si>
  <si>
    <t>S-ICLO</t>
  </si>
  <si>
    <t>INSTALACIONES CLOACALES</t>
  </si>
  <si>
    <t>S-IPOT</t>
  </si>
  <si>
    <t>INSTALACIONES DE AGUA POTABLE</t>
  </si>
  <si>
    <t>S-PEJ</t>
  </si>
  <si>
    <t>PROYECTO EJECUTIVO</t>
  </si>
  <si>
    <t>S-ID</t>
  </si>
  <si>
    <t>INGENIERIA DE DETALLE</t>
  </si>
  <si>
    <t>S-EIA</t>
  </si>
  <si>
    <t>ESTUDIO DE IMPACTO AMBIENTAL</t>
  </si>
  <si>
    <t>S-ESTRUC</t>
  </si>
  <si>
    <t>ESTRUCTURAS METALICAS (TIPO CABRIADA - Montada)</t>
  </si>
  <si>
    <t>S-ASESOR</t>
  </si>
  <si>
    <t>ASESORIAS EN OBRADORES</t>
  </si>
  <si>
    <t>S-EDIFICIO2</t>
  </si>
  <si>
    <t>CONSTRUCCION DE EDIFICIO TIPO 2</t>
  </si>
  <si>
    <t>S-INSTALA</t>
  </si>
  <si>
    <t>INSTALACIONES EN CAMPAMENTO (ELEC.SANIT.ETC)</t>
  </si>
  <si>
    <t>S-CAMP</t>
  </si>
  <si>
    <t>EDIFICIOS DE CAMPAMENTOS</t>
  </si>
  <si>
    <t>S-ALQ</t>
  </si>
  <si>
    <t>ALQUILER DE CAMPAMENTOS</t>
  </si>
  <si>
    <t>S-GALP</t>
  </si>
  <si>
    <t>GALPONES METALICOS</t>
  </si>
  <si>
    <t>S-PLANTA</t>
  </si>
  <si>
    <t>INSTALACIONES DE PLANTAS DE HGON Y OTRAS</t>
  </si>
  <si>
    <t>S-EQOF1</t>
  </si>
  <si>
    <t>EQUIPAMIENTO PARA OFICINAS</t>
  </si>
  <si>
    <t>S-EQOF2</t>
  </si>
  <si>
    <t>EQUIPAMIENTO PARA LABORATORIO</t>
  </si>
  <si>
    <t>S-EQOF3</t>
  </si>
  <si>
    <t>EQUIPAMIENTO PARA ENFERMERIA</t>
  </si>
  <si>
    <t>S-EQOF4</t>
  </si>
  <si>
    <t>EQUIPAMIENTO PARA DORMITORIOS</t>
  </si>
  <si>
    <t>S-EQOF5</t>
  </si>
  <si>
    <t>EQUIPAMIENTOS PARA CASAS</t>
  </si>
  <si>
    <t>S-EQOF6</t>
  </si>
  <si>
    <t>EQUIPAMIENTO TECNICO PARA PRODUCCION</t>
  </si>
  <si>
    <t>S-EQOF7</t>
  </si>
  <si>
    <t>EQUIPAMIENTO TECNICO PARA TOPOGRAFIA</t>
  </si>
  <si>
    <t>S-EQOF8</t>
  </si>
  <si>
    <t xml:space="preserve">EQUIPAMIENTO TECNICO PARA LABORATORIO </t>
  </si>
  <si>
    <t>S-EQOF9</t>
  </si>
  <si>
    <t>EQUIPAMIENTO TECNICO PARA SEGURIDAD</t>
  </si>
  <si>
    <t>S-EQOF10</t>
  </si>
  <si>
    <t>EQUIPAMIENTO TECNICO PARA TALLER</t>
  </si>
  <si>
    <t>S-INSTSC</t>
  </si>
  <si>
    <t>INSTALACION DE SISTEMAS DE COMUNICACIÓN</t>
  </si>
  <si>
    <t>S-MANTSC</t>
  </si>
  <si>
    <t>MANTENIMIENTO Y ALQUILER</t>
  </si>
  <si>
    <t>S-VHF</t>
  </si>
  <si>
    <t>HANDYES-BASES Y REPETIDORAS</t>
  </si>
  <si>
    <t>S-SP</t>
  </si>
  <si>
    <t>Días corridos de lluvia ó nieve /año en obra:</t>
  </si>
  <si>
    <t>SERVICIOS PUBLICOS EN OBRADOR (LUZ-TELEF-AGUA-ETC)</t>
  </si>
  <si>
    <t>S-CONSU</t>
  </si>
  <si>
    <t>CONSUMIBLES CAMPAMENTO (OFIC-SG-SEG-MA)</t>
  </si>
  <si>
    <t>S-VYH</t>
  </si>
  <si>
    <t>VIAJES Y HOTELES</t>
  </si>
  <si>
    <t>S-GG</t>
  </si>
  <si>
    <t>CARTEL DE OBRA</t>
  </si>
  <si>
    <t>S-SEGU</t>
  </si>
  <si>
    <t>SEGUROS DE OBRA (EQUIPOS-PERSONAL-ETC)</t>
  </si>
  <si>
    <t>S-MOV</t>
  </si>
  <si>
    <t>MOVILIZACION DE OBRA</t>
  </si>
  <si>
    <t>S-LF</t>
  </si>
  <si>
    <t>LIMPIEZA FINAL DE OBRA</t>
  </si>
  <si>
    <t>S-INSPEC</t>
  </si>
  <si>
    <t>PRESTACIONES A LA INSPECCION</t>
  </si>
  <si>
    <t>S-ASERRADO</t>
  </si>
  <si>
    <t>ASERRADO DE JUNTAS</t>
  </si>
  <si>
    <t>S-TOPO</t>
  </si>
  <si>
    <t>ASESORAMIENTO TOPOGRAFICO</t>
  </si>
  <si>
    <t>TRANSPORTES</t>
  </si>
  <si>
    <t>T-AGREG</t>
  </si>
  <si>
    <t>TRANSP.AGREGADO (Tpte largo cotizado x 10 Km)</t>
  </si>
  <si>
    <t>Tn.Km</t>
  </si>
  <si>
    <t>EQUIPOS</t>
  </si>
  <si>
    <t>Amort.</t>
  </si>
  <si>
    <t>Rep.y Rep.</t>
  </si>
  <si>
    <t>CYL</t>
  </si>
  <si>
    <t>NEUM</t>
  </si>
  <si>
    <t>[U$] FOB</t>
  </si>
  <si>
    <t>Pot.[hp]</t>
  </si>
  <si>
    <t>PE [Kw]</t>
  </si>
  <si>
    <t>Vida Util</t>
  </si>
  <si>
    <t>C.Esp.</t>
  </si>
  <si>
    <t>Cant.
Neum.</t>
  </si>
  <si>
    <t xml:space="preserve">[US] Neum. </t>
  </si>
  <si>
    <t>Hs Uso Neum.</t>
  </si>
  <si>
    <t>Litros Comb.</t>
  </si>
  <si>
    <t>HR</t>
  </si>
  <si>
    <t>EQUIPOS PROPIOS</t>
  </si>
  <si>
    <t>TOPADORA CON ESC.(39 T) 302 HP</t>
  </si>
  <si>
    <t>TOPADORA SOBRE NEUMATICOS (46 T)</t>
  </si>
  <si>
    <t>MINICARG. BOBCAT S/NEUM. (0,40 M3)</t>
  </si>
  <si>
    <t>CARGADOR FRONTAL S/NEUM. (1,60 M3)</t>
  </si>
  <si>
    <t>CARGADOR FRONTAL S/NEUM. (2,30 M3)</t>
  </si>
  <si>
    <t>CARGADOR FRONTAL S/NEUM. (3,00 M3)</t>
  </si>
  <si>
    <t>CARRETON DE 50 TN CON CAMION</t>
  </si>
  <si>
    <t>TORRE DE ILUMINACION</t>
  </si>
  <si>
    <t>MOTONIVELADORA 12" (15 T)</t>
  </si>
  <si>
    <t>MOTONIVELADORA 14" (21 T)</t>
  </si>
  <si>
    <t>MOTONIVELADORA 14" (19 T)</t>
  </si>
  <si>
    <t>RETROEXC. CARG. S/ROD.NEUM. 0.24 M3</t>
  </si>
  <si>
    <t>X-Destape</t>
  </si>
  <si>
    <t>0-Blanket</t>
  </si>
  <si>
    <t>m3/hr rendimiento topadora</t>
  </si>
  <si>
    <t>Destape en Yacimiento/Excavación - Arreglo Botaderos</t>
  </si>
  <si>
    <t>X-Perf642</t>
  </si>
  <si>
    <t>m/hr rendimiento perforación</t>
  </si>
  <si>
    <t>Perforación con trackdrill Tamrock-500 (Grilla 1.5 x 1.5)</t>
  </si>
  <si>
    <t>X-CARGA</t>
  </si>
  <si>
    <t>Carga con explosivos para excavación en roca (cielo abierto)</t>
  </si>
  <si>
    <t>X-CargaPC200</t>
  </si>
  <si>
    <t>Rendimiento carga PC300</t>
  </si>
  <si>
    <t>Carga de Rocas con PC300</t>
  </si>
  <si>
    <t>[%] Incidencia sobre total</t>
  </si>
  <si>
    <t>0-EXCCA</t>
  </si>
  <si>
    <t>m2 de banco a perforar (30x12)</t>
  </si>
  <si>
    <t>m2 de area específica (grilla 1.5x1.5)</t>
  </si>
  <si>
    <t>Profundidad banco</t>
  </si>
  <si>
    <t>M-VARPER</t>
  </si>
  <si>
    <t>Materiales de perforación por m.</t>
  </si>
  <si>
    <t>Colado de Hgón Elaborado con mixer y bomba</t>
  </si>
  <si>
    <t>Hormigón H17 estructural para losas-plateas</t>
  </si>
  <si>
    <t>0-SHOTCRCF</t>
  </si>
  <si>
    <t>Personal y Movilidades (Camionetas), Alquileres</t>
  </si>
  <si>
    <t>RETROEXCAVADORA S/CARRILES  6,0 M3</t>
  </si>
  <si>
    <t>RETROEXCAVADORA S/CARRILES  0,2 M3</t>
  </si>
  <si>
    <t>RETROEXCAVADORA S/CARRILES  0,9 M2</t>
  </si>
  <si>
    <t>RETROEXCAVADORA S/CARRILES  1,1 M3</t>
  </si>
  <si>
    <t>RETROEXCAVADORA S/CARRILES  1,6 M3</t>
  </si>
  <si>
    <t>CAMION VOLCADOR 6x4 CAP. 24 T=15 m3</t>
  </si>
  <si>
    <t>CAMION VOLCADOR CAP. 15 T=9 m3</t>
  </si>
  <si>
    <t>CAMION SEMIRREMOLQUE CAP. 30 T 6x4</t>
  </si>
  <si>
    <t>CAMION TANQUE COMBUSTIBLE 8 m3</t>
  </si>
  <si>
    <t>CAMION LUBRICACION-MANTENIMIENTO</t>
  </si>
  <si>
    <t>CAMION DE MANTENIMIENTO PESADO</t>
  </si>
  <si>
    <t>MERCEDES BENZ UNIMOG 416</t>
  </si>
  <si>
    <t>k1_v</t>
  </si>
  <si>
    <t>k1_d</t>
  </si>
  <si>
    <t>k2_v</t>
  </si>
  <si>
    <t>k2_d</t>
  </si>
  <si>
    <t>k3_v</t>
  </si>
  <si>
    <t>k3_d</t>
  </si>
  <si>
    <t>k4_v</t>
  </si>
  <si>
    <t>k4_d</t>
  </si>
  <si>
    <t>k5_v</t>
  </si>
  <si>
    <t>k5_d</t>
  </si>
  <si>
    <t>REndimiento del equipo</t>
  </si>
  <si>
    <t>Perdidas</t>
  </si>
  <si>
    <t>ID</t>
  </si>
  <si>
    <t>meses</t>
  </si>
  <si>
    <t>Rend.
Estimado</t>
  </si>
  <si>
    <t>Duración Estimada</t>
  </si>
  <si>
    <t>Mes</t>
  </si>
  <si>
    <t>[un/hr)</t>
  </si>
  <si>
    <t xml:space="preserve">Se estima que paralizan la obra tipo 30% </t>
  </si>
  <si>
    <t>General</t>
  </si>
  <si>
    <t>m3/hr rendimiento retro</t>
  </si>
  <si>
    <t>División</t>
  </si>
  <si>
    <t>X-TRANSP</t>
  </si>
  <si>
    <t>m3/hr rendimiento tpte, carga con retro PC300</t>
  </si>
  <si>
    <t>Transporte de Materiales-Camiones Astra</t>
  </si>
  <si>
    <t>Sobreexcavación y esponjamiento</t>
  </si>
  <si>
    <t>m3/hr rendimiento retroexcavadora PC 450</t>
  </si>
  <si>
    <t>X-TRANFR</t>
  </si>
  <si>
    <t>m3/hr rendimiento camión</t>
  </si>
  <si>
    <t>Transporte de Materiales con Camiones Fuera de Ruta</t>
  </si>
  <si>
    <t>km</t>
  </si>
  <si>
    <t>INDEMNIZACIÓN x LLUVIA-NIEVE</t>
  </si>
  <si>
    <t>ADICIONAL x ZONA</t>
  </si>
  <si>
    <t>X-PTAHGON</t>
  </si>
  <si>
    <t>Planta de Hormigón</t>
  </si>
  <si>
    <t>CAMION REGADOR CAP. 7 m3</t>
  </si>
  <si>
    <t>CAMION REGADOR CAP. 11 m3</t>
  </si>
  <si>
    <t>ACOPLADO O TANQUE CAP. 10 m3</t>
  </si>
  <si>
    <t>CAMION FUERA DE RUTA 36 T-21 M3</t>
  </si>
  <si>
    <t>CAMION FUERA DE RUTA 60 T-34 M3</t>
  </si>
  <si>
    <t>COMPACT.LISO VIBR.AUTOPROP.(11 T)</t>
  </si>
  <si>
    <t>COMPACT.LISO VIBR.AUTOPROP.(14 T)</t>
  </si>
  <si>
    <t>COMPACTADOR NEUMAT.AUTOPROP.(22 T)</t>
  </si>
  <si>
    <t>PLANCHA VIBRATORIA 32x28 cm-68 Kg</t>
  </si>
  <si>
    <t>PLANCHA VIBRATORIA 90x70 cm-470 Kg</t>
  </si>
  <si>
    <t>TRACK DRILL NEUMATICO (10-14 M/H)</t>
  </si>
  <si>
    <t>TRACK DRILL HIDRAULICO (15-25 M/H)</t>
  </si>
  <si>
    <t>MARTILLO NEUM.PERF.C/PIE DE AVANCE</t>
  </si>
  <si>
    <t>MARTILLO NEUMATICO PERFORADOR</t>
  </si>
  <si>
    <t>MARTILLO NEUMATICO PERFORADOR DE 1200 KG</t>
  </si>
  <si>
    <t>GRUA MOVIL SOBRE ORUGAS 60 T</t>
  </si>
  <si>
    <t>PERFORADORA HIDRÁULICA ROTATIVA LO DRILL</t>
  </si>
  <si>
    <t>TRACTOR PANTANERO 8 CUBIERTAS</t>
  </si>
  <si>
    <t>EQUIPO DE TENDIDO COMPLETO CON ROLDANAS Y ACCESORIOS.</t>
  </si>
  <si>
    <t>MOTOCOMPRESOR 5 M3/MIN-175 CFM</t>
  </si>
  <si>
    <t>CAMIONETA CABINA DOBLE 4x4</t>
  </si>
  <si>
    <t>MOTOCOMPRESOR 21 M3/MIN-750 CFM</t>
  </si>
  <si>
    <t>ELECTROCOMPRESOR 16 M3/MIN-570 CFM</t>
  </si>
  <si>
    <t>GRUPO ELECTROGENO 113 KVA-90 KW</t>
  </si>
  <si>
    <t>GRUPO ELECTROGENO 244 KVA-195 KW</t>
  </si>
  <si>
    <t>GRUPO ELECTROGENO 21 KVA-17 KW</t>
  </si>
  <si>
    <t>GRUPO ELECTROGENO 64 KVA-50 KW</t>
  </si>
  <si>
    <t>GRUA MOVIL TODO TERRENO 18 T</t>
  </si>
  <si>
    <t>0-VENTILACION</t>
  </si>
  <si>
    <t>M-MANGA</t>
  </si>
  <si>
    <t>Manga para Ventilación</t>
  </si>
  <si>
    <t>0-AGUAIND</t>
  </si>
  <si>
    <t>longitud de túnel total</t>
  </si>
  <si>
    <t>meses de trabajo</t>
  </si>
  <si>
    <t>Amortizado en obra</t>
  </si>
  <si>
    <t>0-AIRECOMP</t>
  </si>
  <si>
    <t>M-CableEl1</t>
  </si>
  <si>
    <t>Cable Eléctrico de 2 pulgadas de diametro</t>
  </si>
  <si>
    <t>M-CableEl2</t>
  </si>
  <si>
    <t>Cable Eléctrico para iluminacion</t>
  </si>
  <si>
    <t>M-Lampara</t>
  </si>
  <si>
    <t>Lámparas eléctricas para iluminación</t>
  </si>
  <si>
    <t>0-ILUMINA</t>
  </si>
  <si>
    <t>0-DESAGUE</t>
  </si>
  <si>
    <t>0-HGONRTUN</t>
  </si>
  <si>
    <t>0-EncofSimple</t>
  </si>
  <si>
    <t>0-EncofCompl</t>
  </si>
  <si>
    <t>Edificio de campamentos en m2:</t>
  </si>
  <si>
    <t>Laboratorios (un)</t>
  </si>
  <si>
    <t>Enfermerías (un)</t>
  </si>
  <si>
    <t>Grupos de Topog.</t>
  </si>
  <si>
    <t>Galpones</t>
  </si>
  <si>
    <t>Taller</t>
  </si>
  <si>
    <t>Deposito</t>
  </si>
  <si>
    <t>Carpinteria Hierro</t>
  </si>
  <si>
    <t>Playa de Hierro</t>
  </si>
  <si>
    <t>Playa de Premold.</t>
  </si>
  <si>
    <t>Carpintería Madera</t>
  </si>
  <si>
    <t>Instalaciones</t>
  </si>
  <si>
    <t>Planta de Hgon</t>
  </si>
  <si>
    <t>Planta de Aridos</t>
  </si>
  <si>
    <t>Otras Plantas</t>
  </si>
  <si>
    <t>Talleres</t>
  </si>
  <si>
    <t>Campamentos</t>
  </si>
  <si>
    <t>Se alquilan los terrenos o camp.</t>
  </si>
  <si>
    <t>NO</t>
  </si>
  <si>
    <t>Radios</t>
  </si>
  <si>
    <t>Bases</t>
  </si>
  <si>
    <t>Repetidoras</t>
  </si>
  <si>
    <t>Movilización</t>
  </si>
  <si>
    <t>Viajes de movilización</t>
  </si>
  <si>
    <t>Viajes de desmovilización:</t>
  </si>
  <si>
    <t>KWh</t>
  </si>
  <si>
    <t>Costo Energía Eléctrica</t>
  </si>
  <si>
    <t>$/KWh</t>
  </si>
  <si>
    <t>eel</t>
  </si>
  <si>
    <t>Energía Eléctrica Consumida en Obra</t>
  </si>
  <si>
    <t>Si se alquilan equipos, debe colocar 1 en columan A, al lado del equipo</t>
  </si>
  <si>
    <t>Dif Alquiler</t>
  </si>
  <si>
    <t>Dif.Alquiler</t>
  </si>
  <si>
    <t>E.Electrica</t>
  </si>
  <si>
    <t>Energía Eléctrica</t>
  </si>
  <si>
    <t>Costos Directos</t>
  </si>
  <si>
    <t>Otros Costos Menores</t>
  </si>
  <si>
    <t>DESC.</t>
  </si>
  <si>
    <t>COMIT.:</t>
  </si>
  <si>
    <t>0-Arboles</t>
  </si>
  <si>
    <t>Extracción de árboles</t>
  </si>
  <si>
    <t>0-Demolicion</t>
  </si>
  <si>
    <t>Demolición de hormigon</t>
  </si>
  <si>
    <t>M-SDURGEL</t>
  </si>
  <si>
    <t>Adhesivo epoxi Sika Dur Gel</t>
  </si>
  <si>
    <t>M-STOP</t>
  </si>
  <si>
    <t>Adhesivo ligante tipo Sika Fix</t>
  </si>
  <si>
    <t>0-REPA</t>
  </si>
  <si>
    <t>Reparación de casa de guardadiques</t>
  </si>
  <si>
    <t>0-HH17s</t>
  </si>
  <si>
    <t>Hgón H17 simple</t>
  </si>
  <si>
    <t xml:space="preserve">CRONOGRAMA DE OBRA PREVISTO </t>
  </si>
  <si>
    <t>MOTOBOMBA 5 HP (52 m3/h)</t>
  </si>
  <si>
    <t>CAMION TRANSPORTE PERSONAL</t>
  </si>
  <si>
    <t>OMNIBUS DE 40 PASAJEROS</t>
  </si>
  <si>
    <t>MINIBUS DE 12 PASAJEROS</t>
  </si>
  <si>
    <t>GRUA TORRE S/RIELES (200 TM)</t>
  </si>
  <si>
    <t>GRUA TORRE S/RIELES (300 TM)</t>
  </si>
  <si>
    <t>GRUA MOVIL TODO TERRENO (32 T)</t>
  </si>
  <si>
    <t>HIDROGRUA MONTADA S/CAMION (6 T)</t>
  </si>
  <si>
    <t>GUINCHE DE 8 T.</t>
  </si>
  <si>
    <t>ELECTROBOMBA 5 KW</t>
  </si>
  <si>
    <t>ELECTROBOMBA 9 KW</t>
  </si>
  <si>
    <t>ELECTROBOMBA 18 KW</t>
  </si>
  <si>
    <t>MOTOBOMBA 10 HP (100 M3/HORA)</t>
  </si>
  <si>
    <t>SHOTCRETERA VIA SECA CAP. 8 M3/H Aliva 262</t>
  </si>
  <si>
    <t>BOMBA SUMERGIBLE (H=10M 33 L/SEG)</t>
  </si>
  <si>
    <t>GRILLA FIJA</t>
  </si>
  <si>
    <t>PLANTA DE ZARANDEO 100/175 T/H</t>
  </si>
  <si>
    <t>ALIMENTADOR VIBRAT.CAP.200 T/H</t>
  </si>
  <si>
    <t>ROSCA LAV.ARENA d=0,60 m x L=7,0 m</t>
  </si>
  <si>
    <t>CINTA TRANSPORTADORA 0,61 m x 18 m</t>
  </si>
  <si>
    <t>PLANTA ELAB. HORMIGON (50-90 M3/H)</t>
  </si>
  <si>
    <t>PLANTA ELAB. HORMIGON (30-50 M3/H)</t>
  </si>
  <si>
    <t>CALDERA CALENTAM. AGREGADOS</t>
  </si>
  <si>
    <t>PLANTA DE HIELO CAP. 2 Tn/h</t>
  </si>
  <si>
    <t>CAMION MOTOHORMIGONERO CAP. 7 M3</t>
  </si>
  <si>
    <t>CORTADORA Y DOBLADORA Fe 0,5 T/h</t>
  </si>
  <si>
    <t>VOLQUETA DESC. ALTURA 1,8 M-1,2 T</t>
  </si>
  <si>
    <t>CINTA TRANSP. HORM. L=20 m-30 M3/H</t>
  </si>
  <si>
    <t>EQUIPO LIMP. SUPERF. (WATER BLAST)</t>
  </si>
  <si>
    <t>BOMBA DE Hº ESTACIONARIA (67 M3/H)</t>
  </si>
  <si>
    <t>BOMBA DE H° REMOLC. (60 M3/H)</t>
  </si>
  <si>
    <t>BORDILLADORA</t>
  </si>
  <si>
    <t>REGLA VIBRATORIA 15 m ANCHO</t>
  </si>
  <si>
    <t>SI</t>
  </si>
  <si>
    <t>Horas de Mecánicos</t>
  </si>
  <si>
    <t>Integración de Redondeos</t>
  </si>
  <si>
    <t>Redondeo</t>
  </si>
  <si>
    <t>Alquiler EQ</t>
  </si>
  <si>
    <t>general</t>
  </si>
  <si>
    <t>m3/hr rendimiento cargadora</t>
  </si>
  <si>
    <t>REGLA VIBRATORIA DOBLE 5,25 M (EX)</t>
  </si>
  <si>
    <t>VIBRADOR DE INMERSION d=57 mm (NE)</t>
  </si>
  <si>
    <t>MOTOSIERRA MANUAL</t>
  </si>
  <si>
    <t>EQUIPO OXICORTE</t>
  </si>
  <si>
    <t>HORMIGONERA DE 500 LITROS (EX)</t>
  </si>
  <si>
    <t>ELECTROSOLDADORA 400 AMP</t>
  </si>
  <si>
    <t>PLANTA ELAB. HORMIGON (90-120 M3/H)</t>
  </si>
  <si>
    <t>PLANTA DE HIELO CAP. 15 Tn/h</t>
  </si>
  <si>
    <t>CARGADOR FRONTAL S/NEUM. (5,00 M3)</t>
  </si>
  <si>
    <t>PERFORADORA SOILMEC</t>
  </si>
  <si>
    <t>MARTILLO KRUPP</t>
  </si>
  <si>
    <t>BOMBA INYECTORA</t>
  </si>
  <si>
    <t>MEZCLADORA DE 300 LTS</t>
  </si>
  <si>
    <t>ELECTROBOMBA INYECTORA PARA AGUA</t>
  </si>
  <si>
    <t>AGITADOR DE LECHADA</t>
  </si>
  <si>
    <t>EQUIPO DE MEDICION DE LECHADA GIN</t>
  </si>
  <si>
    <t>CORTADORA Y DOBLADORA Fe 4,0 T/h</t>
  </si>
  <si>
    <t>RETROEXCAVADORA S/CARRILES  2,5 M3</t>
  </si>
  <si>
    <t>GRUA TORRE S/RIELES (50 TM)</t>
  </si>
  <si>
    <t>TRITUR.PRIMARIA A IMPACTO ALIM. 32"</t>
  </si>
  <si>
    <t>TRITUR.SECUND.A CONO 36" C/ZARANDA</t>
  </si>
  <si>
    <t>TRITUR.SECUND.A CONO 45" C/ZARANDA</t>
  </si>
  <si>
    <t>ALIMENTADOR VIBRAT. 3'x14'</t>
  </si>
  <si>
    <t>CINTA TRANSPORTADORA 0,90 m x 15 m</t>
  </si>
  <si>
    <t xml:space="preserve">CALCULO DE COSTO EMPRESA </t>
  </si>
  <si>
    <t>Código</t>
  </si>
  <si>
    <t>MANO DE OBRA DIRECTA</t>
  </si>
  <si>
    <t>MANO DE OBRA INDIRECTA</t>
  </si>
  <si>
    <t>- el 40% del personal trabaja de noche</t>
  </si>
  <si>
    <t>DOCUMENTACIÓN INTERNA</t>
  </si>
  <si>
    <t>CALCULO DEL COSTO HORARIO ESTADÍSTICO DE LA MANO DE OBRA PARA LA AFECTACIÓN INTENSIVA (2 TURNOS)</t>
  </si>
  <si>
    <t>hs normales</t>
  </si>
  <si>
    <t>hs al 50%</t>
  </si>
  <si>
    <t>VALORES DE CALCULO PARA UN JORNAL MEDIO, REPRESENTATIVO DE EL SISTEMA DE TRABAJO ADOPTADO EN OBRA</t>
  </si>
  <si>
    <t>hs al 100%</t>
  </si>
  <si>
    <t>Inc.sobre</t>
  </si>
  <si>
    <t>Operador</t>
  </si>
  <si>
    <t>Of.Especial.</t>
  </si>
  <si>
    <t>Oficial</t>
  </si>
  <si>
    <t>Med.Oficial</t>
  </si>
  <si>
    <t>Ayudante</t>
  </si>
  <si>
    <t>2- Cálculo de afectación horas nocturas</t>
  </si>
  <si>
    <t>CONCEPTO</t>
  </si>
  <si>
    <t>Jornal Bas.</t>
  </si>
  <si>
    <t>Hs nocturnas por jornada</t>
  </si>
  <si>
    <t>JORNAL BÁSICO</t>
  </si>
  <si>
    <t>Jornal x calc.</t>
  </si>
  <si>
    <t>Hs efectivas por día</t>
  </si>
  <si>
    <t>[%] de personal noct.</t>
  </si>
  <si>
    <t>HORAS NORMALES</t>
  </si>
  <si>
    <t>Incidencia s/básico</t>
  </si>
  <si>
    <t>Comp.Acum</t>
  </si>
  <si>
    <t>ADICIONAL PRESENTISMO</t>
  </si>
  <si>
    <t>3- Ropa de trabajo</t>
  </si>
  <si>
    <t>ROPA DE TRABAJO</t>
  </si>
  <si>
    <t>Costo equipo completo</t>
  </si>
  <si>
    <t>HORAS AL 50 %</t>
  </si>
  <si>
    <t>Hs efectivas por 12 meses</t>
  </si>
  <si>
    <t>HORAS AL 100%</t>
  </si>
  <si>
    <t>[$] horario personal(medio)</t>
  </si>
  <si>
    <t>TRABAJO EN ALTURA</t>
  </si>
  <si>
    <t>TRABAJO NOCTURNO</t>
  </si>
  <si>
    <t>4- Feriados y domingos pagos</t>
  </si>
  <si>
    <t>Feriados y domingos al año</t>
  </si>
  <si>
    <t>ENFERMEDAD INCULPABLE</t>
  </si>
  <si>
    <t>Dias trabajados al año</t>
  </si>
  <si>
    <t>LICENCIAS ESPECIALES</t>
  </si>
  <si>
    <t>Costo día feriado</t>
  </si>
  <si>
    <t>ACCIDENTES</t>
  </si>
  <si>
    <t>Costo día normal</t>
  </si>
  <si>
    <t>FERIADOS Y DOMINGOS PAGOS</t>
  </si>
  <si>
    <t>VACACIONES</t>
  </si>
  <si>
    <t>5- Vacaciones</t>
  </si>
  <si>
    <t>SAC</t>
  </si>
  <si>
    <t>Vacaciones al año</t>
  </si>
  <si>
    <t>A-J30</t>
  </si>
  <si>
    <t>A-J31</t>
  </si>
  <si>
    <t>A-J32</t>
  </si>
  <si>
    <t>S-PCARM</t>
  </si>
  <si>
    <t>Provisión y colocación de armaduras</t>
  </si>
  <si>
    <t>A-J33</t>
  </si>
  <si>
    <t>M-HERRA</t>
  </si>
  <si>
    <t>Herramental Menor</t>
  </si>
  <si>
    <t>S-INGED</t>
  </si>
  <si>
    <t>Ingeniería de Detalle</t>
  </si>
  <si>
    <t>S-COMIDA</t>
  </si>
  <si>
    <t>Provisión de Comida en Campamento</t>
  </si>
  <si>
    <t>T-MAT</t>
  </si>
  <si>
    <t>Transportes de Materiales</t>
  </si>
  <si>
    <t>FONDO DE DESEMPLEO</t>
  </si>
  <si>
    <t>ASIGNACIONES FAMILIARES</t>
  </si>
  <si>
    <t>Costo día vacaciones</t>
  </si>
  <si>
    <t>OSPECON + ANSSal</t>
  </si>
  <si>
    <t>ART</t>
  </si>
  <si>
    <t>JUBILACION</t>
  </si>
  <si>
    <t>FONDO NAC. EMPLEO</t>
  </si>
  <si>
    <t>CONTRIBUCIÓN PAMI (L.19032)</t>
  </si>
  <si>
    <t>INDEMNIZACIÓN x FALLECIMIENTO</t>
  </si>
  <si>
    <t>SEGURO OBRERO</t>
  </si>
  <si>
    <t>COSTO HORAS ESTADISTICO</t>
  </si>
  <si>
    <t>FLEXIBILIDAD LABORAL</t>
  </si>
  <si>
    <t>DECRETO 2005/04</t>
  </si>
  <si>
    <t>SUMA NO REMUNERATIVA CONVENIO</t>
  </si>
  <si>
    <t xml:space="preserve"> 1- Det.de incidencias de hs al 50 y al 100</t>
  </si>
  <si>
    <t>- el turno de trabajo: de lunes a sábado 12 hs</t>
  </si>
  <si>
    <t>Valores de Bolsillo APROXIMADOS:</t>
  </si>
  <si>
    <t>COMIDAS</t>
  </si>
  <si>
    <t>TRANSPORTE</t>
  </si>
  <si>
    <t>ADICIONALES</t>
  </si>
  <si>
    <t>HS EFECTIVAS TRABAJADAS</t>
  </si>
  <si>
    <t xml:space="preserve">COSTO HORAS </t>
  </si>
  <si>
    <t>COSTO EMPRESA ADOPTADO</t>
  </si>
  <si>
    <t>Costo Horario</t>
  </si>
  <si>
    <t>Chora</t>
  </si>
  <si>
    <t>Horas de Uso</t>
  </si>
  <si>
    <t>Equipo</t>
  </si>
  <si>
    <t>AUXILIARES NIVEL 2 y NIVEL 3</t>
  </si>
  <si>
    <t>Proyecto</t>
  </si>
  <si>
    <t>OBRA:</t>
  </si>
  <si>
    <t>DESCRIPCION:</t>
  </si>
  <si>
    <t>COMITENTE:</t>
  </si>
  <si>
    <t>ANALISIS DE PRECIOS</t>
  </si>
  <si>
    <t>Auxiliar</t>
  </si>
  <si>
    <t>Cat.</t>
  </si>
  <si>
    <t>Item</t>
  </si>
  <si>
    <t>Excavación de muro colado</t>
  </si>
  <si>
    <t>Bentonita para muro colado</t>
  </si>
  <si>
    <t>S-MCOL</t>
  </si>
  <si>
    <t>0-MCOLADO</t>
  </si>
  <si>
    <t>S-AUSC</t>
  </si>
  <si>
    <t>Auscultación zona de presa</t>
  </si>
  <si>
    <t>0-AUSCULT</t>
  </si>
  <si>
    <t>M-BENTON</t>
  </si>
  <si>
    <t>0-BENT</t>
  </si>
  <si>
    <t>CUADRO DE CIERRE</t>
  </si>
  <si>
    <t>OBRAS CIVILES</t>
  </si>
  <si>
    <t>Concepto</t>
  </si>
  <si>
    <t>[%] Comp.</t>
  </si>
  <si>
    <t>GASTOS INDUSTRIALES</t>
  </si>
  <si>
    <t xml:space="preserve">Amortización </t>
  </si>
  <si>
    <t>Op.y Mantenimiento</t>
  </si>
  <si>
    <t>Diferencia de Alquiler</t>
  </si>
  <si>
    <t>CHAPEAU</t>
  </si>
  <si>
    <t>Riesgo</t>
  </si>
  <si>
    <t>Gastos de Sede</t>
  </si>
  <si>
    <t>Beneficio</t>
  </si>
  <si>
    <t>PRECIO DE VENTA</t>
  </si>
  <si>
    <t>A</t>
  </si>
  <si>
    <t>E</t>
  </si>
  <si>
    <t>T</t>
  </si>
  <si>
    <t>S</t>
  </si>
  <si>
    <t>Alq.Equ.</t>
  </si>
  <si>
    <t>Aux.</t>
  </si>
  <si>
    <t>COSTOS EN MILES DE PESOS ARGENTINOS</t>
  </si>
  <si>
    <t>Flujo de Erogaciones por Item</t>
  </si>
  <si>
    <t>0-RELYAC</t>
  </si>
  <si>
    <t>0-RELYACAR</t>
  </si>
  <si>
    <t>0-RELPRO</t>
  </si>
  <si>
    <t>0-TRAJTAp</t>
  </si>
  <si>
    <t>M-TUPRF1100</t>
  </si>
  <si>
    <t>Tubo de PRFV de 1100 mm de diámetro</t>
  </si>
  <si>
    <t>0-TUBO</t>
  </si>
  <si>
    <t>CANTIDAD</t>
  </si>
  <si>
    <t>[%] comp.</t>
  </si>
  <si>
    <t>miles de USD</t>
  </si>
  <si>
    <t>OBSERVACIONES</t>
  </si>
  <si>
    <t>(1)</t>
  </si>
  <si>
    <t>COSTOS DIRECTOS</t>
  </si>
  <si>
    <t>m3</t>
  </si>
  <si>
    <t>Auxiliares para Cuadro de COSTOS</t>
  </si>
  <si>
    <t>Fila desde</t>
  </si>
  <si>
    <t>Fila Hasta</t>
  </si>
  <si>
    <t>Cargas Sociales</t>
  </si>
  <si>
    <t>COSTOS INDIRECTOS</t>
  </si>
  <si>
    <t>ino</t>
  </si>
  <si>
    <t>Personal de Obra, Camionetas y Casas Alquiladas</t>
  </si>
  <si>
    <t>mes</t>
  </si>
  <si>
    <t>Asesorias Legales-Contables e Impositivas</t>
  </si>
  <si>
    <t>ini</t>
  </si>
  <si>
    <t>Gestión de Campamentos y Obradores</t>
  </si>
  <si>
    <t>gl</t>
  </si>
  <si>
    <t>Sistemas de Comunicación Satelital</t>
  </si>
  <si>
    <t>Operación y Mantenimiento de Obradores</t>
  </si>
  <si>
    <t>Movilidades Generales de Obra</t>
  </si>
  <si>
    <t>Prestaciones a la Inspección</t>
  </si>
  <si>
    <t>Movilización de Obra</t>
  </si>
  <si>
    <t>inf</t>
  </si>
  <si>
    <t>Gastos de Fin de Obra - Desmovilización y Limp. Final</t>
  </si>
  <si>
    <t>TOTAL DE COSTOS INDIRECTOS</t>
  </si>
  <si>
    <t>alq</t>
  </si>
  <si>
    <t>Mayores Costos por Tarifas de Alquiler de Equipos</t>
  </si>
  <si>
    <t>TOTAL DE ADICIONALES</t>
  </si>
  <si>
    <t>TOTAL DE TODOS LOS TRABAJOS</t>
  </si>
  <si>
    <t>IVA</t>
  </si>
  <si>
    <t>(2)</t>
  </si>
  <si>
    <t>(3)</t>
  </si>
  <si>
    <t>ORGANIGRAMA GENERAL DE OBRA</t>
  </si>
  <si>
    <t>PERSONAL INDIRECTO</t>
  </si>
  <si>
    <t>Jefe Servicios Técnicos</t>
  </si>
  <si>
    <t>Jefe Producción</t>
  </si>
  <si>
    <t>Jefe de Taller</t>
  </si>
  <si>
    <t>Jefe Ingeniería</t>
  </si>
  <si>
    <t>Taller Mecanico</t>
  </si>
  <si>
    <t>Taller Eléctrico</t>
  </si>
  <si>
    <t>Gruas</t>
  </si>
  <si>
    <t>Jefe de Topografía</t>
  </si>
  <si>
    <t>Director de Obra</t>
  </si>
  <si>
    <t>Cant.</t>
  </si>
  <si>
    <t>Otros</t>
  </si>
  <si>
    <t>OTROS ELEMENTOS POR SECTOR</t>
  </si>
  <si>
    <t>CAMIONETAS</t>
  </si>
  <si>
    <t>ALQUILER CASAS</t>
  </si>
  <si>
    <t>HANDYES</t>
  </si>
  <si>
    <t>OFICINAS (m2)</t>
  </si>
  <si>
    <t>Item:</t>
  </si>
  <si>
    <t>X-PTAARIDOS</t>
  </si>
  <si>
    <t>Planta de Aridos - Trituración y Clasificación</t>
  </si>
  <si>
    <t>P. U. Recurso</t>
  </si>
  <si>
    <t>(K)-Vs</t>
  </si>
  <si>
    <t>Designacion</t>
  </si>
  <si>
    <t>Cant</t>
  </si>
  <si>
    <t>Código Recurso</t>
  </si>
  <si>
    <t>Cat. recurso</t>
  </si>
  <si>
    <t>Descrip.Recurso</t>
  </si>
  <si>
    <t>Unidad</t>
  </si>
  <si>
    <t>Incid.</t>
  </si>
  <si>
    <t>Datos de Recursos Asociados a Itemes</t>
  </si>
  <si>
    <t>Datos de Recursos Asociados a Recursos y rendimientos</t>
  </si>
  <si>
    <t>Rend. / Cant.</t>
  </si>
  <si>
    <t>CU Recurso</t>
  </si>
  <si>
    <t>Cant.Tot.Recurso</t>
  </si>
  <si>
    <t>[$] Tot. Recurso</t>
  </si>
  <si>
    <t>ANALISIS DE AUXILIARES DE COSTOS</t>
  </si>
  <si>
    <t>Costos Unitarios por Componentes</t>
  </si>
  <si>
    <t>Mano de Obra</t>
  </si>
  <si>
    <t>Equipos</t>
  </si>
  <si>
    <t>Materiales</t>
  </si>
  <si>
    <t>Transportes</t>
  </si>
  <si>
    <t>Subcontratos</t>
  </si>
  <si>
    <t>Auxiliares</t>
  </si>
  <si>
    <t>U</t>
  </si>
  <si>
    <t>Gl</t>
  </si>
  <si>
    <t>PRECIO TOTAL DE LOS TRABAJOS</t>
  </si>
  <si>
    <t xml:space="preserve">Garantía cumplimiento contrato  </t>
  </si>
  <si>
    <t>Garantía anticipo</t>
  </si>
  <si>
    <t>Sustitución Fondo de Reparo</t>
  </si>
  <si>
    <t>Seguro All Risk y R. Civil</t>
  </si>
  <si>
    <t>Impuestos Nacionales: Ingresos Brutos</t>
  </si>
  <si>
    <t>Impuesto al Cheque</t>
  </si>
  <si>
    <t>Sellado del Contrato</t>
  </si>
  <si>
    <t>Fees comerciales</t>
  </si>
  <si>
    <t>Perdida por fórmula de Reajuste</t>
  </si>
  <si>
    <t>Proyecto Ejecutivo</t>
  </si>
  <si>
    <t>Gastos Financieros</t>
  </si>
  <si>
    <t>Casa Central</t>
  </si>
  <si>
    <t>Impacto</t>
  </si>
  <si>
    <t>Auxiliares de Cálculo</t>
  </si>
  <si>
    <t>Real</t>
  </si>
  <si>
    <t>Cant.Recursos en Item</t>
  </si>
  <si>
    <t>X-EDOSH21</t>
  </si>
  <si>
    <t>Materiales Dosificación Hormigón H21</t>
  </si>
  <si>
    <t>X-AGUA</t>
  </si>
  <si>
    <t>X-PRODH500L</t>
  </si>
  <si>
    <t>X-COLH500L</t>
  </si>
  <si>
    <t>X-ENCOFRADO</t>
  </si>
  <si>
    <t>X-ACEROPO</t>
  </si>
  <si>
    <t>X-ACEROcd</t>
  </si>
  <si>
    <t>X-ACEROtr</t>
  </si>
  <si>
    <t>X-ACEROma</t>
  </si>
  <si>
    <t>X-ACEROgr</t>
  </si>
  <si>
    <t>X-EDOSH17</t>
  </si>
  <si>
    <t>X-EDOSH08</t>
  </si>
  <si>
    <t>X-CURADO</t>
  </si>
  <si>
    <t>X-RELLENOma</t>
  </si>
  <si>
    <t>X-TERMINACION</t>
  </si>
  <si>
    <t>X-EDOSMOR</t>
  </si>
  <si>
    <t>X-COLOCALADR</t>
  </si>
  <si>
    <t>X-EDOSREV</t>
  </si>
  <si>
    <t>X-COLOCArev</t>
  </si>
  <si>
    <t>X-ENCOFRADOa</t>
  </si>
  <si>
    <t>X-ExcavPC200</t>
  </si>
  <si>
    <t>X-DepreNapa</t>
  </si>
  <si>
    <t>X-Excav416</t>
  </si>
  <si>
    <t>X-RELLENOmo</t>
  </si>
  <si>
    <t>X-ESCARPE</t>
  </si>
  <si>
    <t>X-DISTYCOMP</t>
  </si>
  <si>
    <t>X-COLOCAPINT</t>
  </si>
  <si>
    <t>X-ESCARPE1</t>
  </si>
  <si>
    <t>X-ESPYHUM</t>
  </si>
  <si>
    <t>X-MEZCLA</t>
  </si>
  <si>
    <t>X-DISTYCOMPc</t>
  </si>
  <si>
    <t>X-TRATASR</t>
  </si>
  <si>
    <t>X-COMPAC</t>
  </si>
  <si>
    <t>X-TerminaMOTO</t>
  </si>
  <si>
    <t>X-EDOSH25</t>
  </si>
  <si>
    <t>X-PRODHpta</t>
  </si>
  <si>
    <t>X-TPTEPTA</t>
  </si>
  <si>
    <t>X-SOSTEXC</t>
  </si>
  <si>
    <t>X-EXSC2a</t>
  </si>
  <si>
    <t>X-EXSC2b</t>
  </si>
  <si>
    <t>X-RELLENOacc</t>
  </si>
  <si>
    <t>X-COLSHOT</t>
  </si>
  <si>
    <t>X-PRODHpta1</t>
  </si>
  <si>
    <t>X-COLHgm</t>
  </si>
  <si>
    <t>X-COLHgt</t>
  </si>
  <si>
    <t>X-EDOSH30</t>
  </si>
  <si>
    <t>Obt-Transp. de Agua p/Hormigones</t>
  </si>
  <si>
    <t>Producción de Hormigón - In Situ- Hormigonera 500 L(Sin Materiales)</t>
  </si>
  <si>
    <t>Colado de Hgón Elaborado con mixer</t>
  </si>
  <si>
    <t xml:space="preserve">Encofrados para Hormigones </t>
  </si>
  <si>
    <t>Acero puesto en Obra</t>
  </si>
  <si>
    <t>Cortado y Doblado de Acero - ADN 420</t>
  </si>
  <si>
    <t>Transporte de Armaduras (Incluye carga y descarga)</t>
  </si>
  <si>
    <t>Acero ADN 420</t>
  </si>
  <si>
    <t>X-TERMHAG</t>
  </si>
  <si>
    <t>Terminación de Hormigones en contacto con Agua o Vistos</t>
  </si>
  <si>
    <t>0-HORMH21stu</t>
  </si>
  <si>
    <t>0-HORMH21htu</t>
  </si>
  <si>
    <t>0-HORMH21btu</t>
  </si>
  <si>
    <t>X-ENCOFesp</t>
  </si>
  <si>
    <t>Encofrados especiales para túneles (bóveda)</t>
  </si>
  <si>
    <t xml:space="preserve">Encofrados especiales para bóveda </t>
  </si>
  <si>
    <t>X-TRAPER</t>
  </si>
  <si>
    <t>Carga y transporte de pernos lechados (Incluye Material)</t>
  </si>
  <si>
    <t>X-PERFCOL</t>
  </si>
  <si>
    <t>Perforación y colocación de pernos (MO y EQ)</t>
  </si>
  <si>
    <t>X-PERFVOL</t>
  </si>
  <si>
    <t>X-CARGAT</t>
  </si>
  <si>
    <t>Carga de explosivos en frente-Cuadrilla Servicios</t>
  </si>
  <si>
    <t>hr</t>
  </si>
  <si>
    <t>X-CARMAR</t>
  </si>
  <si>
    <t>Aux</t>
  </si>
  <si>
    <t>CANT</t>
  </si>
  <si>
    <t>Duración</t>
  </si>
  <si>
    <t/>
  </si>
  <si>
    <t>Desde</t>
  </si>
  <si>
    <t>Hasta</t>
  </si>
  <si>
    <t>CANTIDADES DE PERSONAL Y EQUIPOS DE OBRA</t>
  </si>
  <si>
    <t>Hs Mano de obra</t>
  </si>
  <si>
    <t>Compon. Acum.</t>
  </si>
  <si>
    <t>Mano Obra Aux-Niv3</t>
  </si>
  <si>
    <t>Mano Obra Aux-Niv2</t>
  </si>
  <si>
    <t>Hs Mano de Obra</t>
  </si>
  <si>
    <t>Erogación Económica Mensual</t>
  </si>
  <si>
    <t>PLAN DE TRABAJOS</t>
  </si>
  <si>
    <t>Monto [$]</t>
  </si>
  <si>
    <t>Hs Hombre de Personal Directo</t>
  </si>
  <si>
    <t>Hs Hombre de personal Indirect</t>
  </si>
  <si>
    <t>Hs. MO</t>
  </si>
  <si>
    <t>Carga-Tpte de Marina en túnel - Cargadora WA420</t>
  </si>
  <si>
    <t>X-SERVTUN</t>
  </si>
  <si>
    <t>Servicios de túneles</t>
  </si>
  <si>
    <t>X-EXPLOS</t>
  </si>
  <si>
    <t>Explosivos para túnel</t>
  </si>
  <si>
    <t>X-PerfMan</t>
  </si>
  <si>
    <t>Perforación Manual Pozo Compuertas</t>
  </si>
  <si>
    <t>X-EXCH1100</t>
  </si>
  <si>
    <t>Excavación Yacimiento H1100</t>
  </si>
  <si>
    <t>X-DCARCILLA</t>
  </si>
  <si>
    <t>Distribución y Compactación de Arcilla</t>
  </si>
  <si>
    <t>X-PROCESA</t>
  </si>
  <si>
    <t>Material procesado para presa</t>
  </si>
  <si>
    <t>IIGG</t>
  </si>
  <si>
    <t>sobre PO</t>
  </si>
  <si>
    <t>Construcción de sub-base granular</t>
  </si>
  <si>
    <t>Construcción de base granular</t>
  </si>
  <si>
    <t>Pintura</t>
  </si>
  <si>
    <t>Permisos ambientales</t>
  </si>
  <si>
    <t>Gestión de residuos peligrosos</t>
  </si>
  <si>
    <t>Gestión de residuos asimilables a domésticos</t>
  </si>
  <si>
    <t>Señalización e inducción ambiental</t>
  </si>
  <si>
    <t>X-T0001</t>
  </si>
  <si>
    <t>X-EXM01</t>
  </si>
  <si>
    <t>X-T0045</t>
  </si>
  <si>
    <t>X-T0055</t>
  </si>
  <si>
    <t>X-T0002</t>
  </si>
  <si>
    <t>X-T0010</t>
  </si>
  <si>
    <t>X-EXM02</t>
  </si>
  <si>
    <t>X-T0015</t>
  </si>
  <si>
    <t>X-E0050</t>
  </si>
  <si>
    <t>m4</t>
  </si>
  <si>
    <t>m5</t>
  </si>
  <si>
    <t>m6</t>
  </si>
  <si>
    <t>Preparación de base de asiento</t>
  </si>
  <si>
    <t>Excav.suelo p/terraplen</t>
  </si>
  <si>
    <t>Transp.suelo dmt 2 Km</t>
  </si>
  <si>
    <t>Transp.roca dmt 2 Km</t>
  </si>
  <si>
    <t>Preparación de subrasante</t>
  </si>
  <si>
    <t>Terr.Exc.Suelo Masivo</t>
  </si>
  <si>
    <t>Excav.roca p/terraplen</t>
  </si>
  <si>
    <t>Terr.Exc.Roca Masiva</t>
  </si>
  <si>
    <t>Acceso a fondo terraplén</t>
  </si>
  <si>
    <t>m3b</t>
  </si>
  <si>
    <t>m3s.km</t>
  </si>
  <si>
    <t>m3c</t>
  </si>
  <si>
    <t>X-BDA.0080</t>
  </si>
  <si>
    <t>X-TER.0060</t>
  </si>
  <si>
    <t>X-TER.0070</t>
  </si>
  <si>
    <t>X-TER.0080</t>
  </si>
  <si>
    <t>X-BDA.0050</t>
  </si>
  <si>
    <t>X-BDA.0090</t>
  </si>
  <si>
    <t>Escarificado base de asiento</t>
  </si>
  <si>
    <t>Obtención de agua para riego</t>
  </si>
  <si>
    <t>Transporte de agua para riego</t>
  </si>
  <si>
    <t>Riego de terraplén</t>
  </si>
  <si>
    <t>Homogeneización del material</t>
  </si>
  <si>
    <t>Compactación de base de asiento</t>
  </si>
  <si>
    <t>X-EXC00</t>
  </si>
  <si>
    <t>X-EXCLI01</t>
  </si>
  <si>
    <t>X-EXC01</t>
  </si>
  <si>
    <t>X-EXST1</t>
  </si>
  <si>
    <t>X-EXC03</t>
  </si>
  <si>
    <t>X-EXST3</t>
  </si>
  <si>
    <t>X-EXRD8</t>
  </si>
  <si>
    <t>Excav.camino piloto en suelo</t>
  </si>
  <si>
    <t>Limp.y desbosque sin arboles</t>
  </si>
  <si>
    <t>Ha</t>
  </si>
  <si>
    <t>Excav.en suelo Retro 150 HP</t>
  </si>
  <si>
    <t>Carga/Desc.excav.Retro</t>
  </si>
  <si>
    <t>m3s</t>
  </si>
  <si>
    <t>Excav.en suelo Topad.300 HP</t>
  </si>
  <si>
    <t>Carga/Desc.excav.Topadora</t>
  </si>
  <si>
    <t>Excav.exter.escarif.D8</t>
  </si>
  <si>
    <t>X-TER.0040</t>
  </si>
  <si>
    <t>X-TER.0051</t>
  </si>
  <si>
    <t>X-TER.0090</t>
  </si>
  <si>
    <t>Distribución de mat.terraplén</t>
  </si>
  <si>
    <t>Homogen.humedad mat.terraplén</t>
  </si>
  <si>
    <t>Compactación de terraplén</t>
  </si>
  <si>
    <t>X-EXC0R</t>
  </si>
  <si>
    <t>X-EXR02</t>
  </si>
  <si>
    <t>X-EXST4</t>
  </si>
  <si>
    <t>X-EXR01</t>
  </si>
  <si>
    <t>Excav.camino piloto en roca</t>
  </si>
  <si>
    <t>M-TUAC14</t>
  </si>
  <si>
    <t>M-TUAC23</t>
  </si>
  <si>
    <t>M-TUAC31</t>
  </si>
  <si>
    <t>M-TUAC42</t>
  </si>
  <si>
    <t>M-TUAC01</t>
  </si>
  <si>
    <t>M-TUAC02</t>
  </si>
  <si>
    <t>M-TUAC03</t>
  </si>
  <si>
    <t>M-TUAC04</t>
  </si>
  <si>
    <t>M-TUEX01</t>
  </si>
  <si>
    <t>M-TUEX03</t>
  </si>
  <si>
    <t>M-TUEX10</t>
  </si>
  <si>
    <t>M-TUEX11</t>
  </si>
  <si>
    <t>M-TUEX20</t>
  </si>
  <si>
    <t>M-TUEX30</t>
  </si>
  <si>
    <t>M-TUEX05</t>
  </si>
  <si>
    <t>BROCA BOTON D=75 mm = 3"-T38</t>
  </si>
  <si>
    <t>BARRA EXTENS.10 pies T38-T38</t>
  </si>
  <si>
    <t>MANGUITO DE ACOPLE T38-T38</t>
  </si>
  <si>
    <t>ADAPTADOR CULATA T.DRILL HIDR.-T38</t>
  </si>
  <si>
    <t>BARRENO INTEGRAL S.12 x 800 mm</t>
  </si>
  <si>
    <t>BARRENO INTEGRAL S.12 x 1600 mm</t>
  </si>
  <si>
    <t>BARRENO INTEGRAL S.12 x 2400 mm</t>
  </si>
  <si>
    <t>BARRENO INTEGRAL S.12 x 3200 mm</t>
  </si>
  <si>
    <t>GELAMON V.F. 80 %</t>
  </si>
  <si>
    <t>ANFO</t>
  </si>
  <si>
    <t>CORDON DETONANTE 5 gr/m</t>
  </si>
  <si>
    <t>MECHA LENTA</t>
  </si>
  <si>
    <t>FULMINANTE #8</t>
  </si>
  <si>
    <t>FULMINANTE NONEL L=14 pies</t>
  </si>
  <si>
    <t>EXPLOSIVO EN PLUMILLAS</t>
  </si>
  <si>
    <t>Excav.exter.roca-puntual</t>
  </si>
  <si>
    <t>Carga/Desc.excav.Roca</t>
  </si>
  <si>
    <t>Excav.exter.roca-masiva</t>
  </si>
  <si>
    <t>X-TER.0045</t>
  </si>
  <si>
    <t>Distribución de mat.pedraplén</t>
  </si>
  <si>
    <t>X-EXSB1</t>
  </si>
  <si>
    <t>Dispos.excav.en botadero</t>
  </si>
  <si>
    <t>X-ASBASE</t>
  </si>
  <si>
    <t>Agregado para Sub-base</t>
  </si>
  <si>
    <t>X-BASEG</t>
  </si>
  <si>
    <t>X-BASES1</t>
  </si>
  <si>
    <t>S-CA0020</t>
  </si>
  <si>
    <t>X-E0043</t>
  </si>
  <si>
    <t>X-BASE03</t>
  </si>
  <si>
    <t>Derechos y cánon</t>
  </si>
  <si>
    <t>Explot. préstamo c/retro</t>
  </si>
  <si>
    <t>Equipo prod.subbase</t>
  </si>
  <si>
    <t>Hs</t>
  </si>
  <si>
    <t>Subbase granular</t>
  </si>
  <si>
    <t>X-T0060</t>
  </si>
  <si>
    <t>X-BAS.0051</t>
  </si>
  <si>
    <t>X-BAS.0041</t>
  </si>
  <si>
    <t>X-BAS.0061</t>
  </si>
  <si>
    <t>X-BAS.0090</t>
  </si>
  <si>
    <t>Transp.agr.dist.larg.c/camion</t>
  </si>
  <si>
    <t>m3s.Km</t>
  </si>
  <si>
    <t>Homogen.humedad base en cabelletes</t>
  </si>
  <si>
    <t>Distribución de base motoniveladora</t>
  </si>
  <si>
    <t>Perfilado de base motoniveladora</t>
  </si>
  <si>
    <t>Compactación de base</t>
  </si>
  <si>
    <t>X-BBASE</t>
  </si>
  <si>
    <t>X-BASES2</t>
  </si>
  <si>
    <t>X-ASBASE2</t>
  </si>
  <si>
    <t>X-BASE04</t>
  </si>
  <si>
    <t>Equipo prod.base</t>
  </si>
  <si>
    <t>Base granular</t>
  </si>
  <si>
    <t>Agregado para Base</t>
  </si>
  <si>
    <t>Limpieza y desbosque</t>
  </si>
  <si>
    <t>X-EXCLI02</t>
  </si>
  <si>
    <t>Limp.y desbosque con arboles</t>
  </si>
  <si>
    <t>X-LIMPDES</t>
  </si>
  <si>
    <t>X-EXST3a</t>
  </si>
  <si>
    <t>Transp. roca dmt 2 Km</t>
  </si>
  <si>
    <t>X-AGU</t>
  </si>
  <si>
    <t>Agua para hormigones</t>
  </si>
  <si>
    <t>S-S03AGU</t>
  </si>
  <si>
    <t>X-PHP</t>
  </si>
  <si>
    <t>Producción de Hormigón en Planta</t>
  </si>
  <si>
    <t>X-TH</t>
  </si>
  <si>
    <t>Transporte de Hormigón</t>
  </si>
  <si>
    <t>X-CUR</t>
  </si>
  <si>
    <t>Curado de Hormigón</t>
  </si>
  <si>
    <t>X-ELA</t>
  </si>
  <si>
    <t>Elaboración de Hgón H30</t>
  </si>
  <si>
    <t>M-M05AGR</t>
  </si>
  <si>
    <t>M-M08AGR</t>
  </si>
  <si>
    <t>M-M13AGR</t>
  </si>
  <si>
    <t>X-COL8</t>
  </si>
  <si>
    <t>Colado de hgón SHOTCRETERA via seca Fibra</t>
  </si>
  <si>
    <t>0-HGPF</t>
  </si>
  <si>
    <t>Hormigón Proyectado con Fibra</t>
  </si>
  <si>
    <t>X-ELA3</t>
  </si>
  <si>
    <t>M-M222FOR</t>
  </si>
  <si>
    <t>AGREGADO GRUESO</t>
  </si>
  <si>
    <t>AGREGADO FINO</t>
  </si>
  <si>
    <t>ARENA ZARANDEADA</t>
  </si>
  <si>
    <t>CANON DE AGUA</t>
  </si>
  <si>
    <t>Elaboración de Hgón H25 Proyectado</t>
  </si>
  <si>
    <t>SHOTCRETERA VIA HUMEDA</t>
  </si>
  <si>
    <t>X-AGT</t>
  </si>
  <si>
    <t>Agregado grueso triturado</t>
  </si>
  <si>
    <t>E-E75</t>
  </si>
  <si>
    <t>E-E109</t>
  </si>
  <si>
    <t>X-AFT</t>
  </si>
  <si>
    <t>Agregado fino triturado</t>
  </si>
  <si>
    <t>X-ARE</t>
  </si>
  <si>
    <t>Arena zarandeada</t>
  </si>
  <si>
    <t>GRUPO ELECTROGENO 455 KVA-364 KW</t>
  </si>
  <si>
    <t>CINTA TRANSPORTADORA 0,76 m x 15 m</t>
  </si>
  <si>
    <t>E-E01</t>
  </si>
  <si>
    <t>E-E02</t>
  </si>
  <si>
    <t>E-E03</t>
  </si>
  <si>
    <t>E-E04</t>
  </si>
  <si>
    <t>E-E05</t>
  </si>
  <si>
    <t>E-E08</t>
  </si>
  <si>
    <t>E-E12</t>
  </si>
  <si>
    <t>E-E13</t>
  </si>
  <si>
    <t>E-E15</t>
  </si>
  <si>
    <t>E-E151</t>
  </si>
  <si>
    <t>E-E168</t>
  </si>
  <si>
    <t>E-E18</t>
  </si>
  <si>
    <t>E-E19</t>
  </si>
  <si>
    <t>E-E21</t>
  </si>
  <si>
    <t>E-E24</t>
  </si>
  <si>
    <t>E-E26</t>
  </si>
  <si>
    <t>E-E27</t>
  </si>
  <si>
    <t>E-E28</t>
  </si>
  <si>
    <t>E-E29</t>
  </si>
  <si>
    <t>E-E30</t>
  </si>
  <si>
    <t>E-E35</t>
  </si>
  <si>
    <t>E-E36</t>
  </si>
  <si>
    <t>E-E41</t>
  </si>
  <si>
    <t>E-E43</t>
  </si>
  <si>
    <t>E-E44</t>
  </si>
  <si>
    <t>E-E45</t>
  </si>
  <si>
    <t>E-E46</t>
  </si>
  <si>
    <t>E-E37</t>
  </si>
  <si>
    <t>E-E38</t>
  </si>
  <si>
    <t>E-E150</t>
  </si>
  <si>
    <t>E-E47</t>
  </si>
  <si>
    <t>E-E48</t>
  </si>
  <si>
    <t>E-E50</t>
  </si>
  <si>
    <t>E-E51</t>
  </si>
  <si>
    <t>E-E54</t>
  </si>
  <si>
    <t>E-E56</t>
  </si>
  <si>
    <t>E-E58</t>
  </si>
  <si>
    <t>E-E59</t>
  </si>
  <si>
    <t>E-E60</t>
  </si>
  <si>
    <t>E-E63</t>
  </si>
  <si>
    <t>E-E64</t>
  </si>
  <si>
    <t>E-E61</t>
  </si>
  <si>
    <t>E-E84</t>
  </si>
  <si>
    <t>E-E76</t>
  </si>
  <si>
    <t>E-E154</t>
  </si>
  <si>
    <t>E-E152</t>
  </si>
  <si>
    <t>E-E66</t>
  </si>
  <si>
    <t>E-E156</t>
  </si>
  <si>
    <t>E-E68</t>
  </si>
  <si>
    <t>E-E69</t>
  </si>
  <si>
    <t>E-E72</t>
  </si>
  <si>
    <t>E-E74</t>
  </si>
  <si>
    <t>E-E70</t>
  </si>
  <si>
    <t>E-E71</t>
  </si>
  <si>
    <t>E-E81</t>
  </si>
  <si>
    <t>E-E95</t>
  </si>
  <si>
    <t>E-E42</t>
  </si>
  <si>
    <t>E-E157</t>
  </si>
  <si>
    <t>E-E158</t>
  </si>
  <si>
    <t>E-E78</t>
  </si>
  <si>
    <t>E-E79</t>
  </si>
  <si>
    <t>E-E82</t>
  </si>
  <si>
    <t>E-E85</t>
  </si>
  <si>
    <t>E-E86</t>
  </si>
  <si>
    <t>E-E91</t>
  </si>
  <si>
    <t>E-E92</t>
  </si>
  <si>
    <t>E-E93</t>
  </si>
  <si>
    <t>E-E94</t>
  </si>
  <si>
    <t>E-E134</t>
  </si>
  <si>
    <t>E-E97</t>
  </si>
  <si>
    <t>E-E102</t>
  </si>
  <si>
    <t>E-E103</t>
  </si>
  <si>
    <t>E-E107</t>
  </si>
  <si>
    <t>E-E108</t>
  </si>
  <si>
    <t>E-E111</t>
  </si>
  <si>
    <t>E-E118</t>
  </si>
  <si>
    <t>E-E120</t>
  </si>
  <si>
    <t>E-E121</t>
  </si>
  <si>
    <t>E-E122</t>
  </si>
  <si>
    <t>E-E123</t>
  </si>
  <si>
    <t>E-E125</t>
  </si>
  <si>
    <t>E-E162</t>
  </si>
  <si>
    <t>E-E127</t>
  </si>
  <si>
    <t>E-E128</t>
  </si>
  <si>
    <t>E-E129</t>
  </si>
  <si>
    <t>E-E131</t>
  </si>
  <si>
    <t>E-E133</t>
  </si>
  <si>
    <t>E-E137</t>
  </si>
  <si>
    <t>E-E138</t>
  </si>
  <si>
    <t>E-E139</t>
  </si>
  <si>
    <t>E-E140</t>
  </si>
  <si>
    <t>E-E165</t>
  </si>
  <si>
    <t>E-E166</t>
  </si>
  <si>
    <t>E-E117</t>
  </si>
  <si>
    <t>E-E167</t>
  </si>
  <si>
    <t>E-E119</t>
  </si>
  <si>
    <t>E-E124</t>
  </si>
  <si>
    <t>E-E16</t>
  </si>
  <si>
    <t>E-E142</t>
  </si>
  <si>
    <t>E-E88</t>
  </si>
  <si>
    <t>E-E17</t>
  </si>
  <si>
    <t>E-E90</t>
  </si>
  <si>
    <t>E-E32</t>
  </si>
  <si>
    <t>E-E06</t>
  </si>
  <si>
    <t>E-E89</t>
  </si>
  <si>
    <t>E-E163</t>
  </si>
  <si>
    <t>E-E31</t>
  </si>
  <si>
    <t>E-E77</t>
  </si>
  <si>
    <t>E-E99</t>
  </si>
  <si>
    <t>E-E100</t>
  </si>
  <si>
    <t>E-E101</t>
  </si>
  <si>
    <t>E-E105</t>
  </si>
  <si>
    <t>E-E65</t>
  </si>
  <si>
    <t>E-E141</t>
  </si>
  <si>
    <t>E-E153</t>
  </si>
  <si>
    <t>E-E148</t>
  </si>
  <si>
    <t>E-E110</t>
  </si>
  <si>
    <t>E-E87</t>
  </si>
  <si>
    <t>E-E161</t>
  </si>
  <si>
    <t>E-E159</t>
  </si>
  <si>
    <t>E-E160</t>
  </si>
  <si>
    <t>E-E155</t>
  </si>
  <si>
    <t>E-E09</t>
  </si>
  <si>
    <t>CARGADOR FRONTAL S/NEUM. 1,8 m3</t>
  </si>
  <si>
    <t>E-E10</t>
  </si>
  <si>
    <t>CARGADOR FRONTAL S/NEUM. 2,4 m3</t>
  </si>
  <si>
    <t>E-E11</t>
  </si>
  <si>
    <t>CARGADOR FRONTAL S/NEUM. 2,8 m3</t>
  </si>
  <si>
    <t>E-E14</t>
  </si>
  <si>
    <t>E-E20</t>
  </si>
  <si>
    <t>MOTONIVELADORA HOJA 14 PIES-15 T</t>
  </si>
  <si>
    <t>E-E22</t>
  </si>
  <si>
    <t>MOTOTRAILLA DE TIPO-EMPUJE 23 m3</t>
  </si>
  <si>
    <t>E-E23</t>
  </si>
  <si>
    <t>TRAILLA DE ARRASTRE DE 6 m3</t>
  </si>
  <si>
    <t>E-E25</t>
  </si>
  <si>
    <t>RETROEXCAVADORA S/ORUGAS 2,0 m3</t>
  </si>
  <si>
    <t>E-E33</t>
  </si>
  <si>
    <t>CAMION VOLCADOR CAP. 24 T=15 m3</t>
  </si>
  <si>
    <t>E-E34</t>
  </si>
  <si>
    <t>CAMION TRAILLER VOLCADOR CAP. 20 m3</t>
  </si>
  <si>
    <t>E-E39</t>
  </si>
  <si>
    <t>CAMION REGADOR CAP. 8 m3</t>
  </si>
  <si>
    <t>E-E40</t>
  </si>
  <si>
    <t>CAMION SEMIRREMOLQUE CAP. 35 T</t>
  </si>
  <si>
    <t>E-E49</t>
  </si>
  <si>
    <t>TRACTOR SOBRE NEUMATICOS 160 HP</t>
  </si>
  <si>
    <t>E-E52</t>
  </si>
  <si>
    <t>COMPACT. LISO VIBR. AUTOP.-11 T</t>
  </si>
  <si>
    <t>E-E53</t>
  </si>
  <si>
    <t>COMPACT. 2 ROD.LISOS TANDEM -11 T</t>
  </si>
  <si>
    <t>E-E55</t>
  </si>
  <si>
    <t>COMP. AUTOP. P. CABRA VIBR.-12 T</t>
  </si>
  <si>
    <t>E-E57</t>
  </si>
  <si>
    <t>VIBRO APISONADOR  32x28 cm-63 Kg</t>
  </si>
  <si>
    <t>E-E62</t>
  </si>
  <si>
    <t>MARTILLO NEUMATICO DEMOLEDOR 22 Kg</t>
  </si>
  <si>
    <t>E-E67</t>
  </si>
  <si>
    <t>MOTOCOMPRESOR 7 m3/min-250 cfm</t>
  </si>
  <si>
    <t>E-E73</t>
  </si>
  <si>
    <t>GRUPO ELECTROGENO 150 KVA-120 KW</t>
  </si>
  <si>
    <t>E-E80</t>
  </si>
  <si>
    <t>GRUA MOVIL TODO TERRENO 36 T</t>
  </si>
  <si>
    <t>E-E83</t>
  </si>
  <si>
    <t>GRUA MOVIL TODO TERRENO 55 T</t>
  </si>
  <si>
    <t>E-E96</t>
  </si>
  <si>
    <t>BOMBA SUMERGIBLE 2 KW (12 l/s-10 m)</t>
  </si>
  <si>
    <t>E-E98</t>
  </si>
  <si>
    <t>TRITUR.PRIMARIA MAND. 27"x42" C/GR.</t>
  </si>
  <si>
    <t>E-E104</t>
  </si>
  <si>
    <t>PLANTA DE ZARANDEO 200/300 T/h</t>
  </si>
  <si>
    <t>E-E106</t>
  </si>
  <si>
    <t>ALIMENTADOR VIBRAT. CAP. 90 T/h</t>
  </si>
  <si>
    <t>E-E112</t>
  </si>
  <si>
    <t>PLANTA MEZCLAD. AGREGADOS 200 T/h</t>
  </si>
  <si>
    <t>E-E113</t>
  </si>
  <si>
    <t>DISTRIBUIDORA DE GRAVILLA D.T.S.B.</t>
  </si>
  <si>
    <t>E-E114</t>
  </si>
  <si>
    <t>TERMINADORA DE BASE 70 HP</t>
  </si>
  <si>
    <t>E-E115</t>
  </si>
  <si>
    <t>RASTRA DE 32 DISCOS</t>
  </si>
  <si>
    <t>E-E116</t>
  </si>
  <si>
    <t>BARREDORA SOPLADORA AUTOP.</t>
  </si>
  <si>
    <t>E-E126</t>
  </si>
  <si>
    <t>CAMION MOTOHORMIGONERO CAP. 7 m3</t>
  </si>
  <si>
    <t>E-E130</t>
  </si>
  <si>
    <t>ASERRADORA DE JUNTAS</t>
  </si>
  <si>
    <t>E-E132</t>
  </si>
  <si>
    <t>BOMBA DE Hº REMOLC. 50 m3/h</t>
  </si>
  <si>
    <t>E-E135</t>
  </si>
  <si>
    <t>PUENTE CURADO PAVIMENTO (3,65m)</t>
  </si>
  <si>
    <t>E-E136</t>
  </si>
  <si>
    <t>PAVIMENTADORA CALZADA Hº- 4 ORUGAS</t>
  </si>
  <si>
    <t>E-E143</t>
  </si>
  <si>
    <t>PLANTA ASF.CONTRA FLUJO TE 120 T/h</t>
  </si>
  <si>
    <t>E-E144</t>
  </si>
  <si>
    <t>CAMION DISTRIBUIDOR ASFALTO 5/6 m3</t>
  </si>
  <si>
    <t>E-E145</t>
  </si>
  <si>
    <t>FUSOR DE ASFALTO CAP. 2500 L.</t>
  </si>
  <si>
    <t>E-E146</t>
  </si>
  <si>
    <t>TERMINADORA ASFALT. S/CARR. 120 T/h</t>
  </si>
  <si>
    <t>E-E147</t>
  </si>
  <si>
    <t>RECUPERADOR-ESTABILIZ. DE CAMINOS</t>
  </si>
  <si>
    <t>E-E149</t>
  </si>
  <si>
    <t>ACOPLADO PLAYO CAP. 10 T</t>
  </si>
  <si>
    <t>E-E164</t>
  </si>
  <si>
    <t>CORTADORA Y DOBLADORA Fe 1 T/h</t>
  </si>
  <si>
    <t>E-E07</t>
  </si>
  <si>
    <t>E-E169</t>
  </si>
  <si>
    <t>FRESADORA DE PAVIM. S/NEUM. 105 HP</t>
  </si>
  <si>
    <t>A-AD01</t>
  </si>
  <si>
    <t>A-AD03</t>
  </si>
  <si>
    <t>M-M01ABA</t>
  </si>
  <si>
    <t>AGREGADO PARA BASE C/TRPTE.</t>
  </si>
  <si>
    <t>M-M02ABA</t>
  </si>
  <si>
    <t>MATERIAL P/ESCOLLERA 1"-3" C/TRPTE.</t>
  </si>
  <si>
    <t>M-M03ACE</t>
  </si>
  <si>
    <t>M-M04ACE</t>
  </si>
  <si>
    <t>M-M06AGR</t>
  </si>
  <si>
    <t>MATERIAL PARA SUB BASE</t>
  </si>
  <si>
    <t>M-M07AGR</t>
  </si>
  <si>
    <t>MATERIAL PARA ENRIPIADO</t>
  </si>
  <si>
    <t>M-M09AGR</t>
  </si>
  <si>
    <t>AGREGADO TRITURADO ASFALTO/HORMIGON</t>
  </si>
  <si>
    <t>M-M10AGR</t>
  </si>
  <si>
    <t>AGREGADO GRUESO CANTO RODADO</t>
  </si>
  <si>
    <t>M-M11AGR</t>
  </si>
  <si>
    <t>AGREGADO FINO TRITURADO</t>
  </si>
  <si>
    <t>M-M12AGR</t>
  </si>
  <si>
    <t>AGREGADO FINO CANTO RODADO</t>
  </si>
  <si>
    <t>M-M14AGR</t>
  </si>
  <si>
    <t>PIEDRA C/TRPTE.</t>
  </si>
  <si>
    <t>M-M15AGR</t>
  </si>
  <si>
    <t>M-M16AGR</t>
  </si>
  <si>
    <t>AGREGADO CLASIFICADO</t>
  </si>
  <si>
    <t>M-M16AGU</t>
  </si>
  <si>
    <t>AGUA INDUSTRIAL</t>
  </si>
  <si>
    <t>M-M17AGU</t>
  </si>
  <si>
    <t>AGUA POTABLE</t>
  </si>
  <si>
    <t>M-M18ALA</t>
  </si>
  <si>
    <t>M-M19ALB</t>
  </si>
  <si>
    <t>ALAMBRE LISO</t>
  </si>
  <si>
    <t>rollo</t>
  </si>
  <si>
    <t>M-M20ALB</t>
  </si>
  <si>
    <t>LINGA DE ALMA TEXTIL DIAM 4mm</t>
  </si>
  <si>
    <t>M-M21ALB</t>
  </si>
  <si>
    <t>TIRA CABLE MANUAL</t>
  </si>
  <si>
    <t>u</t>
  </si>
  <si>
    <t>M-M22ALB</t>
  </si>
  <si>
    <t>ALAMBRE DE PUAS</t>
  </si>
  <si>
    <t>M-M23ALB</t>
  </si>
  <si>
    <t>POSTE TERMINAL (2.4 m)</t>
  </si>
  <si>
    <t>M-M24ALB</t>
  </si>
  <si>
    <t>TRANQUERA TIPO A (6 m)</t>
  </si>
  <si>
    <t>M-M25ALB</t>
  </si>
  <si>
    <t>POSTE TORNIQUETERO</t>
  </si>
  <si>
    <t>M-M26ALB</t>
  </si>
  <si>
    <t>POSTE INTERMEDIO (2.2 m)</t>
  </si>
  <si>
    <t>M-M27ALB</t>
  </si>
  <si>
    <t>VARILLAS P/ALAMBRADOS</t>
  </si>
  <si>
    <t>M-M28ALB</t>
  </si>
  <si>
    <t>VARILLONES P/ALAMBRADOS</t>
  </si>
  <si>
    <t>M-M29ALB</t>
  </si>
  <si>
    <t>TORNIQUETES</t>
  </si>
  <si>
    <t>M-M30ALB</t>
  </si>
  <si>
    <t>ALAMBRE DE ATAR</t>
  </si>
  <si>
    <t>M-M31ALB</t>
  </si>
  <si>
    <t>POSTE DE Hº Vº INTERMEDIO</t>
  </si>
  <si>
    <t>M-M32ALB</t>
  </si>
  <si>
    <t>POSTE DE Hº Vº TENSOR</t>
  </si>
  <si>
    <t>M-M33ALB</t>
  </si>
  <si>
    <t>POSTE DE Hº Vº PUNTAL</t>
  </si>
  <si>
    <t>M-M34ALB</t>
  </si>
  <si>
    <t>M-M35ALB</t>
  </si>
  <si>
    <t>PLANCHUELAS Y ACCESORIOS</t>
  </si>
  <si>
    <t>M-M36ALQ</t>
  </si>
  <si>
    <t>M-M37ANT</t>
  </si>
  <si>
    <t>M-M38APO</t>
  </si>
  <si>
    <t>APOYO CAUCHO SINTETICO CLOROPRENO</t>
  </si>
  <si>
    <t>dm3</t>
  </si>
  <si>
    <t>M-M39ASB</t>
  </si>
  <si>
    <t>AGREGADO PARA SUBBASE C/TRPTE.</t>
  </si>
  <si>
    <t>M-M40ASE</t>
  </si>
  <si>
    <t>AGREGADO PARA ENRIPIADO C/TRPTE.</t>
  </si>
  <si>
    <t>M-M41BAL</t>
  </si>
  <si>
    <t>Balanza Estatica</t>
  </si>
  <si>
    <t>M-M42BAR</t>
  </si>
  <si>
    <t>BARANDA DE DEFENSA 7.62 m</t>
  </si>
  <si>
    <t>M-M43BAR</t>
  </si>
  <si>
    <t>BARANDA DE DEFENSA 3.81 m</t>
  </si>
  <si>
    <t>M-M44BAR</t>
  </si>
  <si>
    <t>POSTES METALICOS PARA BARANDAS DEF.</t>
  </si>
  <si>
    <t>M-M45BAR</t>
  </si>
  <si>
    <t>POSTES METALICOS PARA BARANDAS PUEN</t>
  </si>
  <si>
    <t>M-M46BAR</t>
  </si>
  <si>
    <t>ALAS PARA BARANDAS DE DEFENSA</t>
  </si>
  <si>
    <t>M-M47BAR</t>
  </si>
  <si>
    <t>BARANDA PEATONAL</t>
  </si>
  <si>
    <t>M-M48BEN</t>
  </si>
  <si>
    <t>M-M49CA2</t>
  </si>
  <si>
    <t>M-M50CA2</t>
  </si>
  <si>
    <t>M-M51Cab</t>
  </si>
  <si>
    <t>M-M52Cab</t>
  </si>
  <si>
    <t>M-M53CAH</t>
  </si>
  <si>
    <t>CAÑO DE HºAº D=1.00m</t>
  </si>
  <si>
    <t>ml</t>
  </si>
  <si>
    <t>M-M54CAH</t>
  </si>
  <si>
    <t>CAÑO DE HºAº D=0.60m</t>
  </si>
  <si>
    <t>M-M55CAL</t>
  </si>
  <si>
    <t>ALCANTARILLA DE HORMIGON RECTANGULAR</t>
  </si>
  <si>
    <t>M-M56CAÑ</t>
  </si>
  <si>
    <t>M-M57CAÑ</t>
  </si>
  <si>
    <t>M-M58CAÑ</t>
  </si>
  <si>
    <t>M-M59CAÑ</t>
  </si>
  <si>
    <t>M-M60CAR</t>
  </si>
  <si>
    <t>M-M61CEA</t>
  </si>
  <si>
    <t>CARTELERIA</t>
  </si>
  <si>
    <t>M-M62CEA</t>
  </si>
  <si>
    <t>ACELERANTE DE FRAGUE SHOTCRETE</t>
  </si>
  <si>
    <t>M-M63CEA</t>
  </si>
  <si>
    <t>M-M64CEA</t>
  </si>
  <si>
    <t>M-M65CEA</t>
  </si>
  <si>
    <t>M-M66CEA</t>
  </si>
  <si>
    <t>SUPERPLASTIFICANTE</t>
  </si>
  <si>
    <t>M-M67CEA</t>
  </si>
  <si>
    <t>M-M68CEA</t>
  </si>
  <si>
    <t>M-M69CEA</t>
  </si>
  <si>
    <t>EXPANSOR-PLASTIFICANTE</t>
  </si>
  <si>
    <t>M-M70CEA</t>
  </si>
  <si>
    <t>ADHESIVO HORMIGONES</t>
  </si>
  <si>
    <t>M-M71CEA</t>
  </si>
  <si>
    <t>MORTERO PARA ANCLAJES</t>
  </si>
  <si>
    <t>M-M72CEA</t>
  </si>
  <si>
    <t>ADITIVO ANTIRRETRACCION</t>
  </si>
  <si>
    <t>M-M73CEA</t>
  </si>
  <si>
    <t>MASILLA PLASTICA BITUM.</t>
  </si>
  <si>
    <t>M-M74CEA</t>
  </si>
  <si>
    <t>RESINA (Sikaflex 1A)</t>
  </si>
  <si>
    <t>M-M75CEA</t>
  </si>
  <si>
    <t>SILICATO DE SODIO</t>
  </si>
  <si>
    <t>M-M76CEA</t>
  </si>
  <si>
    <t>MICRO SILICA</t>
  </si>
  <si>
    <t>M-M77CEA</t>
  </si>
  <si>
    <t>RETARDADOR DE FRAGUE</t>
  </si>
  <si>
    <t>M-M78CEA</t>
  </si>
  <si>
    <t>M-M79CEA</t>
  </si>
  <si>
    <t>M-M80CEA</t>
  </si>
  <si>
    <t>PUERTA METALICA de 1,2x2,1 m</t>
  </si>
  <si>
    <t>M-M81CEA</t>
  </si>
  <si>
    <t>VENTANA ALUM.-BRONCE de 3,2x3,4 m</t>
  </si>
  <si>
    <t>M-M82CEA</t>
  </si>
  <si>
    <t>CORTINA ENROLLABLE POR M2</t>
  </si>
  <si>
    <t>M-M83CEC</t>
  </si>
  <si>
    <t>Ladrillos</t>
  </si>
  <si>
    <t>M-M84CEC</t>
  </si>
  <si>
    <t>M-M85CEC</t>
  </si>
  <si>
    <t>CEMENTO PORTLAND (granel,en obra)</t>
  </si>
  <si>
    <t>M-M86CEC</t>
  </si>
  <si>
    <t>CEMENTO PUZOLANICO (bolsas,en obra)</t>
  </si>
  <si>
    <t>M-M87CEC</t>
  </si>
  <si>
    <t>CEMENTO PUENTES (granel,en obra)</t>
  </si>
  <si>
    <t>M-M88CEC</t>
  </si>
  <si>
    <t>CEMENTO A.R.S. (bolsas,en obra)</t>
  </si>
  <si>
    <t>M-M89CEC</t>
  </si>
  <si>
    <t>CEMENTO A.R.S. (granel en obra)</t>
  </si>
  <si>
    <t>M-M90CEC</t>
  </si>
  <si>
    <t>M-M91CEC</t>
  </si>
  <si>
    <t>POSTE DE CONCRETO LINEA 33 KV</t>
  </si>
  <si>
    <t>M-M92CEC</t>
  </si>
  <si>
    <t>ELEMENTOS DE Hº PREMOLDEADO</t>
  </si>
  <si>
    <t>M-M93CED</t>
  </si>
  <si>
    <t>CEMENTO BLANCO bolsa 25 kg,en obra</t>
  </si>
  <si>
    <t>M-M94CEE</t>
  </si>
  <si>
    <t>PERNO DE ANCLAJE BARANDALES</t>
  </si>
  <si>
    <t>M-M95CEE</t>
  </si>
  <si>
    <t>TABLA TIPO PARA ENCOFRADO</t>
  </si>
  <si>
    <t>M-M96CEE</t>
  </si>
  <si>
    <t>M-M97CEE</t>
  </si>
  <si>
    <t>FENOLICO ESP.= 19 MM (3/4")</t>
  </si>
  <si>
    <t>M-M98CEE</t>
  </si>
  <si>
    <t>PUNTAL DE MADERA</t>
  </si>
  <si>
    <t>M-M99CEE</t>
  </si>
  <si>
    <t>TABLON DE 2"x10"x3,20 m</t>
  </si>
  <si>
    <t>M-M100CEE</t>
  </si>
  <si>
    <t>LARGUERO 0,10x0,20x3,20 m</t>
  </si>
  <si>
    <t>M-M101CEE</t>
  </si>
  <si>
    <t>ENCOFRADO METALICO COLUMNAS</t>
  </si>
  <si>
    <t>M-M102CEE</t>
  </si>
  <si>
    <t>MOLDE METALICO PAVIMENTOS</t>
  </si>
  <si>
    <t>M-M103CEE</t>
  </si>
  <si>
    <t>M-M104CEE</t>
  </si>
  <si>
    <t>M-M105CEE</t>
  </si>
  <si>
    <t>ALAMBRE RECOCIDO #16</t>
  </si>
  <si>
    <t>M-M106CEE</t>
  </si>
  <si>
    <t>ALAMBRE RECOCIDO #18</t>
  </si>
  <si>
    <t>M-M107CEE</t>
  </si>
  <si>
    <t>ALAMBRE TRIPLE GALV. BWG 12</t>
  </si>
  <si>
    <t>M-M108CEE</t>
  </si>
  <si>
    <t>MALLA TRIPLE GALVANIZADA 50/10</t>
  </si>
  <si>
    <t>M-M109CEE</t>
  </si>
  <si>
    <t>GAVION TRIPLE TORSION</t>
  </si>
  <si>
    <t>M-M110CEE</t>
  </si>
  <si>
    <t>COLCHONETA Esp.=0,23m</t>
  </si>
  <si>
    <t>M-M111CEE</t>
  </si>
  <si>
    <t>TORNILLOS DE ALTA RESIST.</t>
  </si>
  <si>
    <t>M-M112CEE</t>
  </si>
  <si>
    <t>TORRE DE APUNTALAMIENTO 1,5x1,5</t>
  </si>
  <si>
    <t>M-M113CEE</t>
  </si>
  <si>
    <t>CAÑO TIPO ACROW</t>
  </si>
  <si>
    <t>M-M114CEE</t>
  </si>
  <si>
    <t>TORNILLON TIPO ACROW</t>
  </si>
  <si>
    <t>M-M115CEE</t>
  </si>
  <si>
    <t>ROTULA Y DIAGONAL TIPO ACROW</t>
  </si>
  <si>
    <t>M-M116CEE</t>
  </si>
  <si>
    <t>ACCESORIOS METAL. ENCOF. MODULAR</t>
  </si>
  <si>
    <t>M-M117CEE</t>
  </si>
  <si>
    <t>ESPACIADOR ENCOF. MODULAR</t>
  </si>
  <si>
    <t>M-M118CEE</t>
  </si>
  <si>
    <t>BASTIDOR ENCOF. MODULAR</t>
  </si>
  <si>
    <t>M-M119CEE</t>
  </si>
  <si>
    <t>PANEL PESADO VERSIFORM 2,4x1,2 m</t>
  </si>
  <si>
    <t>M-M120CEE</t>
  </si>
  <si>
    <t>VIGA ENCOF. MODULAR PESADO</t>
  </si>
  <si>
    <t>M-M121CEE</t>
  </si>
  <si>
    <t>ESTRUC. APUNTALAMIENTO DINTELES</t>
  </si>
  <si>
    <t>M-M122CEF</t>
  </si>
  <si>
    <t>ENCOFRADO METALICO CORONA VENTANA</t>
  </si>
  <si>
    <t>M-M123CEF</t>
  </si>
  <si>
    <t>ACERO TRILOGIC AM 500</t>
  </si>
  <si>
    <t>M-M124CEF</t>
  </si>
  <si>
    <t>ACERO CORRUGADO ADN 420</t>
  </si>
  <si>
    <t>M-M125CEF</t>
  </si>
  <si>
    <t>ACERO LAMINADO</t>
  </si>
  <si>
    <t>M-M126CEF</t>
  </si>
  <si>
    <t>PANEL Q-92 ACINDAR DE 2,15m x 6</t>
  </si>
  <si>
    <t>M-M127CEF</t>
  </si>
  <si>
    <t>ACERO LISO AL 220</t>
  </si>
  <si>
    <t>M-M128CEF</t>
  </si>
  <si>
    <t>ACERO P/PRETENSADO</t>
  </si>
  <si>
    <t>M-M129CEF</t>
  </si>
  <si>
    <t>CABLE DE ACERO PREESFUERZO Ý 5/8"</t>
  </si>
  <si>
    <t>M-M130CEF</t>
  </si>
  <si>
    <t>CABLE DE ACERO PREESFUERZO Ý 1/2"</t>
  </si>
  <si>
    <t>M-M131CEF</t>
  </si>
  <si>
    <t>VAINAS PARA POSTESADO</t>
  </si>
  <si>
    <t>M-M132CEF</t>
  </si>
  <si>
    <t>ACCESORIOS POSTESADO DE CABLES</t>
  </si>
  <si>
    <t>M-M133CEF</t>
  </si>
  <si>
    <t>ESMALTE EPOXICO</t>
  </si>
  <si>
    <t>M-M134CEF</t>
  </si>
  <si>
    <t>TABLAESTACA DE AVANCE 6 mm ESP.</t>
  </si>
  <si>
    <t>M-M135CEF</t>
  </si>
  <si>
    <t>MOLDE MET.VIGAS PREFAB. H=1.5m</t>
  </si>
  <si>
    <t>M-M136CEF</t>
  </si>
  <si>
    <t>MOLDE MET.VIGAS PREFAB. H=1.15m</t>
  </si>
  <si>
    <t>M-M137CEM</t>
  </si>
  <si>
    <t>MOLDE METALICO CORDON BORDE BANQ.</t>
  </si>
  <si>
    <t>M-M138CEM</t>
  </si>
  <si>
    <t>M-M139CEM</t>
  </si>
  <si>
    <t>M-M140CEM</t>
  </si>
  <si>
    <t>M-M141CEM</t>
  </si>
  <si>
    <t>M-M142CEM</t>
  </si>
  <si>
    <t>M-M143CEP</t>
  </si>
  <si>
    <t>M-M144CEP</t>
  </si>
  <si>
    <t>CEMENTO ASFALTICO</t>
  </si>
  <si>
    <t>M-M145CEP</t>
  </si>
  <si>
    <t>M-M146CEP</t>
  </si>
  <si>
    <t>M-M147CEP</t>
  </si>
  <si>
    <t>EMULSION ASF. MODIF. CON POLIMEROS</t>
  </si>
  <si>
    <t>M-M148CEP</t>
  </si>
  <si>
    <t>ASFALTO MODIFICADO C/POLIMEROS</t>
  </si>
  <si>
    <t>M-M149CEP</t>
  </si>
  <si>
    <t>EMULSION ASFALTICA</t>
  </si>
  <si>
    <t>M-M150CEP</t>
  </si>
  <si>
    <t>MEJORADOR DE ADHERENCIA</t>
  </si>
  <si>
    <t>M-M151CET</t>
  </si>
  <si>
    <t>FILLER</t>
  </si>
  <si>
    <t>M-M152CEV</t>
  </si>
  <si>
    <t>M-M153CEV</t>
  </si>
  <si>
    <t>M-M154CEV</t>
  </si>
  <si>
    <t>POLIETILENO DE 200 micrones</t>
  </si>
  <si>
    <t>M-M155CEV</t>
  </si>
  <si>
    <t>GEOMEMBRANA SIKAPLAN PVC</t>
  </si>
  <si>
    <t>M-M156CEV</t>
  </si>
  <si>
    <t>GEOTEXTIL</t>
  </si>
  <si>
    <t>M-M157CEV</t>
  </si>
  <si>
    <t>M-M158CEV</t>
  </si>
  <si>
    <t>GEOTEXTIL TEJIDO (PAVCO 1100)</t>
  </si>
  <si>
    <t>M-M159CEV</t>
  </si>
  <si>
    <t>CORDON DE SOSTEN P/ SELLADOR</t>
  </si>
  <si>
    <t>M-M160CEV</t>
  </si>
  <si>
    <t>LAMINA DE POLIURETANO 100x10 mm</t>
  </si>
  <si>
    <t>M-M161CEV</t>
  </si>
  <si>
    <t>M-M162CEV</t>
  </si>
  <si>
    <t>BURLETE DE NEOPRENE DE 45x50MM</t>
  </si>
  <si>
    <t>M-M163CEV</t>
  </si>
  <si>
    <t>APOYO NEOPRENO 15x35x3 cm</t>
  </si>
  <si>
    <t>M-M164CEV</t>
  </si>
  <si>
    <t>APOYO NEOPRENO 20x40x3 cm</t>
  </si>
  <si>
    <t>M-M165CEV</t>
  </si>
  <si>
    <t>CINTA FLEXIBLE DE PVC V-15</t>
  </si>
  <si>
    <t>M-M166CEV</t>
  </si>
  <si>
    <t>HIDRANTE</t>
  </si>
  <si>
    <t>M-M167CEV</t>
  </si>
  <si>
    <t>JUNTA DE PVC M-20</t>
  </si>
  <si>
    <t>M-M168CEV</t>
  </si>
  <si>
    <t>CINTA FLEXIBLE DE PVC O-22</t>
  </si>
  <si>
    <t>M-M169CEV</t>
  </si>
  <si>
    <t>CANALETA, VERTEDEROS Y ACCESORIOS</t>
  </si>
  <si>
    <t>M-M170CEV</t>
  </si>
  <si>
    <t>SISTEMAS DE FIJACION CANALETAS</t>
  </si>
  <si>
    <t>M-M171CEV</t>
  </si>
  <si>
    <t>PREDISTRIBUIDOR</t>
  </si>
  <si>
    <t>M-M172CEV</t>
  </si>
  <si>
    <t>CAÑO H°G° D=75mm</t>
  </si>
  <si>
    <t>M-M173CEV</t>
  </si>
  <si>
    <t>CAÑO PVC D=0,10 m</t>
  </si>
  <si>
    <t>M-M174CEV</t>
  </si>
  <si>
    <t>CAÑO PVC D=0,05 m</t>
  </si>
  <si>
    <t>M-M175CEV</t>
  </si>
  <si>
    <t>PUNTA MARTILLO NEUMATICO MANUAL</t>
  </si>
  <si>
    <t>M-M176CEV</t>
  </si>
  <si>
    <t>MECHA P/ SACA TESTIGOS</t>
  </si>
  <si>
    <t>M-M177CEV</t>
  </si>
  <si>
    <t>DISCO DE ASERRADO D=350mm HºFRESCO</t>
  </si>
  <si>
    <t>M-M178CEV</t>
  </si>
  <si>
    <t>DISCO P/Hº 600mm</t>
  </si>
  <si>
    <t>M-M179CEV</t>
  </si>
  <si>
    <t>CAÑO CIRCULAR CHAPA GALV. D=0,60 m</t>
  </si>
  <si>
    <t>M-MCCG120</t>
  </si>
  <si>
    <t>CAÑO CIRCULAR CHAPA GALV. D=1,20 m</t>
  </si>
  <si>
    <t>M-M181CEV</t>
  </si>
  <si>
    <t>ALCANT. ARMCO D=1,50 m - Cal. 10</t>
  </si>
  <si>
    <t>M-M182CEV</t>
  </si>
  <si>
    <t>ALCANT. ARMCO D=1,80 m - Cal. 10</t>
  </si>
  <si>
    <t>M-M183CEV</t>
  </si>
  <si>
    <t>PROVISION ARBOL</t>
  </si>
  <si>
    <t>M-M184CEV</t>
  </si>
  <si>
    <t>ARENA GRADUADA PARA FILTROS</t>
  </si>
  <si>
    <t>M-M185CEV</t>
  </si>
  <si>
    <t>ANTRACITA</t>
  </si>
  <si>
    <t>M-M186CEV</t>
  </si>
  <si>
    <t>ARENA TORPEDO</t>
  </si>
  <si>
    <t>M-M187CEV</t>
  </si>
  <si>
    <t>MANTO SOSTEN M1</t>
  </si>
  <si>
    <t>M-M188CEV</t>
  </si>
  <si>
    <t>MANTO SOSTEN M2</t>
  </si>
  <si>
    <t>M-M189CEV</t>
  </si>
  <si>
    <t>PLACA PLANA DE P.R.F.V.</t>
  </si>
  <si>
    <t>M-M190CEV</t>
  </si>
  <si>
    <t>SOPORTES ACERO INOXIDABLE A-304</t>
  </si>
  <si>
    <t>M-M191CEV</t>
  </si>
  <si>
    <t>MATERIALES P/CONTROL TRAFICO</t>
  </si>
  <si>
    <t>M-M192CEV</t>
  </si>
  <si>
    <t>FIJACIONES</t>
  </si>
  <si>
    <t>M-M193CEV</t>
  </si>
  <si>
    <t>FLEX BEAM / BARRILES</t>
  </si>
  <si>
    <t>M-M194CEV</t>
  </si>
  <si>
    <t>CONO DE GUIA ANARANJADO</t>
  </si>
  <si>
    <t>M-M195CEV</t>
  </si>
  <si>
    <t>BEBEDERO PARA GANADO</t>
  </si>
  <si>
    <t>M-M196CEV</t>
  </si>
  <si>
    <t>INDICADOR LUMINOSO DE DESVIO</t>
  </si>
  <si>
    <t>M-M197CEV</t>
  </si>
  <si>
    <t>DELINEADOR LUMINOSO</t>
  </si>
  <si>
    <t>M-M198CEV</t>
  </si>
  <si>
    <t>REJA DE PROTECCION</t>
  </si>
  <si>
    <t>M-M199CEV</t>
  </si>
  <si>
    <t>ROLLO DE CINTA REFLECTIVA</t>
  </si>
  <si>
    <t>M-M200CEV</t>
  </si>
  <si>
    <t>POSTE DE REFERENCIA</t>
  </si>
  <si>
    <t>M-M201CEV</t>
  </si>
  <si>
    <t>CARTEL DE OBRA 1,50x3,00 m</t>
  </si>
  <si>
    <t>M-M202CEV</t>
  </si>
  <si>
    <t>CARTELES DE OBRA</t>
  </si>
  <si>
    <t>M-M203CEV</t>
  </si>
  <si>
    <t>CARTEL DE OBRA 5,00x12,00 m</t>
  </si>
  <si>
    <t>M-M204CIL</t>
  </si>
  <si>
    <t>PARADERO DE BUSES COMPLETO</t>
  </si>
  <si>
    <t>M-M205CIN</t>
  </si>
  <si>
    <t>CILINDRO DE GAS 45 Kg</t>
  </si>
  <si>
    <t>M-M206CLA</t>
  </si>
  <si>
    <t>M-M207COD</t>
  </si>
  <si>
    <t>M-M208CON</t>
  </si>
  <si>
    <t>M-M209CSI</t>
  </si>
  <si>
    <t>M-M210DES</t>
  </si>
  <si>
    <t>M-M211ENC</t>
  </si>
  <si>
    <t>M-M212ENS</t>
  </si>
  <si>
    <t>M-M213EXP</t>
  </si>
  <si>
    <t>M-M214EXP</t>
  </si>
  <si>
    <t>M-M215EXP</t>
  </si>
  <si>
    <t>M-M216EXP</t>
  </si>
  <si>
    <t>M-M217EXP</t>
  </si>
  <si>
    <t>M-M218EXP</t>
  </si>
  <si>
    <t>M-M219EXP</t>
  </si>
  <si>
    <t>M-M220FEN</t>
  </si>
  <si>
    <t>M-M221FIB</t>
  </si>
  <si>
    <t>M-M223FOR</t>
  </si>
  <si>
    <t>ARBUSTOS Y MATAS</t>
  </si>
  <si>
    <t>M-M225FRE</t>
  </si>
  <si>
    <t>PICA Y OTROS FRESADORA</t>
  </si>
  <si>
    <t>M-M226FUE</t>
  </si>
  <si>
    <t>PORTA PUNTAS PARA FRESADORA</t>
  </si>
  <si>
    <t>M-M227GAV</t>
  </si>
  <si>
    <t>FUEL OIL CALENTAMIENTO DE ASFALTO</t>
  </si>
  <si>
    <t>M-M228GEO</t>
  </si>
  <si>
    <t>M-M229HER</t>
  </si>
  <si>
    <t>M-M230HER</t>
  </si>
  <si>
    <t>HERRAMIENTAS MENORES</t>
  </si>
  <si>
    <t>M-M232HID</t>
  </si>
  <si>
    <t>EQUIPOS Y HERRAMIENTAS</t>
  </si>
  <si>
    <t>M-M233IAI</t>
  </si>
  <si>
    <t>M-M234ILU</t>
  </si>
  <si>
    <t>M-M235ILU</t>
  </si>
  <si>
    <t>CONDUCTOR</t>
  </si>
  <si>
    <t>M-M236ILU</t>
  </si>
  <si>
    <t>CONDUCTOR 3 x 6 mm2</t>
  </si>
  <si>
    <t>M-M237ILU</t>
  </si>
  <si>
    <t>CONDUCTOR 4 x 10 mm2</t>
  </si>
  <si>
    <t>M-M238ILU</t>
  </si>
  <si>
    <t>CONDUCTOR 2 x 10 mm2</t>
  </si>
  <si>
    <t>M-M239ILU</t>
  </si>
  <si>
    <t>CONDUCTOR 3 x 10 mm2</t>
  </si>
  <si>
    <t>M-M240ILU</t>
  </si>
  <si>
    <t>CONDUCTOR 4 x 16 mm2</t>
  </si>
  <si>
    <t>M-M241ILU</t>
  </si>
  <si>
    <t>TAPA DE FUNDICION</t>
  </si>
  <si>
    <t>M-M242ILU</t>
  </si>
  <si>
    <t>CAÑO DE PVC D=110 mm</t>
  </si>
  <si>
    <t>M-M243ILU</t>
  </si>
  <si>
    <t>TAPA BOCA DE REGISTRO</t>
  </si>
  <si>
    <t>M-M244ILU</t>
  </si>
  <si>
    <t>COLUMNA DE 11 M TIPO RECTA</t>
  </si>
  <si>
    <t>M-M245ILU</t>
  </si>
  <si>
    <t>COLUMNA DE 11 M TIPO RECTA 4 ART.</t>
  </si>
  <si>
    <t>M-M246ILU</t>
  </si>
  <si>
    <t>COLUMNA DE 11 M TIPO RECTA 90º</t>
  </si>
  <si>
    <t>M-M247ILU</t>
  </si>
  <si>
    <t>COLUMNA DE 11 M TIPO RECTA 90º 1 AR</t>
  </si>
  <si>
    <t>M-M248JAB</t>
  </si>
  <si>
    <t>ARTEFACTO P/LAMPARA A VAPOR SODIO</t>
  </si>
  <si>
    <t>M-M249JTA</t>
  </si>
  <si>
    <t>M-M250JTA</t>
  </si>
  <si>
    <t>M-M251JTA</t>
  </si>
  <si>
    <t>M-M252LAD</t>
  </si>
  <si>
    <t>M-M253Lam</t>
  </si>
  <si>
    <t>M-M254LIS</t>
  </si>
  <si>
    <t>M-M255MAE</t>
  </si>
  <si>
    <t>M-M256MAL</t>
  </si>
  <si>
    <t>M-M257MAN</t>
  </si>
  <si>
    <t>M-M258MAT</t>
  </si>
  <si>
    <t>M-M259MEA</t>
  </si>
  <si>
    <t>M-M260MEA</t>
  </si>
  <si>
    <t>PLANCHA DE ACERO CARBONO A-36</t>
  </si>
  <si>
    <t>M-M261MEA</t>
  </si>
  <si>
    <t>PERFIL LAMINADO DE ACERO CARBONO</t>
  </si>
  <si>
    <t>M-M262MEA</t>
  </si>
  <si>
    <t>CAÑERIA DE ACERO CARBONO</t>
  </si>
  <si>
    <t>M-M263MEA</t>
  </si>
  <si>
    <t>CAÑERIA DE AC. CARBONO GALVANIZADA</t>
  </si>
  <si>
    <t>M-M264MEA</t>
  </si>
  <si>
    <t>SOLDADURA PARA ACERO CARBONO</t>
  </si>
  <si>
    <t>M-M265MEA</t>
  </si>
  <si>
    <t>DISCO DE DESBASTE</t>
  </si>
  <si>
    <t>M-M266MEA</t>
  </si>
  <si>
    <t>TUBO DE OXIGENO</t>
  </si>
  <si>
    <t>M-M267MEA</t>
  </si>
  <si>
    <t>TUBO DE ACETILENO</t>
  </si>
  <si>
    <t>M-M268MER</t>
  </si>
  <si>
    <t>TUBO DE GAS 40 Kg</t>
  </si>
  <si>
    <t>M-M269MER</t>
  </si>
  <si>
    <t>EQUIPAMIENTO DE RADIO MICROONDAS</t>
  </si>
  <si>
    <t>M-M270MER</t>
  </si>
  <si>
    <t>ESTRUCTURA Y SHELTER</t>
  </si>
  <si>
    <t>M-M271MER</t>
  </si>
  <si>
    <t>SISTEMA DE ALIMENTACION EQ.RADIO</t>
  </si>
  <si>
    <t>M-M272MER</t>
  </si>
  <si>
    <t>MULTIPLEXORES</t>
  </si>
  <si>
    <t>M-M273MIC</t>
  </si>
  <si>
    <t>EQUIPAMIENTO DE RADIO U.H.F.</t>
  </si>
  <si>
    <t>M-M274PER</t>
  </si>
  <si>
    <t>M-M275PIN</t>
  </si>
  <si>
    <t>M-M278PUN</t>
  </si>
  <si>
    <t>M-M279RES</t>
  </si>
  <si>
    <t>M-M280RR2</t>
  </si>
  <si>
    <t>M-M281RR2</t>
  </si>
  <si>
    <t>PALETAS AR15087 CANT 71PALETAS</t>
  </si>
  <si>
    <t>M-M282SDU</t>
  </si>
  <si>
    <t>PORTA PALETAS QC110H CANT 71</t>
  </si>
  <si>
    <t>M-M283SIG</t>
  </si>
  <si>
    <t>M-M284STO</t>
  </si>
  <si>
    <t>M-M285SUE</t>
  </si>
  <si>
    <t>M-M286SUE</t>
  </si>
  <si>
    <t>SUELO SELECCIONADO</t>
  </si>
  <si>
    <t>M-M287TAE</t>
  </si>
  <si>
    <t>SUELO VEGETAL</t>
  </si>
  <si>
    <t>M-M288TAE</t>
  </si>
  <si>
    <t>TACHA REFLECTIVA</t>
  </si>
  <si>
    <t>M-M289TAM</t>
  </si>
  <si>
    <t>ESCAMAS PARA TIERRA ARMADA</t>
  </si>
  <si>
    <t>M-M290TAM</t>
  </si>
  <si>
    <t>Tierra Armada Escama M8</t>
  </si>
  <si>
    <t>M-M291TAM</t>
  </si>
  <si>
    <t>Tierra Armada Mat.Esp. M1</t>
  </si>
  <si>
    <t>M-M292TAM</t>
  </si>
  <si>
    <t>ARMADURA Y ACC. TIERRA ARMADA</t>
  </si>
  <si>
    <t>M-M293TAM</t>
  </si>
  <si>
    <t>Tierra Armada Mat.Esp. M2</t>
  </si>
  <si>
    <t>M-M294TAM</t>
  </si>
  <si>
    <t>Tierra Armada Mat.Esp. M3</t>
  </si>
  <si>
    <t>M-M295TAM</t>
  </si>
  <si>
    <t>Tierra Armada Mat.Esp. M4</t>
  </si>
  <si>
    <t>M-M296TAM</t>
  </si>
  <si>
    <t>Tierra Armada Mat.Esp. M5</t>
  </si>
  <si>
    <t>M-M297TAM</t>
  </si>
  <si>
    <t>Tierra Armada Mat.Esp. M6</t>
  </si>
  <si>
    <t>M-M298TAM</t>
  </si>
  <si>
    <t>Tierra Armada Mat.Esp. M7</t>
  </si>
  <si>
    <t>M-M299TAN</t>
  </si>
  <si>
    <t>Tierra Armada Mat.Esp. M8</t>
  </si>
  <si>
    <t>M-M300TAP</t>
  </si>
  <si>
    <t>Tierra Armada Mat.Esp. Barrancas</t>
  </si>
  <si>
    <t>M-M301TAP</t>
  </si>
  <si>
    <t>TANQUE AUSTRALIANO</t>
  </si>
  <si>
    <t>Gl/100</t>
  </si>
  <si>
    <t>M-M302TER</t>
  </si>
  <si>
    <t>M-M303TUA</t>
  </si>
  <si>
    <t>M-M304TUA</t>
  </si>
  <si>
    <t>M-M305TUA</t>
  </si>
  <si>
    <t>M-M306TUA</t>
  </si>
  <si>
    <t>M-M307TUA</t>
  </si>
  <si>
    <t>M-M308TUA</t>
  </si>
  <si>
    <t>M-M309TUA</t>
  </si>
  <si>
    <t>BROCA BOTON D=38 mm-R32</t>
  </si>
  <si>
    <t>M-M310TUA</t>
  </si>
  <si>
    <t>BROCA BOTON D=45 mm-R32</t>
  </si>
  <si>
    <t>M-M311TUA</t>
  </si>
  <si>
    <t>BROCA BOTON D=50 mm = 2"-T38</t>
  </si>
  <si>
    <t>M-M312TUA</t>
  </si>
  <si>
    <t>BROCA BOTON D=65 mm = 2 1/2"-T38</t>
  </si>
  <si>
    <t>M-M313TUA</t>
  </si>
  <si>
    <t>M-M314TUA</t>
  </si>
  <si>
    <t>BROCA BOTON D=90 mm = 3 1/2"-T45</t>
  </si>
  <si>
    <t>M-M315TUA</t>
  </si>
  <si>
    <t>BROCA ESCARIADORA 100 mm = 4"</t>
  </si>
  <si>
    <t>M-M316TUA</t>
  </si>
  <si>
    <t>ADAPTADOR BROCA ESCARIADORA</t>
  </si>
  <si>
    <t>M-M317TUA</t>
  </si>
  <si>
    <t>BARRA EXTENS.14 pies R38-He32-R32</t>
  </si>
  <si>
    <t>M-M318TUA</t>
  </si>
  <si>
    <t>BARRA EXTENS.12 pies R38-He32-R32</t>
  </si>
  <si>
    <t>M-M319TUA</t>
  </si>
  <si>
    <t>BARRA EXTENS.12 pies T38-T38</t>
  </si>
  <si>
    <t>M-M320TUA</t>
  </si>
  <si>
    <t>M-M321TUA</t>
  </si>
  <si>
    <t>BARRA EXTENS.12 pies T45-T45</t>
  </si>
  <si>
    <t>M-M322TUA</t>
  </si>
  <si>
    <t>MANGUITO DE ACOPLE R38-R38</t>
  </si>
  <si>
    <t>M-M323TUA</t>
  </si>
  <si>
    <t>M-M324TUA</t>
  </si>
  <si>
    <t>MANGUITO DE ACOPLE T45-T45</t>
  </si>
  <si>
    <t>M-M325TUA</t>
  </si>
  <si>
    <t>ADAPTADOR CULATA JUMBO A.COPCO-R38</t>
  </si>
  <si>
    <t>M-M326TUA</t>
  </si>
  <si>
    <t>ADAPTADOR CULATA JUMBO</t>
  </si>
  <si>
    <t>M-M327TUA</t>
  </si>
  <si>
    <t>M-M328TUA</t>
  </si>
  <si>
    <t>ADAPTADOR CULATA T.DRILL HIDR.-T45</t>
  </si>
  <si>
    <t>M-M329TUB</t>
  </si>
  <si>
    <t>ADAPTADOR CULATA T.DRILL JOY-T38</t>
  </si>
  <si>
    <t>M-M330TUB</t>
  </si>
  <si>
    <t>ADAPTADOR CULATA T.DRILL I.R.-T38</t>
  </si>
  <si>
    <t>M-M331TUE</t>
  </si>
  <si>
    <t>M-M332TUE</t>
  </si>
  <si>
    <t>M-M333TUE</t>
  </si>
  <si>
    <t>GELAMON V.F. 80 % (IMPORTADO)</t>
  </si>
  <si>
    <t>M-M334TUE</t>
  </si>
  <si>
    <t>GELATINA EXPLOSIVA V.F. 60 %</t>
  </si>
  <si>
    <t>M-M335TUE</t>
  </si>
  <si>
    <t>M-M336TUE</t>
  </si>
  <si>
    <t>BARRO EXPLOSIVO ENCARTUCHADO</t>
  </si>
  <si>
    <t>M-M337TUE</t>
  </si>
  <si>
    <t>M-M338TUE</t>
  </si>
  <si>
    <t>CORDON DETONANTE</t>
  </si>
  <si>
    <t>M-M339TUE</t>
  </si>
  <si>
    <t>M-M340TUE</t>
  </si>
  <si>
    <t>M-M341TUE</t>
  </si>
  <si>
    <t>RETARDADOR DE SUPERFICIE</t>
  </si>
  <si>
    <t>M-M342TUE</t>
  </si>
  <si>
    <t>FULMINANTE ELECTRICO MS</t>
  </si>
  <si>
    <t>M-M343TUE</t>
  </si>
  <si>
    <t>CABLE DE TIMBRE</t>
  </si>
  <si>
    <t>M-M344TUF</t>
  </si>
  <si>
    <t>FULMINANTE NONEL LP</t>
  </si>
  <si>
    <t>M-M345TUF</t>
  </si>
  <si>
    <t>FULMINANTE NONEL MS</t>
  </si>
  <si>
    <t>M-M346TUF</t>
  </si>
  <si>
    <t>CARTUCHO DE RESINA 30x300 mm</t>
  </si>
  <si>
    <t>M-M347TUF</t>
  </si>
  <si>
    <t>FIBRAS DE ACERO SHOTCRETE</t>
  </si>
  <si>
    <t>M-M348TUF</t>
  </si>
  <si>
    <t>POZO ABSORBENTE</t>
  </si>
  <si>
    <t>M-M349TUF</t>
  </si>
  <si>
    <t>PERNO DE ANCLAJE MALLA</t>
  </si>
  <si>
    <t>M-M350TUF</t>
  </si>
  <si>
    <t>PERNO DE ANCLAJE TIPO BAR 8</t>
  </si>
  <si>
    <t>M-M351TUF</t>
  </si>
  <si>
    <t>PERNO DE ANCLAJE TIPO EGR 4</t>
  </si>
  <si>
    <t>M-M352TUF</t>
  </si>
  <si>
    <t>PERNO DE ANCLAJE TIPO EGR 8</t>
  </si>
  <si>
    <t>M-M353TUF</t>
  </si>
  <si>
    <t>MARCO DE SOSTENIMIENTO</t>
  </si>
  <si>
    <t>M-M354TUF</t>
  </si>
  <si>
    <t>TUERCA PESADA Y ARANDELA PLANA</t>
  </si>
  <si>
    <t>M-M355TUF</t>
  </si>
  <si>
    <t>GASTOS VARIOS</t>
  </si>
  <si>
    <t>M-M356TUF</t>
  </si>
  <si>
    <t>TUBOS DE INYECCION Y SALIDA DE AIRE</t>
  </si>
  <si>
    <t>M-M357TUF</t>
  </si>
  <si>
    <t>PLACA DE APOYO FIJACION</t>
  </si>
  <si>
    <t>M-M358TUF</t>
  </si>
  <si>
    <t>DISCO REPUESTO SHOTCRETERA</t>
  </si>
  <si>
    <t>M-M359TUF</t>
  </si>
  <si>
    <t>MANGON SHOTCRETE Ý=2 1/2"</t>
  </si>
  <si>
    <t>M-M360TUF</t>
  </si>
  <si>
    <t>PUNTA LANZADORA SHOTCRETE</t>
  </si>
  <si>
    <t>M-M361TUH</t>
  </si>
  <si>
    <t>TUBERIAS Y ACCESORIOS INYECCIONES</t>
  </si>
  <si>
    <t>M-M362TUP</t>
  </si>
  <si>
    <t>TUBERIAS DE PVC PARA TUNEL</t>
  </si>
  <si>
    <t>M-M363TUS</t>
  </si>
  <si>
    <t>TUBO DE HºGº D= 4"</t>
  </si>
  <si>
    <t>M-M364TUS</t>
  </si>
  <si>
    <t>M-M365TUS</t>
  </si>
  <si>
    <t>MANGA VENTIL. SOPLANTE LISA 1,80 m</t>
  </si>
  <si>
    <t>M-M366TUS</t>
  </si>
  <si>
    <t>MANGA VENTIL. SOPLANTE LISA 1,00 m</t>
  </si>
  <si>
    <t>M-M367TUS</t>
  </si>
  <si>
    <t>CABLE DE ACERO 3/8"</t>
  </si>
  <si>
    <t>M-M368TUS</t>
  </si>
  <si>
    <t>CABLE DE ACERO 1/2"</t>
  </si>
  <si>
    <t>M-M369TUS</t>
  </si>
  <si>
    <t>TUBERIA TIPO ALVENIUS D=2"</t>
  </si>
  <si>
    <t>M-M370TUS</t>
  </si>
  <si>
    <t>TUBERIA TIPO ALVENIUS D=3"</t>
  </si>
  <si>
    <t>M-M371TUS</t>
  </si>
  <si>
    <t>TUBERIA TIPO ALVENIUS D=6"</t>
  </si>
  <si>
    <t>M-M372TUS</t>
  </si>
  <si>
    <t>TUBERIA TIPO ALVENIUS D=8"</t>
  </si>
  <si>
    <t>M-M373TUS</t>
  </si>
  <si>
    <t>CABLE B.T. 3x50 mm + Neutro</t>
  </si>
  <si>
    <t>M-M374TUS</t>
  </si>
  <si>
    <t>CABLE DE COBRE 3x120 mm2</t>
  </si>
  <si>
    <t>M-M375TUS</t>
  </si>
  <si>
    <t>CABLE M.T. ARMADO 3x35 mm</t>
  </si>
  <si>
    <t>M-M376TUS</t>
  </si>
  <si>
    <t>CABLE SIST. ILUM. 4x6 mm</t>
  </si>
  <si>
    <t>M-M377TUS</t>
  </si>
  <si>
    <t>BRAKER TRANSFORMADOR PRINCIPAL</t>
  </si>
  <si>
    <t>M-M378TUS</t>
  </si>
  <si>
    <t>TABLERO B.T. SIST. ILUMINACION</t>
  </si>
  <si>
    <t>M-M379TUS</t>
  </si>
  <si>
    <t>TABLERO DE FUERZA</t>
  </si>
  <si>
    <t>M-M380TUS</t>
  </si>
  <si>
    <t>TRANSFORMADOR 500 KVA (4200-380 V)</t>
  </si>
  <si>
    <t>M-M381TUS</t>
  </si>
  <si>
    <t>ARFEFACTO TUBO FLUORESCENTE 40 W</t>
  </si>
  <si>
    <t>M-M382TUS</t>
  </si>
  <si>
    <t>TUBO FLUORESCENTE 40 W</t>
  </si>
  <si>
    <t>M-M383TUS</t>
  </si>
  <si>
    <t>ARFEFACTO HALOGENO 500 W</t>
  </si>
  <si>
    <t>M-M384TUS</t>
  </si>
  <si>
    <t>LAMPARA HALOGENA 500 W</t>
  </si>
  <si>
    <t>M-M385TUS</t>
  </si>
  <si>
    <t>TERMINAL ELECTRICO DE CONEXION</t>
  </si>
  <si>
    <t>M-M386TUS</t>
  </si>
  <si>
    <t>CANILLAS Y MANGUERAS</t>
  </si>
  <si>
    <t>M-M387TUS</t>
  </si>
  <si>
    <t>LINEA 4 Km PROVISIONAL Y TRAFO</t>
  </si>
  <si>
    <t>M-M388TUS</t>
  </si>
  <si>
    <t>LINEA 2 Km PROVISIONAL Y TRAFO</t>
  </si>
  <si>
    <t>M-M389TUS</t>
  </si>
  <si>
    <t>TANQUE REMOLQUE AGUA POTABLE</t>
  </si>
  <si>
    <t>M-M390TUS</t>
  </si>
  <si>
    <t>PLANTA DE TRATAMIENTO MOVIL</t>
  </si>
  <si>
    <t>M-M391TUS</t>
  </si>
  <si>
    <t>VALVULA ESFERICA ø 3"</t>
  </si>
  <si>
    <t>M-M392TUS</t>
  </si>
  <si>
    <t>NICHO DE BOMBEO</t>
  </si>
  <si>
    <t>M-M393TUS</t>
  </si>
  <si>
    <t>VALVULA ESFERICA ø 6"</t>
  </si>
  <si>
    <t>M-M394TUS</t>
  </si>
  <si>
    <t>VALVULA DE RETENCION ø 12"</t>
  </si>
  <si>
    <t>M-M395TUS</t>
  </si>
  <si>
    <t>ESTACION DE AFORO</t>
  </si>
  <si>
    <t>M-M396VAL</t>
  </si>
  <si>
    <t>TANQUE DE COMBUSTIBLE MOVIL 20 m3</t>
  </si>
  <si>
    <t>M-M397VAR</t>
  </si>
  <si>
    <t>VALVULA ESFERICA ø 2"</t>
  </si>
  <si>
    <t>M-M398VAR</t>
  </si>
  <si>
    <t>M-M399VAR</t>
  </si>
  <si>
    <t>M-M400VIG</t>
  </si>
  <si>
    <t>SEGURO VEHICULOS</t>
  </si>
  <si>
    <t>PATENTE VEHICULOS</t>
  </si>
  <si>
    <t>GAS OIL</t>
  </si>
  <si>
    <t>KM</t>
  </si>
  <si>
    <t>M-M401VIG</t>
  </si>
  <si>
    <t>LUBRICANTES</t>
  </si>
  <si>
    <t>CAMARAS Y CUBIERTAS</t>
  </si>
  <si>
    <t>REPARACION Y REPUESTOS</t>
  </si>
  <si>
    <t>M-M402VIG</t>
  </si>
  <si>
    <t>VIGA PREMOLDEADA 10 m</t>
  </si>
  <si>
    <t>M-M403TAC</t>
  </si>
  <si>
    <t>VIGA PREMOLDEADA 15 m</t>
  </si>
  <si>
    <t>M-M404CAH</t>
  </si>
  <si>
    <t>VIGA PREMOLDEADA 17 m</t>
  </si>
  <si>
    <t>M-MCCG140</t>
  </si>
  <si>
    <t>CAÑO CIRCULAR CHAPA GALV. D=1,40 m</t>
  </si>
  <si>
    <t>M-MCCG160</t>
  </si>
  <si>
    <t>CAÑO CIRCULAR CHAPA GALV. D=1,60 m</t>
  </si>
  <si>
    <t>M-MCCG180</t>
  </si>
  <si>
    <t>CAÑO CIRCULAR CHAPA GALV. D=1,80 m</t>
  </si>
  <si>
    <t>M-MCCG210</t>
  </si>
  <si>
    <t>CAÑO CIRCULAR CHAPA GALV. D=2,10 m</t>
  </si>
  <si>
    <t>M-MCCG240</t>
  </si>
  <si>
    <t>CAÑO CIRCULAR CHAPA GALV. D=2,40 m</t>
  </si>
  <si>
    <t>M-MCCG249</t>
  </si>
  <si>
    <t>CAÑO CIRCULAR CHAPA GALV. D=2,49 m</t>
  </si>
  <si>
    <t>M-MCCG297a</t>
  </si>
  <si>
    <t>CAÑO CIRCULAR CHAPA GALV. D=2,97 m</t>
  </si>
  <si>
    <t>M-MCCG297b</t>
  </si>
  <si>
    <t>M-MCCG348</t>
  </si>
  <si>
    <t>CAÑO CIRCULAR CHAPA GALV. D=3,48 m</t>
  </si>
  <si>
    <t>M-MCCG500</t>
  </si>
  <si>
    <t>CAÑO CIRCULAR CHAPA GALV. D=5,00 m</t>
  </si>
  <si>
    <t>M-MMANG</t>
  </si>
  <si>
    <t>MANGON 2"</t>
  </si>
  <si>
    <t>M-MMANG1</t>
  </si>
  <si>
    <t>MANGUERA 2"</t>
  </si>
  <si>
    <t>M-MCEMB</t>
  </si>
  <si>
    <t>CEMENTO PUZOLANICO BOLSA</t>
  </si>
  <si>
    <t>M-MCH</t>
  </si>
  <si>
    <t>CHAPA</t>
  </si>
  <si>
    <t>M-TITAN</t>
  </si>
  <si>
    <t>PERNO DE ANCLAJE TITAN</t>
  </si>
  <si>
    <t>M-TITAN1</t>
  </si>
  <si>
    <t>BROCA EN CRUZ TITAN</t>
  </si>
  <si>
    <t>S-S0128</t>
  </si>
  <si>
    <t>Terminaciones</t>
  </si>
  <si>
    <t>$/m2</t>
  </si>
  <si>
    <t>S-S0228A</t>
  </si>
  <si>
    <t>Prueba de Carga</t>
  </si>
  <si>
    <t>S-S06ALC</t>
  </si>
  <si>
    <t>S-S08ALQ</t>
  </si>
  <si>
    <t>ALQUILER GRUA 40 TN</t>
  </si>
  <si>
    <t>S-S10ASE</t>
  </si>
  <si>
    <t>S-S12ASP</t>
  </si>
  <si>
    <t>SUBC. COLOC.BACHEO</t>
  </si>
  <si>
    <t>S-S13AUS</t>
  </si>
  <si>
    <t>S-S15BAN</t>
  </si>
  <si>
    <t>Banquina darsena de detension de vehiculos 45 m3</t>
  </si>
  <si>
    <t>S-S16BAR</t>
  </si>
  <si>
    <t>S-S17BAS</t>
  </si>
  <si>
    <t>Base estabilizada darsena de detension de vehiculos 42 m3</t>
  </si>
  <si>
    <t>S-S18CA0</t>
  </si>
  <si>
    <t>CANON DE EXPLOT. YACIMIENTOS</t>
  </si>
  <si>
    <t>S-S19CA0</t>
  </si>
  <si>
    <t>TERRENO</t>
  </si>
  <si>
    <t>S-S20CA0</t>
  </si>
  <si>
    <t>CANON DE EXPLOT. YAC.ALT2</t>
  </si>
  <si>
    <t>ha</t>
  </si>
  <si>
    <t>S-S21CA0</t>
  </si>
  <si>
    <t>CANON DE EXPLOT. YAC.ALT3</t>
  </si>
  <si>
    <t>S-S22CA0</t>
  </si>
  <si>
    <t>CANON DE EXPLOT. YAC. P/PEDRAPLEN</t>
  </si>
  <si>
    <t>S-S23CA0</t>
  </si>
  <si>
    <t>CANON DE EXPLOT. CANTERA</t>
  </si>
  <si>
    <t>S-S24CAM</t>
  </si>
  <si>
    <t>S-S28COM</t>
  </si>
  <si>
    <t>S-S29CON</t>
  </si>
  <si>
    <t>Reconstruccion/Montaje Galpones</t>
  </si>
  <si>
    <t>S-S31CON</t>
  </si>
  <si>
    <t>Construccion Viviendas</t>
  </si>
  <si>
    <t>S-S33Des</t>
  </si>
  <si>
    <t>S-S34DIS</t>
  </si>
  <si>
    <t>SUBC. PILOTE PRE-EXCAVADO Ø 1,50 m</t>
  </si>
  <si>
    <t>S-S35DIS</t>
  </si>
  <si>
    <t>MOV. EQUIPO SUBC. PILOTE PRE-EXCAV.</t>
  </si>
  <si>
    <t>S-S36DIS</t>
  </si>
  <si>
    <t>MURO DE PIE DE REVESTIM. PUENTES</t>
  </si>
  <si>
    <t>S-S37DIS</t>
  </si>
  <si>
    <t>CONSIDERADO EN ITEM BARANDA PUENTES</t>
  </si>
  <si>
    <t>.</t>
  </si>
  <si>
    <t>S-S38DIS</t>
  </si>
  <si>
    <t>TRASLADO EQUIPO DE PILOTAJE</t>
  </si>
  <si>
    <t>S-S39DIS</t>
  </si>
  <si>
    <t>SUBCONTRATO FRESADO Esp.6 cm</t>
  </si>
  <si>
    <t>S-S40DIS</t>
  </si>
  <si>
    <t>SUBCONTRATO SELLADO DE GRIETAS</t>
  </si>
  <si>
    <t>S-S41ECO</t>
  </si>
  <si>
    <t>S-S42EDI</t>
  </si>
  <si>
    <t>S-S43EDI</t>
  </si>
  <si>
    <t>S-S44EIA</t>
  </si>
  <si>
    <t>S-S45ENR</t>
  </si>
  <si>
    <t>Enripiado para badenes</t>
  </si>
  <si>
    <t>S-S47EQO</t>
  </si>
  <si>
    <t>S-S48EQO</t>
  </si>
  <si>
    <t>S-S49EQO</t>
  </si>
  <si>
    <t>S-S50EQO</t>
  </si>
  <si>
    <t>S-S51EQO</t>
  </si>
  <si>
    <t>S-S52EQO</t>
  </si>
  <si>
    <t>S-S53EQO</t>
  </si>
  <si>
    <t>S-S54EQO</t>
  </si>
  <si>
    <t>S-S55EQO</t>
  </si>
  <si>
    <t>S-S56EST</t>
  </si>
  <si>
    <t>S-S57EXP</t>
  </si>
  <si>
    <t>S-S58GAL</t>
  </si>
  <si>
    <t>S-S59GEO</t>
  </si>
  <si>
    <t>S-S61HH2</t>
  </si>
  <si>
    <t>GUARDAGANADO TIPO PARRILLA</t>
  </si>
  <si>
    <t>S-S62HOR</t>
  </si>
  <si>
    <t>S-S63ICL</t>
  </si>
  <si>
    <t>Hormigon darsena de detension de vehiculos 200 m2</t>
  </si>
  <si>
    <t>S-S64ID</t>
  </si>
  <si>
    <t>S-S66ILU</t>
  </si>
  <si>
    <t>TENDIDO DE CAÑERO SUBTERRÁNEO - CAÑOS DE PVC EN TERRENO NO PAVIMENTADO</t>
  </si>
  <si>
    <t>S-S67ILU</t>
  </si>
  <si>
    <t>TENDIDO DE CAÑERO SUBTERRÁNEO - CAÑOS DE PVC EN TERRENO PAVIMENTADO</t>
  </si>
  <si>
    <t>S-S68ILU</t>
  </si>
  <si>
    <t xml:space="preserve">INSTALACIÓN DE CABLE TIPO IRAM 2178 4 x 16 mm2 </t>
  </si>
  <si>
    <t>S-S69ILU</t>
  </si>
  <si>
    <t xml:space="preserve">CÁMARAS DE HORMIGÓN DE TIRO Y DERIVACIÓN </t>
  </si>
  <si>
    <t>S-S70ILU</t>
  </si>
  <si>
    <t>COLUMNA DE ACERO PARA ALUMBRADO PUBLICO - 12 METROS DE ALTURA LIBRE. INCLUIDO ARTEFACTO DE</t>
  </si>
  <si>
    <t>S-S72ILU</t>
  </si>
  <si>
    <t xml:space="preserve">TRASLADO DE LÍNEA EXISTENTE </t>
  </si>
  <si>
    <t>S-S73ILU</t>
  </si>
  <si>
    <t xml:space="preserve">S.E.T.A </t>
  </si>
  <si>
    <t>S-S74ILU</t>
  </si>
  <si>
    <t xml:space="preserve">TABLERO DE ALUMBRADO PÚBLICO </t>
  </si>
  <si>
    <t>S-S75ING</t>
  </si>
  <si>
    <t>Red de Media Tensión</t>
  </si>
  <si>
    <t>S-S76INS</t>
  </si>
  <si>
    <t>Red Domiciliaria</t>
  </si>
  <si>
    <t>S-S77INS</t>
  </si>
  <si>
    <t>Red de Alumbrado Público</t>
  </si>
  <si>
    <t>S-S78INS</t>
  </si>
  <si>
    <t>LUMINARIA 250w</t>
  </si>
  <si>
    <t>S-S79IPO</t>
  </si>
  <si>
    <t>LUMINARIA 150w</t>
  </si>
  <si>
    <t>S-S80JUN</t>
  </si>
  <si>
    <t>TABLERO</t>
  </si>
  <si>
    <t>S-S81LF</t>
  </si>
  <si>
    <t>TRANSFORMADOR</t>
  </si>
  <si>
    <t>S-S82MAN</t>
  </si>
  <si>
    <t>CABLE SUBTERRANEO</t>
  </si>
  <si>
    <t>S-S83MCO</t>
  </si>
  <si>
    <t>CRUCE DE CALZADA</t>
  </si>
  <si>
    <t>S-S84MET</t>
  </si>
  <si>
    <t>PROVISION POSTE S.O.S.</t>
  </si>
  <si>
    <t>S-S85MOV</t>
  </si>
  <si>
    <t>S-S87MPI</t>
  </si>
  <si>
    <t>S-S88PAR</t>
  </si>
  <si>
    <t>S-S89PCA</t>
  </si>
  <si>
    <t>S-S90PCP</t>
  </si>
  <si>
    <t>JUNTA THORMAC</t>
  </si>
  <si>
    <t>S-S93PI0</t>
  </si>
  <si>
    <t>S-S94PI1</t>
  </si>
  <si>
    <t>S-S96PLA</t>
  </si>
  <si>
    <t>Camioneta para la inspeccion</t>
  </si>
  <si>
    <t>S-S97PLA</t>
  </si>
  <si>
    <t>S-S99POS</t>
  </si>
  <si>
    <t>S-S100POZ</t>
  </si>
  <si>
    <t>S-S102PTA</t>
  </si>
  <si>
    <t>S-S103REF</t>
  </si>
  <si>
    <t>S-S104REJ</t>
  </si>
  <si>
    <t>S-S105RES</t>
  </si>
  <si>
    <t>S-S106RES</t>
  </si>
  <si>
    <t>S-S107RES</t>
  </si>
  <si>
    <t>S-S108RES</t>
  </si>
  <si>
    <t>S-S109RES</t>
  </si>
  <si>
    <t>S-S110RES</t>
  </si>
  <si>
    <t>S-S111ROC</t>
  </si>
  <si>
    <t>Movilizacion</t>
  </si>
  <si>
    <t>S-S112SEG</t>
  </si>
  <si>
    <t>S-S113SEÑ</t>
  </si>
  <si>
    <t>Refugio de 6 m2 segun especificaciones</t>
  </si>
  <si>
    <t>S-S115SEÑ</t>
  </si>
  <si>
    <t>REUBICACION GASODUCTO</t>
  </si>
  <si>
    <t>S-S116SEÑ</t>
  </si>
  <si>
    <t>REUBICACION LINEA ELECTRICAS AEREAS</t>
  </si>
  <si>
    <t>S-S117SEÑ</t>
  </si>
  <si>
    <t>REUBICACION CAÑERIA DE AGUA</t>
  </si>
  <si>
    <t>S-S118SEÑ</t>
  </si>
  <si>
    <t>TRASLADO DE SERVICIOS PUBLICOS</t>
  </si>
  <si>
    <t>S-S119SEÑ</t>
  </si>
  <si>
    <t>TRASLADO DE LINEAS DE MT</t>
  </si>
  <si>
    <t>S-S120SEÑ</t>
  </si>
  <si>
    <t>TRASLADO DE LINEAS DE BT</t>
  </si>
  <si>
    <t>S-S121SP</t>
  </si>
  <si>
    <t>S-S122SUE</t>
  </si>
  <si>
    <t>S-S123SUM</t>
  </si>
  <si>
    <t>SEÑAL VERTICAL C/POSTE MADERA</t>
  </si>
  <si>
    <t>S-S124SUM</t>
  </si>
  <si>
    <t>PORTICO C/PLACA 6x2m</t>
  </si>
  <si>
    <t>S-S125SUM</t>
  </si>
  <si>
    <t>MENSULA C/PLACA 3x2m</t>
  </si>
  <si>
    <t>S-S126SUM</t>
  </si>
  <si>
    <t>MENSULA C/PLACA 2,4x1,2m</t>
  </si>
  <si>
    <t>S-S127SUM</t>
  </si>
  <si>
    <t>PORTICO</t>
  </si>
  <si>
    <t>S-S128SUP</t>
  </si>
  <si>
    <t>SEÑALIZ. HORIZ. C/PINT. ACRILICA</t>
  </si>
  <si>
    <t>S-S129SUP</t>
  </si>
  <si>
    <t>SEÑALIZ. HORIZ. EXTR. esp= 3 mm</t>
  </si>
  <si>
    <t>S-S130SUP</t>
  </si>
  <si>
    <t>SEÑALIZ. HORIZ. PULV. esp=1,50 mm</t>
  </si>
  <si>
    <t>S-S132SUP</t>
  </si>
  <si>
    <t>S-S133SUP</t>
  </si>
  <si>
    <t>SUBCONTRATO TESADO CABLES</t>
  </si>
  <si>
    <t>día</t>
  </si>
  <si>
    <t>S-S134SUP</t>
  </si>
  <si>
    <t>VARIOS SERVICIO TESADO CABLES</t>
  </si>
  <si>
    <t>S-S135TER</t>
  </si>
  <si>
    <t>EJECUCION INYECCIONES DE BENTONITA</t>
  </si>
  <si>
    <t>S-S136TOP</t>
  </si>
  <si>
    <t>EJECUCION INYECC. CONSOLID. MORTERO</t>
  </si>
  <si>
    <t>S-S137TRA</t>
  </si>
  <si>
    <t>EJECUCION INYECC. CONSOLID. LECHADA</t>
  </si>
  <si>
    <t>S-S138TRA</t>
  </si>
  <si>
    <t>SUBCONTRATO REVEGETALIZACION</t>
  </si>
  <si>
    <t>S-S139TRA</t>
  </si>
  <si>
    <t>SUBCONTRATO EMPRADIZACION</t>
  </si>
  <si>
    <t>S-S140VHF</t>
  </si>
  <si>
    <t>SUBCONTRATO LINEAS REGLAMENTARIAS</t>
  </si>
  <si>
    <t>S-S141VYH</t>
  </si>
  <si>
    <t>SUBCONTRATO FORESTACION</t>
  </si>
  <si>
    <t>S-S142GUA</t>
  </si>
  <si>
    <t>VIVIENDA INSPECCION</t>
  </si>
  <si>
    <t>S-S143ILU</t>
  </si>
  <si>
    <t>CONSUMIBLES CAMIONETA P/SUPERVISION</t>
  </si>
  <si>
    <t>S-S144ILU</t>
  </si>
  <si>
    <t>CAMIONETA PARA SUPERVISION</t>
  </si>
  <si>
    <t>S-S145ILU</t>
  </si>
  <si>
    <t>S-S148ILU</t>
  </si>
  <si>
    <t>SUBC.TRANSP.ARIDOS DE CANTERA</t>
  </si>
  <si>
    <t>S-S149ILU</t>
  </si>
  <si>
    <t>SUBC.TRANSP.ARIDOS EN OBRA</t>
  </si>
  <si>
    <t>S-S150ILU</t>
  </si>
  <si>
    <t>S-S151ILU</t>
  </si>
  <si>
    <t>S-AMB1</t>
  </si>
  <si>
    <t>S-AMB12</t>
  </si>
  <si>
    <t>S-AMB13</t>
  </si>
  <si>
    <t>Residuos y sustancias peligrosas: Disposición de efluentes cloacales en obradores</t>
  </si>
  <si>
    <t>S-AMB14</t>
  </si>
  <si>
    <t>Inducción ambiental y registro de atropeyo de fauna</t>
  </si>
  <si>
    <t>S-AMB15</t>
  </si>
  <si>
    <t>Separación, conservación y reposición de suelos orgánicos</t>
  </si>
  <si>
    <t>S-AMB16</t>
  </si>
  <si>
    <t>S-AMB17</t>
  </si>
  <si>
    <t>Plan de comunicación social, medidas de señalización preventiva, inducción ambiental a personal</t>
  </si>
  <si>
    <t>S-AMB18</t>
  </si>
  <si>
    <t>Seguimiento de la generación de empleo, Ingreso de personal</t>
  </si>
  <si>
    <t>S-AMB3</t>
  </si>
  <si>
    <t>Fase de abandono de campamento, obradores e instalaciones afines</t>
  </si>
  <si>
    <t>S-AMB4</t>
  </si>
  <si>
    <t>Fase de abandono de yacimientos y/o canteras</t>
  </si>
  <si>
    <t>S-AMB5</t>
  </si>
  <si>
    <t>Conformación y acondicionamiento final de depósitos para excedentes de excavación</t>
  </si>
  <si>
    <t>S-AMB6</t>
  </si>
  <si>
    <t>Control de emisión de humos</t>
  </si>
  <si>
    <t>S-AMB7</t>
  </si>
  <si>
    <t>Control de emisión de polvos</t>
  </si>
  <si>
    <t>S-AMB8</t>
  </si>
  <si>
    <t>Control de equipos y horarios de trabajo</t>
  </si>
  <si>
    <t>S-AMB9</t>
  </si>
  <si>
    <t>S-AMB10</t>
  </si>
  <si>
    <t>S-AMB11</t>
  </si>
  <si>
    <t>Parametros de diseño y obras de control de erosion</t>
  </si>
  <si>
    <t>bimestral</t>
  </si>
  <si>
    <t>Aguas subterraneas:</t>
  </si>
  <si>
    <t>S-AMB19</t>
  </si>
  <si>
    <t>Relocalizacion de pyrrhocactus aff.bulbocalyx</t>
  </si>
  <si>
    <t>S-AMB20</t>
  </si>
  <si>
    <t>Medidas de proteccion y mitigacion ambiental</t>
  </si>
  <si>
    <t>S-MEC01</t>
  </si>
  <si>
    <t>Rolado de los perfiles</t>
  </si>
  <si>
    <t>T-MOVPRE</t>
  </si>
  <si>
    <t>Movilizacion de Obra</t>
  </si>
  <si>
    <t>TOPADORA CON ESC.(43 T)</t>
  </si>
  <si>
    <t>TOPADORA SIN ESC.(15 T)</t>
  </si>
  <si>
    <t xml:space="preserve">TOPADORA SIN ESC.(34 T) </t>
  </si>
  <si>
    <t xml:space="preserve">TOPADORA CON ESC.(39 T) </t>
  </si>
  <si>
    <t xml:space="preserve">TRACTOR SOBRE NEUMATICOS </t>
  </si>
  <si>
    <t>JUMBO DE DOS BRAZOS</t>
  </si>
  <si>
    <t>MANIPULADOR TELESCOPICO</t>
  </si>
  <si>
    <t>PLANTA DE ZARANDEO 200/300 TN/HR</t>
  </si>
  <si>
    <t>ALIMENTADOR VIBRAT.</t>
  </si>
  <si>
    <t>TRACTOR DE ARRASTE CON RASTRA</t>
  </si>
  <si>
    <t>TUNELERA DE 5,70M DE DIAM.</t>
  </si>
  <si>
    <t>VENTILADOR DE 1200 MM</t>
  </si>
  <si>
    <t>VENTILADOR DE 1600 MM</t>
  </si>
  <si>
    <t>VENTILADOR DE 900 MM</t>
  </si>
  <si>
    <t>X-PTA</t>
  </si>
  <si>
    <t>X-REL1</t>
  </si>
  <si>
    <t>X-LIM</t>
  </si>
  <si>
    <t>Limpieza y desbosque con Arboles</t>
  </si>
  <si>
    <t>X-LIM1</t>
  </si>
  <si>
    <t>Limpieza y preparación del terreno sin arboles</t>
  </si>
  <si>
    <t>X-EBA</t>
  </si>
  <si>
    <t>Escarificado Base de Asiento</t>
  </si>
  <si>
    <t>X-OAR</t>
  </si>
  <si>
    <t>Obtención de Agua para Riego</t>
  </si>
  <si>
    <t>X-TAR</t>
  </si>
  <si>
    <t>Transporte de Agua para riego</t>
  </si>
  <si>
    <t>X-RPT</t>
  </si>
  <si>
    <t>Riego para terraplen</t>
  </si>
  <si>
    <t>X-HDM1</t>
  </si>
  <si>
    <t>Homogeinización del Material</t>
  </si>
  <si>
    <t>X-CBD</t>
  </si>
  <si>
    <t>X-PRE</t>
  </si>
  <si>
    <t>X-EPR</t>
  </si>
  <si>
    <t>Explotación préstamo con Retro</t>
  </si>
  <si>
    <t>X-TDS</t>
  </si>
  <si>
    <t>Transporte de Suelo DMT 5 km</t>
  </si>
  <si>
    <t>X-EJA</t>
  </si>
  <si>
    <t>Ejecución de Alcantarilla</t>
  </si>
  <si>
    <t>X-ESL</t>
  </si>
  <si>
    <t>Excavación suelo lateral con topadora</t>
  </si>
  <si>
    <t>X-DMC</t>
  </si>
  <si>
    <t>Distribución de material terraplén</t>
  </si>
  <si>
    <t>X-HDM</t>
  </si>
  <si>
    <t>Homogeinización del Material Terraplen</t>
  </si>
  <si>
    <t>X-CDT</t>
  </si>
  <si>
    <t>Compactación de terraplen</t>
  </si>
  <si>
    <t>X-TEA</t>
  </si>
  <si>
    <t>Terraplén con aporte lateral</t>
  </si>
  <si>
    <t>X-TER2</t>
  </si>
  <si>
    <t>Terraplén con préstamo DMT 5km</t>
  </si>
  <si>
    <t>X-TER1</t>
  </si>
  <si>
    <t>Terraplén con préstamo DMT 15km</t>
  </si>
  <si>
    <t>X-TDS1</t>
  </si>
  <si>
    <t>Transporte de Suelo DMT 15 km</t>
  </si>
  <si>
    <t>X-PDS</t>
  </si>
  <si>
    <t>X-REL</t>
  </si>
  <si>
    <t>Relleno Alcantarilla y fundación</t>
  </si>
  <si>
    <t>X-DIS1</t>
  </si>
  <si>
    <t>Distribución de pedraplen</t>
  </si>
  <si>
    <t>X-CDP</t>
  </si>
  <si>
    <t>Compactación de Pedraplén</t>
  </si>
  <si>
    <t>X-PED</t>
  </si>
  <si>
    <t>Pedraplen</t>
  </si>
  <si>
    <t>X-EMF</t>
  </si>
  <si>
    <t>Excavación mecánica de fundaciones</t>
  </si>
  <si>
    <t>X-CEZ</t>
  </si>
  <si>
    <t>Colocación de escollera en zamja</t>
  </si>
  <si>
    <t>X-EST</t>
  </si>
  <si>
    <t>Escollera sobre talud</t>
  </si>
  <si>
    <t>X-EME</t>
  </si>
  <si>
    <t>Explotación material escollera</t>
  </si>
  <si>
    <t>X-PPE</t>
  </si>
  <si>
    <t>Pedraplén para escollera</t>
  </si>
  <si>
    <t>X-TDO</t>
  </si>
  <si>
    <t>Transporte de Materiales DMT&gt;20 km</t>
  </si>
  <si>
    <t>X-BAS</t>
  </si>
  <si>
    <t>Equipo de producción de base</t>
  </si>
  <si>
    <t>X-MPE</t>
  </si>
  <si>
    <t>Material para escollera (1" y 3")</t>
  </si>
  <si>
    <t>X-CMG</t>
  </si>
  <si>
    <t>Colocación material granular manual</t>
  </si>
  <si>
    <t>X-APS</t>
  </si>
  <si>
    <t>Agregado para subbsase</t>
  </si>
  <si>
    <t>X-MEP</t>
  </si>
  <si>
    <t>Mezclado en planta de material para base</t>
  </si>
  <si>
    <t>X-DBC</t>
  </si>
  <si>
    <t>Distribución de base con distribuidora</t>
  </si>
  <si>
    <t>X-DIS</t>
  </si>
  <si>
    <t>Distribución de base con moto</t>
  </si>
  <si>
    <t>X-PER</t>
  </si>
  <si>
    <t>Perfilado de base con moto</t>
  </si>
  <si>
    <t>X-CDB</t>
  </si>
  <si>
    <t>X-RIE</t>
  </si>
  <si>
    <t>Riego</t>
  </si>
  <si>
    <t>X-TRA5KM</t>
  </si>
  <si>
    <t>Transporte DMT 5 Km</t>
  </si>
  <si>
    <t>X-APB</t>
  </si>
  <si>
    <t>Agregado para base</t>
  </si>
  <si>
    <t>X-MAT1</t>
  </si>
  <si>
    <t>Material para base asfáltica</t>
  </si>
  <si>
    <t>X-PRC</t>
  </si>
  <si>
    <t>Producción de cemento asfáltico</t>
  </si>
  <si>
    <t>X-COL1</t>
  </si>
  <si>
    <t>Colocación de base asfáltica</t>
  </si>
  <si>
    <t>X-MAT2</t>
  </si>
  <si>
    <t>Material Carpeta Asfáltica</t>
  </si>
  <si>
    <t>X-COL2</t>
  </si>
  <si>
    <t>Colocación de carpeta asfáltica</t>
  </si>
  <si>
    <t>X-MAT3</t>
  </si>
  <si>
    <t>Material para tratamiento</t>
  </si>
  <si>
    <t>X-TBS1</t>
  </si>
  <si>
    <t>Tratamiento bituminoso superf.doble 1° capa</t>
  </si>
  <si>
    <t>X-TBS</t>
  </si>
  <si>
    <t>Tratamiento bituminoso superf.doble 2° capa</t>
  </si>
  <si>
    <t>X-AGT1</t>
  </si>
  <si>
    <t>X-AFT1</t>
  </si>
  <si>
    <t>X-ARE1</t>
  </si>
  <si>
    <t>X-AGCLAS</t>
  </si>
  <si>
    <t>X-AGCLAS1</t>
  </si>
  <si>
    <t>X-MAT</t>
  </si>
  <si>
    <t>Material Hormigón H32</t>
  </si>
  <si>
    <t>X-ELH</t>
  </si>
  <si>
    <t>Elaboración Hgón Pavimento</t>
  </si>
  <si>
    <t>X-SL</t>
  </si>
  <si>
    <t>String Line</t>
  </si>
  <si>
    <t>X-COL4</t>
  </si>
  <si>
    <t>Colocación de hormigon con pavimentadora</t>
  </si>
  <si>
    <t>X-COL5</t>
  </si>
  <si>
    <t>Colocación de hormigón con regla vibrante</t>
  </si>
  <si>
    <t>X-CYB</t>
  </si>
  <si>
    <t>Corte y doblado de acero</t>
  </si>
  <si>
    <t>X-PAS</t>
  </si>
  <si>
    <t>Pasadores y barras de unión</t>
  </si>
  <si>
    <t>X-ASP</t>
  </si>
  <si>
    <t>Aserrado primario de juntas</t>
  </si>
  <si>
    <t>X-ASS</t>
  </si>
  <si>
    <t>Aserrado secundario de juntas</t>
  </si>
  <si>
    <t>X-SEL</t>
  </si>
  <si>
    <t>Sellado de juntas</t>
  </si>
  <si>
    <t>X-EXT</t>
  </si>
  <si>
    <t>Extracción de testigos</t>
  </si>
  <si>
    <t>X-COL6</t>
  </si>
  <si>
    <t>Colado Hormigón desde Mixer</t>
  </si>
  <si>
    <t>X-ENC1</t>
  </si>
  <si>
    <t>Encofrado plano sencillo</t>
  </si>
  <si>
    <t>X-ELA1</t>
  </si>
  <si>
    <t>Elaboración de Hgón H21</t>
  </si>
  <si>
    <t>X-ENC2</t>
  </si>
  <si>
    <t>Encofrado para obras menores</t>
  </si>
  <si>
    <t>X-ELA2</t>
  </si>
  <si>
    <t>Elaboración de Hgón H13</t>
  </si>
  <si>
    <t>X-ALC</t>
  </si>
  <si>
    <t>Alcantarilla de 1m de diam.</t>
  </si>
  <si>
    <t>X-HGO</t>
  </si>
  <si>
    <t>Hormigón para contrapiso</t>
  </si>
  <si>
    <t>X-EMM</t>
  </si>
  <si>
    <t>Excavación manual de fundaciones</t>
  </si>
  <si>
    <t>X-BOM</t>
  </si>
  <si>
    <t>Bombeo para excavaciones</t>
  </si>
  <si>
    <t>X-CDA</t>
  </si>
  <si>
    <t>X-CAM</t>
  </si>
  <si>
    <t>Colocación de acero manual</t>
  </si>
  <si>
    <t>X-CAG</t>
  </si>
  <si>
    <t>Colocación de acero con grúa</t>
  </si>
  <si>
    <t>X-ADN</t>
  </si>
  <si>
    <t>X-TMT</t>
  </si>
  <si>
    <t>Terraplén de muro para tierra armada</t>
  </si>
  <si>
    <t>X-AGP</t>
  </si>
  <si>
    <t>Ayuda de gremio pilotes</t>
  </si>
  <si>
    <t>X-DEH</t>
  </si>
  <si>
    <t>Demolición de hgón</t>
  </si>
  <si>
    <t>X-ENC3</t>
  </si>
  <si>
    <t>Encofrado para vigas pretensadas</t>
  </si>
  <si>
    <t>X-COL</t>
  </si>
  <si>
    <t>Colado de hgón con bomba</t>
  </si>
  <si>
    <t>X-ENC</t>
  </si>
  <si>
    <t>Encofrado metalico complejo</t>
  </si>
  <si>
    <t>X-RLI</t>
  </si>
  <si>
    <t>Riego de Liga</t>
  </si>
  <si>
    <t>X-TES</t>
  </si>
  <si>
    <t>Tesado de vigas</t>
  </si>
  <si>
    <t>X-CV</t>
  </si>
  <si>
    <t>Carga de vigas</t>
  </si>
  <si>
    <t>X-TV</t>
  </si>
  <si>
    <t>Transporte de Vigas</t>
  </si>
  <si>
    <t>X-MV</t>
  </si>
  <si>
    <t>Montaje de vigas</t>
  </si>
  <si>
    <t>X-TEA1</t>
  </si>
  <si>
    <t>Terraplén con aporte lateral sin compac.esp.</t>
  </si>
  <si>
    <t>X-TER</t>
  </si>
  <si>
    <t>Terraplén con préstamo DMT 5km sin compac.esp.</t>
  </si>
  <si>
    <t>Transporte de agregados a 25 km</t>
  </si>
  <si>
    <t>X-SEÑV</t>
  </si>
  <si>
    <t>Señalización Vertical</t>
  </si>
  <si>
    <t>Señalización Hztal por pulverizacion</t>
  </si>
  <si>
    <t>X-SEÑE</t>
  </si>
  <si>
    <t>Señalización Hztal por extrusion</t>
  </si>
  <si>
    <t>X-CONSPERF</t>
  </si>
  <si>
    <t>Consumibles de perforacion</t>
  </si>
  <si>
    <t>X-PERMAN</t>
  </si>
  <si>
    <t>Perforacion Manual</t>
  </si>
  <si>
    <t>X-MALL</t>
  </si>
  <si>
    <t>Colocacion de Malla Taludes</t>
  </si>
  <si>
    <t>X-COLPER</t>
  </si>
  <si>
    <t>Colocacion Pernos</t>
  </si>
  <si>
    <t>X-LECH</t>
  </si>
  <si>
    <t>Lechada para Pernos</t>
  </si>
  <si>
    <t>X-COL7</t>
  </si>
  <si>
    <t>Colado de hgón SHOTCRETERA via seca</t>
  </si>
  <si>
    <t>X-COLPER1</t>
  </si>
  <si>
    <t>Colocacion Pernos 5 m</t>
  </si>
  <si>
    <t>X-COLTUB</t>
  </si>
  <si>
    <t>Colocacion de tuberia</t>
  </si>
  <si>
    <t>Transporte de Suelo DMT 5km</t>
  </si>
  <si>
    <t>hs</t>
  </si>
  <si>
    <t>Agregado Clasificado</t>
  </si>
  <si>
    <t>Consumibles de perforacion (m de preforacion)</t>
  </si>
  <si>
    <t>Limpieza y preparación del terreno con arboles</t>
  </si>
  <si>
    <t>X-TERSC</t>
  </si>
  <si>
    <t>X-TRA25km</t>
  </si>
  <si>
    <t>X-SEÑP</t>
  </si>
  <si>
    <t>0-PPE</t>
  </si>
  <si>
    <t>Pedraplén para escollera Tmín.8" Tmáx:32"</t>
  </si>
  <si>
    <t>0-HORMB</t>
  </si>
  <si>
    <t>Hormigón clase B</t>
  </si>
  <si>
    <t>0-HORMD</t>
  </si>
  <si>
    <t>Hormigón clase D</t>
  </si>
  <si>
    <t>0-HORME</t>
  </si>
  <si>
    <t>Hormigón clase E</t>
  </si>
  <si>
    <t>0-ACERO</t>
  </si>
  <si>
    <t>Acero Tipo ADN420</t>
  </si>
  <si>
    <t>Colocación de árboles</t>
  </si>
  <si>
    <t>0-DEMOL</t>
  </si>
  <si>
    <t>0-HGPE</t>
  </si>
  <si>
    <t>Hormigón para estribos</t>
  </si>
  <si>
    <t>0-HPC</t>
  </si>
  <si>
    <t>0-LTA</t>
  </si>
  <si>
    <t>Limpieza terreno adyacente</t>
  </si>
  <si>
    <t>0-Ilumina</t>
  </si>
  <si>
    <t>Iluminación</t>
  </si>
  <si>
    <t>0-HORMC</t>
  </si>
  <si>
    <t>Hormigón clase C</t>
  </si>
  <si>
    <t>0-MOVIL</t>
  </si>
  <si>
    <t>0-ARENA</t>
  </si>
  <si>
    <t>0-AGFINO</t>
  </si>
  <si>
    <t>0-AGGRUESO</t>
  </si>
  <si>
    <t>0-AGRCLAS</t>
  </si>
  <si>
    <t>Hormigón ciclopeo</t>
  </si>
  <si>
    <t>0-PINT</t>
  </si>
  <si>
    <t>Colado de hgón SHOTCRETERA via humeda</t>
  </si>
  <si>
    <t>Colocacion de Malla Taludes Electrosoldada</t>
  </si>
  <si>
    <t>X-MALEL</t>
  </si>
  <si>
    <t>X-MALELT</t>
  </si>
  <si>
    <t>Colocacion de Malla Tunel Electrosoldada</t>
  </si>
  <si>
    <t>|</t>
  </si>
  <si>
    <t>Media Caña PVC para Drenes</t>
  </si>
  <si>
    <t>INTERACCION</t>
  </si>
  <si>
    <t>Longitud del Acueducto</t>
  </si>
  <si>
    <t>X-EXCRP</t>
  </si>
  <si>
    <t>Excavación y carga de material con Retropala</t>
  </si>
  <si>
    <t>X-TDS2</t>
  </si>
  <si>
    <t>Transporte de Suelo DMT 20 km</t>
  </si>
  <si>
    <t>X-TRA20KM</t>
  </si>
  <si>
    <t>Transporte DMT 20 Km</t>
  </si>
  <si>
    <t>X-RIE1</t>
  </si>
  <si>
    <t>Riego Relleno en Zanja</t>
  </si>
  <si>
    <t xml:space="preserve">Relleno manual, distribucion y compactación </t>
  </si>
  <si>
    <t>X-APCA</t>
  </si>
  <si>
    <t>Agregado para cama de asiento</t>
  </si>
  <si>
    <t>TUBO PEAD - PE100 - PN10 -Ø 600 mm</t>
  </si>
  <si>
    <t>TUBO PEAD - PE100 - PN10 -Ø 500 mm</t>
  </si>
  <si>
    <t>TUBO PEAD - PE100 - PN10 -Ø 400 mm</t>
  </si>
  <si>
    <t>M-TBO001</t>
  </si>
  <si>
    <t>M-TBO002</t>
  </si>
  <si>
    <t>M-TBO003</t>
  </si>
  <si>
    <t>M-TBO004</t>
  </si>
  <si>
    <t>M-TBO005</t>
  </si>
  <si>
    <t>M-TBO006</t>
  </si>
  <si>
    <t>M-TBO007</t>
  </si>
  <si>
    <t>M-TBO008</t>
  </si>
  <si>
    <t>M-TBO009</t>
  </si>
  <si>
    <t>M-TBO010</t>
  </si>
  <si>
    <t>M-TBO011</t>
  </si>
  <si>
    <t>M-TBO012</t>
  </si>
  <si>
    <t>M-TBO013</t>
  </si>
  <si>
    <t>E-E170</t>
  </si>
  <si>
    <t>BOMBA DE PRUEBA PRESION HIDROST.</t>
  </si>
  <si>
    <t>X-RPPH</t>
  </si>
  <si>
    <t>Riego para prueba hidraulica</t>
  </si>
  <si>
    <t>Agregado para paquete estructural</t>
  </si>
  <si>
    <t>X-APPE</t>
  </si>
  <si>
    <t>X-APRS</t>
  </si>
  <si>
    <t>Agregado para relleno superior</t>
  </si>
  <si>
    <t>X-COL9</t>
  </si>
  <si>
    <t>Colocación de carpeta asfáltica manual</t>
  </si>
  <si>
    <t>E-E171</t>
  </si>
  <si>
    <t>RODILLO VIBRATORIO 82 cm-1370 Kg</t>
  </si>
  <si>
    <t>Elaboración de Hgón H25</t>
  </si>
  <si>
    <t>X-ELA4</t>
  </si>
  <si>
    <t>M-TBO014</t>
  </si>
  <si>
    <t>M-TBO015</t>
  </si>
  <si>
    <t>M-TBO016</t>
  </si>
  <si>
    <t>M-TBO017</t>
  </si>
  <si>
    <t>M-TBO018</t>
  </si>
  <si>
    <t>M-TBO019</t>
  </si>
  <si>
    <t>M-TBO020</t>
  </si>
  <si>
    <t>M-TBO021</t>
  </si>
  <si>
    <t>M-TBO022</t>
  </si>
  <si>
    <t>M-TBO023</t>
  </si>
  <si>
    <t>M-TBO024</t>
  </si>
  <si>
    <t>M-TBO025</t>
  </si>
  <si>
    <t>M-TBO026</t>
  </si>
  <si>
    <t>M-TBO027</t>
  </si>
  <si>
    <t>M-TBO028</t>
  </si>
  <si>
    <t>M-TBO029</t>
  </si>
  <si>
    <t>M-TBO030</t>
  </si>
  <si>
    <t>M-TBO031</t>
  </si>
  <si>
    <t>M-TBO032</t>
  </si>
  <si>
    <t>M-TBO033</t>
  </si>
  <si>
    <t>M-TBO034</t>
  </si>
  <si>
    <t>M-TBO035</t>
  </si>
  <si>
    <t>M-TBO036</t>
  </si>
  <si>
    <t>M-TBO037</t>
  </si>
  <si>
    <t>M-TBO038</t>
  </si>
  <si>
    <t>M-TBO039</t>
  </si>
  <si>
    <t>M-TBO040</t>
  </si>
  <si>
    <t>M-TBO041</t>
  </si>
  <si>
    <t>M-TBO042</t>
  </si>
  <si>
    <t>M-TBO043</t>
  </si>
  <si>
    <t>M-TBO044</t>
  </si>
  <si>
    <t>M-TBO045</t>
  </si>
  <si>
    <t>M-TBO046</t>
  </si>
  <si>
    <t>M-TBO047</t>
  </si>
  <si>
    <t>M-TBO048</t>
  </si>
  <si>
    <t>M-TBO049</t>
  </si>
  <si>
    <t>M-TBO050</t>
  </si>
  <si>
    <t>M-TBO051</t>
  </si>
  <si>
    <t>M-TBO052</t>
  </si>
  <si>
    <t>M-TBO053</t>
  </si>
  <si>
    <t>M-TBO054</t>
  </si>
  <si>
    <t>M-TBO055</t>
  </si>
  <si>
    <t>M-TBO056</t>
  </si>
  <si>
    <t>M-TBO057</t>
  </si>
  <si>
    <t>M-TBO058</t>
  </si>
  <si>
    <t>M-TBO059</t>
  </si>
  <si>
    <t>M-TBO060</t>
  </si>
  <si>
    <t>M-TBO061</t>
  </si>
  <si>
    <t>M-TBO062</t>
  </si>
  <si>
    <t>M-TBO063</t>
  </si>
  <si>
    <t>M-TBO064</t>
  </si>
  <si>
    <t>M-TBO065</t>
  </si>
  <si>
    <t>M-TBO066</t>
  </si>
  <si>
    <t>M-TBO067</t>
  </si>
  <si>
    <t>M-TBO068</t>
  </si>
  <si>
    <t>M-TBO069</t>
  </si>
  <si>
    <t>M-TBO070</t>
  </si>
  <si>
    <t>M-TBO071</t>
  </si>
  <si>
    <t>M-TBO072</t>
  </si>
  <si>
    <t>M-TBO073</t>
  </si>
  <si>
    <t>M-TBO074</t>
  </si>
  <si>
    <t>M-TBO075</t>
  </si>
  <si>
    <t>M-TBO076</t>
  </si>
  <si>
    <t>M-TBO077</t>
  </si>
  <si>
    <t>M-TBO078</t>
  </si>
  <si>
    <t>M-TBO079</t>
  </si>
  <si>
    <t>M-TBO080</t>
  </si>
  <si>
    <t>M-TBO081</t>
  </si>
  <si>
    <t>CAJA HºFº TIPO BRASERO</t>
  </si>
  <si>
    <t>CAÑO HIERRO FUNDIDO DN 200mm</t>
  </si>
  <si>
    <t>CAÑO PEAD PE 100 - PN 10 - DN 100mm L=6,00m BRIDADO</t>
  </si>
  <si>
    <t>CAÑO PVC K 10 JE DN 200mm</t>
  </si>
  <si>
    <t xml:space="preserve">CODO 90º PEAD BRIDADO DN 100mm </t>
  </si>
  <si>
    <t xml:space="preserve">CODO 90º PEAD BRIDADO DN 150mm </t>
  </si>
  <si>
    <t xml:space="preserve">CODO 90º PEAD PE 100 - PN 10 - DN 300mm </t>
  </si>
  <si>
    <t xml:space="preserve">CODO 90º PEAD PE 100 - PN 10 - DN 350mm </t>
  </si>
  <si>
    <t xml:space="preserve">CODO 90º PEAD PE 100 - PN 10 - DN 400mm </t>
  </si>
  <si>
    <t xml:space="preserve">CODO 90º PVC JE DN 200mm </t>
  </si>
  <si>
    <t>DERIVACIÓN 90º PEAD 100 - PN 10 - DN 400X200 mm</t>
  </si>
  <si>
    <t>DERIVACIÓN 90º PEAD 100 - PN 10 - DN 400X250 mm</t>
  </si>
  <si>
    <t>DERIVACIÓN 90º PEAD 100 - PN 10 - DN 400X300 mm</t>
  </si>
  <si>
    <t>DERIVACIÓN 90º PEAD 100 - PN 10 - DN 400X350 mm</t>
  </si>
  <si>
    <t>DERIVACIÓN 90º PEAD 100 - PN 10 - DN 500X225 mm</t>
  </si>
  <si>
    <t>DERIVACIÓN 90º PEAD 100 - PN 10 - DN 500X250 mm</t>
  </si>
  <si>
    <t>DERIVACIÓN 90º PEAD 100 - PN 10 - DN 600X200 mm</t>
  </si>
  <si>
    <t>DERIVACIÓN 90º PEAD 100 - PN 10 - DN 600X300 mm</t>
  </si>
  <si>
    <t>DERIVACIÓN 90º PEAD 100 - PN 10 - DN 600X350 mm</t>
  </si>
  <si>
    <t>DERIVACIÓN 90º PEAD 100 - PN 10 - DN 600X400 mm</t>
  </si>
  <si>
    <t>DERIVACIÓN 90º PEAD EF-BRIDA DN 400X100 mm</t>
  </si>
  <si>
    <t>DERIVACIÓN 90º PEAD EF-BRIDA DN 500X100 mm</t>
  </si>
  <si>
    <t>DERIVACIÓN 90º PEAD EF-BRIDA DN 600X100 mm</t>
  </si>
  <si>
    <t>JUNTA AMPLIA TOLERANCIA HºDº DN 200mm</t>
  </si>
  <si>
    <t>JUNTA DE DESARME HºDº DN 200mm</t>
  </si>
  <si>
    <t>JUNTA DE DESARME HºDº DN 225mm</t>
  </si>
  <si>
    <t>JUNTA DE DESARME HºDº DN 250mm</t>
  </si>
  <si>
    <t>JUNTA DE DESARME HºDº DN 300mm</t>
  </si>
  <si>
    <t>JUNTA DE DESARME HºDº DN 350mm</t>
  </si>
  <si>
    <t>JUNTA DE DESARME HºDº DN 400mm</t>
  </si>
  <si>
    <t>JUNTA DE DESARME HºDº DN 500mm</t>
  </si>
  <si>
    <t>JUNTA DE DESARME HºDº DN 600mm</t>
  </si>
  <si>
    <t>NIPLE PEAD PE 100 - PN 10 - DN 100mm BRIDA-ESP - L= 3,00m</t>
  </si>
  <si>
    <t>NIPLE PEAD PE 100 - PN 10 - DN 200mm BRIDA-ESPIGA - L= 0,55m</t>
  </si>
  <si>
    <t>NIPLE PEAD PE 100 - PN 10 - DN 200mm BRIDA-ESPIGA - L= 1,60m</t>
  </si>
  <si>
    <t>NIPLE PEAD PE 100 - PN 10 - DN 225mm BRIDA-ESPIGA - L= 0,55m</t>
  </si>
  <si>
    <t>NIPLE PEAD PE 100 - PN 10 - DN 225mm BRIDA-ESPIGA - L= 1,60m</t>
  </si>
  <si>
    <t>NIPLE PEAD PE 100 - PN 10 - DN 250mm BRIDA-ESPIGA - L= 0,55m</t>
  </si>
  <si>
    <t>NIPLE PEAD PE 100 - PN 10 - DN 250mm BRIDA-ESPIGA - L= 1,60m</t>
  </si>
  <si>
    <t>NIPLE PEAD PE 100 - PN 10 - DN 300mm BRIDADO - L= 0,60m</t>
  </si>
  <si>
    <t>NIPLE PEAD PE 100 - PN 10 - DN 300mm BRIDA-ESPIGA - L= 0,55m</t>
  </si>
  <si>
    <t>NIPLE PEAD PE 100 - PN 10 - DN 300mm BRIDA-ESPIGA - L= 1,60m</t>
  </si>
  <si>
    <t>NIPLE PEAD PE 100 - PN 10 - DN 350mm BRIDADO - L= 0,60m</t>
  </si>
  <si>
    <t>NIPLE PEAD PE 100 - PN 10 - DN 350mm BRIDA-ESPIGA - L= 0,55m</t>
  </si>
  <si>
    <t>NIPLE PEAD PE 100 - PN 10 - DN 350mm BRIDA-ESPIGA - L= 1,60m</t>
  </si>
  <si>
    <t>NIPLE PEAD PE 100 - PN 10 - DN 400mm BRIDADO - L= 0,60m</t>
  </si>
  <si>
    <t>NIPLE PEAD PE 100 - PN 10 - DN 400mm BRIDA-ESPIGA - L= 1,60m</t>
  </si>
  <si>
    <t>NIPLE PEAD PE 100 - PN 10 - DN 500mm BRIDADO - L= 0,60m</t>
  </si>
  <si>
    <t>NIPLE PEAD PE 100 - PN 10 - DN 500mm BRIDA-ESPIGA - L= 1,60m</t>
  </si>
  <si>
    <t>NIPLE PEAD PE 100 - PN 10 - DN 600mm BRIDADO - L= 0,60m</t>
  </si>
  <si>
    <t>NIPLE PEAD PE 100 - PN 10 - DN 600mm BRIDA-ESPIGA - L= 1,60m</t>
  </si>
  <si>
    <t>SOMBRERETE HIERRO FUNDIDO DN 200mm</t>
  </si>
  <si>
    <t>TAPA HºDº DN 600mm ARTICULADA CLASE D 400</t>
  </si>
  <si>
    <t>VALVULA A COMPUERTA BRIDADA EURO 20 DN 100</t>
  </si>
  <si>
    <t>VÁLVULA DE AIRE TRIFUNCIÓN HºDº BRIDADA DN 150mm</t>
  </si>
  <si>
    <t>VALVULA ESFERICA BRIDADA DN 100</t>
  </si>
  <si>
    <t>VÁLVULA MARIPOSA BRID. HºDº DN 200mm C/VOL. Y REDUC.</t>
  </si>
  <si>
    <t>VÁLVULA MARIPOSA BRID. HºDº DN 225mm C/VOL. Y REDUC.</t>
  </si>
  <si>
    <t>VÁLVULA MARIPOSA BRID. HºDº DN 250mm C/VOL. Y REDUC.</t>
  </si>
  <si>
    <t>VÁLVULA MARIPOSA BRID. HºDº DN 300mm C/VOL. Y REDUC.</t>
  </si>
  <si>
    <t>VÁLVULA MARIPOSA BRID. HºDº DN 350mm C/VOL. Y REDUC.</t>
  </si>
  <si>
    <t>VÁLVULA MARIPOSA BRID. HºDº DN 400mm C/VOL. Y REDUC.</t>
  </si>
  <si>
    <t>VÁLVULA MARIPOSA BRID. HºDº DN 500mm C/VOL. Y REDUC.</t>
  </si>
  <si>
    <t>VÁLVULA MARIPOSA BRID. HºDº DN 600mm C/VOL. Y REDUC.</t>
  </si>
  <si>
    <t>CAÑO PVC CLOACAL DN 160 mm</t>
  </si>
  <si>
    <t>VÁLVULA REDUCTORA DE PRESIÓN - DN 600mm - BRIDADA</t>
  </si>
  <si>
    <t>VÁLVULA ESCLUSA BRID. HºDº DN 200mm</t>
  </si>
  <si>
    <t>VÁLVULA ESCLUSA BRID. HºDº DN 225mm</t>
  </si>
  <si>
    <t>VÁLVULA ESCLUSA BRID. HºDº DN 250mm</t>
  </si>
  <si>
    <t>VÁLVULA ESCLUSA BRID. HºDº DN 300mm</t>
  </si>
  <si>
    <t>VÁLVULA ESCLUSA BRID. HºDº DN 350mm</t>
  </si>
  <si>
    <t>VÁLVULA ESCLUSA BRID. HºDº DN 400mm</t>
  </si>
  <si>
    <t>VÁLVULA ESCLUSA BRID. HºDº DN 500mm</t>
  </si>
  <si>
    <t>VÁLVULA ESCLUSA BRID. HºDº DN 600mm</t>
  </si>
  <si>
    <t>NIPLE PEAD PE 100 - PN 10 - DN 600mm BRIDA-ESPIGA - L= 0,50m</t>
  </si>
  <si>
    <t>S-PHD</t>
  </si>
  <si>
    <t>SOLDADORA DE TERMOFUSION PT250 Y ACCESORIOS</t>
  </si>
  <si>
    <t>0-LIMFIN</t>
  </si>
  <si>
    <t>Limpieza final de obra</t>
  </si>
  <si>
    <t>X-CUALIM</t>
  </si>
  <si>
    <t>Cuadrilla de Limpieza</t>
  </si>
  <si>
    <t>0-LIMINI</t>
  </si>
  <si>
    <t>Limpieza inicial de obra</t>
  </si>
  <si>
    <t>X-CUAARB</t>
  </si>
  <si>
    <t>Cuadrilla de Podadores</t>
  </si>
  <si>
    <t>PERFORACION HORIZONTAL DIRIGIDA</t>
  </si>
  <si>
    <t>HS DIA TRABAJADAS</t>
  </si>
  <si>
    <t>DIAS MES TRABAJADOS</t>
  </si>
  <si>
    <t>Jefe Tuberias</t>
  </si>
  <si>
    <t>A-J28</t>
  </si>
  <si>
    <t>A-J34</t>
  </si>
  <si>
    <t>A-J35</t>
  </si>
  <si>
    <t>A-J36</t>
  </si>
  <si>
    <t>A-J37</t>
  </si>
  <si>
    <t>A-J38</t>
  </si>
  <si>
    <t>A-J39</t>
  </si>
  <si>
    <t>A-J40</t>
  </si>
  <si>
    <t>A-J41</t>
  </si>
  <si>
    <t>A-J42</t>
  </si>
  <si>
    <t>A-J43</t>
  </si>
  <si>
    <t>A-J44</t>
  </si>
  <si>
    <t>A-J45</t>
  </si>
  <si>
    <t>A-J46</t>
  </si>
  <si>
    <t>A-J47</t>
  </si>
  <si>
    <t>A-J48</t>
  </si>
  <si>
    <t>A-J49</t>
  </si>
  <si>
    <t>A-J50</t>
  </si>
  <si>
    <t>A-J51</t>
  </si>
  <si>
    <t>A-J52</t>
  </si>
  <si>
    <t>A-J53</t>
  </si>
  <si>
    <t>A-J54</t>
  </si>
  <si>
    <t>A-J55</t>
  </si>
  <si>
    <t>A-J56</t>
  </si>
  <si>
    <t>A-J57</t>
  </si>
  <si>
    <t>A-J58</t>
  </si>
  <si>
    <t>A-J59</t>
  </si>
  <si>
    <t>A-J60</t>
  </si>
  <si>
    <t>m2/MES</t>
  </si>
  <si>
    <t>Plazo Efec:</t>
  </si>
  <si>
    <t>PRECIO DE VENTA ITEM</t>
  </si>
  <si>
    <t>PRECIO TOTAL DE LOS TRABAJOS S/IVA</t>
  </si>
  <si>
    <t>PRECIO TOTAL DE LOS TRABAJOS C/IVA</t>
  </si>
  <si>
    <t>M-HORH25</t>
  </si>
  <si>
    <t>S-AUTO</t>
  </si>
  <si>
    <t>AUTOMATISMO Y CONTROL</t>
  </si>
  <si>
    <t>HORMIGON ELABORADO H25 TRANSPORTADO</t>
  </si>
  <si>
    <t>M-CONASF</t>
  </si>
  <si>
    <t>Erogación Acumulada</t>
  </si>
  <si>
    <t>M-TBO082</t>
  </si>
  <si>
    <t>M-TBO083</t>
  </si>
  <si>
    <t>M-TBO084</t>
  </si>
  <si>
    <t>M-TBO085</t>
  </si>
  <si>
    <t>M-TBO086</t>
  </si>
  <si>
    <t>M-TBO087</t>
  </si>
  <si>
    <t>M-TBO088</t>
  </si>
  <si>
    <t>M-TBO089</t>
  </si>
  <si>
    <t>M-TBO090</t>
  </si>
  <si>
    <t>M-TBO091</t>
  </si>
  <si>
    <t>TUBO PEAD - PE100 - PN10 -Ø 700 mm</t>
  </si>
  <si>
    <t>TUBO PEAD - PE100 - PN10 -Ø 2400 mm</t>
  </si>
  <si>
    <t>0-EXCZ</t>
  </si>
  <si>
    <t>Excavación zanja</t>
  </si>
  <si>
    <t>CAÑO PVC 110mm</t>
  </si>
  <si>
    <t>M-LOSA01</t>
  </si>
  <si>
    <t>M-LOSA02</t>
  </si>
  <si>
    <t>M-LOSA03</t>
  </si>
  <si>
    <t>M-LOSA04</t>
  </si>
  <si>
    <t>LOSA HUECA 120-15-620</t>
  </si>
  <si>
    <t>M-LOSA05</t>
  </si>
  <si>
    <t>M-LOSA06</t>
  </si>
  <si>
    <t>M-LOSA07</t>
  </si>
  <si>
    <t>M-LOSA08</t>
  </si>
  <si>
    <t>M-LOSA09</t>
  </si>
  <si>
    <t>M-LOSA10</t>
  </si>
  <si>
    <t>LOSA HUECA 120-15-610</t>
  </si>
  <si>
    <t>LOSA HUECA 120-20-745</t>
  </si>
  <si>
    <t>LOSA HUECA 120-20-720</t>
  </si>
  <si>
    <t>LOSA HUECA 120-20-760</t>
  </si>
  <si>
    <t>LOSA HUECA 120-20-680</t>
  </si>
  <si>
    <t>LOSA HUECA 120-25-785</t>
  </si>
  <si>
    <t>LOSA HUECA 120-25-855</t>
  </si>
  <si>
    <t>LOSA HUECA 120-30-945</t>
  </si>
  <si>
    <t>LOSA HUECA 120-20-750</t>
  </si>
  <si>
    <t>M-LOSA11</t>
  </si>
  <si>
    <t>LOSA HUECA 120-20-675</t>
  </si>
  <si>
    <t>X-TRLOS</t>
  </si>
  <si>
    <t>Transporte de losas prefabricadas</t>
  </si>
  <si>
    <t>X-COLOS</t>
  </si>
  <si>
    <t>Colocación de losas prefabricadas</t>
  </si>
  <si>
    <t>Ayuda de gremio</t>
  </si>
  <si>
    <t>Carga de material con Cargadora</t>
  </si>
  <si>
    <t>X-AYGRE</t>
  </si>
  <si>
    <t>X-EXCCAR</t>
  </si>
  <si>
    <t>VÁLVULA DE AIRE TRIFUNCIÓN HºDº BRIDADA DN 250mm</t>
  </si>
  <si>
    <t>CAÑO PEAD PE 100 - PN 10 - DN 250mm L=6,00m BRIDADO</t>
  </si>
  <si>
    <t>CAÑO PVC K 10 JE DN 250mm</t>
  </si>
  <si>
    <t xml:space="preserve">CODO 90º PEAD BRIDADO DN 250mm </t>
  </si>
  <si>
    <t>DERIVACIÓN 90º PEAD EF-BRIDA DN 2400X250 mm</t>
  </si>
  <si>
    <t>JUNTA AMPLIA TOLERANCIA HºDº DN 250mm</t>
  </si>
  <si>
    <t>M-TBO092</t>
  </si>
  <si>
    <t xml:space="preserve">CODO 90º PVC JE DN 250mm </t>
  </si>
  <si>
    <t>M-TBO093</t>
  </si>
  <si>
    <t>DERIVACIÓN 90º PEAD EF-BRIDA DN 2400X700 mm</t>
  </si>
  <si>
    <t>M-TBO094</t>
  </si>
  <si>
    <t>M-TBO095</t>
  </si>
  <si>
    <t>JUNTA DE DESARME HºDº DN 700mm</t>
  </si>
  <si>
    <t>M-TBO096</t>
  </si>
  <si>
    <t>M-TBO097</t>
  </si>
  <si>
    <t>NIPLE PEAD PE 100 - PN 10 - DN 700mm BRIDA-ESPIGA - L= 1,60m</t>
  </si>
  <si>
    <t>M-TBO098</t>
  </si>
  <si>
    <t>DERIVACIÓN 90º PEAD EF-BRIDA DN 2400X400 mm</t>
  </si>
  <si>
    <t>RASTRA DE 16 DISCOS</t>
  </si>
  <si>
    <t>SELLADOR SILICONADO SIKAFLEX 11 FC PLUS</t>
  </si>
  <si>
    <t>Pintura exterior</t>
  </si>
  <si>
    <t>G</t>
  </si>
  <si>
    <t>H</t>
  </si>
  <si>
    <t>I</t>
  </si>
  <si>
    <t>J</t>
  </si>
  <si>
    <t>K</t>
  </si>
  <si>
    <t>M-ADI001</t>
  </si>
  <si>
    <t>SIKA LATEX</t>
  </si>
  <si>
    <t>Ltr</t>
  </si>
  <si>
    <t>M-ADI002</t>
  </si>
  <si>
    <t>SIKA MONOTOP 615</t>
  </si>
  <si>
    <t>M-ANDAM</t>
  </si>
  <si>
    <t>Mod</t>
  </si>
  <si>
    <t>ANDAMIO TUBULAR 2x3x1,3</t>
  </si>
  <si>
    <t>X-CUASOL</t>
  </si>
  <si>
    <t>Cuadrilla de Soldadores c/equipos</t>
  </si>
  <si>
    <t>E-E172</t>
  </si>
  <si>
    <t>E-E173</t>
  </si>
  <si>
    <t>E-E174</t>
  </si>
  <si>
    <t>E-E175</t>
  </si>
  <si>
    <t>E-E176</t>
  </si>
  <si>
    <t>E-E177</t>
  </si>
  <si>
    <t>E-E178</t>
  </si>
  <si>
    <t>E-E179</t>
  </si>
  <si>
    <t>E-E180</t>
  </si>
  <si>
    <t>A-AD02</t>
  </si>
  <si>
    <t>A-AD04</t>
  </si>
  <si>
    <t>A-AD05</t>
  </si>
  <si>
    <t>A-AD06</t>
  </si>
  <si>
    <t>OPER. EQUIPO</t>
  </si>
  <si>
    <t>A-AM01</t>
  </si>
  <si>
    <t>A-AM03</t>
  </si>
  <si>
    <t>X-EQIZAJ</t>
  </si>
  <si>
    <t>Equipo de Iazaje</t>
  </si>
  <si>
    <t>X-EQTRIZ</t>
  </si>
  <si>
    <t>Equipo de Transporte e Izaje</t>
  </si>
  <si>
    <t>S-MET001</t>
  </si>
  <si>
    <t>REPARACION DE COMPUERTAS</t>
  </si>
  <si>
    <t>S-MET002</t>
  </si>
  <si>
    <t>REPARACION DE PIEZAS FIJAS</t>
  </si>
  <si>
    <t>S-MET003</t>
  </si>
  <si>
    <t>REPARACION SISTEMA DE IZAJE</t>
  </si>
  <si>
    <t>X-CUAELE</t>
  </si>
  <si>
    <t>Cuadrilla de Electricos</t>
  </si>
  <si>
    <t>S-MET004</t>
  </si>
  <si>
    <t>SISTEMATIZACION DE PARTIDOR</t>
  </si>
  <si>
    <t>S-MET005</t>
  </si>
  <si>
    <t>FABRICACION DE COMPUERTAS</t>
  </si>
  <si>
    <t>S-MET006</t>
  </si>
  <si>
    <t>FABRICACION DE REJAS</t>
  </si>
  <si>
    <t>0-ERRARB</t>
  </si>
  <si>
    <t>Erradicacion de Arboles</t>
  </si>
  <si>
    <t>0-ARBOL</t>
  </si>
  <si>
    <t>M-TBO099</t>
  </si>
  <si>
    <t>CAÑO PVC 200mm</t>
  </si>
  <si>
    <t>0-PARQ</t>
  </si>
  <si>
    <t>Paquizacion</t>
  </si>
  <si>
    <t>Cuadrilla de Jardineros</t>
  </si>
  <si>
    <t>X-CUAJAR</t>
  </si>
  <si>
    <t>M-PAR01</t>
  </si>
  <si>
    <t>SEMILLAS DE CESPED</t>
  </si>
  <si>
    <t>M-PAR02</t>
  </si>
  <si>
    <t>M-PAR03</t>
  </si>
  <si>
    <t>M-PAR04</t>
  </si>
  <si>
    <t>M-PAR05</t>
  </si>
  <si>
    <t>M-PAR06</t>
  </si>
  <si>
    <t>M-PAR07</t>
  </si>
  <si>
    <t>M-PAR08</t>
  </si>
  <si>
    <t>CORTADERAS SELLOANA</t>
  </si>
  <si>
    <t>PENNISETUM</t>
  </si>
  <si>
    <t>STIPA TENUSSIMA</t>
  </si>
  <si>
    <t>PASPALUM EXALTATUM</t>
  </si>
  <si>
    <t>CACTACEAS</t>
  </si>
  <si>
    <t>CRASULASEAS</t>
  </si>
  <si>
    <t>0-RIASP</t>
  </si>
  <si>
    <t>Riego por Aspersion</t>
  </si>
  <si>
    <t>M-PAR09</t>
  </si>
  <si>
    <t>M-PAR10</t>
  </si>
  <si>
    <t>M-PAR11</t>
  </si>
  <si>
    <t>M-PAR12</t>
  </si>
  <si>
    <t>M-PAR13</t>
  </si>
  <si>
    <t>M-PAR14</t>
  </si>
  <si>
    <t>M-PAR15</t>
  </si>
  <si>
    <t>CAÑO 1/2" K6</t>
  </si>
  <si>
    <t>CAÑO PVC CLASE 10 75mm</t>
  </si>
  <si>
    <t>BOMBA CENTRIFUGA P/RIEGO</t>
  </si>
  <si>
    <t>RESERVORIO 10.000 LTS</t>
  </si>
  <si>
    <t>ASPERSOR RADIO 15m</t>
  </si>
  <si>
    <t>ELECTROVALVULA 2"</t>
  </si>
  <si>
    <t>ACCESORIOS PARA RIEGO</t>
  </si>
  <si>
    <t>X-EQJAR</t>
  </si>
  <si>
    <t>Equipos para Jardinería</t>
  </si>
  <si>
    <t>CONTROLADOR</t>
  </si>
  <si>
    <t>M-MOUR01</t>
  </si>
  <si>
    <t>M-MOUR02</t>
  </si>
  <si>
    <t>M-MOUR03</t>
  </si>
  <si>
    <t>M-MOUR04</t>
  </si>
  <si>
    <t>M-MOUR05</t>
  </si>
  <si>
    <t>M-MOUR06</t>
  </si>
  <si>
    <t>M-MOUR07</t>
  </si>
  <si>
    <t>M-MOUR08</t>
  </si>
  <si>
    <t>M-MOUR09</t>
  </si>
  <si>
    <t>M-MOUR10</t>
  </si>
  <si>
    <t>M-MOUR11</t>
  </si>
  <si>
    <t>M-MOUR12</t>
  </si>
  <si>
    <t>M-MOUR13</t>
  </si>
  <si>
    <t>M-MOUR14</t>
  </si>
  <si>
    <t>M-MOUR15</t>
  </si>
  <si>
    <t>M-MOUR16</t>
  </si>
  <si>
    <t>BANCO SILLON BKF DURBAN</t>
  </si>
  <si>
    <t>CONJUNTO MESA Y BANCOS TIMBAL LISO DURBAN</t>
  </si>
  <si>
    <t>CONJUNTO MESA Y BANCOS TIMBAL AJEDRES DURBAN</t>
  </si>
  <si>
    <t>BANCO SENTRO DURBAN</t>
  </si>
  <si>
    <t>CESTO GROOMY DURBAN</t>
  </si>
  <si>
    <t>BEBEDERO RECTANGULAR DURBAN</t>
  </si>
  <si>
    <t>MOSAICO HEXAGONAL BARÁ</t>
  </si>
  <si>
    <t>Dosificacion de Mortero</t>
  </si>
  <si>
    <t>X-DOSMOR</t>
  </si>
  <si>
    <t>PASTINA COLOR</t>
  </si>
  <si>
    <t>LOSETAS HÁPTICAS DURBAN</t>
  </si>
  <si>
    <t>M-M277PIS</t>
  </si>
  <si>
    <t>M-M224AR1</t>
  </si>
  <si>
    <t>M-M224AR2</t>
  </si>
  <si>
    <t>M-M224AR3</t>
  </si>
  <si>
    <t>M-M224AR4</t>
  </si>
  <si>
    <t>M-M224AR5</t>
  </si>
  <si>
    <t>M-M224AR6</t>
  </si>
  <si>
    <t>M-M224AR7</t>
  </si>
  <si>
    <t>M-M224AR8</t>
  </si>
  <si>
    <t>M-M224AR9</t>
  </si>
  <si>
    <t>GREVILLEA ROBUSTA</t>
  </si>
  <si>
    <t>CINA CINA</t>
  </si>
  <si>
    <t>BREA</t>
  </si>
  <si>
    <t>FRESNO AMERICANO</t>
  </si>
  <si>
    <t>FRESNO DORADO</t>
  </si>
  <si>
    <t>JACARANDÁ</t>
  </si>
  <si>
    <t>ACACIA</t>
  </si>
  <si>
    <t>JUDEA</t>
  </si>
  <si>
    <t>ARBOL DEL CIELO</t>
  </si>
  <si>
    <t>JUEGOS MODULARES SM-112 DURBAN</t>
  </si>
  <si>
    <t>JUEGOS MODULARES SM-18 DURBAN</t>
  </si>
  <si>
    <t>JUEGOS MODULARES SM-43 DURBAN</t>
  </si>
  <si>
    <t>M-MOUR17</t>
  </si>
  <si>
    <t>M-MOUR18</t>
  </si>
  <si>
    <t>M-MOUR19</t>
  </si>
  <si>
    <t>M-MOUR20</t>
  </si>
  <si>
    <t>PASAMANOS DE DESAFIO CA-0004 DURBAN</t>
  </si>
  <si>
    <t>FLEXIÓN PIERNAS CF-4009 DURBAN</t>
  </si>
  <si>
    <t>MAQUINA BOGADOR CF-4010 DURBAN</t>
  </si>
  <si>
    <t>MAQUINA ELIPTICA CF-4001 DURBAN</t>
  </si>
  <si>
    <t>MAQUINA CAMINADOR AEREO CF 4005-DURBAN</t>
  </si>
  <si>
    <t>MAQUINA BRAZOS Y HOMBROS CF-4017 INCLUSIVO DURBAN</t>
  </si>
  <si>
    <t>CONCRETO ASFALTICO ELABORADO</t>
  </si>
  <si>
    <t>EMULSION BITUMINOSA EBCR (LIGA)</t>
  </si>
  <si>
    <t>EMULSION DE IMPRIMACION (EAI)</t>
  </si>
  <si>
    <t>MOSAICO GRANITICO</t>
  </si>
  <si>
    <t>BOLARDO BALA FUNDICION DE HIERRO</t>
  </si>
  <si>
    <t>Señalizacion Horizontal Extrusión 6mm</t>
  </si>
  <si>
    <t>S-S135SUP</t>
  </si>
  <si>
    <t>S-MET007</t>
  </si>
  <si>
    <t>FABRICACION DE APEADERO</t>
  </si>
  <si>
    <t>S-MET008</t>
  </si>
  <si>
    <t>FABRICACION DE BARANDA PEATONAL</t>
  </si>
  <si>
    <t>M-LOSA12</t>
  </si>
  <si>
    <t>LOSA HUECA 120-30-750</t>
  </si>
  <si>
    <t>M-LUUR01</t>
  </si>
  <si>
    <t>M-LUUR02</t>
  </si>
  <si>
    <t>M-LUUR03</t>
  </si>
  <si>
    <t>M-LUUR04</t>
  </si>
  <si>
    <t>M-LUUR05</t>
  </si>
  <si>
    <t>M-LUUR06</t>
  </si>
  <si>
    <t>M-LUUR07</t>
  </si>
  <si>
    <t>M-LUUR08</t>
  </si>
  <si>
    <t>LUMINARIA ATLANTIS LED C/COLUMNA</t>
  </si>
  <si>
    <t>LUMINARIA VELA</t>
  </si>
  <si>
    <t>LUMINARIA ZENIT</t>
  </si>
  <si>
    <t>COLUMNA DE ALUMBRADO PUBLICO</t>
  </si>
  <si>
    <t>CABLE PROTO 2x6</t>
  </si>
  <si>
    <t>TABLERO GENERAL</t>
  </si>
  <si>
    <t>HERRAMIENTAS ELECTRICAS VARIAS</t>
  </si>
  <si>
    <t>MALLA ADVERTENCIA</t>
  </si>
  <si>
    <t>MEMBRANA DE POLIETILENO 1 mm</t>
  </si>
  <si>
    <t>SOLDADORA MEMBRANA DE PVC</t>
  </si>
  <si>
    <t>0-DEMOLM</t>
  </si>
  <si>
    <t>Demoliciones menores</t>
  </si>
  <si>
    <t>M-ARQ01</t>
  </si>
  <si>
    <t>M-ARQ02</t>
  </si>
  <si>
    <t>0-IMPTECH</t>
  </si>
  <si>
    <t>Impermeabilizacion de Techos</t>
  </si>
  <si>
    <t>0-REVFIN</t>
  </si>
  <si>
    <t>Revoque de paredes</t>
  </si>
  <si>
    <t>PUERTA METALICA EXTERIOR</t>
  </si>
  <si>
    <t>0-COLPU</t>
  </si>
  <si>
    <t>Colocacion de puertas</t>
  </si>
  <si>
    <t>0-COLVE</t>
  </si>
  <si>
    <t>M-ARQ03</t>
  </si>
  <si>
    <t>VENTANA METALICA EXTERIOR 1,5x1,5</t>
  </si>
  <si>
    <t>0-PISINT</t>
  </si>
  <si>
    <t>Pisos interiores</t>
  </si>
  <si>
    <t>PINTURA EPOXI PARA PISO</t>
  </si>
  <si>
    <t>PINTURA LATEX EXTERIOR</t>
  </si>
  <si>
    <t>PINTURA LATEX INTERIOR</t>
  </si>
  <si>
    <t>0-PINEXT</t>
  </si>
  <si>
    <t>M-M276a</t>
  </si>
  <si>
    <t>M-M276b</t>
  </si>
  <si>
    <t>M-M276c</t>
  </si>
  <si>
    <t>PINTURA SELLADOR FIJADOR</t>
  </si>
  <si>
    <t>0-PININT</t>
  </si>
  <si>
    <t>Pintura interior</t>
  </si>
  <si>
    <t>Colocacion de ventanas vidrios</t>
  </si>
  <si>
    <t>M-ARQ04</t>
  </si>
  <si>
    <t>VIDRIO DE 4mm</t>
  </si>
  <si>
    <t>M-ARQ05</t>
  </si>
  <si>
    <t>TEJAS</t>
  </si>
  <si>
    <t>0-DEMOM</t>
  </si>
  <si>
    <t>Demolición de hgón manual</t>
  </si>
  <si>
    <t>M-TBO100</t>
  </si>
  <si>
    <t>CUPLA ELECTROFISION 2400mm</t>
  </si>
  <si>
    <t>M-TBO101</t>
  </si>
  <si>
    <t>M-TBO102</t>
  </si>
  <si>
    <t>CUPLA ELECTROFISION 400mm</t>
  </si>
  <si>
    <t>CUPLA ELECTROFISION 700mm</t>
  </si>
  <si>
    <t>X-ENC4</t>
  </si>
  <si>
    <t>Encofrado para cordón</t>
  </si>
  <si>
    <t>0-HORCÑ</t>
  </si>
  <si>
    <t>Hormigón para cañero electrico</t>
  </si>
  <si>
    <t>0-CEEL01</t>
  </si>
  <si>
    <t>MO</t>
  </si>
  <si>
    <t>EQ</t>
  </si>
  <si>
    <t>MATERIALES DIRECTOS</t>
  </si>
  <si>
    <t>SUBCONTRATOS DIRECTOS</t>
  </si>
  <si>
    <t>MATERIALES INDIRECTOS</t>
  </si>
  <si>
    <t>SUBCONTRATOS INDIRECTOS</t>
  </si>
  <si>
    <t>TRANSPORTE DIRECTO</t>
  </si>
  <si>
    <t>TRANSPORTE INDIRECTO</t>
  </si>
  <si>
    <t>Mano de Obra Indirecta</t>
  </si>
  <si>
    <t>X-TSUB01</t>
  </si>
  <si>
    <t>Preparacion plaza de tendido</t>
  </si>
  <si>
    <t>X-TSUB02</t>
  </si>
  <si>
    <t>Instalación rodillos, guias, accesorios p/ Tendido Cable 33 kV</t>
  </si>
  <si>
    <t>X-TSUB03</t>
  </si>
  <si>
    <t>Lanzamineto Cable XLPE 33 kV. (3 Fases)</t>
  </si>
  <si>
    <t>M-LUUR09</t>
  </si>
  <si>
    <t>X.TSUB04</t>
  </si>
  <si>
    <t>Colocacion de Terminales</t>
  </si>
  <si>
    <t>M-LUUR10</t>
  </si>
  <si>
    <t>TERMINAL P/1 PUNTA 70mm2</t>
  </si>
  <si>
    <t>CABLE SUB 33KV AL 1x70 CII XLPE</t>
  </si>
  <si>
    <t>Colocacion de Empalmes</t>
  </si>
  <si>
    <t>X.TSUB05</t>
  </si>
  <si>
    <t>Replanteo</t>
  </si>
  <si>
    <t>dia</t>
  </si>
  <si>
    <t>Limpieza diaria y final de la obra.</t>
  </si>
  <si>
    <t>Carpeta de cemento</t>
  </si>
  <si>
    <t>Canaletas, embudos, caños de desagüe, desbordes, babetas</t>
  </si>
  <si>
    <t>Reja metalica</t>
  </si>
  <si>
    <t>Porta Asta y mástil</t>
  </si>
  <si>
    <t>Guardacantos de hierro o aluminio</t>
  </si>
  <si>
    <t>Colocación de puerta bunker</t>
  </si>
  <si>
    <t>Pasamanos/Baranda escalera H°N°</t>
  </si>
  <si>
    <t>Prov. y colocacion cierrapuerta de piso Superfren STANDARD TIPO "C"</t>
  </si>
  <si>
    <t>P7 - Porton de acceso doble de chapa</t>
  </si>
  <si>
    <t>P6 -Puerta reja DE ACCESO</t>
  </si>
  <si>
    <t>P3 - Puerta metálica con vidrio fijo superior</t>
  </si>
  <si>
    <t>Sistema Frente integral - A30 New - ANODIZADO NATURAL</t>
  </si>
  <si>
    <t>V5 - fijo</t>
  </si>
  <si>
    <t>V5 - proyectante</t>
  </si>
  <si>
    <t>V6</t>
  </si>
  <si>
    <t>V7</t>
  </si>
  <si>
    <t>V8</t>
  </si>
  <si>
    <t>V10</t>
  </si>
  <si>
    <t>V11 - fijo</t>
  </si>
  <si>
    <t>V11 - proyectante</t>
  </si>
  <si>
    <t>Tabique divisorio de Ofinas</t>
  </si>
  <si>
    <t>Mueble bajomesada y alacena</t>
  </si>
  <si>
    <t>Espejos float - electroespejos</t>
  </si>
  <si>
    <t>Limpieza de obra</t>
  </si>
  <si>
    <t>Equipo controlador de puerta</t>
  </si>
  <si>
    <t>Expendedor de turnos</t>
  </si>
  <si>
    <t>Display de turno simplefaz</t>
  </si>
  <si>
    <t>Traslado ATM´s</t>
  </si>
  <si>
    <t>Traslado Tesoros</t>
  </si>
  <si>
    <t>Traslado de Buzones de Atesoramiento BAT</t>
  </si>
  <si>
    <t>Tabiques divisorios de box sanitarios - incluye herrajes - Puertas</t>
  </si>
  <si>
    <t>Banca Electronica- Frente de cajero automatico (Incluye reja metal
desplegado)</t>
  </si>
  <si>
    <t>Banca Electronica- Barreras divisorias</t>
  </si>
  <si>
    <t>Banca Electronica- Cesto papelero rebatible</t>
  </si>
  <si>
    <t>Banca Electronica- Rejas de Metal desplegado</t>
  </si>
  <si>
    <t>Vinilo autoadhesivo esmerilado con logo</t>
  </si>
  <si>
    <t>Vinilo a rajas en Tabique divisorio de oficinas</t>
  </si>
  <si>
    <t>Replanteos, cateos, ingeniería de detalle de montajes, coordinación de obra, planos de cañerías de todo el sistema de refrigeracion; de circuitos de consensado,  eléctricos y controles. Plan de trabajos.</t>
  </si>
  <si>
    <t>Ayuda de Gremios.- Base para nuevos Equipos.- Transportes y movimientos de equipos, máquina y materiales (gruas, etc) - Andamios - Albañilería, paredes, pisos, bases….etc. - Yesería, cielorrasos  -  Pinturas.   Limpiezas  - Protección de áreas de trabajo para evitar la dispersión de polvos, protección de pisos.- Otros</t>
  </si>
  <si>
    <t>(SISTEMA 01) Provisión e instalación de un equipo tipo ROOF TOP condensado por aire, capacidad nominal de 12 TR térmicos, Heat Pump, de última generación, con refrigerante ecológico R410A. Incluidos termostatos.-</t>
  </si>
  <si>
    <t>(SISTEMA 02) Provisión e instalación de un equipo tipo ROOF TOP condensado por aire, capacidad nominal de 05 TR térmicos, Heat Pump, de última generación, con refrigerante ecológico R410A. Incluidos termostatos.-</t>
  </si>
  <si>
    <t>(SISTEMA 03) Provisión e instalación de un  Equipo Split Mural F/C de 3,000
frig/h. con todas sus conexiones complementarias. (sistema bomba de calor). TIPO INVERTER.</t>
  </si>
  <si>
    <t>(SISTEMA 04) Provisión e instalación de un  Equipo Split Mural F/S de 3,000
frig/h. con todas sus conexiones complementarias. (sistema kit baja
temperatura exterior). TIPO INVERTER.</t>
  </si>
  <si>
    <t>(SISTEMA 05) Provisión e instalación de un  Equipo Split Mural F/C de 2,250
frig/h. con todas sus conexiones complementarias. (sistema bomba de calor). TIPO INVERTER.</t>
  </si>
  <si>
    <t>(SISTEMA 06) Provisión e instalación de un  Equipo Split Mural F/C de 3,000
frig/h. con todas sus conexiones complementarias. (sistema bomba de calor). TIPO INVERTER.</t>
  </si>
  <si>
    <t>(SISTEMA 07) Provisión e instalación de un  Equipo Split Mural F/S de 4,500
frig/h. con todas sus conexiones complementarias. (sistema kit baja
temperatura exterior). TIPO INVERTER.</t>
  </si>
  <si>
    <t>(SISTEMA 10) Provisión, instalación y puesta en marcha de un Ventilador
mural de extracción.</t>
  </si>
  <si>
    <t>Provisión de todos los termostatos alambricos e inalambricos del sistema.
Canalización y cableado.-</t>
  </si>
  <si>
    <t>Provisión y montaje de Conductos incluida la aislación y el jacketing
(Especifiar Kg)</t>
  </si>
  <si>
    <t>Provisión y montaje de Rejas, Difusores, Pases de Interconexión, PR y TAE</t>
  </si>
  <si>
    <t>Instalación eléctrica y automatización. Nuevo tablero en sala de máquinas.
Canalización y cableado.</t>
  </si>
  <si>
    <t>Cañerías de Refrigerante. (especificar cantidad de ml)</t>
  </si>
  <si>
    <t>Cañerías de Agua de Condensado.  (especificar cantidad de ml)</t>
  </si>
  <si>
    <t>Puesta en Marcha y regulacion.</t>
  </si>
  <si>
    <t>Servicio de mantenimiento</t>
  </si>
  <si>
    <t>Planos y trámites</t>
  </si>
  <si>
    <t>Inspeccion y pruebas</t>
  </si>
  <si>
    <t>Cámaras, receptaculos, tanques de reserva, pozos absorbentes, etc</t>
  </si>
  <si>
    <t>Cañerías y piezas de bronce- Colector tanque de reserva</t>
  </si>
  <si>
    <t>Cañerías y piezas de bronce- Alimentación tanque</t>
  </si>
  <si>
    <t>Cañerías de plástico- Unidas por termofusión - agua fria y caliente</t>
  </si>
  <si>
    <t>Inodoros Largo con mochila Línea Bari de Ferrum</t>
  </si>
  <si>
    <t>Bidets Línea Bari de Ferrum de 1 agujero</t>
  </si>
  <si>
    <t>Mingitorios Oval de Ferrum</t>
  </si>
  <si>
    <t>Pileta bacha Simple de acero inoxidable Modelo ZN 52 (sobre mesada)</t>
  </si>
  <si>
    <t>Tapa de inodoro</t>
  </si>
  <si>
    <t>Deposito para jabón líquido</t>
  </si>
  <si>
    <t>Percheros</t>
  </si>
  <si>
    <t>Portarrollos</t>
  </si>
  <si>
    <t>Deposito para toalla de papel</t>
  </si>
  <si>
    <t>Válvula automática Pressmatic para mingitorios</t>
  </si>
  <si>
    <t>Grifería Monocomando FV Arizona (mesadas Sanitarios Personal)</t>
  </si>
  <si>
    <t>Grifería monocomando FV Arizona (bidets Sanitarios Personal)</t>
  </si>
  <si>
    <t>Grifería monocomando pico largo FV Arizona (mesada Office)</t>
  </si>
  <si>
    <t>Provisión e instalación Tanque de polietileno tricapa 500 lts.</t>
  </si>
  <si>
    <t>Provisión e instalación Tanque de polietileno tricapa 1000 lts.</t>
  </si>
  <si>
    <t>Provisión e instalación cuadro de bombas, valvulas y flotantes.</t>
  </si>
  <si>
    <t>SOLICITUD ENERGIA ELECTRICA</t>
  </si>
  <si>
    <t>nro</t>
  </si>
  <si>
    <t>TABLEROS ELECTRICOS</t>
  </si>
  <si>
    <t>Tablero Electrico General (TG)</t>
  </si>
  <si>
    <t>Tablero Electrico Principal (TP)</t>
  </si>
  <si>
    <t>Tablero Electrico Seccional Planta Baja (TSCC)</t>
  </si>
  <si>
    <t>Tablero Electrico Sistemas A (TA)</t>
  </si>
  <si>
    <t>Tablero Electrico Sistemas B (TB)</t>
  </si>
  <si>
    <t>Tablero Electrico del Bunker (TBK)</t>
  </si>
  <si>
    <t>Tablero Electrico Banca Electrónica (TC)</t>
  </si>
  <si>
    <t>Tablero Electrico Banca Electronica UPS (TC-UPS)</t>
  </si>
  <si>
    <t>Tablero TAS (TD)</t>
  </si>
  <si>
    <t>Tablero Electrico Iluminación de la Banca Electrónica (TIBE)</t>
  </si>
  <si>
    <t>Tablero Electrico Bombas de Agua (TB°A°)</t>
  </si>
  <si>
    <t>BOMBAS DE AGUA</t>
  </si>
  <si>
    <t>CANALIZACIONES Y CABLEADO</t>
  </si>
  <si>
    <t>PISODUCTOS Y PERISCOPIOS</t>
  </si>
  <si>
    <t>Bandeja  metálica con tapa de tres canales, subdividida.</t>
  </si>
  <si>
    <t>Periscopios de 6 bocas completo (pared)</t>
  </si>
  <si>
    <t>Periscopios de 8 bocas completos (pared)</t>
  </si>
  <si>
    <t>Periscopio de 2 bocas completo (pared)</t>
  </si>
  <si>
    <t>Cableado 220V p/la red de voz y Datos.</t>
  </si>
  <si>
    <t>ILUMINACION</t>
  </si>
  <si>
    <t>MODELO 1</t>
  </si>
  <si>
    <t>MODELO 2</t>
  </si>
  <si>
    <t>MODELO 3</t>
  </si>
  <si>
    <t>MODELO 4</t>
  </si>
  <si>
    <t>MODELO 5</t>
  </si>
  <si>
    <t>MODELO 6</t>
  </si>
  <si>
    <t>MODELO 7</t>
  </si>
  <si>
    <t>MODELO 8</t>
  </si>
  <si>
    <t>MODELO 9</t>
  </si>
  <si>
    <t>MODELO A   Sist luz Emergencia ATOMLUX  1610 o similar</t>
  </si>
  <si>
    <t>MODELO B</t>
  </si>
  <si>
    <t>MODELO C   CARTEL  SALIDA</t>
  </si>
  <si>
    <t>PUESTA A TIERRA</t>
  </si>
  <si>
    <t>INGENIERIA</t>
  </si>
  <si>
    <t>1 repartidor</t>
  </si>
  <si>
    <t>1 caja CTA</t>
  </si>
  <si>
    <t>1 liston siemon de 25 pares.</t>
  </si>
  <si>
    <t>Cable de 20 pares tipo pal</t>
  </si>
  <si>
    <t>Mano de obra</t>
  </si>
  <si>
    <t>Cableado para telefonía y vinculación con la red de cableado estructurado</t>
  </si>
  <si>
    <t>liston siemon de 50 pares.</t>
  </si>
  <si>
    <t>Cable de 26 pares (20 mts.)</t>
  </si>
  <si>
    <t>patchera 24 bocas cat. 6</t>
  </si>
  <si>
    <t>Puesto de servicio para los sistemas de voz y datos</t>
  </si>
  <si>
    <t>Cableado utp cat. 6</t>
  </si>
  <si>
    <t>patcheras 24 bocas cat. 6.</t>
  </si>
  <si>
    <t>Pachcord 2,40 mts. C6</t>
  </si>
  <si>
    <t>Pachcord 1,20 mts. C6</t>
  </si>
  <si>
    <t>Identificacion de PDT.</t>
  </si>
  <si>
    <t>Certificación red de voz y datos.</t>
  </si>
  <si>
    <t>X-TSUB04</t>
  </si>
  <si>
    <t>X-TSUB05</t>
  </si>
  <si>
    <t>0-LIMTER</t>
  </si>
  <si>
    <t>Limpieza de terreno</t>
  </si>
  <si>
    <t>0-OBR</t>
  </si>
  <si>
    <t>Obrador</t>
  </si>
  <si>
    <t>0-SANIT</t>
  </si>
  <si>
    <t>Sanitarios</t>
  </si>
  <si>
    <t>BAÑO QUIMICO</t>
  </si>
  <si>
    <t>S-BAÑQU1</t>
  </si>
  <si>
    <t>S-BAÑQU2</t>
  </si>
  <si>
    <t>BAÑO QUIMICO LIMPIEZA</t>
  </si>
  <si>
    <t>0-AGUC</t>
  </si>
  <si>
    <t>Agua para Construccion</t>
  </si>
  <si>
    <t>S-AGUPO</t>
  </si>
  <si>
    <t>AGUA POTABLE PARA CONSTRUCCION</t>
  </si>
  <si>
    <t>0-REPL</t>
  </si>
  <si>
    <t>0-RELL</t>
  </si>
  <si>
    <t>0-AND</t>
  </si>
  <si>
    <t>Andamios</t>
  </si>
  <si>
    <t>Relleno Manual</t>
  </si>
  <si>
    <t>0-NIV</t>
  </si>
  <si>
    <t>Nivelacion de Terreno</t>
  </si>
  <si>
    <t>0-PRYEJ</t>
  </si>
  <si>
    <t>0-ESTSU</t>
  </si>
  <si>
    <t>Estudio de Suelos</t>
  </si>
  <si>
    <t>0-HORLIM</t>
  </si>
  <si>
    <t>Hormigón de Limpieza</t>
  </si>
  <si>
    <t>M-HORH21</t>
  </si>
  <si>
    <t>HORMIGON ELABORADO H21 TRANSPORTADO</t>
  </si>
  <si>
    <t>0-HORBAS</t>
  </si>
  <si>
    <t>0-HORVAR</t>
  </si>
  <si>
    <t>Hormigón Armado para Vigas de Arriostramiento</t>
  </si>
  <si>
    <t>X-ENC5</t>
  </si>
  <si>
    <t>Encofrado vigas en piso</t>
  </si>
  <si>
    <t>0-HORCOL</t>
  </si>
  <si>
    <t>0-HORVIG</t>
  </si>
  <si>
    <t>0-HORLOS</t>
  </si>
  <si>
    <t>Hormigón Armado para Columnas</t>
  </si>
  <si>
    <t>Hormigón Armado para Vigas</t>
  </si>
  <si>
    <t>BOMBA Hº S/CAMION C/PLUMA 90 m3/h</t>
  </si>
  <si>
    <t>Hormigón Losas de Techo</t>
  </si>
  <si>
    <t>0-MULAD1</t>
  </si>
  <si>
    <t>0-MULAD2</t>
  </si>
  <si>
    <t>Muros de ladrillon 20cm</t>
  </si>
  <si>
    <t>M-ARQ06</t>
  </si>
  <si>
    <t>LADRILLON</t>
  </si>
  <si>
    <t>mil</t>
  </si>
  <si>
    <t>Muros de ladrillon 10cm</t>
  </si>
  <si>
    <t>0-DURLOK</t>
  </si>
  <si>
    <t>Tabiques de Durlok</t>
  </si>
  <si>
    <t>M-ARQ07</t>
  </si>
  <si>
    <t>M-ARQ08</t>
  </si>
  <si>
    <t>M-ARQ09</t>
  </si>
  <si>
    <t>M-ARQ10</t>
  </si>
  <si>
    <t>M-ARQ11</t>
  </si>
  <si>
    <t>PLACA DE YESO 12,5mm x 1,2m x 2,4m</t>
  </si>
  <si>
    <t>CINTA DURLOCK</t>
  </si>
  <si>
    <t>0-MULAD3</t>
  </si>
  <si>
    <t>Muros de ladrillon 30cm</t>
  </si>
  <si>
    <t>0-DINTEL</t>
  </si>
  <si>
    <t>Dintel de 0,20m x 015m</t>
  </si>
  <si>
    <t>LANA DE VIDRIO ISOVER  2"</t>
  </si>
  <si>
    <t>0-CAPAIS1</t>
  </si>
  <si>
    <t>0-CAPAIS2</t>
  </si>
  <si>
    <t>0-CAPAIS3</t>
  </si>
  <si>
    <t>Capa aisladora horizontal</t>
  </si>
  <si>
    <t>Mortero para ladrillos</t>
  </si>
  <si>
    <t>X-MOR01</t>
  </si>
  <si>
    <t>X-MOR02</t>
  </si>
  <si>
    <t>Mortero hidrofugo</t>
  </si>
  <si>
    <t>ACELERANTE DE FRAGUE</t>
  </si>
  <si>
    <t>M-ARQ12</t>
  </si>
  <si>
    <t>HIDROFUGO SIKA-1</t>
  </si>
  <si>
    <t>Capa aisladora horizontal en contrapiso</t>
  </si>
  <si>
    <t>X-MOR03</t>
  </si>
  <si>
    <t>Contrapiso Hidrofugo</t>
  </si>
  <si>
    <t>Capa aisladora vertical</t>
  </si>
  <si>
    <t>X-MOR04</t>
  </si>
  <si>
    <t>Contrapiso</t>
  </si>
  <si>
    <t>0-CONT1</t>
  </si>
  <si>
    <t>0-CONT2</t>
  </si>
  <si>
    <t>0-CONT3</t>
  </si>
  <si>
    <t>Contrapiso e=0.15m</t>
  </si>
  <si>
    <t xml:space="preserve">Contrapiso e=0.15m armado </t>
  </si>
  <si>
    <t>Contrapiso e=0.20m</t>
  </si>
  <si>
    <t>0-CARP</t>
  </si>
  <si>
    <t>0-REVINT</t>
  </si>
  <si>
    <t>Revoque interior</t>
  </si>
  <si>
    <t>M-ARQ13</t>
  </si>
  <si>
    <t>GUARDACANTO DE ALUMINIO  DE 15mm</t>
  </si>
  <si>
    <t>Revoque exterior</t>
  </si>
  <si>
    <t>0-REVEXT</t>
  </si>
  <si>
    <t>0-REVREV</t>
  </si>
  <si>
    <t>Revoque bajo revestimiento</t>
  </si>
  <si>
    <t>0-CIELO01</t>
  </si>
  <si>
    <t>Cieloraso de yeso aplicado</t>
  </si>
  <si>
    <t>M-M93CEC</t>
  </si>
  <si>
    <t>YESO BLANCO (BOLSA  40Kg)</t>
  </si>
  <si>
    <t>CEMENTO PORTLAND (BOLSA 50Kg)</t>
  </si>
  <si>
    <t>CAL HIDRATADA (BOLSA 20Kg)</t>
  </si>
  <si>
    <t>X-MOR05</t>
  </si>
  <si>
    <t>Mortero de yeso</t>
  </si>
  <si>
    <t>0-CIELO02</t>
  </si>
  <si>
    <t>0-CIELO03</t>
  </si>
  <si>
    <t>0-CIELO04</t>
  </si>
  <si>
    <t>Cielorraso de placas de roca de yeso</t>
  </si>
  <si>
    <t>M-ARQ14</t>
  </si>
  <si>
    <t>MASILLA DURLOCK</t>
  </si>
  <si>
    <t>M-ARQ15</t>
  </si>
  <si>
    <t>Cielorraso de placas cementicias</t>
  </si>
  <si>
    <t>M-ARQ16</t>
  </si>
  <si>
    <t>PLACA CEMENTICIA 8mm 1,2m x 2,4m</t>
  </si>
  <si>
    <t>PLACA DE YESO 9mm x 1,2 m x 2,4m</t>
  </si>
  <si>
    <t>M-ARQ17</t>
  </si>
  <si>
    <t>CINTA TRAMADA SUPERBOARD</t>
  </si>
  <si>
    <t>Cielorraso de placas desmontables</t>
  </si>
  <si>
    <t>M-ARQ18</t>
  </si>
  <si>
    <t>M-ARQ19</t>
  </si>
  <si>
    <t>M-ARQ20</t>
  </si>
  <si>
    <t>LARGUEROS PARA SUJESION DE PLACAS DESMONTABLES</t>
  </si>
  <si>
    <t>PERIMETRALES PARA SUJESION DE PLACAS DESMONTABLES</t>
  </si>
  <si>
    <t>M-ARQ21</t>
  </si>
  <si>
    <t>BALDOSA GRANITICA 40x40 BLANGINO</t>
  </si>
  <si>
    <t>0-CORDON</t>
  </si>
  <si>
    <t>Cordon Integral</t>
  </si>
  <si>
    <t>0-PISPOR</t>
  </si>
  <si>
    <t>Piso de porcelanato 60x60</t>
  </si>
  <si>
    <t>M-ARQ22</t>
  </si>
  <si>
    <t>M-ARQ23</t>
  </si>
  <si>
    <t>M-ARQ24</t>
  </si>
  <si>
    <t>M-ARQ25</t>
  </si>
  <si>
    <t>M-ARQ26</t>
  </si>
  <si>
    <t>M-ARQ27</t>
  </si>
  <si>
    <t>M-ARQ28</t>
  </si>
  <si>
    <t>M-ARQ29</t>
  </si>
  <si>
    <t>M-ARQ30</t>
  </si>
  <si>
    <t>PORCELANATO 60x60</t>
  </si>
  <si>
    <t>PEGAMENTO P/PISO PORCELANATO (BOLSA 30Kg)</t>
  </si>
  <si>
    <t>0-PISTEC</t>
  </si>
  <si>
    <t>Piso Tecnico</t>
  </si>
  <si>
    <t>S-PISTEC</t>
  </si>
  <si>
    <t>PISO TECNICO</t>
  </si>
  <si>
    <t>0-REVPOR</t>
  </si>
  <si>
    <t>Revestimiento de Porcelanato</t>
  </si>
  <si>
    <t>CERAMICA 30x60</t>
  </si>
  <si>
    <t>LISTEL DE ACERO INOXIDABLE</t>
  </si>
  <si>
    <t>0-REVTER</t>
  </si>
  <si>
    <t>Terminacion de Revestimiento</t>
  </si>
  <si>
    <t>0-REVTEX</t>
  </si>
  <si>
    <t>Revestimiento Texturable</t>
  </si>
  <si>
    <t>RESTIMIENTO TEXTURABLE</t>
  </si>
  <si>
    <t>0-REVPIE</t>
  </si>
  <si>
    <t>Revestimiento en Piedra</t>
  </si>
  <si>
    <t>REVESTIMIENTO DE PIEDRA</t>
  </si>
  <si>
    <t>0-PISUMB</t>
  </si>
  <si>
    <t>Umbral granitico</t>
  </si>
  <si>
    <t>UMBRAL DE GRANITO 20cm</t>
  </si>
  <si>
    <t>0-MESAD</t>
  </si>
  <si>
    <t>Mesada de granito colocada</t>
  </si>
  <si>
    <t>MESADA DE GRANITO</t>
  </si>
  <si>
    <t>M-ARQ31</t>
  </si>
  <si>
    <t>ESCALON DE GRANITO 30cm x 120cm</t>
  </si>
  <si>
    <t>0-PISESC</t>
  </si>
  <si>
    <t>Piso de escalones de granito</t>
  </si>
  <si>
    <t>0-CUBLOS</t>
  </si>
  <si>
    <t>Cubierta sobre losa plana</t>
  </si>
  <si>
    <t>PINTURA ASFALTICA</t>
  </si>
  <si>
    <t>M-ARQ32</t>
  </si>
  <si>
    <t>POLIESTIRENO EXPANDIDO A.D. 1"</t>
  </si>
  <si>
    <t>MEMBRANA ASFALTICA GEOTEXTIL</t>
  </si>
  <si>
    <t>MEMBRANA LIQUIDA ACRILICA</t>
  </si>
  <si>
    <t>M-ARQ33</t>
  </si>
  <si>
    <t>MEMBRANA ELASTICA</t>
  </si>
  <si>
    <t>0-DESAG</t>
  </si>
  <si>
    <t>Desagues de techos</t>
  </si>
  <si>
    <t>M-ARQ34</t>
  </si>
  <si>
    <t>M-ARQ35</t>
  </si>
  <si>
    <t>M-ARQ36</t>
  </si>
  <si>
    <t>M-ARQ37</t>
  </si>
  <si>
    <t>CAÑO AWADUCT 110</t>
  </si>
  <si>
    <t>CODO 90° AWADUCT</t>
  </si>
  <si>
    <t>EMBUDO AWADUCT</t>
  </si>
  <si>
    <t>0-DESPRU</t>
  </si>
  <si>
    <t>Prueba hidraulica de desagues</t>
  </si>
  <si>
    <t>0-PINCIE</t>
  </si>
  <si>
    <t>Pintura cielorraso</t>
  </si>
  <si>
    <t>M-M276d</t>
  </si>
  <si>
    <t>PINTURA LATEX CIELORRASO</t>
  </si>
  <si>
    <t>0-PINCAR</t>
  </si>
  <si>
    <t>Pintura carpinteria metalica</t>
  </si>
  <si>
    <t>M-M276e</t>
  </si>
  <si>
    <t>M-M276f</t>
  </si>
  <si>
    <t>M-M276g</t>
  </si>
  <si>
    <t>PINTURA ESMALTE SINTETICO</t>
  </si>
  <si>
    <t>PINTURA ANTIOXIDO</t>
  </si>
  <si>
    <t>AGUARRAS</t>
  </si>
  <si>
    <t>0-PINLAC</t>
  </si>
  <si>
    <t>Pintura laca impermeabilizante</t>
  </si>
  <si>
    <t>M-M276h</t>
  </si>
  <si>
    <t>LACA IMPERMEABILIZANTE</t>
  </si>
  <si>
    <t>0-CARTEL</t>
  </si>
  <si>
    <t>Cartel de obra</t>
  </si>
  <si>
    <t>S-PLCO</t>
  </si>
  <si>
    <t>PLANOS CONFORME A OBRA</t>
  </si>
  <si>
    <t>0-PLCO</t>
  </si>
  <si>
    <t>Planos conforme a obra</t>
  </si>
  <si>
    <t>Cegado de Pozo</t>
  </si>
  <si>
    <t>0-RADIS</t>
  </si>
  <si>
    <t>Rampa para discapacitados</t>
  </si>
  <si>
    <t>BARANDA DE ACERO INOXIDABLE</t>
  </si>
  <si>
    <t>0-BUNPRO</t>
  </si>
  <si>
    <t>Protecciones en bunker</t>
  </si>
  <si>
    <t>M-ARQ38</t>
  </si>
  <si>
    <t>VENTILADOR AXIAL DE 30CM</t>
  </si>
  <si>
    <t>0-FIJBAT</t>
  </si>
  <si>
    <t>0-FIJATM</t>
  </si>
  <si>
    <t>Fijacion de Buzon de Atesoramiento</t>
  </si>
  <si>
    <t>M-ARQ39</t>
  </si>
  <si>
    <t>BULON 13mm</t>
  </si>
  <si>
    <t>Fijacion de ATM</t>
  </si>
  <si>
    <t>M-ARQ40</t>
  </si>
  <si>
    <t>ANCLAJE QUIMICO FISHER V 300</t>
  </si>
  <si>
    <t>M-ARQ41</t>
  </si>
  <si>
    <t>VARILLA ROSCADA FISHER 12,5mm</t>
  </si>
  <si>
    <t>0-COLMAT</t>
  </si>
  <si>
    <t>Colocacion de matafuegos</t>
  </si>
  <si>
    <t>0-ADG</t>
  </si>
  <si>
    <t>Ayuda de Gremio</t>
  </si>
  <si>
    <t>0-ANAF</t>
  </si>
  <si>
    <t>0-TERM</t>
  </si>
  <si>
    <t>Anafe electrico</t>
  </si>
  <si>
    <t>Termotanque electrico</t>
  </si>
  <si>
    <t>M-ARQ42</t>
  </si>
  <si>
    <t>M-ARQ43</t>
  </si>
  <si>
    <t>ANAFE ELECTRICO 2000W</t>
  </si>
  <si>
    <t>TERMOTANQUE ELECTRICO 55LTS</t>
  </si>
  <si>
    <t>0-BICICL</t>
  </si>
  <si>
    <t>Bicicletero</t>
  </si>
  <si>
    <t>M-ARQ44</t>
  </si>
  <si>
    <t>BICICLETERO</t>
  </si>
  <si>
    <t>0-CEGPOZ</t>
  </si>
  <si>
    <t>S-DESPOZ</t>
  </si>
  <si>
    <t>DESAGOTE DE POZO</t>
  </si>
  <si>
    <t>0-ESPPAJ</t>
  </si>
  <si>
    <t>Siatema espanta pajaros</t>
  </si>
  <si>
    <t>M-ARQ45</t>
  </si>
  <si>
    <t>PUAS ESPANTAPAJAROS</t>
  </si>
  <si>
    <t>M-ARQ46</t>
  </si>
  <si>
    <t>SILICONA EN POMO</t>
  </si>
  <si>
    <t>0-ITC012</t>
  </si>
  <si>
    <t>0-ITC013</t>
  </si>
  <si>
    <t>0-ITC014</t>
  </si>
  <si>
    <t>0-ITC011</t>
  </si>
  <si>
    <t>Estructura metálica de cubierta</t>
  </si>
  <si>
    <t>Estructura de acero galvanizado</t>
  </si>
  <si>
    <t>Estructura de A° G° AA</t>
  </si>
  <si>
    <t>S-ITC011</t>
  </si>
  <si>
    <t>S-ITC012</t>
  </si>
  <si>
    <t>S-ITC013</t>
  </si>
  <si>
    <t>S-ITC014</t>
  </si>
  <si>
    <t>Cubierta de chapas onduladas H°G°</t>
  </si>
  <si>
    <t>0-ITJ001</t>
  </si>
  <si>
    <t>0-ITI003</t>
  </si>
  <si>
    <t>0-ITI004</t>
  </si>
  <si>
    <t>S-ITI003</t>
  </si>
  <si>
    <t>S-ITI004</t>
  </si>
  <si>
    <t>0-ITJ002</t>
  </si>
  <si>
    <t>0-ITJ003</t>
  </si>
  <si>
    <t>0-ITJ004</t>
  </si>
  <si>
    <t>0-ITJ005</t>
  </si>
  <si>
    <t>0-ITJ006</t>
  </si>
  <si>
    <t>0-ITJ007</t>
  </si>
  <si>
    <t>0-ITJ008</t>
  </si>
  <si>
    <t>0-ITJ009</t>
  </si>
  <si>
    <t>0-ITJ010</t>
  </si>
  <si>
    <t>0-ITJ011</t>
  </si>
  <si>
    <t>0-ITJ012</t>
  </si>
  <si>
    <t>0-ITJ013</t>
  </si>
  <si>
    <t>Traslado de papelería, estanterías, muebles en gral, Rack de comunicaciones etc.</t>
  </si>
  <si>
    <t>(SISTEMA 08) Provisión e instalación de un  Equipo Split Cassette F/C de 6,000 frig/h. con todas sus conexiones complementarias. (sistema bomba de calor). TIPO INVERTER.</t>
  </si>
  <si>
    <t>Cañerías de plástico- Polipropileno- Unidas por o´ring doble labio - desagües cloacales y pluviales</t>
  </si>
  <si>
    <t>Bacha redonda de acero inoxidable de 35 cm de diámetro  Mod O340 L (sobre mesada)</t>
  </si>
  <si>
    <t>Puerta Acceso 2 hojas, doble chapa</t>
  </si>
  <si>
    <t>Puerta Acceso 1 hoja, doble chapa</t>
  </si>
  <si>
    <t>Puerta de seg. Acceso Back Office  2 hojas, enchapada cedro</t>
  </si>
  <si>
    <t>Cortina de enrollar en Tablillas Galvanizadas Reforzadas</t>
  </si>
  <si>
    <t>S-ITJ001</t>
  </si>
  <si>
    <t>S-ITJ002</t>
  </si>
  <si>
    <t>S-ITJ003</t>
  </si>
  <si>
    <t>S-ITJ004</t>
  </si>
  <si>
    <t>S-ITJ005</t>
  </si>
  <si>
    <t>S-ITJ006</t>
  </si>
  <si>
    <t>S-ITJ007</t>
  </si>
  <si>
    <t>S-ITJ008</t>
  </si>
  <si>
    <t>S-ITJ009</t>
  </si>
  <si>
    <t>S-ITJ010</t>
  </si>
  <si>
    <t>S-ITJ011</t>
  </si>
  <si>
    <t>S-ITJ012</t>
  </si>
  <si>
    <t>S-ITJ013</t>
  </si>
  <si>
    <t>0-ITK001</t>
  </si>
  <si>
    <t>0-ITK002</t>
  </si>
  <si>
    <t>0-ITK003</t>
  </si>
  <si>
    <t>0-ITK004</t>
  </si>
  <si>
    <t>0-ITK005</t>
  </si>
  <si>
    <t>0-ITK006</t>
  </si>
  <si>
    <t>0-ITK007</t>
  </si>
  <si>
    <t>0-ITK008</t>
  </si>
  <si>
    <t>0-ITK009</t>
  </si>
  <si>
    <t>0-ITK010</t>
  </si>
  <si>
    <t>S-ITK002</t>
  </si>
  <si>
    <t>S-ITK003</t>
  </si>
  <si>
    <t>S-ITK004</t>
  </si>
  <si>
    <t>S-ITK005</t>
  </si>
  <si>
    <t>S-ITK006</t>
  </si>
  <si>
    <t>S-ITK007</t>
  </si>
  <si>
    <t>S-ITK008</t>
  </si>
  <si>
    <t>S-ITK009</t>
  </si>
  <si>
    <t>S-ITK010</t>
  </si>
  <si>
    <t>Puerta Placa 2 hojas, enchapada cedro</t>
  </si>
  <si>
    <t>Puerta Placa 1 hoja, enchapada cedro</t>
  </si>
  <si>
    <t>0-ITL001</t>
  </si>
  <si>
    <t>0-ITL002</t>
  </si>
  <si>
    <t>0-ITL003</t>
  </si>
  <si>
    <t>S-ITL001</t>
  </si>
  <si>
    <t>S-ITL002</t>
  </si>
  <si>
    <t>S-ITL003</t>
  </si>
  <si>
    <t>Manijones en puertas de acceso</t>
  </si>
  <si>
    <t>Barandas/pasamanos Rampa</t>
  </si>
  <si>
    <t>0-ITM001</t>
  </si>
  <si>
    <t>0-ITO001</t>
  </si>
  <si>
    <t>0-ITO002</t>
  </si>
  <si>
    <t>Puertas de Cristal Templado (2 hojas)</t>
  </si>
  <si>
    <t>S-ITO001</t>
  </si>
  <si>
    <t>S-ITO002</t>
  </si>
  <si>
    <t>0-ITP009</t>
  </si>
  <si>
    <t>0-ITP010</t>
  </si>
  <si>
    <t>0-ITP011</t>
  </si>
  <si>
    <t>0-ITP015</t>
  </si>
  <si>
    <t>0-ITP016</t>
  </si>
  <si>
    <t>0-ITP017</t>
  </si>
  <si>
    <t>0-ITP018</t>
  </si>
  <si>
    <t>0-ITP019</t>
  </si>
  <si>
    <t>0-ITP020</t>
  </si>
  <si>
    <t>0-ITP021</t>
  </si>
  <si>
    <t>0-ITP022</t>
  </si>
  <si>
    <t>0-ITP023</t>
  </si>
  <si>
    <t>S-ITP009</t>
  </si>
  <si>
    <t>S-ITP010</t>
  </si>
  <si>
    <t>S-ITP011</t>
  </si>
  <si>
    <t>S-ITP015</t>
  </si>
  <si>
    <t>S-ITP016</t>
  </si>
  <si>
    <t>S-ITP017</t>
  </si>
  <si>
    <t>S-ITP018</t>
  </si>
  <si>
    <t>S-ITP019</t>
  </si>
  <si>
    <t>S-ITP020</t>
  </si>
  <si>
    <t>S-ITP021</t>
  </si>
  <si>
    <t>S-ITP022</t>
  </si>
  <si>
    <t>S-ITP023</t>
  </si>
  <si>
    <t>0-ITP026</t>
  </si>
  <si>
    <t>0-ITP027</t>
  </si>
  <si>
    <t>Tabiques divisorios de box sanitarios</t>
  </si>
  <si>
    <t>Banca Electronica- Frente de cajero automatico</t>
  </si>
  <si>
    <t>S-ITP026</t>
  </si>
  <si>
    <t>S-ITP027</t>
  </si>
  <si>
    <t>S-ITM001</t>
  </si>
  <si>
    <t>0-ITQ001</t>
  </si>
  <si>
    <t>0-ITQ002</t>
  </si>
  <si>
    <t>0-ITQ003</t>
  </si>
  <si>
    <t>0-ITQ004</t>
  </si>
  <si>
    <t>0-ITQ005</t>
  </si>
  <si>
    <t>0-ITQ006</t>
  </si>
  <si>
    <t>0-ITQ007</t>
  </si>
  <si>
    <t>0-ITQ008</t>
  </si>
  <si>
    <t>0-ITQ009</t>
  </si>
  <si>
    <t>0-ITQ010</t>
  </si>
  <si>
    <t>0-ITQ011</t>
  </si>
  <si>
    <t>0-ITQ012</t>
  </si>
  <si>
    <t>0-ITQ013</t>
  </si>
  <si>
    <t>0-ITQ014</t>
  </si>
  <si>
    <t>0-ITQ015</t>
  </si>
  <si>
    <t>0-ITQ016</t>
  </si>
  <si>
    <t>0-ITQ017</t>
  </si>
  <si>
    <t>0-ITQ018</t>
  </si>
  <si>
    <t>0-ITQ019</t>
  </si>
  <si>
    <t>Replanteos, cateos, ingeniería de detalle de montajes</t>
  </si>
  <si>
    <t>S-ITQ001</t>
  </si>
  <si>
    <t>S-ITQ002</t>
  </si>
  <si>
    <t>S-ITQ003</t>
  </si>
  <si>
    <t>S-ITQ004</t>
  </si>
  <si>
    <t>S-ITQ005</t>
  </si>
  <si>
    <t>S-ITQ006</t>
  </si>
  <si>
    <t>S-ITQ007</t>
  </si>
  <si>
    <t>S-ITQ008</t>
  </si>
  <si>
    <t>S-ITQ009</t>
  </si>
  <si>
    <t>S-ITQ010</t>
  </si>
  <si>
    <t>S-ITQ011</t>
  </si>
  <si>
    <t>S-ITQ012</t>
  </si>
  <si>
    <t>S-ITQ013</t>
  </si>
  <si>
    <t>S-ITQ014</t>
  </si>
  <si>
    <t>S-ITQ015</t>
  </si>
  <si>
    <t>S-ITQ016</t>
  </si>
  <si>
    <t>S-ITQ017</t>
  </si>
  <si>
    <t>S-ITQ018</t>
  </si>
  <si>
    <t>S-ITQ019</t>
  </si>
  <si>
    <t>Ayuda de Gremios.-</t>
  </si>
  <si>
    <t>(SISTEMA 01) Provisión e instalación de un equipo tipo ROOF TOP condensado por aire, capacidad nominal de 12 TR</t>
  </si>
  <si>
    <t>(SISTEMA 02) Provisión e instalación de un equipo tipo ROOF TOP condensado por aire, capacidad nominal de 05 TR</t>
  </si>
  <si>
    <t>(SISTEMA 03) Provisión e instalación de un  Equipo Split Mural F/C de 3,000 frig/h.</t>
  </si>
  <si>
    <t>(SISTEMA 04) Provisión e instalación de un  Equipo Split Mural F/S de 3,000 frig/h.</t>
  </si>
  <si>
    <t>(SISTEMA 05) Provisión e instalación de un  Equipo Split Mural F/C de 2,250 frig/h.</t>
  </si>
  <si>
    <t>(SISTEMA 06) Provisión e instalación de un  Equipo Split Mural F/C de 3,000 frig/h.</t>
  </si>
  <si>
    <t>(SISTEMA 07) Provisión e instalación de un  Equipo Split Mural F/S de 4,500 frig/h.</t>
  </si>
  <si>
    <t>(SISTEMA 08) Provisión e instalación de un  Equipo Split Cassette F/C de 6,000 frig/h.</t>
  </si>
  <si>
    <t>(SISTEMA 10) Provisión, instalación y puesta en marcha de un Ventilador mural de extracción.</t>
  </si>
  <si>
    <t>Provisión de todos los termostatos alambricos e inalambricos del sistema.</t>
  </si>
  <si>
    <t>Provisión y montaje de Conductos incluida la aislación y el jacketing</t>
  </si>
  <si>
    <t>Instalación eléctrica y automatización. Nuevo tablero en sala de máquinas.</t>
  </si>
  <si>
    <t>Cañerías de Refrigerante.</t>
  </si>
  <si>
    <t>0-ITR019</t>
  </si>
  <si>
    <t>0-ITR001</t>
  </si>
  <si>
    <t>0-ITR002</t>
  </si>
  <si>
    <t>0-ITR003</t>
  </si>
  <si>
    <t>0-ITR004</t>
  </si>
  <si>
    <t>0-ITR005</t>
  </si>
  <si>
    <t>0-ITR006</t>
  </si>
  <si>
    <t>0-ITR007</t>
  </si>
  <si>
    <t>0-ITR008</t>
  </si>
  <si>
    <t>0-ITR009</t>
  </si>
  <si>
    <t>0-ITR010</t>
  </si>
  <si>
    <t>0-ITR011</t>
  </si>
  <si>
    <t>0-ITR012</t>
  </si>
  <si>
    <t>0-ITR013</t>
  </si>
  <si>
    <t>0-ITR014</t>
  </si>
  <si>
    <t>0-ITR015</t>
  </si>
  <si>
    <t>0-ITR016</t>
  </si>
  <si>
    <t>0-ITR017</t>
  </si>
  <si>
    <t>0-ITR018</t>
  </si>
  <si>
    <t>0-ITR020</t>
  </si>
  <si>
    <t>0-ITR021</t>
  </si>
  <si>
    <t>0-ITR022</t>
  </si>
  <si>
    <t>0-ITR023</t>
  </si>
  <si>
    <t>0-ITR024</t>
  </si>
  <si>
    <t>S-ITR001</t>
  </si>
  <si>
    <t>S-ITR002</t>
  </si>
  <si>
    <t>S-ITR003</t>
  </si>
  <si>
    <t>S-ITR004</t>
  </si>
  <si>
    <t>S-ITR005</t>
  </si>
  <si>
    <t>S-ITR006</t>
  </si>
  <si>
    <t>S-ITR007</t>
  </si>
  <si>
    <t>S-ITR008</t>
  </si>
  <si>
    <t>S-ITR009</t>
  </si>
  <si>
    <t>S-ITR010</t>
  </si>
  <si>
    <t>S-ITR011</t>
  </si>
  <si>
    <t>S-ITR012</t>
  </si>
  <si>
    <t>S-ITR013</t>
  </si>
  <si>
    <t>S-ITR014</t>
  </si>
  <si>
    <t>S-ITR015</t>
  </si>
  <si>
    <t>S-ITR016</t>
  </si>
  <si>
    <t>S-ITR017</t>
  </si>
  <si>
    <t>S-ITR018</t>
  </si>
  <si>
    <t>S-ITR019</t>
  </si>
  <si>
    <t>S-ITR020</t>
  </si>
  <si>
    <t>S-ITR021</t>
  </si>
  <si>
    <t>S-ITR022</t>
  </si>
  <si>
    <t>S-ITR023</t>
  </si>
  <si>
    <t>S-ITR024</t>
  </si>
  <si>
    <t>0-ITS024</t>
  </si>
  <si>
    <t>0-ITS001</t>
  </si>
  <si>
    <t>0-ITS002</t>
  </si>
  <si>
    <t>0-ITS003</t>
  </si>
  <si>
    <t>0-ITS004</t>
  </si>
  <si>
    <t>0-ITS005</t>
  </si>
  <si>
    <t>0-ITS006</t>
  </si>
  <si>
    <t>0-ITS007</t>
  </si>
  <si>
    <t>0-ITS008</t>
  </si>
  <si>
    <t>0-ITS009</t>
  </si>
  <si>
    <t>0-ITS010</t>
  </si>
  <si>
    <t>0-ITS011</t>
  </si>
  <si>
    <t>0-ITS012</t>
  </si>
  <si>
    <t>0-ITS013</t>
  </si>
  <si>
    <t>0-ITS014</t>
  </si>
  <si>
    <t>0-ITS015</t>
  </si>
  <si>
    <t>0-ITS016</t>
  </si>
  <si>
    <t>0-ITS017</t>
  </si>
  <si>
    <t>0-ITS018</t>
  </si>
  <si>
    <t>0-ITS019</t>
  </si>
  <si>
    <t>0-ITS020</t>
  </si>
  <si>
    <t>0-ITS021</t>
  </si>
  <si>
    <t>0-ITS022</t>
  </si>
  <si>
    <t>0-ITS023</t>
  </si>
  <si>
    <t>0-ITS025</t>
  </si>
  <si>
    <t>0-ITS026</t>
  </si>
  <si>
    <t>0-ITS027</t>
  </si>
  <si>
    <t>0-ITS028</t>
  </si>
  <si>
    <t>0-ITS029</t>
  </si>
  <si>
    <t>0-ITS030</t>
  </si>
  <si>
    <t>0-ITS031</t>
  </si>
  <si>
    <t>0-ITS032</t>
  </si>
  <si>
    <t>0-ITS033</t>
  </si>
  <si>
    <t>0-ITS034</t>
  </si>
  <si>
    <t>0-ITS035</t>
  </si>
  <si>
    <t>0-ITS036</t>
  </si>
  <si>
    <t>S-ITS001</t>
  </si>
  <si>
    <t>S-ITS002</t>
  </si>
  <si>
    <t>S-ITS003</t>
  </si>
  <si>
    <t>S-ITS004</t>
  </si>
  <si>
    <t>S-ITS005</t>
  </si>
  <si>
    <t>S-ITS006</t>
  </si>
  <si>
    <t>S-ITS007</t>
  </si>
  <si>
    <t>S-ITS008</t>
  </si>
  <si>
    <t>S-ITS009</t>
  </si>
  <si>
    <t>S-ITS010</t>
  </si>
  <si>
    <t>S-ITS011</t>
  </si>
  <si>
    <t>S-ITS012</t>
  </si>
  <si>
    <t>S-ITS013</t>
  </si>
  <si>
    <t>S-ITS014</t>
  </si>
  <si>
    <t>S-ITS015</t>
  </si>
  <si>
    <t>S-ITS016</t>
  </si>
  <si>
    <t>S-ITS017</t>
  </si>
  <si>
    <t>S-ITS018</t>
  </si>
  <si>
    <t>S-ITS019</t>
  </si>
  <si>
    <t>S-ITS020</t>
  </si>
  <si>
    <t>S-ITS021</t>
  </si>
  <si>
    <t>S-ITS022</t>
  </si>
  <si>
    <t>S-ITS023</t>
  </si>
  <si>
    <t>S-ITS024</t>
  </si>
  <si>
    <t>S-ITS025</t>
  </si>
  <si>
    <t>S-ITS026</t>
  </si>
  <si>
    <t>S-ITS027</t>
  </si>
  <si>
    <t>S-ITS028</t>
  </si>
  <si>
    <t>S-ITS029</t>
  </si>
  <si>
    <t>S-ITS030</t>
  </si>
  <si>
    <t>S-ITS031</t>
  </si>
  <si>
    <t>S-ITS032</t>
  </si>
  <si>
    <t>S-ITS033</t>
  </si>
  <si>
    <t>S-ITS034</t>
  </si>
  <si>
    <t>S-ITS035</t>
  </si>
  <si>
    <t>S-ITS036</t>
  </si>
  <si>
    <t>0-ITT001</t>
  </si>
  <si>
    <t>0-ITT002</t>
  </si>
  <si>
    <t>0-ITT003</t>
  </si>
  <si>
    <t>0-ITT004</t>
  </si>
  <si>
    <t>0-ITT005</t>
  </si>
  <si>
    <t>0-ITT006</t>
  </si>
  <si>
    <t>0-ITT007</t>
  </si>
  <si>
    <t>0-ITT008</t>
  </si>
  <si>
    <t>0-ITT009</t>
  </si>
  <si>
    <t>0-ITT010</t>
  </si>
  <si>
    <t>0-ITT011</t>
  </si>
  <si>
    <t>0-ITT012</t>
  </si>
  <si>
    <t>0-ITT013</t>
  </si>
  <si>
    <t>0-ITT014</t>
  </si>
  <si>
    <t>0-ITT015</t>
  </si>
  <si>
    <t>0-ITT016</t>
  </si>
  <si>
    <t>0-ITT017</t>
  </si>
  <si>
    <t>0-ITT018</t>
  </si>
  <si>
    <t>S-ITT001</t>
  </si>
  <si>
    <t>S-ITT002</t>
  </si>
  <si>
    <t>S-ITT003</t>
  </si>
  <si>
    <t>S-ITT004</t>
  </si>
  <si>
    <t>S-ITT005</t>
  </si>
  <si>
    <t>S-ITT006</t>
  </si>
  <si>
    <t>S-ITT007</t>
  </si>
  <si>
    <t>S-ITT008</t>
  </si>
  <si>
    <t>S-ITT009</t>
  </si>
  <si>
    <t>S-ITT010</t>
  </si>
  <si>
    <t>S-ITT011</t>
  </si>
  <si>
    <t>S-ITT012</t>
  </si>
  <si>
    <t>S-ITT013</t>
  </si>
  <si>
    <t>S-ITT014</t>
  </si>
  <si>
    <t>S-ITT015</t>
  </si>
  <si>
    <t>S-ITT016</t>
  </si>
  <si>
    <t>S-ITT017</t>
  </si>
  <si>
    <t>S-ITT018</t>
  </si>
  <si>
    <t>TELEFONIA CELULAR</t>
  </si>
  <si>
    <t>S-SPCEL</t>
  </si>
  <si>
    <t>CAMION PLAYO LIVIANO 146CV</t>
  </si>
  <si>
    <t>Alquiler de Sampi</t>
  </si>
  <si>
    <t>HS</t>
  </si>
  <si>
    <t>0-ITM0012</t>
  </si>
  <si>
    <t>MALLA SIMA Q335 8mm 15x15</t>
  </si>
  <si>
    <t>S-ITK101</t>
  </si>
  <si>
    <t>S-ITK201</t>
  </si>
  <si>
    <t>S-ITK301</t>
  </si>
  <si>
    <t>S-ITK401</t>
  </si>
  <si>
    <t>S-ITK501</t>
  </si>
  <si>
    <t>S-ITK601</t>
  </si>
  <si>
    <t>S-ITK701</t>
  </si>
  <si>
    <t>S-ITK801</t>
  </si>
  <si>
    <t>S-ITK901</t>
  </si>
  <si>
    <t>V1</t>
  </si>
  <si>
    <t>V2</t>
  </si>
  <si>
    <t>V3</t>
  </si>
  <si>
    <t>V4</t>
  </si>
  <si>
    <t>P1</t>
  </si>
  <si>
    <t>P2</t>
  </si>
  <si>
    <t>V12</t>
  </si>
  <si>
    <t>V13</t>
  </si>
  <si>
    <t>V14</t>
  </si>
  <si>
    <t>CURVA DE INVERSIÓN POR ITEMS</t>
  </si>
  <si>
    <t>Incidencia</t>
  </si>
  <si>
    <t>TOTAL GENERAL (AVANCE MENSUAL)</t>
  </si>
  <si>
    <t>SUCURSAL: VISTA FLORES (Prov. Mendoza)</t>
  </si>
  <si>
    <t>0-MULAD4</t>
  </si>
  <si>
    <t>0-MULAD5</t>
  </si>
  <si>
    <t>Muros de ladrillo hueco 18x18cm</t>
  </si>
  <si>
    <t>Muros de ladrillo hueco 12x18cm</t>
  </si>
  <si>
    <t>M-ARQ47</t>
  </si>
  <si>
    <t>M-ARQ48</t>
  </si>
  <si>
    <t>LADRILLO HUECO 18x18x33</t>
  </si>
  <si>
    <t>LADRILLO HUECO 12x18x33</t>
  </si>
  <si>
    <t xml:space="preserve">Cierre Perimetral </t>
  </si>
  <si>
    <t>Obrador y depósito de materiales</t>
  </si>
  <si>
    <t>Entrepiso y refuerzos metálicos</t>
  </si>
  <si>
    <t>3.1</t>
  </si>
  <si>
    <t>Entrepiso en zona de comedor, incluida escalera</t>
  </si>
  <si>
    <t xml:space="preserve"> m2</t>
  </si>
  <si>
    <t>3.2</t>
  </si>
  <si>
    <t>Terminaciones de escalera principal</t>
  </si>
  <si>
    <t>Mejoramiento de zona del embudo de bajada</t>
  </si>
  <si>
    <t>Viga de cierre del muro de azotea</t>
  </si>
  <si>
    <t>Revoque grueso y fino en parapeto interior</t>
  </si>
  <si>
    <t>Membrana líquida en cubierta y parapeto interior</t>
  </si>
  <si>
    <t>0-CIEPERM</t>
  </si>
  <si>
    <t>M-FEN09</t>
  </si>
  <si>
    <t>FENOLICO 9 MM</t>
  </si>
  <si>
    <t>POSTE TUBULAR ACERO GALV  P/CIERRE PERIM h=2.5</t>
  </si>
  <si>
    <t>M-PSTGLV</t>
  </si>
  <si>
    <t>M-ALMOLP</t>
  </si>
  <si>
    <t xml:space="preserve">ALAMBRADO OLIMPICO h=2.4M </t>
  </si>
  <si>
    <t>0-CAMP</t>
  </si>
  <si>
    <t>0-ENTRPSO</t>
  </si>
  <si>
    <t>M-PRFL2.316</t>
  </si>
  <si>
    <t>PERFIL ANGULO 2" X 3/16"</t>
  </si>
  <si>
    <t>X-ENTRPMET</t>
  </si>
  <si>
    <t>Trabajos Metalurgicos en Entrepiso</t>
  </si>
  <si>
    <t>M-ELCTRD</t>
  </si>
  <si>
    <t>ELECTRODOS</t>
  </si>
  <si>
    <t>X-ENTBL18MM</t>
  </si>
  <si>
    <t>Entablonado Fenólico 1ra 18mm</t>
  </si>
  <si>
    <t>M-IGNFMDR</t>
  </si>
  <si>
    <t>PINTURA IGNIFUGA PARA MADERA</t>
  </si>
  <si>
    <t>M-RUBRDLV</t>
  </si>
  <si>
    <t>FIELTRO ASFALTICO LIVIANO</t>
  </si>
  <si>
    <t>X-HORARMENT</t>
  </si>
  <si>
    <t>Hormigón Armado de Entrepiso</t>
  </si>
  <si>
    <t>M-MDRENCF</t>
  </si>
  <si>
    <t>TABLAS 1X6 PARA ENCOFRADO</t>
  </si>
  <si>
    <t>M-MSQ188</t>
  </si>
  <si>
    <t>MALLA SIMA Q188 6mm 15x15</t>
  </si>
  <si>
    <t>X-CUBMET</t>
  </si>
  <si>
    <t>M-PRFCH</t>
  </si>
  <si>
    <t>PERFIL C DE CHAPA</t>
  </si>
  <si>
    <t>0-CUBPTIO</t>
  </si>
  <si>
    <t>M-CHPZNC</t>
  </si>
  <si>
    <t>CHAPA ZINC ACANALADA C25</t>
  </si>
  <si>
    <t>M-CRMDLM</t>
  </si>
  <si>
    <t>CORREA MADERA LAMINADA 3" x 12"</t>
  </si>
  <si>
    <t>Cubierta de Chapa Patio Interno</t>
  </si>
  <si>
    <t>0-TERMESC</t>
  </si>
  <si>
    <t>0-ENTRPSESC</t>
  </si>
  <si>
    <t>X-ENTMET</t>
  </si>
  <si>
    <t>Estruct Met Entrepiso Comedor</t>
  </si>
  <si>
    <t>M-PISOMD</t>
  </si>
  <si>
    <t>X-BRNDMET</t>
  </si>
  <si>
    <t>Barandas Metálicas</t>
  </si>
  <si>
    <t>S-VDRTMPL</t>
  </si>
  <si>
    <t>Instalacíon Vidrio Templado en Barandas</t>
  </si>
  <si>
    <t>Trabajos Metalurgicos en Escalera</t>
  </si>
  <si>
    <t>X-ESCLPMET</t>
  </si>
  <si>
    <t>0-DURLOK2</t>
  </si>
  <si>
    <t>Tabiques de Durlok h&gt;3m</t>
  </si>
  <si>
    <t>Alquiler de Andamios</t>
  </si>
  <si>
    <t>un.mes</t>
  </si>
  <si>
    <t>0-CIELO02.1</t>
  </si>
  <si>
    <t>Cielorraso de placas de roca de yeso h=&gt;3m</t>
  </si>
  <si>
    <t>0-INSTELEC</t>
  </si>
  <si>
    <t>X-TBLRELC</t>
  </si>
  <si>
    <t>Tableros Eléctricos</t>
  </si>
  <si>
    <t>X-ACMTMD</t>
  </si>
  <si>
    <t>Acometida, Poste y Medidor</t>
  </si>
  <si>
    <t>M-ELCOCT10</t>
  </si>
  <si>
    <t>CAJA ELECTRICA OCTOGONAL 10X10</t>
  </si>
  <si>
    <t>M-ELCOCT08</t>
  </si>
  <si>
    <t>CAJA ELECTRICA OCTOGONAL 8X8</t>
  </si>
  <si>
    <t>M-ELCRCT</t>
  </si>
  <si>
    <t>CAJA ELECTRICA RECTANGULAR</t>
  </si>
  <si>
    <t>CONDUCTORES ELÉCTRICOS 1MM A 2.5MM</t>
  </si>
  <si>
    <t>CONDUCTORES ELÉCTRICOS 3MM A 4MM</t>
  </si>
  <si>
    <t>M-ELCCOND1</t>
  </si>
  <si>
    <t>M-ELCCOND2</t>
  </si>
  <si>
    <t>M-ELCTUBPVC</t>
  </si>
  <si>
    <t>TUBERÍAS ELÉCTRICAS PVC</t>
  </si>
  <si>
    <t>M-ELCLLV</t>
  </si>
  <si>
    <t>M-ELCTOM</t>
  </si>
  <si>
    <t>LLAVE ELÉCTRICA</t>
  </si>
  <si>
    <t>TOMA ELÉCTRICA</t>
  </si>
  <si>
    <t>Instalación de Bocas Eléctricas</t>
  </si>
  <si>
    <t>X-BOCAELECT</t>
  </si>
  <si>
    <t>S-ANDM</t>
  </si>
  <si>
    <t>TABLERO METÁLICO LIVIANO 40 MOD</t>
  </si>
  <si>
    <t>TABLERO METÁLICO LIVIANO 20 MOD</t>
  </si>
  <si>
    <t>M-ELCTBL40</t>
  </si>
  <si>
    <t>M-ELCTBL20</t>
  </si>
  <si>
    <t>M-ELCTBLPR</t>
  </si>
  <si>
    <t>TABLERO PRINCIPAL TRIFÁSICO</t>
  </si>
  <si>
    <t>M-ELCTBL10</t>
  </si>
  <si>
    <t>TABLERO METÁLICO LIVIANO 10 MOD</t>
  </si>
  <si>
    <t>M-ELCLLTMG10</t>
  </si>
  <si>
    <t>M-ELCLLTMG20</t>
  </si>
  <si>
    <t>LLAVE TERMOMAGNÉTICA BIPOLAR</t>
  </si>
  <si>
    <t>LLAVE TERMOMAGNÉTICA TETRAPOLAR</t>
  </si>
  <si>
    <t>M-ELCRDISYT</t>
  </si>
  <si>
    <t>DISYUNTOR DIFERENCIAL TETRAPOLAR</t>
  </si>
  <si>
    <t>S-ACOMET</t>
  </si>
  <si>
    <t>Acometida Eléctrica</t>
  </si>
  <si>
    <t>M-ELCPST</t>
  </si>
  <si>
    <t>M-ELCJAB</t>
  </si>
  <si>
    <t>PILASTRA EDEMSA</t>
  </si>
  <si>
    <t>JABALINA 5/8 PARA PUESTA A TIERRA c/CAMARA</t>
  </si>
  <si>
    <t>PERFILES DE CHAPA GALVANIZADA (2,6m) p/TABUIQUES</t>
  </si>
  <si>
    <t>0-INSTSANT</t>
  </si>
  <si>
    <t>M-SNTPVC110</t>
  </si>
  <si>
    <t>M-SNTPVC60</t>
  </si>
  <si>
    <t>M-SNTPPT</t>
  </si>
  <si>
    <t>PILETA DE PATIO</t>
  </si>
  <si>
    <t>CAÑO CLOACAL 110MM</t>
  </si>
  <si>
    <t>CAÑO CLOACAL 60MM</t>
  </si>
  <si>
    <t>M-SNTCINS</t>
  </si>
  <si>
    <t>CAMARA DE INSPECCIÓN</t>
  </si>
  <si>
    <t>M-SNTCCMR</t>
  </si>
  <si>
    <t>CAÑO CÁMARA</t>
  </si>
  <si>
    <t>M-SNTTF2</t>
  </si>
  <si>
    <t>M-SNTTF1</t>
  </si>
  <si>
    <t>M-SNTTF34</t>
  </si>
  <si>
    <t>CAÑO TERMOFUSIÓN 2"</t>
  </si>
  <si>
    <t>CAÑO TERMOFUSIÓN 1"</t>
  </si>
  <si>
    <t>CAÑO TERMOFUSIÓN 3/4"</t>
  </si>
  <si>
    <t>M-SNTTQ55</t>
  </si>
  <si>
    <t>TANQUE AGUA FV 5500LT</t>
  </si>
  <si>
    <t>X-SISTSECN</t>
  </si>
  <si>
    <t>X-SISTAGUA</t>
  </si>
  <si>
    <t>Sanitario-Sistema Agua</t>
  </si>
  <si>
    <t>X-SISTPRIMS</t>
  </si>
  <si>
    <t>Sanitario-Sistema Primario Enterrado</t>
  </si>
  <si>
    <t>X-SISTPRIME</t>
  </si>
  <si>
    <t>Sanitario-Sistema Primario Suspendido</t>
  </si>
  <si>
    <t>Sanitario-Sistema Secundario</t>
  </si>
  <si>
    <t>X-SISTVENT</t>
  </si>
  <si>
    <t>Sanitario-Sistema Ventilación</t>
  </si>
  <si>
    <t>M-SNTBTI</t>
  </si>
  <si>
    <t>BOCA DE TAPADA INSPECCIÓN</t>
  </si>
  <si>
    <t>X-CLCCNXP</t>
  </si>
  <si>
    <t>X-CLCCNXS</t>
  </si>
  <si>
    <t>Punto de Conección Cloacal Primario</t>
  </si>
  <si>
    <t>Punto de Conección Cloacal Secundario</t>
  </si>
  <si>
    <t>M-INCTABL</t>
  </si>
  <si>
    <t>Equipo de Bombeo Incendio, 2 bomb cen + 1 Jockey + Tab Elec</t>
  </si>
  <si>
    <t>M-BOMBA112</t>
  </si>
  <si>
    <t>Electrobomba 1 1/2 HP</t>
  </si>
  <si>
    <t>M-INDGAP</t>
  </si>
  <si>
    <t>M-INDMNCO</t>
  </si>
  <si>
    <t>Inodoro Corto ROCA Monaco Confort</t>
  </si>
  <si>
    <t>M-ACCBBAR</t>
  </si>
  <si>
    <t>Accesorios Baño - Barral p/discapacitados</t>
  </si>
  <si>
    <t>M-ACCBPRT</t>
  </si>
  <si>
    <t>Accesorios Baño - Porta Rollo</t>
  </si>
  <si>
    <t>M-ACCBAIN</t>
  </si>
  <si>
    <t>Accesorios Baño - Asiento Inodoro</t>
  </si>
  <si>
    <t>M-ACCBTEMR</t>
  </si>
  <si>
    <t>Accesorios Baño - Timbre Emergencia</t>
  </si>
  <si>
    <t>M-ACCBTLL</t>
  </si>
  <si>
    <t>Accesorios Baño - Toallas y Desechos Empotrado</t>
  </si>
  <si>
    <t>M-ACCBDPJ</t>
  </si>
  <si>
    <t>Accesorios Baño - Dispenser Jabón Liquido</t>
  </si>
  <si>
    <t>M-ACCBEXT</t>
  </si>
  <si>
    <t>Accesorios Baño - Extractor de Aire</t>
  </si>
  <si>
    <t>M-ACCBSEC</t>
  </si>
  <si>
    <t>Accesorios Baño - Secamanos</t>
  </si>
  <si>
    <t>M-ACCBPHG</t>
  </si>
  <si>
    <t>Accesorios Baño - Dispenser Papel Higiénico</t>
  </si>
  <si>
    <t>M-LAVDISC</t>
  </si>
  <si>
    <t>Lavatorio para Discapacitado</t>
  </si>
  <si>
    <t>M-GRIFDECA</t>
  </si>
  <si>
    <t>Grifería Lavatorio Deca</t>
  </si>
  <si>
    <t>M-GRIFCCN</t>
  </si>
  <si>
    <t>Grifería Cocina Monocomando</t>
  </si>
  <si>
    <t>M-GRIFDISC</t>
  </si>
  <si>
    <t>Grifería Lavatorio Discapacitado</t>
  </si>
  <si>
    <t>M-DUCHAV</t>
  </si>
  <si>
    <t>Cuadro Ducha Antivandálico</t>
  </si>
  <si>
    <t>M-MNGMINI</t>
  </si>
  <si>
    <t>Mingitorio Mini Urinario</t>
  </si>
  <si>
    <t>M-MNGMINIK</t>
  </si>
  <si>
    <t>Kit de Instalación Mingitorio</t>
  </si>
  <si>
    <t>M-MNGVLV</t>
  </si>
  <si>
    <t>Valvula Descarga Mingitorio</t>
  </si>
  <si>
    <t>M-SAN32</t>
  </si>
  <si>
    <t>CAÑO 1" TERMOFUSION</t>
  </si>
  <si>
    <t>M-SAN33</t>
  </si>
  <si>
    <t>CAÑO 3/4" TERMOFUSION</t>
  </si>
  <si>
    <t>M-SAN33.1</t>
  </si>
  <si>
    <t>CAÑO 1/2" TERMOFUSION</t>
  </si>
  <si>
    <t>M-SAN34</t>
  </si>
  <si>
    <t>LLAVE DE PASO 3/4 TERMOFUSION</t>
  </si>
  <si>
    <t>M-SAN35</t>
  </si>
  <si>
    <t>ACCESORIOS 3/4" TERMOFUSION</t>
  </si>
  <si>
    <t>M-SAN37</t>
  </si>
  <si>
    <t>LLAVE DE PASO 1" TERMOFUSION</t>
  </si>
  <si>
    <t>X-SISTPLUV</t>
  </si>
  <si>
    <t>Sanitario-Sistema Pluvial</t>
  </si>
  <si>
    <t>M-ZINGGALV</t>
  </si>
  <si>
    <t>Zinguería Chapa Galvanizada</t>
  </si>
  <si>
    <t>Extractor 4pulg, 20W</t>
  </si>
  <si>
    <t>M-VNTEXTR</t>
  </si>
  <si>
    <t>M-VNTCND</t>
  </si>
  <si>
    <t>M-VNTSBR</t>
  </si>
  <si>
    <t>Conducto Chapa Galv 30x30</t>
  </si>
  <si>
    <t>Sombrerete Chapa Galv tipo Spyro</t>
  </si>
  <si>
    <t>M-PLVBDT</t>
  </si>
  <si>
    <t>Boca de DesaGúe Pluvial Premoldeada</t>
  </si>
  <si>
    <t>M-PLV110</t>
  </si>
  <si>
    <t>CAÑO PLUVIAL 110MM</t>
  </si>
  <si>
    <t>0-VAR01</t>
  </si>
  <si>
    <t>0-VAR02</t>
  </si>
  <si>
    <t>0-VAR03</t>
  </si>
  <si>
    <t>0-VAR04</t>
  </si>
  <si>
    <t>0-VAR05</t>
  </si>
  <si>
    <t>M-MEMBAZF</t>
  </si>
  <si>
    <t>MEMBRANA ASFALTICA C/ALUM 4MM</t>
  </si>
  <si>
    <t>M-ADN420.8</t>
  </si>
  <si>
    <t>M-ADN420.6</t>
  </si>
  <si>
    <t>Varilla de Acero ADN 420, fe 8mm</t>
  </si>
  <si>
    <t>Varilla de Acero ADN 420, fe 6mm</t>
  </si>
  <si>
    <t>Arena Gruesa Para Revoques</t>
  </si>
  <si>
    <t>M-ARGREV</t>
  </si>
  <si>
    <t>M-MEMLIQ</t>
  </si>
  <si>
    <t>Membrana Líquida</t>
  </si>
  <si>
    <t>S-CONTESC</t>
  </si>
  <si>
    <t>Alquiler Contenedor para escombros</t>
  </si>
  <si>
    <t>PO</t>
  </si>
  <si>
    <t>M-ANCQUIM</t>
  </si>
  <si>
    <t>Anclaje Químico p/hormigón Sika Anchorfix 2</t>
  </si>
  <si>
    <t>X-HoHaVIGCOL</t>
  </si>
  <si>
    <t>Hormigón Armado Vigas y Columnas</t>
  </si>
  <si>
    <t>PISO MADERA LAUREL</t>
  </si>
  <si>
    <t>M-CESTRUC</t>
  </si>
  <si>
    <t>Caño Estructural</t>
  </si>
  <si>
    <t>100x100x2</t>
  </si>
  <si>
    <t>100x100x1.6</t>
  </si>
  <si>
    <t>PLACAS DESMONTABLES DURLOCK 60x60 CLASIC</t>
  </si>
  <si>
    <t>M-ARQ07B</t>
  </si>
  <si>
    <t>PLACA DE YESO 15mm x 1,2m x 2,4m</t>
  </si>
  <si>
    <t>M-ARQ07C</t>
  </si>
  <si>
    <t>PLACA DE YESO 15mm x 1,2m x 2,4m VERDE</t>
  </si>
  <si>
    <t>UM</t>
  </si>
  <si>
    <t xml:space="preserve">UNIT </t>
  </si>
  <si>
    <t xml:space="preserve"> TOTAL </t>
  </si>
  <si>
    <t xml:space="preserve">$    1.193,18 </t>
  </si>
  <si>
    <t xml:space="preserve"> $ 428.471,59 </t>
  </si>
  <si>
    <t xml:space="preserve">$    6.117,95 </t>
  </si>
  <si>
    <t xml:space="preserve"> $ 172.403,83 </t>
  </si>
  <si>
    <t xml:space="preserve">$        241,05 </t>
  </si>
  <si>
    <t xml:space="preserve"> $ 637.327,82 </t>
  </si>
  <si>
    <t xml:space="preserve">$        179,28 </t>
  </si>
  <si>
    <t xml:space="preserve"> $ 948.186,90 </t>
  </si>
  <si>
    <t>LANA DE VIDRIO ISOVER  2"</t>
  </si>
  <si>
    <t xml:space="preserve">$        260,33 </t>
  </si>
  <si>
    <t xml:space="preserve"> $ 312.917,36 </t>
  </si>
  <si>
    <t xml:space="preserve">$        235,31 </t>
  </si>
  <si>
    <t xml:space="preserve"> $ 184.481,18 </t>
  </si>
  <si>
    <t xml:space="preserve">$        494,21 </t>
  </si>
  <si>
    <t xml:space="preserve"> $ 290.104,13 </t>
  </si>
  <si>
    <t>PERFIL C 140X60X20X2 MM</t>
  </si>
  <si>
    <t xml:space="preserve">$        192,02 </t>
  </si>
  <si>
    <t xml:space="preserve"> $    88.327,60 </t>
  </si>
  <si>
    <t>I-RT</t>
  </si>
  <si>
    <t>Gastos Representante Técnico</t>
  </si>
  <si>
    <t>S-GASTPROF</t>
  </si>
  <si>
    <t>Gastos Profesionales, Consejo P, Aforos, Caja Prev</t>
  </si>
  <si>
    <t>EXCAVACIÓN</t>
  </si>
  <si>
    <t>CUBIERTA METÁLICA</t>
  </si>
  <si>
    <t>INSTALACIÓN ELÉCTRICA COMPLETA</t>
  </si>
  <si>
    <t>INSTALACIÓN CONTRA INCENDIOS</t>
  </si>
  <si>
    <t>0-LOSACERM</t>
  </si>
  <si>
    <t>Losa Cerámica de Techo</t>
  </si>
  <si>
    <t>M-VIGUETA</t>
  </si>
  <si>
    <t>M-LOSETA 12CM</t>
  </si>
  <si>
    <t>Vigueta tipo PREAR</t>
  </si>
  <si>
    <t>Loseta Cerámica 11x25x38cm</t>
  </si>
  <si>
    <t>M-MS62020</t>
  </si>
  <si>
    <t>MALLA SIMA 6mm 20x20</t>
  </si>
  <si>
    <t>M-PRFCH140</t>
  </si>
  <si>
    <t>PERFIL C DE CHAPA 140x60x20x2</t>
  </si>
  <si>
    <t>M-CARPALM</t>
  </si>
  <si>
    <t>CARPINTERÍA ALUMINIO - MAMPARA</t>
  </si>
  <si>
    <t>0-MAMPALM</t>
  </si>
  <si>
    <t>Mampara Aluminio</t>
  </si>
  <si>
    <t>0-CARPMET</t>
  </si>
  <si>
    <t>Carpintería</t>
  </si>
  <si>
    <t>M-CARPAL</t>
  </si>
  <si>
    <t xml:space="preserve">CARPINTERÍA ALUMINIO </t>
  </si>
  <si>
    <t>X-ARTFELEC</t>
  </si>
  <si>
    <t>Atefactos Eléctricos</t>
  </si>
  <si>
    <t>M-ELCARTF</t>
  </si>
  <si>
    <t>ARTEFACTO ELÉCTRICO DOMESTICO</t>
  </si>
  <si>
    <t>Artefactos Eléctricos</t>
  </si>
  <si>
    <t>M-HIDR75</t>
  </si>
  <si>
    <t>Hidrante 75mm</t>
  </si>
  <si>
    <t>M-RGTCLOC</t>
  </si>
  <si>
    <t>Marco y Tapa Boda de Registro Cloacal</t>
  </si>
  <si>
    <t>M-PVC1000</t>
  </si>
  <si>
    <t>Tubería PVC Corrugado 1000mm</t>
  </si>
  <si>
    <t>M-INCGALV75</t>
  </si>
  <si>
    <t>Tubería Galvanizada para Incendio roscado 75mm</t>
  </si>
  <si>
    <t>M-INCEXTC5</t>
  </si>
  <si>
    <t>Extintor CO2 5kg</t>
  </si>
  <si>
    <t>M-INCEXTP5</t>
  </si>
  <si>
    <t>Extintor ABC 5kg</t>
  </si>
  <si>
    <t>M-INCEXTP50</t>
  </si>
  <si>
    <t>Extintor ABC 50kg rodante</t>
  </si>
  <si>
    <t>M-INCSOPEX</t>
  </si>
  <si>
    <t>Soporte Extintor 5kg</t>
  </si>
  <si>
    <t>c</t>
  </si>
  <si>
    <t>M-INCSLEX</t>
  </si>
  <si>
    <t>Señalización Reglamentaria Extintor</t>
  </si>
  <si>
    <t>M-INCPULS</t>
  </si>
  <si>
    <t>Caja Alarma Incendio con Pulsador</t>
  </si>
  <si>
    <t>M-INCVALV</t>
  </si>
  <si>
    <t>Válvula de Incendio Tipo Teatro 2 1/2</t>
  </si>
  <si>
    <t>M-INCGAB</t>
  </si>
  <si>
    <t>Gabinete Para Manguera Contra Incendio</t>
  </si>
  <si>
    <t>M-INCVESF</t>
  </si>
  <si>
    <t>Válvula Esférica 75mm</t>
  </si>
  <si>
    <t>M-INCMANG</t>
  </si>
  <si>
    <t>Manguera Incendio 45mm, 25m</t>
  </si>
  <si>
    <t>M-INCLNZ</t>
  </si>
  <si>
    <t>Lanza Incendio con Boquilla, 45mm</t>
  </si>
  <si>
    <t>M-INCBIMPL</t>
  </si>
  <si>
    <t>Bonca y Válvula de Impulsión Incendio</t>
  </si>
  <si>
    <t>M-INCTPNICH</t>
  </si>
  <si>
    <t>Marco y Tapa Nicho de Válvula de Impulsión</t>
  </si>
  <si>
    <t>M-INCLLAJS</t>
  </si>
  <si>
    <t>Llave de Ajuste Manguera de Incendio Alum</t>
  </si>
  <si>
    <t>0-INSTINC</t>
  </si>
  <si>
    <t>M-ILUM04</t>
  </si>
  <si>
    <t>CARTEL INDICADOR DE SALIDA LED</t>
  </si>
  <si>
    <t>0-BRNDMET</t>
  </si>
  <si>
    <t>REUBICACIÓN BARANDA METÁLICA</t>
  </si>
  <si>
    <t>QUINCENAL</t>
  </si>
  <si>
    <t>Precio Original</t>
  </si>
  <si>
    <t>CONSTRUCCIÓN DE SANITARIOS</t>
  </si>
  <si>
    <t>MUNICIPALIDAD DE GODOY CRUZ</t>
  </si>
  <si>
    <t>Godoy Cruz, Mendoza</t>
  </si>
  <si>
    <t>1.1</t>
  </si>
  <si>
    <t>Limpieza.</t>
  </si>
  <si>
    <t>1.2</t>
  </si>
  <si>
    <t>Nivelación.</t>
  </si>
  <si>
    <t>1.3</t>
  </si>
  <si>
    <t>Replanteo.</t>
  </si>
  <si>
    <t>LIMPIEZA, NIVELACIÓN Y REPLANTEO</t>
  </si>
  <si>
    <t>gl.</t>
  </si>
  <si>
    <t>2.1</t>
  </si>
  <si>
    <t>Excavación para fundaciones</t>
  </si>
  <si>
    <t>BASES DE FUNDACIÓN</t>
  </si>
  <si>
    <t>Hormigón estructural bases, vigas de fundación y contrapisos.</t>
  </si>
  <si>
    <t>Hormigón de limpieza.</t>
  </si>
  <si>
    <t>Chapa de divisiones de baños.</t>
  </si>
  <si>
    <t>Canaleta PVC en Galpón Este.</t>
  </si>
  <si>
    <t>Espejos de 1.20m x0.60m</t>
  </si>
  <si>
    <t>unid.</t>
  </si>
  <si>
    <t>0-NIVGL</t>
  </si>
  <si>
    <t>Nivelacion de Terreno - Global</t>
  </si>
  <si>
    <t>ESTRUCTURA METÁLICA</t>
  </si>
  <si>
    <t>0-ESTMET</t>
  </si>
  <si>
    <t>X-COLMET</t>
  </si>
  <si>
    <t>X-CORMET</t>
  </si>
  <si>
    <t>Estruct Metalica</t>
  </si>
  <si>
    <t>M-PRFCH80</t>
  </si>
  <si>
    <t>PERFIL C DE CHAPA 80x50x15x2</t>
  </si>
  <si>
    <t>Platinas Metálicas</t>
  </si>
  <si>
    <t>0-CORRMET</t>
  </si>
  <si>
    <t>CORREAS METÁLICAS</t>
  </si>
  <si>
    <t>M-CHPZNCS</t>
  </si>
  <si>
    <t>CHAPA ZINC SINUSOIDAL C27</t>
  </si>
  <si>
    <t>0-MUROLIV</t>
  </si>
  <si>
    <t>Muro Liviano Durlock-Cementicio</t>
  </si>
  <si>
    <t>Muro Liviano Durlock</t>
  </si>
  <si>
    <t>X-MURLVINT</t>
  </si>
  <si>
    <t>M-ARQ07v</t>
  </si>
  <si>
    <t>PLACA DE YESO 12,5mm x 1,2m x 2,4m VERDE</t>
  </si>
  <si>
    <t>X-MURLVEXT</t>
  </si>
  <si>
    <t>M-ARQ16b</t>
  </si>
  <si>
    <t>PLACA CEMENTICIA 6mm 1,2m x 2,4m</t>
  </si>
  <si>
    <t>Instalación sanitaria</t>
  </si>
  <si>
    <t>M-ELCDMOV</t>
  </si>
  <si>
    <t>DETECTOR DE MOVIMIENTO</t>
  </si>
  <si>
    <t>0-PISCER</t>
  </si>
  <si>
    <t>Piso de Cerámica</t>
  </si>
  <si>
    <t>0-REVCER</t>
  </si>
  <si>
    <t>Revestimiento de Cerámica</t>
  </si>
  <si>
    <t>0-ARTFCT</t>
  </si>
  <si>
    <t>Artefactos</t>
  </si>
  <si>
    <t>0-GRIFER</t>
  </si>
  <si>
    <t>Grifería</t>
  </si>
  <si>
    <t>M-BACHA</t>
  </si>
  <si>
    <t>Bacha Acero Inox 38 x 28</t>
  </si>
  <si>
    <t>Grifería Lavatorio Monocomando</t>
  </si>
  <si>
    <t>M-GRIFMNC</t>
  </si>
  <si>
    <t>M-M276i</t>
  </si>
  <si>
    <t>PINTURA LATEX ACRILICO</t>
  </si>
  <si>
    <t>ENDUIDO PLASTICO</t>
  </si>
  <si>
    <t>M-M276j</t>
  </si>
  <si>
    <t>M-M276k</t>
  </si>
  <si>
    <t>M-ACCESPJ</t>
  </si>
  <si>
    <t>Accesorios Baño - Espejo 1,20 x 0,60</t>
  </si>
  <si>
    <t>0-ESPEJO</t>
  </si>
  <si>
    <t>0-CANLT</t>
  </si>
  <si>
    <t>M-ARQ23b</t>
  </si>
  <si>
    <t>PEGAMENTO P/PISO CERAMICO (BOLSA 30Kg)</t>
  </si>
  <si>
    <t>Inodoro Corto ROCA Gap c/mochila</t>
  </si>
  <si>
    <t>M-CESTRUC4060</t>
  </si>
  <si>
    <t>Caño Estructural 40x60x2</t>
  </si>
  <si>
    <t>0-SEPBANO</t>
  </si>
  <si>
    <t>M-MCH20</t>
  </si>
  <si>
    <t>CHAPA lisa nro 20</t>
  </si>
  <si>
    <t>M-CESTRUC2020</t>
  </si>
  <si>
    <t>Caño Estructural 20x20x2</t>
  </si>
  <si>
    <t>LIMP</t>
  </si>
  <si>
    <t>NIV</t>
  </si>
  <si>
    <t>LIMPIEZA</t>
  </si>
  <si>
    <t>NIVELACION</t>
  </si>
  <si>
    <t>REP</t>
  </si>
  <si>
    <t>REPLANTEO</t>
  </si>
  <si>
    <t>EXC</t>
  </si>
  <si>
    <t>EXCAVACION</t>
  </si>
  <si>
    <t>HOL</t>
  </si>
  <si>
    <t>HOB</t>
  </si>
  <si>
    <t>HORMIGON LIMPIEZA</t>
  </si>
  <si>
    <t>HORMIGON BASES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</si>
</sst>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2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 &quot;$&quot;\ * #,##0.00_ ;_ &quot;$&quot;\ * \-#,##0.00_ ;_ &quot;$&quot;\ * &quot;-&quot;??_ ;_ @_ "/>
    <numFmt numFmtId="165" formatCode="_ * #,##0.00_ ;_ * \-#,##0.00_ ;_ * &quot;-&quot;??_ ;_ @_ "/>
    <numFmt numFmtId="166" formatCode="&quot;$&quot;#,##0.000_);[Red]\(&quot;$&quot;#,##0.000\)"/>
    <numFmt numFmtId="167" formatCode="#,##0.000_);[Red]\(#,##0.000\)"/>
    <numFmt numFmtId="168" formatCode="0.0"/>
    <numFmt numFmtId="169" formatCode="_ * #,##0.0_ ;_ * \-#,##0.0_ ;_ * &quot;-&quot;??_ ;_ @_ "/>
    <numFmt numFmtId="170" formatCode="_ * #,##0_ ;_ * \-#,##0_ ;_ * &quot;-&quot;??_ ;_ @_ "/>
    <numFmt numFmtId="171" formatCode="_ * #,##0.000_ ;_ * \-#,##0.000_ ;_ * &quot;-&quot;??_ ;_ @_ "/>
    <numFmt numFmtId="172" formatCode="0.000"/>
    <numFmt numFmtId="173" formatCode="_ &quot;$&quot;\ * #,##0.0_ ;_ &quot;$&quot;\ * \-#,##0.0_ ;_ &quot;$&quot;\ * &quot;-&quot;?_ ;_ @_ "/>
    <numFmt numFmtId="174" formatCode="#,##0.0"/>
    <numFmt numFmtId="175" formatCode="#,##0.00_ ;\-#,##0.00\ "/>
    <numFmt numFmtId="176" formatCode="0.000%"/>
    <numFmt numFmtId="177" formatCode="0.0%"/>
    <numFmt numFmtId="178" formatCode="#,##0.0000"/>
    <numFmt numFmtId="179" formatCode="0.0000"/>
    <numFmt numFmtId="180" formatCode="00.00%"/>
    <numFmt numFmtId="181" formatCode="00.00"/>
    <numFmt numFmtId="182" formatCode="00%"/>
    <numFmt numFmtId="183" formatCode="&quot;u$s&quot;\ #,###"/>
    <numFmt numFmtId="184" formatCode="0_);\(0\)"/>
    <numFmt numFmtId="185" formatCode="0.00000"/>
    <numFmt numFmtId="186" formatCode="0.00_ ;\-0.00\ "/>
    <numFmt numFmtId="187" formatCode="_ * #,##0.0000_ ;_ * \-#,##0.0000_ ;_ * &quot;-&quot;??_ ;_ @_ "/>
    <numFmt numFmtId="188" formatCode="&quot;$&quot;#,##0.00_);[Red]\(&quot;$&quot;#,##0.00\)"/>
    <numFmt numFmtId="189" formatCode="dd/mm/yy;@"/>
    <numFmt numFmtId="190" formatCode="&quot;$&quot;#,##0.0_);[Red]\(&quot;$&quot;#,##0.0\)"/>
    <numFmt numFmtId="191" formatCode="&quot;$&quot;#,##0_);[Red]\(&quot;$&quot;#,##0\)"/>
    <numFmt numFmtId="192" formatCode="#,##0.0_);[Red]\(#,##0.0\)"/>
    <numFmt numFmtId="193" formatCode="#\ ???/???"/>
  </numFmts>
  <fonts count="110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sz val="10"/>
      <color indexed="13"/>
      <name val="Arial"/>
      <family val="2"/>
    </font>
    <font>
      <sz val="10"/>
      <name val="Arial"/>
      <family val="2"/>
    </font>
    <font>
      <b/>
      <sz val="10"/>
      <color indexed="12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indexed="17"/>
      <name val="Arial"/>
      <family val="2"/>
    </font>
    <font>
      <sz val="10"/>
      <color indexed="8"/>
      <name val="Arial"/>
      <family val="2"/>
    </font>
    <font>
      <b/>
      <sz val="10"/>
      <color indexed="58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48"/>
      <name val="Arial"/>
      <family val="2"/>
    </font>
    <font>
      <b/>
      <sz val="10"/>
      <color indexed="9"/>
      <name val="Arial"/>
      <family val="2"/>
    </font>
    <font>
      <b/>
      <i/>
      <u/>
      <sz val="10"/>
      <color indexed="8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b/>
      <sz val="9"/>
      <color indexed="13"/>
      <name val="Arial"/>
      <family val="2"/>
    </font>
    <font>
      <sz val="9"/>
      <color indexed="9"/>
      <name val="Arial"/>
      <family val="2"/>
    </font>
    <font>
      <sz val="9"/>
      <color indexed="13"/>
      <name val="Arial"/>
      <family val="2"/>
    </font>
    <font>
      <b/>
      <sz val="10"/>
      <color indexed="81"/>
      <name val="Tahoma"/>
      <family val="2"/>
    </font>
    <font>
      <sz val="10"/>
      <color indexed="81"/>
      <name val="Tahoma"/>
      <family val="2"/>
    </font>
    <font>
      <b/>
      <sz val="9"/>
      <color indexed="8"/>
      <name val="eijpkb+a_rial,bold_145_1"/>
      <charset val="1"/>
    </font>
    <font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12"/>
      <name val="eijpkb+a_rial,bold_145_1"/>
      <charset val="1"/>
    </font>
    <font>
      <sz val="9"/>
      <color indexed="8"/>
      <name val="eijpkb+a_rial,bold_145_1"/>
      <charset val="1"/>
    </font>
    <font>
      <b/>
      <sz val="9"/>
      <color indexed="9"/>
      <name val="eijpkb+a_rial,bold_145_1"/>
    </font>
    <font>
      <b/>
      <sz val="9"/>
      <color indexed="8"/>
      <name val="eijpkb+a_rial,bold_145_1"/>
    </font>
    <font>
      <b/>
      <sz val="9"/>
      <color indexed="8"/>
      <name val="Arial"/>
      <family val="2"/>
    </font>
    <font>
      <sz val="9"/>
      <color indexed="8"/>
      <name val="eijpkb+a_rial,bold_145_1"/>
    </font>
    <font>
      <sz val="9"/>
      <color indexed="8"/>
      <name val="ejhjaa+a_rial_145_2"/>
      <charset val="1"/>
    </font>
    <font>
      <b/>
      <sz val="9"/>
      <color indexed="8"/>
      <name val="ejhjaa+a_rial_145_2"/>
    </font>
    <font>
      <b/>
      <sz val="10"/>
      <color indexed="8"/>
      <name val="ejhjaa+a_rial_145_2"/>
    </font>
    <font>
      <b/>
      <sz val="12"/>
      <color indexed="9"/>
      <name val="Arial"/>
      <family val="2"/>
    </font>
    <font>
      <b/>
      <sz val="10"/>
      <name val="Times New Roman"/>
      <family val="1"/>
    </font>
    <font>
      <b/>
      <u/>
      <sz val="14"/>
      <name val="Arial"/>
      <family val="2"/>
    </font>
    <font>
      <b/>
      <i/>
      <sz val="10"/>
      <color indexed="62"/>
      <name val="Arial"/>
      <family val="2"/>
    </font>
    <font>
      <sz val="9"/>
      <name val="Arial"/>
      <family val="2"/>
    </font>
    <font>
      <b/>
      <sz val="9"/>
      <name val="Times New Roman"/>
      <family val="1"/>
    </font>
    <font>
      <sz val="8"/>
      <name val="Arial"/>
      <family val="2"/>
    </font>
    <font>
      <sz val="10"/>
      <color indexed="9"/>
      <name val="Arial"/>
      <family val="2"/>
    </font>
    <font>
      <sz val="9"/>
      <color indexed="12"/>
      <name val="Arial"/>
      <family val="2"/>
    </font>
    <font>
      <b/>
      <sz val="8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Arial"/>
      <family val="2"/>
    </font>
    <font>
      <sz val="10"/>
      <color indexed="10"/>
      <name val="Arial"/>
      <family val="2"/>
    </font>
    <font>
      <sz val="9"/>
      <color indexed="10"/>
      <name val="Arial"/>
      <family val="2"/>
    </font>
    <font>
      <sz val="10"/>
      <color indexed="43"/>
      <name val="Arial"/>
      <family val="2"/>
    </font>
    <font>
      <sz val="10"/>
      <color rgb="FFFFFF00"/>
      <name val="Arial"/>
      <family val="2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sz val="8"/>
      <color indexed="9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14"/>
      <color indexed="9"/>
      <name val="Calibri"/>
      <family val="2"/>
      <scheme val="minor"/>
    </font>
    <font>
      <sz val="14"/>
      <name val="Calibri"/>
      <family val="2"/>
      <scheme val="minor"/>
    </font>
    <font>
      <sz val="9"/>
      <name val="Calibri"/>
      <family val="2"/>
      <scheme val="minor"/>
    </font>
    <font>
      <sz val="13"/>
      <name val="Calibri"/>
      <family val="2"/>
      <scheme val="minor"/>
    </font>
    <font>
      <sz val="12"/>
      <color indexed="20"/>
      <name val="Calibri"/>
      <family val="2"/>
      <scheme val="minor"/>
    </font>
    <font>
      <sz val="10"/>
      <color indexed="12"/>
      <name val="Calibri"/>
      <family val="2"/>
      <scheme val="minor"/>
    </font>
    <font>
      <b/>
      <sz val="13"/>
      <color indexed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13"/>
      <color indexed="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20"/>
      <name val="Calibri"/>
      <family val="2"/>
      <scheme val="minor"/>
    </font>
    <font>
      <sz val="11"/>
      <color indexed="12"/>
      <name val="Calibri"/>
      <family val="2"/>
      <scheme val="minor"/>
    </font>
    <font>
      <b/>
      <sz val="14"/>
      <color theme="0"/>
      <name val="Arial"/>
      <family val="2"/>
    </font>
    <font>
      <b/>
      <sz val="8"/>
      <name val="Calibri"/>
      <family val="2"/>
      <scheme val="minor"/>
    </font>
    <font>
      <sz val="10"/>
      <color indexed="9"/>
      <name val="Calibri"/>
      <family val="2"/>
      <scheme val="minor"/>
    </font>
    <font>
      <b/>
      <sz val="8"/>
      <color indexed="10"/>
      <name val="Calibri"/>
      <family val="2"/>
      <scheme val="minor"/>
    </font>
    <font>
      <sz val="10"/>
      <color indexed="55"/>
      <name val="Calibri"/>
      <family val="2"/>
      <scheme val="minor"/>
    </font>
    <font>
      <sz val="8"/>
      <color indexed="55"/>
      <name val="Calibri"/>
      <family val="2"/>
      <scheme val="minor"/>
    </font>
    <font>
      <sz val="9"/>
      <color indexed="55"/>
      <name val="Calibri"/>
      <family val="2"/>
      <scheme val="minor"/>
    </font>
    <font>
      <b/>
      <sz val="11"/>
      <name val="Calibri"/>
      <family val="2"/>
    </font>
    <font>
      <b/>
      <sz val="11"/>
      <color indexed="13"/>
      <name val="Calibri"/>
      <family val="2"/>
    </font>
    <font>
      <sz val="9"/>
      <color rgb="FFFFFF00"/>
      <name val="Arial"/>
      <family val="2"/>
    </font>
    <font>
      <b/>
      <sz val="12"/>
      <color indexed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rgb="FFFFFF00"/>
      <name val="Calibri"/>
      <family val="2"/>
      <scheme val="minor"/>
    </font>
    <font>
      <sz val="9"/>
      <color indexed="13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indexed="10"/>
      <name val="Arial"/>
      <family val="2"/>
    </font>
    <font>
      <b/>
      <sz val="10"/>
      <color rgb="FFFF0000"/>
      <name val="Arial"/>
      <family val="2"/>
    </font>
    <font>
      <b/>
      <sz val="9"/>
      <color indexed="12"/>
      <name val="Arial"/>
      <family val="2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10"/>
      <color rgb="FF000000"/>
      <name val="Times New Roman"/>
      <family val="1"/>
    </font>
    <font>
      <b/>
      <sz val="9"/>
      <color indexed="10"/>
      <name val="Arial"/>
      <family val="2"/>
    </font>
    <font>
      <sz val="9"/>
      <color rgb="FF000000"/>
      <name val="Arial"/>
      <family val="2"/>
    </font>
    <font>
      <sz val="9"/>
      <color rgb="FF008000"/>
      <name val="Arial"/>
      <family val="2"/>
    </font>
    <font>
      <sz val="9"/>
      <color indexed="12"/>
      <name val="Calibri"/>
      <family val="2"/>
      <scheme val="minor"/>
    </font>
    <font>
      <b/>
      <sz val="9"/>
      <color indexed="12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mediumGray">
        <fgColor indexed="26"/>
        <bgColor indexed="47"/>
      </patternFill>
    </fill>
    <fill>
      <patternFill patternType="mediumGray">
        <fgColor indexed="26"/>
        <bgColor indexed="43"/>
      </patternFill>
    </fill>
    <fill>
      <patternFill patternType="mediumGray">
        <fgColor indexed="26"/>
        <bgColor indexed="41"/>
      </patternFill>
    </fill>
    <fill>
      <patternFill patternType="solid">
        <fgColor indexed="57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1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9D9D9"/>
        <bgColor indexed="64"/>
      </patternFill>
    </fill>
  </fills>
  <borders count="37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thin">
        <color indexed="63"/>
      </right>
      <top/>
      <bottom style="double">
        <color indexed="63"/>
      </bottom>
      <diagonal/>
    </border>
    <border>
      <left style="thin">
        <color indexed="63"/>
      </left>
      <right style="thin">
        <color indexed="63"/>
      </right>
      <top/>
      <bottom style="double">
        <color indexed="63"/>
      </bottom>
      <diagonal/>
    </border>
    <border>
      <left style="thin">
        <color indexed="63"/>
      </left>
      <right style="thin">
        <color indexed="64"/>
      </right>
      <top/>
      <bottom style="double">
        <color indexed="63"/>
      </bottom>
      <diagonal/>
    </border>
    <border>
      <left style="thin">
        <color indexed="64"/>
      </left>
      <right/>
      <top style="double">
        <color indexed="63"/>
      </top>
      <bottom style="double">
        <color indexed="63"/>
      </bottom>
      <diagonal/>
    </border>
    <border>
      <left/>
      <right/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3"/>
      </left>
      <right style="thin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4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thin">
        <color indexed="63"/>
      </right>
      <top style="double">
        <color indexed="63"/>
      </top>
      <bottom style="hair">
        <color indexed="63"/>
      </bottom>
      <diagonal/>
    </border>
    <border>
      <left style="thin">
        <color indexed="63"/>
      </left>
      <right style="thin">
        <color indexed="63"/>
      </right>
      <top style="double">
        <color indexed="63"/>
      </top>
      <bottom style="hair">
        <color indexed="63"/>
      </bottom>
      <diagonal/>
    </border>
    <border>
      <left style="thin">
        <color indexed="63"/>
      </left>
      <right style="double">
        <color indexed="63"/>
      </right>
      <top style="double">
        <color indexed="63"/>
      </top>
      <bottom style="hair">
        <color indexed="63"/>
      </bottom>
      <diagonal/>
    </border>
    <border>
      <left style="thin">
        <color indexed="63"/>
      </left>
      <right style="thin">
        <color indexed="63"/>
      </right>
      <top style="hair">
        <color indexed="63"/>
      </top>
      <bottom style="hair">
        <color indexed="63"/>
      </bottom>
      <diagonal/>
    </border>
    <border>
      <left style="double">
        <color indexed="63"/>
      </left>
      <right style="thin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3"/>
      </left>
      <right style="double">
        <color indexed="63"/>
      </right>
      <top style="hair">
        <color indexed="63"/>
      </top>
      <bottom style="hair">
        <color indexed="63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3"/>
      </left>
      <right/>
      <top style="hair">
        <color indexed="63"/>
      </top>
      <bottom style="hair">
        <color indexed="63"/>
      </bottom>
      <diagonal/>
    </border>
    <border>
      <left style="thick">
        <color indexed="10"/>
      </left>
      <right style="thin">
        <color indexed="63"/>
      </right>
      <top style="thick">
        <color indexed="10"/>
      </top>
      <bottom style="hair">
        <color indexed="63"/>
      </bottom>
      <diagonal/>
    </border>
    <border>
      <left style="thin">
        <color indexed="63"/>
      </left>
      <right style="thick">
        <color indexed="10"/>
      </right>
      <top style="thick">
        <color indexed="10"/>
      </top>
      <bottom style="hair">
        <color indexed="63"/>
      </bottom>
      <diagonal/>
    </border>
    <border>
      <left/>
      <right style="thin">
        <color indexed="63"/>
      </right>
      <top style="hair">
        <color indexed="63"/>
      </top>
      <bottom style="hair">
        <color indexed="63"/>
      </bottom>
      <diagonal/>
    </border>
    <border>
      <left style="thick">
        <color indexed="10"/>
      </left>
      <right style="thin">
        <color indexed="63"/>
      </right>
      <top/>
      <bottom style="hair">
        <color indexed="63"/>
      </bottom>
      <diagonal/>
    </border>
    <border>
      <left style="thin">
        <color indexed="63"/>
      </left>
      <right style="thick">
        <color indexed="10"/>
      </right>
      <top/>
      <bottom style="hair">
        <color indexed="63"/>
      </bottom>
      <diagonal/>
    </border>
    <border>
      <left style="thick">
        <color indexed="10"/>
      </left>
      <right style="thin">
        <color indexed="63"/>
      </right>
      <top/>
      <bottom style="thick">
        <color indexed="10"/>
      </bottom>
      <diagonal/>
    </border>
    <border>
      <left style="thin">
        <color indexed="63"/>
      </left>
      <right style="thick">
        <color indexed="10"/>
      </right>
      <top/>
      <bottom style="thick">
        <color indexed="10"/>
      </bottom>
      <diagonal/>
    </border>
    <border>
      <left style="thick">
        <color indexed="10"/>
      </left>
      <right style="thin">
        <color indexed="63"/>
      </right>
      <top style="hair">
        <color indexed="63"/>
      </top>
      <bottom style="thick">
        <color indexed="10"/>
      </bottom>
      <diagonal/>
    </border>
    <border>
      <left style="thin">
        <color indexed="63"/>
      </left>
      <right style="thick">
        <color indexed="10"/>
      </right>
      <top style="hair">
        <color indexed="63"/>
      </top>
      <bottom style="thick">
        <color indexed="10"/>
      </bottom>
      <diagonal/>
    </border>
    <border>
      <left style="thick">
        <color indexed="10"/>
      </left>
      <right style="thin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3"/>
      </left>
      <right style="thick">
        <color indexed="10"/>
      </right>
      <top style="hair">
        <color indexed="63"/>
      </top>
      <bottom style="hair">
        <color indexed="63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3"/>
      </left>
      <right/>
      <top style="double">
        <color indexed="63"/>
      </top>
      <bottom style="hair">
        <color indexed="63"/>
      </bottom>
      <diagonal/>
    </border>
    <border>
      <left/>
      <right style="thin">
        <color indexed="63"/>
      </right>
      <top style="double">
        <color indexed="63"/>
      </top>
      <bottom style="hair">
        <color indexed="63"/>
      </bottom>
      <diagonal/>
    </border>
    <border>
      <left style="thin">
        <color indexed="63"/>
      </left>
      <right style="thin">
        <color indexed="63"/>
      </right>
      <top style="hair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hair">
        <color indexed="63"/>
      </bottom>
      <diagonal/>
    </border>
    <border>
      <left style="thick">
        <color indexed="10"/>
      </left>
      <right style="thin">
        <color indexed="63"/>
      </right>
      <top style="hair">
        <color indexed="63"/>
      </top>
      <bottom/>
      <diagonal/>
    </border>
    <border>
      <left style="thick">
        <color indexed="10"/>
      </left>
      <right style="thin">
        <color indexed="63"/>
      </right>
      <top style="thick">
        <color indexed="10"/>
      </top>
      <bottom/>
      <diagonal/>
    </border>
    <border>
      <left style="thick">
        <color indexed="10"/>
      </left>
      <right style="thin">
        <color indexed="63"/>
      </right>
      <top style="thick">
        <color indexed="10"/>
      </top>
      <bottom style="thick">
        <color indexed="10"/>
      </bottom>
      <diagonal/>
    </border>
    <border>
      <left style="thin">
        <color indexed="63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ck">
        <color indexed="10"/>
      </left>
      <right style="thin">
        <color indexed="63"/>
      </right>
      <top/>
      <bottom/>
      <diagonal/>
    </border>
    <border>
      <left style="thin">
        <color indexed="63"/>
      </left>
      <right style="thick">
        <color indexed="10"/>
      </right>
      <top/>
      <bottom/>
      <diagonal/>
    </border>
    <border>
      <left style="thin">
        <color indexed="63"/>
      </left>
      <right style="thick">
        <color indexed="10"/>
      </right>
      <top style="hair">
        <color indexed="63"/>
      </top>
      <bottom/>
      <diagonal/>
    </border>
    <border>
      <left style="thick">
        <color indexed="10"/>
      </left>
      <right style="thin">
        <color indexed="63"/>
      </right>
      <top style="hair">
        <color indexed="64"/>
      </top>
      <bottom style="hair">
        <color indexed="64"/>
      </bottom>
      <diagonal/>
    </border>
    <border>
      <left style="thin">
        <color indexed="63"/>
      </left>
      <right style="thick">
        <color indexed="10"/>
      </right>
      <top style="hair">
        <color indexed="64"/>
      </top>
      <bottom style="hair">
        <color indexed="64"/>
      </bottom>
      <diagonal/>
    </border>
    <border>
      <left style="thick">
        <color indexed="10"/>
      </left>
      <right style="thin">
        <color indexed="63"/>
      </right>
      <top style="hair">
        <color indexed="64"/>
      </top>
      <bottom style="thick">
        <color indexed="10"/>
      </bottom>
      <diagonal/>
    </border>
    <border>
      <left style="thin">
        <color indexed="63"/>
      </left>
      <right style="thick">
        <color indexed="10"/>
      </right>
      <top style="hair">
        <color indexed="64"/>
      </top>
      <bottom style="thick">
        <color indexed="10"/>
      </bottom>
      <diagonal/>
    </border>
    <border>
      <left style="thick">
        <color rgb="FFFF0000"/>
      </left>
      <right style="thin">
        <color indexed="63"/>
      </right>
      <top style="thick">
        <color rgb="FFFF0000"/>
      </top>
      <bottom style="hair">
        <color indexed="63"/>
      </bottom>
      <diagonal/>
    </border>
    <border>
      <left style="thin">
        <color indexed="63"/>
      </left>
      <right style="thick">
        <color rgb="FFFF0000"/>
      </right>
      <top style="thick">
        <color rgb="FFFF0000"/>
      </top>
      <bottom style="hair">
        <color indexed="63"/>
      </bottom>
      <diagonal/>
    </border>
    <border>
      <left style="thick">
        <color rgb="FFFF0000"/>
      </left>
      <right style="thin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3"/>
      </left>
      <right style="thick">
        <color rgb="FFFF0000"/>
      </right>
      <top style="hair">
        <color indexed="63"/>
      </top>
      <bottom style="hair">
        <color indexed="63"/>
      </bottom>
      <diagonal/>
    </border>
    <border>
      <left style="thick">
        <color rgb="FFFF0000"/>
      </left>
      <right style="thin">
        <color indexed="63"/>
      </right>
      <top style="hair">
        <color indexed="63"/>
      </top>
      <bottom style="thick">
        <color rgb="FFFF0000"/>
      </bottom>
      <diagonal/>
    </border>
    <border>
      <left style="thin">
        <color indexed="63"/>
      </left>
      <right style="thick">
        <color rgb="FFFF0000"/>
      </right>
      <top style="hair">
        <color indexed="63"/>
      </top>
      <bottom style="thick">
        <color rgb="FFFF0000"/>
      </bottom>
      <diagonal/>
    </border>
    <border>
      <left style="thick">
        <color rgb="FFFF0000"/>
      </left>
      <right style="thin">
        <color indexed="63"/>
      </right>
      <top style="thick">
        <color rgb="FFFF0000"/>
      </top>
      <bottom style="thick">
        <color rgb="FFFF0000"/>
      </bottom>
      <diagonal/>
    </border>
    <border>
      <left style="thin">
        <color indexed="63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indexed="10"/>
      </left>
      <right style="thin">
        <color indexed="63"/>
      </right>
      <top style="thick">
        <color indexed="10"/>
      </top>
      <bottom style="hair">
        <color auto="1"/>
      </bottom>
      <diagonal/>
    </border>
    <border>
      <left style="thin">
        <color indexed="63"/>
      </left>
      <right style="thick">
        <color indexed="10"/>
      </right>
      <top style="thick">
        <color indexed="10"/>
      </top>
      <bottom style="hair">
        <color auto="1"/>
      </bottom>
      <diagonal/>
    </border>
    <border>
      <left style="thick">
        <color indexed="10"/>
      </left>
      <right style="thin">
        <color indexed="63"/>
      </right>
      <top style="hair">
        <color auto="1"/>
      </top>
      <bottom style="hair">
        <color auto="1"/>
      </bottom>
      <diagonal/>
    </border>
    <border>
      <left style="thin">
        <color indexed="63"/>
      </left>
      <right style="thick">
        <color indexed="10"/>
      </right>
      <top style="hair">
        <color auto="1"/>
      </top>
      <bottom style="hair">
        <color auto="1"/>
      </bottom>
      <diagonal/>
    </border>
    <border>
      <left style="thick">
        <color indexed="10"/>
      </left>
      <right style="thin">
        <color indexed="63"/>
      </right>
      <top style="hair">
        <color auto="1"/>
      </top>
      <bottom style="thick">
        <color indexed="10"/>
      </bottom>
      <diagonal/>
    </border>
    <border>
      <left style="thin">
        <color indexed="63"/>
      </left>
      <right style="thick">
        <color indexed="10"/>
      </right>
      <top style="hair">
        <color auto="1"/>
      </top>
      <bottom style="thick">
        <color indexed="10"/>
      </bottom>
      <diagonal/>
    </border>
    <border>
      <left style="thin">
        <color indexed="63"/>
      </left>
      <right style="thin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3"/>
      </left>
      <right/>
      <top style="hair">
        <color indexed="63"/>
      </top>
      <bottom style="hair">
        <color indexed="63"/>
      </bottom>
      <diagonal/>
    </border>
    <border>
      <left/>
      <right style="thin">
        <color indexed="63"/>
      </right>
      <top style="hair">
        <color indexed="63"/>
      </top>
      <bottom style="hair">
        <color indexed="63"/>
      </bottom>
      <diagonal/>
    </border>
    <border>
      <left style="thick">
        <color indexed="10"/>
      </left>
      <right style="thin">
        <color indexed="63"/>
      </right>
      <top style="hair">
        <color auto="1"/>
      </top>
      <bottom style="hair">
        <color auto="1"/>
      </bottom>
      <diagonal/>
    </border>
    <border>
      <left style="thin">
        <color indexed="63"/>
      </left>
      <right style="thick">
        <color indexed="10"/>
      </right>
      <top style="hair">
        <color auto="1"/>
      </top>
      <bottom style="hair">
        <color auto="1"/>
      </bottom>
      <diagonal/>
    </border>
    <border>
      <left style="thick">
        <color rgb="FFFF0000"/>
      </left>
      <right style="thin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3"/>
      </left>
      <right style="thick">
        <color rgb="FFFF0000"/>
      </right>
      <top style="hair">
        <color indexed="63"/>
      </top>
      <bottom style="hair">
        <color indexed="63"/>
      </bottom>
      <diagonal/>
    </border>
    <border>
      <left style="thick">
        <color rgb="FFFF0000"/>
      </left>
      <right style="thin">
        <color indexed="63"/>
      </right>
      <top style="hair">
        <color indexed="63"/>
      </top>
      <bottom style="thick">
        <color rgb="FFFF0000"/>
      </bottom>
      <diagonal/>
    </border>
    <border>
      <left style="thin">
        <color indexed="63"/>
      </left>
      <right style="thick">
        <color rgb="FFFF0000"/>
      </right>
      <top style="hair">
        <color indexed="63"/>
      </top>
      <bottom style="thick">
        <color rgb="FFFF0000"/>
      </bottom>
      <diagonal/>
    </border>
    <border>
      <left style="thick">
        <color rgb="FFFF0000"/>
      </left>
      <right style="thin">
        <color indexed="63"/>
      </right>
      <top style="thick">
        <color rgb="FFFF0000"/>
      </top>
      <bottom style="hair">
        <color auto="1"/>
      </bottom>
      <diagonal/>
    </border>
    <border>
      <left style="thin">
        <color indexed="63"/>
      </left>
      <right style="thick">
        <color rgb="FFFF0000"/>
      </right>
      <top style="thick">
        <color rgb="FFFF0000"/>
      </top>
      <bottom style="hair">
        <color auto="1"/>
      </bottom>
      <diagonal/>
    </border>
    <border>
      <left style="thick">
        <color indexed="10"/>
      </left>
      <right style="thin">
        <color indexed="63"/>
      </right>
      <top style="hair">
        <color auto="1"/>
      </top>
      <bottom style="thick">
        <color indexed="10"/>
      </bottom>
      <diagonal/>
    </border>
    <border>
      <left style="thin">
        <color indexed="63"/>
      </left>
      <right style="thick">
        <color indexed="10"/>
      </right>
      <top style="hair">
        <color auto="1"/>
      </top>
      <bottom style="thick">
        <color indexed="10"/>
      </bottom>
      <diagonal/>
    </border>
    <border>
      <left style="thick">
        <color indexed="10"/>
      </left>
      <right style="thin">
        <color indexed="63"/>
      </right>
      <top style="thick">
        <color indexed="10"/>
      </top>
      <bottom style="hair">
        <color auto="1"/>
      </bottom>
      <diagonal/>
    </border>
    <border>
      <left style="thin">
        <color indexed="63"/>
      </left>
      <right style="thick">
        <color indexed="10"/>
      </right>
      <top style="thick">
        <color indexed="10"/>
      </top>
      <bottom style="hair">
        <color auto="1"/>
      </bottom>
      <diagonal/>
    </border>
    <border>
      <left style="thick">
        <color indexed="10"/>
      </left>
      <right style="thin">
        <color indexed="63"/>
      </right>
      <top style="thick">
        <color indexed="10"/>
      </top>
      <bottom style="hair">
        <color indexed="63"/>
      </bottom>
      <diagonal/>
    </border>
    <border>
      <left style="thin">
        <color indexed="63"/>
      </left>
      <right style="thick">
        <color indexed="10"/>
      </right>
      <top style="thick">
        <color indexed="10"/>
      </top>
      <bottom style="hair">
        <color indexed="63"/>
      </bottom>
      <diagonal/>
    </border>
    <border>
      <left style="thick">
        <color indexed="10"/>
      </left>
      <right style="thin">
        <color indexed="63"/>
      </right>
      <top style="thin">
        <color indexed="10"/>
      </top>
      <bottom style="hair">
        <color indexed="63"/>
      </bottom>
      <diagonal/>
    </border>
    <border>
      <left style="thin">
        <color indexed="63"/>
      </left>
      <right style="thick">
        <color indexed="10"/>
      </right>
      <top style="thin">
        <color indexed="10"/>
      </top>
      <bottom style="hair">
        <color indexed="63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3"/>
      </left>
      <right style="thick">
        <color indexed="10"/>
      </right>
      <top style="thick">
        <color rgb="FFFF0000"/>
      </top>
      <bottom style="hair">
        <color auto="1"/>
      </bottom>
      <diagonal/>
    </border>
    <border>
      <left style="thick">
        <color indexed="10"/>
      </left>
      <right style="thin">
        <color indexed="63"/>
      </right>
      <top style="hair">
        <color auto="1"/>
      </top>
      <bottom style="hair">
        <color auto="1"/>
      </bottom>
      <diagonal/>
    </border>
    <border>
      <left style="thin">
        <color indexed="63"/>
      </left>
      <right style="thick">
        <color indexed="10"/>
      </right>
      <top style="hair">
        <color auto="1"/>
      </top>
      <bottom style="hair">
        <color auto="1"/>
      </bottom>
      <diagonal/>
    </border>
    <border>
      <left style="thick">
        <color indexed="10"/>
      </left>
      <right style="thin">
        <color indexed="63"/>
      </right>
      <top style="hair">
        <color auto="1"/>
      </top>
      <bottom style="thick">
        <color indexed="10"/>
      </bottom>
      <diagonal/>
    </border>
    <border>
      <left style="thin">
        <color indexed="63"/>
      </left>
      <right style="thick">
        <color indexed="10"/>
      </right>
      <top style="hair">
        <color auto="1"/>
      </top>
      <bottom style="thick">
        <color indexed="10"/>
      </bottom>
      <diagonal/>
    </border>
    <border>
      <left style="thick">
        <color indexed="10"/>
      </left>
      <right style="thin">
        <color indexed="63"/>
      </right>
      <top style="thick">
        <color indexed="10"/>
      </top>
      <bottom style="hair">
        <color auto="1"/>
      </bottom>
      <diagonal/>
    </border>
    <border>
      <left style="thin">
        <color indexed="63"/>
      </left>
      <right style="thick">
        <color indexed="10"/>
      </right>
      <top style="thick">
        <color indexed="10"/>
      </top>
      <bottom style="hair">
        <color auto="1"/>
      </bottom>
      <diagonal/>
    </border>
    <border>
      <left style="thick">
        <color indexed="10"/>
      </left>
      <right style="thin">
        <color indexed="63"/>
      </right>
      <top style="hair">
        <color indexed="63"/>
      </top>
      <bottom style="thin">
        <color indexed="10"/>
      </bottom>
      <diagonal/>
    </border>
    <border>
      <left style="thin">
        <color indexed="63"/>
      </left>
      <right style="thick">
        <color indexed="10"/>
      </right>
      <top style="hair">
        <color indexed="63"/>
      </top>
      <bottom style="thin">
        <color indexed="10"/>
      </bottom>
      <diagonal/>
    </border>
    <border>
      <left style="thick">
        <color indexed="10"/>
      </left>
      <right style="thin">
        <color indexed="63"/>
      </right>
      <top style="thin">
        <color indexed="10"/>
      </top>
      <bottom style="hair">
        <color auto="1"/>
      </bottom>
      <diagonal/>
    </border>
    <border>
      <left style="thin">
        <color indexed="63"/>
      </left>
      <right style="thick">
        <color indexed="10"/>
      </right>
      <top style="thin">
        <color indexed="10"/>
      </top>
      <bottom style="hair">
        <color auto="1"/>
      </bottom>
      <diagonal/>
    </border>
    <border>
      <left style="thin">
        <color indexed="63"/>
      </left>
      <right style="thin">
        <color indexed="63"/>
      </right>
      <top style="thin">
        <color rgb="FFFF0000"/>
      </top>
      <bottom style="hair">
        <color indexed="63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rgb="FFFF0000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FF0000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rgb="FFFF0000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rgb="FFFF0000"/>
      </bottom>
      <diagonal/>
    </border>
    <border>
      <left style="medium">
        <color indexed="64"/>
      </left>
      <right style="thin">
        <color indexed="64"/>
      </right>
      <top style="thin">
        <color rgb="FFFF000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FF0000"/>
      </top>
      <bottom style="hair">
        <color indexed="64"/>
      </bottom>
      <diagonal/>
    </border>
    <border>
      <left style="thick">
        <color indexed="10"/>
      </left>
      <right style="thin">
        <color indexed="63"/>
      </right>
      <top style="hair">
        <color auto="1"/>
      </top>
      <bottom style="thin">
        <color indexed="10"/>
      </bottom>
      <diagonal/>
    </border>
    <border>
      <left style="thin">
        <color indexed="63"/>
      </left>
      <right style="thick">
        <color indexed="10"/>
      </right>
      <top style="hair">
        <color auto="1"/>
      </top>
      <bottom style="thin">
        <color indexed="10"/>
      </bottom>
      <diagonal/>
    </border>
    <border>
      <left style="thick">
        <color indexed="10"/>
      </left>
      <right style="thin">
        <color indexed="63"/>
      </right>
      <top style="thick">
        <color indexed="10"/>
      </top>
      <bottom style="hair">
        <color auto="1"/>
      </bottom>
      <diagonal/>
    </border>
    <border>
      <left style="thin">
        <color indexed="63"/>
      </left>
      <right style="thick">
        <color indexed="10"/>
      </right>
      <top style="thick">
        <color indexed="10"/>
      </top>
      <bottom style="hair">
        <color auto="1"/>
      </bottom>
      <diagonal/>
    </border>
    <border>
      <left style="thick">
        <color indexed="10"/>
      </left>
      <right style="thin">
        <color indexed="63"/>
      </right>
      <top style="hair">
        <color indexed="63"/>
      </top>
      <bottom style="thin">
        <color rgb="FFFF0000"/>
      </bottom>
      <diagonal/>
    </border>
    <border>
      <left style="thin">
        <color indexed="63"/>
      </left>
      <right style="thick">
        <color indexed="10"/>
      </right>
      <top style="hair">
        <color indexed="63"/>
      </top>
      <bottom style="thin">
        <color rgb="FFFF0000"/>
      </bottom>
      <diagonal/>
    </border>
    <border>
      <left/>
      <right style="thin">
        <color indexed="63"/>
      </right>
      <top style="hair">
        <color indexed="63"/>
      </top>
      <bottom style="hair">
        <color indexed="63"/>
      </bottom>
      <diagonal/>
    </border>
    <border>
      <left style="thick">
        <color rgb="FFFF0000"/>
      </left>
      <right style="thin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3"/>
      </left>
      <right style="thick">
        <color rgb="FFFF0000"/>
      </right>
      <top style="hair">
        <color indexed="63"/>
      </top>
      <bottom style="hair">
        <color indexed="63"/>
      </bottom>
      <diagonal/>
    </border>
    <border>
      <left style="thick">
        <color rgb="FFFF0000"/>
      </left>
      <right style="thin">
        <color indexed="63"/>
      </right>
      <top style="hair">
        <color indexed="63"/>
      </top>
      <bottom style="thick">
        <color rgb="FFFF0000"/>
      </bottom>
      <diagonal/>
    </border>
    <border>
      <left style="thin">
        <color indexed="63"/>
      </left>
      <right style="thick">
        <color rgb="FFFF0000"/>
      </right>
      <top style="hair">
        <color indexed="63"/>
      </top>
      <bottom style="thick">
        <color rgb="FFFF0000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3"/>
      </left>
      <right style="thick">
        <color indexed="10"/>
      </right>
      <top style="hair">
        <color auto="1"/>
      </top>
      <bottom style="hair">
        <color auto="1"/>
      </bottom>
      <diagonal/>
    </border>
    <border>
      <left style="thick">
        <color indexed="10"/>
      </left>
      <right style="thin">
        <color indexed="63"/>
      </right>
      <top style="thick">
        <color indexed="10"/>
      </top>
      <bottom style="hair">
        <color auto="1"/>
      </bottom>
      <diagonal/>
    </border>
    <border>
      <left style="thin">
        <color indexed="63"/>
      </left>
      <right style="thick">
        <color indexed="10"/>
      </right>
      <top style="thick">
        <color indexed="10"/>
      </top>
      <bottom style="hair">
        <color auto="1"/>
      </bottom>
      <diagonal/>
    </border>
    <border>
      <left style="thick">
        <color indexed="10"/>
      </left>
      <right style="thin">
        <color indexed="63"/>
      </right>
      <top style="hair">
        <color auto="1"/>
      </top>
      <bottom style="hair">
        <color auto="1"/>
      </bottom>
      <diagonal/>
    </border>
    <border>
      <left style="thick">
        <color indexed="10"/>
      </left>
      <right style="thin">
        <color indexed="63"/>
      </right>
      <top style="hair">
        <color auto="1"/>
      </top>
      <bottom style="thick">
        <color indexed="10"/>
      </bottom>
      <diagonal/>
    </border>
    <border>
      <left style="thin">
        <color indexed="63"/>
      </left>
      <right style="thick">
        <color indexed="10"/>
      </right>
      <top style="hair">
        <color auto="1"/>
      </top>
      <bottom style="thick">
        <color indexed="10"/>
      </bottom>
      <diagonal/>
    </border>
    <border>
      <left style="thick">
        <color rgb="FFFF0000"/>
      </left>
      <right style="thin">
        <color indexed="63"/>
      </right>
      <top style="hair">
        <color auto="1"/>
      </top>
      <bottom style="hair">
        <color auto="1"/>
      </bottom>
      <diagonal/>
    </border>
    <border>
      <left style="thin">
        <color indexed="63"/>
      </left>
      <right style="thick">
        <color rgb="FFFF0000"/>
      </right>
      <top style="hair">
        <color auto="1"/>
      </top>
      <bottom style="hair">
        <color auto="1"/>
      </bottom>
      <diagonal/>
    </border>
    <border>
      <left style="thick">
        <color rgb="FFFF0000"/>
      </left>
      <right style="thin">
        <color indexed="63"/>
      </right>
      <top style="hair">
        <color auto="1"/>
      </top>
      <bottom style="thick">
        <color rgb="FFFF0000"/>
      </bottom>
      <diagonal/>
    </border>
    <border>
      <left style="thin">
        <color indexed="63"/>
      </left>
      <right style="thick">
        <color rgb="FFFF0000"/>
      </right>
      <top style="hair">
        <color auto="1"/>
      </top>
      <bottom style="thick">
        <color rgb="FFFF0000"/>
      </bottom>
      <diagonal/>
    </border>
    <border>
      <left style="thick">
        <color indexed="10"/>
      </left>
      <right style="thin">
        <color indexed="63"/>
      </right>
      <top style="thick">
        <color indexed="10"/>
      </top>
      <bottom style="hair">
        <color auto="1"/>
      </bottom>
      <diagonal/>
    </border>
    <border>
      <left style="thin">
        <color indexed="63"/>
      </left>
      <right style="thick">
        <color indexed="10"/>
      </right>
      <top style="thick">
        <color indexed="10"/>
      </top>
      <bottom style="hair">
        <color auto="1"/>
      </bottom>
      <diagonal/>
    </border>
    <border>
      <left style="thick">
        <color indexed="10"/>
      </left>
      <right style="thin">
        <color indexed="63"/>
      </right>
      <top style="hair">
        <color auto="1"/>
      </top>
      <bottom/>
      <diagonal/>
    </border>
    <border>
      <left style="thin">
        <color indexed="63"/>
      </left>
      <right style="thick">
        <color indexed="10"/>
      </right>
      <top style="hair">
        <color auto="1"/>
      </top>
      <bottom/>
      <diagonal/>
    </border>
    <border>
      <left style="thick">
        <color indexed="10"/>
      </left>
      <right style="thin">
        <color indexed="63"/>
      </right>
      <top/>
      <bottom style="hair">
        <color auto="1"/>
      </bottom>
      <diagonal/>
    </border>
    <border>
      <left style="thin">
        <color indexed="63"/>
      </left>
      <right style="thick">
        <color indexed="10"/>
      </right>
      <top/>
      <bottom style="hair">
        <color auto="1"/>
      </bottom>
      <diagonal/>
    </border>
    <border>
      <left style="thick">
        <color indexed="10"/>
      </left>
      <right style="thin">
        <color indexed="63"/>
      </right>
      <top style="thick">
        <color indexed="10"/>
      </top>
      <bottom style="hair">
        <color auto="1"/>
      </bottom>
      <diagonal/>
    </border>
    <border>
      <left style="thin">
        <color indexed="63"/>
      </left>
      <right style="thick">
        <color indexed="10"/>
      </right>
      <top style="thick">
        <color indexed="10"/>
      </top>
      <bottom style="hair">
        <color auto="1"/>
      </bottom>
      <diagonal/>
    </border>
    <border>
      <left style="thick">
        <color indexed="10"/>
      </left>
      <right style="thin">
        <color indexed="63"/>
      </right>
      <top style="thick">
        <color indexed="10"/>
      </top>
      <bottom style="hair">
        <color auto="1"/>
      </bottom>
      <diagonal/>
    </border>
    <border>
      <left style="thin">
        <color indexed="63"/>
      </left>
      <right style="thick">
        <color indexed="10"/>
      </right>
      <top style="thick">
        <color indexed="10"/>
      </top>
      <bottom style="hair">
        <color auto="1"/>
      </bottom>
      <diagonal/>
    </border>
    <border>
      <left style="thick">
        <color indexed="10"/>
      </left>
      <right style="thin">
        <color indexed="63"/>
      </right>
      <top style="thick">
        <color indexed="10"/>
      </top>
      <bottom style="hair">
        <color auto="1"/>
      </bottom>
      <diagonal/>
    </border>
    <border>
      <left style="thin">
        <color indexed="63"/>
      </left>
      <right style="thick">
        <color indexed="10"/>
      </right>
      <top style="thick">
        <color indexed="10"/>
      </top>
      <bottom style="hair">
        <color auto="1"/>
      </bottom>
      <diagonal/>
    </border>
    <border>
      <left style="thick">
        <color indexed="10"/>
      </left>
      <right style="thin">
        <color indexed="63"/>
      </right>
      <top style="thick">
        <color indexed="10"/>
      </top>
      <bottom style="hair">
        <color auto="1"/>
      </bottom>
      <diagonal/>
    </border>
    <border>
      <left style="thin">
        <color indexed="63"/>
      </left>
      <right style="thick">
        <color indexed="10"/>
      </right>
      <top style="thick">
        <color indexed="10"/>
      </top>
      <bottom style="hair">
        <color auto="1"/>
      </bottom>
      <diagonal/>
    </border>
    <border>
      <left style="double">
        <color indexed="63"/>
      </left>
      <right style="thin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3"/>
      </left>
      <right style="thin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3"/>
      </left>
      <right style="double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3"/>
      </left>
      <right/>
      <top style="hair">
        <color indexed="63"/>
      </top>
      <bottom style="hair">
        <color indexed="63"/>
      </bottom>
      <diagonal/>
    </border>
    <border>
      <left/>
      <right style="thin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3"/>
      </left>
      <right style="thin">
        <color indexed="63"/>
      </right>
      <top style="hair">
        <color indexed="63"/>
      </top>
      <bottom/>
      <diagonal/>
    </border>
    <border>
      <left style="thick">
        <color rgb="FFFF0000"/>
      </left>
      <right style="thin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3"/>
      </left>
      <right style="thick">
        <color rgb="FFFF0000"/>
      </right>
      <top style="hair">
        <color indexed="63"/>
      </top>
      <bottom style="hair">
        <color indexed="63"/>
      </bottom>
      <diagonal/>
    </border>
    <border>
      <left style="thick">
        <color rgb="FFFF0000"/>
      </left>
      <right style="thin">
        <color indexed="63"/>
      </right>
      <top style="hair">
        <color indexed="63"/>
      </top>
      <bottom style="thick">
        <color rgb="FFFF0000"/>
      </bottom>
      <diagonal/>
    </border>
    <border>
      <left style="thin">
        <color indexed="63"/>
      </left>
      <right style="thick">
        <color rgb="FFFF0000"/>
      </right>
      <top style="hair">
        <color indexed="63"/>
      </top>
      <bottom style="thick">
        <color rgb="FFFF0000"/>
      </bottom>
      <diagonal/>
    </border>
    <border>
      <left style="thick">
        <color indexed="10"/>
      </left>
      <right style="thin">
        <color indexed="63"/>
      </right>
      <top/>
      <bottom style="thin">
        <color indexed="10"/>
      </bottom>
      <diagonal/>
    </border>
    <border>
      <left style="thin">
        <color indexed="63"/>
      </left>
      <right style="thick">
        <color indexed="10"/>
      </right>
      <top/>
      <bottom style="thin">
        <color indexed="10"/>
      </bottom>
      <diagonal/>
    </border>
    <border>
      <left style="thin">
        <color indexed="63"/>
      </left>
      <right style="thick">
        <color indexed="10"/>
      </right>
      <top style="hair">
        <color auto="1"/>
      </top>
      <bottom style="hair">
        <color auto="1"/>
      </bottom>
      <diagonal/>
    </border>
    <border>
      <left style="thick">
        <color indexed="10"/>
      </left>
      <right style="thin">
        <color indexed="63"/>
      </right>
      <top style="hair">
        <color auto="1"/>
      </top>
      <bottom style="thick">
        <color indexed="10"/>
      </bottom>
      <diagonal/>
    </border>
    <border>
      <left style="thin">
        <color indexed="63"/>
      </left>
      <right style="thick">
        <color indexed="10"/>
      </right>
      <top style="hair">
        <color auto="1"/>
      </top>
      <bottom style="thick">
        <color indexed="10"/>
      </bottom>
      <diagonal/>
    </border>
    <border>
      <left style="thin">
        <color indexed="63"/>
      </left>
      <right style="thin">
        <color indexed="63"/>
      </right>
      <top style="hair">
        <color indexed="63"/>
      </top>
      <bottom style="hair">
        <color indexed="63"/>
      </bottom>
      <diagonal/>
    </border>
    <border>
      <left style="thick">
        <color indexed="10"/>
      </left>
      <right style="thin">
        <color indexed="63"/>
      </right>
      <top style="thick">
        <color indexed="10"/>
      </top>
      <bottom style="hair">
        <color auto="1"/>
      </bottom>
      <diagonal/>
    </border>
    <border>
      <left style="thick">
        <color indexed="10"/>
      </left>
      <right style="thin">
        <color indexed="63"/>
      </right>
      <top style="thick">
        <color indexed="10"/>
      </top>
      <bottom style="hair">
        <color auto="1"/>
      </bottom>
      <diagonal/>
    </border>
    <border>
      <left style="thin">
        <color indexed="63"/>
      </left>
      <right style="thick">
        <color indexed="10"/>
      </right>
      <top style="thick">
        <color indexed="10"/>
      </top>
      <bottom style="hair">
        <color auto="1"/>
      </bottom>
      <diagonal/>
    </border>
    <border>
      <left style="thick">
        <color indexed="10"/>
      </left>
      <right style="thin">
        <color indexed="10"/>
      </right>
      <top style="hair">
        <color auto="1"/>
      </top>
      <bottom/>
      <diagonal/>
    </border>
    <border>
      <left style="thin">
        <color indexed="10"/>
      </left>
      <right style="thick">
        <color indexed="10"/>
      </right>
      <top style="hair">
        <color auto="1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10"/>
      </left>
      <right style="thin">
        <color indexed="63"/>
      </right>
      <top style="thick">
        <color indexed="10"/>
      </top>
      <bottom style="hair">
        <color auto="1"/>
      </bottom>
      <diagonal/>
    </border>
    <border>
      <left style="thin">
        <color indexed="63"/>
      </left>
      <right style="thick">
        <color indexed="10"/>
      </right>
      <top style="thick">
        <color indexed="10"/>
      </top>
      <bottom style="hair">
        <color auto="1"/>
      </bottom>
      <diagonal/>
    </border>
    <border>
      <left style="thick">
        <color indexed="10"/>
      </left>
      <right style="thin">
        <color indexed="63"/>
      </right>
      <top style="hair">
        <color auto="1"/>
      </top>
      <bottom style="hair">
        <color auto="1"/>
      </bottom>
      <diagonal/>
    </border>
    <border>
      <left style="thin">
        <color indexed="63"/>
      </left>
      <right style="thick">
        <color indexed="10"/>
      </right>
      <top style="hair">
        <color auto="1"/>
      </top>
      <bottom style="hair">
        <color auto="1"/>
      </bottom>
      <diagonal/>
    </border>
    <border>
      <left style="double">
        <color indexed="63"/>
      </left>
      <right style="thin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3"/>
      </left>
      <right style="thin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3"/>
      </left>
      <right/>
      <top style="hair">
        <color indexed="63"/>
      </top>
      <bottom style="hair">
        <color indexed="63"/>
      </bottom>
      <diagonal/>
    </border>
    <border>
      <left/>
      <right style="thin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3"/>
      </left>
      <right style="double">
        <color indexed="63"/>
      </right>
      <top style="hair">
        <color indexed="63"/>
      </top>
      <bottom style="hair">
        <color indexed="63"/>
      </bottom>
      <diagonal/>
    </border>
    <border>
      <left style="thick">
        <color rgb="FFFF0000"/>
      </left>
      <right style="thin">
        <color indexed="63"/>
      </right>
      <top style="hair">
        <color auto="1"/>
      </top>
      <bottom style="thick">
        <color rgb="FFFF0000"/>
      </bottom>
      <diagonal/>
    </border>
    <border>
      <left style="thin">
        <color indexed="63"/>
      </left>
      <right style="thick">
        <color indexed="10"/>
      </right>
      <top style="hair">
        <color auto="1"/>
      </top>
      <bottom style="thick">
        <color rgb="FFFF0000"/>
      </bottom>
      <diagonal/>
    </border>
    <border>
      <left style="thick">
        <color rgb="FFFF0000"/>
      </left>
      <right style="thin">
        <color indexed="63"/>
      </right>
      <top style="thick">
        <color indexed="10"/>
      </top>
      <bottom style="hair">
        <color auto="1"/>
      </bottom>
      <diagonal/>
    </border>
    <border>
      <left style="thin">
        <color indexed="63"/>
      </left>
      <right style="thick">
        <color indexed="10"/>
      </right>
      <top style="thick">
        <color indexed="10"/>
      </top>
      <bottom style="hair">
        <color auto="1"/>
      </bottom>
      <diagonal/>
    </border>
    <border>
      <left style="thick">
        <color rgb="FFFF0000"/>
      </left>
      <right style="thin">
        <color indexed="63"/>
      </right>
      <top style="hair">
        <color auto="1"/>
      </top>
      <bottom style="thick">
        <color rgb="FFFF0000"/>
      </bottom>
      <diagonal/>
    </border>
    <border>
      <left style="thin">
        <color indexed="63"/>
      </left>
      <right style="thick">
        <color indexed="10"/>
      </right>
      <top style="hair">
        <color auto="1"/>
      </top>
      <bottom style="thick">
        <color rgb="FFFF0000"/>
      </bottom>
      <diagonal/>
    </border>
    <border>
      <left style="thick">
        <color rgb="FFFF0000"/>
      </left>
      <right style="thin">
        <color indexed="63"/>
      </right>
      <top style="hair">
        <color auto="1"/>
      </top>
      <bottom style="hair">
        <color auto="1"/>
      </bottom>
      <diagonal/>
    </border>
    <border>
      <left style="thin">
        <color indexed="63"/>
      </left>
      <right style="thick">
        <color indexed="10"/>
      </right>
      <top style="hair">
        <color auto="1"/>
      </top>
      <bottom style="hair">
        <color auto="1"/>
      </bottom>
      <diagonal/>
    </border>
    <border>
      <left style="thick">
        <color rgb="FFFF0000"/>
      </left>
      <right style="thin">
        <color indexed="63"/>
      </right>
      <top style="hair">
        <color auto="1"/>
      </top>
      <bottom style="thick">
        <color rgb="FFFF0000"/>
      </bottom>
      <diagonal/>
    </border>
    <border>
      <left style="thin">
        <color indexed="63"/>
      </left>
      <right style="thick">
        <color indexed="10"/>
      </right>
      <top style="hair">
        <color auto="1"/>
      </top>
      <bottom style="thick">
        <color rgb="FFFF0000"/>
      </bottom>
      <diagonal/>
    </border>
    <border>
      <left style="thick">
        <color rgb="FFFF0000"/>
      </left>
      <right style="thin">
        <color indexed="63"/>
      </right>
      <top style="hair">
        <color auto="1"/>
      </top>
      <bottom style="thin">
        <color rgb="FFFF0000"/>
      </bottom>
      <diagonal/>
    </border>
    <border>
      <left style="thin">
        <color indexed="63"/>
      </left>
      <right style="thick">
        <color indexed="10"/>
      </right>
      <top style="hair">
        <color auto="1"/>
      </top>
      <bottom style="thin">
        <color rgb="FFFF0000"/>
      </bottom>
      <diagonal/>
    </border>
    <border>
      <left style="thick">
        <color rgb="FFFF0000"/>
      </left>
      <right style="thin">
        <color indexed="63"/>
      </right>
      <top style="thin">
        <color rgb="FFFF0000"/>
      </top>
      <bottom style="thick">
        <color rgb="FFFF0000"/>
      </bottom>
      <diagonal/>
    </border>
    <border>
      <left style="thin">
        <color indexed="63"/>
      </left>
      <right style="thick">
        <color indexed="10"/>
      </right>
      <top style="thin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10"/>
      </left>
      <right style="thin">
        <color auto="1"/>
      </right>
      <top style="thick">
        <color indexed="10"/>
      </top>
      <bottom style="hair">
        <color auto="1"/>
      </bottom>
      <diagonal/>
    </border>
    <border>
      <left style="thin">
        <color auto="1"/>
      </left>
      <right style="thick">
        <color indexed="10"/>
      </right>
      <top style="thick">
        <color indexed="10"/>
      </top>
      <bottom style="hair">
        <color auto="1"/>
      </bottom>
      <diagonal/>
    </border>
    <border>
      <left style="thick">
        <color indexed="10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ck">
        <color indexed="10"/>
      </right>
      <top style="hair">
        <color auto="1"/>
      </top>
      <bottom style="hair">
        <color auto="1"/>
      </bottom>
      <diagonal/>
    </border>
    <border>
      <left style="thick">
        <color indexed="10"/>
      </left>
      <right style="thin">
        <color auto="1"/>
      </right>
      <top style="hair">
        <color auto="1"/>
      </top>
      <bottom style="thick">
        <color indexed="10"/>
      </bottom>
      <diagonal/>
    </border>
    <border>
      <left style="thin">
        <color auto="1"/>
      </left>
      <right style="thick">
        <color indexed="10"/>
      </right>
      <top style="hair">
        <color auto="1"/>
      </top>
      <bottom style="thick">
        <color indexed="10"/>
      </bottom>
      <diagonal/>
    </border>
    <border>
      <left style="thick">
        <color indexed="10"/>
      </left>
      <right style="thin">
        <color indexed="63"/>
      </right>
      <top style="thick">
        <color rgb="FFFF0000"/>
      </top>
      <bottom style="hair">
        <color auto="1"/>
      </bottom>
      <diagonal/>
    </border>
    <border>
      <left style="thick">
        <color rgb="FFFF0000"/>
      </left>
      <right style="thin">
        <color indexed="63"/>
      </right>
      <top style="hair">
        <color auto="1"/>
      </top>
      <bottom style="hair">
        <color auto="1"/>
      </bottom>
      <diagonal/>
    </border>
    <border>
      <left style="thin">
        <color indexed="63"/>
      </left>
      <right style="thick">
        <color indexed="10"/>
      </right>
      <top style="hair">
        <color auto="1"/>
      </top>
      <bottom style="hair">
        <color auto="1"/>
      </bottom>
      <diagonal/>
    </border>
    <border>
      <left style="thick">
        <color rgb="FFFF0000"/>
      </left>
      <right style="thin">
        <color indexed="63"/>
      </right>
      <top style="hair">
        <color auto="1"/>
      </top>
      <bottom style="thick">
        <color rgb="FFFF0000"/>
      </bottom>
      <diagonal/>
    </border>
    <border>
      <left style="thin">
        <color indexed="63"/>
      </left>
      <right style="thick">
        <color indexed="10"/>
      </right>
      <top style="hair">
        <color auto="1"/>
      </top>
      <bottom style="thick">
        <color rgb="FFFF0000"/>
      </bottom>
      <diagonal/>
    </border>
    <border>
      <left style="double">
        <color indexed="63"/>
      </left>
      <right style="thin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3"/>
      </left>
      <right style="thin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3"/>
      </left>
      <right/>
      <top style="hair">
        <color indexed="63"/>
      </top>
      <bottom style="hair">
        <color indexed="63"/>
      </bottom>
      <diagonal/>
    </border>
    <border>
      <left/>
      <right style="thin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3"/>
      </left>
      <right style="double">
        <color indexed="63"/>
      </right>
      <top style="hair">
        <color indexed="63"/>
      </top>
      <bottom style="hair">
        <color indexed="63"/>
      </bottom>
      <diagonal/>
    </border>
    <border>
      <left style="thick">
        <color rgb="FFFF0000"/>
      </left>
      <right style="thin">
        <color indexed="63"/>
      </right>
      <top style="hair">
        <color auto="1"/>
      </top>
      <bottom style="hair">
        <color auto="1"/>
      </bottom>
      <diagonal/>
    </border>
    <border>
      <left style="thin">
        <color indexed="63"/>
      </left>
      <right style="thick">
        <color indexed="10"/>
      </right>
      <top style="hair">
        <color auto="1"/>
      </top>
      <bottom style="hair">
        <color auto="1"/>
      </bottom>
      <diagonal/>
    </border>
    <border>
      <left style="thick">
        <color rgb="FFFF0000"/>
      </left>
      <right style="thin">
        <color indexed="63"/>
      </right>
      <top style="hair">
        <color auto="1"/>
      </top>
      <bottom style="thick">
        <color rgb="FFFF0000"/>
      </bottom>
      <diagonal/>
    </border>
    <border>
      <left style="thin">
        <color indexed="63"/>
      </left>
      <right style="thick">
        <color indexed="10"/>
      </right>
      <top style="hair">
        <color auto="1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10"/>
      </left>
      <right style="thin">
        <color auto="1"/>
      </right>
      <top style="thick">
        <color rgb="FFFF0000"/>
      </top>
      <bottom style="hair">
        <color auto="1"/>
      </bottom>
      <diagonal/>
    </border>
    <border>
      <left style="thin">
        <color auto="1"/>
      </left>
      <right style="thick">
        <color indexed="10"/>
      </right>
      <top style="thick">
        <color rgb="FFFF0000"/>
      </top>
      <bottom style="hair">
        <color auto="1"/>
      </bottom>
      <diagonal/>
    </border>
    <border>
      <left style="thick">
        <color indexed="10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ck">
        <color indexed="10"/>
      </right>
      <top style="hair">
        <color auto="1"/>
      </top>
      <bottom style="hair">
        <color auto="1"/>
      </bottom>
      <diagonal/>
    </border>
    <border>
      <left style="thick">
        <color indexed="10"/>
      </left>
      <right style="thin">
        <color auto="1"/>
      </right>
      <top style="hair">
        <color auto="1"/>
      </top>
      <bottom style="thick">
        <color indexed="10"/>
      </bottom>
      <diagonal/>
    </border>
    <border>
      <left style="thin">
        <color auto="1"/>
      </left>
      <right style="thick">
        <color indexed="10"/>
      </right>
      <top style="hair">
        <color auto="1"/>
      </top>
      <bottom style="thick">
        <color indexed="10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ck">
        <color rgb="FFFF0000"/>
      </left>
      <right style="thin">
        <color indexed="63"/>
      </right>
      <top style="thin">
        <color rgb="FFFF0000"/>
      </top>
      <bottom style="hair">
        <color auto="1"/>
      </bottom>
      <diagonal/>
    </border>
    <border>
      <left style="thin">
        <color indexed="63"/>
      </left>
      <right style="thick">
        <color indexed="10"/>
      </right>
      <top style="thin">
        <color rgb="FFFF0000"/>
      </top>
      <bottom style="hair">
        <color auto="1"/>
      </bottom>
      <diagonal/>
    </border>
    <border>
      <left style="double">
        <color indexed="63"/>
      </left>
      <right style="thin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3"/>
      </left>
      <right style="thin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3"/>
      </left>
      <right style="thick">
        <color indexed="10"/>
      </right>
      <top style="hair">
        <color auto="1"/>
      </top>
      <bottom style="hair">
        <color auto="1"/>
      </bottom>
      <diagonal/>
    </border>
    <border>
      <left style="thick">
        <color rgb="FFFF0000"/>
      </left>
      <right style="thin">
        <color indexed="63"/>
      </right>
      <top style="hair">
        <color auto="1"/>
      </top>
      <bottom style="thick">
        <color rgb="FFFF0000"/>
      </bottom>
      <diagonal/>
    </border>
    <border>
      <left style="thin">
        <color indexed="63"/>
      </left>
      <right style="thick">
        <color indexed="10"/>
      </right>
      <top style="hair">
        <color auto="1"/>
      </top>
      <bottom style="thick">
        <color rgb="FFFF0000"/>
      </bottom>
      <diagonal/>
    </border>
    <border>
      <left style="double">
        <color indexed="63"/>
      </left>
      <right style="thin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3"/>
      </left>
      <right style="thin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3"/>
      </left>
      <right/>
      <top style="hair">
        <color indexed="63"/>
      </top>
      <bottom style="hair">
        <color indexed="63"/>
      </bottom>
      <diagonal/>
    </border>
    <border>
      <left/>
      <right style="thin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3"/>
      </left>
      <right style="double">
        <color indexed="63"/>
      </right>
      <top style="hair">
        <color indexed="63"/>
      </top>
      <bottom style="hair">
        <color indexed="63"/>
      </bottom>
      <diagonal/>
    </border>
    <border>
      <left style="thick">
        <color indexed="10"/>
      </left>
      <right style="thin">
        <color indexed="63"/>
      </right>
      <top style="hair">
        <color auto="1"/>
      </top>
      <bottom style="hair">
        <color auto="1"/>
      </bottom>
      <diagonal/>
    </border>
    <border>
      <left style="thin">
        <color indexed="63"/>
      </left>
      <right style="thick">
        <color indexed="10"/>
      </right>
      <top style="hair">
        <color indexed="64"/>
      </top>
      <bottom style="hair">
        <color indexed="64"/>
      </bottom>
      <diagonal/>
    </border>
    <border>
      <left style="thick">
        <color indexed="10"/>
      </left>
      <right style="thin">
        <color indexed="63"/>
      </right>
      <top style="hair">
        <color indexed="64"/>
      </top>
      <bottom style="thick">
        <color indexed="10"/>
      </bottom>
      <diagonal/>
    </border>
    <border>
      <left style="thin">
        <color indexed="63"/>
      </left>
      <right style="thick">
        <color indexed="10"/>
      </right>
      <top style="hair">
        <color indexed="64"/>
      </top>
      <bottom style="thick">
        <color indexed="10"/>
      </bottom>
      <diagonal/>
    </border>
    <border>
      <left style="thick">
        <color rgb="FFFF0000"/>
      </left>
      <right style="thin">
        <color indexed="63"/>
      </right>
      <top style="hair">
        <color auto="1"/>
      </top>
      <bottom style="thick">
        <color rgb="FFFF0000"/>
      </bottom>
      <diagonal/>
    </border>
    <border>
      <left style="thin">
        <color indexed="63"/>
      </left>
      <right style="thick">
        <color indexed="10"/>
      </right>
      <top style="hair">
        <color auto="1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3"/>
      </left>
      <right style="thin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3"/>
      </left>
      <right style="thin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3"/>
      </left>
      <right/>
      <top style="hair">
        <color indexed="63"/>
      </top>
      <bottom style="hair">
        <color indexed="63"/>
      </bottom>
      <diagonal/>
    </border>
    <border>
      <left style="thick">
        <color indexed="10"/>
      </left>
      <right style="thin">
        <color indexed="63"/>
      </right>
      <top style="hair">
        <color auto="1"/>
      </top>
      <bottom style="hair">
        <color auto="1"/>
      </bottom>
      <diagonal/>
    </border>
    <border>
      <left style="thin">
        <color indexed="63"/>
      </left>
      <right style="thick">
        <color indexed="10"/>
      </right>
      <top style="hair">
        <color auto="1"/>
      </top>
      <bottom style="hair">
        <color auto="1"/>
      </bottom>
      <diagonal/>
    </border>
    <border>
      <left/>
      <right style="thin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3"/>
      </left>
      <right style="double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3"/>
      </left>
      <right style="thin">
        <color indexed="63"/>
      </right>
      <top style="hair">
        <color indexed="63"/>
      </top>
      <bottom/>
      <diagonal/>
    </border>
    <border>
      <left style="thick">
        <color rgb="FFFF0000"/>
      </left>
      <right style="thin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3"/>
      </left>
      <right style="thick">
        <color rgb="FFFF0000"/>
      </right>
      <top style="hair">
        <color indexed="63"/>
      </top>
      <bottom style="hair">
        <color indexed="63"/>
      </bottom>
      <diagonal/>
    </border>
    <border>
      <left style="thick">
        <color rgb="FFFF0000"/>
      </left>
      <right style="thin">
        <color indexed="63"/>
      </right>
      <top style="hair">
        <color indexed="63"/>
      </top>
      <bottom style="thick">
        <color rgb="FFFF0000"/>
      </bottom>
      <diagonal/>
    </border>
    <border>
      <left style="thin">
        <color indexed="63"/>
      </left>
      <right style="thick">
        <color rgb="FFFF0000"/>
      </right>
      <top style="hair">
        <color indexed="63"/>
      </top>
      <bottom style="thick">
        <color rgb="FFFF0000"/>
      </bottom>
      <diagonal/>
    </border>
    <border>
      <left style="thick">
        <color rgb="FFFF0000"/>
      </left>
      <right style="thin">
        <color indexed="63"/>
      </right>
      <top style="hair">
        <color auto="1"/>
      </top>
      <bottom style="hair">
        <color auto="1"/>
      </bottom>
      <diagonal/>
    </border>
    <border>
      <left style="thin">
        <color indexed="63"/>
      </left>
      <right style="thick">
        <color rgb="FFFF0000"/>
      </right>
      <top style="hair">
        <color auto="1"/>
      </top>
      <bottom style="hair">
        <color auto="1"/>
      </bottom>
      <diagonal/>
    </border>
    <border>
      <left style="thick">
        <color rgb="FFFF0000"/>
      </left>
      <right style="thin">
        <color indexed="63"/>
      </right>
      <top style="hair">
        <color indexed="63"/>
      </top>
      <bottom style="hair">
        <color auto="1"/>
      </bottom>
      <diagonal/>
    </border>
    <border>
      <left style="thin">
        <color indexed="63"/>
      </left>
      <right style="thick">
        <color rgb="FFFF0000"/>
      </right>
      <top style="hair">
        <color indexed="63"/>
      </top>
      <bottom style="hair">
        <color auto="1"/>
      </bottom>
      <diagonal/>
    </border>
    <border>
      <left style="thick">
        <color rgb="FFFF0000"/>
      </left>
      <right style="thin">
        <color indexed="63"/>
      </right>
      <top/>
      <bottom style="hair">
        <color auto="1"/>
      </bottom>
      <diagonal/>
    </border>
    <border>
      <left style="thick">
        <color rgb="FFFF0000"/>
      </left>
      <right style="thin">
        <color indexed="63"/>
      </right>
      <top style="hair">
        <color auto="1"/>
      </top>
      <bottom style="thick">
        <color rgb="FFFF0000"/>
      </bottom>
      <diagonal/>
    </border>
    <border>
      <left style="thin">
        <color indexed="63"/>
      </left>
      <right style="thick">
        <color indexed="10"/>
      </right>
      <top style="hair">
        <color auto="1"/>
      </top>
      <bottom style="thick">
        <color rgb="FFFF0000"/>
      </bottom>
      <diagonal/>
    </border>
    <border>
      <left style="thick">
        <color rgb="FFFF0000"/>
      </left>
      <right style="thin">
        <color indexed="63"/>
      </right>
      <top style="hair">
        <color auto="1"/>
      </top>
      <bottom style="hair">
        <color auto="1"/>
      </bottom>
      <diagonal/>
    </border>
    <border>
      <left style="thin">
        <color indexed="63"/>
      </left>
      <right style="thick">
        <color indexed="10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ck">
        <color rgb="FFFF0000"/>
      </left>
      <right style="thin">
        <color indexed="63"/>
      </right>
      <top style="thick">
        <color rgb="FFFF0000"/>
      </top>
      <bottom style="hair">
        <color rgb="FFFF0000"/>
      </bottom>
      <diagonal/>
    </border>
    <border>
      <left style="thin">
        <color indexed="63"/>
      </left>
      <right style="thick">
        <color indexed="10"/>
      </right>
      <top style="thick">
        <color rgb="FFFF0000"/>
      </top>
      <bottom style="hair">
        <color rgb="FFFF0000"/>
      </bottom>
      <diagonal/>
    </border>
    <border>
      <left style="thick">
        <color rgb="FFFF0000"/>
      </left>
      <right style="thin">
        <color indexed="63"/>
      </right>
      <top style="hair">
        <color rgb="FFFF0000"/>
      </top>
      <bottom style="hair">
        <color rgb="FFFF0000"/>
      </bottom>
      <diagonal/>
    </border>
    <border>
      <left style="thin">
        <color indexed="63"/>
      </left>
      <right style="thick">
        <color indexed="10"/>
      </right>
      <top style="hair">
        <color rgb="FFFF0000"/>
      </top>
      <bottom style="hair">
        <color rgb="FFFF0000"/>
      </bottom>
      <diagonal/>
    </border>
    <border>
      <left style="thick">
        <color rgb="FFFF0000"/>
      </left>
      <right style="thin">
        <color indexed="63"/>
      </right>
      <top style="hair">
        <color rgb="FFFF0000"/>
      </top>
      <bottom style="thick">
        <color rgb="FFFF0000"/>
      </bottom>
      <diagonal/>
    </border>
    <border>
      <left style="thin">
        <color indexed="63"/>
      </left>
      <right style="thick">
        <color indexed="10"/>
      </right>
      <top style="hair">
        <color rgb="FFFF0000"/>
      </top>
      <bottom style="thick">
        <color rgb="FFFF0000"/>
      </bottom>
      <diagonal/>
    </border>
    <border>
      <left style="thick">
        <color rgb="FFFF0000"/>
      </left>
      <right style="thin">
        <color indexed="63"/>
      </right>
      <top style="hair">
        <color auto="1"/>
      </top>
      <bottom style="hair">
        <color auto="1"/>
      </bottom>
      <diagonal/>
    </border>
    <border>
      <left style="thick">
        <color indexed="10"/>
      </left>
      <right style="thin">
        <color indexed="63"/>
      </right>
      <top style="hair">
        <color auto="1"/>
      </top>
      <bottom style="hair">
        <color auto="1"/>
      </bottom>
      <diagonal/>
    </border>
    <border>
      <left style="thick">
        <color indexed="10"/>
      </left>
      <right style="thin">
        <color indexed="63"/>
      </right>
      <top style="hair">
        <color auto="1"/>
      </top>
      <bottom style="hair">
        <color auto="1"/>
      </bottom>
      <diagonal/>
    </border>
    <border>
      <left style="thin">
        <color indexed="63"/>
      </left>
      <right style="thick">
        <color indexed="10"/>
      </right>
      <top style="hair">
        <color auto="1"/>
      </top>
      <bottom style="hair">
        <color auto="1"/>
      </bottom>
      <diagonal/>
    </border>
    <border>
      <left style="thick">
        <color indexed="10"/>
      </left>
      <right style="thin">
        <color indexed="63"/>
      </right>
      <top style="hair">
        <color auto="1"/>
      </top>
      <bottom style="hair">
        <color auto="1"/>
      </bottom>
      <diagonal/>
    </border>
    <border>
      <left style="thin">
        <color indexed="63"/>
      </left>
      <right style="thick">
        <color indexed="10"/>
      </right>
      <top style="hair">
        <color auto="1"/>
      </top>
      <bottom style="hair">
        <color auto="1"/>
      </bottom>
      <diagonal/>
    </border>
    <border>
      <left style="thick">
        <color indexed="10"/>
      </left>
      <right style="thin">
        <color indexed="63"/>
      </right>
      <top style="hair">
        <color auto="1"/>
      </top>
      <bottom style="hair">
        <color auto="1"/>
      </bottom>
      <diagonal/>
    </border>
    <border>
      <left style="thin">
        <color indexed="63"/>
      </left>
      <right style="thick">
        <color indexed="10"/>
      </right>
      <top style="hair">
        <color auto="1"/>
      </top>
      <bottom style="hair">
        <color auto="1"/>
      </bottom>
      <diagonal/>
    </border>
    <border>
      <left style="thick">
        <color rgb="FFFF0000"/>
      </left>
      <right style="thin">
        <color indexed="63"/>
      </right>
      <top style="hair">
        <color auto="1"/>
      </top>
      <bottom style="thin">
        <color rgb="FFFF0000"/>
      </bottom>
      <diagonal/>
    </border>
    <border>
      <left style="thin">
        <color indexed="63"/>
      </left>
      <right style="thick">
        <color indexed="10"/>
      </right>
      <top style="hair">
        <color auto="1"/>
      </top>
      <bottom style="thin">
        <color rgb="FFFF0000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rgb="FFFF0000"/>
      </left>
      <right style="thin">
        <color indexed="63"/>
      </right>
      <top style="hair">
        <color indexed="63"/>
      </top>
      <bottom style="thick">
        <color rgb="FFFF0000"/>
      </bottom>
      <diagonal/>
    </border>
    <border>
      <left style="thin">
        <color indexed="63"/>
      </left>
      <right style="thick">
        <color rgb="FFFF0000"/>
      </right>
      <top style="hair">
        <color indexed="63"/>
      </top>
      <bottom style="thick">
        <color rgb="FFFF0000"/>
      </bottom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1" fillId="0" borderId="0"/>
    <xf numFmtId="0" fontId="104" fillId="0" borderId="0"/>
  </cellStyleXfs>
  <cellXfs count="1782">
    <xf numFmtId="0" fontId="0" fillId="0" borderId="0" xfId="0"/>
    <xf numFmtId="0" fontId="3" fillId="0" borderId="0" xfId="0" applyFont="1" applyProtection="1"/>
    <xf numFmtId="0" fontId="4" fillId="0" borderId="0" xfId="0" applyFont="1" applyFill="1" applyProtection="1"/>
    <xf numFmtId="0" fontId="11" fillId="0" borderId="0" xfId="0" applyFont="1" applyFill="1" applyProtection="1"/>
    <xf numFmtId="0" fontId="5" fillId="0" borderId="0" xfId="0" applyFont="1" applyFill="1" applyProtection="1"/>
    <xf numFmtId="0" fontId="3" fillId="0" borderId="0" xfId="0" applyFont="1" applyAlignment="1" applyProtection="1">
      <alignment horizontal="center" wrapText="1"/>
    </xf>
    <xf numFmtId="0" fontId="3" fillId="2" borderId="0" xfId="0" applyFont="1" applyFill="1" applyAlignment="1" applyProtection="1">
      <alignment horizontal="center" wrapText="1"/>
    </xf>
    <xf numFmtId="166" fontId="6" fillId="0" borderId="0" xfId="0" applyNumberFormat="1" applyFont="1" applyFill="1" applyProtection="1"/>
    <xf numFmtId="0" fontId="4" fillId="0" borderId="0" xfId="0" applyFont="1" applyProtection="1"/>
    <xf numFmtId="0" fontId="7" fillId="0" borderId="0" xfId="0" applyFont="1" applyAlignment="1" applyProtection="1">
      <alignment horizontal="center" wrapText="1"/>
    </xf>
    <xf numFmtId="166" fontId="4" fillId="0" borderId="0" xfId="0" applyNumberFormat="1" applyFont="1" applyProtection="1"/>
    <xf numFmtId="167" fontId="4" fillId="0" borderId="0" xfId="0" applyNumberFormat="1" applyFont="1" applyProtection="1"/>
    <xf numFmtId="0" fontId="12" fillId="3" borderId="0" xfId="0" applyFont="1" applyFill="1" applyProtection="1">
      <protection locked="0"/>
    </xf>
    <xf numFmtId="15" fontId="3" fillId="4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Protection="1"/>
    <xf numFmtId="0" fontId="6" fillId="2" borderId="0" xfId="0" applyFont="1" applyFill="1" applyProtection="1"/>
    <xf numFmtId="49" fontId="14" fillId="0" borderId="0" xfId="3" applyNumberFormat="1" applyFont="1" applyFill="1" applyBorder="1" applyAlignment="1" applyProtection="1">
      <alignment horizontal="left" vertical="center"/>
    </xf>
    <xf numFmtId="49" fontId="15" fillId="0" borderId="0" xfId="3" applyNumberFormat="1" applyFont="1" applyFill="1" applyBorder="1" applyAlignment="1" applyProtection="1">
      <alignment horizontal="left" vertical="center"/>
    </xf>
    <xf numFmtId="0" fontId="16" fillId="0" borderId="0" xfId="3" applyFont="1" applyFill="1" applyProtection="1"/>
    <xf numFmtId="4" fontId="3" fillId="0" borderId="0" xfId="0" applyNumberFormat="1" applyFont="1" applyAlignment="1" applyProtection="1">
      <alignment horizontal="right"/>
    </xf>
    <xf numFmtId="0" fontId="3" fillId="0" borderId="0" xfId="0" applyFont="1" applyAlignment="1" applyProtection="1">
      <alignment horizontal="center"/>
    </xf>
    <xf numFmtId="0" fontId="11" fillId="0" borderId="0" xfId="3" quotePrefix="1" applyFont="1" applyFill="1" applyProtection="1"/>
    <xf numFmtId="9" fontId="11" fillId="0" borderId="0" xfId="3" applyNumberFormat="1" applyFont="1" applyFill="1" applyAlignment="1" applyProtection="1">
      <alignment horizontal="center"/>
    </xf>
    <xf numFmtId="4" fontId="6" fillId="0" borderId="0" xfId="0" applyNumberFormat="1" applyFont="1" applyAlignment="1" applyProtection="1">
      <alignment horizontal="right"/>
    </xf>
    <xf numFmtId="13" fontId="12" fillId="3" borderId="0" xfId="0" applyNumberFormat="1" applyFont="1" applyFill="1" applyProtection="1">
      <protection locked="0"/>
    </xf>
    <xf numFmtId="169" fontId="6" fillId="0" borderId="0" xfId="1" applyNumberFormat="1" applyFont="1" applyProtection="1"/>
    <xf numFmtId="0" fontId="11" fillId="0" borderId="0" xfId="3" applyFont="1" applyFill="1" applyProtection="1"/>
    <xf numFmtId="0" fontId="11" fillId="0" borderId="0" xfId="3" applyFont="1" applyFill="1" applyAlignment="1" applyProtection="1">
      <alignment horizontal="center"/>
    </xf>
    <xf numFmtId="0" fontId="17" fillId="0" borderId="0" xfId="0" applyFont="1" applyAlignment="1" applyProtection="1">
      <alignment horizontal="center"/>
    </xf>
    <xf numFmtId="0" fontId="17" fillId="0" borderId="0" xfId="0" applyFont="1" applyProtection="1"/>
    <xf numFmtId="0" fontId="17" fillId="2" borderId="0" xfId="0" applyFont="1" applyFill="1" applyProtection="1"/>
    <xf numFmtId="170" fontId="18" fillId="5" borderId="0" xfId="1" applyNumberFormat="1" applyFont="1" applyFill="1" applyProtection="1"/>
    <xf numFmtId="0" fontId="19" fillId="0" borderId="0" xfId="3" quotePrefix="1" applyFont="1" applyFill="1" applyProtection="1"/>
    <xf numFmtId="170" fontId="13" fillId="0" borderId="0" xfId="1" applyNumberFormat="1" applyFont="1" applyFill="1" applyProtection="1"/>
    <xf numFmtId="0" fontId="14" fillId="0" borderId="0" xfId="3" quotePrefix="1" applyFont="1" applyFill="1" applyProtection="1"/>
    <xf numFmtId="170" fontId="12" fillId="3" borderId="0" xfId="1" applyNumberFormat="1" applyFont="1" applyFill="1" applyProtection="1">
      <protection locked="0"/>
    </xf>
    <xf numFmtId="169" fontId="7" fillId="0" borderId="0" xfId="0" applyNumberFormat="1" applyFont="1" applyFill="1" applyProtection="1"/>
    <xf numFmtId="49" fontId="4" fillId="0" borderId="0" xfId="0" applyNumberFormat="1" applyFont="1" applyAlignment="1" applyProtection="1">
      <alignment wrapText="1"/>
    </xf>
    <xf numFmtId="49" fontId="6" fillId="0" borderId="0" xfId="0" applyNumberFormat="1" applyFont="1" applyAlignment="1" applyProtection="1">
      <alignment wrapText="1"/>
    </xf>
    <xf numFmtId="49" fontId="6" fillId="0" borderId="0" xfId="0" applyNumberFormat="1" applyFont="1" applyAlignment="1" applyProtection="1">
      <alignment horizontal="center"/>
    </xf>
    <xf numFmtId="49" fontId="6" fillId="2" borderId="0" xfId="0" applyNumberFormat="1" applyFont="1" applyFill="1" applyAlignment="1" applyProtection="1">
      <alignment wrapText="1"/>
    </xf>
    <xf numFmtId="49" fontId="3" fillId="4" borderId="2" xfId="0" applyNumberFormat="1" applyFont="1" applyFill="1" applyBorder="1" applyAlignment="1" applyProtection="1">
      <alignment horizontal="left"/>
      <protection locked="0"/>
    </xf>
    <xf numFmtId="49" fontId="3" fillId="4" borderId="3" xfId="0" applyNumberFormat="1" applyFont="1" applyFill="1" applyBorder="1" applyAlignment="1" applyProtection="1">
      <alignment horizontal="center"/>
      <protection locked="0"/>
    </xf>
    <xf numFmtId="168" fontId="6" fillId="0" borderId="0" xfId="0" applyNumberFormat="1" applyFont="1" applyProtection="1"/>
    <xf numFmtId="169" fontId="3" fillId="0" borderId="0" xfId="1" applyNumberFormat="1" applyFont="1" applyProtection="1"/>
    <xf numFmtId="170" fontId="18" fillId="6" borderId="0" xfId="1" applyNumberFormat="1" applyFont="1" applyFill="1" applyProtection="1"/>
    <xf numFmtId="167" fontId="6" fillId="0" borderId="0" xfId="0" applyNumberFormat="1" applyFont="1" applyProtection="1"/>
    <xf numFmtId="0" fontId="3" fillId="7" borderId="4" xfId="0" applyFont="1" applyFill="1" applyBorder="1" applyProtection="1"/>
    <xf numFmtId="0" fontId="3" fillId="7" borderId="5" xfId="0" applyFont="1" applyFill="1" applyBorder="1" applyProtection="1"/>
    <xf numFmtId="0" fontId="3" fillId="7" borderId="6" xfId="0" applyFont="1" applyFill="1" applyBorder="1" applyProtection="1"/>
    <xf numFmtId="0" fontId="3" fillId="7" borderId="7" xfId="0" applyFont="1" applyFill="1" applyBorder="1" applyProtection="1"/>
    <xf numFmtId="2" fontId="13" fillId="7" borderId="8" xfId="0" applyNumberFormat="1" applyFont="1" applyFill="1" applyBorder="1" applyProtection="1">
      <protection locked="0"/>
    </xf>
    <xf numFmtId="2" fontId="13" fillId="7" borderId="9" xfId="0" applyNumberFormat="1" applyFont="1" applyFill="1" applyBorder="1" applyProtection="1">
      <protection locked="0"/>
    </xf>
    <xf numFmtId="2" fontId="12" fillId="8" borderId="8" xfId="0" applyNumberFormat="1" applyFont="1" applyFill="1" applyBorder="1" applyProtection="1">
      <protection locked="0"/>
    </xf>
    <xf numFmtId="9" fontId="13" fillId="8" borderId="10" xfId="0" applyNumberFormat="1" applyFont="1" applyFill="1" applyBorder="1" applyProtection="1">
      <protection locked="0"/>
    </xf>
    <xf numFmtId="0" fontId="3" fillId="8" borderId="4" xfId="0" applyFont="1" applyFill="1" applyBorder="1" applyProtection="1"/>
    <xf numFmtId="0" fontId="3" fillId="8" borderId="5" xfId="0" applyFont="1" applyFill="1" applyBorder="1" applyProtection="1"/>
    <xf numFmtId="0" fontId="3" fillId="8" borderId="5" xfId="0" applyFont="1" applyFill="1" applyBorder="1" applyAlignment="1" applyProtection="1">
      <alignment horizontal="center"/>
    </xf>
    <xf numFmtId="0" fontId="3" fillId="8" borderId="11" xfId="0" applyFont="1" applyFill="1" applyBorder="1" applyProtection="1"/>
    <xf numFmtId="0" fontId="3" fillId="8" borderId="0" xfId="0" applyFont="1" applyFill="1" applyBorder="1" applyProtection="1"/>
    <xf numFmtId="0" fontId="3" fillId="8" borderId="6" xfId="0" applyFont="1" applyFill="1" applyBorder="1" applyProtection="1"/>
    <xf numFmtId="0" fontId="3" fillId="8" borderId="7" xfId="0" applyFont="1" applyFill="1" applyBorder="1" applyProtection="1"/>
    <xf numFmtId="0" fontId="6" fillId="9" borderId="4" xfId="0" applyFont="1" applyFill="1" applyBorder="1" applyProtection="1"/>
    <xf numFmtId="0" fontId="6" fillId="9" borderId="5" xfId="0" applyFont="1" applyFill="1" applyBorder="1" applyProtection="1"/>
    <xf numFmtId="9" fontId="13" fillId="9" borderId="8" xfId="0" applyNumberFormat="1" applyFont="1" applyFill="1" applyBorder="1" applyProtection="1">
      <protection locked="0"/>
    </xf>
    <xf numFmtId="0" fontId="6" fillId="9" borderId="11" xfId="0" applyFont="1" applyFill="1" applyBorder="1" applyProtection="1"/>
    <xf numFmtId="0" fontId="6" fillId="9" borderId="0" xfId="0" applyFont="1" applyFill="1" applyBorder="1" applyProtection="1"/>
    <xf numFmtId="9" fontId="13" fillId="9" borderId="10" xfId="0" applyNumberFormat="1" applyFont="1" applyFill="1" applyBorder="1" applyProtection="1">
      <protection locked="0"/>
    </xf>
    <xf numFmtId="0" fontId="6" fillId="9" borderId="6" xfId="0" applyFont="1" applyFill="1" applyBorder="1" applyProtection="1"/>
    <xf numFmtId="0" fontId="6" fillId="9" borderId="7" xfId="0" applyFont="1" applyFill="1" applyBorder="1" applyProtection="1"/>
    <xf numFmtId="9" fontId="13" fillId="9" borderId="9" xfId="0" applyNumberFormat="1" applyFont="1" applyFill="1" applyBorder="1" applyProtection="1">
      <protection locked="0"/>
    </xf>
    <xf numFmtId="49" fontId="10" fillId="0" borderId="0" xfId="0" applyNumberFormat="1" applyFont="1" applyAlignment="1" applyProtection="1">
      <alignment horizontal="right"/>
    </xf>
    <xf numFmtId="49" fontId="6" fillId="6" borderId="0" xfId="0" applyNumberFormat="1" applyFont="1" applyFill="1" applyAlignment="1" applyProtection="1">
      <alignment wrapText="1"/>
      <protection locked="0"/>
    </xf>
    <xf numFmtId="49" fontId="6" fillId="6" borderId="0" xfId="0" applyNumberFormat="1" applyFont="1" applyFill="1" applyAlignment="1" applyProtection="1">
      <alignment horizontal="center"/>
      <protection locked="0"/>
    </xf>
    <xf numFmtId="166" fontId="6" fillId="6" borderId="0" xfId="0" applyNumberFormat="1" applyFont="1" applyFill="1" applyProtection="1">
      <protection locked="0"/>
    </xf>
    <xf numFmtId="0" fontId="6" fillId="6" borderId="0" xfId="0" applyFont="1" applyFill="1" applyProtection="1">
      <protection locked="0"/>
    </xf>
    <xf numFmtId="166" fontId="4" fillId="6" borderId="0" xfId="0" applyNumberFormat="1" applyFont="1" applyFill="1" applyProtection="1">
      <protection locked="0"/>
    </xf>
    <xf numFmtId="49" fontId="4" fillId="6" borderId="0" xfId="0" applyNumberFormat="1" applyFont="1" applyFill="1" applyAlignment="1" applyProtection="1">
      <alignment wrapText="1"/>
      <protection locked="0"/>
    </xf>
    <xf numFmtId="167" fontId="4" fillId="6" borderId="0" xfId="0" applyNumberFormat="1" applyFont="1" applyFill="1" applyProtection="1">
      <protection locked="0"/>
    </xf>
    <xf numFmtId="0" fontId="4" fillId="6" borderId="0" xfId="0" applyFont="1" applyFill="1" applyProtection="1">
      <protection locked="0"/>
    </xf>
    <xf numFmtId="0" fontId="6" fillId="0" borderId="0" xfId="0" applyFont="1" applyProtection="1">
      <protection locked="0"/>
    </xf>
    <xf numFmtId="1" fontId="20" fillId="0" borderId="0" xfId="0" applyNumberFormat="1" applyFont="1"/>
    <xf numFmtId="0" fontId="21" fillId="0" borderId="0" xfId="0" applyFont="1"/>
    <xf numFmtId="0" fontId="20" fillId="0" borderId="0" xfId="0" applyFont="1"/>
    <xf numFmtId="165" fontId="20" fillId="0" borderId="0" xfId="1" applyNumberFormat="1" applyFont="1" applyAlignment="1">
      <alignment horizontal="right"/>
    </xf>
    <xf numFmtId="0" fontId="20" fillId="0" borderId="0" xfId="0" applyFont="1" applyAlignment="1">
      <alignment horizontal="right"/>
    </xf>
    <xf numFmtId="3" fontId="20" fillId="0" borderId="0" xfId="0" applyNumberFormat="1" applyFont="1" applyAlignment="1">
      <alignment horizontal="right"/>
    </xf>
    <xf numFmtId="4" fontId="20" fillId="0" borderId="0" xfId="0" applyNumberFormat="1" applyFont="1" applyAlignment="1">
      <alignment horizontal="right"/>
    </xf>
    <xf numFmtId="0" fontId="20" fillId="0" borderId="12" xfId="0" applyFont="1" applyBorder="1" applyAlignment="1"/>
    <xf numFmtId="175" fontId="22" fillId="0" borderId="13" xfId="1" applyNumberFormat="1" applyFont="1" applyBorder="1" applyAlignment="1">
      <alignment horizontal="left"/>
    </xf>
    <xf numFmtId="165" fontId="20" fillId="0" borderId="12" xfId="1" applyNumberFormat="1" applyFont="1" applyBorder="1" applyAlignment="1">
      <alignment horizontal="right"/>
    </xf>
    <xf numFmtId="165" fontId="20" fillId="0" borderId="13" xfId="1" applyNumberFormat="1" applyFont="1" applyBorder="1" applyAlignment="1">
      <alignment horizontal="right"/>
    </xf>
    <xf numFmtId="10" fontId="24" fillId="11" borderId="13" xfId="4" applyNumberFormat="1" applyFont="1" applyFill="1" applyBorder="1" applyAlignment="1">
      <alignment horizontal="right" wrapText="1"/>
    </xf>
    <xf numFmtId="4" fontId="22" fillId="0" borderId="13" xfId="0" applyNumberFormat="1" applyFont="1" applyBorder="1" applyAlignment="1">
      <alignment horizontal="right" wrapText="1"/>
    </xf>
    <xf numFmtId="0" fontId="20" fillId="0" borderId="13" xfId="0" applyFont="1" applyBorder="1" applyAlignment="1"/>
    <xf numFmtId="0" fontId="20" fillId="0" borderId="14" xfId="0" applyFont="1" applyBorder="1" applyAlignment="1"/>
    <xf numFmtId="0" fontId="23" fillId="12" borderId="15" xfId="0" applyFont="1" applyFill="1" applyBorder="1" applyAlignment="1">
      <alignment horizontal="center" textRotation="90" wrapText="1"/>
    </xf>
    <xf numFmtId="0" fontId="23" fillId="12" borderId="15" xfId="0" applyFont="1" applyFill="1" applyBorder="1" applyAlignment="1">
      <alignment horizontal="center" wrapText="1"/>
    </xf>
    <xf numFmtId="0" fontId="23" fillId="12" borderId="16" xfId="0" applyFont="1" applyFill="1" applyBorder="1" applyAlignment="1">
      <alignment horizontal="center" wrapText="1"/>
    </xf>
    <xf numFmtId="0" fontId="22" fillId="0" borderId="0" xfId="0" applyFont="1" applyAlignment="1">
      <alignment wrapText="1"/>
    </xf>
    <xf numFmtId="165" fontId="20" fillId="0" borderId="15" xfId="1" applyNumberFormat="1" applyFont="1" applyBorder="1" applyAlignment="1">
      <alignment horizontal="center" vertical="center" wrapText="1"/>
    </xf>
    <xf numFmtId="165" fontId="20" fillId="0" borderId="17" xfId="1" applyNumberFormat="1" applyFont="1" applyBorder="1" applyAlignment="1">
      <alignment horizontal="center" vertical="center" wrapText="1"/>
    </xf>
    <xf numFmtId="165" fontId="20" fillId="0" borderId="15" xfId="1" applyNumberFormat="1" applyFont="1" applyBorder="1" applyAlignment="1">
      <alignment horizontal="center" vertical="center"/>
    </xf>
    <xf numFmtId="165" fontId="20" fillId="0" borderId="16" xfId="1" applyNumberFormat="1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3" fontId="20" fillId="0" borderId="16" xfId="0" applyNumberFormat="1" applyFont="1" applyBorder="1" applyAlignment="1">
      <alignment horizontal="center" vertical="center" wrapText="1"/>
    </xf>
    <xf numFmtId="4" fontId="20" fillId="0" borderId="16" xfId="0" applyNumberFormat="1" applyFont="1" applyBorder="1" applyAlignment="1">
      <alignment horizontal="center" vertical="center" wrapText="1"/>
    </xf>
    <xf numFmtId="4" fontId="20" fillId="0" borderId="17" xfId="0" applyNumberFormat="1" applyFont="1" applyBorder="1" applyAlignment="1">
      <alignment horizontal="center" vertical="center" wrapText="1"/>
    </xf>
    <xf numFmtId="0" fontId="20" fillId="0" borderId="0" xfId="0" applyFont="1" applyAlignment="1"/>
    <xf numFmtId="0" fontId="23" fillId="13" borderId="18" xfId="0" applyFont="1" applyFill="1" applyBorder="1" applyAlignment="1">
      <alignment horizontal="left"/>
    </xf>
    <xf numFmtId="0" fontId="25" fillId="13" borderId="19" xfId="0" applyFont="1" applyFill="1" applyBorder="1" applyAlignment="1">
      <alignment horizontal="center"/>
    </xf>
    <xf numFmtId="0" fontId="23" fillId="13" borderId="19" xfId="0" applyFont="1" applyFill="1" applyBorder="1" applyAlignment="1">
      <alignment horizontal="center" wrapText="1"/>
    </xf>
    <xf numFmtId="170" fontId="23" fillId="13" borderId="19" xfId="1" applyNumberFormat="1" applyFont="1" applyFill="1" applyBorder="1" applyAlignment="1">
      <alignment horizontal="center" wrapText="1"/>
    </xf>
    <xf numFmtId="165" fontId="23" fillId="13" borderId="19" xfId="1" applyFont="1" applyFill="1" applyBorder="1" applyAlignment="1">
      <alignment horizontal="center" wrapText="1"/>
    </xf>
    <xf numFmtId="0" fontId="23" fillId="13" borderId="20" xfId="0" applyFont="1" applyFill="1" applyBorder="1" applyAlignment="1">
      <alignment horizontal="center" wrapText="1"/>
    </xf>
    <xf numFmtId="0" fontId="22" fillId="0" borderId="0" xfId="0" applyFont="1" applyAlignment="1">
      <alignment horizontal="center" wrapText="1"/>
    </xf>
    <xf numFmtId="165" fontId="20" fillId="0" borderId="18" xfId="1" applyNumberFormat="1" applyFont="1" applyBorder="1" applyAlignment="1">
      <alignment horizontal="right"/>
    </xf>
    <xf numFmtId="165" fontId="20" fillId="0" borderId="20" xfId="1" applyNumberFormat="1" applyFont="1" applyBorder="1" applyAlignment="1">
      <alignment horizontal="right"/>
    </xf>
    <xf numFmtId="9" fontId="24" fillId="11" borderId="20" xfId="1" applyNumberFormat="1" applyFont="1" applyFill="1" applyBorder="1" applyAlignment="1">
      <alignment horizontal="right"/>
    </xf>
    <xf numFmtId="165" fontId="20" fillId="0" borderId="19" xfId="1" applyNumberFormat="1" applyFont="1" applyBorder="1" applyAlignment="1">
      <alignment horizontal="right"/>
    </xf>
    <xf numFmtId="165" fontId="20" fillId="0" borderId="19" xfId="0" applyNumberFormat="1" applyFont="1" applyBorder="1" applyAlignment="1">
      <alignment horizontal="right"/>
    </xf>
    <xf numFmtId="165" fontId="24" fillId="11" borderId="13" xfId="1" applyFont="1" applyFill="1" applyBorder="1" applyAlignment="1">
      <alignment horizontal="right" wrapText="1"/>
    </xf>
    <xf numFmtId="4" fontId="20" fillId="0" borderId="19" xfId="0" applyNumberFormat="1" applyFont="1" applyBorder="1" applyAlignment="1">
      <alignment horizontal="right"/>
    </xf>
    <xf numFmtId="165" fontId="20" fillId="0" borderId="19" xfId="0" applyNumberFormat="1" applyFont="1" applyBorder="1"/>
    <xf numFmtId="165" fontId="20" fillId="0" borderId="19" xfId="1" applyNumberFormat="1" applyFont="1" applyBorder="1"/>
    <xf numFmtId="0" fontId="20" fillId="0" borderId="19" xfId="0" applyFont="1" applyBorder="1"/>
    <xf numFmtId="168" fontId="20" fillId="0" borderId="19" xfId="0" applyNumberFormat="1" applyFont="1" applyBorder="1"/>
    <xf numFmtId="165" fontId="20" fillId="0" borderId="20" xfId="0" applyNumberFormat="1" applyFont="1" applyBorder="1"/>
    <xf numFmtId="165" fontId="20" fillId="0" borderId="18" xfId="1" applyNumberFormat="1" applyFont="1" applyFill="1" applyBorder="1" applyAlignment="1">
      <alignment horizontal="right"/>
    </xf>
    <xf numFmtId="165" fontId="20" fillId="0" borderId="19" xfId="1" applyFont="1" applyBorder="1"/>
    <xf numFmtId="165" fontId="26" fillId="11" borderId="21" xfId="1" applyNumberFormat="1" applyFont="1" applyFill="1" applyBorder="1" applyAlignment="1">
      <alignment horizontal="right"/>
    </xf>
    <xf numFmtId="165" fontId="20" fillId="0" borderId="22" xfId="1" applyNumberFormat="1" applyFont="1" applyBorder="1" applyAlignment="1">
      <alignment horizontal="right"/>
    </xf>
    <xf numFmtId="165" fontId="20" fillId="0" borderId="23" xfId="1" applyNumberFormat="1" applyFont="1" applyBorder="1" applyAlignment="1">
      <alignment horizontal="right"/>
    </xf>
    <xf numFmtId="165" fontId="20" fillId="0" borderId="23" xfId="0" applyNumberFormat="1" applyFont="1" applyBorder="1" applyAlignment="1">
      <alignment horizontal="right"/>
    </xf>
    <xf numFmtId="4" fontId="20" fillId="0" borderId="23" xfId="0" applyNumberFormat="1" applyFont="1" applyBorder="1" applyAlignment="1">
      <alignment horizontal="right"/>
    </xf>
    <xf numFmtId="165" fontId="20" fillId="0" borderId="23" xfId="0" applyNumberFormat="1" applyFont="1" applyBorder="1"/>
    <xf numFmtId="165" fontId="20" fillId="0" borderId="23" xfId="1" applyNumberFormat="1" applyFont="1" applyBorder="1"/>
    <xf numFmtId="168" fontId="20" fillId="0" borderId="23" xfId="0" applyNumberFormat="1" applyFont="1" applyBorder="1"/>
    <xf numFmtId="165" fontId="20" fillId="0" borderId="21" xfId="0" applyNumberFormat="1" applyFont="1" applyBorder="1"/>
    <xf numFmtId="165" fontId="22" fillId="0" borderId="0" xfId="1" applyNumberFormat="1" applyFont="1" applyAlignment="1">
      <alignment horizontal="left"/>
    </xf>
    <xf numFmtId="10" fontId="20" fillId="0" borderId="0" xfId="4" applyNumberFormat="1" applyFont="1" applyAlignment="1">
      <alignment horizontal="right"/>
    </xf>
    <xf numFmtId="4" fontId="22" fillId="0" borderId="0" xfId="0" applyNumberFormat="1" applyFont="1" applyAlignment="1">
      <alignment horizontal="right"/>
    </xf>
    <xf numFmtId="10" fontId="22" fillId="0" borderId="0" xfId="1" applyNumberFormat="1" applyFont="1" applyAlignment="1">
      <alignment horizontal="right"/>
    </xf>
    <xf numFmtId="0" fontId="20" fillId="0" borderId="0" xfId="0" applyFont="1" applyAlignment="1">
      <alignment horizontal="center"/>
    </xf>
    <xf numFmtId="171" fontId="20" fillId="0" borderId="0" xfId="1" applyNumberFormat="1" applyFont="1"/>
    <xf numFmtId="176" fontId="20" fillId="0" borderId="0" xfId="4" applyNumberFormat="1" applyFont="1" applyAlignment="1">
      <alignment horizontal="right"/>
    </xf>
    <xf numFmtId="165" fontId="20" fillId="0" borderId="22" xfId="1" applyNumberFormat="1" applyFont="1" applyFill="1" applyBorder="1" applyAlignment="1">
      <alignment horizontal="right"/>
    </xf>
    <xf numFmtId="165" fontId="20" fillId="0" borderId="23" xfId="1" applyFont="1" applyBorder="1"/>
    <xf numFmtId="0" fontId="3" fillId="0" borderId="0" xfId="0" applyFont="1"/>
    <xf numFmtId="49" fontId="29" fillId="0" borderId="0" xfId="3" applyNumberFormat="1" applyFont="1" applyFill="1" applyBorder="1" applyAlignment="1">
      <alignment horizontal="left"/>
    </xf>
    <xf numFmtId="0" fontId="30" fillId="0" borderId="0" xfId="3" applyFont="1"/>
    <xf numFmtId="49" fontId="29" fillId="14" borderId="0" xfId="3" applyNumberFormat="1" applyFont="1" applyFill="1" applyBorder="1" applyAlignment="1">
      <alignment horizontal="left" vertical="center"/>
    </xf>
    <xf numFmtId="0" fontId="30" fillId="15" borderId="0" xfId="3" applyFont="1" applyFill="1"/>
    <xf numFmtId="0" fontId="31" fillId="15" borderId="0" xfId="3" quotePrefix="1" applyFont="1" applyFill="1"/>
    <xf numFmtId="9" fontId="31" fillId="15" borderId="0" xfId="3" applyNumberFormat="1" applyFont="1" applyFill="1" applyAlignment="1">
      <alignment horizontal="center"/>
    </xf>
    <xf numFmtId="49" fontId="32" fillId="0" borderId="0" xfId="3" applyNumberFormat="1" applyFont="1" applyFill="1" applyBorder="1" applyAlignment="1">
      <alignment horizontal="left" vertical="center"/>
    </xf>
    <xf numFmtId="0" fontId="31" fillId="15" borderId="0" xfId="3" applyFont="1" applyFill="1"/>
    <xf numFmtId="49" fontId="29" fillId="14" borderId="0" xfId="3" applyNumberFormat="1" applyFont="1" applyFill="1" applyBorder="1" applyAlignment="1">
      <alignment horizontal="left"/>
    </xf>
    <xf numFmtId="49" fontId="33" fillId="14" borderId="0" xfId="3" applyNumberFormat="1" applyFont="1" applyFill="1" applyBorder="1" applyAlignment="1">
      <alignment horizontal="left"/>
    </xf>
    <xf numFmtId="2" fontId="33" fillId="14" borderId="0" xfId="3" applyNumberFormat="1" applyFont="1" applyFill="1" applyBorder="1" applyAlignment="1">
      <alignment horizontal="right"/>
    </xf>
    <xf numFmtId="177" fontId="33" fillId="14" borderId="0" xfId="4" applyNumberFormat="1" applyFont="1" applyFill="1" applyBorder="1" applyAlignment="1">
      <alignment horizontal="right"/>
    </xf>
    <xf numFmtId="49" fontId="34" fillId="16" borderId="0" xfId="3" applyNumberFormat="1" applyFont="1" applyFill="1" applyBorder="1" applyAlignment="1">
      <alignment horizontal="left"/>
    </xf>
    <xf numFmtId="2" fontId="35" fillId="14" borderId="0" xfId="3" applyNumberFormat="1" applyFont="1" applyFill="1" applyBorder="1" applyAlignment="1">
      <alignment horizontal="right"/>
    </xf>
    <xf numFmtId="49" fontId="29" fillId="0" borderId="0" xfId="3" applyNumberFormat="1" applyFont="1" applyFill="1" applyBorder="1" applyAlignment="1">
      <alignment horizontal="center"/>
    </xf>
    <xf numFmtId="0" fontId="36" fillId="0" borderId="0" xfId="3" applyFont="1" applyAlignment="1">
      <alignment horizontal="center"/>
    </xf>
    <xf numFmtId="49" fontId="29" fillId="0" borderId="0" xfId="3" applyNumberFormat="1" applyFont="1" applyFill="1" applyBorder="1" applyAlignment="1">
      <alignment horizontal="right"/>
    </xf>
    <xf numFmtId="49" fontId="37" fillId="0" borderId="0" xfId="3" applyNumberFormat="1" applyFont="1" applyFill="1" applyBorder="1" applyAlignment="1">
      <alignment horizontal="left" vertical="center"/>
    </xf>
    <xf numFmtId="178" fontId="29" fillId="0" borderId="0" xfId="1" applyNumberFormat="1" applyFont="1" applyFill="1" applyBorder="1" applyAlignment="1">
      <alignment horizontal="right"/>
    </xf>
    <xf numFmtId="2" fontId="35" fillId="14" borderId="0" xfId="3" applyNumberFormat="1" applyFont="1" applyFill="1" applyBorder="1" applyAlignment="1">
      <alignment horizontal="left"/>
    </xf>
    <xf numFmtId="49" fontId="38" fillId="0" borderId="0" xfId="3" applyNumberFormat="1" applyFont="1" applyFill="1" applyBorder="1" applyAlignment="1">
      <alignment horizontal="left"/>
    </xf>
    <xf numFmtId="49" fontId="38" fillId="0" borderId="0" xfId="3" applyNumberFormat="1" applyFont="1" applyFill="1" applyBorder="1" applyAlignment="1">
      <alignment horizontal="right"/>
    </xf>
    <xf numFmtId="9" fontId="33" fillId="14" borderId="0" xfId="4" applyFont="1" applyFill="1" applyBorder="1" applyAlignment="1">
      <alignment horizontal="right"/>
    </xf>
    <xf numFmtId="10" fontId="38" fillId="0" borderId="0" xfId="4" applyNumberFormat="1" applyFont="1" applyFill="1" applyBorder="1" applyAlignment="1">
      <alignment horizontal="right"/>
    </xf>
    <xf numFmtId="178" fontId="38" fillId="0" borderId="0" xfId="3" applyNumberFormat="1" applyFont="1" applyFill="1" applyBorder="1" applyAlignment="1">
      <alignment horizontal="right"/>
    </xf>
    <xf numFmtId="10" fontId="29" fillId="14" borderId="0" xfId="3" applyNumberFormat="1" applyFont="1" applyFill="1" applyBorder="1" applyAlignment="1">
      <alignment horizontal="right"/>
    </xf>
    <xf numFmtId="164" fontId="33" fillId="14" borderId="0" xfId="2" applyFont="1" applyFill="1" applyBorder="1" applyAlignment="1">
      <alignment horizontal="right"/>
    </xf>
    <xf numFmtId="10" fontId="29" fillId="14" borderId="0" xfId="4" applyNumberFormat="1" applyFont="1" applyFill="1" applyBorder="1" applyAlignment="1">
      <alignment horizontal="right"/>
    </xf>
    <xf numFmtId="10" fontId="38" fillId="0" borderId="0" xfId="3" applyNumberFormat="1" applyFont="1" applyFill="1" applyBorder="1" applyAlignment="1">
      <alignment horizontal="right"/>
    </xf>
    <xf numFmtId="49" fontId="38" fillId="0" borderId="0" xfId="3" applyNumberFormat="1" applyFont="1" applyFill="1" applyBorder="1" applyAlignment="1">
      <alignment horizontal="left" vertical="center"/>
    </xf>
    <xf numFmtId="180" fontId="39" fillId="0" borderId="0" xfId="4" applyNumberFormat="1" applyFont="1" applyFill="1" applyBorder="1" applyAlignment="1">
      <alignment horizontal="right"/>
    </xf>
    <xf numFmtId="165" fontId="39" fillId="0" borderId="0" xfId="1" applyFont="1" applyFill="1" applyBorder="1" applyAlignment="1">
      <alignment horizontal="right"/>
    </xf>
    <xf numFmtId="181" fontId="29" fillId="0" borderId="0" xfId="3" applyNumberFormat="1" applyFont="1" applyFill="1" applyBorder="1" applyAlignment="1">
      <alignment horizontal="left"/>
    </xf>
    <xf numFmtId="2" fontId="38" fillId="0" borderId="0" xfId="3" applyNumberFormat="1" applyFont="1" applyFill="1" applyBorder="1" applyAlignment="1">
      <alignment horizontal="right" vertical="center"/>
    </xf>
    <xf numFmtId="0" fontId="30" fillId="17" borderId="0" xfId="3" applyFont="1" applyFill="1"/>
    <xf numFmtId="182" fontId="30" fillId="17" borderId="0" xfId="3" applyNumberFormat="1" applyFont="1" applyFill="1"/>
    <xf numFmtId="0" fontId="36" fillId="17" borderId="0" xfId="3" applyFont="1" applyFill="1"/>
    <xf numFmtId="165" fontId="3" fillId="0" borderId="0" xfId="1" applyFont="1"/>
    <xf numFmtId="178" fontId="39" fillId="0" borderId="0" xfId="3" applyNumberFormat="1" applyFont="1" applyFill="1" applyBorder="1" applyAlignment="1">
      <alignment horizontal="right"/>
    </xf>
    <xf numFmtId="49" fontId="40" fillId="18" borderId="0" xfId="3" applyNumberFormat="1" applyFont="1" applyFill="1" applyBorder="1" applyAlignment="1">
      <alignment horizontal="left" vertical="center"/>
    </xf>
    <xf numFmtId="0" fontId="0" fillId="3" borderId="0" xfId="0" applyFill="1"/>
    <xf numFmtId="165" fontId="3" fillId="3" borderId="0" xfId="0" applyNumberFormat="1" applyFont="1" applyFill="1"/>
    <xf numFmtId="0" fontId="0" fillId="0" borderId="0" xfId="0" applyFill="1"/>
    <xf numFmtId="0" fontId="30" fillId="0" borderId="0" xfId="3" applyFont="1" applyFill="1"/>
    <xf numFmtId="49" fontId="34" fillId="0" borderId="0" xfId="3" applyNumberFormat="1" applyFont="1" applyFill="1" applyBorder="1" applyAlignment="1">
      <alignment horizontal="left"/>
    </xf>
    <xf numFmtId="0" fontId="36" fillId="0" borderId="0" xfId="3" applyFont="1" applyFill="1" applyAlignment="1">
      <alignment horizontal="center"/>
    </xf>
    <xf numFmtId="165" fontId="30" fillId="0" borderId="0" xfId="1" applyFont="1" applyFill="1"/>
    <xf numFmtId="165" fontId="3" fillId="0" borderId="0" xfId="1" applyFont="1" applyFill="1"/>
    <xf numFmtId="165" fontId="3" fillId="0" borderId="0" xfId="0" applyNumberFormat="1" applyFont="1" applyFill="1"/>
    <xf numFmtId="0" fontId="22" fillId="0" borderId="0" xfId="0" applyFont="1" applyAlignment="1">
      <alignment horizontal="left"/>
    </xf>
    <xf numFmtId="49" fontId="20" fillId="0" borderId="18" xfId="0" applyNumberFormat="1" applyFont="1" applyBorder="1" applyProtection="1">
      <protection locked="0"/>
    </xf>
    <xf numFmtId="49" fontId="20" fillId="0" borderId="19" xfId="0" applyNumberFormat="1" applyFont="1" applyBorder="1" applyAlignment="1" applyProtection="1">
      <alignment wrapText="1"/>
      <protection locked="0"/>
    </xf>
    <xf numFmtId="49" fontId="20" fillId="0" borderId="19" xfId="0" applyNumberFormat="1" applyFont="1" applyBorder="1" applyAlignment="1" applyProtection="1">
      <alignment horizontal="center"/>
      <protection locked="0"/>
    </xf>
    <xf numFmtId="166" fontId="20" fillId="0" borderId="19" xfId="0" applyNumberFormat="1" applyFont="1" applyFill="1" applyBorder="1" applyProtection="1">
      <protection locked="0"/>
    </xf>
    <xf numFmtId="165" fontId="20" fillId="0" borderId="19" xfId="1" applyNumberFormat="1" applyFont="1" applyFill="1" applyBorder="1" applyProtection="1">
      <protection locked="0"/>
    </xf>
    <xf numFmtId="165" fontId="20" fillId="0" borderId="19" xfId="1" applyFont="1" applyFill="1" applyBorder="1" applyProtection="1">
      <protection locked="0"/>
    </xf>
    <xf numFmtId="166" fontId="20" fillId="0" borderId="20" xfId="0" applyNumberFormat="1" applyFont="1" applyBorder="1" applyProtection="1">
      <protection locked="0"/>
    </xf>
    <xf numFmtId="49" fontId="20" fillId="0" borderId="18" xfId="0" applyNumberFormat="1" applyFont="1" applyFill="1" applyBorder="1" applyProtection="1">
      <protection locked="0"/>
    </xf>
    <xf numFmtId="49" fontId="20" fillId="0" borderId="19" xfId="0" applyNumberFormat="1" applyFont="1" applyFill="1" applyBorder="1" applyAlignment="1" applyProtection="1">
      <alignment wrapText="1"/>
      <protection locked="0"/>
    </xf>
    <xf numFmtId="49" fontId="20" fillId="0" borderId="33" xfId="0" applyNumberFormat="1" applyFont="1" applyBorder="1" applyProtection="1">
      <protection locked="0"/>
    </xf>
    <xf numFmtId="49" fontId="20" fillId="0" borderId="34" xfId="0" applyNumberFormat="1" applyFont="1" applyFill="1" applyBorder="1" applyAlignment="1" applyProtection="1">
      <alignment wrapText="1"/>
      <protection locked="0"/>
    </xf>
    <xf numFmtId="49" fontId="20" fillId="0" borderId="34" xfId="0" applyNumberFormat="1" applyFont="1" applyBorder="1" applyAlignment="1" applyProtection="1">
      <alignment horizontal="center"/>
      <protection locked="0"/>
    </xf>
    <xf numFmtId="49" fontId="20" fillId="0" borderId="34" xfId="0" applyNumberFormat="1" applyFont="1" applyBorder="1" applyAlignment="1" applyProtection="1">
      <alignment wrapText="1"/>
      <protection locked="0"/>
    </xf>
    <xf numFmtId="166" fontId="20" fillId="0" borderId="34" xfId="0" applyNumberFormat="1" applyFont="1" applyFill="1" applyBorder="1" applyProtection="1">
      <protection locked="0"/>
    </xf>
    <xf numFmtId="165" fontId="20" fillId="0" borderId="34" xfId="1" applyFont="1" applyFill="1" applyBorder="1" applyProtection="1">
      <protection locked="0"/>
    </xf>
    <xf numFmtId="49" fontId="20" fillId="19" borderId="22" xfId="0" applyNumberFormat="1" applyFont="1" applyFill="1" applyBorder="1" applyProtection="1">
      <protection locked="0"/>
    </xf>
    <xf numFmtId="49" fontId="20" fillId="19" borderId="23" xfId="0" applyNumberFormat="1" applyFont="1" applyFill="1" applyBorder="1" applyAlignment="1" applyProtection="1">
      <alignment wrapText="1"/>
      <protection locked="0"/>
    </xf>
    <xf numFmtId="49" fontId="20" fillId="19" borderId="23" xfId="0" applyNumberFormat="1" applyFont="1" applyFill="1" applyBorder="1" applyAlignment="1" applyProtection="1">
      <alignment horizontal="center"/>
      <protection locked="0"/>
    </xf>
    <xf numFmtId="166" fontId="20" fillId="19" borderId="23" xfId="0" applyNumberFormat="1" applyFont="1" applyFill="1" applyBorder="1" applyProtection="1">
      <protection locked="0"/>
    </xf>
    <xf numFmtId="174" fontId="20" fillId="19" borderId="23" xfId="0" applyNumberFormat="1" applyFont="1" applyFill="1" applyBorder="1" applyAlignment="1" applyProtection="1">
      <alignment wrapText="1"/>
      <protection locked="0"/>
    </xf>
    <xf numFmtId="166" fontId="20" fillId="19" borderId="21" xfId="0" applyNumberFormat="1" applyFont="1" applyFill="1" applyBorder="1" applyProtection="1">
      <protection locked="0"/>
    </xf>
    <xf numFmtId="2" fontId="20" fillId="0" borderId="19" xfId="0" applyNumberFormat="1" applyFont="1" applyBorder="1" applyAlignment="1" applyProtection="1">
      <alignment wrapText="1"/>
      <protection locked="0"/>
    </xf>
    <xf numFmtId="2" fontId="20" fillId="0" borderId="19" xfId="0" applyNumberFormat="1" applyFont="1" applyBorder="1" applyAlignment="1" applyProtection="1">
      <alignment horizontal="center" wrapText="1"/>
      <protection locked="0"/>
    </xf>
    <xf numFmtId="1" fontId="26" fillId="11" borderId="0" xfId="0" applyNumberFormat="1" applyFont="1" applyFill="1" applyProtection="1">
      <protection locked="0"/>
    </xf>
    <xf numFmtId="0" fontId="43" fillId="0" borderId="0" xfId="0" applyFont="1"/>
    <xf numFmtId="20" fontId="0" fillId="0" borderId="0" xfId="0" applyNumberFormat="1"/>
    <xf numFmtId="0" fontId="3" fillId="0" borderId="38" xfId="0" applyFont="1" applyFill="1" applyBorder="1" applyAlignment="1">
      <alignment horizontal="center" vertical="center" wrapText="1"/>
    </xf>
    <xf numFmtId="0" fontId="18" fillId="6" borderId="41" xfId="0" applyFont="1" applyFill="1" applyBorder="1" applyAlignment="1" applyProtection="1">
      <alignment horizontal="center" vertical="center"/>
      <protection locked="0"/>
    </xf>
    <xf numFmtId="0" fontId="18" fillId="5" borderId="42" xfId="0" applyFont="1" applyFill="1" applyBorder="1" applyProtection="1">
      <protection locked="0"/>
    </xf>
    <xf numFmtId="0" fontId="18" fillId="5" borderId="43" xfId="0" applyFont="1" applyFill="1" applyBorder="1" applyProtection="1">
      <protection locked="0"/>
    </xf>
    <xf numFmtId="0" fontId="3" fillId="22" borderId="43" xfId="0" applyFont="1" applyFill="1" applyBorder="1" applyProtection="1">
      <protection locked="0"/>
    </xf>
    <xf numFmtId="0" fontId="44" fillId="23" borderId="44" xfId="0" applyFont="1" applyFill="1" applyBorder="1" applyAlignment="1">
      <alignment horizontal="center" vertical="top" wrapText="1"/>
    </xf>
    <xf numFmtId="0" fontId="44" fillId="23" borderId="45" xfId="0" applyFont="1" applyFill="1" applyBorder="1" applyAlignment="1">
      <alignment horizontal="center" vertical="top" wrapText="1"/>
    </xf>
    <xf numFmtId="0" fontId="44" fillId="0" borderId="45" xfId="0" applyFont="1" applyBorder="1" applyAlignment="1">
      <alignment horizontal="center" vertical="top" wrapText="1"/>
    </xf>
    <xf numFmtId="0" fontId="44" fillId="0" borderId="46" xfId="0" applyFont="1" applyBorder="1" applyAlignment="1">
      <alignment horizontal="center" vertical="top" wrapText="1"/>
    </xf>
    <xf numFmtId="0" fontId="44" fillId="19" borderId="47" xfId="0" applyFont="1" applyFill="1" applyBorder="1" applyAlignment="1">
      <alignment horizontal="center" vertical="top" wrapText="1"/>
    </xf>
    <xf numFmtId="0" fontId="44" fillId="19" borderId="48" xfId="0" applyFont="1" applyFill="1" applyBorder="1" applyAlignment="1">
      <alignment horizontal="center" vertical="top" wrapText="1"/>
    </xf>
    <xf numFmtId="0" fontId="44" fillId="19" borderId="49" xfId="0" applyFont="1" applyFill="1" applyBorder="1" applyAlignment="1">
      <alignment horizontal="center" vertical="top" wrapText="1"/>
    </xf>
    <xf numFmtId="0" fontId="44" fillId="23" borderId="50" xfId="0" applyFont="1" applyFill="1" applyBorder="1" applyAlignment="1">
      <alignment horizontal="centerContinuous" vertical="top" wrapText="1"/>
    </xf>
    <xf numFmtId="0" fontId="44" fillId="23" borderId="51" xfId="0" applyFont="1" applyFill="1" applyBorder="1" applyAlignment="1">
      <alignment horizontal="centerContinuous" vertical="top" wrapText="1"/>
    </xf>
    <xf numFmtId="0" fontId="44" fillId="23" borderId="44" xfId="0" applyFont="1" applyFill="1" applyBorder="1" applyAlignment="1">
      <alignment horizontal="centerContinuous" vertical="top" wrapText="1"/>
    </xf>
    <xf numFmtId="0" fontId="44" fillId="0" borderId="45" xfId="0" applyFont="1" applyBorder="1" applyAlignment="1">
      <alignment horizontal="centerContinuous" vertical="top" wrapText="1"/>
    </xf>
    <xf numFmtId="0" fontId="44" fillId="0" borderId="46" xfId="0" applyFont="1" applyBorder="1" applyAlignment="1">
      <alignment horizontal="centerContinuous" vertical="top" wrapText="1"/>
    </xf>
    <xf numFmtId="0" fontId="44" fillId="24" borderId="45" xfId="0" applyFont="1" applyFill="1" applyBorder="1" applyAlignment="1">
      <alignment horizontal="center" vertical="top" wrapText="1"/>
    </xf>
    <xf numFmtId="0" fontId="0" fillId="24" borderId="0" xfId="0" applyFill="1" applyAlignment="1">
      <alignment horizontal="centerContinuous"/>
    </xf>
    <xf numFmtId="0" fontId="21" fillId="24" borderId="0" xfId="0" applyFont="1" applyFill="1" applyAlignment="1">
      <alignment horizontal="centerContinuous"/>
    </xf>
    <xf numFmtId="0" fontId="45" fillId="0" borderId="0" xfId="0" applyFont="1"/>
    <xf numFmtId="0" fontId="46" fillId="0" borderId="4" xfId="0" applyFont="1" applyBorder="1"/>
    <xf numFmtId="0" fontId="46" fillId="0" borderId="5" xfId="0" applyFont="1" applyBorder="1"/>
    <xf numFmtId="4" fontId="46" fillId="0" borderId="5" xfId="0" applyNumberFormat="1" applyFont="1" applyBorder="1" applyAlignment="1">
      <alignment horizontal="right"/>
    </xf>
    <xf numFmtId="0" fontId="46" fillId="0" borderId="5" xfId="0" applyFont="1" applyBorder="1" applyAlignment="1">
      <alignment horizontal="right"/>
    </xf>
    <xf numFmtId="4" fontId="46" fillId="0" borderId="5" xfId="0" applyNumberFormat="1" applyFont="1" applyFill="1" applyBorder="1" applyAlignment="1">
      <alignment horizontal="right"/>
    </xf>
    <xf numFmtId="3" fontId="46" fillId="0" borderId="5" xfId="0" applyNumberFormat="1" applyFont="1" applyBorder="1" applyAlignment="1">
      <alignment horizontal="right"/>
    </xf>
    <xf numFmtId="0" fontId="46" fillId="0" borderId="8" xfId="0" applyFont="1" applyBorder="1" applyAlignment="1">
      <alignment horizontal="right"/>
    </xf>
    <xf numFmtId="0" fontId="46" fillId="0" borderId="6" xfId="0" applyFont="1" applyBorder="1"/>
    <xf numFmtId="0" fontId="46" fillId="0" borderId="7" xfId="0" applyFont="1" applyBorder="1"/>
    <xf numFmtId="4" fontId="46" fillId="0" borderId="7" xfId="0" applyNumberFormat="1" applyFont="1" applyBorder="1" applyAlignment="1">
      <alignment horizontal="right"/>
    </xf>
    <xf numFmtId="0" fontId="46" fillId="0" borderId="7" xfId="0" applyFont="1" applyBorder="1" applyAlignment="1">
      <alignment horizontal="right"/>
    </xf>
    <xf numFmtId="4" fontId="46" fillId="0" borderId="7" xfId="0" applyNumberFormat="1" applyFont="1" applyFill="1" applyBorder="1" applyAlignment="1">
      <alignment horizontal="right"/>
    </xf>
    <xf numFmtId="3" fontId="46" fillId="0" borderId="7" xfId="0" applyNumberFormat="1" applyFont="1" applyBorder="1" applyAlignment="1">
      <alignment horizontal="right"/>
    </xf>
    <xf numFmtId="0" fontId="46" fillId="0" borderId="9" xfId="0" applyFont="1" applyBorder="1" applyAlignment="1">
      <alignment horizontal="right"/>
    </xf>
    <xf numFmtId="0" fontId="42" fillId="0" borderId="0" xfId="0" applyFont="1" applyFill="1" applyBorder="1"/>
    <xf numFmtId="0" fontId="23" fillId="12" borderId="24" xfId="0" applyFont="1" applyFill="1" applyBorder="1" applyAlignment="1">
      <alignment horizontal="center" vertical="center" wrapText="1"/>
    </xf>
    <xf numFmtId="0" fontId="23" fillId="12" borderId="26" xfId="0" applyFont="1" applyFill="1" applyBorder="1" applyAlignment="1">
      <alignment horizontal="center" vertical="center" wrapText="1"/>
    </xf>
    <xf numFmtId="0" fontId="23" fillId="12" borderId="0" xfId="0" applyFont="1" applyFill="1" applyAlignment="1">
      <alignment horizontal="center" vertical="center" wrapText="1"/>
    </xf>
    <xf numFmtId="0" fontId="45" fillId="0" borderId="0" xfId="0" applyFont="1" applyAlignment="1">
      <alignment wrapText="1"/>
    </xf>
    <xf numFmtId="0" fontId="26" fillId="11" borderId="0" xfId="0" applyFont="1" applyFill="1" applyAlignment="1">
      <alignment horizontal="center"/>
    </xf>
    <xf numFmtId="0" fontId="45" fillId="0" borderId="28" xfId="0" applyFont="1" applyBorder="1"/>
    <xf numFmtId="0" fontId="45" fillId="0" borderId="16" xfId="0" applyFont="1" applyBorder="1" applyAlignment="1">
      <alignment horizontal="left"/>
    </xf>
    <xf numFmtId="0" fontId="45" fillId="0" borderId="29" xfId="0" applyFont="1" applyBorder="1" applyAlignment="1">
      <alignment horizontal="center"/>
    </xf>
    <xf numFmtId="170" fontId="45" fillId="0" borderId="29" xfId="1" applyNumberFormat="1" applyFont="1" applyBorder="1"/>
    <xf numFmtId="165" fontId="45" fillId="0" borderId="29" xfId="1" applyFont="1" applyBorder="1"/>
    <xf numFmtId="165" fontId="45" fillId="0" borderId="29" xfId="0" applyNumberFormat="1" applyFont="1" applyBorder="1"/>
    <xf numFmtId="0" fontId="26" fillId="11" borderId="29" xfId="0" applyFont="1" applyFill="1" applyBorder="1" applyAlignment="1">
      <alignment horizontal="center"/>
    </xf>
    <xf numFmtId="169" fontId="45" fillId="0" borderId="31" xfId="1" applyNumberFormat="1" applyFont="1" applyBorder="1"/>
    <xf numFmtId="0" fontId="45" fillId="0" borderId="18" xfId="0" applyFont="1" applyBorder="1"/>
    <xf numFmtId="0" fontId="45" fillId="0" borderId="19" xfId="0" applyFont="1" applyBorder="1" applyAlignment="1">
      <alignment horizontal="left"/>
    </xf>
    <xf numFmtId="0" fontId="45" fillId="0" borderId="19" xfId="0" applyFont="1" applyBorder="1" applyAlignment="1">
      <alignment horizontal="center"/>
    </xf>
    <xf numFmtId="170" fontId="45" fillId="0" borderId="19" xfId="1" applyNumberFormat="1" applyFont="1" applyBorder="1"/>
    <xf numFmtId="165" fontId="45" fillId="0" borderId="19" xfId="0" applyNumberFormat="1" applyFont="1" applyBorder="1"/>
    <xf numFmtId="169" fontId="45" fillId="0" borderId="20" xfId="1" applyNumberFormat="1" applyFont="1" applyBorder="1"/>
    <xf numFmtId="0" fontId="45" fillId="0" borderId="22" xfId="0" applyFont="1" applyBorder="1"/>
    <xf numFmtId="0" fontId="45" fillId="0" borderId="23" xfId="0" applyFont="1" applyBorder="1" applyAlignment="1">
      <alignment horizontal="left"/>
    </xf>
    <xf numFmtId="0" fontId="45" fillId="0" borderId="23" xfId="0" applyFont="1" applyBorder="1" applyAlignment="1">
      <alignment horizontal="center"/>
    </xf>
    <xf numFmtId="170" fontId="45" fillId="0" borderId="23" xfId="1" applyNumberFormat="1" applyFont="1" applyBorder="1"/>
    <xf numFmtId="165" fontId="45" fillId="0" borderId="23" xfId="0" applyNumberFormat="1" applyFont="1" applyBorder="1"/>
    <xf numFmtId="0" fontId="26" fillId="11" borderId="23" xfId="0" applyFont="1" applyFill="1" applyBorder="1" applyAlignment="1">
      <alignment horizontal="center"/>
    </xf>
    <xf numFmtId="169" fontId="45" fillId="0" borderId="21" xfId="1" applyNumberFormat="1" applyFont="1" applyBorder="1"/>
    <xf numFmtId="1" fontId="45" fillId="0" borderId="31" xfId="1" applyNumberFormat="1" applyFont="1" applyBorder="1" applyAlignment="1">
      <alignment horizontal="center"/>
    </xf>
    <xf numFmtId="1" fontId="45" fillId="0" borderId="20" xfId="1" applyNumberFormat="1" applyFont="1" applyBorder="1" applyAlignment="1">
      <alignment horizontal="center"/>
    </xf>
    <xf numFmtId="1" fontId="45" fillId="0" borderId="21" xfId="1" applyNumberFormat="1" applyFont="1" applyBorder="1" applyAlignment="1">
      <alignment horizontal="center"/>
    </xf>
    <xf numFmtId="0" fontId="46" fillId="0" borderId="5" xfId="0" applyFont="1" applyBorder="1" applyAlignment="1">
      <alignment horizontal="left"/>
    </xf>
    <xf numFmtId="0" fontId="46" fillId="0" borderId="7" xfId="0" applyFont="1" applyBorder="1" applyAlignment="1">
      <alignment horizontal="left"/>
    </xf>
    <xf numFmtId="0" fontId="45" fillId="0" borderId="4" xfId="0" applyFont="1" applyBorder="1"/>
    <xf numFmtId="0" fontId="23" fillId="12" borderId="5" xfId="0" applyFont="1" applyFill="1" applyBorder="1" applyAlignment="1">
      <alignment horizontal="center" vertical="center" wrapText="1"/>
    </xf>
    <xf numFmtId="0" fontId="23" fillId="12" borderId="8" xfId="0" applyFont="1" applyFill="1" applyBorder="1" applyAlignment="1">
      <alignment horizontal="center" vertical="center" wrapText="1"/>
    </xf>
    <xf numFmtId="0" fontId="26" fillId="11" borderId="11" xfId="0" applyFont="1" applyFill="1" applyBorder="1" applyAlignment="1">
      <alignment horizontal="center"/>
    </xf>
    <xf numFmtId="0" fontId="26" fillId="11" borderId="6" xfId="0" applyFont="1" applyFill="1" applyBorder="1" applyAlignment="1">
      <alignment horizontal="center"/>
    </xf>
    <xf numFmtId="165" fontId="45" fillId="0" borderId="52" xfId="1" applyFont="1" applyBorder="1"/>
    <xf numFmtId="168" fontId="26" fillId="11" borderId="29" xfId="0" applyNumberFormat="1" applyFont="1" applyFill="1" applyBorder="1" applyAlignment="1">
      <alignment horizontal="center"/>
    </xf>
    <xf numFmtId="0" fontId="44" fillId="19" borderId="70" xfId="0" applyFont="1" applyFill="1" applyBorder="1" applyAlignment="1">
      <alignment horizontal="centerContinuous" vertical="top" wrapText="1"/>
    </xf>
    <xf numFmtId="0" fontId="44" fillId="19" borderId="71" xfId="0" applyFont="1" applyFill="1" applyBorder="1" applyAlignment="1">
      <alignment horizontal="centerContinuous" vertical="top" wrapText="1"/>
    </xf>
    <xf numFmtId="0" fontId="44" fillId="19" borderId="72" xfId="0" applyFont="1" applyFill="1" applyBorder="1" applyAlignment="1">
      <alignment horizontal="centerContinuous" vertical="top" wrapText="1"/>
    </xf>
    <xf numFmtId="0" fontId="0" fillId="19" borderId="0" xfId="0" applyFill="1"/>
    <xf numFmtId="0" fontId="21" fillId="19" borderId="0" xfId="0" applyFont="1" applyFill="1" applyAlignment="1">
      <alignment horizontal="centerContinuous"/>
    </xf>
    <xf numFmtId="170" fontId="0" fillId="19" borderId="0" xfId="0" applyNumberFormat="1" applyFill="1"/>
    <xf numFmtId="1" fontId="47" fillId="0" borderId="0" xfId="0" applyNumberFormat="1" applyFont="1"/>
    <xf numFmtId="0" fontId="48" fillId="0" borderId="0" xfId="0" applyFont="1"/>
    <xf numFmtId="0" fontId="5" fillId="26" borderId="73" xfId="0" applyFont="1" applyFill="1" applyBorder="1" applyProtection="1">
      <protection locked="0"/>
    </xf>
    <xf numFmtId="0" fontId="5" fillId="26" borderId="74" xfId="0" applyFont="1" applyFill="1" applyBorder="1" applyProtection="1">
      <protection locked="0"/>
    </xf>
    <xf numFmtId="0" fontId="5" fillId="26" borderId="74" xfId="0" applyFont="1" applyFill="1" applyBorder="1" applyAlignment="1" applyProtection="1">
      <alignment horizontal="center"/>
      <protection locked="0"/>
    </xf>
    <xf numFmtId="165" fontId="0" fillId="0" borderId="74" xfId="1" applyFont="1" applyBorder="1" applyProtection="1">
      <protection locked="0"/>
    </xf>
    <xf numFmtId="0" fontId="0" fillId="0" borderId="74" xfId="0" applyBorder="1" applyAlignment="1" applyProtection="1">
      <alignment horizontal="center"/>
      <protection locked="0"/>
    </xf>
    <xf numFmtId="0" fontId="0" fillId="0" borderId="74" xfId="0" applyBorder="1" applyProtection="1">
      <protection locked="0"/>
    </xf>
    <xf numFmtId="0" fontId="6" fillId="0" borderId="74" xfId="0" applyFont="1" applyFill="1" applyBorder="1" applyAlignment="1" applyProtection="1">
      <alignment horizontal="center"/>
      <protection locked="0"/>
    </xf>
    <xf numFmtId="165" fontId="5" fillId="26" borderId="74" xfId="1" applyFont="1" applyFill="1" applyBorder="1" applyProtection="1">
      <protection locked="0"/>
    </xf>
    <xf numFmtId="185" fontId="0" fillId="0" borderId="74" xfId="0" applyNumberFormat="1" applyBorder="1" applyProtection="1">
      <protection locked="0"/>
    </xf>
    <xf numFmtId="165" fontId="0" fillId="0" borderId="74" xfId="0" applyNumberFormat="1" applyBorder="1" applyProtection="1">
      <protection locked="0"/>
    </xf>
    <xf numFmtId="165" fontId="0" fillId="0" borderId="75" xfId="0" applyNumberFormat="1" applyBorder="1" applyProtection="1">
      <protection locked="0"/>
    </xf>
    <xf numFmtId="165" fontId="6" fillId="0" borderId="74" xfId="1" applyFont="1" applyFill="1" applyBorder="1" applyProtection="1">
      <protection locked="0"/>
    </xf>
    <xf numFmtId="165" fontId="6" fillId="0" borderId="74" xfId="1" applyFont="1" applyBorder="1" applyProtection="1">
      <protection locked="0"/>
    </xf>
    <xf numFmtId="0" fontId="0" fillId="0" borderId="0" xfId="0" applyProtection="1">
      <protection locked="0"/>
    </xf>
    <xf numFmtId="165" fontId="6" fillId="24" borderId="76" xfId="1" applyFont="1" applyFill="1" applyBorder="1" applyProtection="1">
      <protection locked="0"/>
    </xf>
    <xf numFmtId="0" fontId="0" fillId="19" borderId="0" xfId="0" applyFill="1" applyProtection="1">
      <protection locked="0"/>
    </xf>
    <xf numFmtId="170" fontId="0" fillId="19" borderId="0" xfId="0" applyNumberFormat="1" applyFill="1" applyProtection="1">
      <protection locked="0"/>
    </xf>
    <xf numFmtId="0" fontId="5" fillId="26" borderId="77" xfId="0" applyFont="1" applyFill="1" applyBorder="1" applyProtection="1">
      <protection locked="0"/>
    </xf>
    <xf numFmtId="0" fontId="5" fillId="26" borderId="76" xfId="0" applyFont="1" applyFill="1" applyBorder="1" applyProtection="1">
      <protection locked="0"/>
    </xf>
    <xf numFmtId="0" fontId="5" fillId="26" borderId="76" xfId="0" applyFont="1" applyFill="1" applyBorder="1" applyAlignment="1" applyProtection="1">
      <alignment horizontal="center"/>
      <protection locked="0"/>
    </xf>
    <xf numFmtId="165" fontId="0" fillId="0" borderId="76" xfId="1" applyFont="1" applyBorder="1" applyProtection="1">
      <protection locked="0"/>
    </xf>
    <xf numFmtId="0" fontId="0" fillId="0" borderId="76" xfId="0" applyBorder="1" applyAlignment="1" applyProtection="1">
      <alignment horizontal="center"/>
      <protection locked="0"/>
    </xf>
    <xf numFmtId="0" fontId="0" fillId="0" borderId="76" xfId="0" applyBorder="1" applyProtection="1">
      <protection locked="0"/>
    </xf>
    <xf numFmtId="0" fontId="6" fillId="0" borderId="76" xfId="0" applyFont="1" applyFill="1" applyBorder="1" applyAlignment="1" applyProtection="1">
      <alignment horizontal="center"/>
      <protection locked="0"/>
    </xf>
    <xf numFmtId="165" fontId="5" fillId="26" borderId="76" xfId="1" applyFont="1" applyFill="1" applyBorder="1" applyProtection="1">
      <protection locked="0"/>
    </xf>
    <xf numFmtId="185" fontId="0" fillId="0" borderId="76" xfId="0" applyNumberFormat="1" applyBorder="1" applyProtection="1">
      <protection locked="0"/>
    </xf>
    <xf numFmtId="165" fontId="0" fillId="0" borderId="76" xfId="0" applyNumberFormat="1" applyBorder="1" applyProtection="1">
      <protection locked="0"/>
    </xf>
    <xf numFmtId="165" fontId="0" fillId="0" borderId="78" xfId="0" applyNumberFormat="1" applyBorder="1" applyProtection="1">
      <protection locked="0"/>
    </xf>
    <xf numFmtId="165" fontId="6" fillId="0" borderId="76" xfId="1" applyFont="1" applyFill="1" applyBorder="1" applyProtection="1">
      <protection locked="0"/>
    </xf>
    <xf numFmtId="165" fontId="6" fillId="0" borderId="76" xfId="1" applyFont="1" applyBorder="1" applyProtection="1">
      <protection locked="0"/>
    </xf>
    <xf numFmtId="165" fontId="5" fillId="26" borderId="76" xfId="0" applyNumberFormat="1" applyFont="1" applyFill="1" applyBorder="1" applyProtection="1">
      <protection locked="0"/>
    </xf>
    <xf numFmtId="165" fontId="0" fillId="0" borderId="74" xfId="1" applyFont="1" applyBorder="1" applyProtection="1"/>
    <xf numFmtId="0" fontId="0" fillId="0" borderId="74" xfId="0" applyBorder="1" applyProtection="1"/>
    <xf numFmtId="0" fontId="6" fillId="0" borderId="74" xfId="0" applyFont="1" applyFill="1" applyBorder="1" applyAlignment="1" applyProtection="1">
      <alignment horizontal="center"/>
    </xf>
    <xf numFmtId="165" fontId="0" fillId="0" borderId="74" xfId="0" applyNumberFormat="1" applyBorder="1" applyProtection="1"/>
    <xf numFmtId="165" fontId="0" fillId="0" borderId="75" xfId="0" applyNumberFormat="1" applyBorder="1" applyProtection="1"/>
    <xf numFmtId="165" fontId="6" fillId="0" borderId="74" xfId="1" applyFont="1" applyFill="1" applyBorder="1" applyProtection="1"/>
    <xf numFmtId="165" fontId="6" fillId="0" borderId="74" xfId="1" applyFont="1" applyBorder="1" applyProtection="1"/>
    <xf numFmtId="0" fontId="0" fillId="0" borderId="0" xfId="0" applyProtection="1"/>
    <xf numFmtId="165" fontId="6" fillId="24" borderId="76" xfId="1" applyFont="1" applyFill="1" applyBorder="1" applyProtection="1"/>
    <xf numFmtId="0" fontId="0" fillId="19" borderId="0" xfId="0" applyFill="1" applyProtection="1"/>
    <xf numFmtId="170" fontId="0" fillId="19" borderId="0" xfId="0" applyNumberFormat="1" applyFill="1" applyProtection="1"/>
    <xf numFmtId="165" fontId="0" fillId="0" borderId="76" xfId="1" applyFont="1" applyBorder="1" applyProtection="1"/>
    <xf numFmtId="0" fontId="0" fillId="0" borderId="76" xfId="0" applyBorder="1" applyProtection="1"/>
    <xf numFmtId="0" fontId="6" fillId="0" borderId="76" xfId="0" applyFont="1" applyFill="1" applyBorder="1" applyAlignment="1" applyProtection="1">
      <alignment horizontal="center"/>
    </xf>
    <xf numFmtId="165" fontId="0" fillId="0" borderId="76" xfId="0" applyNumberFormat="1" applyBorder="1" applyProtection="1"/>
    <xf numFmtId="165" fontId="0" fillId="0" borderId="78" xfId="0" applyNumberFormat="1" applyBorder="1" applyProtection="1"/>
    <xf numFmtId="165" fontId="6" fillId="0" borderId="76" xfId="1" applyFont="1" applyFill="1" applyBorder="1" applyProtection="1"/>
    <xf numFmtId="165" fontId="6" fillId="0" borderId="76" xfId="1" applyFont="1" applyBorder="1" applyProtection="1"/>
    <xf numFmtId="186" fontId="6" fillId="0" borderId="74" xfId="1" applyNumberFormat="1" applyFont="1" applyFill="1" applyBorder="1" applyProtection="1">
      <protection locked="0"/>
    </xf>
    <xf numFmtId="186" fontId="6" fillId="0" borderId="74" xfId="1" applyNumberFormat="1" applyFont="1" applyBorder="1" applyProtection="1">
      <protection locked="0"/>
    </xf>
    <xf numFmtId="186" fontId="6" fillId="0" borderId="76" xfId="1" applyNumberFormat="1" applyFont="1" applyFill="1" applyBorder="1" applyProtection="1">
      <protection locked="0"/>
    </xf>
    <xf numFmtId="186" fontId="6" fillId="0" borderId="76" xfId="1" applyNumberFormat="1" applyFont="1" applyBorder="1" applyProtection="1">
      <protection locked="0"/>
    </xf>
    <xf numFmtId="166" fontId="49" fillId="27" borderId="19" xfId="0" applyNumberFormat="1" applyFont="1" applyFill="1" applyBorder="1" applyProtection="1">
      <protection locked="0"/>
    </xf>
    <xf numFmtId="185" fontId="5" fillId="28" borderId="74" xfId="0" applyNumberFormat="1" applyFont="1" applyFill="1" applyBorder="1" applyProtection="1"/>
    <xf numFmtId="185" fontId="5" fillId="28" borderId="76" xfId="0" applyNumberFormat="1" applyFont="1" applyFill="1" applyBorder="1" applyProtection="1"/>
    <xf numFmtId="165" fontId="6" fillId="0" borderId="0" xfId="1" applyNumberFormat="1" applyFont="1" applyProtection="1"/>
    <xf numFmtId="9" fontId="20" fillId="0" borderId="19" xfId="4" applyFont="1" applyFill="1" applyBorder="1" applyAlignment="1" applyProtection="1">
      <alignment horizontal="right"/>
      <protection locked="0"/>
    </xf>
    <xf numFmtId="10" fontId="23" fillId="13" borderId="19" xfId="4" applyNumberFormat="1" applyFont="1" applyFill="1" applyBorder="1" applyAlignment="1">
      <alignment horizontal="right" wrapText="1"/>
    </xf>
    <xf numFmtId="10" fontId="20" fillId="0" borderId="19" xfId="4" applyNumberFormat="1" applyFont="1" applyFill="1" applyBorder="1" applyAlignment="1" applyProtection="1">
      <alignment horizontal="right"/>
      <protection locked="0"/>
    </xf>
    <xf numFmtId="10" fontId="20" fillId="0" borderId="34" xfId="4" applyNumberFormat="1" applyFont="1" applyFill="1" applyBorder="1" applyAlignment="1" applyProtection="1">
      <alignment horizontal="right"/>
      <protection locked="0"/>
    </xf>
    <xf numFmtId="10" fontId="20" fillId="19" borderId="23" xfId="4" applyNumberFormat="1" applyFont="1" applyFill="1" applyBorder="1" applyAlignment="1" applyProtection="1">
      <alignment horizontal="right" wrapText="1"/>
      <protection locked="0"/>
    </xf>
    <xf numFmtId="178" fontId="29" fillId="0" borderId="0" xfId="1" applyNumberFormat="1" applyFont="1" applyFill="1" applyBorder="1" applyAlignment="1">
      <alignment horizontal="left"/>
    </xf>
    <xf numFmtId="0" fontId="36" fillId="0" borderId="61" xfId="3" applyFont="1" applyBorder="1" applyAlignment="1">
      <alignment horizontal="left"/>
    </xf>
    <xf numFmtId="2" fontId="38" fillId="0" borderId="80" xfId="3" applyNumberFormat="1" applyFont="1" applyFill="1" applyBorder="1" applyAlignment="1">
      <alignment horizontal="center" vertical="center"/>
    </xf>
    <xf numFmtId="168" fontId="30" fillId="0" borderId="81" xfId="3" applyNumberFormat="1" applyFont="1" applyBorder="1" applyAlignment="1">
      <alignment horizontal="center"/>
    </xf>
    <xf numFmtId="2" fontId="38" fillId="0" borderId="82" xfId="3" applyNumberFormat="1" applyFont="1" applyFill="1" applyBorder="1" applyAlignment="1">
      <alignment horizontal="center" vertical="center"/>
    </xf>
    <xf numFmtId="168" fontId="30" fillId="0" borderId="83" xfId="3" applyNumberFormat="1" applyFont="1" applyBorder="1" applyAlignment="1">
      <alignment horizontal="center"/>
    </xf>
    <xf numFmtId="2" fontId="38" fillId="0" borderId="84" xfId="3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65" fontId="20" fillId="19" borderId="23" xfId="1" applyFont="1" applyFill="1" applyBorder="1" applyProtection="1">
      <protection locked="0"/>
    </xf>
    <xf numFmtId="1" fontId="18" fillId="6" borderId="41" xfId="0" applyNumberFormat="1" applyFont="1" applyFill="1" applyBorder="1" applyAlignment="1" applyProtection="1">
      <alignment horizontal="center" vertical="center"/>
      <protection locked="0"/>
    </xf>
    <xf numFmtId="0" fontId="0" fillId="19" borderId="0" xfId="0" applyFill="1" applyAlignment="1">
      <alignment horizontal="center" vertical="center" wrapText="1"/>
    </xf>
    <xf numFmtId="171" fontId="20" fillId="19" borderId="0" xfId="1" applyNumberFormat="1" applyFont="1" applyFill="1" applyProtection="1">
      <protection locked="0"/>
    </xf>
    <xf numFmtId="187" fontId="20" fillId="19" borderId="0" xfId="1" applyNumberFormat="1" applyFont="1" applyFill="1" applyProtection="1">
      <protection locked="0"/>
    </xf>
    <xf numFmtId="179" fontId="47" fillId="19" borderId="0" xfId="0" applyNumberFormat="1" applyFont="1" applyFill="1" applyProtection="1"/>
    <xf numFmtId="13" fontId="5" fillId="26" borderId="76" xfId="1" applyNumberFormat="1" applyFont="1" applyFill="1" applyBorder="1" applyProtection="1">
      <protection locked="0"/>
    </xf>
    <xf numFmtId="49" fontId="6" fillId="0" borderId="0" xfId="0" applyNumberFormat="1" applyFont="1" applyAlignment="1" applyProtection="1"/>
    <xf numFmtId="3" fontId="12" fillId="3" borderId="0" xfId="0" applyNumberFormat="1" applyFont="1" applyFill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0" fillId="24" borderId="37" xfId="0" applyFill="1" applyBorder="1"/>
    <xf numFmtId="0" fontId="18" fillId="6" borderId="37" xfId="0" applyFont="1" applyFill="1" applyBorder="1" applyAlignment="1">
      <alignment horizontal="center"/>
    </xf>
    <xf numFmtId="171" fontId="13" fillId="8" borderId="9" xfId="1" applyNumberFormat="1" applyFont="1" applyFill="1" applyBorder="1" applyProtection="1">
      <protection locked="0"/>
    </xf>
    <xf numFmtId="188" fontId="20" fillId="0" borderId="20" xfId="0" applyNumberFormat="1" applyFont="1" applyBorder="1" applyProtection="1">
      <protection locked="0"/>
    </xf>
    <xf numFmtId="165" fontId="20" fillId="0" borderId="0" xfId="0" applyNumberFormat="1" applyFont="1"/>
    <xf numFmtId="0" fontId="25" fillId="6" borderId="37" xfId="0" applyFont="1" applyFill="1" applyBorder="1" applyAlignment="1">
      <alignment horizontal="center"/>
    </xf>
    <xf numFmtId="165" fontId="0" fillId="0" borderId="0" xfId="0" applyNumberFormat="1"/>
    <xf numFmtId="1" fontId="45" fillId="0" borderId="20" xfId="1" applyNumberFormat="1" applyFont="1" applyFill="1" applyBorder="1" applyAlignment="1">
      <alignment horizontal="center"/>
    </xf>
    <xf numFmtId="185" fontId="0" fillId="0" borderId="0" xfId="0" applyNumberFormat="1" applyProtection="1"/>
    <xf numFmtId="3" fontId="0" fillId="0" borderId="0" xfId="0" applyNumberFormat="1" applyProtection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80" xfId="0" applyBorder="1"/>
    <xf numFmtId="0" fontId="20" fillId="0" borderId="81" xfId="0" applyFont="1" applyBorder="1" applyAlignment="1">
      <alignment horizontal="center"/>
    </xf>
    <xf numFmtId="0" fontId="20" fillId="0" borderId="82" xfId="0" applyFont="1" applyBorder="1" applyAlignment="1">
      <alignment horizontal="center"/>
    </xf>
    <xf numFmtId="0" fontId="20" fillId="0" borderId="83" xfId="0" applyFont="1" applyBorder="1" applyAlignment="1">
      <alignment horizontal="center"/>
    </xf>
    <xf numFmtId="0" fontId="20" fillId="0" borderId="84" xfId="0" applyFont="1" applyBorder="1" applyAlignment="1">
      <alignment horizontal="center"/>
    </xf>
    <xf numFmtId="0" fontId="12" fillId="3" borderId="0" xfId="0" applyFont="1" applyFill="1" applyAlignment="1" applyProtection="1">
      <protection locked="0"/>
    </xf>
    <xf numFmtId="0" fontId="45" fillId="15" borderId="19" xfId="0" applyFont="1" applyFill="1" applyBorder="1" applyAlignment="1">
      <alignment horizontal="left"/>
    </xf>
    <xf numFmtId="0" fontId="46" fillId="0" borderId="0" xfId="0" applyFont="1" applyBorder="1" applyAlignment="1">
      <alignment vertical="top"/>
    </xf>
    <xf numFmtId="0" fontId="46" fillId="0" borderId="11" xfId="0" applyFont="1" applyBorder="1" applyAlignment="1">
      <alignment vertical="top"/>
    </xf>
    <xf numFmtId="189" fontId="12" fillId="3" borderId="0" xfId="0" applyNumberFormat="1" applyFont="1" applyFill="1" applyAlignment="1" applyProtection="1">
      <alignment horizontal="center" readingOrder="1"/>
      <protection locked="0"/>
    </xf>
    <xf numFmtId="170" fontId="12" fillId="3" borderId="0" xfId="1" applyNumberFormat="1" applyFont="1" applyFill="1" applyAlignment="1" applyProtection="1">
      <alignment horizontal="center"/>
      <protection locked="0"/>
    </xf>
    <xf numFmtId="10" fontId="38" fillId="31" borderId="0" xfId="3" applyNumberFormat="1" applyFont="1" applyFill="1" applyBorder="1" applyAlignment="1">
      <alignment horizontal="right"/>
    </xf>
    <xf numFmtId="49" fontId="20" fillId="34" borderId="18" xfId="0" applyNumberFormat="1" applyFont="1" applyFill="1" applyBorder="1" applyProtection="1">
      <protection locked="0"/>
    </xf>
    <xf numFmtId="2" fontId="20" fillId="34" borderId="19" xfId="0" applyNumberFormat="1" applyFont="1" applyFill="1" applyBorder="1" applyAlignment="1" applyProtection="1">
      <alignment wrapText="1"/>
      <protection locked="0"/>
    </xf>
    <xf numFmtId="2" fontId="20" fillId="34" borderId="19" xfId="0" applyNumberFormat="1" applyFont="1" applyFill="1" applyBorder="1" applyAlignment="1" applyProtection="1">
      <alignment horizontal="center" wrapText="1"/>
      <protection locked="0"/>
    </xf>
    <xf numFmtId="165" fontId="55" fillId="34" borderId="76" xfId="1" applyFont="1" applyFill="1" applyBorder="1" applyProtection="1">
      <protection locked="0"/>
    </xf>
    <xf numFmtId="165" fontId="55" fillId="32" borderId="76" xfId="1" applyFont="1" applyFill="1" applyBorder="1" applyProtection="1">
      <protection locked="0"/>
    </xf>
    <xf numFmtId="165" fontId="55" fillId="36" borderId="76" xfId="1" applyFont="1" applyFill="1" applyBorder="1" applyProtection="1">
      <protection locked="0"/>
    </xf>
    <xf numFmtId="185" fontId="6" fillId="0" borderId="76" xfId="0" applyNumberFormat="1" applyFont="1" applyBorder="1" applyProtection="1">
      <protection locked="0"/>
    </xf>
    <xf numFmtId="165" fontId="55" fillId="26" borderId="76" xfId="1" applyFont="1" applyFill="1" applyBorder="1" applyProtection="1">
      <protection locked="0"/>
    </xf>
    <xf numFmtId="0" fontId="0" fillId="37" borderId="76" xfId="0" applyFill="1" applyBorder="1" applyProtection="1">
      <protection locked="0"/>
    </xf>
    <xf numFmtId="0" fontId="0" fillId="33" borderId="76" xfId="0" applyFill="1" applyBorder="1" applyProtection="1">
      <protection locked="0"/>
    </xf>
    <xf numFmtId="0" fontId="0" fillId="38" borderId="76" xfId="0" applyFill="1" applyBorder="1" applyProtection="1">
      <protection locked="0"/>
    </xf>
    <xf numFmtId="0" fontId="0" fillId="39" borderId="76" xfId="0" applyFill="1" applyBorder="1" applyProtection="1">
      <protection locked="0"/>
    </xf>
    <xf numFmtId="0" fontId="0" fillId="40" borderId="76" xfId="0" applyFill="1" applyBorder="1" applyProtection="1">
      <protection locked="0"/>
    </xf>
    <xf numFmtId="0" fontId="0" fillId="35" borderId="76" xfId="0" applyFill="1" applyBorder="1" applyProtection="1">
      <protection locked="0"/>
    </xf>
    <xf numFmtId="0" fontId="0" fillId="41" borderId="76" xfId="0" applyFill="1" applyBorder="1" applyProtection="1">
      <protection locked="0"/>
    </xf>
    <xf numFmtId="0" fontId="0" fillId="34" borderId="76" xfId="0" applyFill="1" applyBorder="1" applyProtection="1">
      <protection locked="0"/>
    </xf>
    <xf numFmtId="0" fontId="0" fillId="32" borderId="76" xfId="0" applyFill="1" applyBorder="1" applyProtection="1">
      <protection locked="0"/>
    </xf>
    <xf numFmtId="165" fontId="55" fillId="38" borderId="76" xfId="1" applyFont="1" applyFill="1" applyBorder="1" applyProtection="1">
      <protection locked="0"/>
    </xf>
    <xf numFmtId="0" fontId="0" fillId="42" borderId="76" xfId="0" applyFill="1" applyBorder="1" applyProtection="1">
      <protection locked="0"/>
    </xf>
    <xf numFmtId="187" fontId="55" fillId="36" borderId="76" xfId="1" applyNumberFormat="1" applyFont="1" applyFill="1" applyBorder="1" applyProtection="1">
      <protection locked="0"/>
    </xf>
    <xf numFmtId="0" fontId="0" fillId="0" borderId="76" xfId="0" applyFill="1" applyBorder="1" applyProtection="1">
      <protection locked="0"/>
    </xf>
    <xf numFmtId="165" fontId="55" fillId="31" borderId="76" xfId="1" applyFont="1" applyFill="1" applyBorder="1" applyProtection="1">
      <protection locked="0"/>
    </xf>
    <xf numFmtId="185" fontId="0" fillId="43" borderId="76" xfId="0" applyNumberFormat="1" applyFill="1" applyBorder="1" applyProtection="1">
      <protection locked="0"/>
    </xf>
    <xf numFmtId="165" fontId="0" fillId="43" borderId="76" xfId="1" applyFont="1" applyFill="1" applyBorder="1" applyProtection="1">
      <protection locked="0"/>
    </xf>
    <xf numFmtId="185" fontId="0" fillId="43" borderId="74" xfId="0" applyNumberFormat="1" applyFill="1" applyBorder="1" applyProtection="1">
      <protection locked="0"/>
    </xf>
    <xf numFmtId="165" fontId="0" fillId="0" borderId="106" xfId="1" applyFont="1" applyBorder="1" applyProtection="1"/>
    <xf numFmtId="165" fontId="5" fillId="26" borderId="107" xfId="1" applyFont="1" applyFill="1" applyBorder="1" applyProtection="1">
      <protection locked="0"/>
    </xf>
    <xf numFmtId="165" fontId="6" fillId="0" borderId="108" xfId="1" applyFont="1" applyFill="1" applyBorder="1" applyProtection="1">
      <protection locked="0"/>
    </xf>
    <xf numFmtId="185" fontId="6" fillId="0" borderId="109" xfId="0" applyNumberFormat="1" applyFont="1" applyFill="1" applyBorder="1" applyProtection="1"/>
    <xf numFmtId="165" fontId="0" fillId="0" borderId="109" xfId="0" applyNumberFormat="1" applyBorder="1" applyProtection="1"/>
    <xf numFmtId="165" fontId="5" fillId="26" borderId="110" xfId="1" applyFont="1" applyFill="1" applyBorder="1" applyProtection="1">
      <protection locked="0"/>
    </xf>
    <xf numFmtId="165" fontId="6" fillId="0" borderId="111" xfId="1" applyFont="1" applyFill="1" applyBorder="1" applyProtection="1">
      <protection locked="0"/>
    </xf>
    <xf numFmtId="165" fontId="6" fillId="0" borderId="110" xfId="1" applyFont="1" applyFill="1" applyBorder="1" applyProtection="1">
      <protection locked="0"/>
    </xf>
    <xf numFmtId="165" fontId="6" fillId="0" borderId="112" xfId="1" applyFont="1" applyFill="1" applyBorder="1" applyProtection="1">
      <protection locked="0"/>
    </xf>
    <xf numFmtId="165" fontId="6" fillId="0" borderId="113" xfId="1" applyFont="1" applyFill="1" applyBorder="1" applyProtection="1">
      <protection locked="0"/>
    </xf>
    <xf numFmtId="165" fontId="0" fillId="0" borderId="106" xfId="1" applyFont="1" applyBorder="1" applyProtection="1">
      <protection locked="0"/>
    </xf>
    <xf numFmtId="165" fontId="5" fillId="26" borderId="107" xfId="1" applyNumberFormat="1" applyFont="1" applyFill="1" applyBorder="1" applyProtection="1">
      <protection locked="0"/>
    </xf>
    <xf numFmtId="165" fontId="5" fillId="26" borderId="108" xfId="1" applyNumberFormat="1" applyFont="1" applyFill="1" applyBorder="1" applyProtection="1">
      <protection locked="0"/>
    </xf>
    <xf numFmtId="187" fontId="6" fillId="0" borderId="109" xfId="1" applyNumberFormat="1" applyFont="1" applyFill="1" applyBorder="1" applyProtection="1">
      <protection locked="0"/>
    </xf>
    <xf numFmtId="165" fontId="5" fillId="26" borderId="114" xfId="1" applyNumberFormat="1" applyFont="1" applyFill="1" applyBorder="1" applyProtection="1">
      <protection locked="0"/>
    </xf>
    <xf numFmtId="165" fontId="5" fillId="26" borderId="115" xfId="1" applyNumberFormat="1" applyFont="1" applyFill="1" applyBorder="1" applyProtection="1">
      <protection locked="0"/>
    </xf>
    <xf numFmtId="165" fontId="5" fillId="26" borderId="116" xfId="1" applyNumberFormat="1" applyFont="1" applyFill="1" applyBorder="1" applyProtection="1">
      <protection locked="0"/>
    </xf>
    <xf numFmtId="165" fontId="5" fillId="26" borderId="117" xfId="1" applyNumberFormat="1" applyFont="1" applyFill="1" applyBorder="1" applyProtection="1">
      <protection locked="0"/>
    </xf>
    <xf numFmtId="165" fontId="6" fillId="0" borderId="116" xfId="1" applyNumberFormat="1" applyFont="1" applyFill="1" applyBorder="1" applyProtection="1">
      <protection locked="0"/>
    </xf>
    <xf numFmtId="165" fontId="6" fillId="0" borderId="117" xfId="1" applyNumberFormat="1" applyFont="1" applyFill="1" applyBorder="1" applyProtection="1">
      <protection locked="0"/>
    </xf>
    <xf numFmtId="165" fontId="6" fillId="0" borderId="114" xfId="1" applyNumberFormat="1" applyFont="1" applyFill="1" applyBorder="1" applyProtection="1">
      <protection locked="0"/>
    </xf>
    <xf numFmtId="165" fontId="6" fillId="0" borderId="107" xfId="1" applyFont="1" applyFill="1" applyBorder="1" applyProtection="1">
      <protection locked="0"/>
    </xf>
    <xf numFmtId="165" fontId="5" fillId="26" borderId="108" xfId="1" applyFont="1" applyFill="1" applyBorder="1" applyProtection="1">
      <protection locked="0"/>
    </xf>
    <xf numFmtId="185" fontId="0" fillId="0" borderId="109" xfId="0" applyNumberFormat="1" applyBorder="1" applyProtection="1">
      <protection locked="0"/>
    </xf>
    <xf numFmtId="165" fontId="6" fillId="0" borderId="116" xfId="1" applyFont="1" applyFill="1" applyBorder="1" applyProtection="1">
      <protection locked="0"/>
    </xf>
    <xf numFmtId="13" fontId="5" fillId="26" borderId="117" xfId="1" applyNumberFormat="1" applyFont="1" applyFill="1" applyBorder="1" applyProtection="1">
      <protection locked="0"/>
    </xf>
    <xf numFmtId="165" fontId="5" fillId="26" borderId="116" xfId="1" applyFont="1" applyFill="1" applyBorder="1" applyProtection="1">
      <protection locked="0"/>
    </xf>
    <xf numFmtId="165" fontId="5" fillId="26" borderId="117" xfId="1" applyFont="1" applyFill="1" applyBorder="1" applyProtection="1">
      <protection locked="0"/>
    </xf>
    <xf numFmtId="165" fontId="5" fillId="26" borderId="114" xfId="1" applyFont="1" applyFill="1" applyBorder="1" applyProtection="1">
      <protection locked="0"/>
    </xf>
    <xf numFmtId="165" fontId="5" fillId="26" borderId="115" xfId="1" applyFont="1" applyFill="1" applyBorder="1" applyProtection="1">
      <protection locked="0"/>
    </xf>
    <xf numFmtId="165" fontId="6" fillId="0" borderId="117" xfId="1" applyFont="1" applyFill="1" applyBorder="1" applyProtection="1">
      <protection locked="0"/>
    </xf>
    <xf numFmtId="165" fontId="20" fillId="0" borderId="34" xfId="1" applyNumberFormat="1" applyFont="1" applyFill="1" applyBorder="1" applyProtection="1">
      <protection locked="0"/>
    </xf>
    <xf numFmtId="0" fontId="56" fillId="26" borderId="77" xfId="0" applyFont="1" applyFill="1" applyBorder="1" applyProtection="1">
      <protection locked="0"/>
    </xf>
    <xf numFmtId="0" fontId="56" fillId="26" borderId="76" xfId="0" applyFont="1" applyFill="1" applyBorder="1" applyProtection="1">
      <protection locked="0"/>
    </xf>
    <xf numFmtId="0" fontId="56" fillId="26" borderId="76" xfId="0" applyFont="1" applyFill="1" applyBorder="1" applyAlignment="1" applyProtection="1">
      <alignment horizontal="center"/>
      <protection locked="0"/>
    </xf>
    <xf numFmtId="165" fontId="5" fillId="0" borderId="117" xfId="1" applyFont="1" applyFill="1" applyBorder="1" applyProtection="1">
      <protection locked="0"/>
    </xf>
    <xf numFmtId="49" fontId="57" fillId="0" borderId="18" xfId="0" applyNumberFormat="1" applyFont="1" applyFill="1" applyBorder="1" applyProtection="1">
      <protection locked="0"/>
    </xf>
    <xf numFmtId="49" fontId="57" fillId="0" borderId="19" xfId="0" applyNumberFormat="1" applyFont="1" applyBorder="1" applyAlignment="1" applyProtection="1">
      <alignment wrapText="1"/>
      <protection locked="0"/>
    </xf>
    <xf numFmtId="166" fontId="20" fillId="0" borderId="20" xfId="0" applyNumberFormat="1" applyFont="1" applyBorder="1" applyAlignment="1" applyProtection="1">
      <alignment horizontal="center"/>
      <protection locked="0"/>
    </xf>
    <xf numFmtId="49" fontId="20" fillId="44" borderId="18" xfId="0" applyNumberFormat="1" applyFont="1" applyFill="1" applyBorder="1" applyProtection="1">
      <protection locked="0"/>
    </xf>
    <xf numFmtId="49" fontId="20" fillId="44" borderId="33" xfId="0" applyNumberFormat="1" applyFont="1" applyFill="1" applyBorder="1" applyProtection="1">
      <protection locked="0"/>
    </xf>
    <xf numFmtId="2" fontId="20" fillId="15" borderId="19" xfId="0" applyNumberFormat="1" applyFont="1" applyFill="1" applyBorder="1" applyAlignment="1" applyProtection="1">
      <alignment wrapText="1"/>
      <protection locked="0"/>
    </xf>
    <xf numFmtId="2" fontId="20" fillId="15" borderId="19" xfId="0" applyNumberFormat="1" applyFont="1" applyFill="1" applyBorder="1" applyAlignment="1" applyProtection="1">
      <alignment horizontal="center" wrapText="1"/>
      <protection locked="0"/>
    </xf>
    <xf numFmtId="165" fontId="20" fillId="15" borderId="19" xfId="1" applyNumberFormat="1" applyFont="1" applyFill="1" applyBorder="1" applyProtection="1">
      <protection locked="0"/>
    </xf>
    <xf numFmtId="165" fontId="20" fillId="15" borderId="19" xfId="1" applyFont="1" applyFill="1" applyBorder="1" applyProtection="1">
      <protection locked="0"/>
    </xf>
    <xf numFmtId="10" fontId="20" fillId="15" borderId="19" xfId="4" applyNumberFormat="1" applyFont="1" applyFill="1" applyBorder="1" applyAlignment="1" applyProtection="1">
      <alignment horizontal="right"/>
      <protection locked="0"/>
    </xf>
    <xf numFmtId="166" fontId="20" fillId="15" borderId="20" xfId="0" applyNumberFormat="1" applyFont="1" applyFill="1" applyBorder="1" applyProtection="1">
      <protection locked="0"/>
    </xf>
    <xf numFmtId="2" fontId="20" fillId="0" borderId="34" xfId="0" applyNumberFormat="1" applyFont="1" applyBorder="1" applyAlignment="1" applyProtection="1">
      <alignment wrapText="1"/>
      <protection locked="0"/>
    </xf>
    <xf numFmtId="166" fontId="20" fillId="0" borderId="120" xfId="0" applyNumberFormat="1" applyFont="1" applyBorder="1" applyProtection="1">
      <protection locked="0"/>
    </xf>
    <xf numFmtId="2" fontId="20" fillId="15" borderId="34" xfId="0" applyNumberFormat="1" applyFont="1" applyFill="1" applyBorder="1" applyAlignment="1" applyProtection="1">
      <alignment wrapText="1"/>
      <protection locked="0"/>
    </xf>
    <xf numFmtId="2" fontId="20" fillId="0" borderId="34" xfId="0" applyNumberFormat="1" applyFont="1" applyFill="1" applyBorder="1" applyAlignment="1" applyProtection="1">
      <alignment wrapText="1"/>
      <protection locked="0"/>
    </xf>
    <xf numFmtId="9" fontId="20" fillId="0" borderId="34" xfId="4" applyFont="1" applyFill="1" applyBorder="1" applyAlignment="1" applyProtection="1">
      <alignment horizontal="right"/>
      <protection locked="0"/>
    </xf>
    <xf numFmtId="2" fontId="20" fillId="44" borderId="19" xfId="0" applyNumberFormat="1" applyFont="1" applyFill="1" applyBorder="1" applyAlignment="1" applyProtection="1">
      <alignment horizontal="left" wrapText="1"/>
      <protection locked="0"/>
    </xf>
    <xf numFmtId="165" fontId="0" fillId="0" borderId="121" xfId="1" applyFont="1" applyBorder="1" applyProtection="1">
      <protection locked="0"/>
    </xf>
    <xf numFmtId="185" fontId="0" fillId="0" borderId="122" xfId="0" applyNumberFormat="1" applyBorder="1" applyProtection="1">
      <protection locked="0"/>
    </xf>
    <xf numFmtId="165" fontId="5" fillId="0" borderId="108" xfId="1" applyFont="1" applyFill="1" applyBorder="1" applyProtection="1">
      <protection locked="0"/>
    </xf>
    <xf numFmtId="165" fontId="6" fillId="29" borderId="107" xfId="1" applyFont="1" applyFill="1" applyBorder="1" applyProtection="1">
      <protection locked="0"/>
    </xf>
    <xf numFmtId="165" fontId="6" fillId="29" borderId="108" xfId="1" applyFont="1" applyFill="1" applyBorder="1" applyProtection="1">
      <protection locked="0"/>
    </xf>
    <xf numFmtId="165" fontId="6" fillId="29" borderId="116" xfId="1" applyFont="1" applyFill="1" applyBorder="1" applyProtection="1">
      <protection locked="0"/>
    </xf>
    <xf numFmtId="165" fontId="6" fillId="29" borderId="117" xfId="1" applyFont="1" applyFill="1" applyBorder="1" applyProtection="1">
      <protection locked="0"/>
    </xf>
    <xf numFmtId="165" fontId="58" fillId="26" borderId="108" xfId="1" applyFont="1" applyFill="1" applyBorder="1" applyProtection="1">
      <protection locked="0"/>
    </xf>
    <xf numFmtId="165" fontId="5" fillId="26" borderId="111" xfId="1" applyFont="1" applyFill="1" applyBorder="1" applyProtection="1">
      <protection locked="0"/>
    </xf>
    <xf numFmtId="165" fontId="6" fillId="0" borderId="115" xfId="1" applyFont="1" applyFill="1" applyBorder="1" applyProtection="1">
      <protection locked="0"/>
    </xf>
    <xf numFmtId="165" fontId="5" fillId="0" borderId="115" xfId="1" applyFont="1" applyFill="1" applyBorder="1" applyProtection="1">
      <protection locked="0"/>
    </xf>
    <xf numFmtId="165" fontId="5" fillId="26" borderId="116" xfId="1" applyFont="1" applyFill="1" applyBorder="1" applyAlignment="1" applyProtection="1">
      <alignment wrapText="1"/>
      <protection locked="0"/>
    </xf>
    <xf numFmtId="0" fontId="5" fillId="44" borderId="77" xfId="0" applyFont="1" applyFill="1" applyBorder="1" applyProtection="1">
      <protection locked="0"/>
    </xf>
    <xf numFmtId="187" fontId="6" fillId="0" borderId="76" xfId="1" applyNumberFormat="1" applyFont="1" applyFill="1" applyBorder="1" applyProtection="1">
      <protection locked="0"/>
    </xf>
    <xf numFmtId="165" fontId="5" fillId="26" borderId="123" xfId="1" applyFont="1" applyFill="1" applyBorder="1" applyProtection="1">
      <protection locked="0"/>
    </xf>
    <xf numFmtId="170" fontId="5" fillId="26" borderId="108" xfId="1" applyNumberFormat="1" applyFont="1" applyFill="1" applyBorder="1" applyProtection="1">
      <protection locked="0"/>
    </xf>
    <xf numFmtId="170" fontId="6" fillId="0" borderId="117" xfId="1" applyNumberFormat="1" applyFont="1" applyFill="1" applyBorder="1" applyProtection="1">
      <protection locked="0"/>
    </xf>
    <xf numFmtId="170" fontId="5" fillId="26" borderId="115" xfId="1" applyNumberFormat="1" applyFont="1" applyFill="1" applyBorder="1" applyProtection="1">
      <protection locked="0"/>
    </xf>
    <xf numFmtId="165" fontId="6" fillId="0" borderId="115" xfId="1" applyNumberFormat="1" applyFont="1" applyFill="1" applyBorder="1" applyProtection="1">
      <protection locked="0"/>
    </xf>
    <xf numFmtId="165" fontId="5" fillId="0" borderId="117" xfId="1" applyNumberFormat="1" applyFont="1" applyFill="1" applyBorder="1" applyProtection="1">
      <protection locked="0"/>
    </xf>
    <xf numFmtId="165" fontId="6" fillId="0" borderId="114" xfId="1" applyFont="1" applyFill="1" applyBorder="1" applyProtection="1">
      <protection locked="0"/>
    </xf>
    <xf numFmtId="165" fontId="5" fillId="0" borderId="108" xfId="1" applyNumberFormat="1" applyFont="1" applyFill="1" applyBorder="1" applyProtection="1">
      <protection locked="0"/>
    </xf>
    <xf numFmtId="165" fontId="5" fillId="0" borderId="116" xfId="1" applyNumberFormat="1" applyFont="1" applyFill="1" applyBorder="1" applyProtection="1">
      <protection locked="0"/>
    </xf>
    <xf numFmtId="165" fontId="5" fillId="0" borderId="114" xfId="1" applyNumberFormat="1" applyFont="1" applyFill="1" applyBorder="1" applyProtection="1">
      <protection locked="0"/>
    </xf>
    <xf numFmtId="165" fontId="5" fillId="0" borderId="115" xfId="1" applyNumberFormat="1" applyFont="1" applyFill="1" applyBorder="1" applyProtection="1">
      <protection locked="0"/>
    </xf>
    <xf numFmtId="165" fontId="6" fillId="0" borderId="107" xfId="1" applyNumberFormat="1" applyFont="1" applyFill="1" applyBorder="1" applyProtection="1">
      <protection locked="0"/>
    </xf>
    <xf numFmtId="165" fontId="6" fillId="0" borderId="108" xfId="1" applyNumberFormat="1" applyFont="1" applyFill="1" applyBorder="1" applyProtection="1">
      <protection locked="0"/>
    </xf>
    <xf numFmtId="165" fontId="5" fillId="26" borderId="124" xfId="1" applyNumberFormat="1" applyFont="1" applyFill="1" applyBorder="1" applyProtection="1">
      <protection locked="0"/>
    </xf>
    <xf numFmtId="165" fontId="5" fillId="26" borderId="76" xfId="1" applyNumberFormat="1" applyFont="1" applyFill="1" applyBorder="1" applyProtection="1">
      <protection locked="0"/>
    </xf>
    <xf numFmtId="171" fontId="6" fillId="0" borderId="108" xfId="1" applyNumberFormat="1" applyFont="1" applyFill="1" applyBorder="1" applyProtection="1">
      <protection locked="0"/>
    </xf>
    <xf numFmtId="171" fontId="5" fillId="26" borderId="117" xfId="1" applyNumberFormat="1" applyFont="1" applyFill="1" applyBorder="1" applyProtection="1">
      <protection locked="0"/>
    </xf>
    <xf numFmtId="171" fontId="6" fillId="0" borderId="117" xfId="1" applyNumberFormat="1" applyFont="1" applyFill="1" applyBorder="1" applyProtection="1">
      <protection locked="0"/>
    </xf>
    <xf numFmtId="171" fontId="5" fillId="26" borderId="115" xfId="1" applyNumberFormat="1" applyFont="1" applyFill="1" applyBorder="1" applyProtection="1">
      <protection locked="0"/>
    </xf>
    <xf numFmtId="165" fontId="5" fillId="0" borderId="107" xfId="1" applyNumberFormat="1" applyFont="1" applyFill="1" applyBorder="1" applyProtection="1">
      <protection locked="0"/>
    </xf>
    <xf numFmtId="165" fontId="6" fillId="0" borderId="110" xfId="1" applyNumberFormat="1" applyFont="1" applyFill="1" applyBorder="1" applyProtection="1">
      <protection locked="0"/>
    </xf>
    <xf numFmtId="165" fontId="6" fillId="0" borderId="111" xfId="1" applyNumberFormat="1" applyFont="1" applyFill="1" applyBorder="1" applyProtection="1">
      <protection locked="0"/>
    </xf>
    <xf numFmtId="165" fontId="5" fillId="26" borderId="111" xfId="1" applyNumberFormat="1" applyFont="1" applyFill="1" applyBorder="1" applyProtection="1">
      <protection locked="0"/>
    </xf>
    <xf numFmtId="165" fontId="5" fillId="26" borderId="110" xfId="1" applyNumberFormat="1" applyFont="1" applyFill="1" applyBorder="1" applyProtection="1">
      <protection locked="0"/>
    </xf>
    <xf numFmtId="165" fontId="5" fillId="26" borderId="112" xfId="1" applyNumberFormat="1" applyFont="1" applyFill="1" applyBorder="1" applyProtection="1">
      <protection locked="0"/>
    </xf>
    <xf numFmtId="165" fontId="5" fillId="26" borderId="113" xfId="1" applyNumberFormat="1" applyFont="1" applyFill="1" applyBorder="1" applyProtection="1">
      <protection locked="0"/>
    </xf>
    <xf numFmtId="13" fontId="5" fillId="26" borderId="116" xfId="1" applyNumberFormat="1" applyFont="1" applyFill="1" applyBorder="1" applyProtection="1">
      <protection locked="0"/>
    </xf>
    <xf numFmtId="165" fontId="6" fillId="0" borderId="125" xfId="1" applyNumberFormat="1" applyFont="1" applyFill="1" applyBorder="1" applyProtection="1">
      <protection locked="0"/>
    </xf>
    <xf numFmtId="165" fontId="5" fillId="26" borderId="126" xfId="1" applyNumberFormat="1" applyFont="1" applyFill="1" applyBorder="1" applyProtection="1">
      <protection locked="0"/>
    </xf>
    <xf numFmtId="165" fontId="5" fillId="26" borderId="125" xfId="1" applyNumberFormat="1" applyFont="1" applyFill="1" applyBorder="1" applyProtection="1">
      <protection locked="0"/>
    </xf>
    <xf numFmtId="185" fontId="6" fillId="0" borderId="109" xfId="1" applyNumberFormat="1" applyFont="1" applyFill="1" applyBorder="1" applyProtection="1">
      <protection locked="0"/>
    </xf>
    <xf numFmtId="169" fontId="6" fillId="0" borderId="109" xfId="1" applyNumberFormat="1" applyFont="1" applyFill="1" applyBorder="1" applyProtection="1">
      <protection locked="0"/>
    </xf>
    <xf numFmtId="165" fontId="5" fillId="26" borderId="112" xfId="1" applyFont="1" applyFill="1" applyBorder="1" applyProtection="1">
      <protection locked="0"/>
    </xf>
    <xf numFmtId="165" fontId="5" fillId="26" borderId="113" xfId="1" applyFont="1" applyFill="1" applyBorder="1" applyProtection="1">
      <protection locked="0"/>
    </xf>
    <xf numFmtId="171" fontId="5" fillId="26" borderId="107" xfId="1" applyNumberFormat="1" applyFont="1" applyFill="1" applyBorder="1" applyProtection="1">
      <protection locked="0"/>
    </xf>
    <xf numFmtId="165" fontId="5" fillId="26" borderId="127" xfId="1" applyNumberFormat="1" applyFont="1" applyFill="1" applyBorder="1" applyProtection="1">
      <protection locked="0"/>
    </xf>
    <xf numFmtId="165" fontId="5" fillId="26" borderId="128" xfId="1" applyNumberFormat="1" applyFont="1" applyFill="1" applyBorder="1" applyProtection="1">
      <protection locked="0"/>
    </xf>
    <xf numFmtId="0" fontId="6" fillId="0" borderId="109" xfId="1" applyNumberFormat="1" applyFont="1" applyFill="1" applyBorder="1" applyProtection="1">
      <protection locked="0"/>
    </xf>
    <xf numFmtId="165" fontId="5" fillId="0" borderId="110" xfId="1" applyFont="1" applyFill="1" applyBorder="1" applyProtection="1">
      <protection locked="0"/>
    </xf>
    <xf numFmtId="185" fontId="6" fillId="0" borderId="76" xfId="0" applyNumberFormat="1" applyFont="1" applyFill="1" applyBorder="1" applyProtection="1"/>
    <xf numFmtId="165" fontId="5" fillId="26" borderId="127" xfId="1" applyFont="1" applyFill="1" applyBorder="1" applyProtection="1">
      <protection locked="0"/>
    </xf>
    <xf numFmtId="165" fontId="5" fillId="26" borderId="128" xfId="1" applyFont="1" applyFill="1" applyBorder="1" applyProtection="1">
      <protection locked="0"/>
    </xf>
    <xf numFmtId="165" fontId="5" fillId="26" borderId="129" xfId="1" applyFont="1" applyFill="1" applyBorder="1" applyProtection="1">
      <protection locked="0"/>
    </xf>
    <xf numFmtId="13" fontId="5" fillId="26" borderId="110" xfId="1" applyNumberFormat="1" applyFont="1" applyFill="1" applyBorder="1" applyProtection="1">
      <protection locked="0"/>
    </xf>
    <xf numFmtId="178" fontId="6" fillId="0" borderId="109" xfId="0" applyNumberFormat="1" applyFont="1" applyFill="1" applyBorder="1" applyProtection="1"/>
    <xf numFmtId="165" fontId="5" fillId="26" borderId="130" xfId="1" applyFont="1" applyFill="1" applyBorder="1" applyProtection="1">
      <protection locked="0"/>
    </xf>
    <xf numFmtId="178" fontId="6" fillId="0" borderId="76" xfId="0" applyNumberFormat="1" applyFont="1" applyFill="1" applyBorder="1" applyProtection="1"/>
    <xf numFmtId="165" fontId="5" fillId="26" borderId="132" xfId="1" applyFont="1" applyFill="1" applyBorder="1" applyProtection="1">
      <protection locked="0"/>
    </xf>
    <xf numFmtId="190" fontId="49" fillId="27" borderId="19" xfId="0" applyNumberFormat="1" applyFont="1" applyFill="1" applyBorder="1" applyProtection="1">
      <protection locked="0"/>
    </xf>
    <xf numFmtId="2" fontId="20" fillId="0" borderId="34" xfId="0" applyNumberFormat="1" applyFont="1" applyBorder="1" applyAlignment="1" applyProtection="1">
      <alignment horizontal="center" wrapText="1"/>
      <protection locked="0"/>
    </xf>
    <xf numFmtId="190" fontId="49" fillId="0" borderId="19" xfId="0" applyNumberFormat="1" applyFont="1" applyFill="1" applyBorder="1" applyProtection="1">
      <protection locked="0"/>
    </xf>
    <xf numFmtId="0" fontId="12" fillId="3" borderId="0" xfId="0" applyFont="1" applyFill="1" applyAlignment="1" applyProtection="1">
      <alignment horizontal="left"/>
      <protection locked="0"/>
    </xf>
    <xf numFmtId="49" fontId="1" fillId="0" borderId="0" xfId="0" applyNumberFormat="1" applyFont="1" applyAlignment="1" applyProtection="1"/>
    <xf numFmtId="0" fontId="60" fillId="0" borderId="0" xfId="0" applyFont="1"/>
    <xf numFmtId="0" fontId="60" fillId="0" borderId="0" xfId="0" applyFont="1" applyAlignment="1">
      <alignment horizontal="center"/>
    </xf>
    <xf numFmtId="4" fontId="60" fillId="0" borderId="0" xfId="0" applyNumberFormat="1" applyFont="1"/>
    <xf numFmtId="3" fontId="60" fillId="0" borderId="0" xfId="0" applyNumberFormat="1" applyFont="1"/>
    <xf numFmtId="0" fontId="61" fillId="0" borderId="0" xfId="0" applyFont="1"/>
    <xf numFmtId="0" fontId="62" fillId="0" borderId="4" xfId="0" applyFont="1" applyBorder="1"/>
    <xf numFmtId="0" fontId="62" fillId="0" borderId="5" xfId="0" applyFont="1" applyBorder="1" applyAlignment="1">
      <alignment horizontal="center"/>
    </xf>
    <xf numFmtId="0" fontId="62" fillId="0" borderId="5" xfId="0" applyFont="1" applyBorder="1"/>
    <xf numFmtId="0" fontId="62" fillId="0" borderId="5" xfId="0" applyFont="1" applyBorder="1" applyAlignment="1">
      <alignment horizontal="left"/>
    </xf>
    <xf numFmtId="0" fontId="60" fillId="0" borderId="5" xfId="0" applyFont="1" applyBorder="1" applyAlignment="1">
      <alignment horizontal="center"/>
    </xf>
    <xf numFmtId="4" fontId="60" fillId="0" borderId="5" xfId="0" applyNumberFormat="1" applyFont="1" applyBorder="1" applyAlignment="1">
      <alignment horizontal="center"/>
    </xf>
    <xf numFmtId="4" fontId="62" fillId="0" borderId="5" xfId="0" applyNumberFormat="1" applyFont="1" applyBorder="1" applyAlignment="1">
      <alignment horizontal="right"/>
    </xf>
    <xf numFmtId="0" fontId="62" fillId="0" borderId="5" xfId="0" applyFont="1" applyBorder="1" applyAlignment="1">
      <alignment horizontal="right"/>
    </xf>
    <xf numFmtId="3" fontId="62" fillId="0" borderId="5" xfId="0" applyNumberFormat="1" applyFont="1" applyBorder="1" applyAlignment="1">
      <alignment horizontal="right"/>
    </xf>
    <xf numFmtId="0" fontId="62" fillId="0" borderId="11" xfId="0" applyFont="1" applyBorder="1"/>
    <xf numFmtId="0" fontId="62" fillId="0" borderId="0" xfId="0" applyFont="1" applyBorder="1" applyAlignment="1">
      <alignment horizontal="center"/>
    </xf>
    <xf numFmtId="0" fontId="62" fillId="0" borderId="0" xfId="0" applyFont="1" applyBorder="1"/>
    <xf numFmtId="0" fontId="60" fillId="0" borderId="0" xfId="0" applyFont="1" applyBorder="1" applyAlignment="1">
      <alignment horizontal="center"/>
    </xf>
    <xf numFmtId="4" fontId="60" fillId="0" borderId="0" xfId="0" applyNumberFormat="1" applyFont="1" applyBorder="1" applyAlignment="1">
      <alignment horizontal="center"/>
    </xf>
    <xf numFmtId="4" fontId="62" fillId="0" borderId="0" xfId="0" applyNumberFormat="1" applyFont="1" applyBorder="1" applyAlignment="1">
      <alignment horizontal="right"/>
    </xf>
    <xf numFmtId="0" fontId="62" fillId="0" borderId="0" xfId="0" applyFont="1" applyBorder="1" applyAlignment="1">
      <alignment horizontal="right"/>
    </xf>
    <xf numFmtId="3" fontId="62" fillId="0" borderId="0" xfId="0" applyNumberFormat="1" applyFont="1" applyBorder="1" applyAlignment="1">
      <alignment horizontal="right"/>
    </xf>
    <xf numFmtId="0" fontId="62" fillId="0" borderId="6" xfId="0" applyFont="1" applyBorder="1"/>
    <xf numFmtId="0" fontId="62" fillId="0" borderId="7" xfId="0" applyFont="1" applyBorder="1" applyAlignment="1">
      <alignment horizontal="center"/>
    </xf>
    <xf numFmtId="0" fontId="62" fillId="0" borderId="7" xfId="0" applyFont="1" applyBorder="1"/>
    <xf numFmtId="4" fontId="62" fillId="0" borderId="7" xfId="0" applyNumberFormat="1" applyFont="1" applyBorder="1" applyAlignment="1">
      <alignment horizontal="center"/>
    </xf>
    <xf numFmtId="4" fontId="62" fillId="0" borderId="7" xfId="0" applyNumberFormat="1" applyFont="1" applyBorder="1" applyAlignment="1">
      <alignment horizontal="right"/>
    </xf>
    <xf numFmtId="0" fontId="62" fillId="0" borderId="7" xfId="0" applyFont="1" applyBorder="1" applyAlignment="1">
      <alignment horizontal="right"/>
    </xf>
    <xf numFmtId="3" fontId="62" fillId="0" borderId="7" xfId="0" applyNumberFormat="1" applyFont="1" applyBorder="1" applyAlignment="1">
      <alignment horizontal="right"/>
    </xf>
    <xf numFmtId="0" fontId="60" fillId="0" borderId="7" xfId="0" applyFont="1" applyBorder="1"/>
    <xf numFmtId="0" fontId="60" fillId="0" borderId="7" xfId="0" applyFont="1" applyBorder="1" applyAlignment="1">
      <alignment horizontal="center"/>
    </xf>
    <xf numFmtId="4" fontId="60" fillId="0" borderId="7" xfId="0" applyNumberFormat="1" applyFont="1" applyBorder="1" applyAlignment="1">
      <alignment horizontal="center"/>
    </xf>
    <xf numFmtId="1" fontId="63" fillId="0" borderId="6" xfId="0" applyNumberFormat="1" applyFont="1" applyBorder="1" applyAlignment="1">
      <alignment horizontal="centerContinuous"/>
    </xf>
    <xf numFmtId="0" fontId="62" fillId="0" borderId="7" xfId="0" applyFont="1" applyBorder="1" applyAlignment="1">
      <alignment horizontal="centerContinuous"/>
    </xf>
    <xf numFmtId="0" fontId="60" fillId="0" borderId="7" xfId="0" applyFont="1" applyBorder="1" applyAlignment="1">
      <alignment horizontal="centerContinuous"/>
    </xf>
    <xf numFmtId="4" fontId="62" fillId="0" borderId="7" xfId="0" applyNumberFormat="1" applyFont="1" applyBorder="1" applyAlignment="1">
      <alignment horizontal="centerContinuous"/>
    </xf>
    <xf numFmtId="3" fontId="62" fillId="0" borderId="7" xfId="0" applyNumberFormat="1" applyFont="1" applyBorder="1" applyAlignment="1">
      <alignment horizontal="centerContinuous"/>
    </xf>
    <xf numFmtId="0" fontId="64" fillId="0" borderId="24" xfId="0" quotePrefix="1" applyFont="1" applyBorder="1" applyAlignment="1">
      <alignment horizontal="center" wrapText="1"/>
    </xf>
    <xf numFmtId="0" fontId="64" fillId="0" borderId="35" xfId="0" quotePrefix="1" applyFont="1" applyBorder="1" applyAlignment="1">
      <alignment horizontal="center" wrapText="1"/>
    </xf>
    <xf numFmtId="184" fontId="64" fillId="0" borderId="25" xfId="0" applyNumberFormat="1" applyFont="1" applyBorder="1" applyAlignment="1">
      <alignment horizontal="center" wrapText="1"/>
    </xf>
    <xf numFmtId="4" fontId="64" fillId="0" borderId="25" xfId="0" applyNumberFormat="1" applyFont="1" applyBorder="1" applyAlignment="1">
      <alignment horizontal="center" wrapText="1"/>
    </xf>
    <xf numFmtId="4" fontId="65" fillId="0" borderId="25" xfId="0" applyNumberFormat="1" applyFont="1" applyBorder="1" applyAlignment="1">
      <alignment horizontal="center" wrapText="1"/>
    </xf>
    <xf numFmtId="1" fontId="66" fillId="0" borderId="53" xfId="0" applyNumberFormat="1" applyFont="1" applyBorder="1" applyAlignment="1" applyProtection="1">
      <alignment horizontal="center"/>
      <protection locked="0"/>
    </xf>
    <xf numFmtId="0" fontId="60" fillId="0" borderId="57" xfId="0" applyFont="1" applyBorder="1" applyAlignment="1" applyProtection="1">
      <alignment horizontal="center"/>
      <protection locked="0"/>
    </xf>
    <xf numFmtId="0" fontId="60" fillId="0" borderId="55" xfId="0" applyFont="1" applyBorder="1" applyAlignment="1" applyProtection="1">
      <alignment horizontal="left" vertical="center" wrapText="1"/>
      <protection locked="0"/>
    </xf>
    <xf numFmtId="0" fontId="60" fillId="0" borderId="54" xfId="0" applyFont="1" applyBorder="1" applyAlignment="1" applyProtection="1">
      <alignment horizontal="center" vertical="center" wrapText="1"/>
      <protection locked="0"/>
    </xf>
    <xf numFmtId="4" fontId="60" fillId="0" borderId="55" xfId="0" applyNumberFormat="1" applyFont="1" applyBorder="1" applyAlignment="1" applyProtection="1">
      <alignment horizontal="center" vertical="center" wrapText="1"/>
      <protection locked="0"/>
    </xf>
    <xf numFmtId="4" fontId="60" fillId="0" borderId="56" xfId="0" applyNumberFormat="1" applyFont="1" applyBorder="1" applyAlignment="1" applyProtection="1">
      <alignment horizontal="center" vertical="center" wrapText="1"/>
      <protection locked="0"/>
    </xf>
    <xf numFmtId="0" fontId="60" fillId="0" borderId="57" xfId="0" applyFont="1" applyBorder="1" applyAlignment="1" applyProtection="1">
      <alignment horizontal="center" vertical="center" wrapText="1"/>
      <protection locked="0"/>
    </xf>
    <xf numFmtId="4" fontId="60" fillId="0" borderId="57" xfId="0" applyNumberFormat="1" applyFont="1" applyBorder="1" applyAlignment="1" applyProtection="1">
      <alignment horizontal="center" vertical="center" wrapText="1"/>
      <protection locked="0"/>
    </xf>
    <xf numFmtId="3" fontId="60" fillId="0" borderId="57" xfId="0" applyNumberFormat="1" applyFont="1" applyBorder="1" applyAlignment="1" applyProtection="1">
      <alignment horizontal="center" vertical="center" wrapText="1"/>
      <protection locked="0"/>
    </xf>
    <xf numFmtId="1" fontId="67" fillId="21" borderId="39" xfId="0" quotePrefix="1" applyNumberFormat="1" applyFont="1" applyFill="1" applyBorder="1" applyAlignment="1" applyProtection="1">
      <alignment horizontal="center"/>
      <protection locked="0"/>
    </xf>
    <xf numFmtId="168" fontId="68" fillId="21" borderId="1" xfId="0" quotePrefix="1" applyNumberFormat="1" applyFont="1" applyFill="1" applyBorder="1" applyAlignment="1" applyProtection="1">
      <alignment horizontal="center"/>
      <protection locked="0"/>
    </xf>
    <xf numFmtId="0" fontId="68" fillId="21" borderId="37" xfId="0" applyFont="1" applyFill="1" applyBorder="1" applyAlignment="1" applyProtection="1">
      <alignment horizontal="left" wrapText="1"/>
      <protection locked="0"/>
    </xf>
    <xf numFmtId="0" fontId="69" fillId="21" borderId="37" xfId="0" applyFont="1" applyFill="1" applyBorder="1" applyAlignment="1" applyProtection="1">
      <alignment horizontal="center" wrapText="1"/>
      <protection locked="0"/>
    </xf>
    <xf numFmtId="4" fontId="68" fillId="21" borderId="2" xfId="0" applyNumberFormat="1" applyFont="1" applyFill="1" applyBorder="1" applyAlignment="1" applyProtection="1">
      <alignment horizontal="right"/>
      <protection locked="0"/>
    </xf>
    <xf numFmtId="4" fontId="68" fillId="21" borderId="40" xfId="0" applyNumberFormat="1" applyFont="1" applyFill="1" applyBorder="1" applyAlignment="1" applyProtection="1">
      <alignment horizontal="right" wrapText="1"/>
      <protection locked="0"/>
    </xf>
    <xf numFmtId="38" fontId="68" fillId="21" borderId="3" xfId="0" applyNumberFormat="1" applyFont="1" applyFill="1" applyBorder="1" applyAlignment="1" applyProtection="1">
      <alignment horizontal="right" wrapText="1"/>
      <protection locked="0"/>
    </xf>
    <xf numFmtId="4" fontId="68" fillId="21" borderId="3" xfId="0" applyNumberFormat="1" applyFont="1" applyFill="1" applyBorder="1" applyAlignment="1" applyProtection="1">
      <alignment horizontal="right" wrapText="1"/>
      <protection locked="0"/>
    </xf>
    <xf numFmtId="3" fontId="68" fillId="21" borderId="3" xfId="0" applyNumberFormat="1" applyFont="1" applyFill="1" applyBorder="1" applyAlignment="1" applyProtection="1">
      <alignment horizontal="right" wrapText="1"/>
      <protection locked="0"/>
    </xf>
    <xf numFmtId="0" fontId="70" fillId="0" borderId="0" xfId="0" applyFont="1"/>
    <xf numFmtId="168" fontId="71" fillId="0" borderId="39" xfId="0" quotePrefix="1" applyNumberFormat="1" applyFont="1" applyFill="1" applyBorder="1" applyAlignment="1" applyProtection="1">
      <alignment horizontal="center"/>
      <protection locked="0"/>
    </xf>
    <xf numFmtId="168" fontId="60" fillId="0" borderId="1" xfId="0" quotePrefix="1" applyNumberFormat="1" applyFont="1" applyFill="1" applyBorder="1" applyAlignment="1" applyProtection="1">
      <alignment horizontal="center"/>
      <protection locked="0"/>
    </xf>
    <xf numFmtId="0" fontId="62" fillId="0" borderId="37" xfId="0" applyFont="1" applyFill="1" applyBorder="1" applyAlignment="1" applyProtection="1">
      <alignment horizontal="left"/>
      <protection locked="0"/>
    </xf>
    <xf numFmtId="0" fontId="60" fillId="0" borderId="37" xfId="0" applyFont="1" applyFill="1" applyBorder="1" applyAlignment="1" applyProtection="1">
      <alignment horizontal="center"/>
      <protection locked="0"/>
    </xf>
    <xf numFmtId="4" fontId="60" fillId="0" borderId="2" xfId="0" applyNumberFormat="1" applyFont="1" applyFill="1" applyBorder="1" applyAlignment="1" applyProtection="1">
      <alignment horizontal="right"/>
      <protection locked="0"/>
    </xf>
    <xf numFmtId="4" fontId="60" fillId="0" borderId="40" xfId="0" applyNumberFormat="1" applyFont="1" applyFill="1" applyBorder="1" applyAlignment="1" applyProtection="1">
      <alignment horizontal="right" wrapText="1"/>
      <protection locked="0"/>
    </xf>
    <xf numFmtId="38" fontId="60" fillId="0" borderId="3" xfId="0" applyNumberFormat="1" applyFont="1" applyFill="1" applyBorder="1" applyAlignment="1" applyProtection="1">
      <alignment horizontal="right" wrapText="1"/>
      <protection locked="0"/>
    </xf>
    <xf numFmtId="4" fontId="60" fillId="0" borderId="3" xfId="0" applyNumberFormat="1" applyFont="1" applyFill="1" applyBorder="1" applyAlignment="1" applyProtection="1">
      <alignment horizontal="right" wrapText="1"/>
      <protection locked="0"/>
    </xf>
    <xf numFmtId="3" fontId="60" fillId="0" borderId="3" xfId="0" applyNumberFormat="1" applyFont="1" applyFill="1" applyBorder="1" applyAlignment="1" applyProtection="1">
      <alignment horizontal="right" wrapText="1"/>
      <protection locked="0"/>
    </xf>
    <xf numFmtId="0" fontId="60" fillId="0" borderId="0" xfId="0" applyFont="1" applyFill="1"/>
    <xf numFmtId="0" fontId="72" fillId="0" borderId="0" xfId="0" applyFont="1" applyFill="1"/>
    <xf numFmtId="170" fontId="60" fillId="0" borderId="0" xfId="0" applyNumberFormat="1" applyFont="1" applyFill="1"/>
    <xf numFmtId="0" fontId="71" fillId="0" borderId="39" xfId="0" applyFont="1" applyFill="1" applyBorder="1" applyAlignment="1" applyProtection="1">
      <alignment horizontal="center" vertical="top"/>
      <protection locked="0"/>
    </xf>
    <xf numFmtId="168" fontId="73" fillId="15" borderId="1" xfId="0" applyNumberFormat="1" applyFont="1" applyFill="1" applyBorder="1" applyAlignment="1" applyProtection="1">
      <alignment horizontal="left"/>
      <protection locked="0"/>
    </xf>
    <xf numFmtId="168" fontId="73" fillId="0" borderId="1" xfId="0" applyNumberFormat="1" applyFont="1" applyFill="1" applyBorder="1" applyAlignment="1" applyProtection="1">
      <alignment horizontal="center"/>
      <protection locked="0"/>
    </xf>
    <xf numFmtId="174" fontId="60" fillId="0" borderId="3" xfId="0" applyNumberFormat="1" applyFont="1" applyFill="1" applyBorder="1" applyAlignment="1" applyProtection="1">
      <alignment horizontal="center" wrapText="1"/>
      <protection locked="0"/>
    </xf>
    <xf numFmtId="168" fontId="74" fillId="0" borderId="1" xfId="0" applyNumberFormat="1" applyFont="1" applyFill="1" applyBorder="1" applyAlignment="1" applyProtection="1">
      <alignment horizontal="left"/>
      <protection locked="0"/>
    </xf>
    <xf numFmtId="168" fontId="75" fillId="20" borderId="1" xfId="0" quotePrefix="1" applyNumberFormat="1" applyFont="1" applyFill="1" applyBorder="1" applyAlignment="1" applyProtection="1">
      <alignment horizontal="left"/>
      <protection locked="0"/>
    </xf>
    <xf numFmtId="168" fontId="75" fillId="20" borderId="1" xfId="0" quotePrefix="1" applyNumberFormat="1" applyFont="1" applyFill="1" applyBorder="1" applyAlignment="1" applyProtection="1">
      <alignment horizontal="center"/>
      <protection locked="0"/>
    </xf>
    <xf numFmtId="168" fontId="76" fillId="20" borderId="1" xfId="0" quotePrefix="1" applyNumberFormat="1" applyFont="1" applyFill="1" applyBorder="1" applyAlignment="1" applyProtection="1">
      <alignment horizontal="center"/>
      <protection locked="0"/>
    </xf>
    <xf numFmtId="0" fontId="75" fillId="20" borderId="37" xfId="0" applyFont="1" applyFill="1" applyBorder="1" applyAlignment="1" applyProtection="1">
      <alignment horizontal="left" wrapText="1"/>
      <protection locked="0"/>
    </xf>
    <xf numFmtId="0" fontId="75" fillId="20" borderId="37" xfId="0" applyFont="1" applyFill="1" applyBorder="1" applyAlignment="1" applyProtection="1">
      <alignment horizontal="center" wrapText="1"/>
      <protection locked="0"/>
    </xf>
    <xf numFmtId="4" fontId="75" fillId="20" borderId="2" xfId="0" applyNumberFormat="1" applyFont="1" applyFill="1" applyBorder="1" applyAlignment="1" applyProtection="1">
      <alignment horizontal="right"/>
      <protection locked="0"/>
    </xf>
    <xf numFmtId="4" fontId="75" fillId="20" borderId="40" xfId="0" applyNumberFormat="1" applyFont="1" applyFill="1" applyBorder="1" applyAlignment="1" applyProtection="1">
      <alignment horizontal="right" wrapText="1"/>
      <protection locked="0"/>
    </xf>
    <xf numFmtId="38" fontId="75" fillId="20" borderId="3" xfId="0" applyNumberFormat="1" applyFont="1" applyFill="1" applyBorder="1" applyAlignment="1" applyProtection="1">
      <alignment horizontal="right" wrapText="1"/>
      <protection locked="0"/>
    </xf>
    <xf numFmtId="9" fontId="75" fillId="20" borderId="3" xfId="4" applyNumberFormat="1" applyFont="1" applyFill="1" applyBorder="1" applyAlignment="1" applyProtection="1">
      <alignment horizontal="right" wrapText="1"/>
      <protection locked="0"/>
    </xf>
    <xf numFmtId="3" fontId="75" fillId="20" borderId="3" xfId="0" applyNumberFormat="1" applyFont="1" applyFill="1" applyBorder="1" applyAlignment="1" applyProtection="1">
      <alignment horizontal="right" wrapText="1"/>
      <protection locked="0"/>
    </xf>
    <xf numFmtId="4" fontId="75" fillId="20" borderId="3" xfId="0" applyNumberFormat="1" applyFont="1" applyFill="1" applyBorder="1" applyAlignment="1" applyProtection="1">
      <alignment horizontal="right" wrapText="1"/>
      <protection locked="0"/>
    </xf>
    <xf numFmtId="0" fontId="60" fillId="0" borderId="1" xfId="0" applyFont="1" applyBorder="1" applyAlignment="1" applyProtection="1">
      <alignment horizontal="left" vertical="top"/>
      <protection locked="0"/>
    </xf>
    <xf numFmtId="0" fontId="60" fillId="0" borderId="1" xfId="0" applyFont="1" applyBorder="1" applyAlignment="1" applyProtection="1">
      <alignment horizontal="center" vertical="top"/>
      <protection locked="0"/>
    </xf>
    <xf numFmtId="0" fontId="74" fillId="0" borderId="1" xfId="0" applyFont="1" applyBorder="1" applyAlignment="1" applyProtection="1">
      <alignment horizontal="center" vertical="top"/>
      <protection locked="0"/>
    </xf>
    <xf numFmtId="0" fontId="60" fillId="0" borderId="3" xfId="0" applyFont="1" applyBorder="1" applyAlignment="1" applyProtection="1">
      <alignment horizontal="center" vertical="top"/>
      <protection locked="0"/>
    </xf>
    <xf numFmtId="3" fontId="62" fillId="0" borderId="3" xfId="0" applyNumberFormat="1" applyFont="1" applyBorder="1" applyAlignment="1" applyProtection="1">
      <alignment horizontal="right" wrapText="1"/>
      <protection locked="0"/>
    </xf>
    <xf numFmtId="4" fontId="62" fillId="0" borderId="3" xfId="0" applyNumberFormat="1" applyFont="1" applyBorder="1" applyAlignment="1" applyProtection="1">
      <alignment horizontal="right" wrapText="1"/>
      <protection locked="0"/>
    </xf>
    <xf numFmtId="168" fontId="68" fillId="21" borderId="1" xfId="0" quotePrefix="1" applyNumberFormat="1" applyFont="1" applyFill="1" applyBorder="1" applyAlignment="1" applyProtection="1">
      <alignment horizontal="left"/>
      <protection locked="0"/>
    </xf>
    <xf numFmtId="168" fontId="76" fillId="21" borderId="1" xfId="0" quotePrefix="1" applyNumberFormat="1" applyFont="1" applyFill="1" applyBorder="1" applyAlignment="1" applyProtection="1">
      <alignment horizontal="center"/>
      <protection locked="0"/>
    </xf>
    <xf numFmtId="0" fontId="60" fillId="0" borderId="37" xfId="0" applyFont="1" applyBorder="1" applyAlignment="1" applyProtection="1">
      <alignment horizontal="left" vertical="top" wrapText="1"/>
      <protection locked="0"/>
    </xf>
    <xf numFmtId="0" fontId="60" fillId="0" borderId="37" xfId="0" applyFont="1" applyBorder="1" applyAlignment="1" applyProtection="1">
      <alignment horizontal="center" vertical="top"/>
      <protection locked="0"/>
    </xf>
    <xf numFmtId="4" fontId="62" fillId="0" borderId="2" xfId="0" applyNumberFormat="1" applyFont="1" applyBorder="1" applyAlignment="1" applyProtection="1">
      <alignment horizontal="right" wrapText="1"/>
      <protection locked="0"/>
    </xf>
    <xf numFmtId="4" fontId="62" fillId="0" borderId="40" xfId="0" applyNumberFormat="1" applyFont="1" applyBorder="1" applyAlignment="1" applyProtection="1">
      <alignment horizontal="right" wrapText="1"/>
      <protection locked="0"/>
    </xf>
    <xf numFmtId="40" fontId="62" fillId="0" borderId="3" xfId="0" applyNumberFormat="1" applyFont="1" applyBorder="1" applyAlignment="1" applyProtection="1">
      <alignment horizontal="right" wrapText="1"/>
      <protection locked="0"/>
    </xf>
    <xf numFmtId="0" fontId="60" fillId="0" borderId="37" xfId="0" applyFont="1" applyFill="1" applyBorder="1" applyAlignment="1" applyProtection="1">
      <alignment horizontal="center" vertical="top"/>
      <protection locked="0"/>
    </xf>
    <xf numFmtId="4" fontId="60" fillId="0" borderId="2" xfId="0" applyNumberFormat="1" applyFont="1" applyFill="1" applyBorder="1" applyAlignment="1" applyProtection="1">
      <alignment horizontal="right" wrapText="1"/>
      <protection locked="0"/>
    </xf>
    <xf numFmtId="4" fontId="60" fillId="0" borderId="2" xfId="0" applyNumberFormat="1" applyFont="1" applyBorder="1" applyAlignment="1" applyProtection="1">
      <alignment horizontal="right" wrapText="1"/>
      <protection locked="0"/>
    </xf>
    <xf numFmtId="0" fontId="71" fillId="0" borderId="39" xfId="0" applyFont="1" applyBorder="1" applyAlignment="1" applyProtection="1">
      <alignment horizontal="center" vertical="top"/>
      <protection locked="0"/>
    </xf>
    <xf numFmtId="168" fontId="77" fillId="20" borderId="39" xfId="0" quotePrefix="1" applyNumberFormat="1" applyFont="1" applyFill="1" applyBorder="1" applyAlignment="1" applyProtection="1">
      <alignment horizontal="center"/>
      <protection locked="0"/>
    </xf>
    <xf numFmtId="9" fontId="75" fillId="20" borderId="3" xfId="4" applyFont="1" applyFill="1" applyBorder="1" applyAlignment="1" applyProtection="1">
      <alignment horizontal="right" wrapText="1"/>
      <protection locked="0"/>
    </xf>
    <xf numFmtId="40" fontId="60" fillId="0" borderId="3" xfId="0" applyNumberFormat="1" applyFont="1" applyBorder="1" applyAlignment="1" applyProtection="1">
      <alignment horizontal="right" wrapText="1"/>
      <protection locked="0"/>
    </xf>
    <xf numFmtId="38" fontId="60" fillId="0" borderId="3" xfId="0" applyNumberFormat="1" applyFont="1" applyBorder="1" applyAlignment="1" applyProtection="1">
      <alignment horizontal="right" wrapText="1"/>
      <protection locked="0"/>
    </xf>
    <xf numFmtId="168" fontId="77" fillId="25" borderId="39" xfId="0" quotePrefix="1" applyNumberFormat="1" applyFont="1" applyFill="1" applyBorder="1" applyAlignment="1" applyProtection="1">
      <alignment horizontal="center"/>
      <protection locked="0"/>
    </xf>
    <xf numFmtId="168" fontId="75" fillId="25" borderId="1" xfId="0" quotePrefix="1" applyNumberFormat="1" applyFont="1" applyFill="1" applyBorder="1" applyAlignment="1" applyProtection="1">
      <alignment horizontal="center"/>
      <protection locked="0"/>
    </xf>
    <xf numFmtId="168" fontId="76" fillId="25" borderId="1" xfId="0" quotePrefix="1" applyNumberFormat="1" applyFont="1" applyFill="1" applyBorder="1" applyAlignment="1" applyProtection="1">
      <alignment horizontal="center"/>
      <protection locked="0"/>
    </xf>
    <xf numFmtId="0" fontId="75" fillId="25" borderId="37" xfId="0" applyFont="1" applyFill="1" applyBorder="1" applyAlignment="1" applyProtection="1">
      <alignment horizontal="left" wrapText="1"/>
      <protection locked="0"/>
    </xf>
    <xf numFmtId="0" fontId="75" fillId="25" borderId="37" xfId="0" applyFont="1" applyFill="1" applyBorder="1" applyAlignment="1" applyProtection="1">
      <alignment horizontal="center" wrapText="1"/>
      <protection locked="0"/>
    </xf>
    <xf numFmtId="4" fontId="75" fillId="25" borderId="2" xfId="0" applyNumberFormat="1" applyFont="1" applyFill="1" applyBorder="1" applyAlignment="1" applyProtection="1">
      <alignment horizontal="right"/>
      <protection locked="0"/>
    </xf>
    <xf numFmtId="4" fontId="75" fillId="25" borderId="40" xfId="0" applyNumberFormat="1" applyFont="1" applyFill="1" applyBorder="1" applyAlignment="1" applyProtection="1">
      <alignment horizontal="right" wrapText="1"/>
      <protection locked="0"/>
    </xf>
    <xf numFmtId="38" fontId="75" fillId="25" borderId="3" xfId="0" applyNumberFormat="1" applyFont="1" applyFill="1" applyBorder="1" applyAlignment="1" applyProtection="1">
      <alignment horizontal="right" wrapText="1"/>
      <protection locked="0"/>
    </xf>
    <xf numFmtId="4" fontId="75" fillId="25" borderId="3" xfId="0" applyNumberFormat="1" applyFont="1" applyFill="1" applyBorder="1" applyAlignment="1" applyProtection="1">
      <alignment horizontal="right" wrapText="1"/>
      <protection locked="0"/>
    </xf>
    <xf numFmtId="3" fontId="75" fillId="25" borderId="3" xfId="0" applyNumberFormat="1" applyFont="1" applyFill="1" applyBorder="1" applyAlignment="1" applyProtection="1">
      <alignment horizontal="right" wrapText="1"/>
      <protection locked="0"/>
    </xf>
    <xf numFmtId="10" fontId="60" fillId="0" borderId="37" xfId="0" applyNumberFormat="1" applyFont="1" applyBorder="1" applyAlignment="1" applyProtection="1">
      <alignment horizontal="center" vertical="top"/>
      <protection locked="0"/>
    </xf>
    <xf numFmtId="177" fontId="60" fillId="0" borderId="37" xfId="0" applyNumberFormat="1" applyFont="1" applyBorder="1" applyAlignment="1" applyProtection="1">
      <alignment horizontal="center" vertical="top"/>
      <protection locked="0"/>
    </xf>
    <xf numFmtId="9" fontId="75" fillId="20" borderId="37" xfId="0" applyNumberFormat="1" applyFont="1" applyFill="1" applyBorder="1" applyAlignment="1" applyProtection="1">
      <alignment horizontal="center" wrapText="1"/>
      <protection locked="0"/>
    </xf>
    <xf numFmtId="0" fontId="78" fillId="0" borderId="39" xfId="0" applyFont="1" applyFill="1" applyBorder="1" applyAlignment="1" applyProtection="1">
      <alignment horizontal="center" vertical="top"/>
      <protection locked="0"/>
    </xf>
    <xf numFmtId="168" fontId="80" fillId="15" borderId="1" xfId="0" applyNumberFormat="1" applyFont="1" applyFill="1" applyBorder="1" applyAlignment="1" applyProtection="1">
      <alignment horizontal="left"/>
      <protection locked="0"/>
    </xf>
    <xf numFmtId="168" fontId="80" fillId="0" borderId="1" xfId="0" applyNumberFormat="1" applyFont="1" applyFill="1" applyBorder="1" applyAlignment="1" applyProtection="1">
      <alignment horizontal="center"/>
      <protection locked="0"/>
    </xf>
    <xf numFmtId="168" fontId="81" fillId="0" borderId="1" xfId="0" applyNumberFormat="1" applyFont="1" applyFill="1" applyBorder="1" applyAlignment="1" applyProtection="1">
      <alignment horizontal="right"/>
      <protection locked="0"/>
    </xf>
    <xf numFmtId="0" fontId="78" fillId="0" borderId="37" xfId="0" applyFont="1" applyFill="1" applyBorder="1" applyAlignment="1" applyProtection="1">
      <alignment horizontal="left" wrapText="1"/>
      <protection locked="0"/>
    </xf>
    <xf numFmtId="0" fontId="78" fillId="0" borderId="37" xfId="0" applyFont="1" applyFill="1" applyBorder="1" applyAlignment="1" applyProtection="1">
      <alignment horizontal="center" wrapText="1"/>
      <protection locked="0"/>
    </xf>
    <xf numFmtId="4" fontId="78" fillId="0" borderId="2" xfId="4" applyNumberFormat="1" applyFont="1" applyFill="1" applyBorder="1" applyAlignment="1" applyProtection="1">
      <alignment horizontal="right"/>
      <protection locked="0"/>
    </xf>
    <xf numFmtId="4" fontId="78" fillId="0" borderId="40" xfId="0" applyNumberFormat="1" applyFont="1" applyFill="1" applyBorder="1" applyAlignment="1" applyProtection="1">
      <alignment horizontal="right" wrapText="1"/>
      <protection locked="0"/>
    </xf>
    <xf numFmtId="38" fontId="78" fillId="0" borderId="3" xfId="0" applyNumberFormat="1" applyFont="1" applyFill="1" applyBorder="1" applyAlignment="1" applyProtection="1">
      <alignment horizontal="right" wrapText="1"/>
      <protection locked="0"/>
    </xf>
    <xf numFmtId="10" fontId="78" fillId="0" borderId="3" xfId="4" applyNumberFormat="1" applyFont="1" applyFill="1" applyBorder="1" applyAlignment="1" applyProtection="1">
      <alignment horizontal="right" wrapText="1"/>
      <protection locked="0"/>
    </xf>
    <xf numFmtId="3" fontId="78" fillId="0" borderId="3" xfId="0" applyNumberFormat="1" applyFont="1" applyFill="1" applyBorder="1" applyAlignment="1" applyProtection="1">
      <alignment horizontal="right" wrapText="1"/>
      <protection locked="0"/>
    </xf>
    <xf numFmtId="4" fontId="78" fillId="0" borderId="3" xfId="0" applyNumberFormat="1" applyFont="1" applyFill="1" applyBorder="1" applyAlignment="1" applyProtection="1">
      <alignment horizontal="right" wrapText="1"/>
      <protection locked="0"/>
    </xf>
    <xf numFmtId="174" fontId="78" fillId="0" borderId="3" xfId="0" applyNumberFormat="1" applyFont="1" applyFill="1" applyBorder="1" applyAlignment="1" applyProtection="1">
      <alignment horizontal="center" wrapText="1"/>
      <protection locked="0"/>
    </xf>
    <xf numFmtId="4" fontId="78" fillId="0" borderId="2" xfId="0" applyNumberFormat="1" applyFont="1" applyFill="1" applyBorder="1" applyAlignment="1" applyProtection="1">
      <alignment horizontal="right"/>
      <protection locked="0"/>
    </xf>
    <xf numFmtId="168" fontId="78" fillId="46" borderId="39" xfId="0" quotePrefix="1" applyNumberFormat="1" applyFont="1" applyFill="1" applyBorder="1" applyAlignment="1" applyProtection="1">
      <alignment horizontal="center"/>
      <protection locked="0"/>
    </xf>
    <xf numFmtId="168" fontId="79" fillId="46" borderId="1" xfId="0" quotePrefix="1" applyNumberFormat="1" applyFont="1" applyFill="1" applyBorder="1" applyAlignment="1" applyProtection="1">
      <alignment horizontal="center"/>
      <protection locked="0"/>
    </xf>
    <xf numFmtId="168" fontId="79" fillId="46" borderId="1" xfId="0" applyNumberFormat="1" applyFont="1" applyFill="1" applyBorder="1" applyAlignment="1" applyProtection="1">
      <alignment horizontal="center"/>
      <protection locked="0"/>
    </xf>
    <xf numFmtId="0" fontId="79" fillId="46" borderId="37" xfId="0" applyFont="1" applyFill="1" applyBorder="1" applyAlignment="1" applyProtection="1">
      <alignment horizontal="left" wrapText="1"/>
      <protection locked="0"/>
    </xf>
    <xf numFmtId="0" fontId="79" fillId="46" borderId="37" xfId="0" applyFont="1" applyFill="1" applyBorder="1" applyAlignment="1" applyProtection="1">
      <alignment horizontal="center" wrapText="1"/>
      <protection locked="0"/>
    </xf>
    <xf numFmtId="4" fontId="79" fillId="46" borderId="2" xfId="0" applyNumberFormat="1" applyFont="1" applyFill="1" applyBorder="1" applyAlignment="1" applyProtection="1">
      <alignment horizontal="right"/>
      <protection locked="0"/>
    </xf>
    <xf numFmtId="4" fontId="79" fillId="46" borderId="40" xfId="0" applyNumberFormat="1" applyFont="1" applyFill="1" applyBorder="1" applyAlignment="1" applyProtection="1">
      <alignment horizontal="right" wrapText="1"/>
      <protection locked="0"/>
    </xf>
    <xf numFmtId="38" fontId="79" fillId="46" borderId="3" xfId="0" applyNumberFormat="1" applyFont="1" applyFill="1" applyBorder="1" applyAlignment="1" applyProtection="1">
      <alignment horizontal="right" wrapText="1"/>
      <protection locked="0"/>
    </xf>
    <xf numFmtId="4" fontId="79" fillId="46" borderId="3" xfId="0" applyNumberFormat="1" applyFont="1" applyFill="1" applyBorder="1" applyAlignment="1" applyProtection="1">
      <alignment horizontal="right" wrapText="1"/>
      <protection locked="0"/>
    </xf>
    <xf numFmtId="3" fontId="79" fillId="46" borderId="3" xfId="0" applyNumberFormat="1" applyFont="1" applyFill="1" applyBorder="1" applyAlignment="1" applyProtection="1">
      <alignment horizontal="right" wrapText="1"/>
      <protection locked="0"/>
    </xf>
    <xf numFmtId="165" fontId="20" fillId="0" borderId="28" xfId="1" applyNumberFormat="1" applyFont="1" applyFill="1" applyBorder="1" applyAlignment="1">
      <alignment horizontal="right"/>
    </xf>
    <xf numFmtId="165" fontId="5" fillId="26" borderId="131" xfId="1" applyNumberFormat="1" applyFont="1" applyFill="1" applyBorder="1" applyProtection="1">
      <protection locked="0"/>
    </xf>
    <xf numFmtId="165" fontId="5" fillId="26" borderId="136" xfId="1" applyFont="1" applyFill="1" applyBorder="1" applyProtection="1">
      <protection locked="0"/>
    </xf>
    <xf numFmtId="165" fontId="5" fillId="26" borderId="137" xfId="1" applyFont="1" applyFill="1" applyBorder="1" applyProtection="1">
      <protection locked="0"/>
    </xf>
    <xf numFmtId="165" fontId="5" fillId="26" borderId="138" xfId="1" applyFont="1" applyFill="1" applyBorder="1" applyProtection="1">
      <protection locked="0"/>
    </xf>
    <xf numFmtId="165" fontId="5" fillId="26" borderId="139" xfId="1" applyFont="1" applyFill="1" applyBorder="1" applyProtection="1">
      <protection locked="0"/>
    </xf>
    <xf numFmtId="165" fontId="5" fillId="26" borderId="140" xfId="1" applyFont="1" applyFill="1" applyBorder="1" applyProtection="1">
      <protection locked="0"/>
    </xf>
    <xf numFmtId="165" fontId="5" fillId="26" borderId="141" xfId="1" applyFont="1" applyFill="1" applyBorder="1" applyProtection="1">
      <protection locked="0"/>
    </xf>
    <xf numFmtId="0" fontId="78" fillId="15" borderId="1" xfId="0" applyFont="1" applyFill="1" applyBorder="1" applyAlignment="1" applyProtection="1">
      <alignment horizontal="left" vertical="top"/>
      <protection locked="0"/>
    </xf>
    <xf numFmtId="9" fontId="5" fillId="26" borderId="107" xfId="4" applyFont="1" applyFill="1" applyBorder="1" applyProtection="1">
      <protection locked="0"/>
    </xf>
    <xf numFmtId="9" fontId="6" fillId="0" borderId="110" xfId="4" applyFont="1" applyFill="1" applyBorder="1" applyProtection="1">
      <protection locked="0"/>
    </xf>
    <xf numFmtId="9" fontId="59" fillId="45" borderId="110" xfId="4" applyFont="1" applyFill="1" applyBorder="1" applyProtection="1">
      <protection locked="0"/>
    </xf>
    <xf numFmtId="165" fontId="5" fillId="26" borderId="142" xfId="1" applyNumberFormat="1" applyFont="1" applyFill="1" applyBorder="1" applyProtection="1">
      <protection locked="0"/>
    </xf>
    <xf numFmtId="165" fontId="5" fillId="26" borderId="143" xfId="1" applyNumberFormat="1" applyFont="1" applyFill="1" applyBorder="1" applyProtection="1">
      <protection locked="0"/>
    </xf>
    <xf numFmtId="165" fontId="5" fillId="26" borderId="124" xfId="1" applyFont="1" applyFill="1" applyBorder="1" applyProtection="1">
      <protection locked="0"/>
    </xf>
    <xf numFmtId="165" fontId="5" fillId="0" borderId="136" xfId="1" applyFont="1" applyFill="1" applyBorder="1" applyProtection="1">
      <protection locked="0"/>
    </xf>
    <xf numFmtId="165" fontId="5" fillId="0" borderId="138" xfId="1" applyFont="1" applyFill="1" applyBorder="1" applyProtection="1">
      <protection locked="0"/>
    </xf>
    <xf numFmtId="165" fontId="5" fillId="0" borderId="140" xfId="1" applyFont="1" applyFill="1" applyBorder="1" applyProtection="1">
      <protection locked="0"/>
    </xf>
    <xf numFmtId="185" fontId="0" fillId="0" borderId="76" xfId="0" applyNumberFormat="1" applyFill="1" applyBorder="1" applyProtection="1">
      <protection locked="0"/>
    </xf>
    <xf numFmtId="165" fontId="5" fillId="0" borderId="114" xfId="1" applyFont="1" applyFill="1" applyBorder="1" applyProtection="1">
      <protection locked="0"/>
    </xf>
    <xf numFmtId="165" fontId="5" fillId="26" borderId="123" xfId="1" applyNumberFormat="1" applyFont="1" applyFill="1" applyBorder="1" applyProtection="1">
      <protection locked="0"/>
    </xf>
    <xf numFmtId="165" fontId="6" fillId="0" borderId="145" xfId="1" applyNumberFormat="1" applyFont="1" applyFill="1" applyBorder="1" applyProtection="1">
      <protection locked="0"/>
    </xf>
    <xf numFmtId="165" fontId="6" fillId="0" borderId="146" xfId="1" applyNumberFormat="1" applyFont="1" applyFill="1" applyBorder="1" applyProtection="1">
      <protection locked="0"/>
    </xf>
    <xf numFmtId="165" fontId="6" fillId="0" borderId="147" xfId="1" applyNumberFormat="1" applyFont="1" applyFill="1" applyBorder="1" applyProtection="1">
      <protection locked="0"/>
    </xf>
    <xf numFmtId="165" fontId="6" fillId="0" borderId="148" xfId="1" applyNumberFormat="1" applyFont="1" applyFill="1" applyBorder="1" applyProtection="1">
      <protection locked="0"/>
    </xf>
    <xf numFmtId="165" fontId="6" fillId="0" borderId="149" xfId="1" applyNumberFormat="1" applyFont="1" applyFill="1" applyBorder="1" applyProtection="1">
      <protection locked="0"/>
    </xf>
    <xf numFmtId="0" fontId="5" fillId="26" borderId="150" xfId="0" applyFont="1" applyFill="1" applyBorder="1" applyProtection="1">
      <protection locked="0"/>
    </xf>
    <xf numFmtId="165" fontId="59" fillId="45" borderId="146" xfId="1" applyNumberFormat="1" applyFont="1" applyFill="1" applyBorder="1" applyProtection="1">
      <protection locked="0"/>
    </xf>
    <xf numFmtId="165" fontId="59" fillId="45" borderId="144" xfId="1" applyNumberFormat="1" applyFont="1" applyFill="1" applyBorder="1" applyProtection="1">
      <protection locked="0"/>
    </xf>
    <xf numFmtId="165" fontId="59" fillId="45" borderId="147" xfId="1" applyNumberFormat="1" applyFont="1" applyFill="1" applyBorder="1" applyProtection="1">
      <protection locked="0"/>
    </xf>
    <xf numFmtId="185" fontId="1" fillId="0" borderId="152" xfId="0" applyNumberFormat="1" applyFont="1" applyFill="1" applyBorder="1" applyProtection="1"/>
    <xf numFmtId="165" fontId="5" fillId="26" borderId="156" xfId="1" applyFont="1" applyFill="1" applyBorder="1" applyProtection="1">
      <protection locked="0"/>
    </xf>
    <xf numFmtId="165" fontId="5" fillId="26" borderId="157" xfId="1" applyFont="1" applyFill="1" applyBorder="1" applyProtection="1">
      <protection locked="0"/>
    </xf>
    <xf numFmtId="165" fontId="5" fillId="0" borderId="137" xfId="1" applyFont="1" applyFill="1" applyBorder="1" applyProtection="1">
      <protection locked="0"/>
    </xf>
    <xf numFmtId="165" fontId="59" fillId="45" borderId="154" xfId="1" applyNumberFormat="1" applyFont="1" applyFill="1" applyBorder="1" applyProtection="1">
      <protection locked="0"/>
    </xf>
    <xf numFmtId="165" fontId="59" fillId="45" borderId="163" xfId="1" applyNumberFormat="1" applyFont="1" applyFill="1" applyBorder="1" applyProtection="1">
      <protection locked="0"/>
    </xf>
    <xf numFmtId="165" fontId="59" fillId="45" borderId="164" xfId="1" applyNumberFormat="1" applyFont="1" applyFill="1" applyBorder="1" applyProtection="1">
      <protection locked="0"/>
    </xf>
    <xf numFmtId="165" fontId="59" fillId="0" borderId="153" xfId="1" applyNumberFormat="1" applyFont="1" applyFill="1" applyBorder="1" applyProtection="1">
      <protection locked="0"/>
    </xf>
    <xf numFmtId="165" fontId="59" fillId="0" borderId="161" xfId="1" applyNumberFormat="1" applyFont="1" applyFill="1" applyBorder="1" applyProtection="1">
      <protection locked="0"/>
    </xf>
    <xf numFmtId="165" fontId="59" fillId="0" borderId="162" xfId="1" applyNumberFormat="1" applyFont="1" applyFill="1" applyBorder="1" applyProtection="1">
      <protection locked="0"/>
    </xf>
    <xf numFmtId="165" fontId="5" fillId="0" borderId="159" xfId="1" applyFont="1" applyFill="1" applyBorder="1" applyProtection="1">
      <protection locked="0"/>
    </xf>
    <xf numFmtId="165" fontId="59" fillId="45" borderId="148" xfId="1" applyNumberFormat="1" applyFont="1" applyFill="1" applyBorder="1" applyProtection="1">
      <protection locked="0"/>
    </xf>
    <xf numFmtId="165" fontId="5" fillId="26" borderId="165" xfId="1" applyNumberFormat="1" applyFont="1" applyFill="1" applyBorder="1" applyProtection="1">
      <protection locked="0"/>
    </xf>
    <xf numFmtId="165" fontId="5" fillId="26" borderId="166" xfId="1" applyNumberFormat="1" applyFont="1" applyFill="1" applyBorder="1" applyProtection="1">
      <protection locked="0"/>
    </xf>
    <xf numFmtId="0" fontId="0" fillId="44" borderId="0" xfId="0" applyFill="1"/>
    <xf numFmtId="2" fontId="0" fillId="0" borderId="0" xfId="0" applyNumberFormat="1"/>
    <xf numFmtId="49" fontId="20" fillId="0" borderId="169" xfId="0" applyNumberFormat="1" applyFont="1" applyBorder="1" applyAlignment="1" applyProtection="1">
      <alignment wrapText="1"/>
      <protection locked="0"/>
    </xf>
    <xf numFmtId="49" fontId="20" fillId="0" borderId="169" xfId="0" applyNumberFormat="1" applyFont="1" applyBorder="1" applyAlignment="1" applyProtection="1">
      <alignment horizontal="center"/>
      <protection locked="0"/>
    </xf>
    <xf numFmtId="190" fontId="49" fillId="27" borderId="169" xfId="0" applyNumberFormat="1" applyFont="1" applyFill="1" applyBorder="1" applyProtection="1">
      <protection locked="0"/>
    </xf>
    <xf numFmtId="166" fontId="20" fillId="0" borderId="170" xfId="0" applyNumberFormat="1" applyFont="1" applyBorder="1" applyProtection="1">
      <protection locked="0"/>
    </xf>
    <xf numFmtId="165" fontId="5" fillId="0" borderId="174" xfId="1" applyNumberFormat="1" applyFont="1" applyFill="1" applyBorder="1" applyProtection="1">
      <protection locked="0"/>
    </xf>
    <xf numFmtId="49" fontId="20" fillId="0" borderId="169" xfId="0" applyNumberFormat="1" applyFont="1" applyFill="1" applyBorder="1" applyAlignment="1" applyProtection="1">
      <alignment wrapText="1"/>
      <protection locked="0"/>
    </xf>
    <xf numFmtId="4" fontId="5" fillId="26" borderId="175" xfId="1" applyNumberFormat="1" applyFont="1" applyFill="1" applyBorder="1" applyProtection="1">
      <protection locked="0"/>
    </xf>
    <xf numFmtId="49" fontId="20" fillId="38" borderId="19" xfId="0" applyNumberFormat="1" applyFont="1" applyFill="1" applyBorder="1" applyAlignment="1" applyProtection="1">
      <alignment wrapText="1"/>
      <protection locked="0"/>
    </xf>
    <xf numFmtId="165" fontId="5" fillId="26" borderId="176" xfId="1" applyFont="1" applyFill="1" applyBorder="1" applyProtection="1">
      <protection locked="0"/>
    </xf>
    <xf numFmtId="165" fontId="5" fillId="26" borderId="177" xfId="1" applyFont="1" applyFill="1" applyBorder="1" applyProtection="1">
      <protection locked="0"/>
    </xf>
    <xf numFmtId="165" fontId="5" fillId="26" borderId="172" xfId="1" applyFont="1" applyFill="1" applyBorder="1" applyProtection="1">
      <protection locked="0"/>
    </xf>
    <xf numFmtId="165" fontId="5" fillId="26" borderId="173" xfId="1" applyFont="1" applyFill="1" applyBorder="1" applyProtection="1">
      <protection locked="0"/>
    </xf>
    <xf numFmtId="165" fontId="5" fillId="26" borderId="174" xfId="1" applyFont="1" applyFill="1" applyBorder="1" applyProtection="1">
      <protection locked="0"/>
    </xf>
    <xf numFmtId="165" fontId="5" fillId="26" borderId="175" xfId="1" applyFont="1" applyFill="1" applyBorder="1" applyProtection="1">
      <protection locked="0"/>
    </xf>
    <xf numFmtId="165" fontId="5" fillId="26" borderId="181" xfId="1" applyFont="1" applyFill="1" applyBorder="1" applyProtection="1">
      <protection locked="0"/>
    </xf>
    <xf numFmtId="0" fontId="5" fillId="26" borderId="182" xfId="0" applyFont="1" applyFill="1" applyBorder="1" applyProtection="1">
      <protection locked="0"/>
    </xf>
    <xf numFmtId="165" fontId="5" fillId="0" borderId="176" xfId="1" applyNumberFormat="1" applyFont="1" applyFill="1" applyBorder="1" applyProtection="1">
      <protection locked="0"/>
    </xf>
    <xf numFmtId="4" fontId="5" fillId="26" borderId="177" xfId="1" applyNumberFormat="1" applyFont="1" applyFill="1" applyBorder="1" applyProtection="1">
      <protection locked="0"/>
    </xf>
    <xf numFmtId="165" fontId="5" fillId="0" borderId="132" xfId="1" applyNumberFormat="1" applyFont="1" applyFill="1" applyBorder="1" applyProtection="1">
      <protection locked="0"/>
    </xf>
    <xf numFmtId="4" fontId="5" fillId="26" borderId="173" xfId="1" applyNumberFormat="1" applyFont="1" applyFill="1" applyBorder="1" applyProtection="1">
      <protection locked="0"/>
    </xf>
    <xf numFmtId="185" fontId="1" fillId="0" borderId="109" xfId="0" applyNumberFormat="1" applyFont="1" applyFill="1" applyBorder="1" applyProtection="1"/>
    <xf numFmtId="9" fontId="79" fillId="46" borderId="3" xfId="4" applyFont="1" applyFill="1" applyBorder="1" applyAlignment="1" applyProtection="1">
      <alignment horizontal="right" wrapText="1"/>
      <protection locked="0"/>
    </xf>
    <xf numFmtId="49" fontId="20" fillId="0" borderId="33" xfId="0" applyNumberFormat="1" applyFont="1" applyFill="1" applyBorder="1" applyProtection="1">
      <protection locked="0"/>
    </xf>
    <xf numFmtId="1" fontId="61" fillId="0" borderId="0" xfId="0" applyNumberFormat="1" applyFont="1" applyAlignment="1">
      <alignment horizontal="center"/>
    </xf>
    <xf numFmtId="0" fontId="66" fillId="0" borderId="0" xfId="0" applyFont="1"/>
    <xf numFmtId="4" fontId="62" fillId="0" borderId="5" xfId="0" applyNumberFormat="1" applyFont="1" applyBorder="1" applyAlignment="1">
      <alignment horizontal="center" vertical="center"/>
    </xf>
    <xf numFmtId="4" fontId="62" fillId="0" borderId="8" xfId="0" applyNumberFormat="1" applyFont="1" applyBorder="1" applyAlignment="1">
      <alignment horizontal="center" vertical="center"/>
    </xf>
    <xf numFmtId="0" fontId="66" fillId="0" borderId="11" xfId="0" applyFont="1" applyBorder="1"/>
    <xf numFmtId="0" fontId="61" fillId="0" borderId="4" xfId="0" applyFont="1" applyBorder="1"/>
    <xf numFmtId="0" fontId="61" fillId="0" borderId="5" xfId="0" applyFont="1" applyBorder="1"/>
    <xf numFmtId="0" fontId="61" fillId="0" borderId="8" xfId="0" applyFont="1" applyBorder="1"/>
    <xf numFmtId="0" fontId="62" fillId="0" borderId="11" xfId="0" applyFont="1" applyBorder="1" applyAlignment="1">
      <alignment vertical="top"/>
    </xf>
    <xf numFmtId="0" fontId="62" fillId="0" borderId="0" xfId="0" applyFont="1" applyBorder="1" applyAlignment="1">
      <alignment horizontal="center" vertical="top"/>
    </xf>
    <xf numFmtId="0" fontId="62" fillId="0" borderId="0" xfId="0" applyFont="1" applyBorder="1" applyAlignment="1">
      <alignment vertical="top"/>
    </xf>
    <xf numFmtId="0" fontId="64" fillId="0" borderId="11" xfId="0" applyFont="1" applyBorder="1" applyAlignment="1">
      <alignment vertical="top"/>
    </xf>
    <xf numFmtId="0" fontId="61" fillId="0" borderId="0" xfId="0" applyFont="1" applyBorder="1"/>
    <xf numFmtId="0" fontId="61" fillId="0" borderId="10" xfId="0" applyFont="1" applyBorder="1"/>
    <xf numFmtId="4" fontId="62" fillId="0" borderId="7" xfId="0" applyNumberFormat="1" applyFont="1" applyBorder="1" applyAlignment="1">
      <alignment horizontal="center" vertical="center"/>
    </xf>
    <xf numFmtId="4" fontId="62" fillId="0" borderId="9" xfId="0" applyNumberFormat="1" applyFont="1" applyBorder="1" applyAlignment="1">
      <alignment horizontal="center" vertical="center"/>
    </xf>
    <xf numFmtId="0" fontId="61" fillId="0" borderId="6" xfId="0" applyFont="1" applyBorder="1"/>
    <xf numFmtId="0" fontId="61" fillId="0" borderId="7" xfId="0" applyFont="1" applyBorder="1"/>
    <xf numFmtId="1" fontId="62" fillId="0" borderId="7" xfId="0" applyNumberFormat="1" applyFont="1" applyBorder="1" applyAlignment="1">
      <alignment horizontal="center"/>
    </xf>
    <xf numFmtId="0" fontId="83" fillId="0" borderId="0" xfId="0" applyFont="1" applyBorder="1" applyAlignment="1">
      <alignment horizontal="right"/>
    </xf>
    <xf numFmtId="0" fontId="62" fillId="0" borderId="6" xfId="0" applyFont="1" applyBorder="1" applyAlignment="1">
      <alignment horizontal="right"/>
    </xf>
    <xf numFmtId="0" fontId="62" fillId="0" borderId="12" xfId="0" applyFont="1" applyBorder="1" applyAlignment="1">
      <alignment horizontal="centerContinuous"/>
    </xf>
    <xf numFmtId="0" fontId="62" fillId="0" borderId="13" xfId="0" applyFont="1" applyBorder="1" applyAlignment="1">
      <alignment horizontal="centerContinuous"/>
    </xf>
    <xf numFmtId="0" fontId="60" fillId="0" borderId="13" xfId="0" applyFont="1" applyBorder="1" applyAlignment="1">
      <alignment horizontal="centerContinuous"/>
    </xf>
    <xf numFmtId="4" fontId="62" fillId="0" borderId="13" xfId="0" applyNumberFormat="1" applyFont="1" applyBorder="1" applyAlignment="1">
      <alignment horizontal="centerContinuous"/>
    </xf>
    <xf numFmtId="1" fontId="61" fillId="0" borderId="5" xfId="0" applyNumberFormat="1" applyFont="1" applyBorder="1" applyAlignment="1">
      <alignment horizontal="center"/>
    </xf>
    <xf numFmtId="0" fontId="64" fillId="0" borderId="11" xfId="0" applyFont="1" applyBorder="1"/>
    <xf numFmtId="1" fontId="65" fillId="0" borderId="25" xfId="0" applyNumberFormat="1" applyFont="1" applyBorder="1" applyAlignment="1">
      <alignment horizontal="center" wrapText="1"/>
    </xf>
    <xf numFmtId="4" fontId="85" fillId="0" borderId="11" xfId="0" applyNumberFormat="1" applyFont="1" applyBorder="1" applyAlignment="1">
      <alignment horizontal="center" wrapText="1"/>
    </xf>
    <xf numFmtId="4" fontId="65" fillId="0" borderId="24" xfId="0" applyNumberFormat="1" applyFont="1" applyBorder="1" applyAlignment="1">
      <alignment horizontal="center" wrapText="1"/>
    </xf>
    <xf numFmtId="0" fontId="61" fillId="0" borderId="11" xfId="0" applyFont="1" applyBorder="1"/>
    <xf numFmtId="3" fontId="66" fillId="0" borderId="0" xfId="0" applyNumberFormat="1" applyFont="1" applyFill="1" applyBorder="1" applyAlignment="1" applyProtection="1">
      <alignment horizontal="center" wrapText="1"/>
      <protection locked="0"/>
    </xf>
    <xf numFmtId="4" fontId="60" fillId="0" borderId="86" xfId="0" applyNumberFormat="1" applyFont="1" applyFill="1" applyBorder="1" applyAlignment="1" applyProtection="1">
      <alignment horizontal="right" wrapText="1"/>
      <protection locked="0"/>
    </xf>
    <xf numFmtId="4" fontId="60" fillId="0" borderId="87" xfId="0" applyNumberFormat="1" applyFont="1" applyFill="1" applyBorder="1" applyAlignment="1" applyProtection="1">
      <alignment horizontal="right" wrapText="1"/>
      <protection locked="0"/>
    </xf>
    <xf numFmtId="4" fontId="60" fillId="0" borderId="88" xfId="0" applyNumberFormat="1" applyFont="1" applyFill="1" applyBorder="1" applyAlignment="1" applyProtection="1">
      <alignment horizontal="right" wrapText="1"/>
      <protection locked="0"/>
    </xf>
    <xf numFmtId="0" fontId="71" fillId="20" borderId="39" xfId="0" applyFont="1" applyFill="1" applyBorder="1" applyAlignment="1" applyProtection="1">
      <alignment horizontal="center" vertical="top"/>
      <protection locked="0"/>
    </xf>
    <xf numFmtId="0" fontId="71" fillId="21" borderId="39" xfId="0" applyFont="1" applyFill="1" applyBorder="1" applyAlignment="1" applyProtection="1">
      <alignment horizontal="center" vertical="top"/>
      <protection locked="0"/>
    </xf>
    <xf numFmtId="0" fontId="60" fillId="15" borderId="1" xfId="0" applyFont="1" applyFill="1" applyBorder="1" applyAlignment="1" applyProtection="1">
      <alignment horizontal="left" vertical="top"/>
      <protection locked="0"/>
    </xf>
    <xf numFmtId="1" fontId="61" fillId="0" borderId="0" xfId="0" applyNumberFormat="1" applyFont="1" applyAlignment="1">
      <alignment horizontal="right"/>
    </xf>
    <xf numFmtId="1" fontId="86" fillId="0" borderId="0" xfId="0" applyNumberFormat="1" applyFont="1" applyAlignment="1">
      <alignment horizontal="right"/>
    </xf>
    <xf numFmtId="0" fontId="87" fillId="0" borderId="0" xfId="0" applyFont="1" applyAlignment="1">
      <alignment horizontal="right"/>
    </xf>
    <xf numFmtId="3" fontId="88" fillId="0" borderId="0" xfId="0" applyNumberFormat="1" applyFont="1"/>
    <xf numFmtId="0" fontId="78" fillId="0" borderId="0" xfId="0" applyFont="1"/>
    <xf numFmtId="4" fontId="79" fillId="0" borderId="0" xfId="0" applyNumberFormat="1" applyFont="1" applyFill="1" applyBorder="1" applyAlignment="1" applyProtection="1">
      <alignment horizontal="right" wrapText="1"/>
      <protection locked="0"/>
    </xf>
    <xf numFmtId="0" fontId="78" fillId="0" borderId="10" xfId="0" applyFont="1" applyBorder="1"/>
    <xf numFmtId="3" fontId="89" fillId="0" borderId="0" xfId="0" applyNumberFormat="1" applyFont="1" applyAlignment="1">
      <alignment horizontal="right"/>
    </xf>
    <xf numFmtId="3" fontId="89" fillId="0" borderId="7" xfId="0" applyNumberFormat="1" applyFont="1" applyBorder="1" applyAlignment="1">
      <alignment horizontal="right"/>
    </xf>
    <xf numFmtId="4" fontId="90" fillId="12" borderId="65" xfId="0" applyNumberFormat="1" applyFont="1" applyFill="1" applyBorder="1" applyAlignment="1">
      <alignment horizontal="right"/>
    </xf>
    <xf numFmtId="3" fontId="62" fillId="0" borderId="13" xfId="0" applyNumberFormat="1" applyFont="1" applyBorder="1" applyAlignment="1">
      <alignment horizontal="right"/>
    </xf>
    <xf numFmtId="4" fontId="62" fillId="0" borderId="13" xfId="0" applyNumberFormat="1" applyFont="1" applyBorder="1" applyAlignment="1">
      <alignment horizontal="right"/>
    </xf>
    <xf numFmtId="4" fontId="75" fillId="48" borderId="40" xfId="0" applyNumberFormat="1" applyFont="1" applyFill="1" applyBorder="1" applyAlignment="1" applyProtection="1">
      <alignment horizontal="right" wrapText="1"/>
      <protection locked="0"/>
    </xf>
    <xf numFmtId="4" fontId="68" fillId="49" borderId="2" xfId="0" applyNumberFormat="1" applyFont="1" applyFill="1" applyBorder="1" applyAlignment="1" applyProtection="1">
      <alignment horizontal="right"/>
      <protection locked="0"/>
    </xf>
    <xf numFmtId="1" fontId="61" fillId="48" borderId="39" xfId="0" applyNumberFormat="1" applyFont="1" applyFill="1" applyBorder="1" applyAlignment="1" applyProtection="1">
      <alignment horizontal="center" wrapText="1"/>
      <protection locked="0"/>
    </xf>
    <xf numFmtId="1" fontId="61" fillId="48" borderId="37" xfId="0" applyNumberFormat="1" applyFont="1" applyFill="1" applyBorder="1" applyAlignment="1" applyProtection="1">
      <alignment horizontal="center" wrapText="1"/>
      <protection locked="0"/>
    </xf>
    <xf numFmtId="3" fontId="71" fillId="48" borderId="40" xfId="0" applyNumberFormat="1" applyFont="1" applyFill="1" applyBorder="1" applyAlignment="1" applyProtection="1">
      <alignment horizontal="right" wrapText="1"/>
      <protection locked="0"/>
    </xf>
    <xf numFmtId="1" fontId="61" fillId="0" borderId="105" xfId="0" applyNumberFormat="1" applyFont="1" applyFill="1" applyBorder="1" applyAlignment="1" applyProtection="1">
      <alignment horizontal="center" wrapText="1"/>
      <protection locked="0"/>
    </xf>
    <xf numFmtId="1" fontId="61" fillId="0" borderId="102" xfId="0" applyNumberFormat="1" applyFont="1" applyFill="1" applyBorder="1" applyAlignment="1" applyProtection="1">
      <alignment horizontal="center" wrapText="1"/>
      <protection locked="0"/>
    </xf>
    <xf numFmtId="3" fontId="71" fillId="0" borderId="119" xfId="0" applyNumberFormat="1" applyFont="1" applyFill="1" applyBorder="1" applyAlignment="1" applyProtection="1">
      <alignment horizontal="right" wrapText="1"/>
      <protection locked="0"/>
    </xf>
    <xf numFmtId="1" fontId="61" fillId="49" borderId="39" xfId="0" applyNumberFormat="1" applyFont="1" applyFill="1" applyBorder="1" applyAlignment="1" applyProtection="1">
      <alignment horizontal="center" wrapText="1"/>
      <protection locked="0"/>
    </xf>
    <xf numFmtId="1" fontId="61" fillId="49" borderId="37" xfId="0" applyNumberFormat="1" applyFont="1" applyFill="1" applyBorder="1" applyAlignment="1" applyProtection="1">
      <alignment horizontal="center" wrapText="1"/>
      <protection locked="0"/>
    </xf>
    <xf numFmtId="3" fontId="71" fillId="49" borderId="40" xfId="0" applyNumberFormat="1" applyFont="1" applyFill="1" applyBorder="1" applyAlignment="1" applyProtection="1">
      <alignment horizontal="right" wrapText="1"/>
      <protection locked="0"/>
    </xf>
    <xf numFmtId="168" fontId="61" fillId="48" borderId="39" xfId="0" applyNumberFormat="1" applyFont="1" applyFill="1" applyBorder="1" applyAlignment="1" applyProtection="1">
      <alignment horizontal="center" wrapText="1"/>
      <protection locked="0"/>
    </xf>
    <xf numFmtId="168" fontId="61" fillId="48" borderId="37" xfId="0" applyNumberFormat="1" applyFont="1" applyFill="1" applyBorder="1" applyAlignment="1" applyProtection="1">
      <alignment horizontal="center" wrapText="1"/>
      <protection locked="0"/>
    </xf>
    <xf numFmtId="168" fontId="61" fillId="0" borderId="105" xfId="0" applyNumberFormat="1" applyFont="1" applyFill="1" applyBorder="1" applyAlignment="1" applyProtection="1">
      <alignment horizontal="center" wrapText="1"/>
      <protection locked="0"/>
    </xf>
    <xf numFmtId="168" fontId="61" fillId="0" borderId="102" xfId="0" applyNumberFormat="1" applyFont="1" applyFill="1" applyBorder="1" applyAlignment="1" applyProtection="1">
      <alignment horizontal="center" wrapText="1"/>
      <protection locked="0"/>
    </xf>
    <xf numFmtId="4" fontId="75" fillId="50" borderId="40" xfId="0" applyNumberFormat="1" applyFont="1" applyFill="1" applyBorder="1" applyAlignment="1" applyProtection="1">
      <alignment horizontal="right" wrapText="1"/>
      <protection locked="0"/>
    </xf>
    <xf numFmtId="168" fontId="61" fillId="50" borderId="39" xfId="0" applyNumberFormat="1" applyFont="1" applyFill="1" applyBorder="1" applyAlignment="1" applyProtection="1">
      <alignment horizontal="center" wrapText="1"/>
      <protection locked="0"/>
    </xf>
    <xf numFmtId="168" fontId="61" fillId="50" borderId="37" xfId="0" applyNumberFormat="1" applyFont="1" applyFill="1" applyBorder="1" applyAlignment="1" applyProtection="1">
      <alignment horizontal="center" wrapText="1"/>
      <protection locked="0"/>
    </xf>
    <xf numFmtId="3" fontId="71" fillId="50" borderId="40" xfId="0" applyNumberFormat="1" applyFont="1" applyFill="1" applyBorder="1" applyAlignment="1" applyProtection="1">
      <alignment horizontal="right" wrapText="1"/>
      <protection locked="0"/>
    </xf>
    <xf numFmtId="1" fontId="61" fillId="50" borderId="39" xfId="0" applyNumberFormat="1" applyFont="1" applyFill="1" applyBorder="1" applyAlignment="1" applyProtection="1">
      <alignment horizontal="center" wrapText="1"/>
      <protection locked="0"/>
    </xf>
    <xf numFmtId="1" fontId="61" fillId="50" borderId="37" xfId="0" applyNumberFormat="1" applyFont="1" applyFill="1" applyBorder="1" applyAlignment="1" applyProtection="1">
      <alignment horizontal="center" wrapText="1"/>
      <protection locked="0"/>
    </xf>
    <xf numFmtId="38" fontId="75" fillId="20" borderId="183" xfId="0" applyNumberFormat="1" applyFont="1" applyFill="1" applyBorder="1" applyAlignment="1" applyProtection="1">
      <alignment horizontal="right" wrapText="1"/>
      <protection locked="0"/>
    </xf>
    <xf numFmtId="0" fontId="60" fillId="0" borderId="40" xfId="0" applyFont="1" applyBorder="1" applyAlignment="1" applyProtection="1">
      <alignment horizontal="center" vertical="top"/>
      <protection locked="0"/>
    </xf>
    <xf numFmtId="4" fontId="62" fillId="0" borderId="39" xfId="0" applyNumberFormat="1" applyFont="1" applyBorder="1" applyAlignment="1" applyProtection="1">
      <alignment horizontal="right" wrapText="1"/>
      <protection locked="0"/>
    </xf>
    <xf numFmtId="40" fontId="60" fillId="0" borderId="39" xfId="0" applyNumberFormat="1" applyFont="1" applyBorder="1" applyAlignment="1" applyProtection="1">
      <alignment horizontal="right" wrapText="1"/>
      <protection locked="0"/>
    </xf>
    <xf numFmtId="4" fontId="62" fillId="0" borderId="37" xfId="0" applyNumberFormat="1" applyFont="1" applyBorder="1" applyAlignment="1" applyProtection="1">
      <alignment horizontal="right" wrapText="1"/>
      <protection locked="0"/>
    </xf>
    <xf numFmtId="40" fontId="62" fillId="0" borderId="39" xfId="0" applyNumberFormat="1" applyFont="1" applyBorder="1" applyAlignment="1" applyProtection="1">
      <alignment horizontal="right" wrapText="1"/>
      <protection locked="0"/>
    </xf>
    <xf numFmtId="168" fontId="78" fillId="0" borderId="39" xfId="0" applyNumberFormat="1" applyFont="1" applyFill="1" applyBorder="1" applyAlignment="1" applyProtection="1">
      <alignment horizontal="center" wrapText="1"/>
      <protection locked="0"/>
    </xf>
    <xf numFmtId="168" fontId="78" fillId="0" borderId="37" xfId="0" applyNumberFormat="1" applyFont="1" applyFill="1" applyBorder="1" applyAlignment="1" applyProtection="1">
      <alignment horizontal="center" wrapText="1"/>
      <protection locked="0"/>
    </xf>
    <xf numFmtId="3" fontId="78" fillId="0" borderId="40" xfId="0" applyNumberFormat="1" applyFont="1" applyFill="1" applyBorder="1" applyAlignment="1" applyProtection="1">
      <alignment horizontal="right" wrapText="1"/>
      <protection locked="0"/>
    </xf>
    <xf numFmtId="1" fontId="61" fillId="0" borderId="39" xfId="0" applyNumberFormat="1" applyFont="1" applyFill="1" applyBorder="1" applyAlignment="1" applyProtection="1">
      <alignment horizontal="center" wrapText="1"/>
      <protection locked="0"/>
    </xf>
    <xf numFmtId="1" fontId="61" fillId="0" borderId="37" xfId="0" applyNumberFormat="1" applyFont="1" applyFill="1" applyBorder="1" applyAlignment="1" applyProtection="1">
      <alignment horizontal="center" wrapText="1"/>
      <protection locked="0"/>
    </xf>
    <xf numFmtId="3" fontId="71" fillId="0" borderId="40" xfId="0" applyNumberFormat="1" applyFont="1" applyFill="1" applyBorder="1" applyAlignment="1" applyProtection="1">
      <alignment horizontal="right" wrapText="1"/>
      <protection locked="0"/>
    </xf>
    <xf numFmtId="4" fontId="79" fillId="46" borderId="83" xfId="0" applyNumberFormat="1" applyFont="1" applyFill="1" applyBorder="1" applyAlignment="1" applyProtection="1">
      <alignment horizontal="right"/>
      <protection locked="0"/>
    </xf>
    <xf numFmtId="4" fontId="79" fillId="46" borderId="186" xfId="0" applyNumberFormat="1" applyFont="1" applyFill="1" applyBorder="1" applyAlignment="1" applyProtection="1">
      <alignment horizontal="right" wrapText="1"/>
      <protection locked="0"/>
    </xf>
    <xf numFmtId="1" fontId="79" fillId="46" borderId="184" xfId="0" applyNumberFormat="1" applyFont="1" applyFill="1" applyBorder="1" applyAlignment="1" applyProtection="1">
      <alignment horizontal="center" wrapText="1"/>
      <protection locked="0"/>
    </xf>
    <xf numFmtId="1" fontId="79" fillId="46" borderId="185" xfId="0" applyNumberFormat="1" applyFont="1" applyFill="1" applyBorder="1" applyAlignment="1" applyProtection="1">
      <alignment horizontal="center" wrapText="1"/>
      <protection locked="0"/>
    </xf>
    <xf numFmtId="4" fontId="79" fillId="46" borderId="11" xfId="0" applyNumberFormat="1" applyFont="1" applyFill="1" applyBorder="1" applyAlignment="1" applyProtection="1">
      <alignment horizontal="right" wrapText="1"/>
      <protection locked="0"/>
    </xf>
    <xf numFmtId="4" fontId="79" fillId="46" borderId="0" xfId="0" applyNumberFormat="1" applyFont="1" applyFill="1" applyBorder="1" applyAlignment="1" applyProtection="1">
      <alignment horizontal="right" wrapText="1"/>
      <protection locked="0"/>
    </xf>
    <xf numFmtId="4" fontId="78" fillId="38" borderId="2" xfId="4" applyNumberFormat="1" applyFont="1" applyFill="1" applyBorder="1" applyAlignment="1" applyProtection="1">
      <alignment horizontal="right"/>
      <protection locked="0"/>
    </xf>
    <xf numFmtId="165" fontId="0" fillId="0" borderId="76" xfId="1" applyFont="1" applyFill="1" applyBorder="1" applyProtection="1"/>
    <xf numFmtId="170" fontId="30" fillId="17" borderId="0" xfId="1" applyNumberFormat="1" applyFont="1" applyFill="1"/>
    <xf numFmtId="170" fontId="26" fillId="11" borderId="20" xfId="1" applyNumberFormat="1" applyFont="1" applyFill="1" applyBorder="1" applyAlignment="1">
      <alignment horizontal="right"/>
    </xf>
    <xf numFmtId="170" fontId="24" fillId="51" borderId="20" xfId="1" applyNumberFormat="1" applyFont="1" applyFill="1" applyBorder="1" applyAlignment="1">
      <alignment horizontal="right"/>
    </xf>
    <xf numFmtId="191" fontId="20" fillId="0" borderId="19" xfId="0" applyNumberFormat="1" applyFont="1" applyFill="1" applyBorder="1" applyProtection="1">
      <protection locked="0"/>
    </xf>
    <xf numFmtId="165" fontId="20" fillId="0" borderId="188" xfId="1" applyNumberFormat="1" applyFont="1" applyFill="1" applyBorder="1" applyAlignment="1">
      <alignment horizontal="right"/>
    </xf>
    <xf numFmtId="165" fontId="20" fillId="0" borderId="187" xfId="1" applyNumberFormat="1" applyFont="1" applyFill="1" applyBorder="1" applyAlignment="1">
      <alignment horizontal="right"/>
    </xf>
    <xf numFmtId="165" fontId="20" fillId="0" borderId="189" xfId="1" applyNumberFormat="1" applyFont="1" applyFill="1" applyBorder="1" applyAlignment="1">
      <alignment horizontal="right"/>
    </xf>
    <xf numFmtId="170" fontId="24" fillId="11" borderId="20" xfId="1" applyNumberFormat="1" applyFont="1" applyFill="1" applyBorder="1" applyAlignment="1">
      <alignment horizontal="right"/>
    </xf>
    <xf numFmtId="170" fontId="24" fillId="52" borderId="20" xfId="1" applyNumberFormat="1" applyFont="1" applyFill="1" applyBorder="1" applyAlignment="1">
      <alignment horizontal="right"/>
    </xf>
    <xf numFmtId="0" fontId="20" fillId="0" borderId="19" xfId="0" applyNumberFormat="1" applyFont="1" applyBorder="1" applyAlignment="1" applyProtection="1">
      <alignment wrapText="1"/>
      <protection locked="0"/>
    </xf>
    <xf numFmtId="49" fontId="20" fillId="0" borderId="28" xfId="0" applyNumberFormat="1" applyFont="1" applyBorder="1" applyProtection="1">
      <protection locked="0"/>
    </xf>
    <xf numFmtId="0" fontId="20" fillId="0" borderId="29" xfId="0" applyNumberFormat="1" applyFont="1" applyBorder="1" applyAlignment="1" applyProtection="1">
      <alignment wrapText="1"/>
      <protection locked="0"/>
    </xf>
    <xf numFmtId="49" fontId="20" fillId="0" borderId="29" xfId="0" applyNumberFormat="1" applyFont="1" applyBorder="1" applyAlignment="1" applyProtection="1">
      <alignment horizontal="center"/>
      <protection locked="0"/>
    </xf>
    <xf numFmtId="191" fontId="20" fillId="0" borderId="29" xfId="0" applyNumberFormat="1" applyFont="1" applyFill="1" applyBorder="1" applyProtection="1">
      <protection locked="0"/>
    </xf>
    <xf numFmtId="165" fontId="20" fillId="0" borderId="29" xfId="1" applyNumberFormat="1" applyFont="1" applyFill="1" applyBorder="1" applyProtection="1">
      <protection locked="0"/>
    </xf>
    <xf numFmtId="165" fontId="20" fillId="0" borderId="29" xfId="1" applyFont="1" applyFill="1" applyBorder="1" applyProtection="1">
      <protection locked="0"/>
    </xf>
    <xf numFmtId="10" fontId="20" fillId="0" borderId="29" xfId="4" applyNumberFormat="1" applyFont="1" applyFill="1" applyBorder="1" applyAlignment="1" applyProtection="1">
      <alignment horizontal="right"/>
      <protection locked="0"/>
    </xf>
    <xf numFmtId="166" fontId="20" fillId="0" borderId="31" xfId="0" applyNumberFormat="1" applyFont="1" applyBorder="1" applyProtection="1">
      <protection locked="0"/>
    </xf>
    <xf numFmtId="49" fontId="20" fillId="0" borderId="190" xfId="0" applyNumberFormat="1" applyFont="1" applyBorder="1" applyProtection="1">
      <protection locked="0"/>
    </xf>
    <xf numFmtId="0" fontId="20" fillId="0" borderId="191" xfId="0" applyNumberFormat="1" applyFont="1" applyBorder="1" applyAlignment="1" applyProtection="1">
      <alignment wrapText="1"/>
      <protection locked="0"/>
    </xf>
    <xf numFmtId="49" fontId="20" fillId="0" borderId="191" xfId="0" applyNumberFormat="1" applyFont="1" applyBorder="1" applyAlignment="1" applyProtection="1">
      <alignment horizontal="center"/>
      <protection locked="0"/>
    </xf>
    <xf numFmtId="191" fontId="20" fillId="0" borderId="191" xfId="0" applyNumberFormat="1" applyFont="1" applyFill="1" applyBorder="1" applyProtection="1">
      <protection locked="0"/>
    </xf>
    <xf numFmtId="165" fontId="20" fillId="0" borderId="191" xfId="1" applyNumberFormat="1" applyFont="1" applyFill="1" applyBorder="1" applyProtection="1">
      <protection locked="0"/>
    </xf>
    <xf numFmtId="165" fontId="20" fillId="0" borderId="191" xfId="1" applyFont="1" applyFill="1" applyBorder="1" applyProtection="1">
      <protection locked="0"/>
    </xf>
    <xf numFmtId="10" fontId="20" fillId="0" borderId="191" xfId="4" applyNumberFormat="1" applyFont="1" applyFill="1" applyBorder="1" applyAlignment="1" applyProtection="1">
      <alignment horizontal="right"/>
      <protection locked="0"/>
    </xf>
    <xf numFmtId="166" fontId="20" fillId="0" borderId="192" xfId="0" applyNumberFormat="1" applyFont="1" applyBorder="1" applyProtection="1">
      <protection locked="0"/>
    </xf>
    <xf numFmtId="0" fontId="20" fillId="0" borderId="34" xfId="0" applyNumberFormat="1" applyFont="1" applyBorder="1" applyAlignment="1" applyProtection="1">
      <alignment wrapText="1"/>
      <protection locked="0"/>
    </xf>
    <xf numFmtId="49" fontId="20" fillId="0" borderId="193" xfId="0" applyNumberFormat="1" applyFont="1" applyBorder="1" applyProtection="1">
      <protection locked="0"/>
    </xf>
    <xf numFmtId="0" fontId="20" fillId="0" borderId="194" xfId="0" applyNumberFormat="1" applyFont="1" applyBorder="1" applyAlignment="1" applyProtection="1">
      <alignment wrapText="1"/>
      <protection locked="0"/>
    </xf>
    <xf numFmtId="49" fontId="20" fillId="0" borderId="194" xfId="0" applyNumberFormat="1" applyFont="1" applyBorder="1" applyAlignment="1" applyProtection="1">
      <alignment horizontal="center"/>
      <protection locked="0"/>
    </xf>
    <xf numFmtId="191" fontId="20" fillId="0" borderId="194" xfId="0" applyNumberFormat="1" applyFont="1" applyFill="1" applyBorder="1" applyProtection="1">
      <protection locked="0"/>
    </xf>
    <xf numFmtId="165" fontId="20" fillId="0" borderId="194" xfId="1" applyNumberFormat="1" applyFont="1" applyFill="1" applyBorder="1" applyProtection="1">
      <protection locked="0"/>
    </xf>
    <xf numFmtId="165" fontId="20" fillId="0" borderId="194" xfId="1" applyFont="1" applyFill="1" applyBorder="1" applyProtection="1">
      <protection locked="0"/>
    </xf>
    <xf numFmtId="10" fontId="20" fillId="0" borderId="194" xfId="4" applyNumberFormat="1" applyFont="1" applyFill="1" applyBorder="1" applyAlignment="1" applyProtection="1">
      <alignment horizontal="right"/>
      <protection locked="0"/>
    </xf>
    <xf numFmtId="166" fontId="20" fillId="0" borderId="195" xfId="0" applyNumberFormat="1" applyFont="1" applyBorder="1" applyProtection="1">
      <protection locked="0"/>
    </xf>
    <xf numFmtId="0" fontId="1" fillId="0" borderId="0" xfId="0" applyFont="1"/>
    <xf numFmtId="0" fontId="78" fillId="0" borderId="1" xfId="0" applyFont="1" applyBorder="1" applyAlignment="1" applyProtection="1">
      <alignment horizontal="center" vertical="top"/>
      <protection locked="0"/>
    </xf>
    <xf numFmtId="0" fontId="81" fillId="0" borderId="1" xfId="0" applyFont="1" applyBorder="1" applyAlignment="1" applyProtection="1">
      <alignment horizontal="center" vertical="top"/>
      <protection locked="0"/>
    </xf>
    <xf numFmtId="0" fontId="78" fillId="0" borderId="37" xfId="0" applyFont="1" applyBorder="1" applyAlignment="1" applyProtection="1">
      <alignment horizontal="left" vertical="top" wrapText="1"/>
      <protection locked="0"/>
    </xf>
    <xf numFmtId="0" fontId="78" fillId="0" borderId="37" xfId="0" applyFont="1" applyFill="1" applyBorder="1" applyAlignment="1" applyProtection="1">
      <alignment horizontal="center" vertical="top"/>
      <protection locked="0"/>
    </xf>
    <xf numFmtId="4" fontId="78" fillId="0" borderId="2" xfId="0" applyNumberFormat="1" applyFont="1" applyFill="1" applyBorder="1" applyAlignment="1" applyProtection="1">
      <alignment horizontal="right" wrapText="1"/>
      <protection locked="0"/>
    </xf>
    <xf numFmtId="9" fontId="78" fillId="0" borderId="3" xfId="4" applyFont="1" applyFill="1" applyBorder="1" applyAlignment="1" applyProtection="1">
      <alignment horizontal="right" wrapText="1"/>
      <protection locked="0"/>
    </xf>
    <xf numFmtId="3" fontId="79" fillId="0" borderId="3" xfId="0" applyNumberFormat="1" applyFont="1" applyBorder="1" applyAlignment="1" applyProtection="1">
      <alignment horizontal="right" wrapText="1"/>
      <protection locked="0"/>
    </xf>
    <xf numFmtId="168" fontId="61" fillId="0" borderId="39" xfId="0" applyNumberFormat="1" applyFont="1" applyFill="1" applyBorder="1" applyAlignment="1" applyProtection="1">
      <alignment horizontal="center" wrapText="1"/>
      <protection locked="0"/>
    </xf>
    <xf numFmtId="168" fontId="61" fillId="0" borderId="37" xfId="0" applyNumberFormat="1" applyFont="1" applyFill="1" applyBorder="1" applyAlignment="1" applyProtection="1">
      <alignment horizontal="center" wrapText="1"/>
      <protection locked="0"/>
    </xf>
    <xf numFmtId="10" fontId="75" fillId="20" borderId="37" xfId="0" applyNumberFormat="1" applyFont="1" applyFill="1" applyBorder="1" applyAlignment="1" applyProtection="1">
      <alignment horizontal="center" wrapText="1"/>
      <protection locked="0"/>
    </xf>
    <xf numFmtId="0" fontId="23" fillId="6" borderId="63" xfId="0" applyFont="1" applyFill="1" applyBorder="1" applyAlignment="1">
      <alignment horizontal="center" vertical="center" wrapText="1"/>
    </xf>
    <xf numFmtId="0" fontId="23" fillId="6" borderId="89" xfId="0" applyFont="1" applyFill="1" applyBorder="1" applyAlignment="1">
      <alignment horizontal="center" vertical="center" wrapText="1"/>
    </xf>
    <xf numFmtId="168" fontId="80" fillId="0" borderId="1" xfId="0" applyNumberFormat="1" applyFont="1" applyBorder="1" applyAlignment="1" applyProtection="1">
      <alignment horizontal="center"/>
      <protection locked="0"/>
    </xf>
    <xf numFmtId="49" fontId="20" fillId="0" borderId="0" xfId="0" applyNumberFormat="1" applyFont="1"/>
    <xf numFmtId="0" fontId="23" fillId="6" borderId="61" xfId="0" applyFont="1" applyFill="1" applyBorder="1" applyAlignment="1">
      <alignment vertical="center" wrapText="1"/>
    </xf>
    <xf numFmtId="0" fontId="23" fillId="6" borderId="83" xfId="0" applyFont="1" applyFill="1" applyBorder="1" applyAlignment="1">
      <alignment vertical="center" wrapText="1"/>
    </xf>
    <xf numFmtId="0" fontId="23" fillId="6" borderId="63" xfId="0" applyFont="1" applyFill="1" applyBorder="1" applyAlignment="1">
      <alignment vertical="center" wrapText="1"/>
    </xf>
    <xf numFmtId="0" fontId="23" fillId="6" borderId="89" xfId="0" applyFont="1" applyFill="1" applyBorder="1" applyAlignment="1">
      <alignment vertical="center" wrapText="1"/>
    </xf>
    <xf numFmtId="0" fontId="75" fillId="48" borderId="37" xfId="0" applyFont="1" applyFill="1" applyBorder="1" applyAlignment="1" applyProtection="1">
      <alignment horizontal="center" wrapText="1"/>
      <protection locked="0"/>
    </xf>
    <xf numFmtId="4" fontId="62" fillId="48" borderId="2" xfId="0" applyNumberFormat="1" applyFont="1" applyFill="1" applyBorder="1" applyAlignment="1" applyProtection="1">
      <alignment horizontal="right" wrapText="1"/>
      <protection locked="0"/>
    </xf>
    <xf numFmtId="168" fontId="61" fillId="0" borderId="0" xfId="0" applyNumberFormat="1" applyFont="1"/>
    <xf numFmtId="190" fontId="91" fillId="51" borderId="169" xfId="0" applyNumberFormat="1" applyFont="1" applyFill="1" applyBorder="1" applyProtection="1">
      <protection locked="0"/>
    </xf>
    <xf numFmtId="178" fontId="75" fillId="25" borderId="3" xfId="0" applyNumberFormat="1" applyFont="1" applyFill="1" applyBorder="1" applyAlignment="1" applyProtection="1">
      <alignment horizontal="right" wrapText="1"/>
      <protection locked="0"/>
    </xf>
    <xf numFmtId="174" fontId="61" fillId="0" borderId="0" xfId="0" applyNumberFormat="1" applyFont="1"/>
    <xf numFmtId="177" fontId="61" fillId="0" borderId="0" xfId="4" applyNumberFormat="1" applyFont="1"/>
    <xf numFmtId="165" fontId="0" fillId="0" borderId="151" xfId="1" applyFont="1" applyBorder="1" applyProtection="1">
      <protection locked="0"/>
    </xf>
    <xf numFmtId="185" fontId="0" fillId="0" borderId="152" xfId="0" applyNumberFormat="1" applyBorder="1" applyProtection="1">
      <protection locked="0"/>
    </xf>
    <xf numFmtId="165" fontId="5" fillId="0" borderId="155" xfId="1" applyFont="1" applyFill="1" applyBorder="1" applyProtection="1">
      <protection locked="0"/>
    </xf>
    <xf numFmtId="165" fontId="5" fillId="0" borderId="158" xfId="1" applyFont="1" applyFill="1" applyBorder="1" applyProtection="1">
      <protection locked="0"/>
    </xf>
    <xf numFmtId="165" fontId="59" fillId="0" borderId="132" xfId="1" applyNumberFormat="1" applyFont="1" applyFill="1" applyBorder="1" applyProtection="1">
      <protection locked="0"/>
    </xf>
    <xf numFmtId="165" fontId="59" fillId="45" borderId="198" xfId="1" applyNumberFormat="1" applyFont="1" applyFill="1" applyBorder="1" applyProtection="1">
      <protection locked="0"/>
    </xf>
    <xf numFmtId="165" fontId="59" fillId="45" borderId="199" xfId="1" applyNumberFormat="1" applyFont="1" applyFill="1" applyBorder="1" applyProtection="1">
      <protection locked="0"/>
    </xf>
    <xf numFmtId="165" fontId="59" fillId="45" borderId="133" xfId="1" applyNumberFormat="1" applyFont="1" applyFill="1" applyBorder="1" applyProtection="1">
      <protection locked="0"/>
    </xf>
    <xf numFmtId="165" fontId="5" fillId="0" borderId="132" xfId="1" applyFont="1" applyFill="1" applyBorder="1" applyProtection="1">
      <protection locked="0"/>
    </xf>
    <xf numFmtId="165" fontId="59" fillId="45" borderId="110" xfId="1" applyFont="1" applyFill="1" applyBorder="1" applyProtection="1">
      <protection locked="0"/>
    </xf>
    <xf numFmtId="165" fontId="1" fillId="0" borderId="116" xfId="1" applyNumberFormat="1" applyFont="1" applyFill="1" applyBorder="1" applyProtection="1">
      <protection locked="0"/>
    </xf>
    <xf numFmtId="165" fontId="1" fillId="0" borderId="117" xfId="1" applyNumberFormat="1" applyFont="1" applyFill="1" applyBorder="1" applyProtection="1">
      <protection locked="0"/>
    </xf>
    <xf numFmtId="185" fontId="1" fillId="0" borderId="76" xfId="0" applyNumberFormat="1" applyFont="1" applyFill="1" applyBorder="1" applyProtection="1"/>
    <xf numFmtId="165" fontId="5" fillId="0" borderId="76" xfId="1" applyFont="1" applyFill="1" applyBorder="1" applyProtection="1">
      <protection locked="0"/>
    </xf>
    <xf numFmtId="165" fontId="1" fillId="0" borderId="76" xfId="1" applyFont="1" applyFill="1" applyBorder="1" applyProtection="1">
      <protection locked="0"/>
    </xf>
    <xf numFmtId="185" fontId="0" fillId="0" borderId="202" xfId="0" applyNumberFormat="1" applyBorder="1" applyProtection="1">
      <protection locked="0"/>
    </xf>
    <xf numFmtId="165" fontId="1" fillId="0" borderId="136" xfId="1" applyFont="1" applyFill="1" applyBorder="1" applyProtection="1">
      <protection locked="0"/>
    </xf>
    <xf numFmtId="165" fontId="1" fillId="0" borderId="137" xfId="1" applyFont="1" applyFill="1" applyBorder="1" applyProtection="1">
      <protection locked="0"/>
    </xf>
    <xf numFmtId="165" fontId="5" fillId="26" borderId="203" xfId="1" applyFont="1" applyFill="1" applyBorder="1" applyProtection="1">
      <protection locked="0"/>
    </xf>
    <xf numFmtId="165" fontId="5" fillId="26" borderId="204" xfId="1" applyFont="1" applyFill="1" applyBorder="1" applyProtection="1">
      <protection locked="0"/>
    </xf>
    <xf numFmtId="165" fontId="1" fillId="0" borderId="203" xfId="1" applyFont="1" applyFill="1" applyBorder="1" applyProtection="1">
      <protection locked="0"/>
    </xf>
    <xf numFmtId="165" fontId="1" fillId="0" borderId="204" xfId="1" applyFont="1" applyFill="1" applyBorder="1" applyProtection="1">
      <protection locked="0"/>
    </xf>
    <xf numFmtId="165" fontId="1" fillId="0" borderId="205" xfId="1" applyFont="1" applyFill="1" applyBorder="1" applyProtection="1">
      <protection locked="0"/>
    </xf>
    <xf numFmtId="165" fontId="1" fillId="0" borderId="206" xfId="1" applyFont="1" applyFill="1" applyBorder="1" applyProtection="1">
      <protection locked="0"/>
    </xf>
    <xf numFmtId="49" fontId="20" fillId="38" borderId="169" xfId="0" applyNumberFormat="1" applyFont="1" applyFill="1" applyBorder="1" applyAlignment="1" applyProtection="1">
      <alignment wrapText="1"/>
      <protection locked="0"/>
    </xf>
    <xf numFmtId="0" fontId="5" fillId="45" borderId="77" xfId="0" applyFont="1" applyFill="1" applyBorder="1" applyProtection="1">
      <protection locked="0"/>
    </xf>
    <xf numFmtId="0" fontId="5" fillId="44" borderId="76" xfId="0" applyFont="1" applyFill="1" applyBorder="1" applyProtection="1">
      <protection locked="0"/>
    </xf>
    <xf numFmtId="0" fontId="5" fillId="45" borderId="76" xfId="0" applyFont="1" applyFill="1" applyBorder="1" applyProtection="1">
      <protection locked="0"/>
    </xf>
    <xf numFmtId="49" fontId="20" fillId="0" borderId="207" xfId="0" applyNumberFormat="1" applyFont="1" applyFill="1" applyBorder="1" applyProtection="1">
      <protection locked="0"/>
    </xf>
    <xf numFmtId="0" fontId="78" fillId="0" borderId="37" xfId="0" applyFont="1" applyFill="1" applyBorder="1" applyAlignment="1" applyProtection="1">
      <alignment horizontal="left" wrapText="1" indent="1"/>
      <protection locked="0"/>
    </xf>
    <xf numFmtId="178" fontId="38" fillId="31" borderId="0" xfId="3" applyNumberFormat="1" applyFont="1" applyFill="1" applyBorder="1" applyAlignment="1">
      <alignment horizontal="right"/>
    </xf>
    <xf numFmtId="4" fontId="38" fillId="0" borderId="0" xfId="3" applyNumberFormat="1" applyFont="1" applyFill="1" applyBorder="1" applyAlignment="1">
      <alignment horizontal="right"/>
    </xf>
    <xf numFmtId="4" fontId="39" fillId="0" borderId="0" xfId="3" applyNumberFormat="1" applyFont="1" applyFill="1" applyBorder="1" applyAlignment="1">
      <alignment horizontal="right"/>
    </xf>
    <xf numFmtId="170" fontId="0" fillId="0" borderId="0" xfId="0" applyNumberFormat="1"/>
    <xf numFmtId="9" fontId="5" fillId="26" borderId="208" xfId="4" applyFont="1" applyFill="1" applyBorder="1" applyProtection="1">
      <protection locked="0"/>
    </xf>
    <xf numFmtId="165" fontId="5" fillId="0" borderId="209" xfId="1" applyNumberFormat="1" applyFont="1" applyFill="1" applyBorder="1" applyProtection="1">
      <protection locked="0"/>
    </xf>
    <xf numFmtId="4" fontId="5" fillId="26" borderId="210" xfId="1" applyNumberFormat="1" applyFont="1" applyFill="1" applyBorder="1" applyProtection="1">
      <protection locked="0"/>
    </xf>
    <xf numFmtId="165" fontId="5" fillId="45" borderId="211" xfId="1" applyNumberFormat="1" applyFont="1" applyFill="1" applyBorder="1" applyProtection="1">
      <protection locked="0"/>
    </xf>
    <xf numFmtId="4" fontId="5" fillId="26" borderId="208" xfId="1" applyNumberFormat="1" applyFont="1" applyFill="1" applyBorder="1" applyProtection="1">
      <protection locked="0"/>
    </xf>
    <xf numFmtId="165" fontId="5" fillId="0" borderId="211" xfId="1" applyNumberFormat="1" applyFont="1" applyFill="1" applyBorder="1" applyProtection="1">
      <protection locked="0"/>
    </xf>
    <xf numFmtId="165" fontId="5" fillId="0" borderId="212" xfId="1" applyNumberFormat="1" applyFont="1" applyFill="1" applyBorder="1" applyProtection="1">
      <protection locked="0"/>
    </xf>
    <xf numFmtId="9" fontId="5" fillId="26" borderId="213" xfId="4" applyFont="1" applyFill="1" applyBorder="1" applyProtection="1">
      <protection locked="0"/>
    </xf>
    <xf numFmtId="4" fontId="5" fillId="26" borderId="213" xfId="1" applyNumberFormat="1" applyFont="1" applyFill="1" applyBorder="1" applyProtection="1">
      <protection locked="0"/>
    </xf>
    <xf numFmtId="4" fontId="5" fillId="0" borderId="208" xfId="1" applyNumberFormat="1" applyFont="1" applyFill="1" applyBorder="1" applyProtection="1">
      <protection locked="0"/>
    </xf>
    <xf numFmtId="9" fontId="5" fillId="26" borderId="215" xfId="1" applyNumberFormat="1" applyFont="1" applyFill="1" applyBorder="1" applyProtection="1">
      <protection locked="0"/>
    </xf>
    <xf numFmtId="165" fontId="5" fillId="0" borderId="216" xfId="1" applyFont="1" applyFill="1" applyBorder="1" applyProtection="1">
      <protection locked="0"/>
    </xf>
    <xf numFmtId="165" fontId="5" fillId="0" borderId="214" xfId="1" applyFont="1" applyFill="1" applyBorder="1" applyProtection="1">
      <protection locked="0"/>
    </xf>
    <xf numFmtId="165" fontId="5" fillId="26" borderId="215" xfId="1" applyFont="1" applyFill="1" applyBorder="1" applyProtection="1">
      <protection locked="0"/>
    </xf>
    <xf numFmtId="9" fontId="5" fillId="26" borderId="217" xfId="1" applyNumberFormat="1" applyFont="1" applyFill="1" applyBorder="1" applyProtection="1">
      <protection locked="0"/>
    </xf>
    <xf numFmtId="165" fontId="5" fillId="26" borderId="218" xfId="1" applyFont="1" applyFill="1" applyBorder="1" applyProtection="1">
      <protection locked="0"/>
    </xf>
    <xf numFmtId="165" fontId="6" fillId="0" borderId="219" xfId="1" applyFont="1" applyFill="1" applyBorder="1" applyProtection="1">
      <protection locked="0"/>
    </xf>
    <xf numFmtId="165" fontId="6" fillId="0" borderId="211" xfId="1" applyFont="1" applyFill="1" applyBorder="1" applyProtection="1">
      <protection locked="0"/>
    </xf>
    <xf numFmtId="165" fontId="5" fillId="26" borderId="208" xfId="1" applyFont="1" applyFill="1" applyBorder="1" applyProtection="1">
      <protection locked="0"/>
    </xf>
    <xf numFmtId="165" fontId="6" fillId="0" borderId="208" xfId="1" applyFont="1" applyFill="1" applyBorder="1" applyProtection="1">
      <protection locked="0"/>
    </xf>
    <xf numFmtId="165" fontId="5" fillId="26" borderId="211" xfId="1" applyFont="1" applyFill="1" applyBorder="1" applyProtection="1">
      <protection locked="0"/>
    </xf>
    <xf numFmtId="165" fontId="5" fillId="26" borderId="212" xfId="1" applyFont="1" applyFill="1" applyBorder="1" applyProtection="1">
      <protection locked="0"/>
    </xf>
    <xf numFmtId="165" fontId="6" fillId="0" borderId="196" xfId="1" applyFont="1" applyFill="1" applyBorder="1" applyProtection="1">
      <protection locked="0"/>
    </xf>
    <xf numFmtId="165" fontId="59" fillId="45" borderId="197" xfId="1" applyFont="1" applyFill="1" applyBorder="1" applyProtection="1">
      <protection locked="0"/>
    </xf>
    <xf numFmtId="165" fontId="6" fillId="0" borderId="180" xfId="1" applyFont="1" applyFill="1" applyBorder="1" applyProtection="1">
      <protection locked="0"/>
    </xf>
    <xf numFmtId="165" fontId="6" fillId="0" borderId="220" xfId="1" applyFont="1" applyFill="1" applyBorder="1" applyProtection="1">
      <protection locked="0"/>
    </xf>
    <xf numFmtId="9" fontId="5" fillId="26" borderId="221" xfId="4" applyFont="1" applyFill="1" applyBorder="1" applyProtection="1">
      <protection locked="0"/>
    </xf>
    <xf numFmtId="165" fontId="5" fillId="26" borderId="222" xfId="1" applyFont="1" applyFill="1" applyBorder="1" applyProtection="1">
      <protection locked="0"/>
    </xf>
    <xf numFmtId="165" fontId="59" fillId="45" borderId="181" xfId="1" applyFont="1" applyFill="1" applyBorder="1" applyProtection="1">
      <protection locked="0"/>
    </xf>
    <xf numFmtId="165" fontId="5" fillId="0" borderId="223" xfId="1" applyFont="1" applyFill="1" applyBorder="1" applyProtection="1">
      <protection locked="0"/>
    </xf>
    <xf numFmtId="165" fontId="5" fillId="0" borderId="213" xfId="1" applyFont="1" applyFill="1" applyBorder="1" applyProtection="1">
      <protection locked="0"/>
    </xf>
    <xf numFmtId="165" fontId="5" fillId="45" borderId="159" xfId="1" applyFont="1" applyFill="1" applyBorder="1" applyProtection="1">
      <protection locked="0"/>
    </xf>
    <xf numFmtId="165" fontId="5" fillId="0" borderId="160" xfId="1" applyFont="1" applyFill="1" applyBorder="1" applyProtection="1">
      <protection locked="0"/>
    </xf>
    <xf numFmtId="12" fontId="59" fillId="45" borderId="214" xfId="1" applyNumberFormat="1" applyFont="1" applyFill="1" applyBorder="1" applyProtection="1">
      <protection locked="0"/>
    </xf>
    <xf numFmtId="9" fontId="5" fillId="26" borderId="111" xfId="1" applyNumberFormat="1" applyFont="1" applyFill="1" applyBorder="1" applyProtection="1">
      <protection locked="0"/>
    </xf>
    <xf numFmtId="9" fontId="5" fillId="0" borderId="111" xfId="1" applyNumberFormat="1" applyFont="1" applyFill="1" applyBorder="1" applyProtection="1">
      <protection locked="0"/>
    </xf>
    <xf numFmtId="165" fontId="5" fillId="45" borderId="117" xfId="1" applyNumberFormat="1" applyFont="1" applyFill="1" applyBorder="1" applyProtection="1">
      <protection locked="0"/>
    </xf>
    <xf numFmtId="1" fontId="33" fillId="14" borderId="0" xfId="3" applyNumberFormat="1" applyFont="1" applyFill="1" applyBorder="1" applyAlignment="1">
      <alignment horizontal="right"/>
    </xf>
    <xf numFmtId="0" fontId="5" fillId="45" borderId="182" xfId="0" applyFont="1" applyFill="1" applyBorder="1" applyProtection="1">
      <protection locked="0"/>
    </xf>
    <xf numFmtId="165" fontId="5" fillId="0" borderId="224" xfId="1" applyFont="1" applyFill="1" applyBorder="1" applyProtection="1">
      <protection locked="0"/>
    </xf>
    <xf numFmtId="165" fontId="5" fillId="0" borderId="211" xfId="1" applyFont="1" applyFill="1" applyBorder="1" applyProtection="1">
      <protection locked="0"/>
    </xf>
    <xf numFmtId="165" fontId="59" fillId="0" borderId="208" xfId="1" applyFont="1" applyFill="1" applyBorder="1" applyProtection="1">
      <protection locked="0"/>
    </xf>
    <xf numFmtId="165" fontId="59" fillId="45" borderId="225" xfId="1" applyFont="1" applyFill="1" applyBorder="1" applyProtection="1">
      <protection locked="0"/>
    </xf>
    <xf numFmtId="165" fontId="59" fillId="45" borderId="208" xfId="1" applyFont="1" applyFill="1" applyBorder="1" applyProtection="1">
      <protection locked="0"/>
    </xf>
    <xf numFmtId="4" fontId="5" fillId="26" borderId="225" xfId="1" applyNumberFormat="1" applyFont="1" applyFill="1" applyBorder="1" applyProtection="1">
      <protection locked="0"/>
    </xf>
    <xf numFmtId="165" fontId="5" fillId="45" borderId="224" xfId="1" applyNumberFormat="1" applyFont="1" applyFill="1" applyBorder="1" applyProtection="1">
      <protection locked="0"/>
    </xf>
    <xf numFmtId="165" fontId="59" fillId="45" borderId="133" xfId="1" applyFont="1" applyFill="1" applyBorder="1" applyProtection="1">
      <protection locked="0"/>
    </xf>
    <xf numFmtId="165" fontId="5" fillId="45" borderId="132" xfId="1" applyFont="1" applyFill="1" applyBorder="1" applyProtection="1">
      <protection locked="0"/>
    </xf>
    <xf numFmtId="9" fontId="5" fillId="45" borderId="211" xfId="1" applyNumberFormat="1" applyFont="1" applyFill="1" applyBorder="1" applyProtection="1">
      <protection locked="0"/>
    </xf>
    <xf numFmtId="9" fontId="5" fillId="45" borderId="134" xfId="1" applyNumberFormat="1" applyFont="1" applyFill="1" applyBorder="1" applyProtection="1">
      <protection locked="0"/>
    </xf>
    <xf numFmtId="9" fontId="5" fillId="45" borderId="132" xfId="1" applyNumberFormat="1" applyFont="1" applyFill="1" applyBorder="1" applyProtection="1">
      <protection locked="0"/>
    </xf>
    <xf numFmtId="9" fontId="59" fillId="45" borderId="133" xfId="4" applyFont="1" applyFill="1" applyBorder="1" applyProtection="1">
      <protection locked="0"/>
    </xf>
    <xf numFmtId="165" fontId="5" fillId="45" borderId="226" xfId="1" applyNumberFormat="1" applyFont="1" applyFill="1" applyBorder="1" applyProtection="1">
      <protection locked="0"/>
    </xf>
    <xf numFmtId="4" fontId="5" fillId="26" borderId="227" xfId="1" applyNumberFormat="1" applyFont="1" applyFill="1" applyBorder="1" applyProtection="1">
      <protection locked="0"/>
    </xf>
    <xf numFmtId="4" fontId="5" fillId="0" borderId="133" xfId="1" applyNumberFormat="1" applyFont="1" applyFill="1" applyBorder="1" applyProtection="1">
      <protection locked="0"/>
    </xf>
    <xf numFmtId="4" fontId="5" fillId="26" borderId="133" xfId="1" applyNumberFormat="1" applyFont="1" applyFill="1" applyBorder="1" applyProtection="1">
      <protection locked="0"/>
    </xf>
    <xf numFmtId="165" fontId="5" fillId="0" borderId="134" xfId="1" applyNumberFormat="1" applyFont="1" applyFill="1" applyBorder="1" applyProtection="1">
      <protection locked="0"/>
    </xf>
    <xf numFmtId="4" fontId="5" fillId="0" borderId="135" xfId="1" applyNumberFormat="1" applyFont="1" applyFill="1" applyBorder="1" applyProtection="1">
      <protection locked="0"/>
    </xf>
    <xf numFmtId="165" fontId="5" fillId="45" borderId="226" xfId="1" applyFont="1" applyFill="1" applyBorder="1" applyProtection="1">
      <protection locked="0"/>
    </xf>
    <xf numFmtId="165" fontId="59" fillId="45" borderId="227" xfId="1" applyFont="1" applyFill="1" applyBorder="1" applyProtection="1">
      <protection locked="0"/>
    </xf>
    <xf numFmtId="9" fontId="5" fillId="0" borderId="132" xfId="1" applyNumberFormat="1" applyFont="1" applyFill="1" applyBorder="1" applyProtection="1">
      <protection locked="0"/>
    </xf>
    <xf numFmtId="9" fontId="59" fillId="0" borderId="133" xfId="4" applyFont="1" applyFill="1" applyBorder="1" applyProtection="1">
      <protection locked="0"/>
    </xf>
    <xf numFmtId="9" fontId="5" fillId="0" borderId="134" xfId="1" applyNumberFormat="1" applyFont="1" applyFill="1" applyBorder="1" applyProtection="1">
      <protection locked="0"/>
    </xf>
    <xf numFmtId="9" fontId="59" fillId="0" borderId="135" xfId="4" applyFont="1" applyFill="1" applyBorder="1" applyProtection="1">
      <protection locked="0"/>
    </xf>
    <xf numFmtId="9" fontId="5" fillId="0" borderId="228" xfId="1" applyNumberFormat="1" applyFont="1" applyFill="1" applyBorder="1" applyProtection="1">
      <protection locked="0"/>
    </xf>
    <xf numFmtId="165" fontId="59" fillId="45" borderId="229" xfId="1" applyFont="1" applyFill="1" applyBorder="1" applyProtection="1">
      <protection locked="0"/>
    </xf>
    <xf numFmtId="4" fontId="5" fillId="45" borderId="229" xfId="1" applyNumberFormat="1" applyFont="1" applyFill="1" applyBorder="1" applyProtection="1">
      <protection locked="0"/>
    </xf>
    <xf numFmtId="165" fontId="5" fillId="45" borderId="228" xfId="1" applyNumberFormat="1" applyFont="1" applyFill="1" applyBorder="1" applyProtection="1">
      <protection locked="0"/>
    </xf>
    <xf numFmtId="165" fontId="5" fillId="45" borderId="132" xfId="1" applyNumberFormat="1" applyFont="1" applyFill="1" applyBorder="1" applyProtection="1">
      <protection locked="0"/>
    </xf>
    <xf numFmtId="4" fontId="5" fillId="45" borderId="133" xfId="1" applyNumberFormat="1" applyFont="1" applyFill="1" applyBorder="1" applyProtection="1">
      <protection locked="0"/>
    </xf>
    <xf numFmtId="165" fontId="5" fillId="45" borderId="134" xfId="1" applyNumberFormat="1" applyFont="1" applyFill="1" applyBorder="1" applyProtection="1">
      <protection locked="0"/>
    </xf>
    <xf numFmtId="4" fontId="5" fillId="45" borderId="135" xfId="1" applyNumberFormat="1" applyFont="1" applyFill="1" applyBorder="1" applyProtection="1">
      <protection locked="0"/>
    </xf>
    <xf numFmtId="9" fontId="1" fillId="0" borderId="132" xfId="1" applyNumberFormat="1" applyFont="1" applyFill="1" applyBorder="1" applyProtection="1">
      <protection locked="0"/>
    </xf>
    <xf numFmtId="165" fontId="5" fillId="26" borderId="178" xfId="1" applyNumberFormat="1" applyFont="1" applyFill="1" applyBorder="1" applyProtection="1">
      <protection locked="0"/>
    </xf>
    <xf numFmtId="165" fontId="5" fillId="26" borderId="179" xfId="1" applyNumberFormat="1" applyFont="1" applyFill="1" applyBorder="1" applyProtection="1">
      <protection locked="0"/>
    </xf>
    <xf numFmtId="165" fontId="5" fillId="26" borderId="167" xfId="1" applyNumberFormat="1" applyFont="1" applyFill="1" applyBorder="1" applyProtection="1">
      <protection locked="0"/>
    </xf>
    <xf numFmtId="165" fontId="5" fillId="26" borderId="168" xfId="1" applyNumberFormat="1" applyFont="1" applyFill="1" applyBorder="1" applyProtection="1">
      <protection locked="0"/>
    </xf>
    <xf numFmtId="165" fontId="6" fillId="0" borderId="167" xfId="1" applyNumberFormat="1" applyFont="1" applyFill="1" applyBorder="1" applyProtection="1">
      <protection locked="0"/>
    </xf>
    <xf numFmtId="165" fontId="6" fillId="0" borderId="178" xfId="1" applyNumberFormat="1" applyFont="1" applyFill="1" applyBorder="1" applyProtection="1">
      <protection locked="0"/>
    </xf>
    <xf numFmtId="165" fontId="6" fillId="0" borderId="168" xfId="1" applyNumberFormat="1" applyFont="1" applyFill="1" applyBorder="1" applyProtection="1">
      <protection locked="0"/>
    </xf>
    <xf numFmtId="165" fontId="5" fillId="0" borderId="178" xfId="1" applyNumberFormat="1" applyFont="1" applyFill="1" applyBorder="1" applyProtection="1">
      <protection locked="0"/>
    </xf>
    <xf numFmtId="9" fontId="5" fillId="26" borderId="179" xfId="1" applyNumberFormat="1" applyFont="1" applyFill="1" applyBorder="1" applyProtection="1">
      <protection locked="0"/>
    </xf>
    <xf numFmtId="165" fontId="59" fillId="45" borderId="117" xfId="1" applyNumberFormat="1" applyFont="1" applyFill="1" applyBorder="1" applyProtection="1">
      <protection locked="0"/>
    </xf>
    <xf numFmtId="12" fontId="59" fillId="45" borderId="116" xfId="1" applyNumberFormat="1" applyFont="1" applyFill="1" applyBorder="1" applyProtection="1">
      <protection locked="0"/>
    </xf>
    <xf numFmtId="9" fontId="59" fillId="45" borderId="111" xfId="1" applyNumberFormat="1" applyFont="1" applyFill="1" applyBorder="1" applyProtection="1">
      <protection locked="0"/>
    </xf>
    <xf numFmtId="165" fontId="5" fillId="26" borderId="231" xfId="1" applyFont="1" applyFill="1" applyBorder="1" applyProtection="1">
      <protection locked="0"/>
    </xf>
    <xf numFmtId="165" fontId="5" fillId="26" borderId="213" xfId="1" applyFont="1" applyFill="1" applyBorder="1" applyProtection="1">
      <protection locked="0"/>
    </xf>
    <xf numFmtId="165" fontId="5" fillId="0" borderId="230" xfId="1" applyFont="1" applyFill="1" applyBorder="1" applyProtection="1">
      <protection locked="0"/>
    </xf>
    <xf numFmtId="165" fontId="5" fillId="0" borderId="212" xfId="1" applyFont="1" applyFill="1" applyBorder="1" applyProtection="1">
      <protection locked="0"/>
    </xf>
    <xf numFmtId="3" fontId="29" fillId="14" borderId="0" xfId="3" applyNumberFormat="1" applyFont="1" applyFill="1" applyBorder="1" applyAlignment="1">
      <alignment horizontal="right"/>
    </xf>
    <xf numFmtId="0" fontId="5" fillId="44" borderId="232" xfId="0" applyFont="1" applyFill="1" applyBorder="1" applyProtection="1">
      <protection locked="0"/>
    </xf>
    <xf numFmtId="0" fontId="5" fillId="26" borderId="233" xfId="0" applyFont="1" applyFill="1" applyBorder="1" applyProtection="1">
      <protection locked="0"/>
    </xf>
    <xf numFmtId="0" fontId="5" fillId="26" borderId="233" xfId="0" applyFont="1" applyFill="1" applyBorder="1" applyAlignment="1" applyProtection="1">
      <alignment horizontal="center"/>
      <protection locked="0"/>
    </xf>
    <xf numFmtId="165" fontId="0" fillId="0" borderId="233" xfId="1" applyFont="1" applyBorder="1" applyProtection="1">
      <protection locked="0"/>
    </xf>
    <xf numFmtId="0" fontId="0" fillId="0" borderId="233" xfId="0" applyBorder="1" applyAlignment="1" applyProtection="1">
      <alignment horizontal="center"/>
      <protection locked="0"/>
    </xf>
    <xf numFmtId="0" fontId="0" fillId="0" borderId="233" xfId="0" applyBorder="1" applyProtection="1">
      <protection locked="0"/>
    </xf>
    <xf numFmtId="0" fontId="6" fillId="0" borderId="233" xfId="0" applyFont="1" applyFill="1" applyBorder="1" applyAlignment="1" applyProtection="1">
      <alignment horizontal="center"/>
      <protection locked="0"/>
    </xf>
    <xf numFmtId="165" fontId="0" fillId="0" borderId="233" xfId="0" applyNumberFormat="1" applyBorder="1" applyProtection="1">
      <protection locked="0"/>
    </xf>
    <xf numFmtId="165" fontId="0" fillId="0" borderId="234" xfId="0" applyNumberFormat="1" applyBorder="1" applyProtection="1">
      <protection locked="0"/>
    </xf>
    <xf numFmtId="186" fontId="6" fillId="0" borderId="233" xfId="1" applyNumberFormat="1" applyFont="1" applyFill="1" applyBorder="1" applyProtection="1">
      <protection locked="0"/>
    </xf>
    <xf numFmtId="186" fontId="6" fillId="0" borderId="233" xfId="1" applyNumberFormat="1" applyFont="1" applyBorder="1" applyProtection="1">
      <protection locked="0"/>
    </xf>
    <xf numFmtId="165" fontId="6" fillId="24" borderId="233" xfId="1" applyFont="1" applyFill="1" applyBorder="1" applyProtection="1">
      <protection locked="0"/>
    </xf>
    <xf numFmtId="165" fontId="0" fillId="0" borderId="235" xfId="1" applyFont="1" applyBorder="1" applyProtection="1">
      <protection locked="0"/>
    </xf>
    <xf numFmtId="185" fontId="0" fillId="0" borderId="236" xfId="0" applyNumberFormat="1" applyBorder="1" applyProtection="1">
      <protection locked="0"/>
    </xf>
    <xf numFmtId="165" fontId="5" fillId="26" borderId="237" xfId="1" applyFont="1" applyFill="1" applyBorder="1" applyProtection="1">
      <protection locked="0"/>
    </xf>
    <xf numFmtId="165" fontId="5" fillId="26" borderId="239" xfId="1" applyFont="1" applyFill="1" applyBorder="1" applyProtection="1">
      <protection locked="0"/>
    </xf>
    <xf numFmtId="165" fontId="5" fillId="0" borderId="238" xfId="1" applyFont="1" applyFill="1" applyBorder="1" applyProtection="1">
      <protection locked="0"/>
    </xf>
    <xf numFmtId="165" fontId="5" fillId="0" borderId="239" xfId="1" applyFont="1" applyFill="1" applyBorder="1" applyProtection="1">
      <protection locked="0"/>
    </xf>
    <xf numFmtId="165" fontId="5" fillId="45" borderId="238" xfId="1" applyFont="1" applyFill="1" applyBorder="1" applyProtection="1">
      <protection locked="0"/>
    </xf>
    <xf numFmtId="9" fontId="5" fillId="26" borderId="239" xfId="1" applyNumberFormat="1" applyFont="1" applyFill="1" applyBorder="1" applyProtection="1">
      <protection locked="0"/>
    </xf>
    <xf numFmtId="165" fontId="5" fillId="0" borderId="240" xfId="1" applyFont="1" applyFill="1" applyBorder="1" applyProtection="1">
      <protection locked="0"/>
    </xf>
    <xf numFmtId="9" fontId="5" fillId="0" borderId="239" xfId="1" applyNumberFormat="1" applyFont="1" applyFill="1" applyBorder="1" applyProtection="1">
      <protection locked="0"/>
    </xf>
    <xf numFmtId="9" fontId="5" fillId="0" borderId="241" xfId="1" applyNumberFormat="1" applyFont="1" applyFill="1" applyBorder="1" applyProtection="1">
      <protection locked="0"/>
    </xf>
    <xf numFmtId="9" fontId="5" fillId="26" borderId="112" xfId="1" applyNumberFormat="1" applyFont="1" applyFill="1" applyBorder="1" applyProtection="1">
      <protection locked="0"/>
    </xf>
    <xf numFmtId="165" fontId="5" fillId="26" borderId="165" xfId="1" applyFont="1" applyFill="1" applyBorder="1" applyProtection="1">
      <protection locked="0"/>
    </xf>
    <xf numFmtId="165" fontId="5" fillId="26" borderId="166" xfId="1" applyFont="1" applyFill="1" applyBorder="1" applyProtection="1">
      <protection locked="0"/>
    </xf>
    <xf numFmtId="165" fontId="5" fillId="26" borderId="242" xfId="1" applyFont="1" applyFill="1" applyBorder="1" applyProtection="1">
      <protection locked="0"/>
    </xf>
    <xf numFmtId="165" fontId="6" fillId="0" borderId="243" xfId="1" applyFont="1" applyFill="1" applyBorder="1" applyProtection="1">
      <protection locked="0"/>
    </xf>
    <xf numFmtId="165" fontId="5" fillId="0" borderId="242" xfId="1" applyFont="1" applyFill="1" applyBorder="1" applyProtection="1">
      <protection locked="0"/>
    </xf>
    <xf numFmtId="165" fontId="5" fillId="45" borderId="167" xfId="1" applyFont="1" applyFill="1" applyBorder="1" applyProtection="1">
      <protection locked="0"/>
    </xf>
    <xf numFmtId="165" fontId="59" fillId="45" borderId="168" xfId="1" applyFont="1" applyFill="1" applyBorder="1" applyProtection="1">
      <protection locked="0"/>
    </xf>
    <xf numFmtId="49" fontId="20" fillId="0" borderId="207" xfId="0" applyNumberFormat="1" applyFont="1" applyBorder="1" applyProtection="1">
      <protection locked="0"/>
    </xf>
    <xf numFmtId="165" fontId="5" fillId="26" borderId="245" xfId="1" applyFont="1" applyFill="1" applyBorder="1" applyProtection="1">
      <protection locked="0"/>
    </xf>
    <xf numFmtId="0" fontId="61" fillId="0" borderId="0" xfId="0" applyFont="1" applyFill="1"/>
    <xf numFmtId="165" fontId="59" fillId="45" borderId="196" xfId="1" applyFont="1" applyFill="1" applyBorder="1" applyProtection="1">
      <protection locked="0"/>
    </xf>
    <xf numFmtId="165" fontId="5" fillId="26" borderId="249" xfId="1" applyFont="1" applyFill="1" applyBorder="1" applyProtection="1">
      <protection locked="0"/>
    </xf>
    <xf numFmtId="165" fontId="5" fillId="0" borderId="250" xfId="1" applyFont="1" applyFill="1" applyBorder="1" applyProtection="1">
      <protection locked="0"/>
    </xf>
    <xf numFmtId="165" fontId="5" fillId="0" borderId="244" xfId="1" applyFont="1" applyFill="1" applyBorder="1" applyProtection="1">
      <protection locked="0"/>
    </xf>
    <xf numFmtId="165" fontId="5" fillId="0" borderId="246" xfId="1" applyFont="1" applyFill="1" applyBorder="1" applyProtection="1">
      <protection locked="0"/>
    </xf>
    <xf numFmtId="165" fontId="5" fillId="45" borderId="244" xfId="1" applyFont="1" applyFill="1" applyBorder="1" applyProtection="1">
      <protection locked="0"/>
    </xf>
    <xf numFmtId="165" fontId="5" fillId="45" borderId="246" xfId="1" applyFont="1" applyFill="1" applyBorder="1" applyProtection="1">
      <protection locked="0"/>
    </xf>
    <xf numFmtId="165" fontId="5" fillId="45" borderId="250" xfId="1" applyFont="1" applyFill="1" applyBorder="1" applyProtection="1">
      <protection locked="0"/>
    </xf>
    <xf numFmtId="165" fontId="5" fillId="45" borderId="251" xfId="1" applyFont="1" applyFill="1" applyBorder="1" applyProtection="1">
      <protection locked="0"/>
    </xf>
    <xf numFmtId="9" fontId="59" fillId="0" borderId="252" xfId="4" applyFont="1" applyFill="1" applyBorder="1" applyProtection="1">
      <protection locked="0"/>
    </xf>
    <xf numFmtId="165" fontId="5" fillId="26" borderId="248" xfId="1" applyFont="1" applyFill="1" applyBorder="1" applyProtection="1">
      <protection locked="0"/>
    </xf>
    <xf numFmtId="4" fontId="60" fillId="0" borderId="253" xfId="0" applyNumberFormat="1" applyFont="1" applyFill="1" applyBorder="1" applyAlignment="1" applyProtection="1">
      <alignment horizontal="right" wrapText="1"/>
      <protection locked="0"/>
    </xf>
    <xf numFmtId="4" fontId="60" fillId="0" borderId="254" xfId="0" applyNumberFormat="1" applyFont="1" applyFill="1" applyBorder="1" applyAlignment="1" applyProtection="1">
      <alignment horizontal="right" wrapText="1"/>
      <protection locked="0"/>
    </xf>
    <xf numFmtId="4" fontId="60" fillId="0" borderId="255" xfId="0" applyNumberFormat="1" applyFont="1" applyFill="1" applyBorder="1" applyAlignment="1" applyProtection="1">
      <alignment horizontal="right" wrapText="1"/>
      <protection locked="0"/>
    </xf>
    <xf numFmtId="168" fontId="80" fillId="46" borderId="1" xfId="0" applyNumberFormat="1" applyFont="1" applyFill="1" applyBorder="1" applyAlignment="1" applyProtection="1">
      <alignment horizontal="center"/>
      <protection locked="0"/>
    </xf>
    <xf numFmtId="0" fontId="62" fillId="0" borderId="8" xfId="0" applyFont="1" applyBorder="1" applyAlignment="1">
      <alignment horizontal="right"/>
    </xf>
    <xf numFmtId="0" fontId="62" fillId="0" borderId="10" xfId="0" applyFont="1" applyBorder="1" applyAlignment="1">
      <alignment horizontal="right"/>
    </xf>
    <xf numFmtId="0" fontId="62" fillId="0" borderId="9" xfId="0" applyFont="1" applyBorder="1" applyAlignment="1">
      <alignment horizontal="right"/>
    </xf>
    <xf numFmtId="0" fontId="71" fillId="0" borderId="53" xfId="0" applyFont="1" applyBorder="1" applyAlignment="1">
      <alignment horizontal="center" vertical="top"/>
    </xf>
    <xf numFmtId="0" fontId="62" fillId="0" borderId="54" xfId="0" applyFont="1" applyBorder="1" applyAlignment="1">
      <alignment horizontal="left" vertical="top" wrapText="1"/>
    </xf>
    <xf numFmtId="0" fontId="60" fillId="0" borderId="54" xfId="0" applyFont="1" applyBorder="1" applyAlignment="1">
      <alignment horizontal="center" vertical="top"/>
    </xf>
    <xf numFmtId="4" fontId="62" fillId="0" borderId="55" xfId="0" applyNumberFormat="1" applyFont="1" applyBorder="1" applyAlignment="1">
      <alignment horizontal="right" wrapText="1"/>
    </xf>
    <xf numFmtId="40" fontId="62" fillId="0" borderId="56" xfId="0" applyNumberFormat="1" applyFont="1" applyBorder="1" applyAlignment="1">
      <alignment horizontal="right" wrapText="1"/>
    </xf>
    <xf numFmtId="40" fontId="62" fillId="0" borderId="57" xfId="0" applyNumberFormat="1" applyFont="1" applyBorder="1" applyAlignment="1">
      <alignment horizontal="right" wrapText="1"/>
    </xf>
    <xf numFmtId="3" fontId="92" fillId="0" borderId="57" xfId="0" applyNumberFormat="1" applyFont="1" applyBorder="1" applyAlignment="1">
      <alignment horizontal="right" wrapText="1"/>
    </xf>
    <xf numFmtId="38" fontId="62" fillId="0" borderId="58" xfId="0" applyNumberFormat="1" applyFont="1" applyBorder="1" applyAlignment="1">
      <alignment horizontal="left" wrapText="1"/>
    </xf>
    <xf numFmtId="0" fontId="71" fillId="0" borderId="39" xfId="0" applyFont="1" applyFill="1" applyBorder="1" applyAlignment="1">
      <alignment horizontal="center" vertical="center"/>
    </xf>
    <xf numFmtId="0" fontId="93" fillId="0" borderId="37" xfId="0" applyFont="1" applyBorder="1" applyAlignment="1">
      <alignment horizontal="left" vertical="top" wrapText="1"/>
    </xf>
    <xf numFmtId="0" fontId="60" fillId="0" borderId="37" xfId="0" applyFont="1" applyBorder="1" applyAlignment="1">
      <alignment horizontal="center" vertical="top"/>
    </xf>
    <xf numFmtId="4" fontId="60" fillId="0" borderId="2" xfId="0" applyNumberFormat="1" applyFont="1" applyBorder="1" applyAlignment="1">
      <alignment horizontal="right" wrapText="1"/>
    </xf>
    <xf numFmtId="40" fontId="60" fillId="0" borderId="40" xfId="0" applyNumberFormat="1" applyFont="1" applyBorder="1" applyAlignment="1">
      <alignment horizontal="right" wrapText="1"/>
    </xf>
    <xf numFmtId="40" fontId="62" fillId="0" borderId="3" xfId="0" applyNumberFormat="1" applyFont="1" applyBorder="1" applyAlignment="1">
      <alignment horizontal="right" wrapText="1"/>
    </xf>
    <xf numFmtId="177" fontId="76" fillId="0" borderId="3" xfId="4" applyNumberFormat="1" applyFont="1" applyBorder="1" applyAlignment="1">
      <alignment horizontal="right" wrapText="1"/>
    </xf>
    <xf numFmtId="38" fontId="60" fillId="0" borderId="36" xfId="0" applyNumberFormat="1" applyFont="1" applyBorder="1" applyAlignment="1">
      <alignment horizontal="left" wrapText="1"/>
    </xf>
    <xf numFmtId="4" fontId="60" fillId="0" borderId="3" xfId="0" applyNumberFormat="1" applyFont="1" applyBorder="1" applyAlignment="1">
      <alignment horizontal="right" wrapText="1"/>
    </xf>
    <xf numFmtId="0" fontId="60" fillId="0" borderId="37" xfId="0" applyFont="1" applyBorder="1" applyAlignment="1">
      <alignment horizontal="left" vertical="top" wrapText="1"/>
    </xf>
    <xf numFmtId="40" fontId="60" fillId="0" borderId="3" xfId="0" applyNumberFormat="1" applyFont="1" applyBorder="1" applyAlignment="1">
      <alignment horizontal="right" wrapText="1"/>
    </xf>
    <xf numFmtId="10" fontId="74" fillId="0" borderId="3" xfId="4" applyNumberFormat="1" applyFont="1" applyBorder="1" applyAlignment="1">
      <alignment horizontal="right" wrapText="1"/>
    </xf>
    <xf numFmtId="169" fontId="74" fillId="0" borderId="3" xfId="1" applyNumberFormat="1" applyFont="1" applyBorder="1" applyAlignment="1">
      <alignment horizontal="right" wrapText="1"/>
    </xf>
    <xf numFmtId="38" fontId="60" fillId="0" borderId="36" xfId="0" applyNumberFormat="1" applyFont="1" applyBorder="1" applyAlignment="1">
      <alignment wrapText="1"/>
    </xf>
    <xf numFmtId="40" fontId="60" fillId="0" borderId="3" xfId="0" applyNumberFormat="1" applyFont="1" applyFill="1" applyBorder="1" applyAlignment="1">
      <alignment horizontal="right" wrapText="1"/>
    </xf>
    <xf numFmtId="169" fontId="74" fillId="0" borderId="63" xfId="1" applyNumberFormat="1" applyFont="1" applyBorder="1" applyAlignment="1">
      <alignment horizontal="right" wrapText="1"/>
    </xf>
    <xf numFmtId="38" fontId="60" fillId="0" borderId="79" xfId="0" applyNumberFormat="1" applyFont="1" applyBorder="1" applyAlignment="1">
      <alignment wrapText="1"/>
    </xf>
    <xf numFmtId="0" fontId="71" fillId="0" borderId="59" xfId="0" applyFont="1" applyFill="1" applyBorder="1" applyAlignment="1">
      <alignment horizontal="center" vertical="center"/>
    </xf>
    <xf numFmtId="165" fontId="74" fillId="0" borderId="3" xfId="1" applyNumberFormat="1" applyFont="1" applyBorder="1" applyAlignment="1">
      <alignment horizontal="right" wrapText="1"/>
    </xf>
    <xf numFmtId="0" fontId="60" fillId="0" borderId="60" xfId="0" applyFont="1" applyBorder="1" applyAlignment="1">
      <alignment horizontal="left" vertical="top" wrapText="1"/>
    </xf>
    <xf numFmtId="0" fontId="60" fillId="0" borderId="60" xfId="0" applyFont="1" applyBorder="1" applyAlignment="1">
      <alignment horizontal="center" vertical="top"/>
    </xf>
    <xf numFmtId="40" fontId="60" fillId="0" borderId="63" xfId="0" applyNumberFormat="1" applyFont="1" applyBorder="1" applyAlignment="1">
      <alignment horizontal="right" wrapText="1"/>
    </xf>
    <xf numFmtId="40" fontId="60" fillId="0" borderId="62" xfId="0" applyNumberFormat="1" applyFont="1" applyBorder="1" applyAlignment="1">
      <alignment horizontal="right" wrapText="1"/>
    </xf>
    <xf numFmtId="0" fontId="71" fillId="0" borderId="59" xfId="0" applyFont="1" applyBorder="1" applyAlignment="1">
      <alignment horizontal="center" vertical="top"/>
    </xf>
    <xf numFmtId="0" fontId="62" fillId="0" borderId="60" xfId="0" applyFont="1" applyBorder="1" applyAlignment="1">
      <alignment horizontal="left" vertical="top" wrapText="1"/>
    </xf>
    <xf numFmtId="4" fontId="60" fillId="0" borderId="61" xfId="0" applyNumberFormat="1" applyFont="1" applyBorder="1" applyAlignment="1">
      <alignment horizontal="right" wrapText="1"/>
    </xf>
    <xf numFmtId="40" fontId="62" fillId="0" borderId="63" xfId="0" applyNumberFormat="1" applyFont="1" applyBorder="1" applyAlignment="1">
      <alignment horizontal="right" wrapText="1"/>
    </xf>
    <xf numFmtId="3" fontId="62" fillId="0" borderId="63" xfId="0" applyNumberFormat="1" applyFont="1" applyBorder="1" applyAlignment="1">
      <alignment horizontal="right" wrapText="1"/>
    </xf>
    <xf numFmtId="3" fontId="92" fillId="0" borderId="63" xfId="0" applyNumberFormat="1" applyFont="1" applyBorder="1" applyAlignment="1">
      <alignment horizontal="right" wrapText="1"/>
    </xf>
    <xf numFmtId="0" fontId="71" fillId="0" borderId="64" xfId="0" applyFont="1" applyBorder="1" applyAlignment="1">
      <alignment horizontal="center" vertical="top"/>
    </xf>
    <xf numFmtId="0" fontId="60" fillId="0" borderId="65" xfId="0" applyFont="1" applyBorder="1" applyAlignment="1">
      <alignment horizontal="left" vertical="top" wrapText="1"/>
    </xf>
    <xf numFmtId="0" fontId="60" fillId="0" borderId="65" xfId="0" applyFont="1" applyBorder="1" applyAlignment="1">
      <alignment horizontal="center" vertical="top"/>
    </xf>
    <xf numFmtId="4" fontId="62" fillId="0" borderId="66" xfId="0" applyNumberFormat="1" applyFont="1" applyBorder="1" applyAlignment="1">
      <alignment horizontal="right" wrapText="1"/>
    </xf>
    <xf numFmtId="40" fontId="62" fillId="0" borderId="67" xfId="0" applyNumberFormat="1" applyFont="1" applyBorder="1" applyAlignment="1">
      <alignment horizontal="right" wrapText="1"/>
    </xf>
    <xf numFmtId="40" fontId="62" fillId="0" borderId="68" xfId="0" applyNumberFormat="1" applyFont="1" applyBorder="1" applyAlignment="1">
      <alignment horizontal="right" wrapText="1"/>
    </xf>
    <xf numFmtId="3" fontId="62" fillId="0" borderId="68" xfId="0" applyNumberFormat="1" applyFont="1" applyBorder="1" applyAlignment="1">
      <alignment horizontal="right" wrapText="1"/>
    </xf>
    <xf numFmtId="38" fontId="60" fillId="0" borderId="69" xfId="0" applyNumberFormat="1" applyFont="1" applyBorder="1" applyAlignment="1">
      <alignment horizontal="left" wrapText="1"/>
    </xf>
    <xf numFmtId="4" fontId="79" fillId="0" borderId="55" xfId="0" applyNumberFormat="1" applyFont="1" applyFill="1" applyBorder="1" applyAlignment="1" applyProtection="1">
      <alignment horizontal="right"/>
      <protection locked="0"/>
    </xf>
    <xf numFmtId="4" fontId="79" fillId="0" borderId="56" xfId="0" applyNumberFormat="1" applyFont="1" applyFill="1" applyBorder="1" applyAlignment="1" applyProtection="1">
      <alignment horizontal="right" wrapText="1"/>
      <protection locked="0"/>
    </xf>
    <xf numFmtId="1" fontId="79" fillId="0" borderId="53" xfId="0" applyNumberFormat="1" applyFont="1" applyFill="1" applyBorder="1" applyAlignment="1" applyProtection="1">
      <alignment horizontal="center" wrapText="1"/>
      <protection locked="0"/>
    </xf>
    <xf numFmtId="1" fontId="79" fillId="0" borderId="54" xfId="0" applyNumberFormat="1" applyFont="1" applyFill="1" applyBorder="1" applyAlignment="1" applyProtection="1">
      <alignment horizontal="center" wrapText="1"/>
      <protection locked="0"/>
    </xf>
    <xf numFmtId="1" fontId="79" fillId="0" borderId="56" xfId="0" applyNumberFormat="1" applyFont="1" applyFill="1" applyBorder="1" applyAlignment="1" applyProtection="1">
      <alignment horizontal="center" wrapText="1"/>
      <protection locked="0"/>
    </xf>
    <xf numFmtId="4" fontId="79" fillId="0" borderId="85" xfId="0" applyNumberFormat="1" applyFont="1" applyFill="1" applyBorder="1" applyAlignment="1" applyProtection="1">
      <alignment horizontal="right" wrapText="1"/>
      <protection locked="0"/>
    </xf>
    <xf numFmtId="4" fontId="79" fillId="0" borderId="63" xfId="0" applyNumberFormat="1" applyFont="1" applyFill="1" applyBorder="1" applyAlignment="1" applyProtection="1">
      <alignment horizontal="right" wrapText="1"/>
      <protection locked="0"/>
    </xf>
    <xf numFmtId="0" fontId="78" fillId="0" borderId="10" xfId="0" applyFont="1" applyFill="1" applyBorder="1"/>
    <xf numFmtId="0" fontId="78" fillId="0" borderId="0" xfId="0" applyFont="1" applyFill="1"/>
    <xf numFmtId="192" fontId="18" fillId="10" borderId="0" xfId="0" applyNumberFormat="1" applyFont="1" applyFill="1" applyProtection="1"/>
    <xf numFmtId="3" fontId="90" fillId="12" borderId="37" xfId="0" applyNumberFormat="1" applyFont="1" applyFill="1" applyBorder="1" applyAlignment="1">
      <alignment horizontal="right"/>
    </xf>
    <xf numFmtId="1" fontId="78" fillId="46" borderId="186" xfId="0" applyNumberFormat="1" applyFont="1" applyFill="1" applyBorder="1" applyAlignment="1" applyProtection="1">
      <alignment horizontal="center" wrapText="1"/>
      <protection locked="0"/>
    </xf>
    <xf numFmtId="165" fontId="5" fillId="45" borderId="116" xfId="1" applyNumberFormat="1" applyFont="1" applyFill="1" applyBorder="1" applyProtection="1">
      <protection locked="0"/>
    </xf>
    <xf numFmtId="177" fontId="60" fillId="43" borderId="37" xfId="0" applyNumberFormat="1" applyFont="1" applyFill="1" applyBorder="1" applyAlignment="1" applyProtection="1">
      <alignment horizontal="center" vertical="top"/>
      <protection locked="0"/>
    </xf>
    <xf numFmtId="0" fontId="20" fillId="0" borderId="0" xfId="0" applyFont="1" applyAlignment="1">
      <alignment wrapText="1"/>
    </xf>
    <xf numFmtId="0" fontId="20" fillId="0" borderId="7" xfId="0" applyFont="1" applyBorder="1" applyAlignment="1">
      <alignment wrapText="1"/>
    </xf>
    <xf numFmtId="0" fontId="21" fillId="0" borderId="0" xfId="0" applyFont="1" applyAlignment="1">
      <alignment wrapText="1"/>
    </xf>
    <xf numFmtId="0" fontId="62" fillId="0" borderId="0" xfId="0" applyFont="1"/>
    <xf numFmtId="0" fontId="64" fillId="0" borderId="0" xfId="0" applyFont="1"/>
    <xf numFmtId="3" fontId="64" fillId="0" borderId="0" xfId="0" applyNumberFormat="1" applyFont="1"/>
    <xf numFmtId="0" fontId="66" fillId="0" borderId="0" xfId="0" applyFont="1" applyAlignment="1">
      <alignment horizontal="center"/>
    </xf>
    <xf numFmtId="3" fontId="66" fillId="0" borderId="0" xfId="0" applyNumberFormat="1" applyFont="1"/>
    <xf numFmtId="177" fontId="66" fillId="0" borderId="0" xfId="4" applyNumberFormat="1" applyFont="1"/>
    <xf numFmtId="165" fontId="83" fillId="0" borderId="0" xfId="1" applyFont="1"/>
    <xf numFmtId="0" fontId="61" fillId="0" borderId="0" xfId="0" applyFont="1" applyAlignment="1">
      <alignment horizontal="left" indent="1"/>
    </xf>
    <xf numFmtId="3" fontId="61" fillId="0" borderId="0" xfId="0" applyNumberFormat="1" applyFont="1"/>
    <xf numFmtId="10" fontId="66" fillId="0" borderId="37" xfId="0" applyNumberFormat="1" applyFont="1" applyFill="1" applyBorder="1"/>
    <xf numFmtId="172" fontId="61" fillId="0" borderId="0" xfId="0" applyNumberFormat="1" applyFont="1"/>
    <xf numFmtId="0" fontId="64" fillId="0" borderId="0" xfId="0" applyFont="1" applyAlignment="1">
      <alignment horizontal="left"/>
    </xf>
    <xf numFmtId="3" fontId="83" fillId="0" borderId="0" xfId="0" applyNumberFormat="1" applyFont="1"/>
    <xf numFmtId="38" fontId="64" fillId="0" borderId="0" xfId="0" applyNumberFormat="1" applyFont="1"/>
    <xf numFmtId="38" fontId="61" fillId="0" borderId="0" xfId="0" applyNumberFormat="1" applyFont="1"/>
    <xf numFmtId="38" fontId="87" fillId="0" borderId="0" xfId="0" applyNumberFormat="1" applyFont="1"/>
    <xf numFmtId="174" fontId="66" fillId="0" borderId="0" xfId="0" applyNumberFormat="1" applyFont="1"/>
    <xf numFmtId="4" fontId="66" fillId="0" borderId="0" xfId="0" applyNumberFormat="1" applyFont="1"/>
    <xf numFmtId="4" fontId="83" fillId="0" borderId="0" xfId="0" applyNumberFormat="1" applyFont="1"/>
    <xf numFmtId="0" fontId="61" fillId="0" borderId="37" xfId="0" applyFont="1" applyBorder="1"/>
    <xf numFmtId="0" fontId="66" fillId="0" borderId="37" xfId="0" applyFont="1" applyBorder="1" applyAlignment="1">
      <alignment horizontal="center"/>
    </xf>
    <xf numFmtId="174" fontId="83" fillId="0" borderId="37" xfId="0" applyNumberFormat="1" applyFont="1" applyBorder="1"/>
    <xf numFmtId="2" fontId="66" fillId="0" borderId="37" xfId="0" applyNumberFormat="1" applyFont="1" applyBorder="1"/>
    <xf numFmtId="0" fontId="66" fillId="0" borderId="37" xfId="0" applyFont="1" applyBorder="1"/>
    <xf numFmtId="0" fontId="66" fillId="0" borderId="37" xfId="0" applyFont="1" applyBorder="1" applyAlignment="1">
      <alignment horizontal="right"/>
    </xf>
    <xf numFmtId="170" fontId="83" fillId="0" borderId="0" xfId="1" applyNumberFormat="1" applyFont="1"/>
    <xf numFmtId="170" fontId="66" fillId="0" borderId="0" xfId="0" applyNumberFormat="1" applyFont="1"/>
    <xf numFmtId="38" fontId="66" fillId="0" borderId="0" xfId="0" applyNumberFormat="1" applyFont="1"/>
    <xf numFmtId="38" fontId="83" fillId="0" borderId="0" xfId="0" applyNumberFormat="1" applyFont="1"/>
    <xf numFmtId="3" fontId="83" fillId="0" borderId="37" xfId="0" applyNumberFormat="1" applyFont="1" applyBorder="1"/>
    <xf numFmtId="3" fontId="61" fillId="0" borderId="37" xfId="0" applyNumberFormat="1" applyFont="1" applyBorder="1"/>
    <xf numFmtId="3" fontId="66" fillId="0" borderId="37" xfId="0" applyNumberFormat="1" applyFont="1" applyBorder="1"/>
    <xf numFmtId="9" fontId="94" fillId="15" borderId="37" xfId="0" applyNumberFormat="1" applyFont="1" applyFill="1" applyBorder="1"/>
    <xf numFmtId="177" fontId="83" fillId="0" borderId="0" xfId="4" applyNumberFormat="1" applyFont="1"/>
    <xf numFmtId="9" fontId="94" fillId="53" borderId="37" xfId="0" applyNumberFormat="1" applyFont="1" applyFill="1" applyBorder="1"/>
    <xf numFmtId="0" fontId="94" fillId="53" borderId="37" xfId="0" applyFont="1" applyFill="1" applyBorder="1"/>
    <xf numFmtId="0" fontId="61" fillId="0" borderId="37" xfId="0" applyFont="1" applyFill="1" applyBorder="1"/>
    <xf numFmtId="0" fontId="64" fillId="0" borderId="37" xfId="0" applyFont="1" applyFill="1" applyBorder="1"/>
    <xf numFmtId="9" fontId="60" fillId="48" borderId="253" xfId="4" applyFont="1" applyFill="1" applyBorder="1" applyAlignment="1" applyProtection="1">
      <alignment horizontal="right" wrapText="1"/>
      <protection locked="0"/>
    </xf>
    <xf numFmtId="9" fontId="60" fillId="48" borderId="254" xfId="4" applyFont="1" applyFill="1" applyBorder="1" applyAlignment="1" applyProtection="1">
      <alignment horizontal="right" wrapText="1"/>
      <protection locked="0"/>
    </xf>
    <xf numFmtId="170" fontId="61" fillId="0" borderId="0" xfId="1" applyNumberFormat="1" applyFont="1"/>
    <xf numFmtId="170" fontId="78" fillId="0" borderId="0" xfId="1" applyNumberFormat="1" applyFont="1"/>
    <xf numFmtId="170" fontId="61" fillId="0" borderId="0" xfId="0" applyNumberFormat="1" applyFont="1"/>
    <xf numFmtId="177" fontId="61" fillId="0" borderId="37" xfId="4" applyNumberFormat="1" applyFont="1" applyBorder="1"/>
    <xf numFmtId="4" fontId="60" fillId="48" borderId="86" xfId="0" applyNumberFormat="1" applyFont="1" applyFill="1" applyBorder="1" applyAlignment="1" applyProtection="1">
      <alignment horizontal="right" wrapText="1"/>
      <protection locked="0"/>
    </xf>
    <xf numFmtId="4" fontId="60" fillId="48" borderId="87" xfId="0" applyNumberFormat="1" applyFont="1" applyFill="1" applyBorder="1" applyAlignment="1" applyProtection="1">
      <alignment horizontal="right" wrapText="1"/>
      <protection locked="0"/>
    </xf>
    <xf numFmtId="0" fontId="61" fillId="48" borderId="0" xfId="0" applyFont="1" applyFill="1"/>
    <xf numFmtId="171" fontId="66" fillId="0" borderId="0" xfId="0" applyNumberFormat="1" applyFont="1"/>
    <xf numFmtId="170" fontId="61" fillId="48" borderId="0" xfId="0" applyNumberFormat="1" applyFont="1" applyFill="1"/>
    <xf numFmtId="170" fontId="79" fillId="48" borderId="0" xfId="1" applyNumberFormat="1" applyFont="1" applyFill="1"/>
    <xf numFmtId="170" fontId="64" fillId="48" borderId="0" xfId="0" applyNumberFormat="1" applyFont="1" applyFill="1"/>
    <xf numFmtId="170" fontId="96" fillId="48" borderId="0" xfId="1" applyNumberFormat="1" applyFont="1" applyFill="1"/>
    <xf numFmtId="165" fontId="71" fillId="3" borderId="24" xfId="1" applyNumberFormat="1" applyFont="1" applyFill="1" applyBorder="1" applyAlignment="1">
      <alignment horizontal="center" vertical="center" wrapText="1"/>
    </xf>
    <xf numFmtId="165" fontId="71" fillId="3" borderId="25" xfId="1" applyNumberFormat="1" applyFont="1" applyFill="1" applyBorder="1" applyAlignment="1">
      <alignment horizontal="center" vertical="center" wrapText="1"/>
    </xf>
    <xf numFmtId="165" fontId="71" fillId="3" borderId="26" xfId="1" applyNumberFormat="1" applyFont="1" applyFill="1" applyBorder="1" applyAlignment="1">
      <alignment horizontal="center" vertical="center" wrapText="1"/>
    </xf>
    <xf numFmtId="0" fontId="71" fillId="3" borderId="24" xfId="0" applyFont="1" applyFill="1" applyBorder="1" applyAlignment="1">
      <alignment horizontal="center" vertical="center" wrapText="1"/>
    </xf>
    <xf numFmtId="3" fontId="71" fillId="3" borderId="25" xfId="0" applyNumberFormat="1" applyFont="1" applyFill="1" applyBorder="1" applyAlignment="1">
      <alignment horizontal="center" vertical="center" wrapText="1"/>
    </xf>
    <xf numFmtId="4" fontId="71" fillId="3" borderId="25" xfId="0" applyNumberFormat="1" applyFont="1" applyFill="1" applyBorder="1" applyAlignment="1">
      <alignment horizontal="center" vertical="center" wrapText="1"/>
    </xf>
    <xf numFmtId="4" fontId="71" fillId="3" borderId="27" xfId="0" applyNumberFormat="1" applyFont="1" applyFill="1" applyBorder="1" applyAlignment="1">
      <alignment horizontal="center" vertical="center" wrapText="1"/>
    </xf>
    <xf numFmtId="165" fontId="71" fillId="0" borderId="18" xfId="1" applyNumberFormat="1" applyFont="1" applyFill="1" applyBorder="1" applyAlignment="1">
      <alignment horizontal="right"/>
    </xf>
    <xf numFmtId="165" fontId="71" fillId="0" borderId="28" xfId="1" applyNumberFormat="1" applyFont="1" applyBorder="1" applyAlignment="1">
      <alignment horizontal="left"/>
    </xf>
    <xf numFmtId="165" fontId="71" fillId="0" borderId="28" xfId="1" applyNumberFormat="1" applyFont="1" applyBorder="1" applyAlignment="1">
      <alignment horizontal="right"/>
    </xf>
    <xf numFmtId="165" fontId="71" fillId="0" borderId="18" xfId="1" applyNumberFormat="1" applyFont="1" applyBorder="1" applyAlignment="1">
      <alignment horizontal="right"/>
    </xf>
    <xf numFmtId="165" fontId="71" fillId="0" borderId="19" xfId="1" applyNumberFormat="1" applyFont="1" applyBorder="1" applyAlignment="1">
      <alignment horizontal="right"/>
    </xf>
    <xf numFmtId="165" fontId="71" fillId="0" borderId="32" xfId="1" applyNumberFormat="1" applyFont="1" applyBorder="1" applyAlignment="1">
      <alignment horizontal="right"/>
    </xf>
    <xf numFmtId="170" fontId="97" fillId="11" borderId="28" xfId="1" applyNumberFormat="1" applyFont="1" applyFill="1" applyBorder="1" applyAlignment="1">
      <alignment horizontal="right"/>
    </xf>
    <xf numFmtId="3" fontId="97" fillId="11" borderId="29" xfId="0" applyNumberFormat="1" applyFont="1" applyFill="1" applyBorder="1" applyAlignment="1">
      <alignment horizontal="right"/>
    </xf>
    <xf numFmtId="4" fontId="97" fillId="11" borderId="29" xfId="0" applyNumberFormat="1" applyFont="1" applyFill="1" applyBorder="1" applyAlignment="1">
      <alignment horizontal="right"/>
    </xf>
    <xf numFmtId="4" fontId="71" fillId="0" borderId="31" xfId="0" applyNumberFormat="1" applyFont="1" applyBorder="1" applyAlignment="1">
      <alignment horizontal="right"/>
    </xf>
    <xf numFmtId="165" fontId="71" fillId="0" borderId="33" xfId="1" applyNumberFormat="1" applyFont="1" applyFill="1" applyBorder="1" applyAlignment="1">
      <alignment horizontal="right"/>
    </xf>
    <xf numFmtId="165" fontId="71" fillId="0" borderId="105" xfId="1" applyNumberFormat="1" applyFont="1" applyBorder="1" applyAlignment="1">
      <alignment horizontal="left"/>
    </xf>
    <xf numFmtId="165" fontId="71" fillId="0" borderId="105" xfId="1" applyNumberFormat="1" applyFont="1" applyBorder="1" applyAlignment="1">
      <alignment horizontal="right"/>
    </xf>
    <xf numFmtId="165" fontId="71" fillId="0" borderId="33" xfId="1" applyNumberFormat="1" applyFont="1" applyBorder="1" applyAlignment="1">
      <alignment horizontal="right"/>
    </xf>
    <xf numFmtId="165" fontId="71" fillId="0" borderId="34" xfId="1" applyNumberFormat="1" applyFont="1" applyBorder="1" applyAlignment="1">
      <alignment horizontal="right"/>
    </xf>
    <xf numFmtId="165" fontId="71" fillId="0" borderId="118" xfId="1" applyNumberFormat="1" applyFont="1" applyBorder="1" applyAlignment="1">
      <alignment horizontal="right"/>
    </xf>
    <xf numFmtId="165" fontId="71" fillId="0" borderId="28" xfId="1" applyNumberFormat="1" applyFont="1" applyFill="1" applyBorder="1" applyAlignment="1">
      <alignment horizontal="right"/>
    </xf>
    <xf numFmtId="165" fontId="71" fillId="0" borderId="29" xfId="1" applyNumberFormat="1" applyFont="1" applyBorder="1" applyAlignment="1">
      <alignment horizontal="right"/>
    </xf>
    <xf numFmtId="165" fontId="71" fillId="0" borderId="30" xfId="1" applyNumberFormat="1" applyFont="1" applyBorder="1" applyAlignment="1">
      <alignment horizontal="right"/>
    </xf>
    <xf numFmtId="165" fontId="61" fillId="0" borderId="0" xfId="0" applyNumberFormat="1" applyFont="1"/>
    <xf numFmtId="170" fontId="97" fillId="11" borderId="105" xfId="1" applyNumberFormat="1" applyFont="1" applyFill="1" applyBorder="1" applyAlignment="1">
      <alignment horizontal="right"/>
    </xf>
    <xf numFmtId="3" fontId="97" fillId="11" borderId="102" xfId="0" applyNumberFormat="1" applyFont="1" applyFill="1" applyBorder="1" applyAlignment="1">
      <alignment horizontal="right"/>
    </xf>
    <xf numFmtId="4" fontId="97" fillId="11" borderId="102" xfId="0" applyNumberFormat="1" applyFont="1" applyFill="1" applyBorder="1" applyAlignment="1">
      <alignment horizontal="right"/>
    </xf>
    <xf numFmtId="4" fontId="71" fillId="0" borderId="119" xfId="0" applyNumberFormat="1" applyFont="1" applyBorder="1" applyAlignment="1">
      <alignment horizontal="right"/>
    </xf>
    <xf numFmtId="165" fontId="71" fillId="0" borderId="256" xfId="1" applyNumberFormat="1" applyFont="1" applyBorder="1" applyAlignment="1">
      <alignment horizontal="right"/>
    </xf>
    <xf numFmtId="165" fontId="71" fillId="0" borderId="257" xfId="1" applyNumberFormat="1" applyFont="1" applyBorder="1" applyAlignment="1">
      <alignment horizontal="right"/>
    </xf>
    <xf numFmtId="0" fontId="71" fillId="0" borderId="257" xfId="0" applyFont="1" applyBorder="1" applyAlignment="1">
      <alignment horizontal="right"/>
    </xf>
    <xf numFmtId="3" fontId="71" fillId="0" borderId="257" xfId="0" applyNumberFormat="1" applyFont="1" applyBorder="1" applyAlignment="1">
      <alignment horizontal="right"/>
    </xf>
    <xf numFmtId="4" fontId="71" fillId="0" borderId="257" xfId="0" applyNumberFormat="1" applyFont="1" applyBorder="1" applyAlignment="1">
      <alignment horizontal="right"/>
    </xf>
    <xf numFmtId="0" fontId="61" fillId="0" borderId="257" xfId="0" applyFont="1" applyBorder="1"/>
    <xf numFmtId="3" fontId="95" fillId="0" borderId="258" xfId="0" applyNumberFormat="1" applyFont="1" applyBorder="1" applyAlignment="1">
      <alignment horizontal="right"/>
    </xf>
    <xf numFmtId="0" fontId="61" fillId="0" borderId="256" xfId="0" applyFont="1" applyBorder="1"/>
    <xf numFmtId="165" fontId="61" fillId="0" borderId="257" xfId="0" applyNumberFormat="1" applyFont="1" applyBorder="1"/>
    <xf numFmtId="170" fontId="79" fillId="0" borderId="257" xfId="0" applyNumberFormat="1" applyFont="1" applyBorder="1"/>
    <xf numFmtId="0" fontId="79" fillId="0" borderId="257" xfId="0" applyFont="1" applyBorder="1"/>
    <xf numFmtId="3" fontId="79" fillId="0" borderId="257" xfId="0" applyNumberFormat="1" applyFont="1" applyBorder="1" applyAlignment="1">
      <alignment horizontal="right"/>
    </xf>
    <xf numFmtId="0" fontId="79" fillId="0" borderId="258" xfId="0" applyFont="1" applyBorder="1"/>
    <xf numFmtId="3" fontId="66" fillId="53" borderId="0" xfId="0" applyNumberFormat="1" applyFont="1" applyFill="1"/>
    <xf numFmtId="3" fontId="66" fillId="0" borderId="0" xfId="0" applyNumberFormat="1" applyFont="1" applyFill="1"/>
    <xf numFmtId="170" fontId="83" fillId="0" borderId="0" xfId="0" applyNumberFormat="1" applyFont="1"/>
    <xf numFmtId="9" fontId="71" fillId="0" borderId="37" xfId="0" applyNumberFormat="1" applyFont="1" applyBorder="1"/>
    <xf numFmtId="0" fontId="71" fillId="0" borderId="0" xfId="0" applyFont="1"/>
    <xf numFmtId="0" fontId="71" fillId="0" borderId="0" xfId="0" applyFont="1" applyFill="1"/>
    <xf numFmtId="177" fontId="66" fillId="0" borderId="0" xfId="4" applyNumberFormat="1" applyFont="1" applyFill="1"/>
    <xf numFmtId="170" fontId="83" fillId="0" borderId="0" xfId="1" applyNumberFormat="1" applyFont="1" applyFill="1"/>
    <xf numFmtId="171" fontId="66" fillId="0" borderId="0" xfId="0" applyNumberFormat="1" applyFont="1" applyFill="1"/>
    <xf numFmtId="0" fontId="71" fillId="0" borderId="37" xfId="0" applyFont="1" applyFill="1" applyBorder="1"/>
    <xf numFmtId="9" fontId="71" fillId="0" borderId="37" xfId="0" applyNumberFormat="1" applyFont="1" applyFill="1" applyBorder="1"/>
    <xf numFmtId="0" fontId="98" fillId="53" borderId="37" xfId="0" applyFont="1" applyFill="1" applyBorder="1"/>
    <xf numFmtId="165" fontId="5" fillId="45" borderId="259" xfId="1" applyNumberFormat="1" applyFont="1" applyFill="1" applyBorder="1" applyProtection="1">
      <protection locked="0"/>
    </xf>
    <xf numFmtId="4" fontId="5" fillId="45" borderId="260" xfId="1" applyNumberFormat="1" applyFont="1" applyFill="1" applyBorder="1" applyProtection="1">
      <protection locked="0"/>
    </xf>
    <xf numFmtId="165" fontId="5" fillId="45" borderId="261" xfId="1" applyNumberFormat="1" applyFont="1" applyFill="1" applyBorder="1" applyProtection="1">
      <protection locked="0"/>
    </xf>
    <xf numFmtId="4" fontId="5" fillId="45" borderId="262" xfId="1" applyNumberFormat="1" applyFont="1" applyFill="1" applyBorder="1" applyProtection="1">
      <protection locked="0"/>
    </xf>
    <xf numFmtId="165" fontId="5" fillId="45" borderId="245" xfId="1" applyNumberFormat="1" applyFont="1" applyFill="1" applyBorder="1" applyProtection="1">
      <protection locked="0"/>
    </xf>
    <xf numFmtId="4" fontId="5" fillId="45" borderId="246" xfId="1" applyNumberFormat="1" applyFont="1" applyFill="1" applyBorder="1" applyProtection="1">
      <protection locked="0"/>
    </xf>
    <xf numFmtId="165" fontId="5" fillId="0" borderId="261" xfId="1" applyNumberFormat="1" applyFont="1" applyFill="1" applyBorder="1" applyProtection="1">
      <protection locked="0"/>
    </xf>
    <xf numFmtId="165" fontId="5" fillId="0" borderId="245" xfId="1" applyNumberFormat="1" applyFont="1" applyFill="1" applyBorder="1" applyProtection="1">
      <protection locked="0"/>
    </xf>
    <xf numFmtId="4" fontId="5" fillId="0" borderId="262" xfId="1" applyNumberFormat="1" applyFont="1" applyFill="1" applyBorder="1" applyProtection="1">
      <protection locked="0"/>
    </xf>
    <xf numFmtId="4" fontId="5" fillId="0" borderId="246" xfId="1" applyNumberFormat="1" applyFont="1" applyFill="1" applyBorder="1" applyProtection="1">
      <protection locked="0"/>
    </xf>
    <xf numFmtId="0" fontId="5" fillId="26" borderId="264" xfId="0" applyFont="1" applyFill="1" applyBorder="1" applyAlignment="1" applyProtection="1">
      <alignment horizontal="center"/>
      <protection locked="0"/>
    </xf>
    <xf numFmtId="165" fontId="0" fillId="0" borderId="264" xfId="1" applyFont="1" applyBorder="1" applyProtection="1"/>
    <xf numFmtId="0" fontId="5" fillId="26" borderId="264" xfId="0" applyFont="1" applyFill="1" applyBorder="1" applyProtection="1">
      <protection locked="0"/>
    </xf>
    <xf numFmtId="0" fontId="0" fillId="0" borderId="264" xfId="0" applyBorder="1" applyProtection="1"/>
    <xf numFmtId="0" fontId="6" fillId="0" borderId="264" xfId="0" applyFont="1" applyFill="1" applyBorder="1" applyAlignment="1" applyProtection="1">
      <alignment horizontal="center"/>
    </xf>
    <xf numFmtId="165" fontId="0" fillId="0" borderId="265" xfId="1" applyFont="1" applyBorder="1" applyProtection="1"/>
    <xf numFmtId="185" fontId="1" fillId="0" borderId="266" xfId="0" applyNumberFormat="1" applyFont="1" applyFill="1" applyBorder="1" applyProtection="1"/>
    <xf numFmtId="165" fontId="0" fillId="0" borderId="266" xfId="0" applyNumberFormat="1" applyBorder="1" applyProtection="1"/>
    <xf numFmtId="165" fontId="0" fillId="0" borderId="267" xfId="0" applyNumberFormat="1" applyBorder="1" applyProtection="1"/>
    <xf numFmtId="165" fontId="6" fillId="0" borderId="264" xfId="1" applyFont="1" applyFill="1" applyBorder="1" applyProtection="1"/>
    <xf numFmtId="165" fontId="6" fillId="0" borderId="264" xfId="1" applyFont="1" applyBorder="1" applyProtection="1"/>
    <xf numFmtId="165" fontId="6" fillId="24" borderId="264" xfId="1" applyFont="1" applyFill="1" applyBorder="1" applyProtection="1"/>
    <xf numFmtId="165" fontId="59" fillId="45" borderId="171" xfId="1" applyFont="1" applyFill="1" applyBorder="1" applyProtection="1">
      <protection locked="0"/>
    </xf>
    <xf numFmtId="165" fontId="5" fillId="45" borderId="268" xfId="1" applyFont="1" applyFill="1" applyBorder="1" applyProtection="1">
      <protection locked="0"/>
    </xf>
    <xf numFmtId="165" fontId="59" fillId="45" borderId="269" xfId="1" applyFont="1" applyFill="1" applyBorder="1" applyProtection="1">
      <protection locked="0"/>
    </xf>
    <xf numFmtId="165" fontId="6" fillId="0" borderId="129" xfId="1" applyFont="1" applyFill="1" applyBorder="1" applyProtection="1">
      <protection locked="0"/>
    </xf>
    <xf numFmtId="0" fontId="5" fillId="26" borderId="263" xfId="0" applyFont="1" applyFill="1" applyBorder="1" applyProtection="1">
      <protection locked="0"/>
    </xf>
    <xf numFmtId="165" fontId="5" fillId="26" borderId="264" xfId="1" applyFont="1" applyFill="1" applyBorder="1" applyProtection="1">
      <protection locked="0"/>
    </xf>
    <xf numFmtId="0" fontId="1" fillId="0" borderId="264" xfId="0" applyFont="1" applyFill="1" applyBorder="1" applyAlignment="1" applyProtection="1">
      <alignment horizontal="center"/>
    </xf>
    <xf numFmtId="185" fontId="5" fillId="28" borderId="264" xfId="0" applyNumberFormat="1" applyFont="1" applyFill="1" applyBorder="1" applyProtection="1"/>
    <xf numFmtId="165" fontId="0" fillId="43" borderId="264" xfId="0" applyNumberFormat="1" applyFill="1" applyBorder="1" applyProtection="1"/>
    <xf numFmtId="165" fontId="1" fillId="0" borderId="264" xfId="1" applyFont="1" applyFill="1" applyBorder="1" applyProtection="1"/>
    <xf numFmtId="165" fontId="1" fillId="0" borderId="264" xfId="1" applyFont="1" applyBorder="1" applyProtection="1"/>
    <xf numFmtId="165" fontId="1" fillId="24" borderId="264" xfId="1" applyFont="1" applyFill="1" applyBorder="1" applyProtection="1"/>
    <xf numFmtId="165" fontId="5" fillId="45" borderId="270" xfId="1" applyFont="1" applyFill="1" applyBorder="1" applyProtection="1">
      <protection locked="0"/>
    </xf>
    <xf numFmtId="165" fontId="5" fillId="45" borderId="214" xfId="1" applyFont="1" applyFill="1" applyBorder="1" applyProtection="1">
      <protection locked="0"/>
    </xf>
    <xf numFmtId="165" fontId="59" fillId="45" borderId="244" xfId="1" applyFont="1" applyFill="1" applyBorder="1" applyProtection="1">
      <protection locked="0"/>
    </xf>
    <xf numFmtId="165" fontId="5" fillId="45" borderId="272" xfId="1" applyFont="1" applyFill="1" applyBorder="1" applyProtection="1">
      <protection locked="0"/>
    </xf>
    <xf numFmtId="165" fontId="59" fillId="45" borderId="273" xfId="1" applyFont="1" applyFill="1" applyBorder="1" applyProtection="1">
      <protection locked="0"/>
    </xf>
    <xf numFmtId="165" fontId="5" fillId="0" borderId="272" xfId="1" applyFont="1" applyFill="1" applyBorder="1" applyProtection="1">
      <protection locked="0"/>
    </xf>
    <xf numFmtId="165" fontId="59" fillId="0" borderId="273" xfId="1" applyFont="1" applyFill="1" applyBorder="1" applyProtection="1">
      <protection locked="0"/>
    </xf>
    <xf numFmtId="165" fontId="59" fillId="0" borderId="171" xfId="1" applyFont="1" applyFill="1" applyBorder="1" applyProtection="1">
      <protection locked="0"/>
    </xf>
    <xf numFmtId="165" fontId="59" fillId="0" borderId="269" xfId="1" applyFont="1" applyFill="1" applyBorder="1" applyProtection="1">
      <protection locked="0"/>
    </xf>
    <xf numFmtId="10" fontId="5" fillId="45" borderId="159" xfId="1" applyNumberFormat="1" applyFont="1" applyFill="1" applyBorder="1" applyProtection="1">
      <protection locked="0"/>
    </xf>
    <xf numFmtId="165" fontId="0" fillId="0" borderId="264" xfId="1" applyFont="1" applyFill="1" applyBorder="1" applyProtection="1"/>
    <xf numFmtId="0" fontId="5" fillId="45" borderId="247" xfId="0" applyFont="1" applyFill="1" applyBorder="1" applyProtection="1">
      <protection locked="0"/>
    </xf>
    <xf numFmtId="0" fontId="5" fillId="26" borderId="247" xfId="0" applyFont="1" applyFill="1" applyBorder="1" applyAlignment="1" applyProtection="1">
      <alignment horizontal="center"/>
      <protection locked="0"/>
    </xf>
    <xf numFmtId="165" fontId="0" fillId="0" borderId="247" xfId="1" applyFont="1" applyBorder="1" applyProtection="1"/>
    <xf numFmtId="0" fontId="0" fillId="0" borderId="247" xfId="0" applyBorder="1" applyProtection="1"/>
    <xf numFmtId="0" fontId="1" fillId="0" borderId="247" xfId="0" applyFont="1" applyFill="1" applyBorder="1" applyAlignment="1" applyProtection="1">
      <alignment horizontal="center"/>
    </xf>
    <xf numFmtId="165" fontId="0" fillId="0" borderId="235" xfId="1" applyFont="1" applyBorder="1" applyProtection="1"/>
    <xf numFmtId="185" fontId="1" fillId="0" borderId="236" xfId="0" applyNumberFormat="1" applyFont="1" applyFill="1" applyBorder="1" applyProtection="1"/>
    <xf numFmtId="165" fontId="0" fillId="0" borderId="247" xfId="0" applyNumberFormat="1" applyBorder="1" applyProtection="1"/>
    <xf numFmtId="165" fontId="0" fillId="0" borderId="234" xfId="0" applyNumberFormat="1" applyBorder="1" applyProtection="1"/>
    <xf numFmtId="165" fontId="1" fillId="0" borderId="247" xfId="1" applyFont="1" applyFill="1" applyBorder="1" applyProtection="1"/>
    <xf numFmtId="165" fontId="1" fillId="0" borderId="247" xfId="1" applyFont="1" applyBorder="1" applyProtection="1"/>
    <xf numFmtId="165" fontId="1" fillId="24" borderId="247" xfId="1" applyFont="1" applyFill="1" applyBorder="1" applyProtection="1"/>
    <xf numFmtId="165" fontId="5" fillId="26" borderId="238" xfId="1" applyFont="1" applyFill="1" applyBorder="1" applyProtection="1">
      <protection locked="0"/>
    </xf>
    <xf numFmtId="165" fontId="5" fillId="45" borderId="274" xfId="1" applyFont="1" applyFill="1" applyBorder="1" applyProtection="1">
      <protection locked="0"/>
    </xf>
    <xf numFmtId="165" fontId="59" fillId="45" borderId="275" xfId="1" applyFont="1" applyFill="1" applyBorder="1" applyProtection="1">
      <protection locked="0"/>
    </xf>
    <xf numFmtId="165" fontId="5" fillId="45" borderId="276" xfId="1" applyFont="1" applyFill="1" applyBorder="1" applyProtection="1">
      <protection locked="0"/>
    </xf>
    <xf numFmtId="165" fontId="59" fillId="45" borderId="277" xfId="1" applyFont="1" applyFill="1" applyBorder="1" applyProtection="1">
      <protection locked="0"/>
    </xf>
    <xf numFmtId="0" fontId="99" fillId="26" borderId="76" xfId="0" applyFont="1" applyFill="1" applyBorder="1" applyProtection="1">
      <protection locked="0"/>
    </xf>
    <xf numFmtId="0" fontId="99" fillId="26" borderId="76" xfId="0" applyFont="1" applyFill="1" applyBorder="1" applyAlignment="1" applyProtection="1">
      <alignment horizontal="center"/>
      <protection locked="0"/>
    </xf>
    <xf numFmtId="0" fontId="100" fillId="26" borderId="77" xfId="0" applyFont="1" applyFill="1" applyBorder="1" applyProtection="1">
      <protection locked="0"/>
    </xf>
    <xf numFmtId="165" fontId="5" fillId="0" borderId="276" xfId="1" applyFont="1" applyFill="1" applyBorder="1" applyProtection="1">
      <protection locked="0"/>
    </xf>
    <xf numFmtId="165" fontId="5" fillId="45" borderId="278" xfId="1" applyFont="1" applyFill="1" applyBorder="1" applyProtection="1">
      <protection locked="0"/>
    </xf>
    <xf numFmtId="165" fontId="59" fillId="45" borderId="279" xfId="1" applyFont="1" applyFill="1" applyBorder="1" applyProtection="1">
      <protection locked="0"/>
    </xf>
    <xf numFmtId="165" fontId="6" fillId="0" borderId="200" xfId="1" applyFont="1" applyFill="1" applyBorder="1" applyProtection="1">
      <protection locked="0"/>
    </xf>
    <xf numFmtId="165" fontId="6" fillId="0" borderId="201" xfId="1" applyFont="1" applyFill="1" applyBorder="1" applyProtection="1">
      <protection locked="0"/>
    </xf>
    <xf numFmtId="165" fontId="59" fillId="45" borderId="281" xfId="1" applyFont="1" applyFill="1" applyBorder="1" applyProtection="1">
      <protection locked="0"/>
    </xf>
    <xf numFmtId="165" fontId="5" fillId="0" borderId="280" xfId="1" applyFont="1" applyFill="1" applyBorder="1" applyProtection="1">
      <protection locked="0"/>
    </xf>
    <xf numFmtId="165" fontId="5" fillId="0" borderId="278" xfId="1" applyFont="1" applyFill="1" applyBorder="1" applyProtection="1">
      <protection locked="0"/>
    </xf>
    <xf numFmtId="165" fontId="59" fillId="0" borderId="279" xfId="1" applyFont="1" applyFill="1" applyBorder="1" applyProtection="1">
      <protection locked="0"/>
    </xf>
    <xf numFmtId="165" fontId="71" fillId="0" borderId="28" xfId="1" applyNumberFormat="1" applyFont="1" applyFill="1" applyBorder="1" applyAlignment="1">
      <alignment horizontal="left"/>
    </xf>
    <xf numFmtId="49" fontId="20" fillId="0" borderId="283" xfId="0" applyNumberFormat="1" applyFont="1" applyFill="1" applyBorder="1" applyProtection="1">
      <protection locked="0"/>
    </xf>
    <xf numFmtId="49" fontId="20" fillId="0" borderId="282" xfId="0" applyNumberFormat="1" applyFont="1" applyBorder="1" applyAlignment="1" applyProtection="1">
      <alignment wrapText="1"/>
      <protection locked="0"/>
    </xf>
    <xf numFmtId="49" fontId="20" fillId="0" borderId="282" xfId="0" applyNumberFormat="1" applyFont="1" applyBorder="1" applyAlignment="1" applyProtection="1">
      <alignment horizontal="center"/>
      <protection locked="0"/>
    </xf>
    <xf numFmtId="190" fontId="49" fillId="27" borderId="282" xfId="0" applyNumberFormat="1" applyFont="1" applyFill="1" applyBorder="1" applyProtection="1">
      <protection locked="0"/>
    </xf>
    <xf numFmtId="166" fontId="20" fillId="0" borderId="284" xfId="0" applyNumberFormat="1" applyFont="1" applyBorder="1" applyProtection="1">
      <protection locked="0"/>
    </xf>
    <xf numFmtId="165" fontId="59" fillId="45" borderId="277" xfId="1" applyNumberFormat="1" applyFont="1" applyFill="1" applyBorder="1" applyProtection="1">
      <protection locked="0"/>
    </xf>
    <xf numFmtId="165" fontId="5" fillId="0" borderId="274" xfId="1" applyFont="1" applyFill="1" applyBorder="1" applyProtection="1">
      <protection locked="0"/>
    </xf>
    <xf numFmtId="4" fontId="5" fillId="45" borderId="271" xfId="1" applyNumberFormat="1" applyFont="1" applyFill="1" applyBorder="1" applyProtection="1">
      <protection locked="0"/>
    </xf>
    <xf numFmtId="4" fontId="5" fillId="45" borderId="275" xfId="1" applyNumberFormat="1" applyFont="1" applyFill="1" applyBorder="1" applyProtection="1">
      <protection locked="0"/>
    </xf>
    <xf numFmtId="165" fontId="5" fillId="45" borderId="285" xfId="1" applyNumberFormat="1" applyFont="1" applyFill="1" applyBorder="1" applyProtection="1">
      <protection locked="0"/>
    </xf>
    <xf numFmtId="4" fontId="5" fillId="45" borderId="286" xfId="1" applyNumberFormat="1" applyFont="1" applyFill="1" applyBorder="1" applyProtection="1">
      <protection locked="0"/>
    </xf>
    <xf numFmtId="165" fontId="5" fillId="0" borderId="287" xfId="1" applyNumberFormat="1" applyFont="1" applyFill="1" applyBorder="1" applyProtection="1">
      <protection locked="0"/>
    </xf>
    <xf numFmtId="4" fontId="5" fillId="45" borderId="288" xfId="1" applyNumberFormat="1" applyFont="1" applyFill="1" applyBorder="1" applyProtection="1">
      <protection locked="0"/>
    </xf>
    <xf numFmtId="165" fontId="5" fillId="0" borderId="289" xfId="1" applyNumberFormat="1" applyFont="1" applyFill="1" applyBorder="1" applyProtection="1">
      <protection locked="0"/>
    </xf>
    <xf numFmtId="4" fontId="1" fillId="0" borderId="290" xfId="1" applyNumberFormat="1" applyFont="1" applyFill="1" applyBorder="1" applyProtection="1">
      <protection locked="0"/>
    </xf>
    <xf numFmtId="165" fontId="59" fillId="0" borderId="277" xfId="1" applyFont="1" applyFill="1" applyBorder="1" applyProtection="1">
      <protection locked="0"/>
    </xf>
    <xf numFmtId="187" fontId="1" fillId="0" borderId="109" xfId="1" applyNumberFormat="1" applyFont="1" applyFill="1" applyBorder="1" applyProtection="1">
      <protection locked="0"/>
    </xf>
    <xf numFmtId="165" fontId="59" fillId="0" borderId="275" xfId="1" applyFont="1" applyFill="1" applyBorder="1" applyProtection="1">
      <protection locked="0"/>
    </xf>
    <xf numFmtId="165" fontId="5" fillId="26" borderId="291" xfId="1" applyFont="1" applyFill="1" applyBorder="1" applyProtection="1">
      <protection locked="0"/>
    </xf>
    <xf numFmtId="165" fontId="5" fillId="45" borderId="171" xfId="1" applyFont="1" applyFill="1" applyBorder="1" applyProtection="1">
      <protection locked="0"/>
    </xf>
    <xf numFmtId="165" fontId="5" fillId="26" borderId="261" xfId="1" applyFont="1" applyFill="1" applyBorder="1" applyProtection="1">
      <protection locked="0"/>
    </xf>
    <xf numFmtId="165" fontId="5" fillId="45" borderId="275" xfId="1" applyFont="1" applyFill="1" applyBorder="1" applyProtection="1">
      <protection locked="0"/>
    </xf>
    <xf numFmtId="165" fontId="59" fillId="45" borderId="271" xfId="1" applyFont="1" applyFill="1" applyBorder="1" applyProtection="1">
      <protection locked="0"/>
    </xf>
    <xf numFmtId="165" fontId="5" fillId="45" borderId="292" xfId="1" applyFont="1" applyFill="1" applyBorder="1" applyProtection="1">
      <protection locked="0"/>
    </xf>
    <xf numFmtId="165" fontId="59" fillId="0" borderId="293" xfId="1" applyFont="1" applyFill="1" applyBorder="1" applyProtection="1">
      <protection locked="0"/>
    </xf>
    <xf numFmtId="165" fontId="59" fillId="45" borderId="293" xfId="1" applyFont="1" applyFill="1" applyBorder="1" applyProtection="1">
      <protection locked="0"/>
    </xf>
    <xf numFmtId="165" fontId="59" fillId="45" borderId="295" xfId="1" applyFont="1" applyFill="1" applyBorder="1" applyProtection="1">
      <protection locked="0"/>
    </xf>
    <xf numFmtId="165" fontId="5" fillId="0" borderId="294" xfId="1" applyFont="1" applyFill="1" applyBorder="1" applyProtection="1">
      <protection locked="0"/>
    </xf>
    <xf numFmtId="165" fontId="5" fillId="0" borderId="292" xfId="1" applyFont="1" applyFill="1" applyBorder="1" applyProtection="1">
      <protection locked="0"/>
    </xf>
    <xf numFmtId="0" fontId="5" fillId="44" borderId="296" xfId="0" applyFont="1" applyFill="1" applyBorder="1" applyProtection="1">
      <protection locked="0"/>
    </xf>
    <xf numFmtId="0" fontId="5" fillId="26" borderId="297" xfId="0" applyFont="1" applyFill="1" applyBorder="1" applyProtection="1">
      <protection locked="0"/>
    </xf>
    <xf numFmtId="0" fontId="5" fillId="26" borderId="297" xfId="0" applyFont="1" applyFill="1" applyBorder="1" applyAlignment="1" applyProtection="1">
      <alignment horizontal="center"/>
      <protection locked="0"/>
    </xf>
    <xf numFmtId="165" fontId="0" fillId="0" borderId="297" xfId="1" applyFont="1" applyBorder="1" applyProtection="1"/>
    <xf numFmtId="0" fontId="0" fillId="0" borderId="297" xfId="0" applyBorder="1" applyProtection="1"/>
    <xf numFmtId="0" fontId="1" fillId="0" borderId="297" xfId="0" applyFont="1" applyFill="1" applyBorder="1" applyAlignment="1" applyProtection="1">
      <alignment horizontal="center"/>
    </xf>
    <xf numFmtId="165" fontId="0" fillId="0" borderId="298" xfId="1" applyFont="1" applyBorder="1" applyProtection="1"/>
    <xf numFmtId="165" fontId="1" fillId="0" borderId="166" xfId="1" applyFont="1" applyFill="1" applyBorder="1" applyProtection="1">
      <protection locked="0"/>
    </xf>
    <xf numFmtId="185" fontId="1" fillId="0" borderId="299" xfId="0" applyNumberFormat="1" applyFont="1" applyFill="1" applyBorder="1" applyProtection="1"/>
    <xf numFmtId="165" fontId="0" fillId="0" borderId="299" xfId="0" applyNumberFormat="1" applyBorder="1" applyProtection="1"/>
    <xf numFmtId="165" fontId="0" fillId="0" borderId="300" xfId="0" applyNumberFormat="1" applyBorder="1" applyProtection="1"/>
    <xf numFmtId="165" fontId="1" fillId="0" borderId="297" xfId="1" applyFont="1" applyFill="1" applyBorder="1" applyProtection="1"/>
    <xf numFmtId="165" fontId="1" fillId="0" borderId="297" xfId="1" applyFont="1" applyBorder="1" applyProtection="1"/>
    <xf numFmtId="165" fontId="1" fillId="24" borderId="297" xfId="1" applyFont="1" applyFill="1" applyBorder="1" applyProtection="1"/>
    <xf numFmtId="165" fontId="1" fillId="0" borderId="110" xfId="1" applyFont="1" applyFill="1" applyBorder="1" applyProtection="1">
      <protection locked="0"/>
    </xf>
    <xf numFmtId="165" fontId="1" fillId="0" borderId="111" xfId="1" applyFont="1" applyFill="1" applyBorder="1" applyProtection="1">
      <protection locked="0"/>
    </xf>
    <xf numFmtId="9" fontId="5" fillId="26" borderId="110" xfId="1" applyNumberFormat="1" applyFont="1" applyFill="1" applyBorder="1" applyProtection="1">
      <protection locked="0"/>
    </xf>
    <xf numFmtId="165" fontId="59" fillId="45" borderId="111" xfId="1" applyFont="1" applyFill="1" applyBorder="1" applyProtection="1">
      <protection locked="0"/>
    </xf>
    <xf numFmtId="165" fontId="5" fillId="0" borderId="112" xfId="1" applyFont="1" applyFill="1" applyBorder="1" applyProtection="1">
      <protection locked="0"/>
    </xf>
    <xf numFmtId="165" fontId="1" fillId="0" borderId="113" xfId="1" applyFont="1" applyFill="1" applyBorder="1" applyProtection="1">
      <protection locked="0"/>
    </xf>
    <xf numFmtId="0" fontId="0" fillId="0" borderId="121" xfId="0" applyBorder="1" applyAlignment="1" applyProtection="1">
      <alignment horizontal="center"/>
    </xf>
    <xf numFmtId="0" fontId="0" fillId="0" borderId="298" xfId="0" applyBorder="1" applyAlignment="1" applyProtection="1">
      <alignment horizontal="center"/>
    </xf>
    <xf numFmtId="0" fontId="0" fillId="0" borderId="298" xfId="0" applyFill="1" applyBorder="1" applyAlignment="1" applyProtection="1">
      <alignment horizontal="center"/>
    </xf>
    <xf numFmtId="0" fontId="5" fillId="51" borderId="297" xfId="0" applyFont="1" applyFill="1" applyBorder="1" applyProtection="1">
      <protection locked="0"/>
    </xf>
    <xf numFmtId="0" fontId="5" fillId="45" borderId="297" xfId="0" applyFont="1" applyFill="1" applyBorder="1" applyProtection="1">
      <protection locked="0"/>
    </xf>
    <xf numFmtId="165" fontId="5" fillId="45" borderId="301" xfId="1" applyFont="1" applyFill="1" applyBorder="1" applyProtection="1">
      <protection locked="0"/>
    </xf>
    <xf numFmtId="165" fontId="59" fillId="45" borderId="302" xfId="1" applyFont="1" applyFill="1" applyBorder="1" applyProtection="1">
      <protection locked="0"/>
    </xf>
    <xf numFmtId="165" fontId="5" fillId="45" borderId="303" xfId="1" applyFont="1" applyFill="1" applyBorder="1" applyProtection="1">
      <protection locked="0"/>
    </xf>
    <xf numFmtId="165" fontId="59" fillId="45" borderId="304" xfId="1" applyFont="1" applyFill="1" applyBorder="1" applyProtection="1">
      <protection locked="0"/>
    </xf>
    <xf numFmtId="165" fontId="59" fillId="0" borderId="302" xfId="1" applyFont="1" applyFill="1" applyBorder="1" applyProtection="1">
      <protection locked="0"/>
    </xf>
    <xf numFmtId="165" fontId="5" fillId="0" borderId="301" xfId="1" applyFont="1" applyFill="1" applyBorder="1" applyProtection="1">
      <protection locked="0"/>
    </xf>
    <xf numFmtId="165" fontId="5" fillId="0" borderId="303" xfId="1" applyFont="1" applyFill="1" applyBorder="1" applyProtection="1">
      <protection locked="0"/>
    </xf>
    <xf numFmtId="9" fontId="5" fillId="0" borderId="307" xfId="1" applyNumberFormat="1" applyFont="1" applyFill="1" applyBorder="1" applyProtection="1">
      <protection locked="0"/>
    </xf>
    <xf numFmtId="165" fontId="59" fillId="45" borderId="308" xfId="1" applyFont="1" applyFill="1" applyBorder="1" applyProtection="1">
      <protection locked="0"/>
    </xf>
    <xf numFmtId="9" fontId="1" fillId="0" borderId="309" xfId="1" applyNumberFormat="1" applyFont="1" applyFill="1" applyBorder="1" applyProtection="1">
      <protection locked="0"/>
    </xf>
    <xf numFmtId="165" fontId="59" fillId="45" borderId="310" xfId="1" applyFont="1" applyFill="1" applyBorder="1" applyProtection="1">
      <protection locked="0"/>
    </xf>
    <xf numFmtId="165" fontId="5" fillId="0" borderId="309" xfId="1" applyFont="1" applyFill="1" applyBorder="1" applyProtection="1">
      <protection locked="0"/>
    </xf>
    <xf numFmtId="165" fontId="5" fillId="45" borderId="309" xfId="1" applyFont="1" applyFill="1" applyBorder="1" applyProtection="1">
      <protection locked="0"/>
    </xf>
    <xf numFmtId="165" fontId="5" fillId="45" borderId="311" xfId="1" applyFont="1" applyFill="1" applyBorder="1" applyProtection="1">
      <protection locked="0"/>
    </xf>
    <xf numFmtId="9" fontId="59" fillId="0" borderId="312" xfId="4" applyFont="1" applyFill="1" applyBorder="1" applyProtection="1">
      <protection locked="0"/>
    </xf>
    <xf numFmtId="49" fontId="20" fillId="0" borderId="306" xfId="0" applyNumberFormat="1" applyFont="1" applyFill="1" applyBorder="1" applyProtection="1">
      <protection locked="0"/>
    </xf>
    <xf numFmtId="49" fontId="20" fillId="0" borderId="305" xfId="0" applyNumberFormat="1" applyFont="1" applyBorder="1" applyAlignment="1" applyProtection="1">
      <alignment wrapText="1"/>
      <protection locked="0"/>
    </xf>
    <xf numFmtId="49" fontId="20" fillId="0" borderId="305" xfId="0" applyNumberFormat="1" applyFont="1" applyBorder="1" applyAlignment="1" applyProtection="1">
      <alignment horizontal="center"/>
      <protection locked="0"/>
    </xf>
    <xf numFmtId="190" fontId="49" fillId="27" borderId="305" xfId="0" applyNumberFormat="1" applyFont="1" applyFill="1" applyBorder="1" applyProtection="1">
      <protection locked="0"/>
    </xf>
    <xf numFmtId="166" fontId="20" fillId="0" borderId="313" xfId="0" applyNumberFormat="1" applyFont="1" applyBorder="1" applyProtection="1">
      <protection locked="0"/>
    </xf>
    <xf numFmtId="165" fontId="59" fillId="45" borderId="315" xfId="1" applyFont="1" applyFill="1" applyBorder="1" applyProtection="1">
      <protection locked="0"/>
    </xf>
    <xf numFmtId="165" fontId="5" fillId="0" borderId="314" xfId="1" applyFont="1" applyFill="1" applyBorder="1" applyProtection="1">
      <protection locked="0"/>
    </xf>
    <xf numFmtId="0" fontId="5" fillId="44" borderId="316" xfId="0" applyFont="1" applyFill="1" applyBorder="1" applyProtection="1">
      <protection locked="0"/>
    </xf>
    <xf numFmtId="0" fontId="5" fillId="44" borderId="317" xfId="0" applyFont="1" applyFill="1" applyBorder="1" applyProtection="1">
      <protection locked="0"/>
    </xf>
    <xf numFmtId="0" fontId="5" fillId="26" borderId="317" xfId="0" applyFont="1" applyFill="1" applyBorder="1" applyAlignment="1" applyProtection="1">
      <alignment horizontal="center"/>
      <protection locked="0"/>
    </xf>
    <xf numFmtId="166" fontId="20" fillId="0" borderId="313" xfId="0" applyNumberFormat="1" applyFont="1" applyBorder="1" applyAlignment="1" applyProtection="1">
      <alignment horizontal="center"/>
      <protection locked="0"/>
    </xf>
    <xf numFmtId="165" fontId="5" fillId="0" borderId="268" xfId="1" applyFont="1" applyFill="1" applyBorder="1" applyProtection="1">
      <protection locked="0"/>
    </xf>
    <xf numFmtId="165" fontId="59" fillId="0" borderId="304" xfId="1" applyFont="1" applyFill="1" applyBorder="1" applyProtection="1">
      <protection locked="0"/>
    </xf>
    <xf numFmtId="165" fontId="59" fillId="45" borderId="318" xfId="1" applyFont="1" applyFill="1" applyBorder="1" applyProtection="1">
      <protection locked="0"/>
    </xf>
    <xf numFmtId="165" fontId="5" fillId="45" borderId="319" xfId="1" applyFont="1" applyFill="1" applyBorder="1" applyProtection="1">
      <protection locked="0"/>
    </xf>
    <xf numFmtId="165" fontId="59" fillId="45" borderId="320" xfId="1" applyFont="1" applyFill="1" applyBorder="1" applyProtection="1">
      <protection locked="0"/>
    </xf>
    <xf numFmtId="165" fontId="59" fillId="0" borderId="318" xfId="1" applyFont="1" applyFill="1" applyBorder="1" applyProtection="1">
      <protection locked="0"/>
    </xf>
    <xf numFmtId="165" fontId="5" fillId="0" borderId="319" xfId="1" applyFont="1" applyFill="1" applyBorder="1" applyProtection="1">
      <protection locked="0"/>
    </xf>
    <xf numFmtId="165" fontId="59" fillId="0" borderId="320" xfId="1" applyFont="1" applyFill="1" applyBorder="1" applyProtection="1">
      <protection locked="0"/>
    </xf>
    <xf numFmtId="0" fontId="5" fillId="44" borderId="321" xfId="0" applyFont="1" applyFill="1" applyBorder="1" applyProtection="1">
      <protection locked="0"/>
    </xf>
    <xf numFmtId="0" fontId="5" fillId="44" borderId="322" xfId="0" applyFont="1" applyFill="1" applyBorder="1" applyProtection="1">
      <protection locked="0"/>
    </xf>
    <xf numFmtId="0" fontId="5" fillId="26" borderId="322" xfId="0" applyFont="1" applyFill="1" applyBorder="1" applyAlignment="1" applyProtection="1">
      <alignment horizontal="center"/>
      <protection locked="0"/>
    </xf>
    <xf numFmtId="165" fontId="0" fillId="0" borderId="322" xfId="1" applyFont="1" applyBorder="1" applyProtection="1"/>
    <xf numFmtId="0" fontId="0" fillId="0" borderId="322" xfId="0" applyBorder="1" applyAlignment="1" applyProtection="1">
      <alignment horizontal="center"/>
    </xf>
    <xf numFmtId="0" fontId="0" fillId="0" borderId="322" xfId="0" applyBorder="1" applyProtection="1"/>
    <xf numFmtId="0" fontId="1" fillId="0" borderId="322" xfId="0" applyFont="1" applyFill="1" applyBorder="1" applyAlignment="1" applyProtection="1">
      <alignment horizontal="center"/>
    </xf>
    <xf numFmtId="165" fontId="0" fillId="0" borderId="323" xfId="1" applyFont="1" applyBorder="1" applyProtection="1"/>
    <xf numFmtId="165" fontId="5" fillId="0" borderId="259" xfId="1" applyFont="1" applyFill="1" applyBorder="1" applyProtection="1">
      <protection locked="0"/>
    </xf>
    <xf numFmtId="185" fontId="1" fillId="0" borderId="324" xfId="0" applyNumberFormat="1" applyFont="1" applyFill="1" applyBorder="1" applyProtection="1"/>
    <xf numFmtId="165" fontId="0" fillId="0" borderId="324" xfId="0" applyNumberFormat="1" applyBorder="1" applyProtection="1"/>
    <xf numFmtId="165" fontId="0" fillId="0" borderId="325" xfId="0" applyNumberFormat="1" applyBorder="1" applyProtection="1"/>
    <xf numFmtId="165" fontId="1" fillId="0" borderId="322" xfId="1" applyFont="1" applyFill="1" applyBorder="1" applyProtection="1"/>
    <xf numFmtId="165" fontId="1" fillId="0" borderId="322" xfId="1" applyFont="1" applyBorder="1" applyProtection="1"/>
    <xf numFmtId="165" fontId="1" fillId="24" borderId="322" xfId="1" applyFont="1" applyFill="1" applyBorder="1" applyProtection="1"/>
    <xf numFmtId="0" fontId="5" fillId="45" borderId="322" xfId="0" applyFont="1" applyFill="1" applyBorder="1" applyProtection="1">
      <protection locked="0"/>
    </xf>
    <xf numFmtId="165" fontId="5" fillId="0" borderId="326" xfId="1" applyFont="1" applyFill="1" applyBorder="1" applyProtection="1">
      <protection locked="0"/>
    </xf>
    <xf numFmtId="9" fontId="5" fillId="0" borderId="326" xfId="1" applyNumberFormat="1" applyFont="1" applyFill="1" applyBorder="1" applyProtection="1">
      <protection locked="0"/>
    </xf>
    <xf numFmtId="9" fontId="5" fillId="0" borderId="261" xfId="1" applyNumberFormat="1" applyFont="1" applyFill="1" applyBorder="1" applyProtection="1">
      <protection locked="0"/>
    </xf>
    <xf numFmtId="9" fontId="5" fillId="0" borderId="328" xfId="1" applyNumberFormat="1" applyFont="1" applyFill="1" applyBorder="1" applyProtection="1">
      <protection locked="0"/>
    </xf>
    <xf numFmtId="165" fontId="59" fillId="45" borderId="327" xfId="1" applyFont="1" applyFill="1" applyBorder="1" applyProtection="1">
      <protection locked="0"/>
    </xf>
    <xf numFmtId="13" fontId="59" fillId="45" borderId="318" xfId="1" applyNumberFormat="1" applyFont="1" applyFill="1" applyBorder="1" applyProtection="1">
      <protection locked="0"/>
    </xf>
    <xf numFmtId="13" fontId="59" fillId="45" borderId="327" xfId="1" applyNumberFormat="1" applyFont="1" applyFill="1" applyBorder="1" applyProtection="1">
      <protection locked="0"/>
    </xf>
    <xf numFmtId="13" fontId="59" fillId="45" borderId="329" xfId="1" applyNumberFormat="1" applyFont="1" applyFill="1" applyBorder="1" applyProtection="1">
      <protection locked="0"/>
    </xf>
    <xf numFmtId="165" fontId="59" fillId="45" borderId="331" xfId="1" applyFont="1" applyFill="1" applyBorder="1" applyProtection="1">
      <protection locked="0"/>
    </xf>
    <xf numFmtId="165" fontId="5" fillId="0" borderId="330" xfId="1" applyFont="1" applyFill="1" applyBorder="1" applyProtection="1">
      <protection locked="0"/>
    </xf>
    <xf numFmtId="0" fontId="5" fillId="45" borderId="76" xfId="0" applyFont="1" applyFill="1" applyBorder="1" applyAlignment="1" applyProtection="1">
      <alignment wrapText="1"/>
      <protection locked="0"/>
    </xf>
    <xf numFmtId="49" fontId="20" fillId="0" borderId="306" xfId="0" applyNumberFormat="1" applyFont="1" applyBorder="1" applyProtection="1">
      <protection locked="0"/>
    </xf>
    <xf numFmtId="166" fontId="49" fillId="27" borderId="305" xfId="0" applyNumberFormat="1" applyFont="1" applyFill="1" applyBorder="1" applyProtection="1">
      <protection locked="0"/>
    </xf>
    <xf numFmtId="0" fontId="5" fillId="26" borderId="322" xfId="0" applyFont="1" applyFill="1" applyBorder="1" applyProtection="1">
      <protection locked="0"/>
    </xf>
    <xf numFmtId="49" fontId="20" fillId="0" borderId="332" xfId="0" applyNumberFormat="1" applyFont="1" applyBorder="1" applyAlignment="1" applyProtection="1">
      <alignment wrapText="1"/>
      <protection locked="0"/>
    </xf>
    <xf numFmtId="49" fontId="20" fillId="0" borderId="332" xfId="0" applyNumberFormat="1" applyFont="1" applyBorder="1" applyAlignment="1" applyProtection="1">
      <alignment horizontal="center"/>
      <protection locked="0"/>
    </xf>
    <xf numFmtId="166" fontId="49" fillId="27" borderId="332" xfId="0" applyNumberFormat="1" applyFont="1" applyFill="1" applyBorder="1" applyProtection="1">
      <protection locked="0"/>
    </xf>
    <xf numFmtId="166" fontId="20" fillId="0" borderId="333" xfId="0" applyNumberFormat="1" applyFont="1" applyBorder="1" applyProtection="1">
      <protection locked="0"/>
    </xf>
    <xf numFmtId="0" fontId="5" fillId="44" borderId="334" xfId="0" applyFont="1" applyFill="1" applyBorder="1" applyProtection="1">
      <protection locked="0"/>
    </xf>
    <xf numFmtId="0" fontId="5" fillId="44" borderId="335" xfId="0" applyFont="1" applyFill="1" applyBorder="1" applyProtection="1">
      <protection locked="0"/>
    </xf>
    <xf numFmtId="0" fontId="5" fillId="26" borderId="335" xfId="0" applyFont="1" applyFill="1" applyBorder="1" applyAlignment="1" applyProtection="1">
      <alignment horizontal="center"/>
      <protection locked="0"/>
    </xf>
    <xf numFmtId="165" fontId="0" fillId="0" borderId="335" xfId="1" applyFont="1" applyBorder="1" applyProtection="1"/>
    <xf numFmtId="0" fontId="0" fillId="0" borderId="336" xfId="0" applyBorder="1" applyAlignment="1" applyProtection="1">
      <alignment horizontal="center"/>
    </xf>
    <xf numFmtId="0" fontId="5" fillId="26" borderId="335" xfId="0" applyFont="1" applyFill="1" applyBorder="1" applyProtection="1">
      <protection locked="0"/>
    </xf>
    <xf numFmtId="0" fontId="0" fillId="0" borderId="335" xfId="0" applyBorder="1" applyProtection="1"/>
    <xf numFmtId="0" fontId="6" fillId="0" borderId="335" xfId="0" applyFont="1" applyFill="1" applyBorder="1" applyAlignment="1" applyProtection="1">
      <alignment horizontal="center"/>
    </xf>
    <xf numFmtId="165" fontId="0" fillId="0" borderId="336" xfId="1" applyFont="1" applyBorder="1" applyProtection="1"/>
    <xf numFmtId="165" fontId="59" fillId="45" borderId="337" xfId="1" applyFont="1" applyFill="1" applyBorder="1" applyProtection="1">
      <protection locked="0"/>
    </xf>
    <xf numFmtId="165" fontId="59" fillId="45" borderId="338" xfId="1" applyFont="1" applyFill="1" applyBorder="1" applyProtection="1">
      <protection locked="0"/>
    </xf>
    <xf numFmtId="185" fontId="6" fillId="0" borderId="339" xfId="0" applyNumberFormat="1" applyFont="1" applyFill="1" applyBorder="1" applyProtection="1"/>
    <xf numFmtId="165" fontId="0" fillId="0" borderId="339" xfId="0" applyNumberFormat="1" applyBorder="1" applyProtection="1"/>
    <xf numFmtId="165" fontId="0" fillId="0" borderId="340" xfId="0" applyNumberFormat="1" applyBorder="1" applyProtection="1"/>
    <xf numFmtId="165" fontId="6" fillId="0" borderId="335" xfId="1" applyFont="1" applyFill="1" applyBorder="1" applyProtection="1"/>
    <xf numFmtId="165" fontId="6" fillId="0" borderId="335" xfId="1" applyFont="1" applyBorder="1" applyProtection="1"/>
    <xf numFmtId="165" fontId="6" fillId="24" borderId="335" xfId="1" applyFont="1" applyFill="1" applyBorder="1" applyProtection="1"/>
    <xf numFmtId="165" fontId="59" fillId="0" borderId="211" xfId="1" applyFont="1" applyFill="1" applyBorder="1" applyProtection="1">
      <protection locked="0"/>
    </xf>
    <xf numFmtId="193" fontId="59" fillId="45" borderId="208" xfId="1" applyNumberFormat="1" applyFont="1" applyFill="1" applyBorder="1" applyProtection="1">
      <protection locked="0"/>
    </xf>
    <xf numFmtId="193" fontId="59" fillId="45" borderId="133" xfId="1" applyNumberFormat="1" applyFont="1" applyFill="1" applyBorder="1" applyProtection="1">
      <protection locked="0"/>
    </xf>
    <xf numFmtId="193" fontId="59" fillId="45" borderId="135" xfId="1" applyNumberFormat="1" applyFont="1" applyFill="1" applyBorder="1" applyProtection="1">
      <protection locked="0"/>
    </xf>
    <xf numFmtId="12" fontId="18" fillId="6" borderId="41" xfId="0" applyNumberFormat="1" applyFont="1" applyFill="1" applyBorder="1" applyAlignment="1" applyProtection="1">
      <alignment horizontal="center" vertical="center"/>
      <protection locked="0"/>
    </xf>
    <xf numFmtId="170" fontId="20" fillId="0" borderId="19" xfId="1" applyNumberFormat="1" applyFont="1" applyBorder="1" applyAlignment="1">
      <alignment horizontal="right"/>
    </xf>
    <xf numFmtId="2" fontId="1" fillId="0" borderId="339" xfId="0" applyNumberFormat="1" applyFont="1" applyFill="1" applyBorder="1" applyProtection="1"/>
    <xf numFmtId="165" fontId="5" fillId="26" borderId="341" xfId="1" applyFont="1" applyFill="1" applyBorder="1" applyProtection="1">
      <protection locked="0"/>
    </xf>
    <xf numFmtId="165" fontId="51" fillId="29" borderId="137" xfId="1" applyFont="1" applyFill="1" applyBorder="1" applyProtection="1">
      <protection locked="0"/>
    </xf>
    <xf numFmtId="165" fontId="5" fillId="26" borderId="342" xfId="1" applyFont="1" applyFill="1" applyBorder="1" applyProtection="1">
      <protection locked="0"/>
    </xf>
    <xf numFmtId="165" fontId="51" fillId="29" borderId="343" xfId="1" applyFont="1" applyFill="1" applyBorder="1" applyProtection="1">
      <protection locked="0"/>
    </xf>
    <xf numFmtId="165" fontId="5" fillId="26" borderId="344" xfId="1" applyFont="1" applyFill="1" applyBorder="1" applyProtection="1">
      <protection locked="0"/>
    </xf>
    <xf numFmtId="165" fontId="51" fillId="29" borderId="345" xfId="1" applyFont="1" applyFill="1" applyBorder="1" applyProtection="1">
      <protection locked="0"/>
    </xf>
    <xf numFmtId="165" fontId="5" fillId="26" borderId="142" xfId="1" applyFont="1" applyFill="1" applyBorder="1" applyProtection="1">
      <protection locked="0"/>
    </xf>
    <xf numFmtId="165" fontId="51" fillId="29" borderId="143" xfId="1" applyFont="1" applyFill="1" applyBorder="1" applyProtection="1">
      <protection locked="0"/>
    </xf>
    <xf numFmtId="165" fontId="5" fillId="26" borderId="159" xfId="1" applyFont="1" applyFill="1" applyBorder="1" applyProtection="1">
      <protection locked="0"/>
    </xf>
    <xf numFmtId="165" fontId="5" fillId="26" borderId="160" xfId="1" applyFont="1" applyFill="1" applyBorder="1" applyProtection="1">
      <protection locked="0"/>
    </xf>
    <xf numFmtId="165" fontId="51" fillId="29" borderId="346" xfId="1" applyFont="1" applyFill="1" applyBorder="1" applyProtection="1">
      <protection locked="0"/>
    </xf>
    <xf numFmtId="165" fontId="5" fillId="26" borderId="347" xfId="1" applyFont="1" applyFill="1" applyBorder="1" applyProtection="1">
      <protection locked="0"/>
    </xf>
    <xf numFmtId="165" fontId="51" fillId="29" borderId="330" xfId="1" applyFont="1" applyFill="1" applyBorder="1" applyProtection="1">
      <protection locked="0"/>
    </xf>
    <xf numFmtId="165" fontId="5" fillId="26" borderId="217" xfId="1" applyFont="1" applyFill="1" applyBorder="1" applyProtection="1">
      <protection locked="0"/>
    </xf>
    <xf numFmtId="165" fontId="51" fillId="29" borderId="136" xfId="1" applyFont="1" applyFill="1" applyBorder="1" applyProtection="1">
      <protection locked="0"/>
    </xf>
    <xf numFmtId="165" fontId="51" fillId="29" borderId="342" xfId="1" applyFont="1" applyFill="1" applyBorder="1" applyProtection="1">
      <protection locked="0"/>
    </xf>
    <xf numFmtId="165" fontId="5" fillId="26" borderId="343" xfId="1" applyFont="1" applyFill="1" applyBorder="1" applyProtection="1">
      <protection locked="0"/>
    </xf>
    <xf numFmtId="165" fontId="51" fillId="29" borderId="344" xfId="1" applyFont="1" applyFill="1" applyBorder="1" applyProtection="1">
      <protection locked="0"/>
    </xf>
    <xf numFmtId="165" fontId="5" fillId="26" borderId="345" xfId="1" applyFont="1" applyFill="1" applyBorder="1" applyProtection="1">
      <protection locked="0"/>
    </xf>
    <xf numFmtId="165" fontId="4" fillId="0" borderId="137" xfId="1" applyFont="1" applyFill="1" applyBorder="1" applyProtection="1">
      <protection locked="0"/>
    </xf>
    <xf numFmtId="165" fontId="4" fillId="0" borderId="343" xfId="1" applyFont="1" applyFill="1" applyBorder="1" applyProtection="1">
      <protection locked="0"/>
    </xf>
    <xf numFmtId="165" fontId="5" fillId="26" borderId="143" xfId="1" applyFont="1" applyFill="1" applyBorder="1" applyProtection="1">
      <protection locked="0"/>
    </xf>
    <xf numFmtId="165" fontId="4" fillId="0" borderId="143" xfId="1" applyFont="1" applyFill="1" applyBorder="1" applyProtection="1">
      <protection locked="0"/>
    </xf>
    <xf numFmtId="165" fontId="4" fillId="0" borderId="345" xfId="1" applyFont="1" applyFill="1" applyBorder="1" applyProtection="1">
      <protection locked="0"/>
    </xf>
    <xf numFmtId="165" fontId="59" fillId="26" borderId="347" xfId="1" applyFont="1" applyFill="1" applyBorder="1" applyProtection="1">
      <protection locked="0"/>
    </xf>
    <xf numFmtId="165" fontId="59" fillId="26" borderId="217" xfId="1" applyFont="1" applyFill="1" applyBorder="1" applyProtection="1">
      <protection locked="0"/>
    </xf>
    <xf numFmtId="165" fontId="5" fillId="45" borderId="330" xfId="1" applyFont="1" applyFill="1" applyBorder="1" applyProtection="1">
      <protection locked="0"/>
    </xf>
    <xf numFmtId="165" fontId="5" fillId="26" borderId="348" xfId="1" applyFont="1" applyFill="1" applyBorder="1" applyProtection="1">
      <protection locked="0"/>
    </xf>
    <xf numFmtId="165" fontId="5" fillId="26" borderId="349" xfId="1" applyFont="1" applyFill="1" applyBorder="1" applyProtection="1">
      <protection locked="0"/>
    </xf>
    <xf numFmtId="165" fontId="5" fillId="26" borderId="330" xfId="1" applyFont="1" applyFill="1" applyBorder="1" applyProtection="1">
      <protection locked="0"/>
    </xf>
    <xf numFmtId="4" fontId="1" fillId="0" borderId="339" xfId="0" applyNumberFormat="1" applyFont="1" applyFill="1" applyBorder="1" applyProtection="1"/>
    <xf numFmtId="0" fontId="78" fillId="0" borderId="37" xfId="0" applyFont="1" applyFill="1" applyBorder="1" applyAlignment="1" applyProtection="1">
      <alignment horizontal="left" vertical="top" wrapText="1"/>
      <protection locked="0"/>
    </xf>
    <xf numFmtId="0" fontId="79" fillId="46" borderId="37" xfId="0" applyFont="1" applyFill="1" applyBorder="1" applyAlignment="1" applyProtection="1">
      <alignment horizontal="left" vertical="top" wrapText="1"/>
      <protection locked="0"/>
    </xf>
    <xf numFmtId="0" fontId="5" fillId="45" borderId="335" xfId="0" applyFont="1" applyFill="1" applyBorder="1" applyProtection="1">
      <protection locked="0"/>
    </xf>
    <xf numFmtId="185" fontId="1" fillId="0" borderId="339" xfId="0" applyNumberFormat="1" applyFont="1" applyFill="1" applyBorder="1" applyProtection="1"/>
    <xf numFmtId="165" fontId="5" fillId="0" borderId="346" xfId="1" applyFont="1" applyFill="1" applyBorder="1" applyProtection="1">
      <protection locked="0"/>
    </xf>
    <xf numFmtId="165" fontId="59" fillId="0" borderId="331" xfId="1" applyFont="1" applyFill="1" applyBorder="1" applyProtection="1">
      <protection locked="0"/>
    </xf>
    <xf numFmtId="9" fontId="59" fillId="45" borderId="338" xfId="1" applyNumberFormat="1" applyFont="1" applyFill="1" applyBorder="1" applyProtection="1">
      <protection locked="0"/>
    </xf>
    <xf numFmtId="165" fontId="5" fillId="0" borderId="350" xfId="1" applyFont="1" applyFill="1" applyBorder="1" applyProtection="1">
      <protection locked="0"/>
    </xf>
    <xf numFmtId="165" fontId="1" fillId="0" borderId="338" xfId="1" applyNumberFormat="1" applyFont="1" applyFill="1" applyBorder="1" applyProtection="1">
      <protection locked="0"/>
    </xf>
    <xf numFmtId="165" fontId="6" fillId="45" borderId="117" xfId="1" applyNumberFormat="1" applyFont="1" applyFill="1" applyBorder="1" applyProtection="1">
      <protection locked="0"/>
    </xf>
    <xf numFmtId="185" fontId="6" fillId="31" borderId="109" xfId="0" applyNumberFormat="1" applyFont="1" applyFill="1" applyBorder="1" applyProtection="1"/>
    <xf numFmtId="4" fontId="20" fillId="0" borderId="81" xfId="0" applyNumberFormat="1" applyFont="1" applyFill="1" applyBorder="1" applyAlignment="1">
      <alignment horizontal="center" vertical="center" wrapText="1"/>
    </xf>
    <xf numFmtId="4" fontId="20" fillId="0" borderId="0" xfId="0" applyNumberFormat="1" applyFont="1" applyFill="1" applyBorder="1" applyAlignment="1">
      <alignment horizontal="center" vertical="center" wrapText="1"/>
    </xf>
    <xf numFmtId="49" fontId="22" fillId="0" borderId="18" xfId="0" applyNumberFormat="1" applyFont="1" applyFill="1" applyBorder="1" applyProtection="1">
      <protection locked="0"/>
    </xf>
    <xf numFmtId="49" fontId="22" fillId="0" borderId="19" xfId="0" applyNumberFormat="1" applyFont="1" applyBorder="1" applyAlignment="1" applyProtection="1">
      <alignment wrapText="1"/>
      <protection locked="0"/>
    </xf>
    <xf numFmtId="49" fontId="22" fillId="0" borderId="19" xfId="0" applyNumberFormat="1" applyFont="1" applyBorder="1" applyAlignment="1" applyProtection="1">
      <alignment horizontal="center"/>
      <protection locked="0"/>
    </xf>
    <xf numFmtId="190" fontId="101" fillId="27" borderId="19" xfId="0" applyNumberFormat="1" applyFont="1" applyFill="1" applyBorder="1" applyProtection="1">
      <protection locked="0"/>
    </xf>
    <xf numFmtId="49" fontId="22" fillId="0" borderId="19" xfId="0" applyNumberFormat="1" applyFont="1" applyFill="1" applyBorder="1" applyAlignment="1" applyProtection="1">
      <alignment wrapText="1"/>
      <protection locked="0"/>
    </xf>
    <xf numFmtId="165" fontId="22" fillId="0" borderId="19" xfId="1" applyNumberFormat="1" applyFont="1" applyFill="1" applyBorder="1" applyProtection="1">
      <protection locked="0"/>
    </xf>
    <xf numFmtId="49" fontId="22" fillId="0" borderId="207" xfId="0" applyNumberFormat="1" applyFont="1" applyFill="1" applyBorder="1" applyProtection="1">
      <protection locked="0"/>
    </xf>
    <xf numFmtId="49" fontId="22" fillId="0" borderId="306" xfId="0" applyNumberFormat="1" applyFont="1" applyBorder="1" applyProtection="1">
      <protection locked="0"/>
    </xf>
    <xf numFmtId="49" fontId="22" fillId="0" borderId="305" xfId="0" applyNumberFormat="1" applyFont="1" applyBorder="1" applyAlignment="1" applyProtection="1">
      <alignment wrapText="1"/>
      <protection locked="0"/>
    </xf>
    <xf numFmtId="49" fontId="22" fillId="0" borderId="305" xfId="0" applyNumberFormat="1" applyFont="1" applyBorder="1" applyAlignment="1" applyProtection="1">
      <alignment horizontal="center"/>
      <protection locked="0"/>
    </xf>
    <xf numFmtId="166" fontId="101" fillId="27" borderId="305" xfId="0" applyNumberFormat="1" applyFont="1" applyFill="1" applyBorder="1" applyProtection="1">
      <protection locked="0"/>
    </xf>
    <xf numFmtId="165" fontId="59" fillId="45" borderId="352" xfId="1" applyFont="1" applyFill="1" applyBorder="1" applyProtection="1">
      <protection locked="0"/>
    </xf>
    <xf numFmtId="165" fontId="59" fillId="45" borderId="354" xfId="1" applyFont="1" applyFill="1" applyBorder="1" applyProtection="1">
      <protection locked="0"/>
    </xf>
    <xf numFmtId="165" fontId="5" fillId="0" borderId="353" xfId="1" applyFont="1" applyFill="1" applyBorder="1" applyProtection="1">
      <protection locked="0"/>
    </xf>
    <xf numFmtId="165" fontId="5" fillId="0" borderId="351" xfId="1" applyFont="1" applyFill="1" applyBorder="1" applyProtection="1">
      <protection locked="0"/>
    </xf>
    <xf numFmtId="0" fontId="102" fillId="0" borderId="0" xfId="0" applyFont="1" applyAlignment="1"/>
    <xf numFmtId="0" fontId="62" fillId="0" borderId="0" xfId="0" applyFont="1" applyAlignment="1">
      <alignment horizontal="right"/>
    </xf>
    <xf numFmtId="0" fontId="102" fillId="0" borderId="0" xfId="0" applyFont="1" applyAlignment="1">
      <alignment horizontal="right"/>
    </xf>
    <xf numFmtId="0" fontId="102" fillId="0" borderId="0" xfId="0" applyFont="1"/>
    <xf numFmtId="0" fontId="103" fillId="0" borderId="0" xfId="0" applyFont="1" applyAlignment="1">
      <alignment horizontal="right"/>
    </xf>
    <xf numFmtId="0" fontId="103" fillId="0" borderId="0" xfId="0" applyFont="1"/>
    <xf numFmtId="14" fontId="103" fillId="0" borderId="0" xfId="0" applyNumberFormat="1" applyFont="1" applyAlignment="1">
      <alignment horizontal="left"/>
    </xf>
    <xf numFmtId="0" fontId="61" fillId="0" borderId="90" xfId="0" applyFont="1" applyBorder="1"/>
    <xf numFmtId="0" fontId="61" fillId="0" borderId="355" xfId="0" applyFont="1" applyBorder="1"/>
    <xf numFmtId="0" fontId="61" fillId="0" borderId="43" xfId="0" applyFont="1" applyBorder="1"/>
    <xf numFmtId="0" fontId="60" fillId="0" borderId="105" xfId="0" applyFont="1" applyBorder="1" applyAlignment="1">
      <alignment horizontal="center" vertical="center" wrapText="1"/>
    </xf>
    <xf numFmtId="0" fontId="60" fillId="0" borderId="102" xfId="0" applyFont="1" applyBorder="1" applyAlignment="1">
      <alignment horizontal="center" vertical="center" wrapText="1"/>
    </xf>
    <xf numFmtId="10" fontId="60" fillId="0" borderId="119" xfId="4" applyNumberFormat="1" applyFont="1" applyBorder="1" applyAlignment="1">
      <alignment horizontal="right" vertical="center" wrapText="1"/>
    </xf>
    <xf numFmtId="4" fontId="60" fillId="54" borderId="4" xfId="0" applyNumberFormat="1" applyFont="1" applyFill="1" applyBorder="1" applyAlignment="1" applyProtection="1">
      <alignment horizontal="right" wrapText="1"/>
      <protection locked="0"/>
    </xf>
    <xf numFmtId="4" fontId="60" fillId="54" borderId="5" xfId="0" applyNumberFormat="1" applyFont="1" applyFill="1" applyBorder="1" applyAlignment="1" applyProtection="1">
      <alignment horizontal="right" wrapText="1"/>
      <protection locked="0"/>
    </xf>
    <xf numFmtId="10" fontId="61" fillId="0" borderId="91" xfId="4" applyNumberFormat="1" applyFont="1" applyBorder="1" applyAlignment="1">
      <alignment horizontal="center"/>
    </xf>
    <xf numFmtId="10" fontId="61" fillId="0" borderId="93" xfId="4" applyNumberFormat="1" applyFont="1" applyBorder="1" applyAlignment="1">
      <alignment horizontal="center"/>
    </xf>
    <xf numFmtId="0" fontId="61" fillId="0" borderId="0" xfId="0" quotePrefix="1" applyFont="1"/>
    <xf numFmtId="168" fontId="61" fillId="0" borderId="105" xfId="0" applyNumberFormat="1" applyFont="1" applyFill="1" applyBorder="1" applyAlignment="1" applyProtection="1">
      <alignment horizontal="right"/>
      <protection locked="0"/>
    </xf>
    <xf numFmtId="0" fontId="60" fillId="0" borderId="102" xfId="0" applyFont="1" applyFill="1" applyBorder="1" applyAlignment="1" applyProtection="1">
      <alignment horizontal="left" wrapText="1"/>
      <protection locked="0"/>
    </xf>
    <xf numFmtId="0" fontId="61" fillId="0" borderId="102" xfId="0" applyFont="1" applyFill="1" applyBorder="1" applyAlignment="1" applyProtection="1">
      <alignment horizontal="center" wrapText="1"/>
      <protection locked="0"/>
    </xf>
    <xf numFmtId="10" fontId="61" fillId="0" borderId="119" xfId="4" applyNumberFormat="1" applyFont="1" applyBorder="1" applyAlignment="1">
      <alignment horizontal="right"/>
    </xf>
    <xf numFmtId="4" fontId="60" fillId="0" borderId="11" xfId="0" applyNumberFormat="1" applyFont="1" applyFill="1" applyBorder="1" applyAlignment="1" applyProtection="1">
      <alignment horizontal="right" wrapText="1"/>
      <protection locked="0"/>
    </xf>
    <xf numFmtId="4" fontId="60" fillId="0" borderId="0" xfId="0" applyNumberFormat="1" applyFont="1" applyFill="1" applyBorder="1" applyAlignment="1" applyProtection="1">
      <alignment horizontal="right" wrapText="1"/>
      <protection locked="0"/>
    </xf>
    <xf numFmtId="10" fontId="61" fillId="0" borderId="105" xfId="4" applyNumberFormat="1" applyFont="1" applyBorder="1" applyAlignment="1">
      <alignment horizontal="center"/>
    </xf>
    <xf numFmtId="10" fontId="61" fillId="0" borderId="102" xfId="4" applyNumberFormat="1" applyFont="1" applyBorder="1" applyAlignment="1">
      <alignment horizontal="center"/>
    </xf>
    <xf numFmtId="4" fontId="60" fillId="0" borderId="356" xfId="0" applyNumberFormat="1" applyFont="1" applyFill="1" applyBorder="1" applyAlignment="1" applyProtection="1">
      <alignment horizontal="right" wrapText="1"/>
      <protection locked="0"/>
    </xf>
    <xf numFmtId="4" fontId="60" fillId="0" borderId="89" xfId="0" applyNumberFormat="1" applyFont="1" applyFill="1" applyBorder="1" applyAlignment="1" applyProtection="1">
      <alignment horizontal="right" wrapText="1"/>
      <protection locked="0"/>
    </xf>
    <xf numFmtId="0" fontId="61" fillId="0" borderId="357" xfId="0" applyFont="1" applyBorder="1"/>
    <xf numFmtId="10" fontId="61" fillId="0" borderId="184" xfId="4" applyNumberFormat="1" applyFont="1" applyBorder="1" applyAlignment="1">
      <alignment horizontal="center"/>
    </xf>
    <xf numFmtId="10" fontId="61" fillId="0" borderId="185" xfId="4" applyNumberFormat="1" applyFont="1" applyBorder="1" applyAlignment="1">
      <alignment horizontal="center"/>
    </xf>
    <xf numFmtId="4" fontId="60" fillId="54" borderId="85" xfId="0" applyNumberFormat="1" applyFont="1" applyFill="1" applyBorder="1" applyAlignment="1" applyProtection="1">
      <alignment horizontal="right" wrapText="1"/>
      <protection locked="0"/>
    </xf>
    <xf numFmtId="4" fontId="60" fillId="54" borderId="63" xfId="0" applyNumberFormat="1" applyFont="1" applyFill="1" applyBorder="1" applyAlignment="1" applyProtection="1">
      <alignment horizontal="right" wrapText="1"/>
      <protection locked="0"/>
    </xf>
    <xf numFmtId="0" fontId="61" fillId="0" borderId="79" xfId="0" applyFont="1" applyBorder="1"/>
    <xf numFmtId="168" fontId="61" fillId="0" borderId="59" xfId="0" applyNumberFormat="1" applyFont="1" applyFill="1" applyBorder="1" applyAlignment="1" applyProtection="1">
      <alignment horizontal="right"/>
      <protection locked="0"/>
    </xf>
    <xf numFmtId="0" fontId="60" fillId="0" borderId="60" xfId="0" applyFont="1" applyFill="1" applyBorder="1" applyAlignment="1" applyProtection="1">
      <alignment horizontal="left" wrapText="1"/>
      <protection locked="0"/>
    </xf>
    <xf numFmtId="0" fontId="61" fillId="0" borderId="60" xfId="0" applyFont="1" applyFill="1" applyBorder="1" applyAlignment="1" applyProtection="1">
      <alignment horizontal="center" wrapText="1"/>
      <protection locked="0"/>
    </xf>
    <xf numFmtId="10" fontId="61" fillId="0" borderId="60" xfId="4" applyNumberFormat="1" applyFont="1" applyFill="1" applyBorder="1" applyAlignment="1" applyProtection="1">
      <alignment horizontal="right" wrapText="1"/>
      <protection locked="0"/>
    </xf>
    <xf numFmtId="4" fontId="60" fillId="0" borderId="85" xfId="0" applyNumberFormat="1" applyFont="1" applyFill="1" applyBorder="1" applyAlignment="1" applyProtection="1">
      <alignment horizontal="right" wrapText="1"/>
      <protection locked="0"/>
    </xf>
    <xf numFmtId="4" fontId="60" fillId="0" borderId="63" xfId="0" applyNumberFormat="1" applyFont="1" applyFill="1" applyBorder="1" applyAlignment="1" applyProtection="1">
      <alignment horizontal="right" wrapText="1"/>
      <protection locked="0"/>
    </xf>
    <xf numFmtId="0" fontId="61" fillId="0" borderId="63" xfId="0" applyFont="1" applyBorder="1"/>
    <xf numFmtId="10" fontId="61" fillId="0" borderId="59" xfId="4" applyNumberFormat="1" applyFont="1" applyBorder="1" applyAlignment="1">
      <alignment horizontal="center"/>
    </xf>
    <xf numFmtId="10" fontId="61" fillId="0" borderId="60" xfId="4" applyNumberFormat="1" applyFont="1" applyBorder="1" applyAlignment="1">
      <alignment horizontal="center"/>
    </xf>
    <xf numFmtId="10" fontId="61" fillId="0" borderId="102" xfId="4" applyNumberFormat="1" applyFont="1" applyFill="1" applyBorder="1" applyAlignment="1" applyProtection="1">
      <alignment horizontal="right" wrapText="1"/>
      <protection locked="0"/>
    </xf>
    <xf numFmtId="168" fontId="61" fillId="0" borderId="92" xfId="0" applyNumberFormat="1" applyFont="1" applyFill="1" applyBorder="1" applyAlignment="1" applyProtection="1">
      <alignment horizontal="right"/>
      <protection locked="0"/>
    </xf>
    <xf numFmtId="0" fontId="60" fillId="0" borderId="52" xfId="0" applyFont="1" applyFill="1" applyBorder="1" applyAlignment="1" applyProtection="1">
      <alignment horizontal="left" wrapText="1"/>
      <protection locked="0"/>
    </xf>
    <xf numFmtId="0" fontId="61" fillId="0" borderId="52" xfId="0" applyFont="1" applyFill="1" applyBorder="1" applyAlignment="1" applyProtection="1">
      <alignment horizontal="center" wrapText="1"/>
      <protection locked="0"/>
    </xf>
    <xf numFmtId="10" fontId="61" fillId="0" borderId="52" xfId="4" applyNumberFormat="1" applyFont="1" applyFill="1" applyBorder="1" applyAlignment="1" applyProtection="1">
      <alignment horizontal="right" wrapText="1"/>
      <protection locked="0"/>
    </xf>
    <xf numFmtId="4" fontId="60" fillId="0" borderId="6" xfId="0" applyNumberFormat="1" applyFont="1" applyFill="1" applyBorder="1" applyAlignment="1" applyProtection="1">
      <alignment horizontal="right" wrapText="1"/>
      <protection locked="0"/>
    </xf>
    <xf numFmtId="4" fontId="60" fillId="0" borderId="7" xfId="0" applyNumberFormat="1" applyFont="1" applyFill="1" applyBorder="1" applyAlignment="1" applyProtection="1">
      <alignment horizontal="right" wrapText="1"/>
      <protection locked="0"/>
    </xf>
    <xf numFmtId="10" fontId="61" fillId="0" borderId="92" xfId="4" applyNumberFormat="1" applyFont="1" applyBorder="1" applyAlignment="1">
      <alignment horizontal="center"/>
    </xf>
    <xf numFmtId="10" fontId="61" fillId="0" borderId="52" xfId="4" applyNumberFormat="1" applyFont="1" applyBorder="1" applyAlignment="1">
      <alignment horizontal="center"/>
    </xf>
    <xf numFmtId="190" fontId="101" fillId="27" borderId="305" xfId="0" applyNumberFormat="1" applyFont="1" applyFill="1" applyBorder="1" applyProtection="1">
      <protection locked="0"/>
    </xf>
    <xf numFmtId="49" fontId="22" fillId="0" borderId="282" xfId="0" applyNumberFormat="1" applyFont="1" applyBorder="1" applyAlignment="1" applyProtection="1">
      <alignment wrapText="1"/>
      <protection locked="0"/>
    </xf>
    <xf numFmtId="49" fontId="22" fillId="0" borderId="282" xfId="0" applyNumberFormat="1" applyFont="1" applyBorder="1" applyAlignment="1" applyProtection="1">
      <alignment horizontal="center"/>
      <protection locked="0"/>
    </xf>
    <xf numFmtId="190" fontId="101" fillId="27" borderId="282" xfId="0" applyNumberFormat="1" applyFont="1" applyFill="1" applyBorder="1" applyProtection="1">
      <protection locked="0"/>
    </xf>
    <xf numFmtId="166" fontId="20" fillId="0" borderId="359" xfId="0" applyNumberFormat="1" applyFont="1" applyBorder="1" applyProtection="1">
      <protection locked="0"/>
    </xf>
    <xf numFmtId="49" fontId="22" fillId="0" borderId="358" xfId="0" applyNumberFormat="1" applyFont="1" applyBorder="1" applyAlignment="1" applyProtection="1">
      <alignment wrapText="1"/>
      <protection locked="0"/>
    </xf>
    <xf numFmtId="49" fontId="22" fillId="0" borderId="358" xfId="0" applyNumberFormat="1" applyFont="1" applyBorder="1" applyAlignment="1" applyProtection="1">
      <alignment horizontal="center"/>
      <protection locked="0"/>
    </xf>
    <xf numFmtId="190" fontId="101" fillId="27" borderId="358" xfId="0" applyNumberFormat="1" applyFont="1" applyFill="1" applyBorder="1" applyProtection="1">
      <protection locked="0"/>
    </xf>
    <xf numFmtId="10" fontId="20" fillId="0" borderId="0" xfId="4" applyNumberFormat="1" applyFont="1"/>
    <xf numFmtId="10" fontId="22" fillId="0" borderId="0" xfId="4" applyNumberFormat="1" applyFont="1"/>
    <xf numFmtId="49" fontId="22" fillId="0" borderId="19" xfId="0" applyNumberFormat="1" applyFont="1" applyFill="1" applyBorder="1" applyAlignment="1" applyProtection="1">
      <alignment horizontal="center"/>
      <protection locked="0"/>
    </xf>
    <xf numFmtId="166" fontId="101" fillId="27" borderId="19" xfId="0" applyNumberFormat="1" applyFont="1" applyFill="1" applyBorder="1" applyProtection="1">
      <protection locked="0"/>
    </xf>
    <xf numFmtId="49" fontId="22" fillId="0" borderId="169" xfId="0" applyNumberFormat="1" applyFont="1" applyBorder="1" applyAlignment="1" applyProtection="1">
      <alignment wrapText="1"/>
      <protection locked="0"/>
    </xf>
    <xf numFmtId="49" fontId="22" fillId="0" borderId="169" xfId="0" applyNumberFormat="1" applyFont="1" applyBorder="1" applyAlignment="1" applyProtection="1">
      <alignment horizontal="center"/>
      <protection locked="0"/>
    </xf>
    <xf numFmtId="49" fontId="105" fillId="0" borderId="18" xfId="0" applyNumberFormat="1" applyFont="1" applyFill="1" applyBorder="1" applyProtection="1">
      <protection locked="0"/>
    </xf>
    <xf numFmtId="49" fontId="105" fillId="0" borderId="19" xfId="0" applyNumberFormat="1" applyFont="1" applyBorder="1" applyAlignment="1" applyProtection="1">
      <alignment wrapText="1"/>
      <protection locked="0"/>
    </xf>
    <xf numFmtId="165" fontId="5" fillId="45" borderId="360" xfId="1" applyFont="1" applyFill="1" applyBorder="1" applyProtection="1">
      <protection locked="0"/>
    </xf>
    <xf numFmtId="165" fontId="59" fillId="45" borderId="361" xfId="1" applyFont="1" applyFill="1" applyBorder="1" applyProtection="1">
      <protection locked="0"/>
    </xf>
    <xf numFmtId="165" fontId="5" fillId="45" borderId="362" xfId="1" applyFont="1" applyFill="1" applyBorder="1" applyProtection="1">
      <protection locked="0"/>
    </xf>
    <xf numFmtId="165" fontId="59" fillId="45" borderId="363" xfId="1" applyFont="1" applyFill="1" applyBorder="1" applyProtection="1">
      <protection locked="0"/>
    </xf>
    <xf numFmtId="165" fontId="5" fillId="45" borderId="364" xfId="1" applyFont="1" applyFill="1" applyBorder="1" applyProtection="1">
      <protection locked="0"/>
    </xf>
    <xf numFmtId="165" fontId="59" fillId="45" borderId="365" xfId="1" applyFont="1" applyFill="1" applyBorder="1" applyProtection="1">
      <protection locked="0"/>
    </xf>
    <xf numFmtId="165" fontId="5" fillId="45" borderId="337" xfId="1" applyNumberFormat="1" applyFont="1" applyFill="1" applyBorder="1" applyProtection="1">
      <protection locked="0"/>
    </xf>
    <xf numFmtId="4" fontId="5" fillId="45" borderId="354" xfId="1" applyNumberFormat="1" applyFont="1" applyFill="1" applyBorder="1" applyProtection="1">
      <protection locked="0"/>
    </xf>
    <xf numFmtId="165" fontId="5" fillId="45" borderId="328" xfId="1" applyNumberFormat="1" applyFont="1" applyFill="1" applyBorder="1" applyProtection="1">
      <protection locked="0"/>
    </xf>
    <xf numFmtId="4" fontId="5" fillId="45" borderId="329" xfId="1" applyNumberFormat="1" applyFont="1" applyFill="1" applyBorder="1" applyProtection="1">
      <protection locked="0"/>
    </xf>
    <xf numFmtId="179" fontId="60" fillId="0" borderId="0" xfId="0" applyNumberFormat="1" applyFont="1"/>
    <xf numFmtId="165" fontId="60" fillId="0" borderId="0" xfId="1" applyFont="1"/>
    <xf numFmtId="179" fontId="60" fillId="0" borderId="37" xfId="0" applyNumberFormat="1" applyFont="1" applyBorder="1" applyAlignment="1" applyProtection="1">
      <alignment horizontal="center" vertical="top"/>
      <protection locked="0"/>
    </xf>
    <xf numFmtId="165" fontId="5" fillId="45" borderId="366" xfId="1" applyFont="1" applyFill="1" applyBorder="1" applyProtection="1">
      <protection locked="0"/>
    </xf>
    <xf numFmtId="165" fontId="5" fillId="45" borderId="220" xfId="1" applyNumberFormat="1" applyFont="1" applyFill="1" applyBorder="1" applyProtection="1">
      <protection locked="0"/>
    </xf>
    <xf numFmtId="4" fontId="5" fillId="45" borderId="221" xfId="1" applyNumberFormat="1" applyFont="1" applyFill="1" applyBorder="1" applyProtection="1">
      <protection locked="0"/>
    </xf>
    <xf numFmtId="165" fontId="5" fillId="45" borderId="222" xfId="1" applyNumberFormat="1" applyFont="1" applyFill="1" applyBorder="1" applyProtection="1">
      <protection locked="0"/>
    </xf>
    <xf numFmtId="4" fontId="5" fillId="45" borderId="223" xfId="1" applyNumberFormat="1" applyFont="1" applyFill="1" applyBorder="1" applyProtection="1">
      <protection locked="0"/>
    </xf>
    <xf numFmtId="165" fontId="5" fillId="45" borderId="367" xfId="1" applyNumberFormat="1" applyFont="1" applyFill="1" applyBorder="1" applyProtection="1">
      <protection locked="0"/>
    </xf>
    <xf numFmtId="165" fontId="5" fillId="45" borderId="368" xfId="1" applyNumberFormat="1" applyFont="1" applyFill="1" applyBorder="1" applyProtection="1">
      <protection locked="0"/>
    </xf>
    <xf numFmtId="4" fontId="5" fillId="45" borderId="369" xfId="1" applyNumberFormat="1" applyFont="1" applyFill="1" applyBorder="1" applyProtection="1">
      <protection locked="0"/>
    </xf>
    <xf numFmtId="165" fontId="59" fillId="45" borderId="369" xfId="1" applyFont="1" applyFill="1" applyBorder="1" applyProtection="1">
      <protection locked="0"/>
    </xf>
    <xf numFmtId="165" fontId="5" fillId="26" borderId="259" xfId="1" applyFont="1" applyFill="1" applyBorder="1" applyProtection="1">
      <protection locked="0"/>
    </xf>
    <xf numFmtId="165" fontId="5" fillId="26" borderId="271" xfId="1" applyFont="1" applyFill="1" applyBorder="1" applyProtection="1">
      <protection locked="0"/>
    </xf>
    <xf numFmtId="165" fontId="5" fillId="26" borderId="368" xfId="1" applyFont="1" applyFill="1" applyBorder="1" applyProtection="1">
      <protection locked="0"/>
    </xf>
    <xf numFmtId="165" fontId="5" fillId="26" borderId="369" xfId="1" applyFont="1" applyFill="1" applyBorder="1" applyProtection="1">
      <protection locked="0"/>
    </xf>
    <xf numFmtId="165" fontId="5" fillId="26" borderId="328" xfId="1" applyFont="1" applyFill="1" applyBorder="1" applyProtection="1">
      <protection locked="0"/>
    </xf>
    <xf numFmtId="165" fontId="5" fillId="26" borderId="329" xfId="1" applyFont="1" applyFill="1" applyBorder="1" applyProtection="1">
      <protection locked="0"/>
    </xf>
    <xf numFmtId="165" fontId="5" fillId="55" borderId="368" xfId="1" applyNumberFormat="1" applyFont="1" applyFill="1" applyBorder="1" applyProtection="1">
      <protection locked="0"/>
    </xf>
    <xf numFmtId="178" fontId="29" fillId="36" borderId="0" xfId="1" applyNumberFormat="1" applyFont="1" applyFill="1" applyBorder="1" applyAlignment="1">
      <alignment horizontal="right"/>
    </xf>
    <xf numFmtId="165" fontId="5" fillId="45" borderId="370" xfId="1" applyNumberFormat="1" applyFont="1" applyFill="1" applyBorder="1" applyProtection="1">
      <protection locked="0"/>
    </xf>
    <xf numFmtId="4" fontId="5" fillId="45" borderId="371" xfId="1" applyNumberFormat="1" applyFont="1" applyFill="1" applyBorder="1" applyProtection="1">
      <protection locked="0"/>
    </xf>
    <xf numFmtId="43" fontId="60" fillId="0" borderId="0" xfId="0" applyNumberFormat="1" applyFont="1"/>
    <xf numFmtId="4" fontId="60" fillId="0" borderId="0" xfId="0" applyNumberFormat="1" applyFont="1" applyAlignment="1">
      <alignment horizontal="right"/>
    </xf>
    <xf numFmtId="9" fontId="60" fillId="0" borderId="0" xfId="4" applyFont="1"/>
    <xf numFmtId="190" fontId="20" fillId="0" borderId="34" xfId="0" applyNumberFormat="1" applyFont="1" applyFill="1" applyBorder="1" applyProtection="1">
      <protection locked="0"/>
    </xf>
    <xf numFmtId="190" fontId="20" fillId="0" borderId="19" xfId="0" applyNumberFormat="1" applyFont="1" applyFill="1" applyBorder="1" applyProtection="1">
      <protection locked="0"/>
    </xf>
    <xf numFmtId="190" fontId="20" fillId="0" borderId="194" xfId="0" applyNumberFormat="1" applyFont="1" applyFill="1" applyBorder="1" applyProtection="1">
      <protection locked="0"/>
    </xf>
    <xf numFmtId="190" fontId="49" fillId="56" borderId="19" xfId="0" applyNumberFormat="1" applyFont="1" applyFill="1" applyBorder="1" applyProtection="1">
      <protection locked="0"/>
    </xf>
    <xf numFmtId="190" fontId="101" fillId="56" borderId="19" xfId="0" applyNumberFormat="1" applyFont="1" applyFill="1" applyBorder="1" applyProtection="1">
      <protection locked="0"/>
    </xf>
    <xf numFmtId="0" fontId="106" fillId="57" borderId="42" xfId="0" applyFont="1" applyFill="1" applyBorder="1" applyAlignment="1">
      <alignment horizontal="center" vertical="center" wrapText="1"/>
    </xf>
    <xf numFmtId="0" fontId="106" fillId="57" borderId="14" xfId="0" applyFont="1" applyFill="1" applyBorder="1" applyAlignment="1">
      <alignment horizontal="center" vertical="center"/>
    </xf>
    <xf numFmtId="0" fontId="107" fillId="57" borderId="14" xfId="0" applyFont="1" applyFill="1" applyBorder="1" applyAlignment="1">
      <alignment horizontal="center" vertical="center"/>
    </xf>
    <xf numFmtId="0" fontId="106" fillId="57" borderId="14" xfId="0" applyFont="1" applyFill="1" applyBorder="1" applyAlignment="1">
      <alignment horizontal="center" vertical="center" wrapText="1"/>
    </xf>
    <xf numFmtId="0" fontId="106" fillId="0" borderId="43" xfId="0" applyFont="1" applyBorder="1" applyAlignment="1">
      <alignment vertical="center" wrapText="1"/>
    </xf>
    <xf numFmtId="0" fontId="106" fillId="0" borderId="9" xfId="0" applyFont="1" applyBorder="1" applyAlignment="1">
      <alignment horizontal="center" vertical="center"/>
    </xf>
    <xf numFmtId="0" fontId="107" fillId="0" borderId="9" xfId="0" applyFont="1" applyBorder="1" applyAlignment="1">
      <alignment horizontal="right" vertical="center"/>
    </xf>
    <xf numFmtId="0" fontId="106" fillId="0" borderId="9" xfId="0" applyFont="1" applyBorder="1" applyAlignment="1">
      <alignment vertical="center" wrapText="1"/>
    </xf>
    <xf numFmtId="0" fontId="5" fillId="56" borderId="77" xfId="0" applyFont="1" applyFill="1" applyBorder="1" applyProtection="1">
      <protection locked="0"/>
    </xf>
    <xf numFmtId="0" fontId="5" fillId="56" borderId="76" xfId="0" applyFont="1" applyFill="1" applyBorder="1" applyProtection="1">
      <protection locked="0"/>
    </xf>
    <xf numFmtId="0" fontId="5" fillId="56" borderId="76" xfId="0" applyFont="1" applyFill="1" applyBorder="1" applyAlignment="1" applyProtection="1">
      <alignment horizontal="center"/>
      <protection locked="0"/>
    </xf>
    <xf numFmtId="0" fontId="5" fillId="56" borderId="297" xfId="0" applyFont="1" applyFill="1" applyBorder="1" applyProtection="1">
      <protection locked="0"/>
    </xf>
    <xf numFmtId="170" fontId="78" fillId="46" borderId="39" xfId="1" quotePrefix="1" applyNumberFormat="1" applyFont="1" applyFill="1" applyBorder="1" applyAlignment="1" applyProtection="1">
      <alignment horizontal="center"/>
      <protection locked="0"/>
    </xf>
    <xf numFmtId="170" fontId="78" fillId="0" borderId="39" xfId="1" applyNumberFormat="1" applyFont="1" applyFill="1" applyBorder="1" applyAlignment="1" applyProtection="1">
      <alignment horizontal="center" vertical="top"/>
      <protection locked="0"/>
    </xf>
    <xf numFmtId="0" fontId="60" fillId="0" borderId="1" xfId="0" quotePrefix="1" applyNumberFormat="1" applyFont="1" applyFill="1" applyBorder="1" applyAlignment="1" applyProtection="1">
      <alignment horizontal="center" vertical="center"/>
      <protection locked="0"/>
    </xf>
    <xf numFmtId="0" fontId="79" fillId="46" borderId="1" xfId="0" applyNumberFormat="1" applyFont="1" applyFill="1" applyBorder="1" applyAlignment="1" applyProtection="1">
      <alignment horizontal="center" vertical="center"/>
      <protection locked="0"/>
    </xf>
    <xf numFmtId="0" fontId="81" fillId="0" borderId="1" xfId="0" applyNumberFormat="1" applyFont="1" applyFill="1" applyBorder="1" applyAlignment="1" applyProtection="1">
      <alignment horizontal="center" vertical="center"/>
      <protection locked="0"/>
    </xf>
    <xf numFmtId="165" fontId="6" fillId="0" borderId="372" xfId="1" applyFont="1" applyFill="1" applyBorder="1" applyProtection="1">
      <protection locked="0"/>
    </xf>
    <xf numFmtId="165" fontId="6" fillId="0" borderId="373" xfId="1" applyFont="1" applyFill="1" applyBorder="1" applyProtection="1">
      <protection locked="0"/>
    </xf>
    <xf numFmtId="165" fontId="5" fillId="0" borderId="374" xfId="1" applyFont="1" applyFill="1" applyBorder="1" applyProtection="1">
      <protection locked="0"/>
    </xf>
    <xf numFmtId="165" fontId="59" fillId="45" borderId="375" xfId="1" applyFont="1" applyFill="1" applyBorder="1" applyProtection="1">
      <protection locked="0"/>
    </xf>
    <xf numFmtId="165" fontId="59" fillId="45" borderId="201" xfId="1" applyFont="1" applyFill="1" applyBorder="1" applyProtection="1">
      <protection locked="0"/>
    </xf>
    <xf numFmtId="49" fontId="71" fillId="0" borderId="376" xfId="0" applyNumberFormat="1" applyFont="1" applyBorder="1" applyProtection="1">
      <protection locked="0"/>
    </xf>
    <xf numFmtId="49" fontId="71" fillId="0" borderId="358" xfId="0" applyNumberFormat="1" applyFont="1" applyBorder="1" applyAlignment="1" applyProtection="1">
      <alignment wrapText="1"/>
      <protection locked="0"/>
    </xf>
    <xf numFmtId="49" fontId="71" fillId="0" borderId="358" xfId="0" applyNumberFormat="1" applyFont="1" applyBorder="1" applyAlignment="1" applyProtection="1">
      <alignment horizontal="center"/>
      <protection locked="0"/>
    </xf>
    <xf numFmtId="190" fontId="108" fillId="0" borderId="358" xfId="0" applyNumberFormat="1" applyFont="1" applyBorder="1" applyProtection="1">
      <protection locked="0"/>
    </xf>
    <xf numFmtId="10" fontId="71" fillId="0" borderId="358" xfId="4" applyNumberFormat="1" applyFont="1" applyFill="1" applyBorder="1" applyAlignment="1" applyProtection="1">
      <alignment horizontal="right"/>
      <protection locked="0"/>
    </xf>
    <xf numFmtId="166" fontId="71" fillId="0" borderId="359" xfId="0" applyNumberFormat="1" applyFont="1" applyBorder="1" applyProtection="1">
      <protection locked="0"/>
    </xf>
    <xf numFmtId="190" fontId="109" fillId="27" borderId="358" xfId="0" applyNumberFormat="1" applyFont="1" applyFill="1" applyBorder="1" applyProtection="1">
      <protection locked="0"/>
    </xf>
    <xf numFmtId="44" fontId="20" fillId="0" borderId="0" xfId="0" applyNumberFormat="1" applyFont="1"/>
    <xf numFmtId="165" fontId="5" fillId="26" borderId="377" xfId="1" applyFont="1" applyFill="1" applyBorder="1" applyProtection="1">
      <protection locked="0"/>
    </xf>
    <xf numFmtId="165" fontId="5" fillId="26" borderId="378" xfId="1" applyFont="1" applyFill="1" applyBorder="1" applyProtection="1">
      <protection locked="0"/>
    </xf>
    <xf numFmtId="190" fontId="101" fillId="0" borderId="19" xfId="0" applyNumberFormat="1" applyFont="1" applyFill="1" applyBorder="1" applyProtection="1">
      <protection locked="0"/>
    </xf>
    <xf numFmtId="190" fontId="101" fillId="0" borderId="282" xfId="0" applyNumberFormat="1" applyFont="1" applyFill="1" applyBorder="1" applyProtection="1">
      <protection locked="0"/>
    </xf>
    <xf numFmtId="190" fontId="49" fillId="0" borderId="305" xfId="0" applyNumberFormat="1" applyFont="1" applyFill="1" applyBorder="1" applyProtection="1">
      <protection locked="0"/>
    </xf>
    <xf numFmtId="0" fontId="12" fillId="0" borderId="0" xfId="0" applyFont="1" applyFill="1" applyAlignment="1" applyProtection="1">
      <alignment horizontal="left" vertical="center" wrapText="1"/>
      <protection locked="0"/>
    </xf>
    <xf numFmtId="173" fontId="12" fillId="3" borderId="0" xfId="0" applyNumberFormat="1" applyFont="1" applyFill="1" applyAlignment="1" applyProtection="1">
      <alignment horizontal="center"/>
      <protection locked="0"/>
    </xf>
    <xf numFmtId="0" fontId="82" fillId="47" borderId="4" xfId="0" applyFont="1" applyFill="1" applyBorder="1" applyAlignment="1" applyProtection="1">
      <alignment horizontal="center" vertical="center"/>
    </xf>
    <xf numFmtId="0" fontId="82" fillId="47" borderId="5" xfId="0" applyFont="1" applyFill="1" applyBorder="1" applyAlignment="1" applyProtection="1">
      <alignment horizontal="center" vertical="center"/>
    </xf>
    <xf numFmtId="0" fontId="82" fillId="47" borderId="8" xfId="0" applyFont="1" applyFill="1" applyBorder="1" applyAlignment="1" applyProtection="1">
      <alignment horizontal="center" vertical="center"/>
    </xf>
    <xf numFmtId="0" fontId="82" fillId="47" borderId="6" xfId="0" applyFont="1" applyFill="1" applyBorder="1" applyAlignment="1" applyProtection="1">
      <alignment horizontal="center" vertical="center"/>
    </xf>
    <xf numFmtId="0" fontId="82" fillId="47" borderId="7" xfId="0" applyFont="1" applyFill="1" applyBorder="1" applyAlignment="1" applyProtection="1">
      <alignment horizontal="center" vertical="center"/>
    </xf>
    <xf numFmtId="0" fontId="82" fillId="47" borderId="9" xfId="0" applyFont="1" applyFill="1" applyBorder="1" applyAlignment="1" applyProtection="1">
      <alignment horizontal="center" vertical="center"/>
    </xf>
    <xf numFmtId="183" fontId="23" fillId="30" borderId="12" xfId="1" applyNumberFormat="1" applyFont="1" applyFill="1" applyBorder="1" applyAlignment="1">
      <alignment horizontal="center"/>
    </xf>
    <xf numFmtId="183" fontId="23" fillId="30" borderId="14" xfId="1" applyNumberFormat="1" applyFont="1" applyFill="1" applyBorder="1" applyAlignment="1">
      <alignment horizontal="center"/>
    </xf>
    <xf numFmtId="164" fontId="41" fillId="5" borderId="5" xfId="1" applyNumberFormat="1" applyFont="1" applyFill="1" applyBorder="1" applyAlignment="1">
      <alignment horizontal="center"/>
    </xf>
    <xf numFmtId="164" fontId="41" fillId="5" borderId="0" xfId="1" applyNumberFormat="1" applyFont="1" applyFill="1" applyBorder="1" applyAlignment="1">
      <alignment horizontal="center"/>
    </xf>
    <xf numFmtId="4" fontId="62" fillId="0" borderId="5" xfId="0" applyNumberFormat="1" applyFont="1" applyBorder="1" applyAlignment="1">
      <alignment horizontal="center" vertical="center" wrapText="1"/>
    </xf>
    <xf numFmtId="4" fontId="62" fillId="0" borderId="7" xfId="0" applyNumberFormat="1" applyFont="1" applyBorder="1" applyAlignment="1">
      <alignment horizontal="center" vertical="center" wrapText="1"/>
    </xf>
    <xf numFmtId="38" fontId="62" fillId="0" borderId="5" xfId="0" applyNumberFormat="1" applyFont="1" applyBorder="1" applyAlignment="1">
      <alignment horizontal="center" vertical="center" wrapText="1"/>
    </xf>
    <xf numFmtId="38" fontId="62" fillId="0" borderId="7" xfId="0" applyNumberFormat="1" applyFont="1" applyBorder="1" applyAlignment="1">
      <alignment horizontal="center" vertical="center" wrapText="1"/>
    </xf>
    <xf numFmtId="0" fontId="62" fillId="0" borderId="90" xfId="0" applyFont="1" applyBorder="1" applyAlignment="1">
      <alignment horizontal="center" vertical="center" wrapText="1"/>
    </xf>
    <xf numFmtId="0" fontId="62" fillId="0" borderId="43" xfId="0" applyFont="1" applyBorder="1" applyAlignment="1">
      <alignment horizontal="center" vertical="center" wrapText="1"/>
    </xf>
    <xf numFmtId="4" fontId="62" fillId="0" borderId="90" xfId="0" applyNumberFormat="1" applyFont="1" applyBorder="1" applyAlignment="1">
      <alignment horizontal="center" vertical="center" wrapText="1"/>
    </xf>
    <xf numFmtId="4" fontId="62" fillId="0" borderId="43" xfId="0" applyNumberFormat="1" applyFont="1" applyBorder="1" applyAlignment="1">
      <alignment horizontal="center" vertical="center" wrapText="1"/>
    </xf>
    <xf numFmtId="0" fontId="62" fillId="0" borderId="91" xfId="0" applyFont="1" applyBorder="1" applyAlignment="1">
      <alignment horizontal="center" vertical="center" wrapText="1"/>
    </xf>
    <xf numFmtId="0" fontId="62" fillId="0" borderId="92" xfId="0" applyFont="1" applyBorder="1" applyAlignment="1">
      <alignment horizontal="center" vertical="center" wrapText="1"/>
    </xf>
    <xf numFmtId="0" fontId="62" fillId="0" borderId="93" xfId="0" applyFont="1" applyBorder="1" applyAlignment="1">
      <alignment horizontal="center" vertical="center" wrapText="1"/>
    </xf>
    <xf numFmtId="0" fontId="62" fillId="0" borderId="52" xfId="0" applyFont="1" applyBorder="1" applyAlignment="1">
      <alignment horizontal="center" vertical="center" wrapText="1"/>
    </xf>
    <xf numFmtId="4" fontId="62" fillId="0" borderId="94" xfId="0" applyNumberFormat="1" applyFont="1" applyBorder="1" applyAlignment="1">
      <alignment horizontal="center" vertical="center" wrapText="1"/>
    </xf>
    <xf numFmtId="4" fontId="62" fillId="0" borderId="95" xfId="0" applyNumberFormat="1" applyFont="1" applyBorder="1" applyAlignment="1">
      <alignment horizontal="center" vertical="center" wrapText="1"/>
    </xf>
    <xf numFmtId="0" fontId="22" fillId="27" borderId="96" xfId="0" applyFont="1" applyFill="1" applyBorder="1" applyAlignment="1">
      <alignment horizontal="center" vertical="center" wrapText="1"/>
    </xf>
    <xf numFmtId="0" fontId="22" fillId="27" borderId="97" xfId="0" applyFont="1" applyFill="1" applyBorder="1" applyAlignment="1">
      <alignment horizontal="center" vertical="center" wrapText="1"/>
    </xf>
    <xf numFmtId="0" fontId="22" fillId="27" borderId="98" xfId="0" applyFont="1" applyFill="1" applyBorder="1" applyAlignment="1">
      <alignment horizontal="center" vertical="center" wrapText="1"/>
    </xf>
    <xf numFmtId="0" fontId="22" fillId="27" borderId="99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/>
    </xf>
    <xf numFmtId="0" fontId="3" fillId="0" borderId="100" xfId="0" applyFont="1" applyFill="1" applyBorder="1" applyAlignment="1">
      <alignment horizontal="center" vertical="center"/>
    </xf>
    <xf numFmtId="0" fontId="50" fillId="27" borderId="96" xfId="0" applyFont="1" applyFill="1" applyBorder="1" applyAlignment="1">
      <alignment horizontal="center" vertical="center" wrapText="1"/>
    </xf>
    <xf numFmtId="0" fontId="50" fillId="27" borderId="97" xfId="0" applyFont="1" applyFill="1" applyBorder="1" applyAlignment="1">
      <alignment horizontal="center" vertical="center" wrapText="1"/>
    </xf>
    <xf numFmtId="0" fontId="50" fillId="27" borderId="98" xfId="0" applyFont="1" applyFill="1" applyBorder="1" applyAlignment="1">
      <alignment horizontal="center" vertical="center" wrapText="1"/>
    </xf>
    <xf numFmtId="0" fontId="50" fillId="27" borderId="99" xfId="0" applyFont="1" applyFill="1" applyBorder="1" applyAlignment="1">
      <alignment horizontal="center" vertical="center" wrapText="1"/>
    </xf>
    <xf numFmtId="0" fontId="3" fillId="27" borderId="96" xfId="0" applyFont="1" applyFill="1" applyBorder="1" applyAlignment="1">
      <alignment horizontal="center" vertical="center" wrapText="1"/>
    </xf>
    <xf numFmtId="0" fontId="3" fillId="27" borderId="101" xfId="0" applyFont="1" applyFill="1" applyBorder="1" applyAlignment="1">
      <alignment horizontal="center" vertical="center" wrapText="1"/>
    </xf>
    <xf numFmtId="0" fontId="3" fillId="27" borderId="97" xfId="0" applyFont="1" applyFill="1" applyBorder="1" applyAlignment="1">
      <alignment horizontal="center" vertical="center" wrapText="1"/>
    </xf>
    <xf numFmtId="0" fontId="3" fillId="27" borderId="98" xfId="0" applyFont="1" applyFill="1" applyBorder="1" applyAlignment="1">
      <alignment horizontal="center" vertical="center" wrapText="1"/>
    </xf>
    <xf numFmtId="0" fontId="3" fillId="27" borderId="0" xfId="0" applyFont="1" applyFill="1" applyBorder="1" applyAlignment="1">
      <alignment horizontal="center" vertical="center" wrapText="1"/>
    </xf>
    <xf numFmtId="0" fontId="3" fillId="27" borderId="99" xfId="0" applyFont="1" applyFill="1" applyBorder="1" applyAlignment="1">
      <alignment horizontal="center" vertical="center" wrapText="1"/>
    </xf>
    <xf numFmtId="0" fontId="3" fillId="27" borderId="96" xfId="0" applyFont="1" applyFill="1" applyBorder="1" applyAlignment="1">
      <alignment horizontal="center" vertical="center"/>
    </xf>
    <xf numFmtId="0" fontId="3" fillId="27" borderId="101" xfId="0" applyFont="1" applyFill="1" applyBorder="1" applyAlignment="1">
      <alignment horizontal="center" vertical="center"/>
    </xf>
    <xf numFmtId="0" fontId="3" fillId="27" borderId="97" xfId="0" applyFont="1" applyFill="1" applyBorder="1" applyAlignment="1">
      <alignment horizontal="center" vertical="center"/>
    </xf>
    <xf numFmtId="0" fontId="3" fillId="27" borderId="98" xfId="0" applyFont="1" applyFill="1" applyBorder="1" applyAlignment="1">
      <alignment horizontal="center" vertical="center"/>
    </xf>
    <xf numFmtId="0" fontId="3" fillId="27" borderId="0" xfId="0" applyFont="1" applyFill="1" applyBorder="1" applyAlignment="1">
      <alignment horizontal="center" vertical="center"/>
    </xf>
    <xf numFmtId="0" fontId="3" fillId="27" borderId="99" xfId="0" applyFont="1" applyFill="1" applyBorder="1" applyAlignment="1">
      <alignment horizontal="center" vertical="center"/>
    </xf>
    <xf numFmtId="0" fontId="46" fillId="0" borderId="0" xfId="0" applyFont="1" applyBorder="1" applyAlignment="1">
      <alignment horizontal="left" vertical="top" wrapText="1"/>
    </xf>
    <xf numFmtId="0" fontId="46" fillId="0" borderId="10" xfId="0" applyFont="1" applyBorder="1" applyAlignment="1">
      <alignment horizontal="left" vertical="top" wrapText="1"/>
    </xf>
    <xf numFmtId="0" fontId="62" fillId="0" borderId="102" xfId="0" applyFont="1" applyBorder="1" applyAlignment="1">
      <alignment horizontal="center" vertical="center" wrapText="1"/>
    </xf>
    <xf numFmtId="0" fontId="62" fillId="0" borderId="105" xfId="0" applyFont="1" applyBorder="1" applyAlignment="1">
      <alignment horizontal="center" vertical="center" wrapText="1"/>
    </xf>
    <xf numFmtId="4" fontId="62" fillId="0" borderId="93" xfId="0" applyNumberFormat="1" applyFont="1" applyBorder="1" applyAlignment="1">
      <alignment horizontal="center" vertical="center" wrapText="1"/>
    </xf>
    <xf numFmtId="4" fontId="62" fillId="0" borderId="102" xfId="0" applyNumberFormat="1" applyFont="1" applyBorder="1" applyAlignment="1">
      <alignment horizontal="center" vertical="center" wrapText="1"/>
    </xf>
    <xf numFmtId="4" fontId="62" fillId="0" borderId="52" xfId="0" applyNumberFormat="1" applyFont="1" applyBorder="1" applyAlignment="1">
      <alignment horizontal="center" vertical="center" wrapText="1"/>
    </xf>
    <xf numFmtId="174" fontId="71" fillId="0" borderId="4" xfId="0" applyNumberFormat="1" applyFont="1" applyBorder="1" applyAlignment="1">
      <alignment horizontal="center" vertical="center" wrapText="1"/>
    </xf>
    <xf numFmtId="174" fontId="71" fillId="0" borderId="11" xfId="0" applyNumberFormat="1" applyFont="1" applyBorder="1" applyAlignment="1">
      <alignment horizontal="center" vertical="center" wrapText="1"/>
    </xf>
    <xf numFmtId="174" fontId="71" fillId="0" borderId="6" xfId="0" applyNumberFormat="1" applyFont="1" applyBorder="1" applyAlignment="1">
      <alignment horizontal="center" vertical="center" wrapText="1"/>
    </xf>
    <xf numFmtId="174" fontId="71" fillId="0" borderId="93" xfId="0" applyNumberFormat="1" applyFont="1" applyBorder="1" applyAlignment="1">
      <alignment horizontal="center" vertical="center" wrapText="1"/>
    </xf>
    <xf numFmtId="174" fontId="71" fillId="0" borderId="102" xfId="0" applyNumberFormat="1" applyFont="1" applyBorder="1" applyAlignment="1">
      <alignment horizontal="center" vertical="center" wrapText="1"/>
    </xf>
    <xf numFmtId="174" fontId="71" fillId="0" borderId="52" xfId="0" applyNumberFormat="1" applyFont="1" applyBorder="1" applyAlignment="1">
      <alignment horizontal="center" vertical="center" wrapText="1"/>
    </xf>
    <xf numFmtId="4" fontId="83" fillId="0" borderId="11" xfId="0" applyNumberFormat="1" applyFont="1" applyBorder="1" applyAlignment="1">
      <alignment horizontal="center" vertical="center" wrapText="1"/>
    </xf>
    <xf numFmtId="1" fontId="62" fillId="0" borderId="103" xfId="0" applyNumberFormat="1" applyFont="1" applyBorder="1" applyAlignment="1">
      <alignment horizontal="center" vertical="center" wrapText="1"/>
    </xf>
    <xf numFmtId="1" fontId="62" fillId="0" borderId="81" xfId="0" applyNumberFormat="1" applyFont="1" applyBorder="1" applyAlignment="1">
      <alignment horizontal="center" vertical="center" wrapText="1"/>
    </xf>
    <xf numFmtId="1" fontId="62" fillId="0" borderId="104" xfId="0" applyNumberFormat="1" applyFont="1" applyBorder="1" applyAlignment="1">
      <alignment horizontal="center" vertical="center" wrapText="1"/>
    </xf>
    <xf numFmtId="38" fontId="62" fillId="0" borderId="93" xfId="0" applyNumberFormat="1" applyFont="1" applyBorder="1" applyAlignment="1">
      <alignment horizontal="center" vertical="center" wrapText="1"/>
    </xf>
    <xf numFmtId="38" fontId="62" fillId="0" borderId="102" xfId="0" applyNumberFormat="1" applyFont="1" applyBorder="1" applyAlignment="1">
      <alignment horizontal="center" vertical="center" wrapText="1"/>
    </xf>
    <xf numFmtId="38" fontId="62" fillId="0" borderId="52" xfId="0" applyNumberFormat="1" applyFont="1" applyBorder="1" applyAlignment="1">
      <alignment horizontal="center" vertical="center" wrapText="1"/>
    </xf>
    <xf numFmtId="4" fontId="62" fillId="0" borderId="103" xfId="0" applyNumberFormat="1" applyFont="1" applyBorder="1" applyAlignment="1">
      <alignment horizontal="center" vertical="center" wrapText="1"/>
    </xf>
    <xf numFmtId="4" fontId="62" fillId="0" borderId="81" xfId="0" applyNumberFormat="1" applyFont="1" applyBorder="1" applyAlignment="1">
      <alignment horizontal="center" vertical="center" wrapText="1"/>
    </xf>
    <xf numFmtId="4" fontId="62" fillId="0" borderId="104" xfId="0" applyNumberFormat="1" applyFont="1" applyBorder="1" applyAlignment="1">
      <alignment horizontal="center" vertical="center" wrapText="1"/>
    </xf>
    <xf numFmtId="0" fontId="62" fillId="0" borderId="0" xfId="0" applyFont="1" applyBorder="1" applyAlignment="1">
      <alignment horizontal="left" vertical="top" wrapText="1"/>
    </xf>
    <xf numFmtId="0" fontId="62" fillId="0" borderId="10" xfId="0" applyFont="1" applyBorder="1" applyAlignment="1">
      <alignment horizontal="left" vertical="top" wrapText="1"/>
    </xf>
    <xf numFmtId="0" fontId="84" fillId="6" borderId="13" xfId="0" applyFont="1" applyFill="1" applyBorder="1" applyAlignment="1">
      <alignment horizontal="center"/>
    </xf>
    <xf numFmtId="0" fontId="61" fillId="0" borderId="93" xfId="0" applyFont="1" applyBorder="1" applyAlignment="1">
      <alignment horizontal="center" vertical="center"/>
    </xf>
    <xf numFmtId="0" fontId="61" fillId="0" borderId="102" xfId="0" applyFont="1" applyBorder="1" applyAlignment="1">
      <alignment horizontal="center" vertical="center"/>
    </xf>
    <xf numFmtId="0" fontId="61" fillId="0" borderId="52" xfId="0" applyFont="1" applyBorder="1" applyAlignment="1">
      <alignment horizontal="center" vertical="center"/>
    </xf>
    <xf numFmtId="0" fontId="61" fillId="0" borderId="91" xfId="0" applyFont="1" applyBorder="1" applyAlignment="1">
      <alignment horizontal="center" vertical="center"/>
    </xf>
    <xf numFmtId="0" fontId="61" fillId="0" borderId="105" xfId="0" applyFont="1" applyBorder="1" applyAlignment="1">
      <alignment horizontal="center" vertical="center"/>
    </xf>
    <xf numFmtId="0" fontId="61" fillId="0" borderId="92" xfId="0" applyFont="1" applyBorder="1" applyAlignment="1">
      <alignment horizontal="center" vertical="center"/>
    </xf>
    <xf numFmtId="0" fontId="60" fillId="0" borderId="91" xfId="0" applyFont="1" applyBorder="1" applyAlignment="1">
      <alignment horizontal="center" vertical="center" wrapText="1"/>
    </xf>
    <xf numFmtId="0" fontId="60" fillId="0" borderId="105" xfId="0" applyFont="1" applyBorder="1" applyAlignment="1">
      <alignment horizontal="center" vertical="center" wrapText="1"/>
    </xf>
    <xf numFmtId="0" fontId="60" fillId="0" borderId="92" xfId="0" applyFont="1" applyBorder="1" applyAlignment="1">
      <alignment horizontal="center" vertical="center" wrapText="1"/>
    </xf>
    <xf numFmtId="0" fontId="60" fillId="0" borderId="93" xfId="0" applyFont="1" applyBorder="1" applyAlignment="1">
      <alignment horizontal="center" vertical="center" wrapText="1"/>
    </xf>
    <xf numFmtId="0" fontId="60" fillId="0" borderId="102" xfId="0" applyFont="1" applyBorder="1" applyAlignment="1">
      <alignment horizontal="center" vertical="center" wrapText="1"/>
    </xf>
    <xf numFmtId="0" fontId="60" fillId="0" borderId="52" xfId="0" applyFont="1" applyBorder="1" applyAlignment="1">
      <alignment horizontal="center" vertical="center" wrapText="1"/>
    </xf>
    <xf numFmtId="4" fontId="60" fillId="0" borderId="94" xfId="0" applyNumberFormat="1" applyFont="1" applyBorder="1" applyAlignment="1">
      <alignment horizontal="center" vertical="center" wrapText="1"/>
    </xf>
    <xf numFmtId="4" fontId="60" fillId="0" borderId="119" xfId="0" applyNumberFormat="1" applyFont="1" applyBorder="1" applyAlignment="1">
      <alignment horizontal="center" vertical="center" wrapText="1"/>
    </xf>
    <xf numFmtId="4" fontId="60" fillId="0" borderId="95" xfId="0" applyNumberFormat="1" applyFont="1" applyBorder="1" applyAlignment="1">
      <alignment horizontal="center" vertical="center" wrapText="1"/>
    </xf>
  </cellXfs>
  <cellStyles count="7">
    <cellStyle name="Millares" xfId="1" builtinId="3"/>
    <cellStyle name="Moneda" xfId="2" builtinId="4"/>
    <cellStyle name="Normal" xfId="0" builtinId="0"/>
    <cellStyle name="Normal 2" xfId="5"/>
    <cellStyle name="Normal 3" xfId="6"/>
    <cellStyle name="Normal_Conversion PDF a XLS" xfId="3"/>
    <cellStyle name="Porcentaje" xfId="4" builtinId="5"/>
  </cellStyles>
  <dxfs count="446">
    <dxf>
      <fill>
        <patternFill>
          <bgColor indexed="18"/>
        </patternFill>
      </fill>
      <border>
        <top style="thin">
          <color indexed="9"/>
        </top>
        <bottom style="thin">
          <color indexed="9"/>
        </bottom>
      </border>
    </dxf>
    <dxf>
      <fill>
        <patternFill>
          <bgColor indexed="18"/>
        </patternFill>
      </fill>
      <border>
        <top style="thin">
          <color indexed="9"/>
        </top>
        <bottom style="thin">
          <color indexed="9"/>
        </bottom>
      </border>
    </dxf>
    <dxf>
      <fill>
        <patternFill>
          <bgColor indexed="18"/>
        </patternFill>
      </fill>
      <border>
        <top style="thin">
          <color indexed="9"/>
        </top>
        <bottom style="thin">
          <color indexed="9"/>
        </bottom>
      </border>
    </dxf>
    <dxf>
      <fill>
        <patternFill>
          <bgColor indexed="18"/>
        </patternFill>
      </fill>
      <border>
        <top style="thin">
          <color indexed="9"/>
        </top>
        <bottom style="thin">
          <color indexed="9"/>
        </bottom>
      </border>
    </dxf>
    <dxf>
      <fill>
        <patternFill>
          <bgColor indexed="18"/>
        </patternFill>
      </fill>
      <border>
        <top style="thin">
          <color indexed="9"/>
        </top>
        <bottom style="thin">
          <color indexed="9"/>
        </bottom>
      </border>
    </dxf>
    <dxf>
      <fill>
        <patternFill>
          <bgColor indexed="18"/>
        </patternFill>
      </fill>
      <border>
        <top style="thin">
          <color indexed="9"/>
        </top>
        <bottom style="thin">
          <color indexed="9"/>
        </bottom>
      </border>
    </dxf>
    <dxf>
      <font>
        <condense val="0"/>
        <extend val="0"/>
        <color indexed="18"/>
      </font>
      <fill>
        <patternFill>
          <bgColor indexed="18"/>
        </patternFill>
      </fill>
      <border>
        <top/>
        <bottom/>
      </border>
    </dxf>
    <dxf>
      <fill>
        <patternFill>
          <bgColor indexed="18"/>
        </patternFill>
      </fill>
      <border>
        <top style="thin">
          <color indexed="9"/>
        </top>
        <bottom style="thin">
          <color indexed="9"/>
        </bottom>
      </border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8"/>
      </font>
      <fill>
        <patternFill>
          <bgColor indexed="18"/>
        </patternFill>
      </fill>
      <border>
        <top/>
        <bottom/>
      </border>
    </dxf>
    <dxf>
      <font>
        <condense val="0"/>
        <extend val="0"/>
        <color indexed="18"/>
      </font>
      <fill>
        <patternFill>
          <bgColor indexed="18"/>
        </patternFill>
      </fill>
      <border>
        <top/>
        <bottom/>
      </border>
    </dxf>
    <dxf>
      <font>
        <condense val="0"/>
        <extend val="0"/>
        <color indexed="18"/>
      </font>
      <fill>
        <patternFill>
          <bgColor indexed="18"/>
        </patternFill>
      </fill>
      <border>
        <top/>
        <bottom/>
      </border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18"/>
      </font>
      <fill>
        <patternFill>
          <bgColor indexed="18"/>
        </patternFill>
      </fill>
      <border>
        <top/>
        <bottom/>
      </border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9"/>
      </font>
      <fill>
        <patternFill>
          <bgColor indexed="54"/>
        </patternFill>
      </fill>
    </dxf>
    <dxf>
      <font>
        <condense val="0"/>
        <extend val="0"/>
        <color indexed="9"/>
      </font>
      <fill>
        <patternFill>
          <bgColor indexed="54"/>
        </patternFill>
      </fill>
    </dxf>
    <dxf>
      <font>
        <condense val="0"/>
        <extend val="0"/>
        <color indexed="9"/>
      </font>
      <fill>
        <patternFill>
          <bgColor indexed="54"/>
        </patternFill>
      </fill>
    </dxf>
    <dxf>
      <font>
        <condense val="0"/>
        <extend val="0"/>
        <color indexed="9"/>
      </font>
      <fill>
        <patternFill>
          <bgColor indexed="54"/>
        </patternFill>
      </fill>
    </dxf>
    <dxf>
      <font>
        <condense val="0"/>
        <extend val="0"/>
        <color indexed="9"/>
      </font>
      <fill>
        <patternFill>
          <bgColor indexed="54"/>
        </patternFill>
      </fill>
    </dxf>
    <dxf>
      <font>
        <condense val="0"/>
        <extend val="0"/>
        <color indexed="9"/>
      </font>
      <fill>
        <patternFill>
          <bgColor indexed="54"/>
        </patternFill>
      </fill>
    </dxf>
    <dxf>
      <font>
        <condense val="0"/>
        <extend val="0"/>
        <color indexed="9"/>
      </font>
      <fill>
        <patternFill>
          <bgColor indexed="54"/>
        </patternFill>
      </fill>
    </dxf>
    <dxf>
      <font>
        <condense val="0"/>
        <extend val="0"/>
        <color indexed="9"/>
      </font>
      <fill>
        <patternFill>
          <bgColor indexed="54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17"/>
      </font>
    </dxf>
    <dxf>
      <font>
        <condense val="0"/>
        <extend val="0"/>
        <color indexed="12"/>
      </font>
    </dxf>
  </dxfs>
  <tableStyles count="0" defaultTableStyle="TableStyleMedium9" defaultPivotStyle="PivotStyleLight16"/>
  <colors>
    <mruColors>
      <color rgb="FF66FF33"/>
      <color rgb="FFFFFF99"/>
      <color rgb="FF008080"/>
      <color rgb="FF003366"/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hartsheet" Target="chartsheets/sheet1.xml"/><Relationship Id="rId18" Type="http://schemas.openxmlformats.org/officeDocument/2006/relationships/worksheet" Target="worksheets/sheet17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6.xml"/><Relationship Id="rId25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5.xml"/><Relationship Id="rId20" Type="http://schemas.openxmlformats.org/officeDocument/2006/relationships/worksheet" Target="worksheets/sheet19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4.xml"/><Relationship Id="rId23" Type="http://schemas.openxmlformats.org/officeDocument/2006/relationships/externalLink" Target="externalLinks/externalLink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3.xml"/><Relationship Id="rId22" Type="http://schemas.openxmlformats.org/officeDocument/2006/relationships/externalLink" Target="externalLinks/externalLink2.xml"/><Relationship Id="rId27" Type="http://schemas.openxmlformats.org/officeDocument/2006/relationships/styles" Target="styles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Cantidad de Personal</a:t>
            </a:r>
          </a:p>
        </c:rich>
      </c:tx>
      <c:layout>
        <c:manualLayout>
          <c:xMode val="edge"/>
          <c:yMode val="edge"/>
          <c:x val="8.0981595092024544E-2"/>
          <c:y val="3.25204112688729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9938650306748534E-2"/>
          <c:y val="0.18699236479602019"/>
          <c:w val="0.91288343558282203"/>
          <c:h val="0.68292863664633419"/>
        </c:manualLayout>
      </c:layout>
      <c:barChart>
        <c:barDir val="col"/>
        <c:grouping val="clustered"/>
        <c:varyColors val="0"/>
        <c:ser>
          <c:idx val="0"/>
          <c:order val="0"/>
          <c:tx>
            <c:v>Histograma de Personal</c:v>
          </c:tx>
          <c:spPr>
            <a:pattFill prst="ltDnDiag">
              <a:fgClr>
                <a:srgbClr val="9999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Histograma!$D$9:$D$22</c:f>
              <c:strCache>
                <c:ptCount val="5"/>
                <c:pt idx="0">
                  <c:v>AYUDANTE</c:v>
                </c:pt>
                <c:pt idx="1">
                  <c:v>MEDIO OFICIAL</c:v>
                </c:pt>
                <c:pt idx="2">
                  <c:v>OFICIAL ESPECIALIZADO</c:v>
                </c:pt>
                <c:pt idx="3">
                  <c:v>OFICIAL</c:v>
                </c:pt>
                <c:pt idx="4">
                  <c:v>Mensuales</c:v>
                </c:pt>
              </c:strCache>
            </c:strRef>
          </c:cat>
          <c:val>
            <c:numRef>
              <c:f>Histograma!$K$9:$K$22</c:f>
              <c:numCache>
                <c:formatCode>_ * #,##0.0_ ;_ * \-#,##0.0_ ;_ * "-"??_ ;_ @_ </c:formatCode>
                <c:ptCount val="5"/>
                <c:pt idx="0">
                  <c:v>7</c:v>
                </c:pt>
                <c:pt idx="1">
                  <c:v>1</c:v>
                </c:pt>
                <c:pt idx="2">
                  <c:v>1</c:v>
                </c:pt>
                <c:pt idx="3">
                  <c:v>8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46-4D69-9D22-6F1DF40D4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70960"/>
        <c:axId val="189269840"/>
      </c:barChart>
      <c:catAx>
        <c:axId val="189270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892698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926984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_ * #,##0.0_ ;_ * \-#,##0.0_ ;_ * &quot;-&quot;??_ ;_ @_ 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8927096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0122" r="0.75000000000000122" t="1" header="0.5" footer="0.5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FLUJO DE CAJA</a:t>
            </a:r>
          </a:p>
        </c:rich>
      </c:tx>
      <c:layout>
        <c:manualLayout>
          <c:xMode val="edge"/>
          <c:yMode val="edge"/>
          <c:x val="0.45744018630210032"/>
          <c:y val="2.82574784891632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0428888247294456E-2"/>
          <c:y val="9.5761454879941713E-2"/>
          <c:w val="0.9304749244099535"/>
          <c:h val="0.824176455933924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Precio!$B$64</c:f>
              <c:strCache>
                <c:ptCount val="1"/>
                <c:pt idx="0">
                  <c:v>INGRESOS</c:v>
                </c:pt>
              </c:strCache>
            </c:strRef>
          </c:tx>
          <c:spPr>
            <a:solidFill>
              <a:srgbClr val="00206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Precio!$H$63:$AL$63</c:f>
              <c:numCache>
                <c:formatCode>General</c:formatCode>
                <c:ptCount val="31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  <c:pt idx="10">
                  <c:v>5.5</c:v>
                </c:pt>
                <c:pt idx="11">
                  <c:v>6</c:v>
                </c:pt>
                <c:pt idx="12">
                  <c:v>6.5</c:v>
                </c:pt>
                <c:pt idx="13">
                  <c:v>7</c:v>
                </c:pt>
                <c:pt idx="14">
                  <c:v>7.5</c:v>
                </c:pt>
                <c:pt idx="15">
                  <c:v>8</c:v>
                </c:pt>
                <c:pt idx="16">
                  <c:v>8.5</c:v>
                </c:pt>
                <c:pt idx="17">
                  <c:v>9</c:v>
                </c:pt>
                <c:pt idx="18">
                  <c:v>9.5</c:v>
                </c:pt>
                <c:pt idx="19">
                  <c:v>10</c:v>
                </c:pt>
                <c:pt idx="20">
                  <c:v>10.5</c:v>
                </c:pt>
                <c:pt idx="21">
                  <c:v>11</c:v>
                </c:pt>
                <c:pt idx="22">
                  <c:v>11.5</c:v>
                </c:pt>
                <c:pt idx="23">
                  <c:v>12</c:v>
                </c:pt>
                <c:pt idx="24">
                  <c:v>12.5</c:v>
                </c:pt>
                <c:pt idx="25">
                  <c:v>13</c:v>
                </c:pt>
                <c:pt idx="26">
                  <c:v>13.5</c:v>
                </c:pt>
                <c:pt idx="27">
                  <c:v>14</c:v>
                </c:pt>
                <c:pt idx="28">
                  <c:v>14.5</c:v>
                </c:pt>
                <c:pt idx="29">
                  <c:v>15</c:v>
                </c:pt>
                <c:pt idx="30">
                  <c:v>15.5</c:v>
                </c:pt>
              </c:numCache>
            </c:numRef>
          </c:cat>
          <c:val>
            <c:numRef>
              <c:f>Precio!$H$64:$AL$64</c:f>
              <c:numCache>
                <c:formatCode>#,##0</c:formatCode>
                <c:ptCount val="31"/>
                <c:pt idx="0">
                  <c:v>435.9428923962775</c:v>
                </c:pt>
                <c:pt idx="1">
                  <c:v>0</c:v>
                </c:pt>
                <c:pt idx="2">
                  <c:v>2220.2186909468846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94-4D6C-95DC-4B6F6EE63034}"/>
            </c:ext>
          </c:extLst>
        </c:ser>
        <c:ser>
          <c:idx val="1"/>
          <c:order val="1"/>
          <c:tx>
            <c:strRef>
              <c:f>Precio!$B$70</c:f>
              <c:strCache>
                <c:ptCount val="1"/>
                <c:pt idx="0">
                  <c:v>EGRESOS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Precio!$H$63:$AL$63</c:f>
              <c:numCache>
                <c:formatCode>General</c:formatCode>
                <c:ptCount val="31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  <c:pt idx="10">
                  <c:v>5.5</c:v>
                </c:pt>
                <c:pt idx="11">
                  <c:v>6</c:v>
                </c:pt>
                <c:pt idx="12">
                  <c:v>6.5</c:v>
                </c:pt>
                <c:pt idx="13">
                  <c:v>7</c:v>
                </c:pt>
                <c:pt idx="14">
                  <c:v>7.5</c:v>
                </c:pt>
                <c:pt idx="15">
                  <c:v>8</c:v>
                </c:pt>
                <c:pt idx="16">
                  <c:v>8.5</c:v>
                </c:pt>
                <c:pt idx="17">
                  <c:v>9</c:v>
                </c:pt>
                <c:pt idx="18">
                  <c:v>9.5</c:v>
                </c:pt>
                <c:pt idx="19">
                  <c:v>10</c:v>
                </c:pt>
                <c:pt idx="20">
                  <c:v>10.5</c:v>
                </c:pt>
                <c:pt idx="21">
                  <c:v>11</c:v>
                </c:pt>
                <c:pt idx="22">
                  <c:v>11.5</c:v>
                </c:pt>
                <c:pt idx="23">
                  <c:v>12</c:v>
                </c:pt>
                <c:pt idx="24">
                  <c:v>12.5</c:v>
                </c:pt>
                <c:pt idx="25">
                  <c:v>13</c:v>
                </c:pt>
                <c:pt idx="26">
                  <c:v>13.5</c:v>
                </c:pt>
                <c:pt idx="27">
                  <c:v>14</c:v>
                </c:pt>
                <c:pt idx="28">
                  <c:v>14.5</c:v>
                </c:pt>
                <c:pt idx="29">
                  <c:v>15</c:v>
                </c:pt>
                <c:pt idx="30">
                  <c:v>15.5</c:v>
                </c:pt>
              </c:numCache>
            </c:numRef>
          </c:cat>
          <c:val>
            <c:numRef>
              <c:f>Precio!$H$70:$AL$70</c:f>
              <c:numCache>
                <c:formatCode>#,##0</c:formatCode>
                <c:ptCount val="31"/>
                <c:pt idx="0">
                  <c:v>-55.171563730506676</c:v>
                </c:pt>
                <c:pt idx="1">
                  <c:v>-176.47262938827555</c:v>
                </c:pt>
                <c:pt idx="2">
                  <c:v>-303.83758971197983</c:v>
                </c:pt>
                <c:pt idx="3">
                  <c:v>-12.628037281784307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-41.818011991834609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94-4D6C-95DC-4B6F6EE63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4837200"/>
        <c:axId val="274837760"/>
      </c:barChart>
      <c:lineChart>
        <c:grouping val="standard"/>
        <c:varyColors val="0"/>
        <c:ser>
          <c:idx val="3"/>
          <c:order val="2"/>
          <c:tx>
            <c:strRef>
              <c:f>Precio!$B$92</c:f>
              <c:strCache>
                <c:ptCount val="1"/>
                <c:pt idx="0">
                  <c:v>FLUJO DE CAJA ACUMULADO</c:v>
                </c:pt>
              </c:strCache>
            </c:strRef>
          </c:tx>
          <c:spPr>
            <a:ln w="50800">
              <a:solidFill>
                <a:srgbClr val="00B05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numRef>
              <c:f>Precio!$H$63:$AL$63</c:f>
              <c:numCache>
                <c:formatCode>General</c:formatCode>
                <c:ptCount val="31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  <c:pt idx="10">
                  <c:v>5.5</c:v>
                </c:pt>
                <c:pt idx="11">
                  <c:v>6</c:v>
                </c:pt>
                <c:pt idx="12">
                  <c:v>6.5</c:v>
                </c:pt>
                <c:pt idx="13">
                  <c:v>7</c:v>
                </c:pt>
                <c:pt idx="14">
                  <c:v>7.5</c:v>
                </c:pt>
                <c:pt idx="15">
                  <c:v>8</c:v>
                </c:pt>
                <c:pt idx="16">
                  <c:v>8.5</c:v>
                </c:pt>
                <c:pt idx="17">
                  <c:v>9</c:v>
                </c:pt>
                <c:pt idx="18">
                  <c:v>9.5</c:v>
                </c:pt>
                <c:pt idx="19">
                  <c:v>10</c:v>
                </c:pt>
                <c:pt idx="20">
                  <c:v>10.5</c:v>
                </c:pt>
                <c:pt idx="21">
                  <c:v>11</c:v>
                </c:pt>
                <c:pt idx="22">
                  <c:v>11.5</c:v>
                </c:pt>
                <c:pt idx="23">
                  <c:v>12</c:v>
                </c:pt>
                <c:pt idx="24">
                  <c:v>12.5</c:v>
                </c:pt>
                <c:pt idx="25">
                  <c:v>13</c:v>
                </c:pt>
                <c:pt idx="26">
                  <c:v>13.5</c:v>
                </c:pt>
                <c:pt idx="27">
                  <c:v>14</c:v>
                </c:pt>
                <c:pt idx="28">
                  <c:v>14.5</c:v>
                </c:pt>
                <c:pt idx="29">
                  <c:v>15</c:v>
                </c:pt>
                <c:pt idx="30">
                  <c:v>15.5</c:v>
                </c:pt>
              </c:numCache>
            </c:numRef>
          </c:cat>
          <c:val>
            <c:numRef>
              <c:f>Precio!$H$92:$AL$92</c:f>
              <c:numCache>
                <c:formatCode>#,##0</c:formatCode>
                <c:ptCount val="31"/>
                <c:pt idx="0">
                  <c:v>380.77132866577085</c:v>
                </c:pt>
                <c:pt idx="1">
                  <c:v>204.2986992774953</c:v>
                </c:pt>
                <c:pt idx="2">
                  <c:v>2120.6798005124001</c:v>
                </c:pt>
                <c:pt idx="3">
                  <c:v>2108.051763230616</c:v>
                </c:pt>
                <c:pt idx="4">
                  <c:v>2108.051763230616</c:v>
                </c:pt>
                <c:pt idx="5">
                  <c:v>2108.051763230616</c:v>
                </c:pt>
                <c:pt idx="6">
                  <c:v>2108.051763230616</c:v>
                </c:pt>
                <c:pt idx="7">
                  <c:v>2108.051763230616</c:v>
                </c:pt>
                <c:pt idx="8">
                  <c:v>2108.051763230616</c:v>
                </c:pt>
                <c:pt idx="9">
                  <c:v>2108.051763230616</c:v>
                </c:pt>
                <c:pt idx="10">
                  <c:v>2108.051763230616</c:v>
                </c:pt>
                <c:pt idx="11">
                  <c:v>2108.051763230616</c:v>
                </c:pt>
                <c:pt idx="12">
                  <c:v>2108.051763230616</c:v>
                </c:pt>
                <c:pt idx="13">
                  <c:v>2108.051763230616</c:v>
                </c:pt>
                <c:pt idx="14">
                  <c:v>2108.051763230616</c:v>
                </c:pt>
                <c:pt idx="15">
                  <c:v>2108.051763230616</c:v>
                </c:pt>
                <c:pt idx="16">
                  <c:v>2108.051763230616</c:v>
                </c:pt>
                <c:pt idx="17">
                  <c:v>2108.051763230616</c:v>
                </c:pt>
                <c:pt idx="18">
                  <c:v>2108.051763230616</c:v>
                </c:pt>
                <c:pt idx="19">
                  <c:v>2108.051763230616</c:v>
                </c:pt>
                <c:pt idx="20">
                  <c:v>2108.051763230616</c:v>
                </c:pt>
                <c:pt idx="21">
                  <c:v>2108.051763230616</c:v>
                </c:pt>
                <c:pt idx="22">
                  <c:v>2108.051763230616</c:v>
                </c:pt>
                <c:pt idx="23">
                  <c:v>2108.051763230616</c:v>
                </c:pt>
                <c:pt idx="24">
                  <c:v>2108.051763230616</c:v>
                </c:pt>
                <c:pt idx="25">
                  <c:v>2066.2337512387812</c:v>
                </c:pt>
                <c:pt idx="26">
                  <c:v>2066.2337512387812</c:v>
                </c:pt>
                <c:pt idx="27">
                  <c:v>2066.2337512387812</c:v>
                </c:pt>
                <c:pt idx="28">
                  <c:v>2066.2337512387812</c:v>
                </c:pt>
                <c:pt idx="29">
                  <c:v>2066.2337512387812</c:v>
                </c:pt>
                <c:pt idx="30">
                  <c:v>2066.2337512387812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94-4D6C-95DC-4B6F6EE63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4837200"/>
        <c:axId val="274837760"/>
      </c:lineChart>
      <c:catAx>
        <c:axId val="274837200"/>
        <c:scaling>
          <c:orientation val="minMax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/>
                  <a:t>Quincenas</a:t>
                </a:r>
              </a:p>
            </c:rich>
          </c:tx>
          <c:layout>
            <c:manualLayout>
              <c:xMode val="edge"/>
              <c:yMode val="edge"/>
              <c:x val="0.91877901055563982"/>
              <c:y val="0.9481953893030297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solidFill>
            <a:srgbClr val="FFFFFF"/>
          </a:solidFill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274837760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274837760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/>
                  <a:t>Montos en miles de pesos</a:t>
                </a:r>
              </a:p>
            </c:rich>
          </c:tx>
          <c:layout>
            <c:manualLayout>
              <c:xMode val="edge"/>
              <c:yMode val="edge"/>
              <c:x val="9.7465948785959051E-3"/>
              <c:y val="0.3547883410306046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27483720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1968831201794612"/>
          <c:y val="0.94976524921909544"/>
          <c:w val="0.33333354484797967"/>
          <c:h val="3.924649790161547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0122" r="0.75000000000000122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Cantidad de EQUIPOS</a:t>
            </a:r>
          </a:p>
        </c:rich>
      </c:tx>
      <c:layout>
        <c:manualLayout>
          <c:xMode val="edge"/>
          <c:yMode val="edge"/>
          <c:x val="4.8999669826443742E-2"/>
          <c:y val="1.35922330097087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649719352476945E-2"/>
          <c:y val="9.9029126213592472E-2"/>
          <c:w val="0.94446863590469943"/>
          <c:h val="0.61553398058252429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Histograma!$D$49:$D$75</c:f>
              <c:strCache>
                <c:ptCount val="8"/>
                <c:pt idx="0">
                  <c:v>CAMIONETA CABINA DOBLE 4x4</c:v>
                </c:pt>
                <c:pt idx="1">
                  <c:v>CAMION VOLCADOR CAP. 15 T=9 m3</c:v>
                </c:pt>
                <c:pt idx="2">
                  <c:v>MARTILLO NEUMATICO DEMOLEDOR 22 Kg</c:v>
                </c:pt>
                <c:pt idx="3">
                  <c:v>MINICARG. BOBCAT S/NEUM. (0,40 M3)</c:v>
                </c:pt>
                <c:pt idx="4">
                  <c:v>MOTOCOMPRESOR 7 m3/min-250 cfm</c:v>
                </c:pt>
                <c:pt idx="5">
                  <c:v>PLANCHA VIBRATORIA 90x70 cm-470 Kg</c:v>
                </c:pt>
                <c:pt idx="6">
                  <c:v>VIBRADOR DE INMERSION d=57 mm (NE)</c:v>
                </c:pt>
                <c:pt idx="7">
                  <c:v>CAMION PLAYO LIVIANO 146CV</c:v>
                </c:pt>
              </c:strCache>
            </c:strRef>
          </c:cat>
          <c:val>
            <c:numRef>
              <c:f>Histograma!$K$49:$K$75</c:f>
              <c:numCache>
                <c:formatCode>0</c:formatCode>
                <c:ptCount val="9"/>
                <c:pt idx="0">
                  <c:v>2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39-4AA8-995F-F07CE580C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3335328"/>
        <c:axId val="273335888"/>
      </c:barChart>
      <c:catAx>
        <c:axId val="273335328"/>
        <c:scaling>
          <c:orientation val="minMax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273335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73335888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27333532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>
      <c:oddHeader>&amp;A</c:oddHeader>
      <c:oddFooter>Page &amp;P</c:oddFooter>
    </c:headerFooter>
    <c:pageMargins b="1" l="0.75000000000000122" r="0.75000000000000122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1389961389961388"/>
          <c:y val="3.370786516853939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4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title>
    <c:autoTitleDeleted val="0"/>
    <c:view3D>
      <c:rotX val="15"/>
      <c:rotY val="91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9498069498069498E-2"/>
          <c:y val="0.30898876404494563"/>
          <c:w val="0.7972972972972977"/>
          <c:h val="0.46348314606741581"/>
        </c:manualLayout>
      </c:layout>
      <c:pie3DChart>
        <c:varyColors val="1"/>
        <c:ser>
          <c:idx val="1"/>
          <c:order val="0"/>
          <c:tx>
            <c:strRef>
              <c:f>Resumen!$C$7</c:f>
              <c:strCache>
                <c:ptCount val="1"/>
                <c:pt idx="0">
                  <c:v>DATOS RESUMEN - GENERALES DE OBRA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34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A342-4ABD-A962-DEE1250CB7D1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342-4ABD-A962-DEE1250CB7D1}"/>
              </c:ext>
            </c:extLst>
          </c:dPt>
          <c:dLbls>
            <c:dLbl>
              <c:idx val="0"/>
              <c:layout>
                <c:manualLayout>
                  <c:x val="-0.70134009635421068"/>
                  <c:y val="0.22077324275500271"/>
                </c:manualLayout>
              </c:layout>
              <c:numFmt formatCode="0%" sourceLinked="0"/>
              <c:spPr>
                <a:solidFill>
                  <a:srgbClr val="99CC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9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342-4ABD-A962-DEE1250CB7D1}"/>
                </c:ext>
              </c:extLst>
            </c:dLbl>
            <c:dLbl>
              <c:idx val="1"/>
              <c:layout>
                <c:manualLayout>
                  <c:x val="0.86679536679536684"/>
                  <c:y val="-0.17753976376720568"/>
                </c:manualLayout>
              </c:layout>
              <c:numFmt formatCode="0%" sourceLinked="0"/>
              <c:spPr>
                <a:solidFill>
                  <a:srgbClr val="993366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975" b="0" i="0" u="none" strike="noStrike" baseline="0">
                      <a:solidFill>
                        <a:srgbClr val="FFFF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342-4ABD-A962-DEE1250CB7D1}"/>
                </c:ext>
              </c:extLst>
            </c:dLbl>
            <c:dLbl>
              <c:idx val="2"/>
              <c:layout>
                <c:manualLayout>
                  <c:x val="-0.20883495757824821"/>
                  <c:y val="0.29204465236343286"/>
                </c:manualLayout>
              </c:layout>
              <c:numFmt formatCode="0%" sourceLinked="0"/>
              <c:spPr>
                <a:solidFill>
                  <a:srgbClr val="FFFFCC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9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342-4ABD-A962-DEE1250CB7D1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(Resumen!$C$8,Resumen!$C$37,Resumen!$C$43)</c:f>
              <c:strCache>
                <c:ptCount val="3"/>
                <c:pt idx="0">
                  <c:v>Costos Directos</c:v>
                </c:pt>
                <c:pt idx="1">
                  <c:v>Costos Indirectos</c:v>
                </c:pt>
                <c:pt idx="2">
                  <c:v>Otros Costos Menores</c:v>
                </c:pt>
              </c:strCache>
            </c:strRef>
          </c:cat>
          <c:val>
            <c:numRef>
              <c:f>(Resumen!$G$8,Resumen!$G$37,Resumen!$G$43)</c:f>
              <c:numCache>
                <c:formatCode>#,##0.00_);[Red]\(#,##0.00\)</c:formatCode>
                <c:ptCount val="3"/>
                <c:pt idx="0">
                  <c:v>128631.65142878229</c:v>
                </c:pt>
                <c:pt idx="1">
                  <c:v>195803.9566794007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342-4ABD-A962-DEE1250CB7D1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0122" r="0.75000000000000122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74979521420094086"/>
          <c:y val="1.666671187801616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4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title>
    <c:autoTitleDeleted val="0"/>
    <c:plotArea>
      <c:layout>
        <c:manualLayout>
          <c:layoutTarget val="inner"/>
          <c:xMode val="edge"/>
          <c:yMode val="edge"/>
          <c:x val="0.23215759914536729"/>
          <c:y val="9.4444700642091595E-2"/>
          <c:w val="0.73666969622805833"/>
          <c:h val="0.77777988764075656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Resumen!$C$8</c:f>
              <c:strCache>
                <c:ptCount val="1"/>
                <c:pt idx="0">
                  <c:v>Costos Directos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8070823396116921E-2"/>
                  <c:y val="-2.838986732263704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725-4C5A-9BFF-FAD078D7ED11}"/>
                </c:ext>
              </c:extLst>
            </c:dLbl>
            <c:dLbl>
              <c:idx val="1"/>
              <c:layout>
                <c:manualLayout>
                  <c:x val="0.22264841988978359"/>
                  <c:y val="-7.625324830524637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725-4C5A-9BFF-FAD078D7ED11}"/>
                </c:ext>
              </c:extLst>
            </c:dLbl>
            <c:dLbl>
              <c:idx val="2"/>
              <c:layout>
                <c:manualLayout>
                  <c:x val="7.2525308074934708E-2"/>
                  <c:y val="-0.124116629287858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725-4C5A-9BFF-FAD078D7ED11}"/>
                </c:ext>
              </c:extLst>
            </c:dLbl>
            <c:dLbl>
              <c:idx val="3"/>
              <c:layout>
                <c:manualLayout>
                  <c:x val="3.8891168269421544E-2"/>
                  <c:y val="-0.1719800102704687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725-4C5A-9BFF-FAD078D7ED11}"/>
                </c:ext>
              </c:extLst>
            </c:dLbl>
            <c:dLbl>
              <c:idx val="4"/>
              <c:layout>
                <c:manualLayout>
                  <c:x val="4.2172547762641871E-2"/>
                  <c:y val="-0.2198433912530787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F725-4C5A-9BFF-FAD078D7ED11}"/>
                </c:ext>
              </c:extLst>
            </c:dLbl>
            <c:dLbl>
              <c:idx val="5"/>
              <c:layout>
                <c:manualLayout>
                  <c:x val="0.11272220686688852"/>
                  <c:y val="-0.267706772235688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F725-4C5A-9BFF-FAD078D7ED11}"/>
                </c:ext>
              </c:extLst>
            </c:dLbl>
            <c:dLbl>
              <c:idx val="6"/>
              <c:layout>
                <c:manualLayout>
                  <c:x val="0.17014634799825171"/>
                  <c:y val="-0.3127923679052955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25-4C5A-9BFF-FAD078D7ED11}"/>
                </c:ext>
              </c:extLst>
            </c:dLbl>
            <c:dLbl>
              <c:idx val="7"/>
              <c:layout>
                <c:manualLayout>
                  <c:x val="0.69352637716695886"/>
                  <c:y val="-0.2967666866888436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25-4C5A-9BFF-FAD078D7ED11}"/>
                </c:ext>
              </c:extLst>
            </c:dLbl>
            <c:dLbl>
              <c:idx val="8"/>
              <c:layout>
                <c:manualLayout>
                  <c:x val="0.15620048515206367"/>
                  <c:y val="-0.4140747004965215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25-4C5A-9BFF-FAD078D7ED11}"/>
                </c:ext>
              </c:extLst>
            </c:dLbl>
            <c:dLbl>
              <c:idx val="9"/>
              <c:layout>
                <c:manualLayout>
                  <c:x val="9.3033929907563956E-2"/>
                  <c:y val="-0.4591602961661290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25-4C5A-9BFF-FAD078D7ED11}"/>
                </c:ext>
              </c:extLst>
            </c:dLbl>
            <c:dLbl>
              <c:idx val="10"/>
              <c:layout>
                <c:manualLayout>
                  <c:x val="-0.16455436031026424"/>
                  <c:y val="-0.1625782983364052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25-4C5A-9BFF-FAD078D7ED11}"/>
                </c:ext>
              </c:extLst>
            </c:dLbl>
            <c:dLbl>
              <c:idx val="11"/>
              <c:layout>
                <c:manualLayout>
                  <c:x val="-0.14896780771746562"/>
                  <c:y val="-0.1521081877459588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25-4C5A-9BFF-FAD078D7ED11}"/>
                </c:ext>
              </c:extLst>
            </c:dLbl>
            <c:dLbl>
              <c:idx val="12"/>
              <c:layout>
                <c:manualLayout>
                  <c:x val="-0.15881194619712793"/>
                  <c:y val="-0.1388602918425095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25-4C5A-9BFF-FAD078D7ED11}"/>
                </c:ext>
              </c:extLst>
            </c:dLbl>
            <c:dLbl>
              <c:idx val="13"/>
              <c:layout>
                <c:manualLayout>
                  <c:x val="-0.11861504740517381"/>
                  <c:y val="-0.1367235371910712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25-4C5A-9BFF-FAD078D7ED11}"/>
                </c:ext>
              </c:extLst>
            </c:dLbl>
            <c:dLbl>
              <c:idx val="14"/>
              <c:layout>
                <c:manualLayout>
                  <c:x val="-0.17521884366323168"/>
                  <c:y val="-0.1262534266006238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25-4C5A-9BFF-FAD078D7ED11}"/>
                </c:ext>
              </c:extLst>
            </c:dLbl>
            <c:dLbl>
              <c:idx val="15"/>
              <c:layout>
                <c:manualLayout>
                  <c:x val="-0.16209332569034862"/>
                  <c:y val="-0.1185611013231803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25-4C5A-9BFF-FAD078D7ED11}"/>
                </c:ext>
              </c:extLst>
            </c:dLbl>
            <c:dLbl>
              <c:idx val="16"/>
              <c:layout>
                <c:manualLayout>
                  <c:x val="-0.17275780904331622"/>
                  <c:y val="-0.1080909907327339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25-4C5A-9BFF-FAD078D7ED11}"/>
                </c:ext>
              </c:extLst>
            </c:dLbl>
            <c:dLbl>
              <c:idx val="17"/>
              <c:layout>
                <c:manualLayout>
                  <c:x val="-0.11533366791195312"/>
                  <c:y val="-0.1003986654552908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25-4C5A-9BFF-FAD078D7ED11}"/>
                </c:ext>
              </c:extLst>
            </c:dLbl>
            <c:dLbl>
              <c:idx val="18"/>
              <c:layout>
                <c:manualLayout>
                  <c:x val="-0.1251778063916151"/>
                  <c:y val="-8.992855486484399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25-4C5A-9BFF-FAD078D7ED11}"/>
                </c:ext>
              </c:extLst>
            </c:dLbl>
            <c:dLbl>
              <c:idx val="19"/>
              <c:layout>
                <c:manualLayout>
                  <c:x val="-4.2322974187791657E-2"/>
                  <c:y val="-7.945844427439777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25-4C5A-9BFF-FAD078D7ED11}"/>
                </c:ext>
              </c:extLst>
            </c:dLbl>
            <c:dLbl>
              <c:idx val="20"/>
              <c:layout>
                <c:manualLayout>
                  <c:x val="-0.14568642822424493"/>
                  <c:y val="-7.454390430995641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25-4C5A-9BFF-FAD078D7ED11}"/>
                </c:ext>
              </c:extLst>
            </c:dLbl>
            <c:dLbl>
              <c:idx val="21"/>
              <c:layout>
                <c:manualLayout>
                  <c:x val="-0.15635091157721243"/>
                  <c:y val="-6.407379371951021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25-4C5A-9BFF-FAD078D7ED11}"/>
                </c:ext>
              </c:extLst>
            </c:dLbl>
            <c:dLbl>
              <c:idx val="22"/>
              <c:layout>
                <c:manualLayout>
                  <c:x val="-0.17275780904331622"/>
                  <c:y val="-5.638146844206617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725-4C5A-9BFF-FAD078D7ED11}"/>
                </c:ext>
              </c:extLst>
            </c:dLbl>
            <c:dLbl>
              <c:idx val="23"/>
              <c:layout>
                <c:manualLayout>
                  <c:x val="-0.18178160264967316"/>
                  <c:y val="-4.591135785161994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725-4C5A-9BFF-FAD078D7ED11}"/>
                </c:ext>
              </c:extLst>
            </c:dLbl>
            <c:dLbl>
              <c:idx val="24"/>
              <c:layout>
                <c:manualLayout>
                  <c:x val="-9.8106425572544176E-2"/>
                  <c:y val="-3.821903257417615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725-4C5A-9BFF-FAD078D7ED11}"/>
                </c:ext>
              </c:extLst>
            </c:dLbl>
            <c:dLbl>
              <c:idx val="25"/>
              <c:layout>
                <c:manualLayout>
                  <c:x val="-0.16209332569034862"/>
                  <c:y val="-2.774892198372971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725-4C5A-9BFF-FAD078D7ED1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Resumen!$C$10:$C$15</c:f>
              <c:strCache>
                <c:ptCount val="6"/>
                <c:pt idx="0">
                  <c:v>LIMPIEZA</c:v>
                </c:pt>
                <c:pt idx="1">
                  <c:v>NIVELACION</c:v>
                </c:pt>
                <c:pt idx="2">
                  <c:v>REPLANTEO</c:v>
                </c:pt>
                <c:pt idx="3">
                  <c:v>EXCAVACION</c:v>
                </c:pt>
                <c:pt idx="4">
                  <c:v>HORMIGON LIMPIEZA</c:v>
                </c:pt>
                <c:pt idx="5">
                  <c:v>HORMIGON BASES</c:v>
                </c:pt>
              </c:strCache>
            </c:strRef>
          </c:cat>
          <c:val>
            <c:numRef>
              <c:f>Resumen!$H$10:$H$15</c:f>
              <c:numCache>
                <c:formatCode>0.00%</c:formatCode>
                <c:ptCount val="6"/>
                <c:pt idx="0">
                  <c:v>5.9793736023569357E-3</c:v>
                </c:pt>
                <c:pt idx="1">
                  <c:v>3.1165663007243011E-2</c:v>
                </c:pt>
                <c:pt idx="2">
                  <c:v>1.463712720704285E-2</c:v>
                </c:pt>
                <c:pt idx="3">
                  <c:v>1.1631185266800041E-2</c:v>
                </c:pt>
                <c:pt idx="4">
                  <c:v>2.6970099700110049E-3</c:v>
                </c:pt>
                <c:pt idx="5">
                  <c:v>0.33036785793033074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F725-4C5A-9BFF-FAD078D7ED1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273339808"/>
        <c:axId val="273340368"/>
      </c:barChart>
      <c:catAx>
        <c:axId val="273339808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2733403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3340368"/>
        <c:scaling>
          <c:orientation val="minMax"/>
          <c:max val="0.35000000000000031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/>
                  <a:t>Porcentaje de Composición</a:t>
                </a:r>
              </a:p>
            </c:rich>
          </c:tx>
          <c:layout>
            <c:manualLayout>
              <c:xMode val="edge"/>
              <c:yMode val="edge"/>
              <c:x val="0.8285483220382367"/>
              <c:y val="0.77500210232775169"/>
            </c:manualLayout>
          </c:layout>
          <c:overlay val="0"/>
          <c:spPr>
            <a:noFill/>
            <a:ln w="25400">
              <a:noFill/>
            </a:ln>
          </c:spPr>
        </c:title>
        <c:numFmt formatCode="0.0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27333980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0122" r="0.75000000000000122" t="1" header="0.5" footer="0.5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68658892128279858"/>
          <c:y val="3.061232116031858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4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title>
    <c:autoTitleDeleted val="0"/>
    <c:plotArea>
      <c:layout>
        <c:manualLayout>
          <c:layoutTarget val="inner"/>
          <c:xMode val="edge"/>
          <c:yMode val="edge"/>
          <c:x val="0.21574344023323669"/>
          <c:y val="0.15816365932831269"/>
          <c:w val="0.72886297376093256"/>
          <c:h val="0.6632669584735696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Resumen!$C$37</c:f>
              <c:strCache>
                <c:ptCount val="1"/>
                <c:pt idx="0">
                  <c:v>Costos Indirectos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7.9547241552412995E-4"/>
                  <c:y val="-4.8068648016886964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E4F-4A5F-9AB2-36159E18AF84}"/>
                </c:ext>
              </c:extLst>
            </c:dLbl>
            <c:dLbl>
              <c:idx val="1"/>
              <c:layout>
                <c:manualLayout>
                  <c:x val="-0.4956049408293679"/>
                  <c:y val="-1.331027100411460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E4F-4A5F-9AB2-36159E18AF84}"/>
                </c:ext>
              </c:extLst>
            </c:dLbl>
            <c:dLbl>
              <c:idx val="2"/>
              <c:layout>
                <c:manualLayout>
                  <c:x val="3.9751186421231571E-2"/>
                  <c:y val="-1.160957015310207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E4F-4A5F-9AB2-36159E18AF8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Resumen!$C$39:$C$41</c:f>
              <c:strCache>
                <c:ptCount val="3"/>
                <c:pt idx="0">
                  <c:v>Indirectos Iniciales</c:v>
                </c:pt>
                <c:pt idx="1">
                  <c:v>Indirectos Operativos</c:v>
                </c:pt>
                <c:pt idx="2">
                  <c:v>Indirectos Finales</c:v>
                </c:pt>
              </c:strCache>
            </c:strRef>
          </c:cat>
          <c:val>
            <c:numRef>
              <c:f>Resumen!$H$39:$H$41</c:f>
              <c:numCache>
                <c:formatCode>0.00%</c:formatCode>
                <c:ptCount val="3"/>
                <c:pt idx="0">
                  <c:v>0</c:v>
                </c:pt>
                <c:pt idx="1">
                  <c:v>0.60352178301621529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4F-4A5F-9AB2-36159E18AF8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274596320"/>
        <c:axId val="274596880"/>
      </c:barChart>
      <c:catAx>
        <c:axId val="274596320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2745968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4596880"/>
        <c:scaling>
          <c:orientation val="minMax"/>
          <c:max val="0.35000000000000031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/>
                  <a:t>Porcentaje de Composición</a:t>
                </a:r>
              </a:p>
            </c:rich>
          </c:tx>
          <c:layout>
            <c:manualLayout>
              <c:xMode val="edge"/>
              <c:yMode val="edge"/>
              <c:x val="0.69241982507288635"/>
              <c:y val="0.6071443696796518"/>
            </c:manualLayout>
          </c:layout>
          <c:overlay val="0"/>
          <c:spPr>
            <a:noFill/>
            <a:ln w="25400">
              <a:noFill/>
            </a:ln>
          </c:spPr>
        </c:title>
        <c:numFmt formatCode="0.0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27459632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0122" r="0.75000000000000122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65401506473473481"/>
          <c:y val="3.750011444126724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4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title>
    <c:autoTitleDeleted val="0"/>
    <c:plotArea>
      <c:layout>
        <c:manualLayout>
          <c:layoutTarget val="inner"/>
          <c:xMode val="edge"/>
          <c:yMode val="edge"/>
          <c:x val="0.20291985267439369"/>
          <c:y val="0.18125055313279187"/>
          <c:w val="0.74160636804742253"/>
          <c:h val="0.6000018310602769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Resumen!$C$43</c:f>
              <c:strCache>
                <c:ptCount val="1"/>
                <c:pt idx="0">
                  <c:v>Otros Costos Menores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5034477276858524E-2"/>
                  <c:y val="-1.626365968550136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F9D-444D-AA6F-5BB0C469C2A1}"/>
                </c:ext>
              </c:extLst>
            </c:dLbl>
            <c:dLbl>
              <c:idx val="1"/>
              <c:layout>
                <c:manualLayout>
                  <c:x val="7.0654912111224433E-2"/>
                  <c:y val="-1.001397029880257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F9D-444D-AA6F-5BB0C469C2A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Resumen!$C$44:$C$45</c:f>
              <c:strCache>
                <c:ptCount val="2"/>
                <c:pt idx="0">
                  <c:v>Energía Eléctrica</c:v>
                </c:pt>
                <c:pt idx="1">
                  <c:v>Alquiler de Equipos</c:v>
                </c:pt>
              </c:strCache>
            </c:strRef>
          </c:cat>
          <c:val>
            <c:numRef>
              <c:f>Resumen!$H$44:$H$45</c:f>
              <c:numCache>
                <c:formatCode>0.00%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9D-444D-AA6F-5BB0C469C2A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274599120"/>
        <c:axId val="274599680"/>
      </c:barChart>
      <c:catAx>
        <c:axId val="274599120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2745996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4599680"/>
        <c:scaling>
          <c:orientation val="minMax"/>
          <c:max val="0.35000000000000031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/>
                  <a:t>Porcentaje de Composición</a:t>
                </a:r>
              </a:p>
            </c:rich>
          </c:tx>
          <c:layout>
            <c:manualLayout>
              <c:xMode val="edge"/>
              <c:yMode val="edge"/>
              <c:x val="0.69051144111502127"/>
              <c:y val="0.61875188828091021"/>
            </c:manualLayout>
          </c:layout>
          <c:overlay val="0"/>
          <c:spPr>
            <a:noFill/>
            <a:ln w="25400">
              <a:noFill/>
            </a:ln>
          </c:spPr>
        </c:title>
        <c:numFmt formatCode="0.0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27459912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0122" r="0.75000000000000122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800"/>
              <a:t>Curva</a:t>
            </a:r>
            <a:r>
              <a:rPr lang="es-AR" sz="1800" baseline="0"/>
              <a:t> de Inversiones prevista</a:t>
            </a:r>
            <a:endParaRPr lang="es-AR" sz="1800"/>
          </a:p>
        </c:rich>
      </c:tx>
      <c:layout>
        <c:manualLayout>
          <c:xMode val="edge"/>
          <c:yMode val="edge"/>
          <c:x val="0.105428486898811"/>
          <c:y val="7.32703633805610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08451641011796"/>
          <c:y val="0.20321060079666314"/>
          <c:w val="0.80525012377750416"/>
          <c:h val="0.7041980786963955"/>
        </c:manualLayout>
      </c:layout>
      <c:barChart>
        <c:barDir val="col"/>
        <c:grouping val="clustered"/>
        <c:varyColors val="0"/>
        <c:ser>
          <c:idx val="0"/>
          <c:order val="0"/>
          <c:tx>
            <c:v>Avance Mensual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Crono!$Q$7:$BL$10</c:f>
              <c:strCache>
                <c:ptCount val="15"/>
                <c:pt idx="0">
                  <c:v>0,5</c:v>
                </c:pt>
                <c:pt idx="1">
                  <c:v>1,0</c:v>
                </c:pt>
                <c:pt idx="2">
                  <c:v>1,5</c:v>
                </c:pt>
                <c:pt idx="3">
                  <c:v>2,0</c:v>
                </c:pt>
                <c:pt idx="4">
                  <c:v>2,5</c:v>
                </c:pt>
                <c:pt idx="5">
                  <c:v>3,0</c:v>
                </c:pt>
                <c:pt idx="6">
                  <c:v>3,5</c:v>
                </c:pt>
                <c:pt idx="7">
                  <c:v>4,0</c:v>
                </c:pt>
                <c:pt idx="8">
                  <c:v>4,5</c:v>
                </c:pt>
                <c:pt idx="9">
                  <c:v>5,0</c:v>
                </c:pt>
                <c:pt idx="10">
                  <c:v>5,5</c:v>
                </c:pt>
                <c:pt idx="11">
                  <c:v>6,0</c:v>
                </c:pt>
                <c:pt idx="12">
                  <c:v>6,5</c:v>
                </c:pt>
                <c:pt idx="13">
                  <c:v>7,0</c:v>
                </c:pt>
                <c:pt idx="14">
                  <c:v>7,5</c:v>
                </c:pt>
              </c:strCache>
            </c:strRef>
          </c:cat>
          <c:val>
            <c:numRef>
              <c:f>Crono!$Q$62:$BL$62</c:f>
              <c:numCache>
                <c:formatCode>#,##0</c:formatCode>
                <c:ptCount val="15"/>
                <c:pt idx="0">
                  <c:v>107.05218773072502</c:v>
                </c:pt>
                <c:pt idx="1">
                  <c:v>482.22861880635321</c:v>
                </c:pt>
                <c:pt idx="2">
                  <c:v>49.996206979477051</c:v>
                </c:pt>
                <c:pt idx="3">
                  <c:v>101.83901033697022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D0-44EF-B8D6-D1E7877FDB0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74602480"/>
        <c:axId val="274603040"/>
      </c:barChart>
      <c:lineChart>
        <c:grouping val="standard"/>
        <c:varyColors val="0"/>
        <c:ser>
          <c:idx val="1"/>
          <c:order val="1"/>
          <c:tx>
            <c:v>Avance acumulado (%)</c:v>
          </c:tx>
          <c:val>
            <c:numRef>
              <c:f>Crono!$Q$66:$AN$66</c:f>
              <c:numCache>
                <c:formatCode>0.0%</c:formatCode>
                <c:ptCount val="15"/>
                <c:pt idx="0">
                  <c:v>0.14444727179705788</c:v>
                </c:pt>
                <c:pt idx="1">
                  <c:v>0.79512625226079847</c:v>
                </c:pt>
                <c:pt idx="2">
                  <c:v>0.86258695391924534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23-4843-82D3-2BC58B7F5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4671456"/>
        <c:axId val="224670896"/>
      </c:lineChart>
      <c:catAx>
        <c:axId val="274602480"/>
        <c:scaling>
          <c:orientation val="minMax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 sz="1000"/>
                  <a:t>Meses</a:t>
                </a:r>
              </a:p>
            </c:rich>
          </c:tx>
          <c:layout>
            <c:manualLayout>
              <c:xMode val="edge"/>
              <c:yMode val="edge"/>
              <c:x val="0.93602348935222146"/>
              <c:y val="0.9313149121753652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274603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4603040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/>
                  <a:t>Valores en miles de [$]</a:t>
                </a:r>
              </a:p>
            </c:rich>
          </c:tx>
          <c:layout>
            <c:manualLayout>
              <c:xMode val="edge"/>
              <c:yMode val="edge"/>
              <c:x val="1.2593086567580189E-2"/>
              <c:y val="0.3875425495995871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274602480"/>
        <c:crosses val="autoZero"/>
        <c:crossBetween val="between"/>
      </c:valAx>
      <c:valAx>
        <c:axId val="2246708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AR"/>
          </a:p>
        </c:txPr>
        <c:crossAx val="224671456"/>
        <c:crosses val="max"/>
        <c:crossBetween val="between"/>
      </c:valAx>
      <c:catAx>
        <c:axId val="224671456"/>
        <c:scaling>
          <c:orientation val="minMax"/>
        </c:scaling>
        <c:delete val="1"/>
        <c:axPos val="b"/>
        <c:majorTickMark val="out"/>
        <c:minorTickMark val="none"/>
        <c:tickLblPos val="none"/>
        <c:crossAx val="22467089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0"/>
        <c:txPr>
          <a:bodyPr/>
          <a:lstStyle/>
          <a:p>
            <a:pPr rtl="0">
              <a:defRPr sz="600"/>
            </a:pPr>
            <a:endParaRPr lang="es-AR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1086386035963235"/>
          <c:y val="0.15268708933244643"/>
          <c:w val="0.40007534434849218"/>
          <c:h val="3.712194003048171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Flujo de Erogación Económica en Miles de Pesos</a:t>
            </a:r>
          </a:p>
        </c:rich>
      </c:tx>
      <c:layout>
        <c:manualLayout>
          <c:xMode val="edge"/>
          <c:yMode val="edge"/>
          <c:x val="4.7984667399245196E-3"/>
          <c:y val="3.8461591966023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808108190430164E-2"/>
          <c:y val="0.15099736105179606"/>
          <c:w val="0.88675665353805044"/>
          <c:h val="0.75641130866512662"/>
        </c:manualLayout>
      </c:layout>
      <c:barChart>
        <c:barDir val="col"/>
        <c:grouping val="clustered"/>
        <c:varyColors val="0"/>
        <c:ser>
          <c:idx val="0"/>
          <c:order val="0"/>
          <c:tx>
            <c:v>Erogación Económica en Miles de Pesos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Crono!$Q$7:$BL$10</c:f>
              <c:strCache>
                <c:ptCount val="15"/>
                <c:pt idx="0">
                  <c:v>0,5</c:v>
                </c:pt>
                <c:pt idx="1">
                  <c:v>1,0</c:v>
                </c:pt>
                <c:pt idx="2">
                  <c:v>1,5</c:v>
                </c:pt>
                <c:pt idx="3">
                  <c:v>2,0</c:v>
                </c:pt>
                <c:pt idx="4">
                  <c:v>2,5</c:v>
                </c:pt>
                <c:pt idx="5">
                  <c:v>3,0</c:v>
                </c:pt>
                <c:pt idx="6">
                  <c:v>3,5</c:v>
                </c:pt>
                <c:pt idx="7">
                  <c:v>4,0</c:v>
                </c:pt>
                <c:pt idx="8">
                  <c:v>4,5</c:v>
                </c:pt>
                <c:pt idx="9">
                  <c:v>5,0</c:v>
                </c:pt>
                <c:pt idx="10">
                  <c:v>5,5</c:v>
                </c:pt>
                <c:pt idx="11">
                  <c:v>6,0</c:v>
                </c:pt>
                <c:pt idx="12">
                  <c:v>6,5</c:v>
                </c:pt>
                <c:pt idx="13">
                  <c:v>7,0</c:v>
                </c:pt>
                <c:pt idx="14">
                  <c:v>7,5</c:v>
                </c:pt>
              </c:strCache>
            </c:strRef>
          </c:cat>
          <c:val>
            <c:numRef>
              <c:f>Crono!$Q$62:$BL$62</c:f>
              <c:numCache>
                <c:formatCode>#,##0</c:formatCode>
                <c:ptCount val="15"/>
                <c:pt idx="0">
                  <c:v>107.05218773072502</c:v>
                </c:pt>
                <c:pt idx="1">
                  <c:v>482.22861880635321</c:v>
                </c:pt>
                <c:pt idx="2">
                  <c:v>49.996206979477051</c:v>
                </c:pt>
                <c:pt idx="3">
                  <c:v>101.83901033697022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D0-44EF-B8D6-D1E7877FDB0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24674256"/>
        <c:axId val="224674816"/>
      </c:barChart>
      <c:catAx>
        <c:axId val="224674256"/>
        <c:scaling>
          <c:orientation val="minMax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/>
                  <a:t>Meses</a:t>
                </a:r>
              </a:p>
            </c:rich>
          </c:tx>
          <c:layout>
            <c:manualLayout>
              <c:xMode val="edge"/>
              <c:yMode val="edge"/>
              <c:x val="0.92418469410946069"/>
              <c:y val="0.9487192684952431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2246748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4674816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/>
                  <a:t>Valores en miles de [$]</a:t>
                </a:r>
              </a:p>
            </c:rich>
          </c:tx>
          <c:layout>
            <c:manualLayout>
              <c:xMode val="edge"/>
              <c:yMode val="edge"/>
              <c:x val="2.5911720395592343E-2"/>
              <c:y val="0.383191416254084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22467425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6391557697579433"/>
          <c:y val="4.2735102184470387E-2"/>
          <c:w val="0.30326309796322892"/>
          <c:h val="3.84615919660234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0122" r="0.75000000000000122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Histograma de Personal</a:t>
            </a:r>
          </a:p>
        </c:rich>
      </c:tx>
      <c:layout>
        <c:manualLayout>
          <c:xMode val="edge"/>
          <c:yMode val="edge"/>
          <c:x val="0.31957788487897326"/>
          <c:y val="2.935423548556328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56626827833955"/>
          <c:y val="0.20352269936657152"/>
          <c:w val="0.8733209466662607"/>
          <c:h val="0.669276569070840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Crono!$P$63</c:f>
              <c:strCache>
                <c:ptCount val="1"/>
                <c:pt idx="0">
                  <c:v>Hs Hombre de Personal Directo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3366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Crono!$Q$7:$BL$10</c:f>
              <c:strCache>
                <c:ptCount val="15"/>
                <c:pt idx="0">
                  <c:v>0,5</c:v>
                </c:pt>
                <c:pt idx="1">
                  <c:v>1,0</c:v>
                </c:pt>
                <c:pt idx="2">
                  <c:v>1,5</c:v>
                </c:pt>
                <c:pt idx="3">
                  <c:v>2,0</c:v>
                </c:pt>
                <c:pt idx="4">
                  <c:v>2,5</c:v>
                </c:pt>
                <c:pt idx="5">
                  <c:v>3,0</c:v>
                </c:pt>
                <c:pt idx="6">
                  <c:v>3,5</c:v>
                </c:pt>
                <c:pt idx="7">
                  <c:v>4,0</c:v>
                </c:pt>
                <c:pt idx="8">
                  <c:v>4,5</c:v>
                </c:pt>
                <c:pt idx="9">
                  <c:v>5,0</c:v>
                </c:pt>
                <c:pt idx="10">
                  <c:v>5,5</c:v>
                </c:pt>
                <c:pt idx="11">
                  <c:v>6,0</c:v>
                </c:pt>
                <c:pt idx="12">
                  <c:v>6,5</c:v>
                </c:pt>
                <c:pt idx="13">
                  <c:v>7,0</c:v>
                </c:pt>
                <c:pt idx="14">
                  <c:v>7,5</c:v>
                </c:pt>
              </c:strCache>
            </c:strRef>
          </c:cat>
          <c:val>
            <c:numRef>
              <c:f>Crono!$Q$63:$BM$63</c:f>
              <c:numCache>
                <c:formatCode>#,##0</c:formatCode>
                <c:ptCount val="15"/>
                <c:pt idx="0">
                  <c:v>0.93361152282742288</c:v>
                </c:pt>
                <c:pt idx="1">
                  <c:v>1.0938447068985833</c:v>
                </c:pt>
                <c:pt idx="2">
                  <c:v>0.75028862670008167</c:v>
                </c:pt>
                <c:pt idx="3">
                  <c:v>0.75028862670008167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68-467B-9CB2-1D3650198C64}"/>
            </c:ext>
          </c:extLst>
        </c:ser>
        <c:ser>
          <c:idx val="1"/>
          <c:order val="1"/>
          <c:tx>
            <c:strRef>
              <c:f>Crono!$P$64</c:f>
              <c:strCache>
                <c:ptCount val="1"/>
                <c:pt idx="0">
                  <c:v>Hs Hombre de personal Indirect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800080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Crono!$Q$7:$BL$10</c:f>
              <c:strCache>
                <c:ptCount val="15"/>
                <c:pt idx="0">
                  <c:v>0,5</c:v>
                </c:pt>
                <c:pt idx="1">
                  <c:v>1,0</c:v>
                </c:pt>
                <c:pt idx="2">
                  <c:v>1,5</c:v>
                </c:pt>
                <c:pt idx="3">
                  <c:v>2,0</c:v>
                </c:pt>
                <c:pt idx="4">
                  <c:v>2,5</c:v>
                </c:pt>
                <c:pt idx="5">
                  <c:v>3,0</c:v>
                </c:pt>
                <c:pt idx="6">
                  <c:v>3,5</c:v>
                </c:pt>
                <c:pt idx="7">
                  <c:v>4,0</c:v>
                </c:pt>
                <c:pt idx="8">
                  <c:v>4,5</c:v>
                </c:pt>
                <c:pt idx="9">
                  <c:v>5,0</c:v>
                </c:pt>
                <c:pt idx="10">
                  <c:v>5,5</c:v>
                </c:pt>
                <c:pt idx="11">
                  <c:v>6,0</c:v>
                </c:pt>
                <c:pt idx="12">
                  <c:v>6,5</c:v>
                </c:pt>
                <c:pt idx="13">
                  <c:v>7,0</c:v>
                </c:pt>
                <c:pt idx="14">
                  <c:v>7,5</c:v>
                </c:pt>
              </c:strCache>
            </c:strRef>
          </c:cat>
          <c:val>
            <c:numRef>
              <c:f>Crono!$Q$64:$BL$64</c:f>
              <c:numCache>
                <c:formatCode>#,##0</c:formatCode>
                <c:ptCount val="15"/>
                <c:pt idx="0">
                  <c:v>0.75028862670008167</c:v>
                </c:pt>
                <c:pt idx="1">
                  <c:v>0.75028862670008167</c:v>
                </c:pt>
                <c:pt idx="2">
                  <c:v>0.75028862670008167</c:v>
                </c:pt>
                <c:pt idx="3">
                  <c:v>0.75028862670008167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68-467B-9CB2-1D3650198C6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24677616"/>
        <c:axId val="224678176"/>
      </c:barChart>
      <c:catAx>
        <c:axId val="224677616"/>
        <c:scaling>
          <c:orientation val="minMax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/>
                  <a:t>Meses</a:t>
                </a:r>
              </a:p>
            </c:rich>
          </c:tx>
          <c:layout>
            <c:manualLayout>
              <c:xMode val="edge"/>
              <c:yMode val="edge"/>
              <c:x val="0.91650714732558114"/>
              <c:y val="0.9295507903761680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2246781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4678176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/>
                  <a:t>Cantidad Personal Directo</a:t>
                </a:r>
              </a:p>
            </c:rich>
          </c:tx>
          <c:layout>
            <c:manualLayout>
              <c:xMode val="edge"/>
              <c:yMode val="edge"/>
              <c:x val="3.3589267179471638E-2"/>
              <c:y val="0.3365952335677913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22467761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70153583737696312"/>
          <c:y val="4.3052878712159355E-2"/>
          <c:w val="0.28502892435151633"/>
          <c:h val="0.129158636136478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0122" r="0.75000000000000122" t="1" header="0.5" footer="0.5"/>
    <c:pageSetup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Gráfico1"/>
  <sheetViews>
    <sheetView workbookViewId="0"/>
  </sheetViews>
  <pageMargins left="0.7" right="0.7" top="0.75" bottom="0.75" header="0.3" footer="0.3"/>
  <pageSetup orientation="landscape" r:id="rId1"/>
  <drawing r:id="rId2"/>
</chartsheet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41</xdr:row>
      <xdr:rowOff>19050</xdr:rowOff>
    </xdr:from>
    <xdr:to>
      <xdr:col>3</xdr:col>
      <xdr:colOff>561975</xdr:colOff>
      <xdr:row>44</xdr:row>
      <xdr:rowOff>66675</xdr:rowOff>
    </xdr:to>
    <xdr:sp macro="" textlink="">
      <xdr:nvSpPr>
        <xdr:cNvPr id="1030" name="CommandButton1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PrintsWithSheet="0"/>
  </xdr:twoCellAnchor>
  <xdr:twoCellAnchor editAs="oneCell">
    <xdr:from>
      <xdr:col>3</xdr:col>
      <xdr:colOff>590550</xdr:colOff>
      <xdr:row>41</xdr:row>
      <xdr:rowOff>19050</xdr:rowOff>
    </xdr:from>
    <xdr:to>
      <xdr:col>6</xdr:col>
      <xdr:colOff>123825</xdr:colOff>
      <xdr:row>44</xdr:row>
      <xdr:rowOff>66675</xdr:rowOff>
    </xdr:to>
    <xdr:sp macro="" textlink="">
      <xdr:nvSpPr>
        <xdr:cNvPr id="1034" name="CommandButton2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PrintsWithSheet="0"/>
  </xdr:twoCellAnchor>
  <xdr:twoCellAnchor editAs="oneCell">
    <xdr:from>
      <xdr:col>9</xdr:col>
      <xdr:colOff>542925</xdr:colOff>
      <xdr:row>41</xdr:row>
      <xdr:rowOff>19050</xdr:rowOff>
    </xdr:from>
    <xdr:to>
      <xdr:col>11</xdr:col>
      <xdr:colOff>552450</xdr:colOff>
      <xdr:row>44</xdr:row>
      <xdr:rowOff>66675</xdr:rowOff>
    </xdr:to>
    <xdr:sp macro="" textlink="">
      <xdr:nvSpPr>
        <xdr:cNvPr id="1035" name="CommandButton3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PrintsWithSheet="0"/>
  </xdr:twoCellAnchor>
  <xdr:twoCellAnchor editAs="oneCell">
    <xdr:from>
      <xdr:col>15</xdr:col>
      <xdr:colOff>847725</xdr:colOff>
      <xdr:row>41</xdr:row>
      <xdr:rowOff>19050</xdr:rowOff>
    </xdr:from>
    <xdr:to>
      <xdr:col>18</xdr:col>
      <xdr:colOff>466725</xdr:colOff>
      <xdr:row>44</xdr:row>
      <xdr:rowOff>66675</xdr:rowOff>
    </xdr:to>
    <xdr:sp macro="" textlink="">
      <xdr:nvSpPr>
        <xdr:cNvPr id="1036" name="CommandButton4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PrintsWithSheet="0"/>
  </xdr:twoCellAnchor>
  <xdr:twoCellAnchor editAs="oneCell">
    <xdr:from>
      <xdr:col>1</xdr:col>
      <xdr:colOff>47625</xdr:colOff>
      <xdr:row>41</xdr:row>
      <xdr:rowOff>19050</xdr:rowOff>
    </xdr:from>
    <xdr:to>
      <xdr:col>3</xdr:col>
      <xdr:colOff>561975</xdr:colOff>
      <xdr:row>44</xdr:row>
      <xdr:rowOff>66675</xdr:rowOff>
    </xdr:to>
    <xdr:sp macro="" textlink="">
      <xdr:nvSpPr>
        <xdr:cNvPr id="2" name="CommandButton1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PrintsWithSheet="0"/>
  </xdr:twoCellAnchor>
  <xdr:twoCellAnchor editAs="oneCell">
    <xdr:from>
      <xdr:col>15</xdr:col>
      <xdr:colOff>847725</xdr:colOff>
      <xdr:row>41</xdr:row>
      <xdr:rowOff>19050</xdr:rowOff>
    </xdr:from>
    <xdr:to>
      <xdr:col>18</xdr:col>
      <xdr:colOff>466725</xdr:colOff>
      <xdr:row>44</xdr:row>
      <xdr:rowOff>66675</xdr:rowOff>
    </xdr:to>
    <xdr:sp macro="" textlink="">
      <xdr:nvSpPr>
        <xdr:cNvPr id="3" name="CommandButton4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PrintsWithSheet="0"/>
  </xdr:twoCellAnchor>
  <xdr:twoCellAnchor editAs="oneCell">
    <xdr:from>
      <xdr:col>1</xdr:col>
      <xdr:colOff>47625</xdr:colOff>
      <xdr:row>41</xdr:row>
      <xdr:rowOff>19050</xdr:rowOff>
    </xdr:from>
    <xdr:to>
      <xdr:col>1</xdr:col>
      <xdr:colOff>57150</xdr:colOff>
      <xdr:row>41</xdr:row>
      <xdr:rowOff>28575</xdr:rowOff>
    </xdr:to>
    <xdr:pic>
      <xdr:nvPicPr>
        <xdr:cNvPr id="4" name="CommandButton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6705600"/>
          <a:ext cx="9525" cy="952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15</xdr:col>
      <xdr:colOff>847725</xdr:colOff>
      <xdr:row>41</xdr:row>
      <xdr:rowOff>19050</xdr:rowOff>
    </xdr:from>
    <xdr:to>
      <xdr:col>15</xdr:col>
      <xdr:colOff>857250</xdr:colOff>
      <xdr:row>41</xdr:row>
      <xdr:rowOff>28575</xdr:rowOff>
    </xdr:to>
    <xdr:pic>
      <xdr:nvPicPr>
        <xdr:cNvPr id="5" name="CommandButton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6705600"/>
          <a:ext cx="9525" cy="952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9</xdr:col>
      <xdr:colOff>542925</xdr:colOff>
      <xdr:row>41</xdr:row>
      <xdr:rowOff>19050</xdr:rowOff>
    </xdr:from>
    <xdr:to>
      <xdr:col>11</xdr:col>
      <xdr:colOff>552450</xdr:colOff>
      <xdr:row>44</xdr:row>
      <xdr:rowOff>66675</xdr:rowOff>
    </xdr:to>
    <xdr:sp macro="" textlink="">
      <xdr:nvSpPr>
        <xdr:cNvPr id="6" name="CommandButton3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PrintsWithSheet="0"/>
  </xdr:twoCellAnchor>
  <xdr:twoCellAnchor editAs="oneCell">
    <xdr:from>
      <xdr:col>3</xdr:col>
      <xdr:colOff>590550</xdr:colOff>
      <xdr:row>41</xdr:row>
      <xdr:rowOff>19050</xdr:rowOff>
    </xdr:from>
    <xdr:to>
      <xdr:col>6</xdr:col>
      <xdr:colOff>123825</xdr:colOff>
      <xdr:row>44</xdr:row>
      <xdr:rowOff>66675</xdr:rowOff>
    </xdr:to>
    <xdr:sp macro="" textlink="">
      <xdr:nvSpPr>
        <xdr:cNvPr id="7" name="CommandButton2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PrintsWithSheet="0"/>
  </xdr:twoCellAnchor>
  <xdr:twoCellAnchor editAs="oneCell">
    <xdr:from>
      <xdr:col>3</xdr:col>
      <xdr:colOff>590550</xdr:colOff>
      <xdr:row>41</xdr:row>
      <xdr:rowOff>19050</xdr:rowOff>
    </xdr:from>
    <xdr:to>
      <xdr:col>3</xdr:col>
      <xdr:colOff>600075</xdr:colOff>
      <xdr:row>41</xdr:row>
      <xdr:rowOff>28575</xdr:rowOff>
    </xdr:to>
    <xdr:pic>
      <xdr:nvPicPr>
        <xdr:cNvPr id="8" name="CommandButton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6705600"/>
          <a:ext cx="9525" cy="952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9</xdr:col>
      <xdr:colOff>542925</xdr:colOff>
      <xdr:row>41</xdr:row>
      <xdr:rowOff>19050</xdr:rowOff>
    </xdr:from>
    <xdr:to>
      <xdr:col>9</xdr:col>
      <xdr:colOff>552450</xdr:colOff>
      <xdr:row>41</xdr:row>
      <xdr:rowOff>28575</xdr:rowOff>
    </xdr:to>
    <xdr:pic>
      <xdr:nvPicPr>
        <xdr:cNvPr id="9" name="CommandButton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7925" y="6705600"/>
          <a:ext cx="9525" cy="952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0.84367</cdr:x>
      <cdr:y>0.06168</cdr:y>
    </cdr:from>
    <cdr:to>
      <cdr:x>0.9241</cdr:x>
      <cdr:y>0.18418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197C01C6-7336-484F-8A20-43744173202D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 cstate="print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10406540" y="497614"/>
          <a:ext cx="992118" cy="9882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 type="none" w="med" len="med"/>
        </a:ln>
        <a:effectLst xmlns:a="http://schemas.openxmlformats.org/drawingml/2006/main"/>
      </cdr:spPr>
    </cdr:pic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452438</xdr:colOff>
      <xdr:row>68</xdr:row>
      <xdr:rowOff>114300</xdr:rowOff>
    </xdr:from>
    <xdr:to>
      <xdr:col>65</xdr:col>
      <xdr:colOff>28575</xdr:colOff>
      <xdr:row>110</xdr:row>
      <xdr:rowOff>0</xdr:rowOff>
    </xdr:to>
    <xdr:graphicFrame macro="">
      <xdr:nvGraphicFramePr>
        <xdr:cNvPr id="18435" name="Chart 3">
          <a:extLst>
            <a:ext uri="{FF2B5EF4-FFF2-40B4-BE49-F238E27FC236}">
              <a16:creationId xmlns:a16="http://schemas.microsoft.com/office/drawing/2014/main" id="{00000000-0008-0000-0E00-0000034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488156</xdr:colOff>
      <xdr:row>110</xdr:row>
      <xdr:rowOff>28575</xdr:rowOff>
    </xdr:from>
    <xdr:to>
      <xdr:col>65</xdr:col>
      <xdr:colOff>28575</xdr:colOff>
      <xdr:row>140</xdr:row>
      <xdr:rowOff>38100</xdr:rowOff>
    </xdr:to>
    <xdr:graphicFrame macro="">
      <xdr:nvGraphicFramePr>
        <xdr:cNvPr id="18436" name="Chart 4">
          <a:extLst>
            <a:ext uri="{FF2B5EF4-FFF2-40B4-BE49-F238E27FC236}">
              <a16:creationId xmlns:a16="http://schemas.microsoft.com/office/drawing/2014/main" id="{00000000-0008-0000-0E00-0000044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22412</xdr:colOff>
      <xdr:row>93</xdr:row>
      <xdr:rowOff>28575</xdr:rowOff>
    </xdr:from>
    <xdr:to>
      <xdr:col>33</xdr:col>
      <xdr:colOff>0</xdr:colOff>
      <xdr:row>130</xdr:row>
      <xdr:rowOff>104775</xdr:rowOff>
    </xdr:to>
    <xdr:graphicFrame macro="">
      <xdr:nvGraphicFramePr>
        <xdr:cNvPr id="19457" name="Chart 1">
          <a:extLst>
            <a:ext uri="{FF2B5EF4-FFF2-40B4-BE49-F238E27FC236}">
              <a16:creationId xmlns:a16="http://schemas.microsoft.com/office/drawing/2014/main" id="{00000000-0008-0000-0F00-0000014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133350</xdr:colOff>
      <xdr:row>1</xdr:row>
      <xdr:rowOff>28575</xdr:rowOff>
    </xdr:from>
    <xdr:to>
      <xdr:col>11</xdr:col>
      <xdr:colOff>342900</xdr:colOff>
      <xdr:row>2</xdr:row>
      <xdr:rowOff>114300</xdr:rowOff>
    </xdr:to>
    <xdr:sp macro="" textlink="">
      <xdr:nvSpPr>
        <xdr:cNvPr id="4104" name="CommandButton1" hidden="1">
          <a:extLst>
            <a:ext uri="{63B3BB69-23CF-44E3-9099-C40C66FF867C}">
              <a14:compatExt xmlns:a14="http://schemas.microsoft.com/office/drawing/2010/main" spid="_x0000_s4104"/>
            </a:ext>
            <a:ext uri="{FF2B5EF4-FFF2-40B4-BE49-F238E27FC236}">
              <a16:creationId xmlns:a16="http://schemas.microsoft.com/office/drawing/2014/main" id="{00000000-0008-0000-1000-000008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PrintsWithSheet="0"/>
  </xdr:twoCellAnchor>
  <xdr:twoCellAnchor editAs="oneCell">
    <xdr:from>
      <xdr:col>9</xdr:col>
      <xdr:colOff>133350</xdr:colOff>
      <xdr:row>1</xdr:row>
      <xdr:rowOff>28575</xdr:rowOff>
    </xdr:from>
    <xdr:to>
      <xdr:col>11</xdr:col>
      <xdr:colOff>342900</xdr:colOff>
      <xdr:row>2</xdr:row>
      <xdr:rowOff>114300</xdr:rowOff>
    </xdr:to>
    <xdr:sp macro="" textlink="">
      <xdr:nvSpPr>
        <xdr:cNvPr id="2" name="CommandButton1" hidden="1">
          <a:extLst>
            <a:ext uri="{63B3BB69-23CF-44E3-9099-C40C66FF867C}">
              <a14:compatExt xmlns:a14="http://schemas.microsoft.com/office/drawing/2010/main" spid="_x0000_s4104"/>
            </a:ex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PrintsWithSheet="0"/>
  </xdr:twoCellAnchor>
  <xdr:twoCellAnchor editAs="oneCell">
    <xdr:from>
      <xdr:col>9</xdr:col>
      <xdr:colOff>133350</xdr:colOff>
      <xdr:row>1</xdr:row>
      <xdr:rowOff>28575</xdr:rowOff>
    </xdr:from>
    <xdr:to>
      <xdr:col>9</xdr:col>
      <xdr:colOff>142875</xdr:colOff>
      <xdr:row>1</xdr:row>
      <xdr:rowOff>38100</xdr:rowOff>
    </xdr:to>
    <xdr:pic>
      <xdr:nvPicPr>
        <xdr:cNvPr id="3" name="CommandButton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76200"/>
          <a:ext cx="9525" cy="952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219075</xdr:colOff>
      <xdr:row>4</xdr:row>
      <xdr:rowOff>19050</xdr:rowOff>
    </xdr:from>
    <xdr:to>
      <xdr:col>13</xdr:col>
      <xdr:colOff>847725</xdr:colOff>
      <xdr:row>6</xdr:row>
      <xdr:rowOff>76200</xdr:rowOff>
    </xdr:to>
    <xdr:sp macro="" textlink="">
      <xdr:nvSpPr>
        <xdr:cNvPr id="3076" name="CommandButton1" hidden="1">
          <a:extLst>
            <a:ext uri="{63B3BB69-23CF-44E3-9099-C40C66FF867C}">
              <a14:compatExt xmlns:a14="http://schemas.microsoft.com/office/drawing/2010/main" spid="_x0000_s3076"/>
            </a:ext>
            <a:ext uri="{FF2B5EF4-FFF2-40B4-BE49-F238E27FC236}">
              <a16:creationId xmlns:a16="http://schemas.microsoft.com/office/drawing/2014/main" id="{00000000-0008-0000-1100-0000040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219075</xdr:colOff>
      <xdr:row>4</xdr:row>
      <xdr:rowOff>19050</xdr:rowOff>
    </xdr:from>
    <xdr:to>
      <xdr:col>12</xdr:col>
      <xdr:colOff>228600</xdr:colOff>
      <xdr:row>4</xdr:row>
      <xdr:rowOff>28575</xdr:rowOff>
    </xdr:to>
    <xdr:sp macro="" textlink="">
      <xdr:nvSpPr>
        <xdr:cNvPr id="3" name="CommandButton1" hidden="1">
          <a:extLst>
            <a:ext uri="{63B3BB69-23CF-44E3-9099-C40C66FF867C}">
              <a14:compatExt xmlns:a14="http://schemas.microsoft.com/office/drawing/2010/main" spid="_x0000_s3076"/>
            </a:ex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219075</xdr:colOff>
      <xdr:row>4</xdr:row>
      <xdr:rowOff>19050</xdr:rowOff>
    </xdr:from>
    <xdr:to>
      <xdr:col>12</xdr:col>
      <xdr:colOff>228600</xdr:colOff>
      <xdr:row>4</xdr:row>
      <xdr:rowOff>28575</xdr:rowOff>
    </xdr:to>
    <xdr:pic>
      <xdr:nvPicPr>
        <xdr:cNvPr id="4" name="CommandButton1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0" y="552450"/>
          <a:ext cx="9525" cy="952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295275</xdr:colOff>
      <xdr:row>1</xdr:row>
      <xdr:rowOff>95250</xdr:rowOff>
    </xdr:from>
    <xdr:to>
      <xdr:col>19</xdr:col>
      <xdr:colOff>543215</xdr:colOff>
      <xdr:row>10</xdr:row>
      <xdr:rowOff>190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01300" y="142875"/>
          <a:ext cx="2076740" cy="136226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1</xdr:row>
      <xdr:rowOff>9525</xdr:rowOff>
    </xdr:from>
    <xdr:to>
      <xdr:col>6</xdr:col>
      <xdr:colOff>619125</xdr:colOff>
      <xdr:row>2</xdr:row>
      <xdr:rowOff>152400</xdr:rowOff>
    </xdr:to>
    <xdr:sp macro="" textlink="">
      <xdr:nvSpPr>
        <xdr:cNvPr id="5122" name="CommandButton1" hidden="1">
          <a:extLst>
            <a:ext uri="{63B3BB69-23CF-44E3-9099-C40C66FF867C}">
              <a14:compatExt xmlns:a14="http://schemas.microsoft.com/office/drawing/2010/main" spid="_x0000_s5122"/>
            </a:ext>
            <a:ext uri="{FF2B5EF4-FFF2-40B4-BE49-F238E27FC236}">
              <a16:creationId xmlns:a16="http://schemas.microsoft.com/office/drawing/2014/main" id="{00000000-0008-0000-1200-0000021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PrintsWithSheet="0"/>
  </xdr:twoCellAnchor>
  <xdr:twoCellAnchor editAs="oneCell">
    <xdr:from>
      <xdr:col>4</xdr:col>
      <xdr:colOff>857250</xdr:colOff>
      <xdr:row>1</xdr:row>
      <xdr:rowOff>9525</xdr:rowOff>
    </xdr:from>
    <xdr:to>
      <xdr:col>6</xdr:col>
      <xdr:colOff>619125</xdr:colOff>
      <xdr:row>2</xdr:row>
      <xdr:rowOff>152400</xdr:rowOff>
    </xdr:to>
    <xdr:sp macro="" textlink="">
      <xdr:nvSpPr>
        <xdr:cNvPr id="2" name="CommandButton1" hidden="1">
          <a:extLst>
            <a:ext uri="{63B3BB69-23CF-44E3-9099-C40C66FF867C}">
              <a14:compatExt xmlns:a14="http://schemas.microsoft.com/office/drawing/2010/main" spid="_x0000_s5122"/>
            </a:ex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PrintsWithSheet="0"/>
  </xdr:twoCellAnchor>
  <xdr:twoCellAnchor editAs="oneCell">
    <xdr:from>
      <xdr:col>4</xdr:col>
      <xdr:colOff>857250</xdr:colOff>
      <xdr:row>1</xdr:row>
      <xdr:rowOff>9525</xdr:rowOff>
    </xdr:from>
    <xdr:to>
      <xdr:col>5</xdr:col>
      <xdr:colOff>0</xdr:colOff>
      <xdr:row>1</xdr:row>
      <xdr:rowOff>19050</xdr:rowOff>
    </xdr:to>
    <xdr:pic>
      <xdr:nvPicPr>
        <xdr:cNvPr id="3" name="CommandButton1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0" y="57150"/>
          <a:ext cx="9525" cy="952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42</xdr:col>
      <xdr:colOff>0</xdr:colOff>
      <xdr:row>0</xdr:row>
      <xdr:rowOff>95252</xdr:rowOff>
    </xdr:from>
    <xdr:to>
      <xdr:col>43</xdr:col>
      <xdr:colOff>686272</xdr:colOff>
      <xdr:row>9</xdr:row>
      <xdr:rowOff>108857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61656" y="95252"/>
          <a:ext cx="1450994" cy="1309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4</xdr:row>
      <xdr:rowOff>9525</xdr:rowOff>
    </xdr:from>
    <xdr:to>
      <xdr:col>4</xdr:col>
      <xdr:colOff>114300</xdr:colOff>
      <xdr:row>5</xdr:row>
      <xdr:rowOff>180975</xdr:rowOff>
    </xdr:to>
    <xdr:sp macro="" textlink="">
      <xdr:nvSpPr>
        <xdr:cNvPr id="6146" name="CommandButton1" hidden="1">
          <a:extLst>
            <a:ext uri="{63B3BB69-23CF-44E3-9099-C40C66FF867C}">
              <a14:compatExt xmlns:a14="http://schemas.microsoft.com/office/drawing/2010/main" spid="_x0000_s6146"/>
            </a:ext>
            <a:ext uri="{FF2B5EF4-FFF2-40B4-BE49-F238E27FC236}">
              <a16:creationId xmlns:a16="http://schemas.microsoft.com/office/drawing/2014/main" id="{00000000-0008-0000-0200-000002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PrintsWithSheet="0"/>
  </xdr:twoCellAnchor>
  <xdr:twoCellAnchor editAs="oneCell">
    <xdr:from>
      <xdr:col>5</xdr:col>
      <xdr:colOff>142875</xdr:colOff>
      <xdr:row>4</xdr:row>
      <xdr:rowOff>9525</xdr:rowOff>
    </xdr:from>
    <xdr:to>
      <xdr:col>5</xdr:col>
      <xdr:colOff>1781175</xdr:colOff>
      <xdr:row>5</xdr:row>
      <xdr:rowOff>180975</xdr:rowOff>
    </xdr:to>
    <xdr:sp macro="" textlink="">
      <xdr:nvSpPr>
        <xdr:cNvPr id="6494" name="CommandButton2" hidden="1">
          <a:extLst>
            <a:ext uri="{63B3BB69-23CF-44E3-9099-C40C66FF867C}">
              <a14:compatExt xmlns:a14="http://schemas.microsoft.com/office/drawing/2010/main" spid="_x0000_s6494"/>
            </a:ext>
            <a:ext uri="{FF2B5EF4-FFF2-40B4-BE49-F238E27FC236}">
              <a16:creationId xmlns:a16="http://schemas.microsoft.com/office/drawing/2014/main" id="{00000000-0008-0000-0200-00005E1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PrintsWithSheet="0"/>
  </xdr:twoCellAnchor>
  <xdr:twoCellAnchor editAs="oneCell">
    <xdr:from>
      <xdr:col>14</xdr:col>
      <xdr:colOff>571497</xdr:colOff>
      <xdr:row>1</xdr:row>
      <xdr:rowOff>44822</xdr:rowOff>
    </xdr:from>
    <xdr:to>
      <xdr:col>15</xdr:col>
      <xdr:colOff>570378</xdr:colOff>
      <xdr:row>3</xdr:row>
      <xdr:rowOff>183349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3409" y="78440"/>
          <a:ext cx="592793" cy="54193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142875</xdr:colOff>
      <xdr:row>4</xdr:row>
      <xdr:rowOff>9525</xdr:rowOff>
    </xdr:from>
    <xdr:to>
      <xdr:col>2</xdr:col>
      <xdr:colOff>152400</xdr:colOff>
      <xdr:row>4</xdr:row>
      <xdr:rowOff>19050</xdr:rowOff>
    </xdr:to>
    <xdr:sp macro="" textlink="">
      <xdr:nvSpPr>
        <xdr:cNvPr id="2" name="CommandButton1" hidden="1">
          <a:extLst>
            <a:ext uri="{63B3BB69-23CF-44E3-9099-C40C66FF867C}">
              <a14:compatExt xmlns:a14="http://schemas.microsoft.com/office/drawing/2010/main" spid="_x0000_s6146"/>
            </a:ex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PrintsWithSheet="0"/>
  </xdr:twoCellAnchor>
  <xdr:twoCellAnchor editAs="oneCell">
    <xdr:from>
      <xdr:col>2</xdr:col>
      <xdr:colOff>142875</xdr:colOff>
      <xdr:row>4</xdr:row>
      <xdr:rowOff>9525</xdr:rowOff>
    </xdr:from>
    <xdr:to>
      <xdr:col>2</xdr:col>
      <xdr:colOff>152400</xdr:colOff>
      <xdr:row>4</xdr:row>
      <xdr:rowOff>19050</xdr:rowOff>
    </xdr:to>
    <xdr:pic>
      <xdr:nvPicPr>
        <xdr:cNvPr id="3" name="CommandButton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657225"/>
          <a:ext cx="9525" cy="952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5</xdr:col>
      <xdr:colOff>142875</xdr:colOff>
      <xdr:row>4</xdr:row>
      <xdr:rowOff>9525</xdr:rowOff>
    </xdr:from>
    <xdr:to>
      <xdr:col>5</xdr:col>
      <xdr:colOff>152400</xdr:colOff>
      <xdr:row>4</xdr:row>
      <xdr:rowOff>19050</xdr:rowOff>
    </xdr:to>
    <xdr:sp macro="" textlink="">
      <xdr:nvSpPr>
        <xdr:cNvPr id="6" name="CommandButton2" hidden="1">
          <a:extLst>
            <a:ext uri="{63B3BB69-23CF-44E3-9099-C40C66FF867C}">
              <a14:compatExt xmlns:a14="http://schemas.microsoft.com/office/drawing/2010/main" spid="_x0000_s6494"/>
            </a:ex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PrintsWithSheet="0"/>
  </xdr:twoCellAnchor>
  <xdr:twoCellAnchor editAs="oneCell">
    <xdr:from>
      <xdr:col>5</xdr:col>
      <xdr:colOff>142875</xdr:colOff>
      <xdr:row>4</xdr:row>
      <xdr:rowOff>9525</xdr:rowOff>
    </xdr:from>
    <xdr:to>
      <xdr:col>5</xdr:col>
      <xdr:colOff>152400</xdr:colOff>
      <xdr:row>4</xdr:row>
      <xdr:rowOff>19050</xdr:rowOff>
    </xdr:to>
    <xdr:pic>
      <xdr:nvPicPr>
        <xdr:cNvPr id="7" name="CommandButton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657225"/>
          <a:ext cx="9525" cy="952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2</xdr:row>
      <xdr:rowOff>38100</xdr:rowOff>
    </xdr:from>
    <xdr:to>
      <xdr:col>2</xdr:col>
      <xdr:colOff>658906</xdr:colOff>
      <xdr:row>3</xdr:row>
      <xdr:rowOff>133350</xdr:rowOff>
    </xdr:to>
    <xdr:sp macro="" textlink="">
      <xdr:nvSpPr>
        <xdr:cNvPr id="9222" name="CommandButton1" hidden="1">
          <a:extLst>
            <a:ext uri="{63B3BB69-23CF-44E3-9099-C40C66FF867C}">
              <a14:compatExt xmlns:a14="http://schemas.microsoft.com/office/drawing/2010/main" spid="_x0000_s9222"/>
            </a:ext>
            <a:ext uri="{FF2B5EF4-FFF2-40B4-BE49-F238E27FC236}">
              <a16:creationId xmlns:a16="http://schemas.microsoft.com/office/drawing/2014/main" id="{00000000-0008-0000-0300-000006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2</xdr:col>
      <xdr:colOff>1200150</xdr:colOff>
      <xdr:row>2</xdr:row>
      <xdr:rowOff>38100</xdr:rowOff>
    </xdr:from>
    <xdr:to>
      <xdr:col>3</xdr:col>
      <xdr:colOff>361950</xdr:colOff>
      <xdr:row>3</xdr:row>
      <xdr:rowOff>133350</xdr:rowOff>
    </xdr:to>
    <xdr:sp macro="" textlink="">
      <xdr:nvSpPr>
        <xdr:cNvPr id="9228" name="CommandButton2" hidden="1">
          <a:extLst>
            <a:ext uri="{63B3BB69-23CF-44E3-9099-C40C66FF867C}">
              <a14:compatExt xmlns:a14="http://schemas.microsoft.com/office/drawing/2010/main" spid="_x0000_s9228"/>
            </a:ext>
            <a:ext uri="{FF2B5EF4-FFF2-40B4-BE49-F238E27FC236}">
              <a16:creationId xmlns:a16="http://schemas.microsoft.com/office/drawing/2014/main" id="{00000000-0008-0000-0300-00000C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9</xdr:col>
      <xdr:colOff>1781733</xdr:colOff>
      <xdr:row>1</xdr:row>
      <xdr:rowOff>11204</xdr:rowOff>
    </xdr:from>
    <xdr:to>
      <xdr:col>9</xdr:col>
      <xdr:colOff>2374524</xdr:colOff>
      <xdr:row>3</xdr:row>
      <xdr:rowOff>172142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54351" y="56028"/>
          <a:ext cx="592791" cy="54193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57150</xdr:colOff>
      <xdr:row>2</xdr:row>
      <xdr:rowOff>38100</xdr:rowOff>
    </xdr:from>
    <xdr:to>
      <xdr:col>2</xdr:col>
      <xdr:colOff>658906</xdr:colOff>
      <xdr:row>3</xdr:row>
      <xdr:rowOff>133350</xdr:rowOff>
    </xdr:to>
    <xdr:sp macro="" textlink="">
      <xdr:nvSpPr>
        <xdr:cNvPr id="2" name="CommandButton1" hidden="1">
          <a:extLst>
            <a:ext uri="{63B3BB69-23CF-44E3-9099-C40C66FF867C}">
              <a14:compatExt xmlns:a14="http://schemas.microsoft.com/office/drawing/2010/main" spid="_x0000_s9222"/>
            </a:ex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2</xdr:col>
      <xdr:colOff>1200150</xdr:colOff>
      <xdr:row>2</xdr:row>
      <xdr:rowOff>38100</xdr:rowOff>
    </xdr:from>
    <xdr:to>
      <xdr:col>3</xdr:col>
      <xdr:colOff>361950</xdr:colOff>
      <xdr:row>3</xdr:row>
      <xdr:rowOff>133350</xdr:rowOff>
    </xdr:to>
    <xdr:sp macro="" textlink="">
      <xdr:nvSpPr>
        <xdr:cNvPr id="3" name="CommandButton2" hidden="1">
          <a:extLst>
            <a:ext uri="{63B3BB69-23CF-44E3-9099-C40C66FF867C}">
              <a14:compatExt xmlns:a14="http://schemas.microsoft.com/office/drawing/2010/main" spid="_x0000_s9228"/>
            </a:ex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2</xdr:col>
      <xdr:colOff>1200150</xdr:colOff>
      <xdr:row>2</xdr:row>
      <xdr:rowOff>38100</xdr:rowOff>
    </xdr:from>
    <xdr:to>
      <xdr:col>2</xdr:col>
      <xdr:colOff>1209675</xdr:colOff>
      <xdr:row>2</xdr:row>
      <xdr:rowOff>47625</xdr:rowOff>
    </xdr:to>
    <xdr:pic>
      <xdr:nvPicPr>
        <xdr:cNvPr id="6" name="CommandButton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76225"/>
          <a:ext cx="9525" cy="952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57150</xdr:colOff>
      <xdr:row>2</xdr:row>
      <xdr:rowOff>38100</xdr:rowOff>
    </xdr:from>
    <xdr:to>
      <xdr:col>1</xdr:col>
      <xdr:colOff>66675</xdr:colOff>
      <xdr:row>2</xdr:row>
      <xdr:rowOff>47625</xdr:rowOff>
    </xdr:to>
    <xdr:pic>
      <xdr:nvPicPr>
        <xdr:cNvPr id="7" name="CommandButton1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276225"/>
          <a:ext cx="9525" cy="952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2</xdr:row>
      <xdr:rowOff>38100</xdr:rowOff>
    </xdr:from>
    <xdr:to>
      <xdr:col>2</xdr:col>
      <xdr:colOff>923925</xdr:colOff>
      <xdr:row>3</xdr:row>
      <xdr:rowOff>114300</xdr:rowOff>
    </xdr:to>
    <xdr:sp macro="" textlink="">
      <xdr:nvSpPr>
        <xdr:cNvPr id="13313" name="CommandButton1" hidden="1">
          <a:extLst>
            <a:ext uri="{63B3BB69-23CF-44E3-9099-C40C66FF867C}">
              <a14:compatExt xmlns:a14="http://schemas.microsoft.com/office/drawing/2010/main" spid="_x0000_s13313"/>
            </a:ext>
            <a:ext uri="{FF2B5EF4-FFF2-40B4-BE49-F238E27FC236}">
              <a16:creationId xmlns:a16="http://schemas.microsoft.com/office/drawing/2014/main" id="{00000000-0008-0000-0400-0000013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2</xdr:col>
      <xdr:colOff>1009650</xdr:colOff>
      <xdr:row>2</xdr:row>
      <xdr:rowOff>38100</xdr:rowOff>
    </xdr:from>
    <xdr:to>
      <xdr:col>3</xdr:col>
      <xdr:colOff>190500</xdr:colOff>
      <xdr:row>3</xdr:row>
      <xdr:rowOff>114300</xdr:rowOff>
    </xdr:to>
    <xdr:sp macro="" textlink="">
      <xdr:nvSpPr>
        <xdr:cNvPr id="13314" name="CommandButton2" hidden="1">
          <a:extLst>
            <a:ext uri="{63B3BB69-23CF-44E3-9099-C40C66FF867C}">
              <a14:compatExt xmlns:a14="http://schemas.microsoft.com/office/drawing/2010/main" spid="_x0000_s13314"/>
            </a:ext>
            <a:ext uri="{FF2B5EF4-FFF2-40B4-BE49-F238E27FC236}">
              <a16:creationId xmlns:a16="http://schemas.microsoft.com/office/drawing/2014/main" id="{00000000-0008-0000-0400-0000023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2</xdr:col>
      <xdr:colOff>1009650</xdr:colOff>
      <xdr:row>2</xdr:row>
      <xdr:rowOff>38100</xdr:rowOff>
    </xdr:from>
    <xdr:to>
      <xdr:col>3</xdr:col>
      <xdr:colOff>190500</xdr:colOff>
      <xdr:row>3</xdr:row>
      <xdr:rowOff>114300</xdr:rowOff>
    </xdr:to>
    <xdr:sp macro="" textlink="">
      <xdr:nvSpPr>
        <xdr:cNvPr id="2" name="CommandButton2" hidden="1">
          <a:extLst>
            <a:ext uri="{63B3BB69-23CF-44E3-9099-C40C66FF867C}">
              <a14:compatExt xmlns:a14="http://schemas.microsoft.com/office/drawing/2010/main" spid="_x0000_s13314"/>
            </a:ex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1</xdr:col>
      <xdr:colOff>57150</xdr:colOff>
      <xdr:row>2</xdr:row>
      <xdr:rowOff>38100</xdr:rowOff>
    </xdr:from>
    <xdr:to>
      <xdr:col>2</xdr:col>
      <xdr:colOff>923925</xdr:colOff>
      <xdr:row>3</xdr:row>
      <xdr:rowOff>114300</xdr:rowOff>
    </xdr:to>
    <xdr:sp macro="" textlink="">
      <xdr:nvSpPr>
        <xdr:cNvPr id="3" name="CommandButton1" hidden="1">
          <a:extLst>
            <a:ext uri="{63B3BB69-23CF-44E3-9099-C40C66FF867C}">
              <a14:compatExt xmlns:a14="http://schemas.microsoft.com/office/drawing/2010/main" spid="_x0000_s13313"/>
            </a:ex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2</xdr:col>
      <xdr:colOff>1009650</xdr:colOff>
      <xdr:row>2</xdr:row>
      <xdr:rowOff>38100</xdr:rowOff>
    </xdr:from>
    <xdr:to>
      <xdr:col>2</xdr:col>
      <xdr:colOff>1019175</xdr:colOff>
      <xdr:row>2</xdr:row>
      <xdr:rowOff>47625</xdr:rowOff>
    </xdr:to>
    <xdr:pic>
      <xdr:nvPicPr>
        <xdr:cNvPr id="4" name="CommandButton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6225"/>
          <a:ext cx="9525" cy="952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57150</xdr:colOff>
      <xdr:row>2</xdr:row>
      <xdr:rowOff>38100</xdr:rowOff>
    </xdr:from>
    <xdr:to>
      <xdr:col>1</xdr:col>
      <xdr:colOff>66675</xdr:colOff>
      <xdr:row>2</xdr:row>
      <xdr:rowOff>47625</xdr:rowOff>
    </xdr:to>
    <xdr:pic>
      <xdr:nvPicPr>
        <xdr:cNvPr id="5" name="CommandButton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276225"/>
          <a:ext cx="9525" cy="952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2</xdr:row>
      <xdr:rowOff>57150</xdr:rowOff>
    </xdr:from>
    <xdr:to>
      <xdr:col>2</xdr:col>
      <xdr:colOff>676275</xdr:colOff>
      <xdr:row>3</xdr:row>
      <xdr:rowOff>123825</xdr:rowOff>
    </xdr:to>
    <xdr:sp macro="" textlink="">
      <xdr:nvSpPr>
        <xdr:cNvPr id="8195" name="CommandButton1" hidden="1">
          <a:extLst>
            <a:ext uri="{63B3BB69-23CF-44E3-9099-C40C66FF867C}">
              <a14:compatExt xmlns:a14="http://schemas.microsoft.com/office/drawing/2010/main" spid="_x0000_s8195"/>
            </a:ext>
            <a:ext uri="{FF2B5EF4-FFF2-40B4-BE49-F238E27FC236}">
              <a16:creationId xmlns:a16="http://schemas.microsoft.com/office/drawing/2014/main" id="{00000000-0008-0000-0500-000003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2</xdr:col>
      <xdr:colOff>752475</xdr:colOff>
      <xdr:row>2</xdr:row>
      <xdr:rowOff>57150</xdr:rowOff>
    </xdr:from>
    <xdr:to>
      <xdr:col>2</xdr:col>
      <xdr:colOff>2505075</xdr:colOff>
      <xdr:row>3</xdr:row>
      <xdr:rowOff>133350</xdr:rowOff>
    </xdr:to>
    <xdr:sp macro="" textlink="">
      <xdr:nvSpPr>
        <xdr:cNvPr id="8196" name="CommandButton2" hidden="1">
          <a:extLst>
            <a:ext uri="{63B3BB69-23CF-44E3-9099-C40C66FF867C}">
              <a14:compatExt xmlns:a14="http://schemas.microsoft.com/office/drawing/2010/main" spid="_x0000_s8196"/>
            </a:ext>
            <a:ext uri="{FF2B5EF4-FFF2-40B4-BE49-F238E27FC236}">
              <a16:creationId xmlns:a16="http://schemas.microsoft.com/office/drawing/2014/main" id="{00000000-0008-0000-0500-000004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2</xdr:col>
      <xdr:colOff>752475</xdr:colOff>
      <xdr:row>2</xdr:row>
      <xdr:rowOff>57150</xdr:rowOff>
    </xdr:from>
    <xdr:to>
      <xdr:col>2</xdr:col>
      <xdr:colOff>2505075</xdr:colOff>
      <xdr:row>3</xdr:row>
      <xdr:rowOff>133350</xdr:rowOff>
    </xdr:to>
    <xdr:sp macro="" textlink="">
      <xdr:nvSpPr>
        <xdr:cNvPr id="2" name="CommandButton2" hidden="1">
          <a:extLst>
            <a:ext uri="{63B3BB69-23CF-44E3-9099-C40C66FF867C}">
              <a14:compatExt xmlns:a14="http://schemas.microsoft.com/office/drawing/2010/main" spid="_x0000_s8196"/>
            </a:ex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1</xdr:col>
      <xdr:colOff>47625</xdr:colOff>
      <xdr:row>2</xdr:row>
      <xdr:rowOff>57150</xdr:rowOff>
    </xdr:from>
    <xdr:to>
      <xdr:col>2</xdr:col>
      <xdr:colOff>676275</xdr:colOff>
      <xdr:row>3</xdr:row>
      <xdr:rowOff>123825</xdr:rowOff>
    </xdr:to>
    <xdr:sp macro="" textlink="">
      <xdr:nvSpPr>
        <xdr:cNvPr id="3" name="CommandButton1" hidden="1">
          <a:extLst>
            <a:ext uri="{63B3BB69-23CF-44E3-9099-C40C66FF867C}">
              <a14:compatExt xmlns:a14="http://schemas.microsoft.com/office/drawing/2010/main" spid="_x0000_s8195"/>
            </a:ex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2</xdr:col>
      <xdr:colOff>752475</xdr:colOff>
      <xdr:row>2</xdr:row>
      <xdr:rowOff>57150</xdr:rowOff>
    </xdr:from>
    <xdr:to>
      <xdr:col>2</xdr:col>
      <xdr:colOff>762000</xdr:colOff>
      <xdr:row>2</xdr:row>
      <xdr:rowOff>66675</xdr:rowOff>
    </xdr:to>
    <xdr:pic>
      <xdr:nvPicPr>
        <xdr:cNvPr id="4" name="CommandButton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295275"/>
          <a:ext cx="9525" cy="952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47625</xdr:colOff>
      <xdr:row>2</xdr:row>
      <xdr:rowOff>57150</xdr:rowOff>
    </xdr:from>
    <xdr:to>
      <xdr:col>1</xdr:col>
      <xdr:colOff>57150</xdr:colOff>
      <xdr:row>2</xdr:row>
      <xdr:rowOff>66675</xdr:rowOff>
    </xdr:to>
    <xdr:pic>
      <xdr:nvPicPr>
        <xdr:cNvPr id="5" name="CommandButton1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95275"/>
          <a:ext cx="9525" cy="952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200025</xdr:colOff>
      <xdr:row>18</xdr:row>
      <xdr:rowOff>123825</xdr:rowOff>
    </xdr:from>
    <xdr:to>
      <xdr:col>22</xdr:col>
      <xdr:colOff>219075</xdr:colOff>
      <xdr:row>18</xdr:row>
      <xdr:rowOff>123825</xdr:rowOff>
    </xdr:to>
    <xdr:sp macro="" textlink="">
      <xdr:nvSpPr>
        <xdr:cNvPr id="7169" name="Line 1">
          <a:extLst>
            <a:ext uri="{FF2B5EF4-FFF2-40B4-BE49-F238E27FC236}">
              <a16:creationId xmlns:a16="http://schemas.microsoft.com/office/drawing/2014/main" id="{00000000-0008-0000-0600-0000011C0000}"/>
            </a:ext>
          </a:extLst>
        </xdr:cNvPr>
        <xdr:cNvSpPr>
          <a:spLocks noChangeShapeType="1"/>
        </xdr:cNvSpPr>
      </xdr:nvSpPr>
      <xdr:spPr bwMode="auto">
        <a:xfrm>
          <a:off x="857250" y="3152775"/>
          <a:ext cx="9401175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209550</xdr:colOff>
      <xdr:row>18</xdr:row>
      <xdr:rowOff>123825</xdr:rowOff>
    </xdr:from>
    <xdr:to>
      <xdr:col>2</xdr:col>
      <xdr:colOff>209550</xdr:colOff>
      <xdr:row>19</xdr:row>
      <xdr:rowOff>152400</xdr:rowOff>
    </xdr:to>
    <xdr:sp macro="" textlink="">
      <xdr:nvSpPr>
        <xdr:cNvPr id="7170" name="Line 2">
          <a:extLst>
            <a:ext uri="{FF2B5EF4-FFF2-40B4-BE49-F238E27FC236}">
              <a16:creationId xmlns:a16="http://schemas.microsoft.com/office/drawing/2014/main" id="{00000000-0008-0000-0600-0000021C0000}"/>
            </a:ext>
          </a:extLst>
        </xdr:cNvPr>
        <xdr:cNvSpPr>
          <a:spLocks noChangeShapeType="1"/>
        </xdr:cNvSpPr>
      </xdr:nvSpPr>
      <xdr:spPr bwMode="auto">
        <a:xfrm>
          <a:off x="866775" y="3152775"/>
          <a:ext cx="0" cy="19050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323850</xdr:colOff>
      <xdr:row>18</xdr:row>
      <xdr:rowOff>123825</xdr:rowOff>
    </xdr:from>
    <xdr:to>
      <xdr:col>6</xdr:col>
      <xdr:colOff>323850</xdr:colOff>
      <xdr:row>19</xdr:row>
      <xdr:rowOff>152400</xdr:rowOff>
    </xdr:to>
    <xdr:sp macro="" textlink="">
      <xdr:nvSpPr>
        <xdr:cNvPr id="7171" name="Line 3">
          <a:extLst>
            <a:ext uri="{FF2B5EF4-FFF2-40B4-BE49-F238E27FC236}">
              <a16:creationId xmlns:a16="http://schemas.microsoft.com/office/drawing/2014/main" id="{00000000-0008-0000-0600-0000031C0000}"/>
            </a:ext>
          </a:extLst>
        </xdr:cNvPr>
        <xdr:cNvSpPr>
          <a:spLocks noChangeShapeType="1"/>
        </xdr:cNvSpPr>
      </xdr:nvSpPr>
      <xdr:spPr bwMode="auto">
        <a:xfrm>
          <a:off x="2857500" y="3152775"/>
          <a:ext cx="0" cy="19050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342900</xdr:colOff>
      <xdr:row>18</xdr:row>
      <xdr:rowOff>123825</xdr:rowOff>
    </xdr:from>
    <xdr:to>
      <xdr:col>18</xdr:col>
      <xdr:colOff>342900</xdr:colOff>
      <xdr:row>19</xdr:row>
      <xdr:rowOff>152400</xdr:rowOff>
    </xdr:to>
    <xdr:sp macro="" textlink="">
      <xdr:nvSpPr>
        <xdr:cNvPr id="7172" name="Line 4">
          <a:extLst>
            <a:ext uri="{FF2B5EF4-FFF2-40B4-BE49-F238E27FC236}">
              <a16:creationId xmlns:a16="http://schemas.microsoft.com/office/drawing/2014/main" id="{00000000-0008-0000-0600-0000041C0000}"/>
            </a:ext>
          </a:extLst>
        </xdr:cNvPr>
        <xdr:cNvSpPr>
          <a:spLocks noChangeShapeType="1"/>
        </xdr:cNvSpPr>
      </xdr:nvSpPr>
      <xdr:spPr bwMode="auto">
        <a:xfrm>
          <a:off x="8505825" y="3152775"/>
          <a:ext cx="0" cy="19050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314325</xdr:colOff>
      <xdr:row>18</xdr:row>
      <xdr:rowOff>142875</xdr:rowOff>
    </xdr:from>
    <xdr:to>
      <xdr:col>14</xdr:col>
      <xdr:colOff>314325</xdr:colOff>
      <xdr:row>20</xdr:row>
      <xdr:rowOff>0</xdr:rowOff>
    </xdr:to>
    <xdr:sp macro="" textlink="">
      <xdr:nvSpPr>
        <xdr:cNvPr id="7173" name="Line 5">
          <a:extLst>
            <a:ext uri="{FF2B5EF4-FFF2-40B4-BE49-F238E27FC236}">
              <a16:creationId xmlns:a16="http://schemas.microsoft.com/office/drawing/2014/main" id="{00000000-0008-0000-0600-0000051C0000}"/>
            </a:ext>
          </a:extLst>
        </xdr:cNvPr>
        <xdr:cNvSpPr>
          <a:spLocks noChangeShapeType="1"/>
        </xdr:cNvSpPr>
      </xdr:nvSpPr>
      <xdr:spPr bwMode="auto">
        <a:xfrm>
          <a:off x="6600825" y="3171825"/>
          <a:ext cx="0" cy="19050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323850</xdr:colOff>
      <xdr:row>16</xdr:row>
      <xdr:rowOff>152400</xdr:rowOff>
    </xdr:from>
    <xdr:to>
      <xdr:col>10</xdr:col>
      <xdr:colOff>323850</xdr:colOff>
      <xdr:row>20</xdr:row>
      <xdr:rowOff>9525</xdr:rowOff>
    </xdr:to>
    <xdr:sp macro="" textlink="">
      <xdr:nvSpPr>
        <xdr:cNvPr id="7174" name="Line 6">
          <a:extLst>
            <a:ext uri="{FF2B5EF4-FFF2-40B4-BE49-F238E27FC236}">
              <a16:creationId xmlns:a16="http://schemas.microsoft.com/office/drawing/2014/main" id="{00000000-0008-0000-0600-0000061C0000}"/>
            </a:ext>
          </a:extLst>
        </xdr:cNvPr>
        <xdr:cNvSpPr>
          <a:spLocks noChangeShapeType="1"/>
        </xdr:cNvSpPr>
      </xdr:nvSpPr>
      <xdr:spPr bwMode="auto">
        <a:xfrm>
          <a:off x="4733925" y="2838450"/>
          <a:ext cx="0" cy="53340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200025</xdr:colOff>
      <xdr:row>18</xdr:row>
      <xdr:rowOff>114300</xdr:rowOff>
    </xdr:from>
    <xdr:to>
      <xdr:col>22</xdr:col>
      <xdr:colOff>200025</xdr:colOff>
      <xdr:row>19</xdr:row>
      <xdr:rowOff>142875</xdr:rowOff>
    </xdr:to>
    <xdr:sp macro="" textlink="">
      <xdr:nvSpPr>
        <xdr:cNvPr id="7211" name="Line 43">
          <a:extLst>
            <a:ext uri="{FF2B5EF4-FFF2-40B4-BE49-F238E27FC236}">
              <a16:creationId xmlns:a16="http://schemas.microsoft.com/office/drawing/2014/main" id="{00000000-0008-0000-0600-00002B1C0000}"/>
            </a:ext>
          </a:extLst>
        </xdr:cNvPr>
        <xdr:cNvSpPr>
          <a:spLocks noChangeShapeType="1"/>
        </xdr:cNvSpPr>
      </xdr:nvSpPr>
      <xdr:spPr bwMode="auto">
        <a:xfrm>
          <a:off x="10239375" y="3143250"/>
          <a:ext cx="0" cy="19050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47625</xdr:rowOff>
    </xdr:from>
    <xdr:to>
      <xdr:col>13</xdr:col>
      <xdr:colOff>9525</xdr:colOff>
      <xdr:row>11</xdr:row>
      <xdr:rowOff>57150</xdr:rowOff>
    </xdr:to>
    <xdr:sp macro="" textlink="">
      <xdr:nvSpPr>
        <xdr:cNvPr id="7217" name="Line 49">
          <a:extLst>
            <a:ext uri="{FF2B5EF4-FFF2-40B4-BE49-F238E27FC236}">
              <a16:creationId xmlns:a16="http://schemas.microsoft.com/office/drawing/2014/main" id="{00000000-0008-0000-0600-0000311C0000}"/>
            </a:ext>
          </a:extLst>
        </xdr:cNvPr>
        <xdr:cNvSpPr>
          <a:spLocks noChangeShapeType="1"/>
        </xdr:cNvSpPr>
      </xdr:nvSpPr>
      <xdr:spPr bwMode="auto">
        <a:xfrm flipV="1">
          <a:off x="3752850" y="1866900"/>
          <a:ext cx="1933575" cy="95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ffectLst/>
      </xdr:spPr>
    </xdr:sp>
    <xdr:clientData/>
  </xdr:twoCellAnchor>
  <xdr:twoCellAnchor>
    <xdr:from>
      <xdr:col>10</xdr:col>
      <xdr:colOff>295275</xdr:colOff>
      <xdr:row>9</xdr:row>
      <xdr:rowOff>28575</xdr:rowOff>
    </xdr:from>
    <xdr:to>
      <xdr:col>10</xdr:col>
      <xdr:colOff>295275</xdr:colOff>
      <xdr:row>14</xdr:row>
      <xdr:rowOff>28575</xdr:rowOff>
    </xdr:to>
    <xdr:sp macro="" textlink="">
      <xdr:nvSpPr>
        <xdr:cNvPr id="7222" name="Line 54">
          <a:extLst>
            <a:ext uri="{FF2B5EF4-FFF2-40B4-BE49-F238E27FC236}">
              <a16:creationId xmlns:a16="http://schemas.microsoft.com/office/drawing/2014/main" id="{00000000-0008-0000-0600-0000361C0000}"/>
            </a:ext>
          </a:extLst>
        </xdr:cNvPr>
        <xdr:cNvSpPr>
          <a:spLocks noChangeShapeType="1"/>
        </xdr:cNvSpPr>
      </xdr:nvSpPr>
      <xdr:spPr bwMode="auto">
        <a:xfrm>
          <a:off x="4705350" y="1495425"/>
          <a:ext cx="0" cy="87630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285750</xdr:colOff>
      <xdr:row>23</xdr:row>
      <xdr:rowOff>9525</xdr:rowOff>
    </xdr:from>
    <xdr:to>
      <xdr:col>6</xdr:col>
      <xdr:colOff>9525</xdr:colOff>
      <xdr:row>57</xdr:row>
      <xdr:rowOff>76200</xdr:rowOff>
    </xdr:to>
    <xdr:grpSp>
      <xdr:nvGrpSpPr>
        <xdr:cNvPr id="7229" name="Group 61">
          <a:extLst>
            <a:ext uri="{FF2B5EF4-FFF2-40B4-BE49-F238E27FC236}">
              <a16:creationId xmlns:a16="http://schemas.microsoft.com/office/drawing/2014/main" id="{00000000-0008-0000-0600-00003D1C0000}"/>
            </a:ext>
          </a:extLst>
        </xdr:cNvPr>
        <xdr:cNvGrpSpPr>
          <a:grpSpLocks/>
        </xdr:cNvGrpSpPr>
      </xdr:nvGrpSpPr>
      <xdr:grpSpPr bwMode="auto">
        <a:xfrm>
          <a:off x="2266950" y="3905250"/>
          <a:ext cx="352425" cy="5981700"/>
          <a:chOff x="232" y="409"/>
          <a:chExt cx="35" cy="628"/>
        </a:xfrm>
      </xdr:grpSpPr>
      <xdr:sp macro="" textlink="">
        <xdr:nvSpPr>
          <xdr:cNvPr id="7176" name="Line 8">
            <a:extLst>
              <a:ext uri="{FF2B5EF4-FFF2-40B4-BE49-F238E27FC236}">
                <a16:creationId xmlns:a16="http://schemas.microsoft.com/office/drawing/2014/main" id="{00000000-0008-0000-0600-0000081C0000}"/>
              </a:ext>
            </a:extLst>
          </xdr:cNvPr>
          <xdr:cNvSpPr>
            <a:spLocks noChangeShapeType="1"/>
          </xdr:cNvSpPr>
        </xdr:nvSpPr>
        <xdr:spPr bwMode="auto">
          <a:xfrm>
            <a:off x="233" y="409"/>
            <a:ext cx="0" cy="628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177" name="Line 9">
            <a:extLst>
              <a:ext uri="{FF2B5EF4-FFF2-40B4-BE49-F238E27FC236}">
                <a16:creationId xmlns:a16="http://schemas.microsoft.com/office/drawing/2014/main" id="{00000000-0008-0000-0600-0000091C0000}"/>
              </a:ext>
            </a:extLst>
          </xdr:cNvPr>
          <xdr:cNvSpPr>
            <a:spLocks noChangeShapeType="1"/>
          </xdr:cNvSpPr>
        </xdr:nvSpPr>
        <xdr:spPr bwMode="auto">
          <a:xfrm>
            <a:off x="233" y="530"/>
            <a:ext cx="32" cy="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178" name="Line 10">
            <a:extLst>
              <a:ext uri="{FF2B5EF4-FFF2-40B4-BE49-F238E27FC236}">
                <a16:creationId xmlns:a16="http://schemas.microsoft.com/office/drawing/2014/main" id="{00000000-0008-0000-0600-00000A1C0000}"/>
              </a:ext>
            </a:extLst>
          </xdr:cNvPr>
          <xdr:cNvSpPr>
            <a:spLocks noChangeShapeType="1"/>
          </xdr:cNvSpPr>
        </xdr:nvSpPr>
        <xdr:spPr bwMode="auto">
          <a:xfrm>
            <a:off x="234" y="455"/>
            <a:ext cx="32" cy="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179" name="Line 11">
            <a:extLst>
              <a:ext uri="{FF2B5EF4-FFF2-40B4-BE49-F238E27FC236}">
                <a16:creationId xmlns:a16="http://schemas.microsoft.com/office/drawing/2014/main" id="{00000000-0008-0000-0600-00000B1C0000}"/>
              </a:ext>
            </a:extLst>
          </xdr:cNvPr>
          <xdr:cNvSpPr>
            <a:spLocks noChangeShapeType="1"/>
          </xdr:cNvSpPr>
        </xdr:nvSpPr>
        <xdr:spPr bwMode="auto">
          <a:xfrm>
            <a:off x="234" y="607"/>
            <a:ext cx="32" cy="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180" name="Line 12">
            <a:extLst>
              <a:ext uri="{FF2B5EF4-FFF2-40B4-BE49-F238E27FC236}">
                <a16:creationId xmlns:a16="http://schemas.microsoft.com/office/drawing/2014/main" id="{00000000-0008-0000-0600-00000C1C0000}"/>
              </a:ext>
            </a:extLst>
          </xdr:cNvPr>
          <xdr:cNvSpPr>
            <a:spLocks noChangeShapeType="1"/>
          </xdr:cNvSpPr>
        </xdr:nvSpPr>
        <xdr:spPr bwMode="auto">
          <a:xfrm>
            <a:off x="233" y="672"/>
            <a:ext cx="32" cy="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224" name="Line 56">
            <a:extLst>
              <a:ext uri="{FF2B5EF4-FFF2-40B4-BE49-F238E27FC236}">
                <a16:creationId xmlns:a16="http://schemas.microsoft.com/office/drawing/2014/main" id="{00000000-0008-0000-0600-0000381C0000}"/>
              </a:ext>
            </a:extLst>
          </xdr:cNvPr>
          <xdr:cNvSpPr>
            <a:spLocks noChangeShapeType="1"/>
          </xdr:cNvSpPr>
        </xdr:nvSpPr>
        <xdr:spPr bwMode="auto">
          <a:xfrm>
            <a:off x="233" y="745"/>
            <a:ext cx="32" cy="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225" name="Line 57">
            <a:extLst>
              <a:ext uri="{FF2B5EF4-FFF2-40B4-BE49-F238E27FC236}">
                <a16:creationId xmlns:a16="http://schemas.microsoft.com/office/drawing/2014/main" id="{00000000-0008-0000-0600-0000391C0000}"/>
              </a:ext>
            </a:extLst>
          </xdr:cNvPr>
          <xdr:cNvSpPr>
            <a:spLocks noChangeShapeType="1"/>
          </xdr:cNvSpPr>
        </xdr:nvSpPr>
        <xdr:spPr bwMode="auto">
          <a:xfrm>
            <a:off x="233" y="818"/>
            <a:ext cx="32" cy="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226" name="Line 58">
            <a:extLst>
              <a:ext uri="{FF2B5EF4-FFF2-40B4-BE49-F238E27FC236}">
                <a16:creationId xmlns:a16="http://schemas.microsoft.com/office/drawing/2014/main" id="{00000000-0008-0000-0600-00003A1C0000}"/>
              </a:ext>
            </a:extLst>
          </xdr:cNvPr>
          <xdr:cNvSpPr>
            <a:spLocks noChangeShapeType="1"/>
          </xdr:cNvSpPr>
        </xdr:nvSpPr>
        <xdr:spPr bwMode="auto">
          <a:xfrm>
            <a:off x="232" y="892"/>
            <a:ext cx="32" cy="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227" name="Line 59">
            <a:extLst>
              <a:ext uri="{FF2B5EF4-FFF2-40B4-BE49-F238E27FC236}">
                <a16:creationId xmlns:a16="http://schemas.microsoft.com/office/drawing/2014/main" id="{00000000-0008-0000-0600-00003B1C0000}"/>
              </a:ext>
            </a:extLst>
          </xdr:cNvPr>
          <xdr:cNvSpPr>
            <a:spLocks noChangeShapeType="1"/>
          </xdr:cNvSpPr>
        </xdr:nvSpPr>
        <xdr:spPr bwMode="auto">
          <a:xfrm>
            <a:off x="235" y="964"/>
            <a:ext cx="32" cy="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228" name="Line 60">
            <a:extLst>
              <a:ext uri="{FF2B5EF4-FFF2-40B4-BE49-F238E27FC236}">
                <a16:creationId xmlns:a16="http://schemas.microsoft.com/office/drawing/2014/main" id="{00000000-0008-0000-0600-00003C1C0000}"/>
              </a:ext>
            </a:extLst>
          </xdr:cNvPr>
          <xdr:cNvSpPr>
            <a:spLocks noChangeShapeType="1"/>
          </xdr:cNvSpPr>
        </xdr:nvSpPr>
        <xdr:spPr bwMode="auto">
          <a:xfrm>
            <a:off x="233" y="1037"/>
            <a:ext cx="32" cy="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21</xdr:col>
      <xdr:colOff>285750</xdr:colOff>
      <xdr:row>23</xdr:row>
      <xdr:rowOff>28575</xdr:rowOff>
    </xdr:from>
    <xdr:to>
      <xdr:col>22</xdr:col>
      <xdr:colOff>19050</xdr:colOff>
      <xdr:row>41</xdr:row>
      <xdr:rowOff>133350</xdr:rowOff>
    </xdr:to>
    <xdr:grpSp>
      <xdr:nvGrpSpPr>
        <xdr:cNvPr id="7232" name="Group 64">
          <a:extLst>
            <a:ext uri="{FF2B5EF4-FFF2-40B4-BE49-F238E27FC236}">
              <a16:creationId xmlns:a16="http://schemas.microsoft.com/office/drawing/2014/main" id="{00000000-0008-0000-0600-0000401C0000}"/>
            </a:ext>
          </a:extLst>
        </xdr:cNvPr>
        <xdr:cNvGrpSpPr>
          <a:grpSpLocks/>
        </xdr:cNvGrpSpPr>
      </xdr:nvGrpSpPr>
      <xdr:grpSpPr bwMode="auto">
        <a:xfrm>
          <a:off x="10001250" y="3924300"/>
          <a:ext cx="361950" cy="3238500"/>
          <a:chOff x="1018" y="411"/>
          <a:chExt cx="36" cy="340"/>
        </a:xfrm>
      </xdr:grpSpPr>
      <xdr:sp macro="" textlink="">
        <xdr:nvSpPr>
          <xdr:cNvPr id="7213" name="Line 45">
            <a:extLst>
              <a:ext uri="{FF2B5EF4-FFF2-40B4-BE49-F238E27FC236}">
                <a16:creationId xmlns:a16="http://schemas.microsoft.com/office/drawing/2014/main" id="{00000000-0008-0000-0600-00002D1C0000}"/>
              </a:ext>
            </a:extLst>
          </xdr:cNvPr>
          <xdr:cNvSpPr>
            <a:spLocks noChangeShapeType="1"/>
          </xdr:cNvSpPr>
        </xdr:nvSpPr>
        <xdr:spPr bwMode="auto">
          <a:xfrm>
            <a:off x="1019" y="411"/>
            <a:ext cx="0" cy="34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214" name="Line 46">
            <a:extLst>
              <a:ext uri="{FF2B5EF4-FFF2-40B4-BE49-F238E27FC236}">
                <a16:creationId xmlns:a16="http://schemas.microsoft.com/office/drawing/2014/main" id="{00000000-0008-0000-0600-00002E1C0000}"/>
              </a:ext>
            </a:extLst>
          </xdr:cNvPr>
          <xdr:cNvSpPr>
            <a:spLocks noChangeShapeType="1"/>
          </xdr:cNvSpPr>
        </xdr:nvSpPr>
        <xdr:spPr bwMode="auto">
          <a:xfrm>
            <a:off x="1019" y="532"/>
            <a:ext cx="32" cy="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215" name="Line 47">
            <a:extLst>
              <a:ext uri="{FF2B5EF4-FFF2-40B4-BE49-F238E27FC236}">
                <a16:creationId xmlns:a16="http://schemas.microsoft.com/office/drawing/2014/main" id="{00000000-0008-0000-0600-00002F1C0000}"/>
              </a:ext>
            </a:extLst>
          </xdr:cNvPr>
          <xdr:cNvSpPr>
            <a:spLocks noChangeShapeType="1"/>
          </xdr:cNvSpPr>
        </xdr:nvSpPr>
        <xdr:spPr bwMode="auto">
          <a:xfrm>
            <a:off x="1020" y="456"/>
            <a:ext cx="32" cy="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216" name="Line 48">
            <a:extLst>
              <a:ext uri="{FF2B5EF4-FFF2-40B4-BE49-F238E27FC236}">
                <a16:creationId xmlns:a16="http://schemas.microsoft.com/office/drawing/2014/main" id="{00000000-0008-0000-0600-0000301C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1018" y="750"/>
            <a:ext cx="36" cy="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230" name="Line 62">
            <a:extLst>
              <a:ext uri="{FF2B5EF4-FFF2-40B4-BE49-F238E27FC236}">
                <a16:creationId xmlns:a16="http://schemas.microsoft.com/office/drawing/2014/main" id="{00000000-0008-0000-0600-00003E1C0000}"/>
              </a:ext>
            </a:extLst>
          </xdr:cNvPr>
          <xdr:cNvSpPr>
            <a:spLocks noChangeShapeType="1"/>
          </xdr:cNvSpPr>
        </xdr:nvSpPr>
        <xdr:spPr bwMode="auto">
          <a:xfrm>
            <a:off x="1018" y="677"/>
            <a:ext cx="32" cy="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231" name="Line 63">
            <a:extLst>
              <a:ext uri="{FF2B5EF4-FFF2-40B4-BE49-F238E27FC236}">
                <a16:creationId xmlns:a16="http://schemas.microsoft.com/office/drawing/2014/main" id="{00000000-0008-0000-0600-00003F1C0000}"/>
              </a:ext>
            </a:extLst>
          </xdr:cNvPr>
          <xdr:cNvSpPr>
            <a:spLocks noChangeShapeType="1"/>
          </xdr:cNvSpPr>
        </xdr:nvSpPr>
        <xdr:spPr bwMode="auto">
          <a:xfrm>
            <a:off x="1018" y="601"/>
            <a:ext cx="32" cy="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9</xdr:col>
      <xdr:colOff>285750</xdr:colOff>
      <xdr:row>23</xdr:row>
      <xdr:rowOff>28575</xdr:rowOff>
    </xdr:from>
    <xdr:to>
      <xdr:col>10</xdr:col>
      <xdr:colOff>9525</xdr:colOff>
      <xdr:row>57</xdr:row>
      <xdr:rowOff>95250</xdr:rowOff>
    </xdr:to>
    <xdr:grpSp>
      <xdr:nvGrpSpPr>
        <xdr:cNvPr id="7241" name="Group 73">
          <a:extLst>
            <a:ext uri="{FF2B5EF4-FFF2-40B4-BE49-F238E27FC236}">
              <a16:creationId xmlns:a16="http://schemas.microsoft.com/office/drawing/2014/main" id="{00000000-0008-0000-0600-0000491C0000}"/>
            </a:ext>
          </a:extLst>
        </xdr:cNvPr>
        <xdr:cNvGrpSpPr>
          <a:grpSpLocks/>
        </xdr:cNvGrpSpPr>
      </xdr:nvGrpSpPr>
      <xdr:grpSpPr bwMode="auto">
        <a:xfrm>
          <a:off x="4200525" y="3924300"/>
          <a:ext cx="352425" cy="5981700"/>
          <a:chOff x="232" y="409"/>
          <a:chExt cx="35" cy="628"/>
        </a:xfrm>
      </xdr:grpSpPr>
      <xdr:sp macro="" textlink="">
        <xdr:nvSpPr>
          <xdr:cNvPr id="7242" name="Line 74">
            <a:extLst>
              <a:ext uri="{FF2B5EF4-FFF2-40B4-BE49-F238E27FC236}">
                <a16:creationId xmlns:a16="http://schemas.microsoft.com/office/drawing/2014/main" id="{00000000-0008-0000-0600-00004A1C0000}"/>
              </a:ext>
            </a:extLst>
          </xdr:cNvPr>
          <xdr:cNvSpPr>
            <a:spLocks noChangeShapeType="1"/>
          </xdr:cNvSpPr>
        </xdr:nvSpPr>
        <xdr:spPr bwMode="auto">
          <a:xfrm>
            <a:off x="233" y="409"/>
            <a:ext cx="0" cy="628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243" name="Line 75">
            <a:extLst>
              <a:ext uri="{FF2B5EF4-FFF2-40B4-BE49-F238E27FC236}">
                <a16:creationId xmlns:a16="http://schemas.microsoft.com/office/drawing/2014/main" id="{00000000-0008-0000-0600-00004B1C0000}"/>
              </a:ext>
            </a:extLst>
          </xdr:cNvPr>
          <xdr:cNvSpPr>
            <a:spLocks noChangeShapeType="1"/>
          </xdr:cNvSpPr>
        </xdr:nvSpPr>
        <xdr:spPr bwMode="auto">
          <a:xfrm>
            <a:off x="233" y="530"/>
            <a:ext cx="32" cy="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244" name="Line 76">
            <a:extLst>
              <a:ext uri="{FF2B5EF4-FFF2-40B4-BE49-F238E27FC236}">
                <a16:creationId xmlns:a16="http://schemas.microsoft.com/office/drawing/2014/main" id="{00000000-0008-0000-0600-00004C1C0000}"/>
              </a:ext>
            </a:extLst>
          </xdr:cNvPr>
          <xdr:cNvSpPr>
            <a:spLocks noChangeShapeType="1"/>
          </xdr:cNvSpPr>
        </xdr:nvSpPr>
        <xdr:spPr bwMode="auto">
          <a:xfrm>
            <a:off x="234" y="455"/>
            <a:ext cx="32" cy="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245" name="Line 77">
            <a:extLst>
              <a:ext uri="{FF2B5EF4-FFF2-40B4-BE49-F238E27FC236}">
                <a16:creationId xmlns:a16="http://schemas.microsoft.com/office/drawing/2014/main" id="{00000000-0008-0000-0600-00004D1C0000}"/>
              </a:ext>
            </a:extLst>
          </xdr:cNvPr>
          <xdr:cNvSpPr>
            <a:spLocks noChangeShapeType="1"/>
          </xdr:cNvSpPr>
        </xdr:nvSpPr>
        <xdr:spPr bwMode="auto">
          <a:xfrm>
            <a:off x="234" y="607"/>
            <a:ext cx="32" cy="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246" name="Line 78">
            <a:extLst>
              <a:ext uri="{FF2B5EF4-FFF2-40B4-BE49-F238E27FC236}">
                <a16:creationId xmlns:a16="http://schemas.microsoft.com/office/drawing/2014/main" id="{00000000-0008-0000-0600-00004E1C0000}"/>
              </a:ext>
            </a:extLst>
          </xdr:cNvPr>
          <xdr:cNvSpPr>
            <a:spLocks noChangeShapeType="1"/>
          </xdr:cNvSpPr>
        </xdr:nvSpPr>
        <xdr:spPr bwMode="auto">
          <a:xfrm>
            <a:off x="233" y="672"/>
            <a:ext cx="32" cy="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247" name="Line 79">
            <a:extLst>
              <a:ext uri="{FF2B5EF4-FFF2-40B4-BE49-F238E27FC236}">
                <a16:creationId xmlns:a16="http://schemas.microsoft.com/office/drawing/2014/main" id="{00000000-0008-0000-0600-00004F1C0000}"/>
              </a:ext>
            </a:extLst>
          </xdr:cNvPr>
          <xdr:cNvSpPr>
            <a:spLocks noChangeShapeType="1"/>
          </xdr:cNvSpPr>
        </xdr:nvSpPr>
        <xdr:spPr bwMode="auto">
          <a:xfrm>
            <a:off x="233" y="745"/>
            <a:ext cx="32" cy="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248" name="Line 80">
            <a:extLst>
              <a:ext uri="{FF2B5EF4-FFF2-40B4-BE49-F238E27FC236}">
                <a16:creationId xmlns:a16="http://schemas.microsoft.com/office/drawing/2014/main" id="{00000000-0008-0000-0600-0000501C0000}"/>
              </a:ext>
            </a:extLst>
          </xdr:cNvPr>
          <xdr:cNvSpPr>
            <a:spLocks noChangeShapeType="1"/>
          </xdr:cNvSpPr>
        </xdr:nvSpPr>
        <xdr:spPr bwMode="auto">
          <a:xfrm>
            <a:off x="233" y="818"/>
            <a:ext cx="32" cy="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249" name="Line 81">
            <a:extLst>
              <a:ext uri="{FF2B5EF4-FFF2-40B4-BE49-F238E27FC236}">
                <a16:creationId xmlns:a16="http://schemas.microsoft.com/office/drawing/2014/main" id="{00000000-0008-0000-0600-0000511C0000}"/>
              </a:ext>
            </a:extLst>
          </xdr:cNvPr>
          <xdr:cNvSpPr>
            <a:spLocks noChangeShapeType="1"/>
          </xdr:cNvSpPr>
        </xdr:nvSpPr>
        <xdr:spPr bwMode="auto">
          <a:xfrm>
            <a:off x="232" y="892"/>
            <a:ext cx="32" cy="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250" name="Line 82">
            <a:extLst>
              <a:ext uri="{FF2B5EF4-FFF2-40B4-BE49-F238E27FC236}">
                <a16:creationId xmlns:a16="http://schemas.microsoft.com/office/drawing/2014/main" id="{00000000-0008-0000-0600-0000521C0000}"/>
              </a:ext>
            </a:extLst>
          </xdr:cNvPr>
          <xdr:cNvSpPr>
            <a:spLocks noChangeShapeType="1"/>
          </xdr:cNvSpPr>
        </xdr:nvSpPr>
        <xdr:spPr bwMode="auto">
          <a:xfrm>
            <a:off x="235" y="964"/>
            <a:ext cx="32" cy="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251" name="Line 83">
            <a:extLst>
              <a:ext uri="{FF2B5EF4-FFF2-40B4-BE49-F238E27FC236}">
                <a16:creationId xmlns:a16="http://schemas.microsoft.com/office/drawing/2014/main" id="{00000000-0008-0000-0600-0000531C0000}"/>
              </a:ext>
            </a:extLst>
          </xdr:cNvPr>
          <xdr:cNvSpPr>
            <a:spLocks noChangeShapeType="1"/>
          </xdr:cNvSpPr>
        </xdr:nvSpPr>
        <xdr:spPr bwMode="auto">
          <a:xfrm>
            <a:off x="233" y="1037"/>
            <a:ext cx="32" cy="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13</xdr:col>
      <xdr:colOff>247650</xdr:colOff>
      <xdr:row>23</xdr:row>
      <xdr:rowOff>0</xdr:rowOff>
    </xdr:from>
    <xdr:to>
      <xdr:col>13</xdr:col>
      <xdr:colOff>581025</xdr:colOff>
      <xdr:row>57</xdr:row>
      <xdr:rowOff>66675</xdr:rowOff>
    </xdr:to>
    <xdr:grpSp>
      <xdr:nvGrpSpPr>
        <xdr:cNvPr id="7252" name="Group 84">
          <a:extLst>
            <a:ext uri="{FF2B5EF4-FFF2-40B4-BE49-F238E27FC236}">
              <a16:creationId xmlns:a16="http://schemas.microsoft.com/office/drawing/2014/main" id="{00000000-0008-0000-0600-0000541C0000}"/>
            </a:ext>
          </a:extLst>
        </xdr:cNvPr>
        <xdr:cNvGrpSpPr>
          <a:grpSpLocks/>
        </xdr:cNvGrpSpPr>
      </xdr:nvGrpSpPr>
      <xdr:grpSpPr bwMode="auto">
        <a:xfrm>
          <a:off x="6096000" y="3895725"/>
          <a:ext cx="333375" cy="5981700"/>
          <a:chOff x="232" y="409"/>
          <a:chExt cx="35" cy="628"/>
        </a:xfrm>
      </xdr:grpSpPr>
      <xdr:sp macro="" textlink="">
        <xdr:nvSpPr>
          <xdr:cNvPr id="7253" name="Line 85">
            <a:extLst>
              <a:ext uri="{FF2B5EF4-FFF2-40B4-BE49-F238E27FC236}">
                <a16:creationId xmlns:a16="http://schemas.microsoft.com/office/drawing/2014/main" id="{00000000-0008-0000-0600-0000551C0000}"/>
              </a:ext>
            </a:extLst>
          </xdr:cNvPr>
          <xdr:cNvSpPr>
            <a:spLocks noChangeShapeType="1"/>
          </xdr:cNvSpPr>
        </xdr:nvSpPr>
        <xdr:spPr bwMode="auto">
          <a:xfrm>
            <a:off x="233" y="409"/>
            <a:ext cx="0" cy="628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254" name="Line 86">
            <a:extLst>
              <a:ext uri="{FF2B5EF4-FFF2-40B4-BE49-F238E27FC236}">
                <a16:creationId xmlns:a16="http://schemas.microsoft.com/office/drawing/2014/main" id="{00000000-0008-0000-0600-0000561C0000}"/>
              </a:ext>
            </a:extLst>
          </xdr:cNvPr>
          <xdr:cNvSpPr>
            <a:spLocks noChangeShapeType="1"/>
          </xdr:cNvSpPr>
        </xdr:nvSpPr>
        <xdr:spPr bwMode="auto">
          <a:xfrm>
            <a:off x="233" y="530"/>
            <a:ext cx="32" cy="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255" name="Line 87">
            <a:extLst>
              <a:ext uri="{FF2B5EF4-FFF2-40B4-BE49-F238E27FC236}">
                <a16:creationId xmlns:a16="http://schemas.microsoft.com/office/drawing/2014/main" id="{00000000-0008-0000-0600-0000571C0000}"/>
              </a:ext>
            </a:extLst>
          </xdr:cNvPr>
          <xdr:cNvSpPr>
            <a:spLocks noChangeShapeType="1"/>
          </xdr:cNvSpPr>
        </xdr:nvSpPr>
        <xdr:spPr bwMode="auto">
          <a:xfrm>
            <a:off x="234" y="455"/>
            <a:ext cx="32" cy="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256" name="Line 88">
            <a:extLst>
              <a:ext uri="{FF2B5EF4-FFF2-40B4-BE49-F238E27FC236}">
                <a16:creationId xmlns:a16="http://schemas.microsoft.com/office/drawing/2014/main" id="{00000000-0008-0000-0600-0000581C0000}"/>
              </a:ext>
            </a:extLst>
          </xdr:cNvPr>
          <xdr:cNvSpPr>
            <a:spLocks noChangeShapeType="1"/>
          </xdr:cNvSpPr>
        </xdr:nvSpPr>
        <xdr:spPr bwMode="auto">
          <a:xfrm>
            <a:off x="234" y="607"/>
            <a:ext cx="32" cy="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257" name="Line 89">
            <a:extLst>
              <a:ext uri="{FF2B5EF4-FFF2-40B4-BE49-F238E27FC236}">
                <a16:creationId xmlns:a16="http://schemas.microsoft.com/office/drawing/2014/main" id="{00000000-0008-0000-0600-0000591C0000}"/>
              </a:ext>
            </a:extLst>
          </xdr:cNvPr>
          <xdr:cNvSpPr>
            <a:spLocks noChangeShapeType="1"/>
          </xdr:cNvSpPr>
        </xdr:nvSpPr>
        <xdr:spPr bwMode="auto">
          <a:xfrm>
            <a:off x="233" y="672"/>
            <a:ext cx="32" cy="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258" name="Line 90">
            <a:extLst>
              <a:ext uri="{FF2B5EF4-FFF2-40B4-BE49-F238E27FC236}">
                <a16:creationId xmlns:a16="http://schemas.microsoft.com/office/drawing/2014/main" id="{00000000-0008-0000-0600-00005A1C0000}"/>
              </a:ext>
            </a:extLst>
          </xdr:cNvPr>
          <xdr:cNvSpPr>
            <a:spLocks noChangeShapeType="1"/>
          </xdr:cNvSpPr>
        </xdr:nvSpPr>
        <xdr:spPr bwMode="auto">
          <a:xfrm>
            <a:off x="233" y="745"/>
            <a:ext cx="32" cy="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259" name="Line 91">
            <a:extLst>
              <a:ext uri="{FF2B5EF4-FFF2-40B4-BE49-F238E27FC236}">
                <a16:creationId xmlns:a16="http://schemas.microsoft.com/office/drawing/2014/main" id="{00000000-0008-0000-0600-00005B1C0000}"/>
              </a:ext>
            </a:extLst>
          </xdr:cNvPr>
          <xdr:cNvSpPr>
            <a:spLocks noChangeShapeType="1"/>
          </xdr:cNvSpPr>
        </xdr:nvSpPr>
        <xdr:spPr bwMode="auto">
          <a:xfrm>
            <a:off x="233" y="818"/>
            <a:ext cx="32" cy="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260" name="Line 92">
            <a:extLst>
              <a:ext uri="{FF2B5EF4-FFF2-40B4-BE49-F238E27FC236}">
                <a16:creationId xmlns:a16="http://schemas.microsoft.com/office/drawing/2014/main" id="{00000000-0008-0000-0600-00005C1C0000}"/>
              </a:ext>
            </a:extLst>
          </xdr:cNvPr>
          <xdr:cNvSpPr>
            <a:spLocks noChangeShapeType="1"/>
          </xdr:cNvSpPr>
        </xdr:nvSpPr>
        <xdr:spPr bwMode="auto">
          <a:xfrm>
            <a:off x="232" y="892"/>
            <a:ext cx="32" cy="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261" name="Line 93">
            <a:extLst>
              <a:ext uri="{FF2B5EF4-FFF2-40B4-BE49-F238E27FC236}">
                <a16:creationId xmlns:a16="http://schemas.microsoft.com/office/drawing/2014/main" id="{00000000-0008-0000-0600-00005D1C0000}"/>
              </a:ext>
            </a:extLst>
          </xdr:cNvPr>
          <xdr:cNvSpPr>
            <a:spLocks noChangeShapeType="1"/>
          </xdr:cNvSpPr>
        </xdr:nvSpPr>
        <xdr:spPr bwMode="auto">
          <a:xfrm>
            <a:off x="235" y="964"/>
            <a:ext cx="32" cy="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262" name="Line 94">
            <a:extLst>
              <a:ext uri="{FF2B5EF4-FFF2-40B4-BE49-F238E27FC236}">
                <a16:creationId xmlns:a16="http://schemas.microsoft.com/office/drawing/2014/main" id="{00000000-0008-0000-0600-00005E1C0000}"/>
              </a:ext>
            </a:extLst>
          </xdr:cNvPr>
          <xdr:cNvSpPr>
            <a:spLocks noChangeShapeType="1"/>
          </xdr:cNvSpPr>
        </xdr:nvSpPr>
        <xdr:spPr bwMode="auto">
          <a:xfrm>
            <a:off x="233" y="1037"/>
            <a:ext cx="32" cy="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17</xdr:col>
      <xdr:colOff>247650</xdr:colOff>
      <xdr:row>23</xdr:row>
      <xdr:rowOff>0</xdr:rowOff>
    </xdr:from>
    <xdr:to>
      <xdr:col>17</xdr:col>
      <xdr:colOff>581025</xdr:colOff>
      <xdr:row>57</xdr:row>
      <xdr:rowOff>66675</xdr:rowOff>
    </xdr:to>
    <xdr:grpSp>
      <xdr:nvGrpSpPr>
        <xdr:cNvPr id="7263" name="Group 95">
          <a:extLst>
            <a:ext uri="{FF2B5EF4-FFF2-40B4-BE49-F238E27FC236}">
              <a16:creationId xmlns:a16="http://schemas.microsoft.com/office/drawing/2014/main" id="{00000000-0008-0000-0600-00005F1C0000}"/>
            </a:ext>
          </a:extLst>
        </xdr:cNvPr>
        <xdr:cNvGrpSpPr>
          <a:grpSpLocks/>
        </xdr:cNvGrpSpPr>
      </xdr:nvGrpSpPr>
      <xdr:grpSpPr bwMode="auto">
        <a:xfrm>
          <a:off x="8029575" y="3895725"/>
          <a:ext cx="333375" cy="5981700"/>
          <a:chOff x="232" y="409"/>
          <a:chExt cx="35" cy="628"/>
        </a:xfrm>
      </xdr:grpSpPr>
      <xdr:sp macro="" textlink="">
        <xdr:nvSpPr>
          <xdr:cNvPr id="7264" name="Line 96">
            <a:extLst>
              <a:ext uri="{FF2B5EF4-FFF2-40B4-BE49-F238E27FC236}">
                <a16:creationId xmlns:a16="http://schemas.microsoft.com/office/drawing/2014/main" id="{00000000-0008-0000-0600-0000601C0000}"/>
              </a:ext>
            </a:extLst>
          </xdr:cNvPr>
          <xdr:cNvSpPr>
            <a:spLocks noChangeShapeType="1"/>
          </xdr:cNvSpPr>
        </xdr:nvSpPr>
        <xdr:spPr bwMode="auto">
          <a:xfrm>
            <a:off x="233" y="409"/>
            <a:ext cx="0" cy="628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265" name="Line 97">
            <a:extLst>
              <a:ext uri="{FF2B5EF4-FFF2-40B4-BE49-F238E27FC236}">
                <a16:creationId xmlns:a16="http://schemas.microsoft.com/office/drawing/2014/main" id="{00000000-0008-0000-0600-0000611C0000}"/>
              </a:ext>
            </a:extLst>
          </xdr:cNvPr>
          <xdr:cNvSpPr>
            <a:spLocks noChangeShapeType="1"/>
          </xdr:cNvSpPr>
        </xdr:nvSpPr>
        <xdr:spPr bwMode="auto">
          <a:xfrm>
            <a:off x="233" y="530"/>
            <a:ext cx="32" cy="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266" name="Line 98">
            <a:extLst>
              <a:ext uri="{FF2B5EF4-FFF2-40B4-BE49-F238E27FC236}">
                <a16:creationId xmlns:a16="http://schemas.microsoft.com/office/drawing/2014/main" id="{00000000-0008-0000-0600-0000621C0000}"/>
              </a:ext>
            </a:extLst>
          </xdr:cNvPr>
          <xdr:cNvSpPr>
            <a:spLocks noChangeShapeType="1"/>
          </xdr:cNvSpPr>
        </xdr:nvSpPr>
        <xdr:spPr bwMode="auto">
          <a:xfrm>
            <a:off x="234" y="455"/>
            <a:ext cx="32" cy="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267" name="Line 99">
            <a:extLst>
              <a:ext uri="{FF2B5EF4-FFF2-40B4-BE49-F238E27FC236}">
                <a16:creationId xmlns:a16="http://schemas.microsoft.com/office/drawing/2014/main" id="{00000000-0008-0000-0600-0000631C0000}"/>
              </a:ext>
            </a:extLst>
          </xdr:cNvPr>
          <xdr:cNvSpPr>
            <a:spLocks noChangeShapeType="1"/>
          </xdr:cNvSpPr>
        </xdr:nvSpPr>
        <xdr:spPr bwMode="auto">
          <a:xfrm>
            <a:off x="234" y="607"/>
            <a:ext cx="32" cy="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268" name="Line 100">
            <a:extLst>
              <a:ext uri="{FF2B5EF4-FFF2-40B4-BE49-F238E27FC236}">
                <a16:creationId xmlns:a16="http://schemas.microsoft.com/office/drawing/2014/main" id="{00000000-0008-0000-0600-0000641C0000}"/>
              </a:ext>
            </a:extLst>
          </xdr:cNvPr>
          <xdr:cNvSpPr>
            <a:spLocks noChangeShapeType="1"/>
          </xdr:cNvSpPr>
        </xdr:nvSpPr>
        <xdr:spPr bwMode="auto">
          <a:xfrm>
            <a:off x="233" y="672"/>
            <a:ext cx="32" cy="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269" name="Line 101">
            <a:extLst>
              <a:ext uri="{FF2B5EF4-FFF2-40B4-BE49-F238E27FC236}">
                <a16:creationId xmlns:a16="http://schemas.microsoft.com/office/drawing/2014/main" id="{00000000-0008-0000-0600-0000651C0000}"/>
              </a:ext>
            </a:extLst>
          </xdr:cNvPr>
          <xdr:cNvSpPr>
            <a:spLocks noChangeShapeType="1"/>
          </xdr:cNvSpPr>
        </xdr:nvSpPr>
        <xdr:spPr bwMode="auto">
          <a:xfrm>
            <a:off x="233" y="745"/>
            <a:ext cx="32" cy="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270" name="Line 102">
            <a:extLst>
              <a:ext uri="{FF2B5EF4-FFF2-40B4-BE49-F238E27FC236}">
                <a16:creationId xmlns:a16="http://schemas.microsoft.com/office/drawing/2014/main" id="{00000000-0008-0000-0600-0000661C0000}"/>
              </a:ext>
            </a:extLst>
          </xdr:cNvPr>
          <xdr:cNvSpPr>
            <a:spLocks noChangeShapeType="1"/>
          </xdr:cNvSpPr>
        </xdr:nvSpPr>
        <xdr:spPr bwMode="auto">
          <a:xfrm>
            <a:off x="233" y="818"/>
            <a:ext cx="32" cy="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271" name="Line 103">
            <a:extLst>
              <a:ext uri="{FF2B5EF4-FFF2-40B4-BE49-F238E27FC236}">
                <a16:creationId xmlns:a16="http://schemas.microsoft.com/office/drawing/2014/main" id="{00000000-0008-0000-0600-0000671C0000}"/>
              </a:ext>
            </a:extLst>
          </xdr:cNvPr>
          <xdr:cNvSpPr>
            <a:spLocks noChangeShapeType="1"/>
          </xdr:cNvSpPr>
        </xdr:nvSpPr>
        <xdr:spPr bwMode="auto">
          <a:xfrm>
            <a:off x="232" y="892"/>
            <a:ext cx="32" cy="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272" name="Line 104">
            <a:extLst>
              <a:ext uri="{FF2B5EF4-FFF2-40B4-BE49-F238E27FC236}">
                <a16:creationId xmlns:a16="http://schemas.microsoft.com/office/drawing/2014/main" id="{00000000-0008-0000-0600-0000681C0000}"/>
              </a:ext>
            </a:extLst>
          </xdr:cNvPr>
          <xdr:cNvSpPr>
            <a:spLocks noChangeShapeType="1"/>
          </xdr:cNvSpPr>
        </xdr:nvSpPr>
        <xdr:spPr bwMode="auto">
          <a:xfrm>
            <a:off x="235" y="964"/>
            <a:ext cx="32" cy="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273" name="Line 105">
            <a:extLst>
              <a:ext uri="{FF2B5EF4-FFF2-40B4-BE49-F238E27FC236}">
                <a16:creationId xmlns:a16="http://schemas.microsoft.com/office/drawing/2014/main" id="{00000000-0008-0000-0600-0000691C0000}"/>
              </a:ext>
            </a:extLst>
          </xdr:cNvPr>
          <xdr:cNvSpPr>
            <a:spLocks noChangeShapeType="1"/>
          </xdr:cNvSpPr>
        </xdr:nvSpPr>
        <xdr:spPr bwMode="auto">
          <a:xfrm>
            <a:off x="233" y="1037"/>
            <a:ext cx="32" cy="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1</xdr:col>
      <xdr:colOff>285750</xdr:colOff>
      <xdr:row>23</xdr:row>
      <xdr:rowOff>9525</xdr:rowOff>
    </xdr:from>
    <xdr:to>
      <xdr:col>2</xdr:col>
      <xdr:colOff>9525</xdr:colOff>
      <xdr:row>57</xdr:row>
      <xdr:rowOff>76200</xdr:rowOff>
    </xdr:to>
    <xdr:grpSp>
      <xdr:nvGrpSpPr>
        <xdr:cNvPr id="7274" name="Group 106">
          <a:extLst>
            <a:ext uri="{FF2B5EF4-FFF2-40B4-BE49-F238E27FC236}">
              <a16:creationId xmlns:a16="http://schemas.microsoft.com/office/drawing/2014/main" id="{00000000-0008-0000-0600-00006A1C0000}"/>
            </a:ext>
          </a:extLst>
        </xdr:cNvPr>
        <xdr:cNvGrpSpPr>
          <a:grpSpLocks/>
        </xdr:cNvGrpSpPr>
      </xdr:nvGrpSpPr>
      <xdr:grpSpPr bwMode="auto">
        <a:xfrm>
          <a:off x="333375" y="3905250"/>
          <a:ext cx="352425" cy="5981700"/>
          <a:chOff x="232" y="409"/>
          <a:chExt cx="35" cy="628"/>
        </a:xfrm>
      </xdr:grpSpPr>
      <xdr:sp macro="" textlink="">
        <xdr:nvSpPr>
          <xdr:cNvPr id="7275" name="Line 107">
            <a:extLst>
              <a:ext uri="{FF2B5EF4-FFF2-40B4-BE49-F238E27FC236}">
                <a16:creationId xmlns:a16="http://schemas.microsoft.com/office/drawing/2014/main" id="{00000000-0008-0000-0600-00006B1C0000}"/>
              </a:ext>
            </a:extLst>
          </xdr:cNvPr>
          <xdr:cNvSpPr>
            <a:spLocks noChangeShapeType="1"/>
          </xdr:cNvSpPr>
        </xdr:nvSpPr>
        <xdr:spPr bwMode="auto">
          <a:xfrm>
            <a:off x="233" y="409"/>
            <a:ext cx="0" cy="628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276" name="Line 108">
            <a:extLst>
              <a:ext uri="{FF2B5EF4-FFF2-40B4-BE49-F238E27FC236}">
                <a16:creationId xmlns:a16="http://schemas.microsoft.com/office/drawing/2014/main" id="{00000000-0008-0000-0600-00006C1C0000}"/>
              </a:ext>
            </a:extLst>
          </xdr:cNvPr>
          <xdr:cNvSpPr>
            <a:spLocks noChangeShapeType="1"/>
          </xdr:cNvSpPr>
        </xdr:nvSpPr>
        <xdr:spPr bwMode="auto">
          <a:xfrm>
            <a:off x="233" y="530"/>
            <a:ext cx="32" cy="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277" name="Line 109">
            <a:extLst>
              <a:ext uri="{FF2B5EF4-FFF2-40B4-BE49-F238E27FC236}">
                <a16:creationId xmlns:a16="http://schemas.microsoft.com/office/drawing/2014/main" id="{00000000-0008-0000-0600-00006D1C0000}"/>
              </a:ext>
            </a:extLst>
          </xdr:cNvPr>
          <xdr:cNvSpPr>
            <a:spLocks noChangeShapeType="1"/>
          </xdr:cNvSpPr>
        </xdr:nvSpPr>
        <xdr:spPr bwMode="auto">
          <a:xfrm>
            <a:off x="234" y="455"/>
            <a:ext cx="32" cy="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278" name="Line 110">
            <a:extLst>
              <a:ext uri="{FF2B5EF4-FFF2-40B4-BE49-F238E27FC236}">
                <a16:creationId xmlns:a16="http://schemas.microsoft.com/office/drawing/2014/main" id="{00000000-0008-0000-0600-00006E1C0000}"/>
              </a:ext>
            </a:extLst>
          </xdr:cNvPr>
          <xdr:cNvSpPr>
            <a:spLocks noChangeShapeType="1"/>
          </xdr:cNvSpPr>
        </xdr:nvSpPr>
        <xdr:spPr bwMode="auto">
          <a:xfrm>
            <a:off x="234" y="607"/>
            <a:ext cx="32" cy="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279" name="Line 111">
            <a:extLst>
              <a:ext uri="{FF2B5EF4-FFF2-40B4-BE49-F238E27FC236}">
                <a16:creationId xmlns:a16="http://schemas.microsoft.com/office/drawing/2014/main" id="{00000000-0008-0000-0600-00006F1C0000}"/>
              </a:ext>
            </a:extLst>
          </xdr:cNvPr>
          <xdr:cNvSpPr>
            <a:spLocks noChangeShapeType="1"/>
          </xdr:cNvSpPr>
        </xdr:nvSpPr>
        <xdr:spPr bwMode="auto">
          <a:xfrm>
            <a:off x="233" y="672"/>
            <a:ext cx="32" cy="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280" name="Line 112">
            <a:extLst>
              <a:ext uri="{FF2B5EF4-FFF2-40B4-BE49-F238E27FC236}">
                <a16:creationId xmlns:a16="http://schemas.microsoft.com/office/drawing/2014/main" id="{00000000-0008-0000-0600-0000701C0000}"/>
              </a:ext>
            </a:extLst>
          </xdr:cNvPr>
          <xdr:cNvSpPr>
            <a:spLocks noChangeShapeType="1"/>
          </xdr:cNvSpPr>
        </xdr:nvSpPr>
        <xdr:spPr bwMode="auto">
          <a:xfrm>
            <a:off x="233" y="745"/>
            <a:ext cx="32" cy="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281" name="Line 113">
            <a:extLst>
              <a:ext uri="{FF2B5EF4-FFF2-40B4-BE49-F238E27FC236}">
                <a16:creationId xmlns:a16="http://schemas.microsoft.com/office/drawing/2014/main" id="{00000000-0008-0000-0600-0000711C0000}"/>
              </a:ext>
            </a:extLst>
          </xdr:cNvPr>
          <xdr:cNvSpPr>
            <a:spLocks noChangeShapeType="1"/>
          </xdr:cNvSpPr>
        </xdr:nvSpPr>
        <xdr:spPr bwMode="auto">
          <a:xfrm>
            <a:off x="233" y="818"/>
            <a:ext cx="32" cy="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282" name="Line 114">
            <a:extLst>
              <a:ext uri="{FF2B5EF4-FFF2-40B4-BE49-F238E27FC236}">
                <a16:creationId xmlns:a16="http://schemas.microsoft.com/office/drawing/2014/main" id="{00000000-0008-0000-0600-0000721C0000}"/>
              </a:ext>
            </a:extLst>
          </xdr:cNvPr>
          <xdr:cNvSpPr>
            <a:spLocks noChangeShapeType="1"/>
          </xdr:cNvSpPr>
        </xdr:nvSpPr>
        <xdr:spPr bwMode="auto">
          <a:xfrm>
            <a:off x="232" y="892"/>
            <a:ext cx="32" cy="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283" name="Line 115">
            <a:extLst>
              <a:ext uri="{FF2B5EF4-FFF2-40B4-BE49-F238E27FC236}">
                <a16:creationId xmlns:a16="http://schemas.microsoft.com/office/drawing/2014/main" id="{00000000-0008-0000-0600-0000731C0000}"/>
              </a:ext>
            </a:extLst>
          </xdr:cNvPr>
          <xdr:cNvSpPr>
            <a:spLocks noChangeShapeType="1"/>
          </xdr:cNvSpPr>
        </xdr:nvSpPr>
        <xdr:spPr bwMode="auto">
          <a:xfrm>
            <a:off x="235" y="964"/>
            <a:ext cx="32" cy="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284" name="Line 116">
            <a:extLst>
              <a:ext uri="{FF2B5EF4-FFF2-40B4-BE49-F238E27FC236}">
                <a16:creationId xmlns:a16="http://schemas.microsoft.com/office/drawing/2014/main" id="{00000000-0008-0000-0600-0000741C0000}"/>
              </a:ext>
            </a:extLst>
          </xdr:cNvPr>
          <xdr:cNvSpPr>
            <a:spLocks noChangeShapeType="1"/>
          </xdr:cNvSpPr>
        </xdr:nvSpPr>
        <xdr:spPr bwMode="auto">
          <a:xfrm>
            <a:off x="233" y="1037"/>
            <a:ext cx="32" cy="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23</xdr:row>
      <xdr:rowOff>47625</xdr:rowOff>
    </xdr:from>
    <xdr:to>
      <xdr:col>10</xdr:col>
      <xdr:colOff>600075</xdr:colOff>
      <xdr:row>46</xdr:row>
      <xdr:rowOff>57150</xdr:rowOff>
    </xdr:to>
    <xdr:graphicFrame macro="">
      <xdr:nvGraphicFramePr>
        <xdr:cNvPr id="10242" name="Chart 2">
          <a:extLst>
            <a:ext uri="{FF2B5EF4-FFF2-40B4-BE49-F238E27FC236}">
              <a16:creationId xmlns:a16="http://schemas.microsoft.com/office/drawing/2014/main" id="{00000000-0008-0000-0700-0000022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107</xdr:row>
      <xdr:rowOff>38100</xdr:rowOff>
    </xdr:from>
    <xdr:to>
      <xdr:col>10</xdr:col>
      <xdr:colOff>600075</xdr:colOff>
      <xdr:row>139</xdr:row>
      <xdr:rowOff>66675</xdr:rowOff>
    </xdr:to>
    <xdr:graphicFrame macro="">
      <xdr:nvGraphicFramePr>
        <xdr:cNvPr id="10243" name="Chart 3">
          <a:extLst>
            <a:ext uri="{FF2B5EF4-FFF2-40B4-BE49-F238E27FC236}">
              <a16:creationId xmlns:a16="http://schemas.microsoft.com/office/drawing/2014/main" id="{00000000-0008-0000-0700-0000032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48</xdr:row>
      <xdr:rowOff>152400</xdr:rowOff>
    </xdr:from>
    <xdr:to>
      <xdr:col>4</xdr:col>
      <xdr:colOff>781050</xdr:colOff>
      <xdr:row>69</xdr:row>
      <xdr:rowOff>142875</xdr:rowOff>
    </xdr:to>
    <xdr:graphicFrame macro="">
      <xdr:nvGraphicFramePr>
        <xdr:cNvPr id="12296" name="Chart 8">
          <a:extLst>
            <a:ext uri="{FF2B5EF4-FFF2-40B4-BE49-F238E27FC236}">
              <a16:creationId xmlns:a16="http://schemas.microsoft.com/office/drawing/2014/main" id="{00000000-0008-0000-0800-0000083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70</xdr:row>
      <xdr:rowOff>9525</xdr:rowOff>
    </xdr:from>
    <xdr:to>
      <xdr:col>9</xdr:col>
      <xdr:colOff>2571750</xdr:colOff>
      <xdr:row>91</xdr:row>
      <xdr:rowOff>38100</xdr:rowOff>
    </xdr:to>
    <xdr:graphicFrame macro="">
      <xdr:nvGraphicFramePr>
        <xdr:cNvPr id="12297" name="Chart 9">
          <a:extLst>
            <a:ext uri="{FF2B5EF4-FFF2-40B4-BE49-F238E27FC236}">
              <a16:creationId xmlns:a16="http://schemas.microsoft.com/office/drawing/2014/main" id="{00000000-0008-0000-0800-0000093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819150</xdr:colOff>
      <xdr:row>48</xdr:row>
      <xdr:rowOff>133350</xdr:rowOff>
    </xdr:from>
    <xdr:to>
      <xdr:col>9</xdr:col>
      <xdr:colOff>2571750</xdr:colOff>
      <xdr:row>60</xdr:row>
      <xdr:rowOff>57150</xdr:rowOff>
    </xdr:to>
    <xdr:graphicFrame macro="">
      <xdr:nvGraphicFramePr>
        <xdr:cNvPr id="12298" name="Chart 10">
          <a:extLst>
            <a:ext uri="{FF2B5EF4-FFF2-40B4-BE49-F238E27FC236}">
              <a16:creationId xmlns:a16="http://schemas.microsoft.com/office/drawing/2014/main" id="{00000000-0008-0000-0800-00000A3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819150</xdr:colOff>
      <xdr:row>60</xdr:row>
      <xdr:rowOff>85725</xdr:rowOff>
    </xdr:from>
    <xdr:to>
      <xdr:col>9</xdr:col>
      <xdr:colOff>2562225</xdr:colOff>
      <xdr:row>69</xdr:row>
      <xdr:rowOff>152400</xdr:rowOff>
    </xdr:to>
    <xdr:graphicFrame macro="">
      <xdr:nvGraphicFramePr>
        <xdr:cNvPr id="12299" name="Chart 11">
          <a:extLst>
            <a:ext uri="{FF2B5EF4-FFF2-40B4-BE49-F238E27FC236}">
              <a16:creationId xmlns:a16="http://schemas.microsoft.com/office/drawing/2014/main" id="{00000000-0008-0000-0800-00000B3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8656320" cy="627888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ATRICIO\Estudios\02%20-%20Acueducto%20Cirunvalacion\ECONOMICO\02-Presenta%20%20-%20Acued-Circunv-Ex-%20CM%20R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ATRICIO\ESTUDIOS\03%20-%20Acueducto%20Benavidez\ECONOMICO\02-Presenta%20-%20Acued-Benav-Ex-%20SM%20R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anchezar\My%20Documents\Borrar\A%20Copiar%20Ultimos\Licitacion%20Canal%20Norte\Costos_r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ATRICIO\ESTUDIOS\03%20-%20Acueducto%20Benavidez\ECONOMICO\02-Presenta%20-%20Acued-Benav-Ex-%20CM%20R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ATRICIO\ESTUDIOS\03%20-%20Acueducto%20Benavidez\ECONOMICO\03-Pres%20-%20Acued%20-%20Benav-Ex-%20SM%20R0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Aux_Niv_1"/>
      <sheetName val="Aux_Niv_2"/>
      <sheetName val="Aux_Niv_3"/>
      <sheetName val="Presentacion"/>
      <sheetName val="Tabla-Dinamica"/>
      <sheetName val="Presenta"/>
      <sheetName val="Cocina"/>
      <sheetName val="Pres_Formal"/>
      <sheetName val="Cocina2"/>
      <sheetName val="Pres_Formal2"/>
      <sheetName val="Pres_Formal3"/>
      <sheetName val="02-Presenta  - Acued-Circunv-Ex"/>
    </sheetNames>
    <sheetDataSet>
      <sheetData sheetId="0">
        <row r="11">
          <cell r="F11">
            <v>73.5</v>
          </cell>
        </row>
      </sheetData>
      <sheetData sheetId="1">
        <row r="3">
          <cell r="N3">
            <v>194</v>
          </cell>
        </row>
      </sheetData>
      <sheetData sheetId="2">
        <row r="3">
          <cell r="N3">
            <v>0</v>
          </cell>
        </row>
      </sheetData>
      <sheetData sheetId="3">
        <row r="20">
          <cell r="F20" t="str">
            <v>m3</v>
          </cell>
        </row>
      </sheetData>
      <sheetData sheetId="4">
        <row r="20">
          <cell r="F20">
            <v>1456084.2890307801</v>
          </cell>
        </row>
      </sheetData>
      <sheetData sheetId="5">
        <row r="20">
          <cell r="F20" t="str">
            <v>hh</v>
          </cell>
        </row>
      </sheetData>
      <sheetData sheetId="6">
        <row r="20">
          <cell r="F20">
            <v>21</v>
          </cell>
        </row>
      </sheetData>
      <sheetData sheetId="7"/>
      <sheetData sheetId="8">
        <row r="20">
          <cell r="F20">
            <v>206</v>
          </cell>
        </row>
      </sheetData>
      <sheetData sheetId="9">
        <row r="6">
          <cell r="D6" t="str">
            <v>A.1</v>
          </cell>
        </row>
      </sheetData>
      <sheetData sheetId="10">
        <row r="20">
          <cell r="F20">
            <v>2.3954390839840945E-3</v>
          </cell>
        </row>
      </sheetData>
      <sheetData sheetId="1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Aux_Niv_1"/>
      <sheetName val="Aux_Niv_2"/>
      <sheetName val="Aux_Niv_3"/>
      <sheetName val="Presentacion"/>
      <sheetName val="Tabla-Dinamica"/>
      <sheetName val="Presenta"/>
      <sheetName val="Cocina"/>
      <sheetName val="Pres_Formal"/>
      <sheetName val="Cocina2"/>
      <sheetName val="Pres_Formal2"/>
      <sheetName val="Pres_Formal3"/>
      <sheetName val="02-Presenta - Acued-Benav-Ex- S"/>
    </sheetNames>
    <sheetDataSet>
      <sheetData sheetId="0">
        <row r="11">
          <cell r="F11">
            <v>80</v>
          </cell>
        </row>
        <row r="13">
          <cell r="F13">
            <v>55</v>
          </cell>
        </row>
        <row r="14">
          <cell r="F14">
            <v>0.5</v>
          </cell>
        </row>
        <row r="18">
          <cell r="F18">
            <v>0</v>
          </cell>
        </row>
        <row r="19">
          <cell r="F19">
            <v>0</v>
          </cell>
        </row>
        <row r="20">
          <cell r="F20">
            <v>0.1</v>
          </cell>
        </row>
        <row r="21">
          <cell r="F21">
            <v>0</v>
          </cell>
        </row>
        <row r="22">
          <cell r="B22" t="str">
            <v>Ingresos Brutos - Lote Hogar</v>
          </cell>
          <cell r="F22">
            <v>2.4E-2</v>
          </cell>
        </row>
        <row r="23">
          <cell r="F23">
            <v>0</v>
          </cell>
        </row>
        <row r="24">
          <cell r="F24">
            <v>0</v>
          </cell>
        </row>
        <row r="26">
          <cell r="F26">
            <v>0.29414663089660797</v>
          </cell>
        </row>
        <row r="27">
          <cell r="F27">
            <v>1.7203769425264142</v>
          </cell>
        </row>
        <row r="28">
          <cell r="F28">
            <v>1.4217991260548877</v>
          </cell>
        </row>
      </sheetData>
      <sheetData sheetId="1">
        <row r="3">
          <cell r="N3">
            <v>255</v>
          </cell>
        </row>
        <row r="5">
          <cell r="N5">
            <v>5</v>
          </cell>
        </row>
      </sheetData>
      <sheetData sheetId="2">
        <row r="3">
          <cell r="N3">
            <v>0</v>
          </cell>
        </row>
        <row r="5">
          <cell r="N5">
            <v>27</v>
          </cell>
        </row>
      </sheetData>
      <sheetData sheetId="3"/>
      <sheetData sheetId="4"/>
      <sheetData sheetId="5"/>
      <sheetData sheetId="6"/>
      <sheetData sheetId="7"/>
      <sheetData sheetId="8"/>
      <sheetData sheetId="9">
        <row r="6">
          <cell r="D6" t="str">
            <v>A.1.1</v>
          </cell>
        </row>
      </sheetData>
      <sheetData sheetId="10"/>
      <sheetData sheetId="1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Recursos"/>
      <sheetName val="Items"/>
      <sheetName val="Organig"/>
      <sheetName val="AUX-NIV1"/>
      <sheetName val="AUX-NIV2"/>
      <sheetName val="AUX-NIV3"/>
      <sheetName val="Histograma"/>
      <sheetName val="Resumen"/>
      <sheetName val="Precio"/>
      <sheetName val="Crono"/>
      <sheetName val="Constantes"/>
      <sheetName val="Aux_Items_1"/>
      <sheetName val="Aux_Items_2"/>
      <sheetName val="Aux_Items_3"/>
      <sheetName val="MOd_CE"/>
      <sheetName val="MOi_CE"/>
      <sheetName val="EQ_CE"/>
    </sheetNames>
    <sheetDataSet>
      <sheetData sheetId="0" refreshError="1">
        <row r="6">
          <cell r="C6">
            <v>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Aux_Niv_1"/>
      <sheetName val="Aux_Niv_2"/>
      <sheetName val="Aux_Niv_3"/>
      <sheetName val="Presentacion"/>
      <sheetName val="Tabla-Dinamica"/>
      <sheetName val="Presenta"/>
      <sheetName val="Cocina"/>
      <sheetName val="Pres_Formal"/>
      <sheetName val="Cocina2"/>
      <sheetName val="Pres_Formal2"/>
      <sheetName val="Pres_Formal3"/>
      <sheetName val="02-Presenta - Acued-Benav-Ex- 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cio Tubos (2)"/>
      <sheetName val="Precio Tubos"/>
      <sheetName val="Precio"/>
      <sheetName val="Costos"/>
      <sheetName val="Recursos"/>
      <sheetName val="Organig"/>
      <sheetName val="Histograma"/>
      <sheetName val="Resumen"/>
      <sheetName val="Curva Inversiones"/>
      <sheetName val="MOd_CE"/>
      <sheetName val="MOi_CE"/>
      <sheetName val="EQ_CE"/>
      <sheetName val="PU"/>
      <sheetName val="CInv"/>
      <sheetName val="Gráfico1"/>
      <sheetName val="Coef resumen"/>
    </sheetNames>
    <sheetDataSet>
      <sheetData sheetId="0"/>
      <sheetData sheetId="1"/>
      <sheetData sheetId="2">
        <row r="5">
          <cell r="C5" t="str">
            <v>OBRA:</v>
          </cell>
        </row>
        <row r="7">
          <cell r="C7" t="str">
            <v>COMITENTE: OSSE</v>
          </cell>
        </row>
        <row r="9">
          <cell r="C9" t="str">
            <v>Empresa:</v>
          </cell>
        </row>
        <row r="10">
          <cell r="C10" t="str">
            <v>Domicilio:</v>
          </cell>
        </row>
        <row r="11">
          <cell r="C11" t="str">
            <v>Fecha: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T364"/>
  <sheetViews>
    <sheetView tabSelected="1" zoomScale="85" zoomScaleNormal="85" workbookViewId="0">
      <selection activeCell="C32" sqref="C32"/>
    </sheetView>
  </sheetViews>
  <sheetFormatPr baseColWidth="10" defaultColWidth="0" defaultRowHeight="13.2" zeroHeight="1"/>
  <cols>
    <col min="1" max="1" width="0.88671875" style="14" customWidth="1"/>
    <col min="2" max="2" width="9.109375" style="14" customWidth="1"/>
    <col min="3" max="4" width="12.44140625" style="14" customWidth="1"/>
    <col min="5" max="5" width="12.88671875" style="14" customWidth="1"/>
    <col min="6" max="6" width="11" style="14" customWidth="1"/>
    <col min="7" max="7" width="8.6640625" style="14" customWidth="1"/>
    <col min="8" max="8" width="0.5546875" style="14" customWidth="1"/>
    <col min="9" max="10" width="17.6640625" style="14" customWidth="1"/>
    <col min="11" max="11" width="11.44140625" style="14" customWidth="1"/>
    <col min="12" max="14" width="11.109375" style="14" customWidth="1"/>
    <col min="15" max="15" width="0.5546875" style="14" customWidth="1"/>
    <col min="16" max="16" width="18.109375" style="14" customWidth="1"/>
    <col min="17" max="18" width="8.44140625" style="14" customWidth="1"/>
    <col min="19" max="19" width="11.109375" style="14" customWidth="1"/>
    <col min="20" max="20" width="13.44140625" style="14" customWidth="1"/>
    <col min="21" max="16384" width="11.44140625" style="14" hidden="1"/>
  </cols>
  <sheetData>
    <row r="1" spans="2:20" ht="2.25" customHeight="1">
      <c r="B1" s="1695" t="s">
        <v>225</v>
      </c>
      <c r="C1" s="1696"/>
      <c r="D1" s="1696"/>
      <c r="E1" s="1696"/>
      <c r="F1" s="1696"/>
      <c r="G1" s="1696"/>
      <c r="H1" s="1696"/>
      <c r="I1" s="1696"/>
      <c r="J1" s="1696"/>
      <c r="K1" s="1696"/>
      <c r="L1" s="1696"/>
      <c r="M1" s="1696"/>
      <c r="N1" s="1696"/>
      <c r="O1" s="1696"/>
      <c r="P1" s="1696"/>
      <c r="Q1" s="1696"/>
      <c r="R1" s="1696"/>
      <c r="S1" s="1696"/>
      <c r="T1" s="1697"/>
    </row>
    <row r="2" spans="2:20" ht="22.5" customHeight="1" thickBot="1">
      <c r="B2" s="1698"/>
      <c r="C2" s="1699"/>
      <c r="D2" s="1699"/>
      <c r="E2" s="1699"/>
      <c r="F2" s="1699"/>
      <c r="G2" s="1699"/>
      <c r="H2" s="1699"/>
      <c r="I2" s="1699"/>
      <c r="J2" s="1699"/>
      <c r="K2" s="1699"/>
      <c r="L2" s="1699"/>
      <c r="M2" s="1699"/>
      <c r="N2" s="1699"/>
      <c r="O2" s="1699"/>
      <c r="P2" s="1699"/>
      <c r="Q2" s="1699"/>
      <c r="R2" s="1699"/>
      <c r="S2" s="1699"/>
      <c r="T2" s="1700"/>
    </row>
    <row r="3" spans="2:20">
      <c r="B3" s="2" t="s">
        <v>227</v>
      </c>
      <c r="C3" s="404" t="s">
        <v>4619</v>
      </c>
      <c r="D3" s="404"/>
      <c r="E3" s="404"/>
      <c r="F3" s="404"/>
      <c r="H3" s="15"/>
      <c r="I3" s="1" t="s">
        <v>226</v>
      </c>
      <c r="O3" s="15"/>
      <c r="P3" s="1" t="s">
        <v>365</v>
      </c>
    </row>
    <row r="4" spans="2:20">
      <c r="B4" s="2" t="s">
        <v>232</v>
      </c>
      <c r="C4" s="12" t="s">
        <v>4620</v>
      </c>
      <c r="D4" s="12"/>
      <c r="E4" s="12"/>
      <c r="F4" s="12"/>
      <c r="H4" s="15"/>
      <c r="I4" s="16" t="s">
        <v>233</v>
      </c>
      <c r="J4" s="17"/>
      <c r="K4" s="17"/>
      <c r="L4" s="18"/>
      <c r="O4" s="15"/>
      <c r="P4" s="19" t="s">
        <v>228</v>
      </c>
      <c r="Q4" s="20" t="s">
        <v>229</v>
      </c>
      <c r="R4" s="20" t="s">
        <v>230</v>
      </c>
      <c r="S4" s="20" t="s">
        <v>231</v>
      </c>
    </row>
    <row r="5" spans="2:20">
      <c r="B5" s="2" t="s">
        <v>235</v>
      </c>
      <c r="C5" s="404" t="s">
        <v>4621</v>
      </c>
      <c r="D5" s="404"/>
      <c r="E5" s="404"/>
      <c r="F5" s="404"/>
      <c r="H5" s="15"/>
      <c r="I5" s="21"/>
      <c r="J5" s="22"/>
      <c r="K5" s="18"/>
      <c r="L5" s="18"/>
      <c r="O5" s="15"/>
      <c r="P5" s="23" t="s">
        <v>234</v>
      </c>
      <c r="Q5" s="24"/>
      <c r="R5" s="12">
        <v>160</v>
      </c>
      <c r="S5" s="25">
        <f t="shared" ref="S5:S16" si="0">+Q5*R5</f>
        <v>0</v>
      </c>
    </row>
    <row r="6" spans="2:20">
      <c r="B6" s="2" t="s">
        <v>237</v>
      </c>
      <c r="C6" s="12">
        <v>2</v>
      </c>
      <c r="D6" s="3" t="s">
        <v>831</v>
      </c>
      <c r="E6" s="4"/>
      <c r="F6" s="4"/>
      <c r="H6" s="15"/>
      <c r="I6" s="21" t="s">
        <v>238</v>
      </c>
      <c r="J6" s="22"/>
      <c r="K6" s="18"/>
      <c r="L6" s="26" t="s">
        <v>239</v>
      </c>
      <c r="O6" s="15"/>
      <c r="P6" s="23" t="s">
        <v>236</v>
      </c>
      <c r="Q6" s="24">
        <v>0.16666666666666666</v>
      </c>
      <c r="R6" s="12">
        <v>110</v>
      </c>
      <c r="S6" s="25">
        <f t="shared" si="0"/>
        <v>18.333333333333332</v>
      </c>
    </row>
    <row r="7" spans="2:20">
      <c r="B7" s="2" t="s">
        <v>3209</v>
      </c>
      <c r="C7" s="12">
        <v>2</v>
      </c>
      <c r="D7" s="3" t="s">
        <v>831</v>
      </c>
      <c r="H7" s="15"/>
      <c r="J7" s="22"/>
      <c r="K7" s="18"/>
      <c r="L7" s="27" t="s">
        <v>242</v>
      </c>
      <c r="M7" s="28" t="s">
        <v>243</v>
      </c>
      <c r="N7" s="28" t="s">
        <v>244</v>
      </c>
      <c r="O7" s="15"/>
      <c r="P7" s="23" t="s">
        <v>240</v>
      </c>
      <c r="Q7" s="24"/>
      <c r="R7" s="12">
        <v>1300</v>
      </c>
      <c r="S7" s="25">
        <f t="shared" si="0"/>
        <v>0</v>
      </c>
    </row>
    <row r="8" spans="2:20" s="29" customFormat="1" ht="13.5" customHeight="1">
      <c r="B8" s="2" t="s">
        <v>241</v>
      </c>
      <c r="C8" s="12"/>
      <c r="H8" s="30"/>
      <c r="J8" s="22"/>
      <c r="K8" s="18"/>
      <c r="L8" s="31">
        <f>+SUM(L11:L21)</f>
        <v>273</v>
      </c>
      <c r="M8" s="31">
        <f>+L8*M10</f>
        <v>2457</v>
      </c>
      <c r="N8" s="31">
        <f>+M8/12</f>
        <v>204.75</v>
      </c>
      <c r="O8" s="30"/>
      <c r="P8" s="23" t="s">
        <v>245</v>
      </c>
      <c r="Q8" s="24">
        <v>0.16666666666666666</v>
      </c>
      <c r="R8" s="12">
        <v>300</v>
      </c>
      <c r="S8" s="25">
        <f t="shared" si="0"/>
        <v>50</v>
      </c>
      <c r="T8" s="14"/>
    </row>
    <row r="9" spans="2:20">
      <c r="H9" s="15"/>
      <c r="I9" s="32" t="s">
        <v>248</v>
      </c>
      <c r="J9" s="22"/>
      <c r="K9" s="18"/>
      <c r="L9" s="18"/>
      <c r="O9" s="15"/>
      <c r="P9" s="23" t="s">
        <v>246</v>
      </c>
      <c r="Q9" s="24"/>
      <c r="R9" s="12">
        <v>800</v>
      </c>
      <c r="S9" s="25">
        <f t="shared" si="0"/>
        <v>0</v>
      </c>
    </row>
    <row r="10" spans="2:20" ht="13.8" thickBot="1">
      <c r="H10" s="15"/>
      <c r="I10" s="14" t="s">
        <v>251</v>
      </c>
      <c r="J10" s="22"/>
      <c r="K10" s="18"/>
      <c r="L10" s="18"/>
      <c r="M10" s="12">
        <v>9</v>
      </c>
      <c r="O10" s="15"/>
      <c r="P10" s="23" t="s">
        <v>249</v>
      </c>
      <c r="Q10" s="24"/>
      <c r="R10" s="12">
        <v>700</v>
      </c>
      <c r="S10" s="25">
        <f t="shared" si="0"/>
        <v>0</v>
      </c>
    </row>
    <row r="11" spans="2:20">
      <c r="B11" s="47" t="s">
        <v>247</v>
      </c>
      <c r="C11" s="48"/>
      <c r="D11" s="48"/>
      <c r="E11" s="48"/>
      <c r="F11" s="51">
        <v>119</v>
      </c>
      <c r="H11" s="15"/>
      <c r="I11" s="34" t="s">
        <v>253</v>
      </c>
      <c r="J11" s="22"/>
      <c r="K11" s="18"/>
      <c r="L11" s="12">
        <v>365</v>
      </c>
      <c r="M11" s="33">
        <f>+L11*M10</f>
        <v>3285</v>
      </c>
      <c r="N11" s="33">
        <f>+M11/12</f>
        <v>273.75</v>
      </c>
      <c r="O11" s="15"/>
      <c r="P11" s="23" t="s">
        <v>252</v>
      </c>
      <c r="Q11" s="35">
        <v>1</v>
      </c>
      <c r="R11" s="12">
        <v>35</v>
      </c>
      <c r="S11" s="25">
        <f t="shared" si="0"/>
        <v>35</v>
      </c>
    </row>
    <row r="12" spans="2:20" ht="13.8" thickBot="1">
      <c r="B12" s="49" t="s">
        <v>250</v>
      </c>
      <c r="C12" s="50"/>
      <c r="D12" s="50"/>
      <c r="E12" s="50"/>
      <c r="F12" s="52">
        <v>102.05</v>
      </c>
      <c r="H12" s="15"/>
      <c r="J12" s="22"/>
      <c r="K12" s="18"/>
      <c r="L12" s="18"/>
      <c r="O12" s="15"/>
      <c r="P12" s="23" t="s">
        <v>254</v>
      </c>
      <c r="Q12" s="24">
        <v>0.16666666666666666</v>
      </c>
      <c r="R12" s="12">
        <v>2900</v>
      </c>
      <c r="S12" s="25">
        <f t="shared" si="0"/>
        <v>483.33333333333331</v>
      </c>
    </row>
    <row r="13" spans="2:20" ht="13.8" thickBot="1">
      <c r="H13" s="15"/>
      <c r="I13" s="34" t="s">
        <v>308</v>
      </c>
      <c r="J13" s="22"/>
      <c r="K13" s="18"/>
      <c r="L13" s="18"/>
      <c r="O13" s="15"/>
      <c r="P13" s="23" t="s">
        <v>255</v>
      </c>
      <c r="Q13" s="24"/>
      <c r="R13" s="12">
        <v>990</v>
      </c>
      <c r="S13" s="25">
        <f t="shared" si="0"/>
        <v>0</v>
      </c>
    </row>
    <row r="14" spans="2:20">
      <c r="B14" s="55" t="s">
        <v>310</v>
      </c>
      <c r="C14" s="56"/>
      <c r="D14" s="56"/>
      <c r="E14" s="57" t="s">
        <v>311</v>
      </c>
      <c r="F14" s="53">
        <v>84.9</v>
      </c>
      <c r="H14" s="15"/>
      <c r="I14" s="21" t="s">
        <v>312</v>
      </c>
      <c r="J14" s="22"/>
      <c r="K14" s="12">
        <v>-52</v>
      </c>
      <c r="L14" s="33">
        <f>+K14</f>
        <v>-52</v>
      </c>
      <c r="M14" s="33">
        <f>+L14*M10</f>
        <v>-468</v>
      </c>
      <c r="N14" s="33">
        <f>+M14/12</f>
        <v>-39</v>
      </c>
      <c r="O14" s="15"/>
      <c r="P14" s="23" t="s">
        <v>309</v>
      </c>
      <c r="Q14" s="24"/>
      <c r="R14" s="12">
        <v>800</v>
      </c>
      <c r="S14" s="25">
        <f t="shared" si="0"/>
        <v>0</v>
      </c>
    </row>
    <row r="15" spans="2:20">
      <c r="B15" s="58" t="s">
        <v>314</v>
      </c>
      <c r="C15" s="59"/>
      <c r="D15" s="59"/>
      <c r="E15" s="59"/>
      <c r="F15" s="54">
        <v>0.5</v>
      </c>
      <c r="H15" s="15"/>
      <c r="I15" s="21" t="s">
        <v>315</v>
      </c>
      <c r="J15" s="22"/>
      <c r="K15" s="12">
        <v>-26</v>
      </c>
      <c r="L15" s="33">
        <f>+K15</f>
        <v>-26</v>
      </c>
      <c r="M15" s="33">
        <f>+L15*M10</f>
        <v>-234</v>
      </c>
      <c r="N15" s="33">
        <f>+M15/12</f>
        <v>-19.5</v>
      </c>
      <c r="O15" s="15"/>
      <c r="P15" s="23" t="s">
        <v>313</v>
      </c>
      <c r="Q15" s="35">
        <v>1</v>
      </c>
      <c r="R15" s="12">
        <v>130</v>
      </c>
      <c r="S15" s="25">
        <f t="shared" si="0"/>
        <v>130</v>
      </c>
    </row>
    <row r="16" spans="2:20">
      <c r="B16" s="58" t="s">
        <v>317</v>
      </c>
      <c r="C16" s="59"/>
      <c r="D16" s="59"/>
      <c r="E16" s="59"/>
      <c r="F16" s="54">
        <v>0.2</v>
      </c>
      <c r="H16" s="15"/>
      <c r="I16" s="21" t="s">
        <v>318</v>
      </c>
      <c r="J16" s="22"/>
      <c r="K16" s="12">
        <v>-14</v>
      </c>
      <c r="L16" s="33">
        <f>+K16</f>
        <v>-14</v>
      </c>
      <c r="M16" s="33">
        <f>+K16*M10</f>
        <v>-126</v>
      </c>
      <c r="N16" s="33">
        <f>+M16/12</f>
        <v>-10.5</v>
      </c>
      <c r="O16" s="15"/>
      <c r="P16" s="23" t="s">
        <v>316</v>
      </c>
      <c r="Q16" s="24">
        <v>0.33333333333333331</v>
      </c>
      <c r="R16" s="12">
        <v>1750</v>
      </c>
      <c r="S16" s="25">
        <f t="shared" si="0"/>
        <v>583.33333333333326</v>
      </c>
    </row>
    <row r="17" spans="2:20">
      <c r="B17" s="58" t="s">
        <v>319</v>
      </c>
      <c r="C17" s="59"/>
      <c r="D17" s="59"/>
      <c r="E17" s="59"/>
      <c r="F17" s="54">
        <v>0.2</v>
      </c>
      <c r="H17" s="15"/>
      <c r="I17" s="14" t="s">
        <v>320</v>
      </c>
      <c r="O17" s="15"/>
      <c r="P17" s="23"/>
      <c r="S17" s="36">
        <f>+SUM(S5:S16)</f>
        <v>1300</v>
      </c>
    </row>
    <row r="18" spans="2:20" ht="13.8" thickBot="1">
      <c r="B18" s="60" t="s">
        <v>926</v>
      </c>
      <c r="C18" s="61"/>
      <c r="D18" s="61"/>
      <c r="E18" s="61" t="s">
        <v>927</v>
      </c>
      <c r="F18" s="389">
        <v>2.1</v>
      </c>
      <c r="H18" s="15"/>
      <c r="I18" s="21" t="s">
        <v>321</v>
      </c>
      <c r="J18" s="22"/>
      <c r="K18" s="18"/>
      <c r="L18" s="18"/>
      <c r="O18" s="15"/>
      <c r="P18" s="23"/>
    </row>
    <row r="19" spans="2:20">
      <c r="B19" s="62" t="s">
        <v>322</v>
      </c>
      <c r="C19" s="63"/>
      <c r="D19" s="63"/>
      <c r="E19" s="63"/>
      <c r="F19" s="64">
        <v>0</v>
      </c>
      <c r="H19" s="15"/>
      <c r="I19" s="21" t="s">
        <v>731</v>
      </c>
      <c r="J19" s="22"/>
      <c r="K19" s="12">
        <v>0</v>
      </c>
      <c r="O19" s="15"/>
      <c r="P19" s="23"/>
    </row>
    <row r="20" spans="2:20">
      <c r="B20" s="65" t="s">
        <v>327</v>
      </c>
      <c r="C20" s="66"/>
      <c r="D20" s="66"/>
      <c r="E20" s="66"/>
      <c r="F20" s="67">
        <v>0</v>
      </c>
      <c r="H20" s="15"/>
      <c r="I20" s="21" t="s">
        <v>836</v>
      </c>
      <c r="J20" s="22"/>
      <c r="K20" s="33">
        <f>0.3*K19</f>
        <v>0</v>
      </c>
      <c r="O20" s="15"/>
      <c r="P20" s="19" t="s">
        <v>323</v>
      </c>
      <c r="Q20" s="14" t="s">
        <v>324</v>
      </c>
      <c r="R20" s="14" t="s">
        <v>325</v>
      </c>
      <c r="S20" s="14" t="s">
        <v>326</v>
      </c>
    </row>
    <row r="21" spans="2:20">
      <c r="B21" s="65" t="s">
        <v>329</v>
      </c>
      <c r="C21" s="66"/>
      <c r="D21" s="66"/>
      <c r="E21" s="66"/>
      <c r="F21" s="67">
        <v>0</v>
      </c>
      <c r="H21" s="15"/>
      <c r="I21" s="21" t="s">
        <v>330</v>
      </c>
      <c r="J21" s="22"/>
      <c r="K21" s="18"/>
      <c r="L21" s="33">
        <f>+K20*L11/(L11+L14+L16+L15)</f>
        <v>0</v>
      </c>
      <c r="M21" s="33">
        <f>+L21*M10</f>
        <v>0</v>
      </c>
      <c r="N21" s="33">
        <f>+M21/12</f>
        <v>0</v>
      </c>
      <c r="O21" s="15"/>
      <c r="P21" s="23" t="s">
        <v>328</v>
      </c>
      <c r="Q21" s="12">
        <v>22</v>
      </c>
      <c r="R21" s="12"/>
      <c r="S21" s="25">
        <f>+Q21*R21</f>
        <v>0</v>
      </c>
    </row>
    <row r="22" spans="2:20">
      <c r="B22" s="65" t="s">
        <v>332</v>
      </c>
      <c r="C22" s="66"/>
      <c r="D22" s="66"/>
      <c r="E22" s="66"/>
      <c r="F22" s="67">
        <v>0</v>
      </c>
      <c r="H22" s="15"/>
      <c r="J22" s="22"/>
      <c r="K22" s="18"/>
      <c r="L22" s="18"/>
      <c r="M22" s="9"/>
      <c r="N22" s="9"/>
      <c r="O22" s="15"/>
      <c r="P22" s="23" t="s">
        <v>331</v>
      </c>
      <c r="Q22" s="12">
        <v>15</v>
      </c>
      <c r="R22" s="12"/>
      <c r="S22" s="25">
        <f>+Q22*R22</f>
        <v>0</v>
      </c>
    </row>
    <row r="23" spans="2:20">
      <c r="B23" s="65" t="s">
        <v>1164</v>
      </c>
      <c r="C23" s="66"/>
      <c r="D23" s="66"/>
      <c r="E23" s="66"/>
      <c r="F23" s="67">
        <v>0</v>
      </c>
      <c r="G23" s="5"/>
      <c r="H23" s="6"/>
      <c r="I23" s="32" t="s">
        <v>335</v>
      </c>
      <c r="J23" s="22"/>
      <c r="K23" s="18"/>
      <c r="L23" s="18"/>
      <c r="M23" s="37"/>
      <c r="N23" s="11"/>
      <c r="O23" s="6"/>
      <c r="P23" s="23" t="s">
        <v>333</v>
      </c>
      <c r="Q23" s="12">
        <v>30</v>
      </c>
      <c r="R23" s="12"/>
      <c r="S23" s="25">
        <f>+Q23*R23</f>
        <v>0</v>
      </c>
    </row>
    <row r="24" spans="2:20" ht="13.8" thickBot="1">
      <c r="B24" s="68" t="s">
        <v>334</v>
      </c>
      <c r="C24" s="69"/>
      <c r="D24" s="69"/>
      <c r="E24" s="69"/>
      <c r="F24" s="70">
        <v>0</v>
      </c>
      <c r="G24" s="7"/>
      <c r="H24" s="40"/>
      <c r="I24" s="34" t="s">
        <v>336</v>
      </c>
      <c r="J24" s="22"/>
      <c r="K24" s="18"/>
      <c r="O24" s="40"/>
      <c r="P24" s="23"/>
      <c r="S24" s="36">
        <f>+SUM(S21:S23)</f>
        <v>0</v>
      </c>
    </row>
    <row r="25" spans="2:20">
      <c r="B25" s="38"/>
      <c r="C25" s="38"/>
      <c r="D25" s="38"/>
      <c r="E25" s="38"/>
      <c r="F25" s="39"/>
      <c r="G25" s="7"/>
      <c r="H25" s="40"/>
      <c r="I25" s="21" t="s">
        <v>337</v>
      </c>
      <c r="J25" s="22"/>
      <c r="K25" s="18"/>
      <c r="L25" s="18"/>
      <c r="M25" s="37"/>
      <c r="N25" s="11"/>
      <c r="O25" s="40"/>
    </row>
    <row r="26" spans="2:20">
      <c r="B26" s="41" t="s">
        <v>339</v>
      </c>
      <c r="C26" s="42"/>
      <c r="D26" s="42"/>
      <c r="E26" s="13">
        <v>44419</v>
      </c>
      <c r="G26" s="7"/>
      <c r="H26" s="40"/>
      <c r="I26" s="21" t="s">
        <v>340</v>
      </c>
      <c r="J26" s="22"/>
      <c r="K26" s="18"/>
      <c r="L26" s="18"/>
      <c r="M26" s="37"/>
      <c r="N26" s="11"/>
      <c r="O26" s="40"/>
      <c r="P26" s="19" t="s">
        <v>338</v>
      </c>
      <c r="Q26" s="14" t="s">
        <v>324</v>
      </c>
      <c r="R26" s="14" t="s">
        <v>325</v>
      </c>
      <c r="S26" s="14" t="s">
        <v>326</v>
      </c>
    </row>
    <row r="27" spans="2:20">
      <c r="B27" s="38"/>
      <c r="C27" s="38"/>
      <c r="D27" s="38"/>
      <c r="E27" s="38"/>
      <c r="F27" s="39"/>
      <c r="G27" s="7"/>
      <c r="H27" s="40"/>
      <c r="I27" s="21" t="s">
        <v>343</v>
      </c>
      <c r="J27" s="22"/>
      <c r="K27" s="18"/>
      <c r="L27" s="18"/>
      <c r="M27" s="37"/>
      <c r="N27" s="11"/>
      <c r="O27" s="40"/>
      <c r="P27" s="23" t="s">
        <v>341</v>
      </c>
      <c r="Q27" s="24"/>
      <c r="R27" s="12">
        <v>4200</v>
      </c>
      <c r="S27" s="43">
        <f>+Q27*R27</f>
        <v>0</v>
      </c>
      <c r="T27" s="14" t="s">
        <v>342</v>
      </c>
    </row>
    <row r="28" spans="2:20">
      <c r="B28" s="38"/>
      <c r="C28" s="38"/>
      <c r="D28" s="38"/>
      <c r="E28" s="38"/>
      <c r="F28" s="39"/>
      <c r="G28" s="7"/>
      <c r="H28" s="40"/>
      <c r="I28" s="21"/>
      <c r="J28" s="22"/>
      <c r="K28" s="12">
        <v>-15</v>
      </c>
      <c r="L28" s="33">
        <f>+K28*L8/L11</f>
        <v>-11.219178082191782</v>
      </c>
      <c r="M28" s="33">
        <f>+L28*M10</f>
        <v>-100.97260273972603</v>
      </c>
      <c r="N28" s="33">
        <f>+M28/12</f>
        <v>-8.4143835616438363</v>
      </c>
      <c r="O28" s="40"/>
      <c r="P28" s="23" t="s">
        <v>344</v>
      </c>
      <c r="Q28" s="409">
        <v>0</v>
      </c>
      <c r="R28" s="12">
        <v>350</v>
      </c>
      <c r="S28" s="43">
        <f>+Q28*R28</f>
        <v>0</v>
      </c>
      <c r="T28" s="14" t="s">
        <v>342</v>
      </c>
    </row>
    <row r="29" spans="2:20" ht="12.75" customHeight="1">
      <c r="B29" s="2" t="s">
        <v>346</v>
      </c>
      <c r="C29" s="1693" t="str">
        <f ca="1">+CELL("filename",A1)</f>
        <v>C:\Users\sanar\Documents\998 Personales\03 Economía\Ec Civ 2026\[ARchivo de Costos.xlsx]Datos</v>
      </c>
      <c r="D29" s="1693"/>
      <c r="E29" s="1693"/>
      <c r="F29" s="1693"/>
      <c r="G29" s="1693"/>
      <c r="H29" s="15"/>
      <c r="I29" s="21"/>
      <c r="J29" s="22"/>
      <c r="K29" s="18"/>
      <c r="L29" s="18"/>
      <c r="M29" s="37"/>
      <c r="N29" s="11"/>
      <c r="O29" s="15"/>
      <c r="P29" s="23" t="s">
        <v>345</v>
      </c>
      <c r="Q29" s="24"/>
      <c r="R29" s="12">
        <v>650</v>
      </c>
      <c r="S29" s="43">
        <f>+Q29*R29</f>
        <v>0</v>
      </c>
      <c r="T29" s="14" t="s">
        <v>342</v>
      </c>
    </row>
    <row r="30" spans="2:20">
      <c r="C30" s="1693"/>
      <c r="D30" s="1693"/>
      <c r="E30" s="1693"/>
      <c r="F30" s="1693"/>
      <c r="G30" s="1693"/>
      <c r="H30" s="40"/>
      <c r="I30" s="21" t="s">
        <v>348</v>
      </c>
      <c r="J30" s="22"/>
      <c r="K30" s="18"/>
      <c r="L30" s="18"/>
      <c r="M30" s="37"/>
      <c r="N30" s="11"/>
      <c r="O30" s="40"/>
      <c r="P30" s="23" t="s">
        <v>347</v>
      </c>
      <c r="Q30" s="35"/>
      <c r="R30" s="12">
        <v>10</v>
      </c>
      <c r="S30" s="43">
        <f>+Q30*R30</f>
        <v>0</v>
      </c>
      <c r="T30" s="14" t="s">
        <v>342</v>
      </c>
    </row>
    <row r="31" spans="2:20">
      <c r="B31" s="2" t="s">
        <v>349</v>
      </c>
      <c r="C31" s="1694">
        <v>1809248.32</v>
      </c>
      <c r="D31" s="1694"/>
      <c r="E31" s="7" t="s">
        <v>350</v>
      </c>
      <c r="G31" s="7"/>
      <c r="H31" s="40"/>
      <c r="I31" s="21" t="s">
        <v>351</v>
      </c>
      <c r="J31" s="22"/>
      <c r="K31" s="12">
        <v>-3</v>
      </c>
      <c r="L31" s="33">
        <f>+K31</f>
        <v>-3</v>
      </c>
      <c r="M31" s="33">
        <f>+L31*M10</f>
        <v>-27</v>
      </c>
      <c r="N31" s="33">
        <f>+M31/12</f>
        <v>-2.25</v>
      </c>
      <c r="O31" s="40"/>
      <c r="P31" s="23"/>
      <c r="R31" s="44"/>
      <c r="S31" s="36">
        <f>+SUM(S27:S30)</f>
        <v>0</v>
      </c>
    </row>
    <row r="32" spans="2:20">
      <c r="B32" s="2" t="s">
        <v>352</v>
      </c>
      <c r="C32" s="554" t="s">
        <v>2980</v>
      </c>
      <c r="D32" s="7"/>
      <c r="E32" s="7"/>
      <c r="F32" s="7"/>
      <c r="G32" s="7"/>
      <c r="H32" s="40"/>
      <c r="I32" s="21"/>
      <c r="J32" s="22"/>
      <c r="K32" s="18"/>
      <c r="L32" s="18"/>
      <c r="M32" s="37"/>
      <c r="N32" s="11"/>
      <c r="O32" s="40"/>
    </row>
    <row r="33" spans="2:20">
      <c r="B33" s="2" t="s">
        <v>354</v>
      </c>
      <c r="C33" s="408">
        <v>44469</v>
      </c>
      <c r="D33" s="7"/>
      <c r="E33" s="7"/>
      <c r="F33" s="7"/>
      <c r="G33" s="7"/>
      <c r="H33" s="40"/>
      <c r="I33" s="21" t="s">
        <v>355</v>
      </c>
      <c r="J33" s="22"/>
      <c r="K33" s="18"/>
      <c r="L33" s="18"/>
      <c r="M33" s="37"/>
      <c r="N33" s="11"/>
      <c r="O33" s="40"/>
      <c r="P33" s="19" t="s">
        <v>353</v>
      </c>
      <c r="Q33" s="14" t="s">
        <v>324</v>
      </c>
      <c r="R33" s="14" t="s">
        <v>325</v>
      </c>
      <c r="S33" s="14" t="s">
        <v>326</v>
      </c>
    </row>
    <row r="34" spans="2:20">
      <c r="B34" s="38"/>
      <c r="C34" s="38"/>
      <c r="D34" s="38"/>
      <c r="E34" s="38"/>
      <c r="F34" s="39"/>
      <c r="G34" s="7"/>
      <c r="H34" s="40"/>
      <c r="I34" s="21"/>
      <c r="J34" s="22"/>
      <c r="K34" s="12">
        <v>-5</v>
      </c>
      <c r="L34" s="33">
        <f>+K34*(L8+L28+L31)/L11</f>
        <v>-3.5449427659973729</v>
      </c>
      <c r="M34" s="33">
        <f>+L34*M10</f>
        <v>-31.904484893976356</v>
      </c>
      <c r="N34" s="33">
        <f>+M34/12</f>
        <v>-2.6587070744980297</v>
      </c>
      <c r="O34" s="40"/>
      <c r="P34" s="23" t="s">
        <v>356</v>
      </c>
      <c r="Q34" s="24">
        <v>0.16666666666666666</v>
      </c>
      <c r="R34" s="12">
        <v>800</v>
      </c>
      <c r="S34" s="363">
        <f>+Q34*R34</f>
        <v>133.33333333333331</v>
      </c>
    </row>
    <row r="35" spans="2:20">
      <c r="B35" s="555" t="s">
        <v>2981</v>
      </c>
      <c r="C35" s="38"/>
      <c r="D35" s="385"/>
      <c r="E35" s="384" t="s">
        <v>477</v>
      </c>
      <c r="F35" s="39"/>
      <c r="G35" s="7"/>
      <c r="H35" s="40"/>
      <c r="I35" s="21"/>
      <c r="J35" s="22"/>
      <c r="K35" s="18"/>
      <c r="L35" s="18"/>
      <c r="M35" s="37"/>
      <c r="N35" s="11"/>
      <c r="O35" s="40"/>
      <c r="P35" s="23" t="s">
        <v>357</v>
      </c>
      <c r="Q35" s="24">
        <v>0.16666666666666666</v>
      </c>
      <c r="R35" s="12">
        <v>3000</v>
      </c>
      <c r="S35" s="363">
        <f>+Q35*R35</f>
        <v>500</v>
      </c>
    </row>
    <row r="36" spans="2:20">
      <c r="B36" s="38"/>
      <c r="C36" s="38"/>
      <c r="D36" s="38"/>
      <c r="E36" s="38"/>
      <c r="F36" s="39"/>
      <c r="G36" s="7"/>
      <c r="H36" s="40"/>
      <c r="I36" s="21" t="s">
        <v>359</v>
      </c>
      <c r="J36" s="22"/>
      <c r="K36" s="18"/>
      <c r="L36" s="18"/>
      <c r="M36" s="37"/>
      <c r="N36" s="11"/>
      <c r="O36" s="40"/>
      <c r="P36" s="23" t="s">
        <v>358</v>
      </c>
      <c r="Q36" s="24">
        <v>0.16666666666666666</v>
      </c>
      <c r="R36" s="12">
        <v>800</v>
      </c>
      <c r="S36" s="363">
        <f>+Q36*R36</f>
        <v>133.33333333333331</v>
      </c>
    </row>
    <row r="37" spans="2:20">
      <c r="B37" s="38"/>
      <c r="C37" s="38"/>
      <c r="D37" s="38"/>
      <c r="E37" s="38"/>
      <c r="F37" s="39"/>
      <c r="G37" s="7"/>
      <c r="H37" s="40"/>
      <c r="I37" s="21" t="s">
        <v>361</v>
      </c>
      <c r="J37" s="22"/>
      <c r="K37" s="12">
        <v>-1</v>
      </c>
      <c r="L37" s="33">
        <f>+K37</f>
        <v>-1</v>
      </c>
      <c r="M37" s="33">
        <f>+L37*M10</f>
        <v>-9</v>
      </c>
      <c r="N37" s="33">
        <f>+M37/12</f>
        <v>-0.75</v>
      </c>
      <c r="O37" s="40"/>
      <c r="P37" s="23" t="s">
        <v>360</v>
      </c>
      <c r="Q37" s="24">
        <v>8.3333333333333329E-2</v>
      </c>
      <c r="R37" s="12">
        <v>3000</v>
      </c>
      <c r="S37" s="363">
        <f>+Q37*R37</f>
        <v>250</v>
      </c>
    </row>
    <row r="38" spans="2:20">
      <c r="B38" s="38"/>
      <c r="C38" s="38"/>
      <c r="D38" s="38"/>
      <c r="E38" s="38"/>
      <c r="F38" s="39"/>
      <c r="G38" s="7"/>
      <c r="H38" s="40"/>
      <c r="I38" s="21" t="s">
        <v>362</v>
      </c>
      <c r="J38" s="22"/>
      <c r="K38" s="12">
        <v>-1</v>
      </c>
      <c r="L38" s="33">
        <f>+K38</f>
        <v>-1</v>
      </c>
      <c r="M38" s="33">
        <f>+L38*M10</f>
        <v>-9</v>
      </c>
      <c r="N38" s="33">
        <f>+M38/12</f>
        <v>-0.75</v>
      </c>
      <c r="O38" s="40"/>
      <c r="P38" s="23"/>
      <c r="S38" s="36">
        <f>+SUM(S34:S37)</f>
        <v>1016.6666666666665</v>
      </c>
    </row>
    <row r="39" spans="2:20">
      <c r="B39" s="38"/>
      <c r="C39" s="38"/>
      <c r="D39" s="38"/>
      <c r="E39" s="38"/>
      <c r="F39" s="39"/>
      <c r="G39" s="7"/>
      <c r="H39" s="40"/>
      <c r="I39" s="21"/>
      <c r="J39" s="22"/>
      <c r="K39" s="18"/>
      <c r="L39" s="18"/>
      <c r="M39" s="37"/>
      <c r="N39" s="11"/>
      <c r="O39" s="40"/>
      <c r="P39" s="8"/>
      <c r="Q39" s="8"/>
      <c r="R39" s="8"/>
    </row>
    <row r="40" spans="2:20">
      <c r="B40" s="38"/>
      <c r="C40" s="38"/>
      <c r="D40" s="38"/>
      <c r="E40" s="38"/>
      <c r="F40" s="39"/>
      <c r="G40" s="7"/>
      <c r="H40" s="40"/>
      <c r="I40" s="26" t="s">
        <v>363</v>
      </c>
      <c r="L40" s="31">
        <f>+SUM(L11:L38)</f>
        <v>253.23587915181085</v>
      </c>
      <c r="M40" s="31">
        <f>+L40*M10</f>
        <v>2279.1229123662974</v>
      </c>
      <c r="N40" s="45">
        <f>+M40/12</f>
        <v>189.92690936385813</v>
      </c>
      <c r="O40" s="40"/>
      <c r="P40" s="8"/>
      <c r="Q40" s="8"/>
      <c r="R40" s="8"/>
    </row>
    <row r="41" spans="2:20">
      <c r="B41" s="38"/>
      <c r="C41" s="38"/>
      <c r="D41" s="38"/>
      <c r="E41" s="38"/>
      <c r="F41" s="39"/>
      <c r="G41" s="7"/>
      <c r="H41" s="40"/>
      <c r="I41" s="26"/>
      <c r="L41" s="10"/>
      <c r="M41" s="71" t="s">
        <v>364</v>
      </c>
      <c r="N41" s="1154">
        <f>+N40/((1+SUM(K14:K15)/dias_año)*dias_año/12)</f>
        <v>7.9411948166073083</v>
      </c>
      <c r="O41" s="40"/>
      <c r="P41" s="8"/>
      <c r="Q41" s="8"/>
      <c r="R41" s="8"/>
    </row>
    <row r="42" spans="2:20" s="80" customFormat="1" ht="4.5" customHeight="1">
      <c r="B42" s="72"/>
      <c r="C42" s="72"/>
      <c r="D42" s="72"/>
      <c r="E42" s="72"/>
      <c r="F42" s="73"/>
      <c r="G42" s="74"/>
      <c r="H42" s="72"/>
      <c r="I42" s="75"/>
      <c r="J42" s="75"/>
      <c r="K42" s="75"/>
      <c r="L42" s="76"/>
      <c r="M42" s="77"/>
      <c r="N42" s="78"/>
      <c r="O42" s="72"/>
      <c r="P42" s="79"/>
      <c r="Q42" s="79"/>
      <c r="R42" s="79"/>
      <c r="S42" s="75"/>
      <c r="T42" s="75"/>
    </row>
    <row r="43" spans="2:20" s="80" customFormat="1">
      <c r="B43" s="72"/>
      <c r="C43" s="72"/>
      <c r="D43" s="72"/>
      <c r="E43" s="72"/>
      <c r="F43" s="73"/>
      <c r="G43" s="74"/>
      <c r="H43" s="72"/>
      <c r="I43" s="75"/>
      <c r="J43" s="75"/>
      <c r="K43" s="75"/>
      <c r="L43" s="76"/>
      <c r="M43" s="77"/>
      <c r="N43" s="78"/>
      <c r="O43" s="72"/>
      <c r="P43" s="79"/>
      <c r="Q43" s="79"/>
      <c r="R43" s="79"/>
      <c r="S43" s="75"/>
      <c r="T43" s="75"/>
    </row>
    <row r="44" spans="2:20" s="80" customFormat="1">
      <c r="B44" s="72"/>
      <c r="C44" s="72"/>
      <c r="D44" s="72"/>
      <c r="E44" s="72"/>
      <c r="F44" s="73"/>
      <c r="G44" s="74"/>
      <c r="H44" s="72"/>
      <c r="I44" s="75"/>
      <c r="J44" s="75"/>
      <c r="K44" s="75"/>
      <c r="L44" s="76"/>
      <c r="M44" s="77"/>
      <c r="N44" s="78"/>
      <c r="O44" s="72"/>
      <c r="P44" s="79"/>
      <c r="Q44" s="79"/>
      <c r="R44" s="79"/>
      <c r="S44" s="75"/>
      <c r="T44" s="75"/>
    </row>
    <row r="45" spans="2:20" s="80" customFormat="1">
      <c r="B45" s="72"/>
      <c r="C45" s="72"/>
      <c r="D45" s="72"/>
      <c r="E45" s="72"/>
      <c r="F45" s="73"/>
      <c r="G45" s="74"/>
      <c r="H45" s="72"/>
      <c r="I45" s="75"/>
      <c r="J45" s="75"/>
      <c r="K45" s="75"/>
      <c r="L45" s="76"/>
      <c r="M45" s="77"/>
      <c r="N45" s="78"/>
      <c r="O45" s="72"/>
      <c r="P45" s="79"/>
      <c r="Q45" s="79"/>
      <c r="R45" s="79"/>
      <c r="S45" s="75"/>
      <c r="T45" s="75"/>
    </row>
    <row r="46" spans="2:20" hidden="1">
      <c r="B46" s="38"/>
      <c r="C46" s="38"/>
      <c r="D46" s="38"/>
      <c r="E46" s="38"/>
      <c r="F46" s="39"/>
      <c r="G46" s="7"/>
      <c r="H46" s="38"/>
      <c r="L46" s="10"/>
      <c r="M46" s="37"/>
      <c r="N46" s="11"/>
      <c r="O46" s="38"/>
      <c r="P46" s="8"/>
      <c r="Q46" s="8"/>
      <c r="R46" s="8"/>
    </row>
    <row r="47" spans="2:20" hidden="1">
      <c r="B47" s="38"/>
      <c r="C47" s="38"/>
      <c r="D47" s="38"/>
      <c r="E47" s="38"/>
      <c r="F47" s="39"/>
      <c r="G47" s="7"/>
      <c r="H47" s="38"/>
      <c r="L47" s="10"/>
      <c r="M47" s="37"/>
      <c r="N47" s="11"/>
      <c r="O47" s="38"/>
      <c r="P47" s="8"/>
      <c r="Q47" s="8"/>
      <c r="R47" s="8"/>
    </row>
    <row r="48" spans="2:20" hidden="1">
      <c r="B48" s="38"/>
      <c r="C48" s="38"/>
      <c r="D48" s="38"/>
      <c r="E48" s="38"/>
      <c r="F48" s="39"/>
      <c r="G48" s="7"/>
      <c r="H48" s="38"/>
      <c r="L48" s="10"/>
      <c r="M48" s="37"/>
      <c r="N48" s="11"/>
      <c r="O48" s="38"/>
      <c r="P48" s="8"/>
      <c r="Q48" s="8"/>
      <c r="R48" s="8"/>
    </row>
    <row r="49" spans="2:18" hidden="1">
      <c r="B49" s="38"/>
      <c r="C49" s="38"/>
      <c r="D49" s="38"/>
      <c r="E49" s="38"/>
      <c r="F49" s="39"/>
      <c r="G49" s="7"/>
      <c r="H49" s="38"/>
      <c r="L49" s="10"/>
      <c r="M49" s="37"/>
      <c r="N49" s="11"/>
      <c r="O49" s="38"/>
      <c r="P49" s="8"/>
      <c r="Q49" s="8"/>
      <c r="R49" s="8"/>
    </row>
    <row r="50" spans="2:18" hidden="1">
      <c r="B50" s="38"/>
      <c r="C50" s="38"/>
      <c r="D50" s="38"/>
      <c r="E50" s="38"/>
      <c r="F50" s="39"/>
      <c r="G50" s="7"/>
      <c r="H50" s="38"/>
      <c r="L50" s="10"/>
      <c r="M50" s="37"/>
      <c r="N50" s="11"/>
      <c r="O50" s="38"/>
      <c r="P50" s="8"/>
      <c r="Q50" s="8"/>
      <c r="R50" s="8"/>
    </row>
    <row r="51" spans="2:18" hidden="1">
      <c r="B51" s="38"/>
      <c r="C51" s="38"/>
      <c r="D51" s="38"/>
      <c r="E51" s="38"/>
      <c r="F51" s="39"/>
      <c r="G51" s="7"/>
      <c r="H51" s="38"/>
      <c r="L51" s="10"/>
      <c r="M51" s="37"/>
      <c r="N51" s="11"/>
      <c r="O51" s="38"/>
      <c r="P51" s="8"/>
      <c r="Q51" s="8"/>
      <c r="R51" s="8"/>
    </row>
    <row r="52" spans="2:18" hidden="1">
      <c r="B52" s="38"/>
      <c r="C52" s="38"/>
      <c r="D52" s="38"/>
      <c r="E52" s="38"/>
      <c r="F52" s="39"/>
      <c r="G52" s="7"/>
      <c r="H52" s="38"/>
      <c r="L52" s="10"/>
      <c r="M52" s="37"/>
      <c r="N52" s="11"/>
      <c r="O52" s="38"/>
      <c r="P52" s="8"/>
      <c r="Q52" s="8"/>
      <c r="R52" s="8"/>
    </row>
    <row r="53" spans="2:18" hidden="1">
      <c r="B53" s="38"/>
      <c r="C53" s="38"/>
      <c r="D53" s="38"/>
      <c r="E53" s="38"/>
      <c r="F53" s="39"/>
      <c r="G53" s="7"/>
      <c r="H53" s="38"/>
      <c r="L53" s="10"/>
      <c r="M53" s="37"/>
      <c r="N53" s="11"/>
      <c r="O53" s="38"/>
      <c r="P53" s="8"/>
      <c r="Q53" s="8"/>
      <c r="R53" s="8"/>
    </row>
    <row r="54" spans="2:18" hidden="1">
      <c r="B54" s="38"/>
      <c r="C54" s="38"/>
      <c r="D54" s="38"/>
      <c r="E54" s="38"/>
      <c r="F54" s="39"/>
      <c r="G54" s="7"/>
      <c r="H54" s="38"/>
      <c r="L54" s="10"/>
      <c r="M54" s="37"/>
      <c r="N54" s="11"/>
      <c r="O54" s="38"/>
      <c r="P54" s="8"/>
      <c r="Q54" s="8"/>
      <c r="R54" s="8"/>
    </row>
    <row r="55" spans="2:18" hidden="1">
      <c r="B55" s="38"/>
      <c r="C55" s="38"/>
      <c r="D55" s="38"/>
      <c r="E55" s="38"/>
      <c r="F55" s="39"/>
      <c r="G55" s="7"/>
      <c r="H55" s="38"/>
      <c r="L55" s="10"/>
      <c r="M55" s="37"/>
      <c r="N55" s="11"/>
      <c r="O55" s="38"/>
      <c r="P55" s="8"/>
      <c r="Q55" s="8"/>
      <c r="R55" s="8"/>
    </row>
    <row r="56" spans="2:18" hidden="1">
      <c r="B56" s="38"/>
      <c r="C56" s="38"/>
      <c r="D56" s="38"/>
      <c r="E56" s="38"/>
      <c r="F56" s="39"/>
      <c r="G56" s="7"/>
      <c r="H56" s="38"/>
      <c r="L56" s="10"/>
      <c r="M56" s="37"/>
      <c r="N56" s="11"/>
      <c r="O56" s="38"/>
      <c r="P56" s="8"/>
      <c r="Q56" s="8"/>
      <c r="R56" s="8"/>
    </row>
    <row r="57" spans="2:18" hidden="1">
      <c r="B57" s="38"/>
      <c r="C57" s="38"/>
      <c r="D57" s="38"/>
      <c r="E57" s="38"/>
      <c r="F57" s="39"/>
      <c r="G57" s="7"/>
      <c r="H57" s="38"/>
      <c r="L57" s="10"/>
      <c r="M57" s="37"/>
      <c r="N57" s="11"/>
      <c r="O57" s="38"/>
      <c r="P57" s="8"/>
      <c r="Q57" s="8"/>
      <c r="R57" s="8"/>
    </row>
    <row r="58" spans="2:18" hidden="1">
      <c r="B58" s="38"/>
      <c r="C58" s="38"/>
      <c r="D58" s="38"/>
      <c r="E58" s="38"/>
      <c r="F58" s="39"/>
      <c r="G58" s="7"/>
      <c r="H58" s="38"/>
      <c r="L58" s="10"/>
      <c r="M58" s="37"/>
      <c r="N58" s="11"/>
      <c r="O58" s="38"/>
      <c r="P58" s="8"/>
      <c r="Q58" s="8"/>
      <c r="R58" s="8"/>
    </row>
    <row r="59" spans="2:18" hidden="1">
      <c r="B59" s="38"/>
      <c r="C59" s="38"/>
      <c r="D59" s="38"/>
      <c r="E59" s="38"/>
      <c r="F59" s="39"/>
      <c r="G59" s="7"/>
      <c r="H59" s="38"/>
      <c r="L59" s="10"/>
      <c r="M59" s="37"/>
      <c r="N59" s="11"/>
      <c r="O59" s="38"/>
      <c r="P59" s="8"/>
      <c r="Q59" s="8"/>
      <c r="R59" s="8"/>
    </row>
    <row r="60" spans="2:18" hidden="1">
      <c r="B60" s="38"/>
      <c r="C60" s="38"/>
      <c r="D60" s="38"/>
      <c r="E60" s="38"/>
      <c r="F60" s="39"/>
      <c r="G60" s="7"/>
      <c r="H60" s="38"/>
      <c r="L60" s="10"/>
      <c r="M60" s="37"/>
      <c r="N60" s="11"/>
      <c r="O60" s="38"/>
      <c r="P60" s="8"/>
      <c r="Q60" s="8"/>
      <c r="R60" s="8"/>
    </row>
    <row r="61" spans="2:18" hidden="1">
      <c r="B61" s="38"/>
      <c r="C61" s="38"/>
      <c r="D61" s="38"/>
      <c r="E61" s="38"/>
      <c r="F61" s="39"/>
      <c r="G61" s="7"/>
      <c r="H61" s="38"/>
      <c r="L61" s="10"/>
      <c r="M61" s="37"/>
      <c r="N61" s="11"/>
      <c r="O61" s="38"/>
      <c r="P61" s="8"/>
      <c r="Q61" s="8"/>
      <c r="R61" s="8"/>
    </row>
    <row r="62" spans="2:18" hidden="1">
      <c r="B62" s="38"/>
      <c r="C62" s="38"/>
      <c r="D62" s="38"/>
      <c r="E62" s="38"/>
      <c r="F62" s="39"/>
      <c r="G62" s="7"/>
      <c r="H62" s="38"/>
      <c r="L62" s="10"/>
      <c r="M62" s="37"/>
      <c r="N62" s="11"/>
      <c r="O62" s="38"/>
      <c r="P62" s="8"/>
      <c r="Q62" s="8"/>
      <c r="R62" s="8"/>
    </row>
    <row r="63" spans="2:18" hidden="1">
      <c r="B63" s="38"/>
      <c r="C63" s="38"/>
      <c r="D63" s="38"/>
      <c r="E63" s="38"/>
      <c r="F63" s="39"/>
      <c r="G63" s="7"/>
      <c r="H63" s="38"/>
      <c r="L63" s="10"/>
      <c r="M63" s="37"/>
      <c r="N63" s="11"/>
      <c r="O63" s="38"/>
      <c r="P63" s="8"/>
      <c r="Q63" s="8"/>
      <c r="R63" s="8"/>
    </row>
    <row r="64" spans="2:18" hidden="1">
      <c r="B64" s="38"/>
      <c r="C64" s="38"/>
      <c r="D64" s="38"/>
      <c r="E64" s="38"/>
      <c r="F64" s="39"/>
      <c r="G64" s="7"/>
      <c r="H64" s="38"/>
      <c r="L64" s="10"/>
      <c r="M64" s="37"/>
      <c r="N64" s="11"/>
      <c r="O64" s="38"/>
      <c r="P64" s="8"/>
      <c r="Q64" s="8"/>
      <c r="R64" s="8"/>
    </row>
    <row r="65" spans="2:18" hidden="1">
      <c r="B65" s="38"/>
      <c r="C65" s="38"/>
      <c r="D65" s="38"/>
      <c r="E65" s="38"/>
      <c r="F65" s="39"/>
      <c r="G65" s="7"/>
      <c r="H65" s="38"/>
      <c r="L65" s="10"/>
      <c r="M65" s="37"/>
      <c r="N65" s="11"/>
      <c r="O65" s="38"/>
      <c r="P65" s="8"/>
      <c r="Q65" s="8"/>
      <c r="R65" s="8"/>
    </row>
    <row r="66" spans="2:18" hidden="1">
      <c r="B66" s="38"/>
      <c r="C66" s="38"/>
      <c r="D66" s="38"/>
      <c r="E66" s="38"/>
      <c r="F66" s="39"/>
      <c r="G66" s="7"/>
      <c r="H66" s="38"/>
      <c r="L66" s="10"/>
      <c r="M66" s="37"/>
      <c r="N66" s="11"/>
      <c r="O66" s="38"/>
      <c r="P66" s="8"/>
      <c r="Q66" s="8"/>
      <c r="R66" s="8"/>
    </row>
    <row r="67" spans="2:18" hidden="1">
      <c r="B67" s="38"/>
      <c r="C67" s="38"/>
      <c r="D67" s="38"/>
      <c r="E67" s="38"/>
      <c r="F67" s="39"/>
      <c r="G67" s="7"/>
      <c r="H67" s="38"/>
      <c r="L67" s="10"/>
      <c r="M67" s="37"/>
      <c r="N67" s="11"/>
      <c r="O67" s="38"/>
      <c r="P67" s="8"/>
      <c r="Q67" s="8"/>
      <c r="R67" s="8"/>
    </row>
    <row r="68" spans="2:18" hidden="1">
      <c r="B68" s="38"/>
      <c r="C68" s="38"/>
      <c r="D68" s="38"/>
      <c r="E68" s="38"/>
      <c r="F68" s="39"/>
      <c r="G68" s="7"/>
      <c r="H68" s="38"/>
      <c r="L68" s="10"/>
      <c r="M68" s="37"/>
      <c r="N68" s="11"/>
      <c r="O68" s="38"/>
      <c r="P68" s="8"/>
      <c r="Q68" s="8"/>
      <c r="R68" s="8"/>
    </row>
    <row r="69" spans="2:18" hidden="1">
      <c r="B69" s="38"/>
      <c r="C69" s="38"/>
      <c r="D69" s="38"/>
      <c r="E69" s="38"/>
      <c r="F69" s="39"/>
      <c r="G69" s="7"/>
      <c r="H69" s="38"/>
      <c r="L69" s="10"/>
      <c r="M69" s="37"/>
      <c r="N69" s="11"/>
      <c r="O69" s="38"/>
      <c r="P69" s="8"/>
      <c r="Q69" s="8"/>
      <c r="R69" s="8"/>
    </row>
    <row r="70" spans="2:18" hidden="1">
      <c r="B70" s="38"/>
      <c r="C70" s="38"/>
      <c r="D70" s="38"/>
      <c r="E70" s="38"/>
      <c r="F70" s="39"/>
      <c r="G70" s="7"/>
      <c r="H70" s="38"/>
      <c r="L70" s="10"/>
      <c r="M70" s="37"/>
      <c r="N70" s="11"/>
      <c r="O70" s="38"/>
      <c r="P70" s="8"/>
      <c r="Q70" s="8"/>
      <c r="R70" s="8"/>
    </row>
    <row r="71" spans="2:18" hidden="1">
      <c r="B71" s="38"/>
      <c r="C71" s="38"/>
      <c r="D71" s="38"/>
      <c r="E71" s="38"/>
      <c r="F71" s="39"/>
      <c r="G71" s="7"/>
      <c r="H71" s="38"/>
      <c r="L71" s="10"/>
      <c r="M71" s="37"/>
      <c r="N71" s="11"/>
      <c r="O71" s="38"/>
      <c r="P71" s="8"/>
      <c r="Q71" s="8"/>
      <c r="R71" s="8"/>
    </row>
    <row r="72" spans="2:18" hidden="1">
      <c r="B72" s="38"/>
      <c r="C72" s="38"/>
      <c r="D72" s="38"/>
      <c r="E72" s="38"/>
      <c r="F72" s="39"/>
      <c r="G72" s="7"/>
      <c r="H72" s="38"/>
      <c r="L72" s="10"/>
      <c r="M72" s="37"/>
      <c r="N72" s="11"/>
      <c r="O72" s="38"/>
      <c r="P72" s="8"/>
      <c r="Q72" s="8"/>
      <c r="R72" s="8"/>
    </row>
    <row r="73" spans="2:18" hidden="1">
      <c r="B73" s="38"/>
      <c r="C73" s="38"/>
      <c r="D73" s="38"/>
      <c r="E73" s="38"/>
      <c r="F73" s="39"/>
      <c r="G73" s="7"/>
      <c r="H73" s="38"/>
      <c r="L73" s="10"/>
      <c r="M73" s="37"/>
      <c r="N73" s="11"/>
      <c r="O73" s="38"/>
      <c r="P73" s="8"/>
      <c r="Q73" s="8"/>
      <c r="R73" s="8"/>
    </row>
    <row r="74" spans="2:18" hidden="1">
      <c r="B74" s="38"/>
      <c r="C74" s="38"/>
      <c r="D74" s="38"/>
      <c r="E74" s="38"/>
      <c r="F74" s="39"/>
      <c r="G74" s="7"/>
      <c r="H74" s="38"/>
      <c r="L74" s="10"/>
      <c r="M74" s="37"/>
      <c r="N74" s="11"/>
      <c r="O74" s="38"/>
      <c r="P74" s="8"/>
      <c r="Q74" s="8"/>
      <c r="R74" s="8"/>
    </row>
    <row r="75" spans="2:18" hidden="1">
      <c r="B75" s="38"/>
      <c r="C75" s="38"/>
      <c r="D75" s="38"/>
      <c r="E75" s="38"/>
      <c r="F75" s="39"/>
      <c r="G75" s="7"/>
      <c r="H75" s="38"/>
      <c r="L75" s="10"/>
      <c r="M75" s="37"/>
      <c r="N75" s="11"/>
      <c r="O75" s="38"/>
      <c r="P75" s="8"/>
      <c r="Q75" s="8"/>
      <c r="R75" s="8"/>
    </row>
    <row r="76" spans="2:18" hidden="1">
      <c r="B76" s="38"/>
      <c r="C76" s="38"/>
      <c r="D76" s="38"/>
      <c r="E76" s="38"/>
      <c r="F76" s="39"/>
      <c r="G76" s="7"/>
      <c r="H76" s="38"/>
      <c r="L76" s="10"/>
      <c r="M76" s="37"/>
      <c r="N76" s="11"/>
      <c r="O76" s="38"/>
      <c r="P76" s="8"/>
      <c r="Q76" s="8"/>
      <c r="R76" s="8"/>
    </row>
    <row r="77" spans="2:18" hidden="1">
      <c r="B77" s="38"/>
      <c r="C77" s="38"/>
      <c r="D77" s="38"/>
      <c r="E77" s="38"/>
      <c r="F77" s="39"/>
      <c r="G77" s="7"/>
      <c r="H77" s="38"/>
      <c r="L77" s="10"/>
      <c r="M77" s="37"/>
      <c r="N77" s="11"/>
      <c r="O77" s="38"/>
      <c r="P77" s="8"/>
      <c r="Q77" s="8"/>
      <c r="R77" s="8"/>
    </row>
    <row r="78" spans="2:18" hidden="1">
      <c r="B78" s="38"/>
      <c r="C78" s="38"/>
      <c r="D78" s="38"/>
      <c r="E78" s="38"/>
      <c r="F78" s="39"/>
      <c r="G78" s="7"/>
      <c r="H78" s="38"/>
      <c r="L78" s="10"/>
      <c r="M78" s="37"/>
      <c r="N78" s="11"/>
      <c r="O78" s="38"/>
      <c r="P78" s="8"/>
      <c r="Q78" s="8"/>
      <c r="R78" s="8"/>
    </row>
    <row r="79" spans="2:18" hidden="1">
      <c r="B79" s="38"/>
      <c r="C79" s="38"/>
      <c r="D79" s="38"/>
      <c r="E79" s="38"/>
      <c r="F79" s="39"/>
      <c r="G79" s="7"/>
      <c r="H79" s="38"/>
      <c r="L79" s="10"/>
      <c r="M79" s="37"/>
      <c r="N79" s="11"/>
      <c r="O79" s="38"/>
      <c r="P79" s="8"/>
      <c r="Q79" s="8"/>
      <c r="R79" s="8"/>
    </row>
    <row r="80" spans="2:18" hidden="1">
      <c r="B80" s="38"/>
      <c r="C80" s="38"/>
      <c r="D80" s="38"/>
      <c r="E80" s="38"/>
      <c r="F80" s="39"/>
      <c r="G80" s="7"/>
      <c r="H80" s="38"/>
      <c r="L80" s="10"/>
      <c r="M80" s="37"/>
      <c r="N80" s="11"/>
      <c r="O80" s="38"/>
      <c r="P80" s="8"/>
      <c r="Q80" s="8"/>
      <c r="R80" s="8"/>
    </row>
    <row r="81" spans="2:18" hidden="1">
      <c r="B81" s="38"/>
      <c r="C81" s="38"/>
      <c r="D81" s="38"/>
      <c r="E81" s="38"/>
      <c r="F81" s="39"/>
      <c r="G81" s="7"/>
      <c r="H81" s="38"/>
      <c r="L81" s="10"/>
      <c r="M81" s="37"/>
      <c r="N81" s="11"/>
      <c r="O81" s="38"/>
      <c r="P81" s="8"/>
      <c r="Q81" s="8"/>
      <c r="R81" s="8"/>
    </row>
    <row r="82" spans="2:18" hidden="1">
      <c r="B82" s="38"/>
      <c r="C82" s="38"/>
      <c r="D82" s="38"/>
      <c r="E82" s="38"/>
      <c r="F82" s="39"/>
      <c r="G82" s="7"/>
      <c r="H82" s="38"/>
      <c r="L82" s="10"/>
      <c r="M82" s="37"/>
      <c r="N82" s="11"/>
      <c r="O82" s="38"/>
      <c r="P82" s="8"/>
      <c r="Q82" s="8"/>
      <c r="R82" s="8"/>
    </row>
    <row r="83" spans="2:18" hidden="1">
      <c r="B83" s="38"/>
      <c r="C83" s="38"/>
      <c r="D83" s="38"/>
      <c r="E83" s="38"/>
      <c r="F83" s="39"/>
      <c r="G83" s="7"/>
      <c r="H83" s="38"/>
      <c r="L83" s="10"/>
      <c r="M83" s="37"/>
      <c r="N83" s="11"/>
      <c r="O83" s="38"/>
      <c r="P83" s="8"/>
      <c r="Q83" s="8"/>
      <c r="R83" s="8"/>
    </row>
    <row r="84" spans="2:18" hidden="1">
      <c r="B84" s="38"/>
      <c r="C84" s="38"/>
      <c r="D84" s="38"/>
      <c r="E84" s="38"/>
      <c r="F84" s="39"/>
      <c r="G84" s="7"/>
      <c r="H84" s="38"/>
      <c r="L84" s="10"/>
      <c r="M84" s="37"/>
      <c r="N84" s="11"/>
      <c r="O84" s="38"/>
      <c r="P84" s="8"/>
      <c r="Q84" s="8"/>
      <c r="R84" s="8"/>
    </row>
    <row r="85" spans="2:18" hidden="1">
      <c r="B85" s="38"/>
      <c r="C85" s="38"/>
      <c r="D85" s="38"/>
      <c r="E85" s="38"/>
      <c r="F85" s="39"/>
      <c r="G85" s="7"/>
      <c r="H85" s="38"/>
      <c r="L85" s="10"/>
      <c r="M85" s="37"/>
      <c r="N85" s="11"/>
      <c r="O85" s="38"/>
      <c r="P85" s="8"/>
      <c r="Q85" s="8"/>
      <c r="R85" s="8"/>
    </row>
    <row r="86" spans="2:18" hidden="1">
      <c r="B86" s="38"/>
      <c r="C86" s="38"/>
      <c r="D86" s="38"/>
      <c r="E86" s="38"/>
      <c r="F86" s="39"/>
      <c r="G86" s="7"/>
      <c r="H86" s="38"/>
      <c r="L86" s="10"/>
      <c r="M86" s="37"/>
      <c r="N86" s="11"/>
      <c r="O86" s="38"/>
      <c r="P86" s="8"/>
      <c r="Q86" s="8"/>
      <c r="R86" s="8"/>
    </row>
    <row r="87" spans="2:18" hidden="1">
      <c r="B87" s="38"/>
      <c r="C87" s="38"/>
      <c r="D87" s="38"/>
      <c r="E87" s="38"/>
      <c r="F87" s="39"/>
      <c r="G87" s="7"/>
      <c r="H87" s="38"/>
      <c r="L87" s="10"/>
      <c r="M87" s="37"/>
      <c r="N87" s="11"/>
      <c r="O87" s="38"/>
      <c r="P87" s="8"/>
      <c r="Q87" s="8"/>
      <c r="R87" s="8"/>
    </row>
    <row r="88" spans="2:18" hidden="1">
      <c r="B88" s="38"/>
      <c r="C88" s="38"/>
      <c r="D88" s="38"/>
      <c r="E88" s="38"/>
      <c r="F88" s="39"/>
      <c r="G88" s="7"/>
      <c r="H88" s="38"/>
      <c r="L88" s="10"/>
      <c r="M88" s="37"/>
      <c r="N88" s="11"/>
      <c r="O88" s="38"/>
      <c r="P88" s="8"/>
      <c r="Q88" s="8"/>
      <c r="R88" s="8"/>
    </row>
    <row r="89" spans="2:18" hidden="1">
      <c r="B89" s="38"/>
      <c r="C89" s="38"/>
      <c r="D89" s="38"/>
      <c r="E89" s="38"/>
      <c r="F89" s="39"/>
      <c r="G89" s="7"/>
      <c r="H89" s="38"/>
      <c r="L89" s="10"/>
      <c r="M89" s="37"/>
      <c r="N89" s="11"/>
      <c r="O89" s="38"/>
      <c r="P89" s="8"/>
      <c r="Q89" s="8"/>
      <c r="R89" s="8"/>
    </row>
    <row r="90" spans="2:18" hidden="1">
      <c r="B90" s="38"/>
      <c r="C90" s="38"/>
      <c r="D90" s="38"/>
      <c r="E90" s="38"/>
      <c r="F90" s="39"/>
      <c r="G90" s="7"/>
      <c r="H90" s="38"/>
      <c r="L90" s="10"/>
      <c r="M90" s="37"/>
      <c r="N90" s="11"/>
      <c r="O90" s="38"/>
      <c r="P90" s="8"/>
      <c r="Q90" s="8"/>
      <c r="R90" s="8"/>
    </row>
    <row r="91" spans="2:18" hidden="1">
      <c r="B91" s="38"/>
      <c r="C91" s="38"/>
      <c r="D91" s="38"/>
      <c r="E91" s="38"/>
      <c r="F91" s="39"/>
      <c r="G91" s="7"/>
      <c r="H91" s="38"/>
      <c r="L91" s="10"/>
      <c r="M91" s="37"/>
      <c r="N91" s="11"/>
      <c r="O91" s="38"/>
      <c r="P91" s="8"/>
      <c r="Q91" s="8"/>
      <c r="R91" s="8"/>
    </row>
    <row r="92" spans="2:18" hidden="1">
      <c r="B92" s="38"/>
      <c r="C92" s="38"/>
      <c r="D92" s="38"/>
      <c r="E92" s="38"/>
      <c r="F92" s="39"/>
      <c r="G92" s="7"/>
      <c r="H92" s="38"/>
      <c r="L92" s="10"/>
      <c r="M92" s="37"/>
      <c r="N92" s="11"/>
      <c r="O92" s="38"/>
      <c r="P92" s="8"/>
      <c r="Q92" s="8"/>
      <c r="R92" s="8"/>
    </row>
    <row r="93" spans="2:18" hidden="1">
      <c r="B93" s="38"/>
      <c r="C93" s="38"/>
      <c r="D93" s="38"/>
      <c r="E93" s="38"/>
      <c r="F93" s="39"/>
      <c r="G93" s="7"/>
      <c r="H93" s="38"/>
      <c r="L93" s="10"/>
      <c r="M93" s="37"/>
      <c r="N93" s="11"/>
      <c r="O93" s="38"/>
      <c r="P93" s="8"/>
      <c r="Q93" s="8"/>
      <c r="R93" s="8"/>
    </row>
    <row r="94" spans="2:18" hidden="1">
      <c r="B94" s="38"/>
      <c r="C94" s="38"/>
      <c r="D94" s="38"/>
      <c r="E94" s="38"/>
      <c r="F94" s="39"/>
      <c r="G94" s="7"/>
      <c r="H94" s="38"/>
      <c r="I94" s="5"/>
      <c r="J94" s="5"/>
      <c r="L94" s="9"/>
      <c r="M94" s="9"/>
      <c r="N94" s="9"/>
      <c r="O94" s="38"/>
      <c r="P94" s="8"/>
      <c r="Q94" s="8"/>
      <c r="R94" s="8"/>
    </row>
    <row r="95" spans="2:18" hidden="1">
      <c r="B95" s="38"/>
      <c r="C95" s="38"/>
      <c r="D95" s="38"/>
      <c r="E95" s="38"/>
      <c r="F95" s="39"/>
      <c r="G95" s="7"/>
      <c r="H95" s="38"/>
      <c r="I95" s="46"/>
      <c r="J95" s="46"/>
      <c r="L95" s="10"/>
      <c r="M95" s="10"/>
      <c r="N95" s="10"/>
      <c r="O95" s="38"/>
      <c r="P95" s="8"/>
      <c r="Q95" s="8"/>
      <c r="R95" s="8"/>
    </row>
    <row r="96" spans="2:18" hidden="1">
      <c r="B96" s="38"/>
      <c r="C96" s="38"/>
      <c r="D96" s="38"/>
      <c r="E96" s="38"/>
      <c r="F96" s="39"/>
      <c r="G96" s="7"/>
      <c r="H96" s="38"/>
      <c r="I96" s="46"/>
      <c r="J96" s="46"/>
      <c r="L96" s="10"/>
      <c r="M96" s="10"/>
      <c r="N96" s="10"/>
      <c r="O96" s="38"/>
      <c r="P96" s="8"/>
      <c r="Q96" s="8"/>
      <c r="R96" s="8"/>
    </row>
    <row r="97" spans="2:18" hidden="1">
      <c r="B97" s="38"/>
      <c r="C97" s="38"/>
      <c r="D97" s="38"/>
      <c r="E97" s="38"/>
      <c r="F97" s="39"/>
      <c r="G97" s="7"/>
      <c r="H97" s="38"/>
      <c r="I97" s="46"/>
      <c r="J97" s="46"/>
      <c r="L97" s="10"/>
      <c r="M97" s="10"/>
      <c r="N97" s="10"/>
      <c r="O97" s="38"/>
      <c r="P97" s="8"/>
      <c r="Q97" s="8"/>
      <c r="R97" s="8"/>
    </row>
    <row r="98" spans="2:18" hidden="1">
      <c r="B98" s="38"/>
      <c r="C98" s="38"/>
      <c r="D98" s="38"/>
      <c r="E98" s="38"/>
      <c r="F98" s="39"/>
      <c r="G98" s="7"/>
      <c r="H98" s="38"/>
      <c r="I98" s="46"/>
      <c r="J98" s="46"/>
      <c r="L98" s="10"/>
      <c r="M98" s="10"/>
      <c r="N98" s="10"/>
      <c r="O98" s="38"/>
      <c r="P98" s="8"/>
      <c r="Q98" s="8"/>
      <c r="R98" s="8"/>
    </row>
    <row r="99" spans="2:18" hidden="1">
      <c r="B99" s="38"/>
      <c r="C99" s="38"/>
      <c r="D99" s="38"/>
      <c r="E99" s="38"/>
      <c r="F99" s="39"/>
      <c r="G99" s="7"/>
      <c r="H99" s="38"/>
      <c r="I99" s="46"/>
      <c r="J99" s="46"/>
      <c r="L99" s="10"/>
      <c r="M99" s="10"/>
      <c r="N99" s="10"/>
      <c r="O99" s="38"/>
      <c r="P99" s="8"/>
      <c r="Q99" s="8"/>
      <c r="R99" s="8"/>
    </row>
    <row r="100" spans="2:18" hidden="1">
      <c r="B100" s="38"/>
      <c r="C100" s="38"/>
      <c r="D100" s="38"/>
      <c r="E100" s="38"/>
      <c r="F100" s="39"/>
      <c r="G100" s="7"/>
      <c r="H100" s="38"/>
      <c r="I100" s="46"/>
      <c r="J100" s="46"/>
      <c r="L100" s="10"/>
      <c r="M100" s="10"/>
      <c r="N100" s="10"/>
      <c r="O100" s="38"/>
      <c r="P100" s="8"/>
      <c r="Q100" s="8"/>
      <c r="R100" s="8"/>
    </row>
    <row r="101" spans="2:18" hidden="1">
      <c r="B101" s="38"/>
      <c r="C101" s="38"/>
      <c r="D101" s="38"/>
      <c r="E101" s="38"/>
      <c r="F101" s="39"/>
      <c r="G101" s="7"/>
      <c r="H101" s="38"/>
      <c r="I101" s="46"/>
      <c r="J101" s="46"/>
      <c r="L101" s="10"/>
      <c r="M101" s="10"/>
      <c r="N101" s="10"/>
      <c r="O101" s="38"/>
      <c r="P101" s="8"/>
      <c r="Q101" s="8"/>
      <c r="R101" s="8"/>
    </row>
    <row r="102" spans="2:18" hidden="1">
      <c r="B102" s="38"/>
      <c r="C102" s="38"/>
      <c r="D102" s="38"/>
      <c r="E102" s="38"/>
      <c r="F102" s="39"/>
      <c r="G102" s="7"/>
      <c r="H102" s="38"/>
      <c r="I102" s="46"/>
      <c r="J102" s="46"/>
      <c r="L102" s="10"/>
      <c r="M102" s="10"/>
      <c r="N102" s="10"/>
      <c r="O102" s="38"/>
      <c r="P102" s="8"/>
      <c r="Q102" s="8"/>
      <c r="R102" s="8"/>
    </row>
    <row r="103" spans="2:18" hidden="1">
      <c r="B103" s="5"/>
      <c r="C103" s="5"/>
      <c r="D103" s="5"/>
      <c r="E103" s="5"/>
      <c r="F103" s="5"/>
      <c r="G103" s="5"/>
      <c r="H103" s="5"/>
      <c r="I103" s="46"/>
      <c r="J103" s="46"/>
      <c r="L103" s="10"/>
      <c r="M103" s="10"/>
      <c r="N103" s="10"/>
      <c r="O103" s="5"/>
      <c r="P103" s="9"/>
      <c r="Q103" s="9"/>
      <c r="R103" s="9"/>
    </row>
    <row r="104" spans="2:18" hidden="1">
      <c r="B104" s="38"/>
      <c r="C104" s="38"/>
      <c r="D104" s="38"/>
      <c r="E104" s="38"/>
      <c r="F104" s="39"/>
      <c r="G104" s="7"/>
      <c r="H104" s="7"/>
      <c r="I104" s="46"/>
      <c r="J104" s="46"/>
      <c r="L104" s="10"/>
      <c r="M104" s="10"/>
      <c r="N104" s="10"/>
      <c r="O104" s="7"/>
      <c r="P104" s="10"/>
      <c r="Q104" s="11"/>
      <c r="R104" s="11"/>
    </row>
    <row r="105" spans="2:18" hidden="1">
      <c r="B105" s="38"/>
      <c r="C105" s="38"/>
      <c r="D105" s="38"/>
      <c r="E105" s="38"/>
      <c r="F105" s="39"/>
      <c r="G105" s="7"/>
      <c r="H105" s="7"/>
      <c r="I105" s="46"/>
      <c r="J105" s="46"/>
      <c r="L105" s="10"/>
      <c r="M105" s="10"/>
      <c r="N105" s="10"/>
      <c r="O105" s="7"/>
      <c r="P105" s="10"/>
      <c r="Q105" s="11"/>
      <c r="R105" s="11"/>
    </row>
    <row r="106" spans="2:18" hidden="1">
      <c r="B106" s="38"/>
      <c r="C106" s="38"/>
      <c r="D106" s="38"/>
      <c r="E106" s="38"/>
      <c r="F106" s="39"/>
      <c r="G106" s="7"/>
      <c r="H106" s="7"/>
      <c r="I106" s="46"/>
      <c r="J106" s="46"/>
      <c r="L106" s="10"/>
      <c r="M106" s="10"/>
      <c r="N106" s="10"/>
      <c r="O106" s="7"/>
      <c r="P106" s="10"/>
      <c r="Q106" s="11"/>
      <c r="R106" s="11"/>
    </row>
    <row r="107" spans="2:18" hidden="1">
      <c r="B107" s="38"/>
      <c r="C107" s="38"/>
      <c r="D107" s="38"/>
      <c r="E107" s="38"/>
      <c r="F107" s="39"/>
      <c r="G107" s="7"/>
      <c r="H107" s="7"/>
      <c r="I107" s="46"/>
      <c r="J107" s="46"/>
      <c r="L107" s="10"/>
      <c r="M107" s="10"/>
      <c r="N107" s="10"/>
      <c r="O107" s="7"/>
      <c r="P107" s="10"/>
      <c r="Q107" s="11"/>
      <c r="R107" s="11"/>
    </row>
    <row r="108" spans="2:18" hidden="1">
      <c r="B108" s="38"/>
      <c r="C108" s="38"/>
      <c r="D108" s="38"/>
      <c r="E108" s="38"/>
      <c r="F108" s="39"/>
      <c r="G108" s="7"/>
      <c r="H108" s="7"/>
      <c r="I108" s="46"/>
      <c r="J108" s="46"/>
      <c r="L108" s="10"/>
      <c r="M108" s="10"/>
      <c r="N108" s="10"/>
      <c r="O108" s="7"/>
      <c r="P108" s="10"/>
      <c r="Q108" s="11"/>
      <c r="R108" s="11"/>
    </row>
    <row r="109" spans="2:18" hidden="1">
      <c r="B109" s="38"/>
      <c r="C109" s="38"/>
      <c r="D109" s="38"/>
      <c r="E109" s="38"/>
      <c r="F109" s="39"/>
      <c r="G109" s="7"/>
      <c r="H109" s="7"/>
      <c r="I109" s="46"/>
      <c r="J109" s="46"/>
      <c r="L109" s="10"/>
      <c r="M109" s="10"/>
      <c r="N109" s="10"/>
      <c r="O109" s="7"/>
      <c r="P109" s="10"/>
      <c r="Q109" s="11"/>
      <c r="R109" s="11"/>
    </row>
    <row r="110" spans="2:18" hidden="1">
      <c r="B110" s="38"/>
      <c r="C110" s="38"/>
      <c r="D110" s="38"/>
      <c r="E110" s="38"/>
      <c r="F110" s="39"/>
      <c r="G110" s="7"/>
      <c r="H110" s="7"/>
      <c r="I110" s="46"/>
      <c r="J110" s="46"/>
      <c r="L110" s="10"/>
      <c r="M110" s="10"/>
      <c r="N110" s="10"/>
      <c r="O110" s="7"/>
      <c r="P110" s="10"/>
      <c r="Q110" s="11"/>
      <c r="R110" s="11"/>
    </row>
    <row r="111" spans="2:18" hidden="1">
      <c r="B111" s="38"/>
      <c r="C111" s="38"/>
      <c r="D111" s="38"/>
      <c r="E111" s="38"/>
      <c r="F111" s="39"/>
      <c r="G111" s="7"/>
      <c r="H111" s="7"/>
      <c r="I111" s="46"/>
      <c r="J111" s="46"/>
      <c r="L111" s="10"/>
      <c r="M111" s="10"/>
      <c r="N111" s="10"/>
      <c r="O111" s="7"/>
      <c r="P111" s="10"/>
      <c r="Q111" s="11"/>
      <c r="R111" s="11"/>
    </row>
    <row r="112" spans="2:18" hidden="1">
      <c r="B112" s="38"/>
      <c r="C112" s="38"/>
      <c r="D112" s="38"/>
      <c r="E112" s="38"/>
      <c r="F112" s="39"/>
      <c r="G112" s="7"/>
      <c r="H112" s="7"/>
      <c r="I112" s="46"/>
      <c r="J112" s="46"/>
      <c r="L112" s="10"/>
      <c r="M112" s="10"/>
      <c r="N112" s="10"/>
      <c r="O112" s="7"/>
      <c r="P112" s="10"/>
      <c r="Q112" s="11"/>
      <c r="R112" s="11"/>
    </row>
    <row r="113" spans="2:18" hidden="1">
      <c r="B113" s="38"/>
      <c r="C113" s="38"/>
      <c r="D113" s="38"/>
      <c r="E113" s="38"/>
      <c r="F113" s="39"/>
      <c r="G113" s="7"/>
      <c r="H113" s="7"/>
      <c r="I113" s="46"/>
      <c r="J113" s="46"/>
      <c r="L113" s="10"/>
      <c r="M113" s="10"/>
      <c r="N113" s="10"/>
      <c r="O113" s="7"/>
      <c r="P113" s="10"/>
      <c r="Q113" s="11"/>
      <c r="R113" s="11"/>
    </row>
    <row r="114" spans="2:18" hidden="1">
      <c r="B114" s="38"/>
      <c r="C114" s="38"/>
      <c r="D114" s="38"/>
      <c r="E114" s="38"/>
      <c r="F114" s="39"/>
      <c r="G114" s="7"/>
      <c r="H114" s="7"/>
      <c r="I114" s="46"/>
      <c r="J114" s="46"/>
      <c r="L114" s="10"/>
      <c r="M114" s="10"/>
      <c r="N114" s="10"/>
      <c r="O114" s="7"/>
      <c r="P114" s="10"/>
      <c r="Q114" s="11"/>
      <c r="R114" s="11"/>
    </row>
    <row r="115" spans="2:18" hidden="1">
      <c r="B115" s="38"/>
      <c r="C115" s="38"/>
      <c r="D115" s="38"/>
      <c r="E115" s="38"/>
      <c r="F115" s="39"/>
      <c r="G115" s="7"/>
      <c r="H115" s="7"/>
      <c r="I115" s="46"/>
      <c r="J115" s="46"/>
      <c r="L115" s="10"/>
      <c r="M115" s="10"/>
      <c r="N115" s="10"/>
      <c r="O115" s="7"/>
      <c r="P115" s="10"/>
      <c r="Q115" s="11"/>
      <c r="R115" s="11"/>
    </row>
    <row r="116" spans="2:18" hidden="1">
      <c r="B116" s="38"/>
      <c r="C116" s="38"/>
      <c r="D116" s="38"/>
      <c r="E116" s="38"/>
      <c r="F116" s="39"/>
      <c r="G116" s="7"/>
      <c r="H116" s="7"/>
      <c r="I116" s="46"/>
      <c r="J116" s="46"/>
      <c r="L116" s="10"/>
      <c r="M116" s="10"/>
      <c r="N116" s="10"/>
      <c r="O116" s="7"/>
      <c r="P116" s="10"/>
      <c r="Q116" s="11"/>
      <c r="R116" s="11"/>
    </row>
    <row r="117" spans="2:18" hidden="1">
      <c r="B117" s="38"/>
      <c r="C117" s="38"/>
      <c r="D117" s="38"/>
      <c r="E117" s="38"/>
      <c r="F117" s="39"/>
      <c r="G117" s="7"/>
      <c r="H117" s="7"/>
      <c r="I117" s="46"/>
      <c r="J117" s="46"/>
      <c r="L117" s="10"/>
      <c r="M117" s="10"/>
      <c r="N117" s="10"/>
      <c r="O117" s="7"/>
      <c r="P117" s="10"/>
      <c r="Q117" s="11"/>
      <c r="R117" s="11"/>
    </row>
    <row r="118" spans="2:18" hidden="1">
      <c r="B118" s="38"/>
      <c r="C118" s="38"/>
      <c r="D118" s="38"/>
      <c r="E118" s="38"/>
      <c r="F118" s="39"/>
      <c r="G118" s="7"/>
      <c r="H118" s="7"/>
      <c r="I118" s="46"/>
      <c r="J118" s="46"/>
      <c r="L118" s="10"/>
      <c r="M118" s="10"/>
      <c r="N118" s="10"/>
      <c r="O118" s="7"/>
      <c r="P118" s="10"/>
      <c r="Q118" s="11"/>
      <c r="R118" s="11"/>
    </row>
    <row r="119" spans="2:18" hidden="1">
      <c r="B119" s="38"/>
      <c r="C119" s="38"/>
      <c r="D119" s="38"/>
      <c r="E119" s="38"/>
      <c r="F119" s="39"/>
      <c r="G119" s="7"/>
      <c r="H119" s="7"/>
      <c r="I119" s="46"/>
      <c r="J119" s="46"/>
      <c r="L119" s="10"/>
      <c r="M119" s="10"/>
      <c r="N119" s="10"/>
      <c r="O119" s="7"/>
      <c r="P119" s="10"/>
      <c r="Q119" s="11"/>
      <c r="R119" s="11"/>
    </row>
    <row r="120" spans="2:18" hidden="1">
      <c r="B120" s="38"/>
      <c r="C120" s="38"/>
      <c r="D120" s="38"/>
      <c r="E120" s="38"/>
      <c r="F120" s="39"/>
      <c r="G120" s="7"/>
      <c r="H120" s="7"/>
      <c r="I120" s="46"/>
      <c r="J120" s="46"/>
      <c r="L120" s="10"/>
      <c r="M120" s="10"/>
      <c r="N120" s="10"/>
      <c r="O120" s="7"/>
      <c r="P120" s="10"/>
      <c r="Q120" s="11"/>
      <c r="R120" s="11"/>
    </row>
    <row r="121" spans="2:18" hidden="1">
      <c r="B121" s="38"/>
      <c r="C121" s="38"/>
      <c r="D121" s="38"/>
      <c r="E121" s="38"/>
      <c r="F121" s="39"/>
      <c r="G121" s="7"/>
      <c r="H121" s="7"/>
      <c r="I121" s="46"/>
      <c r="J121" s="46"/>
      <c r="L121" s="10"/>
      <c r="M121" s="10"/>
      <c r="N121" s="10"/>
      <c r="O121" s="7"/>
      <c r="P121" s="10"/>
      <c r="Q121" s="11"/>
      <c r="R121" s="11"/>
    </row>
    <row r="122" spans="2:18" hidden="1">
      <c r="B122" s="38"/>
      <c r="C122" s="38"/>
      <c r="D122" s="38"/>
      <c r="E122" s="38"/>
      <c r="F122" s="39"/>
      <c r="G122" s="7"/>
      <c r="H122" s="7"/>
      <c r="I122" s="46"/>
      <c r="J122" s="46"/>
      <c r="L122" s="10"/>
      <c r="M122" s="10"/>
      <c r="N122" s="10"/>
      <c r="O122" s="7"/>
      <c r="P122" s="10"/>
      <c r="Q122" s="11"/>
      <c r="R122" s="11"/>
    </row>
    <row r="123" spans="2:18" hidden="1">
      <c r="B123" s="38"/>
      <c r="C123" s="38"/>
      <c r="D123" s="38"/>
      <c r="E123" s="38"/>
      <c r="F123" s="39"/>
      <c r="G123" s="7"/>
      <c r="H123" s="7"/>
      <c r="I123" s="46"/>
      <c r="J123" s="46"/>
      <c r="L123" s="10"/>
      <c r="M123" s="10"/>
      <c r="N123" s="10"/>
      <c r="O123" s="7"/>
      <c r="P123" s="10"/>
      <c r="Q123" s="11"/>
      <c r="R123" s="11"/>
    </row>
    <row r="124" spans="2:18" hidden="1">
      <c r="B124" s="38"/>
      <c r="C124" s="38"/>
      <c r="D124" s="38"/>
      <c r="E124" s="38"/>
      <c r="F124" s="39"/>
      <c r="G124" s="7"/>
      <c r="H124" s="7"/>
      <c r="I124" s="46"/>
      <c r="J124" s="46"/>
      <c r="L124" s="10"/>
      <c r="M124" s="10"/>
      <c r="N124" s="10"/>
      <c r="O124" s="7"/>
      <c r="P124" s="10"/>
      <c r="Q124" s="11"/>
      <c r="R124" s="11"/>
    </row>
    <row r="125" spans="2:18" hidden="1">
      <c r="B125" s="38"/>
      <c r="C125" s="38"/>
      <c r="D125" s="38"/>
      <c r="E125" s="38"/>
      <c r="F125" s="39"/>
      <c r="G125" s="7"/>
      <c r="H125" s="7"/>
      <c r="I125" s="46"/>
      <c r="J125" s="46"/>
      <c r="L125" s="10"/>
      <c r="M125" s="10"/>
      <c r="N125" s="10"/>
      <c r="O125" s="7"/>
      <c r="P125" s="10"/>
      <c r="Q125" s="11"/>
      <c r="R125" s="11"/>
    </row>
    <row r="126" spans="2:18" hidden="1">
      <c r="B126" s="38"/>
      <c r="C126" s="38"/>
      <c r="D126" s="38"/>
      <c r="E126" s="38"/>
      <c r="F126" s="39"/>
      <c r="G126" s="7"/>
      <c r="H126" s="7"/>
      <c r="I126" s="46"/>
      <c r="J126" s="46"/>
      <c r="L126" s="10"/>
      <c r="M126" s="10"/>
      <c r="N126" s="10"/>
      <c r="O126" s="7"/>
      <c r="P126" s="10"/>
      <c r="Q126" s="11"/>
      <c r="R126" s="11"/>
    </row>
    <row r="127" spans="2:18" hidden="1">
      <c r="B127" s="38"/>
      <c r="C127" s="38"/>
      <c r="D127" s="38"/>
      <c r="E127" s="38"/>
      <c r="F127" s="39"/>
      <c r="G127" s="7"/>
      <c r="H127" s="7"/>
      <c r="I127" s="46"/>
      <c r="J127" s="46"/>
      <c r="L127" s="10"/>
      <c r="M127" s="10"/>
      <c r="N127" s="10"/>
      <c r="O127" s="7"/>
      <c r="P127" s="10"/>
      <c r="Q127" s="11"/>
      <c r="R127" s="11"/>
    </row>
    <row r="128" spans="2:18" hidden="1">
      <c r="B128" s="38"/>
      <c r="C128" s="38"/>
      <c r="D128" s="38"/>
      <c r="E128" s="38"/>
      <c r="F128" s="39"/>
      <c r="G128" s="7"/>
      <c r="H128" s="7"/>
      <c r="I128" s="46"/>
      <c r="J128" s="46"/>
      <c r="L128" s="10"/>
      <c r="M128" s="10"/>
      <c r="N128" s="10"/>
      <c r="O128" s="7"/>
      <c r="P128" s="10"/>
      <c r="Q128" s="11"/>
      <c r="R128" s="11"/>
    </row>
    <row r="129" spans="2:18" hidden="1">
      <c r="B129" s="38"/>
      <c r="C129" s="38"/>
      <c r="D129" s="38"/>
      <c r="E129" s="38"/>
      <c r="F129" s="39"/>
      <c r="G129" s="7"/>
      <c r="H129" s="7"/>
      <c r="I129" s="46"/>
      <c r="J129" s="46"/>
      <c r="L129" s="10"/>
      <c r="M129" s="10"/>
      <c r="N129" s="10"/>
      <c r="O129" s="7"/>
      <c r="P129" s="10"/>
      <c r="Q129" s="11"/>
      <c r="R129" s="11"/>
    </row>
    <row r="130" spans="2:18" hidden="1">
      <c r="B130" s="38"/>
      <c r="C130" s="38"/>
      <c r="D130" s="38"/>
      <c r="E130" s="38"/>
      <c r="F130" s="39"/>
      <c r="G130" s="7"/>
      <c r="H130" s="7"/>
      <c r="I130" s="46"/>
      <c r="J130" s="46"/>
      <c r="L130" s="10"/>
      <c r="M130" s="10"/>
      <c r="N130" s="10"/>
      <c r="O130" s="7"/>
      <c r="P130" s="10"/>
      <c r="Q130" s="11"/>
      <c r="R130" s="11"/>
    </row>
    <row r="131" spans="2:18" hidden="1">
      <c r="B131" s="38"/>
      <c r="C131" s="38"/>
      <c r="D131" s="38"/>
      <c r="E131" s="38"/>
      <c r="F131" s="39"/>
      <c r="G131" s="7"/>
      <c r="H131" s="7"/>
      <c r="I131" s="46"/>
      <c r="J131" s="46"/>
      <c r="L131" s="10"/>
      <c r="M131" s="10"/>
      <c r="N131" s="10"/>
      <c r="O131" s="7"/>
      <c r="P131" s="10"/>
      <c r="Q131" s="11"/>
      <c r="R131" s="11"/>
    </row>
    <row r="132" spans="2:18" hidden="1">
      <c r="B132" s="38"/>
      <c r="C132" s="38"/>
      <c r="D132" s="38"/>
      <c r="E132" s="38"/>
      <c r="F132" s="39"/>
      <c r="G132" s="7"/>
      <c r="H132" s="7"/>
      <c r="I132" s="46"/>
      <c r="J132" s="46"/>
      <c r="L132" s="10"/>
      <c r="M132" s="10"/>
      <c r="N132" s="10"/>
      <c r="O132" s="7"/>
      <c r="P132" s="10"/>
      <c r="Q132" s="11"/>
      <c r="R132" s="11"/>
    </row>
    <row r="133" spans="2:18" hidden="1">
      <c r="B133" s="38"/>
      <c r="C133" s="38"/>
      <c r="D133" s="38"/>
      <c r="E133" s="38"/>
      <c r="F133" s="39"/>
      <c r="G133" s="7"/>
      <c r="H133" s="7"/>
      <c r="I133" s="46"/>
      <c r="J133" s="46"/>
      <c r="L133" s="10"/>
      <c r="M133" s="10"/>
      <c r="N133" s="10"/>
      <c r="O133" s="7"/>
      <c r="P133" s="10"/>
      <c r="Q133" s="11"/>
      <c r="R133" s="11"/>
    </row>
    <row r="134" spans="2:18" hidden="1">
      <c r="B134" s="38"/>
      <c r="C134" s="38"/>
      <c r="D134" s="38"/>
      <c r="E134" s="38"/>
      <c r="F134" s="39"/>
      <c r="G134" s="7"/>
      <c r="H134" s="7"/>
      <c r="I134" s="46"/>
      <c r="J134" s="46"/>
      <c r="L134" s="10"/>
      <c r="M134" s="10"/>
      <c r="N134" s="10"/>
      <c r="O134" s="7"/>
      <c r="P134" s="10"/>
      <c r="Q134" s="11"/>
      <c r="R134" s="11"/>
    </row>
    <row r="135" spans="2:18" hidden="1">
      <c r="B135" s="38"/>
      <c r="C135" s="38"/>
      <c r="D135" s="38"/>
      <c r="E135" s="38"/>
      <c r="F135" s="39"/>
      <c r="G135" s="7"/>
      <c r="H135" s="7"/>
      <c r="I135" s="46"/>
      <c r="J135" s="46"/>
      <c r="L135" s="10"/>
      <c r="M135" s="10"/>
      <c r="N135" s="10"/>
      <c r="O135" s="7"/>
      <c r="P135" s="10"/>
      <c r="Q135" s="11"/>
      <c r="R135" s="11"/>
    </row>
    <row r="136" spans="2:18" hidden="1">
      <c r="B136" s="38"/>
      <c r="C136" s="38"/>
      <c r="D136" s="38"/>
      <c r="E136" s="38"/>
      <c r="F136" s="39"/>
      <c r="G136" s="7"/>
      <c r="H136" s="7"/>
      <c r="I136" s="46"/>
      <c r="J136" s="46"/>
      <c r="L136" s="10"/>
      <c r="M136" s="10"/>
      <c r="N136" s="10"/>
      <c r="O136" s="7"/>
      <c r="P136" s="10"/>
      <c r="Q136" s="11"/>
      <c r="R136" s="11"/>
    </row>
    <row r="137" spans="2:18" hidden="1">
      <c r="B137" s="38"/>
      <c r="C137" s="38"/>
      <c r="D137" s="38"/>
      <c r="E137" s="38"/>
      <c r="F137" s="39"/>
      <c r="G137" s="7"/>
      <c r="H137" s="7"/>
      <c r="I137" s="46"/>
      <c r="J137" s="46"/>
      <c r="L137" s="10"/>
      <c r="M137" s="10"/>
      <c r="N137" s="10"/>
      <c r="O137" s="7"/>
      <c r="P137" s="10"/>
      <c r="Q137" s="11"/>
      <c r="R137" s="11"/>
    </row>
    <row r="138" spans="2:18" hidden="1">
      <c r="B138" s="38"/>
      <c r="C138" s="38"/>
      <c r="D138" s="38"/>
      <c r="E138" s="38"/>
      <c r="F138" s="39"/>
      <c r="G138" s="7"/>
      <c r="H138" s="7"/>
      <c r="I138" s="46"/>
      <c r="J138" s="46"/>
      <c r="L138" s="10"/>
      <c r="M138" s="10"/>
      <c r="N138" s="10"/>
      <c r="O138" s="7"/>
      <c r="P138" s="10"/>
      <c r="Q138" s="11"/>
      <c r="R138" s="11"/>
    </row>
    <row r="139" spans="2:18" hidden="1">
      <c r="B139" s="38"/>
      <c r="C139" s="38"/>
      <c r="D139" s="38"/>
      <c r="E139" s="38"/>
      <c r="F139" s="39"/>
      <c r="G139" s="7"/>
      <c r="H139" s="7"/>
      <c r="I139" s="46"/>
      <c r="J139" s="46"/>
      <c r="L139" s="10"/>
      <c r="M139" s="10"/>
      <c r="N139" s="10"/>
      <c r="O139" s="7"/>
      <c r="P139" s="10"/>
      <c r="Q139" s="11"/>
      <c r="R139" s="11"/>
    </row>
    <row r="140" spans="2:18" hidden="1">
      <c r="B140" s="38"/>
      <c r="C140" s="38"/>
      <c r="D140" s="38"/>
      <c r="E140" s="38"/>
      <c r="F140" s="39"/>
      <c r="G140" s="7"/>
      <c r="H140" s="7"/>
      <c r="I140" s="46"/>
      <c r="J140" s="46"/>
      <c r="L140" s="10"/>
      <c r="M140" s="10"/>
      <c r="N140" s="10"/>
      <c r="O140" s="7"/>
      <c r="P140" s="10"/>
      <c r="Q140" s="11"/>
      <c r="R140" s="11"/>
    </row>
    <row r="141" spans="2:18" hidden="1">
      <c r="B141" s="38"/>
      <c r="C141" s="38"/>
      <c r="D141" s="38"/>
      <c r="E141" s="38"/>
      <c r="F141" s="39"/>
      <c r="G141" s="7"/>
      <c r="H141" s="7"/>
      <c r="I141" s="46"/>
      <c r="J141" s="46"/>
      <c r="L141" s="10"/>
      <c r="M141" s="10"/>
      <c r="N141" s="10"/>
      <c r="O141" s="7"/>
      <c r="P141" s="10"/>
      <c r="Q141" s="11"/>
      <c r="R141" s="11"/>
    </row>
    <row r="142" spans="2:18" hidden="1">
      <c r="B142" s="38"/>
      <c r="C142" s="38"/>
      <c r="D142" s="38"/>
      <c r="E142" s="38"/>
      <c r="F142" s="39"/>
      <c r="G142" s="7"/>
      <c r="H142" s="7"/>
      <c r="I142" s="46"/>
      <c r="J142" s="46"/>
      <c r="L142" s="10"/>
      <c r="M142" s="10"/>
      <c r="N142" s="10"/>
      <c r="O142" s="7"/>
      <c r="P142" s="10"/>
      <c r="Q142" s="11"/>
      <c r="R142" s="11"/>
    </row>
    <row r="143" spans="2:18" hidden="1">
      <c r="B143" s="38"/>
      <c r="C143" s="38"/>
      <c r="D143" s="38"/>
      <c r="E143" s="38"/>
      <c r="F143" s="39"/>
      <c r="G143" s="7"/>
      <c r="H143" s="7"/>
      <c r="I143" s="46"/>
      <c r="J143" s="46"/>
      <c r="L143" s="10"/>
      <c r="M143" s="10"/>
      <c r="N143" s="10"/>
      <c r="O143" s="7"/>
      <c r="P143" s="10"/>
      <c r="Q143" s="11"/>
      <c r="R143" s="11"/>
    </row>
    <row r="144" spans="2:18" hidden="1">
      <c r="B144" s="38"/>
      <c r="C144" s="38"/>
      <c r="D144" s="38"/>
      <c r="E144" s="38"/>
      <c r="F144" s="39"/>
      <c r="G144" s="7"/>
      <c r="H144" s="7"/>
      <c r="I144" s="46"/>
      <c r="J144" s="46"/>
      <c r="L144" s="10"/>
      <c r="M144" s="10"/>
      <c r="N144" s="10"/>
      <c r="O144" s="7"/>
      <c r="P144" s="10"/>
      <c r="Q144" s="11"/>
      <c r="R144" s="11"/>
    </row>
    <row r="145" spans="2:18" hidden="1">
      <c r="B145" s="38"/>
      <c r="C145" s="38"/>
      <c r="D145" s="38"/>
      <c r="E145" s="38"/>
      <c r="F145" s="39"/>
      <c r="G145" s="7"/>
      <c r="H145" s="7"/>
      <c r="I145" s="46"/>
      <c r="J145" s="46"/>
      <c r="L145" s="10"/>
      <c r="M145" s="10"/>
      <c r="N145" s="10"/>
      <c r="O145" s="7"/>
      <c r="P145" s="10"/>
      <c r="Q145" s="11"/>
      <c r="R145" s="11"/>
    </row>
    <row r="146" spans="2:18" hidden="1">
      <c r="B146" s="38"/>
      <c r="C146" s="38"/>
      <c r="D146" s="38"/>
      <c r="E146" s="38"/>
      <c r="F146" s="39"/>
      <c r="G146" s="7"/>
      <c r="H146" s="7"/>
      <c r="I146" s="46"/>
      <c r="J146" s="46"/>
      <c r="L146" s="10"/>
      <c r="M146" s="10"/>
      <c r="N146" s="10"/>
      <c r="O146" s="7"/>
      <c r="P146" s="10"/>
      <c r="Q146" s="11"/>
      <c r="R146" s="11"/>
    </row>
    <row r="147" spans="2:18" hidden="1">
      <c r="B147" s="38"/>
      <c r="C147" s="38"/>
      <c r="D147" s="38"/>
      <c r="E147" s="38"/>
      <c r="F147" s="39"/>
      <c r="G147" s="7"/>
      <c r="H147" s="7"/>
      <c r="I147" s="46"/>
      <c r="J147" s="46"/>
      <c r="L147" s="10"/>
      <c r="M147" s="10"/>
      <c r="N147" s="10"/>
      <c r="O147" s="7"/>
      <c r="P147" s="10"/>
      <c r="Q147" s="11"/>
      <c r="R147" s="11"/>
    </row>
    <row r="148" spans="2:18" hidden="1">
      <c r="B148" s="38"/>
      <c r="C148" s="38"/>
      <c r="D148" s="38"/>
      <c r="E148" s="38"/>
      <c r="F148" s="39"/>
      <c r="G148" s="7"/>
      <c r="H148" s="7"/>
      <c r="I148" s="46"/>
      <c r="J148" s="46"/>
      <c r="L148" s="10"/>
      <c r="M148" s="10"/>
      <c r="N148" s="10"/>
      <c r="O148" s="7"/>
      <c r="P148" s="10"/>
      <c r="Q148" s="11"/>
      <c r="R148" s="11"/>
    </row>
    <row r="149" spans="2:18" hidden="1">
      <c r="B149" s="38"/>
      <c r="C149" s="38"/>
      <c r="D149" s="38"/>
      <c r="E149" s="38"/>
      <c r="F149" s="39"/>
      <c r="G149" s="7"/>
      <c r="H149" s="7"/>
      <c r="I149" s="46"/>
      <c r="J149" s="46"/>
      <c r="L149" s="10"/>
      <c r="M149" s="10"/>
      <c r="N149" s="10"/>
      <c r="O149" s="7"/>
      <c r="P149" s="10"/>
      <c r="Q149" s="11"/>
      <c r="R149" s="11"/>
    </row>
    <row r="150" spans="2:18" hidden="1">
      <c r="B150" s="38"/>
      <c r="C150" s="38"/>
      <c r="D150" s="38"/>
      <c r="E150" s="38"/>
      <c r="F150" s="39"/>
      <c r="G150" s="7"/>
      <c r="H150" s="7"/>
      <c r="I150" s="46"/>
      <c r="J150" s="46"/>
      <c r="L150" s="10"/>
      <c r="M150" s="10"/>
      <c r="N150" s="10"/>
      <c r="O150" s="7"/>
      <c r="P150" s="10"/>
      <c r="Q150" s="11"/>
      <c r="R150" s="11"/>
    </row>
    <row r="151" spans="2:18" hidden="1">
      <c r="B151" s="38"/>
      <c r="C151" s="38"/>
      <c r="D151" s="38"/>
      <c r="E151" s="38"/>
      <c r="F151" s="39"/>
      <c r="G151" s="7"/>
      <c r="H151" s="7"/>
      <c r="I151" s="46"/>
      <c r="J151" s="46"/>
      <c r="L151" s="10"/>
      <c r="M151" s="10"/>
      <c r="N151" s="10"/>
      <c r="O151" s="7"/>
      <c r="P151" s="10"/>
      <c r="Q151" s="11"/>
      <c r="R151" s="11"/>
    </row>
    <row r="152" spans="2:18" hidden="1">
      <c r="B152" s="38"/>
      <c r="C152" s="38"/>
      <c r="D152" s="38"/>
      <c r="E152" s="38"/>
      <c r="F152" s="39"/>
      <c r="G152" s="7"/>
      <c r="H152" s="7"/>
      <c r="I152" s="46"/>
      <c r="J152" s="46"/>
      <c r="L152" s="10"/>
      <c r="M152" s="10"/>
      <c r="N152" s="10"/>
      <c r="O152" s="7"/>
      <c r="P152" s="10"/>
      <c r="Q152" s="11"/>
      <c r="R152" s="11"/>
    </row>
    <row r="153" spans="2:18" hidden="1">
      <c r="B153" s="38"/>
      <c r="C153" s="38"/>
      <c r="D153" s="38"/>
      <c r="E153" s="38"/>
      <c r="F153" s="39"/>
      <c r="G153" s="7"/>
      <c r="H153" s="7"/>
      <c r="I153" s="46"/>
      <c r="J153" s="46"/>
      <c r="L153" s="10"/>
      <c r="M153" s="10"/>
      <c r="N153" s="10"/>
      <c r="O153" s="7"/>
      <c r="P153" s="10"/>
      <c r="Q153" s="11"/>
      <c r="R153" s="11"/>
    </row>
    <row r="154" spans="2:18" hidden="1">
      <c r="B154" s="38"/>
      <c r="C154" s="38"/>
      <c r="D154" s="38"/>
      <c r="E154" s="38"/>
      <c r="F154" s="39"/>
      <c r="G154" s="7"/>
      <c r="H154" s="7"/>
      <c r="I154" s="46"/>
      <c r="J154" s="46"/>
      <c r="L154" s="10"/>
      <c r="M154" s="10"/>
      <c r="N154" s="10"/>
      <c r="O154" s="7"/>
      <c r="P154" s="10"/>
      <c r="Q154" s="11"/>
      <c r="R154" s="11"/>
    </row>
    <row r="155" spans="2:18" hidden="1">
      <c r="B155" s="38"/>
      <c r="C155" s="38"/>
      <c r="D155" s="38"/>
      <c r="E155" s="38"/>
      <c r="F155" s="39"/>
      <c r="G155" s="7"/>
      <c r="H155" s="7"/>
      <c r="I155" s="46"/>
      <c r="J155" s="46"/>
      <c r="L155" s="10"/>
      <c r="M155" s="10"/>
      <c r="N155" s="10"/>
      <c r="O155" s="7"/>
      <c r="P155" s="10"/>
      <c r="Q155" s="11"/>
      <c r="R155" s="11"/>
    </row>
    <row r="156" spans="2:18" hidden="1">
      <c r="B156" s="38"/>
      <c r="C156" s="38"/>
      <c r="D156" s="38"/>
      <c r="E156" s="38"/>
      <c r="F156" s="39"/>
      <c r="G156" s="7"/>
      <c r="H156" s="7"/>
      <c r="I156" s="46"/>
      <c r="J156" s="46"/>
      <c r="L156" s="10"/>
      <c r="M156" s="10"/>
      <c r="N156" s="10"/>
      <c r="O156" s="7"/>
      <c r="P156" s="10"/>
      <c r="Q156" s="11"/>
      <c r="R156" s="11"/>
    </row>
    <row r="157" spans="2:18" hidden="1">
      <c r="B157" s="38"/>
      <c r="C157" s="38"/>
      <c r="D157" s="38"/>
      <c r="E157" s="38"/>
      <c r="F157" s="39"/>
      <c r="G157" s="7"/>
      <c r="H157" s="7"/>
      <c r="I157" s="46"/>
      <c r="J157" s="46"/>
      <c r="L157" s="10"/>
      <c r="M157" s="10"/>
      <c r="N157" s="10"/>
      <c r="O157" s="7"/>
      <c r="P157" s="10"/>
      <c r="Q157" s="11"/>
      <c r="R157" s="11"/>
    </row>
    <row r="158" spans="2:18" hidden="1">
      <c r="B158" s="38"/>
      <c r="C158" s="38"/>
      <c r="D158" s="38"/>
      <c r="E158" s="38"/>
      <c r="F158" s="39"/>
      <c r="G158" s="7"/>
      <c r="H158" s="7"/>
      <c r="I158" s="46"/>
      <c r="J158" s="46"/>
      <c r="L158" s="10"/>
      <c r="M158" s="10"/>
      <c r="N158" s="10"/>
      <c r="O158" s="7"/>
      <c r="P158" s="10"/>
      <c r="Q158" s="11"/>
      <c r="R158" s="11"/>
    </row>
    <row r="159" spans="2:18" hidden="1">
      <c r="B159" s="38"/>
      <c r="C159" s="38"/>
      <c r="D159" s="38"/>
      <c r="E159" s="38"/>
      <c r="F159" s="39"/>
      <c r="G159" s="7"/>
      <c r="H159" s="7"/>
      <c r="I159" s="46"/>
      <c r="J159" s="46"/>
      <c r="L159" s="10"/>
      <c r="M159" s="10"/>
      <c r="N159" s="10"/>
      <c r="O159" s="7"/>
      <c r="P159" s="10"/>
      <c r="Q159" s="11"/>
      <c r="R159" s="11"/>
    </row>
    <row r="160" spans="2:18" hidden="1">
      <c r="B160" s="38"/>
      <c r="C160" s="38"/>
      <c r="D160" s="38"/>
      <c r="E160" s="38"/>
      <c r="F160" s="39"/>
      <c r="G160" s="7"/>
      <c r="H160" s="7"/>
      <c r="I160" s="46"/>
      <c r="J160" s="46"/>
      <c r="L160" s="10"/>
      <c r="M160" s="10"/>
      <c r="N160" s="10"/>
      <c r="O160" s="7"/>
      <c r="P160" s="10"/>
      <c r="Q160" s="11"/>
      <c r="R160" s="11"/>
    </row>
    <row r="161" spans="2:18" hidden="1">
      <c r="B161" s="38"/>
      <c r="C161" s="38"/>
      <c r="D161" s="38"/>
      <c r="E161" s="38"/>
      <c r="F161" s="39"/>
      <c r="G161" s="7"/>
      <c r="H161" s="7"/>
      <c r="I161" s="46"/>
      <c r="J161" s="46"/>
      <c r="L161" s="10"/>
      <c r="M161" s="10"/>
      <c r="N161" s="10"/>
      <c r="O161" s="7"/>
      <c r="P161" s="10"/>
      <c r="Q161" s="11"/>
      <c r="R161" s="11"/>
    </row>
    <row r="162" spans="2:18" hidden="1">
      <c r="B162" s="38"/>
      <c r="C162" s="38"/>
      <c r="D162" s="38"/>
      <c r="E162" s="38"/>
      <c r="F162" s="39"/>
      <c r="G162" s="7"/>
      <c r="H162" s="7"/>
      <c r="I162" s="46"/>
      <c r="J162" s="46"/>
      <c r="L162" s="10"/>
      <c r="M162" s="10"/>
      <c r="N162" s="10"/>
      <c r="O162" s="7"/>
      <c r="P162" s="10"/>
      <c r="Q162" s="11"/>
      <c r="R162" s="11"/>
    </row>
    <row r="163" spans="2:18" hidden="1">
      <c r="B163" s="38"/>
      <c r="C163" s="38"/>
      <c r="D163" s="38"/>
      <c r="E163" s="38"/>
      <c r="F163" s="39"/>
      <c r="G163" s="7"/>
      <c r="H163" s="7"/>
      <c r="I163" s="46"/>
      <c r="J163" s="46"/>
      <c r="L163" s="10"/>
      <c r="M163" s="10"/>
      <c r="N163" s="10"/>
      <c r="O163" s="7"/>
      <c r="P163" s="10"/>
      <c r="Q163" s="11"/>
      <c r="R163" s="11"/>
    </row>
    <row r="164" spans="2:18" hidden="1">
      <c r="B164" s="38"/>
      <c r="C164" s="38"/>
      <c r="D164" s="38"/>
      <c r="E164" s="38"/>
      <c r="F164" s="39"/>
      <c r="G164" s="7"/>
      <c r="H164" s="7"/>
      <c r="I164" s="46"/>
      <c r="J164" s="46"/>
      <c r="L164" s="10"/>
      <c r="M164" s="10"/>
      <c r="N164" s="10"/>
      <c r="O164" s="7"/>
      <c r="P164" s="10"/>
      <c r="Q164" s="11"/>
      <c r="R164" s="11"/>
    </row>
    <row r="165" spans="2:18" hidden="1">
      <c r="B165" s="38"/>
      <c r="C165" s="38"/>
      <c r="D165" s="38"/>
      <c r="E165" s="38"/>
      <c r="F165" s="39"/>
      <c r="G165" s="7"/>
      <c r="H165" s="7"/>
      <c r="I165" s="46"/>
      <c r="J165" s="46"/>
      <c r="L165" s="10"/>
      <c r="M165" s="10"/>
      <c r="N165" s="10"/>
      <c r="O165" s="7"/>
      <c r="P165" s="10"/>
      <c r="Q165" s="11"/>
      <c r="R165" s="11"/>
    </row>
    <row r="166" spans="2:18" hidden="1">
      <c r="B166" s="38"/>
      <c r="C166" s="38"/>
      <c r="D166" s="38"/>
      <c r="E166" s="38"/>
      <c r="F166" s="39"/>
      <c r="G166" s="7"/>
      <c r="H166" s="7"/>
      <c r="I166" s="46"/>
      <c r="J166" s="46"/>
      <c r="L166" s="10"/>
      <c r="M166" s="10"/>
      <c r="N166" s="10"/>
      <c r="O166" s="7"/>
      <c r="P166" s="10"/>
      <c r="Q166" s="11"/>
      <c r="R166" s="11"/>
    </row>
    <row r="167" spans="2:18" hidden="1">
      <c r="B167" s="38"/>
      <c r="C167" s="38"/>
      <c r="D167" s="38"/>
      <c r="E167" s="38"/>
      <c r="F167" s="39"/>
      <c r="G167" s="7"/>
      <c r="H167" s="7"/>
      <c r="I167" s="46"/>
      <c r="J167" s="46"/>
      <c r="L167" s="10"/>
      <c r="M167" s="10"/>
      <c r="N167" s="10"/>
      <c r="O167" s="7"/>
      <c r="P167" s="10"/>
      <c r="Q167" s="11"/>
      <c r="R167" s="11"/>
    </row>
    <row r="168" spans="2:18" hidden="1">
      <c r="B168" s="38"/>
      <c r="C168" s="38"/>
      <c r="D168" s="38"/>
      <c r="E168" s="38"/>
      <c r="F168" s="39"/>
      <c r="G168" s="7"/>
      <c r="H168" s="7"/>
      <c r="I168" s="5"/>
      <c r="L168" s="9"/>
      <c r="M168" s="9"/>
      <c r="N168" s="9"/>
      <c r="O168" s="7"/>
      <c r="P168" s="10"/>
      <c r="Q168" s="11"/>
      <c r="R168" s="11"/>
    </row>
    <row r="169" spans="2:18" hidden="1">
      <c r="B169" s="38"/>
      <c r="C169" s="38"/>
      <c r="D169" s="38"/>
      <c r="E169" s="38"/>
      <c r="F169" s="39"/>
      <c r="G169" s="7"/>
      <c r="H169" s="7"/>
      <c r="L169" s="10"/>
      <c r="M169" s="8"/>
      <c r="N169" s="8"/>
      <c r="O169" s="7"/>
      <c r="P169" s="10"/>
      <c r="Q169" s="11"/>
      <c r="R169" s="11"/>
    </row>
    <row r="170" spans="2:18" hidden="1">
      <c r="B170" s="38"/>
      <c r="C170" s="38"/>
      <c r="D170" s="38"/>
      <c r="E170" s="38"/>
      <c r="F170" s="39"/>
      <c r="G170" s="7"/>
      <c r="H170" s="7"/>
      <c r="L170" s="10"/>
      <c r="M170" s="8"/>
      <c r="N170" s="8"/>
      <c r="O170" s="7"/>
      <c r="P170" s="10"/>
      <c r="Q170" s="11"/>
      <c r="R170" s="11"/>
    </row>
    <row r="171" spans="2:18" hidden="1">
      <c r="B171" s="38"/>
      <c r="C171" s="38"/>
      <c r="D171" s="38"/>
      <c r="E171" s="38"/>
      <c r="F171" s="39"/>
      <c r="G171" s="7"/>
      <c r="H171" s="7"/>
      <c r="L171" s="10"/>
      <c r="M171" s="8"/>
      <c r="N171" s="8"/>
      <c r="O171" s="7"/>
      <c r="P171" s="10"/>
      <c r="Q171" s="11"/>
      <c r="R171" s="11"/>
    </row>
    <row r="172" spans="2:18" hidden="1">
      <c r="B172" s="38"/>
      <c r="C172" s="38"/>
      <c r="D172" s="38"/>
      <c r="E172" s="38"/>
      <c r="F172" s="39"/>
      <c r="G172" s="7"/>
      <c r="H172" s="7"/>
      <c r="L172" s="10"/>
      <c r="M172" s="8"/>
      <c r="N172" s="8"/>
      <c r="O172" s="7"/>
      <c r="P172" s="10"/>
      <c r="Q172" s="11"/>
      <c r="R172" s="11"/>
    </row>
    <row r="173" spans="2:18" hidden="1">
      <c r="B173" s="38"/>
      <c r="C173" s="38"/>
      <c r="D173" s="38"/>
      <c r="E173" s="38"/>
      <c r="F173" s="39"/>
      <c r="G173" s="7"/>
      <c r="H173" s="7"/>
      <c r="L173" s="10"/>
      <c r="M173" s="8"/>
      <c r="N173" s="8"/>
      <c r="O173" s="7"/>
      <c r="P173" s="10"/>
      <c r="Q173" s="11"/>
      <c r="R173" s="11"/>
    </row>
    <row r="174" spans="2:18" hidden="1">
      <c r="B174" s="38"/>
      <c r="C174" s="38"/>
      <c r="D174" s="38"/>
      <c r="E174" s="38"/>
      <c r="F174" s="39"/>
      <c r="G174" s="7"/>
      <c r="H174" s="7"/>
      <c r="L174" s="10"/>
      <c r="M174" s="8"/>
      <c r="N174" s="8"/>
      <c r="O174" s="7"/>
      <c r="P174" s="10"/>
      <c r="Q174" s="11"/>
      <c r="R174" s="11"/>
    </row>
    <row r="175" spans="2:18" hidden="1">
      <c r="B175" s="38"/>
      <c r="C175" s="38"/>
      <c r="D175" s="38"/>
      <c r="E175" s="38"/>
      <c r="F175" s="39"/>
      <c r="G175" s="7"/>
      <c r="H175" s="7"/>
      <c r="L175" s="10"/>
      <c r="M175" s="8"/>
      <c r="N175" s="8"/>
      <c r="O175" s="7"/>
      <c r="P175" s="10"/>
      <c r="Q175" s="11"/>
      <c r="R175" s="11"/>
    </row>
    <row r="176" spans="2:18" hidden="1">
      <c r="B176" s="38"/>
      <c r="C176" s="38"/>
      <c r="D176" s="38"/>
      <c r="E176" s="38"/>
      <c r="F176" s="39"/>
      <c r="G176" s="7"/>
      <c r="H176" s="7"/>
      <c r="L176" s="10"/>
      <c r="M176" s="8"/>
      <c r="N176" s="8"/>
      <c r="O176" s="7"/>
      <c r="P176" s="10"/>
      <c r="Q176" s="11"/>
      <c r="R176" s="11"/>
    </row>
    <row r="177" spans="2:18" hidden="1">
      <c r="B177" s="5"/>
      <c r="C177" s="5"/>
      <c r="D177" s="5"/>
      <c r="E177" s="5"/>
      <c r="F177" s="5"/>
      <c r="G177" s="5"/>
      <c r="H177" s="5"/>
      <c r="L177" s="10"/>
      <c r="M177" s="8"/>
      <c r="N177" s="8"/>
      <c r="O177" s="5"/>
      <c r="P177" s="9"/>
      <c r="Q177" s="9"/>
      <c r="R177" s="8"/>
    </row>
    <row r="178" spans="2:18" hidden="1">
      <c r="B178" s="38"/>
      <c r="C178" s="38"/>
      <c r="D178" s="38"/>
      <c r="E178" s="38"/>
      <c r="F178" s="39"/>
      <c r="G178" s="7"/>
      <c r="H178" s="7"/>
      <c r="L178" s="10"/>
      <c r="M178" s="8"/>
      <c r="N178" s="8"/>
      <c r="O178" s="7"/>
      <c r="P178" s="8"/>
      <c r="Q178" s="8"/>
      <c r="R178" s="8"/>
    </row>
    <row r="179" spans="2:18" hidden="1">
      <c r="B179" s="38"/>
      <c r="C179" s="38"/>
      <c r="D179" s="38"/>
      <c r="E179" s="38"/>
      <c r="F179" s="39"/>
      <c r="G179" s="7"/>
      <c r="H179" s="7"/>
      <c r="L179" s="10"/>
      <c r="M179" s="8"/>
      <c r="N179" s="8"/>
      <c r="O179" s="7"/>
      <c r="P179" s="8"/>
      <c r="Q179" s="8"/>
      <c r="R179" s="8"/>
    </row>
    <row r="180" spans="2:18" hidden="1">
      <c r="B180" s="38"/>
      <c r="C180" s="38"/>
      <c r="D180" s="38"/>
      <c r="E180" s="38"/>
      <c r="F180" s="39"/>
      <c r="G180" s="7"/>
      <c r="H180" s="7"/>
      <c r="L180" s="10"/>
      <c r="M180" s="8"/>
      <c r="N180" s="8"/>
      <c r="O180" s="7"/>
      <c r="P180" s="8"/>
      <c r="Q180" s="8"/>
      <c r="R180" s="8"/>
    </row>
    <row r="181" spans="2:18" hidden="1">
      <c r="B181" s="38"/>
      <c r="C181" s="38"/>
      <c r="D181" s="38"/>
      <c r="E181" s="38"/>
      <c r="F181" s="39"/>
      <c r="G181" s="7"/>
      <c r="H181" s="7"/>
      <c r="L181" s="10"/>
      <c r="M181" s="8"/>
      <c r="N181" s="8"/>
      <c r="O181" s="7"/>
      <c r="P181" s="8"/>
      <c r="Q181" s="8"/>
      <c r="R181" s="8"/>
    </row>
    <row r="182" spans="2:18" hidden="1">
      <c r="B182" s="38"/>
      <c r="C182" s="38"/>
      <c r="D182" s="38"/>
      <c r="E182" s="38"/>
      <c r="F182" s="39"/>
      <c r="G182" s="7"/>
      <c r="H182" s="7"/>
      <c r="L182" s="10"/>
      <c r="M182" s="8"/>
      <c r="N182" s="8"/>
      <c r="O182" s="7"/>
      <c r="P182" s="8"/>
      <c r="Q182" s="8"/>
      <c r="R182" s="8"/>
    </row>
    <row r="183" spans="2:18" hidden="1">
      <c r="B183" s="38"/>
      <c r="C183" s="38"/>
      <c r="D183" s="38"/>
      <c r="E183" s="38"/>
      <c r="F183" s="39"/>
      <c r="G183" s="7"/>
      <c r="H183" s="7"/>
      <c r="L183" s="10"/>
      <c r="M183" s="8"/>
      <c r="N183" s="8"/>
      <c r="O183" s="7"/>
      <c r="P183" s="8"/>
      <c r="Q183" s="8"/>
      <c r="R183" s="8"/>
    </row>
    <row r="184" spans="2:18" hidden="1">
      <c r="B184" s="38"/>
      <c r="C184" s="38"/>
      <c r="D184" s="38"/>
      <c r="E184" s="38"/>
      <c r="F184" s="39"/>
      <c r="G184" s="7"/>
      <c r="H184" s="7"/>
      <c r="L184" s="10"/>
      <c r="M184" s="8"/>
      <c r="N184" s="8"/>
      <c r="O184" s="7"/>
      <c r="P184" s="8"/>
      <c r="Q184" s="8"/>
      <c r="R184" s="8"/>
    </row>
    <row r="185" spans="2:18" hidden="1">
      <c r="B185" s="38"/>
      <c r="C185" s="38"/>
      <c r="D185" s="38"/>
      <c r="E185" s="38"/>
      <c r="F185" s="39"/>
      <c r="G185" s="7"/>
      <c r="H185" s="7"/>
      <c r="L185" s="10"/>
      <c r="M185" s="8"/>
      <c r="N185" s="8"/>
      <c r="O185" s="7"/>
      <c r="P185" s="8"/>
      <c r="Q185" s="8"/>
      <c r="R185" s="8"/>
    </row>
    <row r="186" spans="2:18" hidden="1">
      <c r="B186" s="38"/>
      <c r="C186" s="38"/>
      <c r="D186" s="38"/>
      <c r="E186" s="38"/>
      <c r="F186" s="39"/>
      <c r="G186" s="7"/>
      <c r="H186" s="7"/>
      <c r="L186" s="10"/>
      <c r="M186" s="8"/>
      <c r="N186" s="8"/>
      <c r="O186" s="7"/>
      <c r="P186" s="8"/>
      <c r="Q186" s="8"/>
      <c r="R186" s="8"/>
    </row>
    <row r="187" spans="2:18" hidden="1">
      <c r="B187" s="38"/>
      <c r="C187" s="38"/>
      <c r="D187" s="38"/>
      <c r="E187" s="38"/>
      <c r="F187" s="39"/>
      <c r="G187" s="7"/>
      <c r="H187" s="7"/>
      <c r="L187" s="10"/>
      <c r="M187" s="8"/>
      <c r="N187" s="8"/>
      <c r="O187" s="7"/>
      <c r="P187" s="8"/>
      <c r="Q187" s="8"/>
      <c r="R187" s="8"/>
    </row>
    <row r="188" spans="2:18" hidden="1">
      <c r="B188" s="38"/>
      <c r="C188" s="38"/>
      <c r="D188" s="38"/>
      <c r="E188" s="38"/>
      <c r="F188" s="39"/>
      <c r="G188" s="7"/>
      <c r="H188" s="7"/>
      <c r="L188" s="10"/>
      <c r="M188" s="8"/>
      <c r="N188" s="8"/>
      <c r="O188" s="7"/>
      <c r="P188" s="8"/>
      <c r="Q188" s="8"/>
      <c r="R188" s="8"/>
    </row>
    <row r="189" spans="2:18" hidden="1">
      <c r="B189" s="38"/>
      <c r="C189" s="38"/>
      <c r="D189" s="38"/>
      <c r="E189" s="38"/>
      <c r="F189" s="39"/>
      <c r="G189" s="7"/>
      <c r="H189" s="7"/>
      <c r="L189" s="10"/>
      <c r="M189" s="8"/>
      <c r="N189" s="8"/>
      <c r="O189" s="7"/>
      <c r="P189" s="8"/>
      <c r="Q189" s="8"/>
      <c r="R189" s="8"/>
    </row>
    <row r="190" spans="2:18" hidden="1">
      <c r="B190" s="38"/>
      <c r="C190" s="38"/>
      <c r="D190" s="38"/>
      <c r="E190" s="38"/>
      <c r="F190" s="39"/>
      <c r="G190" s="7"/>
      <c r="H190" s="7"/>
      <c r="L190" s="10"/>
      <c r="M190" s="8"/>
      <c r="N190" s="8"/>
      <c r="O190" s="7"/>
      <c r="P190" s="8"/>
      <c r="Q190" s="8"/>
      <c r="R190" s="8"/>
    </row>
    <row r="191" spans="2:18" hidden="1">
      <c r="B191" s="38"/>
      <c r="C191" s="38"/>
      <c r="D191" s="38"/>
      <c r="E191" s="38"/>
      <c r="F191" s="39"/>
      <c r="G191" s="7"/>
      <c r="H191" s="7"/>
      <c r="L191" s="10"/>
      <c r="M191" s="8"/>
      <c r="N191" s="8"/>
      <c r="O191" s="7"/>
      <c r="P191" s="8"/>
      <c r="Q191" s="8"/>
      <c r="R191" s="8"/>
    </row>
    <row r="192" spans="2:18" hidden="1">
      <c r="B192" s="38"/>
      <c r="C192" s="38"/>
      <c r="D192" s="38"/>
      <c r="E192" s="38"/>
      <c r="F192" s="39"/>
      <c r="G192" s="7"/>
      <c r="H192" s="7"/>
      <c r="L192" s="10"/>
      <c r="M192" s="8"/>
      <c r="N192" s="8"/>
      <c r="O192" s="7"/>
      <c r="P192" s="8"/>
      <c r="Q192" s="8"/>
      <c r="R192" s="8"/>
    </row>
    <row r="193" spans="2:18" hidden="1">
      <c r="B193" s="38"/>
      <c r="C193" s="38"/>
      <c r="D193" s="38"/>
      <c r="E193" s="38"/>
      <c r="F193" s="39"/>
      <c r="G193" s="7"/>
      <c r="H193" s="7"/>
      <c r="L193" s="10"/>
      <c r="M193" s="8"/>
      <c r="N193" s="8"/>
      <c r="O193" s="7"/>
      <c r="P193" s="8"/>
      <c r="Q193" s="8"/>
      <c r="R193" s="8"/>
    </row>
    <row r="194" spans="2:18" hidden="1">
      <c r="B194" s="38"/>
      <c r="C194" s="38"/>
      <c r="D194" s="38"/>
      <c r="E194" s="38"/>
      <c r="F194" s="39"/>
      <c r="G194" s="7"/>
      <c r="H194" s="7"/>
      <c r="L194" s="10"/>
      <c r="M194" s="8"/>
      <c r="N194" s="8"/>
      <c r="O194" s="7"/>
      <c r="P194" s="8"/>
      <c r="Q194" s="8"/>
      <c r="R194" s="8"/>
    </row>
    <row r="195" spans="2:18" hidden="1">
      <c r="B195" s="38"/>
      <c r="C195" s="38"/>
      <c r="D195" s="38"/>
      <c r="E195" s="38"/>
      <c r="F195" s="39"/>
      <c r="G195" s="7"/>
      <c r="H195" s="7"/>
      <c r="L195" s="10"/>
      <c r="M195" s="8"/>
      <c r="N195" s="8"/>
      <c r="O195" s="7"/>
      <c r="P195" s="8"/>
      <c r="Q195" s="8"/>
      <c r="R195" s="8"/>
    </row>
    <row r="196" spans="2:18" hidden="1">
      <c r="B196" s="38"/>
      <c r="C196" s="38"/>
      <c r="D196" s="38"/>
      <c r="E196" s="38"/>
      <c r="F196" s="39"/>
      <c r="G196" s="7"/>
      <c r="H196" s="7"/>
      <c r="L196" s="10"/>
      <c r="M196" s="8"/>
      <c r="N196" s="8"/>
      <c r="O196" s="7"/>
      <c r="P196" s="8"/>
      <c r="Q196" s="8"/>
      <c r="R196" s="8"/>
    </row>
    <row r="197" spans="2:18" hidden="1">
      <c r="B197" s="38"/>
      <c r="C197" s="38"/>
      <c r="D197" s="38"/>
      <c r="E197" s="38"/>
      <c r="F197" s="39"/>
      <c r="G197" s="7"/>
      <c r="H197" s="7"/>
      <c r="L197" s="10"/>
      <c r="M197" s="8"/>
      <c r="N197" s="8"/>
      <c r="O197" s="7"/>
      <c r="P197" s="8"/>
      <c r="Q197" s="8"/>
      <c r="R197" s="8"/>
    </row>
    <row r="198" spans="2:18" hidden="1">
      <c r="B198" s="38"/>
      <c r="C198" s="38"/>
      <c r="D198" s="38"/>
      <c r="E198" s="38"/>
      <c r="F198" s="39"/>
      <c r="G198" s="7"/>
      <c r="H198" s="7"/>
      <c r="L198" s="10"/>
      <c r="M198" s="8"/>
      <c r="N198" s="8"/>
      <c r="O198" s="7"/>
      <c r="P198" s="8"/>
      <c r="Q198" s="8"/>
      <c r="R198" s="8"/>
    </row>
    <row r="199" spans="2:18" hidden="1">
      <c r="B199" s="38"/>
      <c r="C199" s="38"/>
      <c r="D199" s="38"/>
      <c r="E199" s="38"/>
      <c r="F199" s="39"/>
      <c r="G199" s="7"/>
      <c r="H199" s="7"/>
      <c r="L199" s="10"/>
      <c r="M199" s="8"/>
      <c r="N199" s="8"/>
      <c r="O199" s="7"/>
      <c r="P199" s="8"/>
      <c r="Q199" s="8"/>
      <c r="R199" s="8"/>
    </row>
    <row r="200" spans="2:18" hidden="1">
      <c r="B200" s="38"/>
      <c r="C200" s="38"/>
      <c r="D200" s="38"/>
      <c r="E200" s="38"/>
      <c r="F200" s="39"/>
      <c r="G200" s="7"/>
      <c r="H200" s="7"/>
      <c r="L200" s="10"/>
      <c r="M200" s="8"/>
      <c r="N200" s="8"/>
      <c r="O200" s="7"/>
      <c r="P200" s="8"/>
      <c r="Q200" s="8"/>
      <c r="R200" s="8"/>
    </row>
    <row r="201" spans="2:18" hidden="1">
      <c r="B201" s="38"/>
      <c r="C201" s="38"/>
      <c r="D201" s="38"/>
      <c r="E201" s="38"/>
      <c r="F201" s="39"/>
      <c r="G201" s="7"/>
      <c r="H201" s="7"/>
      <c r="L201" s="10"/>
      <c r="M201" s="8"/>
      <c r="N201" s="8"/>
      <c r="O201" s="7"/>
      <c r="P201" s="8"/>
      <c r="Q201" s="8"/>
      <c r="R201" s="8"/>
    </row>
    <row r="202" spans="2:18" hidden="1">
      <c r="B202" s="38"/>
      <c r="C202" s="38"/>
      <c r="D202" s="38"/>
      <c r="E202" s="38"/>
      <c r="F202" s="39"/>
      <c r="G202" s="7"/>
      <c r="H202" s="7"/>
      <c r="L202" s="10"/>
      <c r="M202" s="8"/>
      <c r="N202" s="8"/>
      <c r="O202" s="7"/>
      <c r="P202" s="8"/>
      <c r="Q202" s="8"/>
      <c r="R202" s="8"/>
    </row>
    <row r="203" spans="2:18" hidden="1">
      <c r="B203" s="38"/>
      <c r="C203" s="38"/>
      <c r="D203" s="38"/>
      <c r="E203" s="38"/>
      <c r="F203" s="39"/>
      <c r="G203" s="7"/>
      <c r="H203" s="7"/>
      <c r="L203" s="10"/>
      <c r="M203" s="8"/>
      <c r="N203" s="8"/>
      <c r="O203" s="7"/>
      <c r="P203" s="8"/>
      <c r="Q203" s="8"/>
      <c r="R203" s="8"/>
    </row>
    <row r="204" spans="2:18" hidden="1">
      <c r="B204" s="38"/>
      <c r="C204" s="38"/>
      <c r="D204" s="38"/>
      <c r="E204" s="38"/>
      <c r="F204" s="39"/>
      <c r="G204" s="7"/>
      <c r="H204" s="7"/>
      <c r="L204" s="10"/>
      <c r="M204" s="8"/>
      <c r="N204" s="8"/>
      <c r="O204" s="7"/>
      <c r="P204" s="8"/>
      <c r="Q204" s="8"/>
      <c r="R204" s="8"/>
    </row>
    <row r="205" spans="2:18" hidden="1">
      <c r="B205" s="38"/>
      <c r="C205" s="38"/>
      <c r="D205" s="38"/>
      <c r="E205" s="38"/>
      <c r="F205" s="39"/>
      <c r="G205" s="7"/>
      <c r="H205" s="7"/>
      <c r="L205" s="10"/>
      <c r="M205" s="8"/>
      <c r="N205" s="8"/>
      <c r="O205" s="7"/>
      <c r="P205" s="8"/>
      <c r="Q205" s="8"/>
      <c r="R205" s="8"/>
    </row>
    <row r="206" spans="2:18" hidden="1">
      <c r="B206" s="38"/>
      <c r="C206" s="38"/>
      <c r="D206" s="38"/>
      <c r="E206" s="38"/>
      <c r="F206" s="39"/>
      <c r="G206" s="7"/>
      <c r="H206" s="7"/>
      <c r="L206" s="10"/>
      <c r="M206" s="8"/>
      <c r="N206" s="8"/>
      <c r="O206" s="7"/>
      <c r="P206" s="8"/>
      <c r="Q206" s="8"/>
      <c r="R206" s="8"/>
    </row>
    <row r="207" spans="2:18" hidden="1">
      <c r="B207" s="38"/>
      <c r="C207" s="38"/>
      <c r="D207" s="38"/>
      <c r="E207" s="38"/>
      <c r="F207" s="39"/>
      <c r="G207" s="7"/>
      <c r="H207" s="7"/>
      <c r="L207" s="10"/>
      <c r="M207" s="8"/>
      <c r="N207" s="8"/>
      <c r="O207" s="7"/>
      <c r="P207" s="8"/>
      <c r="Q207" s="8"/>
      <c r="R207" s="8"/>
    </row>
    <row r="208" spans="2:18" hidden="1">
      <c r="B208" s="38"/>
      <c r="C208" s="38"/>
      <c r="D208" s="38"/>
      <c r="E208" s="38"/>
      <c r="F208" s="39"/>
      <c r="G208" s="7"/>
      <c r="H208" s="7"/>
      <c r="L208" s="10"/>
      <c r="M208" s="8"/>
      <c r="N208" s="8"/>
      <c r="O208" s="7"/>
      <c r="P208" s="8"/>
      <c r="Q208" s="8"/>
      <c r="R208" s="8"/>
    </row>
    <row r="209" spans="2:18" hidden="1">
      <c r="B209" s="38"/>
      <c r="C209" s="38"/>
      <c r="D209" s="38"/>
      <c r="E209" s="38"/>
      <c r="F209" s="39"/>
      <c r="G209" s="7"/>
      <c r="H209" s="7"/>
      <c r="L209" s="10"/>
      <c r="M209" s="8"/>
      <c r="N209" s="8"/>
      <c r="O209" s="7"/>
      <c r="P209" s="8"/>
      <c r="Q209" s="8"/>
      <c r="R209" s="8"/>
    </row>
    <row r="210" spans="2:18" hidden="1">
      <c r="B210" s="38"/>
      <c r="C210" s="38"/>
      <c r="D210" s="38"/>
      <c r="E210" s="38"/>
      <c r="F210" s="39"/>
      <c r="G210" s="7"/>
      <c r="H210" s="7"/>
      <c r="L210" s="10"/>
      <c r="M210" s="8"/>
      <c r="N210" s="8"/>
      <c r="O210" s="7"/>
      <c r="P210" s="8"/>
      <c r="Q210" s="8"/>
      <c r="R210" s="8"/>
    </row>
    <row r="211" spans="2:18" hidden="1">
      <c r="B211" s="38"/>
      <c r="C211" s="38"/>
      <c r="D211" s="38"/>
      <c r="E211" s="38"/>
      <c r="F211" s="39"/>
      <c r="G211" s="7"/>
      <c r="H211" s="7"/>
      <c r="L211" s="10"/>
      <c r="M211" s="8"/>
      <c r="N211" s="8"/>
      <c r="O211" s="7"/>
      <c r="P211" s="8"/>
      <c r="Q211" s="8"/>
      <c r="R211" s="8"/>
    </row>
    <row r="212" spans="2:18" hidden="1">
      <c r="B212" s="38"/>
      <c r="C212" s="38"/>
      <c r="D212" s="38"/>
      <c r="E212" s="38"/>
      <c r="F212" s="39"/>
      <c r="G212" s="7"/>
      <c r="H212" s="7"/>
      <c r="L212" s="10"/>
      <c r="M212" s="8"/>
      <c r="N212" s="8"/>
      <c r="O212" s="7"/>
      <c r="P212" s="8"/>
      <c r="Q212" s="8"/>
      <c r="R212" s="8"/>
    </row>
    <row r="213" spans="2:18" hidden="1">
      <c r="B213" s="38"/>
      <c r="C213" s="38"/>
      <c r="D213" s="38"/>
      <c r="E213" s="38"/>
      <c r="F213" s="39"/>
      <c r="G213" s="7"/>
      <c r="H213" s="7"/>
      <c r="L213" s="10"/>
      <c r="M213" s="8"/>
      <c r="N213" s="8"/>
      <c r="O213" s="7"/>
      <c r="P213" s="8"/>
      <c r="Q213" s="8"/>
      <c r="R213" s="8"/>
    </row>
    <row r="214" spans="2:18" hidden="1">
      <c r="B214" s="38"/>
      <c r="C214" s="38"/>
      <c r="D214" s="38"/>
      <c r="E214" s="38"/>
      <c r="F214" s="39"/>
      <c r="G214" s="7"/>
      <c r="H214" s="7"/>
      <c r="L214" s="10"/>
      <c r="M214" s="8"/>
      <c r="N214" s="8"/>
      <c r="O214" s="7"/>
      <c r="P214" s="8"/>
      <c r="Q214" s="8"/>
      <c r="R214" s="8"/>
    </row>
    <row r="215" spans="2:18" hidden="1">
      <c r="B215" s="38"/>
      <c r="C215" s="38"/>
      <c r="D215" s="38"/>
      <c r="E215" s="38"/>
      <c r="F215" s="39"/>
      <c r="G215" s="7"/>
      <c r="H215" s="7"/>
      <c r="L215" s="10"/>
      <c r="M215" s="8"/>
      <c r="N215" s="8"/>
      <c r="O215" s="7"/>
      <c r="P215" s="8"/>
      <c r="Q215" s="8"/>
      <c r="R215" s="8"/>
    </row>
    <row r="216" spans="2:18" hidden="1">
      <c r="B216" s="38"/>
      <c r="C216" s="38"/>
      <c r="D216" s="38"/>
      <c r="E216" s="38"/>
      <c r="F216" s="39"/>
      <c r="G216" s="7"/>
      <c r="H216" s="7"/>
      <c r="L216" s="10"/>
      <c r="M216" s="8"/>
      <c r="N216" s="8"/>
      <c r="O216" s="7"/>
      <c r="P216" s="8"/>
      <c r="Q216" s="8"/>
      <c r="R216" s="8"/>
    </row>
    <row r="217" spans="2:18" hidden="1">
      <c r="B217" s="38"/>
      <c r="C217" s="38"/>
      <c r="D217" s="38"/>
      <c r="E217" s="38"/>
      <c r="F217" s="39"/>
      <c r="G217" s="7"/>
      <c r="H217" s="7"/>
      <c r="L217" s="10"/>
      <c r="M217" s="8"/>
      <c r="N217" s="8"/>
      <c r="O217" s="7"/>
      <c r="P217" s="8"/>
      <c r="Q217" s="8"/>
      <c r="R217" s="8"/>
    </row>
    <row r="218" spans="2:18" hidden="1">
      <c r="B218" s="38"/>
      <c r="C218" s="38"/>
      <c r="D218" s="38"/>
      <c r="E218" s="38"/>
      <c r="F218" s="39"/>
      <c r="G218" s="7"/>
      <c r="H218" s="7"/>
      <c r="L218" s="10"/>
      <c r="M218" s="8"/>
      <c r="N218" s="8"/>
      <c r="O218" s="7"/>
      <c r="P218" s="8"/>
      <c r="Q218" s="8"/>
      <c r="R218" s="8"/>
    </row>
    <row r="219" spans="2:18" hidden="1">
      <c r="B219" s="38"/>
      <c r="C219" s="38"/>
      <c r="D219" s="38"/>
      <c r="E219" s="38"/>
      <c r="F219" s="39"/>
      <c r="G219" s="7"/>
      <c r="H219" s="7"/>
      <c r="L219" s="10"/>
      <c r="M219" s="8"/>
      <c r="N219" s="8"/>
      <c r="O219" s="7"/>
      <c r="P219" s="8"/>
      <c r="Q219" s="8"/>
      <c r="R219" s="8"/>
    </row>
    <row r="220" spans="2:18" hidden="1">
      <c r="B220" s="38"/>
      <c r="C220" s="38"/>
      <c r="D220" s="38"/>
      <c r="E220" s="38"/>
      <c r="F220" s="39"/>
      <c r="G220" s="7"/>
      <c r="H220" s="7"/>
      <c r="L220" s="10"/>
      <c r="M220" s="8"/>
      <c r="N220" s="8"/>
      <c r="O220" s="7"/>
      <c r="P220" s="8"/>
      <c r="Q220" s="8"/>
      <c r="R220" s="8"/>
    </row>
    <row r="221" spans="2:18" hidden="1">
      <c r="B221" s="38"/>
      <c r="C221" s="38"/>
      <c r="D221" s="38"/>
      <c r="E221" s="38"/>
      <c r="F221" s="39"/>
      <c r="G221" s="7"/>
      <c r="H221" s="7"/>
      <c r="L221" s="10"/>
      <c r="M221" s="8"/>
      <c r="N221" s="8"/>
      <c r="O221" s="7"/>
      <c r="P221" s="8"/>
      <c r="Q221" s="8"/>
      <c r="R221" s="8"/>
    </row>
    <row r="222" spans="2:18" hidden="1">
      <c r="B222" s="38"/>
      <c r="C222" s="38"/>
      <c r="D222" s="38"/>
      <c r="E222" s="38"/>
      <c r="F222" s="39"/>
      <c r="G222" s="7"/>
      <c r="H222" s="7"/>
      <c r="L222" s="10"/>
      <c r="M222" s="8"/>
      <c r="N222" s="8"/>
      <c r="O222" s="7"/>
      <c r="P222" s="8"/>
      <c r="Q222" s="8"/>
      <c r="R222" s="8"/>
    </row>
    <row r="223" spans="2:18" hidden="1">
      <c r="B223" s="38"/>
      <c r="C223" s="38"/>
      <c r="D223" s="38"/>
      <c r="E223" s="38"/>
      <c r="F223" s="39"/>
      <c r="G223" s="7"/>
      <c r="H223" s="7"/>
      <c r="L223" s="10"/>
      <c r="M223" s="8"/>
      <c r="N223" s="8"/>
      <c r="O223" s="7"/>
      <c r="P223" s="8"/>
      <c r="Q223" s="8"/>
      <c r="R223" s="8"/>
    </row>
    <row r="224" spans="2:18" hidden="1">
      <c r="B224" s="38"/>
      <c r="C224" s="38"/>
      <c r="D224" s="38"/>
      <c r="E224" s="38"/>
      <c r="F224" s="39"/>
      <c r="G224" s="7"/>
      <c r="H224" s="7"/>
      <c r="L224" s="10"/>
      <c r="M224" s="8"/>
      <c r="N224" s="8"/>
      <c r="O224" s="7"/>
      <c r="P224" s="8"/>
      <c r="Q224" s="8"/>
      <c r="R224" s="8"/>
    </row>
    <row r="225" spans="2:18" hidden="1">
      <c r="B225" s="38"/>
      <c r="C225" s="38"/>
      <c r="D225" s="38"/>
      <c r="E225" s="38"/>
      <c r="F225" s="39"/>
      <c r="G225" s="7"/>
      <c r="H225" s="7"/>
      <c r="L225" s="10"/>
      <c r="M225" s="8"/>
      <c r="N225" s="8"/>
      <c r="O225" s="7"/>
      <c r="P225" s="8"/>
      <c r="Q225" s="8"/>
      <c r="R225" s="8"/>
    </row>
    <row r="226" spans="2:18" hidden="1">
      <c r="B226" s="38"/>
      <c r="C226" s="38"/>
      <c r="D226" s="38"/>
      <c r="E226" s="38"/>
      <c r="F226" s="39"/>
      <c r="G226" s="7"/>
      <c r="H226" s="7"/>
      <c r="L226" s="10"/>
      <c r="M226" s="8"/>
      <c r="N226" s="8"/>
      <c r="O226" s="7"/>
      <c r="P226" s="8"/>
      <c r="Q226" s="8"/>
      <c r="R226" s="8"/>
    </row>
    <row r="227" spans="2:18" hidden="1">
      <c r="B227" s="38"/>
      <c r="C227" s="38"/>
      <c r="D227" s="38"/>
      <c r="E227" s="38"/>
      <c r="F227" s="39"/>
      <c r="G227" s="7"/>
      <c r="H227" s="7"/>
      <c r="L227" s="10"/>
      <c r="M227" s="8"/>
      <c r="N227" s="8"/>
      <c r="O227" s="7"/>
      <c r="P227" s="8"/>
      <c r="Q227" s="8"/>
      <c r="R227" s="8"/>
    </row>
    <row r="228" spans="2:18" hidden="1">
      <c r="B228" s="38"/>
      <c r="C228" s="38"/>
      <c r="D228" s="38"/>
      <c r="E228" s="38"/>
      <c r="F228" s="39"/>
      <c r="G228" s="7"/>
      <c r="H228" s="7"/>
      <c r="L228" s="10"/>
      <c r="M228" s="8"/>
      <c r="N228" s="8"/>
      <c r="O228" s="7"/>
      <c r="P228" s="8"/>
      <c r="Q228" s="8"/>
      <c r="R228" s="8"/>
    </row>
    <row r="229" spans="2:18" hidden="1">
      <c r="B229" s="38"/>
      <c r="C229" s="38"/>
      <c r="D229" s="38"/>
      <c r="E229" s="38"/>
      <c r="F229" s="39"/>
      <c r="G229" s="7"/>
      <c r="H229" s="7"/>
      <c r="L229" s="10"/>
      <c r="M229" s="8"/>
      <c r="N229" s="8"/>
      <c r="O229" s="7"/>
      <c r="P229" s="8"/>
      <c r="Q229" s="8"/>
      <c r="R229" s="8"/>
    </row>
    <row r="230" spans="2:18" hidden="1">
      <c r="B230" s="38"/>
      <c r="C230" s="38"/>
      <c r="D230" s="38"/>
      <c r="E230" s="38"/>
      <c r="F230" s="39"/>
      <c r="G230" s="7"/>
      <c r="H230" s="7"/>
      <c r="L230" s="10"/>
      <c r="M230" s="8"/>
      <c r="N230" s="8"/>
      <c r="O230" s="7"/>
      <c r="P230" s="8"/>
      <c r="Q230" s="8"/>
      <c r="R230" s="8"/>
    </row>
    <row r="231" spans="2:18" hidden="1">
      <c r="B231" s="38"/>
      <c r="C231" s="38"/>
      <c r="D231" s="38"/>
      <c r="E231" s="38"/>
      <c r="F231" s="39"/>
      <c r="G231" s="7"/>
      <c r="H231" s="7"/>
      <c r="L231" s="10"/>
      <c r="M231" s="8"/>
      <c r="N231" s="8"/>
      <c r="O231" s="7"/>
      <c r="P231" s="8"/>
      <c r="Q231" s="8"/>
      <c r="R231" s="8"/>
    </row>
    <row r="232" spans="2:18" hidden="1">
      <c r="B232" s="38"/>
      <c r="C232" s="38"/>
      <c r="D232" s="38"/>
      <c r="E232" s="38"/>
      <c r="F232" s="39"/>
      <c r="G232" s="7"/>
      <c r="H232" s="7"/>
      <c r="L232" s="10"/>
      <c r="M232" s="8"/>
      <c r="N232" s="8"/>
      <c r="O232" s="7"/>
      <c r="P232" s="8"/>
      <c r="Q232" s="8"/>
      <c r="R232" s="8"/>
    </row>
    <row r="233" spans="2:18" hidden="1">
      <c r="B233" s="38"/>
      <c r="C233" s="38"/>
      <c r="D233" s="38"/>
      <c r="E233" s="38"/>
      <c r="F233" s="39"/>
      <c r="G233" s="7"/>
      <c r="H233" s="7"/>
      <c r="L233" s="10"/>
      <c r="M233" s="8"/>
      <c r="N233" s="8"/>
      <c r="O233" s="7"/>
      <c r="P233" s="8"/>
      <c r="Q233" s="8"/>
      <c r="R233" s="8"/>
    </row>
    <row r="234" spans="2:18" hidden="1">
      <c r="B234" s="38"/>
      <c r="C234" s="38"/>
      <c r="D234" s="38"/>
      <c r="E234" s="38"/>
      <c r="F234" s="39"/>
      <c r="G234" s="7"/>
      <c r="H234" s="7"/>
      <c r="L234" s="10"/>
      <c r="M234" s="8"/>
      <c r="N234" s="8"/>
      <c r="O234" s="7"/>
      <c r="P234" s="8"/>
      <c r="Q234" s="8"/>
      <c r="R234" s="8"/>
    </row>
    <row r="235" spans="2:18" hidden="1">
      <c r="B235" s="38"/>
      <c r="C235" s="38"/>
      <c r="D235" s="38"/>
      <c r="E235" s="38"/>
      <c r="F235" s="39"/>
      <c r="G235" s="7"/>
      <c r="H235" s="7"/>
      <c r="L235" s="10"/>
      <c r="M235" s="8"/>
      <c r="N235" s="8"/>
      <c r="O235" s="7"/>
      <c r="P235" s="8"/>
      <c r="Q235" s="8"/>
      <c r="R235" s="8"/>
    </row>
    <row r="236" spans="2:18" hidden="1">
      <c r="B236" s="38"/>
      <c r="C236" s="38"/>
      <c r="D236" s="38"/>
      <c r="E236" s="38"/>
      <c r="F236" s="39"/>
      <c r="G236" s="7"/>
      <c r="H236" s="7"/>
      <c r="L236" s="10"/>
      <c r="M236" s="8"/>
      <c r="N236" s="8"/>
      <c r="O236" s="7"/>
      <c r="P236" s="8"/>
      <c r="Q236" s="8"/>
      <c r="R236" s="8"/>
    </row>
    <row r="237" spans="2:18" hidden="1">
      <c r="B237" s="38"/>
      <c r="C237" s="38"/>
      <c r="D237" s="38"/>
      <c r="E237" s="38"/>
      <c r="F237" s="39"/>
      <c r="G237" s="7"/>
      <c r="H237" s="7"/>
      <c r="L237" s="10"/>
      <c r="M237" s="8"/>
      <c r="N237" s="8"/>
      <c r="O237" s="7"/>
      <c r="P237" s="8"/>
      <c r="Q237" s="8"/>
      <c r="R237" s="8"/>
    </row>
    <row r="238" spans="2:18" hidden="1">
      <c r="B238" s="38"/>
      <c r="C238" s="38"/>
      <c r="D238" s="38"/>
      <c r="E238" s="38"/>
      <c r="F238" s="39"/>
      <c r="G238" s="7"/>
      <c r="H238" s="7"/>
      <c r="L238" s="10"/>
      <c r="M238" s="8"/>
      <c r="N238" s="8"/>
      <c r="O238" s="7"/>
      <c r="P238" s="8"/>
      <c r="Q238" s="8"/>
      <c r="R238" s="8"/>
    </row>
    <row r="239" spans="2:18" hidden="1">
      <c r="B239" s="38"/>
      <c r="C239" s="38"/>
      <c r="D239" s="38"/>
      <c r="E239" s="38"/>
      <c r="F239" s="39"/>
      <c r="G239" s="7"/>
      <c r="H239" s="7"/>
      <c r="L239" s="10"/>
      <c r="M239" s="8"/>
      <c r="N239" s="8"/>
      <c r="O239" s="7"/>
      <c r="P239" s="8"/>
      <c r="Q239" s="8"/>
      <c r="R239" s="8"/>
    </row>
    <row r="240" spans="2:18" hidden="1">
      <c r="B240" s="38"/>
      <c r="C240" s="38"/>
      <c r="D240" s="38"/>
      <c r="E240" s="38"/>
      <c r="F240" s="39"/>
      <c r="G240" s="7"/>
      <c r="H240" s="7"/>
      <c r="L240" s="10"/>
      <c r="M240" s="8"/>
      <c r="N240" s="8"/>
      <c r="O240" s="7"/>
      <c r="P240" s="8"/>
      <c r="Q240" s="8"/>
      <c r="R240" s="8"/>
    </row>
    <row r="241" spans="2:18" hidden="1">
      <c r="B241" s="38"/>
      <c r="C241" s="38"/>
      <c r="D241" s="38"/>
      <c r="E241" s="38"/>
      <c r="F241" s="39"/>
      <c r="G241" s="7"/>
      <c r="H241" s="7"/>
      <c r="L241" s="10"/>
      <c r="M241" s="8"/>
      <c r="N241" s="8"/>
      <c r="O241" s="7"/>
      <c r="P241" s="8"/>
      <c r="Q241" s="8"/>
      <c r="R241" s="8"/>
    </row>
    <row r="242" spans="2:18" hidden="1">
      <c r="B242" s="38"/>
      <c r="C242" s="38"/>
      <c r="D242" s="38"/>
      <c r="E242" s="38"/>
      <c r="F242" s="39"/>
      <c r="G242" s="7"/>
      <c r="H242" s="7"/>
      <c r="L242" s="10"/>
      <c r="M242" s="8"/>
      <c r="N242" s="8"/>
      <c r="O242" s="7"/>
      <c r="P242" s="8"/>
      <c r="Q242" s="8"/>
      <c r="R242" s="8"/>
    </row>
    <row r="243" spans="2:18" hidden="1">
      <c r="B243" s="38"/>
      <c r="C243" s="38"/>
      <c r="D243" s="38"/>
      <c r="E243" s="38"/>
      <c r="F243" s="39"/>
      <c r="G243" s="7"/>
      <c r="H243" s="7"/>
      <c r="L243" s="10"/>
      <c r="M243" s="8"/>
      <c r="N243" s="8"/>
      <c r="O243" s="7"/>
      <c r="P243" s="8"/>
      <c r="Q243" s="8"/>
      <c r="R243" s="8"/>
    </row>
    <row r="244" spans="2:18" hidden="1">
      <c r="B244" s="38"/>
      <c r="C244" s="38"/>
      <c r="D244" s="38"/>
      <c r="E244" s="38"/>
      <c r="F244" s="39"/>
      <c r="G244" s="7"/>
      <c r="H244" s="7"/>
      <c r="L244" s="10"/>
      <c r="M244" s="8"/>
      <c r="N244" s="8"/>
      <c r="O244" s="7"/>
      <c r="P244" s="8"/>
      <c r="Q244" s="8"/>
      <c r="R244" s="8"/>
    </row>
    <row r="245" spans="2:18" hidden="1">
      <c r="B245" s="38"/>
      <c r="C245" s="38"/>
      <c r="D245" s="38"/>
      <c r="E245" s="38"/>
      <c r="F245" s="39"/>
      <c r="G245" s="7"/>
      <c r="H245" s="7"/>
      <c r="L245" s="10"/>
      <c r="M245" s="8"/>
      <c r="N245" s="8"/>
      <c r="O245" s="7"/>
      <c r="P245" s="8"/>
      <c r="Q245" s="8"/>
      <c r="R245" s="8"/>
    </row>
    <row r="246" spans="2:18" hidden="1">
      <c r="B246" s="38"/>
      <c r="C246" s="38"/>
      <c r="D246" s="38"/>
      <c r="E246" s="38"/>
      <c r="F246" s="39"/>
      <c r="G246" s="7"/>
      <c r="H246" s="7"/>
      <c r="L246" s="10"/>
      <c r="M246" s="8"/>
      <c r="N246" s="8"/>
      <c r="O246" s="7"/>
      <c r="P246" s="8"/>
      <c r="Q246" s="8"/>
      <c r="R246" s="8"/>
    </row>
    <row r="247" spans="2:18" hidden="1">
      <c r="B247" s="38"/>
      <c r="C247" s="38"/>
      <c r="D247" s="38"/>
      <c r="E247" s="38"/>
      <c r="F247" s="39"/>
      <c r="G247" s="7"/>
      <c r="H247" s="7"/>
      <c r="L247" s="10"/>
      <c r="M247" s="8"/>
      <c r="N247" s="8"/>
      <c r="O247" s="7"/>
      <c r="P247" s="8"/>
      <c r="Q247" s="8"/>
      <c r="R247" s="8"/>
    </row>
    <row r="248" spans="2:18" hidden="1">
      <c r="B248" s="38"/>
      <c r="C248" s="38"/>
      <c r="D248" s="38"/>
      <c r="E248" s="38"/>
      <c r="F248" s="39"/>
      <c r="G248" s="7"/>
      <c r="H248" s="7"/>
      <c r="L248" s="10"/>
      <c r="M248" s="8"/>
      <c r="N248" s="8"/>
      <c r="O248" s="7"/>
      <c r="P248" s="8"/>
      <c r="Q248" s="8"/>
      <c r="R248" s="8"/>
    </row>
    <row r="249" spans="2:18" hidden="1">
      <c r="B249" s="38"/>
      <c r="C249" s="38"/>
      <c r="D249" s="38"/>
      <c r="E249" s="38"/>
      <c r="F249" s="39"/>
      <c r="G249" s="7"/>
      <c r="H249" s="7"/>
      <c r="L249" s="10"/>
      <c r="M249" s="8"/>
      <c r="N249" s="8"/>
      <c r="O249" s="7"/>
      <c r="P249" s="8"/>
      <c r="Q249" s="8"/>
      <c r="R249" s="8"/>
    </row>
    <row r="250" spans="2:18" hidden="1">
      <c r="B250" s="38"/>
      <c r="C250" s="38"/>
      <c r="D250" s="38"/>
      <c r="E250" s="38"/>
      <c r="F250" s="39"/>
      <c r="G250" s="7"/>
      <c r="H250" s="7"/>
      <c r="L250" s="10"/>
      <c r="M250" s="8"/>
      <c r="N250" s="8"/>
      <c r="O250" s="7"/>
      <c r="P250" s="8"/>
      <c r="Q250" s="8"/>
      <c r="R250" s="8"/>
    </row>
    <row r="251" spans="2:18" hidden="1">
      <c r="B251" s="38"/>
      <c r="C251" s="38"/>
      <c r="D251" s="38"/>
      <c r="E251" s="38"/>
      <c r="F251" s="39"/>
      <c r="G251" s="7"/>
      <c r="H251" s="7"/>
      <c r="L251" s="10"/>
      <c r="M251" s="8"/>
      <c r="N251" s="8"/>
      <c r="O251" s="7"/>
      <c r="P251" s="8"/>
      <c r="Q251" s="8"/>
      <c r="R251" s="8"/>
    </row>
    <row r="252" spans="2:18" hidden="1">
      <c r="B252" s="38"/>
      <c r="C252" s="38"/>
      <c r="D252" s="38"/>
      <c r="E252" s="38"/>
      <c r="F252" s="39"/>
      <c r="G252" s="7"/>
      <c r="H252" s="7"/>
      <c r="L252" s="10"/>
      <c r="M252" s="8"/>
      <c r="N252" s="8"/>
      <c r="O252" s="7"/>
      <c r="P252" s="8"/>
      <c r="Q252" s="8"/>
      <c r="R252" s="8"/>
    </row>
    <row r="253" spans="2:18" hidden="1">
      <c r="B253" s="38"/>
      <c r="C253" s="38"/>
      <c r="D253" s="38"/>
      <c r="E253" s="38"/>
      <c r="F253" s="39"/>
      <c r="G253" s="7"/>
      <c r="H253" s="7"/>
      <c r="L253" s="10"/>
      <c r="M253" s="8"/>
      <c r="N253" s="8"/>
      <c r="O253" s="7"/>
      <c r="P253" s="8"/>
      <c r="Q253" s="8"/>
      <c r="R253" s="8"/>
    </row>
    <row r="254" spans="2:18" hidden="1">
      <c r="B254" s="38"/>
      <c r="C254" s="38"/>
      <c r="D254" s="38"/>
      <c r="E254" s="38"/>
      <c r="F254" s="39"/>
      <c r="G254" s="7"/>
      <c r="H254" s="7"/>
      <c r="L254" s="10"/>
      <c r="M254" s="8"/>
      <c r="N254" s="8"/>
      <c r="O254" s="7"/>
      <c r="P254" s="8"/>
      <c r="Q254" s="8"/>
      <c r="R254" s="8"/>
    </row>
    <row r="255" spans="2:18" hidden="1">
      <c r="B255" s="38"/>
      <c r="C255" s="38"/>
      <c r="D255" s="38"/>
      <c r="E255" s="38"/>
      <c r="F255" s="39"/>
      <c r="G255" s="7"/>
      <c r="H255" s="7"/>
      <c r="L255" s="10"/>
      <c r="M255" s="8"/>
      <c r="N255" s="8"/>
      <c r="O255" s="7"/>
      <c r="P255" s="8"/>
      <c r="Q255" s="8"/>
      <c r="R255" s="8"/>
    </row>
    <row r="256" spans="2:18" hidden="1">
      <c r="B256" s="38"/>
      <c r="C256" s="38"/>
      <c r="D256" s="38"/>
      <c r="E256" s="38"/>
      <c r="F256" s="39"/>
      <c r="G256" s="7"/>
      <c r="H256" s="7"/>
      <c r="L256" s="10"/>
      <c r="M256" s="8"/>
      <c r="N256" s="8"/>
      <c r="O256" s="7"/>
      <c r="P256" s="8"/>
      <c r="Q256" s="8"/>
      <c r="R256" s="8"/>
    </row>
    <row r="257" spans="2:18" hidden="1">
      <c r="B257" s="38"/>
      <c r="C257" s="38"/>
      <c r="D257" s="38"/>
      <c r="E257" s="38"/>
      <c r="F257" s="39"/>
      <c r="G257" s="7"/>
      <c r="H257" s="7"/>
      <c r="L257" s="10"/>
      <c r="M257" s="8"/>
      <c r="N257" s="8"/>
      <c r="O257" s="7"/>
      <c r="P257" s="8"/>
      <c r="Q257" s="8"/>
      <c r="R257" s="8"/>
    </row>
    <row r="258" spans="2:18" hidden="1">
      <c r="B258" s="38"/>
      <c r="C258" s="38"/>
      <c r="D258" s="38"/>
      <c r="E258" s="38"/>
      <c r="F258" s="39"/>
      <c r="G258" s="7"/>
      <c r="H258" s="7"/>
      <c r="L258" s="10"/>
      <c r="M258" s="8"/>
      <c r="N258" s="8"/>
      <c r="O258" s="7"/>
      <c r="P258" s="8"/>
      <c r="Q258" s="8"/>
      <c r="R258" s="8"/>
    </row>
    <row r="259" spans="2:18" hidden="1">
      <c r="B259" s="38"/>
      <c r="C259" s="38"/>
      <c r="D259" s="38"/>
      <c r="E259" s="38"/>
      <c r="F259" s="39"/>
      <c r="G259" s="7"/>
      <c r="H259" s="7"/>
      <c r="L259" s="10"/>
      <c r="M259" s="8"/>
      <c r="N259" s="8"/>
      <c r="O259" s="7"/>
      <c r="P259" s="8"/>
      <c r="Q259" s="8"/>
      <c r="R259" s="8"/>
    </row>
    <row r="260" spans="2:18" hidden="1">
      <c r="B260" s="38"/>
      <c r="C260" s="38"/>
      <c r="D260" s="38"/>
      <c r="E260" s="38"/>
      <c r="F260" s="39"/>
      <c r="G260" s="7"/>
      <c r="H260" s="7"/>
      <c r="L260" s="10"/>
      <c r="M260" s="8"/>
      <c r="N260" s="8"/>
      <c r="O260" s="7"/>
      <c r="P260" s="8"/>
      <c r="Q260" s="8"/>
      <c r="R260" s="8"/>
    </row>
    <row r="261" spans="2:18" hidden="1">
      <c r="B261" s="38"/>
      <c r="C261" s="38"/>
      <c r="D261" s="38"/>
      <c r="E261" s="38"/>
      <c r="F261" s="39"/>
      <c r="G261" s="7"/>
      <c r="H261" s="7"/>
      <c r="L261" s="10"/>
      <c r="M261" s="8"/>
      <c r="N261" s="8"/>
      <c r="O261" s="7"/>
      <c r="P261" s="8"/>
      <c r="Q261" s="8"/>
      <c r="R261" s="8"/>
    </row>
    <row r="262" spans="2:18" hidden="1">
      <c r="B262" s="38"/>
      <c r="C262" s="38"/>
      <c r="D262" s="38"/>
      <c r="E262" s="38"/>
      <c r="F262" s="39"/>
      <c r="G262" s="7"/>
      <c r="H262" s="7"/>
      <c r="L262" s="10"/>
      <c r="M262" s="8"/>
      <c r="N262" s="8"/>
      <c r="O262" s="7"/>
      <c r="P262" s="8"/>
      <c r="Q262" s="8"/>
      <c r="R262" s="8"/>
    </row>
    <row r="263" spans="2:18" hidden="1">
      <c r="B263" s="38"/>
      <c r="C263" s="38"/>
      <c r="D263" s="38"/>
      <c r="E263" s="38"/>
      <c r="F263" s="39"/>
      <c r="G263" s="7"/>
      <c r="H263" s="7"/>
      <c r="L263" s="10"/>
      <c r="M263" s="8"/>
      <c r="N263" s="8"/>
      <c r="O263" s="7"/>
      <c r="P263" s="8"/>
      <c r="Q263" s="8"/>
      <c r="R263" s="8"/>
    </row>
    <row r="264" spans="2:18" hidden="1">
      <c r="B264" s="38"/>
      <c r="C264" s="38"/>
      <c r="D264" s="38"/>
      <c r="E264" s="38"/>
      <c r="F264" s="39"/>
      <c r="G264" s="7"/>
      <c r="H264" s="7"/>
      <c r="L264" s="10"/>
      <c r="M264" s="8"/>
      <c r="N264" s="8"/>
      <c r="O264" s="7"/>
      <c r="P264" s="8"/>
      <c r="Q264" s="8"/>
      <c r="R264" s="8"/>
    </row>
    <row r="265" spans="2:18" hidden="1">
      <c r="B265" s="38"/>
      <c r="C265" s="38"/>
      <c r="D265" s="38"/>
      <c r="E265" s="38"/>
      <c r="F265" s="39"/>
      <c r="G265" s="7"/>
      <c r="H265" s="7"/>
      <c r="L265" s="10"/>
      <c r="M265" s="8"/>
      <c r="N265" s="8"/>
      <c r="O265" s="7"/>
      <c r="P265" s="8"/>
      <c r="Q265" s="8"/>
      <c r="R265" s="8"/>
    </row>
    <row r="266" spans="2:18" hidden="1">
      <c r="B266" s="38"/>
      <c r="C266" s="38"/>
      <c r="D266" s="38"/>
      <c r="E266" s="38"/>
      <c r="F266" s="39"/>
      <c r="G266" s="7"/>
      <c r="H266" s="7"/>
      <c r="L266" s="10"/>
      <c r="M266" s="8"/>
      <c r="N266" s="8"/>
      <c r="O266" s="7"/>
      <c r="P266" s="8"/>
      <c r="Q266" s="8"/>
      <c r="R266" s="8"/>
    </row>
    <row r="267" spans="2:18" hidden="1">
      <c r="B267" s="38"/>
      <c r="C267" s="38"/>
      <c r="D267" s="38"/>
      <c r="E267" s="38"/>
      <c r="F267" s="39"/>
      <c r="G267" s="7"/>
      <c r="H267" s="7"/>
      <c r="L267" s="10"/>
      <c r="M267" s="8"/>
      <c r="N267" s="8"/>
      <c r="O267" s="7"/>
      <c r="P267" s="8"/>
      <c r="Q267" s="8"/>
      <c r="R267" s="8"/>
    </row>
    <row r="268" spans="2:18" hidden="1">
      <c r="B268" s="38"/>
      <c r="C268" s="38"/>
      <c r="D268" s="38"/>
      <c r="E268" s="38"/>
      <c r="F268" s="39"/>
      <c r="G268" s="7"/>
      <c r="H268" s="7"/>
      <c r="L268" s="10"/>
      <c r="M268" s="8"/>
      <c r="N268" s="8"/>
      <c r="O268" s="7"/>
      <c r="P268" s="8"/>
      <c r="Q268" s="8"/>
      <c r="R268" s="8"/>
    </row>
    <row r="269" spans="2:18" hidden="1">
      <c r="B269" s="38"/>
      <c r="C269" s="38"/>
      <c r="D269" s="38"/>
      <c r="E269" s="38"/>
      <c r="F269" s="39"/>
      <c r="G269" s="7"/>
      <c r="H269" s="7"/>
      <c r="L269" s="10"/>
      <c r="M269" s="8"/>
      <c r="N269" s="8"/>
      <c r="O269" s="7"/>
      <c r="P269" s="8"/>
      <c r="Q269" s="8"/>
      <c r="R269" s="8"/>
    </row>
    <row r="270" spans="2:18" hidden="1">
      <c r="B270" s="38"/>
      <c r="C270" s="38"/>
      <c r="D270" s="38"/>
      <c r="E270" s="38"/>
      <c r="F270" s="39"/>
      <c r="G270" s="7"/>
      <c r="H270" s="7"/>
      <c r="L270" s="10"/>
      <c r="M270" s="8"/>
      <c r="N270" s="8"/>
      <c r="O270" s="7"/>
      <c r="P270" s="8"/>
      <c r="Q270" s="8"/>
      <c r="R270" s="8"/>
    </row>
    <row r="271" spans="2:18" hidden="1">
      <c r="B271" s="38"/>
      <c r="C271" s="38"/>
      <c r="D271" s="38"/>
      <c r="E271" s="38"/>
      <c r="F271" s="39"/>
      <c r="G271" s="7"/>
      <c r="H271" s="7"/>
      <c r="L271" s="10"/>
      <c r="M271" s="8"/>
      <c r="N271" s="8"/>
      <c r="O271" s="7"/>
      <c r="P271" s="8"/>
      <c r="Q271" s="8"/>
      <c r="R271" s="8"/>
    </row>
    <row r="272" spans="2:18" hidden="1">
      <c r="B272" s="38"/>
      <c r="C272" s="38"/>
      <c r="D272" s="38"/>
      <c r="E272" s="38"/>
      <c r="F272" s="39"/>
      <c r="G272" s="7"/>
      <c r="H272" s="7"/>
      <c r="L272" s="10"/>
      <c r="M272" s="8"/>
      <c r="N272" s="8"/>
      <c r="O272" s="7"/>
      <c r="P272" s="8"/>
      <c r="Q272" s="8"/>
      <c r="R272" s="8"/>
    </row>
    <row r="273" spans="2:18" hidden="1">
      <c r="B273" s="38"/>
      <c r="C273" s="38"/>
      <c r="D273" s="38"/>
      <c r="E273" s="38"/>
      <c r="F273" s="39"/>
      <c r="G273" s="7"/>
      <c r="H273" s="7"/>
      <c r="L273" s="10"/>
      <c r="M273" s="8"/>
      <c r="N273" s="8"/>
      <c r="O273" s="7"/>
      <c r="P273" s="8"/>
      <c r="Q273" s="8"/>
      <c r="R273" s="8"/>
    </row>
    <row r="274" spans="2:18" hidden="1">
      <c r="B274" s="38"/>
      <c r="C274" s="38"/>
      <c r="D274" s="38"/>
      <c r="E274" s="38"/>
      <c r="F274" s="39"/>
      <c r="G274" s="7"/>
      <c r="H274" s="7"/>
      <c r="L274" s="10"/>
      <c r="M274" s="8"/>
      <c r="N274" s="8"/>
      <c r="O274" s="7"/>
      <c r="P274" s="8"/>
      <c r="Q274" s="8"/>
      <c r="R274" s="8"/>
    </row>
    <row r="275" spans="2:18" hidden="1">
      <c r="B275" s="38"/>
      <c r="C275" s="38"/>
      <c r="D275" s="38"/>
      <c r="E275" s="38"/>
      <c r="F275" s="39"/>
      <c r="G275" s="7"/>
      <c r="H275" s="7"/>
      <c r="L275" s="10"/>
      <c r="M275" s="8"/>
      <c r="N275" s="8"/>
      <c r="O275" s="7"/>
      <c r="P275" s="8"/>
      <c r="Q275" s="8"/>
      <c r="R275" s="8"/>
    </row>
    <row r="276" spans="2:18" hidden="1">
      <c r="B276" s="38"/>
      <c r="C276" s="38"/>
      <c r="D276" s="38"/>
      <c r="E276" s="38"/>
      <c r="F276" s="39"/>
      <c r="G276" s="7"/>
      <c r="H276" s="7"/>
      <c r="L276" s="10"/>
      <c r="M276" s="8"/>
      <c r="N276" s="8"/>
      <c r="O276" s="7"/>
      <c r="P276" s="8"/>
      <c r="Q276" s="8"/>
      <c r="R276" s="8"/>
    </row>
    <row r="277" spans="2:18" hidden="1">
      <c r="B277" s="38"/>
      <c r="C277" s="38"/>
      <c r="D277" s="38"/>
      <c r="E277" s="38"/>
      <c r="F277" s="39"/>
      <c r="G277" s="7"/>
      <c r="H277" s="7"/>
      <c r="L277" s="10"/>
      <c r="M277" s="8"/>
      <c r="N277" s="8"/>
      <c r="O277" s="7"/>
      <c r="P277" s="8"/>
      <c r="Q277" s="8"/>
      <c r="R277" s="8"/>
    </row>
    <row r="278" spans="2:18" hidden="1">
      <c r="B278" s="38"/>
      <c r="C278" s="38"/>
      <c r="D278" s="38"/>
      <c r="E278" s="38"/>
      <c r="F278" s="39"/>
      <c r="G278" s="7"/>
      <c r="H278" s="7"/>
      <c r="L278" s="10"/>
      <c r="M278" s="8"/>
      <c r="N278" s="8"/>
      <c r="O278" s="7"/>
      <c r="P278" s="8"/>
      <c r="Q278" s="8"/>
      <c r="R278" s="8"/>
    </row>
    <row r="279" spans="2:18" hidden="1">
      <c r="B279" s="38"/>
      <c r="C279" s="38"/>
      <c r="D279" s="38"/>
      <c r="E279" s="38"/>
      <c r="F279" s="39"/>
      <c r="G279" s="7"/>
      <c r="H279" s="7"/>
      <c r="L279" s="10"/>
      <c r="M279" s="8"/>
      <c r="N279" s="8"/>
      <c r="O279" s="7"/>
      <c r="P279" s="8"/>
      <c r="Q279" s="8"/>
      <c r="R279" s="8"/>
    </row>
    <row r="280" spans="2:18" hidden="1">
      <c r="B280" s="38"/>
      <c r="C280" s="38"/>
      <c r="D280" s="38"/>
      <c r="E280" s="38"/>
      <c r="F280" s="39"/>
      <c r="G280" s="7"/>
      <c r="H280" s="7"/>
      <c r="L280" s="10"/>
      <c r="M280" s="8"/>
      <c r="N280" s="8"/>
      <c r="O280" s="7"/>
      <c r="P280" s="8"/>
      <c r="Q280" s="8"/>
      <c r="R280" s="8"/>
    </row>
    <row r="281" spans="2:18" hidden="1">
      <c r="B281" s="38"/>
      <c r="C281" s="38"/>
      <c r="D281" s="38"/>
      <c r="E281" s="38"/>
      <c r="F281" s="39"/>
      <c r="G281" s="7"/>
      <c r="H281" s="7"/>
      <c r="L281" s="10"/>
      <c r="M281" s="8"/>
      <c r="N281" s="8"/>
      <c r="O281" s="7"/>
      <c r="P281" s="8"/>
      <c r="Q281" s="8"/>
      <c r="R281" s="8"/>
    </row>
    <row r="282" spans="2:18" hidden="1">
      <c r="B282" s="38"/>
      <c r="C282" s="38"/>
      <c r="D282" s="38"/>
      <c r="E282" s="38"/>
      <c r="F282" s="39"/>
      <c r="G282" s="7"/>
      <c r="H282" s="7"/>
      <c r="L282" s="10"/>
      <c r="M282" s="8"/>
      <c r="N282" s="8"/>
      <c r="O282" s="7"/>
      <c r="P282" s="8"/>
      <c r="Q282" s="8"/>
      <c r="R282" s="8"/>
    </row>
    <row r="283" spans="2:18" hidden="1">
      <c r="B283" s="38"/>
      <c r="C283" s="38"/>
      <c r="D283" s="38"/>
      <c r="E283" s="38"/>
      <c r="F283" s="39"/>
      <c r="G283" s="7"/>
      <c r="H283" s="7"/>
      <c r="L283" s="10"/>
      <c r="M283" s="8"/>
      <c r="N283" s="8"/>
      <c r="O283" s="7"/>
      <c r="P283" s="8"/>
      <c r="Q283" s="8"/>
      <c r="R283" s="8"/>
    </row>
    <row r="284" spans="2:18" hidden="1">
      <c r="B284" s="38"/>
      <c r="C284" s="38"/>
      <c r="D284" s="38"/>
      <c r="E284" s="38"/>
      <c r="F284" s="39"/>
      <c r="G284" s="7"/>
      <c r="H284" s="7"/>
      <c r="L284" s="10"/>
      <c r="M284" s="8"/>
      <c r="N284" s="8"/>
      <c r="O284" s="7"/>
      <c r="P284" s="8"/>
      <c r="Q284" s="8"/>
      <c r="R284" s="8"/>
    </row>
    <row r="285" spans="2:18" hidden="1">
      <c r="B285" s="38"/>
      <c r="C285" s="38"/>
      <c r="D285" s="38"/>
      <c r="E285" s="38"/>
      <c r="F285" s="39"/>
      <c r="G285" s="7"/>
      <c r="H285" s="7"/>
      <c r="L285" s="10"/>
      <c r="M285" s="8"/>
      <c r="N285" s="8"/>
      <c r="O285" s="7"/>
      <c r="P285" s="8"/>
      <c r="Q285" s="8"/>
      <c r="R285" s="8"/>
    </row>
    <row r="286" spans="2:18" hidden="1">
      <c r="B286" s="38"/>
      <c r="C286" s="38"/>
      <c r="D286" s="38"/>
      <c r="E286" s="38"/>
      <c r="F286" s="39"/>
      <c r="G286" s="7"/>
      <c r="H286" s="7"/>
      <c r="L286" s="10"/>
      <c r="M286" s="8"/>
      <c r="N286" s="8"/>
      <c r="O286" s="7"/>
      <c r="P286" s="8"/>
      <c r="Q286" s="8"/>
      <c r="R286" s="8"/>
    </row>
    <row r="287" spans="2:18" hidden="1">
      <c r="B287" s="38"/>
      <c r="C287" s="38"/>
      <c r="D287" s="38"/>
      <c r="E287" s="38"/>
      <c r="F287" s="39"/>
      <c r="G287" s="7"/>
      <c r="H287" s="7"/>
      <c r="L287" s="10"/>
      <c r="M287" s="8"/>
      <c r="N287" s="8"/>
      <c r="O287" s="7"/>
      <c r="P287" s="8"/>
      <c r="Q287" s="8"/>
      <c r="R287" s="8"/>
    </row>
    <row r="288" spans="2:18" hidden="1">
      <c r="B288" s="38"/>
      <c r="C288" s="38"/>
      <c r="D288" s="38"/>
      <c r="E288" s="38"/>
      <c r="F288" s="39"/>
      <c r="G288" s="7"/>
      <c r="H288" s="7"/>
      <c r="L288" s="10"/>
      <c r="M288" s="8"/>
      <c r="N288" s="8"/>
      <c r="O288" s="7"/>
      <c r="P288" s="8"/>
      <c r="Q288" s="8"/>
      <c r="R288" s="8"/>
    </row>
    <row r="289" spans="2:18" hidden="1">
      <c r="B289" s="38"/>
      <c r="C289" s="38"/>
      <c r="D289" s="38"/>
      <c r="E289" s="38"/>
      <c r="F289" s="39"/>
      <c r="G289" s="7"/>
      <c r="H289" s="7"/>
      <c r="L289" s="10"/>
      <c r="M289" s="8"/>
      <c r="N289" s="8"/>
      <c r="O289" s="7"/>
      <c r="P289" s="8"/>
      <c r="Q289" s="8"/>
      <c r="R289" s="8"/>
    </row>
    <row r="290" spans="2:18" hidden="1">
      <c r="B290" s="38"/>
      <c r="C290" s="38"/>
      <c r="D290" s="38"/>
      <c r="E290" s="38"/>
      <c r="F290" s="39"/>
      <c r="G290" s="7"/>
      <c r="H290" s="7"/>
      <c r="L290" s="10"/>
      <c r="M290" s="8"/>
      <c r="N290" s="8"/>
      <c r="O290" s="7"/>
      <c r="P290" s="8"/>
      <c r="Q290" s="8"/>
      <c r="R290" s="8"/>
    </row>
    <row r="291" spans="2:18" hidden="1">
      <c r="B291" s="38"/>
      <c r="C291" s="38"/>
      <c r="D291" s="38"/>
      <c r="E291" s="38"/>
      <c r="F291" s="39"/>
      <c r="G291" s="7"/>
      <c r="H291" s="7"/>
      <c r="L291" s="10"/>
      <c r="M291" s="8"/>
      <c r="N291" s="8"/>
      <c r="O291" s="7"/>
      <c r="P291" s="8"/>
      <c r="Q291" s="8"/>
      <c r="R291" s="8"/>
    </row>
    <row r="292" spans="2:18" hidden="1">
      <c r="B292" s="38"/>
      <c r="C292" s="38"/>
      <c r="D292" s="38"/>
      <c r="E292" s="38"/>
      <c r="F292" s="39"/>
      <c r="G292" s="7"/>
      <c r="H292" s="7"/>
      <c r="L292" s="10"/>
      <c r="M292" s="8"/>
      <c r="N292" s="8"/>
      <c r="O292" s="7"/>
      <c r="P292" s="8"/>
      <c r="Q292" s="8"/>
      <c r="R292" s="8"/>
    </row>
    <row r="293" spans="2:18" hidden="1">
      <c r="B293" s="38"/>
      <c r="C293" s="38"/>
      <c r="D293" s="38"/>
      <c r="E293" s="38"/>
      <c r="F293" s="39"/>
      <c r="G293" s="7"/>
      <c r="H293" s="7"/>
      <c r="L293" s="10"/>
      <c r="M293" s="8"/>
      <c r="N293" s="8"/>
      <c r="O293" s="7"/>
      <c r="P293" s="8"/>
      <c r="Q293" s="8"/>
      <c r="R293" s="8"/>
    </row>
    <row r="294" spans="2:18" hidden="1">
      <c r="B294" s="38"/>
      <c r="C294" s="38"/>
      <c r="D294" s="38"/>
      <c r="E294" s="38"/>
      <c r="F294" s="39"/>
      <c r="G294" s="7"/>
      <c r="H294" s="7"/>
      <c r="L294" s="10"/>
      <c r="M294" s="8"/>
      <c r="N294" s="8"/>
      <c r="O294" s="7"/>
      <c r="P294" s="8"/>
      <c r="Q294" s="8"/>
      <c r="R294" s="8"/>
    </row>
    <row r="295" spans="2:18" hidden="1">
      <c r="B295" s="38"/>
      <c r="C295" s="38"/>
      <c r="D295" s="38"/>
      <c r="E295" s="38"/>
      <c r="F295" s="39"/>
      <c r="G295" s="7"/>
      <c r="H295" s="7"/>
      <c r="L295" s="10"/>
      <c r="M295" s="8"/>
      <c r="N295" s="8"/>
      <c r="O295" s="7"/>
      <c r="P295" s="8"/>
      <c r="Q295" s="8"/>
      <c r="R295" s="8"/>
    </row>
    <row r="296" spans="2:18" hidden="1">
      <c r="B296" s="38"/>
      <c r="C296" s="38"/>
      <c r="D296" s="38"/>
      <c r="E296" s="38"/>
      <c r="F296" s="39"/>
      <c r="G296" s="7"/>
      <c r="H296" s="7"/>
      <c r="L296" s="10"/>
      <c r="M296" s="8"/>
      <c r="N296" s="8"/>
      <c r="O296" s="7"/>
      <c r="P296" s="8"/>
      <c r="Q296" s="8"/>
      <c r="R296" s="8"/>
    </row>
    <row r="297" spans="2:18" hidden="1">
      <c r="B297" s="38"/>
      <c r="C297" s="38"/>
      <c r="D297" s="38"/>
      <c r="E297" s="38"/>
      <c r="F297" s="39"/>
      <c r="G297" s="7"/>
      <c r="H297" s="7"/>
      <c r="L297" s="10"/>
      <c r="M297" s="8"/>
      <c r="N297" s="8"/>
      <c r="O297" s="7"/>
      <c r="P297" s="8"/>
      <c r="Q297" s="8"/>
      <c r="R297" s="8"/>
    </row>
    <row r="298" spans="2:18" hidden="1">
      <c r="B298" s="38"/>
      <c r="C298" s="38"/>
      <c r="D298" s="38"/>
      <c r="E298" s="38"/>
      <c r="F298" s="39"/>
      <c r="G298" s="7"/>
      <c r="H298" s="7"/>
      <c r="L298" s="10"/>
      <c r="M298" s="8"/>
      <c r="N298" s="8"/>
      <c r="O298" s="7"/>
      <c r="P298" s="8"/>
      <c r="Q298" s="8"/>
      <c r="R298" s="8"/>
    </row>
    <row r="299" spans="2:18" hidden="1">
      <c r="B299" s="38"/>
      <c r="C299" s="38"/>
      <c r="D299" s="38"/>
      <c r="E299" s="38"/>
      <c r="F299" s="39"/>
      <c r="G299" s="7"/>
      <c r="H299" s="7"/>
      <c r="L299" s="10"/>
      <c r="M299" s="8"/>
      <c r="N299" s="8"/>
      <c r="O299" s="7"/>
      <c r="P299" s="8"/>
      <c r="Q299" s="8"/>
      <c r="R299" s="8"/>
    </row>
    <row r="300" spans="2:18" hidden="1">
      <c r="B300" s="38"/>
      <c r="C300" s="38"/>
      <c r="D300" s="38"/>
      <c r="E300" s="38"/>
      <c r="F300" s="39"/>
      <c r="G300" s="7"/>
      <c r="H300" s="7"/>
      <c r="L300" s="10"/>
      <c r="M300" s="8"/>
      <c r="N300" s="8"/>
      <c r="O300" s="7"/>
      <c r="P300" s="8"/>
      <c r="Q300" s="8"/>
      <c r="R300" s="8"/>
    </row>
    <row r="301" spans="2:18" hidden="1">
      <c r="B301" s="38"/>
      <c r="C301" s="38"/>
      <c r="D301" s="38"/>
      <c r="E301" s="38"/>
      <c r="F301" s="39"/>
      <c r="G301" s="7"/>
      <c r="H301" s="7"/>
      <c r="L301" s="10"/>
      <c r="M301" s="8"/>
      <c r="N301" s="8"/>
      <c r="O301" s="7"/>
      <c r="P301" s="8"/>
      <c r="Q301" s="8"/>
      <c r="R301" s="8"/>
    </row>
    <row r="302" spans="2:18" hidden="1">
      <c r="B302" s="38"/>
      <c r="C302" s="38"/>
      <c r="D302" s="38"/>
      <c r="E302" s="38"/>
      <c r="F302" s="39"/>
      <c r="G302" s="7"/>
      <c r="H302" s="7"/>
      <c r="L302" s="10"/>
      <c r="M302" s="8"/>
      <c r="N302" s="8"/>
      <c r="O302" s="7"/>
      <c r="P302" s="8"/>
      <c r="Q302" s="8"/>
      <c r="R302" s="8"/>
    </row>
    <row r="303" spans="2:18" hidden="1">
      <c r="B303" s="38"/>
      <c r="C303" s="38"/>
      <c r="D303" s="38"/>
      <c r="E303" s="38"/>
      <c r="F303" s="39"/>
      <c r="G303" s="7"/>
      <c r="H303" s="7"/>
      <c r="L303" s="10"/>
      <c r="M303" s="8"/>
      <c r="N303" s="8"/>
      <c r="O303" s="7"/>
      <c r="P303" s="8"/>
      <c r="Q303" s="8"/>
      <c r="R303" s="8"/>
    </row>
    <row r="304" spans="2:18" hidden="1">
      <c r="B304" s="38"/>
      <c r="C304" s="38"/>
      <c r="D304" s="38"/>
      <c r="E304" s="38"/>
      <c r="F304" s="39"/>
      <c r="G304" s="7"/>
      <c r="H304" s="7"/>
      <c r="L304" s="10"/>
      <c r="M304" s="8"/>
      <c r="N304" s="8"/>
      <c r="O304" s="7"/>
      <c r="P304" s="8"/>
      <c r="Q304" s="8"/>
      <c r="R304" s="8"/>
    </row>
    <row r="305" spans="2:18" hidden="1">
      <c r="B305" s="38"/>
      <c r="C305" s="38"/>
      <c r="D305" s="38"/>
      <c r="E305" s="38"/>
      <c r="F305" s="39"/>
      <c r="G305" s="7"/>
      <c r="H305" s="7"/>
      <c r="L305" s="10"/>
      <c r="M305" s="8"/>
      <c r="N305" s="8"/>
      <c r="O305" s="7"/>
      <c r="P305" s="8"/>
      <c r="Q305" s="8"/>
      <c r="R305" s="8"/>
    </row>
    <row r="306" spans="2:18" hidden="1">
      <c r="B306" s="38"/>
      <c r="C306" s="38"/>
      <c r="D306" s="38"/>
      <c r="E306" s="38"/>
      <c r="F306" s="39"/>
      <c r="G306" s="7"/>
      <c r="H306" s="7"/>
      <c r="L306" s="10"/>
      <c r="M306" s="8"/>
      <c r="N306" s="8"/>
      <c r="O306" s="7"/>
      <c r="P306" s="8"/>
      <c r="Q306" s="8"/>
      <c r="R306" s="8"/>
    </row>
    <row r="307" spans="2:18" hidden="1">
      <c r="B307" s="38"/>
      <c r="C307" s="38"/>
      <c r="D307" s="38"/>
      <c r="E307" s="38"/>
      <c r="F307" s="39"/>
      <c r="G307" s="7"/>
      <c r="H307" s="7"/>
      <c r="L307" s="10"/>
      <c r="M307" s="8"/>
      <c r="N307" s="8"/>
      <c r="O307" s="7"/>
      <c r="P307" s="8"/>
      <c r="Q307" s="8"/>
      <c r="R307" s="8"/>
    </row>
    <row r="308" spans="2:18" hidden="1">
      <c r="B308" s="38"/>
      <c r="C308" s="38"/>
      <c r="D308" s="38"/>
      <c r="E308" s="38"/>
      <c r="F308" s="39"/>
      <c r="G308" s="7"/>
      <c r="H308" s="7"/>
      <c r="L308" s="10"/>
      <c r="M308" s="8"/>
      <c r="N308" s="8"/>
      <c r="O308" s="7"/>
      <c r="P308" s="8"/>
      <c r="Q308" s="8"/>
      <c r="R308" s="8"/>
    </row>
    <row r="309" spans="2:18" hidden="1">
      <c r="B309" s="38"/>
      <c r="C309" s="38"/>
      <c r="D309" s="38"/>
      <c r="E309" s="38"/>
      <c r="F309" s="39"/>
      <c r="G309" s="7"/>
      <c r="H309" s="7"/>
      <c r="L309" s="10"/>
      <c r="M309" s="8"/>
      <c r="N309" s="8"/>
      <c r="O309" s="7"/>
      <c r="P309" s="8"/>
      <c r="Q309" s="8"/>
      <c r="R309" s="8"/>
    </row>
    <row r="310" spans="2:18" hidden="1">
      <c r="B310" s="38"/>
      <c r="C310" s="38"/>
      <c r="D310" s="38"/>
      <c r="E310" s="38"/>
      <c r="F310" s="39"/>
      <c r="G310" s="7"/>
      <c r="H310" s="7"/>
      <c r="L310" s="10"/>
      <c r="M310" s="8"/>
      <c r="N310" s="8"/>
      <c r="O310" s="7"/>
      <c r="P310" s="8"/>
      <c r="Q310" s="8"/>
      <c r="R310" s="8"/>
    </row>
    <row r="311" spans="2:18" hidden="1">
      <c r="B311" s="38"/>
      <c r="C311" s="38"/>
      <c r="D311" s="38"/>
      <c r="E311" s="38"/>
      <c r="F311" s="39"/>
      <c r="G311" s="7"/>
      <c r="H311" s="7"/>
      <c r="L311" s="10"/>
      <c r="M311" s="8"/>
      <c r="N311" s="8"/>
      <c r="O311" s="7"/>
      <c r="P311" s="8"/>
      <c r="Q311" s="8"/>
      <c r="R311" s="8"/>
    </row>
    <row r="312" spans="2:18" hidden="1">
      <c r="B312" s="38"/>
      <c r="C312" s="38"/>
      <c r="D312" s="38"/>
      <c r="E312" s="38"/>
      <c r="F312" s="39"/>
      <c r="G312" s="7"/>
      <c r="H312" s="7"/>
      <c r="L312" s="10"/>
      <c r="M312" s="8"/>
      <c r="N312" s="8"/>
      <c r="O312" s="7"/>
      <c r="P312" s="8"/>
      <c r="Q312" s="8"/>
      <c r="R312" s="8"/>
    </row>
    <row r="313" spans="2:18" hidden="1">
      <c r="B313" s="38"/>
      <c r="C313" s="38"/>
      <c r="D313" s="38"/>
      <c r="E313" s="38"/>
      <c r="F313" s="39"/>
      <c r="G313" s="7"/>
      <c r="H313" s="7"/>
      <c r="L313" s="10"/>
      <c r="M313" s="8"/>
      <c r="N313" s="8"/>
      <c r="O313" s="7"/>
      <c r="P313" s="8"/>
      <c r="Q313" s="8"/>
      <c r="R313" s="8"/>
    </row>
    <row r="314" spans="2:18" hidden="1">
      <c r="B314" s="38"/>
      <c r="C314" s="38"/>
      <c r="D314" s="38"/>
      <c r="E314" s="38"/>
      <c r="F314" s="39"/>
      <c r="G314" s="7"/>
      <c r="H314" s="7"/>
      <c r="L314" s="10"/>
      <c r="M314" s="8"/>
      <c r="N314" s="8"/>
      <c r="O314" s="7"/>
      <c r="P314" s="8"/>
      <c r="Q314" s="8"/>
      <c r="R314" s="8"/>
    </row>
    <row r="315" spans="2:18" hidden="1">
      <c r="B315" s="38"/>
      <c r="C315" s="38"/>
      <c r="D315" s="38"/>
      <c r="E315" s="38"/>
      <c r="F315" s="39"/>
      <c r="G315" s="7"/>
      <c r="H315" s="7"/>
      <c r="L315" s="10"/>
      <c r="M315" s="8"/>
      <c r="N315" s="8"/>
      <c r="O315" s="7"/>
      <c r="P315" s="8"/>
      <c r="Q315" s="8"/>
      <c r="R315" s="8"/>
    </row>
    <row r="316" spans="2:18" hidden="1">
      <c r="B316" s="38"/>
      <c r="C316" s="38"/>
      <c r="D316" s="38"/>
      <c r="E316" s="38"/>
      <c r="F316" s="39"/>
      <c r="G316" s="7"/>
      <c r="H316" s="7"/>
      <c r="L316" s="10"/>
      <c r="M316" s="8"/>
      <c r="N316" s="8"/>
      <c r="O316" s="7"/>
      <c r="P316" s="8"/>
      <c r="Q316" s="8"/>
      <c r="R316" s="8"/>
    </row>
    <row r="317" spans="2:18" hidden="1">
      <c r="B317" s="38"/>
      <c r="C317" s="38"/>
      <c r="D317" s="38"/>
      <c r="E317" s="38"/>
      <c r="F317" s="39"/>
      <c r="G317" s="7"/>
      <c r="H317" s="7"/>
      <c r="L317" s="10"/>
      <c r="M317" s="8"/>
      <c r="N317" s="8"/>
      <c r="O317" s="7"/>
      <c r="P317" s="8"/>
      <c r="Q317" s="8"/>
      <c r="R317" s="8"/>
    </row>
    <row r="318" spans="2:18" hidden="1">
      <c r="B318" s="38"/>
      <c r="C318" s="38"/>
      <c r="D318" s="38"/>
      <c r="E318" s="38"/>
      <c r="F318" s="39"/>
      <c r="G318" s="7"/>
      <c r="H318" s="7"/>
      <c r="L318" s="10"/>
      <c r="M318" s="8"/>
      <c r="N318" s="8"/>
      <c r="O318" s="7"/>
      <c r="P318" s="8"/>
      <c r="Q318" s="8"/>
      <c r="R318" s="8"/>
    </row>
    <row r="319" spans="2:18" hidden="1">
      <c r="B319" s="38"/>
      <c r="C319" s="38"/>
      <c r="D319" s="38"/>
      <c r="E319" s="38"/>
      <c r="F319" s="39"/>
      <c r="G319" s="7"/>
      <c r="H319" s="7"/>
      <c r="L319" s="10"/>
      <c r="M319" s="8"/>
      <c r="N319" s="8"/>
      <c r="O319" s="7"/>
      <c r="P319" s="8"/>
      <c r="Q319" s="8"/>
      <c r="R319" s="8"/>
    </row>
    <row r="320" spans="2:18" hidden="1">
      <c r="B320" s="38"/>
      <c r="C320" s="38"/>
      <c r="D320" s="38"/>
      <c r="E320" s="38"/>
      <c r="F320" s="39"/>
      <c r="G320" s="7"/>
      <c r="H320" s="7"/>
      <c r="L320" s="10"/>
      <c r="M320" s="8"/>
      <c r="N320" s="8"/>
      <c r="O320" s="7"/>
      <c r="P320" s="8"/>
      <c r="Q320" s="8"/>
      <c r="R320" s="8"/>
    </row>
    <row r="321" spans="2:18" hidden="1">
      <c r="B321" s="38"/>
      <c r="C321" s="38"/>
      <c r="D321" s="38"/>
      <c r="E321" s="38"/>
      <c r="F321" s="39"/>
      <c r="G321" s="7"/>
      <c r="H321" s="7"/>
      <c r="L321" s="10"/>
      <c r="M321" s="8"/>
      <c r="N321" s="8"/>
      <c r="O321" s="7"/>
      <c r="P321" s="8"/>
      <c r="Q321" s="8"/>
      <c r="R321" s="8"/>
    </row>
    <row r="322" spans="2:18" hidden="1">
      <c r="B322" s="38"/>
      <c r="C322" s="38"/>
      <c r="D322" s="38"/>
      <c r="E322" s="38"/>
      <c r="F322" s="39"/>
      <c r="G322" s="7"/>
      <c r="H322" s="7"/>
      <c r="L322" s="10"/>
      <c r="M322" s="8"/>
      <c r="N322" s="8"/>
      <c r="O322" s="7"/>
      <c r="P322" s="8"/>
      <c r="Q322" s="8"/>
      <c r="R322" s="8"/>
    </row>
    <row r="323" spans="2:18" hidden="1">
      <c r="B323" s="38"/>
      <c r="C323" s="38"/>
      <c r="D323" s="38"/>
      <c r="E323" s="38"/>
      <c r="F323" s="39"/>
      <c r="G323" s="7"/>
      <c r="H323" s="7"/>
      <c r="L323" s="10"/>
      <c r="M323" s="8"/>
      <c r="N323" s="8"/>
      <c r="O323" s="7"/>
      <c r="P323" s="8"/>
      <c r="Q323" s="8"/>
      <c r="R323" s="8"/>
    </row>
    <row r="324" spans="2:18" hidden="1">
      <c r="B324" s="38"/>
      <c r="C324" s="38"/>
      <c r="D324" s="38"/>
      <c r="E324" s="38"/>
      <c r="F324" s="39"/>
      <c r="G324" s="7"/>
      <c r="H324" s="7"/>
      <c r="L324" s="10"/>
      <c r="M324" s="8"/>
      <c r="N324" s="8"/>
      <c r="O324" s="7"/>
      <c r="P324" s="8"/>
      <c r="Q324" s="8"/>
      <c r="R324" s="8"/>
    </row>
    <row r="325" spans="2:18" hidden="1">
      <c r="B325" s="38"/>
      <c r="C325" s="38"/>
      <c r="D325" s="38"/>
      <c r="E325" s="38"/>
      <c r="F325" s="39"/>
      <c r="G325" s="7"/>
      <c r="H325" s="7"/>
      <c r="L325" s="10"/>
      <c r="M325" s="8"/>
      <c r="N325" s="8"/>
      <c r="O325" s="7"/>
      <c r="P325" s="8"/>
      <c r="Q325" s="8"/>
      <c r="R325" s="8"/>
    </row>
    <row r="326" spans="2:18" hidden="1">
      <c r="B326" s="38"/>
      <c r="C326" s="38"/>
      <c r="D326" s="38"/>
      <c r="E326" s="38"/>
      <c r="F326" s="39"/>
      <c r="G326" s="7"/>
      <c r="H326" s="7"/>
      <c r="L326" s="10"/>
      <c r="M326" s="8"/>
      <c r="N326" s="8"/>
      <c r="O326" s="7"/>
      <c r="P326" s="8"/>
      <c r="Q326" s="8"/>
      <c r="R326" s="8"/>
    </row>
    <row r="327" spans="2:18" hidden="1">
      <c r="B327" s="38"/>
      <c r="C327" s="38"/>
      <c r="D327" s="38"/>
      <c r="E327" s="38"/>
      <c r="F327" s="39"/>
      <c r="G327" s="7"/>
      <c r="H327" s="7"/>
      <c r="L327" s="10"/>
      <c r="M327" s="8"/>
      <c r="N327" s="8"/>
      <c r="O327" s="7"/>
      <c r="P327" s="8"/>
      <c r="Q327" s="8"/>
      <c r="R327" s="8"/>
    </row>
    <row r="328" spans="2:18" hidden="1">
      <c r="B328" s="38"/>
      <c r="C328" s="38"/>
      <c r="D328" s="38"/>
      <c r="E328" s="38"/>
      <c r="F328" s="39"/>
      <c r="G328" s="7"/>
      <c r="H328" s="7"/>
      <c r="L328" s="10"/>
      <c r="M328" s="8"/>
      <c r="N328" s="8"/>
      <c r="O328" s="7"/>
      <c r="P328" s="8"/>
      <c r="Q328" s="8"/>
      <c r="R328" s="8"/>
    </row>
    <row r="329" spans="2:18" hidden="1">
      <c r="B329" s="38"/>
      <c r="C329" s="38"/>
      <c r="D329" s="38"/>
      <c r="E329" s="38"/>
      <c r="F329" s="39"/>
      <c r="G329" s="7"/>
      <c r="H329" s="7"/>
      <c r="L329" s="10"/>
      <c r="M329" s="8"/>
      <c r="N329" s="8"/>
      <c r="O329" s="7"/>
      <c r="P329" s="8"/>
      <c r="Q329" s="8"/>
      <c r="R329" s="8"/>
    </row>
    <row r="330" spans="2:18" hidden="1">
      <c r="B330" s="38"/>
      <c r="C330" s="38"/>
      <c r="D330" s="38"/>
      <c r="E330" s="38"/>
      <c r="F330" s="39"/>
      <c r="G330" s="7"/>
      <c r="H330" s="7"/>
      <c r="L330" s="10"/>
      <c r="M330" s="8"/>
      <c r="N330" s="8"/>
      <c r="O330" s="7"/>
      <c r="P330" s="8"/>
      <c r="Q330" s="8"/>
      <c r="R330" s="8"/>
    </row>
    <row r="331" spans="2:18" hidden="1">
      <c r="B331" s="38"/>
      <c r="C331" s="38"/>
      <c r="D331" s="38"/>
      <c r="E331" s="38"/>
      <c r="F331" s="39"/>
      <c r="G331" s="7"/>
      <c r="H331" s="7"/>
      <c r="L331" s="10"/>
      <c r="M331" s="8"/>
      <c r="N331" s="8"/>
      <c r="O331" s="7"/>
      <c r="P331" s="8"/>
      <c r="Q331" s="8"/>
      <c r="R331" s="8"/>
    </row>
    <row r="332" spans="2:18" hidden="1">
      <c r="B332" s="38"/>
      <c r="C332" s="38"/>
      <c r="D332" s="38"/>
      <c r="E332" s="38"/>
      <c r="F332" s="39"/>
      <c r="G332" s="7"/>
      <c r="H332" s="7"/>
      <c r="L332" s="10"/>
      <c r="M332" s="8"/>
      <c r="N332" s="8"/>
      <c r="O332" s="7"/>
      <c r="P332" s="8"/>
      <c r="Q332" s="8"/>
      <c r="R332" s="8"/>
    </row>
    <row r="333" spans="2:18" hidden="1">
      <c r="B333" s="38"/>
      <c r="C333" s="38"/>
      <c r="D333" s="38"/>
      <c r="E333" s="38"/>
      <c r="F333" s="39"/>
      <c r="G333" s="7"/>
      <c r="H333" s="7"/>
      <c r="L333" s="10"/>
      <c r="M333" s="8"/>
      <c r="N333" s="8"/>
      <c r="O333" s="7"/>
      <c r="P333" s="8"/>
      <c r="Q333" s="8"/>
      <c r="R333" s="8"/>
    </row>
    <row r="334" spans="2:18" hidden="1">
      <c r="B334" s="38"/>
      <c r="C334" s="38"/>
      <c r="D334" s="38"/>
      <c r="E334" s="38"/>
      <c r="F334" s="39"/>
      <c r="G334" s="7"/>
      <c r="H334" s="7"/>
      <c r="L334" s="10"/>
      <c r="M334" s="8"/>
      <c r="N334" s="8"/>
      <c r="O334" s="7"/>
      <c r="P334" s="8"/>
      <c r="Q334" s="8"/>
      <c r="R334" s="8"/>
    </row>
    <row r="335" spans="2:18" hidden="1">
      <c r="B335" s="38"/>
      <c r="C335" s="38"/>
      <c r="D335" s="38"/>
      <c r="E335" s="38"/>
      <c r="F335" s="39"/>
      <c r="G335" s="7"/>
      <c r="H335" s="7"/>
      <c r="L335" s="10"/>
      <c r="M335" s="8"/>
      <c r="N335" s="8"/>
      <c r="O335" s="7"/>
      <c r="P335" s="8"/>
      <c r="Q335" s="8"/>
      <c r="R335" s="8"/>
    </row>
    <row r="336" spans="2:18" hidden="1">
      <c r="B336" s="38"/>
      <c r="C336" s="38"/>
      <c r="D336" s="38"/>
      <c r="E336" s="38"/>
      <c r="F336" s="39"/>
      <c r="G336" s="7"/>
      <c r="H336" s="7"/>
      <c r="L336" s="10"/>
      <c r="M336" s="8"/>
      <c r="N336" s="8"/>
      <c r="O336" s="7"/>
      <c r="P336" s="8"/>
      <c r="Q336" s="8"/>
      <c r="R336" s="8"/>
    </row>
    <row r="337" spans="2:18" hidden="1">
      <c r="B337" s="38"/>
      <c r="C337" s="38"/>
      <c r="D337" s="38"/>
      <c r="E337" s="38"/>
      <c r="F337" s="39"/>
      <c r="G337" s="7"/>
      <c r="H337" s="7"/>
      <c r="L337" s="10"/>
      <c r="M337" s="8"/>
      <c r="N337" s="8"/>
      <c r="O337" s="7"/>
      <c r="P337" s="8"/>
      <c r="Q337" s="8"/>
      <c r="R337" s="8"/>
    </row>
    <row r="338" spans="2:18" hidden="1">
      <c r="B338" s="38"/>
      <c r="C338" s="38"/>
      <c r="D338" s="38"/>
      <c r="E338" s="38"/>
      <c r="F338" s="39"/>
      <c r="G338" s="7"/>
      <c r="H338" s="7"/>
      <c r="L338" s="10"/>
      <c r="M338" s="8"/>
      <c r="N338" s="8"/>
      <c r="O338" s="7"/>
      <c r="P338" s="8"/>
      <c r="Q338" s="8"/>
      <c r="R338" s="8"/>
    </row>
    <row r="339" spans="2:18" hidden="1">
      <c r="B339" s="38"/>
      <c r="C339" s="38"/>
      <c r="D339" s="38"/>
      <c r="E339" s="38"/>
      <c r="F339" s="39"/>
      <c r="G339" s="7"/>
      <c r="H339" s="7"/>
      <c r="L339" s="10"/>
      <c r="M339" s="8"/>
      <c r="N339" s="8"/>
      <c r="O339" s="7"/>
      <c r="P339" s="8"/>
      <c r="Q339" s="8"/>
      <c r="R339" s="8"/>
    </row>
    <row r="340" spans="2:18" hidden="1">
      <c r="B340" s="38"/>
      <c r="C340" s="38"/>
      <c r="D340" s="38"/>
      <c r="E340" s="38"/>
      <c r="F340" s="39"/>
      <c r="G340" s="7"/>
      <c r="H340" s="7"/>
      <c r="L340" s="10"/>
      <c r="M340" s="8"/>
      <c r="N340" s="8"/>
      <c r="O340" s="7"/>
      <c r="P340" s="8"/>
      <c r="Q340" s="8"/>
      <c r="R340" s="8"/>
    </row>
    <row r="341" spans="2:18" hidden="1">
      <c r="B341" s="38"/>
      <c r="C341" s="38"/>
      <c r="D341" s="38"/>
      <c r="E341" s="38"/>
      <c r="F341" s="39"/>
      <c r="G341" s="7"/>
      <c r="H341" s="7"/>
      <c r="L341" s="10"/>
      <c r="M341" s="8"/>
      <c r="N341" s="8"/>
      <c r="O341" s="7"/>
      <c r="P341" s="8"/>
      <c r="Q341" s="8"/>
      <c r="R341" s="8"/>
    </row>
    <row r="342" spans="2:18" hidden="1">
      <c r="B342" s="38"/>
      <c r="C342" s="38"/>
      <c r="D342" s="38"/>
      <c r="E342" s="38"/>
      <c r="F342" s="39"/>
      <c r="G342" s="7"/>
      <c r="H342" s="7"/>
      <c r="L342" s="10"/>
      <c r="M342" s="8"/>
      <c r="N342" s="8"/>
      <c r="O342" s="7"/>
      <c r="P342" s="8"/>
      <c r="Q342" s="8"/>
      <c r="R342" s="8"/>
    </row>
    <row r="343" spans="2:18" hidden="1">
      <c r="B343" s="38"/>
      <c r="C343" s="38"/>
      <c r="D343" s="38"/>
      <c r="E343" s="38"/>
      <c r="F343" s="39"/>
      <c r="G343" s="7"/>
      <c r="H343" s="7"/>
      <c r="L343" s="10"/>
      <c r="M343" s="8"/>
      <c r="N343" s="8"/>
      <c r="O343" s="7"/>
      <c r="P343" s="8"/>
      <c r="Q343" s="8"/>
      <c r="R343" s="8"/>
    </row>
    <row r="344" spans="2:18" hidden="1">
      <c r="B344" s="38"/>
      <c r="C344" s="38"/>
      <c r="D344" s="38"/>
      <c r="E344" s="38"/>
      <c r="F344" s="39"/>
      <c r="G344" s="7"/>
      <c r="H344" s="7"/>
      <c r="L344" s="10"/>
      <c r="M344" s="8"/>
      <c r="N344" s="8"/>
      <c r="O344" s="7"/>
      <c r="P344" s="8"/>
      <c r="Q344" s="8"/>
      <c r="R344" s="8"/>
    </row>
    <row r="345" spans="2:18" hidden="1">
      <c r="B345" s="38"/>
      <c r="C345" s="38"/>
      <c r="D345" s="38"/>
      <c r="E345" s="38"/>
      <c r="F345" s="39"/>
      <c r="G345" s="7"/>
      <c r="H345" s="7"/>
      <c r="L345" s="10"/>
      <c r="M345" s="8"/>
      <c r="N345" s="8"/>
      <c r="O345" s="7"/>
      <c r="P345" s="8"/>
      <c r="Q345" s="8"/>
      <c r="R345" s="8"/>
    </row>
    <row r="346" spans="2:18" hidden="1">
      <c r="B346" s="38"/>
      <c r="C346" s="38"/>
      <c r="D346" s="38"/>
      <c r="E346" s="38"/>
      <c r="F346" s="39"/>
      <c r="G346" s="7"/>
      <c r="H346" s="7"/>
      <c r="L346" s="10"/>
      <c r="M346" s="8"/>
      <c r="N346" s="8"/>
      <c r="O346" s="7"/>
      <c r="P346" s="8"/>
      <c r="Q346" s="8"/>
      <c r="R346" s="8"/>
    </row>
    <row r="347" spans="2:18" hidden="1">
      <c r="B347" s="38"/>
      <c r="C347" s="38"/>
      <c r="D347" s="38"/>
      <c r="E347" s="38"/>
      <c r="F347" s="39"/>
      <c r="G347" s="7"/>
      <c r="H347" s="7"/>
      <c r="L347" s="10"/>
      <c r="M347" s="8"/>
      <c r="N347" s="8"/>
      <c r="O347" s="7"/>
      <c r="P347" s="8"/>
      <c r="Q347" s="8"/>
      <c r="R347" s="8"/>
    </row>
    <row r="348" spans="2:18" hidden="1">
      <c r="B348" s="38"/>
      <c r="C348" s="38"/>
      <c r="D348" s="38"/>
      <c r="E348" s="38"/>
      <c r="F348" s="39"/>
      <c r="G348" s="7"/>
      <c r="H348" s="7"/>
      <c r="L348" s="10"/>
      <c r="M348" s="8"/>
      <c r="N348" s="8"/>
      <c r="O348" s="7"/>
      <c r="P348" s="8"/>
      <c r="Q348" s="8"/>
      <c r="R348" s="8"/>
    </row>
    <row r="349" spans="2:18" hidden="1">
      <c r="B349" s="38"/>
      <c r="C349" s="38"/>
      <c r="D349" s="38"/>
      <c r="E349" s="38"/>
      <c r="F349" s="39"/>
      <c r="G349" s="7"/>
      <c r="H349" s="7"/>
      <c r="L349" s="10"/>
      <c r="M349" s="8"/>
      <c r="N349" s="8"/>
      <c r="O349" s="7"/>
      <c r="P349" s="8"/>
      <c r="Q349" s="8"/>
      <c r="R349" s="8"/>
    </row>
    <row r="350" spans="2:18" hidden="1">
      <c r="B350" s="38"/>
      <c r="C350" s="38"/>
      <c r="D350" s="38"/>
      <c r="E350" s="38"/>
      <c r="F350" s="39"/>
      <c r="G350" s="7"/>
      <c r="H350" s="7"/>
      <c r="L350" s="10"/>
      <c r="M350" s="8"/>
      <c r="N350" s="8"/>
      <c r="O350" s="7"/>
      <c r="P350" s="8"/>
      <c r="Q350" s="8"/>
      <c r="R350" s="8"/>
    </row>
    <row r="351" spans="2:18" hidden="1">
      <c r="B351" s="38"/>
      <c r="C351" s="38"/>
      <c r="D351" s="38"/>
      <c r="E351" s="38"/>
      <c r="F351" s="39"/>
      <c r="G351" s="7"/>
      <c r="H351" s="7"/>
      <c r="L351" s="10"/>
      <c r="M351" s="8"/>
      <c r="N351" s="8"/>
      <c r="O351" s="7"/>
      <c r="P351" s="8"/>
      <c r="Q351" s="8"/>
      <c r="R351" s="8"/>
    </row>
    <row r="352" spans="2:18" hidden="1">
      <c r="B352" s="38"/>
      <c r="C352" s="38"/>
      <c r="D352" s="38"/>
      <c r="E352" s="38"/>
      <c r="F352" s="39"/>
      <c r="G352" s="7"/>
      <c r="H352" s="7"/>
      <c r="L352" s="10"/>
      <c r="M352" s="8"/>
      <c r="N352" s="8"/>
      <c r="O352" s="7"/>
      <c r="P352" s="8"/>
      <c r="Q352" s="8"/>
      <c r="R352" s="8"/>
    </row>
    <row r="353" spans="2:18" hidden="1">
      <c r="B353" s="38"/>
      <c r="C353" s="38"/>
      <c r="D353" s="38"/>
      <c r="E353" s="38"/>
      <c r="F353" s="39"/>
      <c r="G353" s="7"/>
      <c r="H353" s="7"/>
      <c r="L353" s="10"/>
      <c r="M353" s="8"/>
      <c r="N353" s="8"/>
      <c r="O353" s="7"/>
      <c r="P353" s="8"/>
      <c r="Q353" s="8"/>
      <c r="R353" s="8"/>
    </row>
    <row r="354" spans="2:18" hidden="1">
      <c r="B354" s="38"/>
      <c r="C354" s="38"/>
      <c r="D354" s="38"/>
      <c r="E354" s="38"/>
      <c r="F354" s="39"/>
      <c r="G354" s="7"/>
      <c r="H354" s="7"/>
      <c r="L354" s="10"/>
      <c r="M354" s="8"/>
      <c r="N354" s="8"/>
      <c r="O354" s="7"/>
      <c r="P354" s="8"/>
      <c r="Q354" s="8"/>
      <c r="R354" s="8"/>
    </row>
    <row r="355" spans="2:18" hidden="1">
      <c r="B355" s="38"/>
      <c r="C355" s="38"/>
      <c r="D355" s="38"/>
      <c r="E355" s="38"/>
      <c r="F355" s="39"/>
      <c r="G355" s="7"/>
      <c r="H355" s="7"/>
      <c r="L355" s="10"/>
      <c r="M355" s="8"/>
      <c r="N355" s="8"/>
      <c r="O355" s="7"/>
      <c r="P355" s="8"/>
      <c r="Q355" s="8"/>
      <c r="R355" s="8"/>
    </row>
    <row r="356" spans="2:18" hidden="1">
      <c r="B356" s="38"/>
      <c r="C356" s="38"/>
      <c r="D356" s="38"/>
      <c r="E356" s="38"/>
      <c r="F356" s="39"/>
      <c r="G356" s="7"/>
      <c r="H356" s="7"/>
      <c r="O356" s="7"/>
      <c r="P356" s="8"/>
      <c r="Q356" s="8"/>
      <c r="R356" s="8"/>
    </row>
    <row r="357" spans="2:18" hidden="1">
      <c r="B357" s="38"/>
      <c r="C357" s="38"/>
      <c r="D357" s="38"/>
      <c r="E357" s="38"/>
      <c r="F357" s="39"/>
      <c r="G357" s="7"/>
      <c r="H357" s="7"/>
      <c r="O357" s="7"/>
      <c r="P357" s="8"/>
      <c r="Q357" s="8"/>
      <c r="R357" s="8"/>
    </row>
    <row r="358" spans="2:18" hidden="1">
      <c r="B358" s="38"/>
      <c r="C358" s="38"/>
      <c r="D358" s="38"/>
      <c r="E358" s="38"/>
      <c r="F358" s="39"/>
      <c r="G358" s="7"/>
      <c r="H358" s="7"/>
      <c r="O358" s="7"/>
      <c r="P358" s="8"/>
      <c r="Q358" s="8"/>
      <c r="R358" s="8"/>
    </row>
    <row r="359" spans="2:18" hidden="1">
      <c r="B359" s="38"/>
      <c r="C359" s="38"/>
      <c r="D359" s="38"/>
      <c r="E359" s="38"/>
      <c r="F359" s="39"/>
      <c r="G359" s="7"/>
      <c r="H359" s="7"/>
      <c r="O359" s="7"/>
      <c r="P359" s="8"/>
      <c r="Q359" s="8"/>
      <c r="R359" s="8"/>
    </row>
    <row r="360" spans="2:18" hidden="1">
      <c r="B360" s="38"/>
      <c r="C360" s="38"/>
      <c r="D360" s="38"/>
      <c r="E360" s="38"/>
      <c r="F360" s="39"/>
      <c r="G360" s="7"/>
      <c r="H360" s="7"/>
      <c r="O360" s="7"/>
      <c r="P360" s="8"/>
      <c r="Q360" s="8"/>
      <c r="R360" s="8"/>
    </row>
    <row r="361" spans="2:18" hidden="1">
      <c r="B361" s="38"/>
      <c r="C361" s="38"/>
      <c r="D361" s="38"/>
      <c r="E361" s="38"/>
      <c r="F361" s="39"/>
      <c r="G361" s="7"/>
      <c r="H361" s="7"/>
      <c r="O361" s="7"/>
      <c r="P361" s="8"/>
      <c r="Q361" s="8"/>
      <c r="R361" s="8"/>
    </row>
    <row r="362" spans="2:18" hidden="1">
      <c r="B362" s="38"/>
      <c r="C362" s="38"/>
      <c r="D362" s="38"/>
      <c r="E362" s="38"/>
      <c r="F362" s="39"/>
      <c r="G362" s="7"/>
      <c r="H362" s="7"/>
      <c r="O362" s="7"/>
      <c r="P362" s="8"/>
      <c r="Q362" s="8"/>
      <c r="R362" s="8"/>
    </row>
    <row r="363" spans="2:18" hidden="1">
      <c r="B363" s="38"/>
      <c r="C363" s="38"/>
      <c r="D363" s="38"/>
      <c r="E363" s="38"/>
      <c r="F363" s="39"/>
      <c r="G363" s="7"/>
      <c r="H363" s="7"/>
      <c r="O363" s="7"/>
      <c r="P363" s="8"/>
      <c r="Q363" s="8"/>
      <c r="R363" s="8"/>
    </row>
    <row r="364" spans="2:18" hidden="1">
      <c r="B364" s="38"/>
      <c r="C364" s="38"/>
      <c r="D364" s="38"/>
      <c r="E364" s="38"/>
      <c r="F364" s="39"/>
      <c r="G364" s="7"/>
      <c r="H364" s="7"/>
      <c r="O364" s="7"/>
      <c r="P364" s="8"/>
      <c r="Q364" s="8"/>
      <c r="R364" s="8"/>
    </row>
  </sheetData>
  <mergeCells count="3">
    <mergeCell ref="C29:G30"/>
    <mergeCell ref="C31:D31"/>
    <mergeCell ref="B1:T2"/>
  </mergeCells>
  <phoneticPr fontId="0" type="noConversion"/>
  <conditionalFormatting sqref="G178:H364 G104:H176 O104:O176 E31:F31 O178:O364 G24:G28 G31:G102 D32:F33">
    <cfRule type="expression" dxfId="445" priority="1" stopIfTrue="1">
      <formula>$F$12=1</formula>
    </cfRule>
    <cfRule type="expression" dxfId="444" priority="2" stopIfTrue="1">
      <formula>$F$12&lt;&gt;1</formula>
    </cfRule>
  </conditionalFormatting>
  <pageMargins left="0.75" right="0.75" top="0.45" bottom="1" header="0" footer="0"/>
  <pageSetup paperSize="9" scale="63" orientation="landscape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B2:B118"/>
  <sheetViews>
    <sheetView topLeftCell="A91" workbookViewId="0">
      <selection activeCell="B118" sqref="B118"/>
    </sheetView>
  </sheetViews>
  <sheetFormatPr baseColWidth="10" defaultColWidth="9.109375" defaultRowHeight="13.2"/>
  <cols>
    <col min="2" max="2" width="12.109375" customWidth="1"/>
  </cols>
  <sheetData>
    <row r="2" spans="2:2" ht="13.8" thickBot="1"/>
    <row r="3" spans="2:2" ht="13.8" thickTop="1">
      <c r="B3" s="307" t="s">
        <v>49</v>
      </c>
    </row>
    <row r="4" spans="2:2">
      <c r="B4" s="324" t="s">
        <v>50</v>
      </c>
    </row>
    <row r="5" spans="2:2">
      <c r="B5" s="324" t="s">
        <v>51</v>
      </c>
    </row>
    <row r="6" spans="2:2">
      <c r="B6" s="324" t="s">
        <v>52</v>
      </c>
    </row>
    <row r="7" spans="2:2">
      <c r="B7" s="324" t="s">
        <v>53</v>
      </c>
    </row>
    <row r="8" spans="2:2">
      <c r="B8" s="324" t="s">
        <v>54</v>
      </c>
    </row>
    <row r="9" spans="2:2">
      <c r="B9" s="324" t="s">
        <v>73</v>
      </c>
    </row>
    <row r="10" spans="2:2">
      <c r="B10" s="324" t="s">
        <v>74</v>
      </c>
    </row>
    <row r="11" spans="2:2">
      <c r="B11" s="324" t="s">
        <v>75</v>
      </c>
    </row>
    <row r="12" spans="2:2">
      <c r="B12" s="324" t="s">
        <v>76</v>
      </c>
    </row>
    <row r="13" spans="2:2">
      <c r="B13" s="324" t="s">
        <v>77</v>
      </c>
    </row>
    <row r="14" spans="2:2">
      <c r="B14" s="324" t="s">
        <v>78</v>
      </c>
    </row>
    <row r="15" spans="2:2">
      <c r="B15" s="324" t="s">
        <v>79</v>
      </c>
    </row>
    <row r="16" spans="2:2">
      <c r="B16" s="324" t="s">
        <v>80</v>
      </c>
    </row>
    <row r="17" spans="2:2">
      <c r="B17" s="324" t="s">
        <v>81</v>
      </c>
    </row>
    <row r="18" spans="2:2">
      <c r="B18" s="324" t="s">
        <v>82</v>
      </c>
    </row>
    <row r="19" spans="2:2">
      <c r="B19" s="324" t="s">
        <v>83</v>
      </c>
    </row>
    <row r="20" spans="2:2">
      <c r="B20" s="324" t="s">
        <v>84</v>
      </c>
    </row>
    <row r="21" spans="2:2">
      <c r="B21" s="324" t="s">
        <v>85</v>
      </c>
    </row>
    <row r="22" spans="2:2">
      <c r="B22" s="324" t="s">
        <v>86</v>
      </c>
    </row>
    <row r="23" spans="2:2">
      <c r="B23" s="324" t="s">
        <v>87</v>
      </c>
    </row>
    <row r="24" spans="2:2">
      <c r="B24" s="324" t="s">
        <v>88</v>
      </c>
    </row>
    <row r="25" spans="2:2">
      <c r="B25" s="324" t="s">
        <v>89</v>
      </c>
    </row>
    <row r="26" spans="2:2">
      <c r="B26" s="324" t="s">
        <v>90</v>
      </c>
    </row>
    <row r="27" spans="2:2">
      <c r="B27" s="324" t="s">
        <v>91</v>
      </c>
    </row>
    <row r="28" spans="2:2">
      <c r="B28" s="324" t="s">
        <v>92</v>
      </c>
    </row>
    <row r="29" spans="2:2">
      <c r="B29" s="324" t="s">
        <v>93</v>
      </c>
    </row>
    <row r="30" spans="2:2">
      <c r="B30" s="324" t="s">
        <v>94</v>
      </c>
    </row>
    <row r="31" spans="2:2">
      <c r="B31" s="324" t="s">
        <v>95</v>
      </c>
    </row>
    <row r="32" spans="2:2">
      <c r="B32" s="324" t="s">
        <v>96</v>
      </c>
    </row>
    <row r="33" spans="2:2">
      <c r="B33" s="324" t="s">
        <v>97</v>
      </c>
    </row>
    <row r="34" spans="2:2">
      <c r="B34" s="324" t="s">
        <v>98</v>
      </c>
    </row>
    <row r="35" spans="2:2">
      <c r="B35" s="324" t="s">
        <v>99</v>
      </c>
    </row>
    <row r="36" spans="2:2">
      <c r="B36" s="324" t="s">
        <v>100</v>
      </c>
    </row>
    <row r="37" spans="2:2">
      <c r="B37" s="324" t="s">
        <v>101</v>
      </c>
    </row>
    <row r="38" spans="2:2">
      <c r="B38" s="324" t="s">
        <v>102</v>
      </c>
    </row>
    <row r="39" spans="2:2">
      <c r="B39" s="324" t="s">
        <v>103</v>
      </c>
    </row>
    <row r="40" spans="2:2">
      <c r="B40" s="324" t="s">
        <v>104</v>
      </c>
    </row>
    <row r="41" spans="2:2">
      <c r="B41" s="324" t="s">
        <v>105</v>
      </c>
    </row>
    <row r="42" spans="2:2">
      <c r="B42" s="324" t="s">
        <v>106</v>
      </c>
    </row>
    <row r="43" spans="2:2">
      <c r="B43" s="324" t="s">
        <v>107</v>
      </c>
    </row>
    <row r="44" spans="2:2">
      <c r="B44" s="324" t="s">
        <v>578</v>
      </c>
    </row>
    <row r="45" spans="2:2">
      <c r="B45" s="324" t="s">
        <v>108</v>
      </c>
    </row>
    <row r="46" spans="2:2">
      <c r="B46" s="324" t="s">
        <v>109</v>
      </c>
    </row>
    <row r="47" spans="2:2">
      <c r="B47" s="324" t="s">
        <v>796</v>
      </c>
    </row>
    <row r="48" spans="2:2">
      <c r="B48" s="324" t="s">
        <v>804</v>
      </c>
    </row>
    <row r="49" spans="2:2">
      <c r="B49" s="324" t="s">
        <v>224</v>
      </c>
    </row>
    <row r="50" spans="2:2">
      <c r="B50" s="324" t="s">
        <v>134</v>
      </c>
    </row>
    <row r="51" spans="2:2">
      <c r="B51" s="324" t="s">
        <v>166</v>
      </c>
    </row>
    <row r="52" spans="2:2">
      <c r="B52" s="324" t="s">
        <v>1308</v>
      </c>
    </row>
    <row r="53" spans="2:2">
      <c r="B53" s="324" t="s">
        <v>1309</v>
      </c>
    </row>
    <row r="54" spans="2:2">
      <c r="B54" s="324" t="s">
        <v>1310</v>
      </c>
    </row>
    <row r="55" spans="2:2">
      <c r="B55" s="324" t="s">
        <v>1</v>
      </c>
    </row>
    <row r="56" spans="2:2">
      <c r="B56" s="324" t="s">
        <v>113</v>
      </c>
    </row>
    <row r="57" spans="2:2">
      <c r="B57" s="324" t="s">
        <v>2</v>
      </c>
    </row>
    <row r="58" spans="2:2">
      <c r="B58" s="324" t="s">
        <v>121</v>
      </c>
    </row>
    <row r="59" spans="2:2">
      <c r="B59" s="324" t="s">
        <v>172</v>
      </c>
    </row>
    <row r="60" spans="2:2">
      <c r="B60" s="324" t="s">
        <v>256</v>
      </c>
    </row>
    <row r="61" spans="2:2">
      <c r="B61" s="324" t="s">
        <v>289</v>
      </c>
    </row>
    <row r="62" spans="2:2">
      <c r="B62" s="324" t="s">
        <v>290</v>
      </c>
    </row>
    <row r="63" spans="2:2">
      <c r="B63" s="324" t="s">
        <v>291</v>
      </c>
    </row>
    <row r="64" spans="2:2">
      <c r="B64" s="324" t="s">
        <v>292</v>
      </c>
    </row>
    <row r="65" spans="2:2">
      <c r="B65" s="324" t="s">
        <v>293</v>
      </c>
    </row>
    <row r="66" spans="2:2">
      <c r="B66" s="324" t="s">
        <v>294</v>
      </c>
    </row>
    <row r="67" spans="2:2">
      <c r="B67" s="324" t="s">
        <v>295</v>
      </c>
    </row>
    <row r="68" spans="2:2">
      <c r="B68" s="324" t="s">
        <v>296</v>
      </c>
    </row>
    <row r="69" spans="2:2">
      <c r="B69" s="324" t="s">
        <v>297</v>
      </c>
    </row>
    <row r="70" spans="2:2">
      <c r="B70" s="324" t="s">
        <v>298</v>
      </c>
    </row>
    <row r="71" spans="2:2">
      <c r="B71" s="324" t="s">
        <v>304</v>
      </c>
    </row>
    <row r="72" spans="2:2">
      <c r="B72" s="324" t="s">
        <v>305</v>
      </c>
    </row>
    <row r="73" spans="2:2">
      <c r="B73" s="324" t="s">
        <v>306</v>
      </c>
    </row>
    <row r="74" spans="2:2">
      <c r="B74" s="324" t="s">
        <v>307</v>
      </c>
    </row>
    <row r="75" spans="2:2">
      <c r="B75" s="324" t="s">
        <v>112</v>
      </c>
    </row>
    <row r="76" spans="2:2">
      <c r="B76" s="324" t="s">
        <v>120</v>
      </c>
    </row>
    <row r="77" spans="2:2">
      <c r="B77" s="324" t="s">
        <v>881</v>
      </c>
    </row>
    <row r="78" spans="2:2">
      <c r="B78" s="324" t="s">
        <v>884</v>
      </c>
    </row>
    <row r="79" spans="2:2">
      <c r="B79" s="324" t="s">
        <v>888</v>
      </c>
    </row>
    <row r="80" spans="2:2">
      <c r="B80" s="324" t="s">
        <v>895</v>
      </c>
    </row>
    <row r="81" spans="2:2">
      <c r="B81" s="324" t="s">
        <v>896</v>
      </c>
    </row>
    <row r="82" spans="2:2">
      <c r="B82" s="324" t="s">
        <v>897</v>
      </c>
    </row>
    <row r="83" spans="2:2">
      <c r="B83" s="324" t="s">
        <v>898</v>
      </c>
    </row>
    <row r="84" spans="2:2">
      <c r="B84" s="324" t="s">
        <v>899</v>
      </c>
    </row>
    <row r="85" spans="2:2">
      <c r="B85" s="324" t="s">
        <v>784</v>
      </c>
    </row>
    <row r="86" spans="2:2">
      <c r="B86" s="324" t="s">
        <v>575</v>
      </c>
    </row>
    <row r="87" spans="2:2">
      <c r="B87" s="324" t="s">
        <v>404</v>
      </c>
    </row>
    <row r="88" spans="2:2">
      <c r="B88" s="324" t="s">
        <v>405</v>
      </c>
    </row>
    <row r="89" spans="2:2">
      <c r="B89" s="324" t="s">
        <v>407</v>
      </c>
    </row>
    <row r="90" spans="2:2">
      <c r="B90" s="324" t="s">
        <v>408</v>
      </c>
    </row>
    <row r="91" spans="2:2">
      <c r="B91" s="324" t="s">
        <v>412</v>
      </c>
    </row>
    <row r="92" spans="2:2">
      <c r="B92" s="324" t="s">
        <v>415</v>
      </c>
    </row>
    <row r="93" spans="2:2">
      <c r="B93" s="324" t="s">
        <v>416</v>
      </c>
    </row>
    <row r="94" spans="2:2">
      <c r="B94" s="324" t="s">
        <v>135</v>
      </c>
    </row>
    <row r="95" spans="2:2">
      <c r="B95" s="324" t="s">
        <v>136</v>
      </c>
    </row>
    <row r="96" spans="2:2">
      <c r="B96" s="324" t="s">
        <v>137</v>
      </c>
    </row>
    <row r="97" spans="2:2">
      <c r="B97" s="324" t="s">
        <v>138</v>
      </c>
    </row>
    <row r="98" spans="2:2">
      <c r="B98" s="324" t="s">
        <v>141</v>
      </c>
    </row>
    <row r="99" spans="2:2">
      <c r="B99" s="324" t="s">
        <v>142</v>
      </c>
    </row>
    <row r="100" spans="2:2">
      <c r="B100" s="324" t="s">
        <v>143</v>
      </c>
    </row>
    <row r="101" spans="2:2">
      <c r="B101" s="324" t="s">
        <v>144</v>
      </c>
    </row>
    <row r="102" spans="2:2">
      <c r="B102" s="324" t="s">
        <v>145</v>
      </c>
    </row>
    <row r="103" spans="2:2">
      <c r="B103" s="324" t="s">
        <v>146</v>
      </c>
    </row>
    <row r="104" spans="2:2">
      <c r="B104" s="324" t="s">
        <v>147</v>
      </c>
    </row>
    <row r="105" spans="2:2">
      <c r="B105" s="324" t="s">
        <v>150</v>
      </c>
    </row>
    <row r="106" spans="2:2">
      <c r="B106" s="324" t="s">
        <v>151</v>
      </c>
    </row>
    <row r="107" spans="2:2">
      <c r="B107" s="324" t="s">
        <v>156</v>
      </c>
    </row>
    <row r="108" spans="2:2">
      <c r="B108" s="324" t="s">
        <v>161</v>
      </c>
    </row>
    <row r="109" spans="2:2">
      <c r="B109" s="324" t="s">
        <v>162</v>
      </c>
    </row>
    <row r="110" spans="2:2">
      <c r="B110" s="324" t="s">
        <v>165</v>
      </c>
    </row>
    <row r="111" spans="2:2">
      <c r="B111" s="324" t="s">
        <v>1120</v>
      </c>
    </row>
    <row r="112" spans="2:2">
      <c r="B112" s="324" t="s">
        <v>1123</v>
      </c>
    </row>
    <row r="113" spans="2:2">
      <c r="B113" s="324" t="s">
        <v>1125</v>
      </c>
    </row>
    <row r="114" spans="2:2">
      <c r="B114" s="324" t="s">
        <v>1147</v>
      </c>
    </row>
    <row r="115" spans="2:2">
      <c r="B115" s="324" t="s">
        <v>1148</v>
      </c>
    </row>
    <row r="116" spans="2:2">
      <c r="B116" s="324" t="s">
        <v>1149</v>
      </c>
    </row>
    <row r="117" spans="2:2">
      <c r="B117" s="324" t="s">
        <v>1150</v>
      </c>
    </row>
    <row r="118" spans="2:2">
      <c r="B118" s="324" t="s">
        <v>1153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B2:B72"/>
  <sheetViews>
    <sheetView topLeftCell="A46" workbookViewId="0">
      <selection activeCell="B72" sqref="B72"/>
    </sheetView>
  </sheetViews>
  <sheetFormatPr baseColWidth="10" defaultColWidth="9.109375" defaultRowHeight="13.2"/>
  <cols>
    <col min="2" max="2" width="12.109375" customWidth="1"/>
  </cols>
  <sheetData>
    <row r="2" spans="2:2" ht="13.8" thickBot="1"/>
    <row r="3" spans="2:2" ht="13.8" thickTop="1">
      <c r="B3" s="307" t="s">
        <v>1251</v>
      </c>
    </row>
    <row r="4" spans="2:2">
      <c r="B4" s="324" t="s">
        <v>1253</v>
      </c>
    </row>
    <row r="5" spans="2:2">
      <c r="B5" s="324" t="s">
        <v>1254</v>
      </c>
    </row>
    <row r="6" spans="2:2">
      <c r="B6" s="324" t="s">
        <v>1255</v>
      </c>
    </row>
    <row r="7" spans="2:2">
      <c r="B7" s="324" t="s">
        <v>1256</v>
      </c>
    </row>
    <row r="8" spans="2:2">
      <c r="B8" s="324" t="s">
        <v>1257</v>
      </c>
    </row>
    <row r="9" spans="2:2">
      <c r="B9" s="324" t="s">
        <v>1258</v>
      </c>
    </row>
    <row r="10" spans="2:2">
      <c r="B10" s="324" t="s">
        <v>1259</v>
      </c>
    </row>
    <row r="11" spans="2:2">
      <c r="B11" s="324" t="s">
        <v>1260</v>
      </c>
    </row>
    <row r="12" spans="2:2">
      <c r="B12" s="324" t="s">
        <v>1261</v>
      </c>
    </row>
    <row r="13" spans="2:2">
      <c r="B13" s="324" t="s">
        <v>1262</v>
      </c>
    </row>
    <row r="14" spans="2:2">
      <c r="B14" s="324" t="s">
        <v>1263</v>
      </c>
    </row>
    <row r="15" spans="2:2">
      <c r="B15" s="324" t="s">
        <v>1264</v>
      </c>
    </row>
    <row r="16" spans="2:2">
      <c r="B16" s="324" t="s">
        <v>1265</v>
      </c>
    </row>
    <row r="17" spans="2:2">
      <c r="B17" s="324" t="s">
        <v>1266</v>
      </c>
    </row>
    <row r="18" spans="2:2">
      <c r="B18" s="324" t="s">
        <v>1267</v>
      </c>
    </row>
    <row r="19" spans="2:2">
      <c r="B19" s="324" t="s">
        <v>1268</v>
      </c>
    </row>
    <row r="20" spans="2:2">
      <c r="B20" s="324" t="s">
        <v>1269</v>
      </c>
    </row>
    <row r="21" spans="2:2">
      <c r="B21" s="324" t="s">
        <v>1270</v>
      </c>
    </row>
    <row r="22" spans="2:2">
      <c r="B22" s="324" t="s">
        <v>1271</v>
      </c>
    </row>
    <row r="23" spans="2:2">
      <c r="B23" s="324" t="s">
        <v>1272</v>
      </c>
    </row>
    <row r="24" spans="2:2">
      <c r="B24" s="324" t="s">
        <v>1273</v>
      </c>
    </row>
    <row r="25" spans="2:2">
      <c r="B25" s="324" t="s">
        <v>1274</v>
      </c>
    </row>
    <row r="26" spans="2:2">
      <c r="B26" s="324" t="s">
        <v>1275</v>
      </c>
    </row>
    <row r="27" spans="2:2">
      <c r="B27" s="324" t="s">
        <v>1276</v>
      </c>
    </row>
    <row r="28" spans="2:2">
      <c r="B28" s="324" t="s">
        <v>1277</v>
      </c>
    </row>
    <row r="29" spans="2:2">
      <c r="B29" s="324" t="s">
        <v>1278</v>
      </c>
    </row>
    <row r="30" spans="2:2">
      <c r="B30" s="324" t="s">
        <v>1279</v>
      </c>
    </row>
    <row r="31" spans="2:2">
      <c r="B31" s="324" t="s">
        <v>1280</v>
      </c>
    </row>
    <row r="32" spans="2:2">
      <c r="B32" s="324" t="s">
        <v>1281</v>
      </c>
    </row>
    <row r="33" spans="2:2">
      <c r="B33" s="324" t="s">
        <v>1282</v>
      </c>
    </row>
    <row r="34" spans="2:2">
      <c r="B34" s="324" t="s">
        <v>1283</v>
      </c>
    </row>
    <row r="35" spans="2:2">
      <c r="B35" s="324" t="s">
        <v>1284</v>
      </c>
    </row>
    <row r="36" spans="2:2">
      <c r="B36" s="324" t="s">
        <v>1285</v>
      </c>
    </row>
    <row r="37" spans="2:2">
      <c r="B37" s="324" t="s">
        <v>1286</v>
      </c>
    </row>
    <row r="38" spans="2:2">
      <c r="B38" s="324" t="s">
        <v>1287</v>
      </c>
    </row>
    <row r="39" spans="2:2">
      <c r="B39" s="324" t="s">
        <v>1288</v>
      </c>
    </row>
    <row r="40" spans="2:2">
      <c r="B40" s="324" t="s">
        <v>1289</v>
      </c>
    </row>
    <row r="41" spans="2:2">
      <c r="B41" s="324" t="s">
        <v>1290</v>
      </c>
    </row>
    <row r="42" spans="2:2">
      <c r="B42" s="324" t="s">
        <v>1291</v>
      </c>
    </row>
    <row r="43" spans="2:2">
      <c r="B43" s="324" t="s">
        <v>1292</v>
      </c>
    </row>
    <row r="44" spans="2:2">
      <c r="B44" s="324" t="s">
        <v>1293</v>
      </c>
    </row>
    <row r="45" spans="2:2">
      <c r="B45" s="324" t="s">
        <v>1294</v>
      </c>
    </row>
    <row r="46" spans="2:2">
      <c r="B46" s="324" t="s">
        <v>1295</v>
      </c>
    </row>
    <row r="47" spans="2:2">
      <c r="B47" s="324" t="s">
        <v>1296</v>
      </c>
    </row>
    <row r="48" spans="2:2">
      <c r="B48" s="324" t="s">
        <v>1297</v>
      </c>
    </row>
    <row r="49" spans="2:2">
      <c r="B49" s="324" t="s">
        <v>840</v>
      </c>
    </row>
    <row r="50" spans="2:2">
      <c r="B50" s="324" t="s">
        <v>845</v>
      </c>
    </row>
    <row r="51" spans="2:2">
      <c r="B51" s="324" t="s">
        <v>783</v>
      </c>
    </row>
    <row r="52" spans="2:2">
      <c r="B52" s="324" t="s">
        <v>787</v>
      </c>
    </row>
    <row r="53" spans="2:2">
      <c r="B53" s="324" t="s">
        <v>790</v>
      </c>
    </row>
    <row r="54" spans="2:2">
      <c r="B54" s="324" t="s">
        <v>211</v>
      </c>
    </row>
    <row r="55" spans="2:2">
      <c r="B55" s="324" t="s">
        <v>212</v>
      </c>
    </row>
    <row r="56" spans="2:2">
      <c r="B56" s="324" t="s">
        <v>215</v>
      </c>
    </row>
    <row r="57" spans="2:2">
      <c r="B57" s="324" t="s">
        <v>131</v>
      </c>
    </row>
    <row r="58" spans="2:2">
      <c r="B58" s="324" t="s">
        <v>1306</v>
      </c>
    </row>
    <row r="59" spans="2:2">
      <c r="B59" s="324" t="s">
        <v>1311</v>
      </c>
    </row>
    <row r="60" spans="2:2">
      <c r="B60" s="324" t="s">
        <v>1314</v>
      </c>
    </row>
    <row r="61" spans="2:2">
      <c r="B61" s="324" t="s">
        <v>1316</v>
      </c>
    </row>
    <row r="62" spans="2:2">
      <c r="B62" s="324" t="s">
        <v>1318</v>
      </c>
    </row>
    <row r="63" spans="2:2">
      <c r="B63" s="324" t="s">
        <v>1319</v>
      </c>
    </row>
    <row r="64" spans="2:2">
      <c r="B64" s="324" t="s">
        <v>1322</v>
      </c>
    </row>
    <row r="65" spans="2:2">
      <c r="B65" s="324" t="s">
        <v>1342</v>
      </c>
    </row>
    <row r="66" spans="2:2">
      <c r="B66" s="324" t="s">
        <v>1344</v>
      </c>
    </row>
    <row r="67" spans="2:2">
      <c r="B67" s="324" t="s">
        <v>1346</v>
      </c>
    </row>
    <row r="68" spans="2:2">
      <c r="B68" s="324" t="s">
        <v>1348</v>
      </c>
    </row>
    <row r="69" spans="2:2">
      <c r="B69" s="324" t="s">
        <v>1350</v>
      </c>
    </row>
    <row r="70" spans="2:2">
      <c r="B70" s="324" t="s">
        <v>1352</v>
      </c>
    </row>
    <row r="71" spans="2:2">
      <c r="B71" s="324" t="s">
        <v>299</v>
      </c>
    </row>
    <row r="72" spans="2:2">
      <c r="B72" s="324" t="s">
        <v>302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B2:B4"/>
  <sheetViews>
    <sheetView workbookViewId="0">
      <selection activeCell="B4" sqref="B4"/>
    </sheetView>
  </sheetViews>
  <sheetFormatPr baseColWidth="10" defaultColWidth="9.109375" defaultRowHeight="13.2"/>
  <cols>
    <col min="2" max="2" width="12.109375" customWidth="1"/>
  </cols>
  <sheetData>
    <row r="2" spans="2:2" ht="13.8" thickBot="1"/>
    <row r="3" spans="2:2" ht="13.8" thickTop="1">
      <c r="B3" s="307" t="s">
        <v>1207</v>
      </c>
    </row>
    <row r="4" spans="2:2">
      <c r="B4" s="324" t="s">
        <v>851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LG290"/>
  <sheetViews>
    <sheetView showGridLines="0" showZeros="0" zoomScale="70" zoomScaleNormal="70" workbookViewId="0">
      <pane xSplit="6" ySplit="13" topLeftCell="G77" activePane="bottomRight" state="frozen"/>
      <selection sqref="A1:XFD1048576"/>
      <selection pane="topRight" sqref="A1:XFD1048576"/>
      <selection pane="bottomLeft" sqref="A1:XFD1048576"/>
      <selection pane="bottomRight" activeCell="DT10" sqref="DT10:DT28"/>
    </sheetView>
  </sheetViews>
  <sheetFormatPr baseColWidth="10" defaultColWidth="9.109375" defaultRowHeight="13.8" outlineLevelCol="1"/>
  <cols>
    <col min="1" max="1" width="3.44140625" style="560" customWidth="1"/>
    <col min="2" max="2" width="5" style="560" customWidth="1"/>
    <col min="3" max="3" width="10.88671875" style="560" customWidth="1" outlineLevel="1"/>
    <col min="4" max="4" width="5.6640625" style="560" customWidth="1" outlineLevel="1"/>
    <col min="5" max="5" width="7.5546875" style="560" customWidth="1" outlineLevel="1"/>
    <col min="6" max="6" width="64.109375" style="560" customWidth="1"/>
    <col min="7" max="7" width="9.33203125" style="560" bestFit="1" customWidth="1"/>
    <col min="8" max="8" width="14.5546875" style="560" customWidth="1"/>
    <col min="9" max="9" width="16" style="560" customWidth="1" outlineLevel="1"/>
    <col min="10" max="10" width="16.88671875" style="560" customWidth="1" outlineLevel="1"/>
    <col min="11" max="11" width="9.33203125" style="560" customWidth="1" outlineLevel="1"/>
    <col min="12" max="12" width="8.44140625" style="560" customWidth="1" outlineLevel="1"/>
    <col min="13" max="14" width="9.33203125" style="772" bestFit="1" customWidth="1"/>
    <col min="15" max="15" width="10.33203125" style="772" bestFit="1" customWidth="1"/>
    <col min="16" max="16" width="4.44140625" style="773" customWidth="1"/>
    <col min="17" max="31" width="5.33203125" style="560" customWidth="1"/>
    <col min="32" max="65" width="5.33203125" style="560" hidden="1" customWidth="1" outlineLevel="1"/>
    <col min="66" max="66" width="2" style="560" customWidth="1" collapsed="1"/>
    <col min="67" max="67" width="9.109375" style="560"/>
    <col min="68" max="68" width="13.44140625" style="560" bestFit="1" customWidth="1"/>
    <col min="69" max="69" width="14.109375" style="560" bestFit="1" customWidth="1"/>
    <col min="70" max="70" width="16" style="560" bestFit="1" customWidth="1"/>
    <col min="71" max="71" width="10" style="560" bestFit="1" customWidth="1"/>
    <col min="72" max="72" width="13.44140625" style="560" bestFit="1" customWidth="1"/>
    <col min="73" max="73" width="11.109375" style="560" bestFit="1" customWidth="1"/>
    <col min="74" max="74" width="9.109375" style="560"/>
    <col min="75" max="122" width="5.5546875" style="560" customWidth="1" outlineLevel="1"/>
    <col min="123" max="123" width="9.109375" style="560"/>
    <col min="124" max="171" width="5.5546875" style="560" customWidth="1" outlineLevel="1"/>
    <col min="172" max="172" width="9.109375" style="560"/>
    <col min="173" max="220" width="5.5546875" style="560" customWidth="1" outlineLevel="1"/>
    <col min="221" max="221" width="9.109375" style="560"/>
    <col min="222" max="269" width="5.5546875" style="560" hidden="1" customWidth="1" outlineLevel="1"/>
    <col min="270" max="270" width="9.109375" style="560" collapsed="1"/>
    <col min="271" max="318" width="5.5546875" style="560" customWidth="1" outlineLevel="1"/>
    <col min="319" max="16384" width="9.109375" style="560"/>
  </cols>
  <sheetData>
    <row r="1" spans="1:319" ht="14.4" thickBot="1"/>
    <row r="2" spans="1:319" ht="15.6">
      <c r="B2" s="561" t="s">
        <v>1110</v>
      </c>
      <c r="C2" s="562"/>
      <c r="D2" s="562"/>
      <c r="E2" s="563"/>
      <c r="F2" s="564">
        <f>+licitacion</f>
        <v>0</v>
      </c>
      <c r="G2" s="774"/>
      <c r="H2" s="774"/>
      <c r="I2" s="774"/>
      <c r="J2" s="774"/>
      <c r="K2" s="774"/>
      <c r="L2" s="774"/>
      <c r="M2" s="774"/>
      <c r="N2" s="774"/>
      <c r="O2" s="775"/>
      <c r="P2" s="776"/>
      <c r="Q2" s="777"/>
      <c r="R2" s="778"/>
      <c r="S2" s="778"/>
      <c r="T2" s="778"/>
      <c r="U2" s="778"/>
      <c r="V2" s="778"/>
      <c r="W2" s="778"/>
      <c r="X2" s="778"/>
      <c r="Y2" s="778"/>
      <c r="Z2" s="778"/>
      <c r="AA2" s="778"/>
      <c r="AB2" s="778"/>
      <c r="AC2" s="778"/>
      <c r="AD2" s="778"/>
      <c r="AE2" s="778"/>
      <c r="AF2" s="778"/>
      <c r="AG2" s="778"/>
      <c r="AH2" s="778"/>
      <c r="AI2" s="778"/>
      <c r="AJ2" s="778"/>
      <c r="AK2" s="778"/>
      <c r="AL2" s="778"/>
      <c r="AM2" s="778"/>
      <c r="AN2" s="778"/>
      <c r="AO2" s="778"/>
      <c r="AP2" s="778"/>
      <c r="AQ2" s="778"/>
      <c r="AR2" s="778"/>
      <c r="AS2" s="778"/>
      <c r="AT2" s="778"/>
      <c r="AU2" s="778"/>
      <c r="AV2" s="778"/>
      <c r="AW2" s="778"/>
      <c r="AX2" s="778"/>
      <c r="AY2" s="778"/>
      <c r="AZ2" s="778"/>
      <c r="BA2" s="778"/>
      <c r="BB2" s="778"/>
      <c r="BC2" s="778"/>
      <c r="BD2" s="778"/>
      <c r="BE2" s="778"/>
      <c r="BF2" s="778"/>
      <c r="BG2" s="778"/>
      <c r="BH2" s="778"/>
      <c r="BI2" s="778"/>
      <c r="BJ2" s="778"/>
      <c r="BK2" s="778"/>
      <c r="BL2" s="778"/>
      <c r="BM2" s="778"/>
      <c r="BN2" s="779"/>
    </row>
    <row r="3" spans="1:319" ht="15.6">
      <c r="B3" s="780" t="s">
        <v>937</v>
      </c>
      <c r="C3" s="781"/>
      <c r="D3" s="781"/>
      <c r="E3" s="782"/>
      <c r="F3" s="1764" t="str">
        <f>+obra</f>
        <v>CONSTRUCCIÓN DE SANITARIOS</v>
      </c>
      <c r="G3" s="1764"/>
      <c r="H3" s="1764"/>
      <c r="I3" s="1764"/>
      <c r="J3" s="1764"/>
      <c r="K3" s="1764"/>
      <c r="L3" s="1764"/>
      <c r="M3" s="1764"/>
      <c r="N3" s="1764"/>
      <c r="O3" s="1765"/>
      <c r="P3" s="776"/>
      <c r="Q3" s="783" t="s">
        <v>951</v>
      </c>
      <c r="R3" s="784"/>
      <c r="S3" s="784"/>
      <c r="T3" s="784"/>
      <c r="U3" s="784"/>
      <c r="V3" s="784"/>
      <c r="W3" s="784"/>
      <c r="X3" s="784"/>
      <c r="Y3" s="784"/>
      <c r="Z3" s="784"/>
      <c r="AA3" s="784"/>
      <c r="AB3" s="784"/>
      <c r="AC3" s="784"/>
      <c r="AD3" s="784"/>
      <c r="AE3" s="784"/>
      <c r="AF3" s="784"/>
      <c r="AG3" s="784"/>
      <c r="AH3" s="784"/>
      <c r="AI3" s="784"/>
      <c r="AJ3" s="784"/>
      <c r="AK3" s="784"/>
      <c r="AL3" s="784"/>
      <c r="AM3" s="784"/>
      <c r="AN3" s="784"/>
      <c r="AO3" s="784"/>
      <c r="AP3" s="784"/>
      <c r="AQ3" s="784"/>
      <c r="AR3" s="784"/>
      <c r="AS3" s="784"/>
      <c r="AT3" s="784"/>
      <c r="AU3" s="784"/>
      <c r="AV3" s="784"/>
      <c r="AW3" s="784"/>
      <c r="AX3" s="784"/>
      <c r="AY3" s="784"/>
      <c r="AZ3" s="784"/>
      <c r="BA3" s="784"/>
      <c r="BB3" s="784"/>
      <c r="BC3" s="784"/>
      <c r="BD3" s="784"/>
      <c r="BE3" s="784"/>
      <c r="BF3" s="784"/>
      <c r="BG3" s="784"/>
      <c r="BH3" s="784"/>
      <c r="BI3" s="784"/>
      <c r="BJ3" s="784"/>
      <c r="BK3" s="784"/>
      <c r="BL3" s="784"/>
      <c r="BM3" s="784"/>
      <c r="BN3" s="785"/>
    </row>
    <row r="4" spans="1:319" ht="16.2" thickBot="1">
      <c r="B4" s="578" t="s">
        <v>938</v>
      </c>
      <c r="C4" s="579"/>
      <c r="D4" s="579"/>
      <c r="E4" s="580"/>
      <c r="F4" s="580" t="str">
        <f>+comitente</f>
        <v>MUNICIPALIDAD DE GODOY CRUZ</v>
      </c>
      <c r="G4" s="786"/>
      <c r="H4" s="786"/>
      <c r="I4" s="786"/>
      <c r="J4" s="786"/>
      <c r="K4" s="786"/>
      <c r="L4" s="786"/>
      <c r="M4" s="786"/>
      <c r="N4" s="786"/>
      <c r="O4" s="787"/>
      <c r="P4" s="776"/>
      <c r="Q4" s="788"/>
      <c r="R4" s="789"/>
      <c r="S4" s="789"/>
      <c r="T4" s="789"/>
      <c r="U4" s="789"/>
      <c r="V4" s="789"/>
      <c r="W4" s="789"/>
      <c r="X4" s="789"/>
      <c r="Y4" s="789"/>
      <c r="Z4" s="789"/>
      <c r="AA4" s="789"/>
      <c r="AB4" s="789"/>
      <c r="AC4" s="789"/>
      <c r="AD4" s="789"/>
      <c r="AE4" s="789"/>
      <c r="AF4" s="789"/>
      <c r="AG4" s="789"/>
      <c r="AH4" s="789"/>
      <c r="AI4" s="789"/>
      <c r="AJ4" s="789"/>
      <c r="AK4" s="789"/>
      <c r="AL4" s="789"/>
      <c r="AM4" s="789"/>
      <c r="AN4" s="789"/>
      <c r="AO4" s="789"/>
      <c r="AP4" s="789"/>
      <c r="AQ4" s="789"/>
      <c r="AR4" s="789"/>
      <c r="AS4" s="789"/>
      <c r="AT4" s="789"/>
      <c r="AU4" s="789"/>
      <c r="AV4" s="789"/>
      <c r="AW4" s="789"/>
      <c r="AX4" s="789"/>
      <c r="AY4" s="789"/>
      <c r="AZ4" s="789"/>
      <c r="BA4" s="789"/>
      <c r="BB4" s="789"/>
      <c r="BC4" s="789"/>
      <c r="BD4" s="789"/>
      <c r="BE4" s="789"/>
      <c r="BF4" s="789"/>
      <c r="BG4" s="789"/>
      <c r="BH4" s="789"/>
      <c r="BI4" s="789"/>
      <c r="BJ4" s="789"/>
      <c r="BK4" s="789"/>
      <c r="BL4" s="789"/>
      <c r="BM4" s="789"/>
      <c r="BN4" s="785"/>
    </row>
    <row r="5" spans="1:319" ht="16.2" thickBot="1">
      <c r="B5" s="585"/>
      <c r="C5" s="579"/>
      <c r="D5" s="579"/>
      <c r="E5" s="580"/>
      <c r="F5" s="580"/>
      <c r="G5" s="586"/>
      <c r="H5" s="587"/>
      <c r="I5" s="582"/>
      <c r="J5" s="583"/>
      <c r="K5" s="583"/>
      <c r="L5" s="583"/>
      <c r="M5" s="790"/>
      <c r="N5" s="790"/>
      <c r="O5" s="790"/>
      <c r="P5" s="791"/>
      <c r="Q5" s="792"/>
      <c r="R5" s="583"/>
      <c r="S5" s="583"/>
      <c r="T5" s="583"/>
      <c r="U5" s="583"/>
      <c r="V5" s="583"/>
      <c r="W5" s="583"/>
      <c r="X5" s="583"/>
      <c r="Y5" s="583"/>
      <c r="Z5" s="583"/>
      <c r="AA5" s="583"/>
      <c r="AB5" s="583"/>
      <c r="AC5" s="583"/>
      <c r="AD5" s="583"/>
      <c r="AE5" s="583"/>
      <c r="AF5" s="583"/>
      <c r="AG5" s="583"/>
      <c r="AH5" s="583"/>
      <c r="AI5" s="583"/>
      <c r="AJ5" s="583"/>
      <c r="AK5" s="583"/>
      <c r="AL5" s="583"/>
      <c r="AM5" s="583"/>
      <c r="AN5" s="583"/>
      <c r="AO5" s="583"/>
      <c r="AP5" s="583"/>
      <c r="AQ5" s="583"/>
      <c r="AR5" s="583"/>
      <c r="AS5" s="583"/>
      <c r="AT5" s="583"/>
      <c r="AU5" s="583"/>
      <c r="AV5" s="583"/>
      <c r="AW5" s="583"/>
      <c r="AX5" s="583"/>
      <c r="AY5" s="583"/>
      <c r="AZ5" s="583"/>
      <c r="BA5" s="583"/>
      <c r="BB5" s="583"/>
      <c r="BC5" s="583"/>
      <c r="BD5" s="583"/>
      <c r="BE5" s="583"/>
      <c r="BF5" s="583"/>
      <c r="BG5" s="583"/>
      <c r="BH5" s="583"/>
      <c r="BI5" s="583"/>
      <c r="BJ5" s="583"/>
      <c r="BK5" s="583"/>
      <c r="BL5" s="583"/>
      <c r="BM5" s="583"/>
      <c r="BN5" s="785"/>
    </row>
    <row r="6" spans="1:319" ht="16.2" thickBot="1">
      <c r="B6" s="793"/>
      <c r="C6" s="794" t="s">
        <v>1113</v>
      </c>
      <c r="D6" s="794"/>
      <c r="E6" s="794"/>
      <c r="F6" s="795"/>
      <c r="G6" s="794"/>
      <c r="H6" s="796"/>
      <c r="I6" s="796"/>
      <c r="J6" s="794"/>
      <c r="K6" s="778"/>
      <c r="L6" s="778"/>
      <c r="M6" s="797"/>
      <c r="N6" s="797"/>
      <c r="O6" s="797"/>
      <c r="P6" s="776"/>
      <c r="Q6" s="798" t="s">
        <v>1336</v>
      </c>
      <c r="R6" s="784"/>
      <c r="S6" s="784"/>
      <c r="T6" s="784"/>
      <c r="U6" s="784"/>
      <c r="V6" s="784"/>
      <c r="W6" s="1766" t="s">
        <v>4617</v>
      </c>
      <c r="X6" s="1766"/>
      <c r="Y6" s="1766"/>
      <c r="Z6" s="1766"/>
      <c r="AA6" s="784"/>
      <c r="AB6" s="784"/>
      <c r="AC6" s="784"/>
      <c r="AD6" s="784"/>
      <c r="AE6" s="784"/>
      <c r="AF6" s="784"/>
      <c r="AG6" s="784"/>
      <c r="AH6" s="784"/>
      <c r="AI6" s="784"/>
      <c r="AJ6" s="784"/>
      <c r="AK6" s="784"/>
      <c r="AL6" s="784"/>
      <c r="AM6" s="784"/>
      <c r="AN6" s="784"/>
      <c r="AO6" s="784"/>
      <c r="AP6" s="784"/>
      <c r="AQ6" s="784"/>
      <c r="AR6" s="784"/>
      <c r="AS6" s="784"/>
      <c r="AT6" s="784"/>
      <c r="AU6" s="784"/>
      <c r="AV6" s="784"/>
      <c r="AW6" s="784"/>
      <c r="AX6" s="784"/>
      <c r="AY6" s="784"/>
      <c r="AZ6" s="784"/>
      <c r="BA6" s="784"/>
      <c r="BB6" s="784"/>
      <c r="BC6" s="784"/>
      <c r="BD6" s="784"/>
      <c r="BE6" s="784"/>
      <c r="BF6" s="784"/>
      <c r="BG6" s="784"/>
      <c r="BH6" s="784"/>
      <c r="BI6" s="784"/>
      <c r="BJ6" s="784"/>
      <c r="BK6" s="784"/>
      <c r="BL6" s="784"/>
      <c r="BM6" s="784"/>
      <c r="BN6" s="785"/>
    </row>
    <row r="7" spans="1:319">
      <c r="B7" s="1713" t="s">
        <v>830</v>
      </c>
      <c r="C7" s="1715" t="s">
        <v>1323</v>
      </c>
      <c r="D7" s="1715" t="s">
        <v>1115</v>
      </c>
      <c r="E7" s="1715" t="s">
        <v>1116</v>
      </c>
      <c r="F7" s="1715" t="s">
        <v>370</v>
      </c>
      <c r="G7" s="1715" t="s">
        <v>371</v>
      </c>
      <c r="H7" s="1745" t="s">
        <v>1324</v>
      </c>
      <c r="I7" s="1745" t="s">
        <v>372</v>
      </c>
      <c r="J7" s="1758" t="s">
        <v>325</v>
      </c>
      <c r="K7" s="1745" t="s">
        <v>832</v>
      </c>
      <c r="L7" s="1761" t="s">
        <v>1325</v>
      </c>
      <c r="M7" s="1755" t="s">
        <v>1327</v>
      </c>
      <c r="N7" s="1755" t="s">
        <v>1328</v>
      </c>
      <c r="O7" s="1755" t="s">
        <v>1340</v>
      </c>
      <c r="P7" s="1754"/>
      <c r="Q7" s="1748">
        <f>+IF(W6="QUINCENAL",0.5,1)</f>
        <v>0.5</v>
      </c>
      <c r="R7" s="1751">
        <f>IF($W$6="QUINCENAL",+Q7+0.5,Q7+1)</f>
        <v>1</v>
      </c>
      <c r="S7" s="1751">
        <f t="shared" ref="S7:BM7" si="0">IF($W$6="QUINCENAL",+R7+0.5,R7+1)</f>
        <v>1.5</v>
      </c>
      <c r="T7" s="1751">
        <f t="shared" si="0"/>
        <v>2</v>
      </c>
      <c r="U7" s="1751">
        <f t="shared" si="0"/>
        <v>2.5</v>
      </c>
      <c r="V7" s="1751">
        <f t="shared" si="0"/>
        <v>3</v>
      </c>
      <c r="W7" s="1751">
        <f t="shared" si="0"/>
        <v>3.5</v>
      </c>
      <c r="X7" s="1751">
        <f t="shared" si="0"/>
        <v>4</v>
      </c>
      <c r="Y7" s="1751">
        <f t="shared" si="0"/>
        <v>4.5</v>
      </c>
      <c r="Z7" s="1751">
        <f t="shared" si="0"/>
        <v>5</v>
      </c>
      <c r="AA7" s="1751">
        <f t="shared" si="0"/>
        <v>5.5</v>
      </c>
      <c r="AB7" s="1751">
        <f t="shared" si="0"/>
        <v>6</v>
      </c>
      <c r="AC7" s="1751">
        <f t="shared" si="0"/>
        <v>6.5</v>
      </c>
      <c r="AD7" s="1751">
        <f t="shared" si="0"/>
        <v>7</v>
      </c>
      <c r="AE7" s="1751">
        <f t="shared" si="0"/>
        <v>7.5</v>
      </c>
      <c r="AF7" s="1751">
        <f t="shared" si="0"/>
        <v>8</v>
      </c>
      <c r="AG7" s="1751">
        <f t="shared" si="0"/>
        <v>8.5</v>
      </c>
      <c r="AH7" s="1751">
        <f t="shared" si="0"/>
        <v>9</v>
      </c>
      <c r="AI7" s="1751">
        <f t="shared" si="0"/>
        <v>9.5</v>
      </c>
      <c r="AJ7" s="1751">
        <f t="shared" si="0"/>
        <v>10</v>
      </c>
      <c r="AK7" s="1751">
        <f t="shared" si="0"/>
        <v>10.5</v>
      </c>
      <c r="AL7" s="1751">
        <f t="shared" si="0"/>
        <v>11</v>
      </c>
      <c r="AM7" s="1751">
        <f t="shared" si="0"/>
        <v>11.5</v>
      </c>
      <c r="AN7" s="1751">
        <f t="shared" si="0"/>
        <v>12</v>
      </c>
      <c r="AO7" s="1751">
        <f t="shared" si="0"/>
        <v>12.5</v>
      </c>
      <c r="AP7" s="1751">
        <f t="shared" si="0"/>
        <v>13</v>
      </c>
      <c r="AQ7" s="1751">
        <f t="shared" si="0"/>
        <v>13.5</v>
      </c>
      <c r="AR7" s="1751">
        <f t="shared" si="0"/>
        <v>14</v>
      </c>
      <c r="AS7" s="1751">
        <f t="shared" si="0"/>
        <v>14.5</v>
      </c>
      <c r="AT7" s="1751">
        <f t="shared" si="0"/>
        <v>15</v>
      </c>
      <c r="AU7" s="1751">
        <f t="shared" si="0"/>
        <v>15.5</v>
      </c>
      <c r="AV7" s="1751">
        <f t="shared" si="0"/>
        <v>16</v>
      </c>
      <c r="AW7" s="1751">
        <f t="shared" si="0"/>
        <v>16.5</v>
      </c>
      <c r="AX7" s="1751">
        <f t="shared" si="0"/>
        <v>17</v>
      </c>
      <c r="AY7" s="1751">
        <f t="shared" si="0"/>
        <v>17.5</v>
      </c>
      <c r="AZ7" s="1751">
        <f t="shared" si="0"/>
        <v>18</v>
      </c>
      <c r="BA7" s="1751">
        <f t="shared" si="0"/>
        <v>18.5</v>
      </c>
      <c r="BB7" s="1751">
        <f t="shared" si="0"/>
        <v>19</v>
      </c>
      <c r="BC7" s="1751">
        <f t="shared" si="0"/>
        <v>19.5</v>
      </c>
      <c r="BD7" s="1751">
        <f t="shared" si="0"/>
        <v>20</v>
      </c>
      <c r="BE7" s="1751">
        <f t="shared" si="0"/>
        <v>20.5</v>
      </c>
      <c r="BF7" s="1751">
        <f t="shared" si="0"/>
        <v>21</v>
      </c>
      <c r="BG7" s="1751">
        <f t="shared" si="0"/>
        <v>21.5</v>
      </c>
      <c r="BH7" s="1751">
        <f t="shared" si="0"/>
        <v>22</v>
      </c>
      <c r="BI7" s="1751">
        <f t="shared" si="0"/>
        <v>22.5</v>
      </c>
      <c r="BJ7" s="1751">
        <f t="shared" si="0"/>
        <v>23</v>
      </c>
      <c r="BK7" s="1751">
        <f t="shared" si="0"/>
        <v>23.5</v>
      </c>
      <c r="BL7" s="1751">
        <f t="shared" si="0"/>
        <v>24</v>
      </c>
      <c r="BM7" s="1751">
        <f t="shared" si="0"/>
        <v>24.5</v>
      </c>
      <c r="BN7" s="785"/>
    </row>
    <row r="8" spans="1:319">
      <c r="B8" s="1744"/>
      <c r="C8" s="1743"/>
      <c r="D8" s="1743"/>
      <c r="E8" s="1743"/>
      <c r="F8" s="1743"/>
      <c r="G8" s="1743"/>
      <c r="H8" s="1746"/>
      <c r="I8" s="1746"/>
      <c r="J8" s="1759"/>
      <c r="K8" s="1746"/>
      <c r="L8" s="1762"/>
      <c r="M8" s="1756"/>
      <c r="N8" s="1756"/>
      <c r="O8" s="1756"/>
      <c r="P8" s="1754"/>
      <c r="Q8" s="1749"/>
      <c r="R8" s="1752"/>
      <c r="S8" s="1752"/>
      <c r="T8" s="1752"/>
      <c r="U8" s="1752"/>
      <c r="V8" s="1752"/>
      <c r="W8" s="1752"/>
      <c r="X8" s="1752"/>
      <c r="Y8" s="1752"/>
      <c r="Z8" s="1752"/>
      <c r="AA8" s="1752"/>
      <c r="AB8" s="1752"/>
      <c r="AC8" s="1752"/>
      <c r="AD8" s="1752"/>
      <c r="AE8" s="1752"/>
      <c r="AF8" s="1752"/>
      <c r="AG8" s="1752"/>
      <c r="AH8" s="1752"/>
      <c r="AI8" s="1752"/>
      <c r="AJ8" s="1752"/>
      <c r="AK8" s="1752"/>
      <c r="AL8" s="1752"/>
      <c r="AM8" s="1752"/>
      <c r="AN8" s="1752"/>
      <c r="AO8" s="1752"/>
      <c r="AP8" s="1752"/>
      <c r="AQ8" s="1752"/>
      <c r="AR8" s="1752"/>
      <c r="AS8" s="1752"/>
      <c r="AT8" s="1752"/>
      <c r="AU8" s="1752"/>
      <c r="AV8" s="1752"/>
      <c r="AW8" s="1752"/>
      <c r="AX8" s="1752"/>
      <c r="AY8" s="1752"/>
      <c r="AZ8" s="1752"/>
      <c r="BA8" s="1752"/>
      <c r="BB8" s="1752"/>
      <c r="BC8" s="1752"/>
      <c r="BD8" s="1752"/>
      <c r="BE8" s="1752"/>
      <c r="BF8" s="1752"/>
      <c r="BG8" s="1752"/>
      <c r="BH8" s="1752"/>
      <c r="BI8" s="1752"/>
      <c r="BJ8" s="1752"/>
      <c r="BK8" s="1752"/>
      <c r="BL8" s="1752"/>
      <c r="BM8" s="1752"/>
      <c r="BN8" s="785"/>
    </row>
    <row r="9" spans="1:319">
      <c r="B9" s="1744"/>
      <c r="C9" s="1743"/>
      <c r="D9" s="1743"/>
      <c r="E9" s="1743"/>
      <c r="F9" s="1743"/>
      <c r="G9" s="1743"/>
      <c r="H9" s="1746"/>
      <c r="I9" s="1746"/>
      <c r="J9" s="1759"/>
      <c r="K9" s="1746"/>
      <c r="L9" s="1762"/>
      <c r="M9" s="1756"/>
      <c r="N9" s="1756"/>
      <c r="O9" s="1756"/>
      <c r="P9" s="1754"/>
      <c r="Q9" s="1749"/>
      <c r="R9" s="1752"/>
      <c r="S9" s="1752"/>
      <c r="T9" s="1752"/>
      <c r="U9" s="1752"/>
      <c r="V9" s="1752"/>
      <c r="W9" s="1752"/>
      <c r="X9" s="1752"/>
      <c r="Y9" s="1752"/>
      <c r="Z9" s="1752"/>
      <c r="AA9" s="1752"/>
      <c r="AB9" s="1752"/>
      <c r="AC9" s="1752"/>
      <c r="AD9" s="1752"/>
      <c r="AE9" s="1752"/>
      <c r="AF9" s="1752"/>
      <c r="AG9" s="1752"/>
      <c r="AH9" s="1752"/>
      <c r="AI9" s="1752"/>
      <c r="AJ9" s="1752"/>
      <c r="AK9" s="1752"/>
      <c r="AL9" s="1752"/>
      <c r="AM9" s="1752"/>
      <c r="AN9" s="1752"/>
      <c r="AO9" s="1752"/>
      <c r="AP9" s="1752"/>
      <c r="AQ9" s="1752"/>
      <c r="AR9" s="1752"/>
      <c r="AS9" s="1752"/>
      <c r="AT9" s="1752"/>
      <c r="AU9" s="1752"/>
      <c r="AV9" s="1752"/>
      <c r="AW9" s="1752"/>
      <c r="AX9" s="1752"/>
      <c r="AY9" s="1752"/>
      <c r="AZ9" s="1752"/>
      <c r="BA9" s="1752"/>
      <c r="BB9" s="1752"/>
      <c r="BC9" s="1752"/>
      <c r="BD9" s="1752"/>
      <c r="BE9" s="1752"/>
      <c r="BF9" s="1752"/>
      <c r="BG9" s="1752"/>
      <c r="BH9" s="1752"/>
      <c r="BI9" s="1752"/>
      <c r="BJ9" s="1752"/>
      <c r="BK9" s="1752"/>
      <c r="BL9" s="1752"/>
      <c r="BM9" s="1752"/>
      <c r="BN9" s="785"/>
      <c r="BW9" s="1163" t="s">
        <v>3511</v>
      </c>
      <c r="DT9" s="1163" t="s">
        <v>3512</v>
      </c>
      <c r="FQ9" s="1163" t="s">
        <v>462</v>
      </c>
      <c r="HN9" s="1163" t="s">
        <v>1141</v>
      </c>
      <c r="JK9" s="1163" t="s">
        <v>1142</v>
      </c>
    </row>
    <row r="10" spans="1:319" ht="14.4" thickBot="1">
      <c r="B10" s="1714"/>
      <c r="C10" s="1716"/>
      <c r="D10" s="1716"/>
      <c r="E10" s="1716"/>
      <c r="F10" s="1716"/>
      <c r="G10" s="1716"/>
      <c r="H10" s="1747"/>
      <c r="I10" s="1747"/>
      <c r="J10" s="1760"/>
      <c r="K10" s="1747"/>
      <c r="L10" s="1763"/>
      <c r="M10" s="1757"/>
      <c r="N10" s="1757"/>
      <c r="O10" s="1757"/>
      <c r="P10" s="1754"/>
      <c r="Q10" s="1750"/>
      <c r="R10" s="1753"/>
      <c r="S10" s="1753"/>
      <c r="T10" s="1753"/>
      <c r="U10" s="1753"/>
      <c r="V10" s="1753"/>
      <c r="W10" s="1753"/>
      <c r="X10" s="1753"/>
      <c r="Y10" s="1753"/>
      <c r="Z10" s="1753"/>
      <c r="AA10" s="1753"/>
      <c r="AB10" s="1753"/>
      <c r="AC10" s="1753"/>
      <c r="AD10" s="1753"/>
      <c r="AE10" s="1753"/>
      <c r="AF10" s="1753"/>
      <c r="AG10" s="1753"/>
      <c r="AH10" s="1753"/>
      <c r="AI10" s="1753"/>
      <c r="AJ10" s="1753"/>
      <c r="AK10" s="1753"/>
      <c r="AL10" s="1753"/>
      <c r="AM10" s="1753"/>
      <c r="AN10" s="1753"/>
      <c r="AO10" s="1753"/>
      <c r="AP10" s="1753"/>
      <c r="AQ10" s="1753"/>
      <c r="AR10" s="1753"/>
      <c r="AS10" s="1753"/>
      <c r="AT10" s="1753"/>
      <c r="AU10" s="1753"/>
      <c r="AV10" s="1753"/>
      <c r="AW10" s="1753"/>
      <c r="AX10" s="1753"/>
      <c r="AY10" s="1753"/>
      <c r="AZ10" s="1753"/>
      <c r="BA10" s="1753"/>
      <c r="BB10" s="1753"/>
      <c r="BC10" s="1753"/>
      <c r="BD10" s="1753"/>
      <c r="BE10" s="1753"/>
      <c r="BF10" s="1753"/>
      <c r="BG10" s="1753"/>
      <c r="BH10" s="1753"/>
      <c r="BI10" s="1753"/>
      <c r="BJ10" s="1753"/>
      <c r="BK10" s="1753"/>
      <c r="BL10" s="1753"/>
      <c r="BM10" s="1753"/>
      <c r="BN10" s="785"/>
      <c r="BW10" s="560">
        <v>0.5</v>
      </c>
      <c r="BX10" s="560">
        <f>BW10+0.5</f>
        <v>1</v>
      </c>
      <c r="BY10" s="560">
        <f t="shared" ref="BY10:DR10" si="1">BX10+0.5</f>
        <v>1.5</v>
      </c>
      <c r="BZ10" s="560">
        <f t="shared" si="1"/>
        <v>2</v>
      </c>
      <c r="CA10" s="560">
        <f t="shared" si="1"/>
        <v>2.5</v>
      </c>
      <c r="CB10" s="560">
        <f t="shared" si="1"/>
        <v>3</v>
      </c>
      <c r="CC10" s="560">
        <f t="shared" si="1"/>
        <v>3.5</v>
      </c>
      <c r="CD10" s="560">
        <f t="shared" si="1"/>
        <v>4</v>
      </c>
      <c r="CE10" s="560">
        <f t="shared" si="1"/>
        <v>4.5</v>
      </c>
      <c r="CF10" s="560">
        <f t="shared" si="1"/>
        <v>5</v>
      </c>
      <c r="CG10" s="560">
        <f t="shared" si="1"/>
        <v>5.5</v>
      </c>
      <c r="CH10" s="560">
        <f t="shared" si="1"/>
        <v>6</v>
      </c>
      <c r="CI10" s="560">
        <f t="shared" si="1"/>
        <v>6.5</v>
      </c>
      <c r="CJ10" s="560">
        <f t="shared" si="1"/>
        <v>7</v>
      </c>
      <c r="CK10" s="560">
        <f t="shared" si="1"/>
        <v>7.5</v>
      </c>
      <c r="CL10" s="560">
        <f t="shared" si="1"/>
        <v>8</v>
      </c>
      <c r="CM10" s="560">
        <f t="shared" si="1"/>
        <v>8.5</v>
      </c>
      <c r="CN10" s="560">
        <f t="shared" si="1"/>
        <v>9</v>
      </c>
      <c r="CO10" s="560">
        <f t="shared" si="1"/>
        <v>9.5</v>
      </c>
      <c r="CP10" s="560">
        <f t="shared" si="1"/>
        <v>10</v>
      </c>
      <c r="CQ10" s="560">
        <f t="shared" si="1"/>
        <v>10.5</v>
      </c>
      <c r="CR10" s="560">
        <f t="shared" si="1"/>
        <v>11</v>
      </c>
      <c r="CS10" s="560">
        <f t="shared" si="1"/>
        <v>11.5</v>
      </c>
      <c r="CT10" s="560">
        <f t="shared" si="1"/>
        <v>12</v>
      </c>
      <c r="CU10" s="560">
        <f t="shared" si="1"/>
        <v>12.5</v>
      </c>
      <c r="CV10" s="560">
        <f t="shared" si="1"/>
        <v>13</v>
      </c>
      <c r="CW10" s="560">
        <f t="shared" si="1"/>
        <v>13.5</v>
      </c>
      <c r="CX10" s="560">
        <f t="shared" si="1"/>
        <v>14</v>
      </c>
      <c r="CY10" s="560">
        <f t="shared" si="1"/>
        <v>14.5</v>
      </c>
      <c r="CZ10" s="560">
        <f t="shared" si="1"/>
        <v>15</v>
      </c>
      <c r="DA10" s="560">
        <f t="shared" si="1"/>
        <v>15.5</v>
      </c>
      <c r="DB10" s="560">
        <f t="shared" si="1"/>
        <v>16</v>
      </c>
      <c r="DC10" s="560">
        <f t="shared" si="1"/>
        <v>16.5</v>
      </c>
      <c r="DD10" s="560">
        <f t="shared" si="1"/>
        <v>17</v>
      </c>
      <c r="DE10" s="560">
        <f t="shared" si="1"/>
        <v>17.5</v>
      </c>
      <c r="DF10" s="560">
        <f t="shared" si="1"/>
        <v>18</v>
      </c>
      <c r="DG10" s="560">
        <f t="shared" si="1"/>
        <v>18.5</v>
      </c>
      <c r="DH10" s="560">
        <f t="shared" si="1"/>
        <v>19</v>
      </c>
      <c r="DI10" s="560">
        <f t="shared" si="1"/>
        <v>19.5</v>
      </c>
      <c r="DJ10" s="560">
        <f t="shared" si="1"/>
        <v>20</v>
      </c>
      <c r="DK10" s="560">
        <f t="shared" si="1"/>
        <v>20.5</v>
      </c>
      <c r="DL10" s="560">
        <f t="shared" si="1"/>
        <v>21</v>
      </c>
      <c r="DM10" s="560">
        <f t="shared" si="1"/>
        <v>21.5</v>
      </c>
      <c r="DN10" s="560">
        <f t="shared" si="1"/>
        <v>22</v>
      </c>
      <c r="DO10" s="560">
        <f t="shared" si="1"/>
        <v>22.5</v>
      </c>
      <c r="DP10" s="560">
        <f t="shared" si="1"/>
        <v>23</v>
      </c>
      <c r="DQ10" s="560">
        <f t="shared" si="1"/>
        <v>23.5</v>
      </c>
      <c r="DR10" s="560">
        <f t="shared" si="1"/>
        <v>24</v>
      </c>
      <c r="DT10" s="560">
        <v>0.5</v>
      </c>
      <c r="DU10" s="560">
        <f>DT10+0.5</f>
        <v>1</v>
      </c>
      <c r="DV10" s="560">
        <f t="shared" ref="DV10:FO10" si="2">DU10+0.5</f>
        <v>1.5</v>
      </c>
      <c r="DW10" s="560">
        <f t="shared" si="2"/>
        <v>2</v>
      </c>
      <c r="DX10" s="560">
        <f t="shared" si="2"/>
        <v>2.5</v>
      </c>
      <c r="DY10" s="560">
        <f t="shared" si="2"/>
        <v>3</v>
      </c>
      <c r="DZ10" s="560">
        <f t="shared" si="2"/>
        <v>3.5</v>
      </c>
      <c r="EA10" s="560">
        <f t="shared" si="2"/>
        <v>4</v>
      </c>
      <c r="EB10" s="560">
        <f t="shared" si="2"/>
        <v>4.5</v>
      </c>
      <c r="EC10" s="560">
        <f t="shared" si="2"/>
        <v>5</v>
      </c>
      <c r="ED10" s="560">
        <f t="shared" si="2"/>
        <v>5.5</v>
      </c>
      <c r="EE10" s="560">
        <f t="shared" si="2"/>
        <v>6</v>
      </c>
      <c r="EF10" s="560">
        <f t="shared" si="2"/>
        <v>6.5</v>
      </c>
      <c r="EG10" s="560">
        <f t="shared" si="2"/>
        <v>7</v>
      </c>
      <c r="EH10" s="560">
        <f t="shared" si="2"/>
        <v>7.5</v>
      </c>
      <c r="EI10" s="560">
        <f t="shared" si="2"/>
        <v>8</v>
      </c>
      <c r="EJ10" s="560">
        <f t="shared" si="2"/>
        <v>8.5</v>
      </c>
      <c r="EK10" s="560">
        <f t="shared" si="2"/>
        <v>9</v>
      </c>
      <c r="EL10" s="560">
        <f t="shared" si="2"/>
        <v>9.5</v>
      </c>
      <c r="EM10" s="560">
        <f t="shared" si="2"/>
        <v>10</v>
      </c>
      <c r="EN10" s="560">
        <f t="shared" si="2"/>
        <v>10.5</v>
      </c>
      <c r="EO10" s="560">
        <f t="shared" si="2"/>
        <v>11</v>
      </c>
      <c r="EP10" s="560">
        <f t="shared" si="2"/>
        <v>11.5</v>
      </c>
      <c r="EQ10" s="560">
        <f t="shared" si="2"/>
        <v>12</v>
      </c>
      <c r="ER10" s="560">
        <f t="shared" si="2"/>
        <v>12.5</v>
      </c>
      <c r="ES10" s="560">
        <f t="shared" si="2"/>
        <v>13</v>
      </c>
      <c r="ET10" s="560">
        <f t="shared" si="2"/>
        <v>13.5</v>
      </c>
      <c r="EU10" s="560">
        <f t="shared" si="2"/>
        <v>14</v>
      </c>
      <c r="EV10" s="560">
        <f t="shared" si="2"/>
        <v>14.5</v>
      </c>
      <c r="EW10" s="560">
        <f t="shared" si="2"/>
        <v>15</v>
      </c>
      <c r="EX10" s="560">
        <f t="shared" si="2"/>
        <v>15.5</v>
      </c>
      <c r="EY10" s="560">
        <f t="shared" si="2"/>
        <v>16</v>
      </c>
      <c r="EZ10" s="560">
        <f t="shared" si="2"/>
        <v>16.5</v>
      </c>
      <c r="FA10" s="560">
        <f t="shared" si="2"/>
        <v>17</v>
      </c>
      <c r="FB10" s="560">
        <f t="shared" si="2"/>
        <v>17.5</v>
      </c>
      <c r="FC10" s="560">
        <f t="shared" si="2"/>
        <v>18</v>
      </c>
      <c r="FD10" s="560">
        <f t="shared" si="2"/>
        <v>18.5</v>
      </c>
      <c r="FE10" s="560">
        <f t="shared" si="2"/>
        <v>19</v>
      </c>
      <c r="FF10" s="560">
        <f t="shared" si="2"/>
        <v>19.5</v>
      </c>
      <c r="FG10" s="560">
        <f t="shared" si="2"/>
        <v>20</v>
      </c>
      <c r="FH10" s="560">
        <f t="shared" si="2"/>
        <v>20.5</v>
      </c>
      <c r="FI10" s="560">
        <f t="shared" si="2"/>
        <v>21</v>
      </c>
      <c r="FJ10" s="560">
        <f t="shared" si="2"/>
        <v>21.5</v>
      </c>
      <c r="FK10" s="560">
        <f t="shared" si="2"/>
        <v>22</v>
      </c>
      <c r="FL10" s="560">
        <f t="shared" si="2"/>
        <v>22.5</v>
      </c>
      <c r="FM10" s="560">
        <f t="shared" si="2"/>
        <v>23</v>
      </c>
      <c r="FN10" s="560">
        <f t="shared" si="2"/>
        <v>23.5</v>
      </c>
      <c r="FO10" s="560">
        <f t="shared" si="2"/>
        <v>24</v>
      </c>
      <c r="FQ10" s="560">
        <v>0.5</v>
      </c>
      <c r="FR10" s="560">
        <f>FQ10+0.5</f>
        <v>1</v>
      </c>
      <c r="FS10" s="560">
        <f t="shared" ref="FS10:HL10" si="3">FR10+0.5</f>
        <v>1.5</v>
      </c>
      <c r="FT10" s="560">
        <f t="shared" si="3"/>
        <v>2</v>
      </c>
      <c r="FU10" s="560">
        <f t="shared" si="3"/>
        <v>2.5</v>
      </c>
      <c r="FV10" s="560">
        <f t="shared" si="3"/>
        <v>3</v>
      </c>
      <c r="FW10" s="560">
        <f t="shared" si="3"/>
        <v>3.5</v>
      </c>
      <c r="FX10" s="560">
        <f t="shared" si="3"/>
        <v>4</v>
      </c>
      <c r="FY10" s="560">
        <f t="shared" si="3"/>
        <v>4.5</v>
      </c>
      <c r="FZ10" s="560">
        <f t="shared" si="3"/>
        <v>5</v>
      </c>
      <c r="GA10" s="560">
        <f t="shared" si="3"/>
        <v>5.5</v>
      </c>
      <c r="GB10" s="560">
        <f t="shared" si="3"/>
        <v>6</v>
      </c>
      <c r="GC10" s="560">
        <f t="shared" si="3"/>
        <v>6.5</v>
      </c>
      <c r="GD10" s="560">
        <f t="shared" si="3"/>
        <v>7</v>
      </c>
      <c r="GE10" s="560">
        <f t="shared" si="3"/>
        <v>7.5</v>
      </c>
      <c r="GF10" s="560">
        <f t="shared" si="3"/>
        <v>8</v>
      </c>
      <c r="GG10" s="560">
        <f t="shared" si="3"/>
        <v>8.5</v>
      </c>
      <c r="GH10" s="560">
        <f t="shared" si="3"/>
        <v>9</v>
      </c>
      <c r="GI10" s="560">
        <f t="shared" si="3"/>
        <v>9.5</v>
      </c>
      <c r="GJ10" s="560">
        <f t="shared" si="3"/>
        <v>10</v>
      </c>
      <c r="GK10" s="560">
        <f t="shared" si="3"/>
        <v>10.5</v>
      </c>
      <c r="GL10" s="560">
        <f t="shared" si="3"/>
        <v>11</v>
      </c>
      <c r="GM10" s="560">
        <f t="shared" si="3"/>
        <v>11.5</v>
      </c>
      <c r="GN10" s="560">
        <f t="shared" si="3"/>
        <v>12</v>
      </c>
      <c r="GO10" s="560">
        <f t="shared" si="3"/>
        <v>12.5</v>
      </c>
      <c r="GP10" s="560">
        <f t="shared" si="3"/>
        <v>13</v>
      </c>
      <c r="GQ10" s="560">
        <f t="shared" si="3"/>
        <v>13.5</v>
      </c>
      <c r="GR10" s="560">
        <f t="shared" si="3"/>
        <v>14</v>
      </c>
      <c r="GS10" s="560">
        <f t="shared" si="3"/>
        <v>14.5</v>
      </c>
      <c r="GT10" s="560">
        <f t="shared" si="3"/>
        <v>15</v>
      </c>
      <c r="GU10" s="560">
        <f t="shared" si="3"/>
        <v>15.5</v>
      </c>
      <c r="GV10" s="560">
        <f t="shared" si="3"/>
        <v>16</v>
      </c>
      <c r="GW10" s="560">
        <f t="shared" si="3"/>
        <v>16.5</v>
      </c>
      <c r="GX10" s="560">
        <f t="shared" si="3"/>
        <v>17</v>
      </c>
      <c r="GY10" s="560">
        <f t="shared" si="3"/>
        <v>17.5</v>
      </c>
      <c r="GZ10" s="560">
        <f t="shared" si="3"/>
        <v>18</v>
      </c>
      <c r="HA10" s="560">
        <f t="shared" si="3"/>
        <v>18.5</v>
      </c>
      <c r="HB10" s="560">
        <f t="shared" si="3"/>
        <v>19</v>
      </c>
      <c r="HC10" s="560">
        <f t="shared" si="3"/>
        <v>19.5</v>
      </c>
      <c r="HD10" s="560">
        <f t="shared" si="3"/>
        <v>20</v>
      </c>
      <c r="HE10" s="560">
        <f t="shared" si="3"/>
        <v>20.5</v>
      </c>
      <c r="HF10" s="560">
        <f t="shared" si="3"/>
        <v>21</v>
      </c>
      <c r="HG10" s="560">
        <f t="shared" si="3"/>
        <v>21.5</v>
      </c>
      <c r="HH10" s="560">
        <f t="shared" si="3"/>
        <v>22</v>
      </c>
      <c r="HI10" s="560">
        <f t="shared" si="3"/>
        <v>22.5</v>
      </c>
      <c r="HJ10" s="560">
        <f t="shared" si="3"/>
        <v>23</v>
      </c>
      <c r="HK10" s="560">
        <f t="shared" si="3"/>
        <v>23.5</v>
      </c>
      <c r="HL10" s="560">
        <f t="shared" si="3"/>
        <v>24</v>
      </c>
      <c r="HN10" s="560">
        <v>1</v>
      </c>
      <c r="HO10" s="560">
        <f>HN10+1</f>
        <v>2</v>
      </c>
      <c r="HP10" s="560">
        <f t="shared" ref="HP10:JI10" si="4">HO10+1</f>
        <v>3</v>
      </c>
      <c r="HQ10" s="560">
        <f t="shared" si="4"/>
        <v>4</v>
      </c>
      <c r="HR10" s="560">
        <f t="shared" si="4"/>
        <v>5</v>
      </c>
      <c r="HS10" s="560">
        <f t="shared" si="4"/>
        <v>6</v>
      </c>
      <c r="HT10" s="560">
        <f t="shared" si="4"/>
        <v>7</v>
      </c>
      <c r="HU10" s="560">
        <f t="shared" si="4"/>
        <v>8</v>
      </c>
      <c r="HV10" s="560">
        <f t="shared" si="4"/>
        <v>9</v>
      </c>
      <c r="HW10" s="560">
        <f t="shared" si="4"/>
        <v>10</v>
      </c>
      <c r="HX10" s="560">
        <f t="shared" si="4"/>
        <v>11</v>
      </c>
      <c r="HY10" s="560">
        <f t="shared" si="4"/>
        <v>12</v>
      </c>
      <c r="HZ10" s="560">
        <f t="shared" si="4"/>
        <v>13</v>
      </c>
      <c r="IA10" s="560">
        <f t="shared" si="4"/>
        <v>14</v>
      </c>
      <c r="IB10" s="560">
        <f t="shared" si="4"/>
        <v>15</v>
      </c>
      <c r="IC10" s="560">
        <f t="shared" si="4"/>
        <v>16</v>
      </c>
      <c r="ID10" s="560">
        <f t="shared" si="4"/>
        <v>17</v>
      </c>
      <c r="IE10" s="560">
        <f t="shared" si="4"/>
        <v>18</v>
      </c>
      <c r="IF10" s="560">
        <f t="shared" si="4"/>
        <v>19</v>
      </c>
      <c r="IG10" s="560">
        <f t="shared" si="4"/>
        <v>20</v>
      </c>
      <c r="IH10" s="560">
        <f t="shared" si="4"/>
        <v>21</v>
      </c>
      <c r="II10" s="560">
        <f t="shared" si="4"/>
        <v>22</v>
      </c>
      <c r="IJ10" s="560">
        <f t="shared" si="4"/>
        <v>23</v>
      </c>
      <c r="IK10" s="560">
        <f t="shared" si="4"/>
        <v>24</v>
      </c>
      <c r="IL10" s="560">
        <f t="shared" si="4"/>
        <v>25</v>
      </c>
      <c r="IM10" s="560">
        <f t="shared" si="4"/>
        <v>26</v>
      </c>
      <c r="IN10" s="560">
        <f t="shared" si="4"/>
        <v>27</v>
      </c>
      <c r="IO10" s="560">
        <f t="shared" si="4"/>
        <v>28</v>
      </c>
      <c r="IP10" s="560">
        <f t="shared" si="4"/>
        <v>29</v>
      </c>
      <c r="IQ10" s="560">
        <f t="shared" si="4"/>
        <v>30</v>
      </c>
      <c r="IR10" s="560">
        <f t="shared" si="4"/>
        <v>31</v>
      </c>
      <c r="IS10" s="560">
        <f t="shared" si="4"/>
        <v>32</v>
      </c>
      <c r="IT10" s="560">
        <f t="shared" si="4"/>
        <v>33</v>
      </c>
      <c r="IU10" s="560">
        <f t="shared" si="4"/>
        <v>34</v>
      </c>
      <c r="IV10" s="560">
        <f t="shared" si="4"/>
        <v>35</v>
      </c>
      <c r="IW10" s="560">
        <f t="shared" si="4"/>
        <v>36</v>
      </c>
      <c r="IX10" s="560">
        <f t="shared" si="4"/>
        <v>37</v>
      </c>
      <c r="IY10" s="560">
        <f t="shared" si="4"/>
        <v>38</v>
      </c>
      <c r="IZ10" s="560">
        <f t="shared" si="4"/>
        <v>39</v>
      </c>
      <c r="JA10" s="560">
        <f t="shared" si="4"/>
        <v>40</v>
      </c>
      <c r="JB10" s="560">
        <f t="shared" si="4"/>
        <v>41</v>
      </c>
      <c r="JC10" s="560">
        <f t="shared" si="4"/>
        <v>42</v>
      </c>
      <c r="JD10" s="560">
        <f t="shared" si="4"/>
        <v>43</v>
      </c>
      <c r="JE10" s="560">
        <f t="shared" si="4"/>
        <v>44</v>
      </c>
      <c r="JF10" s="560">
        <f t="shared" si="4"/>
        <v>45</v>
      </c>
      <c r="JG10" s="560">
        <f t="shared" si="4"/>
        <v>46</v>
      </c>
      <c r="JH10" s="560">
        <f t="shared" si="4"/>
        <v>47</v>
      </c>
      <c r="JI10" s="560">
        <f t="shared" si="4"/>
        <v>48</v>
      </c>
      <c r="JK10" s="560">
        <v>0.5</v>
      </c>
      <c r="JL10" s="560">
        <f>JK10+0.5</f>
        <v>1</v>
      </c>
      <c r="JM10" s="560">
        <f t="shared" ref="JM10:LF10" si="5">JL10+0.5</f>
        <v>1.5</v>
      </c>
      <c r="JN10" s="560">
        <f t="shared" si="5"/>
        <v>2</v>
      </c>
      <c r="JO10" s="560">
        <f t="shared" si="5"/>
        <v>2.5</v>
      </c>
      <c r="JP10" s="560">
        <f t="shared" si="5"/>
        <v>3</v>
      </c>
      <c r="JQ10" s="560">
        <f t="shared" si="5"/>
        <v>3.5</v>
      </c>
      <c r="JR10" s="560">
        <f t="shared" si="5"/>
        <v>4</v>
      </c>
      <c r="JS10" s="560">
        <f t="shared" si="5"/>
        <v>4.5</v>
      </c>
      <c r="JT10" s="560">
        <f t="shared" si="5"/>
        <v>5</v>
      </c>
      <c r="JU10" s="560">
        <f t="shared" si="5"/>
        <v>5.5</v>
      </c>
      <c r="JV10" s="560">
        <f t="shared" si="5"/>
        <v>6</v>
      </c>
      <c r="JW10" s="560">
        <f t="shared" si="5"/>
        <v>6.5</v>
      </c>
      <c r="JX10" s="560">
        <f t="shared" si="5"/>
        <v>7</v>
      </c>
      <c r="JY10" s="560">
        <f t="shared" si="5"/>
        <v>7.5</v>
      </c>
      <c r="JZ10" s="560">
        <f t="shared" si="5"/>
        <v>8</v>
      </c>
      <c r="KA10" s="560">
        <f t="shared" si="5"/>
        <v>8.5</v>
      </c>
      <c r="KB10" s="560">
        <f t="shared" si="5"/>
        <v>9</v>
      </c>
      <c r="KC10" s="560">
        <f t="shared" si="5"/>
        <v>9.5</v>
      </c>
      <c r="KD10" s="560">
        <f t="shared" si="5"/>
        <v>10</v>
      </c>
      <c r="KE10" s="560">
        <f t="shared" si="5"/>
        <v>10.5</v>
      </c>
      <c r="KF10" s="560">
        <f t="shared" si="5"/>
        <v>11</v>
      </c>
      <c r="KG10" s="560">
        <f t="shared" si="5"/>
        <v>11.5</v>
      </c>
      <c r="KH10" s="560">
        <f t="shared" si="5"/>
        <v>12</v>
      </c>
      <c r="KI10" s="560">
        <f t="shared" si="5"/>
        <v>12.5</v>
      </c>
      <c r="KJ10" s="560">
        <f t="shared" si="5"/>
        <v>13</v>
      </c>
      <c r="KK10" s="560">
        <f t="shared" si="5"/>
        <v>13.5</v>
      </c>
      <c r="KL10" s="560">
        <f t="shared" si="5"/>
        <v>14</v>
      </c>
      <c r="KM10" s="560">
        <f t="shared" si="5"/>
        <v>14.5</v>
      </c>
      <c r="KN10" s="560">
        <f t="shared" si="5"/>
        <v>15</v>
      </c>
      <c r="KO10" s="560">
        <f t="shared" si="5"/>
        <v>15.5</v>
      </c>
      <c r="KP10" s="560">
        <f t="shared" si="5"/>
        <v>16</v>
      </c>
      <c r="KQ10" s="560">
        <f t="shared" si="5"/>
        <v>16.5</v>
      </c>
      <c r="KR10" s="560">
        <f t="shared" si="5"/>
        <v>17</v>
      </c>
      <c r="KS10" s="560">
        <f t="shared" si="5"/>
        <v>17.5</v>
      </c>
      <c r="KT10" s="560">
        <f t="shared" si="5"/>
        <v>18</v>
      </c>
      <c r="KU10" s="560">
        <f t="shared" si="5"/>
        <v>18.5</v>
      </c>
      <c r="KV10" s="560">
        <f t="shared" si="5"/>
        <v>19</v>
      </c>
      <c r="KW10" s="560">
        <f t="shared" si="5"/>
        <v>19.5</v>
      </c>
      <c r="KX10" s="560">
        <f t="shared" si="5"/>
        <v>20</v>
      </c>
      <c r="KY10" s="560">
        <f t="shared" si="5"/>
        <v>20.5</v>
      </c>
      <c r="KZ10" s="560">
        <f t="shared" si="5"/>
        <v>21</v>
      </c>
      <c r="LA10" s="560">
        <f t="shared" si="5"/>
        <v>21.5</v>
      </c>
      <c r="LB10" s="560">
        <f t="shared" si="5"/>
        <v>22</v>
      </c>
      <c r="LC10" s="560">
        <f t="shared" si="5"/>
        <v>22.5</v>
      </c>
      <c r="LD10" s="560">
        <f t="shared" si="5"/>
        <v>23</v>
      </c>
      <c r="LE10" s="560">
        <f t="shared" si="5"/>
        <v>23.5</v>
      </c>
      <c r="LF10" s="560">
        <f t="shared" si="5"/>
        <v>24</v>
      </c>
    </row>
    <row r="11" spans="1:319" ht="14.4" thickBot="1">
      <c r="B11" s="593"/>
      <c r="C11" s="594" t="s">
        <v>1158</v>
      </c>
      <c r="D11" s="594" t="s">
        <v>1186</v>
      </c>
      <c r="E11" s="594" t="s">
        <v>1187</v>
      </c>
      <c r="F11" s="595">
        <v>-4</v>
      </c>
      <c r="G11" s="595">
        <f>+F11-1</f>
        <v>-5</v>
      </c>
      <c r="H11" s="595">
        <f>+G11-1</f>
        <v>-6</v>
      </c>
      <c r="I11" s="595">
        <f>+H11-1</f>
        <v>-7</v>
      </c>
      <c r="J11" s="595">
        <f>+I11-1</f>
        <v>-8</v>
      </c>
      <c r="K11" s="596" t="s">
        <v>835</v>
      </c>
      <c r="L11" s="597" t="s">
        <v>834</v>
      </c>
      <c r="M11" s="597" t="s">
        <v>834</v>
      </c>
      <c r="N11" s="597" t="s">
        <v>834</v>
      </c>
      <c r="O11" s="799"/>
      <c r="P11" s="800"/>
      <c r="Q11" s="801"/>
      <c r="R11" s="597"/>
      <c r="S11" s="597"/>
      <c r="T11" s="597"/>
      <c r="U11" s="597"/>
      <c r="V11" s="597"/>
      <c r="W11" s="597"/>
      <c r="X11" s="597"/>
      <c r="Y11" s="597"/>
      <c r="Z11" s="597"/>
      <c r="AA11" s="597"/>
      <c r="AB11" s="597"/>
      <c r="AC11" s="597"/>
      <c r="AD11" s="597"/>
      <c r="AE11" s="597"/>
      <c r="AF11" s="597"/>
      <c r="AG11" s="597"/>
      <c r="AH11" s="597"/>
      <c r="AI11" s="597"/>
      <c r="AJ11" s="597"/>
      <c r="AK11" s="597"/>
      <c r="AL11" s="597"/>
      <c r="AM11" s="597"/>
      <c r="AN11" s="597"/>
      <c r="AO11" s="597"/>
      <c r="AP11" s="597"/>
      <c r="AQ11" s="597"/>
      <c r="AR11" s="597"/>
      <c r="AS11" s="597"/>
      <c r="AT11" s="597"/>
      <c r="AU11" s="597"/>
      <c r="AV11" s="597"/>
      <c r="AW11" s="597"/>
      <c r="AX11" s="597"/>
      <c r="AY11" s="597"/>
      <c r="AZ11" s="597"/>
      <c r="BA11" s="597"/>
      <c r="BB11" s="597"/>
      <c r="BC11" s="597"/>
      <c r="BD11" s="597"/>
      <c r="BE11" s="597"/>
      <c r="BF11" s="597"/>
      <c r="BG11" s="597"/>
      <c r="BH11" s="597"/>
      <c r="BI11" s="597"/>
      <c r="BJ11" s="597"/>
      <c r="BK11" s="597"/>
      <c r="BL11" s="597"/>
      <c r="BM11" s="597"/>
      <c r="BN11" s="785"/>
      <c r="BP11" s="560" t="s">
        <v>1226</v>
      </c>
      <c r="BQ11" s="560" t="s">
        <v>1227</v>
      </c>
      <c r="BR11" s="560" t="s">
        <v>1228</v>
      </c>
      <c r="BS11" s="560" t="s">
        <v>1229</v>
      </c>
      <c r="BT11" s="560" t="s">
        <v>1230</v>
      </c>
      <c r="BU11" s="560" t="s">
        <v>1143</v>
      </c>
    </row>
    <row r="12" spans="1:319" ht="14.4" thickBot="1">
      <c r="Q12" s="802"/>
      <c r="R12" s="784"/>
      <c r="S12" s="784"/>
      <c r="T12" s="784"/>
      <c r="U12" s="784"/>
      <c r="V12" s="784"/>
      <c r="W12" s="784"/>
      <c r="X12" s="784"/>
      <c r="Y12" s="784"/>
      <c r="Z12" s="784"/>
      <c r="AA12" s="784"/>
      <c r="AB12" s="784"/>
      <c r="AC12" s="784"/>
      <c r="AD12" s="784"/>
      <c r="AE12" s="784"/>
      <c r="AF12" s="784"/>
      <c r="AG12" s="784"/>
      <c r="AH12" s="784"/>
      <c r="AI12" s="784"/>
      <c r="AJ12" s="784"/>
      <c r="AK12" s="784"/>
      <c r="AL12" s="784"/>
      <c r="AM12" s="784"/>
      <c r="AN12" s="784"/>
      <c r="AO12" s="784"/>
      <c r="AP12" s="784"/>
      <c r="AQ12" s="784"/>
      <c r="AR12" s="784"/>
      <c r="AS12" s="784"/>
      <c r="AT12" s="784"/>
      <c r="AU12" s="784"/>
      <c r="AV12" s="784"/>
      <c r="AW12" s="784"/>
      <c r="AX12" s="784"/>
      <c r="AY12" s="784"/>
      <c r="AZ12" s="784"/>
      <c r="BA12" s="784"/>
      <c r="BB12" s="784"/>
      <c r="BC12" s="784"/>
      <c r="BD12" s="784"/>
      <c r="BE12" s="784"/>
      <c r="BF12" s="784"/>
      <c r="BG12" s="784"/>
      <c r="BH12" s="784"/>
      <c r="BI12" s="784"/>
      <c r="BJ12" s="784"/>
      <c r="BK12" s="784"/>
      <c r="BL12" s="784"/>
      <c r="BM12" s="784"/>
      <c r="BN12" s="785"/>
    </row>
    <row r="13" spans="1:319" s="1153" customFormat="1" ht="15.6">
      <c r="A13" s="814"/>
      <c r="B13" s="617" t="s">
        <v>1326</v>
      </c>
      <c r="C13" s="618"/>
      <c r="D13" s="618"/>
      <c r="E13" s="618"/>
      <c r="F13" s="619"/>
      <c r="G13" s="620"/>
      <c r="H13" s="621"/>
      <c r="I13" s="622"/>
      <c r="J13" s="623"/>
      <c r="K13" s="1145"/>
      <c r="L13" s="1146"/>
      <c r="M13" s="1147"/>
      <c r="N13" s="1148"/>
      <c r="O13" s="1149"/>
      <c r="P13" s="815"/>
      <c r="Q13" s="1150"/>
      <c r="R13" s="1151"/>
      <c r="S13" s="1151"/>
      <c r="T13" s="1151"/>
      <c r="U13" s="1151"/>
      <c r="V13" s="1151"/>
      <c r="W13" s="1151"/>
      <c r="X13" s="1151"/>
      <c r="Y13" s="1151"/>
      <c r="Z13" s="1151"/>
      <c r="AA13" s="1151"/>
      <c r="AB13" s="1151"/>
      <c r="AC13" s="1151"/>
      <c r="AD13" s="1151"/>
      <c r="AE13" s="1151"/>
      <c r="AF13" s="1151"/>
      <c r="AG13" s="1151"/>
      <c r="AH13" s="1151"/>
      <c r="AI13" s="1151"/>
      <c r="AJ13" s="1151"/>
      <c r="AK13" s="1151"/>
      <c r="AL13" s="1151"/>
      <c r="AM13" s="1151"/>
      <c r="AN13" s="1151"/>
      <c r="AO13" s="1151"/>
      <c r="AP13" s="1151"/>
      <c r="AQ13" s="1151"/>
      <c r="AR13" s="1151"/>
      <c r="AS13" s="1151"/>
      <c r="AT13" s="1151"/>
      <c r="AU13" s="1151"/>
      <c r="AV13" s="1151"/>
      <c r="AW13" s="1151"/>
      <c r="AX13" s="1151"/>
      <c r="AY13" s="1151"/>
      <c r="AZ13" s="1151"/>
      <c r="BA13" s="1151"/>
      <c r="BB13" s="1151"/>
      <c r="BC13" s="1151"/>
      <c r="BD13" s="1151"/>
      <c r="BE13" s="1151"/>
      <c r="BF13" s="1151"/>
      <c r="BG13" s="1151"/>
      <c r="BH13" s="1151"/>
      <c r="BI13" s="1151"/>
      <c r="BJ13" s="1151"/>
      <c r="BK13" s="1151"/>
      <c r="BL13" s="1151"/>
      <c r="BM13" s="1151"/>
      <c r="BN13" s="1152"/>
    </row>
    <row r="14" spans="1:319" s="814" customFormat="1" ht="15" customHeight="1">
      <c r="B14" s="693" t="s">
        <v>1326</v>
      </c>
      <c r="C14" s="694"/>
      <c r="D14" s="1096"/>
      <c r="E14" s="695">
        <v>1</v>
      </c>
      <c r="F14" s="1523" t="s">
        <v>4628</v>
      </c>
      <c r="G14" s="697">
        <f>VLOOKUP($E14,Items!$E:$I,3,FALSE)</f>
        <v>0</v>
      </c>
      <c r="H14" s="698">
        <f>VLOOKUP($E14,Items!$E:$I,4,FALSE)</f>
        <v>0</v>
      </c>
      <c r="I14" s="699"/>
      <c r="J14" s="700">
        <f>SUBTOTAL(9,J15:J17)</f>
        <v>16799.977807010058</v>
      </c>
      <c r="K14" s="855">
        <f>+H14/L14/Datos!$N$40</f>
        <v>0</v>
      </c>
      <c r="L14" s="856">
        <f t="shared" ref="L14:L20" si="6">N14-M14+1</f>
        <v>1</v>
      </c>
      <c r="M14" s="857"/>
      <c r="N14" s="858"/>
      <c r="O14" s="1156"/>
      <c r="P14" s="815" t="str">
        <f>IF(J14&gt;0,IF(+SUM(Q14:BM14)=1,"","REV."),"")</f>
        <v>REV.</v>
      </c>
      <c r="Q14" s="859">
        <f>SUM(Q15:Q17)</f>
        <v>3</v>
      </c>
      <c r="R14" s="860">
        <f t="shared" ref="R14:AE14" si="7">SUM(R15:R17)</f>
        <v>0</v>
      </c>
      <c r="S14" s="860">
        <f t="shared" si="7"/>
        <v>0</v>
      </c>
      <c r="T14" s="860">
        <f t="shared" si="7"/>
        <v>0</v>
      </c>
      <c r="U14" s="860">
        <f t="shared" si="7"/>
        <v>0</v>
      </c>
      <c r="V14" s="860">
        <f t="shared" si="7"/>
        <v>0</v>
      </c>
      <c r="W14" s="860">
        <f t="shared" si="7"/>
        <v>0</v>
      </c>
      <c r="X14" s="860">
        <f t="shared" si="7"/>
        <v>0</v>
      </c>
      <c r="Y14" s="860">
        <f t="shared" si="7"/>
        <v>0</v>
      </c>
      <c r="Z14" s="860">
        <f t="shared" si="7"/>
        <v>0</v>
      </c>
      <c r="AA14" s="860">
        <f t="shared" si="7"/>
        <v>0</v>
      </c>
      <c r="AB14" s="860">
        <f t="shared" si="7"/>
        <v>0</v>
      </c>
      <c r="AC14" s="860">
        <f t="shared" si="7"/>
        <v>0</v>
      </c>
      <c r="AD14" s="860">
        <f t="shared" si="7"/>
        <v>0</v>
      </c>
      <c r="AE14" s="860">
        <f t="shared" si="7"/>
        <v>0</v>
      </c>
      <c r="AF14" s="860">
        <f t="shared" ref="AF14:BM14" si="8">SUM(AF15:AF21)</f>
        <v>0</v>
      </c>
      <c r="AG14" s="860">
        <f t="shared" si="8"/>
        <v>0</v>
      </c>
      <c r="AH14" s="860">
        <f t="shared" si="8"/>
        <v>0</v>
      </c>
      <c r="AI14" s="860">
        <f t="shared" si="8"/>
        <v>0</v>
      </c>
      <c r="AJ14" s="860">
        <f t="shared" si="8"/>
        <v>0</v>
      </c>
      <c r="AK14" s="860">
        <f t="shared" si="8"/>
        <v>0</v>
      </c>
      <c r="AL14" s="860">
        <f t="shared" si="8"/>
        <v>0</v>
      </c>
      <c r="AM14" s="860">
        <f t="shared" si="8"/>
        <v>0</v>
      </c>
      <c r="AN14" s="860">
        <f t="shared" si="8"/>
        <v>0</v>
      </c>
      <c r="AO14" s="860">
        <f t="shared" si="8"/>
        <v>0</v>
      </c>
      <c r="AP14" s="860">
        <f t="shared" si="8"/>
        <v>0</v>
      </c>
      <c r="AQ14" s="860">
        <f t="shared" si="8"/>
        <v>0</v>
      </c>
      <c r="AR14" s="860">
        <f t="shared" si="8"/>
        <v>0</v>
      </c>
      <c r="AS14" s="860">
        <f t="shared" si="8"/>
        <v>0</v>
      </c>
      <c r="AT14" s="860">
        <f t="shared" si="8"/>
        <v>0</v>
      </c>
      <c r="AU14" s="860">
        <f t="shared" si="8"/>
        <v>0</v>
      </c>
      <c r="AV14" s="860">
        <f t="shared" si="8"/>
        <v>0</v>
      </c>
      <c r="AW14" s="860">
        <f t="shared" si="8"/>
        <v>0</v>
      </c>
      <c r="AX14" s="860">
        <f t="shared" si="8"/>
        <v>0</v>
      </c>
      <c r="AY14" s="860">
        <f t="shared" si="8"/>
        <v>0</v>
      </c>
      <c r="AZ14" s="860">
        <f t="shared" si="8"/>
        <v>0</v>
      </c>
      <c r="BA14" s="860">
        <f t="shared" si="8"/>
        <v>0</v>
      </c>
      <c r="BB14" s="860">
        <f t="shared" si="8"/>
        <v>0</v>
      </c>
      <c r="BC14" s="860">
        <f t="shared" si="8"/>
        <v>0</v>
      </c>
      <c r="BD14" s="860">
        <f t="shared" si="8"/>
        <v>0</v>
      </c>
      <c r="BE14" s="860">
        <f t="shared" si="8"/>
        <v>0</v>
      </c>
      <c r="BF14" s="860">
        <f t="shared" si="8"/>
        <v>0</v>
      </c>
      <c r="BG14" s="860">
        <f t="shared" si="8"/>
        <v>0</v>
      </c>
      <c r="BH14" s="860">
        <f t="shared" si="8"/>
        <v>0</v>
      </c>
      <c r="BI14" s="860">
        <f t="shared" si="8"/>
        <v>0</v>
      </c>
      <c r="BJ14" s="860">
        <f t="shared" si="8"/>
        <v>0</v>
      </c>
      <c r="BK14" s="860">
        <f t="shared" si="8"/>
        <v>0</v>
      </c>
      <c r="BL14" s="860">
        <f t="shared" si="8"/>
        <v>0</v>
      </c>
      <c r="BM14" s="860">
        <f t="shared" si="8"/>
        <v>0</v>
      </c>
      <c r="BN14" s="816"/>
      <c r="BP14" s="1203">
        <f>+SUMIF('AUX-NIV1'!$B:$B,Crono!$C14,'AUX-NIV1'!AQ:AQ)*Precio!$F$35/Precio!$F$35*Crono!$H14</f>
        <v>0</v>
      </c>
      <c r="BQ14" s="1203">
        <f>+SUMIF('AUX-NIV1'!$B:$B,Crono!$C14,'AUX-NIV1'!AR:AR)*Precio!$F$35*Crono!$H14</f>
        <v>0</v>
      </c>
      <c r="BR14" s="1203">
        <f>+SUMIF('AUX-NIV1'!$B:$B,Crono!$C14,'AUX-NIV1'!AS:AS)*Precio!$F$35*Crono!$H14</f>
        <v>0</v>
      </c>
      <c r="BS14" s="1203">
        <f>+SUMIF('AUX-NIV1'!$B:$B,Crono!$C14,'AUX-NIV1'!AT:AT)*Precio!$F$35*Crono!$H14</f>
        <v>0</v>
      </c>
      <c r="BT14" s="1203">
        <f>+SUMIF('AUX-NIV1'!$B:$B,Crono!$C14,'AUX-NIV1'!AU:AU)*Precio!$F$35*Crono!$H14</f>
        <v>0</v>
      </c>
      <c r="BU14" s="1203"/>
    </row>
    <row r="15" spans="1:319" ht="15.6">
      <c r="B15" s="679">
        <v>1</v>
      </c>
      <c r="C15" s="680" t="s">
        <v>3669</v>
      </c>
      <c r="D15" s="681"/>
      <c r="E15" s="682" t="s">
        <v>4622</v>
      </c>
      <c r="F15" s="1522" t="s">
        <v>4623</v>
      </c>
      <c r="G15" s="684" t="str">
        <f>VLOOKUP($E15,Items!$E:$I,3,FALSE)</f>
        <v>gl.</v>
      </c>
      <c r="H15" s="685">
        <f>VLOOKUP($E15,Items!$E:$I,4,FALSE)</f>
        <v>1</v>
      </c>
      <c r="I15" s="686">
        <f>VLOOKUP($E15,Items!$E:$I,5,FALSE)</f>
        <v>1939.9217107866893</v>
      </c>
      <c r="J15" s="687">
        <f>I15*H15</f>
        <v>1939.9217107866893</v>
      </c>
      <c r="K15" s="692">
        <f>+H15/L15/Datos!$N$40</f>
        <v>5.2651833452637313E-3</v>
      </c>
      <c r="L15" s="686">
        <f>N15-M15+1</f>
        <v>1</v>
      </c>
      <c r="M15" s="849">
        <v>0.5</v>
      </c>
      <c r="N15" s="850">
        <v>0.5</v>
      </c>
      <c r="O15" s="851">
        <f>+IF(C15&lt;&gt;"",VLOOKUP(C15,'AUX-NIV1'!B:AO,40,FALSE)*H15,0)</f>
        <v>4</v>
      </c>
      <c r="P15" s="803" t="str">
        <f>IF(J15&gt;0,IF(+SUM(Q15:BM15)=1,"","REV."),"")</f>
        <v/>
      </c>
      <c r="Q15" s="804">
        <f t="shared" ref="Q15:Q22" si="9">IF(AND($H15&gt;0,Q$7&gt;0),+IF(AND($M15&lt;=Q$7,$N15&gt;=Q$7),IF($W$6="QUINCENAL",1/(($N15-$M15)/0.5+1),1/($N15-$M15+1)),0),0)</f>
        <v>1</v>
      </c>
      <c r="R15" s="805">
        <f t="shared" ref="R15:AG22" si="10">IF(AND($H15&gt;0,R$7&gt;0),+IF(AND($M15&lt;=R$7,$N15&gt;=R$7),IF($W$6="QUINCENAL",1/(($N15-$M15)/0.5+1),1/($N15-$M15+1)),0),0)</f>
        <v>0</v>
      </c>
      <c r="S15" s="805">
        <f t="shared" si="10"/>
        <v>0</v>
      </c>
      <c r="T15" s="805">
        <f t="shared" si="10"/>
        <v>0</v>
      </c>
      <c r="U15" s="805">
        <f t="shared" si="10"/>
        <v>0</v>
      </c>
      <c r="V15" s="805">
        <f t="shared" si="10"/>
        <v>0</v>
      </c>
      <c r="W15" s="805">
        <f t="shared" si="10"/>
        <v>0</v>
      </c>
      <c r="X15" s="805">
        <f t="shared" si="10"/>
        <v>0</v>
      </c>
      <c r="Y15" s="805">
        <f t="shared" si="10"/>
        <v>0</v>
      </c>
      <c r="Z15" s="805">
        <f t="shared" si="10"/>
        <v>0</v>
      </c>
      <c r="AA15" s="805">
        <f t="shared" si="10"/>
        <v>0</v>
      </c>
      <c r="AB15" s="805">
        <f t="shared" si="10"/>
        <v>0</v>
      </c>
      <c r="AC15" s="805">
        <f t="shared" si="10"/>
        <v>0</v>
      </c>
      <c r="AD15" s="805">
        <f t="shared" si="10"/>
        <v>0</v>
      </c>
      <c r="AE15" s="805">
        <f t="shared" si="10"/>
        <v>0</v>
      </c>
      <c r="AF15" s="805">
        <f t="shared" si="10"/>
        <v>0</v>
      </c>
      <c r="AG15" s="805">
        <f t="shared" si="10"/>
        <v>0</v>
      </c>
      <c r="AH15" s="805">
        <f t="shared" ref="AH15:AW22" si="11">IF(AND($H15&gt;0,AH$7&gt;0),+IF(AND($M15&lt;=AH$7,$N15&gt;=AH$7),IF($W$6="QUINCENAL",1/(($N15-$M15)/0.5+1),1/($N15-$M15+1)),0),0)</f>
        <v>0</v>
      </c>
      <c r="AI15" s="805">
        <f t="shared" si="11"/>
        <v>0</v>
      </c>
      <c r="AJ15" s="805">
        <f t="shared" si="11"/>
        <v>0</v>
      </c>
      <c r="AK15" s="805">
        <f t="shared" si="11"/>
        <v>0</v>
      </c>
      <c r="AL15" s="805">
        <f t="shared" si="11"/>
        <v>0</v>
      </c>
      <c r="AM15" s="805">
        <f t="shared" si="11"/>
        <v>0</v>
      </c>
      <c r="AN15" s="805">
        <f t="shared" si="11"/>
        <v>0</v>
      </c>
      <c r="AO15" s="805">
        <f t="shared" si="11"/>
        <v>0</v>
      </c>
      <c r="AP15" s="805">
        <f t="shared" si="11"/>
        <v>0</v>
      </c>
      <c r="AQ15" s="805">
        <f t="shared" si="11"/>
        <v>0</v>
      </c>
      <c r="AR15" s="805">
        <f t="shared" si="11"/>
        <v>0</v>
      </c>
      <c r="AS15" s="805">
        <f t="shared" si="11"/>
        <v>0</v>
      </c>
      <c r="AT15" s="805">
        <f t="shared" si="11"/>
        <v>0</v>
      </c>
      <c r="AU15" s="805">
        <f t="shared" si="11"/>
        <v>0</v>
      </c>
      <c r="AV15" s="805">
        <f t="shared" si="11"/>
        <v>0</v>
      </c>
      <c r="AW15" s="805">
        <f t="shared" si="11"/>
        <v>0</v>
      </c>
      <c r="AX15" s="805">
        <f t="shared" ref="AX15:BM22" si="12">IF(AND($H15&gt;0,AX$7&gt;0),+IF(AND($M15&lt;=AX$7,$N15&gt;=AX$7),IF($W$6="QUINCENAL",1/(($N15-$M15)/0.5+1),1/($N15-$M15+1)),0),0)</f>
        <v>0</v>
      </c>
      <c r="AY15" s="805">
        <f t="shared" si="12"/>
        <v>0</v>
      </c>
      <c r="AZ15" s="805">
        <f t="shared" si="12"/>
        <v>0</v>
      </c>
      <c r="BA15" s="805">
        <f t="shared" si="12"/>
        <v>0</v>
      </c>
      <c r="BB15" s="805">
        <f t="shared" si="12"/>
        <v>0</v>
      </c>
      <c r="BC15" s="805">
        <f t="shared" si="12"/>
        <v>0</v>
      </c>
      <c r="BD15" s="805">
        <f t="shared" si="12"/>
        <v>0</v>
      </c>
      <c r="BE15" s="805">
        <f t="shared" si="12"/>
        <v>0</v>
      </c>
      <c r="BF15" s="805">
        <f t="shared" si="12"/>
        <v>0</v>
      </c>
      <c r="BG15" s="805">
        <f t="shared" si="12"/>
        <v>0</v>
      </c>
      <c r="BH15" s="805">
        <f t="shared" si="12"/>
        <v>0</v>
      </c>
      <c r="BI15" s="805">
        <f t="shared" si="12"/>
        <v>0</v>
      </c>
      <c r="BJ15" s="805">
        <f t="shared" si="12"/>
        <v>0</v>
      </c>
      <c r="BK15" s="805">
        <f t="shared" si="12"/>
        <v>0</v>
      </c>
      <c r="BL15" s="805">
        <f t="shared" si="12"/>
        <v>0</v>
      </c>
      <c r="BM15" s="806">
        <f t="shared" si="12"/>
        <v>0</v>
      </c>
      <c r="BN15" s="785"/>
      <c r="BO15" s="1204"/>
      <c r="BP15" s="1203">
        <f>+SUMIF('AUX-NIV1'!$B:$B,Crono!$C15,'AUX-NIV1'!AQ:AQ)*Precio!$F$35/Precio!$F$35*Crono!$H15</f>
        <v>1689.9217107866893</v>
      </c>
      <c r="BQ15" s="1202">
        <f>+SUMIF('AUX-NIV1'!$B:$B,Crono!$C15,'AUX-NIV1'!AR:AR)*Precio!$F$35*Crono!$H15</f>
        <v>0</v>
      </c>
      <c r="BR15" s="1202">
        <f>+SUMIF('AUX-NIV1'!$B:$B,Crono!$C15,'AUX-NIV1'!AS:AS)*Precio!$F$35*Crono!$H15</f>
        <v>322.16494845360819</v>
      </c>
      <c r="BS15" s="1202">
        <f>+SUMIF('AUX-NIV1'!$B:$B,Crono!$C15,'AUX-NIV1'!AT:AT)*Precio!$F$35*Crono!$H15</f>
        <v>0</v>
      </c>
      <c r="BT15" s="1202">
        <f>+SUMIF('AUX-NIV1'!$B:$B,Crono!$C15,'AUX-NIV1'!AU:AU)*Precio!$F$35*Crono!$H15</f>
        <v>0</v>
      </c>
      <c r="BU15" s="1202"/>
      <c r="BW15" s="1202">
        <f t="shared" ref="BW15:BW16" si="13">$BP15*Q15</f>
        <v>1689.9217107866893</v>
      </c>
      <c r="BX15" s="1202">
        <f t="shared" ref="BX15:BX16" si="14">$BP15*R15</f>
        <v>0</v>
      </c>
      <c r="BY15" s="1202">
        <f t="shared" ref="BY15:BY16" si="15">$BP15*S15</f>
        <v>0</v>
      </c>
      <c r="BZ15" s="1202">
        <f t="shared" ref="BZ15:BZ16" si="16">$BP15*T15</f>
        <v>0</v>
      </c>
      <c r="CA15" s="1202">
        <f t="shared" ref="CA15:CA16" si="17">$BP15*U15</f>
        <v>0</v>
      </c>
      <c r="CB15" s="1202">
        <f t="shared" ref="CB15:CB16" si="18">$BP15*V15</f>
        <v>0</v>
      </c>
      <c r="CC15" s="1202">
        <f t="shared" ref="CC15:CC16" si="19">$BP15*W15</f>
        <v>0</v>
      </c>
      <c r="CD15" s="1202">
        <f t="shared" ref="CD15:CD16" si="20">$BP15*X15</f>
        <v>0</v>
      </c>
      <c r="CE15" s="1202">
        <f t="shared" ref="CE15:CE16" si="21">$BP15*Y15</f>
        <v>0</v>
      </c>
      <c r="CF15" s="1202">
        <f t="shared" ref="CF15:CF16" si="22">$BP15*Z15</f>
        <v>0</v>
      </c>
      <c r="CG15" s="1202">
        <f t="shared" ref="CG15:CG16" si="23">$BP15*AA15</f>
        <v>0</v>
      </c>
      <c r="CH15" s="1202">
        <f t="shared" ref="CH15:CH16" si="24">$BP15*AB15</f>
        <v>0</v>
      </c>
      <c r="CI15" s="1202">
        <f t="shared" ref="CI15:CI16" si="25">$BP15*AC15</f>
        <v>0</v>
      </c>
      <c r="CJ15" s="1202">
        <f t="shared" ref="CJ15:CJ16" si="26">$BP15*AD15</f>
        <v>0</v>
      </c>
      <c r="CK15" s="1202">
        <f t="shared" ref="CK15:CK16" si="27">$BP15*AE15</f>
        <v>0</v>
      </c>
      <c r="CL15" s="1202">
        <f t="shared" ref="CL15:CL16" si="28">$BP15*AF15</f>
        <v>0</v>
      </c>
      <c r="CM15" s="1202">
        <f t="shared" ref="CM15:CM16" si="29">$BP15*AG15</f>
        <v>0</v>
      </c>
      <c r="CN15" s="1202">
        <f t="shared" ref="CN15:CN16" si="30">$BP15*AH15</f>
        <v>0</v>
      </c>
      <c r="CO15" s="1202">
        <f t="shared" ref="CO15:CO16" si="31">$BP15*AI15</f>
        <v>0</v>
      </c>
      <c r="CP15" s="1202">
        <f t="shared" ref="CP15:CP16" si="32">$BP15*AJ15</f>
        <v>0</v>
      </c>
      <c r="CQ15" s="1202">
        <f t="shared" ref="CQ15:CQ16" si="33">$BP15*AK15</f>
        <v>0</v>
      </c>
      <c r="CR15" s="1202">
        <f t="shared" ref="CR15:CR16" si="34">$BP15*AL15</f>
        <v>0</v>
      </c>
      <c r="CS15" s="1202">
        <f t="shared" ref="CS15:CS16" si="35">$BP15*AM15</f>
        <v>0</v>
      </c>
      <c r="CT15" s="1202">
        <f t="shared" ref="CT15:CT16" si="36">$BP15*AN15</f>
        <v>0</v>
      </c>
      <c r="CU15" s="1202">
        <f t="shared" ref="CU15:CU16" si="37">$BP15*AO15</f>
        <v>0</v>
      </c>
      <c r="CV15" s="1202">
        <f t="shared" ref="CV15:CV16" si="38">$BP15*AP15</f>
        <v>0</v>
      </c>
      <c r="CW15" s="1202">
        <f t="shared" ref="CW15:CW16" si="39">$BP15*AQ15</f>
        <v>0</v>
      </c>
      <c r="CX15" s="1202">
        <f t="shared" ref="CX15:CX16" si="40">$BP15*AR15</f>
        <v>0</v>
      </c>
      <c r="CY15" s="1202">
        <f t="shared" ref="CY15:CY16" si="41">$BP15*AS15</f>
        <v>0</v>
      </c>
      <c r="CZ15" s="1202">
        <f t="shared" ref="CZ15:CZ16" si="42">$BP15*AT15</f>
        <v>0</v>
      </c>
      <c r="DA15" s="1202">
        <f t="shared" ref="DA15:DA16" si="43">$BP15*AU15</f>
        <v>0</v>
      </c>
      <c r="DB15" s="1202">
        <f t="shared" ref="DB15:DB16" si="44">$BP15*AV15</f>
        <v>0</v>
      </c>
      <c r="DC15" s="1202">
        <f t="shared" ref="DC15:DC16" si="45">$BP15*AW15</f>
        <v>0</v>
      </c>
      <c r="DD15" s="1202">
        <f t="shared" ref="DD15:DD16" si="46">$BP15*AX15</f>
        <v>0</v>
      </c>
      <c r="DE15" s="1202">
        <f t="shared" ref="DE15:DE16" si="47">$BP15*AY15</f>
        <v>0</v>
      </c>
      <c r="DF15" s="1202">
        <f t="shared" ref="DF15:DF16" si="48">$BP15*AZ15</f>
        <v>0</v>
      </c>
      <c r="DG15" s="1202">
        <f t="shared" ref="DG15:DG16" si="49">$BP15*BA15</f>
        <v>0</v>
      </c>
      <c r="DH15" s="1202">
        <f t="shared" ref="DH15:DH16" si="50">$BP15*BB15</f>
        <v>0</v>
      </c>
      <c r="DI15" s="1202">
        <f t="shared" ref="DI15:DI16" si="51">$BP15*BC15</f>
        <v>0</v>
      </c>
      <c r="DJ15" s="1202">
        <f t="shared" ref="DJ15:DJ16" si="52">$BP15*BD15</f>
        <v>0</v>
      </c>
      <c r="DK15" s="1202">
        <f t="shared" ref="DK15:DK16" si="53">$BP15*BE15</f>
        <v>0</v>
      </c>
      <c r="DL15" s="1202">
        <f t="shared" ref="DL15:DL16" si="54">$BP15*BF15</f>
        <v>0</v>
      </c>
      <c r="DM15" s="1202">
        <f t="shared" ref="DM15:DM16" si="55">$BP15*BG15</f>
        <v>0</v>
      </c>
      <c r="DN15" s="1202">
        <f t="shared" ref="DN15:DN16" si="56">$BP15*BH15</f>
        <v>0</v>
      </c>
      <c r="DO15" s="1202">
        <f t="shared" ref="DO15:DO16" si="57">$BP15*BI15</f>
        <v>0</v>
      </c>
      <c r="DP15" s="1202">
        <f t="shared" ref="DP15:DP16" si="58">$BP15*BJ15</f>
        <v>0</v>
      </c>
      <c r="DQ15" s="1202">
        <f t="shared" ref="DQ15:DQ16" si="59">$BP15*BK15</f>
        <v>0</v>
      </c>
      <c r="DR15" s="1202">
        <f t="shared" ref="DR15:DR16" si="60">$BP15*BL15</f>
        <v>0</v>
      </c>
      <c r="DS15" s="1202"/>
      <c r="DT15" s="1202"/>
      <c r="DU15" s="1202"/>
      <c r="DV15" s="1202"/>
      <c r="DW15" s="1202"/>
      <c r="DX15" s="1202"/>
      <c r="DY15" s="1202"/>
      <c r="DZ15" s="1202"/>
      <c r="EA15" s="1202"/>
      <c r="EB15" s="1202"/>
      <c r="EC15" s="1202"/>
      <c r="ED15" s="1202"/>
      <c r="EE15" s="1202"/>
      <c r="EF15" s="1202"/>
      <c r="EG15" s="1202"/>
      <c r="EH15" s="1202"/>
      <c r="EI15" s="1202"/>
      <c r="EJ15" s="1202"/>
      <c r="EK15" s="1202"/>
      <c r="EL15" s="1202"/>
      <c r="EM15" s="1202"/>
      <c r="EN15" s="1202"/>
      <c r="EO15" s="1202"/>
      <c r="EP15" s="1202"/>
      <c r="EQ15" s="1202"/>
      <c r="ER15" s="1202"/>
      <c r="ES15" s="1202"/>
      <c r="ET15" s="1202"/>
      <c r="EU15" s="1202"/>
      <c r="EV15" s="1202"/>
      <c r="EW15" s="1202"/>
      <c r="EX15" s="1202"/>
      <c r="EY15" s="1202"/>
      <c r="EZ15" s="1202"/>
      <c r="FA15" s="1202"/>
      <c r="FB15" s="1202"/>
      <c r="FC15" s="1202"/>
      <c r="FD15" s="1202"/>
      <c r="FE15" s="1202"/>
      <c r="FF15" s="1202"/>
      <c r="FG15" s="1202"/>
      <c r="FH15" s="1202"/>
      <c r="FI15" s="1202"/>
      <c r="FJ15" s="1202"/>
      <c r="FK15" s="1202"/>
      <c r="FL15" s="1202"/>
      <c r="FM15" s="1202"/>
      <c r="FN15" s="1202"/>
      <c r="FO15" s="1202"/>
      <c r="FP15" s="1202"/>
      <c r="FQ15" s="1202"/>
      <c r="FR15" s="1202"/>
      <c r="FS15" s="1202"/>
      <c r="FT15" s="1202"/>
      <c r="FU15" s="1202"/>
      <c r="FV15" s="1202"/>
      <c r="FW15" s="1202"/>
      <c r="FX15" s="1202"/>
      <c r="FY15" s="1202"/>
      <c r="FZ15" s="1202"/>
      <c r="GA15" s="1202"/>
      <c r="GB15" s="1202"/>
      <c r="GC15" s="1202"/>
      <c r="GD15" s="1202"/>
      <c r="GE15" s="1202"/>
      <c r="GF15" s="1202"/>
      <c r="GG15" s="1202"/>
      <c r="GH15" s="1202"/>
      <c r="GI15" s="1202"/>
      <c r="GJ15" s="1202"/>
      <c r="GK15" s="1202"/>
      <c r="GL15" s="1202"/>
      <c r="GM15" s="1202"/>
      <c r="GN15" s="1202"/>
      <c r="GO15" s="1202"/>
      <c r="GP15" s="1202"/>
      <c r="GQ15" s="1202"/>
      <c r="GR15" s="1202"/>
      <c r="GS15" s="1202"/>
      <c r="GT15" s="1202"/>
      <c r="GU15" s="1202"/>
      <c r="GV15" s="1202"/>
      <c r="GW15" s="1202"/>
      <c r="GX15" s="1202"/>
      <c r="GY15" s="1202"/>
      <c r="GZ15" s="1202"/>
      <c r="HA15" s="1202"/>
      <c r="HB15" s="1202"/>
      <c r="HC15" s="1202"/>
      <c r="HD15" s="1202"/>
      <c r="HE15" s="1202"/>
      <c r="HF15" s="1202"/>
      <c r="HG15" s="1202"/>
      <c r="HH15" s="1202"/>
      <c r="HI15" s="1202"/>
      <c r="HJ15" s="1202"/>
      <c r="HK15" s="1202"/>
      <c r="HL15" s="1202"/>
      <c r="HM15" s="1202"/>
      <c r="HN15" s="1202"/>
      <c r="HO15" s="1202"/>
      <c r="HP15" s="1202"/>
      <c r="HQ15" s="1202"/>
      <c r="HR15" s="1202"/>
      <c r="HS15" s="1202"/>
      <c r="HT15" s="1202"/>
      <c r="HU15" s="1202"/>
      <c r="HV15" s="1202"/>
      <c r="HW15" s="1202"/>
      <c r="HX15" s="1202"/>
      <c r="HY15" s="1202"/>
      <c r="HZ15" s="1202"/>
      <c r="IA15" s="1202"/>
      <c r="IB15" s="1202"/>
      <c r="IC15" s="1202"/>
      <c r="ID15" s="1202"/>
      <c r="IE15" s="1202"/>
      <c r="IF15" s="1202"/>
      <c r="IG15" s="1202"/>
      <c r="IH15" s="1202"/>
      <c r="II15" s="1202"/>
      <c r="IJ15" s="1202"/>
      <c r="IK15" s="1202"/>
      <c r="IL15" s="1202"/>
      <c r="IM15" s="1202"/>
      <c r="IN15" s="1202"/>
      <c r="IO15" s="1202"/>
      <c r="IP15" s="1202"/>
      <c r="IQ15" s="1202"/>
      <c r="IR15" s="1202"/>
      <c r="IS15" s="1202"/>
      <c r="IT15" s="1202"/>
      <c r="IU15" s="1202"/>
      <c r="IV15" s="1202"/>
      <c r="IW15" s="1202"/>
      <c r="IX15" s="1202"/>
      <c r="IY15" s="1202"/>
      <c r="IZ15" s="1202"/>
      <c r="JA15" s="1202"/>
      <c r="JB15" s="1202"/>
      <c r="JC15" s="1202"/>
      <c r="JD15" s="1202"/>
      <c r="JE15" s="1202"/>
      <c r="JF15" s="1202"/>
      <c r="JG15" s="1202"/>
      <c r="JH15" s="1202"/>
      <c r="JI15" s="1202"/>
      <c r="JJ15" s="1202"/>
      <c r="JK15" s="1202"/>
      <c r="JL15" s="1202"/>
      <c r="JM15" s="1202"/>
      <c r="JN15" s="1202"/>
      <c r="JO15" s="1202"/>
      <c r="JP15" s="1202"/>
      <c r="JQ15" s="1202"/>
      <c r="JR15" s="1202"/>
      <c r="JS15" s="1202"/>
      <c r="JT15" s="1202"/>
      <c r="JU15" s="1202"/>
      <c r="JV15" s="1202"/>
      <c r="JW15" s="1202"/>
      <c r="JX15" s="1202"/>
      <c r="JY15" s="1202"/>
      <c r="JZ15" s="1202"/>
      <c r="KA15" s="1202"/>
      <c r="KB15" s="1202"/>
      <c r="KC15" s="1202"/>
      <c r="KD15" s="1202"/>
      <c r="KE15" s="1202"/>
      <c r="KF15" s="1202"/>
      <c r="KG15" s="1202"/>
      <c r="KH15" s="1202"/>
      <c r="KI15" s="1202"/>
      <c r="KJ15" s="1202"/>
      <c r="KK15" s="1202"/>
      <c r="KL15" s="1202"/>
      <c r="KM15" s="1202"/>
      <c r="KN15" s="1202"/>
      <c r="KO15" s="1202"/>
      <c r="KP15" s="1202"/>
      <c r="KQ15" s="1202"/>
      <c r="KR15" s="1202"/>
      <c r="KS15" s="1202"/>
      <c r="KT15" s="1202"/>
      <c r="KU15" s="1202"/>
      <c r="KV15" s="1202"/>
      <c r="KW15" s="1202"/>
      <c r="KX15" s="1202"/>
      <c r="KY15" s="1202"/>
      <c r="KZ15" s="1202"/>
      <c r="LA15" s="1202"/>
      <c r="LB15" s="1202"/>
      <c r="LC15" s="1202"/>
      <c r="LD15" s="1202"/>
      <c r="LE15" s="1202"/>
      <c r="LF15" s="1202"/>
      <c r="LG15" s="1202"/>
    </row>
    <row r="16" spans="1:319" ht="15.6">
      <c r="B16" s="679">
        <v>2</v>
      </c>
      <c r="C16" s="680" t="s">
        <v>4639</v>
      </c>
      <c r="D16" s="681"/>
      <c r="E16" s="682" t="s">
        <v>4624</v>
      </c>
      <c r="F16" s="1522" t="s">
        <v>4625</v>
      </c>
      <c r="G16" s="684" t="str">
        <f>VLOOKUP($E16,Items!$E:$I,3,FALSE)</f>
        <v>gl.</v>
      </c>
      <c r="H16" s="685">
        <f>VLOOKUP($E16,Items!$E:$I,4,FALSE)</f>
        <v>1</v>
      </c>
      <c r="I16" s="686">
        <f>VLOOKUP($E16,Items!$E:$I,5,FALSE)</f>
        <v>10111.25082984959</v>
      </c>
      <c r="J16" s="687">
        <f t="shared" ref="J16:J19" si="61">I16*H16</f>
        <v>10111.25082984959</v>
      </c>
      <c r="K16" s="692">
        <f>+H16/L16/Datos!$N$40</f>
        <v>5.2651833452637313E-3</v>
      </c>
      <c r="L16" s="686">
        <f t="shared" si="6"/>
        <v>1</v>
      </c>
      <c r="M16" s="849">
        <f>MIN(M17:M21)</f>
        <v>0.5</v>
      </c>
      <c r="N16" s="850">
        <v>0.5</v>
      </c>
      <c r="O16" s="851">
        <f>+IF(C16&lt;&gt;"",VLOOKUP(C16,'AUX-NIV1'!B:AO,40,FALSE)*H16,0)</f>
        <v>19</v>
      </c>
      <c r="P16" s="803" t="str">
        <f t="shared" ref="P16:P20" si="62">IF(J16&gt;0,IF(+SUM(Q16:BM16)=1,"","REV."),"")</f>
        <v/>
      </c>
      <c r="Q16" s="804">
        <f t="shared" si="9"/>
        <v>1</v>
      </c>
      <c r="R16" s="805">
        <f t="shared" si="10"/>
        <v>0</v>
      </c>
      <c r="S16" s="805">
        <f t="shared" si="10"/>
        <v>0</v>
      </c>
      <c r="T16" s="805">
        <f t="shared" si="10"/>
        <v>0</v>
      </c>
      <c r="U16" s="805">
        <f t="shared" si="10"/>
        <v>0</v>
      </c>
      <c r="V16" s="805">
        <f t="shared" si="10"/>
        <v>0</v>
      </c>
      <c r="W16" s="805">
        <f t="shared" si="10"/>
        <v>0</v>
      </c>
      <c r="X16" s="805">
        <f t="shared" si="10"/>
        <v>0</v>
      </c>
      <c r="Y16" s="805">
        <f t="shared" si="10"/>
        <v>0</v>
      </c>
      <c r="Z16" s="805">
        <f t="shared" si="10"/>
        <v>0</v>
      </c>
      <c r="AA16" s="805">
        <f t="shared" si="10"/>
        <v>0</v>
      </c>
      <c r="AB16" s="805">
        <f t="shared" si="10"/>
        <v>0</v>
      </c>
      <c r="AC16" s="805">
        <f t="shared" si="10"/>
        <v>0</v>
      </c>
      <c r="AD16" s="805">
        <f t="shared" si="10"/>
        <v>0</v>
      </c>
      <c r="AE16" s="805">
        <f t="shared" si="10"/>
        <v>0</v>
      </c>
      <c r="AF16" s="805">
        <f t="shared" si="10"/>
        <v>0</v>
      </c>
      <c r="AG16" s="805">
        <f t="shared" si="10"/>
        <v>0</v>
      </c>
      <c r="AH16" s="805">
        <f t="shared" si="11"/>
        <v>0</v>
      </c>
      <c r="AI16" s="805">
        <f t="shared" si="11"/>
        <v>0</v>
      </c>
      <c r="AJ16" s="805">
        <f t="shared" si="11"/>
        <v>0</v>
      </c>
      <c r="AK16" s="805">
        <f t="shared" si="11"/>
        <v>0</v>
      </c>
      <c r="AL16" s="805">
        <f t="shared" si="11"/>
        <v>0</v>
      </c>
      <c r="AM16" s="805">
        <f t="shared" si="11"/>
        <v>0</v>
      </c>
      <c r="AN16" s="805">
        <f t="shared" si="11"/>
        <v>0</v>
      </c>
      <c r="AO16" s="805">
        <f t="shared" si="11"/>
        <v>0</v>
      </c>
      <c r="AP16" s="805">
        <f t="shared" si="11"/>
        <v>0</v>
      </c>
      <c r="AQ16" s="805">
        <f t="shared" si="11"/>
        <v>0</v>
      </c>
      <c r="AR16" s="805">
        <f t="shared" si="11"/>
        <v>0</v>
      </c>
      <c r="AS16" s="805">
        <f t="shared" si="11"/>
        <v>0</v>
      </c>
      <c r="AT16" s="805">
        <f t="shared" si="11"/>
        <v>0</v>
      </c>
      <c r="AU16" s="805">
        <f t="shared" si="11"/>
        <v>0</v>
      </c>
      <c r="AV16" s="805">
        <f t="shared" si="11"/>
        <v>0</v>
      </c>
      <c r="AW16" s="805">
        <f t="shared" si="11"/>
        <v>0</v>
      </c>
      <c r="AX16" s="805">
        <f t="shared" si="12"/>
        <v>0</v>
      </c>
      <c r="AY16" s="805">
        <f t="shared" si="12"/>
        <v>0</v>
      </c>
      <c r="AZ16" s="805">
        <f t="shared" si="12"/>
        <v>0</v>
      </c>
      <c r="BA16" s="805">
        <f t="shared" si="12"/>
        <v>0</v>
      </c>
      <c r="BB16" s="805">
        <f t="shared" si="12"/>
        <v>0</v>
      </c>
      <c r="BC16" s="805">
        <f t="shared" si="12"/>
        <v>0</v>
      </c>
      <c r="BD16" s="805">
        <f t="shared" si="12"/>
        <v>0</v>
      </c>
      <c r="BE16" s="805">
        <f t="shared" si="12"/>
        <v>0</v>
      </c>
      <c r="BF16" s="805">
        <f t="shared" si="12"/>
        <v>0</v>
      </c>
      <c r="BG16" s="805">
        <f t="shared" si="12"/>
        <v>0</v>
      </c>
      <c r="BH16" s="805">
        <f t="shared" si="12"/>
        <v>0</v>
      </c>
      <c r="BI16" s="805">
        <f t="shared" si="12"/>
        <v>0</v>
      </c>
      <c r="BJ16" s="805">
        <f t="shared" si="12"/>
        <v>0</v>
      </c>
      <c r="BK16" s="805">
        <f t="shared" si="12"/>
        <v>0</v>
      </c>
      <c r="BL16" s="805">
        <f t="shared" si="12"/>
        <v>0</v>
      </c>
      <c r="BM16" s="806">
        <f t="shared" si="12"/>
        <v>0</v>
      </c>
      <c r="BN16" s="785"/>
      <c r="BO16" s="1204">
        <f>SUM(BP16:BU16)-J16</f>
        <v>0</v>
      </c>
      <c r="BP16" s="1203">
        <f>+SUMIF('AUX-NIV1'!$B:$B,Crono!$C16,'AUX-NIV1'!AQ:AQ)*Crono!$H16</f>
        <v>8734.2656298495895</v>
      </c>
      <c r="BQ16" s="1202">
        <f>+SUMIF('AUX-NIV1'!$B:$B,Crono!$C16,'AUX-NIV1'!AR:AR)*Crono!$H16</f>
        <v>1248.2352000000001</v>
      </c>
      <c r="BR16" s="1202">
        <f>+SUMIF('AUX-NIV1'!$B:$B,Crono!$C16,'AUX-NIV1'!AS:AS)*Crono!$H16</f>
        <v>128.75</v>
      </c>
      <c r="BS16" s="1202">
        <f>+SUMIF('AUX-NIV1'!$B:$B,Crono!$C16,'AUX-NIV1'!AT:AT)*Crono!$H16</f>
        <v>0</v>
      </c>
      <c r="BT16" s="1202">
        <f>+SUMIF('AUX-NIV1'!$B:$B,Crono!$C16,'AUX-NIV1'!AU:AU)*Crono!$H16</f>
        <v>0</v>
      </c>
      <c r="BU16" s="1202"/>
      <c r="BW16" s="1202">
        <f>$BP16*Q16</f>
        <v>8734.2656298495895</v>
      </c>
      <c r="BX16" s="1202">
        <f t="shared" ref="BX16:DR16" si="63">$BP16*R16</f>
        <v>0</v>
      </c>
      <c r="BY16" s="1202">
        <f t="shared" si="63"/>
        <v>0</v>
      </c>
      <c r="BZ16" s="1202">
        <f t="shared" si="63"/>
        <v>0</v>
      </c>
      <c r="CA16" s="1202">
        <f t="shared" si="63"/>
        <v>0</v>
      </c>
      <c r="CB16" s="1202">
        <f t="shared" si="63"/>
        <v>0</v>
      </c>
      <c r="CC16" s="1202">
        <f t="shared" si="63"/>
        <v>0</v>
      </c>
      <c r="CD16" s="1202">
        <f t="shared" si="63"/>
        <v>0</v>
      </c>
      <c r="CE16" s="1202">
        <f t="shared" si="63"/>
        <v>0</v>
      </c>
      <c r="CF16" s="1202">
        <f t="shared" si="63"/>
        <v>0</v>
      </c>
      <c r="CG16" s="1202">
        <f t="shared" si="63"/>
        <v>0</v>
      </c>
      <c r="CH16" s="1202">
        <f t="shared" si="63"/>
        <v>0</v>
      </c>
      <c r="CI16" s="1202">
        <f t="shared" si="63"/>
        <v>0</v>
      </c>
      <c r="CJ16" s="1202">
        <f t="shared" si="63"/>
        <v>0</v>
      </c>
      <c r="CK16" s="1202">
        <f t="shared" si="63"/>
        <v>0</v>
      </c>
      <c r="CL16" s="1202">
        <f t="shared" si="63"/>
        <v>0</v>
      </c>
      <c r="CM16" s="1202">
        <f t="shared" si="63"/>
        <v>0</v>
      </c>
      <c r="CN16" s="1202">
        <f t="shared" si="63"/>
        <v>0</v>
      </c>
      <c r="CO16" s="1202">
        <f t="shared" si="63"/>
        <v>0</v>
      </c>
      <c r="CP16" s="1202">
        <f t="shared" si="63"/>
        <v>0</v>
      </c>
      <c r="CQ16" s="1202">
        <f t="shared" si="63"/>
        <v>0</v>
      </c>
      <c r="CR16" s="1202">
        <f t="shared" si="63"/>
        <v>0</v>
      </c>
      <c r="CS16" s="1202">
        <f t="shared" si="63"/>
        <v>0</v>
      </c>
      <c r="CT16" s="1202">
        <f t="shared" si="63"/>
        <v>0</v>
      </c>
      <c r="CU16" s="1202">
        <f t="shared" si="63"/>
        <v>0</v>
      </c>
      <c r="CV16" s="1202">
        <f t="shared" si="63"/>
        <v>0</v>
      </c>
      <c r="CW16" s="1202">
        <f t="shared" si="63"/>
        <v>0</v>
      </c>
      <c r="CX16" s="1202">
        <f t="shared" si="63"/>
        <v>0</v>
      </c>
      <c r="CY16" s="1202">
        <f t="shared" si="63"/>
        <v>0</v>
      </c>
      <c r="CZ16" s="1202">
        <f t="shared" si="63"/>
        <v>0</v>
      </c>
      <c r="DA16" s="1202">
        <f t="shared" si="63"/>
        <v>0</v>
      </c>
      <c r="DB16" s="1202">
        <f t="shared" si="63"/>
        <v>0</v>
      </c>
      <c r="DC16" s="1202">
        <f t="shared" si="63"/>
        <v>0</v>
      </c>
      <c r="DD16" s="1202">
        <f t="shared" si="63"/>
        <v>0</v>
      </c>
      <c r="DE16" s="1202">
        <f t="shared" si="63"/>
        <v>0</v>
      </c>
      <c r="DF16" s="1202">
        <f t="shared" si="63"/>
        <v>0</v>
      </c>
      <c r="DG16" s="1202">
        <f t="shared" si="63"/>
        <v>0</v>
      </c>
      <c r="DH16" s="1202">
        <f t="shared" si="63"/>
        <v>0</v>
      </c>
      <c r="DI16" s="1202">
        <f t="shared" si="63"/>
        <v>0</v>
      </c>
      <c r="DJ16" s="1202">
        <f t="shared" si="63"/>
        <v>0</v>
      </c>
      <c r="DK16" s="1202">
        <f t="shared" si="63"/>
        <v>0</v>
      </c>
      <c r="DL16" s="1202">
        <f t="shared" si="63"/>
        <v>0</v>
      </c>
      <c r="DM16" s="1202">
        <f t="shared" si="63"/>
        <v>0</v>
      </c>
      <c r="DN16" s="1202">
        <f t="shared" si="63"/>
        <v>0</v>
      </c>
      <c r="DO16" s="1202">
        <f t="shared" si="63"/>
        <v>0</v>
      </c>
      <c r="DP16" s="1202">
        <f t="shared" si="63"/>
        <v>0</v>
      </c>
      <c r="DQ16" s="1202">
        <f t="shared" si="63"/>
        <v>0</v>
      </c>
      <c r="DR16" s="1202">
        <f t="shared" si="63"/>
        <v>0</v>
      </c>
      <c r="DS16" s="1202"/>
      <c r="DT16" s="1202">
        <f>$BQ16*Q16</f>
        <v>1248.2352000000001</v>
      </c>
      <c r="DU16" s="1202">
        <f t="shared" ref="DU16:FO16" si="64">$BQ16*R16</f>
        <v>0</v>
      </c>
      <c r="DV16" s="1202">
        <f t="shared" si="64"/>
        <v>0</v>
      </c>
      <c r="DW16" s="1202">
        <f t="shared" si="64"/>
        <v>0</v>
      </c>
      <c r="DX16" s="1202">
        <f t="shared" si="64"/>
        <v>0</v>
      </c>
      <c r="DY16" s="1202">
        <f t="shared" si="64"/>
        <v>0</v>
      </c>
      <c r="DZ16" s="1202">
        <f t="shared" si="64"/>
        <v>0</v>
      </c>
      <c r="EA16" s="1202">
        <f t="shared" si="64"/>
        <v>0</v>
      </c>
      <c r="EB16" s="1202">
        <f t="shared" si="64"/>
        <v>0</v>
      </c>
      <c r="EC16" s="1202">
        <f t="shared" si="64"/>
        <v>0</v>
      </c>
      <c r="ED16" s="1202">
        <f t="shared" si="64"/>
        <v>0</v>
      </c>
      <c r="EE16" s="1202">
        <f t="shared" si="64"/>
        <v>0</v>
      </c>
      <c r="EF16" s="1202">
        <f t="shared" si="64"/>
        <v>0</v>
      </c>
      <c r="EG16" s="1202">
        <f t="shared" si="64"/>
        <v>0</v>
      </c>
      <c r="EH16" s="1202">
        <f t="shared" si="64"/>
        <v>0</v>
      </c>
      <c r="EI16" s="1202">
        <f t="shared" si="64"/>
        <v>0</v>
      </c>
      <c r="EJ16" s="1202">
        <f t="shared" si="64"/>
        <v>0</v>
      </c>
      <c r="EK16" s="1202">
        <f t="shared" si="64"/>
        <v>0</v>
      </c>
      <c r="EL16" s="1202">
        <f t="shared" si="64"/>
        <v>0</v>
      </c>
      <c r="EM16" s="1202">
        <f t="shared" si="64"/>
        <v>0</v>
      </c>
      <c r="EN16" s="1202">
        <f t="shared" si="64"/>
        <v>0</v>
      </c>
      <c r="EO16" s="1202">
        <f t="shared" si="64"/>
        <v>0</v>
      </c>
      <c r="EP16" s="1202">
        <f t="shared" si="64"/>
        <v>0</v>
      </c>
      <c r="EQ16" s="1202">
        <f t="shared" si="64"/>
        <v>0</v>
      </c>
      <c r="ER16" s="1202">
        <f t="shared" si="64"/>
        <v>0</v>
      </c>
      <c r="ES16" s="1202">
        <f t="shared" si="64"/>
        <v>0</v>
      </c>
      <c r="ET16" s="1202">
        <f t="shared" si="64"/>
        <v>0</v>
      </c>
      <c r="EU16" s="1202">
        <f t="shared" si="64"/>
        <v>0</v>
      </c>
      <c r="EV16" s="1202">
        <f t="shared" si="64"/>
        <v>0</v>
      </c>
      <c r="EW16" s="1202">
        <f t="shared" si="64"/>
        <v>0</v>
      </c>
      <c r="EX16" s="1202">
        <f t="shared" si="64"/>
        <v>0</v>
      </c>
      <c r="EY16" s="1202">
        <f t="shared" si="64"/>
        <v>0</v>
      </c>
      <c r="EZ16" s="1202">
        <f t="shared" si="64"/>
        <v>0</v>
      </c>
      <c r="FA16" s="1202">
        <f t="shared" si="64"/>
        <v>0</v>
      </c>
      <c r="FB16" s="1202">
        <f t="shared" si="64"/>
        <v>0</v>
      </c>
      <c r="FC16" s="1202">
        <f t="shared" si="64"/>
        <v>0</v>
      </c>
      <c r="FD16" s="1202">
        <f t="shared" si="64"/>
        <v>0</v>
      </c>
      <c r="FE16" s="1202">
        <f t="shared" si="64"/>
        <v>0</v>
      </c>
      <c r="FF16" s="1202">
        <f t="shared" si="64"/>
        <v>0</v>
      </c>
      <c r="FG16" s="1202">
        <f t="shared" si="64"/>
        <v>0</v>
      </c>
      <c r="FH16" s="1202">
        <f t="shared" si="64"/>
        <v>0</v>
      </c>
      <c r="FI16" s="1202">
        <f t="shared" si="64"/>
        <v>0</v>
      </c>
      <c r="FJ16" s="1202">
        <f t="shared" si="64"/>
        <v>0</v>
      </c>
      <c r="FK16" s="1202">
        <f t="shared" si="64"/>
        <v>0</v>
      </c>
      <c r="FL16" s="1202">
        <f t="shared" si="64"/>
        <v>0</v>
      </c>
      <c r="FM16" s="1202">
        <f t="shared" si="64"/>
        <v>0</v>
      </c>
      <c r="FN16" s="1202">
        <f t="shared" si="64"/>
        <v>0</v>
      </c>
      <c r="FO16" s="1202">
        <f t="shared" si="64"/>
        <v>0</v>
      </c>
      <c r="FP16" s="1202"/>
      <c r="FQ16" s="1202">
        <f>$BR16*Q16</f>
        <v>128.75</v>
      </c>
      <c r="FR16" s="1202">
        <f t="shared" ref="FR16:FR22" si="65">$BR16*R16</f>
        <v>0</v>
      </c>
      <c r="FS16" s="1202">
        <f t="shared" ref="FS16:FS22" si="66">$BR16*S16</f>
        <v>0</v>
      </c>
      <c r="FT16" s="1202">
        <f t="shared" ref="FT16:FT22" si="67">$BR16*T16</f>
        <v>0</v>
      </c>
      <c r="FU16" s="1202">
        <f t="shared" ref="FU16:FU22" si="68">$BR16*U16</f>
        <v>0</v>
      </c>
      <c r="FV16" s="1202">
        <f t="shared" ref="FV16:FV22" si="69">$BR16*V16</f>
        <v>0</v>
      </c>
      <c r="FW16" s="1202">
        <f t="shared" ref="FW16:FW22" si="70">$BR16*W16</f>
        <v>0</v>
      </c>
      <c r="FX16" s="1202">
        <f t="shared" ref="FX16:FX22" si="71">$BR16*X16</f>
        <v>0</v>
      </c>
      <c r="FY16" s="1202">
        <f t="shared" ref="FY16:FY22" si="72">$BR16*Y16</f>
        <v>0</v>
      </c>
      <c r="FZ16" s="1202">
        <f t="shared" ref="FZ16:FZ22" si="73">$BR16*Z16</f>
        <v>0</v>
      </c>
      <c r="GA16" s="1202">
        <f t="shared" ref="GA16:GA22" si="74">$BR16*AA16</f>
        <v>0</v>
      </c>
      <c r="GB16" s="1202">
        <f t="shared" ref="GB16:GB22" si="75">$BR16*AB16</f>
        <v>0</v>
      </c>
      <c r="GC16" s="1202">
        <f t="shared" ref="GC16:GC22" si="76">$BR16*AC16</f>
        <v>0</v>
      </c>
      <c r="GD16" s="1202">
        <f t="shared" ref="GD16:GD22" si="77">$BR16*AD16</f>
        <v>0</v>
      </c>
      <c r="GE16" s="1202">
        <f t="shared" ref="GE16:GE22" si="78">$BR16*AE16</f>
        <v>0</v>
      </c>
      <c r="GF16" s="1202">
        <f t="shared" ref="GF16:GF22" si="79">$BR16*AF16</f>
        <v>0</v>
      </c>
      <c r="GG16" s="1202">
        <f t="shared" ref="GG16:GG22" si="80">$BR16*AG16</f>
        <v>0</v>
      </c>
      <c r="GH16" s="1202">
        <f t="shared" ref="GH16:GH22" si="81">$BR16*AH16</f>
        <v>0</v>
      </c>
      <c r="GI16" s="1202">
        <f t="shared" ref="GI16:GI22" si="82">$BR16*AI16</f>
        <v>0</v>
      </c>
      <c r="GJ16" s="1202">
        <f t="shared" ref="GJ16:GJ22" si="83">$BR16*AJ16</f>
        <v>0</v>
      </c>
      <c r="GK16" s="1202">
        <f t="shared" ref="GK16:GK22" si="84">$BR16*AK16</f>
        <v>0</v>
      </c>
      <c r="GL16" s="1202">
        <f t="shared" ref="GL16:GL22" si="85">$BR16*AL16</f>
        <v>0</v>
      </c>
      <c r="GM16" s="1202">
        <f t="shared" ref="GM16:GM22" si="86">$BR16*AM16</f>
        <v>0</v>
      </c>
      <c r="GN16" s="1202">
        <f t="shared" ref="GN16:GN22" si="87">$BR16*AN16</f>
        <v>0</v>
      </c>
      <c r="GO16" s="1202">
        <f t="shared" ref="GO16:GO22" si="88">$BR16*AO16</f>
        <v>0</v>
      </c>
      <c r="GP16" s="1202">
        <f t="shared" ref="GP16:GP22" si="89">$BR16*AP16</f>
        <v>0</v>
      </c>
      <c r="GQ16" s="1202">
        <f t="shared" ref="GQ16:GQ22" si="90">$BR16*AQ16</f>
        <v>0</v>
      </c>
      <c r="GR16" s="1202">
        <f t="shared" ref="GR16:GR22" si="91">$BR16*AR16</f>
        <v>0</v>
      </c>
      <c r="GS16" s="1202">
        <f t="shared" ref="GS16:GS22" si="92">$BR16*AS16</f>
        <v>0</v>
      </c>
      <c r="GT16" s="1202">
        <f t="shared" ref="GT16:GT22" si="93">$BR16*AT16</f>
        <v>0</v>
      </c>
      <c r="GU16" s="1202">
        <f t="shared" ref="GU16:GU22" si="94">$BR16*AU16</f>
        <v>0</v>
      </c>
      <c r="GV16" s="1202">
        <f t="shared" ref="GV16:GV22" si="95">$BR16*AV16</f>
        <v>0</v>
      </c>
      <c r="GW16" s="1202">
        <f t="shared" ref="GW16:GW22" si="96">$BR16*AW16</f>
        <v>0</v>
      </c>
      <c r="GX16" s="1202">
        <f t="shared" ref="GX16:GX22" si="97">$BR16*AX16</f>
        <v>0</v>
      </c>
      <c r="GY16" s="1202">
        <f t="shared" ref="GY16:GY22" si="98">$BR16*AY16</f>
        <v>0</v>
      </c>
      <c r="GZ16" s="1202">
        <f t="shared" ref="GZ16:GZ22" si="99">$BR16*AZ16</f>
        <v>0</v>
      </c>
      <c r="HA16" s="1202">
        <f t="shared" ref="HA16:HA22" si="100">$BR16*BA16</f>
        <v>0</v>
      </c>
      <c r="HB16" s="1202">
        <f t="shared" ref="HB16:HB22" si="101">$BR16*BB16</f>
        <v>0</v>
      </c>
      <c r="HC16" s="1202">
        <f t="shared" ref="HC16:HC22" si="102">$BR16*BC16</f>
        <v>0</v>
      </c>
      <c r="HD16" s="1202">
        <f t="shared" ref="HD16:HD22" si="103">$BR16*BD16</f>
        <v>0</v>
      </c>
      <c r="HE16" s="1202">
        <f t="shared" ref="HE16:HE22" si="104">$BR16*BE16</f>
        <v>0</v>
      </c>
      <c r="HF16" s="1202">
        <f t="shared" ref="HF16:HF22" si="105">$BR16*BF16</f>
        <v>0</v>
      </c>
      <c r="HG16" s="1202">
        <f t="shared" ref="HG16:HG22" si="106">$BR16*BG16</f>
        <v>0</v>
      </c>
      <c r="HH16" s="1202">
        <f t="shared" ref="HH16:HH22" si="107">$BR16*BH16</f>
        <v>0</v>
      </c>
      <c r="HI16" s="1202">
        <f t="shared" ref="HI16:HI22" si="108">$BR16*BI16</f>
        <v>0</v>
      </c>
      <c r="HJ16" s="1202">
        <f t="shared" ref="HJ16:HJ22" si="109">$BR16*BJ16</f>
        <v>0</v>
      </c>
      <c r="HK16" s="1202">
        <f t="shared" ref="HK16:HK22" si="110">$BR16*BK16</f>
        <v>0</v>
      </c>
      <c r="HL16" s="1202">
        <f t="shared" ref="HL16:HL22" si="111">$BR16*BL16</f>
        <v>0</v>
      </c>
      <c r="HM16" s="1202"/>
      <c r="HN16" s="1202">
        <f>$BS16*Q16</f>
        <v>0</v>
      </c>
      <c r="HO16" s="1202">
        <f t="shared" ref="HO16:JI16" si="112">$BS16*R16</f>
        <v>0</v>
      </c>
      <c r="HP16" s="1202">
        <f t="shared" si="112"/>
        <v>0</v>
      </c>
      <c r="HQ16" s="1202">
        <f t="shared" si="112"/>
        <v>0</v>
      </c>
      <c r="HR16" s="1202">
        <f t="shared" si="112"/>
        <v>0</v>
      </c>
      <c r="HS16" s="1202">
        <f t="shared" si="112"/>
        <v>0</v>
      </c>
      <c r="HT16" s="1202">
        <f t="shared" si="112"/>
        <v>0</v>
      </c>
      <c r="HU16" s="1202">
        <f t="shared" si="112"/>
        <v>0</v>
      </c>
      <c r="HV16" s="1202">
        <f t="shared" si="112"/>
        <v>0</v>
      </c>
      <c r="HW16" s="1202">
        <f t="shared" si="112"/>
        <v>0</v>
      </c>
      <c r="HX16" s="1202">
        <f t="shared" si="112"/>
        <v>0</v>
      </c>
      <c r="HY16" s="1202">
        <f t="shared" si="112"/>
        <v>0</v>
      </c>
      <c r="HZ16" s="1202">
        <f t="shared" si="112"/>
        <v>0</v>
      </c>
      <c r="IA16" s="1202">
        <f t="shared" si="112"/>
        <v>0</v>
      </c>
      <c r="IB16" s="1202">
        <f t="shared" si="112"/>
        <v>0</v>
      </c>
      <c r="IC16" s="1202">
        <f t="shared" si="112"/>
        <v>0</v>
      </c>
      <c r="ID16" s="1202">
        <f t="shared" si="112"/>
        <v>0</v>
      </c>
      <c r="IE16" s="1202">
        <f t="shared" si="112"/>
        <v>0</v>
      </c>
      <c r="IF16" s="1202">
        <f t="shared" si="112"/>
        <v>0</v>
      </c>
      <c r="IG16" s="1202">
        <f t="shared" si="112"/>
        <v>0</v>
      </c>
      <c r="IH16" s="1202">
        <f t="shared" si="112"/>
        <v>0</v>
      </c>
      <c r="II16" s="1202">
        <f t="shared" si="112"/>
        <v>0</v>
      </c>
      <c r="IJ16" s="1202">
        <f t="shared" si="112"/>
        <v>0</v>
      </c>
      <c r="IK16" s="1202">
        <f t="shared" si="112"/>
        <v>0</v>
      </c>
      <c r="IL16" s="1202">
        <f t="shared" si="112"/>
        <v>0</v>
      </c>
      <c r="IM16" s="1202">
        <f t="shared" si="112"/>
        <v>0</v>
      </c>
      <c r="IN16" s="1202">
        <f t="shared" si="112"/>
        <v>0</v>
      </c>
      <c r="IO16" s="1202">
        <f t="shared" si="112"/>
        <v>0</v>
      </c>
      <c r="IP16" s="1202">
        <f t="shared" si="112"/>
        <v>0</v>
      </c>
      <c r="IQ16" s="1202">
        <f t="shared" si="112"/>
        <v>0</v>
      </c>
      <c r="IR16" s="1202">
        <f t="shared" si="112"/>
        <v>0</v>
      </c>
      <c r="IS16" s="1202">
        <f t="shared" si="112"/>
        <v>0</v>
      </c>
      <c r="IT16" s="1202">
        <f t="shared" si="112"/>
        <v>0</v>
      </c>
      <c r="IU16" s="1202">
        <f t="shared" si="112"/>
        <v>0</v>
      </c>
      <c r="IV16" s="1202">
        <f t="shared" si="112"/>
        <v>0</v>
      </c>
      <c r="IW16" s="1202">
        <f t="shared" si="112"/>
        <v>0</v>
      </c>
      <c r="IX16" s="1202">
        <f t="shared" si="112"/>
        <v>0</v>
      </c>
      <c r="IY16" s="1202">
        <f t="shared" si="112"/>
        <v>0</v>
      </c>
      <c r="IZ16" s="1202">
        <f t="shared" si="112"/>
        <v>0</v>
      </c>
      <c r="JA16" s="1202">
        <f t="shared" si="112"/>
        <v>0</v>
      </c>
      <c r="JB16" s="1202">
        <f t="shared" si="112"/>
        <v>0</v>
      </c>
      <c r="JC16" s="1202">
        <f t="shared" si="112"/>
        <v>0</v>
      </c>
      <c r="JD16" s="1202">
        <f t="shared" si="112"/>
        <v>0</v>
      </c>
      <c r="JE16" s="1202">
        <f t="shared" si="112"/>
        <v>0</v>
      </c>
      <c r="JF16" s="1202">
        <f t="shared" si="112"/>
        <v>0</v>
      </c>
      <c r="JG16" s="1202">
        <f t="shared" si="112"/>
        <v>0</v>
      </c>
      <c r="JH16" s="1202">
        <f t="shared" si="112"/>
        <v>0</v>
      </c>
      <c r="JI16" s="1202">
        <f t="shared" si="112"/>
        <v>0</v>
      </c>
      <c r="JJ16" s="1202"/>
      <c r="JK16" s="1202">
        <f>$BT16*Q16</f>
        <v>0</v>
      </c>
      <c r="JL16" s="1202">
        <f t="shared" ref="JL16:LF16" si="113">$BT16*R16</f>
        <v>0</v>
      </c>
      <c r="JM16" s="1202">
        <f t="shared" si="113"/>
        <v>0</v>
      </c>
      <c r="JN16" s="1202">
        <f t="shared" si="113"/>
        <v>0</v>
      </c>
      <c r="JO16" s="1202">
        <f t="shared" si="113"/>
        <v>0</v>
      </c>
      <c r="JP16" s="1202">
        <f t="shared" si="113"/>
        <v>0</v>
      </c>
      <c r="JQ16" s="1202">
        <f t="shared" si="113"/>
        <v>0</v>
      </c>
      <c r="JR16" s="1202">
        <f t="shared" si="113"/>
        <v>0</v>
      </c>
      <c r="JS16" s="1202">
        <f t="shared" si="113"/>
        <v>0</v>
      </c>
      <c r="JT16" s="1202">
        <f t="shared" si="113"/>
        <v>0</v>
      </c>
      <c r="JU16" s="1202">
        <f t="shared" si="113"/>
        <v>0</v>
      </c>
      <c r="JV16" s="1202">
        <f t="shared" si="113"/>
        <v>0</v>
      </c>
      <c r="JW16" s="1202">
        <f t="shared" si="113"/>
        <v>0</v>
      </c>
      <c r="JX16" s="1202">
        <f t="shared" si="113"/>
        <v>0</v>
      </c>
      <c r="JY16" s="1202">
        <f t="shared" si="113"/>
        <v>0</v>
      </c>
      <c r="JZ16" s="1202">
        <f t="shared" si="113"/>
        <v>0</v>
      </c>
      <c r="KA16" s="1202">
        <f t="shared" si="113"/>
        <v>0</v>
      </c>
      <c r="KB16" s="1202">
        <f t="shared" si="113"/>
        <v>0</v>
      </c>
      <c r="KC16" s="1202">
        <f t="shared" si="113"/>
        <v>0</v>
      </c>
      <c r="KD16" s="1202">
        <f t="shared" si="113"/>
        <v>0</v>
      </c>
      <c r="KE16" s="1202">
        <f t="shared" si="113"/>
        <v>0</v>
      </c>
      <c r="KF16" s="1202">
        <f t="shared" si="113"/>
        <v>0</v>
      </c>
      <c r="KG16" s="1202">
        <f t="shared" si="113"/>
        <v>0</v>
      </c>
      <c r="KH16" s="1202">
        <f t="shared" si="113"/>
        <v>0</v>
      </c>
      <c r="KI16" s="1202">
        <f t="shared" si="113"/>
        <v>0</v>
      </c>
      <c r="KJ16" s="1202">
        <f t="shared" si="113"/>
        <v>0</v>
      </c>
      <c r="KK16" s="1202">
        <f t="shared" si="113"/>
        <v>0</v>
      </c>
      <c r="KL16" s="1202">
        <f t="shared" si="113"/>
        <v>0</v>
      </c>
      <c r="KM16" s="1202">
        <f t="shared" si="113"/>
        <v>0</v>
      </c>
      <c r="KN16" s="1202">
        <f t="shared" si="113"/>
        <v>0</v>
      </c>
      <c r="KO16" s="1202">
        <f t="shared" si="113"/>
        <v>0</v>
      </c>
      <c r="KP16" s="1202">
        <f t="shared" si="113"/>
        <v>0</v>
      </c>
      <c r="KQ16" s="1202">
        <f t="shared" si="113"/>
        <v>0</v>
      </c>
      <c r="KR16" s="1202">
        <f t="shared" si="113"/>
        <v>0</v>
      </c>
      <c r="KS16" s="1202">
        <f t="shared" si="113"/>
        <v>0</v>
      </c>
      <c r="KT16" s="1202">
        <f t="shared" si="113"/>
        <v>0</v>
      </c>
      <c r="KU16" s="1202">
        <f t="shared" si="113"/>
        <v>0</v>
      </c>
      <c r="KV16" s="1202">
        <f t="shared" si="113"/>
        <v>0</v>
      </c>
      <c r="KW16" s="1202">
        <f t="shared" si="113"/>
        <v>0</v>
      </c>
      <c r="KX16" s="1202">
        <f t="shared" si="113"/>
        <v>0</v>
      </c>
      <c r="KY16" s="1202">
        <f t="shared" si="113"/>
        <v>0</v>
      </c>
      <c r="KZ16" s="1202">
        <f t="shared" si="113"/>
        <v>0</v>
      </c>
      <c r="LA16" s="1202">
        <f t="shared" si="113"/>
        <v>0</v>
      </c>
      <c r="LB16" s="1202">
        <f t="shared" si="113"/>
        <v>0</v>
      </c>
      <c r="LC16" s="1202">
        <f t="shared" si="113"/>
        <v>0</v>
      </c>
      <c r="LD16" s="1202">
        <f t="shared" si="113"/>
        <v>0</v>
      </c>
      <c r="LE16" s="1202">
        <f t="shared" si="113"/>
        <v>0</v>
      </c>
      <c r="LF16" s="1202">
        <f t="shared" si="113"/>
        <v>0</v>
      </c>
      <c r="LG16" s="1202"/>
    </row>
    <row r="17" spans="2:319" ht="15.6">
      <c r="B17" s="679">
        <v>3</v>
      </c>
      <c r="C17" s="680" t="s">
        <v>3683</v>
      </c>
      <c r="D17" s="681"/>
      <c r="E17" s="682" t="s">
        <v>4626</v>
      </c>
      <c r="F17" s="1522" t="s">
        <v>4627</v>
      </c>
      <c r="G17" s="684" t="str">
        <f>VLOOKUP($E17,Items!$E:$I,3,FALSE)</f>
        <v>gl.</v>
      </c>
      <c r="H17" s="685">
        <f>VLOOKUP($E17,Items!$E:$I,4,FALSE)</f>
        <v>1</v>
      </c>
      <c r="I17" s="686">
        <f>VLOOKUP($E17,Items!$E:$I,5,FALSE)</f>
        <v>4748.8052663737772</v>
      </c>
      <c r="J17" s="687">
        <f t="shared" si="61"/>
        <v>4748.8052663737772</v>
      </c>
      <c r="K17" s="692">
        <f>+H17/L17/Datos!$N$40</f>
        <v>5.2651833452637313E-3</v>
      </c>
      <c r="L17" s="686">
        <f t="shared" si="6"/>
        <v>1</v>
      </c>
      <c r="M17" s="849">
        <v>0.5</v>
      </c>
      <c r="N17" s="850">
        <v>0.5</v>
      </c>
      <c r="O17" s="851">
        <f>+IF(C17&lt;&gt;"",VLOOKUP(C17,'AUX-NIV1'!B:AO,40,FALSE)*H17,0)</f>
        <v>4.5</v>
      </c>
      <c r="P17" s="803" t="str">
        <f t="shared" si="62"/>
        <v/>
      </c>
      <c r="Q17" s="804">
        <f t="shared" si="9"/>
        <v>1</v>
      </c>
      <c r="R17" s="805">
        <f t="shared" si="10"/>
        <v>0</v>
      </c>
      <c r="S17" s="805">
        <f t="shared" si="10"/>
        <v>0</v>
      </c>
      <c r="T17" s="805">
        <f t="shared" si="10"/>
        <v>0</v>
      </c>
      <c r="U17" s="805">
        <f t="shared" si="10"/>
        <v>0</v>
      </c>
      <c r="V17" s="805">
        <f t="shared" si="10"/>
        <v>0</v>
      </c>
      <c r="W17" s="805">
        <f t="shared" si="10"/>
        <v>0</v>
      </c>
      <c r="X17" s="805">
        <f t="shared" si="10"/>
        <v>0</v>
      </c>
      <c r="Y17" s="805">
        <f t="shared" si="10"/>
        <v>0</v>
      </c>
      <c r="Z17" s="805">
        <f t="shared" si="10"/>
        <v>0</v>
      </c>
      <c r="AA17" s="805">
        <f t="shared" si="10"/>
        <v>0</v>
      </c>
      <c r="AB17" s="805">
        <f t="shared" si="10"/>
        <v>0</v>
      </c>
      <c r="AC17" s="805">
        <f t="shared" si="10"/>
        <v>0</v>
      </c>
      <c r="AD17" s="805">
        <f t="shared" si="10"/>
        <v>0</v>
      </c>
      <c r="AE17" s="805">
        <f t="shared" si="10"/>
        <v>0</v>
      </c>
      <c r="AF17" s="805">
        <f t="shared" si="10"/>
        <v>0</v>
      </c>
      <c r="AG17" s="805">
        <f t="shared" si="10"/>
        <v>0</v>
      </c>
      <c r="AH17" s="805">
        <f t="shared" si="11"/>
        <v>0</v>
      </c>
      <c r="AI17" s="805">
        <f t="shared" si="11"/>
        <v>0</v>
      </c>
      <c r="AJ17" s="805">
        <f t="shared" si="11"/>
        <v>0</v>
      </c>
      <c r="AK17" s="805">
        <f t="shared" si="11"/>
        <v>0</v>
      </c>
      <c r="AL17" s="805">
        <f t="shared" si="11"/>
        <v>0</v>
      </c>
      <c r="AM17" s="805">
        <f t="shared" si="11"/>
        <v>0</v>
      </c>
      <c r="AN17" s="805">
        <f t="shared" si="11"/>
        <v>0</v>
      </c>
      <c r="AO17" s="805">
        <f t="shared" si="11"/>
        <v>0</v>
      </c>
      <c r="AP17" s="805">
        <f t="shared" si="11"/>
        <v>0</v>
      </c>
      <c r="AQ17" s="805">
        <f t="shared" si="11"/>
        <v>0</v>
      </c>
      <c r="AR17" s="805">
        <f t="shared" si="11"/>
        <v>0</v>
      </c>
      <c r="AS17" s="805">
        <f t="shared" si="11"/>
        <v>0</v>
      </c>
      <c r="AT17" s="805">
        <f t="shared" si="11"/>
        <v>0</v>
      </c>
      <c r="AU17" s="805">
        <f t="shared" si="11"/>
        <v>0</v>
      </c>
      <c r="AV17" s="805">
        <f t="shared" si="11"/>
        <v>0</v>
      </c>
      <c r="AW17" s="805">
        <f t="shared" si="11"/>
        <v>0</v>
      </c>
      <c r="AX17" s="805">
        <f t="shared" si="12"/>
        <v>0</v>
      </c>
      <c r="AY17" s="805">
        <f t="shared" si="12"/>
        <v>0</v>
      </c>
      <c r="AZ17" s="805">
        <f t="shared" si="12"/>
        <v>0</v>
      </c>
      <c r="BA17" s="805">
        <f t="shared" si="12"/>
        <v>0</v>
      </c>
      <c r="BB17" s="805">
        <f t="shared" si="12"/>
        <v>0</v>
      </c>
      <c r="BC17" s="805">
        <f t="shared" si="12"/>
        <v>0</v>
      </c>
      <c r="BD17" s="805">
        <f t="shared" si="12"/>
        <v>0</v>
      </c>
      <c r="BE17" s="805">
        <f t="shared" si="12"/>
        <v>0</v>
      </c>
      <c r="BF17" s="805">
        <f t="shared" si="12"/>
        <v>0</v>
      </c>
      <c r="BG17" s="805">
        <f t="shared" si="12"/>
        <v>0</v>
      </c>
      <c r="BH17" s="805">
        <f t="shared" si="12"/>
        <v>0</v>
      </c>
      <c r="BI17" s="805">
        <f t="shared" si="12"/>
        <v>0</v>
      </c>
      <c r="BJ17" s="805">
        <f t="shared" si="12"/>
        <v>0</v>
      </c>
      <c r="BK17" s="805">
        <f t="shared" si="12"/>
        <v>0</v>
      </c>
      <c r="BL17" s="805">
        <f t="shared" si="12"/>
        <v>0</v>
      </c>
      <c r="BM17" s="806">
        <f t="shared" si="12"/>
        <v>0</v>
      </c>
      <c r="BN17" s="785"/>
      <c r="BO17" s="1204">
        <f t="shared" ref="BO17:BO22" si="114">SUM(BP17:BU17)-J17</f>
        <v>0</v>
      </c>
      <c r="BP17" s="1203">
        <f>+SUMIF('AUX-NIV1'!$B:$B,Crono!$C17,'AUX-NIV1'!AQ:AQ)*Crono!$H17</f>
        <v>2163.3052663737772</v>
      </c>
      <c r="BQ17" s="1202">
        <f>+SUMIF('AUX-NIV1'!$B:$B,Crono!$C17,'AUX-NIV1'!AR:AR)*Crono!$H17</f>
        <v>0</v>
      </c>
      <c r="BR17" s="1202">
        <f>+SUMIF('AUX-NIV1'!$B:$B,Crono!$C17,'AUX-NIV1'!AS:AS)*Crono!$H17</f>
        <v>2585.5</v>
      </c>
      <c r="BS17" s="1202">
        <f>+SUMIF('AUX-NIV1'!$B:$B,Crono!$C17,'AUX-NIV1'!AT:AT)*Crono!$H17</f>
        <v>0</v>
      </c>
      <c r="BT17" s="1202">
        <f>+SUMIF('AUX-NIV1'!$B:$B,Crono!$C17,'AUX-NIV1'!AU:AU)*Crono!$H17</f>
        <v>0</v>
      </c>
      <c r="BU17" s="1202"/>
      <c r="BW17" s="1202">
        <f t="shared" ref="BW17:BW22" si="115">$BP17*Q17</f>
        <v>2163.3052663737772</v>
      </c>
      <c r="BX17" s="1202">
        <f t="shared" ref="BX17:BX22" si="116">$BP17*R17</f>
        <v>0</v>
      </c>
      <c r="BY17" s="1202">
        <f t="shared" ref="BY17:BY22" si="117">$BP17*S17</f>
        <v>0</v>
      </c>
      <c r="BZ17" s="1202">
        <f t="shared" ref="BZ17:BZ22" si="118">$BP17*T17</f>
        <v>0</v>
      </c>
      <c r="CA17" s="1202">
        <f t="shared" ref="CA17:CA22" si="119">$BP17*U17</f>
        <v>0</v>
      </c>
      <c r="CB17" s="1202">
        <f t="shared" ref="CB17:CB22" si="120">$BP17*V17</f>
        <v>0</v>
      </c>
      <c r="CC17" s="1202">
        <f t="shared" ref="CC17:CC22" si="121">$BP17*W17</f>
        <v>0</v>
      </c>
      <c r="CD17" s="1202">
        <f t="shared" ref="CD17:CD22" si="122">$BP17*X17</f>
        <v>0</v>
      </c>
      <c r="CE17" s="1202">
        <f t="shared" ref="CE17:CE22" si="123">$BP17*Y17</f>
        <v>0</v>
      </c>
      <c r="CF17" s="1202">
        <f t="shared" ref="CF17:CF22" si="124">$BP17*Z17</f>
        <v>0</v>
      </c>
      <c r="CG17" s="1202">
        <f t="shared" ref="CG17:CG22" si="125">$BP17*AA17</f>
        <v>0</v>
      </c>
      <c r="CH17" s="1202">
        <f t="shared" ref="CH17:CH22" si="126">$BP17*AB17</f>
        <v>0</v>
      </c>
      <c r="CI17" s="1202">
        <f t="shared" ref="CI17:CI22" si="127">$BP17*AC17</f>
        <v>0</v>
      </c>
      <c r="CJ17" s="1202">
        <f t="shared" ref="CJ17:CJ22" si="128">$BP17*AD17</f>
        <v>0</v>
      </c>
      <c r="CK17" s="1202">
        <f t="shared" ref="CK17:CK22" si="129">$BP17*AE17</f>
        <v>0</v>
      </c>
      <c r="CL17" s="1202">
        <f t="shared" ref="CL17:CL22" si="130">$BP17*AF17</f>
        <v>0</v>
      </c>
      <c r="CM17" s="1202">
        <f t="shared" ref="CM17:CM22" si="131">$BP17*AG17</f>
        <v>0</v>
      </c>
      <c r="CN17" s="1202">
        <f t="shared" ref="CN17:CN22" si="132">$BP17*AH17</f>
        <v>0</v>
      </c>
      <c r="CO17" s="1202">
        <f t="shared" ref="CO17:CO22" si="133">$BP17*AI17</f>
        <v>0</v>
      </c>
      <c r="CP17" s="1202">
        <f t="shared" ref="CP17:CP22" si="134">$BP17*AJ17</f>
        <v>0</v>
      </c>
      <c r="CQ17" s="1202">
        <f t="shared" ref="CQ17:CQ22" si="135">$BP17*AK17</f>
        <v>0</v>
      </c>
      <c r="CR17" s="1202">
        <f t="shared" ref="CR17:CR22" si="136">$BP17*AL17</f>
        <v>0</v>
      </c>
      <c r="CS17" s="1202">
        <f t="shared" ref="CS17:CS22" si="137">$BP17*AM17</f>
        <v>0</v>
      </c>
      <c r="CT17" s="1202">
        <f t="shared" ref="CT17:CT22" si="138">$BP17*AN17</f>
        <v>0</v>
      </c>
      <c r="CU17" s="1202">
        <f t="shared" ref="CU17:CU22" si="139">$BP17*AO17</f>
        <v>0</v>
      </c>
      <c r="CV17" s="1202">
        <f t="shared" ref="CV17:CV22" si="140">$BP17*AP17</f>
        <v>0</v>
      </c>
      <c r="CW17" s="1202">
        <f t="shared" ref="CW17:CW22" si="141">$BP17*AQ17</f>
        <v>0</v>
      </c>
      <c r="CX17" s="1202">
        <f t="shared" ref="CX17:CX22" si="142">$BP17*AR17</f>
        <v>0</v>
      </c>
      <c r="CY17" s="1202">
        <f t="shared" ref="CY17:CY22" si="143">$BP17*AS17</f>
        <v>0</v>
      </c>
      <c r="CZ17" s="1202">
        <f t="shared" ref="CZ17:CZ22" si="144">$BP17*AT17</f>
        <v>0</v>
      </c>
      <c r="DA17" s="1202">
        <f t="shared" ref="DA17:DA22" si="145">$BP17*AU17</f>
        <v>0</v>
      </c>
      <c r="DB17" s="1202">
        <f t="shared" ref="DB17:DB22" si="146">$BP17*AV17</f>
        <v>0</v>
      </c>
      <c r="DC17" s="1202">
        <f t="shared" ref="DC17:DC22" si="147">$BP17*AW17</f>
        <v>0</v>
      </c>
      <c r="DD17" s="1202">
        <f t="shared" ref="DD17:DD22" si="148">$BP17*AX17</f>
        <v>0</v>
      </c>
      <c r="DE17" s="1202">
        <f t="shared" ref="DE17:DE22" si="149">$BP17*AY17</f>
        <v>0</v>
      </c>
      <c r="DF17" s="1202">
        <f t="shared" ref="DF17:DF22" si="150">$BP17*AZ17</f>
        <v>0</v>
      </c>
      <c r="DG17" s="1202">
        <f t="shared" ref="DG17:DG22" si="151">$BP17*BA17</f>
        <v>0</v>
      </c>
      <c r="DH17" s="1202">
        <f t="shared" ref="DH17:DH22" si="152">$BP17*BB17</f>
        <v>0</v>
      </c>
      <c r="DI17" s="1202">
        <f t="shared" ref="DI17:DI22" si="153">$BP17*BC17</f>
        <v>0</v>
      </c>
      <c r="DJ17" s="1202">
        <f t="shared" ref="DJ17:DJ22" si="154">$BP17*BD17</f>
        <v>0</v>
      </c>
      <c r="DK17" s="1202">
        <f t="shared" ref="DK17:DK22" si="155">$BP17*BE17</f>
        <v>0</v>
      </c>
      <c r="DL17" s="1202">
        <f t="shared" ref="DL17:DL22" si="156">$BP17*BF17</f>
        <v>0</v>
      </c>
      <c r="DM17" s="1202">
        <f t="shared" ref="DM17:DM22" si="157">$BP17*BG17</f>
        <v>0</v>
      </c>
      <c r="DN17" s="1202">
        <f t="shared" ref="DN17:DN22" si="158">$BP17*BH17</f>
        <v>0</v>
      </c>
      <c r="DO17" s="1202">
        <f t="shared" ref="DO17:DO22" si="159">$BP17*BI17</f>
        <v>0</v>
      </c>
      <c r="DP17" s="1202">
        <f t="shared" ref="DP17:DP22" si="160">$BP17*BJ17</f>
        <v>0</v>
      </c>
      <c r="DQ17" s="1202">
        <f t="shared" ref="DQ17:DQ22" si="161">$BP17*BK17</f>
        <v>0</v>
      </c>
      <c r="DR17" s="1202">
        <f t="shared" ref="DR17:DR22" si="162">$BP17*BL17</f>
        <v>0</v>
      </c>
      <c r="DS17" s="1202"/>
      <c r="DT17" s="1202">
        <f t="shared" ref="DT17:DT22" si="163">$BQ17*Q17</f>
        <v>0</v>
      </c>
      <c r="DU17" s="1202">
        <f t="shared" ref="DU17:DU22" si="164">$BQ17*R17</f>
        <v>0</v>
      </c>
      <c r="DV17" s="1202">
        <f t="shared" ref="DV17:DV22" si="165">$BQ17*S17</f>
        <v>0</v>
      </c>
      <c r="DW17" s="1202">
        <f t="shared" ref="DW17:DW22" si="166">$BQ17*T17</f>
        <v>0</v>
      </c>
      <c r="DX17" s="1202">
        <f t="shared" ref="DX17:DX22" si="167">$BQ17*U17</f>
        <v>0</v>
      </c>
      <c r="DY17" s="1202">
        <f t="shared" ref="DY17:DY22" si="168">$BQ17*V17</f>
        <v>0</v>
      </c>
      <c r="DZ17" s="1202">
        <f t="shared" ref="DZ17:DZ22" si="169">$BQ17*W17</f>
        <v>0</v>
      </c>
      <c r="EA17" s="1202">
        <f t="shared" ref="EA17:EA22" si="170">$BQ17*X17</f>
        <v>0</v>
      </c>
      <c r="EB17" s="1202">
        <f t="shared" ref="EB17:EB22" si="171">$BQ17*Y17</f>
        <v>0</v>
      </c>
      <c r="EC17" s="1202">
        <f t="shared" ref="EC17:EC22" si="172">$BQ17*Z17</f>
        <v>0</v>
      </c>
      <c r="ED17" s="1202">
        <f t="shared" ref="ED17:ED22" si="173">$BQ17*AA17</f>
        <v>0</v>
      </c>
      <c r="EE17" s="1202">
        <f t="shared" ref="EE17:EE22" si="174">$BQ17*AB17</f>
        <v>0</v>
      </c>
      <c r="EF17" s="1202">
        <f t="shared" ref="EF17:EF22" si="175">$BQ17*AC17</f>
        <v>0</v>
      </c>
      <c r="EG17" s="1202">
        <f t="shared" ref="EG17:EG22" si="176">$BQ17*AD17</f>
        <v>0</v>
      </c>
      <c r="EH17" s="1202">
        <f t="shared" ref="EH17:EH22" si="177">$BQ17*AE17</f>
        <v>0</v>
      </c>
      <c r="EI17" s="1202">
        <f t="shared" ref="EI17:EI22" si="178">$BQ17*AF17</f>
        <v>0</v>
      </c>
      <c r="EJ17" s="1202">
        <f t="shared" ref="EJ17:EJ22" si="179">$BQ17*AG17</f>
        <v>0</v>
      </c>
      <c r="EK17" s="1202">
        <f t="shared" ref="EK17:EK22" si="180">$BQ17*AH17</f>
        <v>0</v>
      </c>
      <c r="EL17" s="1202">
        <f t="shared" ref="EL17:EL22" si="181">$BQ17*AI17</f>
        <v>0</v>
      </c>
      <c r="EM17" s="1202">
        <f t="shared" ref="EM17:EM22" si="182">$BQ17*AJ17</f>
        <v>0</v>
      </c>
      <c r="EN17" s="1202">
        <f t="shared" ref="EN17:EN22" si="183">$BQ17*AK17</f>
        <v>0</v>
      </c>
      <c r="EO17" s="1202">
        <f t="shared" ref="EO17:EO22" si="184">$BQ17*AL17</f>
        <v>0</v>
      </c>
      <c r="EP17" s="1202">
        <f t="shared" ref="EP17:EP22" si="185">$BQ17*AM17</f>
        <v>0</v>
      </c>
      <c r="EQ17" s="1202">
        <f t="shared" ref="EQ17:EQ22" si="186">$BQ17*AN17</f>
        <v>0</v>
      </c>
      <c r="ER17" s="1202">
        <f t="shared" ref="ER17:ER22" si="187">$BQ17*AO17</f>
        <v>0</v>
      </c>
      <c r="ES17" s="1202">
        <f t="shared" ref="ES17:ES22" si="188">$BQ17*AP17</f>
        <v>0</v>
      </c>
      <c r="ET17" s="1202">
        <f t="shared" ref="ET17:ET22" si="189">$BQ17*AQ17</f>
        <v>0</v>
      </c>
      <c r="EU17" s="1202">
        <f t="shared" ref="EU17:EU22" si="190">$BQ17*AR17</f>
        <v>0</v>
      </c>
      <c r="EV17" s="1202">
        <f t="shared" ref="EV17:EV22" si="191">$BQ17*AS17</f>
        <v>0</v>
      </c>
      <c r="EW17" s="1202">
        <f t="shared" ref="EW17:EW22" si="192">$BQ17*AT17</f>
        <v>0</v>
      </c>
      <c r="EX17" s="1202">
        <f t="shared" ref="EX17:EX22" si="193">$BQ17*AU17</f>
        <v>0</v>
      </c>
      <c r="EY17" s="1202">
        <f t="shared" ref="EY17:EY22" si="194">$BQ17*AV17</f>
        <v>0</v>
      </c>
      <c r="EZ17" s="1202">
        <f t="shared" ref="EZ17:EZ22" si="195">$BQ17*AW17</f>
        <v>0</v>
      </c>
      <c r="FA17" s="1202">
        <f t="shared" ref="FA17:FA22" si="196">$BQ17*AX17</f>
        <v>0</v>
      </c>
      <c r="FB17" s="1202">
        <f t="shared" ref="FB17:FB22" si="197">$BQ17*AY17</f>
        <v>0</v>
      </c>
      <c r="FC17" s="1202">
        <f t="shared" ref="FC17:FC22" si="198">$BQ17*AZ17</f>
        <v>0</v>
      </c>
      <c r="FD17" s="1202">
        <f t="shared" ref="FD17:FD22" si="199">$BQ17*BA17</f>
        <v>0</v>
      </c>
      <c r="FE17" s="1202">
        <f t="shared" ref="FE17:FE22" si="200">$BQ17*BB17</f>
        <v>0</v>
      </c>
      <c r="FF17" s="1202">
        <f t="shared" ref="FF17:FF22" si="201">$BQ17*BC17</f>
        <v>0</v>
      </c>
      <c r="FG17" s="1202">
        <f t="shared" ref="FG17:FG22" si="202">$BQ17*BD17</f>
        <v>0</v>
      </c>
      <c r="FH17" s="1202">
        <f t="shared" ref="FH17:FH22" si="203">$BQ17*BE17</f>
        <v>0</v>
      </c>
      <c r="FI17" s="1202">
        <f t="shared" ref="FI17:FI22" si="204">$BQ17*BF17</f>
        <v>0</v>
      </c>
      <c r="FJ17" s="1202">
        <f t="shared" ref="FJ17:FJ22" si="205">$BQ17*BG17</f>
        <v>0</v>
      </c>
      <c r="FK17" s="1202">
        <f t="shared" ref="FK17:FK22" si="206">$BQ17*BH17</f>
        <v>0</v>
      </c>
      <c r="FL17" s="1202">
        <f t="shared" ref="FL17:FL22" si="207">$BQ17*BI17</f>
        <v>0</v>
      </c>
      <c r="FM17" s="1202">
        <f t="shared" ref="FM17:FM22" si="208">$BQ17*BJ17</f>
        <v>0</v>
      </c>
      <c r="FN17" s="1202">
        <f t="shared" ref="FN17:FN22" si="209">$BQ17*BK17</f>
        <v>0</v>
      </c>
      <c r="FO17" s="1202">
        <f t="shared" ref="FO17:FO22" si="210">$BQ17*BL17</f>
        <v>0</v>
      </c>
      <c r="FP17" s="1202"/>
      <c r="FQ17" s="1202">
        <f t="shared" ref="FQ17:FQ22" si="211">$BR17*Q17</f>
        <v>2585.5</v>
      </c>
      <c r="FR17" s="1202">
        <f t="shared" si="65"/>
        <v>0</v>
      </c>
      <c r="FS17" s="1202">
        <f t="shared" si="66"/>
        <v>0</v>
      </c>
      <c r="FT17" s="1202">
        <f t="shared" si="67"/>
        <v>0</v>
      </c>
      <c r="FU17" s="1202">
        <f t="shared" si="68"/>
        <v>0</v>
      </c>
      <c r="FV17" s="1202">
        <f t="shared" si="69"/>
        <v>0</v>
      </c>
      <c r="FW17" s="1202">
        <f t="shared" si="70"/>
        <v>0</v>
      </c>
      <c r="FX17" s="1202">
        <f t="shared" si="71"/>
        <v>0</v>
      </c>
      <c r="FY17" s="1202">
        <f t="shared" si="72"/>
        <v>0</v>
      </c>
      <c r="FZ17" s="1202">
        <f t="shared" si="73"/>
        <v>0</v>
      </c>
      <c r="GA17" s="1202">
        <f t="shared" si="74"/>
        <v>0</v>
      </c>
      <c r="GB17" s="1202">
        <f t="shared" si="75"/>
        <v>0</v>
      </c>
      <c r="GC17" s="1202">
        <f t="shared" si="76"/>
        <v>0</v>
      </c>
      <c r="GD17" s="1202">
        <f t="shared" si="77"/>
        <v>0</v>
      </c>
      <c r="GE17" s="1202">
        <f t="shared" si="78"/>
        <v>0</v>
      </c>
      <c r="GF17" s="1202">
        <f t="shared" si="79"/>
        <v>0</v>
      </c>
      <c r="GG17" s="1202">
        <f t="shared" si="80"/>
        <v>0</v>
      </c>
      <c r="GH17" s="1202">
        <f t="shared" si="81"/>
        <v>0</v>
      </c>
      <c r="GI17" s="1202">
        <f t="shared" si="82"/>
        <v>0</v>
      </c>
      <c r="GJ17" s="1202">
        <f t="shared" si="83"/>
        <v>0</v>
      </c>
      <c r="GK17" s="1202">
        <f t="shared" si="84"/>
        <v>0</v>
      </c>
      <c r="GL17" s="1202">
        <f t="shared" si="85"/>
        <v>0</v>
      </c>
      <c r="GM17" s="1202">
        <f t="shared" si="86"/>
        <v>0</v>
      </c>
      <c r="GN17" s="1202">
        <f t="shared" si="87"/>
        <v>0</v>
      </c>
      <c r="GO17" s="1202">
        <f t="shared" si="88"/>
        <v>0</v>
      </c>
      <c r="GP17" s="1202">
        <f t="shared" si="89"/>
        <v>0</v>
      </c>
      <c r="GQ17" s="1202">
        <f t="shared" si="90"/>
        <v>0</v>
      </c>
      <c r="GR17" s="1202">
        <f t="shared" si="91"/>
        <v>0</v>
      </c>
      <c r="GS17" s="1202">
        <f t="shared" si="92"/>
        <v>0</v>
      </c>
      <c r="GT17" s="1202">
        <f t="shared" si="93"/>
        <v>0</v>
      </c>
      <c r="GU17" s="1202">
        <f t="shared" si="94"/>
        <v>0</v>
      </c>
      <c r="GV17" s="1202">
        <f t="shared" si="95"/>
        <v>0</v>
      </c>
      <c r="GW17" s="1202">
        <f t="shared" si="96"/>
        <v>0</v>
      </c>
      <c r="GX17" s="1202">
        <f t="shared" si="97"/>
        <v>0</v>
      </c>
      <c r="GY17" s="1202">
        <f t="shared" si="98"/>
        <v>0</v>
      </c>
      <c r="GZ17" s="1202">
        <f t="shared" si="99"/>
        <v>0</v>
      </c>
      <c r="HA17" s="1202">
        <f t="shared" si="100"/>
        <v>0</v>
      </c>
      <c r="HB17" s="1202">
        <f t="shared" si="101"/>
        <v>0</v>
      </c>
      <c r="HC17" s="1202">
        <f t="shared" si="102"/>
        <v>0</v>
      </c>
      <c r="HD17" s="1202">
        <f t="shared" si="103"/>
        <v>0</v>
      </c>
      <c r="HE17" s="1202">
        <f t="shared" si="104"/>
        <v>0</v>
      </c>
      <c r="HF17" s="1202">
        <f t="shared" si="105"/>
        <v>0</v>
      </c>
      <c r="HG17" s="1202">
        <f t="shared" si="106"/>
        <v>0</v>
      </c>
      <c r="HH17" s="1202">
        <f t="shared" si="107"/>
        <v>0</v>
      </c>
      <c r="HI17" s="1202">
        <f t="shared" si="108"/>
        <v>0</v>
      </c>
      <c r="HJ17" s="1202">
        <f t="shared" si="109"/>
        <v>0</v>
      </c>
      <c r="HK17" s="1202">
        <f t="shared" si="110"/>
        <v>0</v>
      </c>
      <c r="HL17" s="1202">
        <f t="shared" si="111"/>
        <v>0</v>
      </c>
      <c r="HM17" s="1202"/>
      <c r="HN17" s="1202">
        <f t="shared" ref="HN17:HN22" si="212">$BS17*Q17</f>
        <v>0</v>
      </c>
      <c r="HO17" s="1202">
        <f t="shared" ref="HO17:HO22" si="213">$BS17*R17</f>
        <v>0</v>
      </c>
      <c r="HP17" s="1202">
        <f t="shared" ref="HP17:HP22" si="214">$BS17*S17</f>
        <v>0</v>
      </c>
      <c r="HQ17" s="1202">
        <f t="shared" ref="HQ17:HQ22" si="215">$BS17*T17</f>
        <v>0</v>
      </c>
      <c r="HR17" s="1202">
        <f t="shared" ref="HR17:HR22" si="216">$BS17*U17</f>
        <v>0</v>
      </c>
      <c r="HS17" s="1202">
        <f t="shared" ref="HS17:HS22" si="217">$BS17*V17</f>
        <v>0</v>
      </c>
      <c r="HT17" s="1202">
        <f t="shared" ref="HT17:HT22" si="218">$BS17*W17</f>
        <v>0</v>
      </c>
      <c r="HU17" s="1202">
        <f t="shared" ref="HU17:HU22" si="219">$BS17*X17</f>
        <v>0</v>
      </c>
      <c r="HV17" s="1202">
        <f t="shared" ref="HV17:HV22" si="220">$BS17*Y17</f>
        <v>0</v>
      </c>
      <c r="HW17" s="1202">
        <f t="shared" ref="HW17:HW22" si="221">$BS17*Z17</f>
        <v>0</v>
      </c>
      <c r="HX17" s="1202">
        <f t="shared" ref="HX17:HX22" si="222">$BS17*AA17</f>
        <v>0</v>
      </c>
      <c r="HY17" s="1202">
        <f t="shared" ref="HY17:HY22" si="223">$BS17*AB17</f>
        <v>0</v>
      </c>
      <c r="HZ17" s="1202">
        <f t="shared" ref="HZ17:HZ22" si="224">$BS17*AC17</f>
        <v>0</v>
      </c>
      <c r="IA17" s="1202">
        <f t="shared" ref="IA17:IA22" si="225">$BS17*AD17</f>
        <v>0</v>
      </c>
      <c r="IB17" s="1202">
        <f t="shared" ref="IB17:IB22" si="226">$BS17*AE17</f>
        <v>0</v>
      </c>
      <c r="IC17" s="1202">
        <f t="shared" ref="IC17:IC22" si="227">$BS17*AF17</f>
        <v>0</v>
      </c>
      <c r="ID17" s="1202">
        <f t="shared" ref="ID17:ID22" si="228">$BS17*AG17</f>
        <v>0</v>
      </c>
      <c r="IE17" s="1202">
        <f t="shared" ref="IE17:IE22" si="229">$BS17*AH17</f>
        <v>0</v>
      </c>
      <c r="IF17" s="1202">
        <f t="shared" ref="IF17:IF22" si="230">$BS17*AI17</f>
        <v>0</v>
      </c>
      <c r="IG17" s="1202">
        <f t="shared" ref="IG17:IG22" si="231">$BS17*AJ17</f>
        <v>0</v>
      </c>
      <c r="IH17" s="1202">
        <f t="shared" ref="IH17:IH22" si="232">$BS17*AK17</f>
        <v>0</v>
      </c>
      <c r="II17" s="1202">
        <f t="shared" ref="II17:II22" si="233">$BS17*AL17</f>
        <v>0</v>
      </c>
      <c r="IJ17" s="1202">
        <f t="shared" ref="IJ17:IJ22" si="234">$BS17*AM17</f>
        <v>0</v>
      </c>
      <c r="IK17" s="1202">
        <f t="shared" ref="IK17:IK22" si="235">$BS17*AN17</f>
        <v>0</v>
      </c>
      <c r="IL17" s="1202">
        <f t="shared" ref="IL17:IL22" si="236">$BS17*AO17</f>
        <v>0</v>
      </c>
      <c r="IM17" s="1202">
        <f t="shared" ref="IM17:IM22" si="237">$BS17*AP17</f>
        <v>0</v>
      </c>
      <c r="IN17" s="1202">
        <f t="shared" ref="IN17:IN22" si="238">$BS17*AQ17</f>
        <v>0</v>
      </c>
      <c r="IO17" s="1202">
        <f t="shared" ref="IO17:IO22" si="239">$BS17*AR17</f>
        <v>0</v>
      </c>
      <c r="IP17" s="1202">
        <f t="shared" ref="IP17:IP22" si="240">$BS17*AS17</f>
        <v>0</v>
      </c>
      <c r="IQ17" s="1202">
        <f t="shared" ref="IQ17:IQ22" si="241">$BS17*AT17</f>
        <v>0</v>
      </c>
      <c r="IR17" s="1202">
        <f t="shared" ref="IR17:IR22" si="242">$BS17*AU17</f>
        <v>0</v>
      </c>
      <c r="IS17" s="1202">
        <f t="shared" ref="IS17:IS22" si="243">$BS17*AV17</f>
        <v>0</v>
      </c>
      <c r="IT17" s="1202">
        <f t="shared" ref="IT17:IT22" si="244">$BS17*AW17</f>
        <v>0</v>
      </c>
      <c r="IU17" s="1202">
        <f t="shared" ref="IU17:IU22" si="245">$BS17*AX17</f>
        <v>0</v>
      </c>
      <c r="IV17" s="1202">
        <f t="shared" ref="IV17:IV22" si="246">$BS17*AY17</f>
        <v>0</v>
      </c>
      <c r="IW17" s="1202">
        <f t="shared" ref="IW17:IW22" si="247">$BS17*AZ17</f>
        <v>0</v>
      </c>
      <c r="IX17" s="1202">
        <f t="shared" ref="IX17:IX22" si="248">$BS17*BA17</f>
        <v>0</v>
      </c>
      <c r="IY17" s="1202">
        <f t="shared" ref="IY17:IY22" si="249">$BS17*BB17</f>
        <v>0</v>
      </c>
      <c r="IZ17" s="1202">
        <f t="shared" ref="IZ17:IZ22" si="250">$BS17*BC17</f>
        <v>0</v>
      </c>
      <c r="JA17" s="1202">
        <f t="shared" ref="JA17:JA22" si="251">$BS17*BD17</f>
        <v>0</v>
      </c>
      <c r="JB17" s="1202">
        <f t="shared" ref="JB17:JB22" si="252">$BS17*BE17</f>
        <v>0</v>
      </c>
      <c r="JC17" s="1202">
        <f t="shared" ref="JC17:JC22" si="253">$BS17*BF17</f>
        <v>0</v>
      </c>
      <c r="JD17" s="1202">
        <f t="shared" ref="JD17:JD22" si="254">$BS17*BG17</f>
        <v>0</v>
      </c>
      <c r="JE17" s="1202">
        <f t="shared" ref="JE17:JE22" si="255">$BS17*BH17</f>
        <v>0</v>
      </c>
      <c r="JF17" s="1202">
        <f t="shared" ref="JF17:JF22" si="256">$BS17*BI17</f>
        <v>0</v>
      </c>
      <c r="JG17" s="1202">
        <f t="shared" ref="JG17:JG22" si="257">$BS17*BJ17</f>
        <v>0</v>
      </c>
      <c r="JH17" s="1202">
        <f t="shared" ref="JH17:JH22" si="258">$BS17*BK17</f>
        <v>0</v>
      </c>
      <c r="JI17" s="1202">
        <f t="shared" ref="JI17:JI22" si="259">$BS17*BL17</f>
        <v>0</v>
      </c>
      <c r="JJ17" s="1202"/>
      <c r="JK17" s="1202">
        <f t="shared" ref="JK17:JK22" si="260">$BT17*Q17</f>
        <v>0</v>
      </c>
      <c r="JL17" s="1202">
        <f t="shared" ref="JL17:JL22" si="261">$BT17*R17</f>
        <v>0</v>
      </c>
      <c r="JM17" s="1202">
        <f t="shared" ref="JM17:JM22" si="262">$BT17*S17</f>
        <v>0</v>
      </c>
      <c r="JN17" s="1202">
        <f t="shared" ref="JN17:JN22" si="263">$BT17*T17</f>
        <v>0</v>
      </c>
      <c r="JO17" s="1202">
        <f t="shared" ref="JO17:JO22" si="264">$BT17*U17</f>
        <v>0</v>
      </c>
      <c r="JP17" s="1202">
        <f t="shared" ref="JP17:JP22" si="265">$BT17*V17</f>
        <v>0</v>
      </c>
      <c r="JQ17" s="1202">
        <f t="shared" ref="JQ17:JQ22" si="266">$BT17*W17</f>
        <v>0</v>
      </c>
      <c r="JR17" s="1202">
        <f t="shared" ref="JR17:JR22" si="267">$BT17*X17</f>
        <v>0</v>
      </c>
      <c r="JS17" s="1202">
        <f t="shared" ref="JS17:JS22" si="268">$BT17*Y17</f>
        <v>0</v>
      </c>
      <c r="JT17" s="1202">
        <f t="shared" ref="JT17:JT22" si="269">$BT17*Z17</f>
        <v>0</v>
      </c>
      <c r="JU17" s="1202">
        <f t="shared" ref="JU17:JU22" si="270">$BT17*AA17</f>
        <v>0</v>
      </c>
      <c r="JV17" s="1202">
        <f t="shared" ref="JV17:JV22" si="271">$BT17*AB17</f>
        <v>0</v>
      </c>
      <c r="JW17" s="1202">
        <f t="shared" ref="JW17:JW22" si="272">$BT17*AC17</f>
        <v>0</v>
      </c>
      <c r="JX17" s="1202">
        <f t="shared" ref="JX17:JX22" si="273">$BT17*AD17</f>
        <v>0</v>
      </c>
      <c r="JY17" s="1202">
        <f t="shared" ref="JY17:JY22" si="274">$BT17*AE17</f>
        <v>0</v>
      </c>
      <c r="JZ17" s="1202">
        <f t="shared" ref="JZ17:JZ22" si="275">$BT17*AF17</f>
        <v>0</v>
      </c>
      <c r="KA17" s="1202">
        <f t="shared" ref="KA17:KA22" si="276">$BT17*AG17</f>
        <v>0</v>
      </c>
      <c r="KB17" s="1202">
        <f t="shared" ref="KB17:KB22" si="277">$BT17*AH17</f>
        <v>0</v>
      </c>
      <c r="KC17" s="1202">
        <f t="shared" ref="KC17:KC22" si="278">$BT17*AI17</f>
        <v>0</v>
      </c>
      <c r="KD17" s="1202">
        <f t="shared" ref="KD17:KD22" si="279">$BT17*AJ17</f>
        <v>0</v>
      </c>
      <c r="KE17" s="1202">
        <f t="shared" ref="KE17:KE22" si="280">$BT17*AK17</f>
        <v>0</v>
      </c>
      <c r="KF17" s="1202">
        <f t="shared" ref="KF17:KF22" si="281">$BT17*AL17</f>
        <v>0</v>
      </c>
      <c r="KG17" s="1202">
        <f t="shared" ref="KG17:KG22" si="282">$BT17*AM17</f>
        <v>0</v>
      </c>
      <c r="KH17" s="1202">
        <f t="shared" ref="KH17:KH22" si="283">$BT17*AN17</f>
        <v>0</v>
      </c>
      <c r="KI17" s="1202">
        <f t="shared" ref="KI17:KI22" si="284">$BT17*AO17</f>
        <v>0</v>
      </c>
      <c r="KJ17" s="1202">
        <f t="shared" ref="KJ17:KJ22" si="285">$BT17*AP17</f>
        <v>0</v>
      </c>
      <c r="KK17" s="1202">
        <f t="shared" ref="KK17:KK22" si="286">$BT17*AQ17</f>
        <v>0</v>
      </c>
      <c r="KL17" s="1202">
        <f t="shared" ref="KL17:KL22" si="287">$BT17*AR17</f>
        <v>0</v>
      </c>
      <c r="KM17" s="1202">
        <f t="shared" ref="KM17:KM22" si="288">$BT17*AS17</f>
        <v>0</v>
      </c>
      <c r="KN17" s="1202">
        <f t="shared" ref="KN17:KN22" si="289">$BT17*AT17</f>
        <v>0</v>
      </c>
      <c r="KO17" s="1202">
        <f t="shared" ref="KO17:KO22" si="290">$BT17*AU17</f>
        <v>0</v>
      </c>
      <c r="KP17" s="1202">
        <f t="shared" ref="KP17:KP22" si="291">$BT17*AV17</f>
        <v>0</v>
      </c>
      <c r="KQ17" s="1202">
        <f t="shared" ref="KQ17:KQ22" si="292">$BT17*AW17</f>
        <v>0</v>
      </c>
      <c r="KR17" s="1202">
        <f t="shared" ref="KR17:KR22" si="293">$BT17*AX17</f>
        <v>0</v>
      </c>
      <c r="KS17" s="1202">
        <f t="shared" ref="KS17:KS22" si="294">$BT17*AY17</f>
        <v>0</v>
      </c>
      <c r="KT17" s="1202">
        <f t="shared" ref="KT17:KT22" si="295">$BT17*AZ17</f>
        <v>0</v>
      </c>
      <c r="KU17" s="1202">
        <f t="shared" ref="KU17:KU22" si="296">$BT17*BA17</f>
        <v>0</v>
      </c>
      <c r="KV17" s="1202">
        <f t="shared" ref="KV17:KV22" si="297">$BT17*BB17</f>
        <v>0</v>
      </c>
      <c r="KW17" s="1202">
        <f t="shared" ref="KW17:KW22" si="298">$BT17*BC17</f>
        <v>0</v>
      </c>
      <c r="KX17" s="1202">
        <f t="shared" ref="KX17:KX22" si="299">$BT17*BD17</f>
        <v>0</v>
      </c>
      <c r="KY17" s="1202">
        <f t="shared" ref="KY17:KY22" si="300">$BT17*BE17</f>
        <v>0</v>
      </c>
      <c r="KZ17" s="1202">
        <f t="shared" ref="KZ17:KZ22" si="301">$BT17*BF17</f>
        <v>0</v>
      </c>
      <c r="LA17" s="1202">
        <f t="shared" ref="LA17:LA22" si="302">$BT17*BG17</f>
        <v>0</v>
      </c>
      <c r="LB17" s="1202">
        <f t="shared" ref="LB17:LB22" si="303">$BT17*BH17</f>
        <v>0</v>
      </c>
      <c r="LC17" s="1202">
        <f t="shared" ref="LC17:LC22" si="304">$BT17*BI17</f>
        <v>0</v>
      </c>
      <c r="LD17" s="1202">
        <f t="shared" ref="LD17:LD22" si="305">$BT17*BJ17</f>
        <v>0</v>
      </c>
      <c r="LE17" s="1202">
        <f t="shared" ref="LE17:LE22" si="306">$BT17*BK17</f>
        <v>0</v>
      </c>
      <c r="LF17" s="1202">
        <f t="shared" ref="LF17:LF22" si="307">$BT17*BL17</f>
        <v>0</v>
      </c>
      <c r="LG17" s="1202"/>
    </row>
    <row r="18" spans="2:319" s="814" customFormat="1" ht="15" customHeight="1">
      <c r="B18" s="693" t="s">
        <v>1326</v>
      </c>
      <c r="C18" s="694"/>
      <c r="D18" s="1096"/>
      <c r="E18" s="695">
        <v>2</v>
      </c>
      <c r="F18" s="1523" t="s">
        <v>4548</v>
      </c>
      <c r="G18" s="697"/>
      <c r="H18" s="698"/>
      <c r="I18" s="699"/>
      <c r="J18" s="700">
        <f>SUBTOTAL(9,J19)</f>
        <v>3773.5706650532102</v>
      </c>
      <c r="K18" s="855">
        <f>+H18/L18/Datos!$N$40</f>
        <v>0</v>
      </c>
      <c r="L18" s="856">
        <f t="shared" si="6"/>
        <v>1</v>
      </c>
      <c r="M18" s="857"/>
      <c r="N18" s="858"/>
      <c r="O18" s="1156">
        <f>+IF(C18&lt;&gt;"",VLOOKUP(C18,'AUX-NIV1'!B:AO,40,FALSE)*H18,0)</f>
        <v>0</v>
      </c>
      <c r="P18" s="815" t="str">
        <f t="shared" si="62"/>
        <v/>
      </c>
      <c r="Q18" s="859">
        <f>SUM(Q19)</f>
        <v>1</v>
      </c>
      <c r="R18" s="860">
        <f t="shared" ref="R18:AE18" si="308">SUM(R19)</f>
        <v>0</v>
      </c>
      <c r="S18" s="860">
        <f t="shared" si="308"/>
        <v>0</v>
      </c>
      <c r="T18" s="860">
        <f t="shared" si="308"/>
        <v>0</v>
      </c>
      <c r="U18" s="860">
        <f t="shared" si="308"/>
        <v>0</v>
      </c>
      <c r="V18" s="860">
        <f t="shared" si="308"/>
        <v>0</v>
      </c>
      <c r="W18" s="860">
        <f t="shared" si="308"/>
        <v>0</v>
      </c>
      <c r="X18" s="860">
        <f t="shared" si="308"/>
        <v>0</v>
      </c>
      <c r="Y18" s="860">
        <f t="shared" si="308"/>
        <v>0</v>
      </c>
      <c r="Z18" s="860">
        <f t="shared" si="308"/>
        <v>0</v>
      </c>
      <c r="AA18" s="860">
        <f t="shared" si="308"/>
        <v>0</v>
      </c>
      <c r="AB18" s="860">
        <f t="shared" si="308"/>
        <v>0</v>
      </c>
      <c r="AC18" s="860">
        <f t="shared" si="308"/>
        <v>0</v>
      </c>
      <c r="AD18" s="860">
        <f t="shared" si="308"/>
        <v>0</v>
      </c>
      <c r="AE18" s="860">
        <f t="shared" si="308"/>
        <v>0</v>
      </c>
      <c r="AF18" s="860">
        <f t="shared" si="10"/>
        <v>0</v>
      </c>
      <c r="AG18" s="860">
        <f t="shared" si="10"/>
        <v>0</v>
      </c>
      <c r="AH18" s="860">
        <f t="shared" si="11"/>
        <v>0</v>
      </c>
      <c r="AI18" s="860">
        <f t="shared" si="11"/>
        <v>0</v>
      </c>
      <c r="AJ18" s="860">
        <f t="shared" si="11"/>
        <v>0</v>
      </c>
      <c r="AK18" s="860">
        <f t="shared" si="11"/>
        <v>0</v>
      </c>
      <c r="AL18" s="860">
        <f t="shared" si="11"/>
        <v>0</v>
      </c>
      <c r="AM18" s="860">
        <f t="shared" si="11"/>
        <v>0</v>
      </c>
      <c r="AN18" s="860">
        <f t="shared" si="11"/>
        <v>0</v>
      </c>
      <c r="AO18" s="860">
        <f t="shared" si="11"/>
        <v>0</v>
      </c>
      <c r="AP18" s="860">
        <f t="shared" si="11"/>
        <v>0</v>
      </c>
      <c r="AQ18" s="860">
        <f t="shared" si="11"/>
        <v>0</v>
      </c>
      <c r="AR18" s="860">
        <f t="shared" si="11"/>
        <v>0</v>
      </c>
      <c r="AS18" s="860">
        <f t="shared" si="11"/>
        <v>0</v>
      </c>
      <c r="AT18" s="860">
        <f t="shared" si="11"/>
        <v>0</v>
      </c>
      <c r="AU18" s="860">
        <f t="shared" si="11"/>
        <v>0</v>
      </c>
      <c r="AV18" s="860">
        <f t="shared" si="11"/>
        <v>0</v>
      </c>
      <c r="AW18" s="860">
        <f t="shared" si="11"/>
        <v>0</v>
      </c>
      <c r="AX18" s="860">
        <f t="shared" si="12"/>
        <v>0</v>
      </c>
      <c r="AY18" s="860">
        <f t="shared" si="12"/>
        <v>0</v>
      </c>
      <c r="AZ18" s="860">
        <f t="shared" si="12"/>
        <v>0</v>
      </c>
      <c r="BA18" s="860">
        <f t="shared" si="12"/>
        <v>0</v>
      </c>
      <c r="BB18" s="860">
        <f t="shared" si="12"/>
        <v>0</v>
      </c>
      <c r="BC18" s="860">
        <f t="shared" si="12"/>
        <v>0</v>
      </c>
      <c r="BD18" s="860">
        <f t="shared" si="12"/>
        <v>0</v>
      </c>
      <c r="BE18" s="860">
        <f t="shared" si="12"/>
        <v>0</v>
      </c>
      <c r="BF18" s="860">
        <f t="shared" si="12"/>
        <v>0</v>
      </c>
      <c r="BG18" s="860">
        <f t="shared" si="12"/>
        <v>0</v>
      </c>
      <c r="BH18" s="860">
        <f t="shared" si="12"/>
        <v>0</v>
      </c>
      <c r="BI18" s="860">
        <f t="shared" si="12"/>
        <v>0</v>
      </c>
      <c r="BJ18" s="860">
        <f t="shared" si="12"/>
        <v>0</v>
      </c>
      <c r="BK18" s="860">
        <f t="shared" si="12"/>
        <v>0</v>
      </c>
      <c r="BL18" s="860">
        <f t="shared" si="12"/>
        <v>0</v>
      </c>
      <c r="BM18" s="860">
        <f t="shared" si="12"/>
        <v>0</v>
      </c>
      <c r="BN18" s="816"/>
      <c r="BP18" s="1203"/>
      <c r="BQ18" s="1203"/>
      <c r="BR18" s="1203"/>
      <c r="BS18" s="1203"/>
      <c r="BT18" s="1203"/>
      <c r="BU18" s="1203"/>
      <c r="BW18" s="814">
        <f t="shared" si="115"/>
        <v>0</v>
      </c>
      <c r="BX18" s="814">
        <f t="shared" si="116"/>
        <v>0</v>
      </c>
      <c r="BY18" s="814">
        <f t="shared" si="117"/>
        <v>0</v>
      </c>
      <c r="BZ18" s="814">
        <f t="shared" si="118"/>
        <v>0</v>
      </c>
      <c r="CA18" s="814">
        <f t="shared" si="119"/>
        <v>0</v>
      </c>
      <c r="CB18" s="814">
        <f t="shared" si="120"/>
        <v>0</v>
      </c>
      <c r="CC18" s="814">
        <f t="shared" si="121"/>
        <v>0</v>
      </c>
      <c r="CD18" s="814">
        <f t="shared" si="122"/>
        <v>0</v>
      </c>
      <c r="CE18" s="814">
        <f t="shared" si="123"/>
        <v>0</v>
      </c>
      <c r="CF18" s="814">
        <f t="shared" si="124"/>
        <v>0</v>
      </c>
      <c r="CG18" s="814">
        <f t="shared" si="125"/>
        <v>0</v>
      </c>
      <c r="CH18" s="814">
        <f t="shared" si="126"/>
        <v>0</v>
      </c>
      <c r="CI18" s="814">
        <f t="shared" si="127"/>
        <v>0</v>
      </c>
      <c r="CJ18" s="814">
        <f t="shared" si="128"/>
        <v>0</v>
      </c>
      <c r="CK18" s="814">
        <f t="shared" si="129"/>
        <v>0</v>
      </c>
      <c r="CL18" s="814">
        <f t="shared" si="130"/>
        <v>0</v>
      </c>
      <c r="CM18" s="814">
        <f t="shared" si="131"/>
        <v>0</v>
      </c>
      <c r="CN18" s="814">
        <f t="shared" si="132"/>
        <v>0</v>
      </c>
      <c r="CO18" s="814">
        <f t="shared" si="133"/>
        <v>0</v>
      </c>
      <c r="CP18" s="814">
        <f t="shared" si="134"/>
        <v>0</v>
      </c>
      <c r="CQ18" s="814">
        <f t="shared" si="135"/>
        <v>0</v>
      </c>
      <c r="CR18" s="814">
        <f t="shared" si="136"/>
        <v>0</v>
      </c>
      <c r="CS18" s="814">
        <f t="shared" si="137"/>
        <v>0</v>
      </c>
      <c r="CT18" s="814">
        <f t="shared" si="138"/>
        <v>0</v>
      </c>
      <c r="CU18" s="814">
        <f t="shared" si="139"/>
        <v>0</v>
      </c>
      <c r="CV18" s="814">
        <f t="shared" si="140"/>
        <v>0</v>
      </c>
      <c r="CW18" s="814">
        <f t="shared" si="141"/>
        <v>0</v>
      </c>
      <c r="CX18" s="814">
        <f t="shared" si="142"/>
        <v>0</v>
      </c>
      <c r="CY18" s="814">
        <f t="shared" si="143"/>
        <v>0</v>
      </c>
      <c r="CZ18" s="814">
        <f t="shared" si="144"/>
        <v>0</v>
      </c>
      <c r="DA18" s="814">
        <f t="shared" si="145"/>
        <v>0</v>
      </c>
      <c r="DB18" s="814">
        <f t="shared" si="146"/>
        <v>0</v>
      </c>
      <c r="DC18" s="814">
        <f t="shared" si="147"/>
        <v>0</v>
      </c>
      <c r="DD18" s="814">
        <f t="shared" si="148"/>
        <v>0</v>
      </c>
      <c r="DE18" s="814">
        <f t="shared" si="149"/>
        <v>0</v>
      </c>
      <c r="DF18" s="814">
        <f t="shared" si="150"/>
        <v>0</v>
      </c>
      <c r="DG18" s="814">
        <f t="shared" si="151"/>
        <v>0</v>
      </c>
      <c r="DH18" s="814">
        <f t="shared" si="152"/>
        <v>0</v>
      </c>
      <c r="DI18" s="814">
        <f t="shared" si="153"/>
        <v>0</v>
      </c>
      <c r="DJ18" s="814">
        <f t="shared" si="154"/>
        <v>0</v>
      </c>
      <c r="DK18" s="814">
        <f t="shared" si="155"/>
        <v>0</v>
      </c>
      <c r="DL18" s="814">
        <f t="shared" si="156"/>
        <v>0</v>
      </c>
      <c r="DM18" s="814">
        <f t="shared" si="157"/>
        <v>0</v>
      </c>
      <c r="DN18" s="814">
        <f t="shared" si="158"/>
        <v>0</v>
      </c>
      <c r="DO18" s="814">
        <f t="shared" si="159"/>
        <v>0</v>
      </c>
      <c r="DP18" s="814">
        <f t="shared" si="160"/>
        <v>0</v>
      </c>
      <c r="DQ18" s="814">
        <f t="shared" si="161"/>
        <v>0</v>
      </c>
      <c r="DR18" s="814">
        <f t="shared" si="162"/>
        <v>0</v>
      </c>
      <c r="DT18" s="814">
        <f t="shared" si="163"/>
        <v>0</v>
      </c>
      <c r="DU18" s="814">
        <f t="shared" si="164"/>
        <v>0</v>
      </c>
      <c r="DV18" s="814">
        <f t="shared" si="165"/>
        <v>0</v>
      </c>
      <c r="DW18" s="814">
        <f t="shared" si="166"/>
        <v>0</v>
      </c>
      <c r="DX18" s="814">
        <f t="shared" si="167"/>
        <v>0</v>
      </c>
      <c r="DY18" s="814">
        <f t="shared" si="168"/>
        <v>0</v>
      </c>
      <c r="DZ18" s="814">
        <f t="shared" si="169"/>
        <v>0</v>
      </c>
      <c r="EA18" s="814">
        <f t="shared" si="170"/>
        <v>0</v>
      </c>
      <c r="EB18" s="814">
        <f t="shared" si="171"/>
        <v>0</v>
      </c>
      <c r="EC18" s="814">
        <f t="shared" si="172"/>
        <v>0</v>
      </c>
      <c r="ED18" s="814">
        <f t="shared" si="173"/>
        <v>0</v>
      </c>
      <c r="EE18" s="814">
        <f t="shared" si="174"/>
        <v>0</v>
      </c>
      <c r="EF18" s="814">
        <f t="shared" si="175"/>
        <v>0</v>
      </c>
      <c r="EG18" s="814">
        <f t="shared" si="176"/>
        <v>0</v>
      </c>
      <c r="EH18" s="814">
        <f t="shared" si="177"/>
        <v>0</v>
      </c>
      <c r="EI18" s="814">
        <f t="shared" si="178"/>
        <v>0</v>
      </c>
      <c r="EJ18" s="814">
        <f t="shared" si="179"/>
        <v>0</v>
      </c>
      <c r="EK18" s="814">
        <f t="shared" si="180"/>
        <v>0</v>
      </c>
      <c r="EL18" s="814">
        <f t="shared" si="181"/>
        <v>0</v>
      </c>
      <c r="EM18" s="814">
        <f t="shared" si="182"/>
        <v>0</v>
      </c>
      <c r="EN18" s="814">
        <f t="shared" si="183"/>
        <v>0</v>
      </c>
      <c r="EO18" s="814">
        <f t="shared" si="184"/>
        <v>0</v>
      </c>
      <c r="EP18" s="814">
        <f t="shared" si="185"/>
        <v>0</v>
      </c>
      <c r="EQ18" s="814">
        <f t="shared" si="186"/>
        <v>0</v>
      </c>
      <c r="ER18" s="814">
        <f t="shared" si="187"/>
        <v>0</v>
      </c>
      <c r="ES18" s="814">
        <f t="shared" si="188"/>
        <v>0</v>
      </c>
      <c r="ET18" s="814">
        <f t="shared" si="189"/>
        <v>0</v>
      </c>
      <c r="EU18" s="814">
        <f t="shared" si="190"/>
        <v>0</v>
      </c>
      <c r="EV18" s="814">
        <f t="shared" si="191"/>
        <v>0</v>
      </c>
      <c r="EW18" s="814">
        <f t="shared" si="192"/>
        <v>0</v>
      </c>
      <c r="EX18" s="814">
        <f t="shared" si="193"/>
        <v>0</v>
      </c>
      <c r="EY18" s="814">
        <f t="shared" si="194"/>
        <v>0</v>
      </c>
      <c r="EZ18" s="814">
        <f t="shared" si="195"/>
        <v>0</v>
      </c>
      <c r="FA18" s="814">
        <f t="shared" si="196"/>
        <v>0</v>
      </c>
      <c r="FB18" s="814">
        <f t="shared" si="197"/>
        <v>0</v>
      </c>
      <c r="FC18" s="814">
        <f t="shared" si="198"/>
        <v>0</v>
      </c>
      <c r="FD18" s="814">
        <f t="shared" si="199"/>
        <v>0</v>
      </c>
      <c r="FE18" s="814">
        <f t="shared" si="200"/>
        <v>0</v>
      </c>
      <c r="FF18" s="814">
        <f t="shared" si="201"/>
        <v>0</v>
      </c>
      <c r="FG18" s="814">
        <f t="shared" si="202"/>
        <v>0</v>
      </c>
      <c r="FH18" s="814">
        <f t="shared" si="203"/>
        <v>0</v>
      </c>
      <c r="FI18" s="814">
        <f t="shared" si="204"/>
        <v>0</v>
      </c>
      <c r="FJ18" s="814">
        <f t="shared" si="205"/>
        <v>0</v>
      </c>
      <c r="FK18" s="814">
        <f t="shared" si="206"/>
        <v>0</v>
      </c>
      <c r="FL18" s="814">
        <f t="shared" si="207"/>
        <v>0</v>
      </c>
      <c r="FM18" s="814">
        <f t="shared" si="208"/>
        <v>0</v>
      </c>
      <c r="FN18" s="814">
        <f t="shared" si="209"/>
        <v>0</v>
      </c>
      <c r="FO18" s="814">
        <f t="shared" si="210"/>
        <v>0</v>
      </c>
      <c r="FQ18" s="814">
        <f t="shared" si="211"/>
        <v>0</v>
      </c>
      <c r="FR18" s="814">
        <f t="shared" si="65"/>
        <v>0</v>
      </c>
      <c r="FS18" s="814">
        <f t="shared" si="66"/>
        <v>0</v>
      </c>
      <c r="FT18" s="814">
        <f t="shared" si="67"/>
        <v>0</v>
      </c>
      <c r="FU18" s="814">
        <f t="shared" si="68"/>
        <v>0</v>
      </c>
      <c r="FV18" s="814">
        <f t="shared" si="69"/>
        <v>0</v>
      </c>
      <c r="FW18" s="814">
        <f t="shared" si="70"/>
        <v>0</v>
      </c>
      <c r="FX18" s="814">
        <f t="shared" si="71"/>
        <v>0</v>
      </c>
      <c r="FY18" s="814">
        <f t="shared" si="72"/>
        <v>0</v>
      </c>
      <c r="FZ18" s="814">
        <f t="shared" si="73"/>
        <v>0</v>
      </c>
      <c r="GA18" s="814">
        <f t="shared" si="74"/>
        <v>0</v>
      </c>
      <c r="GB18" s="814">
        <f t="shared" si="75"/>
        <v>0</v>
      </c>
      <c r="GC18" s="814">
        <f t="shared" si="76"/>
        <v>0</v>
      </c>
      <c r="GD18" s="814">
        <f t="shared" si="77"/>
        <v>0</v>
      </c>
      <c r="GE18" s="814">
        <f t="shared" si="78"/>
        <v>0</v>
      </c>
      <c r="GF18" s="814">
        <f t="shared" si="79"/>
        <v>0</v>
      </c>
      <c r="GG18" s="814">
        <f t="shared" si="80"/>
        <v>0</v>
      </c>
      <c r="GH18" s="814">
        <f t="shared" si="81"/>
        <v>0</v>
      </c>
      <c r="GI18" s="814">
        <f t="shared" si="82"/>
        <v>0</v>
      </c>
      <c r="GJ18" s="814">
        <f t="shared" si="83"/>
        <v>0</v>
      </c>
      <c r="GK18" s="814">
        <f t="shared" si="84"/>
        <v>0</v>
      </c>
      <c r="GL18" s="814">
        <f t="shared" si="85"/>
        <v>0</v>
      </c>
      <c r="GM18" s="814">
        <f t="shared" si="86"/>
        <v>0</v>
      </c>
      <c r="GN18" s="814">
        <f t="shared" si="87"/>
        <v>0</v>
      </c>
      <c r="GO18" s="814">
        <f t="shared" si="88"/>
        <v>0</v>
      </c>
      <c r="GP18" s="814">
        <f t="shared" si="89"/>
        <v>0</v>
      </c>
      <c r="GQ18" s="814">
        <f t="shared" si="90"/>
        <v>0</v>
      </c>
      <c r="GR18" s="814">
        <f t="shared" si="91"/>
        <v>0</v>
      </c>
      <c r="GS18" s="814">
        <f t="shared" si="92"/>
        <v>0</v>
      </c>
      <c r="GT18" s="814">
        <f t="shared" si="93"/>
        <v>0</v>
      </c>
      <c r="GU18" s="814">
        <f t="shared" si="94"/>
        <v>0</v>
      </c>
      <c r="GV18" s="814">
        <f t="shared" si="95"/>
        <v>0</v>
      </c>
      <c r="GW18" s="814">
        <f t="shared" si="96"/>
        <v>0</v>
      </c>
      <c r="GX18" s="814">
        <f t="shared" si="97"/>
        <v>0</v>
      </c>
      <c r="GY18" s="814">
        <f t="shared" si="98"/>
        <v>0</v>
      </c>
      <c r="GZ18" s="814">
        <f t="shared" si="99"/>
        <v>0</v>
      </c>
      <c r="HA18" s="814">
        <f t="shared" si="100"/>
        <v>0</v>
      </c>
      <c r="HB18" s="814">
        <f t="shared" si="101"/>
        <v>0</v>
      </c>
      <c r="HC18" s="814">
        <f t="shared" si="102"/>
        <v>0</v>
      </c>
      <c r="HD18" s="814">
        <f t="shared" si="103"/>
        <v>0</v>
      </c>
      <c r="HE18" s="814">
        <f t="shared" si="104"/>
        <v>0</v>
      </c>
      <c r="HF18" s="814">
        <f t="shared" si="105"/>
        <v>0</v>
      </c>
      <c r="HG18" s="814">
        <f t="shared" si="106"/>
        <v>0</v>
      </c>
      <c r="HH18" s="814">
        <f t="shared" si="107"/>
        <v>0</v>
      </c>
      <c r="HI18" s="814">
        <f t="shared" si="108"/>
        <v>0</v>
      </c>
      <c r="HJ18" s="814">
        <f t="shared" si="109"/>
        <v>0</v>
      </c>
      <c r="HK18" s="814">
        <f t="shared" si="110"/>
        <v>0</v>
      </c>
      <c r="HL18" s="814">
        <f t="shared" si="111"/>
        <v>0</v>
      </c>
      <c r="HN18" s="814">
        <f t="shared" si="212"/>
        <v>0</v>
      </c>
      <c r="HO18" s="814">
        <f t="shared" si="213"/>
        <v>0</v>
      </c>
      <c r="HP18" s="814">
        <f t="shared" si="214"/>
        <v>0</v>
      </c>
      <c r="HQ18" s="814">
        <f t="shared" si="215"/>
        <v>0</v>
      </c>
      <c r="HR18" s="814">
        <f t="shared" si="216"/>
        <v>0</v>
      </c>
      <c r="HS18" s="814">
        <f t="shared" si="217"/>
        <v>0</v>
      </c>
      <c r="HT18" s="814">
        <f t="shared" si="218"/>
        <v>0</v>
      </c>
      <c r="HU18" s="814">
        <f t="shared" si="219"/>
        <v>0</v>
      </c>
      <c r="HV18" s="814">
        <f t="shared" si="220"/>
        <v>0</v>
      </c>
      <c r="HW18" s="814">
        <f t="shared" si="221"/>
        <v>0</v>
      </c>
      <c r="HX18" s="814">
        <f t="shared" si="222"/>
        <v>0</v>
      </c>
      <c r="HY18" s="814">
        <f t="shared" si="223"/>
        <v>0</v>
      </c>
      <c r="HZ18" s="814">
        <f t="shared" si="224"/>
        <v>0</v>
      </c>
      <c r="IA18" s="814">
        <f t="shared" si="225"/>
        <v>0</v>
      </c>
      <c r="IB18" s="814">
        <f t="shared" si="226"/>
        <v>0</v>
      </c>
      <c r="IC18" s="814">
        <f t="shared" si="227"/>
        <v>0</v>
      </c>
      <c r="ID18" s="814">
        <f t="shared" si="228"/>
        <v>0</v>
      </c>
      <c r="IE18" s="814">
        <f t="shared" si="229"/>
        <v>0</v>
      </c>
      <c r="IF18" s="814">
        <f t="shared" si="230"/>
        <v>0</v>
      </c>
      <c r="IG18" s="814">
        <f t="shared" si="231"/>
        <v>0</v>
      </c>
      <c r="IH18" s="814">
        <f t="shared" si="232"/>
        <v>0</v>
      </c>
      <c r="II18" s="814">
        <f t="shared" si="233"/>
        <v>0</v>
      </c>
      <c r="IJ18" s="814">
        <f t="shared" si="234"/>
        <v>0</v>
      </c>
      <c r="IK18" s="814">
        <f t="shared" si="235"/>
        <v>0</v>
      </c>
      <c r="IL18" s="814">
        <f t="shared" si="236"/>
        <v>0</v>
      </c>
      <c r="IM18" s="814">
        <f t="shared" si="237"/>
        <v>0</v>
      </c>
      <c r="IN18" s="814">
        <f t="shared" si="238"/>
        <v>0</v>
      </c>
      <c r="IO18" s="814">
        <f t="shared" si="239"/>
        <v>0</v>
      </c>
      <c r="IP18" s="814">
        <f t="shared" si="240"/>
        <v>0</v>
      </c>
      <c r="IQ18" s="814">
        <f t="shared" si="241"/>
        <v>0</v>
      </c>
      <c r="IR18" s="814">
        <f t="shared" si="242"/>
        <v>0</v>
      </c>
      <c r="IS18" s="814">
        <f t="shared" si="243"/>
        <v>0</v>
      </c>
      <c r="IT18" s="814">
        <f t="shared" si="244"/>
        <v>0</v>
      </c>
      <c r="IU18" s="814">
        <f t="shared" si="245"/>
        <v>0</v>
      </c>
      <c r="IV18" s="814">
        <f t="shared" si="246"/>
        <v>0</v>
      </c>
      <c r="IW18" s="814">
        <f t="shared" si="247"/>
        <v>0</v>
      </c>
      <c r="IX18" s="814">
        <f t="shared" si="248"/>
        <v>0</v>
      </c>
      <c r="IY18" s="814">
        <f t="shared" si="249"/>
        <v>0</v>
      </c>
      <c r="IZ18" s="814">
        <f t="shared" si="250"/>
        <v>0</v>
      </c>
      <c r="JA18" s="814">
        <f t="shared" si="251"/>
        <v>0</v>
      </c>
      <c r="JB18" s="814">
        <f t="shared" si="252"/>
        <v>0</v>
      </c>
      <c r="JC18" s="814">
        <f t="shared" si="253"/>
        <v>0</v>
      </c>
      <c r="JD18" s="814">
        <f t="shared" si="254"/>
        <v>0</v>
      </c>
      <c r="JE18" s="814">
        <f t="shared" si="255"/>
        <v>0</v>
      </c>
      <c r="JF18" s="814">
        <f t="shared" si="256"/>
        <v>0</v>
      </c>
      <c r="JG18" s="814">
        <f t="shared" si="257"/>
        <v>0</v>
      </c>
      <c r="JH18" s="814">
        <f t="shared" si="258"/>
        <v>0</v>
      </c>
      <c r="JI18" s="814">
        <f t="shared" si="259"/>
        <v>0</v>
      </c>
      <c r="JK18" s="814">
        <f t="shared" si="260"/>
        <v>0</v>
      </c>
      <c r="JL18" s="814">
        <f t="shared" si="261"/>
        <v>0</v>
      </c>
      <c r="JM18" s="814">
        <f t="shared" si="262"/>
        <v>0</v>
      </c>
      <c r="JN18" s="814">
        <f t="shared" si="263"/>
        <v>0</v>
      </c>
      <c r="JO18" s="814">
        <f t="shared" si="264"/>
        <v>0</v>
      </c>
      <c r="JP18" s="814">
        <f t="shared" si="265"/>
        <v>0</v>
      </c>
      <c r="JQ18" s="814">
        <f t="shared" si="266"/>
        <v>0</v>
      </c>
      <c r="JR18" s="814">
        <f t="shared" si="267"/>
        <v>0</v>
      </c>
      <c r="JS18" s="814">
        <f t="shared" si="268"/>
        <v>0</v>
      </c>
      <c r="JT18" s="814">
        <f t="shared" si="269"/>
        <v>0</v>
      </c>
      <c r="JU18" s="814">
        <f t="shared" si="270"/>
        <v>0</v>
      </c>
      <c r="JV18" s="814">
        <f t="shared" si="271"/>
        <v>0</v>
      </c>
      <c r="JW18" s="814">
        <f t="shared" si="272"/>
        <v>0</v>
      </c>
      <c r="JX18" s="814">
        <f t="shared" si="273"/>
        <v>0</v>
      </c>
      <c r="JY18" s="814">
        <f t="shared" si="274"/>
        <v>0</v>
      </c>
      <c r="JZ18" s="814">
        <f t="shared" si="275"/>
        <v>0</v>
      </c>
      <c r="KA18" s="814">
        <f t="shared" si="276"/>
        <v>0</v>
      </c>
      <c r="KB18" s="814">
        <f t="shared" si="277"/>
        <v>0</v>
      </c>
      <c r="KC18" s="814">
        <f t="shared" si="278"/>
        <v>0</v>
      </c>
      <c r="KD18" s="814">
        <f t="shared" si="279"/>
        <v>0</v>
      </c>
      <c r="KE18" s="814">
        <f t="shared" si="280"/>
        <v>0</v>
      </c>
      <c r="KF18" s="814">
        <f t="shared" si="281"/>
        <v>0</v>
      </c>
      <c r="KG18" s="814">
        <f t="shared" si="282"/>
        <v>0</v>
      </c>
      <c r="KH18" s="814">
        <f t="shared" si="283"/>
        <v>0</v>
      </c>
      <c r="KI18" s="814">
        <f t="shared" si="284"/>
        <v>0</v>
      </c>
      <c r="KJ18" s="814">
        <f t="shared" si="285"/>
        <v>0</v>
      </c>
      <c r="KK18" s="814">
        <f t="shared" si="286"/>
        <v>0</v>
      </c>
      <c r="KL18" s="814">
        <f t="shared" si="287"/>
        <v>0</v>
      </c>
      <c r="KM18" s="814">
        <f t="shared" si="288"/>
        <v>0</v>
      </c>
      <c r="KN18" s="814">
        <f t="shared" si="289"/>
        <v>0</v>
      </c>
      <c r="KO18" s="814">
        <f t="shared" si="290"/>
        <v>0</v>
      </c>
      <c r="KP18" s="814">
        <f t="shared" si="291"/>
        <v>0</v>
      </c>
      <c r="KQ18" s="814">
        <f t="shared" si="292"/>
        <v>0</v>
      </c>
      <c r="KR18" s="814">
        <f t="shared" si="293"/>
        <v>0</v>
      </c>
      <c r="KS18" s="814">
        <f t="shared" si="294"/>
        <v>0</v>
      </c>
      <c r="KT18" s="814">
        <f t="shared" si="295"/>
        <v>0</v>
      </c>
      <c r="KU18" s="814">
        <f t="shared" si="296"/>
        <v>0</v>
      </c>
      <c r="KV18" s="814">
        <f t="shared" si="297"/>
        <v>0</v>
      </c>
      <c r="KW18" s="814">
        <f t="shared" si="298"/>
        <v>0</v>
      </c>
      <c r="KX18" s="814">
        <f t="shared" si="299"/>
        <v>0</v>
      </c>
      <c r="KY18" s="814">
        <f t="shared" si="300"/>
        <v>0</v>
      </c>
      <c r="KZ18" s="814">
        <f t="shared" si="301"/>
        <v>0</v>
      </c>
      <c r="LA18" s="814">
        <f t="shared" si="302"/>
        <v>0</v>
      </c>
      <c r="LB18" s="814">
        <f t="shared" si="303"/>
        <v>0</v>
      </c>
      <c r="LC18" s="814">
        <f t="shared" si="304"/>
        <v>0</v>
      </c>
      <c r="LD18" s="814">
        <f t="shared" si="305"/>
        <v>0</v>
      </c>
      <c r="LE18" s="814">
        <f t="shared" si="306"/>
        <v>0</v>
      </c>
      <c r="LF18" s="814">
        <f t="shared" si="307"/>
        <v>0</v>
      </c>
    </row>
    <row r="19" spans="2:319" ht="15.6">
      <c r="B19" s="679">
        <v>4</v>
      </c>
      <c r="C19" s="680" t="s">
        <v>3231</v>
      </c>
      <c r="D19" s="681"/>
      <c r="E19" s="682" t="s">
        <v>4630</v>
      </c>
      <c r="F19" s="1522" t="s">
        <v>4631</v>
      </c>
      <c r="G19" s="684" t="str">
        <f>VLOOKUP($E19,Items!$E:$I,3,FALSE)</f>
        <v>m3</v>
      </c>
      <c r="H19" s="685">
        <f>VLOOKUP($E19,Items!$E:$I,4,FALSE)</f>
        <v>3.62</v>
      </c>
      <c r="I19" s="686">
        <f>VLOOKUP($E19,Items!$E:$I,5,FALSE)</f>
        <v>1042.422835650058</v>
      </c>
      <c r="J19" s="687">
        <f t="shared" si="61"/>
        <v>3773.5706650532102</v>
      </c>
      <c r="K19" s="692">
        <f>+H19/L19/Datos!$N$40</f>
        <v>1.9059963709854705E-2</v>
      </c>
      <c r="L19" s="686">
        <f t="shared" si="6"/>
        <v>1</v>
      </c>
      <c r="M19" s="849">
        <v>0.5</v>
      </c>
      <c r="N19" s="849">
        <v>0.5</v>
      </c>
      <c r="O19" s="851">
        <f>+IF(C19&lt;&gt;"",VLOOKUP(C19,'AUX-NIV1'!B:AO,40,FALSE)*H19,0)</f>
        <v>7.317951077097506</v>
      </c>
      <c r="P19" s="803" t="str">
        <f t="shared" si="62"/>
        <v/>
      </c>
      <c r="Q19" s="804">
        <f t="shared" si="9"/>
        <v>1</v>
      </c>
      <c r="R19" s="805">
        <f t="shared" si="10"/>
        <v>0</v>
      </c>
      <c r="S19" s="805">
        <f t="shared" si="10"/>
        <v>0</v>
      </c>
      <c r="T19" s="805">
        <f t="shared" si="10"/>
        <v>0</v>
      </c>
      <c r="U19" s="805">
        <f t="shared" si="10"/>
        <v>0</v>
      </c>
      <c r="V19" s="805">
        <f t="shared" si="10"/>
        <v>0</v>
      </c>
      <c r="W19" s="805">
        <f t="shared" si="10"/>
        <v>0</v>
      </c>
      <c r="X19" s="805">
        <f t="shared" si="10"/>
        <v>0</v>
      </c>
      <c r="Y19" s="805">
        <f t="shared" si="10"/>
        <v>0</v>
      </c>
      <c r="Z19" s="805">
        <f t="shared" si="10"/>
        <v>0</v>
      </c>
      <c r="AA19" s="805">
        <f t="shared" si="10"/>
        <v>0</v>
      </c>
      <c r="AB19" s="805">
        <f t="shared" si="10"/>
        <v>0</v>
      </c>
      <c r="AC19" s="805">
        <f t="shared" si="10"/>
        <v>0</v>
      </c>
      <c r="AD19" s="805">
        <f t="shared" si="10"/>
        <v>0</v>
      </c>
      <c r="AE19" s="805">
        <f t="shared" si="10"/>
        <v>0</v>
      </c>
      <c r="AF19" s="805">
        <f t="shared" si="10"/>
        <v>0</v>
      </c>
      <c r="AG19" s="805">
        <f t="shared" si="10"/>
        <v>0</v>
      </c>
      <c r="AH19" s="805">
        <f t="shared" si="11"/>
        <v>0</v>
      </c>
      <c r="AI19" s="805">
        <f t="shared" si="11"/>
        <v>0</v>
      </c>
      <c r="AJ19" s="805">
        <f t="shared" si="11"/>
        <v>0</v>
      </c>
      <c r="AK19" s="805">
        <f t="shared" si="11"/>
        <v>0</v>
      </c>
      <c r="AL19" s="805">
        <f t="shared" si="11"/>
        <v>0</v>
      </c>
      <c r="AM19" s="805">
        <f t="shared" si="11"/>
        <v>0</v>
      </c>
      <c r="AN19" s="805">
        <f t="shared" si="11"/>
        <v>0</v>
      </c>
      <c r="AO19" s="805">
        <f t="shared" si="11"/>
        <v>0</v>
      </c>
      <c r="AP19" s="805">
        <f t="shared" si="11"/>
        <v>0</v>
      </c>
      <c r="AQ19" s="805">
        <f t="shared" si="11"/>
        <v>0</v>
      </c>
      <c r="AR19" s="805">
        <f t="shared" si="11"/>
        <v>0</v>
      </c>
      <c r="AS19" s="805">
        <f t="shared" si="11"/>
        <v>0</v>
      </c>
      <c r="AT19" s="805">
        <f t="shared" si="11"/>
        <v>0</v>
      </c>
      <c r="AU19" s="805">
        <f t="shared" si="11"/>
        <v>0</v>
      </c>
      <c r="AV19" s="805">
        <f t="shared" si="11"/>
        <v>0</v>
      </c>
      <c r="AW19" s="805">
        <f t="shared" si="11"/>
        <v>0</v>
      </c>
      <c r="AX19" s="805">
        <f t="shared" si="12"/>
        <v>0</v>
      </c>
      <c r="AY19" s="805">
        <f t="shared" si="12"/>
        <v>0</v>
      </c>
      <c r="AZ19" s="805">
        <f t="shared" si="12"/>
        <v>0</v>
      </c>
      <c r="BA19" s="805">
        <f t="shared" si="12"/>
        <v>0</v>
      </c>
      <c r="BB19" s="805">
        <f t="shared" si="12"/>
        <v>0</v>
      </c>
      <c r="BC19" s="805">
        <f t="shared" si="12"/>
        <v>0</v>
      </c>
      <c r="BD19" s="805">
        <f t="shared" si="12"/>
        <v>0</v>
      </c>
      <c r="BE19" s="805">
        <f t="shared" si="12"/>
        <v>0</v>
      </c>
      <c r="BF19" s="805">
        <f t="shared" si="12"/>
        <v>0</v>
      </c>
      <c r="BG19" s="805">
        <f t="shared" si="12"/>
        <v>0</v>
      </c>
      <c r="BH19" s="805">
        <f t="shared" si="12"/>
        <v>0</v>
      </c>
      <c r="BI19" s="805">
        <f t="shared" si="12"/>
        <v>0</v>
      </c>
      <c r="BJ19" s="805">
        <f t="shared" si="12"/>
        <v>0</v>
      </c>
      <c r="BK19" s="805">
        <f t="shared" si="12"/>
        <v>0</v>
      </c>
      <c r="BL19" s="805">
        <f t="shared" si="12"/>
        <v>0</v>
      </c>
      <c r="BM19" s="806">
        <f t="shared" si="12"/>
        <v>0</v>
      </c>
      <c r="BN19" s="785"/>
      <c r="BO19" s="1204">
        <f t="shared" si="114"/>
        <v>0</v>
      </c>
      <c r="BP19" s="1203">
        <f>+SUMIF('AUX-NIV1'!$B:$B,Crono!$C19,'AUX-NIV1'!AQ:AQ)*Crono!$H19</f>
        <v>3371.3077589251607</v>
      </c>
      <c r="BQ19" s="1202">
        <f>+SUMIF('AUX-NIV1'!$B:$B,Crono!$C19,'AUX-NIV1'!AR:AR)*Crono!$H19</f>
        <v>220.69270208063043</v>
      </c>
      <c r="BR19" s="1202">
        <f>+SUMIF('AUX-NIV1'!$B:$B,Crono!$C19,'AUX-NIV1'!AS:AS)*Crono!$H19</f>
        <v>181.57020404741874</v>
      </c>
      <c r="BS19" s="1202">
        <f>+SUMIF('AUX-NIV1'!$B:$B,Crono!$C19,'AUX-NIV1'!AT:AT)*Crono!$H19</f>
        <v>0</v>
      </c>
      <c r="BT19" s="1202">
        <f>+SUMIF('AUX-NIV1'!$B:$B,Crono!$C19,'AUX-NIV1'!AU:AU)*Crono!$H19</f>
        <v>0</v>
      </c>
      <c r="BU19" s="1202"/>
      <c r="BW19" s="1202">
        <f t="shared" si="115"/>
        <v>3371.3077589251607</v>
      </c>
      <c r="BX19" s="1202">
        <f t="shared" si="116"/>
        <v>0</v>
      </c>
      <c r="BY19" s="1202">
        <f t="shared" si="117"/>
        <v>0</v>
      </c>
      <c r="BZ19" s="1202">
        <f t="shared" si="118"/>
        <v>0</v>
      </c>
      <c r="CA19" s="1202">
        <f t="shared" si="119"/>
        <v>0</v>
      </c>
      <c r="CB19" s="1202">
        <f t="shared" si="120"/>
        <v>0</v>
      </c>
      <c r="CC19" s="1202">
        <f t="shared" si="121"/>
        <v>0</v>
      </c>
      <c r="CD19" s="1202">
        <f t="shared" si="122"/>
        <v>0</v>
      </c>
      <c r="CE19" s="1202">
        <f t="shared" si="123"/>
        <v>0</v>
      </c>
      <c r="CF19" s="1202">
        <f t="shared" si="124"/>
        <v>0</v>
      </c>
      <c r="CG19" s="1202">
        <f t="shared" si="125"/>
        <v>0</v>
      </c>
      <c r="CH19" s="1202">
        <f t="shared" si="126"/>
        <v>0</v>
      </c>
      <c r="CI19" s="1202">
        <f t="shared" si="127"/>
        <v>0</v>
      </c>
      <c r="CJ19" s="1202">
        <f t="shared" si="128"/>
        <v>0</v>
      </c>
      <c r="CK19" s="1202">
        <f t="shared" si="129"/>
        <v>0</v>
      </c>
      <c r="CL19" s="1202">
        <f t="shared" si="130"/>
        <v>0</v>
      </c>
      <c r="CM19" s="1202">
        <f t="shared" si="131"/>
        <v>0</v>
      </c>
      <c r="CN19" s="1202">
        <f t="shared" si="132"/>
        <v>0</v>
      </c>
      <c r="CO19" s="1202">
        <f t="shared" si="133"/>
        <v>0</v>
      </c>
      <c r="CP19" s="1202">
        <f t="shared" si="134"/>
        <v>0</v>
      </c>
      <c r="CQ19" s="1202">
        <f t="shared" si="135"/>
        <v>0</v>
      </c>
      <c r="CR19" s="1202">
        <f t="shared" si="136"/>
        <v>0</v>
      </c>
      <c r="CS19" s="1202">
        <f t="shared" si="137"/>
        <v>0</v>
      </c>
      <c r="CT19" s="1202">
        <f t="shared" si="138"/>
        <v>0</v>
      </c>
      <c r="CU19" s="1202">
        <f t="shared" si="139"/>
        <v>0</v>
      </c>
      <c r="CV19" s="1202">
        <f t="shared" si="140"/>
        <v>0</v>
      </c>
      <c r="CW19" s="1202">
        <f t="shared" si="141"/>
        <v>0</v>
      </c>
      <c r="CX19" s="1202">
        <f t="shared" si="142"/>
        <v>0</v>
      </c>
      <c r="CY19" s="1202">
        <f t="shared" si="143"/>
        <v>0</v>
      </c>
      <c r="CZ19" s="1202">
        <f t="shared" si="144"/>
        <v>0</v>
      </c>
      <c r="DA19" s="1202">
        <f t="shared" si="145"/>
        <v>0</v>
      </c>
      <c r="DB19" s="1202">
        <f t="shared" si="146"/>
        <v>0</v>
      </c>
      <c r="DC19" s="1202">
        <f t="shared" si="147"/>
        <v>0</v>
      </c>
      <c r="DD19" s="1202">
        <f t="shared" si="148"/>
        <v>0</v>
      </c>
      <c r="DE19" s="1202">
        <f t="shared" si="149"/>
        <v>0</v>
      </c>
      <c r="DF19" s="1202">
        <f t="shared" si="150"/>
        <v>0</v>
      </c>
      <c r="DG19" s="1202">
        <f t="shared" si="151"/>
        <v>0</v>
      </c>
      <c r="DH19" s="1202">
        <f t="shared" si="152"/>
        <v>0</v>
      </c>
      <c r="DI19" s="1202">
        <f t="shared" si="153"/>
        <v>0</v>
      </c>
      <c r="DJ19" s="1202">
        <f t="shared" si="154"/>
        <v>0</v>
      </c>
      <c r="DK19" s="1202">
        <f t="shared" si="155"/>
        <v>0</v>
      </c>
      <c r="DL19" s="1202">
        <f t="shared" si="156"/>
        <v>0</v>
      </c>
      <c r="DM19" s="1202">
        <f t="shared" si="157"/>
        <v>0</v>
      </c>
      <c r="DN19" s="1202">
        <f t="shared" si="158"/>
        <v>0</v>
      </c>
      <c r="DO19" s="1202">
        <f t="shared" si="159"/>
        <v>0</v>
      </c>
      <c r="DP19" s="1202">
        <f t="shared" si="160"/>
        <v>0</v>
      </c>
      <c r="DQ19" s="1202">
        <f t="shared" si="161"/>
        <v>0</v>
      </c>
      <c r="DR19" s="1202">
        <f t="shared" si="162"/>
        <v>0</v>
      </c>
      <c r="DS19" s="1202"/>
      <c r="DT19" s="1202">
        <f t="shared" si="163"/>
        <v>220.69270208063043</v>
      </c>
      <c r="DU19" s="1202">
        <f t="shared" si="164"/>
        <v>0</v>
      </c>
      <c r="DV19" s="1202">
        <f t="shared" si="165"/>
        <v>0</v>
      </c>
      <c r="DW19" s="1202">
        <f t="shared" si="166"/>
        <v>0</v>
      </c>
      <c r="DX19" s="1202">
        <f t="shared" si="167"/>
        <v>0</v>
      </c>
      <c r="DY19" s="1202">
        <f t="shared" si="168"/>
        <v>0</v>
      </c>
      <c r="DZ19" s="1202">
        <f t="shared" si="169"/>
        <v>0</v>
      </c>
      <c r="EA19" s="1202">
        <f t="shared" si="170"/>
        <v>0</v>
      </c>
      <c r="EB19" s="1202">
        <f t="shared" si="171"/>
        <v>0</v>
      </c>
      <c r="EC19" s="1202">
        <f t="shared" si="172"/>
        <v>0</v>
      </c>
      <c r="ED19" s="1202">
        <f t="shared" si="173"/>
        <v>0</v>
      </c>
      <c r="EE19" s="1202">
        <f t="shared" si="174"/>
        <v>0</v>
      </c>
      <c r="EF19" s="1202">
        <f t="shared" si="175"/>
        <v>0</v>
      </c>
      <c r="EG19" s="1202">
        <f t="shared" si="176"/>
        <v>0</v>
      </c>
      <c r="EH19" s="1202">
        <f t="shared" si="177"/>
        <v>0</v>
      </c>
      <c r="EI19" s="1202">
        <f t="shared" si="178"/>
        <v>0</v>
      </c>
      <c r="EJ19" s="1202">
        <f t="shared" si="179"/>
        <v>0</v>
      </c>
      <c r="EK19" s="1202">
        <f t="shared" si="180"/>
        <v>0</v>
      </c>
      <c r="EL19" s="1202">
        <f t="shared" si="181"/>
        <v>0</v>
      </c>
      <c r="EM19" s="1202">
        <f t="shared" si="182"/>
        <v>0</v>
      </c>
      <c r="EN19" s="1202">
        <f t="shared" si="183"/>
        <v>0</v>
      </c>
      <c r="EO19" s="1202">
        <f t="shared" si="184"/>
        <v>0</v>
      </c>
      <c r="EP19" s="1202">
        <f t="shared" si="185"/>
        <v>0</v>
      </c>
      <c r="EQ19" s="1202">
        <f t="shared" si="186"/>
        <v>0</v>
      </c>
      <c r="ER19" s="1202">
        <f t="shared" si="187"/>
        <v>0</v>
      </c>
      <c r="ES19" s="1202">
        <f t="shared" si="188"/>
        <v>0</v>
      </c>
      <c r="ET19" s="1202">
        <f t="shared" si="189"/>
        <v>0</v>
      </c>
      <c r="EU19" s="1202">
        <f t="shared" si="190"/>
        <v>0</v>
      </c>
      <c r="EV19" s="1202">
        <f t="shared" si="191"/>
        <v>0</v>
      </c>
      <c r="EW19" s="1202">
        <f t="shared" si="192"/>
        <v>0</v>
      </c>
      <c r="EX19" s="1202">
        <f t="shared" si="193"/>
        <v>0</v>
      </c>
      <c r="EY19" s="1202">
        <f t="shared" si="194"/>
        <v>0</v>
      </c>
      <c r="EZ19" s="1202">
        <f t="shared" si="195"/>
        <v>0</v>
      </c>
      <c r="FA19" s="1202">
        <f t="shared" si="196"/>
        <v>0</v>
      </c>
      <c r="FB19" s="1202">
        <f t="shared" si="197"/>
        <v>0</v>
      </c>
      <c r="FC19" s="1202">
        <f t="shared" si="198"/>
        <v>0</v>
      </c>
      <c r="FD19" s="1202">
        <f t="shared" si="199"/>
        <v>0</v>
      </c>
      <c r="FE19" s="1202">
        <f t="shared" si="200"/>
        <v>0</v>
      </c>
      <c r="FF19" s="1202">
        <f t="shared" si="201"/>
        <v>0</v>
      </c>
      <c r="FG19" s="1202">
        <f t="shared" si="202"/>
        <v>0</v>
      </c>
      <c r="FH19" s="1202">
        <f t="shared" si="203"/>
        <v>0</v>
      </c>
      <c r="FI19" s="1202">
        <f t="shared" si="204"/>
        <v>0</v>
      </c>
      <c r="FJ19" s="1202">
        <f t="shared" si="205"/>
        <v>0</v>
      </c>
      <c r="FK19" s="1202">
        <f t="shared" si="206"/>
        <v>0</v>
      </c>
      <c r="FL19" s="1202">
        <f t="shared" si="207"/>
        <v>0</v>
      </c>
      <c r="FM19" s="1202">
        <f t="shared" si="208"/>
        <v>0</v>
      </c>
      <c r="FN19" s="1202">
        <f t="shared" si="209"/>
        <v>0</v>
      </c>
      <c r="FO19" s="1202">
        <f t="shared" si="210"/>
        <v>0</v>
      </c>
      <c r="FP19" s="1202"/>
      <c r="FQ19" s="1202">
        <f t="shared" si="211"/>
        <v>181.57020404741874</v>
      </c>
      <c r="FR19" s="1202">
        <f t="shared" si="65"/>
        <v>0</v>
      </c>
      <c r="FS19" s="1202">
        <f t="shared" si="66"/>
        <v>0</v>
      </c>
      <c r="FT19" s="1202">
        <f t="shared" si="67"/>
        <v>0</v>
      </c>
      <c r="FU19" s="1202">
        <f t="shared" si="68"/>
        <v>0</v>
      </c>
      <c r="FV19" s="1202">
        <f t="shared" si="69"/>
        <v>0</v>
      </c>
      <c r="FW19" s="1202">
        <f t="shared" si="70"/>
        <v>0</v>
      </c>
      <c r="FX19" s="1202">
        <f t="shared" si="71"/>
        <v>0</v>
      </c>
      <c r="FY19" s="1202">
        <f t="shared" si="72"/>
        <v>0</v>
      </c>
      <c r="FZ19" s="1202">
        <f t="shared" si="73"/>
        <v>0</v>
      </c>
      <c r="GA19" s="1202">
        <f t="shared" si="74"/>
        <v>0</v>
      </c>
      <c r="GB19" s="1202">
        <f t="shared" si="75"/>
        <v>0</v>
      </c>
      <c r="GC19" s="1202">
        <f t="shared" si="76"/>
        <v>0</v>
      </c>
      <c r="GD19" s="1202">
        <f t="shared" si="77"/>
        <v>0</v>
      </c>
      <c r="GE19" s="1202">
        <f t="shared" si="78"/>
        <v>0</v>
      </c>
      <c r="GF19" s="1202">
        <f t="shared" si="79"/>
        <v>0</v>
      </c>
      <c r="GG19" s="1202">
        <f t="shared" si="80"/>
        <v>0</v>
      </c>
      <c r="GH19" s="1202">
        <f t="shared" si="81"/>
        <v>0</v>
      </c>
      <c r="GI19" s="1202">
        <f t="shared" si="82"/>
        <v>0</v>
      </c>
      <c r="GJ19" s="1202">
        <f t="shared" si="83"/>
        <v>0</v>
      </c>
      <c r="GK19" s="1202">
        <f t="shared" si="84"/>
        <v>0</v>
      </c>
      <c r="GL19" s="1202">
        <f t="shared" si="85"/>
        <v>0</v>
      </c>
      <c r="GM19" s="1202">
        <f t="shared" si="86"/>
        <v>0</v>
      </c>
      <c r="GN19" s="1202">
        <f t="shared" si="87"/>
        <v>0</v>
      </c>
      <c r="GO19" s="1202">
        <f t="shared" si="88"/>
        <v>0</v>
      </c>
      <c r="GP19" s="1202">
        <f t="shared" si="89"/>
        <v>0</v>
      </c>
      <c r="GQ19" s="1202">
        <f t="shared" si="90"/>
        <v>0</v>
      </c>
      <c r="GR19" s="1202">
        <f t="shared" si="91"/>
        <v>0</v>
      </c>
      <c r="GS19" s="1202">
        <f t="shared" si="92"/>
        <v>0</v>
      </c>
      <c r="GT19" s="1202">
        <f t="shared" si="93"/>
        <v>0</v>
      </c>
      <c r="GU19" s="1202">
        <f t="shared" si="94"/>
        <v>0</v>
      </c>
      <c r="GV19" s="1202">
        <f t="shared" si="95"/>
        <v>0</v>
      </c>
      <c r="GW19" s="1202">
        <f t="shared" si="96"/>
        <v>0</v>
      </c>
      <c r="GX19" s="1202">
        <f t="shared" si="97"/>
        <v>0</v>
      </c>
      <c r="GY19" s="1202">
        <f t="shared" si="98"/>
        <v>0</v>
      </c>
      <c r="GZ19" s="1202">
        <f t="shared" si="99"/>
        <v>0</v>
      </c>
      <c r="HA19" s="1202">
        <f t="shared" si="100"/>
        <v>0</v>
      </c>
      <c r="HB19" s="1202">
        <f t="shared" si="101"/>
        <v>0</v>
      </c>
      <c r="HC19" s="1202">
        <f t="shared" si="102"/>
        <v>0</v>
      </c>
      <c r="HD19" s="1202">
        <f t="shared" si="103"/>
        <v>0</v>
      </c>
      <c r="HE19" s="1202">
        <f t="shared" si="104"/>
        <v>0</v>
      </c>
      <c r="HF19" s="1202">
        <f t="shared" si="105"/>
        <v>0</v>
      </c>
      <c r="HG19" s="1202">
        <f t="shared" si="106"/>
        <v>0</v>
      </c>
      <c r="HH19" s="1202">
        <f t="shared" si="107"/>
        <v>0</v>
      </c>
      <c r="HI19" s="1202">
        <f t="shared" si="108"/>
        <v>0</v>
      </c>
      <c r="HJ19" s="1202">
        <f t="shared" si="109"/>
        <v>0</v>
      </c>
      <c r="HK19" s="1202">
        <f t="shared" si="110"/>
        <v>0</v>
      </c>
      <c r="HL19" s="1202">
        <f t="shared" si="111"/>
        <v>0</v>
      </c>
      <c r="HM19" s="1202"/>
      <c r="HN19" s="1202">
        <f t="shared" si="212"/>
        <v>0</v>
      </c>
      <c r="HO19" s="1202">
        <f t="shared" si="213"/>
        <v>0</v>
      </c>
      <c r="HP19" s="1202">
        <f t="shared" si="214"/>
        <v>0</v>
      </c>
      <c r="HQ19" s="1202">
        <f t="shared" si="215"/>
        <v>0</v>
      </c>
      <c r="HR19" s="1202">
        <f t="shared" si="216"/>
        <v>0</v>
      </c>
      <c r="HS19" s="1202">
        <f t="shared" si="217"/>
        <v>0</v>
      </c>
      <c r="HT19" s="1202">
        <f t="shared" si="218"/>
        <v>0</v>
      </c>
      <c r="HU19" s="1202">
        <f t="shared" si="219"/>
        <v>0</v>
      </c>
      <c r="HV19" s="1202">
        <f t="shared" si="220"/>
        <v>0</v>
      </c>
      <c r="HW19" s="1202">
        <f t="shared" si="221"/>
        <v>0</v>
      </c>
      <c r="HX19" s="1202">
        <f t="shared" si="222"/>
        <v>0</v>
      </c>
      <c r="HY19" s="1202">
        <f t="shared" si="223"/>
        <v>0</v>
      </c>
      <c r="HZ19" s="1202">
        <f t="shared" si="224"/>
        <v>0</v>
      </c>
      <c r="IA19" s="1202">
        <f t="shared" si="225"/>
        <v>0</v>
      </c>
      <c r="IB19" s="1202">
        <f t="shared" si="226"/>
        <v>0</v>
      </c>
      <c r="IC19" s="1202">
        <f t="shared" si="227"/>
        <v>0</v>
      </c>
      <c r="ID19" s="1202">
        <f t="shared" si="228"/>
        <v>0</v>
      </c>
      <c r="IE19" s="1202">
        <f t="shared" si="229"/>
        <v>0</v>
      </c>
      <c r="IF19" s="1202">
        <f t="shared" si="230"/>
        <v>0</v>
      </c>
      <c r="IG19" s="1202">
        <f t="shared" si="231"/>
        <v>0</v>
      </c>
      <c r="IH19" s="1202">
        <f t="shared" si="232"/>
        <v>0</v>
      </c>
      <c r="II19" s="1202">
        <f t="shared" si="233"/>
        <v>0</v>
      </c>
      <c r="IJ19" s="1202">
        <f t="shared" si="234"/>
        <v>0</v>
      </c>
      <c r="IK19" s="1202">
        <f t="shared" si="235"/>
        <v>0</v>
      </c>
      <c r="IL19" s="1202">
        <f t="shared" si="236"/>
        <v>0</v>
      </c>
      <c r="IM19" s="1202">
        <f t="shared" si="237"/>
        <v>0</v>
      </c>
      <c r="IN19" s="1202">
        <f t="shared" si="238"/>
        <v>0</v>
      </c>
      <c r="IO19" s="1202">
        <f t="shared" si="239"/>
        <v>0</v>
      </c>
      <c r="IP19" s="1202">
        <f t="shared" si="240"/>
        <v>0</v>
      </c>
      <c r="IQ19" s="1202">
        <f t="shared" si="241"/>
        <v>0</v>
      </c>
      <c r="IR19" s="1202">
        <f t="shared" si="242"/>
        <v>0</v>
      </c>
      <c r="IS19" s="1202">
        <f t="shared" si="243"/>
        <v>0</v>
      </c>
      <c r="IT19" s="1202">
        <f t="shared" si="244"/>
        <v>0</v>
      </c>
      <c r="IU19" s="1202">
        <f t="shared" si="245"/>
        <v>0</v>
      </c>
      <c r="IV19" s="1202">
        <f t="shared" si="246"/>
        <v>0</v>
      </c>
      <c r="IW19" s="1202">
        <f t="shared" si="247"/>
        <v>0</v>
      </c>
      <c r="IX19" s="1202">
        <f t="shared" si="248"/>
        <v>0</v>
      </c>
      <c r="IY19" s="1202">
        <f t="shared" si="249"/>
        <v>0</v>
      </c>
      <c r="IZ19" s="1202">
        <f t="shared" si="250"/>
        <v>0</v>
      </c>
      <c r="JA19" s="1202">
        <f t="shared" si="251"/>
        <v>0</v>
      </c>
      <c r="JB19" s="1202">
        <f t="shared" si="252"/>
        <v>0</v>
      </c>
      <c r="JC19" s="1202">
        <f t="shared" si="253"/>
        <v>0</v>
      </c>
      <c r="JD19" s="1202">
        <f t="shared" si="254"/>
        <v>0</v>
      </c>
      <c r="JE19" s="1202">
        <f t="shared" si="255"/>
        <v>0</v>
      </c>
      <c r="JF19" s="1202">
        <f t="shared" si="256"/>
        <v>0</v>
      </c>
      <c r="JG19" s="1202">
        <f t="shared" si="257"/>
        <v>0</v>
      </c>
      <c r="JH19" s="1202">
        <f t="shared" si="258"/>
        <v>0</v>
      </c>
      <c r="JI19" s="1202">
        <f t="shared" si="259"/>
        <v>0</v>
      </c>
      <c r="JJ19" s="1202"/>
      <c r="JK19" s="1202">
        <f t="shared" si="260"/>
        <v>0</v>
      </c>
      <c r="JL19" s="1202">
        <f t="shared" si="261"/>
        <v>0</v>
      </c>
      <c r="JM19" s="1202">
        <f t="shared" si="262"/>
        <v>0</v>
      </c>
      <c r="JN19" s="1202">
        <f t="shared" si="263"/>
        <v>0</v>
      </c>
      <c r="JO19" s="1202">
        <f t="shared" si="264"/>
        <v>0</v>
      </c>
      <c r="JP19" s="1202">
        <f t="shared" si="265"/>
        <v>0</v>
      </c>
      <c r="JQ19" s="1202">
        <f t="shared" si="266"/>
        <v>0</v>
      </c>
      <c r="JR19" s="1202">
        <f t="shared" si="267"/>
        <v>0</v>
      </c>
      <c r="JS19" s="1202">
        <f t="shared" si="268"/>
        <v>0</v>
      </c>
      <c r="JT19" s="1202">
        <f t="shared" si="269"/>
        <v>0</v>
      </c>
      <c r="JU19" s="1202">
        <f t="shared" si="270"/>
        <v>0</v>
      </c>
      <c r="JV19" s="1202">
        <f t="shared" si="271"/>
        <v>0</v>
      </c>
      <c r="JW19" s="1202">
        <f t="shared" si="272"/>
        <v>0</v>
      </c>
      <c r="JX19" s="1202">
        <f t="shared" si="273"/>
        <v>0</v>
      </c>
      <c r="JY19" s="1202">
        <f t="shared" si="274"/>
        <v>0</v>
      </c>
      <c r="JZ19" s="1202">
        <f t="shared" si="275"/>
        <v>0</v>
      </c>
      <c r="KA19" s="1202">
        <f t="shared" si="276"/>
        <v>0</v>
      </c>
      <c r="KB19" s="1202">
        <f t="shared" si="277"/>
        <v>0</v>
      </c>
      <c r="KC19" s="1202">
        <f t="shared" si="278"/>
        <v>0</v>
      </c>
      <c r="KD19" s="1202">
        <f t="shared" si="279"/>
        <v>0</v>
      </c>
      <c r="KE19" s="1202">
        <f t="shared" si="280"/>
        <v>0</v>
      </c>
      <c r="KF19" s="1202">
        <f t="shared" si="281"/>
        <v>0</v>
      </c>
      <c r="KG19" s="1202">
        <f t="shared" si="282"/>
        <v>0</v>
      </c>
      <c r="KH19" s="1202">
        <f t="shared" si="283"/>
        <v>0</v>
      </c>
      <c r="KI19" s="1202">
        <f t="shared" si="284"/>
        <v>0</v>
      </c>
      <c r="KJ19" s="1202">
        <f t="shared" si="285"/>
        <v>0</v>
      </c>
      <c r="KK19" s="1202">
        <f t="shared" si="286"/>
        <v>0</v>
      </c>
      <c r="KL19" s="1202">
        <f t="shared" si="287"/>
        <v>0</v>
      </c>
      <c r="KM19" s="1202">
        <f t="shared" si="288"/>
        <v>0</v>
      </c>
      <c r="KN19" s="1202">
        <f t="shared" si="289"/>
        <v>0</v>
      </c>
      <c r="KO19" s="1202">
        <f t="shared" si="290"/>
        <v>0</v>
      </c>
      <c r="KP19" s="1202">
        <f t="shared" si="291"/>
        <v>0</v>
      </c>
      <c r="KQ19" s="1202">
        <f t="shared" si="292"/>
        <v>0</v>
      </c>
      <c r="KR19" s="1202">
        <f t="shared" si="293"/>
        <v>0</v>
      </c>
      <c r="KS19" s="1202">
        <f t="shared" si="294"/>
        <v>0</v>
      </c>
      <c r="KT19" s="1202">
        <f t="shared" si="295"/>
        <v>0</v>
      </c>
      <c r="KU19" s="1202">
        <f t="shared" si="296"/>
        <v>0</v>
      </c>
      <c r="KV19" s="1202">
        <f t="shared" si="297"/>
        <v>0</v>
      </c>
      <c r="KW19" s="1202">
        <f t="shared" si="298"/>
        <v>0</v>
      </c>
      <c r="KX19" s="1202">
        <f t="shared" si="299"/>
        <v>0</v>
      </c>
      <c r="KY19" s="1202">
        <f t="shared" si="300"/>
        <v>0</v>
      </c>
      <c r="KZ19" s="1202">
        <f t="shared" si="301"/>
        <v>0</v>
      </c>
      <c r="LA19" s="1202">
        <f t="shared" si="302"/>
        <v>0</v>
      </c>
      <c r="LB19" s="1202">
        <f t="shared" si="303"/>
        <v>0</v>
      </c>
      <c r="LC19" s="1202">
        <f t="shared" si="304"/>
        <v>0</v>
      </c>
      <c r="LD19" s="1202">
        <f t="shared" si="305"/>
        <v>0</v>
      </c>
      <c r="LE19" s="1202">
        <f t="shared" si="306"/>
        <v>0</v>
      </c>
      <c r="LF19" s="1202">
        <f t="shared" si="307"/>
        <v>0</v>
      </c>
      <c r="LG19" s="1202"/>
    </row>
    <row r="20" spans="2:319" s="814" customFormat="1" ht="15" customHeight="1">
      <c r="B20" s="693" t="s">
        <v>1326</v>
      </c>
      <c r="C20" s="694"/>
      <c r="D20" s="1096"/>
      <c r="E20" s="695">
        <v>3</v>
      </c>
      <c r="F20" s="1523" t="s">
        <v>4632</v>
      </c>
      <c r="G20" s="697"/>
      <c r="H20" s="698"/>
      <c r="I20" s="699"/>
      <c r="J20" s="700">
        <f>SUBTOTAL(9,J21:J22)</f>
        <v>108058.10295671903</v>
      </c>
      <c r="K20" s="855">
        <f>+H20/L20/Datos!$N$40</f>
        <v>0</v>
      </c>
      <c r="L20" s="856">
        <f t="shared" si="6"/>
        <v>1</v>
      </c>
      <c r="M20" s="857"/>
      <c r="N20" s="858"/>
      <c r="O20" s="1156">
        <f>+IF(C20&lt;&gt;"",VLOOKUP(C20,'AUX-NIV1'!B:AO,40,FALSE)*H20,0)</f>
        <v>0</v>
      </c>
      <c r="P20" s="815" t="str">
        <f t="shared" si="62"/>
        <v/>
      </c>
      <c r="Q20" s="859">
        <f>SUM(Q22)</f>
        <v>0</v>
      </c>
      <c r="R20" s="860">
        <f t="shared" ref="R20:AE20" si="309">SUM(R22)</f>
        <v>1</v>
      </c>
      <c r="S20" s="860">
        <f t="shared" si="309"/>
        <v>0</v>
      </c>
      <c r="T20" s="860">
        <f t="shared" si="309"/>
        <v>0</v>
      </c>
      <c r="U20" s="860">
        <f t="shared" si="309"/>
        <v>0</v>
      </c>
      <c r="V20" s="860">
        <f t="shared" si="309"/>
        <v>0</v>
      </c>
      <c r="W20" s="860">
        <f t="shared" si="309"/>
        <v>0</v>
      </c>
      <c r="X20" s="860">
        <f t="shared" si="309"/>
        <v>0</v>
      </c>
      <c r="Y20" s="860">
        <f t="shared" si="309"/>
        <v>0</v>
      </c>
      <c r="Z20" s="860">
        <f t="shared" si="309"/>
        <v>0</v>
      </c>
      <c r="AA20" s="860">
        <f t="shared" si="309"/>
        <v>0</v>
      </c>
      <c r="AB20" s="860">
        <f t="shared" si="309"/>
        <v>0</v>
      </c>
      <c r="AC20" s="860">
        <f t="shared" si="309"/>
        <v>0</v>
      </c>
      <c r="AD20" s="860">
        <f t="shared" si="309"/>
        <v>0</v>
      </c>
      <c r="AE20" s="860">
        <f t="shared" si="309"/>
        <v>0</v>
      </c>
      <c r="AF20" s="860">
        <f t="shared" si="10"/>
        <v>0</v>
      </c>
      <c r="AG20" s="860">
        <f t="shared" si="10"/>
        <v>0</v>
      </c>
      <c r="AH20" s="860">
        <f t="shared" si="11"/>
        <v>0</v>
      </c>
      <c r="AI20" s="860">
        <f t="shared" si="11"/>
        <v>0</v>
      </c>
      <c r="AJ20" s="860">
        <f t="shared" si="11"/>
        <v>0</v>
      </c>
      <c r="AK20" s="860">
        <f t="shared" si="11"/>
        <v>0</v>
      </c>
      <c r="AL20" s="860">
        <f t="shared" si="11"/>
        <v>0</v>
      </c>
      <c r="AM20" s="860">
        <f t="shared" si="11"/>
        <v>0</v>
      </c>
      <c r="AN20" s="860">
        <f t="shared" si="11"/>
        <v>0</v>
      </c>
      <c r="AO20" s="860">
        <f t="shared" si="11"/>
        <v>0</v>
      </c>
      <c r="AP20" s="860">
        <f t="shared" si="11"/>
        <v>0</v>
      </c>
      <c r="AQ20" s="860">
        <f t="shared" si="11"/>
        <v>0</v>
      </c>
      <c r="AR20" s="860">
        <f t="shared" si="11"/>
        <v>0</v>
      </c>
      <c r="AS20" s="860">
        <f t="shared" si="11"/>
        <v>0</v>
      </c>
      <c r="AT20" s="860">
        <f t="shared" si="11"/>
        <v>0</v>
      </c>
      <c r="AU20" s="860">
        <f t="shared" si="11"/>
        <v>0</v>
      </c>
      <c r="AV20" s="860">
        <f t="shared" si="11"/>
        <v>0</v>
      </c>
      <c r="AW20" s="860">
        <f t="shared" si="11"/>
        <v>0</v>
      </c>
      <c r="AX20" s="860">
        <f t="shared" si="12"/>
        <v>0</v>
      </c>
      <c r="AY20" s="860">
        <f t="shared" si="12"/>
        <v>0</v>
      </c>
      <c r="AZ20" s="860">
        <f t="shared" si="12"/>
        <v>0</v>
      </c>
      <c r="BA20" s="860">
        <f t="shared" si="12"/>
        <v>0</v>
      </c>
      <c r="BB20" s="860">
        <f t="shared" si="12"/>
        <v>0</v>
      </c>
      <c r="BC20" s="860">
        <f t="shared" si="12"/>
        <v>0</v>
      </c>
      <c r="BD20" s="860">
        <f t="shared" si="12"/>
        <v>0</v>
      </c>
      <c r="BE20" s="860">
        <f t="shared" si="12"/>
        <v>0</v>
      </c>
      <c r="BF20" s="860">
        <f t="shared" si="12"/>
        <v>0</v>
      </c>
      <c r="BG20" s="860">
        <f t="shared" si="12"/>
        <v>0</v>
      </c>
      <c r="BH20" s="860">
        <f t="shared" si="12"/>
        <v>0</v>
      </c>
      <c r="BI20" s="860">
        <f t="shared" si="12"/>
        <v>0</v>
      </c>
      <c r="BJ20" s="860">
        <f t="shared" si="12"/>
        <v>0</v>
      </c>
      <c r="BK20" s="860">
        <f t="shared" si="12"/>
        <v>0</v>
      </c>
      <c r="BL20" s="860">
        <f t="shared" si="12"/>
        <v>0</v>
      </c>
      <c r="BM20" s="860">
        <f t="shared" si="12"/>
        <v>0</v>
      </c>
      <c r="BN20" s="816"/>
      <c r="BP20" s="1203"/>
      <c r="BQ20" s="1203"/>
      <c r="BR20" s="1203"/>
      <c r="BS20" s="1203"/>
      <c r="BT20" s="1203"/>
      <c r="BU20" s="1203"/>
      <c r="BW20" s="814">
        <f t="shared" si="115"/>
        <v>0</v>
      </c>
      <c r="BX20" s="814">
        <f t="shared" si="116"/>
        <v>0</v>
      </c>
      <c r="BY20" s="814">
        <f t="shared" si="117"/>
        <v>0</v>
      </c>
      <c r="BZ20" s="814">
        <f t="shared" si="118"/>
        <v>0</v>
      </c>
      <c r="CA20" s="814">
        <f t="shared" si="119"/>
        <v>0</v>
      </c>
      <c r="CB20" s="814">
        <f t="shared" si="120"/>
        <v>0</v>
      </c>
      <c r="CC20" s="814">
        <f t="shared" si="121"/>
        <v>0</v>
      </c>
      <c r="CD20" s="814">
        <f t="shared" si="122"/>
        <v>0</v>
      </c>
      <c r="CE20" s="814">
        <f t="shared" si="123"/>
        <v>0</v>
      </c>
      <c r="CF20" s="814">
        <f t="shared" si="124"/>
        <v>0</v>
      </c>
      <c r="CG20" s="814">
        <f t="shared" si="125"/>
        <v>0</v>
      </c>
      <c r="CH20" s="814">
        <f t="shared" si="126"/>
        <v>0</v>
      </c>
      <c r="CI20" s="814">
        <f t="shared" si="127"/>
        <v>0</v>
      </c>
      <c r="CJ20" s="814">
        <f t="shared" si="128"/>
        <v>0</v>
      </c>
      <c r="CK20" s="814">
        <f t="shared" si="129"/>
        <v>0</v>
      </c>
      <c r="CL20" s="814">
        <f t="shared" si="130"/>
        <v>0</v>
      </c>
      <c r="CM20" s="814">
        <f t="shared" si="131"/>
        <v>0</v>
      </c>
      <c r="CN20" s="814">
        <f t="shared" si="132"/>
        <v>0</v>
      </c>
      <c r="CO20" s="814">
        <f t="shared" si="133"/>
        <v>0</v>
      </c>
      <c r="CP20" s="814">
        <f t="shared" si="134"/>
        <v>0</v>
      </c>
      <c r="CQ20" s="814">
        <f t="shared" si="135"/>
        <v>0</v>
      </c>
      <c r="CR20" s="814">
        <f t="shared" si="136"/>
        <v>0</v>
      </c>
      <c r="CS20" s="814">
        <f t="shared" si="137"/>
        <v>0</v>
      </c>
      <c r="CT20" s="814">
        <f t="shared" si="138"/>
        <v>0</v>
      </c>
      <c r="CU20" s="814">
        <f t="shared" si="139"/>
        <v>0</v>
      </c>
      <c r="CV20" s="814">
        <f t="shared" si="140"/>
        <v>0</v>
      </c>
      <c r="CW20" s="814">
        <f t="shared" si="141"/>
        <v>0</v>
      </c>
      <c r="CX20" s="814">
        <f t="shared" si="142"/>
        <v>0</v>
      </c>
      <c r="CY20" s="814">
        <f t="shared" si="143"/>
        <v>0</v>
      </c>
      <c r="CZ20" s="814">
        <f t="shared" si="144"/>
        <v>0</v>
      </c>
      <c r="DA20" s="814">
        <f t="shared" si="145"/>
        <v>0</v>
      </c>
      <c r="DB20" s="814">
        <f t="shared" si="146"/>
        <v>0</v>
      </c>
      <c r="DC20" s="814">
        <f t="shared" si="147"/>
        <v>0</v>
      </c>
      <c r="DD20" s="814">
        <f t="shared" si="148"/>
        <v>0</v>
      </c>
      <c r="DE20" s="814">
        <f t="shared" si="149"/>
        <v>0</v>
      </c>
      <c r="DF20" s="814">
        <f t="shared" si="150"/>
        <v>0</v>
      </c>
      <c r="DG20" s="814">
        <f t="shared" si="151"/>
        <v>0</v>
      </c>
      <c r="DH20" s="814">
        <f t="shared" si="152"/>
        <v>0</v>
      </c>
      <c r="DI20" s="814">
        <f t="shared" si="153"/>
        <v>0</v>
      </c>
      <c r="DJ20" s="814">
        <f t="shared" si="154"/>
        <v>0</v>
      </c>
      <c r="DK20" s="814">
        <f t="shared" si="155"/>
        <v>0</v>
      </c>
      <c r="DL20" s="814">
        <f t="shared" si="156"/>
        <v>0</v>
      </c>
      <c r="DM20" s="814">
        <f t="shared" si="157"/>
        <v>0</v>
      </c>
      <c r="DN20" s="814">
        <f t="shared" si="158"/>
        <v>0</v>
      </c>
      <c r="DO20" s="814">
        <f t="shared" si="159"/>
        <v>0</v>
      </c>
      <c r="DP20" s="814">
        <f t="shared" si="160"/>
        <v>0</v>
      </c>
      <c r="DQ20" s="814">
        <f t="shared" si="161"/>
        <v>0</v>
      </c>
      <c r="DR20" s="814">
        <f t="shared" si="162"/>
        <v>0</v>
      </c>
      <c r="DT20" s="814">
        <f t="shared" si="163"/>
        <v>0</v>
      </c>
      <c r="DU20" s="814">
        <f t="shared" si="164"/>
        <v>0</v>
      </c>
      <c r="DV20" s="814">
        <f t="shared" si="165"/>
        <v>0</v>
      </c>
      <c r="DW20" s="814">
        <f t="shared" si="166"/>
        <v>0</v>
      </c>
      <c r="DX20" s="814">
        <f t="shared" si="167"/>
        <v>0</v>
      </c>
      <c r="DY20" s="814">
        <f t="shared" si="168"/>
        <v>0</v>
      </c>
      <c r="DZ20" s="814">
        <f t="shared" si="169"/>
        <v>0</v>
      </c>
      <c r="EA20" s="814">
        <f t="shared" si="170"/>
        <v>0</v>
      </c>
      <c r="EB20" s="814">
        <f t="shared" si="171"/>
        <v>0</v>
      </c>
      <c r="EC20" s="814">
        <f t="shared" si="172"/>
        <v>0</v>
      </c>
      <c r="ED20" s="814">
        <f t="shared" si="173"/>
        <v>0</v>
      </c>
      <c r="EE20" s="814">
        <f t="shared" si="174"/>
        <v>0</v>
      </c>
      <c r="EF20" s="814">
        <f t="shared" si="175"/>
        <v>0</v>
      </c>
      <c r="EG20" s="814">
        <f t="shared" si="176"/>
        <v>0</v>
      </c>
      <c r="EH20" s="814">
        <f t="shared" si="177"/>
        <v>0</v>
      </c>
      <c r="EI20" s="814">
        <f t="shared" si="178"/>
        <v>0</v>
      </c>
      <c r="EJ20" s="814">
        <f t="shared" si="179"/>
        <v>0</v>
      </c>
      <c r="EK20" s="814">
        <f t="shared" si="180"/>
        <v>0</v>
      </c>
      <c r="EL20" s="814">
        <f t="shared" si="181"/>
        <v>0</v>
      </c>
      <c r="EM20" s="814">
        <f t="shared" si="182"/>
        <v>0</v>
      </c>
      <c r="EN20" s="814">
        <f t="shared" si="183"/>
        <v>0</v>
      </c>
      <c r="EO20" s="814">
        <f t="shared" si="184"/>
        <v>0</v>
      </c>
      <c r="EP20" s="814">
        <f t="shared" si="185"/>
        <v>0</v>
      </c>
      <c r="EQ20" s="814">
        <f t="shared" si="186"/>
        <v>0</v>
      </c>
      <c r="ER20" s="814">
        <f t="shared" si="187"/>
        <v>0</v>
      </c>
      <c r="ES20" s="814">
        <f t="shared" si="188"/>
        <v>0</v>
      </c>
      <c r="ET20" s="814">
        <f t="shared" si="189"/>
        <v>0</v>
      </c>
      <c r="EU20" s="814">
        <f t="shared" si="190"/>
        <v>0</v>
      </c>
      <c r="EV20" s="814">
        <f t="shared" si="191"/>
        <v>0</v>
      </c>
      <c r="EW20" s="814">
        <f t="shared" si="192"/>
        <v>0</v>
      </c>
      <c r="EX20" s="814">
        <f t="shared" si="193"/>
        <v>0</v>
      </c>
      <c r="EY20" s="814">
        <f t="shared" si="194"/>
        <v>0</v>
      </c>
      <c r="EZ20" s="814">
        <f t="shared" si="195"/>
        <v>0</v>
      </c>
      <c r="FA20" s="814">
        <f t="shared" si="196"/>
        <v>0</v>
      </c>
      <c r="FB20" s="814">
        <f t="shared" si="197"/>
        <v>0</v>
      </c>
      <c r="FC20" s="814">
        <f t="shared" si="198"/>
        <v>0</v>
      </c>
      <c r="FD20" s="814">
        <f t="shared" si="199"/>
        <v>0</v>
      </c>
      <c r="FE20" s="814">
        <f t="shared" si="200"/>
        <v>0</v>
      </c>
      <c r="FF20" s="814">
        <f t="shared" si="201"/>
        <v>0</v>
      </c>
      <c r="FG20" s="814">
        <f t="shared" si="202"/>
        <v>0</v>
      </c>
      <c r="FH20" s="814">
        <f t="shared" si="203"/>
        <v>0</v>
      </c>
      <c r="FI20" s="814">
        <f t="shared" si="204"/>
        <v>0</v>
      </c>
      <c r="FJ20" s="814">
        <f t="shared" si="205"/>
        <v>0</v>
      </c>
      <c r="FK20" s="814">
        <f t="shared" si="206"/>
        <v>0</v>
      </c>
      <c r="FL20" s="814">
        <f t="shared" si="207"/>
        <v>0</v>
      </c>
      <c r="FM20" s="814">
        <f t="shared" si="208"/>
        <v>0</v>
      </c>
      <c r="FN20" s="814">
        <f t="shared" si="209"/>
        <v>0</v>
      </c>
      <c r="FO20" s="814">
        <f t="shared" si="210"/>
        <v>0</v>
      </c>
      <c r="FQ20" s="814">
        <f t="shared" si="211"/>
        <v>0</v>
      </c>
      <c r="FR20" s="814">
        <f t="shared" si="65"/>
        <v>0</v>
      </c>
      <c r="FS20" s="814">
        <f t="shared" si="66"/>
        <v>0</v>
      </c>
      <c r="FT20" s="814">
        <f t="shared" si="67"/>
        <v>0</v>
      </c>
      <c r="FU20" s="814">
        <f t="shared" si="68"/>
        <v>0</v>
      </c>
      <c r="FV20" s="814">
        <f t="shared" si="69"/>
        <v>0</v>
      </c>
      <c r="FW20" s="814">
        <f t="shared" si="70"/>
        <v>0</v>
      </c>
      <c r="FX20" s="814">
        <f t="shared" si="71"/>
        <v>0</v>
      </c>
      <c r="FY20" s="814">
        <f t="shared" si="72"/>
        <v>0</v>
      </c>
      <c r="FZ20" s="814">
        <f t="shared" si="73"/>
        <v>0</v>
      </c>
      <c r="GA20" s="814">
        <f t="shared" si="74"/>
        <v>0</v>
      </c>
      <c r="GB20" s="814">
        <f t="shared" si="75"/>
        <v>0</v>
      </c>
      <c r="GC20" s="814">
        <f t="shared" si="76"/>
        <v>0</v>
      </c>
      <c r="GD20" s="814">
        <f t="shared" si="77"/>
        <v>0</v>
      </c>
      <c r="GE20" s="814">
        <f t="shared" si="78"/>
        <v>0</v>
      </c>
      <c r="GF20" s="814">
        <f t="shared" si="79"/>
        <v>0</v>
      </c>
      <c r="GG20" s="814">
        <f t="shared" si="80"/>
        <v>0</v>
      </c>
      <c r="GH20" s="814">
        <f t="shared" si="81"/>
        <v>0</v>
      </c>
      <c r="GI20" s="814">
        <f t="shared" si="82"/>
        <v>0</v>
      </c>
      <c r="GJ20" s="814">
        <f t="shared" si="83"/>
        <v>0</v>
      </c>
      <c r="GK20" s="814">
        <f t="shared" si="84"/>
        <v>0</v>
      </c>
      <c r="GL20" s="814">
        <f t="shared" si="85"/>
        <v>0</v>
      </c>
      <c r="GM20" s="814">
        <f t="shared" si="86"/>
        <v>0</v>
      </c>
      <c r="GN20" s="814">
        <f t="shared" si="87"/>
        <v>0</v>
      </c>
      <c r="GO20" s="814">
        <f t="shared" si="88"/>
        <v>0</v>
      </c>
      <c r="GP20" s="814">
        <f t="shared" si="89"/>
        <v>0</v>
      </c>
      <c r="GQ20" s="814">
        <f t="shared" si="90"/>
        <v>0</v>
      </c>
      <c r="GR20" s="814">
        <f t="shared" si="91"/>
        <v>0</v>
      </c>
      <c r="GS20" s="814">
        <f t="shared" si="92"/>
        <v>0</v>
      </c>
      <c r="GT20" s="814">
        <f t="shared" si="93"/>
        <v>0</v>
      </c>
      <c r="GU20" s="814">
        <f t="shared" si="94"/>
        <v>0</v>
      </c>
      <c r="GV20" s="814">
        <f t="shared" si="95"/>
        <v>0</v>
      </c>
      <c r="GW20" s="814">
        <f t="shared" si="96"/>
        <v>0</v>
      </c>
      <c r="GX20" s="814">
        <f t="shared" si="97"/>
        <v>0</v>
      </c>
      <c r="GY20" s="814">
        <f t="shared" si="98"/>
        <v>0</v>
      </c>
      <c r="GZ20" s="814">
        <f t="shared" si="99"/>
        <v>0</v>
      </c>
      <c r="HA20" s="814">
        <f t="shared" si="100"/>
        <v>0</v>
      </c>
      <c r="HB20" s="814">
        <f t="shared" si="101"/>
        <v>0</v>
      </c>
      <c r="HC20" s="814">
        <f t="shared" si="102"/>
        <v>0</v>
      </c>
      <c r="HD20" s="814">
        <f t="shared" si="103"/>
        <v>0</v>
      </c>
      <c r="HE20" s="814">
        <f t="shared" si="104"/>
        <v>0</v>
      </c>
      <c r="HF20" s="814">
        <f t="shared" si="105"/>
        <v>0</v>
      </c>
      <c r="HG20" s="814">
        <f t="shared" si="106"/>
        <v>0</v>
      </c>
      <c r="HH20" s="814">
        <f t="shared" si="107"/>
        <v>0</v>
      </c>
      <c r="HI20" s="814">
        <f t="shared" si="108"/>
        <v>0</v>
      </c>
      <c r="HJ20" s="814">
        <f t="shared" si="109"/>
        <v>0</v>
      </c>
      <c r="HK20" s="814">
        <f t="shared" si="110"/>
        <v>0</v>
      </c>
      <c r="HL20" s="814">
        <f t="shared" si="111"/>
        <v>0</v>
      </c>
      <c r="HN20" s="814">
        <f t="shared" si="212"/>
        <v>0</v>
      </c>
      <c r="HO20" s="814">
        <f t="shared" si="213"/>
        <v>0</v>
      </c>
      <c r="HP20" s="814">
        <f t="shared" si="214"/>
        <v>0</v>
      </c>
      <c r="HQ20" s="814">
        <f t="shared" si="215"/>
        <v>0</v>
      </c>
      <c r="HR20" s="814">
        <f t="shared" si="216"/>
        <v>0</v>
      </c>
      <c r="HS20" s="814">
        <f t="shared" si="217"/>
        <v>0</v>
      </c>
      <c r="HT20" s="814">
        <f t="shared" si="218"/>
        <v>0</v>
      </c>
      <c r="HU20" s="814">
        <f t="shared" si="219"/>
        <v>0</v>
      </c>
      <c r="HV20" s="814">
        <f t="shared" si="220"/>
        <v>0</v>
      </c>
      <c r="HW20" s="814">
        <f t="shared" si="221"/>
        <v>0</v>
      </c>
      <c r="HX20" s="814">
        <f t="shared" si="222"/>
        <v>0</v>
      </c>
      <c r="HY20" s="814">
        <f t="shared" si="223"/>
        <v>0</v>
      </c>
      <c r="HZ20" s="814">
        <f t="shared" si="224"/>
        <v>0</v>
      </c>
      <c r="IA20" s="814">
        <f t="shared" si="225"/>
        <v>0</v>
      </c>
      <c r="IB20" s="814">
        <f t="shared" si="226"/>
        <v>0</v>
      </c>
      <c r="IC20" s="814">
        <f t="shared" si="227"/>
        <v>0</v>
      </c>
      <c r="ID20" s="814">
        <f t="shared" si="228"/>
        <v>0</v>
      </c>
      <c r="IE20" s="814">
        <f t="shared" si="229"/>
        <v>0</v>
      </c>
      <c r="IF20" s="814">
        <f t="shared" si="230"/>
        <v>0</v>
      </c>
      <c r="IG20" s="814">
        <f t="shared" si="231"/>
        <v>0</v>
      </c>
      <c r="IH20" s="814">
        <f t="shared" si="232"/>
        <v>0</v>
      </c>
      <c r="II20" s="814">
        <f t="shared" si="233"/>
        <v>0</v>
      </c>
      <c r="IJ20" s="814">
        <f t="shared" si="234"/>
        <v>0</v>
      </c>
      <c r="IK20" s="814">
        <f t="shared" si="235"/>
        <v>0</v>
      </c>
      <c r="IL20" s="814">
        <f t="shared" si="236"/>
        <v>0</v>
      </c>
      <c r="IM20" s="814">
        <f t="shared" si="237"/>
        <v>0</v>
      </c>
      <c r="IN20" s="814">
        <f t="shared" si="238"/>
        <v>0</v>
      </c>
      <c r="IO20" s="814">
        <f t="shared" si="239"/>
        <v>0</v>
      </c>
      <c r="IP20" s="814">
        <f t="shared" si="240"/>
        <v>0</v>
      </c>
      <c r="IQ20" s="814">
        <f t="shared" si="241"/>
        <v>0</v>
      </c>
      <c r="IR20" s="814">
        <f t="shared" si="242"/>
        <v>0</v>
      </c>
      <c r="IS20" s="814">
        <f t="shared" si="243"/>
        <v>0</v>
      </c>
      <c r="IT20" s="814">
        <f t="shared" si="244"/>
        <v>0</v>
      </c>
      <c r="IU20" s="814">
        <f t="shared" si="245"/>
        <v>0</v>
      </c>
      <c r="IV20" s="814">
        <f t="shared" si="246"/>
        <v>0</v>
      </c>
      <c r="IW20" s="814">
        <f t="shared" si="247"/>
        <v>0</v>
      </c>
      <c r="IX20" s="814">
        <f t="shared" si="248"/>
        <v>0</v>
      </c>
      <c r="IY20" s="814">
        <f t="shared" si="249"/>
        <v>0</v>
      </c>
      <c r="IZ20" s="814">
        <f t="shared" si="250"/>
        <v>0</v>
      </c>
      <c r="JA20" s="814">
        <f t="shared" si="251"/>
        <v>0</v>
      </c>
      <c r="JB20" s="814">
        <f t="shared" si="252"/>
        <v>0</v>
      </c>
      <c r="JC20" s="814">
        <f t="shared" si="253"/>
        <v>0</v>
      </c>
      <c r="JD20" s="814">
        <f t="shared" si="254"/>
        <v>0</v>
      </c>
      <c r="JE20" s="814">
        <f t="shared" si="255"/>
        <v>0</v>
      </c>
      <c r="JF20" s="814">
        <f t="shared" si="256"/>
        <v>0</v>
      </c>
      <c r="JG20" s="814">
        <f t="shared" si="257"/>
        <v>0</v>
      </c>
      <c r="JH20" s="814">
        <f t="shared" si="258"/>
        <v>0</v>
      </c>
      <c r="JI20" s="814">
        <f t="shared" si="259"/>
        <v>0</v>
      </c>
      <c r="JK20" s="814">
        <f t="shared" si="260"/>
        <v>0</v>
      </c>
      <c r="JL20" s="814">
        <f t="shared" si="261"/>
        <v>0</v>
      </c>
      <c r="JM20" s="814">
        <f t="shared" si="262"/>
        <v>0</v>
      </c>
      <c r="JN20" s="814">
        <f t="shared" si="263"/>
        <v>0</v>
      </c>
      <c r="JO20" s="814">
        <f t="shared" si="264"/>
        <v>0</v>
      </c>
      <c r="JP20" s="814">
        <f t="shared" si="265"/>
        <v>0</v>
      </c>
      <c r="JQ20" s="814">
        <f t="shared" si="266"/>
        <v>0</v>
      </c>
      <c r="JR20" s="814">
        <f t="shared" si="267"/>
        <v>0</v>
      </c>
      <c r="JS20" s="814">
        <f t="shared" si="268"/>
        <v>0</v>
      </c>
      <c r="JT20" s="814">
        <f t="shared" si="269"/>
        <v>0</v>
      </c>
      <c r="JU20" s="814">
        <f t="shared" si="270"/>
        <v>0</v>
      </c>
      <c r="JV20" s="814">
        <f t="shared" si="271"/>
        <v>0</v>
      </c>
      <c r="JW20" s="814">
        <f t="shared" si="272"/>
        <v>0</v>
      </c>
      <c r="JX20" s="814">
        <f t="shared" si="273"/>
        <v>0</v>
      </c>
      <c r="JY20" s="814">
        <f t="shared" si="274"/>
        <v>0</v>
      </c>
      <c r="JZ20" s="814">
        <f t="shared" si="275"/>
        <v>0</v>
      </c>
      <c r="KA20" s="814">
        <f t="shared" si="276"/>
        <v>0</v>
      </c>
      <c r="KB20" s="814">
        <f t="shared" si="277"/>
        <v>0</v>
      </c>
      <c r="KC20" s="814">
        <f t="shared" si="278"/>
        <v>0</v>
      </c>
      <c r="KD20" s="814">
        <f t="shared" si="279"/>
        <v>0</v>
      </c>
      <c r="KE20" s="814">
        <f t="shared" si="280"/>
        <v>0</v>
      </c>
      <c r="KF20" s="814">
        <f t="shared" si="281"/>
        <v>0</v>
      </c>
      <c r="KG20" s="814">
        <f t="shared" si="282"/>
        <v>0</v>
      </c>
      <c r="KH20" s="814">
        <f t="shared" si="283"/>
        <v>0</v>
      </c>
      <c r="KI20" s="814">
        <f t="shared" si="284"/>
        <v>0</v>
      </c>
      <c r="KJ20" s="814">
        <f t="shared" si="285"/>
        <v>0</v>
      </c>
      <c r="KK20" s="814">
        <f t="shared" si="286"/>
        <v>0</v>
      </c>
      <c r="KL20" s="814">
        <f t="shared" si="287"/>
        <v>0</v>
      </c>
      <c r="KM20" s="814">
        <f t="shared" si="288"/>
        <v>0</v>
      </c>
      <c r="KN20" s="814">
        <f t="shared" si="289"/>
        <v>0</v>
      </c>
      <c r="KO20" s="814">
        <f t="shared" si="290"/>
        <v>0</v>
      </c>
      <c r="KP20" s="814">
        <f t="shared" si="291"/>
        <v>0</v>
      </c>
      <c r="KQ20" s="814">
        <f t="shared" si="292"/>
        <v>0</v>
      </c>
      <c r="KR20" s="814">
        <f t="shared" si="293"/>
        <v>0</v>
      </c>
      <c r="KS20" s="814">
        <f t="shared" si="294"/>
        <v>0</v>
      </c>
      <c r="KT20" s="814">
        <f t="shared" si="295"/>
        <v>0</v>
      </c>
      <c r="KU20" s="814">
        <f t="shared" si="296"/>
        <v>0</v>
      </c>
      <c r="KV20" s="814">
        <f t="shared" si="297"/>
        <v>0</v>
      </c>
      <c r="KW20" s="814">
        <f t="shared" si="298"/>
        <v>0</v>
      </c>
      <c r="KX20" s="814">
        <f t="shared" si="299"/>
        <v>0</v>
      </c>
      <c r="KY20" s="814">
        <f t="shared" si="300"/>
        <v>0</v>
      </c>
      <c r="KZ20" s="814">
        <f t="shared" si="301"/>
        <v>0</v>
      </c>
      <c r="LA20" s="814">
        <f t="shared" si="302"/>
        <v>0</v>
      </c>
      <c r="LB20" s="814">
        <f t="shared" si="303"/>
        <v>0</v>
      </c>
      <c r="LC20" s="814">
        <f t="shared" si="304"/>
        <v>0</v>
      </c>
      <c r="LD20" s="814">
        <f t="shared" si="305"/>
        <v>0</v>
      </c>
      <c r="LE20" s="814">
        <f t="shared" si="306"/>
        <v>0</v>
      </c>
      <c r="LF20" s="814">
        <f t="shared" si="307"/>
        <v>0</v>
      </c>
    </row>
    <row r="21" spans="2:319" ht="15.6">
      <c r="B21" s="679">
        <v>5</v>
      </c>
      <c r="C21" s="680" t="s">
        <v>3697</v>
      </c>
      <c r="D21" s="681"/>
      <c r="E21" s="682" t="s">
        <v>4282</v>
      </c>
      <c r="F21" s="1522" t="s">
        <v>4633</v>
      </c>
      <c r="G21" s="684" t="str">
        <f>VLOOKUP($E21,Items!$E:$I,3,FALSE)</f>
        <v>m3</v>
      </c>
      <c r="H21" s="685">
        <f>VLOOKUP($E21,Items!$E:$I,4,FALSE)</f>
        <v>7.61</v>
      </c>
      <c r="I21" s="686">
        <f>VLOOKUP($E21,Items!$E:$I,5,FALSE)</f>
        <v>14084.506818268681</v>
      </c>
      <c r="J21" s="687">
        <f t="shared" ref="J21:J22" si="310">I21*H21</f>
        <v>107183.09688702467</v>
      </c>
      <c r="K21" s="692">
        <f>+H21/L21/Datos!$N$40</f>
        <v>4.0068045257456997E-2</v>
      </c>
      <c r="L21" s="686">
        <f t="shared" ref="L21:L22" si="311">N21-M21+1</f>
        <v>1</v>
      </c>
      <c r="M21" s="849">
        <v>1</v>
      </c>
      <c r="N21" s="850">
        <v>1</v>
      </c>
      <c r="O21" s="851">
        <f>+IF(C21&lt;&gt;"",VLOOKUP(C21,'AUX-NIV1'!B:AO,40,FALSE)*H21,0)</f>
        <v>65.157082745263168</v>
      </c>
      <c r="P21" s="803" t="str">
        <f t="shared" ref="P21:P22" si="312">IF(J21&gt;0,IF(+SUM(Q21:BM21)=1,"","REV."),"")</f>
        <v/>
      </c>
      <c r="Q21" s="804">
        <f t="shared" si="9"/>
        <v>0</v>
      </c>
      <c r="R21" s="805">
        <f t="shared" si="10"/>
        <v>1</v>
      </c>
      <c r="S21" s="805">
        <f t="shared" si="10"/>
        <v>0</v>
      </c>
      <c r="T21" s="805">
        <f t="shared" si="10"/>
        <v>0</v>
      </c>
      <c r="U21" s="805">
        <f t="shared" si="10"/>
        <v>0</v>
      </c>
      <c r="V21" s="805">
        <f t="shared" si="10"/>
        <v>0</v>
      </c>
      <c r="W21" s="805">
        <f t="shared" si="10"/>
        <v>0</v>
      </c>
      <c r="X21" s="805">
        <f t="shared" si="10"/>
        <v>0</v>
      </c>
      <c r="Y21" s="805">
        <f t="shared" si="10"/>
        <v>0</v>
      </c>
      <c r="Z21" s="805">
        <f t="shared" si="10"/>
        <v>0</v>
      </c>
      <c r="AA21" s="805">
        <f t="shared" si="10"/>
        <v>0</v>
      </c>
      <c r="AB21" s="805">
        <f t="shared" si="10"/>
        <v>0</v>
      </c>
      <c r="AC21" s="805">
        <f t="shared" si="10"/>
        <v>0</v>
      </c>
      <c r="AD21" s="805">
        <f t="shared" si="10"/>
        <v>0</v>
      </c>
      <c r="AE21" s="805">
        <f t="shared" si="10"/>
        <v>0</v>
      </c>
      <c r="AF21" s="805">
        <f t="shared" si="10"/>
        <v>0</v>
      </c>
      <c r="AG21" s="805">
        <f t="shared" si="10"/>
        <v>0</v>
      </c>
      <c r="AH21" s="805">
        <f t="shared" si="11"/>
        <v>0</v>
      </c>
      <c r="AI21" s="805">
        <f t="shared" si="11"/>
        <v>0</v>
      </c>
      <c r="AJ21" s="805">
        <f t="shared" si="11"/>
        <v>0</v>
      </c>
      <c r="AK21" s="805">
        <f t="shared" si="11"/>
        <v>0</v>
      </c>
      <c r="AL21" s="805">
        <f t="shared" si="11"/>
        <v>0</v>
      </c>
      <c r="AM21" s="805">
        <f t="shared" si="11"/>
        <v>0</v>
      </c>
      <c r="AN21" s="805">
        <f t="shared" si="11"/>
        <v>0</v>
      </c>
      <c r="AO21" s="805">
        <f t="shared" si="11"/>
        <v>0</v>
      </c>
      <c r="AP21" s="805">
        <f t="shared" si="11"/>
        <v>0</v>
      </c>
      <c r="AQ21" s="805">
        <f t="shared" si="11"/>
        <v>0</v>
      </c>
      <c r="AR21" s="805">
        <f t="shared" si="11"/>
        <v>0</v>
      </c>
      <c r="AS21" s="805">
        <f t="shared" si="11"/>
        <v>0</v>
      </c>
      <c r="AT21" s="805">
        <f t="shared" si="11"/>
        <v>0</v>
      </c>
      <c r="AU21" s="805">
        <f t="shared" si="11"/>
        <v>0</v>
      </c>
      <c r="AV21" s="805">
        <f t="shared" si="11"/>
        <v>0</v>
      </c>
      <c r="AW21" s="805">
        <f t="shared" si="11"/>
        <v>0</v>
      </c>
      <c r="AX21" s="805">
        <f t="shared" si="12"/>
        <v>0</v>
      </c>
      <c r="AY21" s="805">
        <f t="shared" si="12"/>
        <v>0</v>
      </c>
      <c r="AZ21" s="805">
        <f t="shared" si="12"/>
        <v>0</v>
      </c>
      <c r="BA21" s="805">
        <f t="shared" si="12"/>
        <v>0</v>
      </c>
      <c r="BB21" s="805">
        <f t="shared" si="12"/>
        <v>0</v>
      </c>
      <c r="BC21" s="805">
        <f t="shared" si="12"/>
        <v>0</v>
      </c>
      <c r="BD21" s="805">
        <f t="shared" si="12"/>
        <v>0</v>
      </c>
      <c r="BE21" s="805">
        <f t="shared" si="12"/>
        <v>0</v>
      </c>
      <c r="BF21" s="805">
        <f t="shared" si="12"/>
        <v>0</v>
      </c>
      <c r="BG21" s="805">
        <f t="shared" si="12"/>
        <v>0</v>
      </c>
      <c r="BH21" s="805">
        <f t="shared" si="12"/>
        <v>0</v>
      </c>
      <c r="BI21" s="805">
        <f t="shared" si="12"/>
        <v>0</v>
      </c>
      <c r="BJ21" s="805">
        <f t="shared" si="12"/>
        <v>0</v>
      </c>
      <c r="BK21" s="805">
        <f t="shared" si="12"/>
        <v>0</v>
      </c>
      <c r="BL21" s="805">
        <f t="shared" si="12"/>
        <v>0</v>
      </c>
      <c r="BM21" s="806">
        <f t="shared" si="12"/>
        <v>0</v>
      </c>
      <c r="BN21" s="785"/>
      <c r="BO21" s="1204">
        <f t="shared" si="114"/>
        <v>0</v>
      </c>
      <c r="BP21" s="1203">
        <f>+SUMIF('AUX-NIV1'!$B:$B,Crono!$C21,'AUX-NIV1'!AQ:AQ)*Crono!$H21</f>
        <v>28773.98824785943</v>
      </c>
      <c r="BQ21" s="1202">
        <f>+SUMIF('AUX-NIV1'!$B:$B,Crono!$C21,'AUX-NIV1'!AR:AR)*Crono!$H21</f>
        <v>7234.3701023448648</v>
      </c>
      <c r="BR21" s="1202">
        <f>+SUMIF('AUX-NIV1'!$B:$B,Crono!$C21,'AUX-NIV1'!AS:AS)*Crono!$H21</f>
        <v>71174.738536820354</v>
      </c>
      <c r="BS21" s="1202">
        <f>+SUMIF('AUX-NIV1'!$B:$B,Crono!$C21,'AUX-NIV1'!AT:AT)*Crono!$H21</f>
        <v>0</v>
      </c>
      <c r="BT21" s="1202">
        <f>+SUMIF('AUX-NIV1'!$B:$B,Crono!$C21,'AUX-NIV1'!AU:AU)*Crono!$H21</f>
        <v>0</v>
      </c>
      <c r="BU21" s="1202"/>
      <c r="BW21" s="1202">
        <f t="shared" si="115"/>
        <v>0</v>
      </c>
      <c r="BX21" s="1202">
        <f t="shared" si="116"/>
        <v>28773.98824785943</v>
      </c>
      <c r="BY21" s="1202">
        <f t="shared" si="117"/>
        <v>0</v>
      </c>
      <c r="BZ21" s="1202">
        <f t="shared" si="118"/>
        <v>0</v>
      </c>
      <c r="CA21" s="1202">
        <f t="shared" si="119"/>
        <v>0</v>
      </c>
      <c r="CB21" s="1202">
        <f t="shared" si="120"/>
        <v>0</v>
      </c>
      <c r="CC21" s="1202">
        <f t="shared" si="121"/>
        <v>0</v>
      </c>
      <c r="CD21" s="1202">
        <f t="shared" si="122"/>
        <v>0</v>
      </c>
      <c r="CE21" s="1202">
        <f t="shared" si="123"/>
        <v>0</v>
      </c>
      <c r="CF21" s="1202">
        <f t="shared" si="124"/>
        <v>0</v>
      </c>
      <c r="CG21" s="1202">
        <f t="shared" si="125"/>
        <v>0</v>
      </c>
      <c r="CH21" s="1202">
        <f t="shared" si="126"/>
        <v>0</v>
      </c>
      <c r="CI21" s="1202">
        <f t="shared" si="127"/>
        <v>0</v>
      </c>
      <c r="CJ21" s="1202">
        <f t="shared" si="128"/>
        <v>0</v>
      </c>
      <c r="CK21" s="1202">
        <f t="shared" si="129"/>
        <v>0</v>
      </c>
      <c r="CL21" s="1202">
        <f t="shared" si="130"/>
        <v>0</v>
      </c>
      <c r="CM21" s="1202">
        <f t="shared" si="131"/>
        <v>0</v>
      </c>
      <c r="CN21" s="1202">
        <f t="shared" si="132"/>
        <v>0</v>
      </c>
      <c r="CO21" s="1202">
        <f t="shared" si="133"/>
        <v>0</v>
      </c>
      <c r="CP21" s="1202">
        <f t="shared" si="134"/>
        <v>0</v>
      </c>
      <c r="CQ21" s="1202">
        <f t="shared" si="135"/>
        <v>0</v>
      </c>
      <c r="CR21" s="1202">
        <f t="shared" si="136"/>
        <v>0</v>
      </c>
      <c r="CS21" s="1202">
        <f t="shared" si="137"/>
        <v>0</v>
      </c>
      <c r="CT21" s="1202">
        <f t="shared" si="138"/>
        <v>0</v>
      </c>
      <c r="CU21" s="1202">
        <f t="shared" si="139"/>
        <v>0</v>
      </c>
      <c r="CV21" s="1202">
        <f t="shared" si="140"/>
        <v>0</v>
      </c>
      <c r="CW21" s="1202">
        <f t="shared" si="141"/>
        <v>0</v>
      </c>
      <c r="CX21" s="1202">
        <f t="shared" si="142"/>
        <v>0</v>
      </c>
      <c r="CY21" s="1202">
        <f t="shared" si="143"/>
        <v>0</v>
      </c>
      <c r="CZ21" s="1202">
        <f t="shared" si="144"/>
        <v>0</v>
      </c>
      <c r="DA21" s="1202">
        <f t="shared" si="145"/>
        <v>0</v>
      </c>
      <c r="DB21" s="1202">
        <f t="shared" si="146"/>
        <v>0</v>
      </c>
      <c r="DC21" s="1202">
        <f t="shared" si="147"/>
        <v>0</v>
      </c>
      <c r="DD21" s="1202">
        <f t="shared" si="148"/>
        <v>0</v>
      </c>
      <c r="DE21" s="1202">
        <f t="shared" si="149"/>
        <v>0</v>
      </c>
      <c r="DF21" s="1202">
        <f t="shared" si="150"/>
        <v>0</v>
      </c>
      <c r="DG21" s="1202">
        <f t="shared" si="151"/>
        <v>0</v>
      </c>
      <c r="DH21" s="1202">
        <f t="shared" si="152"/>
        <v>0</v>
      </c>
      <c r="DI21" s="1202">
        <f t="shared" si="153"/>
        <v>0</v>
      </c>
      <c r="DJ21" s="1202">
        <f t="shared" si="154"/>
        <v>0</v>
      </c>
      <c r="DK21" s="1202">
        <f t="shared" si="155"/>
        <v>0</v>
      </c>
      <c r="DL21" s="1202">
        <f t="shared" si="156"/>
        <v>0</v>
      </c>
      <c r="DM21" s="1202">
        <f t="shared" si="157"/>
        <v>0</v>
      </c>
      <c r="DN21" s="1202">
        <f t="shared" si="158"/>
        <v>0</v>
      </c>
      <c r="DO21" s="1202">
        <f t="shared" si="159"/>
        <v>0</v>
      </c>
      <c r="DP21" s="1202">
        <f t="shared" si="160"/>
        <v>0</v>
      </c>
      <c r="DQ21" s="1202">
        <f t="shared" si="161"/>
        <v>0</v>
      </c>
      <c r="DR21" s="1202">
        <f t="shared" si="162"/>
        <v>0</v>
      </c>
      <c r="DS21" s="1202"/>
      <c r="DT21" s="1202">
        <f t="shared" si="163"/>
        <v>0</v>
      </c>
      <c r="DU21" s="1202">
        <f t="shared" si="164"/>
        <v>7234.3701023448648</v>
      </c>
      <c r="DV21" s="1202">
        <f t="shared" si="165"/>
        <v>0</v>
      </c>
      <c r="DW21" s="1202">
        <f t="shared" si="166"/>
        <v>0</v>
      </c>
      <c r="DX21" s="1202">
        <f t="shared" si="167"/>
        <v>0</v>
      </c>
      <c r="DY21" s="1202">
        <f t="shared" si="168"/>
        <v>0</v>
      </c>
      <c r="DZ21" s="1202">
        <f t="shared" si="169"/>
        <v>0</v>
      </c>
      <c r="EA21" s="1202">
        <f t="shared" si="170"/>
        <v>0</v>
      </c>
      <c r="EB21" s="1202">
        <f t="shared" si="171"/>
        <v>0</v>
      </c>
      <c r="EC21" s="1202">
        <f t="shared" si="172"/>
        <v>0</v>
      </c>
      <c r="ED21" s="1202">
        <f t="shared" si="173"/>
        <v>0</v>
      </c>
      <c r="EE21" s="1202">
        <f t="shared" si="174"/>
        <v>0</v>
      </c>
      <c r="EF21" s="1202">
        <f t="shared" si="175"/>
        <v>0</v>
      </c>
      <c r="EG21" s="1202">
        <f t="shared" si="176"/>
        <v>0</v>
      </c>
      <c r="EH21" s="1202">
        <f t="shared" si="177"/>
        <v>0</v>
      </c>
      <c r="EI21" s="1202">
        <f t="shared" si="178"/>
        <v>0</v>
      </c>
      <c r="EJ21" s="1202">
        <f t="shared" si="179"/>
        <v>0</v>
      </c>
      <c r="EK21" s="1202">
        <f t="shared" si="180"/>
        <v>0</v>
      </c>
      <c r="EL21" s="1202">
        <f t="shared" si="181"/>
        <v>0</v>
      </c>
      <c r="EM21" s="1202">
        <f t="shared" si="182"/>
        <v>0</v>
      </c>
      <c r="EN21" s="1202">
        <f t="shared" si="183"/>
        <v>0</v>
      </c>
      <c r="EO21" s="1202">
        <f t="shared" si="184"/>
        <v>0</v>
      </c>
      <c r="EP21" s="1202">
        <f t="shared" si="185"/>
        <v>0</v>
      </c>
      <c r="EQ21" s="1202">
        <f t="shared" si="186"/>
        <v>0</v>
      </c>
      <c r="ER21" s="1202">
        <f t="shared" si="187"/>
        <v>0</v>
      </c>
      <c r="ES21" s="1202">
        <f t="shared" si="188"/>
        <v>0</v>
      </c>
      <c r="ET21" s="1202">
        <f t="shared" si="189"/>
        <v>0</v>
      </c>
      <c r="EU21" s="1202">
        <f t="shared" si="190"/>
        <v>0</v>
      </c>
      <c r="EV21" s="1202">
        <f t="shared" si="191"/>
        <v>0</v>
      </c>
      <c r="EW21" s="1202">
        <f t="shared" si="192"/>
        <v>0</v>
      </c>
      <c r="EX21" s="1202">
        <f t="shared" si="193"/>
        <v>0</v>
      </c>
      <c r="EY21" s="1202">
        <f t="shared" si="194"/>
        <v>0</v>
      </c>
      <c r="EZ21" s="1202">
        <f t="shared" si="195"/>
        <v>0</v>
      </c>
      <c r="FA21" s="1202">
        <f t="shared" si="196"/>
        <v>0</v>
      </c>
      <c r="FB21" s="1202">
        <f t="shared" si="197"/>
        <v>0</v>
      </c>
      <c r="FC21" s="1202">
        <f t="shared" si="198"/>
        <v>0</v>
      </c>
      <c r="FD21" s="1202">
        <f t="shared" si="199"/>
        <v>0</v>
      </c>
      <c r="FE21" s="1202">
        <f t="shared" si="200"/>
        <v>0</v>
      </c>
      <c r="FF21" s="1202">
        <f t="shared" si="201"/>
        <v>0</v>
      </c>
      <c r="FG21" s="1202">
        <f t="shared" si="202"/>
        <v>0</v>
      </c>
      <c r="FH21" s="1202">
        <f t="shared" si="203"/>
        <v>0</v>
      </c>
      <c r="FI21" s="1202">
        <f t="shared" si="204"/>
        <v>0</v>
      </c>
      <c r="FJ21" s="1202">
        <f t="shared" si="205"/>
        <v>0</v>
      </c>
      <c r="FK21" s="1202">
        <f t="shared" si="206"/>
        <v>0</v>
      </c>
      <c r="FL21" s="1202">
        <f t="shared" si="207"/>
        <v>0</v>
      </c>
      <c r="FM21" s="1202">
        <f t="shared" si="208"/>
        <v>0</v>
      </c>
      <c r="FN21" s="1202">
        <f t="shared" si="209"/>
        <v>0</v>
      </c>
      <c r="FO21" s="1202">
        <f t="shared" si="210"/>
        <v>0</v>
      </c>
      <c r="FP21" s="1202"/>
      <c r="FQ21" s="1202">
        <f t="shared" si="211"/>
        <v>0</v>
      </c>
      <c r="FR21" s="1202">
        <f t="shared" si="65"/>
        <v>71174.738536820354</v>
      </c>
      <c r="FS21" s="1202">
        <f t="shared" si="66"/>
        <v>0</v>
      </c>
      <c r="FT21" s="1202">
        <f t="shared" si="67"/>
        <v>0</v>
      </c>
      <c r="FU21" s="1202">
        <f t="shared" si="68"/>
        <v>0</v>
      </c>
      <c r="FV21" s="1202">
        <f t="shared" si="69"/>
        <v>0</v>
      </c>
      <c r="FW21" s="1202">
        <f t="shared" si="70"/>
        <v>0</v>
      </c>
      <c r="FX21" s="1202">
        <f t="shared" si="71"/>
        <v>0</v>
      </c>
      <c r="FY21" s="1202">
        <f t="shared" si="72"/>
        <v>0</v>
      </c>
      <c r="FZ21" s="1202">
        <f t="shared" si="73"/>
        <v>0</v>
      </c>
      <c r="GA21" s="1202">
        <f t="shared" si="74"/>
        <v>0</v>
      </c>
      <c r="GB21" s="1202">
        <f t="shared" si="75"/>
        <v>0</v>
      </c>
      <c r="GC21" s="1202">
        <f t="shared" si="76"/>
        <v>0</v>
      </c>
      <c r="GD21" s="1202">
        <f t="shared" si="77"/>
        <v>0</v>
      </c>
      <c r="GE21" s="1202">
        <f t="shared" si="78"/>
        <v>0</v>
      </c>
      <c r="GF21" s="1202">
        <f t="shared" si="79"/>
        <v>0</v>
      </c>
      <c r="GG21" s="1202">
        <f t="shared" si="80"/>
        <v>0</v>
      </c>
      <c r="GH21" s="1202">
        <f t="shared" si="81"/>
        <v>0</v>
      </c>
      <c r="GI21" s="1202">
        <f t="shared" si="82"/>
        <v>0</v>
      </c>
      <c r="GJ21" s="1202">
        <f t="shared" si="83"/>
        <v>0</v>
      </c>
      <c r="GK21" s="1202">
        <f t="shared" si="84"/>
        <v>0</v>
      </c>
      <c r="GL21" s="1202">
        <f t="shared" si="85"/>
        <v>0</v>
      </c>
      <c r="GM21" s="1202">
        <f t="shared" si="86"/>
        <v>0</v>
      </c>
      <c r="GN21" s="1202">
        <f t="shared" si="87"/>
        <v>0</v>
      </c>
      <c r="GO21" s="1202">
        <f t="shared" si="88"/>
        <v>0</v>
      </c>
      <c r="GP21" s="1202">
        <f t="shared" si="89"/>
        <v>0</v>
      </c>
      <c r="GQ21" s="1202">
        <f t="shared" si="90"/>
        <v>0</v>
      </c>
      <c r="GR21" s="1202">
        <f t="shared" si="91"/>
        <v>0</v>
      </c>
      <c r="GS21" s="1202">
        <f t="shared" si="92"/>
        <v>0</v>
      </c>
      <c r="GT21" s="1202">
        <f t="shared" si="93"/>
        <v>0</v>
      </c>
      <c r="GU21" s="1202">
        <f t="shared" si="94"/>
        <v>0</v>
      </c>
      <c r="GV21" s="1202">
        <f t="shared" si="95"/>
        <v>0</v>
      </c>
      <c r="GW21" s="1202">
        <f t="shared" si="96"/>
        <v>0</v>
      </c>
      <c r="GX21" s="1202">
        <f t="shared" si="97"/>
        <v>0</v>
      </c>
      <c r="GY21" s="1202">
        <f t="shared" si="98"/>
        <v>0</v>
      </c>
      <c r="GZ21" s="1202">
        <f t="shared" si="99"/>
        <v>0</v>
      </c>
      <c r="HA21" s="1202">
        <f t="shared" si="100"/>
        <v>0</v>
      </c>
      <c r="HB21" s="1202">
        <f t="shared" si="101"/>
        <v>0</v>
      </c>
      <c r="HC21" s="1202">
        <f t="shared" si="102"/>
        <v>0</v>
      </c>
      <c r="HD21" s="1202">
        <f t="shared" si="103"/>
        <v>0</v>
      </c>
      <c r="HE21" s="1202">
        <f t="shared" si="104"/>
        <v>0</v>
      </c>
      <c r="HF21" s="1202">
        <f t="shared" si="105"/>
        <v>0</v>
      </c>
      <c r="HG21" s="1202">
        <f t="shared" si="106"/>
        <v>0</v>
      </c>
      <c r="HH21" s="1202">
        <f t="shared" si="107"/>
        <v>0</v>
      </c>
      <c r="HI21" s="1202">
        <f t="shared" si="108"/>
        <v>0</v>
      </c>
      <c r="HJ21" s="1202">
        <f t="shared" si="109"/>
        <v>0</v>
      </c>
      <c r="HK21" s="1202">
        <f t="shared" si="110"/>
        <v>0</v>
      </c>
      <c r="HL21" s="1202">
        <f t="shared" si="111"/>
        <v>0</v>
      </c>
      <c r="HM21" s="1202"/>
      <c r="HN21" s="1202">
        <f t="shared" si="212"/>
        <v>0</v>
      </c>
      <c r="HO21" s="1202">
        <f t="shared" si="213"/>
        <v>0</v>
      </c>
      <c r="HP21" s="1202">
        <f t="shared" si="214"/>
        <v>0</v>
      </c>
      <c r="HQ21" s="1202">
        <f t="shared" si="215"/>
        <v>0</v>
      </c>
      <c r="HR21" s="1202">
        <f t="shared" si="216"/>
        <v>0</v>
      </c>
      <c r="HS21" s="1202">
        <f t="shared" si="217"/>
        <v>0</v>
      </c>
      <c r="HT21" s="1202">
        <f t="shared" si="218"/>
        <v>0</v>
      </c>
      <c r="HU21" s="1202">
        <f t="shared" si="219"/>
        <v>0</v>
      </c>
      <c r="HV21" s="1202">
        <f t="shared" si="220"/>
        <v>0</v>
      </c>
      <c r="HW21" s="1202">
        <f t="shared" si="221"/>
        <v>0</v>
      </c>
      <c r="HX21" s="1202">
        <f t="shared" si="222"/>
        <v>0</v>
      </c>
      <c r="HY21" s="1202">
        <f t="shared" si="223"/>
        <v>0</v>
      </c>
      <c r="HZ21" s="1202">
        <f t="shared" si="224"/>
        <v>0</v>
      </c>
      <c r="IA21" s="1202">
        <f t="shared" si="225"/>
        <v>0</v>
      </c>
      <c r="IB21" s="1202">
        <f t="shared" si="226"/>
        <v>0</v>
      </c>
      <c r="IC21" s="1202">
        <f t="shared" si="227"/>
        <v>0</v>
      </c>
      <c r="ID21" s="1202">
        <f t="shared" si="228"/>
        <v>0</v>
      </c>
      <c r="IE21" s="1202">
        <f t="shared" si="229"/>
        <v>0</v>
      </c>
      <c r="IF21" s="1202">
        <f t="shared" si="230"/>
        <v>0</v>
      </c>
      <c r="IG21" s="1202">
        <f t="shared" si="231"/>
        <v>0</v>
      </c>
      <c r="IH21" s="1202">
        <f t="shared" si="232"/>
        <v>0</v>
      </c>
      <c r="II21" s="1202">
        <f t="shared" si="233"/>
        <v>0</v>
      </c>
      <c r="IJ21" s="1202">
        <f t="shared" si="234"/>
        <v>0</v>
      </c>
      <c r="IK21" s="1202">
        <f t="shared" si="235"/>
        <v>0</v>
      </c>
      <c r="IL21" s="1202">
        <f t="shared" si="236"/>
        <v>0</v>
      </c>
      <c r="IM21" s="1202">
        <f t="shared" si="237"/>
        <v>0</v>
      </c>
      <c r="IN21" s="1202">
        <f t="shared" si="238"/>
        <v>0</v>
      </c>
      <c r="IO21" s="1202">
        <f t="shared" si="239"/>
        <v>0</v>
      </c>
      <c r="IP21" s="1202">
        <f t="shared" si="240"/>
        <v>0</v>
      </c>
      <c r="IQ21" s="1202">
        <f t="shared" si="241"/>
        <v>0</v>
      </c>
      <c r="IR21" s="1202">
        <f t="shared" si="242"/>
        <v>0</v>
      </c>
      <c r="IS21" s="1202">
        <f t="shared" si="243"/>
        <v>0</v>
      </c>
      <c r="IT21" s="1202">
        <f t="shared" si="244"/>
        <v>0</v>
      </c>
      <c r="IU21" s="1202">
        <f t="shared" si="245"/>
        <v>0</v>
      </c>
      <c r="IV21" s="1202">
        <f t="shared" si="246"/>
        <v>0</v>
      </c>
      <c r="IW21" s="1202">
        <f t="shared" si="247"/>
        <v>0</v>
      </c>
      <c r="IX21" s="1202">
        <f t="shared" si="248"/>
        <v>0</v>
      </c>
      <c r="IY21" s="1202">
        <f t="shared" si="249"/>
        <v>0</v>
      </c>
      <c r="IZ21" s="1202">
        <f t="shared" si="250"/>
        <v>0</v>
      </c>
      <c r="JA21" s="1202">
        <f t="shared" si="251"/>
        <v>0</v>
      </c>
      <c r="JB21" s="1202">
        <f t="shared" si="252"/>
        <v>0</v>
      </c>
      <c r="JC21" s="1202">
        <f t="shared" si="253"/>
        <v>0</v>
      </c>
      <c r="JD21" s="1202">
        <f t="shared" si="254"/>
        <v>0</v>
      </c>
      <c r="JE21" s="1202">
        <f t="shared" si="255"/>
        <v>0</v>
      </c>
      <c r="JF21" s="1202">
        <f t="shared" si="256"/>
        <v>0</v>
      </c>
      <c r="JG21" s="1202">
        <f t="shared" si="257"/>
        <v>0</v>
      </c>
      <c r="JH21" s="1202">
        <f t="shared" si="258"/>
        <v>0</v>
      </c>
      <c r="JI21" s="1202">
        <f t="shared" si="259"/>
        <v>0</v>
      </c>
      <c r="JJ21" s="1202"/>
      <c r="JK21" s="1202">
        <f t="shared" si="260"/>
        <v>0</v>
      </c>
      <c r="JL21" s="1202">
        <f t="shared" si="261"/>
        <v>0</v>
      </c>
      <c r="JM21" s="1202">
        <f t="shared" si="262"/>
        <v>0</v>
      </c>
      <c r="JN21" s="1202">
        <f t="shared" si="263"/>
        <v>0</v>
      </c>
      <c r="JO21" s="1202">
        <f t="shared" si="264"/>
        <v>0</v>
      </c>
      <c r="JP21" s="1202">
        <f t="shared" si="265"/>
        <v>0</v>
      </c>
      <c r="JQ21" s="1202">
        <f t="shared" si="266"/>
        <v>0</v>
      </c>
      <c r="JR21" s="1202">
        <f t="shared" si="267"/>
        <v>0</v>
      </c>
      <c r="JS21" s="1202">
        <f t="shared" si="268"/>
        <v>0</v>
      </c>
      <c r="JT21" s="1202">
        <f t="shared" si="269"/>
        <v>0</v>
      </c>
      <c r="JU21" s="1202">
        <f t="shared" si="270"/>
        <v>0</v>
      </c>
      <c r="JV21" s="1202">
        <f t="shared" si="271"/>
        <v>0</v>
      </c>
      <c r="JW21" s="1202">
        <f t="shared" si="272"/>
        <v>0</v>
      </c>
      <c r="JX21" s="1202">
        <f t="shared" si="273"/>
        <v>0</v>
      </c>
      <c r="JY21" s="1202">
        <f t="shared" si="274"/>
        <v>0</v>
      </c>
      <c r="JZ21" s="1202">
        <f t="shared" si="275"/>
        <v>0</v>
      </c>
      <c r="KA21" s="1202">
        <f t="shared" si="276"/>
        <v>0</v>
      </c>
      <c r="KB21" s="1202">
        <f t="shared" si="277"/>
        <v>0</v>
      </c>
      <c r="KC21" s="1202">
        <f t="shared" si="278"/>
        <v>0</v>
      </c>
      <c r="KD21" s="1202">
        <f t="shared" si="279"/>
        <v>0</v>
      </c>
      <c r="KE21" s="1202">
        <f t="shared" si="280"/>
        <v>0</v>
      </c>
      <c r="KF21" s="1202">
        <f t="shared" si="281"/>
        <v>0</v>
      </c>
      <c r="KG21" s="1202">
        <f t="shared" si="282"/>
        <v>0</v>
      </c>
      <c r="KH21" s="1202">
        <f t="shared" si="283"/>
        <v>0</v>
      </c>
      <c r="KI21" s="1202">
        <f t="shared" si="284"/>
        <v>0</v>
      </c>
      <c r="KJ21" s="1202">
        <f t="shared" si="285"/>
        <v>0</v>
      </c>
      <c r="KK21" s="1202">
        <f t="shared" si="286"/>
        <v>0</v>
      </c>
      <c r="KL21" s="1202">
        <f t="shared" si="287"/>
        <v>0</v>
      </c>
      <c r="KM21" s="1202">
        <f t="shared" si="288"/>
        <v>0</v>
      </c>
      <c r="KN21" s="1202">
        <f t="shared" si="289"/>
        <v>0</v>
      </c>
      <c r="KO21" s="1202">
        <f t="shared" si="290"/>
        <v>0</v>
      </c>
      <c r="KP21" s="1202">
        <f t="shared" si="291"/>
        <v>0</v>
      </c>
      <c r="KQ21" s="1202">
        <f t="shared" si="292"/>
        <v>0</v>
      </c>
      <c r="KR21" s="1202">
        <f t="shared" si="293"/>
        <v>0</v>
      </c>
      <c r="KS21" s="1202">
        <f t="shared" si="294"/>
        <v>0</v>
      </c>
      <c r="KT21" s="1202">
        <f t="shared" si="295"/>
        <v>0</v>
      </c>
      <c r="KU21" s="1202">
        <f t="shared" si="296"/>
        <v>0</v>
      </c>
      <c r="KV21" s="1202">
        <f t="shared" si="297"/>
        <v>0</v>
      </c>
      <c r="KW21" s="1202">
        <f t="shared" si="298"/>
        <v>0</v>
      </c>
      <c r="KX21" s="1202">
        <f t="shared" si="299"/>
        <v>0</v>
      </c>
      <c r="KY21" s="1202">
        <f t="shared" si="300"/>
        <v>0</v>
      </c>
      <c r="KZ21" s="1202">
        <f t="shared" si="301"/>
        <v>0</v>
      </c>
      <c r="LA21" s="1202">
        <f t="shared" si="302"/>
        <v>0</v>
      </c>
      <c r="LB21" s="1202">
        <f t="shared" si="303"/>
        <v>0</v>
      </c>
      <c r="LC21" s="1202">
        <f t="shared" si="304"/>
        <v>0</v>
      </c>
      <c r="LD21" s="1202">
        <f t="shared" si="305"/>
        <v>0</v>
      </c>
      <c r="LE21" s="1202">
        <f t="shared" si="306"/>
        <v>0</v>
      </c>
      <c r="LF21" s="1202">
        <f t="shared" si="307"/>
        <v>0</v>
      </c>
      <c r="LG21" s="1202"/>
    </row>
    <row r="22" spans="2:319" ht="15.6">
      <c r="B22" s="679">
        <v>6</v>
      </c>
      <c r="C22" s="680" t="s">
        <v>52</v>
      </c>
      <c r="D22" s="681"/>
      <c r="E22" s="682" t="s">
        <v>4285</v>
      </c>
      <c r="F22" s="1522" t="s">
        <v>4634</v>
      </c>
      <c r="G22" s="684" t="str">
        <f>VLOOKUP($E22,Items!$E:$I,3,FALSE)</f>
        <v>m3</v>
      </c>
      <c r="H22" s="685">
        <f>VLOOKUP($E22,Items!$E:$I,4,FALSE)</f>
        <v>0.24</v>
      </c>
      <c r="I22" s="686">
        <f>VLOOKUP($E22,Items!$E:$I,5,FALSE)</f>
        <v>3645.8586237264703</v>
      </c>
      <c r="J22" s="687">
        <f t="shared" si="310"/>
        <v>875.00606969435285</v>
      </c>
      <c r="K22" s="692">
        <f>+H22/L22/Datos!$N$40</f>
        <v>1.2636440028632955E-3</v>
      </c>
      <c r="L22" s="686">
        <f t="shared" si="311"/>
        <v>1</v>
      </c>
      <c r="M22" s="849">
        <v>1</v>
      </c>
      <c r="N22" s="850">
        <v>1</v>
      </c>
      <c r="O22" s="851">
        <f>+IF(C22&lt;&gt;"",VLOOKUP(C22,'AUX-NIV1'!B:AO,40,FALSE)*H22,0)</f>
        <v>9.3461759999999991E-2</v>
      </c>
      <c r="P22" s="803" t="str">
        <f t="shared" si="312"/>
        <v/>
      </c>
      <c r="Q22" s="804">
        <f t="shared" si="9"/>
        <v>0</v>
      </c>
      <c r="R22" s="805">
        <f t="shared" si="10"/>
        <v>1</v>
      </c>
      <c r="S22" s="805">
        <f t="shared" si="10"/>
        <v>0</v>
      </c>
      <c r="T22" s="805">
        <f t="shared" si="10"/>
        <v>0</v>
      </c>
      <c r="U22" s="805">
        <f t="shared" si="10"/>
        <v>0</v>
      </c>
      <c r="V22" s="805">
        <f t="shared" si="10"/>
        <v>0</v>
      </c>
      <c r="W22" s="805">
        <f t="shared" si="10"/>
        <v>0</v>
      </c>
      <c r="X22" s="805">
        <f t="shared" si="10"/>
        <v>0</v>
      </c>
      <c r="Y22" s="805">
        <f t="shared" si="10"/>
        <v>0</v>
      </c>
      <c r="Z22" s="805">
        <f t="shared" si="10"/>
        <v>0</v>
      </c>
      <c r="AA22" s="805">
        <f t="shared" si="10"/>
        <v>0</v>
      </c>
      <c r="AB22" s="805">
        <f t="shared" si="10"/>
        <v>0</v>
      </c>
      <c r="AC22" s="805">
        <f t="shared" si="10"/>
        <v>0</v>
      </c>
      <c r="AD22" s="805">
        <f t="shared" si="10"/>
        <v>0</v>
      </c>
      <c r="AE22" s="805">
        <f t="shared" si="10"/>
        <v>0</v>
      </c>
      <c r="AF22" s="805">
        <f t="shared" si="10"/>
        <v>0</v>
      </c>
      <c r="AG22" s="805">
        <f t="shared" si="10"/>
        <v>0</v>
      </c>
      <c r="AH22" s="805">
        <f t="shared" si="11"/>
        <v>0</v>
      </c>
      <c r="AI22" s="805">
        <f t="shared" si="11"/>
        <v>0</v>
      </c>
      <c r="AJ22" s="805">
        <f t="shared" si="11"/>
        <v>0</v>
      </c>
      <c r="AK22" s="805">
        <f t="shared" si="11"/>
        <v>0</v>
      </c>
      <c r="AL22" s="805">
        <f t="shared" si="11"/>
        <v>0</v>
      </c>
      <c r="AM22" s="805">
        <f t="shared" si="11"/>
        <v>0</v>
      </c>
      <c r="AN22" s="805">
        <f t="shared" si="11"/>
        <v>0</v>
      </c>
      <c r="AO22" s="805">
        <f t="shared" si="11"/>
        <v>0</v>
      </c>
      <c r="AP22" s="805">
        <f t="shared" si="11"/>
        <v>0</v>
      </c>
      <c r="AQ22" s="805">
        <f t="shared" si="11"/>
        <v>0</v>
      </c>
      <c r="AR22" s="805">
        <f t="shared" si="11"/>
        <v>0</v>
      </c>
      <c r="AS22" s="805">
        <f t="shared" si="11"/>
        <v>0</v>
      </c>
      <c r="AT22" s="805">
        <f t="shared" si="11"/>
        <v>0</v>
      </c>
      <c r="AU22" s="805">
        <f t="shared" si="11"/>
        <v>0</v>
      </c>
      <c r="AV22" s="805">
        <f t="shared" si="11"/>
        <v>0</v>
      </c>
      <c r="AW22" s="805">
        <f t="shared" si="11"/>
        <v>0</v>
      </c>
      <c r="AX22" s="805">
        <f t="shared" si="12"/>
        <v>0</v>
      </c>
      <c r="AY22" s="805">
        <f t="shared" si="12"/>
        <v>0</v>
      </c>
      <c r="AZ22" s="805">
        <f t="shared" si="12"/>
        <v>0</v>
      </c>
      <c r="BA22" s="805">
        <f t="shared" si="12"/>
        <v>0</v>
      </c>
      <c r="BB22" s="805">
        <f t="shared" si="12"/>
        <v>0</v>
      </c>
      <c r="BC22" s="805">
        <f t="shared" si="12"/>
        <v>0</v>
      </c>
      <c r="BD22" s="805">
        <f t="shared" si="12"/>
        <v>0</v>
      </c>
      <c r="BE22" s="805">
        <f t="shared" si="12"/>
        <v>0</v>
      </c>
      <c r="BF22" s="805">
        <f t="shared" si="12"/>
        <v>0</v>
      </c>
      <c r="BG22" s="805">
        <f t="shared" si="12"/>
        <v>0</v>
      </c>
      <c r="BH22" s="805">
        <f t="shared" si="12"/>
        <v>0</v>
      </c>
      <c r="BI22" s="805">
        <f t="shared" si="12"/>
        <v>0</v>
      </c>
      <c r="BJ22" s="805">
        <f t="shared" si="12"/>
        <v>0</v>
      </c>
      <c r="BK22" s="805">
        <f t="shared" si="12"/>
        <v>0</v>
      </c>
      <c r="BL22" s="805">
        <f t="shared" si="12"/>
        <v>0</v>
      </c>
      <c r="BM22" s="805">
        <f t="shared" si="12"/>
        <v>0</v>
      </c>
      <c r="BN22" s="785"/>
      <c r="BO22" s="1204">
        <f t="shared" si="114"/>
        <v>0</v>
      </c>
      <c r="BP22" s="1203">
        <f>+SUMIF('AUX-NIV1'!$B:$B,Crono!$C22,'AUX-NIV1'!AQ:AQ)*Crono!$H22</f>
        <v>45.697908952736256</v>
      </c>
      <c r="BQ22" s="1202">
        <f>+SUMIF('AUX-NIV1'!$B:$B,Crono!$C22,'AUX-NIV1'!AR:AR)*Crono!$H22</f>
        <v>229.2039818490546</v>
      </c>
      <c r="BR22" s="1202">
        <f>+SUMIF('AUX-NIV1'!$B:$B,Crono!$C22,'AUX-NIV1'!AS:AS)*Crono!$H22</f>
        <v>600.104178892562</v>
      </c>
      <c r="BS22" s="1202">
        <f>+SUMIF('AUX-NIV1'!$B:$B,Crono!$C22,'AUX-NIV1'!AT:AT)*Crono!$H22</f>
        <v>0</v>
      </c>
      <c r="BT22" s="1202">
        <f>+SUMIF('AUX-NIV1'!$B:$B,Crono!$C22,'AUX-NIV1'!AU:AU)*Crono!$H22</f>
        <v>0</v>
      </c>
      <c r="BU22" s="1202"/>
      <c r="BW22" s="1202">
        <f t="shared" si="115"/>
        <v>0</v>
      </c>
      <c r="BX22" s="1202">
        <f t="shared" si="116"/>
        <v>45.697908952736256</v>
      </c>
      <c r="BY22" s="1202">
        <f t="shared" si="117"/>
        <v>0</v>
      </c>
      <c r="BZ22" s="1202">
        <f t="shared" si="118"/>
        <v>0</v>
      </c>
      <c r="CA22" s="1202">
        <f t="shared" si="119"/>
        <v>0</v>
      </c>
      <c r="CB22" s="1202">
        <f t="shared" si="120"/>
        <v>0</v>
      </c>
      <c r="CC22" s="1202">
        <f t="shared" si="121"/>
        <v>0</v>
      </c>
      <c r="CD22" s="1202">
        <f t="shared" si="122"/>
        <v>0</v>
      </c>
      <c r="CE22" s="1202">
        <f t="shared" si="123"/>
        <v>0</v>
      </c>
      <c r="CF22" s="1202">
        <f t="shared" si="124"/>
        <v>0</v>
      </c>
      <c r="CG22" s="1202">
        <f t="shared" si="125"/>
        <v>0</v>
      </c>
      <c r="CH22" s="1202">
        <f t="shared" si="126"/>
        <v>0</v>
      </c>
      <c r="CI22" s="1202">
        <f t="shared" si="127"/>
        <v>0</v>
      </c>
      <c r="CJ22" s="1202">
        <f t="shared" si="128"/>
        <v>0</v>
      </c>
      <c r="CK22" s="1202">
        <f t="shared" si="129"/>
        <v>0</v>
      </c>
      <c r="CL22" s="1202">
        <f t="shared" si="130"/>
        <v>0</v>
      </c>
      <c r="CM22" s="1202">
        <f t="shared" si="131"/>
        <v>0</v>
      </c>
      <c r="CN22" s="1202">
        <f t="shared" si="132"/>
        <v>0</v>
      </c>
      <c r="CO22" s="1202">
        <f t="shared" si="133"/>
        <v>0</v>
      </c>
      <c r="CP22" s="1202">
        <f t="shared" si="134"/>
        <v>0</v>
      </c>
      <c r="CQ22" s="1202">
        <f t="shared" si="135"/>
        <v>0</v>
      </c>
      <c r="CR22" s="1202">
        <f t="shared" si="136"/>
        <v>0</v>
      </c>
      <c r="CS22" s="1202">
        <f t="shared" si="137"/>
        <v>0</v>
      </c>
      <c r="CT22" s="1202">
        <f t="shared" si="138"/>
        <v>0</v>
      </c>
      <c r="CU22" s="1202">
        <f t="shared" si="139"/>
        <v>0</v>
      </c>
      <c r="CV22" s="1202">
        <f t="shared" si="140"/>
        <v>0</v>
      </c>
      <c r="CW22" s="1202">
        <f t="shared" si="141"/>
        <v>0</v>
      </c>
      <c r="CX22" s="1202">
        <f t="shared" si="142"/>
        <v>0</v>
      </c>
      <c r="CY22" s="1202">
        <f t="shared" si="143"/>
        <v>0</v>
      </c>
      <c r="CZ22" s="1202">
        <f t="shared" si="144"/>
        <v>0</v>
      </c>
      <c r="DA22" s="1202">
        <f t="shared" si="145"/>
        <v>0</v>
      </c>
      <c r="DB22" s="1202">
        <f t="shared" si="146"/>
        <v>0</v>
      </c>
      <c r="DC22" s="1202">
        <f t="shared" si="147"/>
        <v>0</v>
      </c>
      <c r="DD22" s="1202">
        <f t="shared" si="148"/>
        <v>0</v>
      </c>
      <c r="DE22" s="1202">
        <f t="shared" si="149"/>
        <v>0</v>
      </c>
      <c r="DF22" s="1202">
        <f t="shared" si="150"/>
        <v>0</v>
      </c>
      <c r="DG22" s="1202">
        <f t="shared" si="151"/>
        <v>0</v>
      </c>
      <c r="DH22" s="1202">
        <f t="shared" si="152"/>
        <v>0</v>
      </c>
      <c r="DI22" s="1202">
        <f t="shared" si="153"/>
        <v>0</v>
      </c>
      <c r="DJ22" s="1202">
        <f t="shared" si="154"/>
        <v>0</v>
      </c>
      <c r="DK22" s="1202">
        <f t="shared" si="155"/>
        <v>0</v>
      </c>
      <c r="DL22" s="1202">
        <f t="shared" si="156"/>
        <v>0</v>
      </c>
      <c r="DM22" s="1202">
        <f t="shared" si="157"/>
        <v>0</v>
      </c>
      <c r="DN22" s="1202">
        <f t="shared" si="158"/>
        <v>0</v>
      </c>
      <c r="DO22" s="1202">
        <f t="shared" si="159"/>
        <v>0</v>
      </c>
      <c r="DP22" s="1202">
        <f t="shared" si="160"/>
        <v>0</v>
      </c>
      <c r="DQ22" s="1202">
        <f t="shared" si="161"/>
        <v>0</v>
      </c>
      <c r="DR22" s="1202">
        <f t="shared" si="162"/>
        <v>0</v>
      </c>
      <c r="DS22" s="1202"/>
      <c r="DT22" s="1202">
        <f t="shared" si="163"/>
        <v>0</v>
      </c>
      <c r="DU22" s="1202">
        <f t="shared" si="164"/>
        <v>229.2039818490546</v>
      </c>
      <c r="DV22" s="1202">
        <f t="shared" si="165"/>
        <v>0</v>
      </c>
      <c r="DW22" s="1202">
        <f t="shared" si="166"/>
        <v>0</v>
      </c>
      <c r="DX22" s="1202">
        <f t="shared" si="167"/>
        <v>0</v>
      </c>
      <c r="DY22" s="1202">
        <f t="shared" si="168"/>
        <v>0</v>
      </c>
      <c r="DZ22" s="1202">
        <f t="shared" si="169"/>
        <v>0</v>
      </c>
      <c r="EA22" s="1202">
        <f t="shared" si="170"/>
        <v>0</v>
      </c>
      <c r="EB22" s="1202">
        <f t="shared" si="171"/>
        <v>0</v>
      </c>
      <c r="EC22" s="1202">
        <f t="shared" si="172"/>
        <v>0</v>
      </c>
      <c r="ED22" s="1202">
        <f t="shared" si="173"/>
        <v>0</v>
      </c>
      <c r="EE22" s="1202">
        <f t="shared" si="174"/>
        <v>0</v>
      </c>
      <c r="EF22" s="1202">
        <f t="shared" si="175"/>
        <v>0</v>
      </c>
      <c r="EG22" s="1202">
        <f t="shared" si="176"/>
        <v>0</v>
      </c>
      <c r="EH22" s="1202">
        <f t="shared" si="177"/>
        <v>0</v>
      </c>
      <c r="EI22" s="1202">
        <f t="shared" si="178"/>
        <v>0</v>
      </c>
      <c r="EJ22" s="1202">
        <f t="shared" si="179"/>
        <v>0</v>
      </c>
      <c r="EK22" s="1202">
        <f t="shared" si="180"/>
        <v>0</v>
      </c>
      <c r="EL22" s="1202">
        <f t="shared" si="181"/>
        <v>0</v>
      </c>
      <c r="EM22" s="1202">
        <f t="shared" si="182"/>
        <v>0</v>
      </c>
      <c r="EN22" s="1202">
        <f t="shared" si="183"/>
        <v>0</v>
      </c>
      <c r="EO22" s="1202">
        <f t="shared" si="184"/>
        <v>0</v>
      </c>
      <c r="EP22" s="1202">
        <f t="shared" si="185"/>
        <v>0</v>
      </c>
      <c r="EQ22" s="1202">
        <f t="shared" si="186"/>
        <v>0</v>
      </c>
      <c r="ER22" s="1202">
        <f t="shared" si="187"/>
        <v>0</v>
      </c>
      <c r="ES22" s="1202">
        <f t="shared" si="188"/>
        <v>0</v>
      </c>
      <c r="ET22" s="1202">
        <f t="shared" si="189"/>
        <v>0</v>
      </c>
      <c r="EU22" s="1202">
        <f t="shared" si="190"/>
        <v>0</v>
      </c>
      <c r="EV22" s="1202">
        <f t="shared" si="191"/>
        <v>0</v>
      </c>
      <c r="EW22" s="1202">
        <f t="shared" si="192"/>
        <v>0</v>
      </c>
      <c r="EX22" s="1202">
        <f t="shared" si="193"/>
        <v>0</v>
      </c>
      <c r="EY22" s="1202">
        <f t="shared" si="194"/>
        <v>0</v>
      </c>
      <c r="EZ22" s="1202">
        <f t="shared" si="195"/>
        <v>0</v>
      </c>
      <c r="FA22" s="1202">
        <f t="shared" si="196"/>
        <v>0</v>
      </c>
      <c r="FB22" s="1202">
        <f t="shared" si="197"/>
        <v>0</v>
      </c>
      <c r="FC22" s="1202">
        <f t="shared" si="198"/>
        <v>0</v>
      </c>
      <c r="FD22" s="1202">
        <f t="shared" si="199"/>
        <v>0</v>
      </c>
      <c r="FE22" s="1202">
        <f t="shared" si="200"/>
        <v>0</v>
      </c>
      <c r="FF22" s="1202">
        <f t="shared" si="201"/>
        <v>0</v>
      </c>
      <c r="FG22" s="1202">
        <f t="shared" si="202"/>
        <v>0</v>
      </c>
      <c r="FH22" s="1202">
        <f t="shared" si="203"/>
        <v>0</v>
      </c>
      <c r="FI22" s="1202">
        <f t="shared" si="204"/>
        <v>0</v>
      </c>
      <c r="FJ22" s="1202">
        <f t="shared" si="205"/>
        <v>0</v>
      </c>
      <c r="FK22" s="1202">
        <f t="shared" si="206"/>
        <v>0</v>
      </c>
      <c r="FL22" s="1202">
        <f t="shared" si="207"/>
        <v>0</v>
      </c>
      <c r="FM22" s="1202">
        <f t="shared" si="208"/>
        <v>0</v>
      </c>
      <c r="FN22" s="1202">
        <f t="shared" si="209"/>
        <v>0</v>
      </c>
      <c r="FO22" s="1202">
        <f t="shared" si="210"/>
        <v>0</v>
      </c>
      <c r="FP22" s="1202"/>
      <c r="FQ22" s="1202">
        <f t="shared" si="211"/>
        <v>0</v>
      </c>
      <c r="FR22" s="1202">
        <f t="shared" si="65"/>
        <v>600.104178892562</v>
      </c>
      <c r="FS22" s="1202">
        <f t="shared" si="66"/>
        <v>0</v>
      </c>
      <c r="FT22" s="1202">
        <f t="shared" si="67"/>
        <v>0</v>
      </c>
      <c r="FU22" s="1202">
        <f t="shared" si="68"/>
        <v>0</v>
      </c>
      <c r="FV22" s="1202">
        <f t="shared" si="69"/>
        <v>0</v>
      </c>
      <c r="FW22" s="1202">
        <f t="shared" si="70"/>
        <v>0</v>
      </c>
      <c r="FX22" s="1202">
        <f t="shared" si="71"/>
        <v>0</v>
      </c>
      <c r="FY22" s="1202">
        <f t="shared" si="72"/>
        <v>0</v>
      </c>
      <c r="FZ22" s="1202">
        <f t="shared" si="73"/>
        <v>0</v>
      </c>
      <c r="GA22" s="1202">
        <f t="shared" si="74"/>
        <v>0</v>
      </c>
      <c r="GB22" s="1202">
        <f t="shared" si="75"/>
        <v>0</v>
      </c>
      <c r="GC22" s="1202">
        <f t="shared" si="76"/>
        <v>0</v>
      </c>
      <c r="GD22" s="1202">
        <f t="shared" si="77"/>
        <v>0</v>
      </c>
      <c r="GE22" s="1202">
        <f t="shared" si="78"/>
        <v>0</v>
      </c>
      <c r="GF22" s="1202">
        <f t="shared" si="79"/>
        <v>0</v>
      </c>
      <c r="GG22" s="1202">
        <f t="shared" si="80"/>
        <v>0</v>
      </c>
      <c r="GH22" s="1202">
        <f t="shared" si="81"/>
        <v>0</v>
      </c>
      <c r="GI22" s="1202">
        <f t="shared" si="82"/>
        <v>0</v>
      </c>
      <c r="GJ22" s="1202">
        <f t="shared" si="83"/>
        <v>0</v>
      </c>
      <c r="GK22" s="1202">
        <f t="shared" si="84"/>
        <v>0</v>
      </c>
      <c r="GL22" s="1202">
        <f t="shared" si="85"/>
        <v>0</v>
      </c>
      <c r="GM22" s="1202">
        <f t="shared" si="86"/>
        <v>0</v>
      </c>
      <c r="GN22" s="1202">
        <f t="shared" si="87"/>
        <v>0</v>
      </c>
      <c r="GO22" s="1202">
        <f t="shared" si="88"/>
        <v>0</v>
      </c>
      <c r="GP22" s="1202">
        <f t="shared" si="89"/>
        <v>0</v>
      </c>
      <c r="GQ22" s="1202">
        <f t="shared" si="90"/>
        <v>0</v>
      </c>
      <c r="GR22" s="1202">
        <f t="shared" si="91"/>
        <v>0</v>
      </c>
      <c r="GS22" s="1202">
        <f t="shared" si="92"/>
        <v>0</v>
      </c>
      <c r="GT22" s="1202">
        <f t="shared" si="93"/>
        <v>0</v>
      </c>
      <c r="GU22" s="1202">
        <f t="shared" si="94"/>
        <v>0</v>
      </c>
      <c r="GV22" s="1202">
        <f t="shared" si="95"/>
        <v>0</v>
      </c>
      <c r="GW22" s="1202">
        <f t="shared" si="96"/>
        <v>0</v>
      </c>
      <c r="GX22" s="1202">
        <f t="shared" si="97"/>
        <v>0</v>
      </c>
      <c r="GY22" s="1202">
        <f t="shared" si="98"/>
        <v>0</v>
      </c>
      <c r="GZ22" s="1202">
        <f t="shared" si="99"/>
        <v>0</v>
      </c>
      <c r="HA22" s="1202">
        <f t="shared" si="100"/>
        <v>0</v>
      </c>
      <c r="HB22" s="1202">
        <f t="shared" si="101"/>
        <v>0</v>
      </c>
      <c r="HC22" s="1202">
        <f t="shared" si="102"/>
        <v>0</v>
      </c>
      <c r="HD22" s="1202">
        <f t="shared" si="103"/>
        <v>0</v>
      </c>
      <c r="HE22" s="1202">
        <f t="shared" si="104"/>
        <v>0</v>
      </c>
      <c r="HF22" s="1202">
        <f t="shared" si="105"/>
        <v>0</v>
      </c>
      <c r="HG22" s="1202">
        <f t="shared" si="106"/>
        <v>0</v>
      </c>
      <c r="HH22" s="1202">
        <f t="shared" si="107"/>
        <v>0</v>
      </c>
      <c r="HI22" s="1202">
        <f t="shared" si="108"/>
        <v>0</v>
      </c>
      <c r="HJ22" s="1202">
        <f t="shared" si="109"/>
        <v>0</v>
      </c>
      <c r="HK22" s="1202">
        <f t="shared" si="110"/>
        <v>0</v>
      </c>
      <c r="HL22" s="1202">
        <f t="shared" si="111"/>
        <v>0</v>
      </c>
      <c r="HM22" s="1202"/>
      <c r="HN22" s="1202">
        <f t="shared" si="212"/>
        <v>0</v>
      </c>
      <c r="HO22" s="1202">
        <f t="shared" si="213"/>
        <v>0</v>
      </c>
      <c r="HP22" s="1202">
        <f t="shared" si="214"/>
        <v>0</v>
      </c>
      <c r="HQ22" s="1202">
        <f t="shared" si="215"/>
        <v>0</v>
      </c>
      <c r="HR22" s="1202">
        <f t="shared" si="216"/>
        <v>0</v>
      </c>
      <c r="HS22" s="1202">
        <f t="shared" si="217"/>
        <v>0</v>
      </c>
      <c r="HT22" s="1202">
        <f t="shared" si="218"/>
        <v>0</v>
      </c>
      <c r="HU22" s="1202">
        <f t="shared" si="219"/>
        <v>0</v>
      </c>
      <c r="HV22" s="1202">
        <f t="shared" si="220"/>
        <v>0</v>
      </c>
      <c r="HW22" s="1202">
        <f t="shared" si="221"/>
        <v>0</v>
      </c>
      <c r="HX22" s="1202">
        <f t="shared" si="222"/>
        <v>0</v>
      </c>
      <c r="HY22" s="1202">
        <f t="shared" si="223"/>
        <v>0</v>
      </c>
      <c r="HZ22" s="1202">
        <f t="shared" si="224"/>
        <v>0</v>
      </c>
      <c r="IA22" s="1202">
        <f t="shared" si="225"/>
        <v>0</v>
      </c>
      <c r="IB22" s="1202">
        <f t="shared" si="226"/>
        <v>0</v>
      </c>
      <c r="IC22" s="1202">
        <f t="shared" si="227"/>
        <v>0</v>
      </c>
      <c r="ID22" s="1202">
        <f t="shared" si="228"/>
        <v>0</v>
      </c>
      <c r="IE22" s="1202">
        <f t="shared" si="229"/>
        <v>0</v>
      </c>
      <c r="IF22" s="1202">
        <f t="shared" si="230"/>
        <v>0</v>
      </c>
      <c r="IG22" s="1202">
        <f t="shared" si="231"/>
        <v>0</v>
      </c>
      <c r="IH22" s="1202">
        <f t="shared" si="232"/>
        <v>0</v>
      </c>
      <c r="II22" s="1202">
        <f t="shared" si="233"/>
        <v>0</v>
      </c>
      <c r="IJ22" s="1202">
        <f t="shared" si="234"/>
        <v>0</v>
      </c>
      <c r="IK22" s="1202">
        <f t="shared" si="235"/>
        <v>0</v>
      </c>
      <c r="IL22" s="1202">
        <f t="shared" si="236"/>
        <v>0</v>
      </c>
      <c r="IM22" s="1202">
        <f t="shared" si="237"/>
        <v>0</v>
      </c>
      <c r="IN22" s="1202">
        <f t="shared" si="238"/>
        <v>0</v>
      </c>
      <c r="IO22" s="1202">
        <f t="shared" si="239"/>
        <v>0</v>
      </c>
      <c r="IP22" s="1202">
        <f t="shared" si="240"/>
        <v>0</v>
      </c>
      <c r="IQ22" s="1202">
        <f t="shared" si="241"/>
        <v>0</v>
      </c>
      <c r="IR22" s="1202">
        <f t="shared" si="242"/>
        <v>0</v>
      </c>
      <c r="IS22" s="1202">
        <f t="shared" si="243"/>
        <v>0</v>
      </c>
      <c r="IT22" s="1202">
        <f t="shared" si="244"/>
        <v>0</v>
      </c>
      <c r="IU22" s="1202">
        <f t="shared" si="245"/>
        <v>0</v>
      </c>
      <c r="IV22" s="1202">
        <f t="shared" si="246"/>
        <v>0</v>
      </c>
      <c r="IW22" s="1202">
        <f t="shared" si="247"/>
        <v>0</v>
      </c>
      <c r="IX22" s="1202">
        <f t="shared" si="248"/>
        <v>0</v>
      </c>
      <c r="IY22" s="1202">
        <f t="shared" si="249"/>
        <v>0</v>
      </c>
      <c r="IZ22" s="1202">
        <f t="shared" si="250"/>
        <v>0</v>
      </c>
      <c r="JA22" s="1202">
        <f t="shared" si="251"/>
        <v>0</v>
      </c>
      <c r="JB22" s="1202">
        <f t="shared" si="252"/>
        <v>0</v>
      </c>
      <c r="JC22" s="1202">
        <f t="shared" si="253"/>
        <v>0</v>
      </c>
      <c r="JD22" s="1202">
        <f t="shared" si="254"/>
        <v>0</v>
      </c>
      <c r="JE22" s="1202">
        <f t="shared" si="255"/>
        <v>0</v>
      </c>
      <c r="JF22" s="1202">
        <f t="shared" si="256"/>
        <v>0</v>
      </c>
      <c r="JG22" s="1202">
        <f t="shared" si="257"/>
        <v>0</v>
      </c>
      <c r="JH22" s="1202">
        <f t="shared" si="258"/>
        <v>0</v>
      </c>
      <c r="JI22" s="1202">
        <f t="shared" si="259"/>
        <v>0</v>
      </c>
      <c r="JJ22" s="1202"/>
      <c r="JK22" s="1202">
        <f t="shared" si="260"/>
        <v>0</v>
      </c>
      <c r="JL22" s="1202">
        <f t="shared" si="261"/>
        <v>0</v>
      </c>
      <c r="JM22" s="1202">
        <f t="shared" si="262"/>
        <v>0</v>
      </c>
      <c r="JN22" s="1202">
        <f t="shared" si="263"/>
        <v>0</v>
      </c>
      <c r="JO22" s="1202">
        <f t="shared" si="264"/>
        <v>0</v>
      </c>
      <c r="JP22" s="1202">
        <f t="shared" si="265"/>
        <v>0</v>
      </c>
      <c r="JQ22" s="1202">
        <f t="shared" si="266"/>
        <v>0</v>
      </c>
      <c r="JR22" s="1202">
        <f t="shared" si="267"/>
        <v>0</v>
      </c>
      <c r="JS22" s="1202">
        <f t="shared" si="268"/>
        <v>0</v>
      </c>
      <c r="JT22" s="1202">
        <f t="shared" si="269"/>
        <v>0</v>
      </c>
      <c r="JU22" s="1202">
        <f t="shared" si="270"/>
        <v>0</v>
      </c>
      <c r="JV22" s="1202">
        <f t="shared" si="271"/>
        <v>0</v>
      </c>
      <c r="JW22" s="1202">
        <f t="shared" si="272"/>
        <v>0</v>
      </c>
      <c r="JX22" s="1202">
        <f t="shared" si="273"/>
        <v>0</v>
      </c>
      <c r="JY22" s="1202">
        <f t="shared" si="274"/>
        <v>0</v>
      </c>
      <c r="JZ22" s="1202">
        <f t="shared" si="275"/>
        <v>0</v>
      </c>
      <c r="KA22" s="1202">
        <f t="shared" si="276"/>
        <v>0</v>
      </c>
      <c r="KB22" s="1202">
        <f t="shared" si="277"/>
        <v>0</v>
      </c>
      <c r="KC22" s="1202">
        <f t="shared" si="278"/>
        <v>0</v>
      </c>
      <c r="KD22" s="1202">
        <f t="shared" si="279"/>
        <v>0</v>
      </c>
      <c r="KE22" s="1202">
        <f t="shared" si="280"/>
        <v>0</v>
      </c>
      <c r="KF22" s="1202">
        <f t="shared" si="281"/>
        <v>0</v>
      </c>
      <c r="KG22" s="1202">
        <f t="shared" si="282"/>
        <v>0</v>
      </c>
      <c r="KH22" s="1202">
        <f t="shared" si="283"/>
        <v>0</v>
      </c>
      <c r="KI22" s="1202">
        <f t="shared" si="284"/>
        <v>0</v>
      </c>
      <c r="KJ22" s="1202">
        <f t="shared" si="285"/>
        <v>0</v>
      </c>
      <c r="KK22" s="1202">
        <f t="shared" si="286"/>
        <v>0</v>
      </c>
      <c r="KL22" s="1202">
        <f t="shared" si="287"/>
        <v>0</v>
      </c>
      <c r="KM22" s="1202">
        <f t="shared" si="288"/>
        <v>0</v>
      </c>
      <c r="KN22" s="1202">
        <f t="shared" si="289"/>
        <v>0</v>
      </c>
      <c r="KO22" s="1202">
        <f t="shared" si="290"/>
        <v>0</v>
      </c>
      <c r="KP22" s="1202">
        <f t="shared" si="291"/>
        <v>0</v>
      </c>
      <c r="KQ22" s="1202">
        <f t="shared" si="292"/>
        <v>0</v>
      </c>
      <c r="KR22" s="1202">
        <f t="shared" si="293"/>
        <v>0</v>
      </c>
      <c r="KS22" s="1202">
        <f t="shared" si="294"/>
        <v>0</v>
      </c>
      <c r="KT22" s="1202">
        <f t="shared" si="295"/>
        <v>0</v>
      </c>
      <c r="KU22" s="1202">
        <f t="shared" si="296"/>
        <v>0</v>
      </c>
      <c r="KV22" s="1202">
        <f t="shared" si="297"/>
        <v>0</v>
      </c>
      <c r="KW22" s="1202">
        <f t="shared" si="298"/>
        <v>0</v>
      </c>
      <c r="KX22" s="1202">
        <f t="shared" si="299"/>
        <v>0</v>
      </c>
      <c r="KY22" s="1202">
        <f t="shared" si="300"/>
        <v>0</v>
      </c>
      <c r="KZ22" s="1202">
        <f t="shared" si="301"/>
        <v>0</v>
      </c>
      <c r="LA22" s="1202">
        <f t="shared" si="302"/>
        <v>0</v>
      </c>
      <c r="LB22" s="1202">
        <f t="shared" si="303"/>
        <v>0</v>
      </c>
      <c r="LC22" s="1202">
        <f t="shared" si="304"/>
        <v>0</v>
      </c>
      <c r="LD22" s="1202">
        <f t="shared" si="305"/>
        <v>0</v>
      </c>
      <c r="LE22" s="1202">
        <f t="shared" si="306"/>
        <v>0</v>
      </c>
      <c r="LF22" s="1202">
        <f t="shared" si="307"/>
        <v>0</v>
      </c>
      <c r="LG22" s="1202"/>
    </row>
    <row r="23" spans="2:319" ht="15.6">
      <c r="B23" s="629"/>
      <c r="C23" s="630"/>
      <c r="D23" s="631"/>
      <c r="E23" s="633"/>
      <c r="F23" s="683"/>
      <c r="G23" s="684"/>
      <c r="H23" s="861"/>
      <c r="I23" s="686"/>
      <c r="J23" s="623">
        <f t="shared" ref="J23:J27" si="313">I23*H23</f>
        <v>0</v>
      </c>
      <c r="K23" s="621">
        <f>+H23/L23/Datos!$N$40</f>
        <v>0</v>
      </c>
      <c r="L23" s="622">
        <f t="shared" ref="L23:L27" si="314">N23-M23+1</f>
        <v>1</v>
      </c>
      <c r="M23" s="852"/>
      <c r="N23" s="853"/>
      <c r="O23" s="854">
        <f>+IF(C23&lt;&gt;"",VLOOKUP(C23,'AUX-NIV1'!B:AO,40,FALSE)*H23,0)</f>
        <v>0</v>
      </c>
      <c r="P23" s="803" t="str">
        <f t="shared" ref="P23:P27" si="315">IF(J23&gt;0,IF(+SUM(Q23:BM23)=1,"","REV."),"")</f>
        <v/>
      </c>
      <c r="Q23" s="1093">
        <f t="shared" ref="Q23:Q27" si="316">IF(AND($H23&gt;0,Q$7&gt;0),+IF(AND($M23&lt;=Q$7,$N23&gt;=Q$7),IF($W$6="QUINCENAL",1/(($N23-$M23)/0.5+1),1/($N23-$M23+1)),0),0)</f>
        <v>0</v>
      </c>
      <c r="R23" s="1094">
        <f t="shared" ref="R23:AG27" si="317">IF(AND($H23&gt;0,R$7&gt;0),+IF(AND($M23&lt;=R$7,$N23&gt;=R$7),IF($W$6="QUINCENAL",1/(($N23-$M23)/0.5+1),1/($N23-$M23+1)),0),0)</f>
        <v>0</v>
      </c>
      <c r="S23" s="1094">
        <f t="shared" si="317"/>
        <v>0</v>
      </c>
      <c r="T23" s="1094">
        <f t="shared" si="317"/>
        <v>0</v>
      </c>
      <c r="U23" s="1094">
        <f t="shared" si="317"/>
        <v>0</v>
      </c>
      <c r="V23" s="1094">
        <f t="shared" si="317"/>
        <v>0</v>
      </c>
      <c r="W23" s="1094">
        <f t="shared" si="317"/>
        <v>0</v>
      </c>
      <c r="X23" s="1094">
        <f t="shared" si="317"/>
        <v>0</v>
      </c>
      <c r="Y23" s="1094">
        <f t="shared" si="317"/>
        <v>0</v>
      </c>
      <c r="Z23" s="1094">
        <f t="shared" si="317"/>
        <v>0</v>
      </c>
      <c r="AA23" s="1094">
        <f t="shared" si="317"/>
        <v>0</v>
      </c>
      <c r="AB23" s="1094">
        <f t="shared" si="317"/>
        <v>0</v>
      </c>
      <c r="AC23" s="1094">
        <f t="shared" si="317"/>
        <v>0</v>
      </c>
      <c r="AD23" s="1094">
        <f t="shared" si="317"/>
        <v>0</v>
      </c>
      <c r="AE23" s="1094">
        <f t="shared" si="317"/>
        <v>0</v>
      </c>
      <c r="AF23" s="1094">
        <f t="shared" si="317"/>
        <v>0</v>
      </c>
      <c r="AG23" s="1094">
        <f t="shared" si="317"/>
        <v>0</v>
      </c>
      <c r="AH23" s="1094">
        <f t="shared" ref="AH23:AW27" si="318">IF(AND($H23&gt;0,AH$7&gt;0),+IF(AND($M23&lt;=AH$7,$N23&gt;=AH$7),IF($W$6="QUINCENAL",1/(($N23-$M23)/0.5+1),1/($N23-$M23+1)),0),0)</f>
        <v>0</v>
      </c>
      <c r="AI23" s="1094">
        <f t="shared" si="318"/>
        <v>0</v>
      </c>
      <c r="AJ23" s="1094">
        <f t="shared" si="318"/>
        <v>0</v>
      </c>
      <c r="AK23" s="1094">
        <f t="shared" si="318"/>
        <v>0</v>
      </c>
      <c r="AL23" s="1094">
        <f t="shared" si="318"/>
        <v>0</v>
      </c>
      <c r="AM23" s="1094">
        <f t="shared" si="318"/>
        <v>0</v>
      </c>
      <c r="AN23" s="1094">
        <f t="shared" si="318"/>
        <v>0</v>
      </c>
      <c r="AO23" s="1094">
        <f t="shared" si="318"/>
        <v>0</v>
      </c>
      <c r="AP23" s="1094">
        <f t="shared" si="318"/>
        <v>0</v>
      </c>
      <c r="AQ23" s="1094">
        <f t="shared" si="318"/>
        <v>0</v>
      </c>
      <c r="AR23" s="1094">
        <f t="shared" si="318"/>
        <v>0</v>
      </c>
      <c r="AS23" s="1094">
        <f t="shared" si="318"/>
        <v>0</v>
      </c>
      <c r="AT23" s="1094">
        <f t="shared" si="318"/>
        <v>0</v>
      </c>
      <c r="AU23" s="1094">
        <f t="shared" si="318"/>
        <v>0</v>
      </c>
      <c r="AV23" s="1094">
        <f t="shared" si="318"/>
        <v>0</v>
      </c>
      <c r="AW23" s="1094">
        <f t="shared" si="318"/>
        <v>0</v>
      </c>
      <c r="AX23" s="1094">
        <f t="shared" ref="AX23:BM27" si="319">IF(AND($H23&gt;0,AX$7&gt;0),+IF(AND($M23&lt;=AX$7,$N23&gt;=AX$7),IF($W$6="QUINCENAL",1/(($N23-$M23)/0.5+1),1/($N23-$M23+1)),0),0)</f>
        <v>0</v>
      </c>
      <c r="AY23" s="1094">
        <f t="shared" si="319"/>
        <v>0</v>
      </c>
      <c r="AZ23" s="1094">
        <f t="shared" si="319"/>
        <v>0</v>
      </c>
      <c r="BA23" s="1094">
        <f t="shared" si="319"/>
        <v>0</v>
      </c>
      <c r="BB23" s="1094">
        <f t="shared" si="319"/>
        <v>0</v>
      </c>
      <c r="BC23" s="1094">
        <f t="shared" si="319"/>
        <v>0</v>
      </c>
      <c r="BD23" s="1094">
        <f t="shared" si="319"/>
        <v>0</v>
      </c>
      <c r="BE23" s="1094">
        <f t="shared" si="319"/>
        <v>0</v>
      </c>
      <c r="BF23" s="1094">
        <f t="shared" si="319"/>
        <v>0</v>
      </c>
      <c r="BG23" s="1094">
        <f t="shared" si="319"/>
        <v>0</v>
      </c>
      <c r="BH23" s="1094">
        <f t="shared" si="319"/>
        <v>0</v>
      </c>
      <c r="BI23" s="1094">
        <f t="shared" si="319"/>
        <v>0</v>
      </c>
      <c r="BJ23" s="1094">
        <f t="shared" si="319"/>
        <v>0</v>
      </c>
      <c r="BK23" s="1094">
        <f t="shared" si="319"/>
        <v>0</v>
      </c>
      <c r="BL23" s="1094">
        <f t="shared" si="319"/>
        <v>0</v>
      </c>
      <c r="BM23" s="1095">
        <f t="shared" si="319"/>
        <v>0</v>
      </c>
      <c r="BN23" s="785"/>
      <c r="BO23" s="1204">
        <f t="shared" ref="BO23:BO27" si="320">SUM(BP23:BU23)-J23</f>
        <v>0</v>
      </c>
      <c r="BP23" s="1203">
        <f>+SUMIF('AUX-NIV1'!$B:$B,Crono!$C23,'AUX-NIV1'!AQ:AQ)*Crono!$H23</f>
        <v>0</v>
      </c>
      <c r="BQ23" s="1202">
        <f>+SUMIF('AUX-NIV1'!$B:$B,Crono!$C23,'AUX-NIV1'!AR:AR)*Crono!$H23</f>
        <v>0</v>
      </c>
      <c r="BR23" s="1202">
        <f>+SUMIF('AUX-NIV1'!$B:$B,Crono!$C23,'AUX-NIV1'!AS:AS)*Crono!$H23</f>
        <v>0</v>
      </c>
      <c r="BS23" s="1202">
        <f>+SUMIF('AUX-NIV1'!$B:$B,Crono!$C23,'AUX-NIV1'!AT:AT)*Crono!$H23</f>
        <v>0</v>
      </c>
      <c r="BT23" s="1202">
        <f>+SUMIF('AUX-NIV1'!$B:$B,Crono!$C23,'AUX-NIV1'!AU:AU)*Crono!$H23</f>
        <v>0</v>
      </c>
      <c r="BU23" s="1202"/>
      <c r="BW23" s="1202">
        <f t="shared" ref="BW23:BW27" si="321">$BP23*Q23</f>
        <v>0</v>
      </c>
      <c r="BX23" s="1202">
        <f t="shared" ref="BX23:BX27" si="322">$BP23*R23</f>
        <v>0</v>
      </c>
      <c r="BY23" s="1202">
        <f t="shared" ref="BY23:BY27" si="323">$BP23*S23</f>
        <v>0</v>
      </c>
      <c r="BZ23" s="1202">
        <f t="shared" ref="BZ23:BZ27" si="324">$BP23*T23</f>
        <v>0</v>
      </c>
      <c r="CA23" s="1202">
        <f t="shared" ref="CA23:CA27" si="325">$BP23*U23</f>
        <v>0</v>
      </c>
      <c r="CB23" s="1202">
        <f t="shared" ref="CB23:CB27" si="326">$BP23*V23</f>
        <v>0</v>
      </c>
      <c r="CC23" s="1202">
        <f t="shared" ref="CC23:CC27" si="327">$BP23*W23</f>
        <v>0</v>
      </c>
      <c r="CD23" s="1202">
        <f t="shared" ref="CD23:CD27" si="328">$BP23*X23</f>
        <v>0</v>
      </c>
      <c r="CE23" s="1202">
        <f t="shared" ref="CE23:CE27" si="329">$BP23*Y23</f>
        <v>0</v>
      </c>
      <c r="CF23" s="1202">
        <f t="shared" ref="CF23:CF27" si="330">$BP23*Z23</f>
        <v>0</v>
      </c>
      <c r="CG23" s="1202">
        <f t="shared" ref="CG23:CG27" si="331">$BP23*AA23</f>
        <v>0</v>
      </c>
      <c r="CH23" s="1202">
        <f t="shared" ref="CH23:CH27" si="332">$BP23*AB23</f>
        <v>0</v>
      </c>
      <c r="CI23" s="1202">
        <f t="shared" ref="CI23:CI27" si="333">$BP23*AC23</f>
        <v>0</v>
      </c>
      <c r="CJ23" s="1202">
        <f t="shared" ref="CJ23:CJ27" si="334">$BP23*AD23</f>
        <v>0</v>
      </c>
      <c r="CK23" s="1202">
        <f t="shared" ref="CK23:CK27" si="335">$BP23*AE23</f>
        <v>0</v>
      </c>
      <c r="CL23" s="1202">
        <f t="shared" ref="CL23:CL27" si="336">$BP23*AF23</f>
        <v>0</v>
      </c>
      <c r="CM23" s="1202">
        <f t="shared" ref="CM23:CM27" si="337">$BP23*AG23</f>
        <v>0</v>
      </c>
      <c r="CN23" s="1202">
        <f t="shared" ref="CN23:CN27" si="338">$BP23*AH23</f>
        <v>0</v>
      </c>
      <c r="CO23" s="1202">
        <f t="shared" ref="CO23:CO27" si="339">$BP23*AI23</f>
        <v>0</v>
      </c>
      <c r="CP23" s="1202">
        <f t="shared" ref="CP23:CP27" si="340">$BP23*AJ23</f>
        <v>0</v>
      </c>
      <c r="CQ23" s="1202">
        <f t="shared" ref="CQ23:CQ27" si="341">$BP23*AK23</f>
        <v>0</v>
      </c>
      <c r="CR23" s="1202">
        <f t="shared" ref="CR23:CR27" si="342">$BP23*AL23</f>
        <v>0</v>
      </c>
      <c r="CS23" s="1202">
        <f t="shared" ref="CS23:CS27" si="343">$BP23*AM23</f>
        <v>0</v>
      </c>
      <c r="CT23" s="1202">
        <f t="shared" ref="CT23:CT27" si="344">$BP23*AN23</f>
        <v>0</v>
      </c>
      <c r="CU23" s="1202">
        <f t="shared" ref="CU23:CU27" si="345">$BP23*AO23</f>
        <v>0</v>
      </c>
      <c r="CV23" s="1202">
        <f t="shared" ref="CV23:CV27" si="346">$BP23*AP23</f>
        <v>0</v>
      </c>
      <c r="CW23" s="1202">
        <f t="shared" ref="CW23:CW27" si="347">$BP23*AQ23</f>
        <v>0</v>
      </c>
      <c r="CX23" s="1202">
        <f t="shared" ref="CX23:CX27" si="348">$BP23*AR23</f>
        <v>0</v>
      </c>
      <c r="CY23" s="1202">
        <f t="shared" ref="CY23:CY27" si="349">$BP23*AS23</f>
        <v>0</v>
      </c>
      <c r="CZ23" s="1202">
        <f t="shared" ref="CZ23:CZ27" si="350">$BP23*AT23</f>
        <v>0</v>
      </c>
      <c r="DA23" s="1202">
        <f t="shared" ref="DA23:DA27" si="351">$BP23*AU23</f>
        <v>0</v>
      </c>
      <c r="DB23" s="1202">
        <f t="shared" ref="DB23:DB27" si="352">$BP23*AV23</f>
        <v>0</v>
      </c>
      <c r="DC23" s="1202">
        <f t="shared" ref="DC23:DC27" si="353">$BP23*AW23</f>
        <v>0</v>
      </c>
      <c r="DD23" s="1202">
        <f t="shared" ref="DD23:DD27" si="354">$BP23*AX23</f>
        <v>0</v>
      </c>
      <c r="DE23" s="1202">
        <f t="shared" ref="DE23:DE27" si="355">$BP23*AY23</f>
        <v>0</v>
      </c>
      <c r="DF23" s="1202">
        <f t="shared" ref="DF23:DF27" si="356">$BP23*AZ23</f>
        <v>0</v>
      </c>
      <c r="DG23" s="1202">
        <f t="shared" ref="DG23:DG27" si="357">$BP23*BA23</f>
        <v>0</v>
      </c>
      <c r="DH23" s="1202">
        <f t="shared" ref="DH23:DH27" si="358">$BP23*BB23</f>
        <v>0</v>
      </c>
      <c r="DI23" s="1202">
        <f t="shared" ref="DI23:DI27" si="359">$BP23*BC23</f>
        <v>0</v>
      </c>
      <c r="DJ23" s="1202">
        <f t="shared" ref="DJ23:DJ27" si="360">$BP23*BD23</f>
        <v>0</v>
      </c>
      <c r="DK23" s="1202">
        <f t="shared" ref="DK23:DK27" si="361">$BP23*BE23</f>
        <v>0</v>
      </c>
      <c r="DL23" s="1202">
        <f t="shared" ref="DL23:DL27" si="362">$BP23*BF23</f>
        <v>0</v>
      </c>
      <c r="DM23" s="1202">
        <f t="shared" ref="DM23:DM27" si="363">$BP23*BG23</f>
        <v>0</v>
      </c>
      <c r="DN23" s="1202">
        <f t="shared" ref="DN23:DN27" si="364">$BP23*BH23</f>
        <v>0</v>
      </c>
      <c r="DO23" s="1202">
        <f t="shared" ref="DO23:DO27" si="365">$BP23*BI23</f>
        <v>0</v>
      </c>
      <c r="DP23" s="1202">
        <f t="shared" ref="DP23:DP27" si="366">$BP23*BJ23</f>
        <v>0</v>
      </c>
      <c r="DQ23" s="1202">
        <f t="shared" ref="DQ23:DQ27" si="367">$BP23*BK23</f>
        <v>0</v>
      </c>
      <c r="DR23" s="1202">
        <f t="shared" ref="DR23:DR27" si="368">$BP23*BL23</f>
        <v>0</v>
      </c>
      <c r="DS23" s="1202"/>
      <c r="DT23" s="1202">
        <f t="shared" ref="DT23:DT27" si="369">$BQ23*Q23</f>
        <v>0</v>
      </c>
      <c r="DU23" s="1202">
        <f t="shared" ref="DU23:DU27" si="370">$BQ23*R23</f>
        <v>0</v>
      </c>
      <c r="DV23" s="1202">
        <f t="shared" ref="DV23:DV27" si="371">$BQ23*S23</f>
        <v>0</v>
      </c>
      <c r="DW23" s="1202">
        <f t="shared" ref="DW23:DW27" si="372">$BQ23*T23</f>
        <v>0</v>
      </c>
      <c r="DX23" s="1202">
        <f t="shared" ref="DX23:DX27" si="373">$BQ23*U23</f>
        <v>0</v>
      </c>
      <c r="DY23" s="1202">
        <f t="shared" ref="DY23:DY27" si="374">$BQ23*V23</f>
        <v>0</v>
      </c>
      <c r="DZ23" s="1202">
        <f t="shared" ref="DZ23:DZ27" si="375">$BQ23*W23</f>
        <v>0</v>
      </c>
      <c r="EA23" s="1202">
        <f t="shared" ref="EA23:EA27" si="376">$BQ23*X23</f>
        <v>0</v>
      </c>
      <c r="EB23" s="1202">
        <f t="shared" ref="EB23:EB27" si="377">$BQ23*Y23</f>
        <v>0</v>
      </c>
      <c r="EC23" s="1202">
        <f t="shared" ref="EC23:EC27" si="378">$BQ23*Z23</f>
        <v>0</v>
      </c>
      <c r="ED23" s="1202">
        <f t="shared" ref="ED23:ED27" si="379">$BQ23*AA23</f>
        <v>0</v>
      </c>
      <c r="EE23" s="1202">
        <f t="shared" ref="EE23:EE27" si="380">$BQ23*AB23</f>
        <v>0</v>
      </c>
      <c r="EF23" s="1202">
        <f t="shared" ref="EF23:EF27" si="381">$BQ23*AC23</f>
        <v>0</v>
      </c>
      <c r="EG23" s="1202">
        <f t="shared" ref="EG23:EG27" si="382">$BQ23*AD23</f>
        <v>0</v>
      </c>
      <c r="EH23" s="1202">
        <f t="shared" ref="EH23:EH27" si="383">$BQ23*AE23</f>
        <v>0</v>
      </c>
      <c r="EI23" s="1202">
        <f t="shared" ref="EI23:EI27" si="384">$BQ23*AF23</f>
        <v>0</v>
      </c>
      <c r="EJ23" s="1202">
        <f t="shared" ref="EJ23:EJ27" si="385">$BQ23*AG23</f>
        <v>0</v>
      </c>
      <c r="EK23" s="1202">
        <f t="shared" ref="EK23:EK27" si="386">$BQ23*AH23</f>
        <v>0</v>
      </c>
      <c r="EL23" s="1202">
        <f t="shared" ref="EL23:EL27" si="387">$BQ23*AI23</f>
        <v>0</v>
      </c>
      <c r="EM23" s="1202">
        <f t="shared" ref="EM23:EM27" si="388">$BQ23*AJ23</f>
        <v>0</v>
      </c>
      <c r="EN23" s="1202">
        <f t="shared" ref="EN23:EN27" si="389">$BQ23*AK23</f>
        <v>0</v>
      </c>
      <c r="EO23" s="1202">
        <f t="shared" ref="EO23:EO27" si="390">$BQ23*AL23</f>
        <v>0</v>
      </c>
      <c r="EP23" s="1202">
        <f t="shared" ref="EP23:EP27" si="391">$BQ23*AM23</f>
        <v>0</v>
      </c>
      <c r="EQ23" s="1202">
        <f t="shared" ref="EQ23:EQ27" si="392">$BQ23*AN23</f>
        <v>0</v>
      </c>
      <c r="ER23" s="1202">
        <f t="shared" ref="ER23:ER27" si="393">$BQ23*AO23</f>
        <v>0</v>
      </c>
      <c r="ES23" s="1202">
        <f t="shared" ref="ES23:ES27" si="394">$BQ23*AP23</f>
        <v>0</v>
      </c>
      <c r="ET23" s="1202">
        <f t="shared" ref="ET23:ET27" si="395">$BQ23*AQ23</f>
        <v>0</v>
      </c>
      <c r="EU23" s="1202">
        <f t="shared" ref="EU23:EU27" si="396">$BQ23*AR23</f>
        <v>0</v>
      </c>
      <c r="EV23" s="1202">
        <f t="shared" ref="EV23:EV27" si="397">$BQ23*AS23</f>
        <v>0</v>
      </c>
      <c r="EW23" s="1202">
        <f t="shared" ref="EW23:EW27" si="398">$BQ23*AT23</f>
        <v>0</v>
      </c>
      <c r="EX23" s="1202">
        <f t="shared" ref="EX23:EX27" si="399">$BQ23*AU23</f>
        <v>0</v>
      </c>
      <c r="EY23" s="1202">
        <f t="shared" ref="EY23:EY27" si="400">$BQ23*AV23</f>
        <v>0</v>
      </c>
      <c r="EZ23" s="1202">
        <f t="shared" ref="EZ23:EZ27" si="401">$BQ23*AW23</f>
        <v>0</v>
      </c>
      <c r="FA23" s="1202">
        <f t="shared" ref="FA23:FA27" si="402">$BQ23*AX23</f>
        <v>0</v>
      </c>
      <c r="FB23" s="1202">
        <f t="shared" ref="FB23:FB27" si="403">$BQ23*AY23</f>
        <v>0</v>
      </c>
      <c r="FC23" s="1202">
        <f t="shared" ref="FC23:FC27" si="404">$BQ23*AZ23</f>
        <v>0</v>
      </c>
      <c r="FD23" s="1202">
        <f t="shared" ref="FD23:FD27" si="405">$BQ23*BA23</f>
        <v>0</v>
      </c>
      <c r="FE23" s="1202">
        <f t="shared" ref="FE23:FE27" si="406">$BQ23*BB23</f>
        <v>0</v>
      </c>
      <c r="FF23" s="1202">
        <f t="shared" ref="FF23:FF27" si="407">$BQ23*BC23</f>
        <v>0</v>
      </c>
      <c r="FG23" s="1202">
        <f t="shared" ref="FG23:FG27" si="408">$BQ23*BD23</f>
        <v>0</v>
      </c>
      <c r="FH23" s="1202">
        <f t="shared" ref="FH23:FH27" si="409">$BQ23*BE23</f>
        <v>0</v>
      </c>
      <c r="FI23" s="1202">
        <f t="shared" ref="FI23:FI27" si="410">$BQ23*BF23</f>
        <v>0</v>
      </c>
      <c r="FJ23" s="1202">
        <f t="shared" ref="FJ23:FJ27" si="411">$BQ23*BG23</f>
        <v>0</v>
      </c>
      <c r="FK23" s="1202">
        <f t="shared" ref="FK23:FK27" si="412">$BQ23*BH23</f>
        <v>0</v>
      </c>
      <c r="FL23" s="1202">
        <f t="shared" ref="FL23:FL27" si="413">$BQ23*BI23</f>
        <v>0</v>
      </c>
      <c r="FM23" s="1202">
        <f t="shared" ref="FM23:FM27" si="414">$BQ23*BJ23</f>
        <v>0</v>
      </c>
      <c r="FN23" s="1202">
        <f t="shared" ref="FN23:FN27" si="415">$BQ23*BK23</f>
        <v>0</v>
      </c>
      <c r="FO23" s="1202">
        <f t="shared" ref="FO23:FO27" si="416">$BQ23*BL23</f>
        <v>0</v>
      </c>
      <c r="FP23" s="1202"/>
      <c r="FQ23" s="1202">
        <f t="shared" ref="FQ23:FQ26" si="417">$BR23*Q23</f>
        <v>0</v>
      </c>
      <c r="FR23" s="1202">
        <f t="shared" ref="FR23:FR27" si="418">$BR23*R23</f>
        <v>0</v>
      </c>
      <c r="FS23" s="1202">
        <f t="shared" ref="FS23:FS27" si="419">$BR23*S23</f>
        <v>0</v>
      </c>
      <c r="FT23" s="1202">
        <f t="shared" ref="FT23:FT27" si="420">$BR23*T23</f>
        <v>0</v>
      </c>
      <c r="FU23" s="1202">
        <f t="shared" ref="FU23:FU27" si="421">$BR23*U23</f>
        <v>0</v>
      </c>
      <c r="FV23" s="1202">
        <f t="shared" ref="FV23:FV27" si="422">$BR23*V23</f>
        <v>0</v>
      </c>
      <c r="FW23" s="1202">
        <f t="shared" ref="FW23:FW27" si="423">$BR23*W23</f>
        <v>0</v>
      </c>
      <c r="FX23" s="1202">
        <f t="shared" ref="FX23:FX27" si="424">$BR23*X23</f>
        <v>0</v>
      </c>
      <c r="FY23" s="1202">
        <f t="shared" ref="FY23:FY27" si="425">$BR23*Y23</f>
        <v>0</v>
      </c>
      <c r="FZ23" s="1202">
        <f t="shared" ref="FZ23:FZ27" si="426">$BR23*Z23</f>
        <v>0</v>
      </c>
      <c r="GA23" s="1202">
        <f t="shared" ref="GA23:GA27" si="427">$BR23*AA23</f>
        <v>0</v>
      </c>
      <c r="GB23" s="1202">
        <f t="shared" ref="GB23:GB27" si="428">$BR23*AB23</f>
        <v>0</v>
      </c>
      <c r="GC23" s="1202">
        <f t="shared" ref="GC23:GC27" si="429">$BR23*AC23</f>
        <v>0</v>
      </c>
      <c r="GD23" s="1202">
        <f t="shared" ref="GD23:GD27" si="430">$BR23*AD23</f>
        <v>0</v>
      </c>
      <c r="GE23" s="1202">
        <f t="shared" ref="GE23:GE27" si="431">$BR23*AE23</f>
        <v>0</v>
      </c>
      <c r="GF23" s="1202">
        <f t="shared" ref="GF23:GF27" si="432">$BR23*AF23</f>
        <v>0</v>
      </c>
      <c r="GG23" s="1202">
        <f t="shared" ref="GG23:GG27" si="433">$BR23*AG23</f>
        <v>0</v>
      </c>
      <c r="GH23" s="1202">
        <f t="shared" ref="GH23:GH27" si="434">$BR23*AH23</f>
        <v>0</v>
      </c>
      <c r="GI23" s="1202">
        <f t="shared" ref="GI23:GI27" si="435">$BR23*AI23</f>
        <v>0</v>
      </c>
      <c r="GJ23" s="1202">
        <f t="shared" ref="GJ23:GJ27" si="436">$BR23*AJ23</f>
        <v>0</v>
      </c>
      <c r="GK23" s="1202">
        <f t="shared" ref="GK23:GK27" si="437">$BR23*AK23</f>
        <v>0</v>
      </c>
      <c r="GL23" s="1202">
        <f t="shared" ref="GL23:GL27" si="438">$BR23*AL23</f>
        <v>0</v>
      </c>
      <c r="GM23" s="1202">
        <f t="shared" ref="GM23:GM27" si="439">$BR23*AM23</f>
        <v>0</v>
      </c>
      <c r="GN23" s="1202">
        <f t="shared" ref="GN23:GN27" si="440">$BR23*AN23</f>
        <v>0</v>
      </c>
      <c r="GO23" s="1202">
        <f t="shared" ref="GO23:GO27" si="441">$BR23*AO23</f>
        <v>0</v>
      </c>
      <c r="GP23" s="1202">
        <f t="shared" ref="GP23:GP27" si="442">$BR23*AP23</f>
        <v>0</v>
      </c>
      <c r="GQ23" s="1202">
        <f t="shared" ref="GQ23:GQ27" si="443">$BR23*AQ23</f>
        <v>0</v>
      </c>
      <c r="GR23" s="1202">
        <f t="shared" ref="GR23:GR27" si="444">$BR23*AR23</f>
        <v>0</v>
      </c>
      <c r="GS23" s="1202">
        <f t="shared" ref="GS23:GS27" si="445">$BR23*AS23</f>
        <v>0</v>
      </c>
      <c r="GT23" s="1202">
        <f t="shared" ref="GT23:GT27" si="446">$BR23*AT23</f>
        <v>0</v>
      </c>
      <c r="GU23" s="1202">
        <f t="shared" ref="GU23:GU27" si="447">$BR23*AU23</f>
        <v>0</v>
      </c>
      <c r="GV23" s="1202">
        <f t="shared" ref="GV23:GV27" si="448">$BR23*AV23</f>
        <v>0</v>
      </c>
      <c r="GW23" s="1202">
        <f t="shared" ref="GW23:GW27" si="449">$BR23*AW23</f>
        <v>0</v>
      </c>
      <c r="GX23" s="1202">
        <f t="shared" ref="GX23:GX27" si="450">$BR23*AX23</f>
        <v>0</v>
      </c>
      <c r="GY23" s="1202">
        <f t="shared" ref="GY23:GY27" si="451">$BR23*AY23</f>
        <v>0</v>
      </c>
      <c r="GZ23" s="1202">
        <f t="shared" ref="GZ23:GZ27" si="452">$BR23*AZ23</f>
        <v>0</v>
      </c>
      <c r="HA23" s="1202">
        <f t="shared" ref="HA23:HA27" si="453">$BR23*BA23</f>
        <v>0</v>
      </c>
      <c r="HB23" s="1202">
        <f t="shared" ref="HB23:HB27" si="454">$BR23*BB23</f>
        <v>0</v>
      </c>
      <c r="HC23" s="1202">
        <f t="shared" ref="HC23:HC27" si="455">$BR23*BC23</f>
        <v>0</v>
      </c>
      <c r="HD23" s="1202">
        <f t="shared" ref="HD23:HD27" si="456">$BR23*BD23</f>
        <v>0</v>
      </c>
      <c r="HE23" s="1202">
        <f t="shared" ref="HE23:HE27" si="457">$BR23*BE23</f>
        <v>0</v>
      </c>
      <c r="HF23" s="1202">
        <f t="shared" ref="HF23:HF27" si="458">$BR23*BF23</f>
        <v>0</v>
      </c>
      <c r="HG23" s="1202">
        <f t="shared" ref="HG23:HG27" si="459">$BR23*BG23</f>
        <v>0</v>
      </c>
      <c r="HH23" s="1202">
        <f t="shared" ref="HH23:HH27" si="460">$BR23*BH23</f>
        <v>0</v>
      </c>
      <c r="HI23" s="1202">
        <f t="shared" ref="HI23:HI27" si="461">$BR23*BI23</f>
        <v>0</v>
      </c>
      <c r="HJ23" s="1202">
        <f t="shared" ref="HJ23:HJ27" si="462">$BR23*BJ23</f>
        <v>0</v>
      </c>
      <c r="HK23" s="1202">
        <f t="shared" ref="HK23:HK27" si="463">$BR23*BK23</f>
        <v>0</v>
      </c>
      <c r="HL23" s="1202">
        <f t="shared" ref="HL23:HL27" si="464">$BR23*BL23</f>
        <v>0</v>
      </c>
      <c r="HM23" s="1202"/>
      <c r="HN23" s="1202">
        <f t="shared" ref="HN23:HN26" si="465">$BS23*Q23</f>
        <v>0</v>
      </c>
      <c r="HO23" s="1202">
        <f t="shared" ref="HO23:HO26" si="466">$BS23*R23</f>
        <v>0</v>
      </c>
      <c r="HP23" s="1202">
        <f t="shared" ref="HP23:HP26" si="467">$BS23*S23</f>
        <v>0</v>
      </c>
      <c r="HQ23" s="1202">
        <f t="shared" ref="HQ23:HQ26" si="468">$BS23*T23</f>
        <v>0</v>
      </c>
      <c r="HR23" s="1202">
        <f t="shared" ref="HR23:HR26" si="469">$BS23*U23</f>
        <v>0</v>
      </c>
      <c r="HS23" s="1202">
        <f t="shared" ref="HS23:HS26" si="470">$BS23*V23</f>
        <v>0</v>
      </c>
      <c r="HT23" s="1202">
        <f t="shared" ref="HT23:HT26" si="471">$BS23*W23</f>
        <v>0</v>
      </c>
      <c r="HU23" s="1202">
        <f t="shared" ref="HU23:HU26" si="472">$BS23*X23</f>
        <v>0</v>
      </c>
      <c r="HV23" s="1202">
        <f t="shared" ref="HV23:HV26" si="473">$BS23*Y23</f>
        <v>0</v>
      </c>
      <c r="HW23" s="1202">
        <f t="shared" ref="HW23:HW26" si="474">$BS23*Z23</f>
        <v>0</v>
      </c>
      <c r="HX23" s="1202">
        <f t="shared" ref="HX23:HX26" si="475">$BS23*AA23</f>
        <v>0</v>
      </c>
      <c r="HY23" s="1202">
        <f t="shared" ref="HY23:HY26" si="476">$BS23*AB23</f>
        <v>0</v>
      </c>
      <c r="HZ23" s="1202">
        <f t="shared" ref="HZ23:HZ26" si="477">$BS23*AC23</f>
        <v>0</v>
      </c>
      <c r="IA23" s="1202">
        <f t="shared" ref="IA23:IA26" si="478">$BS23*AD23</f>
        <v>0</v>
      </c>
      <c r="IB23" s="1202">
        <f t="shared" ref="IB23:IB26" si="479">$BS23*AE23</f>
        <v>0</v>
      </c>
      <c r="IC23" s="1202">
        <f t="shared" ref="IC23:IC26" si="480">$BS23*AF23</f>
        <v>0</v>
      </c>
      <c r="ID23" s="1202">
        <f t="shared" ref="ID23:ID26" si="481">$BS23*AG23</f>
        <v>0</v>
      </c>
      <c r="IE23" s="1202">
        <f t="shared" ref="IE23:IE26" si="482">$BS23*AH23</f>
        <v>0</v>
      </c>
      <c r="IF23" s="1202">
        <f t="shared" ref="IF23:IF26" si="483">$BS23*AI23</f>
        <v>0</v>
      </c>
      <c r="IG23" s="1202">
        <f t="shared" ref="IG23:IG26" si="484">$BS23*AJ23</f>
        <v>0</v>
      </c>
      <c r="IH23" s="1202">
        <f t="shared" ref="IH23:IH26" si="485">$BS23*AK23</f>
        <v>0</v>
      </c>
      <c r="II23" s="1202">
        <f t="shared" ref="II23:II26" si="486">$BS23*AL23</f>
        <v>0</v>
      </c>
      <c r="IJ23" s="1202">
        <f t="shared" ref="IJ23:IJ26" si="487">$BS23*AM23</f>
        <v>0</v>
      </c>
      <c r="IK23" s="1202">
        <f t="shared" ref="IK23:IK26" si="488">$BS23*AN23</f>
        <v>0</v>
      </c>
      <c r="IL23" s="1202">
        <f t="shared" ref="IL23:IL26" si="489">$BS23*AO23</f>
        <v>0</v>
      </c>
      <c r="IM23" s="1202">
        <f t="shared" ref="IM23:IM26" si="490">$BS23*AP23</f>
        <v>0</v>
      </c>
      <c r="IN23" s="1202">
        <f t="shared" ref="IN23:IN26" si="491">$BS23*AQ23</f>
        <v>0</v>
      </c>
      <c r="IO23" s="1202">
        <f t="shared" ref="IO23:IO26" si="492">$BS23*AR23</f>
        <v>0</v>
      </c>
      <c r="IP23" s="1202">
        <f t="shared" ref="IP23:IP26" si="493">$BS23*AS23</f>
        <v>0</v>
      </c>
      <c r="IQ23" s="1202">
        <f t="shared" ref="IQ23:IQ26" si="494">$BS23*AT23</f>
        <v>0</v>
      </c>
      <c r="IR23" s="1202">
        <f t="shared" ref="IR23:IR26" si="495">$BS23*AU23</f>
        <v>0</v>
      </c>
      <c r="IS23" s="1202">
        <f t="shared" ref="IS23:IS26" si="496">$BS23*AV23</f>
        <v>0</v>
      </c>
      <c r="IT23" s="1202">
        <f t="shared" ref="IT23:IT26" si="497">$BS23*AW23</f>
        <v>0</v>
      </c>
      <c r="IU23" s="1202">
        <f t="shared" ref="IU23:IU26" si="498">$BS23*AX23</f>
        <v>0</v>
      </c>
      <c r="IV23" s="1202">
        <f t="shared" ref="IV23:IV26" si="499">$BS23*AY23</f>
        <v>0</v>
      </c>
      <c r="IW23" s="1202">
        <f t="shared" ref="IW23:IW26" si="500">$BS23*AZ23</f>
        <v>0</v>
      </c>
      <c r="IX23" s="1202">
        <f t="shared" ref="IX23:IX26" si="501">$BS23*BA23</f>
        <v>0</v>
      </c>
      <c r="IY23" s="1202">
        <f t="shared" ref="IY23:IY26" si="502">$BS23*BB23</f>
        <v>0</v>
      </c>
      <c r="IZ23" s="1202">
        <f t="shared" ref="IZ23:IZ26" si="503">$BS23*BC23</f>
        <v>0</v>
      </c>
      <c r="JA23" s="1202">
        <f t="shared" ref="JA23:JA26" si="504">$BS23*BD23</f>
        <v>0</v>
      </c>
      <c r="JB23" s="1202">
        <f t="shared" ref="JB23:JB26" si="505">$BS23*BE23</f>
        <v>0</v>
      </c>
      <c r="JC23" s="1202">
        <f t="shared" ref="JC23:JC26" si="506">$BS23*BF23</f>
        <v>0</v>
      </c>
      <c r="JD23" s="1202">
        <f t="shared" ref="JD23:JD26" si="507">$BS23*BG23</f>
        <v>0</v>
      </c>
      <c r="JE23" s="1202">
        <f t="shared" ref="JE23:JE26" si="508">$BS23*BH23</f>
        <v>0</v>
      </c>
      <c r="JF23" s="1202">
        <f t="shared" ref="JF23:JF26" si="509">$BS23*BI23</f>
        <v>0</v>
      </c>
      <c r="JG23" s="1202">
        <f t="shared" ref="JG23:JG26" si="510">$BS23*BJ23</f>
        <v>0</v>
      </c>
      <c r="JH23" s="1202">
        <f t="shared" ref="JH23:JH26" si="511">$BS23*BK23</f>
        <v>0</v>
      </c>
      <c r="JI23" s="1202">
        <f t="shared" ref="JI23:JI26" si="512">$BS23*BL23</f>
        <v>0</v>
      </c>
      <c r="JJ23" s="1202"/>
      <c r="JK23" s="1202">
        <f t="shared" ref="JK23:JK27" si="513">$BT23*Q23</f>
        <v>0</v>
      </c>
      <c r="JL23" s="1202">
        <f t="shared" ref="JL23:JL27" si="514">$BT23*R23</f>
        <v>0</v>
      </c>
      <c r="JM23" s="1202">
        <f t="shared" ref="JM23:JM27" si="515">$BT23*S23</f>
        <v>0</v>
      </c>
      <c r="JN23" s="1202">
        <f t="shared" ref="JN23:JN27" si="516">$BT23*T23</f>
        <v>0</v>
      </c>
      <c r="JO23" s="1202">
        <f t="shared" ref="JO23:JO27" si="517">$BT23*U23</f>
        <v>0</v>
      </c>
      <c r="JP23" s="1202">
        <f t="shared" ref="JP23:JP27" si="518">$BT23*V23</f>
        <v>0</v>
      </c>
      <c r="JQ23" s="1202">
        <f t="shared" ref="JQ23:JQ27" si="519">$BT23*W23</f>
        <v>0</v>
      </c>
      <c r="JR23" s="1202">
        <f t="shared" ref="JR23:JR27" si="520">$BT23*X23</f>
        <v>0</v>
      </c>
      <c r="JS23" s="1202">
        <f t="shared" ref="JS23:JS27" si="521">$BT23*Y23</f>
        <v>0</v>
      </c>
      <c r="JT23" s="1202">
        <f t="shared" ref="JT23:JT27" si="522">$BT23*Z23</f>
        <v>0</v>
      </c>
      <c r="JU23" s="1202">
        <f t="shared" ref="JU23:JU27" si="523">$BT23*AA23</f>
        <v>0</v>
      </c>
      <c r="JV23" s="1202">
        <f t="shared" ref="JV23:JV27" si="524">$BT23*AB23</f>
        <v>0</v>
      </c>
      <c r="JW23" s="1202">
        <f t="shared" ref="JW23:JW27" si="525">$BT23*AC23</f>
        <v>0</v>
      </c>
      <c r="JX23" s="1202">
        <f t="shared" ref="JX23:JX27" si="526">$BT23*AD23</f>
        <v>0</v>
      </c>
      <c r="JY23" s="1202">
        <f t="shared" ref="JY23:JY27" si="527">$BT23*AE23</f>
        <v>0</v>
      </c>
      <c r="JZ23" s="1202">
        <f t="shared" ref="JZ23:JZ27" si="528">$BT23*AF23</f>
        <v>0</v>
      </c>
      <c r="KA23" s="1202">
        <f t="shared" ref="KA23:KA27" si="529">$BT23*AG23</f>
        <v>0</v>
      </c>
      <c r="KB23" s="1202">
        <f t="shared" ref="KB23:KB27" si="530">$BT23*AH23</f>
        <v>0</v>
      </c>
      <c r="KC23" s="1202">
        <f t="shared" ref="KC23:KC27" si="531">$BT23*AI23</f>
        <v>0</v>
      </c>
      <c r="KD23" s="1202">
        <f t="shared" ref="KD23:KD27" si="532">$BT23*AJ23</f>
        <v>0</v>
      </c>
      <c r="KE23" s="1202">
        <f t="shared" ref="KE23:KE27" si="533">$BT23*AK23</f>
        <v>0</v>
      </c>
      <c r="KF23" s="1202">
        <f t="shared" ref="KF23:KF27" si="534">$BT23*AL23</f>
        <v>0</v>
      </c>
      <c r="KG23" s="1202">
        <f t="shared" ref="KG23:KG27" si="535">$BT23*AM23</f>
        <v>0</v>
      </c>
      <c r="KH23" s="1202">
        <f t="shared" ref="KH23:KH27" si="536">$BT23*AN23</f>
        <v>0</v>
      </c>
      <c r="KI23" s="1202">
        <f t="shared" ref="KI23:KI27" si="537">$BT23*AO23</f>
        <v>0</v>
      </c>
      <c r="KJ23" s="1202">
        <f t="shared" ref="KJ23:KJ27" si="538">$BT23*AP23</f>
        <v>0</v>
      </c>
      <c r="KK23" s="1202">
        <f t="shared" ref="KK23:KK27" si="539">$BT23*AQ23</f>
        <v>0</v>
      </c>
      <c r="KL23" s="1202">
        <f t="shared" ref="KL23:KL27" si="540">$BT23*AR23</f>
        <v>0</v>
      </c>
      <c r="KM23" s="1202">
        <f t="shared" ref="KM23:KM27" si="541">$BT23*AS23</f>
        <v>0</v>
      </c>
      <c r="KN23" s="1202">
        <f t="shared" ref="KN23:KN27" si="542">$BT23*AT23</f>
        <v>0</v>
      </c>
      <c r="KO23" s="1202">
        <f t="shared" ref="KO23:KO27" si="543">$BT23*AU23</f>
        <v>0</v>
      </c>
      <c r="KP23" s="1202">
        <f t="shared" ref="KP23:KP27" si="544">$BT23*AV23</f>
        <v>0</v>
      </c>
      <c r="KQ23" s="1202">
        <f t="shared" ref="KQ23:KQ27" si="545">$BT23*AW23</f>
        <v>0</v>
      </c>
      <c r="KR23" s="1202">
        <f t="shared" ref="KR23:KR27" si="546">$BT23*AX23</f>
        <v>0</v>
      </c>
      <c r="KS23" s="1202">
        <f t="shared" ref="KS23:KS27" si="547">$BT23*AY23</f>
        <v>0</v>
      </c>
      <c r="KT23" s="1202">
        <f t="shared" ref="KT23:KT27" si="548">$BT23*AZ23</f>
        <v>0</v>
      </c>
      <c r="KU23" s="1202">
        <f t="shared" ref="KU23:KU27" si="549">$BT23*BA23</f>
        <v>0</v>
      </c>
      <c r="KV23" s="1202">
        <f t="shared" ref="KV23:KV27" si="550">$BT23*BB23</f>
        <v>0</v>
      </c>
      <c r="KW23" s="1202">
        <f t="shared" ref="KW23:KW27" si="551">$BT23*BC23</f>
        <v>0</v>
      </c>
      <c r="KX23" s="1202">
        <f t="shared" ref="KX23:KX27" si="552">$BT23*BD23</f>
        <v>0</v>
      </c>
      <c r="KY23" s="1202">
        <f t="shared" ref="KY23:KY27" si="553">$BT23*BE23</f>
        <v>0</v>
      </c>
      <c r="KZ23" s="1202">
        <f t="shared" ref="KZ23:KZ27" si="554">$BT23*BF23</f>
        <v>0</v>
      </c>
      <c r="LA23" s="1202">
        <f t="shared" ref="LA23:LA27" si="555">$BT23*BG23</f>
        <v>0</v>
      </c>
      <c r="LB23" s="1202">
        <f t="shared" ref="LB23:LB27" si="556">$BT23*BH23</f>
        <v>0</v>
      </c>
      <c r="LC23" s="1202">
        <f t="shared" ref="LC23:LC27" si="557">$BT23*BI23</f>
        <v>0</v>
      </c>
      <c r="LD23" s="1202">
        <f t="shared" ref="LD23:LD27" si="558">$BT23*BJ23</f>
        <v>0</v>
      </c>
      <c r="LE23" s="1202">
        <f t="shared" ref="LE23:LE27" si="559">$BT23*BK23</f>
        <v>0</v>
      </c>
      <c r="LF23" s="1202">
        <f t="shared" ref="LF23:LF27" si="560">$BT23*BL23</f>
        <v>0</v>
      </c>
      <c r="LG23" s="1202"/>
    </row>
    <row r="24" spans="2:319" ht="15.6">
      <c r="B24" s="629"/>
      <c r="C24" s="630"/>
      <c r="D24" s="631"/>
      <c r="E24" s="633"/>
      <c r="F24" s="683"/>
      <c r="G24" s="684"/>
      <c r="H24" s="861"/>
      <c r="I24" s="686"/>
      <c r="J24" s="623">
        <f t="shared" si="313"/>
        <v>0</v>
      </c>
      <c r="K24" s="621">
        <f>+H24/L24/Datos!$N$40</f>
        <v>0</v>
      </c>
      <c r="L24" s="622">
        <f t="shared" si="314"/>
        <v>1</v>
      </c>
      <c r="M24" s="852"/>
      <c r="N24" s="853"/>
      <c r="O24" s="854">
        <f>+IF(C24&lt;&gt;"",VLOOKUP(C24,'AUX-NIV1'!B:AO,40,FALSE)*H24,0)</f>
        <v>0</v>
      </c>
      <c r="P24" s="803" t="str">
        <f t="shared" si="315"/>
        <v/>
      </c>
      <c r="Q24" s="1093">
        <f t="shared" si="316"/>
        <v>0</v>
      </c>
      <c r="R24" s="1094">
        <f t="shared" si="317"/>
        <v>0</v>
      </c>
      <c r="S24" s="1094">
        <f t="shared" si="317"/>
        <v>0</v>
      </c>
      <c r="T24" s="1094">
        <f t="shared" si="317"/>
        <v>0</v>
      </c>
      <c r="U24" s="1094">
        <f t="shared" si="317"/>
        <v>0</v>
      </c>
      <c r="V24" s="1094">
        <f t="shared" si="317"/>
        <v>0</v>
      </c>
      <c r="W24" s="1094">
        <f t="shared" si="317"/>
        <v>0</v>
      </c>
      <c r="X24" s="1094">
        <f t="shared" si="317"/>
        <v>0</v>
      </c>
      <c r="Y24" s="1094">
        <f t="shared" si="317"/>
        <v>0</v>
      </c>
      <c r="Z24" s="1094">
        <f t="shared" si="317"/>
        <v>0</v>
      </c>
      <c r="AA24" s="1094">
        <f t="shared" si="317"/>
        <v>0</v>
      </c>
      <c r="AB24" s="1094">
        <f t="shared" si="317"/>
        <v>0</v>
      </c>
      <c r="AC24" s="1094">
        <f t="shared" si="317"/>
        <v>0</v>
      </c>
      <c r="AD24" s="1094">
        <f t="shared" si="317"/>
        <v>0</v>
      </c>
      <c r="AE24" s="1094">
        <f t="shared" si="317"/>
        <v>0</v>
      </c>
      <c r="AF24" s="1094">
        <f t="shared" si="317"/>
        <v>0</v>
      </c>
      <c r="AG24" s="1094">
        <f t="shared" si="317"/>
        <v>0</v>
      </c>
      <c r="AH24" s="1094">
        <f t="shared" si="318"/>
        <v>0</v>
      </c>
      <c r="AI24" s="1094">
        <f t="shared" si="318"/>
        <v>0</v>
      </c>
      <c r="AJ24" s="1094">
        <f t="shared" si="318"/>
        <v>0</v>
      </c>
      <c r="AK24" s="1094">
        <f t="shared" si="318"/>
        <v>0</v>
      </c>
      <c r="AL24" s="1094">
        <f t="shared" si="318"/>
        <v>0</v>
      </c>
      <c r="AM24" s="1094">
        <f t="shared" si="318"/>
        <v>0</v>
      </c>
      <c r="AN24" s="1094">
        <f t="shared" si="318"/>
        <v>0</v>
      </c>
      <c r="AO24" s="1094">
        <f t="shared" si="318"/>
        <v>0</v>
      </c>
      <c r="AP24" s="1094">
        <f t="shared" si="318"/>
        <v>0</v>
      </c>
      <c r="AQ24" s="1094">
        <f t="shared" si="318"/>
        <v>0</v>
      </c>
      <c r="AR24" s="1094">
        <f t="shared" si="318"/>
        <v>0</v>
      </c>
      <c r="AS24" s="1094">
        <f t="shared" si="318"/>
        <v>0</v>
      </c>
      <c r="AT24" s="1094">
        <f t="shared" si="318"/>
        <v>0</v>
      </c>
      <c r="AU24" s="1094">
        <f t="shared" si="318"/>
        <v>0</v>
      </c>
      <c r="AV24" s="1094">
        <f t="shared" si="318"/>
        <v>0</v>
      </c>
      <c r="AW24" s="1094">
        <f t="shared" si="318"/>
        <v>0</v>
      </c>
      <c r="AX24" s="1094">
        <f t="shared" si="319"/>
        <v>0</v>
      </c>
      <c r="AY24" s="1094">
        <f t="shared" si="319"/>
        <v>0</v>
      </c>
      <c r="AZ24" s="1094">
        <f t="shared" si="319"/>
        <v>0</v>
      </c>
      <c r="BA24" s="1094">
        <f t="shared" si="319"/>
        <v>0</v>
      </c>
      <c r="BB24" s="1094">
        <f t="shared" si="319"/>
        <v>0</v>
      </c>
      <c r="BC24" s="1094">
        <f t="shared" si="319"/>
        <v>0</v>
      </c>
      <c r="BD24" s="1094">
        <f t="shared" si="319"/>
        <v>0</v>
      </c>
      <c r="BE24" s="1094">
        <f t="shared" si="319"/>
        <v>0</v>
      </c>
      <c r="BF24" s="1094">
        <f t="shared" si="319"/>
        <v>0</v>
      </c>
      <c r="BG24" s="1094">
        <f t="shared" si="319"/>
        <v>0</v>
      </c>
      <c r="BH24" s="1094">
        <f t="shared" si="319"/>
        <v>0</v>
      </c>
      <c r="BI24" s="1094">
        <f t="shared" si="319"/>
        <v>0</v>
      </c>
      <c r="BJ24" s="1094">
        <f t="shared" si="319"/>
        <v>0</v>
      </c>
      <c r="BK24" s="1094">
        <f t="shared" si="319"/>
        <v>0</v>
      </c>
      <c r="BL24" s="1094">
        <f t="shared" si="319"/>
        <v>0</v>
      </c>
      <c r="BM24" s="1095">
        <f t="shared" si="319"/>
        <v>0</v>
      </c>
      <c r="BN24" s="785"/>
      <c r="BO24" s="1204">
        <f t="shared" si="320"/>
        <v>0</v>
      </c>
      <c r="BP24" s="1203">
        <f>+SUMIF('AUX-NIV1'!$B:$B,Crono!$C24,'AUX-NIV1'!AQ:AQ)*Crono!$H24</f>
        <v>0</v>
      </c>
      <c r="BQ24" s="1202">
        <f>+SUMIF('AUX-NIV1'!$B:$B,Crono!$C24,'AUX-NIV1'!AR:AR)*Crono!$H24</f>
        <v>0</v>
      </c>
      <c r="BR24" s="1202">
        <f>+SUMIF('AUX-NIV1'!$B:$B,Crono!$C24,'AUX-NIV1'!AS:AS)*Crono!$H24</f>
        <v>0</v>
      </c>
      <c r="BS24" s="1202">
        <f>+SUMIF('AUX-NIV1'!$B:$B,Crono!$C24,'AUX-NIV1'!AT:AT)*Crono!$H24</f>
        <v>0</v>
      </c>
      <c r="BT24" s="1202">
        <f>+SUMIF('AUX-NIV1'!$B:$B,Crono!$C24,'AUX-NIV1'!AU:AU)*Crono!$H24</f>
        <v>0</v>
      </c>
      <c r="BU24" s="1202"/>
      <c r="BW24" s="1202">
        <f t="shared" si="321"/>
        <v>0</v>
      </c>
      <c r="BX24" s="1202">
        <f t="shared" si="322"/>
        <v>0</v>
      </c>
      <c r="BY24" s="1202">
        <f t="shared" si="323"/>
        <v>0</v>
      </c>
      <c r="BZ24" s="1202">
        <f t="shared" si="324"/>
        <v>0</v>
      </c>
      <c r="CA24" s="1202">
        <f t="shared" si="325"/>
        <v>0</v>
      </c>
      <c r="CB24" s="1202">
        <f t="shared" si="326"/>
        <v>0</v>
      </c>
      <c r="CC24" s="1202">
        <f t="shared" si="327"/>
        <v>0</v>
      </c>
      <c r="CD24" s="1202">
        <f t="shared" si="328"/>
        <v>0</v>
      </c>
      <c r="CE24" s="1202">
        <f t="shared" si="329"/>
        <v>0</v>
      </c>
      <c r="CF24" s="1202">
        <f t="shared" si="330"/>
        <v>0</v>
      </c>
      <c r="CG24" s="1202">
        <f t="shared" si="331"/>
        <v>0</v>
      </c>
      <c r="CH24" s="1202">
        <f t="shared" si="332"/>
        <v>0</v>
      </c>
      <c r="CI24" s="1202">
        <f t="shared" si="333"/>
        <v>0</v>
      </c>
      <c r="CJ24" s="1202">
        <f t="shared" si="334"/>
        <v>0</v>
      </c>
      <c r="CK24" s="1202">
        <f t="shared" si="335"/>
        <v>0</v>
      </c>
      <c r="CL24" s="1202">
        <f t="shared" si="336"/>
        <v>0</v>
      </c>
      <c r="CM24" s="1202">
        <f t="shared" si="337"/>
        <v>0</v>
      </c>
      <c r="CN24" s="1202">
        <f t="shared" si="338"/>
        <v>0</v>
      </c>
      <c r="CO24" s="1202">
        <f t="shared" si="339"/>
        <v>0</v>
      </c>
      <c r="CP24" s="1202">
        <f t="shared" si="340"/>
        <v>0</v>
      </c>
      <c r="CQ24" s="1202">
        <f t="shared" si="341"/>
        <v>0</v>
      </c>
      <c r="CR24" s="1202">
        <f t="shared" si="342"/>
        <v>0</v>
      </c>
      <c r="CS24" s="1202">
        <f t="shared" si="343"/>
        <v>0</v>
      </c>
      <c r="CT24" s="1202">
        <f t="shared" si="344"/>
        <v>0</v>
      </c>
      <c r="CU24" s="1202">
        <f t="shared" si="345"/>
        <v>0</v>
      </c>
      <c r="CV24" s="1202">
        <f t="shared" si="346"/>
        <v>0</v>
      </c>
      <c r="CW24" s="1202">
        <f t="shared" si="347"/>
        <v>0</v>
      </c>
      <c r="CX24" s="1202">
        <f t="shared" si="348"/>
        <v>0</v>
      </c>
      <c r="CY24" s="1202">
        <f t="shared" si="349"/>
        <v>0</v>
      </c>
      <c r="CZ24" s="1202">
        <f t="shared" si="350"/>
        <v>0</v>
      </c>
      <c r="DA24" s="1202">
        <f t="shared" si="351"/>
        <v>0</v>
      </c>
      <c r="DB24" s="1202">
        <f t="shared" si="352"/>
        <v>0</v>
      </c>
      <c r="DC24" s="1202">
        <f t="shared" si="353"/>
        <v>0</v>
      </c>
      <c r="DD24" s="1202">
        <f t="shared" si="354"/>
        <v>0</v>
      </c>
      <c r="DE24" s="1202">
        <f t="shared" si="355"/>
        <v>0</v>
      </c>
      <c r="DF24" s="1202">
        <f t="shared" si="356"/>
        <v>0</v>
      </c>
      <c r="DG24" s="1202">
        <f t="shared" si="357"/>
        <v>0</v>
      </c>
      <c r="DH24" s="1202">
        <f t="shared" si="358"/>
        <v>0</v>
      </c>
      <c r="DI24" s="1202">
        <f t="shared" si="359"/>
        <v>0</v>
      </c>
      <c r="DJ24" s="1202">
        <f t="shared" si="360"/>
        <v>0</v>
      </c>
      <c r="DK24" s="1202">
        <f t="shared" si="361"/>
        <v>0</v>
      </c>
      <c r="DL24" s="1202">
        <f t="shared" si="362"/>
        <v>0</v>
      </c>
      <c r="DM24" s="1202">
        <f t="shared" si="363"/>
        <v>0</v>
      </c>
      <c r="DN24" s="1202">
        <f t="shared" si="364"/>
        <v>0</v>
      </c>
      <c r="DO24" s="1202">
        <f t="shared" si="365"/>
        <v>0</v>
      </c>
      <c r="DP24" s="1202">
        <f t="shared" si="366"/>
        <v>0</v>
      </c>
      <c r="DQ24" s="1202">
        <f t="shared" si="367"/>
        <v>0</v>
      </c>
      <c r="DR24" s="1202">
        <f t="shared" si="368"/>
        <v>0</v>
      </c>
      <c r="DS24" s="1202"/>
      <c r="DT24" s="1202">
        <f t="shared" si="369"/>
        <v>0</v>
      </c>
      <c r="DU24" s="1202">
        <f t="shared" si="370"/>
        <v>0</v>
      </c>
      <c r="DV24" s="1202">
        <f t="shared" si="371"/>
        <v>0</v>
      </c>
      <c r="DW24" s="1202">
        <f t="shared" si="372"/>
        <v>0</v>
      </c>
      <c r="DX24" s="1202">
        <f t="shared" si="373"/>
        <v>0</v>
      </c>
      <c r="DY24" s="1202">
        <f t="shared" si="374"/>
        <v>0</v>
      </c>
      <c r="DZ24" s="1202">
        <f t="shared" si="375"/>
        <v>0</v>
      </c>
      <c r="EA24" s="1202">
        <f t="shared" si="376"/>
        <v>0</v>
      </c>
      <c r="EB24" s="1202">
        <f t="shared" si="377"/>
        <v>0</v>
      </c>
      <c r="EC24" s="1202">
        <f t="shared" si="378"/>
        <v>0</v>
      </c>
      <c r="ED24" s="1202">
        <f t="shared" si="379"/>
        <v>0</v>
      </c>
      <c r="EE24" s="1202">
        <f t="shared" si="380"/>
        <v>0</v>
      </c>
      <c r="EF24" s="1202">
        <f t="shared" si="381"/>
        <v>0</v>
      </c>
      <c r="EG24" s="1202">
        <f t="shared" si="382"/>
        <v>0</v>
      </c>
      <c r="EH24" s="1202">
        <f t="shared" si="383"/>
        <v>0</v>
      </c>
      <c r="EI24" s="1202">
        <f t="shared" si="384"/>
        <v>0</v>
      </c>
      <c r="EJ24" s="1202">
        <f t="shared" si="385"/>
        <v>0</v>
      </c>
      <c r="EK24" s="1202">
        <f t="shared" si="386"/>
        <v>0</v>
      </c>
      <c r="EL24" s="1202">
        <f t="shared" si="387"/>
        <v>0</v>
      </c>
      <c r="EM24" s="1202">
        <f t="shared" si="388"/>
        <v>0</v>
      </c>
      <c r="EN24" s="1202">
        <f t="shared" si="389"/>
        <v>0</v>
      </c>
      <c r="EO24" s="1202">
        <f t="shared" si="390"/>
        <v>0</v>
      </c>
      <c r="EP24" s="1202">
        <f t="shared" si="391"/>
        <v>0</v>
      </c>
      <c r="EQ24" s="1202">
        <f t="shared" si="392"/>
        <v>0</v>
      </c>
      <c r="ER24" s="1202">
        <f t="shared" si="393"/>
        <v>0</v>
      </c>
      <c r="ES24" s="1202">
        <f t="shared" si="394"/>
        <v>0</v>
      </c>
      <c r="ET24" s="1202">
        <f t="shared" si="395"/>
        <v>0</v>
      </c>
      <c r="EU24" s="1202">
        <f t="shared" si="396"/>
        <v>0</v>
      </c>
      <c r="EV24" s="1202">
        <f t="shared" si="397"/>
        <v>0</v>
      </c>
      <c r="EW24" s="1202">
        <f t="shared" si="398"/>
        <v>0</v>
      </c>
      <c r="EX24" s="1202">
        <f t="shared" si="399"/>
        <v>0</v>
      </c>
      <c r="EY24" s="1202">
        <f t="shared" si="400"/>
        <v>0</v>
      </c>
      <c r="EZ24" s="1202">
        <f t="shared" si="401"/>
        <v>0</v>
      </c>
      <c r="FA24" s="1202">
        <f t="shared" si="402"/>
        <v>0</v>
      </c>
      <c r="FB24" s="1202">
        <f t="shared" si="403"/>
        <v>0</v>
      </c>
      <c r="FC24" s="1202">
        <f t="shared" si="404"/>
        <v>0</v>
      </c>
      <c r="FD24" s="1202">
        <f t="shared" si="405"/>
        <v>0</v>
      </c>
      <c r="FE24" s="1202">
        <f t="shared" si="406"/>
        <v>0</v>
      </c>
      <c r="FF24" s="1202">
        <f t="shared" si="407"/>
        <v>0</v>
      </c>
      <c r="FG24" s="1202">
        <f t="shared" si="408"/>
        <v>0</v>
      </c>
      <c r="FH24" s="1202">
        <f t="shared" si="409"/>
        <v>0</v>
      </c>
      <c r="FI24" s="1202">
        <f t="shared" si="410"/>
        <v>0</v>
      </c>
      <c r="FJ24" s="1202">
        <f t="shared" si="411"/>
        <v>0</v>
      </c>
      <c r="FK24" s="1202">
        <f t="shared" si="412"/>
        <v>0</v>
      </c>
      <c r="FL24" s="1202">
        <f t="shared" si="413"/>
        <v>0</v>
      </c>
      <c r="FM24" s="1202">
        <f t="shared" si="414"/>
        <v>0</v>
      </c>
      <c r="FN24" s="1202">
        <f t="shared" si="415"/>
        <v>0</v>
      </c>
      <c r="FO24" s="1202">
        <f t="shared" si="416"/>
        <v>0</v>
      </c>
      <c r="FP24" s="1202"/>
      <c r="FQ24" s="1202">
        <f t="shared" si="417"/>
        <v>0</v>
      </c>
      <c r="FR24" s="1202">
        <f t="shared" si="418"/>
        <v>0</v>
      </c>
      <c r="FS24" s="1202">
        <f t="shared" si="419"/>
        <v>0</v>
      </c>
      <c r="FT24" s="1202">
        <f t="shared" si="420"/>
        <v>0</v>
      </c>
      <c r="FU24" s="1202">
        <f t="shared" si="421"/>
        <v>0</v>
      </c>
      <c r="FV24" s="1202">
        <f t="shared" si="422"/>
        <v>0</v>
      </c>
      <c r="FW24" s="1202">
        <f t="shared" si="423"/>
        <v>0</v>
      </c>
      <c r="FX24" s="1202">
        <f t="shared" si="424"/>
        <v>0</v>
      </c>
      <c r="FY24" s="1202">
        <f t="shared" si="425"/>
        <v>0</v>
      </c>
      <c r="FZ24" s="1202">
        <f t="shared" si="426"/>
        <v>0</v>
      </c>
      <c r="GA24" s="1202">
        <f t="shared" si="427"/>
        <v>0</v>
      </c>
      <c r="GB24" s="1202">
        <f t="shared" si="428"/>
        <v>0</v>
      </c>
      <c r="GC24" s="1202">
        <f t="shared" si="429"/>
        <v>0</v>
      </c>
      <c r="GD24" s="1202">
        <f t="shared" si="430"/>
        <v>0</v>
      </c>
      <c r="GE24" s="1202">
        <f t="shared" si="431"/>
        <v>0</v>
      </c>
      <c r="GF24" s="1202">
        <f t="shared" si="432"/>
        <v>0</v>
      </c>
      <c r="GG24" s="1202">
        <f t="shared" si="433"/>
        <v>0</v>
      </c>
      <c r="GH24" s="1202">
        <f t="shared" si="434"/>
        <v>0</v>
      </c>
      <c r="GI24" s="1202">
        <f t="shared" si="435"/>
        <v>0</v>
      </c>
      <c r="GJ24" s="1202">
        <f t="shared" si="436"/>
        <v>0</v>
      </c>
      <c r="GK24" s="1202">
        <f t="shared" si="437"/>
        <v>0</v>
      </c>
      <c r="GL24" s="1202">
        <f t="shared" si="438"/>
        <v>0</v>
      </c>
      <c r="GM24" s="1202">
        <f t="shared" si="439"/>
        <v>0</v>
      </c>
      <c r="GN24" s="1202">
        <f t="shared" si="440"/>
        <v>0</v>
      </c>
      <c r="GO24" s="1202">
        <f t="shared" si="441"/>
        <v>0</v>
      </c>
      <c r="GP24" s="1202">
        <f t="shared" si="442"/>
        <v>0</v>
      </c>
      <c r="GQ24" s="1202">
        <f t="shared" si="443"/>
        <v>0</v>
      </c>
      <c r="GR24" s="1202">
        <f t="shared" si="444"/>
        <v>0</v>
      </c>
      <c r="GS24" s="1202">
        <f t="shared" si="445"/>
        <v>0</v>
      </c>
      <c r="GT24" s="1202">
        <f t="shared" si="446"/>
        <v>0</v>
      </c>
      <c r="GU24" s="1202">
        <f t="shared" si="447"/>
        <v>0</v>
      </c>
      <c r="GV24" s="1202">
        <f t="shared" si="448"/>
        <v>0</v>
      </c>
      <c r="GW24" s="1202">
        <f t="shared" si="449"/>
        <v>0</v>
      </c>
      <c r="GX24" s="1202">
        <f t="shared" si="450"/>
        <v>0</v>
      </c>
      <c r="GY24" s="1202">
        <f t="shared" si="451"/>
        <v>0</v>
      </c>
      <c r="GZ24" s="1202">
        <f t="shared" si="452"/>
        <v>0</v>
      </c>
      <c r="HA24" s="1202">
        <f t="shared" si="453"/>
        <v>0</v>
      </c>
      <c r="HB24" s="1202">
        <f t="shared" si="454"/>
        <v>0</v>
      </c>
      <c r="HC24" s="1202">
        <f t="shared" si="455"/>
        <v>0</v>
      </c>
      <c r="HD24" s="1202">
        <f t="shared" si="456"/>
        <v>0</v>
      </c>
      <c r="HE24" s="1202">
        <f t="shared" si="457"/>
        <v>0</v>
      </c>
      <c r="HF24" s="1202">
        <f t="shared" si="458"/>
        <v>0</v>
      </c>
      <c r="HG24" s="1202">
        <f t="shared" si="459"/>
        <v>0</v>
      </c>
      <c r="HH24" s="1202">
        <f t="shared" si="460"/>
        <v>0</v>
      </c>
      <c r="HI24" s="1202">
        <f t="shared" si="461"/>
        <v>0</v>
      </c>
      <c r="HJ24" s="1202">
        <f t="shared" si="462"/>
        <v>0</v>
      </c>
      <c r="HK24" s="1202">
        <f t="shared" si="463"/>
        <v>0</v>
      </c>
      <c r="HL24" s="1202">
        <f t="shared" si="464"/>
        <v>0</v>
      </c>
      <c r="HM24" s="1202"/>
      <c r="HN24" s="1202">
        <f t="shared" si="465"/>
        <v>0</v>
      </c>
      <c r="HO24" s="1202">
        <f t="shared" si="466"/>
        <v>0</v>
      </c>
      <c r="HP24" s="1202">
        <f t="shared" si="467"/>
        <v>0</v>
      </c>
      <c r="HQ24" s="1202">
        <f t="shared" si="468"/>
        <v>0</v>
      </c>
      <c r="HR24" s="1202">
        <f t="shared" si="469"/>
        <v>0</v>
      </c>
      <c r="HS24" s="1202">
        <f t="shared" si="470"/>
        <v>0</v>
      </c>
      <c r="HT24" s="1202">
        <f t="shared" si="471"/>
        <v>0</v>
      </c>
      <c r="HU24" s="1202">
        <f t="shared" si="472"/>
        <v>0</v>
      </c>
      <c r="HV24" s="1202">
        <f t="shared" si="473"/>
        <v>0</v>
      </c>
      <c r="HW24" s="1202">
        <f t="shared" si="474"/>
        <v>0</v>
      </c>
      <c r="HX24" s="1202">
        <f t="shared" si="475"/>
        <v>0</v>
      </c>
      <c r="HY24" s="1202">
        <f t="shared" si="476"/>
        <v>0</v>
      </c>
      <c r="HZ24" s="1202">
        <f t="shared" si="477"/>
        <v>0</v>
      </c>
      <c r="IA24" s="1202">
        <f t="shared" si="478"/>
        <v>0</v>
      </c>
      <c r="IB24" s="1202">
        <f t="shared" si="479"/>
        <v>0</v>
      </c>
      <c r="IC24" s="1202">
        <f t="shared" si="480"/>
        <v>0</v>
      </c>
      <c r="ID24" s="1202">
        <f t="shared" si="481"/>
        <v>0</v>
      </c>
      <c r="IE24" s="1202">
        <f t="shared" si="482"/>
        <v>0</v>
      </c>
      <c r="IF24" s="1202">
        <f t="shared" si="483"/>
        <v>0</v>
      </c>
      <c r="IG24" s="1202">
        <f t="shared" si="484"/>
        <v>0</v>
      </c>
      <c r="IH24" s="1202">
        <f t="shared" si="485"/>
        <v>0</v>
      </c>
      <c r="II24" s="1202">
        <f t="shared" si="486"/>
        <v>0</v>
      </c>
      <c r="IJ24" s="1202">
        <f t="shared" si="487"/>
        <v>0</v>
      </c>
      <c r="IK24" s="1202">
        <f t="shared" si="488"/>
        <v>0</v>
      </c>
      <c r="IL24" s="1202">
        <f t="shared" si="489"/>
        <v>0</v>
      </c>
      <c r="IM24" s="1202">
        <f t="shared" si="490"/>
        <v>0</v>
      </c>
      <c r="IN24" s="1202">
        <f t="shared" si="491"/>
        <v>0</v>
      </c>
      <c r="IO24" s="1202">
        <f t="shared" si="492"/>
        <v>0</v>
      </c>
      <c r="IP24" s="1202">
        <f t="shared" si="493"/>
        <v>0</v>
      </c>
      <c r="IQ24" s="1202">
        <f t="shared" si="494"/>
        <v>0</v>
      </c>
      <c r="IR24" s="1202">
        <f t="shared" si="495"/>
        <v>0</v>
      </c>
      <c r="IS24" s="1202">
        <f t="shared" si="496"/>
        <v>0</v>
      </c>
      <c r="IT24" s="1202">
        <f t="shared" si="497"/>
        <v>0</v>
      </c>
      <c r="IU24" s="1202">
        <f t="shared" si="498"/>
        <v>0</v>
      </c>
      <c r="IV24" s="1202">
        <f t="shared" si="499"/>
        <v>0</v>
      </c>
      <c r="IW24" s="1202">
        <f t="shared" si="500"/>
        <v>0</v>
      </c>
      <c r="IX24" s="1202">
        <f t="shared" si="501"/>
        <v>0</v>
      </c>
      <c r="IY24" s="1202">
        <f t="shared" si="502"/>
        <v>0</v>
      </c>
      <c r="IZ24" s="1202">
        <f t="shared" si="503"/>
        <v>0</v>
      </c>
      <c r="JA24" s="1202">
        <f t="shared" si="504"/>
        <v>0</v>
      </c>
      <c r="JB24" s="1202">
        <f t="shared" si="505"/>
        <v>0</v>
      </c>
      <c r="JC24" s="1202">
        <f t="shared" si="506"/>
        <v>0</v>
      </c>
      <c r="JD24" s="1202">
        <f t="shared" si="507"/>
        <v>0</v>
      </c>
      <c r="JE24" s="1202">
        <f t="shared" si="508"/>
        <v>0</v>
      </c>
      <c r="JF24" s="1202">
        <f t="shared" si="509"/>
        <v>0</v>
      </c>
      <c r="JG24" s="1202">
        <f t="shared" si="510"/>
        <v>0</v>
      </c>
      <c r="JH24" s="1202">
        <f t="shared" si="511"/>
        <v>0</v>
      </c>
      <c r="JI24" s="1202">
        <f t="shared" si="512"/>
        <v>0</v>
      </c>
      <c r="JJ24" s="1202"/>
      <c r="JK24" s="1202">
        <f t="shared" si="513"/>
        <v>0</v>
      </c>
      <c r="JL24" s="1202">
        <f t="shared" si="514"/>
        <v>0</v>
      </c>
      <c r="JM24" s="1202">
        <f t="shared" si="515"/>
        <v>0</v>
      </c>
      <c r="JN24" s="1202">
        <f t="shared" si="516"/>
        <v>0</v>
      </c>
      <c r="JO24" s="1202">
        <f t="shared" si="517"/>
        <v>0</v>
      </c>
      <c r="JP24" s="1202">
        <f t="shared" si="518"/>
        <v>0</v>
      </c>
      <c r="JQ24" s="1202">
        <f t="shared" si="519"/>
        <v>0</v>
      </c>
      <c r="JR24" s="1202">
        <f t="shared" si="520"/>
        <v>0</v>
      </c>
      <c r="JS24" s="1202">
        <f t="shared" si="521"/>
        <v>0</v>
      </c>
      <c r="JT24" s="1202">
        <f t="shared" si="522"/>
        <v>0</v>
      </c>
      <c r="JU24" s="1202">
        <f t="shared" si="523"/>
        <v>0</v>
      </c>
      <c r="JV24" s="1202">
        <f t="shared" si="524"/>
        <v>0</v>
      </c>
      <c r="JW24" s="1202">
        <f t="shared" si="525"/>
        <v>0</v>
      </c>
      <c r="JX24" s="1202">
        <f t="shared" si="526"/>
        <v>0</v>
      </c>
      <c r="JY24" s="1202">
        <f t="shared" si="527"/>
        <v>0</v>
      </c>
      <c r="JZ24" s="1202">
        <f t="shared" si="528"/>
        <v>0</v>
      </c>
      <c r="KA24" s="1202">
        <f t="shared" si="529"/>
        <v>0</v>
      </c>
      <c r="KB24" s="1202">
        <f t="shared" si="530"/>
        <v>0</v>
      </c>
      <c r="KC24" s="1202">
        <f t="shared" si="531"/>
        <v>0</v>
      </c>
      <c r="KD24" s="1202">
        <f t="shared" si="532"/>
        <v>0</v>
      </c>
      <c r="KE24" s="1202">
        <f t="shared" si="533"/>
        <v>0</v>
      </c>
      <c r="KF24" s="1202">
        <f t="shared" si="534"/>
        <v>0</v>
      </c>
      <c r="KG24" s="1202">
        <f t="shared" si="535"/>
        <v>0</v>
      </c>
      <c r="KH24" s="1202">
        <f t="shared" si="536"/>
        <v>0</v>
      </c>
      <c r="KI24" s="1202">
        <f t="shared" si="537"/>
        <v>0</v>
      </c>
      <c r="KJ24" s="1202">
        <f t="shared" si="538"/>
        <v>0</v>
      </c>
      <c r="KK24" s="1202">
        <f t="shared" si="539"/>
        <v>0</v>
      </c>
      <c r="KL24" s="1202">
        <f t="shared" si="540"/>
        <v>0</v>
      </c>
      <c r="KM24" s="1202">
        <f t="shared" si="541"/>
        <v>0</v>
      </c>
      <c r="KN24" s="1202">
        <f t="shared" si="542"/>
        <v>0</v>
      </c>
      <c r="KO24" s="1202">
        <f t="shared" si="543"/>
        <v>0</v>
      </c>
      <c r="KP24" s="1202">
        <f t="shared" si="544"/>
        <v>0</v>
      </c>
      <c r="KQ24" s="1202">
        <f t="shared" si="545"/>
        <v>0</v>
      </c>
      <c r="KR24" s="1202">
        <f t="shared" si="546"/>
        <v>0</v>
      </c>
      <c r="KS24" s="1202">
        <f t="shared" si="547"/>
        <v>0</v>
      </c>
      <c r="KT24" s="1202">
        <f t="shared" si="548"/>
        <v>0</v>
      </c>
      <c r="KU24" s="1202">
        <f t="shared" si="549"/>
        <v>0</v>
      </c>
      <c r="KV24" s="1202">
        <f t="shared" si="550"/>
        <v>0</v>
      </c>
      <c r="KW24" s="1202">
        <f t="shared" si="551"/>
        <v>0</v>
      </c>
      <c r="KX24" s="1202">
        <f t="shared" si="552"/>
        <v>0</v>
      </c>
      <c r="KY24" s="1202">
        <f t="shared" si="553"/>
        <v>0</v>
      </c>
      <c r="KZ24" s="1202">
        <f t="shared" si="554"/>
        <v>0</v>
      </c>
      <c r="LA24" s="1202">
        <f t="shared" si="555"/>
        <v>0</v>
      </c>
      <c r="LB24" s="1202">
        <f t="shared" si="556"/>
        <v>0</v>
      </c>
      <c r="LC24" s="1202">
        <f t="shared" si="557"/>
        <v>0</v>
      </c>
      <c r="LD24" s="1202">
        <f t="shared" si="558"/>
        <v>0</v>
      </c>
      <c r="LE24" s="1202">
        <f t="shared" si="559"/>
        <v>0</v>
      </c>
      <c r="LF24" s="1202">
        <f t="shared" si="560"/>
        <v>0</v>
      </c>
      <c r="LG24" s="1202"/>
    </row>
    <row r="25" spans="2:319" ht="15.6">
      <c r="B25" s="629"/>
      <c r="C25" s="630"/>
      <c r="D25" s="631"/>
      <c r="E25" s="633"/>
      <c r="F25" s="683"/>
      <c r="G25" s="684"/>
      <c r="H25" s="861"/>
      <c r="I25" s="686"/>
      <c r="J25" s="623">
        <f t="shared" si="313"/>
        <v>0</v>
      </c>
      <c r="K25" s="621">
        <f>+H25/L25/Datos!$N$40</f>
        <v>0</v>
      </c>
      <c r="L25" s="622">
        <f t="shared" si="314"/>
        <v>1</v>
      </c>
      <c r="M25" s="852"/>
      <c r="N25" s="853"/>
      <c r="O25" s="854">
        <f>+IF(C25&lt;&gt;"",VLOOKUP(C25,'AUX-NIV1'!B:AO,40,FALSE)*H25,0)</f>
        <v>0</v>
      </c>
      <c r="P25" s="803" t="str">
        <f t="shared" si="315"/>
        <v/>
      </c>
      <c r="Q25" s="1093">
        <f t="shared" si="316"/>
        <v>0</v>
      </c>
      <c r="R25" s="1094">
        <f t="shared" si="317"/>
        <v>0</v>
      </c>
      <c r="S25" s="1094">
        <f t="shared" si="317"/>
        <v>0</v>
      </c>
      <c r="T25" s="1094">
        <f t="shared" si="317"/>
        <v>0</v>
      </c>
      <c r="U25" s="1094">
        <f t="shared" si="317"/>
        <v>0</v>
      </c>
      <c r="V25" s="1094">
        <f t="shared" si="317"/>
        <v>0</v>
      </c>
      <c r="W25" s="1094">
        <f t="shared" si="317"/>
        <v>0</v>
      </c>
      <c r="X25" s="1094">
        <f t="shared" si="317"/>
        <v>0</v>
      </c>
      <c r="Y25" s="1094">
        <f t="shared" si="317"/>
        <v>0</v>
      </c>
      <c r="Z25" s="1094">
        <f t="shared" si="317"/>
        <v>0</v>
      </c>
      <c r="AA25" s="1094">
        <f t="shared" si="317"/>
        <v>0</v>
      </c>
      <c r="AB25" s="1094">
        <f t="shared" si="317"/>
        <v>0</v>
      </c>
      <c r="AC25" s="1094">
        <f t="shared" si="317"/>
        <v>0</v>
      </c>
      <c r="AD25" s="1094">
        <f t="shared" si="317"/>
        <v>0</v>
      </c>
      <c r="AE25" s="1094">
        <f t="shared" si="317"/>
        <v>0</v>
      </c>
      <c r="AF25" s="1094">
        <f t="shared" si="317"/>
        <v>0</v>
      </c>
      <c r="AG25" s="1094">
        <f t="shared" si="317"/>
        <v>0</v>
      </c>
      <c r="AH25" s="1094">
        <f t="shared" si="318"/>
        <v>0</v>
      </c>
      <c r="AI25" s="1094">
        <f t="shared" si="318"/>
        <v>0</v>
      </c>
      <c r="AJ25" s="1094">
        <f t="shared" si="318"/>
        <v>0</v>
      </c>
      <c r="AK25" s="1094">
        <f t="shared" si="318"/>
        <v>0</v>
      </c>
      <c r="AL25" s="1094">
        <f t="shared" si="318"/>
        <v>0</v>
      </c>
      <c r="AM25" s="1094">
        <f t="shared" si="318"/>
        <v>0</v>
      </c>
      <c r="AN25" s="1094">
        <f t="shared" si="318"/>
        <v>0</v>
      </c>
      <c r="AO25" s="1094">
        <f t="shared" si="318"/>
        <v>0</v>
      </c>
      <c r="AP25" s="1094">
        <f t="shared" si="318"/>
        <v>0</v>
      </c>
      <c r="AQ25" s="1094">
        <f t="shared" si="318"/>
        <v>0</v>
      </c>
      <c r="AR25" s="1094">
        <f t="shared" si="318"/>
        <v>0</v>
      </c>
      <c r="AS25" s="1094">
        <f t="shared" si="318"/>
        <v>0</v>
      </c>
      <c r="AT25" s="1094">
        <f t="shared" si="318"/>
        <v>0</v>
      </c>
      <c r="AU25" s="1094">
        <f t="shared" si="318"/>
        <v>0</v>
      </c>
      <c r="AV25" s="1094">
        <f t="shared" si="318"/>
        <v>0</v>
      </c>
      <c r="AW25" s="1094">
        <f t="shared" si="318"/>
        <v>0</v>
      </c>
      <c r="AX25" s="1094">
        <f t="shared" si="319"/>
        <v>0</v>
      </c>
      <c r="AY25" s="1094">
        <f t="shared" si="319"/>
        <v>0</v>
      </c>
      <c r="AZ25" s="1094">
        <f t="shared" si="319"/>
        <v>0</v>
      </c>
      <c r="BA25" s="1094">
        <f t="shared" si="319"/>
        <v>0</v>
      </c>
      <c r="BB25" s="1094">
        <f t="shared" si="319"/>
        <v>0</v>
      </c>
      <c r="BC25" s="1094">
        <f t="shared" si="319"/>
        <v>0</v>
      </c>
      <c r="BD25" s="1094">
        <f t="shared" si="319"/>
        <v>0</v>
      </c>
      <c r="BE25" s="1094">
        <f t="shared" si="319"/>
        <v>0</v>
      </c>
      <c r="BF25" s="1094">
        <f t="shared" si="319"/>
        <v>0</v>
      </c>
      <c r="BG25" s="1094">
        <f t="shared" si="319"/>
        <v>0</v>
      </c>
      <c r="BH25" s="1094">
        <f t="shared" si="319"/>
        <v>0</v>
      </c>
      <c r="BI25" s="1094">
        <f t="shared" si="319"/>
        <v>0</v>
      </c>
      <c r="BJ25" s="1094">
        <f t="shared" si="319"/>
        <v>0</v>
      </c>
      <c r="BK25" s="1094">
        <f t="shared" si="319"/>
        <v>0</v>
      </c>
      <c r="BL25" s="1094">
        <f t="shared" si="319"/>
        <v>0</v>
      </c>
      <c r="BM25" s="1095">
        <f t="shared" si="319"/>
        <v>0</v>
      </c>
      <c r="BN25" s="785"/>
      <c r="BO25" s="1204">
        <f t="shared" si="320"/>
        <v>0</v>
      </c>
      <c r="BP25" s="1203">
        <f>+SUMIF('AUX-NIV1'!$B:$B,Crono!$C25,'AUX-NIV1'!AQ:AQ)*Crono!$H25</f>
        <v>0</v>
      </c>
      <c r="BQ25" s="1202">
        <f>+SUMIF('AUX-NIV1'!$B:$B,Crono!$C25,'AUX-NIV1'!AR:AR)*Crono!$H25</f>
        <v>0</v>
      </c>
      <c r="BR25" s="1202">
        <f>+SUMIF('AUX-NIV1'!$B:$B,Crono!$C25,'AUX-NIV1'!AS:AS)*Crono!$H25</f>
        <v>0</v>
      </c>
      <c r="BS25" s="1202">
        <f>+SUMIF('AUX-NIV1'!$B:$B,Crono!$C25,'AUX-NIV1'!AT:AT)*Crono!$H25</f>
        <v>0</v>
      </c>
      <c r="BT25" s="1202">
        <f>+SUMIF('AUX-NIV1'!$B:$B,Crono!$C25,'AUX-NIV1'!AU:AU)*Crono!$H25</f>
        <v>0</v>
      </c>
      <c r="BU25" s="1202"/>
      <c r="BW25" s="1202">
        <f t="shared" si="321"/>
        <v>0</v>
      </c>
      <c r="BX25" s="1202">
        <f t="shared" si="322"/>
        <v>0</v>
      </c>
      <c r="BY25" s="1202">
        <f t="shared" si="323"/>
        <v>0</v>
      </c>
      <c r="BZ25" s="1202">
        <f t="shared" si="324"/>
        <v>0</v>
      </c>
      <c r="CA25" s="1202">
        <f t="shared" si="325"/>
        <v>0</v>
      </c>
      <c r="CB25" s="1202">
        <f t="shared" si="326"/>
        <v>0</v>
      </c>
      <c r="CC25" s="1202">
        <f t="shared" si="327"/>
        <v>0</v>
      </c>
      <c r="CD25" s="1202">
        <f t="shared" si="328"/>
        <v>0</v>
      </c>
      <c r="CE25" s="1202">
        <f t="shared" si="329"/>
        <v>0</v>
      </c>
      <c r="CF25" s="1202">
        <f t="shared" si="330"/>
        <v>0</v>
      </c>
      <c r="CG25" s="1202">
        <f t="shared" si="331"/>
        <v>0</v>
      </c>
      <c r="CH25" s="1202">
        <f t="shared" si="332"/>
        <v>0</v>
      </c>
      <c r="CI25" s="1202">
        <f t="shared" si="333"/>
        <v>0</v>
      </c>
      <c r="CJ25" s="1202">
        <f t="shared" si="334"/>
        <v>0</v>
      </c>
      <c r="CK25" s="1202">
        <f t="shared" si="335"/>
        <v>0</v>
      </c>
      <c r="CL25" s="1202">
        <f t="shared" si="336"/>
        <v>0</v>
      </c>
      <c r="CM25" s="1202">
        <f t="shared" si="337"/>
        <v>0</v>
      </c>
      <c r="CN25" s="1202">
        <f t="shared" si="338"/>
        <v>0</v>
      </c>
      <c r="CO25" s="1202">
        <f t="shared" si="339"/>
        <v>0</v>
      </c>
      <c r="CP25" s="1202">
        <f t="shared" si="340"/>
        <v>0</v>
      </c>
      <c r="CQ25" s="1202">
        <f t="shared" si="341"/>
        <v>0</v>
      </c>
      <c r="CR25" s="1202">
        <f t="shared" si="342"/>
        <v>0</v>
      </c>
      <c r="CS25" s="1202">
        <f t="shared" si="343"/>
        <v>0</v>
      </c>
      <c r="CT25" s="1202">
        <f t="shared" si="344"/>
        <v>0</v>
      </c>
      <c r="CU25" s="1202">
        <f t="shared" si="345"/>
        <v>0</v>
      </c>
      <c r="CV25" s="1202">
        <f t="shared" si="346"/>
        <v>0</v>
      </c>
      <c r="CW25" s="1202">
        <f t="shared" si="347"/>
        <v>0</v>
      </c>
      <c r="CX25" s="1202">
        <f t="shared" si="348"/>
        <v>0</v>
      </c>
      <c r="CY25" s="1202">
        <f t="shared" si="349"/>
        <v>0</v>
      </c>
      <c r="CZ25" s="1202">
        <f t="shared" si="350"/>
        <v>0</v>
      </c>
      <c r="DA25" s="1202">
        <f t="shared" si="351"/>
        <v>0</v>
      </c>
      <c r="DB25" s="1202">
        <f t="shared" si="352"/>
        <v>0</v>
      </c>
      <c r="DC25" s="1202">
        <f t="shared" si="353"/>
        <v>0</v>
      </c>
      <c r="DD25" s="1202">
        <f t="shared" si="354"/>
        <v>0</v>
      </c>
      <c r="DE25" s="1202">
        <f t="shared" si="355"/>
        <v>0</v>
      </c>
      <c r="DF25" s="1202">
        <f t="shared" si="356"/>
        <v>0</v>
      </c>
      <c r="DG25" s="1202">
        <f t="shared" si="357"/>
        <v>0</v>
      </c>
      <c r="DH25" s="1202">
        <f t="shared" si="358"/>
        <v>0</v>
      </c>
      <c r="DI25" s="1202">
        <f t="shared" si="359"/>
        <v>0</v>
      </c>
      <c r="DJ25" s="1202">
        <f t="shared" si="360"/>
        <v>0</v>
      </c>
      <c r="DK25" s="1202">
        <f t="shared" si="361"/>
        <v>0</v>
      </c>
      <c r="DL25" s="1202">
        <f t="shared" si="362"/>
        <v>0</v>
      </c>
      <c r="DM25" s="1202">
        <f t="shared" si="363"/>
        <v>0</v>
      </c>
      <c r="DN25" s="1202">
        <f t="shared" si="364"/>
        <v>0</v>
      </c>
      <c r="DO25" s="1202">
        <f t="shared" si="365"/>
        <v>0</v>
      </c>
      <c r="DP25" s="1202">
        <f t="shared" si="366"/>
        <v>0</v>
      </c>
      <c r="DQ25" s="1202">
        <f t="shared" si="367"/>
        <v>0</v>
      </c>
      <c r="DR25" s="1202">
        <f t="shared" si="368"/>
        <v>0</v>
      </c>
      <c r="DS25" s="1202"/>
      <c r="DT25" s="1202">
        <f t="shared" si="369"/>
        <v>0</v>
      </c>
      <c r="DU25" s="1202">
        <f t="shared" si="370"/>
        <v>0</v>
      </c>
      <c r="DV25" s="1202">
        <f t="shared" si="371"/>
        <v>0</v>
      </c>
      <c r="DW25" s="1202">
        <f t="shared" si="372"/>
        <v>0</v>
      </c>
      <c r="DX25" s="1202">
        <f t="shared" si="373"/>
        <v>0</v>
      </c>
      <c r="DY25" s="1202">
        <f t="shared" si="374"/>
        <v>0</v>
      </c>
      <c r="DZ25" s="1202">
        <f t="shared" si="375"/>
        <v>0</v>
      </c>
      <c r="EA25" s="1202">
        <f t="shared" si="376"/>
        <v>0</v>
      </c>
      <c r="EB25" s="1202">
        <f t="shared" si="377"/>
        <v>0</v>
      </c>
      <c r="EC25" s="1202">
        <f t="shared" si="378"/>
        <v>0</v>
      </c>
      <c r="ED25" s="1202">
        <f t="shared" si="379"/>
        <v>0</v>
      </c>
      <c r="EE25" s="1202">
        <f t="shared" si="380"/>
        <v>0</v>
      </c>
      <c r="EF25" s="1202">
        <f t="shared" si="381"/>
        <v>0</v>
      </c>
      <c r="EG25" s="1202">
        <f t="shared" si="382"/>
        <v>0</v>
      </c>
      <c r="EH25" s="1202">
        <f t="shared" si="383"/>
        <v>0</v>
      </c>
      <c r="EI25" s="1202">
        <f t="shared" si="384"/>
        <v>0</v>
      </c>
      <c r="EJ25" s="1202">
        <f t="shared" si="385"/>
        <v>0</v>
      </c>
      <c r="EK25" s="1202">
        <f t="shared" si="386"/>
        <v>0</v>
      </c>
      <c r="EL25" s="1202">
        <f t="shared" si="387"/>
        <v>0</v>
      </c>
      <c r="EM25" s="1202">
        <f t="shared" si="388"/>
        <v>0</v>
      </c>
      <c r="EN25" s="1202">
        <f t="shared" si="389"/>
        <v>0</v>
      </c>
      <c r="EO25" s="1202">
        <f t="shared" si="390"/>
        <v>0</v>
      </c>
      <c r="EP25" s="1202">
        <f t="shared" si="391"/>
        <v>0</v>
      </c>
      <c r="EQ25" s="1202">
        <f t="shared" si="392"/>
        <v>0</v>
      </c>
      <c r="ER25" s="1202">
        <f t="shared" si="393"/>
        <v>0</v>
      </c>
      <c r="ES25" s="1202">
        <f t="shared" si="394"/>
        <v>0</v>
      </c>
      <c r="ET25" s="1202">
        <f t="shared" si="395"/>
        <v>0</v>
      </c>
      <c r="EU25" s="1202">
        <f t="shared" si="396"/>
        <v>0</v>
      </c>
      <c r="EV25" s="1202">
        <f t="shared" si="397"/>
        <v>0</v>
      </c>
      <c r="EW25" s="1202">
        <f t="shared" si="398"/>
        <v>0</v>
      </c>
      <c r="EX25" s="1202">
        <f t="shared" si="399"/>
        <v>0</v>
      </c>
      <c r="EY25" s="1202">
        <f t="shared" si="400"/>
        <v>0</v>
      </c>
      <c r="EZ25" s="1202">
        <f t="shared" si="401"/>
        <v>0</v>
      </c>
      <c r="FA25" s="1202">
        <f t="shared" si="402"/>
        <v>0</v>
      </c>
      <c r="FB25" s="1202">
        <f t="shared" si="403"/>
        <v>0</v>
      </c>
      <c r="FC25" s="1202">
        <f t="shared" si="404"/>
        <v>0</v>
      </c>
      <c r="FD25" s="1202">
        <f t="shared" si="405"/>
        <v>0</v>
      </c>
      <c r="FE25" s="1202">
        <f t="shared" si="406"/>
        <v>0</v>
      </c>
      <c r="FF25" s="1202">
        <f t="shared" si="407"/>
        <v>0</v>
      </c>
      <c r="FG25" s="1202">
        <f t="shared" si="408"/>
        <v>0</v>
      </c>
      <c r="FH25" s="1202">
        <f t="shared" si="409"/>
        <v>0</v>
      </c>
      <c r="FI25" s="1202">
        <f t="shared" si="410"/>
        <v>0</v>
      </c>
      <c r="FJ25" s="1202">
        <f t="shared" si="411"/>
        <v>0</v>
      </c>
      <c r="FK25" s="1202">
        <f t="shared" si="412"/>
        <v>0</v>
      </c>
      <c r="FL25" s="1202">
        <f t="shared" si="413"/>
        <v>0</v>
      </c>
      <c r="FM25" s="1202">
        <f t="shared" si="414"/>
        <v>0</v>
      </c>
      <c r="FN25" s="1202">
        <f t="shared" si="415"/>
        <v>0</v>
      </c>
      <c r="FO25" s="1202">
        <f t="shared" si="416"/>
        <v>0</v>
      </c>
      <c r="FP25" s="1202"/>
      <c r="FQ25" s="1202">
        <f t="shared" si="417"/>
        <v>0</v>
      </c>
      <c r="FR25" s="1202">
        <f t="shared" si="418"/>
        <v>0</v>
      </c>
      <c r="FS25" s="1202">
        <f t="shared" si="419"/>
        <v>0</v>
      </c>
      <c r="FT25" s="1202">
        <f t="shared" si="420"/>
        <v>0</v>
      </c>
      <c r="FU25" s="1202">
        <f t="shared" si="421"/>
        <v>0</v>
      </c>
      <c r="FV25" s="1202">
        <f t="shared" si="422"/>
        <v>0</v>
      </c>
      <c r="FW25" s="1202">
        <f t="shared" si="423"/>
        <v>0</v>
      </c>
      <c r="FX25" s="1202">
        <f t="shared" si="424"/>
        <v>0</v>
      </c>
      <c r="FY25" s="1202">
        <f t="shared" si="425"/>
        <v>0</v>
      </c>
      <c r="FZ25" s="1202">
        <f t="shared" si="426"/>
        <v>0</v>
      </c>
      <c r="GA25" s="1202">
        <f t="shared" si="427"/>
        <v>0</v>
      </c>
      <c r="GB25" s="1202">
        <f t="shared" si="428"/>
        <v>0</v>
      </c>
      <c r="GC25" s="1202">
        <f t="shared" si="429"/>
        <v>0</v>
      </c>
      <c r="GD25" s="1202">
        <f t="shared" si="430"/>
        <v>0</v>
      </c>
      <c r="GE25" s="1202">
        <f t="shared" si="431"/>
        <v>0</v>
      </c>
      <c r="GF25" s="1202">
        <f t="shared" si="432"/>
        <v>0</v>
      </c>
      <c r="GG25" s="1202">
        <f t="shared" si="433"/>
        <v>0</v>
      </c>
      <c r="GH25" s="1202">
        <f t="shared" si="434"/>
        <v>0</v>
      </c>
      <c r="GI25" s="1202">
        <f t="shared" si="435"/>
        <v>0</v>
      </c>
      <c r="GJ25" s="1202">
        <f t="shared" si="436"/>
        <v>0</v>
      </c>
      <c r="GK25" s="1202">
        <f t="shared" si="437"/>
        <v>0</v>
      </c>
      <c r="GL25" s="1202">
        <f t="shared" si="438"/>
        <v>0</v>
      </c>
      <c r="GM25" s="1202">
        <f t="shared" si="439"/>
        <v>0</v>
      </c>
      <c r="GN25" s="1202">
        <f t="shared" si="440"/>
        <v>0</v>
      </c>
      <c r="GO25" s="1202">
        <f t="shared" si="441"/>
        <v>0</v>
      </c>
      <c r="GP25" s="1202">
        <f t="shared" si="442"/>
        <v>0</v>
      </c>
      <c r="GQ25" s="1202">
        <f t="shared" si="443"/>
        <v>0</v>
      </c>
      <c r="GR25" s="1202">
        <f t="shared" si="444"/>
        <v>0</v>
      </c>
      <c r="GS25" s="1202">
        <f t="shared" si="445"/>
        <v>0</v>
      </c>
      <c r="GT25" s="1202">
        <f t="shared" si="446"/>
        <v>0</v>
      </c>
      <c r="GU25" s="1202">
        <f t="shared" si="447"/>
        <v>0</v>
      </c>
      <c r="GV25" s="1202">
        <f t="shared" si="448"/>
        <v>0</v>
      </c>
      <c r="GW25" s="1202">
        <f t="shared" si="449"/>
        <v>0</v>
      </c>
      <c r="GX25" s="1202">
        <f t="shared" si="450"/>
        <v>0</v>
      </c>
      <c r="GY25" s="1202">
        <f t="shared" si="451"/>
        <v>0</v>
      </c>
      <c r="GZ25" s="1202">
        <f t="shared" si="452"/>
        <v>0</v>
      </c>
      <c r="HA25" s="1202">
        <f t="shared" si="453"/>
        <v>0</v>
      </c>
      <c r="HB25" s="1202">
        <f t="shared" si="454"/>
        <v>0</v>
      </c>
      <c r="HC25" s="1202">
        <f t="shared" si="455"/>
        <v>0</v>
      </c>
      <c r="HD25" s="1202">
        <f t="shared" si="456"/>
        <v>0</v>
      </c>
      <c r="HE25" s="1202">
        <f t="shared" si="457"/>
        <v>0</v>
      </c>
      <c r="HF25" s="1202">
        <f t="shared" si="458"/>
        <v>0</v>
      </c>
      <c r="HG25" s="1202">
        <f t="shared" si="459"/>
        <v>0</v>
      </c>
      <c r="HH25" s="1202">
        <f t="shared" si="460"/>
        <v>0</v>
      </c>
      <c r="HI25" s="1202">
        <f t="shared" si="461"/>
        <v>0</v>
      </c>
      <c r="HJ25" s="1202">
        <f t="shared" si="462"/>
        <v>0</v>
      </c>
      <c r="HK25" s="1202">
        <f t="shared" si="463"/>
        <v>0</v>
      </c>
      <c r="HL25" s="1202">
        <f t="shared" si="464"/>
        <v>0</v>
      </c>
      <c r="HM25" s="1202"/>
      <c r="HN25" s="1202">
        <f t="shared" si="465"/>
        <v>0</v>
      </c>
      <c r="HO25" s="1202">
        <f t="shared" si="466"/>
        <v>0</v>
      </c>
      <c r="HP25" s="1202">
        <f t="shared" si="467"/>
        <v>0</v>
      </c>
      <c r="HQ25" s="1202">
        <f t="shared" si="468"/>
        <v>0</v>
      </c>
      <c r="HR25" s="1202">
        <f t="shared" si="469"/>
        <v>0</v>
      </c>
      <c r="HS25" s="1202">
        <f t="shared" si="470"/>
        <v>0</v>
      </c>
      <c r="HT25" s="1202">
        <f t="shared" si="471"/>
        <v>0</v>
      </c>
      <c r="HU25" s="1202">
        <f t="shared" si="472"/>
        <v>0</v>
      </c>
      <c r="HV25" s="1202">
        <f t="shared" si="473"/>
        <v>0</v>
      </c>
      <c r="HW25" s="1202">
        <f t="shared" si="474"/>
        <v>0</v>
      </c>
      <c r="HX25" s="1202">
        <f t="shared" si="475"/>
        <v>0</v>
      </c>
      <c r="HY25" s="1202">
        <f t="shared" si="476"/>
        <v>0</v>
      </c>
      <c r="HZ25" s="1202">
        <f t="shared" si="477"/>
        <v>0</v>
      </c>
      <c r="IA25" s="1202">
        <f t="shared" si="478"/>
        <v>0</v>
      </c>
      <c r="IB25" s="1202">
        <f t="shared" si="479"/>
        <v>0</v>
      </c>
      <c r="IC25" s="1202">
        <f t="shared" si="480"/>
        <v>0</v>
      </c>
      <c r="ID25" s="1202">
        <f t="shared" si="481"/>
        <v>0</v>
      </c>
      <c r="IE25" s="1202">
        <f t="shared" si="482"/>
        <v>0</v>
      </c>
      <c r="IF25" s="1202">
        <f t="shared" si="483"/>
        <v>0</v>
      </c>
      <c r="IG25" s="1202">
        <f t="shared" si="484"/>
        <v>0</v>
      </c>
      <c r="IH25" s="1202">
        <f t="shared" si="485"/>
        <v>0</v>
      </c>
      <c r="II25" s="1202">
        <f t="shared" si="486"/>
        <v>0</v>
      </c>
      <c r="IJ25" s="1202">
        <f t="shared" si="487"/>
        <v>0</v>
      </c>
      <c r="IK25" s="1202">
        <f t="shared" si="488"/>
        <v>0</v>
      </c>
      <c r="IL25" s="1202">
        <f t="shared" si="489"/>
        <v>0</v>
      </c>
      <c r="IM25" s="1202">
        <f t="shared" si="490"/>
        <v>0</v>
      </c>
      <c r="IN25" s="1202">
        <f t="shared" si="491"/>
        <v>0</v>
      </c>
      <c r="IO25" s="1202">
        <f t="shared" si="492"/>
        <v>0</v>
      </c>
      <c r="IP25" s="1202">
        <f t="shared" si="493"/>
        <v>0</v>
      </c>
      <c r="IQ25" s="1202">
        <f t="shared" si="494"/>
        <v>0</v>
      </c>
      <c r="IR25" s="1202">
        <f t="shared" si="495"/>
        <v>0</v>
      </c>
      <c r="IS25" s="1202">
        <f t="shared" si="496"/>
        <v>0</v>
      </c>
      <c r="IT25" s="1202">
        <f t="shared" si="497"/>
        <v>0</v>
      </c>
      <c r="IU25" s="1202">
        <f t="shared" si="498"/>
        <v>0</v>
      </c>
      <c r="IV25" s="1202">
        <f t="shared" si="499"/>
        <v>0</v>
      </c>
      <c r="IW25" s="1202">
        <f t="shared" si="500"/>
        <v>0</v>
      </c>
      <c r="IX25" s="1202">
        <f t="shared" si="501"/>
        <v>0</v>
      </c>
      <c r="IY25" s="1202">
        <f t="shared" si="502"/>
        <v>0</v>
      </c>
      <c r="IZ25" s="1202">
        <f t="shared" si="503"/>
        <v>0</v>
      </c>
      <c r="JA25" s="1202">
        <f t="shared" si="504"/>
        <v>0</v>
      </c>
      <c r="JB25" s="1202">
        <f t="shared" si="505"/>
        <v>0</v>
      </c>
      <c r="JC25" s="1202">
        <f t="shared" si="506"/>
        <v>0</v>
      </c>
      <c r="JD25" s="1202">
        <f t="shared" si="507"/>
        <v>0</v>
      </c>
      <c r="JE25" s="1202">
        <f t="shared" si="508"/>
        <v>0</v>
      </c>
      <c r="JF25" s="1202">
        <f t="shared" si="509"/>
        <v>0</v>
      </c>
      <c r="JG25" s="1202">
        <f t="shared" si="510"/>
        <v>0</v>
      </c>
      <c r="JH25" s="1202">
        <f t="shared" si="511"/>
        <v>0</v>
      </c>
      <c r="JI25" s="1202">
        <f t="shared" si="512"/>
        <v>0</v>
      </c>
      <c r="JJ25" s="1202"/>
      <c r="JK25" s="1202">
        <f t="shared" si="513"/>
        <v>0</v>
      </c>
      <c r="JL25" s="1202">
        <f t="shared" si="514"/>
        <v>0</v>
      </c>
      <c r="JM25" s="1202">
        <f t="shared" si="515"/>
        <v>0</v>
      </c>
      <c r="JN25" s="1202">
        <f t="shared" si="516"/>
        <v>0</v>
      </c>
      <c r="JO25" s="1202">
        <f t="shared" si="517"/>
        <v>0</v>
      </c>
      <c r="JP25" s="1202">
        <f t="shared" si="518"/>
        <v>0</v>
      </c>
      <c r="JQ25" s="1202">
        <f t="shared" si="519"/>
        <v>0</v>
      </c>
      <c r="JR25" s="1202">
        <f t="shared" si="520"/>
        <v>0</v>
      </c>
      <c r="JS25" s="1202">
        <f t="shared" si="521"/>
        <v>0</v>
      </c>
      <c r="JT25" s="1202">
        <f t="shared" si="522"/>
        <v>0</v>
      </c>
      <c r="JU25" s="1202">
        <f t="shared" si="523"/>
        <v>0</v>
      </c>
      <c r="JV25" s="1202">
        <f t="shared" si="524"/>
        <v>0</v>
      </c>
      <c r="JW25" s="1202">
        <f t="shared" si="525"/>
        <v>0</v>
      </c>
      <c r="JX25" s="1202">
        <f t="shared" si="526"/>
        <v>0</v>
      </c>
      <c r="JY25" s="1202">
        <f t="shared" si="527"/>
        <v>0</v>
      </c>
      <c r="JZ25" s="1202">
        <f t="shared" si="528"/>
        <v>0</v>
      </c>
      <c r="KA25" s="1202">
        <f t="shared" si="529"/>
        <v>0</v>
      </c>
      <c r="KB25" s="1202">
        <f t="shared" si="530"/>
        <v>0</v>
      </c>
      <c r="KC25" s="1202">
        <f t="shared" si="531"/>
        <v>0</v>
      </c>
      <c r="KD25" s="1202">
        <f t="shared" si="532"/>
        <v>0</v>
      </c>
      <c r="KE25" s="1202">
        <f t="shared" si="533"/>
        <v>0</v>
      </c>
      <c r="KF25" s="1202">
        <f t="shared" si="534"/>
        <v>0</v>
      </c>
      <c r="KG25" s="1202">
        <f t="shared" si="535"/>
        <v>0</v>
      </c>
      <c r="KH25" s="1202">
        <f t="shared" si="536"/>
        <v>0</v>
      </c>
      <c r="KI25" s="1202">
        <f t="shared" si="537"/>
        <v>0</v>
      </c>
      <c r="KJ25" s="1202">
        <f t="shared" si="538"/>
        <v>0</v>
      </c>
      <c r="KK25" s="1202">
        <f t="shared" si="539"/>
        <v>0</v>
      </c>
      <c r="KL25" s="1202">
        <f t="shared" si="540"/>
        <v>0</v>
      </c>
      <c r="KM25" s="1202">
        <f t="shared" si="541"/>
        <v>0</v>
      </c>
      <c r="KN25" s="1202">
        <f t="shared" si="542"/>
        <v>0</v>
      </c>
      <c r="KO25" s="1202">
        <f t="shared" si="543"/>
        <v>0</v>
      </c>
      <c r="KP25" s="1202">
        <f t="shared" si="544"/>
        <v>0</v>
      </c>
      <c r="KQ25" s="1202">
        <f t="shared" si="545"/>
        <v>0</v>
      </c>
      <c r="KR25" s="1202">
        <f t="shared" si="546"/>
        <v>0</v>
      </c>
      <c r="KS25" s="1202">
        <f t="shared" si="547"/>
        <v>0</v>
      </c>
      <c r="KT25" s="1202">
        <f t="shared" si="548"/>
        <v>0</v>
      </c>
      <c r="KU25" s="1202">
        <f t="shared" si="549"/>
        <v>0</v>
      </c>
      <c r="KV25" s="1202">
        <f t="shared" si="550"/>
        <v>0</v>
      </c>
      <c r="KW25" s="1202">
        <f t="shared" si="551"/>
        <v>0</v>
      </c>
      <c r="KX25" s="1202">
        <f t="shared" si="552"/>
        <v>0</v>
      </c>
      <c r="KY25" s="1202">
        <f t="shared" si="553"/>
        <v>0</v>
      </c>
      <c r="KZ25" s="1202">
        <f t="shared" si="554"/>
        <v>0</v>
      </c>
      <c r="LA25" s="1202">
        <f t="shared" si="555"/>
        <v>0</v>
      </c>
      <c r="LB25" s="1202">
        <f t="shared" si="556"/>
        <v>0</v>
      </c>
      <c r="LC25" s="1202">
        <f t="shared" si="557"/>
        <v>0</v>
      </c>
      <c r="LD25" s="1202">
        <f t="shared" si="558"/>
        <v>0</v>
      </c>
      <c r="LE25" s="1202">
        <f t="shared" si="559"/>
        <v>0</v>
      </c>
      <c r="LF25" s="1202">
        <f t="shared" si="560"/>
        <v>0</v>
      </c>
      <c r="LG25" s="1202"/>
    </row>
    <row r="26" spans="2:319" ht="15.6">
      <c r="B26" s="629"/>
      <c r="C26" s="630"/>
      <c r="D26" s="631"/>
      <c r="E26" s="633"/>
      <c r="F26" s="683"/>
      <c r="G26" s="684"/>
      <c r="H26" s="861"/>
      <c r="I26" s="686"/>
      <c r="J26" s="623">
        <f t="shared" si="313"/>
        <v>0</v>
      </c>
      <c r="K26" s="621">
        <f>+H26/L26/Datos!$N$40</f>
        <v>0</v>
      </c>
      <c r="L26" s="622">
        <f t="shared" si="314"/>
        <v>1</v>
      </c>
      <c r="M26" s="852"/>
      <c r="N26" s="853"/>
      <c r="O26" s="854">
        <f>+IF(C26&lt;&gt;"",VLOOKUP(C26,'AUX-NIV1'!B:AO,40,FALSE)*H26,0)</f>
        <v>0</v>
      </c>
      <c r="P26" s="803" t="str">
        <f t="shared" si="315"/>
        <v/>
      </c>
      <c r="Q26" s="1093">
        <f t="shared" si="316"/>
        <v>0</v>
      </c>
      <c r="R26" s="1094">
        <f t="shared" si="317"/>
        <v>0</v>
      </c>
      <c r="S26" s="1094">
        <f t="shared" si="317"/>
        <v>0</v>
      </c>
      <c r="T26" s="1094">
        <f t="shared" si="317"/>
        <v>0</v>
      </c>
      <c r="U26" s="1094">
        <f t="shared" si="317"/>
        <v>0</v>
      </c>
      <c r="V26" s="1094">
        <f t="shared" si="317"/>
        <v>0</v>
      </c>
      <c r="W26" s="1094">
        <f t="shared" si="317"/>
        <v>0</v>
      </c>
      <c r="X26" s="1094">
        <f t="shared" si="317"/>
        <v>0</v>
      </c>
      <c r="Y26" s="1094">
        <f t="shared" si="317"/>
        <v>0</v>
      </c>
      <c r="Z26" s="1094">
        <f t="shared" si="317"/>
        <v>0</v>
      </c>
      <c r="AA26" s="1094">
        <f t="shared" si="317"/>
        <v>0</v>
      </c>
      <c r="AB26" s="1094">
        <f t="shared" si="317"/>
        <v>0</v>
      </c>
      <c r="AC26" s="1094">
        <f t="shared" si="317"/>
        <v>0</v>
      </c>
      <c r="AD26" s="1094">
        <f t="shared" si="317"/>
        <v>0</v>
      </c>
      <c r="AE26" s="1094">
        <f t="shared" si="317"/>
        <v>0</v>
      </c>
      <c r="AF26" s="1094">
        <f t="shared" si="317"/>
        <v>0</v>
      </c>
      <c r="AG26" s="1094">
        <f t="shared" si="317"/>
        <v>0</v>
      </c>
      <c r="AH26" s="1094">
        <f t="shared" si="318"/>
        <v>0</v>
      </c>
      <c r="AI26" s="1094">
        <f t="shared" si="318"/>
        <v>0</v>
      </c>
      <c r="AJ26" s="1094">
        <f t="shared" si="318"/>
        <v>0</v>
      </c>
      <c r="AK26" s="1094">
        <f t="shared" si="318"/>
        <v>0</v>
      </c>
      <c r="AL26" s="1094">
        <f t="shared" si="318"/>
        <v>0</v>
      </c>
      <c r="AM26" s="1094">
        <f t="shared" si="318"/>
        <v>0</v>
      </c>
      <c r="AN26" s="1094">
        <f t="shared" si="318"/>
        <v>0</v>
      </c>
      <c r="AO26" s="1094">
        <f t="shared" si="318"/>
        <v>0</v>
      </c>
      <c r="AP26" s="1094">
        <f t="shared" si="318"/>
        <v>0</v>
      </c>
      <c r="AQ26" s="1094">
        <f t="shared" si="318"/>
        <v>0</v>
      </c>
      <c r="AR26" s="1094">
        <f t="shared" si="318"/>
        <v>0</v>
      </c>
      <c r="AS26" s="1094">
        <f t="shared" si="318"/>
        <v>0</v>
      </c>
      <c r="AT26" s="1094">
        <f t="shared" si="318"/>
        <v>0</v>
      </c>
      <c r="AU26" s="1094">
        <f t="shared" si="318"/>
        <v>0</v>
      </c>
      <c r="AV26" s="1094">
        <f t="shared" si="318"/>
        <v>0</v>
      </c>
      <c r="AW26" s="1094">
        <f t="shared" si="318"/>
        <v>0</v>
      </c>
      <c r="AX26" s="1094">
        <f t="shared" si="319"/>
        <v>0</v>
      </c>
      <c r="AY26" s="1094">
        <f t="shared" si="319"/>
        <v>0</v>
      </c>
      <c r="AZ26" s="1094">
        <f t="shared" si="319"/>
        <v>0</v>
      </c>
      <c r="BA26" s="1094">
        <f t="shared" si="319"/>
        <v>0</v>
      </c>
      <c r="BB26" s="1094">
        <f t="shared" si="319"/>
        <v>0</v>
      </c>
      <c r="BC26" s="1094">
        <f t="shared" si="319"/>
        <v>0</v>
      </c>
      <c r="BD26" s="1094">
        <f t="shared" si="319"/>
        <v>0</v>
      </c>
      <c r="BE26" s="1094">
        <f t="shared" si="319"/>
        <v>0</v>
      </c>
      <c r="BF26" s="1094">
        <f t="shared" si="319"/>
        <v>0</v>
      </c>
      <c r="BG26" s="1094">
        <f t="shared" si="319"/>
        <v>0</v>
      </c>
      <c r="BH26" s="1094">
        <f t="shared" si="319"/>
        <v>0</v>
      </c>
      <c r="BI26" s="1094">
        <f t="shared" si="319"/>
        <v>0</v>
      </c>
      <c r="BJ26" s="1094">
        <f t="shared" si="319"/>
        <v>0</v>
      </c>
      <c r="BK26" s="1094">
        <f t="shared" si="319"/>
        <v>0</v>
      </c>
      <c r="BL26" s="1094">
        <f t="shared" si="319"/>
        <v>0</v>
      </c>
      <c r="BM26" s="1095">
        <f t="shared" si="319"/>
        <v>0</v>
      </c>
      <c r="BN26" s="785"/>
      <c r="BO26" s="1204">
        <f t="shared" si="320"/>
        <v>0</v>
      </c>
      <c r="BP26" s="1203">
        <f>+SUMIF('AUX-NIV1'!$B:$B,Crono!$C26,'AUX-NIV1'!AQ:AQ)*Crono!$H26</f>
        <v>0</v>
      </c>
      <c r="BQ26" s="1202">
        <f>+SUMIF('AUX-NIV1'!$B:$B,Crono!$C26,'AUX-NIV1'!AR:AR)*Crono!$H26</f>
        <v>0</v>
      </c>
      <c r="BR26" s="1202">
        <f>+SUMIF('AUX-NIV1'!$B:$B,Crono!$C26,'AUX-NIV1'!AS:AS)*Crono!$H26</f>
        <v>0</v>
      </c>
      <c r="BS26" s="1202">
        <f>+SUMIF('AUX-NIV1'!$B:$B,Crono!$C26,'AUX-NIV1'!AT:AT)*Crono!$H26</f>
        <v>0</v>
      </c>
      <c r="BT26" s="1202">
        <f>+SUMIF('AUX-NIV1'!$B:$B,Crono!$C26,'AUX-NIV1'!AU:AU)*Crono!$H26</f>
        <v>0</v>
      </c>
      <c r="BU26" s="1202"/>
      <c r="BW26" s="1202">
        <f t="shared" si="321"/>
        <v>0</v>
      </c>
      <c r="BX26" s="1202">
        <f t="shared" si="322"/>
        <v>0</v>
      </c>
      <c r="BY26" s="1202">
        <f t="shared" si="323"/>
        <v>0</v>
      </c>
      <c r="BZ26" s="1202">
        <f t="shared" si="324"/>
        <v>0</v>
      </c>
      <c r="CA26" s="1202">
        <f t="shared" si="325"/>
        <v>0</v>
      </c>
      <c r="CB26" s="1202">
        <f t="shared" si="326"/>
        <v>0</v>
      </c>
      <c r="CC26" s="1202">
        <f t="shared" si="327"/>
        <v>0</v>
      </c>
      <c r="CD26" s="1202">
        <f t="shared" si="328"/>
        <v>0</v>
      </c>
      <c r="CE26" s="1202">
        <f t="shared" si="329"/>
        <v>0</v>
      </c>
      <c r="CF26" s="1202">
        <f t="shared" si="330"/>
        <v>0</v>
      </c>
      <c r="CG26" s="1202">
        <f t="shared" si="331"/>
        <v>0</v>
      </c>
      <c r="CH26" s="1202">
        <f t="shared" si="332"/>
        <v>0</v>
      </c>
      <c r="CI26" s="1202">
        <f t="shared" si="333"/>
        <v>0</v>
      </c>
      <c r="CJ26" s="1202">
        <f t="shared" si="334"/>
        <v>0</v>
      </c>
      <c r="CK26" s="1202">
        <f t="shared" si="335"/>
        <v>0</v>
      </c>
      <c r="CL26" s="1202">
        <f t="shared" si="336"/>
        <v>0</v>
      </c>
      <c r="CM26" s="1202">
        <f t="shared" si="337"/>
        <v>0</v>
      </c>
      <c r="CN26" s="1202">
        <f t="shared" si="338"/>
        <v>0</v>
      </c>
      <c r="CO26" s="1202">
        <f t="shared" si="339"/>
        <v>0</v>
      </c>
      <c r="CP26" s="1202">
        <f t="shared" si="340"/>
        <v>0</v>
      </c>
      <c r="CQ26" s="1202">
        <f t="shared" si="341"/>
        <v>0</v>
      </c>
      <c r="CR26" s="1202">
        <f t="shared" si="342"/>
        <v>0</v>
      </c>
      <c r="CS26" s="1202">
        <f t="shared" si="343"/>
        <v>0</v>
      </c>
      <c r="CT26" s="1202">
        <f t="shared" si="344"/>
        <v>0</v>
      </c>
      <c r="CU26" s="1202">
        <f t="shared" si="345"/>
        <v>0</v>
      </c>
      <c r="CV26" s="1202">
        <f t="shared" si="346"/>
        <v>0</v>
      </c>
      <c r="CW26" s="1202">
        <f t="shared" si="347"/>
        <v>0</v>
      </c>
      <c r="CX26" s="1202">
        <f t="shared" si="348"/>
        <v>0</v>
      </c>
      <c r="CY26" s="1202">
        <f t="shared" si="349"/>
        <v>0</v>
      </c>
      <c r="CZ26" s="1202">
        <f t="shared" si="350"/>
        <v>0</v>
      </c>
      <c r="DA26" s="1202">
        <f t="shared" si="351"/>
        <v>0</v>
      </c>
      <c r="DB26" s="1202">
        <f t="shared" si="352"/>
        <v>0</v>
      </c>
      <c r="DC26" s="1202">
        <f t="shared" si="353"/>
        <v>0</v>
      </c>
      <c r="DD26" s="1202">
        <f t="shared" si="354"/>
        <v>0</v>
      </c>
      <c r="DE26" s="1202">
        <f t="shared" si="355"/>
        <v>0</v>
      </c>
      <c r="DF26" s="1202">
        <f t="shared" si="356"/>
        <v>0</v>
      </c>
      <c r="DG26" s="1202">
        <f t="shared" si="357"/>
        <v>0</v>
      </c>
      <c r="DH26" s="1202">
        <f t="shared" si="358"/>
        <v>0</v>
      </c>
      <c r="DI26" s="1202">
        <f t="shared" si="359"/>
        <v>0</v>
      </c>
      <c r="DJ26" s="1202">
        <f t="shared" si="360"/>
        <v>0</v>
      </c>
      <c r="DK26" s="1202">
        <f t="shared" si="361"/>
        <v>0</v>
      </c>
      <c r="DL26" s="1202">
        <f t="shared" si="362"/>
        <v>0</v>
      </c>
      <c r="DM26" s="1202">
        <f t="shared" si="363"/>
        <v>0</v>
      </c>
      <c r="DN26" s="1202">
        <f t="shared" si="364"/>
        <v>0</v>
      </c>
      <c r="DO26" s="1202">
        <f t="shared" si="365"/>
        <v>0</v>
      </c>
      <c r="DP26" s="1202">
        <f t="shared" si="366"/>
        <v>0</v>
      </c>
      <c r="DQ26" s="1202">
        <f t="shared" si="367"/>
        <v>0</v>
      </c>
      <c r="DR26" s="1202">
        <f t="shared" si="368"/>
        <v>0</v>
      </c>
      <c r="DS26" s="1202"/>
      <c r="DT26" s="1202">
        <f t="shared" si="369"/>
        <v>0</v>
      </c>
      <c r="DU26" s="1202">
        <f t="shared" si="370"/>
        <v>0</v>
      </c>
      <c r="DV26" s="1202">
        <f t="shared" si="371"/>
        <v>0</v>
      </c>
      <c r="DW26" s="1202">
        <f t="shared" si="372"/>
        <v>0</v>
      </c>
      <c r="DX26" s="1202">
        <f t="shared" si="373"/>
        <v>0</v>
      </c>
      <c r="DY26" s="1202">
        <f t="shared" si="374"/>
        <v>0</v>
      </c>
      <c r="DZ26" s="1202">
        <f t="shared" si="375"/>
        <v>0</v>
      </c>
      <c r="EA26" s="1202">
        <f t="shared" si="376"/>
        <v>0</v>
      </c>
      <c r="EB26" s="1202">
        <f t="shared" si="377"/>
        <v>0</v>
      </c>
      <c r="EC26" s="1202">
        <f t="shared" si="378"/>
        <v>0</v>
      </c>
      <c r="ED26" s="1202">
        <f t="shared" si="379"/>
        <v>0</v>
      </c>
      <c r="EE26" s="1202">
        <f t="shared" si="380"/>
        <v>0</v>
      </c>
      <c r="EF26" s="1202">
        <f t="shared" si="381"/>
        <v>0</v>
      </c>
      <c r="EG26" s="1202">
        <f t="shared" si="382"/>
        <v>0</v>
      </c>
      <c r="EH26" s="1202">
        <f t="shared" si="383"/>
        <v>0</v>
      </c>
      <c r="EI26" s="1202">
        <f t="shared" si="384"/>
        <v>0</v>
      </c>
      <c r="EJ26" s="1202">
        <f t="shared" si="385"/>
        <v>0</v>
      </c>
      <c r="EK26" s="1202">
        <f t="shared" si="386"/>
        <v>0</v>
      </c>
      <c r="EL26" s="1202">
        <f t="shared" si="387"/>
        <v>0</v>
      </c>
      <c r="EM26" s="1202">
        <f t="shared" si="388"/>
        <v>0</v>
      </c>
      <c r="EN26" s="1202">
        <f t="shared" si="389"/>
        <v>0</v>
      </c>
      <c r="EO26" s="1202">
        <f t="shared" si="390"/>
        <v>0</v>
      </c>
      <c r="EP26" s="1202">
        <f t="shared" si="391"/>
        <v>0</v>
      </c>
      <c r="EQ26" s="1202">
        <f t="shared" si="392"/>
        <v>0</v>
      </c>
      <c r="ER26" s="1202">
        <f t="shared" si="393"/>
        <v>0</v>
      </c>
      <c r="ES26" s="1202">
        <f t="shared" si="394"/>
        <v>0</v>
      </c>
      <c r="ET26" s="1202">
        <f t="shared" si="395"/>
        <v>0</v>
      </c>
      <c r="EU26" s="1202">
        <f t="shared" si="396"/>
        <v>0</v>
      </c>
      <c r="EV26" s="1202">
        <f t="shared" si="397"/>
        <v>0</v>
      </c>
      <c r="EW26" s="1202">
        <f t="shared" si="398"/>
        <v>0</v>
      </c>
      <c r="EX26" s="1202">
        <f t="shared" si="399"/>
        <v>0</v>
      </c>
      <c r="EY26" s="1202">
        <f t="shared" si="400"/>
        <v>0</v>
      </c>
      <c r="EZ26" s="1202">
        <f t="shared" si="401"/>
        <v>0</v>
      </c>
      <c r="FA26" s="1202">
        <f t="shared" si="402"/>
        <v>0</v>
      </c>
      <c r="FB26" s="1202">
        <f t="shared" si="403"/>
        <v>0</v>
      </c>
      <c r="FC26" s="1202">
        <f t="shared" si="404"/>
        <v>0</v>
      </c>
      <c r="FD26" s="1202">
        <f t="shared" si="405"/>
        <v>0</v>
      </c>
      <c r="FE26" s="1202">
        <f t="shared" si="406"/>
        <v>0</v>
      </c>
      <c r="FF26" s="1202">
        <f t="shared" si="407"/>
        <v>0</v>
      </c>
      <c r="FG26" s="1202">
        <f t="shared" si="408"/>
        <v>0</v>
      </c>
      <c r="FH26" s="1202">
        <f t="shared" si="409"/>
        <v>0</v>
      </c>
      <c r="FI26" s="1202">
        <f t="shared" si="410"/>
        <v>0</v>
      </c>
      <c r="FJ26" s="1202">
        <f t="shared" si="411"/>
        <v>0</v>
      </c>
      <c r="FK26" s="1202">
        <f t="shared" si="412"/>
        <v>0</v>
      </c>
      <c r="FL26" s="1202">
        <f t="shared" si="413"/>
        <v>0</v>
      </c>
      <c r="FM26" s="1202">
        <f t="shared" si="414"/>
        <v>0</v>
      </c>
      <c r="FN26" s="1202">
        <f t="shared" si="415"/>
        <v>0</v>
      </c>
      <c r="FO26" s="1202">
        <f t="shared" si="416"/>
        <v>0</v>
      </c>
      <c r="FP26" s="1202"/>
      <c r="FQ26" s="1202">
        <f t="shared" si="417"/>
        <v>0</v>
      </c>
      <c r="FR26" s="1202">
        <f t="shared" si="418"/>
        <v>0</v>
      </c>
      <c r="FS26" s="1202">
        <f t="shared" si="419"/>
        <v>0</v>
      </c>
      <c r="FT26" s="1202">
        <f t="shared" si="420"/>
        <v>0</v>
      </c>
      <c r="FU26" s="1202">
        <f t="shared" si="421"/>
        <v>0</v>
      </c>
      <c r="FV26" s="1202">
        <f t="shared" si="422"/>
        <v>0</v>
      </c>
      <c r="FW26" s="1202">
        <f t="shared" si="423"/>
        <v>0</v>
      </c>
      <c r="FX26" s="1202">
        <f t="shared" si="424"/>
        <v>0</v>
      </c>
      <c r="FY26" s="1202">
        <f t="shared" si="425"/>
        <v>0</v>
      </c>
      <c r="FZ26" s="1202">
        <f t="shared" si="426"/>
        <v>0</v>
      </c>
      <c r="GA26" s="1202">
        <f t="shared" si="427"/>
        <v>0</v>
      </c>
      <c r="GB26" s="1202">
        <f t="shared" si="428"/>
        <v>0</v>
      </c>
      <c r="GC26" s="1202">
        <f t="shared" si="429"/>
        <v>0</v>
      </c>
      <c r="GD26" s="1202">
        <f t="shared" si="430"/>
        <v>0</v>
      </c>
      <c r="GE26" s="1202">
        <f t="shared" si="431"/>
        <v>0</v>
      </c>
      <c r="GF26" s="1202">
        <f t="shared" si="432"/>
        <v>0</v>
      </c>
      <c r="GG26" s="1202">
        <f t="shared" si="433"/>
        <v>0</v>
      </c>
      <c r="GH26" s="1202">
        <f t="shared" si="434"/>
        <v>0</v>
      </c>
      <c r="GI26" s="1202">
        <f t="shared" si="435"/>
        <v>0</v>
      </c>
      <c r="GJ26" s="1202">
        <f t="shared" si="436"/>
        <v>0</v>
      </c>
      <c r="GK26" s="1202">
        <f t="shared" si="437"/>
        <v>0</v>
      </c>
      <c r="GL26" s="1202">
        <f t="shared" si="438"/>
        <v>0</v>
      </c>
      <c r="GM26" s="1202">
        <f t="shared" si="439"/>
        <v>0</v>
      </c>
      <c r="GN26" s="1202">
        <f t="shared" si="440"/>
        <v>0</v>
      </c>
      <c r="GO26" s="1202">
        <f t="shared" si="441"/>
        <v>0</v>
      </c>
      <c r="GP26" s="1202">
        <f t="shared" si="442"/>
        <v>0</v>
      </c>
      <c r="GQ26" s="1202">
        <f t="shared" si="443"/>
        <v>0</v>
      </c>
      <c r="GR26" s="1202">
        <f t="shared" si="444"/>
        <v>0</v>
      </c>
      <c r="GS26" s="1202">
        <f t="shared" si="445"/>
        <v>0</v>
      </c>
      <c r="GT26" s="1202">
        <f t="shared" si="446"/>
        <v>0</v>
      </c>
      <c r="GU26" s="1202">
        <f t="shared" si="447"/>
        <v>0</v>
      </c>
      <c r="GV26" s="1202">
        <f t="shared" si="448"/>
        <v>0</v>
      </c>
      <c r="GW26" s="1202">
        <f t="shared" si="449"/>
        <v>0</v>
      </c>
      <c r="GX26" s="1202">
        <f t="shared" si="450"/>
        <v>0</v>
      </c>
      <c r="GY26" s="1202">
        <f t="shared" si="451"/>
        <v>0</v>
      </c>
      <c r="GZ26" s="1202">
        <f t="shared" si="452"/>
        <v>0</v>
      </c>
      <c r="HA26" s="1202">
        <f t="shared" si="453"/>
        <v>0</v>
      </c>
      <c r="HB26" s="1202">
        <f t="shared" si="454"/>
        <v>0</v>
      </c>
      <c r="HC26" s="1202">
        <f t="shared" si="455"/>
        <v>0</v>
      </c>
      <c r="HD26" s="1202">
        <f t="shared" si="456"/>
        <v>0</v>
      </c>
      <c r="HE26" s="1202">
        <f t="shared" si="457"/>
        <v>0</v>
      </c>
      <c r="HF26" s="1202">
        <f t="shared" si="458"/>
        <v>0</v>
      </c>
      <c r="HG26" s="1202">
        <f t="shared" si="459"/>
        <v>0</v>
      </c>
      <c r="HH26" s="1202">
        <f t="shared" si="460"/>
        <v>0</v>
      </c>
      <c r="HI26" s="1202">
        <f t="shared" si="461"/>
        <v>0</v>
      </c>
      <c r="HJ26" s="1202">
        <f t="shared" si="462"/>
        <v>0</v>
      </c>
      <c r="HK26" s="1202">
        <f t="shared" si="463"/>
        <v>0</v>
      </c>
      <c r="HL26" s="1202">
        <f t="shared" si="464"/>
        <v>0</v>
      </c>
      <c r="HM26" s="1202"/>
      <c r="HN26" s="1202">
        <f t="shared" si="465"/>
        <v>0</v>
      </c>
      <c r="HO26" s="1202">
        <f t="shared" si="466"/>
        <v>0</v>
      </c>
      <c r="HP26" s="1202">
        <f t="shared" si="467"/>
        <v>0</v>
      </c>
      <c r="HQ26" s="1202">
        <f t="shared" si="468"/>
        <v>0</v>
      </c>
      <c r="HR26" s="1202">
        <f t="shared" si="469"/>
        <v>0</v>
      </c>
      <c r="HS26" s="1202">
        <f t="shared" si="470"/>
        <v>0</v>
      </c>
      <c r="HT26" s="1202">
        <f t="shared" si="471"/>
        <v>0</v>
      </c>
      <c r="HU26" s="1202">
        <f t="shared" si="472"/>
        <v>0</v>
      </c>
      <c r="HV26" s="1202">
        <f t="shared" si="473"/>
        <v>0</v>
      </c>
      <c r="HW26" s="1202">
        <f t="shared" si="474"/>
        <v>0</v>
      </c>
      <c r="HX26" s="1202">
        <f t="shared" si="475"/>
        <v>0</v>
      </c>
      <c r="HY26" s="1202">
        <f t="shared" si="476"/>
        <v>0</v>
      </c>
      <c r="HZ26" s="1202">
        <f t="shared" si="477"/>
        <v>0</v>
      </c>
      <c r="IA26" s="1202">
        <f t="shared" si="478"/>
        <v>0</v>
      </c>
      <c r="IB26" s="1202">
        <f t="shared" si="479"/>
        <v>0</v>
      </c>
      <c r="IC26" s="1202">
        <f t="shared" si="480"/>
        <v>0</v>
      </c>
      <c r="ID26" s="1202">
        <f t="shared" si="481"/>
        <v>0</v>
      </c>
      <c r="IE26" s="1202">
        <f t="shared" si="482"/>
        <v>0</v>
      </c>
      <c r="IF26" s="1202">
        <f t="shared" si="483"/>
        <v>0</v>
      </c>
      <c r="IG26" s="1202">
        <f t="shared" si="484"/>
        <v>0</v>
      </c>
      <c r="IH26" s="1202">
        <f t="shared" si="485"/>
        <v>0</v>
      </c>
      <c r="II26" s="1202">
        <f t="shared" si="486"/>
        <v>0</v>
      </c>
      <c r="IJ26" s="1202">
        <f t="shared" si="487"/>
        <v>0</v>
      </c>
      <c r="IK26" s="1202">
        <f t="shared" si="488"/>
        <v>0</v>
      </c>
      <c r="IL26" s="1202">
        <f t="shared" si="489"/>
        <v>0</v>
      </c>
      <c r="IM26" s="1202">
        <f t="shared" si="490"/>
        <v>0</v>
      </c>
      <c r="IN26" s="1202">
        <f t="shared" si="491"/>
        <v>0</v>
      </c>
      <c r="IO26" s="1202">
        <f t="shared" si="492"/>
        <v>0</v>
      </c>
      <c r="IP26" s="1202">
        <f t="shared" si="493"/>
        <v>0</v>
      </c>
      <c r="IQ26" s="1202">
        <f t="shared" si="494"/>
        <v>0</v>
      </c>
      <c r="IR26" s="1202">
        <f t="shared" si="495"/>
        <v>0</v>
      </c>
      <c r="IS26" s="1202">
        <f t="shared" si="496"/>
        <v>0</v>
      </c>
      <c r="IT26" s="1202">
        <f t="shared" si="497"/>
        <v>0</v>
      </c>
      <c r="IU26" s="1202">
        <f t="shared" si="498"/>
        <v>0</v>
      </c>
      <c r="IV26" s="1202">
        <f t="shared" si="499"/>
        <v>0</v>
      </c>
      <c r="IW26" s="1202">
        <f t="shared" si="500"/>
        <v>0</v>
      </c>
      <c r="IX26" s="1202">
        <f t="shared" si="501"/>
        <v>0</v>
      </c>
      <c r="IY26" s="1202">
        <f t="shared" si="502"/>
        <v>0</v>
      </c>
      <c r="IZ26" s="1202">
        <f t="shared" si="503"/>
        <v>0</v>
      </c>
      <c r="JA26" s="1202">
        <f t="shared" si="504"/>
        <v>0</v>
      </c>
      <c r="JB26" s="1202">
        <f t="shared" si="505"/>
        <v>0</v>
      </c>
      <c r="JC26" s="1202">
        <f t="shared" si="506"/>
        <v>0</v>
      </c>
      <c r="JD26" s="1202">
        <f t="shared" si="507"/>
        <v>0</v>
      </c>
      <c r="JE26" s="1202">
        <f t="shared" si="508"/>
        <v>0</v>
      </c>
      <c r="JF26" s="1202">
        <f t="shared" si="509"/>
        <v>0</v>
      </c>
      <c r="JG26" s="1202">
        <f t="shared" si="510"/>
        <v>0</v>
      </c>
      <c r="JH26" s="1202">
        <f t="shared" si="511"/>
        <v>0</v>
      </c>
      <c r="JI26" s="1202">
        <f t="shared" si="512"/>
        <v>0</v>
      </c>
      <c r="JJ26" s="1202"/>
      <c r="JK26" s="1202">
        <f t="shared" si="513"/>
        <v>0</v>
      </c>
      <c r="JL26" s="1202">
        <f t="shared" si="514"/>
        <v>0</v>
      </c>
      <c r="JM26" s="1202">
        <f t="shared" si="515"/>
        <v>0</v>
      </c>
      <c r="JN26" s="1202">
        <f t="shared" si="516"/>
        <v>0</v>
      </c>
      <c r="JO26" s="1202">
        <f t="shared" si="517"/>
        <v>0</v>
      </c>
      <c r="JP26" s="1202">
        <f t="shared" si="518"/>
        <v>0</v>
      </c>
      <c r="JQ26" s="1202">
        <f t="shared" si="519"/>
        <v>0</v>
      </c>
      <c r="JR26" s="1202">
        <f t="shared" si="520"/>
        <v>0</v>
      </c>
      <c r="JS26" s="1202">
        <f t="shared" si="521"/>
        <v>0</v>
      </c>
      <c r="JT26" s="1202">
        <f t="shared" si="522"/>
        <v>0</v>
      </c>
      <c r="JU26" s="1202">
        <f t="shared" si="523"/>
        <v>0</v>
      </c>
      <c r="JV26" s="1202">
        <f t="shared" si="524"/>
        <v>0</v>
      </c>
      <c r="JW26" s="1202">
        <f t="shared" si="525"/>
        <v>0</v>
      </c>
      <c r="JX26" s="1202">
        <f t="shared" si="526"/>
        <v>0</v>
      </c>
      <c r="JY26" s="1202">
        <f t="shared" si="527"/>
        <v>0</v>
      </c>
      <c r="JZ26" s="1202">
        <f t="shared" si="528"/>
        <v>0</v>
      </c>
      <c r="KA26" s="1202">
        <f t="shared" si="529"/>
        <v>0</v>
      </c>
      <c r="KB26" s="1202">
        <f t="shared" si="530"/>
        <v>0</v>
      </c>
      <c r="KC26" s="1202">
        <f t="shared" si="531"/>
        <v>0</v>
      </c>
      <c r="KD26" s="1202">
        <f t="shared" si="532"/>
        <v>0</v>
      </c>
      <c r="KE26" s="1202">
        <f t="shared" si="533"/>
        <v>0</v>
      </c>
      <c r="KF26" s="1202">
        <f t="shared" si="534"/>
        <v>0</v>
      </c>
      <c r="KG26" s="1202">
        <f t="shared" si="535"/>
        <v>0</v>
      </c>
      <c r="KH26" s="1202">
        <f t="shared" si="536"/>
        <v>0</v>
      </c>
      <c r="KI26" s="1202">
        <f t="shared" si="537"/>
        <v>0</v>
      </c>
      <c r="KJ26" s="1202">
        <f t="shared" si="538"/>
        <v>0</v>
      </c>
      <c r="KK26" s="1202">
        <f t="shared" si="539"/>
        <v>0</v>
      </c>
      <c r="KL26" s="1202">
        <f t="shared" si="540"/>
        <v>0</v>
      </c>
      <c r="KM26" s="1202">
        <f t="shared" si="541"/>
        <v>0</v>
      </c>
      <c r="KN26" s="1202">
        <f t="shared" si="542"/>
        <v>0</v>
      </c>
      <c r="KO26" s="1202">
        <f t="shared" si="543"/>
        <v>0</v>
      </c>
      <c r="KP26" s="1202">
        <f t="shared" si="544"/>
        <v>0</v>
      </c>
      <c r="KQ26" s="1202">
        <f t="shared" si="545"/>
        <v>0</v>
      </c>
      <c r="KR26" s="1202">
        <f t="shared" si="546"/>
        <v>0</v>
      </c>
      <c r="KS26" s="1202">
        <f t="shared" si="547"/>
        <v>0</v>
      </c>
      <c r="KT26" s="1202">
        <f t="shared" si="548"/>
        <v>0</v>
      </c>
      <c r="KU26" s="1202">
        <f t="shared" si="549"/>
        <v>0</v>
      </c>
      <c r="KV26" s="1202">
        <f t="shared" si="550"/>
        <v>0</v>
      </c>
      <c r="KW26" s="1202">
        <f t="shared" si="551"/>
        <v>0</v>
      </c>
      <c r="KX26" s="1202">
        <f t="shared" si="552"/>
        <v>0</v>
      </c>
      <c r="KY26" s="1202">
        <f t="shared" si="553"/>
        <v>0</v>
      </c>
      <c r="KZ26" s="1202">
        <f t="shared" si="554"/>
        <v>0</v>
      </c>
      <c r="LA26" s="1202">
        <f t="shared" si="555"/>
        <v>0</v>
      </c>
      <c r="LB26" s="1202">
        <f t="shared" si="556"/>
        <v>0</v>
      </c>
      <c r="LC26" s="1202">
        <f t="shared" si="557"/>
        <v>0</v>
      </c>
      <c r="LD26" s="1202">
        <f t="shared" si="558"/>
        <v>0</v>
      </c>
      <c r="LE26" s="1202">
        <f t="shared" si="559"/>
        <v>0</v>
      </c>
      <c r="LF26" s="1202">
        <f t="shared" si="560"/>
        <v>0</v>
      </c>
      <c r="LG26" s="1202"/>
    </row>
    <row r="27" spans="2:319" ht="15.6">
      <c r="B27" s="629"/>
      <c r="C27" s="630"/>
      <c r="D27" s="631"/>
      <c r="E27" s="633"/>
      <c r="F27" s="683"/>
      <c r="G27" s="684"/>
      <c r="H27" s="861"/>
      <c r="I27" s="686"/>
      <c r="J27" s="623">
        <f t="shared" si="313"/>
        <v>0</v>
      </c>
      <c r="K27" s="621">
        <f>+H27/L27/Datos!$N$40</f>
        <v>0</v>
      </c>
      <c r="L27" s="622">
        <f t="shared" si="314"/>
        <v>1</v>
      </c>
      <c r="M27" s="852"/>
      <c r="N27" s="853"/>
      <c r="O27" s="854">
        <f>+IF(C27&lt;&gt;"",VLOOKUP(C27,'AUX-NIV1'!B:AO,40,FALSE)*H27,0)</f>
        <v>0</v>
      </c>
      <c r="P27" s="803" t="str">
        <f t="shared" si="315"/>
        <v/>
      </c>
      <c r="Q27" s="1093">
        <f t="shared" si="316"/>
        <v>0</v>
      </c>
      <c r="R27" s="1094">
        <f t="shared" si="317"/>
        <v>0</v>
      </c>
      <c r="S27" s="1094">
        <f t="shared" si="317"/>
        <v>0</v>
      </c>
      <c r="T27" s="1094">
        <f t="shared" si="317"/>
        <v>0</v>
      </c>
      <c r="U27" s="1094">
        <f t="shared" si="317"/>
        <v>0</v>
      </c>
      <c r="V27" s="1094">
        <f t="shared" si="317"/>
        <v>0</v>
      </c>
      <c r="W27" s="1094">
        <f t="shared" si="317"/>
        <v>0</v>
      </c>
      <c r="X27" s="1094">
        <f t="shared" si="317"/>
        <v>0</v>
      </c>
      <c r="Y27" s="1094">
        <f t="shared" si="317"/>
        <v>0</v>
      </c>
      <c r="Z27" s="1094">
        <f t="shared" si="317"/>
        <v>0</v>
      </c>
      <c r="AA27" s="1094">
        <f t="shared" si="317"/>
        <v>0</v>
      </c>
      <c r="AB27" s="1094">
        <f t="shared" si="317"/>
        <v>0</v>
      </c>
      <c r="AC27" s="1094">
        <f t="shared" si="317"/>
        <v>0</v>
      </c>
      <c r="AD27" s="1094">
        <f t="shared" si="317"/>
        <v>0</v>
      </c>
      <c r="AE27" s="1094">
        <f t="shared" si="317"/>
        <v>0</v>
      </c>
      <c r="AF27" s="1094">
        <f t="shared" si="317"/>
        <v>0</v>
      </c>
      <c r="AG27" s="1094">
        <f t="shared" si="317"/>
        <v>0</v>
      </c>
      <c r="AH27" s="1094">
        <f t="shared" si="318"/>
        <v>0</v>
      </c>
      <c r="AI27" s="1094">
        <f t="shared" si="318"/>
        <v>0</v>
      </c>
      <c r="AJ27" s="1094">
        <f t="shared" si="318"/>
        <v>0</v>
      </c>
      <c r="AK27" s="1094">
        <f t="shared" si="318"/>
        <v>0</v>
      </c>
      <c r="AL27" s="1094">
        <f t="shared" si="318"/>
        <v>0</v>
      </c>
      <c r="AM27" s="1094">
        <f t="shared" si="318"/>
        <v>0</v>
      </c>
      <c r="AN27" s="1094">
        <f t="shared" si="318"/>
        <v>0</v>
      </c>
      <c r="AO27" s="1094">
        <f t="shared" si="318"/>
        <v>0</v>
      </c>
      <c r="AP27" s="1094">
        <f t="shared" si="318"/>
        <v>0</v>
      </c>
      <c r="AQ27" s="1094">
        <f t="shared" si="318"/>
        <v>0</v>
      </c>
      <c r="AR27" s="1094">
        <f t="shared" si="318"/>
        <v>0</v>
      </c>
      <c r="AS27" s="1094">
        <f t="shared" si="318"/>
        <v>0</v>
      </c>
      <c r="AT27" s="1094">
        <f t="shared" si="318"/>
        <v>0</v>
      </c>
      <c r="AU27" s="1094">
        <f t="shared" si="318"/>
        <v>0</v>
      </c>
      <c r="AV27" s="1094">
        <f t="shared" si="318"/>
        <v>0</v>
      </c>
      <c r="AW27" s="1094">
        <f t="shared" si="318"/>
        <v>0</v>
      </c>
      <c r="AX27" s="1094">
        <f t="shared" si="319"/>
        <v>0</v>
      </c>
      <c r="AY27" s="1094">
        <f t="shared" si="319"/>
        <v>0</v>
      </c>
      <c r="AZ27" s="1094">
        <f t="shared" si="319"/>
        <v>0</v>
      </c>
      <c r="BA27" s="1094">
        <f t="shared" si="319"/>
        <v>0</v>
      </c>
      <c r="BB27" s="1094">
        <f t="shared" si="319"/>
        <v>0</v>
      </c>
      <c r="BC27" s="1094">
        <f t="shared" si="319"/>
        <v>0</v>
      </c>
      <c r="BD27" s="1094">
        <f t="shared" si="319"/>
        <v>0</v>
      </c>
      <c r="BE27" s="1094">
        <f t="shared" si="319"/>
        <v>0</v>
      </c>
      <c r="BF27" s="1094">
        <f t="shared" si="319"/>
        <v>0</v>
      </c>
      <c r="BG27" s="1094">
        <f t="shared" si="319"/>
        <v>0</v>
      </c>
      <c r="BH27" s="1094">
        <f t="shared" si="319"/>
        <v>0</v>
      </c>
      <c r="BI27" s="1094">
        <f t="shared" si="319"/>
        <v>0</v>
      </c>
      <c r="BJ27" s="1094">
        <f t="shared" si="319"/>
        <v>0</v>
      </c>
      <c r="BK27" s="1094">
        <f t="shared" si="319"/>
        <v>0</v>
      </c>
      <c r="BL27" s="1094">
        <f t="shared" si="319"/>
        <v>0</v>
      </c>
      <c r="BM27" s="1095">
        <f t="shared" si="319"/>
        <v>0</v>
      </c>
      <c r="BN27" s="785"/>
      <c r="BO27" s="1204">
        <f t="shared" si="320"/>
        <v>0</v>
      </c>
      <c r="BP27" s="1203">
        <f>+SUMIF('AUX-NIV1'!$B:$B,Crono!$C27,'AUX-NIV1'!AQ:AQ)*Crono!$H27</f>
        <v>0</v>
      </c>
      <c r="BQ27" s="1202">
        <f>+SUMIF('AUX-NIV1'!$B:$B,Crono!$C27,'AUX-NIV1'!AR:AR)*Crono!$H27</f>
        <v>0</v>
      </c>
      <c r="BR27" s="1202">
        <f>+SUMIF('AUX-NIV1'!$B:$B,Crono!$C27,'AUX-NIV1'!AS:AS)*Crono!$H27</f>
        <v>0</v>
      </c>
      <c r="BS27" s="1202">
        <f>+SUMIF('AUX-NIV1'!$B:$B,Crono!$C27,'AUX-NIV1'!AT:AT)*Crono!$H27</f>
        <v>0</v>
      </c>
      <c r="BT27" s="1202">
        <f>+SUMIF('AUX-NIV1'!$B:$B,Crono!$C27,'AUX-NIV1'!AU:AU)*Crono!$H27</f>
        <v>0</v>
      </c>
      <c r="BU27" s="1202"/>
      <c r="BW27" s="1202">
        <f t="shared" si="321"/>
        <v>0</v>
      </c>
      <c r="BX27" s="1202">
        <f t="shared" si="322"/>
        <v>0</v>
      </c>
      <c r="BY27" s="1202">
        <f t="shared" si="323"/>
        <v>0</v>
      </c>
      <c r="BZ27" s="1202">
        <f t="shared" si="324"/>
        <v>0</v>
      </c>
      <c r="CA27" s="1202">
        <f t="shared" si="325"/>
        <v>0</v>
      </c>
      <c r="CB27" s="1202">
        <f t="shared" si="326"/>
        <v>0</v>
      </c>
      <c r="CC27" s="1202">
        <f t="shared" si="327"/>
        <v>0</v>
      </c>
      <c r="CD27" s="1202">
        <f t="shared" si="328"/>
        <v>0</v>
      </c>
      <c r="CE27" s="1202">
        <f t="shared" si="329"/>
        <v>0</v>
      </c>
      <c r="CF27" s="1202">
        <f t="shared" si="330"/>
        <v>0</v>
      </c>
      <c r="CG27" s="1202">
        <f t="shared" si="331"/>
        <v>0</v>
      </c>
      <c r="CH27" s="1202">
        <f t="shared" si="332"/>
        <v>0</v>
      </c>
      <c r="CI27" s="1202">
        <f t="shared" si="333"/>
        <v>0</v>
      </c>
      <c r="CJ27" s="1202">
        <f t="shared" si="334"/>
        <v>0</v>
      </c>
      <c r="CK27" s="1202">
        <f t="shared" si="335"/>
        <v>0</v>
      </c>
      <c r="CL27" s="1202">
        <f t="shared" si="336"/>
        <v>0</v>
      </c>
      <c r="CM27" s="1202">
        <f t="shared" si="337"/>
        <v>0</v>
      </c>
      <c r="CN27" s="1202">
        <f t="shared" si="338"/>
        <v>0</v>
      </c>
      <c r="CO27" s="1202">
        <f t="shared" si="339"/>
        <v>0</v>
      </c>
      <c r="CP27" s="1202">
        <f t="shared" si="340"/>
        <v>0</v>
      </c>
      <c r="CQ27" s="1202">
        <f t="shared" si="341"/>
        <v>0</v>
      </c>
      <c r="CR27" s="1202">
        <f t="shared" si="342"/>
        <v>0</v>
      </c>
      <c r="CS27" s="1202">
        <f t="shared" si="343"/>
        <v>0</v>
      </c>
      <c r="CT27" s="1202">
        <f t="shared" si="344"/>
        <v>0</v>
      </c>
      <c r="CU27" s="1202">
        <f t="shared" si="345"/>
        <v>0</v>
      </c>
      <c r="CV27" s="1202">
        <f t="shared" si="346"/>
        <v>0</v>
      </c>
      <c r="CW27" s="1202">
        <f t="shared" si="347"/>
        <v>0</v>
      </c>
      <c r="CX27" s="1202">
        <f t="shared" si="348"/>
        <v>0</v>
      </c>
      <c r="CY27" s="1202">
        <f t="shared" si="349"/>
        <v>0</v>
      </c>
      <c r="CZ27" s="1202">
        <f t="shared" si="350"/>
        <v>0</v>
      </c>
      <c r="DA27" s="1202">
        <f t="shared" si="351"/>
        <v>0</v>
      </c>
      <c r="DB27" s="1202">
        <f t="shared" si="352"/>
        <v>0</v>
      </c>
      <c r="DC27" s="1202">
        <f t="shared" si="353"/>
        <v>0</v>
      </c>
      <c r="DD27" s="1202">
        <f t="shared" si="354"/>
        <v>0</v>
      </c>
      <c r="DE27" s="1202">
        <f t="shared" si="355"/>
        <v>0</v>
      </c>
      <c r="DF27" s="1202">
        <f t="shared" si="356"/>
        <v>0</v>
      </c>
      <c r="DG27" s="1202">
        <f t="shared" si="357"/>
        <v>0</v>
      </c>
      <c r="DH27" s="1202">
        <f t="shared" si="358"/>
        <v>0</v>
      </c>
      <c r="DI27" s="1202">
        <f t="shared" si="359"/>
        <v>0</v>
      </c>
      <c r="DJ27" s="1202">
        <f t="shared" si="360"/>
        <v>0</v>
      </c>
      <c r="DK27" s="1202">
        <f t="shared" si="361"/>
        <v>0</v>
      </c>
      <c r="DL27" s="1202">
        <f t="shared" si="362"/>
        <v>0</v>
      </c>
      <c r="DM27" s="1202">
        <f t="shared" si="363"/>
        <v>0</v>
      </c>
      <c r="DN27" s="1202">
        <f t="shared" si="364"/>
        <v>0</v>
      </c>
      <c r="DO27" s="1202">
        <f t="shared" si="365"/>
        <v>0</v>
      </c>
      <c r="DP27" s="1202">
        <f t="shared" si="366"/>
        <v>0</v>
      </c>
      <c r="DQ27" s="1202">
        <f t="shared" si="367"/>
        <v>0</v>
      </c>
      <c r="DR27" s="1202">
        <f t="shared" si="368"/>
        <v>0</v>
      </c>
      <c r="DS27" s="1202"/>
      <c r="DT27" s="1202">
        <f t="shared" si="369"/>
        <v>0</v>
      </c>
      <c r="DU27" s="1202">
        <f t="shared" si="370"/>
        <v>0</v>
      </c>
      <c r="DV27" s="1202">
        <f t="shared" si="371"/>
        <v>0</v>
      </c>
      <c r="DW27" s="1202">
        <f t="shared" si="372"/>
        <v>0</v>
      </c>
      <c r="DX27" s="1202">
        <f t="shared" si="373"/>
        <v>0</v>
      </c>
      <c r="DY27" s="1202">
        <f t="shared" si="374"/>
        <v>0</v>
      </c>
      <c r="DZ27" s="1202">
        <f t="shared" si="375"/>
        <v>0</v>
      </c>
      <c r="EA27" s="1202">
        <f t="shared" si="376"/>
        <v>0</v>
      </c>
      <c r="EB27" s="1202">
        <f t="shared" si="377"/>
        <v>0</v>
      </c>
      <c r="EC27" s="1202">
        <f t="shared" si="378"/>
        <v>0</v>
      </c>
      <c r="ED27" s="1202">
        <f t="shared" si="379"/>
        <v>0</v>
      </c>
      <c r="EE27" s="1202">
        <f t="shared" si="380"/>
        <v>0</v>
      </c>
      <c r="EF27" s="1202">
        <f t="shared" si="381"/>
        <v>0</v>
      </c>
      <c r="EG27" s="1202">
        <f t="shared" si="382"/>
        <v>0</v>
      </c>
      <c r="EH27" s="1202">
        <f t="shared" si="383"/>
        <v>0</v>
      </c>
      <c r="EI27" s="1202">
        <f t="shared" si="384"/>
        <v>0</v>
      </c>
      <c r="EJ27" s="1202">
        <f t="shared" si="385"/>
        <v>0</v>
      </c>
      <c r="EK27" s="1202">
        <f t="shared" si="386"/>
        <v>0</v>
      </c>
      <c r="EL27" s="1202">
        <f t="shared" si="387"/>
        <v>0</v>
      </c>
      <c r="EM27" s="1202">
        <f t="shared" si="388"/>
        <v>0</v>
      </c>
      <c r="EN27" s="1202">
        <f t="shared" si="389"/>
        <v>0</v>
      </c>
      <c r="EO27" s="1202">
        <f t="shared" si="390"/>
        <v>0</v>
      </c>
      <c r="EP27" s="1202">
        <f t="shared" si="391"/>
        <v>0</v>
      </c>
      <c r="EQ27" s="1202">
        <f t="shared" si="392"/>
        <v>0</v>
      </c>
      <c r="ER27" s="1202">
        <f t="shared" si="393"/>
        <v>0</v>
      </c>
      <c r="ES27" s="1202">
        <f t="shared" si="394"/>
        <v>0</v>
      </c>
      <c r="ET27" s="1202">
        <f t="shared" si="395"/>
        <v>0</v>
      </c>
      <c r="EU27" s="1202">
        <f t="shared" si="396"/>
        <v>0</v>
      </c>
      <c r="EV27" s="1202">
        <f t="shared" si="397"/>
        <v>0</v>
      </c>
      <c r="EW27" s="1202">
        <f t="shared" si="398"/>
        <v>0</v>
      </c>
      <c r="EX27" s="1202">
        <f t="shared" si="399"/>
        <v>0</v>
      </c>
      <c r="EY27" s="1202">
        <f t="shared" si="400"/>
        <v>0</v>
      </c>
      <c r="EZ27" s="1202">
        <f t="shared" si="401"/>
        <v>0</v>
      </c>
      <c r="FA27" s="1202">
        <f t="shared" si="402"/>
        <v>0</v>
      </c>
      <c r="FB27" s="1202">
        <f t="shared" si="403"/>
        <v>0</v>
      </c>
      <c r="FC27" s="1202">
        <f t="shared" si="404"/>
        <v>0</v>
      </c>
      <c r="FD27" s="1202">
        <f t="shared" si="405"/>
        <v>0</v>
      </c>
      <c r="FE27" s="1202">
        <f t="shared" si="406"/>
        <v>0</v>
      </c>
      <c r="FF27" s="1202">
        <f t="shared" si="407"/>
        <v>0</v>
      </c>
      <c r="FG27" s="1202">
        <f t="shared" si="408"/>
        <v>0</v>
      </c>
      <c r="FH27" s="1202">
        <f t="shared" si="409"/>
        <v>0</v>
      </c>
      <c r="FI27" s="1202">
        <f t="shared" si="410"/>
        <v>0</v>
      </c>
      <c r="FJ27" s="1202">
        <f t="shared" si="411"/>
        <v>0</v>
      </c>
      <c r="FK27" s="1202">
        <f t="shared" si="412"/>
        <v>0</v>
      </c>
      <c r="FL27" s="1202">
        <f t="shared" si="413"/>
        <v>0</v>
      </c>
      <c r="FM27" s="1202">
        <f t="shared" si="414"/>
        <v>0</v>
      </c>
      <c r="FN27" s="1202">
        <f t="shared" si="415"/>
        <v>0</v>
      </c>
      <c r="FO27" s="1202">
        <f t="shared" si="416"/>
        <v>0</v>
      </c>
      <c r="FP27" s="1202"/>
      <c r="FQ27" s="1202">
        <f>$BR27*Q27</f>
        <v>0</v>
      </c>
      <c r="FR27" s="1202">
        <f t="shared" si="418"/>
        <v>0</v>
      </c>
      <c r="FS27" s="1202">
        <f t="shared" si="419"/>
        <v>0</v>
      </c>
      <c r="FT27" s="1202">
        <f t="shared" si="420"/>
        <v>0</v>
      </c>
      <c r="FU27" s="1202">
        <f t="shared" si="421"/>
        <v>0</v>
      </c>
      <c r="FV27" s="1202">
        <f t="shared" si="422"/>
        <v>0</v>
      </c>
      <c r="FW27" s="1202">
        <f t="shared" si="423"/>
        <v>0</v>
      </c>
      <c r="FX27" s="1202">
        <f t="shared" si="424"/>
        <v>0</v>
      </c>
      <c r="FY27" s="1202">
        <f t="shared" si="425"/>
        <v>0</v>
      </c>
      <c r="FZ27" s="1202">
        <f t="shared" si="426"/>
        <v>0</v>
      </c>
      <c r="GA27" s="1202">
        <f t="shared" si="427"/>
        <v>0</v>
      </c>
      <c r="GB27" s="1202">
        <f t="shared" si="428"/>
        <v>0</v>
      </c>
      <c r="GC27" s="1202">
        <f t="shared" si="429"/>
        <v>0</v>
      </c>
      <c r="GD27" s="1202">
        <f t="shared" si="430"/>
        <v>0</v>
      </c>
      <c r="GE27" s="1202">
        <f t="shared" si="431"/>
        <v>0</v>
      </c>
      <c r="GF27" s="1202">
        <f t="shared" si="432"/>
        <v>0</v>
      </c>
      <c r="GG27" s="1202">
        <f t="shared" si="433"/>
        <v>0</v>
      </c>
      <c r="GH27" s="1202">
        <f t="shared" si="434"/>
        <v>0</v>
      </c>
      <c r="GI27" s="1202">
        <f t="shared" si="435"/>
        <v>0</v>
      </c>
      <c r="GJ27" s="1202">
        <f t="shared" si="436"/>
        <v>0</v>
      </c>
      <c r="GK27" s="1202">
        <f t="shared" si="437"/>
        <v>0</v>
      </c>
      <c r="GL27" s="1202">
        <f t="shared" si="438"/>
        <v>0</v>
      </c>
      <c r="GM27" s="1202">
        <f t="shared" si="439"/>
        <v>0</v>
      </c>
      <c r="GN27" s="1202">
        <f t="shared" si="440"/>
        <v>0</v>
      </c>
      <c r="GO27" s="1202">
        <f t="shared" si="441"/>
        <v>0</v>
      </c>
      <c r="GP27" s="1202">
        <f t="shared" si="442"/>
        <v>0</v>
      </c>
      <c r="GQ27" s="1202">
        <f t="shared" si="443"/>
        <v>0</v>
      </c>
      <c r="GR27" s="1202">
        <f t="shared" si="444"/>
        <v>0</v>
      </c>
      <c r="GS27" s="1202">
        <f t="shared" si="445"/>
        <v>0</v>
      </c>
      <c r="GT27" s="1202">
        <f t="shared" si="446"/>
        <v>0</v>
      </c>
      <c r="GU27" s="1202">
        <f t="shared" si="447"/>
        <v>0</v>
      </c>
      <c r="GV27" s="1202">
        <f t="shared" si="448"/>
        <v>0</v>
      </c>
      <c r="GW27" s="1202">
        <f t="shared" si="449"/>
        <v>0</v>
      </c>
      <c r="GX27" s="1202">
        <f t="shared" si="450"/>
        <v>0</v>
      </c>
      <c r="GY27" s="1202">
        <f t="shared" si="451"/>
        <v>0</v>
      </c>
      <c r="GZ27" s="1202">
        <f t="shared" si="452"/>
        <v>0</v>
      </c>
      <c r="HA27" s="1202">
        <f t="shared" si="453"/>
        <v>0</v>
      </c>
      <c r="HB27" s="1202">
        <f t="shared" si="454"/>
        <v>0</v>
      </c>
      <c r="HC27" s="1202">
        <f t="shared" si="455"/>
        <v>0</v>
      </c>
      <c r="HD27" s="1202">
        <f t="shared" si="456"/>
        <v>0</v>
      </c>
      <c r="HE27" s="1202">
        <f t="shared" si="457"/>
        <v>0</v>
      </c>
      <c r="HF27" s="1202">
        <f t="shared" si="458"/>
        <v>0</v>
      </c>
      <c r="HG27" s="1202">
        <f t="shared" si="459"/>
        <v>0</v>
      </c>
      <c r="HH27" s="1202">
        <f t="shared" si="460"/>
        <v>0</v>
      </c>
      <c r="HI27" s="1202">
        <f t="shared" si="461"/>
        <v>0</v>
      </c>
      <c r="HJ27" s="1202">
        <f t="shared" si="462"/>
        <v>0</v>
      </c>
      <c r="HK27" s="1202">
        <f t="shared" si="463"/>
        <v>0</v>
      </c>
      <c r="HL27" s="1202">
        <f t="shared" si="464"/>
        <v>0</v>
      </c>
      <c r="HM27" s="1202"/>
      <c r="HN27" s="1202">
        <f>$BS27*BN27</f>
        <v>0</v>
      </c>
      <c r="HO27" s="1202">
        <f t="shared" ref="HO27:JI27" si="561">$BS27*BO27</f>
        <v>0</v>
      </c>
      <c r="HP27" s="1202">
        <f t="shared" si="561"/>
        <v>0</v>
      </c>
      <c r="HQ27" s="1202">
        <f t="shared" si="561"/>
        <v>0</v>
      </c>
      <c r="HR27" s="1202">
        <f t="shared" si="561"/>
        <v>0</v>
      </c>
      <c r="HS27" s="1202">
        <f t="shared" si="561"/>
        <v>0</v>
      </c>
      <c r="HT27" s="1202">
        <f t="shared" si="561"/>
        <v>0</v>
      </c>
      <c r="HU27" s="1202">
        <f t="shared" si="561"/>
        <v>0</v>
      </c>
      <c r="HV27" s="1202">
        <f t="shared" si="561"/>
        <v>0</v>
      </c>
      <c r="HW27" s="1202">
        <f t="shared" si="561"/>
        <v>0</v>
      </c>
      <c r="HX27" s="1202">
        <f t="shared" si="561"/>
        <v>0</v>
      </c>
      <c r="HY27" s="1202">
        <f t="shared" si="561"/>
        <v>0</v>
      </c>
      <c r="HZ27" s="1202">
        <f t="shared" si="561"/>
        <v>0</v>
      </c>
      <c r="IA27" s="1202">
        <f t="shared" si="561"/>
        <v>0</v>
      </c>
      <c r="IB27" s="1202">
        <f t="shared" si="561"/>
        <v>0</v>
      </c>
      <c r="IC27" s="1202">
        <f t="shared" si="561"/>
        <v>0</v>
      </c>
      <c r="ID27" s="1202">
        <f t="shared" si="561"/>
        <v>0</v>
      </c>
      <c r="IE27" s="1202">
        <f t="shared" si="561"/>
        <v>0</v>
      </c>
      <c r="IF27" s="1202">
        <f t="shared" si="561"/>
        <v>0</v>
      </c>
      <c r="IG27" s="1202">
        <f t="shared" si="561"/>
        <v>0</v>
      </c>
      <c r="IH27" s="1202">
        <f t="shared" si="561"/>
        <v>0</v>
      </c>
      <c r="II27" s="1202">
        <f t="shared" si="561"/>
        <v>0</v>
      </c>
      <c r="IJ27" s="1202">
        <f t="shared" si="561"/>
        <v>0</v>
      </c>
      <c r="IK27" s="1202">
        <f t="shared" si="561"/>
        <v>0</v>
      </c>
      <c r="IL27" s="1202">
        <f t="shared" si="561"/>
        <v>0</v>
      </c>
      <c r="IM27" s="1202">
        <f t="shared" si="561"/>
        <v>0</v>
      </c>
      <c r="IN27" s="1202">
        <f t="shared" si="561"/>
        <v>0</v>
      </c>
      <c r="IO27" s="1202">
        <f t="shared" si="561"/>
        <v>0</v>
      </c>
      <c r="IP27" s="1202">
        <f t="shared" si="561"/>
        <v>0</v>
      </c>
      <c r="IQ27" s="1202">
        <f t="shared" si="561"/>
        <v>0</v>
      </c>
      <c r="IR27" s="1202">
        <f t="shared" si="561"/>
        <v>0</v>
      </c>
      <c r="IS27" s="1202">
        <f t="shared" si="561"/>
        <v>0</v>
      </c>
      <c r="IT27" s="1202">
        <f t="shared" si="561"/>
        <v>0</v>
      </c>
      <c r="IU27" s="1202">
        <f t="shared" si="561"/>
        <v>0</v>
      </c>
      <c r="IV27" s="1202">
        <f t="shared" si="561"/>
        <v>0</v>
      </c>
      <c r="IW27" s="1202">
        <f t="shared" si="561"/>
        <v>0</v>
      </c>
      <c r="IX27" s="1202">
        <f t="shared" si="561"/>
        <v>0</v>
      </c>
      <c r="IY27" s="1202">
        <f t="shared" si="561"/>
        <v>0</v>
      </c>
      <c r="IZ27" s="1202">
        <f t="shared" si="561"/>
        <v>0</v>
      </c>
      <c r="JA27" s="1202">
        <f t="shared" si="561"/>
        <v>0</v>
      </c>
      <c r="JB27" s="1202">
        <f t="shared" si="561"/>
        <v>0</v>
      </c>
      <c r="JC27" s="1202">
        <f t="shared" si="561"/>
        <v>0</v>
      </c>
      <c r="JD27" s="1202">
        <f t="shared" si="561"/>
        <v>0</v>
      </c>
      <c r="JE27" s="1202">
        <f t="shared" si="561"/>
        <v>0</v>
      </c>
      <c r="JF27" s="1202">
        <f t="shared" si="561"/>
        <v>0</v>
      </c>
      <c r="JG27" s="1202">
        <f t="shared" si="561"/>
        <v>0</v>
      </c>
      <c r="JH27" s="1202">
        <f t="shared" si="561"/>
        <v>0</v>
      </c>
      <c r="JI27" s="1202">
        <f t="shared" si="561"/>
        <v>0</v>
      </c>
      <c r="JJ27" s="1202"/>
      <c r="JK27" s="1202">
        <f t="shared" si="513"/>
        <v>0</v>
      </c>
      <c r="JL27" s="1202">
        <f t="shared" si="514"/>
        <v>0</v>
      </c>
      <c r="JM27" s="1202">
        <f t="shared" si="515"/>
        <v>0</v>
      </c>
      <c r="JN27" s="1202">
        <f t="shared" si="516"/>
        <v>0</v>
      </c>
      <c r="JO27" s="1202">
        <f t="shared" si="517"/>
        <v>0</v>
      </c>
      <c r="JP27" s="1202">
        <f t="shared" si="518"/>
        <v>0</v>
      </c>
      <c r="JQ27" s="1202">
        <f t="shared" si="519"/>
        <v>0</v>
      </c>
      <c r="JR27" s="1202">
        <f t="shared" si="520"/>
        <v>0</v>
      </c>
      <c r="JS27" s="1202">
        <f t="shared" si="521"/>
        <v>0</v>
      </c>
      <c r="JT27" s="1202">
        <f t="shared" si="522"/>
        <v>0</v>
      </c>
      <c r="JU27" s="1202">
        <f t="shared" si="523"/>
        <v>0</v>
      </c>
      <c r="JV27" s="1202">
        <f t="shared" si="524"/>
        <v>0</v>
      </c>
      <c r="JW27" s="1202">
        <f t="shared" si="525"/>
        <v>0</v>
      </c>
      <c r="JX27" s="1202">
        <f t="shared" si="526"/>
        <v>0</v>
      </c>
      <c r="JY27" s="1202">
        <f t="shared" si="527"/>
        <v>0</v>
      </c>
      <c r="JZ27" s="1202">
        <f t="shared" si="528"/>
        <v>0</v>
      </c>
      <c r="KA27" s="1202">
        <f t="shared" si="529"/>
        <v>0</v>
      </c>
      <c r="KB27" s="1202">
        <f t="shared" si="530"/>
        <v>0</v>
      </c>
      <c r="KC27" s="1202">
        <f t="shared" si="531"/>
        <v>0</v>
      </c>
      <c r="KD27" s="1202">
        <f t="shared" si="532"/>
        <v>0</v>
      </c>
      <c r="KE27" s="1202">
        <f t="shared" si="533"/>
        <v>0</v>
      </c>
      <c r="KF27" s="1202">
        <f t="shared" si="534"/>
        <v>0</v>
      </c>
      <c r="KG27" s="1202">
        <f t="shared" si="535"/>
        <v>0</v>
      </c>
      <c r="KH27" s="1202">
        <f t="shared" si="536"/>
        <v>0</v>
      </c>
      <c r="KI27" s="1202">
        <f t="shared" si="537"/>
        <v>0</v>
      </c>
      <c r="KJ27" s="1202">
        <f t="shared" si="538"/>
        <v>0</v>
      </c>
      <c r="KK27" s="1202">
        <f t="shared" si="539"/>
        <v>0</v>
      </c>
      <c r="KL27" s="1202">
        <f t="shared" si="540"/>
        <v>0</v>
      </c>
      <c r="KM27" s="1202">
        <f t="shared" si="541"/>
        <v>0</v>
      </c>
      <c r="KN27" s="1202">
        <f t="shared" si="542"/>
        <v>0</v>
      </c>
      <c r="KO27" s="1202">
        <f t="shared" si="543"/>
        <v>0</v>
      </c>
      <c r="KP27" s="1202">
        <f t="shared" si="544"/>
        <v>0</v>
      </c>
      <c r="KQ27" s="1202">
        <f t="shared" si="545"/>
        <v>0</v>
      </c>
      <c r="KR27" s="1202">
        <f t="shared" si="546"/>
        <v>0</v>
      </c>
      <c r="KS27" s="1202">
        <f t="shared" si="547"/>
        <v>0</v>
      </c>
      <c r="KT27" s="1202">
        <f t="shared" si="548"/>
        <v>0</v>
      </c>
      <c r="KU27" s="1202">
        <f t="shared" si="549"/>
        <v>0</v>
      </c>
      <c r="KV27" s="1202">
        <f t="shared" si="550"/>
        <v>0</v>
      </c>
      <c r="KW27" s="1202">
        <f t="shared" si="551"/>
        <v>0</v>
      </c>
      <c r="KX27" s="1202">
        <f t="shared" si="552"/>
        <v>0</v>
      </c>
      <c r="KY27" s="1202">
        <f t="shared" si="553"/>
        <v>0</v>
      </c>
      <c r="KZ27" s="1202">
        <f t="shared" si="554"/>
        <v>0</v>
      </c>
      <c r="LA27" s="1202">
        <f t="shared" si="555"/>
        <v>0</v>
      </c>
      <c r="LB27" s="1202">
        <f t="shared" si="556"/>
        <v>0</v>
      </c>
      <c r="LC27" s="1202">
        <f t="shared" si="557"/>
        <v>0</v>
      </c>
      <c r="LD27" s="1202">
        <f t="shared" si="558"/>
        <v>0</v>
      </c>
      <c r="LE27" s="1202">
        <f t="shared" si="559"/>
        <v>0</v>
      </c>
      <c r="LF27" s="1202">
        <f t="shared" si="560"/>
        <v>0</v>
      </c>
      <c r="LG27" s="1202"/>
    </row>
    <row r="28" spans="2:319" ht="17.399999999999999">
      <c r="B28" s="807" t="s">
        <v>1326</v>
      </c>
      <c r="C28" s="634"/>
      <c r="D28" s="635"/>
      <c r="E28" s="636"/>
      <c r="F28" s="637" t="s">
        <v>517</v>
      </c>
      <c r="G28" s="638"/>
      <c r="H28" s="639"/>
      <c r="I28" s="640"/>
      <c r="J28" s="641">
        <f>SUBTOTAL(9,J14:J27)</f>
        <v>128631.65142878229</v>
      </c>
      <c r="K28" s="639"/>
      <c r="L28" s="822"/>
      <c r="M28" s="824"/>
      <c r="N28" s="825"/>
      <c r="O28" s="826">
        <f>+IF(C28&lt;&gt;"",VLOOKUP(C28,'AUX-NIV1'!B:AO,40,FALSE)*H28,0)</f>
        <v>0</v>
      </c>
      <c r="P28" s="803" t="str">
        <f t="shared" ref="P28:P58" si="562">IF(J28&gt;0,IF(+SUM(Q28:BM28)=1,"","REV."),"")</f>
        <v>REV.</v>
      </c>
      <c r="Q28" s="1200">
        <f>SUMPRODUCT(Q15:Q27,$J$15:$J$27)/$J$28</f>
        <v>0.18927782444429245</v>
      </c>
      <c r="R28" s="1201">
        <f>SUMPRODUCT(R15:R27,$J$15:$J$27)/$J$28</f>
        <v>1.6801168570325953</v>
      </c>
      <c r="S28" s="1201">
        <f>SUMPRODUCT(S15:S27,$J$15:$J$27)/$J$28</f>
        <v>0</v>
      </c>
      <c r="T28" s="1201">
        <f>SUMPRODUCT(T15:T27,$J$15:$J$27)/$J$28</f>
        <v>0</v>
      </c>
      <c r="U28" s="1201">
        <f>SUMPRODUCT(U15:U27,$J$15:$J$27)/$J$28</f>
        <v>0</v>
      </c>
      <c r="V28" s="1201">
        <f>SUMPRODUCT(V15:V27,$J$15:$J$27)/$J$28</f>
        <v>0</v>
      </c>
      <c r="W28" s="1201">
        <f>SUMPRODUCT(W15:W27,$J$15:$J$27)/$J$28</f>
        <v>0</v>
      </c>
      <c r="X28" s="1201">
        <f>SUMPRODUCT(X15:X27,$J$15:$J$27)/$J$28</f>
        <v>0</v>
      </c>
      <c r="Y28" s="1201">
        <f>SUMPRODUCT(Y15:Y27,$J$15:$J$27)/$J$28</f>
        <v>0</v>
      </c>
      <c r="Z28" s="1201">
        <f>SUMPRODUCT(Z15:Z27,$J$15:$J$27)/$J$28</f>
        <v>0</v>
      </c>
      <c r="AA28" s="1201">
        <f>SUMPRODUCT(AA15:AA27,$J$15:$J$27)/$J$28</f>
        <v>0</v>
      </c>
      <c r="AB28" s="1201">
        <f>SUMPRODUCT(AB15:AB27,$J$15:$J$27)/$J$28</f>
        <v>0</v>
      </c>
      <c r="AC28" s="1201">
        <f>SUMPRODUCT(AC15:AC27,$J$15:$J$27)/$J$28</f>
        <v>0</v>
      </c>
      <c r="AD28" s="1201">
        <f>SUMPRODUCT(AD15:AD27,$J$15:$J$27)/$J$28</f>
        <v>0</v>
      </c>
      <c r="AE28" s="1201">
        <f>SUMPRODUCT(AE15:AE27,$J$15:$J$27)/$J$28</f>
        <v>0</v>
      </c>
      <c r="AF28" s="1201">
        <f>SUMPRODUCT(AF15:AF27,$J$15:$J$27)/$J$28</f>
        <v>0</v>
      </c>
      <c r="AG28" s="1201">
        <f>SUMPRODUCT(AG15:AG27,$J$15:$J$27)/$J$28</f>
        <v>0</v>
      </c>
      <c r="AH28" s="1201">
        <f>SUMPRODUCT(AH15:AH27,$J$15:$J$27)/$J$28</f>
        <v>0</v>
      </c>
      <c r="AI28" s="1201">
        <f>SUMPRODUCT(AI15:AI27,$J$15:$J$27)/$J$28</f>
        <v>0</v>
      </c>
      <c r="AJ28" s="1201">
        <f>SUMPRODUCT(AJ15:AJ27,$J$15:$J$27)/$J$28</f>
        <v>0</v>
      </c>
      <c r="AK28" s="1201">
        <f>SUMPRODUCT(AK15:AK27,$J$15:$J$27)/$J$28</f>
        <v>0</v>
      </c>
      <c r="AL28" s="1201">
        <f>SUMPRODUCT(AL15:AL27,$J$15:$J$27)/$J$28</f>
        <v>0</v>
      </c>
      <c r="AM28" s="1201">
        <f>SUMPRODUCT(AM15:AM27,$J$15:$J$27)/$J$28</f>
        <v>0</v>
      </c>
      <c r="AN28" s="1201">
        <f>SUMPRODUCT(AN15:AN27,$J$15:$J$27)/$J$28</f>
        <v>0</v>
      </c>
      <c r="AO28" s="1201">
        <f>SUMPRODUCT(AO15:AO27,$J$15:$J$27)/$J$28</f>
        <v>0</v>
      </c>
      <c r="AP28" s="1201">
        <f>SUMPRODUCT(AP15:AP27,$J$15:$J$27)/$J$28</f>
        <v>0</v>
      </c>
      <c r="AQ28" s="1201">
        <f>SUMPRODUCT(AQ15:AQ27,$J$15:$J$27)/$J$28</f>
        <v>0</v>
      </c>
      <c r="AR28" s="1201">
        <f>SUMPRODUCT(AR15:AR27,$J$15:$J$27)/$J$28</f>
        <v>0</v>
      </c>
      <c r="AS28" s="1201">
        <f>SUMPRODUCT(AS15:AS27,$J$15:$J$27)/$J$28</f>
        <v>0</v>
      </c>
      <c r="AT28" s="1201">
        <f>SUMPRODUCT(AT15:AT27,$J$15:$J$27)/$J$28</f>
        <v>0</v>
      </c>
      <c r="AU28" s="1201">
        <f>SUMPRODUCT(AU15:AU27,$J$15:$J$27)/$J$28</f>
        <v>0</v>
      </c>
      <c r="AV28" s="1201">
        <f>SUMPRODUCT(AV15:AV27,$J$15:$J$27)/$J$28</f>
        <v>0</v>
      </c>
      <c r="AW28" s="1201">
        <f>SUMPRODUCT(AW15:AW27,$J$15:$J$27)/$J$28</f>
        <v>0</v>
      </c>
      <c r="AX28" s="1201">
        <f>SUMPRODUCT(AX15:AX27,$J$15:$J$27)/$J$28</f>
        <v>0</v>
      </c>
      <c r="AY28" s="1201">
        <f>SUMPRODUCT(AY15:AY27,$J$15:$J$27)/$J$28</f>
        <v>0</v>
      </c>
      <c r="AZ28" s="1201">
        <f>SUMPRODUCT(AZ15:AZ27,$J$15:$J$27)/$J$28</f>
        <v>0</v>
      </c>
      <c r="BA28" s="1201">
        <f>SUMPRODUCT(BA15:BA27,$J$15:$J$27)/$J$28</f>
        <v>0</v>
      </c>
      <c r="BB28" s="1201">
        <f>SUMPRODUCT(BB15:BB27,$J$15:$J$27)/$J$28</f>
        <v>0</v>
      </c>
      <c r="BC28" s="1201">
        <f>SUMPRODUCT(BC15:BC27,$J$15:$J$27)/$J$28</f>
        <v>0</v>
      </c>
      <c r="BD28" s="1201">
        <f>SUMPRODUCT(BD15:BD27,$J$15:$J$27)/$J$28</f>
        <v>0</v>
      </c>
      <c r="BE28" s="1201">
        <f>SUMPRODUCT(BE15:BE27,$J$15:$J$27)/$J$28</f>
        <v>0</v>
      </c>
      <c r="BF28" s="1201">
        <f>SUMPRODUCT(BF15:BF27,$J$15:$J$27)/$J$28</f>
        <v>0</v>
      </c>
      <c r="BG28" s="1201">
        <f>SUMPRODUCT(BG15:BG27,$J$15:$J$27)/$J$28</f>
        <v>0</v>
      </c>
      <c r="BH28" s="1201">
        <f>SUMPRODUCT(BH15:BH27,$J$15:$J$27)/$J$28</f>
        <v>0</v>
      </c>
      <c r="BI28" s="1201">
        <f>SUMPRODUCT(BI15:BI27,$J$15:$J$27)/$J$28</f>
        <v>0</v>
      </c>
      <c r="BJ28" s="1201">
        <f>SUMPRODUCT(BJ15:BJ27,$J$15:$J$27)/$J$28</f>
        <v>0</v>
      </c>
      <c r="BK28" s="1201">
        <f>SUMPRODUCT(BK15:BK27,$J$15:$J$27)/$J$28</f>
        <v>0</v>
      </c>
      <c r="BL28" s="1201">
        <f>SUMPRODUCT(BL15:BL27,$J$15:$J$27)/$J$28</f>
        <v>0</v>
      </c>
      <c r="BM28" s="806"/>
      <c r="BN28" s="785"/>
      <c r="BO28" s="1210"/>
      <c r="BP28" s="1213">
        <f>SUM(BP14:BP27)</f>
        <v>44778.486522747386</v>
      </c>
      <c r="BQ28" s="1213">
        <f>SUM(BQ14:BQ27)</f>
        <v>8932.5019862745485</v>
      </c>
      <c r="BR28" s="1213">
        <f>SUM(BR14:BR27)</f>
        <v>74992.82786821395</v>
      </c>
      <c r="BS28" s="1213">
        <f>SUM(BS14:BS27)</f>
        <v>0</v>
      </c>
      <c r="BT28" s="1213">
        <f>SUM(BT14:BT27)</f>
        <v>0</v>
      </c>
      <c r="BU28" s="1213">
        <f>SUM(BU14:BU27)</f>
        <v>0</v>
      </c>
      <c r="BW28" s="1205">
        <f>IFERROR(SUM(BW14:BW27)/SUM($BP$14:$BP$27),0)</f>
        <v>0.35639436714387779</v>
      </c>
      <c r="BX28" s="1205">
        <f>IFERROR(SUM(BX14:BX27)/SUM($BP$14:$BP$27),0)</f>
        <v>0.64360563285612216</v>
      </c>
      <c r="BY28" s="1205">
        <f>IFERROR(SUM(BY14:BY27)/SUM($BP$14:$BP$27),0)</f>
        <v>0</v>
      </c>
      <c r="BZ28" s="1205">
        <f>IFERROR(SUM(BZ14:BZ27)/SUM($BP$14:$BP$27),0)</f>
        <v>0</v>
      </c>
      <c r="CA28" s="1205">
        <f>IFERROR(SUM(CA14:CA27)/SUM($BP$14:$BP$27),0)</f>
        <v>0</v>
      </c>
      <c r="CB28" s="1205">
        <f>IFERROR(SUM(CB14:CB27)/SUM($BP$14:$BP$27),0)</f>
        <v>0</v>
      </c>
      <c r="CC28" s="1205">
        <f>IFERROR(SUM(CC14:CC27)/SUM($BP$14:$BP$27),0)</f>
        <v>0</v>
      </c>
      <c r="CD28" s="1205">
        <f>IFERROR(SUM(CD14:CD27)/SUM($BP$14:$BP$27),0)</f>
        <v>0</v>
      </c>
      <c r="CE28" s="1205">
        <f>IFERROR(SUM(CE14:CE27)/SUM($BP$14:$BP$27),0)</f>
        <v>0</v>
      </c>
      <c r="CF28" s="1205">
        <f>IFERROR(SUM(CF14:CF27)/SUM($BP$14:$BP$27),0)</f>
        <v>0</v>
      </c>
      <c r="CG28" s="1205">
        <f>IFERROR(SUM(CG14:CG27)/SUM($BP$14:$BP$27),0)</f>
        <v>0</v>
      </c>
      <c r="CH28" s="1205">
        <f>IFERROR(SUM(CH14:CH27)/SUM($BP$14:$BP$27),0)</f>
        <v>0</v>
      </c>
      <c r="CI28" s="1205">
        <f>IFERROR(SUM(CI14:CI27)/SUM($BP$14:$BP$27),0)</f>
        <v>0</v>
      </c>
      <c r="CJ28" s="1205">
        <f>IFERROR(SUM(CJ14:CJ27)/SUM($BP$14:$BP$27),0)</f>
        <v>0</v>
      </c>
      <c r="CK28" s="1205">
        <f>IFERROR(SUM(CK14:CK27)/SUM($BP$14:$BP$27),0)</f>
        <v>0</v>
      </c>
      <c r="CL28" s="1205">
        <f>IFERROR(SUM(CL14:CL27)/SUM($BP$14:$BP$27),0)</f>
        <v>0</v>
      </c>
      <c r="CM28" s="1205">
        <f>IFERROR(SUM(CM14:CM27)/SUM($BP$14:$BP$27),0)</f>
        <v>0</v>
      </c>
      <c r="CN28" s="1205">
        <f>IFERROR(SUM(CN14:CN27)/SUM($BP$14:$BP$27),0)</f>
        <v>0</v>
      </c>
      <c r="CO28" s="1205">
        <f>IFERROR(SUM(CO14:CO27)/SUM($BP$14:$BP$27),0)</f>
        <v>0</v>
      </c>
      <c r="CP28" s="1205">
        <f>IFERROR(SUM(CP14:CP27)/SUM($BP$14:$BP$27),0)</f>
        <v>0</v>
      </c>
      <c r="CQ28" s="1205">
        <f>IFERROR(SUM(CQ14:CQ27)/SUM($BP$14:$BP$27),0)</f>
        <v>0</v>
      </c>
      <c r="CR28" s="1205">
        <f>IFERROR(SUM(CR14:CR27)/SUM($BP$14:$BP$27),0)</f>
        <v>0</v>
      </c>
      <c r="CS28" s="1205">
        <f>IFERROR(SUM(CS14:CS27)/SUM($BP$14:$BP$27),0)</f>
        <v>0</v>
      </c>
      <c r="CT28" s="1205">
        <f>IFERROR(SUM(CT14:CT27)/SUM($BP$14:$BP$27),0)</f>
        <v>0</v>
      </c>
      <c r="CU28" s="1205">
        <f>IFERROR(SUM(CU14:CU27)/SUM($BP$14:$BP$27),0)</f>
        <v>0</v>
      </c>
      <c r="CV28" s="1205">
        <f>IFERROR(SUM(CV14:CV27)/SUM($BP$14:$BP$27),0)</f>
        <v>0</v>
      </c>
      <c r="CW28" s="1205">
        <f>IFERROR(SUM(CW14:CW27)/SUM($BP$14:$BP$27),0)</f>
        <v>0</v>
      </c>
      <c r="CX28" s="1205">
        <f>IFERROR(SUM(CX14:CX27)/SUM($BP$14:$BP$27),0)</f>
        <v>0</v>
      </c>
      <c r="CY28" s="1205">
        <f>IFERROR(SUM(CY14:CY27)/SUM($BP$14:$BP$27),0)</f>
        <v>0</v>
      </c>
      <c r="CZ28" s="1205">
        <f>IFERROR(SUM(CZ14:CZ27)/SUM($BP$14:$BP$27),0)</f>
        <v>0</v>
      </c>
      <c r="DA28" s="1205">
        <f>IFERROR(SUM(DA14:DA27)/SUM($BP$14:$BP$27),0)</f>
        <v>0</v>
      </c>
      <c r="DB28" s="1205">
        <f>IFERROR(SUM(DB14:DB27)/SUM($BP$14:$BP$27),0)</f>
        <v>0</v>
      </c>
      <c r="DC28" s="1205">
        <f>IFERROR(SUM(DC14:DC27)/SUM($BP$14:$BP$27),0)</f>
        <v>0</v>
      </c>
      <c r="DD28" s="1205">
        <f>IFERROR(SUM(DD14:DD27)/SUM($BP$14:$BP$27),0)</f>
        <v>0</v>
      </c>
      <c r="DE28" s="1205">
        <f>IFERROR(SUM(DE14:DE27)/SUM($BP$14:$BP$27),0)</f>
        <v>0</v>
      </c>
      <c r="DF28" s="1205">
        <f>IFERROR(SUM(DF14:DF27)/SUM($BP$14:$BP$27),0)</f>
        <v>0</v>
      </c>
      <c r="DG28" s="1205">
        <f>IFERROR(SUM(DG14:DG27)/SUM($BP$14:$BP$27),0)</f>
        <v>0</v>
      </c>
      <c r="DH28" s="1205">
        <f>IFERROR(SUM(DH14:DH27)/SUM($BP$14:$BP$27),0)</f>
        <v>0</v>
      </c>
      <c r="DI28" s="1205">
        <f>IFERROR(SUM(DI14:DI27)/SUM($BP$14:$BP$27),0)</f>
        <v>0</v>
      </c>
      <c r="DJ28" s="1205">
        <f>IFERROR(SUM(DJ14:DJ27)/SUM($BP$14:$BP$27),0)</f>
        <v>0</v>
      </c>
      <c r="DK28" s="1205">
        <f>IFERROR(SUM(DK14:DK27)/SUM($BP$14:$BP$27),0)</f>
        <v>0</v>
      </c>
      <c r="DL28" s="1205">
        <f>IFERROR(SUM(DL14:DL27)/SUM($BP$14:$BP$27),0)</f>
        <v>0</v>
      </c>
      <c r="DM28" s="1205">
        <f>IFERROR(SUM(DM14:DM27)/SUM($BP$14:$BP$27),0)</f>
        <v>0</v>
      </c>
      <c r="DN28" s="1205">
        <f>IFERROR(SUM(DN14:DN27)/SUM($BP$14:$BP$27),0)</f>
        <v>0</v>
      </c>
      <c r="DO28" s="1205">
        <f>IFERROR(SUM(DO14:DO27)/SUM($BP$14:$BP$27),0)</f>
        <v>0</v>
      </c>
      <c r="DP28" s="1205">
        <f>IFERROR(SUM(DP14:DP27)/SUM($BP$14:$BP$27),0)</f>
        <v>0</v>
      </c>
      <c r="DQ28" s="1205">
        <f>IFERROR(SUM(DQ14:DQ27)/SUM($BP$14:$BP$27),0)</f>
        <v>0</v>
      </c>
      <c r="DR28" s="1205">
        <f>IFERROR(SUM(DR14:DR27)/SUM($BP$14:$BP$27),0)</f>
        <v>0</v>
      </c>
      <c r="DT28" s="1205">
        <f>IFERROR(SUM(DT14:DT27)/SUM($BQ$14:$BQ$27),0)</f>
        <v>0.16444753153570491</v>
      </c>
      <c r="DU28" s="1205">
        <f>IFERROR(SUM(DU14:DU27)/SUM($BQ$14:$BQ$27),0)</f>
        <v>0.83555246846429532</v>
      </c>
      <c r="DV28" s="1205">
        <f>IFERROR(SUM(DV14:DV27)/SUM($BQ$14:$BQ$27),0)</f>
        <v>0</v>
      </c>
      <c r="DW28" s="1205">
        <f>IFERROR(SUM(DW14:DW27)/SUM($BQ$14:$BQ$27),0)</f>
        <v>0</v>
      </c>
      <c r="DX28" s="1205">
        <f>IFERROR(SUM(DX14:DX27)/SUM($BQ$14:$BQ$27),0)</f>
        <v>0</v>
      </c>
      <c r="DY28" s="1205">
        <f>IFERROR(SUM(DY14:DY27)/SUM($BQ$14:$BQ$27),0)</f>
        <v>0</v>
      </c>
      <c r="DZ28" s="1205">
        <f>IFERROR(SUM(DZ14:DZ27)/SUM($BQ$14:$BQ$27),0)</f>
        <v>0</v>
      </c>
      <c r="EA28" s="1205">
        <f>IFERROR(SUM(EA14:EA27)/SUM($BQ$14:$BQ$27),0)</f>
        <v>0</v>
      </c>
      <c r="EB28" s="1205">
        <f>IFERROR(SUM(EB14:EB27)/SUM($BQ$14:$BQ$27),0)</f>
        <v>0</v>
      </c>
      <c r="EC28" s="1205">
        <f>IFERROR(SUM(EC14:EC27)/SUM($BQ$14:$BQ$27),0)</f>
        <v>0</v>
      </c>
      <c r="ED28" s="1205">
        <f>IFERROR(SUM(ED14:ED27)/SUM($BQ$14:$BQ$27),0)</f>
        <v>0</v>
      </c>
      <c r="EE28" s="1205">
        <f>IFERROR(SUM(EE14:EE27)/SUM($BQ$14:$BQ$27),0)</f>
        <v>0</v>
      </c>
      <c r="EF28" s="1205">
        <f>IFERROR(SUM(EF14:EF27)/SUM($BQ$14:$BQ$27),0)</f>
        <v>0</v>
      </c>
      <c r="EG28" s="1205">
        <f>IFERROR(SUM(EG14:EG27)/SUM($BQ$14:$BQ$27),0)</f>
        <v>0</v>
      </c>
      <c r="EH28" s="1205">
        <f>IFERROR(SUM(EH14:EH27)/SUM($BQ$14:$BQ$27),0)</f>
        <v>0</v>
      </c>
      <c r="EI28" s="1205">
        <f>IFERROR(SUM(EI14:EI27)/SUM($BQ$14:$BQ$27),0)</f>
        <v>0</v>
      </c>
      <c r="EJ28" s="1205">
        <f>IFERROR(SUM(EJ14:EJ27)/SUM($BQ$14:$BQ$27),0)</f>
        <v>0</v>
      </c>
      <c r="EK28" s="1205">
        <f>IFERROR(SUM(EK14:EK27)/SUM($BQ$14:$BQ$27),0)</f>
        <v>0</v>
      </c>
      <c r="EL28" s="1205">
        <f>IFERROR(SUM(EL14:EL27)/SUM($BQ$14:$BQ$27),0)</f>
        <v>0</v>
      </c>
      <c r="EM28" s="1205">
        <f>IFERROR(SUM(EM14:EM27)/SUM($BQ$14:$BQ$27),0)</f>
        <v>0</v>
      </c>
      <c r="EN28" s="1205">
        <f>IFERROR(SUM(EN14:EN27)/SUM($BQ$14:$BQ$27),0)</f>
        <v>0</v>
      </c>
      <c r="EO28" s="1205">
        <f>IFERROR(SUM(EO14:EO27)/SUM($BQ$14:$BQ$27),0)</f>
        <v>0</v>
      </c>
      <c r="EP28" s="1205">
        <f>IFERROR(SUM(EP14:EP27)/SUM($BQ$14:$BQ$27),0)</f>
        <v>0</v>
      </c>
      <c r="EQ28" s="1205">
        <f>IFERROR(SUM(EQ14:EQ27)/SUM($BQ$14:$BQ$27),0)</f>
        <v>0</v>
      </c>
      <c r="ER28" s="1205">
        <f>IFERROR(SUM(ER14:ER27)/SUM($BQ$14:$BQ$27),0)</f>
        <v>0</v>
      </c>
      <c r="ES28" s="1205">
        <f>IFERROR(SUM(ES14:ES27)/SUM($BQ$14:$BQ$27),0)</f>
        <v>0</v>
      </c>
      <c r="ET28" s="1205">
        <f>IFERROR(SUM(ET14:ET27)/SUM($BQ$14:$BQ$27),0)</f>
        <v>0</v>
      </c>
      <c r="EU28" s="1205">
        <f>IFERROR(SUM(EU14:EU27)/SUM($BQ$14:$BQ$27),0)</f>
        <v>0</v>
      </c>
      <c r="EV28" s="1205">
        <f>IFERROR(SUM(EV14:EV27)/SUM($BQ$14:$BQ$27),0)</f>
        <v>0</v>
      </c>
      <c r="EW28" s="1205">
        <f>IFERROR(SUM(EW14:EW27)/SUM($BQ$14:$BQ$27),0)</f>
        <v>0</v>
      </c>
      <c r="EX28" s="1205">
        <f>IFERROR(SUM(EX14:EX27)/SUM($BQ$14:$BQ$27),0)</f>
        <v>0</v>
      </c>
      <c r="EY28" s="1205">
        <f>IFERROR(SUM(EY14:EY27)/SUM($BQ$14:$BQ$27),0)</f>
        <v>0</v>
      </c>
      <c r="EZ28" s="1205">
        <f>IFERROR(SUM(EZ14:EZ27)/SUM($BQ$14:$BQ$27),0)</f>
        <v>0</v>
      </c>
      <c r="FA28" s="1205">
        <f>IFERROR(SUM(FA14:FA27)/SUM($BQ$14:$BQ$27),0)</f>
        <v>0</v>
      </c>
      <c r="FB28" s="1205">
        <f>IFERROR(SUM(FB14:FB27)/SUM($BQ$14:$BQ$27),0)</f>
        <v>0</v>
      </c>
      <c r="FC28" s="1205">
        <f>IFERROR(SUM(FC14:FC27)/SUM($BQ$14:$BQ$27),0)</f>
        <v>0</v>
      </c>
      <c r="FD28" s="1205">
        <f>IFERROR(SUM(FD14:FD27)/SUM($BQ$14:$BQ$27),0)</f>
        <v>0</v>
      </c>
      <c r="FE28" s="1205">
        <f>IFERROR(SUM(FE14:FE27)/SUM($BQ$14:$BQ$27),0)</f>
        <v>0</v>
      </c>
      <c r="FF28" s="1205">
        <f>IFERROR(SUM(FF14:FF27)/SUM($BQ$14:$BQ$27),0)</f>
        <v>0</v>
      </c>
      <c r="FG28" s="1205">
        <f>IFERROR(SUM(FG14:FG27)/SUM($BQ$14:$BQ$27),0)</f>
        <v>0</v>
      </c>
      <c r="FH28" s="1205">
        <f>IFERROR(SUM(FH14:FH27)/SUM($BQ$14:$BQ$27),0)</f>
        <v>0</v>
      </c>
      <c r="FI28" s="1205">
        <f>IFERROR(SUM(FI14:FI27)/SUM($BQ$14:$BQ$27),0)</f>
        <v>0</v>
      </c>
      <c r="FJ28" s="1205">
        <f>IFERROR(SUM(FJ14:FJ27)/SUM($BQ$14:$BQ$27),0)</f>
        <v>0</v>
      </c>
      <c r="FK28" s="1205">
        <f>IFERROR(SUM(FK14:FK27)/SUM($BQ$14:$BQ$27),0)</f>
        <v>0</v>
      </c>
      <c r="FL28" s="1205">
        <f>IFERROR(SUM(FL14:FL27)/SUM($BQ$14:$BQ$27),0)</f>
        <v>0</v>
      </c>
      <c r="FM28" s="1205">
        <f>IFERROR(SUM(FM14:FM27)/SUM($BQ$14:$BQ$27),0)</f>
        <v>0</v>
      </c>
      <c r="FN28" s="1205">
        <f>IFERROR(SUM(FN14:FN27)/SUM($BQ$14:$BQ$27),0)</f>
        <v>0</v>
      </c>
      <c r="FO28" s="1205">
        <f>IFERROR(SUM(FO14:FO27)/SUM($BQ$14:$BQ$27),0)</f>
        <v>0</v>
      </c>
      <c r="FQ28" s="1205">
        <f>IFERROR(SUM(FQ16:FQ27)/SUM($BR$16:$BR$27),0)</f>
        <v>3.878123068438822E-2</v>
      </c>
      <c r="FR28" s="1205">
        <f>IFERROR(SUM(FR16:FR27)/SUM($BR$16:$BR$27),0)</f>
        <v>0.9612187693156119</v>
      </c>
      <c r="FS28" s="1205">
        <f>IFERROR(SUM(FS16:FS27)/SUM($BR$16:$BR$27),0)</f>
        <v>0</v>
      </c>
      <c r="FT28" s="1205">
        <f>IFERROR(SUM(FT16:FT27)/SUM($BR$16:$BR$27),0)</f>
        <v>0</v>
      </c>
      <c r="FU28" s="1205">
        <f>IFERROR(SUM(FU16:FU27)/SUM($BR$16:$BR$27),0)</f>
        <v>0</v>
      </c>
      <c r="FV28" s="1205">
        <f>IFERROR(SUM(FV16:FV27)/SUM($BR$16:$BR$27),0)</f>
        <v>0</v>
      </c>
      <c r="FW28" s="1205">
        <f>IFERROR(SUM(FW16:FW27)/SUM($BR$16:$BR$27),0)</f>
        <v>0</v>
      </c>
      <c r="FX28" s="1205">
        <f>IFERROR(SUM(FX16:FX27)/SUM($BR$16:$BR$27),0)</f>
        <v>0</v>
      </c>
      <c r="FY28" s="1205">
        <f>IFERROR(SUM(FY16:FY27)/SUM($BR$16:$BR$27),0)</f>
        <v>0</v>
      </c>
      <c r="FZ28" s="1205">
        <f>IFERROR(SUM(FZ16:FZ27)/SUM($BR$16:$BR$27),0)</f>
        <v>0</v>
      </c>
      <c r="GA28" s="1205">
        <f>IFERROR(SUM(GA16:GA27)/SUM($BR$16:$BR$27),0)</f>
        <v>0</v>
      </c>
      <c r="GB28" s="1205">
        <f>IFERROR(SUM(GB16:GB27)/SUM($BR$16:$BR$27),0)</f>
        <v>0</v>
      </c>
      <c r="GC28" s="1205">
        <f>IFERROR(SUM(GC16:GC27)/SUM($BR$16:$BR$27),0)</f>
        <v>0</v>
      </c>
      <c r="GD28" s="1205">
        <f>IFERROR(SUM(GD16:GD27)/SUM($BR$16:$BR$27),0)</f>
        <v>0</v>
      </c>
      <c r="GE28" s="1205">
        <f>IFERROR(SUM(GE16:GE27)/SUM($BR$16:$BR$27),0)</f>
        <v>0</v>
      </c>
      <c r="GF28" s="1205">
        <f>IFERROR(SUM(GF16:GF27)/SUM($BR$16:$BR$27),0)</f>
        <v>0</v>
      </c>
      <c r="GG28" s="1205">
        <f>IFERROR(SUM(GG16:GG27)/SUM($BR$16:$BR$27),0)</f>
        <v>0</v>
      </c>
      <c r="GH28" s="1205">
        <f>IFERROR(SUM(GH16:GH27)/SUM($BR$16:$BR$27),0)</f>
        <v>0</v>
      </c>
      <c r="GI28" s="1205">
        <f>IFERROR(SUM(GI16:GI27)/SUM($BR$16:$BR$27),0)</f>
        <v>0</v>
      </c>
      <c r="GJ28" s="1205">
        <f>IFERROR(SUM(GJ16:GJ27)/SUM($BR$16:$BR$27),0)</f>
        <v>0</v>
      </c>
      <c r="GK28" s="1205">
        <f>IFERROR(SUM(GK16:GK27)/SUM($BR$16:$BR$27),0)</f>
        <v>0</v>
      </c>
      <c r="GL28" s="1205">
        <f>IFERROR(SUM(GL16:GL27)/SUM($BR$16:$BR$27),0)</f>
        <v>0</v>
      </c>
      <c r="GM28" s="1205">
        <f>IFERROR(SUM(GM16:GM27)/SUM($BR$16:$BR$27),0)</f>
        <v>0</v>
      </c>
      <c r="GN28" s="1205">
        <f>IFERROR(SUM(GN16:GN27)/SUM($BR$16:$BR$27),0)</f>
        <v>0</v>
      </c>
      <c r="GO28" s="1205">
        <f>IFERROR(SUM(GO16:GO27)/SUM($BR$16:$BR$27),0)</f>
        <v>0</v>
      </c>
      <c r="GP28" s="1205">
        <f>IFERROR(SUM(GP16:GP27)/SUM($BR$16:$BR$27),0)</f>
        <v>0</v>
      </c>
      <c r="GQ28" s="1205">
        <f>IFERROR(SUM(GQ16:GQ27)/SUM($BR$16:$BR$27),0)</f>
        <v>0</v>
      </c>
      <c r="GR28" s="1205">
        <f>IFERROR(SUM(GR16:GR27)/SUM($BR$16:$BR$27),0)</f>
        <v>0</v>
      </c>
      <c r="GS28" s="1205">
        <f>IFERROR(SUM(GS16:GS27)/SUM($BR$16:$BR$27),0)</f>
        <v>0</v>
      </c>
      <c r="GT28" s="1205">
        <f>IFERROR(SUM(GT16:GT27)/SUM($BR$16:$BR$27),0)</f>
        <v>0</v>
      </c>
      <c r="GU28" s="1205">
        <f>IFERROR(SUM(GU16:GU27)/SUM($BR$16:$BR$27),0)</f>
        <v>0</v>
      </c>
      <c r="GV28" s="1205">
        <f>IFERROR(SUM(GV16:GV27)/SUM($BR$16:$BR$27),0)</f>
        <v>0</v>
      </c>
      <c r="GW28" s="1205">
        <f>IFERROR(SUM(GW16:GW27)/SUM($BR$16:$BR$27),0)</f>
        <v>0</v>
      </c>
      <c r="GX28" s="1205">
        <f>IFERROR(SUM(GX16:GX27)/SUM($BR$16:$BR$27),0)</f>
        <v>0</v>
      </c>
      <c r="GY28" s="1205">
        <f>IFERROR(SUM(GY16:GY27)/SUM($BR$16:$BR$27),0)</f>
        <v>0</v>
      </c>
      <c r="GZ28" s="1205">
        <f>IFERROR(SUM(GZ16:GZ27)/SUM($BR$16:$BR$27),0)</f>
        <v>0</v>
      </c>
      <c r="HA28" s="1205">
        <f>IFERROR(SUM(HA16:HA27)/SUM($BR$16:$BR$27),0)</f>
        <v>0</v>
      </c>
      <c r="HB28" s="1205">
        <f>IFERROR(SUM(HB16:HB27)/SUM($BR$16:$BR$27),0)</f>
        <v>0</v>
      </c>
      <c r="HC28" s="1205">
        <f>IFERROR(SUM(HC16:HC27)/SUM($BR$16:$BR$27),0)</f>
        <v>0</v>
      </c>
      <c r="HD28" s="1205">
        <f>IFERROR(SUM(HD16:HD27)/SUM($BR$16:$BR$27),0)</f>
        <v>0</v>
      </c>
      <c r="HE28" s="1205">
        <f>IFERROR(SUM(HE16:HE27)/SUM($BR$16:$BR$27),0)</f>
        <v>0</v>
      </c>
      <c r="HF28" s="1205">
        <f>IFERROR(SUM(HF16:HF27)/SUM($BR$16:$BR$27),0)</f>
        <v>0</v>
      </c>
      <c r="HG28" s="1205">
        <f>IFERROR(SUM(HG16:HG27)/SUM($BR$16:$BR$27),0)</f>
        <v>0</v>
      </c>
      <c r="HH28" s="1205">
        <f>IFERROR(SUM(HH16:HH27)/SUM($BR$16:$BR$27),0)</f>
        <v>0</v>
      </c>
      <c r="HI28" s="1205">
        <f>IFERROR(SUM(HI16:HI27)/SUM($BR$16:$BR$27),0)</f>
        <v>0</v>
      </c>
      <c r="HJ28" s="1205">
        <f>IFERROR(SUM(HJ16:HJ27)/SUM($BR$16:$BR$27),0)</f>
        <v>0</v>
      </c>
      <c r="HK28" s="1205">
        <f>IFERROR(SUM(HK16:HK27)/SUM($BR$16:$BR$27),0)</f>
        <v>0</v>
      </c>
      <c r="HL28" s="1205">
        <f>IFERROR(SUM(HL16:HL27)/SUM($BR$16:$BR$27),0)</f>
        <v>0</v>
      </c>
      <c r="HN28" s="1205">
        <f>IFERROR(SUM(HN16:HN27)/SUM($BS$16:$BS$27),0)</f>
        <v>0</v>
      </c>
      <c r="HO28" s="1205">
        <f>IFERROR(SUM(HO16:HO27)/SUM($BS$16:$BS$27),0)</f>
        <v>0</v>
      </c>
      <c r="HP28" s="1205">
        <f>IFERROR(SUM(HP16:HP27)/SUM($BS$16:$BS$27),0)</f>
        <v>0</v>
      </c>
      <c r="HQ28" s="1205">
        <f>IFERROR(SUM(HQ16:HQ27)/SUM($BS$16:$BS$27),0)</f>
        <v>0</v>
      </c>
      <c r="HR28" s="1205">
        <f>IFERROR(SUM(HR16:HR27)/SUM($BS$16:$BS$27),0)</f>
        <v>0</v>
      </c>
      <c r="HS28" s="1205">
        <f>IFERROR(SUM(HS16:HS27)/SUM($BS$16:$BS$27),0)</f>
        <v>0</v>
      </c>
      <c r="HT28" s="1205">
        <f>IFERROR(SUM(HT16:HT27)/SUM($BS$16:$BS$27),0)</f>
        <v>0</v>
      </c>
      <c r="HU28" s="1205">
        <f>IFERROR(SUM(HU16:HU27)/SUM($BS$16:$BS$27),0)</f>
        <v>0</v>
      </c>
      <c r="HV28" s="1205">
        <f>IFERROR(SUM(HV16:HV27)/SUM($BS$16:$BS$27),0)</f>
        <v>0</v>
      </c>
      <c r="HW28" s="1205">
        <f>IFERROR(SUM(HW16:HW27)/SUM($BS$16:$BS$27),0)</f>
        <v>0</v>
      </c>
      <c r="HX28" s="1205">
        <f>IFERROR(SUM(HX16:HX27)/SUM($BS$16:$BS$27),0)</f>
        <v>0</v>
      </c>
      <c r="HY28" s="1205">
        <f>IFERROR(SUM(HY16:HY27)/SUM($BS$16:$BS$27),0)</f>
        <v>0</v>
      </c>
      <c r="HZ28" s="1205">
        <f>IFERROR(SUM(HZ16:HZ27)/SUM($BS$16:$BS$27),0)</f>
        <v>0</v>
      </c>
      <c r="IA28" s="1205">
        <f>IFERROR(SUM(IA16:IA27)/SUM($BS$16:$BS$27),0)</f>
        <v>0</v>
      </c>
      <c r="IB28" s="1205">
        <f>IFERROR(SUM(IB16:IB27)/SUM($BS$16:$BS$27),0)</f>
        <v>0</v>
      </c>
      <c r="IC28" s="1205">
        <f>IFERROR(SUM(IC16:IC27)/SUM($BS$16:$BS$27),0)</f>
        <v>0</v>
      </c>
      <c r="ID28" s="1205">
        <f>IFERROR(SUM(ID16:ID27)/SUM($BS$16:$BS$27),0)</f>
        <v>0</v>
      </c>
      <c r="IE28" s="1205">
        <f>IFERROR(SUM(IE16:IE27)/SUM($BS$16:$BS$27),0)</f>
        <v>0</v>
      </c>
      <c r="IF28" s="1205">
        <f>IFERROR(SUM(IF16:IF27)/SUM($BS$16:$BS$27),0)</f>
        <v>0</v>
      </c>
      <c r="IG28" s="1205">
        <f>IFERROR(SUM(IG16:IG27)/SUM($BS$16:$BS$27),0)</f>
        <v>0</v>
      </c>
      <c r="IH28" s="1205">
        <f>IFERROR(SUM(IH16:IH27)/SUM($BS$16:$BS$27),0)</f>
        <v>0</v>
      </c>
      <c r="II28" s="1205">
        <f>IFERROR(SUM(II16:II27)/SUM($BS$16:$BS$27),0)</f>
        <v>0</v>
      </c>
      <c r="IJ28" s="1205">
        <f>IFERROR(SUM(IJ16:IJ27)/SUM($BS$16:$BS$27),0)</f>
        <v>0</v>
      </c>
      <c r="IK28" s="1205">
        <f>IFERROR(SUM(IK16:IK27)/SUM($BS$16:$BS$27),0)</f>
        <v>0</v>
      </c>
      <c r="IL28" s="1205">
        <f>IFERROR(SUM(IL16:IL27)/SUM($BS$16:$BS$27),0)</f>
        <v>0</v>
      </c>
      <c r="IM28" s="1205">
        <f>IFERROR(SUM(IM16:IM27)/SUM($BS$16:$BS$27),0)</f>
        <v>0</v>
      </c>
      <c r="IN28" s="1205">
        <f>IFERROR(SUM(IN16:IN27)/SUM($BS$16:$BS$27),0)</f>
        <v>0</v>
      </c>
      <c r="IO28" s="1205">
        <f>IFERROR(SUM(IO16:IO27)/SUM($BS$16:$BS$27),0)</f>
        <v>0</v>
      </c>
      <c r="IP28" s="1205">
        <f>IFERROR(SUM(IP16:IP27)/SUM($BS$16:$BS$27),0)</f>
        <v>0</v>
      </c>
      <c r="IQ28" s="1205">
        <f>IFERROR(SUM(IQ16:IQ27)/SUM($BS$16:$BS$27),0)</f>
        <v>0</v>
      </c>
      <c r="IR28" s="1205">
        <f>IFERROR(SUM(IR16:IR27)/SUM($BS$16:$BS$27),0)</f>
        <v>0</v>
      </c>
      <c r="IS28" s="1205">
        <f>IFERROR(SUM(IS16:IS27)/SUM($BS$16:$BS$27),0)</f>
        <v>0</v>
      </c>
      <c r="IT28" s="1205">
        <f>IFERROR(SUM(IT16:IT27)/SUM($BS$16:$BS$27),0)</f>
        <v>0</v>
      </c>
      <c r="IU28" s="1205">
        <f>IFERROR(SUM(IU16:IU27)/SUM($BS$16:$BS$27),0)</f>
        <v>0</v>
      </c>
      <c r="IV28" s="1205">
        <f>IFERROR(SUM(IV16:IV27)/SUM($BS$16:$BS$27),0)</f>
        <v>0</v>
      </c>
      <c r="IW28" s="1205">
        <f>IFERROR(SUM(IW16:IW27)/SUM($BS$16:$BS$27),0)</f>
        <v>0</v>
      </c>
      <c r="IX28" s="1205">
        <f>IFERROR(SUM(IX16:IX27)/SUM($BS$16:$BS$27),0)</f>
        <v>0</v>
      </c>
      <c r="IY28" s="1205">
        <f>IFERROR(SUM(IY16:IY27)/SUM($BS$16:$BS$27),0)</f>
        <v>0</v>
      </c>
      <c r="IZ28" s="1205">
        <f>IFERROR(SUM(IZ16:IZ27)/SUM($BS$16:$BS$27),0)</f>
        <v>0</v>
      </c>
      <c r="JA28" s="1205">
        <f>IFERROR(SUM(JA16:JA27)/SUM($BS$16:$BS$27),0)</f>
        <v>0</v>
      </c>
      <c r="JB28" s="1205">
        <f>IFERROR(SUM(JB16:JB27)/SUM($BS$16:$BS$27),0)</f>
        <v>0</v>
      </c>
      <c r="JC28" s="1205">
        <f>IFERROR(SUM(JC16:JC27)/SUM($BS$16:$BS$27),0)</f>
        <v>0</v>
      </c>
      <c r="JD28" s="1205">
        <f>IFERROR(SUM(JD16:JD27)/SUM($BS$16:$BS$27),0)</f>
        <v>0</v>
      </c>
      <c r="JE28" s="1205">
        <f>IFERROR(SUM(JE16:JE27)/SUM($BS$16:$BS$27),0)</f>
        <v>0</v>
      </c>
      <c r="JF28" s="1205">
        <f>IFERROR(SUM(JF16:JF27)/SUM($BS$16:$BS$27),0)</f>
        <v>0</v>
      </c>
      <c r="JG28" s="1205">
        <f>IFERROR(SUM(JG16:JG27)/SUM($BS$16:$BS$27),0)</f>
        <v>0</v>
      </c>
      <c r="JH28" s="1205">
        <f>IFERROR(SUM(JH16:JH27)/SUM($BS$16:$BS$27),0)</f>
        <v>0</v>
      </c>
      <c r="JI28" s="1205">
        <f>IFERROR(SUM(JI16:JI27)/SUM($BS$16:$BS$27),0)</f>
        <v>0</v>
      </c>
      <c r="JK28" s="1205">
        <f>IFERROR(SUM(JK16:JK27)/SUM($BT$16:$BT$27),0)</f>
        <v>0</v>
      </c>
      <c r="JL28" s="1205">
        <f>IFERROR(SUM(JL16:JL27)/SUM($BT$16:$BT$27),0)</f>
        <v>0</v>
      </c>
      <c r="JM28" s="1205">
        <f>IFERROR(SUM(JM16:JM27)/SUM($BT$16:$BT$27),0)</f>
        <v>0</v>
      </c>
      <c r="JN28" s="1205">
        <f>IFERROR(SUM(JN16:JN27)/SUM($BT$16:$BT$27),0)</f>
        <v>0</v>
      </c>
      <c r="JO28" s="1205">
        <f>IFERROR(SUM(JO16:JO27)/SUM($BT$16:$BT$27),0)</f>
        <v>0</v>
      </c>
      <c r="JP28" s="1205">
        <f>IFERROR(SUM(JP16:JP27)/SUM($BT$16:$BT$27),0)</f>
        <v>0</v>
      </c>
      <c r="JQ28" s="1205">
        <f>IFERROR(SUM(JQ16:JQ27)/SUM($BT$16:$BT$27),0)</f>
        <v>0</v>
      </c>
      <c r="JR28" s="1205">
        <f>IFERROR(SUM(JR16:JR27)/SUM($BT$16:$BT$27),0)</f>
        <v>0</v>
      </c>
      <c r="JS28" s="1205">
        <f>IFERROR(SUM(JS16:JS27)/SUM($BT$16:$BT$27),0)</f>
        <v>0</v>
      </c>
      <c r="JT28" s="1205">
        <f>IFERROR(SUM(JT16:JT27)/SUM($BT$16:$BT$27),0)</f>
        <v>0</v>
      </c>
      <c r="JU28" s="1205">
        <f>IFERROR(SUM(JU16:JU27)/SUM($BT$16:$BT$27),0)</f>
        <v>0</v>
      </c>
      <c r="JV28" s="1205">
        <f>IFERROR(SUM(JV16:JV27)/SUM($BT$16:$BT$27),0)</f>
        <v>0</v>
      </c>
      <c r="JW28" s="1205">
        <f>IFERROR(SUM(JW16:JW27)/SUM($BT$16:$BT$27),0)</f>
        <v>0</v>
      </c>
      <c r="JX28" s="1205">
        <f>IFERROR(SUM(JX16:JX27)/SUM($BT$16:$BT$27),0)</f>
        <v>0</v>
      </c>
      <c r="JY28" s="1205">
        <f>IFERROR(SUM(JY16:JY27)/SUM($BT$16:$BT$27),0)</f>
        <v>0</v>
      </c>
      <c r="JZ28" s="1205">
        <f>IFERROR(SUM(JZ16:JZ27)/SUM($BT$16:$BT$27),0)</f>
        <v>0</v>
      </c>
      <c r="KA28" s="1205">
        <f>IFERROR(SUM(KA16:KA27)/SUM($BT$16:$BT$27),0)</f>
        <v>0</v>
      </c>
      <c r="KB28" s="1205">
        <f>IFERROR(SUM(KB16:KB27)/SUM($BT$16:$BT$27),0)</f>
        <v>0</v>
      </c>
      <c r="KC28" s="1205">
        <f>IFERROR(SUM(KC16:KC27)/SUM($BT$16:$BT$27),0)</f>
        <v>0</v>
      </c>
      <c r="KD28" s="1205">
        <f>IFERROR(SUM(KD16:KD27)/SUM($BT$16:$BT$27),0)</f>
        <v>0</v>
      </c>
      <c r="KE28" s="1205">
        <f>IFERROR(SUM(KE16:KE27)/SUM($BT$16:$BT$27),0)</f>
        <v>0</v>
      </c>
      <c r="KF28" s="1205">
        <f>IFERROR(SUM(KF16:KF27)/SUM($BT$16:$BT$27),0)</f>
        <v>0</v>
      </c>
      <c r="KG28" s="1205">
        <f>IFERROR(SUM(KG16:KG27)/SUM($BT$16:$BT$27),0)</f>
        <v>0</v>
      </c>
      <c r="KH28" s="1205">
        <f>IFERROR(SUM(KH16:KH27)/SUM($BT$16:$BT$27),0)</f>
        <v>0</v>
      </c>
      <c r="KI28" s="1205">
        <f>IFERROR(SUM(KI16:KI27)/SUM($BT$16:$BT$27),0)</f>
        <v>0</v>
      </c>
      <c r="KJ28" s="1205">
        <f>IFERROR(SUM(KJ16:KJ27)/SUM($BT$16:$BT$27),0)</f>
        <v>0</v>
      </c>
      <c r="KK28" s="1205">
        <f>IFERROR(SUM(KK16:KK27)/SUM($BT$16:$BT$27),0)</f>
        <v>0</v>
      </c>
      <c r="KL28" s="1205">
        <f>IFERROR(SUM(KL16:KL27)/SUM($BT$16:$BT$27),0)</f>
        <v>0</v>
      </c>
      <c r="KM28" s="1205">
        <f>IFERROR(SUM(KM16:KM27)/SUM($BT$16:$BT$27),0)</f>
        <v>0</v>
      </c>
      <c r="KN28" s="1205">
        <f>IFERROR(SUM(KN16:KN27)/SUM($BT$16:$BT$27),0)</f>
        <v>0</v>
      </c>
      <c r="KO28" s="1205">
        <f>IFERROR(SUM(KO16:KO27)/SUM($BT$16:$BT$27),0)</f>
        <v>0</v>
      </c>
      <c r="KP28" s="1205">
        <f>IFERROR(SUM(KP16:KP27)/SUM($BT$16:$BT$27),0)</f>
        <v>0</v>
      </c>
      <c r="KQ28" s="1205">
        <f>IFERROR(SUM(KQ16:KQ27)/SUM($BT$16:$BT$27),0)</f>
        <v>0</v>
      </c>
      <c r="KR28" s="1205">
        <f>IFERROR(SUM(KR16:KR27)/SUM($BT$16:$BT$27),0)</f>
        <v>0</v>
      </c>
      <c r="KS28" s="1205">
        <f>IFERROR(SUM(KS16:KS27)/SUM($BT$16:$BT$27),0)</f>
        <v>0</v>
      </c>
      <c r="KT28" s="1205">
        <f>IFERROR(SUM(KT16:KT27)/SUM($BT$16:$BT$27),0)</f>
        <v>0</v>
      </c>
      <c r="KU28" s="1205">
        <f>IFERROR(SUM(KU16:KU27)/SUM($BT$16:$BT$27),0)</f>
        <v>0</v>
      </c>
      <c r="KV28" s="1205">
        <f>IFERROR(SUM(KV16:KV27)/SUM($BT$16:$BT$27),0)</f>
        <v>0</v>
      </c>
      <c r="KW28" s="1205">
        <f>IFERROR(SUM(KW16:KW27)/SUM($BT$16:$BT$27),0)</f>
        <v>0</v>
      </c>
      <c r="KX28" s="1205">
        <f>IFERROR(SUM(KX16:KX27)/SUM($BT$16:$BT$27),0)</f>
        <v>0</v>
      </c>
      <c r="KY28" s="1205">
        <f>IFERROR(SUM(KY16:KY27)/SUM($BT$16:$BT$27),0)</f>
        <v>0</v>
      </c>
      <c r="KZ28" s="1205">
        <f>IFERROR(SUM(KZ16:KZ27)/SUM($BT$16:$BT$27),0)</f>
        <v>0</v>
      </c>
      <c r="LA28" s="1205">
        <f>IFERROR(SUM(LA16:LA27)/SUM($BT$16:$BT$27),0)</f>
        <v>0</v>
      </c>
      <c r="LB28" s="1205">
        <f>IFERROR(SUM(LB16:LB27)/SUM($BT$16:$BT$27),0)</f>
        <v>0</v>
      </c>
      <c r="LC28" s="1205">
        <f>IFERROR(SUM(LC16:LC27)/SUM($BT$16:$BT$27),0)</f>
        <v>0</v>
      </c>
      <c r="LD28" s="1205">
        <f>IFERROR(SUM(LD16:LD27)/SUM($BT$16:$BT$27),0)</f>
        <v>0</v>
      </c>
      <c r="LE28" s="1205">
        <f>IFERROR(SUM(LE16:LE27)/SUM($BT$16:$BT$27),0)</f>
        <v>0</v>
      </c>
      <c r="LF28" s="1205">
        <f>IFERROR(SUM(LF16:LF27)/SUM($BT$16:$BT$27),0)</f>
        <v>0</v>
      </c>
    </row>
    <row r="29" spans="2:319" ht="15.6">
      <c r="B29" s="629"/>
      <c r="C29" s="645"/>
      <c r="D29" s="646"/>
      <c r="E29" s="647"/>
      <c r="F29" s="646"/>
      <c r="G29" s="646"/>
      <c r="H29" s="646"/>
      <c r="I29" s="646"/>
      <c r="J29" s="646"/>
      <c r="K29" s="646"/>
      <c r="L29" s="646"/>
      <c r="M29" s="827"/>
      <c r="N29" s="828"/>
      <c r="O29" s="829">
        <f>+IF(C29&lt;&gt;"",VLOOKUP(C29,'AUX-NIV1'!B:AO,40,FALSE)*H29,0)</f>
        <v>0</v>
      </c>
      <c r="P29" s="803" t="str">
        <f t="shared" si="562"/>
        <v/>
      </c>
      <c r="Q29" s="804">
        <f t="shared" ref="Q29:AF29" si="563">IF(AND($H29&gt;0,Q$7&gt;0),+IF(AND($M29&lt;=Q$7,$N29&gt;=Q$7),IF($W$6="QUINCENAL",1/(($N29-$M29)/0.5+1),1/($N29-$M29+1)),0),0)</f>
        <v>0</v>
      </c>
      <c r="R29" s="805">
        <f t="shared" si="563"/>
        <v>0</v>
      </c>
      <c r="S29" s="805">
        <f t="shared" si="563"/>
        <v>0</v>
      </c>
      <c r="T29" s="805">
        <f t="shared" si="563"/>
        <v>0</v>
      </c>
      <c r="U29" s="805">
        <f t="shared" si="563"/>
        <v>0</v>
      </c>
      <c r="V29" s="805">
        <f t="shared" si="563"/>
        <v>0</v>
      </c>
      <c r="W29" s="805">
        <f t="shared" si="563"/>
        <v>0</v>
      </c>
      <c r="X29" s="805">
        <f t="shared" si="563"/>
        <v>0</v>
      </c>
      <c r="Y29" s="805">
        <f t="shared" si="563"/>
        <v>0</v>
      </c>
      <c r="Z29" s="805">
        <f t="shared" si="563"/>
        <v>0</v>
      </c>
      <c r="AA29" s="805">
        <f t="shared" si="563"/>
        <v>0</v>
      </c>
      <c r="AB29" s="805">
        <f t="shared" si="563"/>
        <v>0</v>
      </c>
      <c r="AC29" s="805">
        <f t="shared" si="563"/>
        <v>0</v>
      </c>
      <c r="AD29" s="805">
        <f t="shared" si="563"/>
        <v>0</v>
      </c>
      <c r="AE29" s="805">
        <f t="shared" si="563"/>
        <v>0</v>
      </c>
      <c r="AF29" s="805">
        <f t="shared" si="563"/>
        <v>0</v>
      </c>
      <c r="AG29" s="805">
        <f t="shared" ref="AG29:AT32" si="564">IF(AND($H29&gt;0,AG$7&gt;0),+IF(AND($M29&lt;=AG$7,$N29&gt;=AG$7),IF($W$6="QUINCENAL",1/(($N29-$M29)/0.5+1),1/($N29-$M29+1)),0),0)</f>
        <v>0</v>
      </c>
      <c r="AH29" s="805">
        <f t="shared" si="564"/>
        <v>0</v>
      </c>
      <c r="AI29" s="805">
        <f t="shared" si="564"/>
        <v>0</v>
      </c>
      <c r="AJ29" s="805">
        <f t="shared" si="564"/>
        <v>0</v>
      </c>
      <c r="AK29" s="805">
        <f t="shared" si="564"/>
        <v>0</v>
      </c>
      <c r="AL29" s="805">
        <f t="shared" si="564"/>
        <v>0</v>
      </c>
      <c r="AM29" s="805">
        <f t="shared" si="564"/>
        <v>0</v>
      </c>
      <c r="AN29" s="805">
        <f t="shared" si="564"/>
        <v>0</v>
      </c>
      <c r="AO29" s="805">
        <f t="shared" si="564"/>
        <v>0</v>
      </c>
      <c r="AP29" s="805">
        <f t="shared" si="564"/>
        <v>0</v>
      </c>
      <c r="AQ29" s="805">
        <f t="shared" si="564"/>
        <v>0</v>
      </c>
      <c r="AR29" s="805">
        <f t="shared" si="564"/>
        <v>0</v>
      </c>
      <c r="AS29" s="805">
        <f t="shared" si="564"/>
        <v>0</v>
      </c>
      <c r="AT29" s="805">
        <f t="shared" si="564"/>
        <v>0</v>
      </c>
      <c r="AU29" s="805">
        <f t="shared" ref="AU29:AU41" si="565">IF(AND($H29&gt;0,AU$7&gt;0),+IF(AND($M29&lt;=AU$7,$N29&gt;=AU$7),IF($W$6="QUINCENAL",1/(($N29-$M29)/0.5+1),1/($N29-$M29+1)),0),0)</f>
        <v>0</v>
      </c>
      <c r="AV29" s="805">
        <f t="shared" ref="AV29:AV32" si="566">IF(AND($H29&gt;0,AV$7&gt;0),+IF(AND($M29&lt;=AV$7,$N29&gt;=AV$7),IF($W$6="QUINCENAL",1/(($N29-$M29)/0.5+1),1/($N29-$M29+1)),0),0)</f>
        <v>0</v>
      </c>
      <c r="AW29" s="805">
        <f t="shared" ref="AW29:BK32" si="567">IF(AND($H29&gt;0,AW$7&gt;0),+IF(AND($M29&lt;=AW$7,$N29&gt;=AW$7),IF($W$6="QUINCENAL",1/(($N29-$M29)/0.5+1),1/($N29-$M29+1)),0),0)</f>
        <v>0</v>
      </c>
      <c r="AX29" s="805">
        <f t="shared" si="567"/>
        <v>0</v>
      </c>
      <c r="AY29" s="805">
        <f t="shared" si="567"/>
        <v>0</v>
      </c>
      <c r="AZ29" s="805">
        <f t="shared" si="567"/>
        <v>0</v>
      </c>
      <c r="BA29" s="805">
        <f t="shared" si="567"/>
        <v>0</v>
      </c>
      <c r="BB29" s="805">
        <f t="shared" si="567"/>
        <v>0</v>
      </c>
      <c r="BC29" s="805">
        <f t="shared" si="567"/>
        <v>0</v>
      </c>
      <c r="BD29" s="805">
        <f t="shared" si="567"/>
        <v>0</v>
      </c>
      <c r="BE29" s="805">
        <f t="shared" si="567"/>
        <v>0</v>
      </c>
      <c r="BF29" s="805">
        <f t="shared" si="567"/>
        <v>0</v>
      </c>
      <c r="BG29" s="805">
        <f t="shared" si="567"/>
        <v>0</v>
      </c>
      <c r="BH29" s="805">
        <f t="shared" si="567"/>
        <v>0</v>
      </c>
      <c r="BI29" s="805">
        <f t="shared" si="567"/>
        <v>0</v>
      </c>
      <c r="BJ29" s="805">
        <f t="shared" si="567"/>
        <v>0</v>
      </c>
      <c r="BK29" s="805">
        <f t="shared" si="567"/>
        <v>0</v>
      </c>
      <c r="BL29" s="805">
        <f t="shared" ref="BL29:BL32" si="568">IF(AND($H29&gt;0,BL$7&gt;0),+IF(AND($M29&lt;=BL$7,$N29&gt;=BL$7),IF($W$6="QUINCENAL",1/(($N29-$M29)/0.5+1),1/($N29-$M29+1)),0),0)</f>
        <v>0</v>
      </c>
      <c r="BM29" s="806"/>
      <c r="BN29" s="785"/>
      <c r="BO29" s="1204"/>
      <c r="BP29" s="1203"/>
      <c r="BQ29" s="1202"/>
      <c r="BR29" s="1202"/>
      <c r="BS29" s="1202"/>
      <c r="BT29" s="1202"/>
      <c r="BU29" s="1202"/>
    </row>
    <row r="30" spans="2:319" ht="18">
      <c r="B30" s="808" t="s">
        <v>1326</v>
      </c>
      <c r="C30" s="651"/>
      <c r="D30" s="608"/>
      <c r="E30" s="652"/>
      <c r="F30" s="609" t="s">
        <v>1165</v>
      </c>
      <c r="G30" s="610"/>
      <c r="H30" s="611"/>
      <c r="I30" s="612"/>
      <c r="J30" s="613"/>
      <c r="K30" s="823"/>
      <c r="L30" s="612"/>
      <c r="M30" s="830"/>
      <c r="N30" s="831"/>
      <c r="O30" s="832">
        <f>+IF(C30&lt;&gt;"",VLOOKUP(C30,'AUX-NIV1'!B:AO,40,FALSE)*H30,0)</f>
        <v>0</v>
      </c>
      <c r="P30" s="803" t="str">
        <f t="shared" si="562"/>
        <v/>
      </c>
      <c r="Q30" s="804">
        <f t="shared" ref="Q30:AF32" si="569">IF(AND($H30&gt;0,Q$7&gt;0),+IF(AND($M30&lt;=Q$7,$N30&gt;=Q$7),IF($W$6="QUINCENAL",1/(($N30-$M30)/0.5+1),1/($N30-$M30+1)),0),0)</f>
        <v>0</v>
      </c>
      <c r="R30" s="805">
        <f t="shared" si="569"/>
        <v>0</v>
      </c>
      <c r="S30" s="805">
        <f t="shared" si="569"/>
        <v>0</v>
      </c>
      <c r="T30" s="805">
        <f t="shared" si="569"/>
        <v>0</v>
      </c>
      <c r="U30" s="805">
        <f t="shared" si="569"/>
        <v>0</v>
      </c>
      <c r="V30" s="805">
        <f t="shared" si="569"/>
        <v>0</v>
      </c>
      <c r="W30" s="805">
        <f t="shared" si="569"/>
        <v>0</v>
      </c>
      <c r="X30" s="805">
        <f t="shared" si="569"/>
        <v>0</v>
      </c>
      <c r="Y30" s="805">
        <f t="shared" si="569"/>
        <v>0</v>
      </c>
      <c r="Z30" s="805">
        <f t="shared" si="569"/>
        <v>0</v>
      </c>
      <c r="AA30" s="805">
        <f t="shared" si="569"/>
        <v>0</v>
      </c>
      <c r="AB30" s="805">
        <f t="shared" si="569"/>
        <v>0</v>
      </c>
      <c r="AC30" s="805">
        <f t="shared" si="569"/>
        <v>0</v>
      </c>
      <c r="AD30" s="805">
        <f t="shared" si="569"/>
        <v>0</v>
      </c>
      <c r="AE30" s="805">
        <f t="shared" si="569"/>
        <v>0</v>
      </c>
      <c r="AF30" s="805">
        <f t="shared" si="569"/>
        <v>0</v>
      </c>
      <c r="AG30" s="805">
        <f t="shared" si="564"/>
        <v>0</v>
      </c>
      <c r="AH30" s="805">
        <f t="shared" si="564"/>
        <v>0</v>
      </c>
      <c r="AI30" s="805">
        <f t="shared" si="564"/>
        <v>0</v>
      </c>
      <c r="AJ30" s="805">
        <f t="shared" si="564"/>
        <v>0</v>
      </c>
      <c r="AK30" s="805">
        <f t="shared" si="564"/>
        <v>0</v>
      </c>
      <c r="AL30" s="805">
        <f t="shared" si="564"/>
        <v>0</v>
      </c>
      <c r="AM30" s="805">
        <f t="shared" si="564"/>
        <v>0</v>
      </c>
      <c r="AN30" s="805">
        <f t="shared" si="564"/>
        <v>0</v>
      </c>
      <c r="AO30" s="805">
        <f t="shared" si="564"/>
        <v>0</v>
      </c>
      <c r="AP30" s="805">
        <f t="shared" si="564"/>
        <v>0</v>
      </c>
      <c r="AQ30" s="805">
        <f t="shared" si="564"/>
        <v>0</v>
      </c>
      <c r="AR30" s="805">
        <f t="shared" si="564"/>
        <v>0</v>
      </c>
      <c r="AS30" s="805">
        <f t="shared" si="564"/>
        <v>0</v>
      </c>
      <c r="AT30" s="805">
        <f t="shared" si="564"/>
        <v>0</v>
      </c>
      <c r="AU30" s="805">
        <f t="shared" si="565"/>
        <v>0</v>
      </c>
      <c r="AV30" s="805">
        <f t="shared" si="566"/>
        <v>0</v>
      </c>
      <c r="AW30" s="805">
        <f t="shared" si="567"/>
        <v>0</v>
      </c>
      <c r="AX30" s="805">
        <f t="shared" si="567"/>
        <v>0</v>
      </c>
      <c r="AY30" s="805">
        <f t="shared" si="567"/>
        <v>0</v>
      </c>
      <c r="AZ30" s="805">
        <f t="shared" si="567"/>
        <v>0</v>
      </c>
      <c r="BA30" s="805">
        <f t="shared" si="567"/>
        <v>0</v>
      </c>
      <c r="BB30" s="805">
        <f t="shared" si="567"/>
        <v>0</v>
      </c>
      <c r="BC30" s="805">
        <f t="shared" si="567"/>
        <v>0</v>
      </c>
      <c r="BD30" s="805">
        <f t="shared" si="567"/>
        <v>0</v>
      </c>
      <c r="BE30" s="805">
        <f t="shared" si="567"/>
        <v>0</v>
      </c>
      <c r="BF30" s="805">
        <f t="shared" si="567"/>
        <v>0</v>
      </c>
      <c r="BG30" s="805">
        <f t="shared" si="567"/>
        <v>0</v>
      </c>
      <c r="BH30" s="805">
        <f t="shared" si="567"/>
        <v>0</v>
      </c>
      <c r="BI30" s="805">
        <f t="shared" si="567"/>
        <v>0</v>
      </c>
      <c r="BJ30" s="805">
        <f t="shared" si="567"/>
        <v>0</v>
      </c>
      <c r="BK30" s="805">
        <f t="shared" si="567"/>
        <v>0</v>
      </c>
      <c r="BL30" s="805">
        <f t="shared" si="568"/>
        <v>0</v>
      </c>
      <c r="BM30" s="806"/>
      <c r="BN30" s="785"/>
      <c r="BO30" s="1204"/>
      <c r="BP30" s="1203"/>
      <c r="BQ30" s="1202"/>
      <c r="BR30" s="1202"/>
      <c r="BS30" s="1202"/>
      <c r="BT30" s="1202"/>
      <c r="BU30" s="1202"/>
    </row>
    <row r="31" spans="2:319" ht="15.6">
      <c r="B31" s="629"/>
      <c r="C31" s="645"/>
      <c r="D31" s="646"/>
      <c r="E31" s="647"/>
      <c r="F31" s="653"/>
      <c r="G31" s="654"/>
      <c r="H31" s="655"/>
      <c r="I31" s="656"/>
      <c r="J31" s="657"/>
      <c r="K31" s="655"/>
      <c r="L31" s="656"/>
      <c r="M31" s="852"/>
      <c r="N31" s="853"/>
      <c r="O31" s="854">
        <f>+IF(C31&lt;&gt;"",VLOOKUP(C31,'AUX-NIV1'!B:AO,40,FALSE)*H31,0)</f>
        <v>0</v>
      </c>
      <c r="P31" s="803" t="str">
        <f t="shared" si="562"/>
        <v/>
      </c>
      <c r="Q31" s="804">
        <f t="shared" si="569"/>
        <v>0</v>
      </c>
      <c r="R31" s="805">
        <f t="shared" si="569"/>
        <v>0</v>
      </c>
      <c r="S31" s="805">
        <f t="shared" si="569"/>
        <v>0</v>
      </c>
      <c r="T31" s="805">
        <f t="shared" si="569"/>
        <v>0</v>
      </c>
      <c r="U31" s="805">
        <f t="shared" si="569"/>
        <v>0</v>
      </c>
      <c r="V31" s="805">
        <f t="shared" si="569"/>
        <v>0</v>
      </c>
      <c r="W31" s="805">
        <f t="shared" si="569"/>
        <v>0</v>
      </c>
      <c r="X31" s="805">
        <f t="shared" si="569"/>
        <v>0</v>
      </c>
      <c r="Y31" s="805">
        <f t="shared" si="569"/>
        <v>0</v>
      </c>
      <c r="Z31" s="805">
        <f t="shared" si="569"/>
        <v>0</v>
      </c>
      <c r="AA31" s="805">
        <f t="shared" si="569"/>
        <v>0</v>
      </c>
      <c r="AB31" s="805">
        <f t="shared" si="569"/>
        <v>0</v>
      </c>
      <c r="AC31" s="805">
        <f t="shared" si="569"/>
        <v>0</v>
      </c>
      <c r="AD31" s="805">
        <f t="shared" si="569"/>
        <v>0</v>
      </c>
      <c r="AE31" s="805">
        <f t="shared" si="569"/>
        <v>0</v>
      </c>
      <c r="AF31" s="805">
        <f t="shared" si="569"/>
        <v>0</v>
      </c>
      <c r="AG31" s="805">
        <f t="shared" si="564"/>
        <v>0</v>
      </c>
      <c r="AH31" s="805">
        <f t="shared" si="564"/>
        <v>0</v>
      </c>
      <c r="AI31" s="805">
        <f t="shared" si="564"/>
        <v>0</v>
      </c>
      <c r="AJ31" s="805">
        <f t="shared" si="564"/>
        <v>0</v>
      </c>
      <c r="AK31" s="805">
        <f t="shared" si="564"/>
        <v>0</v>
      </c>
      <c r="AL31" s="805">
        <f t="shared" si="564"/>
        <v>0</v>
      </c>
      <c r="AM31" s="805">
        <f t="shared" si="564"/>
        <v>0</v>
      </c>
      <c r="AN31" s="805">
        <f t="shared" si="564"/>
        <v>0</v>
      </c>
      <c r="AO31" s="805">
        <f t="shared" si="564"/>
        <v>0</v>
      </c>
      <c r="AP31" s="805">
        <f t="shared" si="564"/>
        <v>0</v>
      </c>
      <c r="AQ31" s="805">
        <f t="shared" si="564"/>
        <v>0</v>
      </c>
      <c r="AR31" s="805">
        <f t="shared" si="564"/>
        <v>0</v>
      </c>
      <c r="AS31" s="805">
        <f t="shared" si="564"/>
        <v>0</v>
      </c>
      <c r="AT31" s="805">
        <f t="shared" si="564"/>
        <v>0</v>
      </c>
      <c r="AU31" s="805">
        <f t="shared" si="565"/>
        <v>0</v>
      </c>
      <c r="AV31" s="805">
        <f t="shared" si="566"/>
        <v>0</v>
      </c>
      <c r="AW31" s="805">
        <f t="shared" si="567"/>
        <v>0</v>
      </c>
      <c r="AX31" s="805">
        <f t="shared" si="567"/>
        <v>0</v>
      </c>
      <c r="AY31" s="805">
        <f t="shared" si="567"/>
        <v>0</v>
      </c>
      <c r="AZ31" s="805">
        <f t="shared" si="567"/>
        <v>0</v>
      </c>
      <c r="BA31" s="805">
        <f t="shared" si="567"/>
        <v>0</v>
      </c>
      <c r="BB31" s="805">
        <f t="shared" si="567"/>
        <v>0</v>
      </c>
      <c r="BC31" s="805">
        <f t="shared" si="567"/>
        <v>0</v>
      </c>
      <c r="BD31" s="805">
        <f t="shared" si="567"/>
        <v>0</v>
      </c>
      <c r="BE31" s="805">
        <f t="shared" si="567"/>
        <v>0</v>
      </c>
      <c r="BF31" s="805">
        <f t="shared" si="567"/>
        <v>0</v>
      </c>
      <c r="BG31" s="805">
        <f t="shared" si="567"/>
        <v>0</v>
      </c>
      <c r="BH31" s="805">
        <f t="shared" si="567"/>
        <v>0</v>
      </c>
      <c r="BI31" s="805">
        <f t="shared" si="567"/>
        <v>0</v>
      </c>
      <c r="BJ31" s="805">
        <f t="shared" si="567"/>
        <v>0</v>
      </c>
      <c r="BK31" s="805">
        <f t="shared" si="567"/>
        <v>0</v>
      </c>
      <c r="BL31" s="805">
        <f t="shared" si="568"/>
        <v>0</v>
      </c>
      <c r="BM31" s="806"/>
      <c r="BN31" s="785"/>
      <c r="BO31" s="1204"/>
      <c r="BP31" s="1203">
        <f>+SUMIF('AUX-NIV1'!$B:$B,Crono!$C31,'AUX-NIV1'!AQ:AQ)*Crono!$H31</f>
        <v>0</v>
      </c>
      <c r="BQ31" s="1202">
        <f>+SUMIF('AUX-NIV1'!$B:$B,Crono!$C31,'AUX-NIV1'!AR:AR)*Crono!$H31</f>
        <v>0</v>
      </c>
      <c r="BR31" s="1202">
        <f>+SUMIF('AUX-NIV1'!$B:$B,Crono!$C31,'AUX-NIV1'!AS:AS)*Crono!$H31</f>
        <v>0</v>
      </c>
      <c r="BS31" s="1202">
        <f>+SUMIF('AUX-NIV1'!$B:$B,Crono!$C31,'AUX-NIV1'!AT:AT)*Crono!$H31</f>
        <v>0</v>
      </c>
      <c r="BT31" s="1202">
        <f>+SUMIF('AUX-NIV1'!$B:$B,Crono!$C31,'AUX-NIV1'!AU:AU)*Crono!$H31</f>
        <v>0</v>
      </c>
      <c r="BU31" s="1202"/>
    </row>
    <row r="32" spans="2:319" ht="15.6">
      <c r="B32" s="629">
        <v>65</v>
      </c>
      <c r="C32" s="809" t="s">
        <v>94</v>
      </c>
      <c r="D32" s="646" t="s">
        <v>1166</v>
      </c>
      <c r="E32" s="647"/>
      <c r="F32" s="653" t="s">
        <v>805</v>
      </c>
      <c r="G32" s="658" t="s">
        <v>1168</v>
      </c>
      <c r="H32" s="659">
        <f>Items!H27</f>
        <v>2</v>
      </c>
      <c r="I32" s="622">
        <f>Items!I27</f>
        <v>97901.978339700348</v>
      </c>
      <c r="J32" s="623">
        <f>I32*H32</f>
        <v>195803.9566794007</v>
      </c>
      <c r="K32" s="659">
        <f>+H32/L32/(Items!$N$3*Items!$N$4)</f>
        <v>6.3650069393620954E-3</v>
      </c>
      <c r="L32" s="622">
        <f t="shared" ref="L32" si="570">N32-M32+1</f>
        <v>2.5</v>
      </c>
      <c r="M32" s="906">
        <v>0.5</v>
      </c>
      <c r="N32" s="907">
        <v>2</v>
      </c>
      <c r="O32" s="854">
        <f>+IF(C32&lt;&gt;"",VLOOKUP(C32,'AUX-NIV1'!B:AO,40,FALSE)*H32,0)</f>
        <v>570</v>
      </c>
      <c r="P32" s="803" t="str">
        <f t="shared" si="562"/>
        <v/>
      </c>
      <c r="Q32" s="804">
        <f t="shared" si="569"/>
        <v>0.25</v>
      </c>
      <c r="R32" s="805">
        <f t="shared" si="569"/>
        <v>0.25</v>
      </c>
      <c r="S32" s="805">
        <f t="shared" si="569"/>
        <v>0.25</v>
      </c>
      <c r="T32" s="805">
        <f t="shared" si="569"/>
        <v>0.25</v>
      </c>
      <c r="U32" s="805">
        <f t="shared" si="569"/>
        <v>0</v>
      </c>
      <c r="V32" s="805">
        <f t="shared" si="569"/>
        <v>0</v>
      </c>
      <c r="W32" s="805">
        <f t="shared" si="569"/>
        <v>0</v>
      </c>
      <c r="X32" s="805">
        <f t="shared" si="569"/>
        <v>0</v>
      </c>
      <c r="Y32" s="805">
        <f t="shared" si="569"/>
        <v>0</v>
      </c>
      <c r="Z32" s="805">
        <f t="shared" si="569"/>
        <v>0</v>
      </c>
      <c r="AA32" s="805">
        <f t="shared" si="569"/>
        <v>0</v>
      </c>
      <c r="AB32" s="805">
        <f t="shared" si="569"/>
        <v>0</v>
      </c>
      <c r="AC32" s="805">
        <f t="shared" si="569"/>
        <v>0</v>
      </c>
      <c r="AD32" s="805">
        <f t="shared" si="569"/>
        <v>0</v>
      </c>
      <c r="AE32" s="805">
        <f t="shared" si="569"/>
        <v>0</v>
      </c>
      <c r="AF32" s="805">
        <f t="shared" si="569"/>
        <v>0</v>
      </c>
      <c r="AG32" s="805">
        <f t="shared" si="564"/>
        <v>0</v>
      </c>
      <c r="AH32" s="805">
        <f t="shared" si="564"/>
        <v>0</v>
      </c>
      <c r="AI32" s="805">
        <f t="shared" si="564"/>
        <v>0</v>
      </c>
      <c r="AJ32" s="805">
        <f t="shared" si="564"/>
        <v>0</v>
      </c>
      <c r="AK32" s="805">
        <f t="shared" si="564"/>
        <v>0</v>
      </c>
      <c r="AL32" s="805">
        <f t="shared" si="564"/>
        <v>0</v>
      </c>
      <c r="AM32" s="805">
        <f t="shared" si="564"/>
        <v>0</v>
      </c>
      <c r="AN32" s="805">
        <f t="shared" si="564"/>
        <v>0</v>
      </c>
      <c r="AO32" s="805">
        <f t="shared" si="564"/>
        <v>0</v>
      </c>
      <c r="AP32" s="805">
        <f t="shared" si="564"/>
        <v>0</v>
      </c>
      <c r="AQ32" s="805">
        <f t="shared" si="564"/>
        <v>0</v>
      </c>
      <c r="AR32" s="805">
        <f t="shared" si="564"/>
        <v>0</v>
      </c>
      <c r="AS32" s="805">
        <f t="shared" si="564"/>
        <v>0</v>
      </c>
      <c r="AT32" s="805">
        <f t="shared" si="564"/>
        <v>0</v>
      </c>
      <c r="AU32" s="805">
        <f t="shared" si="565"/>
        <v>0</v>
      </c>
      <c r="AV32" s="805">
        <f t="shared" si="566"/>
        <v>0</v>
      </c>
      <c r="AW32" s="805">
        <f t="shared" si="567"/>
        <v>0</v>
      </c>
      <c r="AX32" s="805">
        <f t="shared" si="567"/>
        <v>0</v>
      </c>
      <c r="AY32" s="805">
        <f t="shared" si="567"/>
        <v>0</v>
      </c>
      <c r="AZ32" s="805">
        <f t="shared" si="567"/>
        <v>0</v>
      </c>
      <c r="BA32" s="805">
        <f t="shared" si="567"/>
        <v>0</v>
      </c>
      <c r="BB32" s="805">
        <f t="shared" si="567"/>
        <v>0</v>
      </c>
      <c r="BC32" s="805">
        <f t="shared" si="567"/>
        <v>0</v>
      </c>
      <c r="BD32" s="805">
        <f t="shared" si="567"/>
        <v>0</v>
      </c>
      <c r="BE32" s="805">
        <f t="shared" si="567"/>
        <v>0</v>
      </c>
      <c r="BF32" s="805">
        <f t="shared" si="567"/>
        <v>0</v>
      </c>
      <c r="BG32" s="805">
        <f t="shared" si="567"/>
        <v>0</v>
      </c>
      <c r="BH32" s="805">
        <f t="shared" si="567"/>
        <v>0</v>
      </c>
      <c r="BI32" s="805">
        <f t="shared" si="567"/>
        <v>0</v>
      </c>
      <c r="BJ32" s="805">
        <f t="shared" si="567"/>
        <v>0</v>
      </c>
      <c r="BK32" s="805">
        <f t="shared" si="567"/>
        <v>0</v>
      </c>
      <c r="BL32" s="805">
        <f t="shared" si="568"/>
        <v>0</v>
      </c>
      <c r="BM32" s="806"/>
      <c r="BN32" s="785"/>
      <c r="BO32" s="1204">
        <f t="shared" ref="BO32" si="571">SUM(BP32:BU32)-J32</f>
        <v>0</v>
      </c>
      <c r="BP32" s="1203">
        <f>+SUMIF('AUX-NIV1'!$B:$B,Crono!$C32,'AUX-NIV1'!AQ:AQ)*Crono!$H32</f>
        <v>195803.9566794007</v>
      </c>
      <c r="BQ32" s="1202">
        <f>+SUMIF('AUX-NIV1'!$B:$B,Crono!$C32,'AUX-NIV1'!AR:AR)*Crono!$H32</f>
        <v>0</v>
      </c>
      <c r="BR32" s="1202">
        <f>+SUMIF('AUX-NIV1'!$B:$B,Crono!$C32,'AUX-NIV1'!AS:AS)*Crono!$H32</f>
        <v>0</v>
      </c>
      <c r="BS32" s="1202">
        <f>+SUMIF('AUX-NIV1'!$B:$B,Crono!$C32,'AUX-NIV1'!AT:AT)*Crono!$H32</f>
        <v>0</v>
      </c>
      <c r="BT32" s="1202">
        <f>+SUMIF('AUX-NIV1'!$B:$B,Crono!$C32,'AUX-NIV1'!AU:AU)*Crono!$H32</f>
        <v>0</v>
      </c>
      <c r="BU32" s="1202"/>
      <c r="BW32" s="1202">
        <f t="shared" ref="BW32" si="572">$BP32*Q32</f>
        <v>48950.989169850174</v>
      </c>
      <c r="BX32" s="1202">
        <f t="shared" ref="BX32" si="573">$BP32*R32</f>
        <v>48950.989169850174</v>
      </c>
      <c r="BY32" s="1202">
        <f t="shared" ref="BY32" si="574">$BP32*S32</f>
        <v>48950.989169850174</v>
      </c>
      <c r="BZ32" s="1202">
        <f t="shared" ref="BZ32" si="575">$BP32*T32</f>
        <v>48950.989169850174</v>
      </c>
      <c r="CA32" s="1202">
        <f t="shared" ref="CA32" si="576">$BP32*U32</f>
        <v>0</v>
      </c>
      <c r="CB32" s="1202">
        <f t="shared" ref="CB32" si="577">$BP32*V32</f>
        <v>0</v>
      </c>
      <c r="CC32" s="1202">
        <f t="shared" ref="CC32" si="578">$BP32*W32</f>
        <v>0</v>
      </c>
      <c r="CD32" s="1202">
        <f t="shared" ref="CD32" si="579">$BP32*X32</f>
        <v>0</v>
      </c>
      <c r="CE32" s="1202">
        <f t="shared" ref="CE32" si="580">$BP32*Y32</f>
        <v>0</v>
      </c>
      <c r="CF32" s="1202">
        <f t="shared" ref="CF32" si="581">$BP32*Z32</f>
        <v>0</v>
      </c>
      <c r="CG32" s="1202">
        <f t="shared" ref="CG32" si="582">$BP32*AA32</f>
        <v>0</v>
      </c>
      <c r="CH32" s="1202">
        <f t="shared" ref="CH32" si="583">$BP32*AB32</f>
        <v>0</v>
      </c>
      <c r="CI32" s="1202">
        <f t="shared" ref="CI32" si="584">$BP32*AC32</f>
        <v>0</v>
      </c>
      <c r="CJ32" s="1202">
        <f t="shared" ref="CJ32" si="585">$BP32*AD32</f>
        <v>0</v>
      </c>
      <c r="CK32" s="1202">
        <f t="shared" ref="CK32" si="586">$BP32*AE32</f>
        <v>0</v>
      </c>
      <c r="CL32" s="1202">
        <f t="shared" ref="CL32" si="587">$BP32*AF32</f>
        <v>0</v>
      </c>
      <c r="CM32" s="1202">
        <f t="shared" ref="CM32" si="588">$BP32*AG32</f>
        <v>0</v>
      </c>
      <c r="CN32" s="1202">
        <f t="shared" ref="CN32" si="589">$BP32*AH32</f>
        <v>0</v>
      </c>
      <c r="CO32" s="1202">
        <f t="shared" ref="CO32" si="590">$BP32*AI32</f>
        <v>0</v>
      </c>
      <c r="CP32" s="1202">
        <f t="shared" ref="CP32" si="591">$BP32*AJ32</f>
        <v>0</v>
      </c>
      <c r="CQ32" s="1202">
        <f t="shared" ref="CQ32" si="592">$BP32*AK32</f>
        <v>0</v>
      </c>
      <c r="CR32" s="1202">
        <f t="shared" ref="CR32" si="593">$BP32*AL32</f>
        <v>0</v>
      </c>
      <c r="CS32" s="1202">
        <f t="shared" ref="CS32" si="594">$BP32*AM32</f>
        <v>0</v>
      </c>
      <c r="CT32" s="1202">
        <f t="shared" ref="CT32" si="595">$BP32*AN32</f>
        <v>0</v>
      </c>
      <c r="CU32" s="1202">
        <f t="shared" ref="CU32" si="596">$BP32*AO32</f>
        <v>0</v>
      </c>
      <c r="CV32" s="1202">
        <f t="shared" ref="CV32" si="597">$BP32*AP32</f>
        <v>0</v>
      </c>
      <c r="CW32" s="1202">
        <f t="shared" ref="CW32" si="598">$BP32*AQ32</f>
        <v>0</v>
      </c>
      <c r="CX32" s="1202">
        <f t="shared" ref="CX32" si="599">$BP32*AR32</f>
        <v>0</v>
      </c>
      <c r="CY32" s="1202">
        <f t="shared" ref="CY32" si="600">$BP32*AS32</f>
        <v>0</v>
      </c>
      <c r="CZ32" s="1202">
        <f t="shared" ref="CZ32" si="601">$BP32*AT32</f>
        <v>0</v>
      </c>
      <c r="DA32" s="1202">
        <f t="shared" ref="DA32" si="602">$BP32*AU32</f>
        <v>0</v>
      </c>
      <c r="DB32" s="1202">
        <f t="shared" ref="DB32" si="603">$BP32*AV32</f>
        <v>0</v>
      </c>
      <c r="DC32" s="1202">
        <f t="shared" ref="DC32" si="604">$BP32*AW32</f>
        <v>0</v>
      </c>
      <c r="DD32" s="1202">
        <f t="shared" ref="DD32" si="605">$BP32*AX32</f>
        <v>0</v>
      </c>
      <c r="DE32" s="1202">
        <f t="shared" ref="DE32" si="606">$BP32*AY32</f>
        <v>0</v>
      </c>
      <c r="DF32" s="1202">
        <f t="shared" ref="DF32" si="607">$BP32*AZ32</f>
        <v>0</v>
      </c>
      <c r="DG32" s="1202">
        <f t="shared" ref="DG32" si="608">$BP32*BA32</f>
        <v>0</v>
      </c>
      <c r="DH32" s="1202">
        <f t="shared" ref="DH32" si="609">$BP32*BB32</f>
        <v>0</v>
      </c>
      <c r="DI32" s="1202">
        <f t="shared" ref="DI32" si="610">$BP32*BC32</f>
        <v>0</v>
      </c>
      <c r="DJ32" s="1202">
        <f t="shared" ref="DJ32" si="611">$BP32*BD32</f>
        <v>0</v>
      </c>
      <c r="DK32" s="1202">
        <f t="shared" ref="DK32" si="612">$BP32*BE32</f>
        <v>0</v>
      </c>
      <c r="DL32" s="1202">
        <f t="shared" ref="DL32" si="613">$BP32*BF32</f>
        <v>0</v>
      </c>
      <c r="DM32" s="1202">
        <f t="shared" ref="DM32" si="614">$BP32*BG32</f>
        <v>0</v>
      </c>
      <c r="DN32" s="1202">
        <f t="shared" ref="DN32" si="615">$BP32*BH32</f>
        <v>0</v>
      </c>
      <c r="DO32" s="1202">
        <f t="shared" ref="DO32" si="616">$BP32*BI32</f>
        <v>0</v>
      </c>
      <c r="DP32" s="1202">
        <f t="shared" ref="DP32" si="617">$BP32*BJ32</f>
        <v>0</v>
      </c>
      <c r="DQ32" s="1202">
        <f t="shared" ref="DQ32" si="618">$BP32*BK32</f>
        <v>0</v>
      </c>
      <c r="DR32" s="1202">
        <f t="shared" ref="DR32" si="619">$BP32*BL32</f>
        <v>0</v>
      </c>
      <c r="DS32" s="1202"/>
      <c r="DT32" s="1202">
        <f t="shared" ref="DT32" si="620">$BQ32*Q32</f>
        <v>0</v>
      </c>
      <c r="DU32" s="1202">
        <f t="shared" ref="DU32" si="621">$BQ32*R32</f>
        <v>0</v>
      </c>
      <c r="DV32" s="1202">
        <f t="shared" ref="DV32" si="622">$BQ32*S32</f>
        <v>0</v>
      </c>
      <c r="DW32" s="1202">
        <f t="shared" ref="DW32" si="623">$BQ32*T32</f>
        <v>0</v>
      </c>
      <c r="DX32" s="1202">
        <f t="shared" ref="DX32" si="624">$BQ32*U32</f>
        <v>0</v>
      </c>
      <c r="DY32" s="1202">
        <f t="shared" ref="DY32" si="625">$BQ32*V32</f>
        <v>0</v>
      </c>
      <c r="DZ32" s="1202">
        <f t="shared" ref="DZ32" si="626">$BQ32*W32</f>
        <v>0</v>
      </c>
      <c r="EA32" s="1202">
        <f t="shared" ref="EA32" si="627">$BQ32*X32</f>
        <v>0</v>
      </c>
      <c r="EB32" s="1202">
        <f t="shared" ref="EB32" si="628">$BQ32*Y32</f>
        <v>0</v>
      </c>
      <c r="EC32" s="1202">
        <f t="shared" ref="EC32" si="629">$BQ32*Z32</f>
        <v>0</v>
      </c>
      <c r="ED32" s="1202">
        <f t="shared" ref="ED32" si="630">$BQ32*AA32</f>
        <v>0</v>
      </c>
      <c r="EE32" s="1202">
        <f t="shared" ref="EE32" si="631">$BQ32*AB32</f>
        <v>0</v>
      </c>
      <c r="EF32" s="1202">
        <f t="shared" ref="EF32" si="632">$BQ32*AC32</f>
        <v>0</v>
      </c>
      <c r="EG32" s="1202">
        <f t="shared" ref="EG32" si="633">$BQ32*AD32</f>
        <v>0</v>
      </c>
      <c r="EH32" s="1202">
        <f t="shared" ref="EH32" si="634">$BQ32*AE32</f>
        <v>0</v>
      </c>
      <c r="EI32" s="1202">
        <f t="shared" ref="EI32" si="635">$BQ32*AF32</f>
        <v>0</v>
      </c>
      <c r="EJ32" s="1202">
        <f t="shared" ref="EJ32" si="636">$BQ32*AG32</f>
        <v>0</v>
      </c>
      <c r="EK32" s="1202">
        <f t="shared" ref="EK32" si="637">$BQ32*AH32</f>
        <v>0</v>
      </c>
      <c r="EL32" s="1202">
        <f t="shared" ref="EL32" si="638">$BQ32*AI32</f>
        <v>0</v>
      </c>
      <c r="EM32" s="1202">
        <f t="shared" ref="EM32" si="639">$BQ32*AJ32</f>
        <v>0</v>
      </c>
      <c r="EN32" s="1202">
        <f t="shared" ref="EN32" si="640">$BQ32*AK32</f>
        <v>0</v>
      </c>
      <c r="EO32" s="1202">
        <f t="shared" ref="EO32" si="641">$BQ32*AL32</f>
        <v>0</v>
      </c>
      <c r="EP32" s="1202">
        <f t="shared" ref="EP32" si="642">$BQ32*AM32</f>
        <v>0</v>
      </c>
      <c r="EQ32" s="1202">
        <f t="shared" ref="EQ32" si="643">$BQ32*AN32</f>
        <v>0</v>
      </c>
      <c r="ER32" s="1202">
        <f t="shared" ref="ER32" si="644">$BQ32*AO32</f>
        <v>0</v>
      </c>
      <c r="ES32" s="1202">
        <f t="shared" ref="ES32" si="645">$BQ32*AP32</f>
        <v>0</v>
      </c>
      <c r="ET32" s="1202">
        <f t="shared" ref="ET32" si="646">$BQ32*AQ32</f>
        <v>0</v>
      </c>
      <c r="EU32" s="1202">
        <f t="shared" ref="EU32" si="647">$BQ32*AR32</f>
        <v>0</v>
      </c>
      <c r="EV32" s="1202">
        <f t="shared" ref="EV32" si="648">$BQ32*AS32</f>
        <v>0</v>
      </c>
      <c r="EW32" s="1202">
        <f t="shared" ref="EW32" si="649">$BQ32*AT32</f>
        <v>0</v>
      </c>
      <c r="EX32" s="1202">
        <f t="shared" ref="EX32" si="650">$BQ32*AU32</f>
        <v>0</v>
      </c>
      <c r="EY32" s="1202">
        <f t="shared" ref="EY32" si="651">$BQ32*AV32</f>
        <v>0</v>
      </c>
      <c r="EZ32" s="1202">
        <f t="shared" ref="EZ32" si="652">$BQ32*AW32</f>
        <v>0</v>
      </c>
      <c r="FA32" s="1202">
        <f t="shared" ref="FA32" si="653">$BQ32*AX32</f>
        <v>0</v>
      </c>
      <c r="FB32" s="1202">
        <f t="shared" ref="FB32" si="654">$BQ32*AY32</f>
        <v>0</v>
      </c>
      <c r="FC32" s="1202">
        <f t="shared" ref="FC32" si="655">$BQ32*AZ32</f>
        <v>0</v>
      </c>
      <c r="FD32" s="1202">
        <f t="shared" ref="FD32" si="656">$BQ32*BA32</f>
        <v>0</v>
      </c>
      <c r="FE32" s="1202">
        <f t="shared" ref="FE32" si="657">$BQ32*BB32</f>
        <v>0</v>
      </c>
      <c r="FF32" s="1202">
        <f t="shared" ref="FF32" si="658">$BQ32*BC32</f>
        <v>0</v>
      </c>
      <c r="FG32" s="1202">
        <f t="shared" ref="FG32" si="659">$BQ32*BD32</f>
        <v>0</v>
      </c>
      <c r="FH32" s="1202">
        <f t="shared" ref="FH32" si="660">$BQ32*BE32</f>
        <v>0</v>
      </c>
      <c r="FI32" s="1202">
        <f t="shared" ref="FI32" si="661">$BQ32*BF32</f>
        <v>0</v>
      </c>
      <c r="FJ32" s="1202">
        <f t="shared" ref="FJ32" si="662">$BQ32*BG32</f>
        <v>0</v>
      </c>
      <c r="FK32" s="1202">
        <f t="shared" ref="FK32" si="663">$BQ32*BH32</f>
        <v>0</v>
      </c>
      <c r="FL32" s="1202">
        <f t="shared" ref="FL32" si="664">$BQ32*BI32</f>
        <v>0</v>
      </c>
      <c r="FM32" s="1202">
        <f t="shared" ref="FM32" si="665">$BQ32*BJ32</f>
        <v>0</v>
      </c>
      <c r="FN32" s="1202">
        <f t="shared" ref="FN32" si="666">$BQ32*BK32</f>
        <v>0</v>
      </c>
      <c r="FO32" s="1202">
        <f t="shared" ref="FO32" si="667">$BQ32*BL32</f>
        <v>0</v>
      </c>
      <c r="FP32" s="1202"/>
      <c r="FQ32" s="1202">
        <f t="shared" ref="FQ32" si="668">$BR32*Q32</f>
        <v>0</v>
      </c>
      <c r="FR32" s="1202">
        <f t="shared" ref="FR32" si="669">$BR32*R32</f>
        <v>0</v>
      </c>
      <c r="FS32" s="1202">
        <f t="shared" ref="FS32" si="670">$BR32*S32</f>
        <v>0</v>
      </c>
      <c r="FT32" s="1202">
        <f t="shared" ref="FT32" si="671">$BR32*T32</f>
        <v>0</v>
      </c>
      <c r="FU32" s="1202">
        <f t="shared" ref="FU32" si="672">$BR32*U32</f>
        <v>0</v>
      </c>
      <c r="FV32" s="1202">
        <f t="shared" ref="FV32" si="673">$BR32*V32</f>
        <v>0</v>
      </c>
      <c r="FW32" s="1202">
        <f t="shared" ref="FW32" si="674">$BR32*W32</f>
        <v>0</v>
      </c>
      <c r="FX32" s="1202">
        <f t="shared" ref="FX32" si="675">$BR32*X32</f>
        <v>0</v>
      </c>
      <c r="FY32" s="1202">
        <f t="shared" ref="FY32" si="676">$BR32*Y32</f>
        <v>0</v>
      </c>
      <c r="FZ32" s="1202">
        <f t="shared" ref="FZ32" si="677">$BR32*Z32</f>
        <v>0</v>
      </c>
      <c r="GA32" s="1202">
        <f t="shared" ref="GA32" si="678">$BR32*AA32</f>
        <v>0</v>
      </c>
      <c r="GB32" s="1202">
        <f t="shared" ref="GB32" si="679">$BR32*AB32</f>
        <v>0</v>
      </c>
      <c r="GC32" s="1202">
        <f t="shared" ref="GC32" si="680">$BR32*AC32</f>
        <v>0</v>
      </c>
      <c r="GD32" s="1202">
        <f t="shared" ref="GD32" si="681">$BR32*AD32</f>
        <v>0</v>
      </c>
      <c r="GE32" s="1202">
        <f t="shared" ref="GE32" si="682">$BR32*AE32</f>
        <v>0</v>
      </c>
      <c r="GF32" s="1202">
        <f t="shared" ref="GF32" si="683">$BR32*AF32</f>
        <v>0</v>
      </c>
      <c r="GG32" s="1202">
        <f t="shared" ref="GG32" si="684">$BR32*AG32</f>
        <v>0</v>
      </c>
      <c r="GH32" s="1202">
        <f t="shared" ref="GH32" si="685">$BR32*AH32</f>
        <v>0</v>
      </c>
      <c r="GI32" s="1202">
        <f t="shared" ref="GI32" si="686">$BR32*AI32</f>
        <v>0</v>
      </c>
      <c r="GJ32" s="1202">
        <f t="shared" ref="GJ32" si="687">$BR32*AJ32</f>
        <v>0</v>
      </c>
      <c r="GK32" s="1202">
        <f t="shared" ref="GK32" si="688">$BR32*AK32</f>
        <v>0</v>
      </c>
      <c r="GL32" s="1202">
        <f t="shared" ref="GL32" si="689">$BR32*AL32</f>
        <v>0</v>
      </c>
      <c r="GM32" s="1202">
        <f t="shared" ref="GM32" si="690">$BR32*AM32</f>
        <v>0</v>
      </c>
      <c r="GN32" s="1202">
        <f t="shared" ref="GN32" si="691">$BR32*AN32</f>
        <v>0</v>
      </c>
      <c r="GO32" s="1202">
        <f t="shared" ref="GO32" si="692">$BR32*AO32</f>
        <v>0</v>
      </c>
      <c r="GP32" s="1202">
        <f t="shared" ref="GP32" si="693">$BR32*AP32</f>
        <v>0</v>
      </c>
      <c r="GQ32" s="1202">
        <f t="shared" ref="GQ32" si="694">$BR32*AQ32</f>
        <v>0</v>
      </c>
      <c r="GR32" s="1202">
        <f t="shared" ref="GR32" si="695">$BR32*AR32</f>
        <v>0</v>
      </c>
      <c r="GS32" s="1202">
        <f t="shared" ref="GS32" si="696">$BR32*AS32</f>
        <v>0</v>
      </c>
      <c r="GT32" s="1202">
        <f t="shared" ref="GT32" si="697">$BR32*AT32</f>
        <v>0</v>
      </c>
      <c r="GU32" s="1202">
        <f t="shared" ref="GU32" si="698">$BR32*AU32</f>
        <v>0</v>
      </c>
      <c r="GV32" s="1202">
        <f t="shared" ref="GV32" si="699">$BR32*AV32</f>
        <v>0</v>
      </c>
      <c r="GW32" s="1202">
        <f t="shared" ref="GW32" si="700">$BR32*AW32</f>
        <v>0</v>
      </c>
      <c r="GX32" s="1202">
        <f t="shared" ref="GX32" si="701">$BR32*AX32</f>
        <v>0</v>
      </c>
      <c r="GY32" s="1202">
        <f t="shared" ref="GY32" si="702">$BR32*AY32</f>
        <v>0</v>
      </c>
      <c r="GZ32" s="1202">
        <f t="shared" ref="GZ32" si="703">$BR32*AZ32</f>
        <v>0</v>
      </c>
      <c r="HA32" s="1202">
        <f t="shared" ref="HA32" si="704">$BR32*BA32</f>
        <v>0</v>
      </c>
      <c r="HB32" s="1202">
        <f t="shared" ref="HB32" si="705">$BR32*BB32</f>
        <v>0</v>
      </c>
      <c r="HC32" s="1202">
        <f t="shared" ref="HC32" si="706">$BR32*BC32</f>
        <v>0</v>
      </c>
      <c r="HD32" s="1202">
        <f t="shared" ref="HD32" si="707">$BR32*BD32</f>
        <v>0</v>
      </c>
      <c r="HE32" s="1202">
        <f t="shared" ref="HE32" si="708">$BR32*BE32</f>
        <v>0</v>
      </c>
      <c r="HF32" s="1202">
        <f t="shared" ref="HF32" si="709">$BR32*BF32</f>
        <v>0</v>
      </c>
      <c r="HG32" s="1202">
        <f t="shared" ref="HG32" si="710">$BR32*BG32</f>
        <v>0</v>
      </c>
      <c r="HH32" s="1202">
        <f t="shared" ref="HH32" si="711">$BR32*BH32</f>
        <v>0</v>
      </c>
      <c r="HI32" s="1202">
        <f t="shared" ref="HI32" si="712">$BR32*BI32</f>
        <v>0</v>
      </c>
      <c r="HJ32" s="1202">
        <f t="shared" ref="HJ32" si="713">$BR32*BJ32</f>
        <v>0</v>
      </c>
      <c r="HK32" s="1202">
        <f t="shared" ref="HK32" si="714">$BR32*BK32</f>
        <v>0</v>
      </c>
      <c r="HL32" s="1202">
        <f t="shared" ref="HL32" si="715">$BR32*BL32</f>
        <v>0</v>
      </c>
      <c r="HM32" s="1202"/>
      <c r="HN32" s="1202">
        <f t="shared" ref="HN32" si="716">$BS32*BN32</f>
        <v>0</v>
      </c>
      <c r="HO32" s="1202">
        <f t="shared" ref="HO32" si="717">$BS32*BO32</f>
        <v>0</v>
      </c>
      <c r="HP32" s="1202">
        <f t="shared" ref="HP32" si="718">$BS32*BP32</f>
        <v>0</v>
      </c>
      <c r="HQ32" s="1202">
        <f t="shared" ref="HQ32" si="719">$BS32*BQ32</f>
        <v>0</v>
      </c>
      <c r="HR32" s="1202">
        <f t="shared" ref="HR32" si="720">$BS32*BR32</f>
        <v>0</v>
      </c>
      <c r="HS32" s="1202">
        <f t="shared" ref="HS32" si="721">$BS32*BS32</f>
        <v>0</v>
      </c>
      <c r="HT32" s="1202">
        <f t="shared" ref="HT32" si="722">$BS32*BT32</f>
        <v>0</v>
      </c>
      <c r="HU32" s="1202">
        <f t="shared" ref="HU32" si="723">$BS32*BU32</f>
        <v>0</v>
      </c>
      <c r="HV32" s="1202">
        <f t="shared" ref="HV32" si="724">$BS32*BV32</f>
        <v>0</v>
      </c>
      <c r="HW32" s="1202">
        <f t="shared" ref="HW32" si="725">$BS32*BW32</f>
        <v>0</v>
      </c>
      <c r="HX32" s="1202">
        <f t="shared" ref="HX32" si="726">$BS32*BX32</f>
        <v>0</v>
      </c>
      <c r="HY32" s="1202">
        <f t="shared" ref="HY32" si="727">$BS32*BY32</f>
        <v>0</v>
      </c>
      <c r="HZ32" s="1202">
        <f t="shared" ref="HZ32" si="728">$BS32*BZ32</f>
        <v>0</v>
      </c>
      <c r="IA32" s="1202">
        <f t="shared" ref="IA32" si="729">$BS32*CA32</f>
        <v>0</v>
      </c>
      <c r="IB32" s="1202">
        <f t="shared" ref="IB32" si="730">$BS32*CB32</f>
        <v>0</v>
      </c>
      <c r="IC32" s="1202">
        <f t="shared" ref="IC32" si="731">$BS32*CC32</f>
        <v>0</v>
      </c>
      <c r="ID32" s="1202">
        <f t="shared" ref="ID32" si="732">$BS32*CD32</f>
        <v>0</v>
      </c>
      <c r="IE32" s="1202">
        <f t="shared" ref="IE32" si="733">$BS32*CE32</f>
        <v>0</v>
      </c>
      <c r="IF32" s="1202">
        <f t="shared" ref="IF32" si="734">$BS32*CF32</f>
        <v>0</v>
      </c>
      <c r="IG32" s="1202">
        <f t="shared" ref="IG32" si="735">$BS32*CG32</f>
        <v>0</v>
      </c>
      <c r="IH32" s="1202">
        <f t="shared" ref="IH32" si="736">$BS32*CH32</f>
        <v>0</v>
      </c>
      <c r="II32" s="1202">
        <f t="shared" ref="II32" si="737">$BS32*CI32</f>
        <v>0</v>
      </c>
      <c r="IJ32" s="1202">
        <f t="shared" ref="IJ32" si="738">$BS32*CJ32</f>
        <v>0</v>
      </c>
      <c r="IK32" s="1202">
        <f t="shared" ref="IK32" si="739">$BS32*CK32</f>
        <v>0</v>
      </c>
      <c r="IL32" s="1202">
        <f t="shared" ref="IL32" si="740">$BS32*CL32</f>
        <v>0</v>
      </c>
      <c r="IM32" s="1202">
        <f t="shared" ref="IM32" si="741">$BS32*CM32</f>
        <v>0</v>
      </c>
      <c r="IN32" s="1202">
        <f t="shared" ref="IN32" si="742">$BS32*CN32</f>
        <v>0</v>
      </c>
      <c r="IO32" s="1202">
        <f t="shared" ref="IO32" si="743">$BS32*CO32</f>
        <v>0</v>
      </c>
      <c r="IP32" s="1202">
        <f t="shared" ref="IP32" si="744">$BS32*CP32</f>
        <v>0</v>
      </c>
      <c r="IQ32" s="1202">
        <f t="shared" ref="IQ32" si="745">$BS32*CQ32</f>
        <v>0</v>
      </c>
      <c r="IR32" s="1202">
        <f t="shared" ref="IR32" si="746">$BS32*CR32</f>
        <v>0</v>
      </c>
      <c r="IS32" s="1202">
        <f t="shared" ref="IS32" si="747">$BS32*CS32</f>
        <v>0</v>
      </c>
      <c r="IT32" s="1202">
        <f t="shared" ref="IT32" si="748">$BS32*CT32</f>
        <v>0</v>
      </c>
      <c r="IU32" s="1202">
        <f t="shared" ref="IU32" si="749">$BS32*CU32</f>
        <v>0</v>
      </c>
      <c r="IV32" s="1202">
        <f t="shared" ref="IV32" si="750">$BS32*CV32</f>
        <v>0</v>
      </c>
      <c r="IW32" s="1202">
        <f t="shared" ref="IW32" si="751">$BS32*CW32</f>
        <v>0</v>
      </c>
      <c r="IX32" s="1202">
        <f t="shared" ref="IX32" si="752">$BS32*CX32</f>
        <v>0</v>
      </c>
      <c r="IY32" s="1202">
        <f t="shared" ref="IY32" si="753">$BS32*CY32</f>
        <v>0</v>
      </c>
      <c r="IZ32" s="1202">
        <f t="shared" ref="IZ32" si="754">$BS32*CZ32</f>
        <v>0</v>
      </c>
      <c r="JA32" s="1202">
        <f t="shared" ref="JA32" si="755">$BS32*DA32</f>
        <v>0</v>
      </c>
      <c r="JB32" s="1202">
        <f t="shared" ref="JB32" si="756">$BS32*DB32</f>
        <v>0</v>
      </c>
      <c r="JC32" s="1202">
        <f t="shared" ref="JC32" si="757">$BS32*DC32</f>
        <v>0</v>
      </c>
      <c r="JD32" s="1202">
        <f t="shared" ref="JD32" si="758">$BS32*DD32</f>
        <v>0</v>
      </c>
      <c r="JE32" s="1202">
        <f t="shared" ref="JE32" si="759">$BS32*DE32</f>
        <v>0</v>
      </c>
      <c r="JF32" s="1202">
        <f t="shared" ref="JF32" si="760">$BS32*DF32</f>
        <v>0</v>
      </c>
      <c r="JG32" s="1202">
        <f t="shared" ref="JG32" si="761">$BS32*DG32</f>
        <v>0</v>
      </c>
      <c r="JH32" s="1202">
        <f t="shared" ref="JH32" si="762">$BS32*DH32</f>
        <v>0</v>
      </c>
      <c r="JI32" s="1202">
        <f t="shared" ref="JI32" si="763">$BS32*DI32</f>
        <v>0</v>
      </c>
      <c r="JJ32" s="1202"/>
      <c r="JK32" s="1202">
        <f>$BT32*Q32</f>
        <v>0</v>
      </c>
      <c r="JL32" s="1202">
        <f t="shared" ref="JL32" si="764">$BT32*R32</f>
        <v>0</v>
      </c>
      <c r="JM32" s="1202">
        <f t="shared" ref="JM32" si="765">$BT32*S32</f>
        <v>0</v>
      </c>
      <c r="JN32" s="1202">
        <f t="shared" ref="JN32" si="766">$BT32*T32</f>
        <v>0</v>
      </c>
      <c r="JO32" s="1202">
        <f t="shared" ref="JO32" si="767">$BT32*U32</f>
        <v>0</v>
      </c>
      <c r="JP32" s="1202">
        <f t="shared" ref="JP32" si="768">$BT32*V32</f>
        <v>0</v>
      </c>
      <c r="JQ32" s="1202">
        <f t="shared" ref="JQ32" si="769">$BT32*W32</f>
        <v>0</v>
      </c>
      <c r="JR32" s="1202">
        <f t="shared" ref="JR32" si="770">$BT32*X32</f>
        <v>0</v>
      </c>
      <c r="JS32" s="1202">
        <f t="shared" ref="JS32" si="771">$BT32*Y32</f>
        <v>0</v>
      </c>
      <c r="JT32" s="1202">
        <f t="shared" ref="JT32" si="772">$BT32*Z32</f>
        <v>0</v>
      </c>
      <c r="JU32" s="1202">
        <f t="shared" ref="JU32" si="773">$BT32*AA32</f>
        <v>0</v>
      </c>
      <c r="JV32" s="1202">
        <f t="shared" ref="JV32" si="774">$BT32*AB32</f>
        <v>0</v>
      </c>
      <c r="JW32" s="1202">
        <f t="shared" ref="JW32" si="775">$BT32*AC32</f>
        <v>0</v>
      </c>
      <c r="JX32" s="1202">
        <f t="shared" ref="JX32" si="776">$BT32*AD32</f>
        <v>0</v>
      </c>
      <c r="JY32" s="1202">
        <f t="shared" ref="JY32" si="777">$BT32*AE32</f>
        <v>0</v>
      </c>
      <c r="JZ32" s="1202">
        <f t="shared" ref="JZ32" si="778">$BT32*AF32</f>
        <v>0</v>
      </c>
      <c r="KA32" s="1202">
        <f t="shared" ref="KA32" si="779">$BT32*AG32</f>
        <v>0</v>
      </c>
      <c r="KB32" s="1202">
        <f t="shared" ref="KB32" si="780">$BT32*AH32</f>
        <v>0</v>
      </c>
      <c r="KC32" s="1202">
        <f t="shared" ref="KC32" si="781">$BT32*AI32</f>
        <v>0</v>
      </c>
      <c r="KD32" s="1202">
        <f t="shared" ref="KD32" si="782">$BT32*AJ32</f>
        <v>0</v>
      </c>
      <c r="KE32" s="1202">
        <f t="shared" ref="KE32" si="783">$BT32*AK32</f>
        <v>0</v>
      </c>
      <c r="KF32" s="1202">
        <f t="shared" ref="KF32" si="784">$BT32*AL32</f>
        <v>0</v>
      </c>
      <c r="KG32" s="1202">
        <f t="shared" ref="KG32" si="785">$BT32*AM32</f>
        <v>0</v>
      </c>
      <c r="KH32" s="1202">
        <f t="shared" ref="KH32" si="786">$BT32*AN32</f>
        <v>0</v>
      </c>
      <c r="KI32" s="1202">
        <f t="shared" ref="KI32" si="787">$BT32*AO32</f>
        <v>0</v>
      </c>
      <c r="KJ32" s="1202">
        <f t="shared" ref="KJ32" si="788">$BT32*AP32</f>
        <v>0</v>
      </c>
      <c r="KK32" s="1202">
        <f t="shared" ref="KK32" si="789">$BT32*AQ32</f>
        <v>0</v>
      </c>
      <c r="KL32" s="1202">
        <f t="shared" ref="KL32" si="790">$BT32*AR32</f>
        <v>0</v>
      </c>
      <c r="KM32" s="1202">
        <f t="shared" ref="KM32" si="791">$BT32*AS32</f>
        <v>0</v>
      </c>
      <c r="KN32" s="1202">
        <f t="shared" ref="KN32" si="792">$BT32*AT32</f>
        <v>0</v>
      </c>
      <c r="KO32" s="1202">
        <f t="shared" ref="KO32" si="793">$BT32*AU32</f>
        <v>0</v>
      </c>
      <c r="KP32" s="1202">
        <f t="shared" ref="KP32" si="794">$BT32*AV32</f>
        <v>0</v>
      </c>
      <c r="KQ32" s="1202">
        <f t="shared" ref="KQ32" si="795">$BT32*AW32</f>
        <v>0</v>
      </c>
      <c r="KR32" s="1202">
        <f t="shared" ref="KR32" si="796">$BT32*AX32</f>
        <v>0</v>
      </c>
      <c r="KS32" s="1202">
        <f t="shared" ref="KS32" si="797">$BT32*AY32</f>
        <v>0</v>
      </c>
      <c r="KT32" s="1202">
        <f t="shared" ref="KT32" si="798">$BT32*AZ32</f>
        <v>0</v>
      </c>
      <c r="KU32" s="1202">
        <f t="shared" ref="KU32" si="799">$BT32*BA32</f>
        <v>0</v>
      </c>
      <c r="KV32" s="1202">
        <f t="shared" ref="KV32" si="800">$BT32*BB32</f>
        <v>0</v>
      </c>
      <c r="KW32" s="1202">
        <f t="shared" ref="KW32" si="801">$BT32*BC32</f>
        <v>0</v>
      </c>
      <c r="KX32" s="1202">
        <f t="shared" ref="KX32" si="802">$BT32*BD32</f>
        <v>0</v>
      </c>
      <c r="KY32" s="1202">
        <f t="shared" ref="KY32" si="803">$BT32*BE32</f>
        <v>0</v>
      </c>
      <c r="KZ32" s="1202">
        <f t="shared" ref="KZ32" si="804">$BT32*BF32</f>
        <v>0</v>
      </c>
      <c r="LA32" s="1202">
        <f t="shared" ref="LA32" si="805">$BT32*BG32</f>
        <v>0</v>
      </c>
      <c r="LB32" s="1202">
        <f t="shared" ref="LB32" si="806">$BT32*BH32</f>
        <v>0</v>
      </c>
      <c r="LC32" s="1202">
        <f t="shared" ref="LC32" si="807">$BT32*BI32</f>
        <v>0</v>
      </c>
      <c r="LD32" s="1202">
        <f t="shared" ref="LD32" si="808">$BT32*BJ32</f>
        <v>0</v>
      </c>
      <c r="LE32" s="1202">
        <f t="shared" ref="LE32" si="809">$BT32*BK32</f>
        <v>0</v>
      </c>
      <c r="LF32" s="1202">
        <f t="shared" ref="LF32" si="810">$BT32*BL32</f>
        <v>0</v>
      </c>
      <c r="LG32" s="1202"/>
    </row>
    <row r="33" spans="2:319" ht="15.6">
      <c r="B33" s="661"/>
      <c r="C33" s="646"/>
      <c r="D33" s="646"/>
      <c r="E33" s="647"/>
      <c r="F33" s="653"/>
      <c r="G33" s="654"/>
      <c r="H33" s="655"/>
      <c r="I33" s="656"/>
      <c r="J33" s="657"/>
      <c r="K33" s="655"/>
      <c r="L33" s="656"/>
      <c r="M33" s="906"/>
      <c r="N33" s="907"/>
      <c r="O33" s="854">
        <f>+IF(C33&lt;&gt;"",VLOOKUP(C33,'AUX-NIV1'!B:AO,40,FALSE)*H33,0)</f>
        <v>0</v>
      </c>
      <c r="P33" s="803" t="str">
        <f t="shared" si="562"/>
        <v/>
      </c>
      <c r="Q33" s="804">
        <f t="shared" ref="Q33:AF40" si="811">IF(AND($H33&gt;0,Q$7&gt;0),+IF(AND($M33&lt;=Q$7,$N33&gt;=Q$7),IF($W$6="QUINCENAL",1/(($N33-$M33)/0.5+1),1/($N33-$M33+1)),0),0)</f>
        <v>0</v>
      </c>
      <c r="R33" s="805">
        <f t="shared" si="811"/>
        <v>0</v>
      </c>
      <c r="S33" s="805">
        <f t="shared" si="811"/>
        <v>0</v>
      </c>
      <c r="T33" s="805">
        <f t="shared" si="811"/>
        <v>0</v>
      </c>
      <c r="U33" s="805">
        <f t="shared" si="811"/>
        <v>0</v>
      </c>
      <c r="V33" s="805">
        <f t="shared" si="811"/>
        <v>0</v>
      </c>
      <c r="W33" s="805">
        <f t="shared" si="811"/>
        <v>0</v>
      </c>
      <c r="X33" s="805">
        <f t="shared" si="811"/>
        <v>0</v>
      </c>
      <c r="Y33" s="805">
        <f t="shared" si="811"/>
        <v>0</v>
      </c>
      <c r="Z33" s="805">
        <f t="shared" si="811"/>
        <v>0</v>
      </c>
      <c r="AA33" s="805">
        <f t="shared" si="811"/>
        <v>0</v>
      </c>
      <c r="AB33" s="805">
        <f t="shared" si="811"/>
        <v>0</v>
      </c>
      <c r="AC33" s="805">
        <f t="shared" si="811"/>
        <v>0</v>
      </c>
      <c r="AD33" s="805">
        <f t="shared" si="811"/>
        <v>0</v>
      </c>
      <c r="AE33" s="805">
        <f t="shared" si="811"/>
        <v>0</v>
      </c>
      <c r="AF33" s="805">
        <f t="shared" si="811"/>
        <v>0</v>
      </c>
      <c r="AG33" s="805">
        <f t="shared" ref="AG33:AT39" si="812">IF(AND($H33&gt;0,AG$7&gt;0),+IF(AND($M33&lt;=AG$7,$N33&gt;=AG$7),IF($W$6="QUINCENAL",1/(($N33-$M33)/0.5+1),1/($N33-$M33+1)),0),0)</f>
        <v>0</v>
      </c>
      <c r="AH33" s="805">
        <f t="shared" si="812"/>
        <v>0</v>
      </c>
      <c r="AI33" s="805">
        <f t="shared" si="812"/>
        <v>0</v>
      </c>
      <c r="AJ33" s="805">
        <f t="shared" si="812"/>
        <v>0</v>
      </c>
      <c r="AK33" s="805">
        <f t="shared" si="812"/>
        <v>0</v>
      </c>
      <c r="AL33" s="805">
        <f t="shared" si="812"/>
        <v>0</v>
      </c>
      <c r="AM33" s="805">
        <f t="shared" si="812"/>
        <v>0</v>
      </c>
      <c r="AN33" s="805">
        <f t="shared" si="812"/>
        <v>0</v>
      </c>
      <c r="AO33" s="805">
        <f t="shared" si="812"/>
        <v>0</v>
      </c>
      <c r="AP33" s="805">
        <f t="shared" si="812"/>
        <v>0</v>
      </c>
      <c r="AQ33" s="805">
        <f t="shared" si="812"/>
        <v>0</v>
      </c>
      <c r="AR33" s="805">
        <f t="shared" si="812"/>
        <v>0</v>
      </c>
      <c r="AS33" s="805">
        <f t="shared" si="812"/>
        <v>0</v>
      </c>
      <c r="AT33" s="805">
        <f t="shared" si="812"/>
        <v>0</v>
      </c>
      <c r="AU33" s="805">
        <f t="shared" si="565"/>
        <v>0</v>
      </c>
      <c r="AV33" s="805">
        <f t="shared" ref="AV33:AV60" si="813">IF(AND($H33&gt;0,AV$7&gt;0),+IF(AND($M33&lt;=AV$7,$N33&gt;=AV$7),IF($W$6="QUINCENAL",1/(($N33-$M33)/0.5+1),1/($N33-$M33+1)),0),0)</f>
        <v>0</v>
      </c>
      <c r="AW33" s="805">
        <f t="shared" ref="AW33:BK33" si="814">IF(AND($H33&gt;0,AW$7&gt;0),+IF(AND($M33&lt;=AW$7,$N33&gt;=AW$7),IF($W$6="QUINCENAL",1/(($N33-$M33)/0.5+1),1/($N33-$M33+1)),0),0)</f>
        <v>0</v>
      </c>
      <c r="AX33" s="805">
        <f t="shared" si="814"/>
        <v>0</v>
      </c>
      <c r="AY33" s="805">
        <f t="shared" si="814"/>
        <v>0</v>
      </c>
      <c r="AZ33" s="805">
        <f t="shared" si="814"/>
        <v>0</v>
      </c>
      <c r="BA33" s="805">
        <f t="shared" si="814"/>
        <v>0</v>
      </c>
      <c r="BB33" s="805">
        <f t="shared" si="814"/>
        <v>0</v>
      </c>
      <c r="BC33" s="805">
        <f t="shared" si="814"/>
        <v>0</v>
      </c>
      <c r="BD33" s="805">
        <f t="shared" si="814"/>
        <v>0</v>
      </c>
      <c r="BE33" s="805">
        <f t="shared" si="814"/>
        <v>0</v>
      </c>
      <c r="BF33" s="805">
        <f t="shared" si="814"/>
        <v>0</v>
      </c>
      <c r="BG33" s="805">
        <f t="shared" si="814"/>
        <v>0</v>
      </c>
      <c r="BH33" s="805">
        <f t="shared" si="814"/>
        <v>0</v>
      </c>
      <c r="BI33" s="805">
        <f t="shared" si="814"/>
        <v>0</v>
      </c>
      <c r="BJ33" s="805">
        <f t="shared" si="814"/>
        <v>0</v>
      </c>
      <c r="BK33" s="805">
        <f t="shared" si="814"/>
        <v>0</v>
      </c>
      <c r="BL33" s="805">
        <f t="shared" ref="BL33:BL60" si="815">IF(AND($H33&gt;0,BL$7&gt;0),+IF(AND($M33&lt;=BL$7,$N33&gt;=BL$7),IF($W$6="QUINCENAL",1/(($N33-$M33)/0.5+1),1/($N33-$M33+1)),0),0)</f>
        <v>0</v>
      </c>
      <c r="BM33" s="806"/>
      <c r="BN33" s="785"/>
      <c r="BO33" s="1204"/>
      <c r="BP33" s="1203">
        <f>+SUMIF('AUX-NIV1'!$B:$B,Crono!$C33,'AUX-NIV1'!AQ:AQ)*Crono!$H33</f>
        <v>0</v>
      </c>
      <c r="BQ33" s="1202">
        <f>+SUMIF('AUX-NIV1'!$B:$B,Crono!$C33,'AUX-NIV1'!AR:AR)*Crono!$H33</f>
        <v>0</v>
      </c>
      <c r="BR33" s="1202">
        <f>+SUMIF('AUX-NIV1'!$B:$B,Crono!$C33,'AUX-NIV1'!AS:AS)*Crono!$H33</f>
        <v>0</v>
      </c>
      <c r="BS33" s="1202">
        <f>+SUMIF('AUX-NIV1'!$B:$B,Crono!$C33,'AUX-NIV1'!AT:AT)*Crono!$H33</f>
        <v>0</v>
      </c>
      <c r="BT33" s="1202">
        <f>+SUMIF('AUX-NIV1'!$B:$B,Crono!$C33,'AUX-NIV1'!AU:AU)*Crono!$H33</f>
        <v>0</v>
      </c>
      <c r="BU33" s="1202"/>
    </row>
    <row r="34" spans="2:319" ht="17.399999999999999">
      <c r="B34" s="662" t="s">
        <v>1326</v>
      </c>
      <c r="C34" s="635"/>
      <c r="D34" s="635"/>
      <c r="E34" s="636"/>
      <c r="F34" s="637" t="s">
        <v>1180</v>
      </c>
      <c r="G34" s="638"/>
      <c r="H34" s="639"/>
      <c r="I34" s="640"/>
      <c r="J34" s="843">
        <f>+SUBTOTAL(9,J32:J32)</f>
        <v>195803.9566794007</v>
      </c>
      <c r="K34" s="639"/>
      <c r="L34" s="640"/>
      <c r="M34" s="833"/>
      <c r="N34" s="834"/>
      <c r="O34" s="826">
        <f>+IF(C34&lt;&gt;"",VLOOKUP(C34,'AUX-NIV1'!B:AO,40,FALSE)*H34,0)</f>
        <v>0</v>
      </c>
      <c r="P34" s="803" t="str">
        <f t="shared" si="562"/>
        <v>REV.</v>
      </c>
      <c r="Q34" s="1206">
        <f t="shared" si="811"/>
        <v>0</v>
      </c>
      <c r="R34" s="1207">
        <f t="shared" si="811"/>
        <v>0</v>
      </c>
      <c r="S34" s="1207">
        <f t="shared" si="811"/>
        <v>0</v>
      </c>
      <c r="T34" s="1207">
        <f t="shared" si="811"/>
        <v>0</v>
      </c>
      <c r="U34" s="1207">
        <f t="shared" si="811"/>
        <v>0</v>
      </c>
      <c r="V34" s="1207">
        <f t="shared" si="811"/>
        <v>0</v>
      </c>
      <c r="W34" s="1207">
        <f t="shared" si="811"/>
        <v>0</v>
      </c>
      <c r="X34" s="1207">
        <f t="shared" si="811"/>
        <v>0</v>
      </c>
      <c r="Y34" s="1207">
        <f t="shared" si="811"/>
        <v>0</v>
      </c>
      <c r="Z34" s="1207">
        <f t="shared" si="811"/>
        <v>0</v>
      </c>
      <c r="AA34" s="1207">
        <f t="shared" si="811"/>
        <v>0</v>
      </c>
      <c r="AB34" s="1207">
        <f t="shared" si="811"/>
        <v>0</v>
      </c>
      <c r="AC34" s="1207">
        <f t="shared" si="811"/>
        <v>0</v>
      </c>
      <c r="AD34" s="1207">
        <f t="shared" si="811"/>
        <v>0</v>
      </c>
      <c r="AE34" s="1207">
        <f t="shared" si="811"/>
        <v>0</v>
      </c>
      <c r="AF34" s="1207">
        <f t="shared" si="811"/>
        <v>0</v>
      </c>
      <c r="AG34" s="1207">
        <f t="shared" si="812"/>
        <v>0</v>
      </c>
      <c r="AH34" s="1207">
        <f t="shared" si="812"/>
        <v>0</v>
      </c>
      <c r="AI34" s="1207">
        <f t="shared" si="812"/>
        <v>0</v>
      </c>
      <c r="AJ34" s="1207">
        <f t="shared" si="812"/>
        <v>0</v>
      </c>
      <c r="AK34" s="1207">
        <f t="shared" si="812"/>
        <v>0</v>
      </c>
      <c r="AL34" s="1207">
        <f t="shared" si="812"/>
        <v>0</v>
      </c>
      <c r="AM34" s="1207">
        <f t="shared" si="812"/>
        <v>0</v>
      </c>
      <c r="AN34" s="1207">
        <f t="shared" si="812"/>
        <v>0</v>
      </c>
      <c r="AO34" s="1207">
        <f t="shared" si="812"/>
        <v>0</v>
      </c>
      <c r="AP34" s="1207">
        <f t="shared" si="812"/>
        <v>0</v>
      </c>
      <c r="AQ34" s="1207">
        <f t="shared" si="812"/>
        <v>0</v>
      </c>
      <c r="AR34" s="1207">
        <f t="shared" si="812"/>
        <v>0</v>
      </c>
      <c r="AS34" s="1207">
        <f t="shared" si="812"/>
        <v>0</v>
      </c>
      <c r="AT34" s="1207">
        <f t="shared" si="812"/>
        <v>0</v>
      </c>
      <c r="AU34" s="1207">
        <f t="shared" si="565"/>
        <v>0</v>
      </c>
      <c r="AV34" s="1207">
        <f t="shared" si="813"/>
        <v>0</v>
      </c>
      <c r="AW34" s="1207">
        <f t="shared" ref="AW34:BK43" si="816">IF(AND($H34&gt;0,AW$7&gt;0),+IF(AND($M34&lt;=AW$7,$N34&gt;=AW$7),IF($W$6="QUINCENAL",1/(($N34-$M34)/0.5+1),1/($N34-$M34+1)),0),0)</f>
        <v>0</v>
      </c>
      <c r="AX34" s="1207">
        <f t="shared" si="816"/>
        <v>0</v>
      </c>
      <c r="AY34" s="1207">
        <f t="shared" si="816"/>
        <v>0</v>
      </c>
      <c r="AZ34" s="1207">
        <f t="shared" si="816"/>
        <v>0</v>
      </c>
      <c r="BA34" s="1207">
        <f t="shared" si="816"/>
        <v>0</v>
      </c>
      <c r="BB34" s="1207">
        <f t="shared" si="816"/>
        <v>0</v>
      </c>
      <c r="BC34" s="1207">
        <f t="shared" si="816"/>
        <v>0</v>
      </c>
      <c r="BD34" s="1207">
        <f t="shared" si="816"/>
        <v>0</v>
      </c>
      <c r="BE34" s="1207">
        <f t="shared" si="816"/>
        <v>0</v>
      </c>
      <c r="BF34" s="1207">
        <f t="shared" si="816"/>
        <v>0</v>
      </c>
      <c r="BG34" s="1207">
        <f t="shared" si="816"/>
        <v>0</v>
      </c>
      <c r="BH34" s="1207">
        <f t="shared" si="816"/>
        <v>0</v>
      </c>
      <c r="BI34" s="1207">
        <f t="shared" si="816"/>
        <v>0</v>
      </c>
      <c r="BJ34" s="1207">
        <f t="shared" si="816"/>
        <v>0</v>
      </c>
      <c r="BK34" s="1207">
        <f t="shared" si="816"/>
        <v>0</v>
      </c>
      <c r="BL34" s="1207">
        <f t="shared" si="815"/>
        <v>0</v>
      </c>
      <c r="BM34" s="806"/>
      <c r="BN34" s="785"/>
      <c r="BO34" s="1212"/>
      <c r="BP34" s="1213">
        <f>SUM(BP31:BP33)</f>
        <v>195803.9566794007</v>
      </c>
      <c r="BQ34" s="1213">
        <f>SUM(BQ31:BQ33)</f>
        <v>0</v>
      </c>
      <c r="BR34" s="1213">
        <f>SUM(BR31:BR33)</f>
        <v>0</v>
      </c>
      <c r="BS34" s="1213">
        <f>SUM(BS31:BS33)</f>
        <v>0</v>
      </c>
      <c r="BT34" s="1213">
        <f>SUM(BT31:BT33)</f>
        <v>0</v>
      </c>
      <c r="BU34" s="1211">
        <f>SUM(BU31:BU33)</f>
        <v>0</v>
      </c>
      <c r="BW34" s="1205">
        <f>IFERROR(SUM(BW31:BW33)/SUM($BP$31:$BP$33),0)</f>
        <v>0.25</v>
      </c>
      <c r="BX34" s="1205">
        <f>IFERROR(SUM(BX31:BX33)/SUM($BP$31:$BP$33),0)</f>
        <v>0.25</v>
      </c>
      <c r="BY34" s="1205">
        <f>IFERROR(SUM(BY31:BY33)/SUM($BP$31:$BP$33),0)</f>
        <v>0.25</v>
      </c>
      <c r="BZ34" s="1205">
        <f>IFERROR(SUM(BZ31:BZ33)/SUM($BP$31:$BP$33),0)</f>
        <v>0.25</v>
      </c>
      <c r="CA34" s="1205">
        <f>IFERROR(SUM(CA31:CA33)/SUM($BP$31:$BP$33),0)</f>
        <v>0</v>
      </c>
      <c r="CB34" s="1205">
        <f>IFERROR(SUM(CB31:CB33)/SUM($BP$31:$BP$33),0)</f>
        <v>0</v>
      </c>
      <c r="CC34" s="1205">
        <f>IFERROR(SUM(CC31:CC33)/SUM($BP$31:$BP$33),0)</f>
        <v>0</v>
      </c>
      <c r="CD34" s="1205">
        <f>IFERROR(SUM(CD31:CD33)/SUM($BP$31:$BP$33),0)</f>
        <v>0</v>
      </c>
      <c r="CE34" s="1205">
        <f>IFERROR(SUM(CE31:CE33)/SUM($BP$31:$BP$33),0)</f>
        <v>0</v>
      </c>
      <c r="CF34" s="1205">
        <f>IFERROR(SUM(CF31:CF33)/SUM($BP$31:$BP$33),0)</f>
        <v>0</v>
      </c>
      <c r="CG34" s="1205">
        <f>IFERROR(SUM(CG31:CG33)/SUM($BP$31:$BP$33),0)</f>
        <v>0</v>
      </c>
      <c r="CH34" s="1205">
        <f>IFERROR(SUM(CH31:CH33)/SUM($BP$31:$BP$33),0)</f>
        <v>0</v>
      </c>
      <c r="CI34" s="1205">
        <f>IFERROR(SUM(CI31:CI33)/SUM($BP$31:$BP$33),0)</f>
        <v>0</v>
      </c>
      <c r="CJ34" s="1205">
        <f>IFERROR(SUM(CJ31:CJ33)/SUM($BP$31:$BP$33),0)</f>
        <v>0</v>
      </c>
      <c r="CK34" s="1205">
        <f>IFERROR(SUM(CK31:CK33)/SUM($BP$31:$BP$33),0)</f>
        <v>0</v>
      </c>
      <c r="CL34" s="1205">
        <f>IFERROR(SUM(CL31:CL33)/SUM($BP$31:$BP$33),0)</f>
        <v>0</v>
      </c>
      <c r="CM34" s="1205">
        <f>IFERROR(SUM(CM31:CM33)/SUM($BP$31:$BP$33),0)</f>
        <v>0</v>
      </c>
      <c r="CN34" s="1205">
        <f>IFERROR(SUM(CN31:CN33)/SUM($BP$31:$BP$33),0)</f>
        <v>0</v>
      </c>
      <c r="CO34" s="1205">
        <f>IFERROR(SUM(CO31:CO33)/SUM($BP$31:$BP$33),0)</f>
        <v>0</v>
      </c>
      <c r="CP34" s="1205">
        <f>IFERROR(SUM(CP31:CP33)/SUM($BP$31:$BP$33),0)</f>
        <v>0</v>
      </c>
      <c r="CQ34" s="1205">
        <f>IFERROR(SUM(CQ31:CQ33)/SUM($BP$31:$BP$33),0)</f>
        <v>0</v>
      </c>
      <c r="CR34" s="1205">
        <f>IFERROR(SUM(CR31:CR33)/SUM($BP$31:$BP$33),0)</f>
        <v>0</v>
      </c>
      <c r="CS34" s="1205">
        <f>IFERROR(SUM(CS31:CS33)/SUM($BP$31:$BP$33),0)</f>
        <v>0</v>
      </c>
      <c r="CT34" s="1205">
        <f>IFERROR(SUM(CT31:CT33)/SUM($BP$31:$BP$33),0)</f>
        <v>0</v>
      </c>
      <c r="CU34" s="1205">
        <f>IFERROR(SUM(CU31:CU33)/SUM($BP$31:$BP$33),0)</f>
        <v>0</v>
      </c>
      <c r="CV34" s="1205">
        <f>IFERROR(SUM(CV31:CV33)/SUM($BP$31:$BP$33),0)</f>
        <v>0</v>
      </c>
      <c r="CW34" s="1205">
        <f>IFERROR(SUM(CW31:CW33)/SUM($BP$31:$BP$33),0)</f>
        <v>0</v>
      </c>
      <c r="CX34" s="1205">
        <f>IFERROR(SUM(CX31:CX33)/SUM($BP$31:$BP$33),0)</f>
        <v>0</v>
      </c>
      <c r="CY34" s="1205">
        <f>IFERROR(SUM(CY31:CY33)/SUM($BP$31:$BP$33),0)</f>
        <v>0</v>
      </c>
      <c r="CZ34" s="1205">
        <f>IFERROR(SUM(CZ31:CZ33)/SUM($BP$31:$BP$33),0)</f>
        <v>0</v>
      </c>
      <c r="DA34" s="1205">
        <f>IFERROR(SUM(DA31:DA33)/SUM($BP$31:$BP$33),0)</f>
        <v>0</v>
      </c>
      <c r="DB34" s="1205">
        <f>IFERROR(SUM(DB31:DB33)/SUM($BP$31:$BP$33),0)</f>
        <v>0</v>
      </c>
      <c r="DC34" s="1205">
        <f>IFERROR(SUM(DC31:DC33)/SUM($BP$31:$BP$33),0)</f>
        <v>0</v>
      </c>
      <c r="DD34" s="1205">
        <f>IFERROR(SUM(DD31:DD33)/SUM($BP$31:$BP$33),0)</f>
        <v>0</v>
      </c>
      <c r="DE34" s="1205">
        <f>IFERROR(SUM(DE31:DE33)/SUM($BP$31:$BP$33),0)</f>
        <v>0</v>
      </c>
      <c r="DF34" s="1205">
        <f>IFERROR(SUM(DF31:DF33)/SUM($BP$31:$BP$33),0)</f>
        <v>0</v>
      </c>
      <c r="DG34" s="1205">
        <f>IFERROR(SUM(DG31:DG33)/SUM($BP$31:$BP$33),0)</f>
        <v>0</v>
      </c>
      <c r="DH34" s="1205">
        <f>IFERROR(SUM(DH31:DH33)/SUM($BP$31:$BP$33),0)</f>
        <v>0</v>
      </c>
      <c r="DI34" s="1205">
        <f>IFERROR(SUM(DI31:DI33)/SUM($BP$31:$BP$33),0)</f>
        <v>0</v>
      </c>
      <c r="DJ34" s="1205">
        <f>IFERROR(SUM(DJ31:DJ33)/SUM($BP$31:$BP$33),0)</f>
        <v>0</v>
      </c>
      <c r="DK34" s="1205">
        <f>IFERROR(SUM(DK31:DK33)/SUM($BP$31:$BP$33),0)</f>
        <v>0</v>
      </c>
      <c r="DL34" s="1205">
        <f>IFERROR(SUM(DL31:DL33)/SUM($BP$31:$BP$33),0)</f>
        <v>0</v>
      </c>
      <c r="DM34" s="1205">
        <f>IFERROR(SUM(DM31:DM33)/SUM($BP$31:$BP$33),0)</f>
        <v>0</v>
      </c>
      <c r="DN34" s="1205">
        <f>IFERROR(SUM(DN31:DN33)/SUM($BP$31:$BP$33),0)</f>
        <v>0</v>
      </c>
      <c r="DO34" s="1205">
        <f>IFERROR(SUM(DO31:DO33)/SUM($BP$31:$BP$33),0)</f>
        <v>0</v>
      </c>
      <c r="DP34" s="1205">
        <f>IFERROR(SUM(DP31:DP33)/SUM($BP$31:$BP$33),0)</f>
        <v>0</v>
      </c>
      <c r="DQ34" s="1205">
        <f>IFERROR(SUM(DQ31:DQ33)/SUM($BP$31:$BP$33),0)</f>
        <v>0</v>
      </c>
      <c r="DR34" s="1205">
        <f>IFERROR(SUM(DR31:DR33)/SUM($BP$31:$BP$33),0)</f>
        <v>0</v>
      </c>
      <c r="DT34" s="1205">
        <f>IFERROR(SUM(DT31:DT33)/SUM($BQ$31:$BQ$33),0)</f>
        <v>0</v>
      </c>
      <c r="DU34" s="1205">
        <f>IFERROR(SUM(DU31:DU33)/SUM($BQ$31:$BQ$33),0)</f>
        <v>0</v>
      </c>
      <c r="DV34" s="1205">
        <f>IFERROR(SUM(DV31:DV33)/SUM($BQ$31:$BQ$33),0)</f>
        <v>0</v>
      </c>
      <c r="DW34" s="1205">
        <f>IFERROR(SUM(DW31:DW33)/SUM($BQ$31:$BQ$33),0)</f>
        <v>0</v>
      </c>
      <c r="DX34" s="1205">
        <f>IFERROR(SUM(DX31:DX33)/SUM($BQ$31:$BQ$33),0)</f>
        <v>0</v>
      </c>
      <c r="DY34" s="1205">
        <f>IFERROR(SUM(DY31:DY33)/SUM($BQ$31:$BQ$33),0)</f>
        <v>0</v>
      </c>
      <c r="DZ34" s="1205">
        <f>IFERROR(SUM(DZ31:DZ33)/SUM($BQ$31:$BQ$33),0)</f>
        <v>0</v>
      </c>
      <c r="EA34" s="1205">
        <f>IFERROR(SUM(EA31:EA33)/SUM($BQ$31:$BQ$33),0)</f>
        <v>0</v>
      </c>
      <c r="EB34" s="1205">
        <f>IFERROR(SUM(EB31:EB33)/SUM($BQ$31:$BQ$33),0)</f>
        <v>0</v>
      </c>
      <c r="EC34" s="1205">
        <f>IFERROR(SUM(EC31:EC33)/SUM($BQ$31:$BQ$33),0)</f>
        <v>0</v>
      </c>
      <c r="ED34" s="1205">
        <f>IFERROR(SUM(ED31:ED33)/SUM($BQ$31:$BQ$33),0)</f>
        <v>0</v>
      </c>
      <c r="EE34" s="1205">
        <f>IFERROR(SUM(EE31:EE33)/SUM($BQ$31:$BQ$33),0)</f>
        <v>0</v>
      </c>
      <c r="EF34" s="1205">
        <f>IFERROR(SUM(EF31:EF33)/SUM($BQ$31:$BQ$33),0)</f>
        <v>0</v>
      </c>
      <c r="EG34" s="1205">
        <f>IFERROR(SUM(EG31:EG33)/SUM($BQ$31:$BQ$33),0)</f>
        <v>0</v>
      </c>
      <c r="EH34" s="1205">
        <f>IFERROR(SUM(EH31:EH33)/SUM($BQ$31:$BQ$33),0)</f>
        <v>0</v>
      </c>
      <c r="EI34" s="1205">
        <f>IFERROR(SUM(EI31:EI33)/SUM($BQ$31:$BQ$33),0)</f>
        <v>0</v>
      </c>
      <c r="EJ34" s="1205">
        <f>IFERROR(SUM(EJ31:EJ33)/SUM($BQ$31:$BQ$33),0)</f>
        <v>0</v>
      </c>
      <c r="EK34" s="1205">
        <f>IFERROR(SUM(EK31:EK33)/SUM($BQ$31:$BQ$33),0)</f>
        <v>0</v>
      </c>
      <c r="EL34" s="1205">
        <f>IFERROR(SUM(EL31:EL33)/SUM($BQ$31:$BQ$33),0)</f>
        <v>0</v>
      </c>
      <c r="EM34" s="1205">
        <f>IFERROR(SUM(EM31:EM33)/SUM($BQ$31:$BQ$33),0)</f>
        <v>0</v>
      </c>
      <c r="EN34" s="1205">
        <f>IFERROR(SUM(EN31:EN33)/SUM($BQ$31:$BQ$33),0)</f>
        <v>0</v>
      </c>
      <c r="EO34" s="1205">
        <f>IFERROR(SUM(EO31:EO33)/SUM($BQ$31:$BQ$33),0)</f>
        <v>0</v>
      </c>
      <c r="EP34" s="1205">
        <f>IFERROR(SUM(EP31:EP33)/SUM($BQ$31:$BQ$33),0)</f>
        <v>0</v>
      </c>
      <c r="EQ34" s="1205">
        <f>IFERROR(SUM(EQ31:EQ33)/SUM($BQ$31:$BQ$33),0)</f>
        <v>0</v>
      </c>
      <c r="ER34" s="1205">
        <f>IFERROR(SUM(ER31:ER33)/SUM($BQ$31:$BQ$33),0)</f>
        <v>0</v>
      </c>
      <c r="ES34" s="1205">
        <f>IFERROR(SUM(ES31:ES33)/SUM($BQ$31:$BQ$33),0)</f>
        <v>0</v>
      </c>
      <c r="ET34" s="1205">
        <f>IFERROR(SUM(ET31:ET33)/SUM($BQ$31:$BQ$33),0)</f>
        <v>0</v>
      </c>
      <c r="EU34" s="1205">
        <f>IFERROR(SUM(EU31:EU33)/SUM($BQ$31:$BQ$33),0)</f>
        <v>0</v>
      </c>
      <c r="EV34" s="1205">
        <f>IFERROR(SUM(EV31:EV33)/SUM($BQ$31:$BQ$33),0)</f>
        <v>0</v>
      </c>
      <c r="EW34" s="1205">
        <f>IFERROR(SUM(EW31:EW33)/SUM($BQ$31:$BQ$33),0)</f>
        <v>0</v>
      </c>
      <c r="EX34" s="1205">
        <f>IFERROR(SUM(EX31:EX33)/SUM($BQ$31:$BQ$33),0)</f>
        <v>0</v>
      </c>
      <c r="EY34" s="1205">
        <f>IFERROR(SUM(EY31:EY33)/SUM($BQ$31:$BQ$33),0)</f>
        <v>0</v>
      </c>
      <c r="EZ34" s="1205">
        <f>IFERROR(SUM(EZ31:EZ33)/SUM($BQ$31:$BQ$33),0)</f>
        <v>0</v>
      </c>
      <c r="FA34" s="1205">
        <f>IFERROR(SUM(FA31:FA33)/SUM($BQ$31:$BQ$33),0)</f>
        <v>0</v>
      </c>
      <c r="FB34" s="1205">
        <f>IFERROR(SUM(FB31:FB33)/SUM($BQ$31:$BQ$33),0)</f>
        <v>0</v>
      </c>
      <c r="FC34" s="1205">
        <f>IFERROR(SUM(FC31:FC33)/SUM($BQ$31:$BQ$33),0)</f>
        <v>0</v>
      </c>
      <c r="FD34" s="1205">
        <f>IFERROR(SUM(FD31:FD33)/SUM($BQ$31:$BQ$33),0)</f>
        <v>0</v>
      </c>
      <c r="FE34" s="1205">
        <f>IFERROR(SUM(FE31:FE33)/SUM($BQ$31:$BQ$33),0)</f>
        <v>0</v>
      </c>
      <c r="FF34" s="1205">
        <f>IFERROR(SUM(FF31:FF33)/SUM($BQ$31:$BQ$33),0)</f>
        <v>0</v>
      </c>
      <c r="FG34" s="1205">
        <f>IFERROR(SUM(FG31:FG33)/SUM($BQ$31:$BQ$33),0)</f>
        <v>0</v>
      </c>
      <c r="FH34" s="1205">
        <f>IFERROR(SUM(FH31:FH33)/SUM($BQ$31:$BQ$33),0)</f>
        <v>0</v>
      </c>
      <c r="FI34" s="1205">
        <f>IFERROR(SUM(FI31:FI33)/SUM($BQ$31:$BQ$33),0)</f>
        <v>0</v>
      </c>
      <c r="FJ34" s="1205">
        <f>IFERROR(SUM(FJ31:FJ33)/SUM($BQ$31:$BQ$33),0)</f>
        <v>0</v>
      </c>
      <c r="FK34" s="1205">
        <f>IFERROR(SUM(FK31:FK33)/SUM($BQ$31:$BQ$33),0)</f>
        <v>0</v>
      </c>
      <c r="FL34" s="1205">
        <f>IFERROR(SUM(FL31:FL33)/SUM($BQ$31:$BQ$33),0)</f>
        <v>0</v>
      </c>
      <c r="FM34" s="1205">
        <f>IFERROR(SUM(FM31:FM33)/SUM($BQ$31:$BQ$33),0)</f>
        <v>0</v>
      </c>
      <c r="FN34" s="1205">
        <f>IFERROR(SUM(FN31:FN33)/SUM($BQ$31:$BQ$33),0)</f>
        <v>0</v>
      </c>
      <c r="FO34" s="1205">
        <f>IFERROR(SUM(FO31:FO33)/SUM($BQ$31:$BQ$33),0)</f>
        <v>0</v>
      </c>
      <c r="FQ34" s="1205">
        <f>IFERROR(SUM(FQ31:FQ33)/SUM($BR$31:$BR$33),0)</f>
        <v>0</v>
      </c>
      <c r="FR34" s="1205">
        <f>IFERROR(SUM(FR31:FR33)/SUM($BR$31:$BR$33),0)</f>
        <v>0</v>
      </c>
      <c r="FS34" s="1205">
        <f>IFERROR(SUM(FS31:FS33)/SUM($BR$31:$BR$33),0)</f>
        <v>0</v>
      </c>
      <c r="FT34" s="1205">
        <f>IFERROR(SUM(FT31:FT33)/SUM($BR$31:$BR$33),0)</f>
        <v>0</v>
      </c>
      <c r="FU34" s="1205">
        <f>IFERROR(SUM(FU31:FU33)/SUM($BR$31:$BR$33),0)</f>
        <v>0</v>
      </c>
      <c r="FV34" s="1205">
        <f>IFERROR(SUM(FV31:FV33)/SUM($BR$31:$BR$33),0)</f>
        <v>0</v>
      </c>
      <c r="FW34" s="1205">
        <f>IFERROR(SUM(FW31:FW33)/SUM($BR$31:$BR$33),0)</f>
        <v>0</v>
      </c>
      <c r="FX34" s="1205">
        <f>IFERROR(SUM(FX31:FX33)/SUM($BR$31:$BR$33),0)</f>
        <v>0</v>
      </c>
      <c r="FY34" s="1205">
        <f>IFERROR(SUM(FY31:FY33)/SUM($BR$31:$BR$33),0)</f>
        <v>0</v>
      </c>
      <c r="FZ34" s="1205">
        <f>IFERROR(SUM(FZ31:FZ33)/SUM($BR$31:$BR$33),0)</f>
        <v>0</v>
      </c>
      <c r="GA34" s="1205">
        <f>IFERROR(SUM(GA31:GA33)/SUM($BR$31:$BR$33),0)</f>
        <v>0</v>
      </c>
      <c r="GB34" s="1205">
        <f>IFERROR(SUM(GB31:GB33)/SUM($BR$31:$BR$33),0)</f>
        <v>0</v>
      </c>
      <c r="GC34" s="1205">
        <f>IFERROR(SUM(GC31:GC33)/SUM($BR$31:$BR$33),0)</f>
        <v>0</v>
      </c>
      <c r="GD34" s="1205">
        <f>IFERROR(SUM(GD31:GD33)/SUM($BR$31:$BR$33),0)</f>
        <v>0</v>
      </c>
      <c r="GE34" s="1205">
        <f>IFERROR(SUM(GE31:GE33)/SUM($BR$31:$BR$33),0)</f>
        <v>0</v>
      </c>
      <c r="GF34" s="1205">
        <f>IFERROR(SUM(GF31:GF33)/SUM($BR$31:$BR$33),0)</f>
        <v>0</v>
      </c>
      <c r="GG34" s="1205">
        <f>IFERROR(SUM(GG31:GG33)/SUM($BR$31:$BR$33),0)</f>
        <v>0</v>
      </c>
      <c r="GH34" s="1205">
        <f>IFERROR(SUM(GH31:GH33)/SUM($BR$31:$BR$33),0)</f>
        <v>0</v>
      </c>
      <c r="GI34" s="1205">
        <f>IFERROR(SUM(GI31:GI33)/SUM($BR$31:$BR$33),0)</f>
        <v>0</v>
      </c>
      <c r="GJ34" s="1205">
        <f>IFERROR(SUM(GJ31:GJ33)/SUM($BR$31:$BR$33),0)</f>
        <v>0</v>
      </c>
      <c r="GK34" s="1205">
        <f>IFERROR(SUM(GK31:GK33)/SUM($BR$31:$BR$33),0)</f>
        <v>0</v>
      </c>
      <c r="GL34" s="1205">
        <f>IFERROR(SUM(GL31:GL33)/SUM($BR$31:$BR$33),0)</f>
        <v>0</v>
      </c>
      <c r="GM34" s="1205">
        <f>IFERROR(SUM(GM31:GM33)/SUM($BR$31:$BR$33),0)</f>
        <v>0</v>
      </c>
      <c r="GN34" s="1205">
        <f>IFERROR(SUM(GN31:GN33)/SUM($BR$31:$BR$33),0)</f>
        <v>0</v>
      </c>
      <c r="GO34" s="1205">
        <f>IFERROR(SUM(GO31:GO33)/SUM($BR$31:$BR$33),0)</f>
        <v>0</v>
      </c>
      <c r="GP34" s="1205">
        <f>IFERROR(SUM(GP31:GP33)/SUM($BR$31:$BR$33),0)</f>
        <v>0</v>
      </c>
      <c r="GQ34" s="1205">
        <f>IFERROR(SUM(GQ31:GQ33)/SUM($BR$31:$BR$33),0)</f>
        <v>0</v>
      </c>
      <c r="GR34" s="1205">
        <f>IFERROR(SUM(GR31:GR33)/SUM($BR$31:$BR$33),0)</f>
        <v>0</v>
      </c>
      <c r="GS34" s="1205">
        <f>IFERROR(SUM(GS31:GS33)/SUM($BR$31:$BR$33),0)</f>
        <v>0</v>
      </c>
      <c r="GT34" s="1205">
        <f>IFERROR(SUM(GT31:GT33)/SUM($BR$31:$BR$33),0)</f>
        <v>0</v>
      </c>
      <c r="GU34" s="1205">
        <f>IFERROR(SUM(GU31:GU33)/SUM($BR$31:$BR$33),0)</f>
        <v>0</v>
      </c>
      <c r="GV34" s="1205">
        <f>IFERROR(SUM(GV31:GV33)/SUM($BR$31:$BR$33),0)</f>
        <v>0</v>
      </c>
      <c r="GW34" s="1205">
        <f>IFERROR(SUM(GW31:GW33)/SUM($BR$31:$BR$33),0)</f>
        <v>0</v>
      </c>
      <c r="GX34" s="1205">
        <f>IFERROR(SUM(GX31:GX33)/SUM($BR$31:$BR$33),0)</f>
        <v>0</v>
      </c>
      <c r="GY34" s="1205">
        <f>IFERROR(SUM(GY31:GY33)/SUM($BR$31:$BR$33),0)</f>
        <v>0</v>
      </c>
      <c r="GZ34" s="1205">
        <f>IFERROR(SUM(GZ31:GZ33)/SUM($BR$31:$BR$33),0)</f>
        <v>0</v>
      </c>
      <c r="HA34" s="1205">
        <f>IFERROR(SUM(HA31:HA33)/SUM($BR$31:$BR$33),0)</f>
        <v>0</v>
      </c>
      <c r="HB34" s="1205">
        <f>IFERROR(SUM(HB31:HB33)/SUM($BR$31:$BR$33),0)</f>
        <v>0</v>
      </c>
      <c r="HC34" s="1205">
        <f>IFERROR(SUM(HC31:HC33)/SUM($BR$31:$BR$33),0)</f>
        <v>0</v>
      </c>
      <c r="HD34" s="1205">
        <f>IFERROR(SUM(HD31:HD33)/SUM($BR$31:$BR$33),0)</f>
        <v>0</v>
      </c>
      <c r="HE34" s="1205">
        <f>IFERROR(SUM(HE31:HE33)/SUM($BR$31:$BR$33),0)</f>
        <v>0</v>
      </c>
      <c r="HF34" s="1205">
        <f>IFERROR(SUM(HF31:HF33)/SUM($BR$31:$BR$33),0)</f>
        <v>0</v>
      </c>
      <c r="HG34" s="1205">
        <f>IFERROR(SUM(HG31:HG33)/SUM($BR$31:$BR$33),0)</f>
        <v>0</v>
      </c>
      <c r="HH34" s="1205">
        <f>IFERROR(SUM(HH31:HH33)/SUM($BR$31:$BR$33),0)</f>
        <v>0</v>
      </c>
      <c r="HI34" s="1205">
        <f>IFERROR(SUM(HI31:HI33)/SUM($BR$31:$BR$33),0)</f>
        <v>0</v>
      </c>
      <c r="HJ34" s="1205">
        <f>IFERROR(SUM(HJ31:HJ33)/SUM($BR$31:$BR$33),0)</f>
        <v>0</v>
      </c>
      <c r="HK34" s="1205">
        <f>IFERROR(SUM(HK31:HK33)/SUM($BR$31:$BR$33),0)</f>
        <v>0</v>
      </c>
      <c r="HL34" s="1205">
        <f>IFERROR(SUM(HL31:HL33)/SUM($BR$31:$BR$33),0)</f>
        <v>0</v>
      </c>
      <c r="HN34" s="1205">
        <f>IFERROR(SUM(HN31:HN33)/SUM($BS$31:$BS$33),0)</f>
        <v>0</v>
      </c>
      <c r="HO34" s="1205">
        <f>IFERROR(SUM(HO31:HO33)/SUM($BS$31:$BS$33),0)</f>
        <v>0</v>
      </c>
      <c r="HP34" s="1205">
        <f>IFERROR(SUM(HP31:HP33)/SUM($BS$31:$BS$33),0)</f>
        <v>0</v>
      </c>
      <c r="HQ34" s="1205">
        <f>IFERROR(SUM(HQ31:HQ33)/SUM($BS$31:$BS$33),0)</f>
        <v>0</v>
      </c>
      <c r="HR34" s="1205">
        <f>IFERROR(SUM(HR31:HR33)/SUM($BS$31:$BS$33),0)</f>
        <v>0</v>
      </c>
      <c r="HS34" s="1205">
        <f>IFERROR(SUM(HS31:HS33)/SUM($BS$31:$BS$33),0)</f>
        <v>0</v>
      </c>
      <c r="HT34" s="1205">
        <f>IFERROR(SUM(HT31:HT33)/SUM($BS$31:$BS$33),0)</f>
        <v>0</v>
      </c>
      <c r="HU34" s="1205">
        <f>IFERROR(SUM(HU31:HU33)/SUM($BS$31:$BS$33),0)</f>
        <v>0</v>
      </c>
      <c r="HV34" s="1205">
        <f>IFERROR(SUM(HV31:HV33)/SUM($BS$31:$BS$33),0)</f>
        <v>0</v>
      </c>
      <c r="HW34" s="1205">
        <f>IFERROR(SUM(HW31:HW33)/SUM($BS$31:$BS$33),0)</f>
        <v>0</v>
      </c>
      <c r="HX34" s="1205">
        <f>IFERROR(SUM(HX31:HX33)/SUM($BS$31:$BS$33),0)</f>
        <v>0</v>
      </c>
      <c r="HY34" s="1205">
        <f>IFERROR(SUM(HY31:HY33)/SUM($BS$31:$BS$33),0)</f>
        <v>0</v>
      </c>
      <c r="HZ34" s="1205">
        <f>IFERROR(SUM(HZ31:HZ33)/SUM($BS$31:$BS$33),0)</f>
        <v>0</v>
      </c>
      <c r="IA34" s="1205">
        <f>IFERROR(SUM(IA31:IA33)/SUM($BS$31:$BS$33),0)</f>
        <v>0</v>
      </c>
      <c r="IB34" s="1205">
        <f>IFERROR(SUM(IB31:IB33)/SUM($BS$31:$BS$33),0)</f>
        <v>0</v>
      </c>
      <c r="IC34" s="1205">
        <f>IFERROR(SUM(IC31:IC33)/SUM($BS$31:$BS$33),0)</f>
        <v>0</v>
      </c>
      <c r="ID34" s="1205">
        <f>IFERROR(SUM(ID31:ID33)/SUM($BS$31:$BS$33),0)</f>
        <v>0</v>
      </c>
      <c r="IE34" s="1205">
        <f>IFERROR(SUM(IE31:IE33)/SUM($BS$31:$BS$33),0)</f>
        <v>0</v>
      </c>
      <c r="IF34" s="1205">
        <f>IFERROR(SUM(IF31:IF33)/SUM($BS$31:$BS$33),0)</f>
        <v>0</v>
      </c>
      <c r="IG34" s="1205">
        <f>IFERROR(SUM(IG31:IG33)/SUM($BS$31:$BS$33),0)</f>
        <v>0</v>
      </c>
      <c r="IH34" s="1205">
        <f>IFERROR(SUM(IH31:IH33)/SUM($BS$31:$BS$33),0)</f>
        <v>0</v>
      </c>
      <c r="II34" s="1205">
        <f>IFERROR(SUM(II31:II33)/SUM($BS$31:$BS$33),0)</f>
        <v>0</v>
      </c>
      <c r="IJ34" s="1205">
        <f>IFERROR(SUM(IJ31:IJ33)/SUM($BS$31:$BS$33),0)</f>
        <v>0</v>
      </c>
      <c r="IK34" s="1205">
        <f>IFERROR(SUM(IK31:IK33)/SUM($BS$31:$BS$33),0)</f>
        <v>0</v>
      </c>
      <c r="IL34" s="1205">
        <f>IFERROR(SUM(IL31:IL33)/SUM($BS$31:$BS$33),0)</f>
        <v>0</v>
      </c>
      <c r="IM34" s="1205">
        <f>IFERROR(SUM(IM31:IM33)/SUM($BS$31:$BS$33),0)</f>
        <v>0</v>
      </c>
      <c r="IN34" s="1205">
        <f>IFERROR(SUM(IN31:IN33)/SUM($BS$31:$BS$33),0)</f>
        <v>0</v>
      </c>
      <c r="IO34" s="1205">
        <f>IFERROR(SUM(IO31:IO33)/SUM($BS$31:$BS$33),0)</f>
        <v>0</v>
      </c>
      <c r="IP34" s="1205">
        <f>IFERROR(SUM(IP31:IP33)/SUM($BS$31:$BS$33),0)</f>
        <v>0</v>
      </c>
      <c r="IQ34" s="1205">
        <f>IFERROR(SUM(IQ31:IQ33)/SUM($BS$31:$BS$33),0)</f>
        <v>0</v>
      </c>
      <c r="IR34" s="1205">
        <f>IFERROR(SUM(IR31:IR33)/SUM($BS$31:$BS$33),0)</f>
        <v>0</v>
      </c>
      <c r="IS34" s="1205">
        <f>IFERROR(SUM(IS31:IS33)/SUM($BS$31:$BS$33),0)</f>
        <v>0</v>
      </c>
      <c r="IT34" s="1205">
        <f>IFERROR(SUM(IT31:IT33)/SUM($BS$31:$BS$33),0)</f>
        <v>0</v>
      </c>
      <c r="IU34" s="1205">
        <f>IFERROR(SUM(IU31:IU33)/SUM($BS$31:$BS$33),0)</f>
        <v>0</v>
      </c>
      <c r="IV34" s="1205">
        <f>IFERROR(SUM(IV31:IV33)/SUM($BS$31:$BS$33),0)</f>
        <v>0</v>
      </c>
      <c r="IW34" s="1205">
        <f>IFERROR(SUM(IW31:IW33)/SUM($BS$31:$BS$33),0)</f>
        <v>0</v>
      </c>
      <c r="IX34" s="1205">
        <f>IFERROR(SUM(IX31:IX33)/SUM($BS$31:$BS$33),0)</f>
        <v>0</v>
      </c>
      <c r="IY34" s="1205">
        <f>IFERROR(SUM(IY31:IY33)/SUM($BS$31:$BS$33),0)</f>
        <v>0</v>
      </c>
      <c r="IZ34" s="1205">
        <f>IFERROR(SUM(IZ31:IZ33)/SUM($BS$31:$BS$33),0)</f>
        <v>0</v>
      </c>
      <c r="JA34" s="1205">
        <f>IFERROR(SUM(JA31:JA33)/SUM($BS$31:$BS$33),0)</f>
        <v>0</v>
      </c>
      <c r="JB34" s="1205">
        <f>IFERROR(SUM(JB31:JB33)/SUM($BS$31:$BS$33),0)</f>
        <v>0</v>
      </c>
      <c r="JC34" s="1205">
        <f>IFERROR(SUM(JC31:JC33)/SUM($BS$31:$BS$33),0)</f>
        <v>0</v>
      </c>
      <c r="JD34" s="1205">
        <f>IFERROR(SUM(JD31:JD33)/SUM($BS$31:$BS$33),0)</f>
        <v>0</v>
      </c>
      <c r="JE34" s="1205">
        <f>IFERROR(SUM(JE31:JE33)/SUM($BS$31:$BS$33),0)</f>
        <v>0</v>
      </c>
      <c r="JF34" s="1205">
        <f>IFERROR(SUM(JF31:JF33)/SUM($BS$31:$BS$33),0)</f>
        <v>0</v>
      </c>
      <c r="JG34" s="1205">
        <f>IFERROR(SUM(JG31:JG33)/SUM($BS$31:$BS$33),0)</f>
        <v>0</v>
      </c>
      <c r="JH34" s="1205">
        <f>IFERROR(SUM(JH31:JH33)/SUM($BS$31:$BS$33),0)</f>
        <v>0</v>
      </c>
      <c r="JI34" s="1205">
        <f>IFERROR(SUM(JI31:JI33)/SUM($BS$31:$BS$33),0)</f>
        <v>0</v>
      </c>
      <c r="JK34" s="1205">
        <f>IFERROR(SUM(JK31:JK33)/SUM($BT$31:$BT$33),0)</f>
        <v>0</v>
      </c>
      <c r="JL34" s="1205">
        <f>IFERROR(SUM(JL31:JL33)/SUM($BT$31:$BT$33),0)</f>
        <v>0</v>
      </c>
      <c r="JM34" s="1205">
        <f>IFERROR(SUM(JM31:JM33)/SUM($BT$31:$BT$33),0)</f>
        <v>0</v>
      </c>
      <c r="JN34" s="1205">
        <f>IFERROR(SUM(JN31:JN33)/SUM($BT$31:$BT$33),0)</f>
        <v>0</v>
      </c>
      <c r="JO34" s="1205">
        <f>IFERROR(SUM(JO31:JO33)/SUM($BT$31:$BT$33),0)</f>
        <v>0</v>
      </c>
      <c r="JP34" s="1205">
        <f>IFERROR(SUM(JP31:JP33)/SUM($BT$31:$BT$33),0)</f>
        <v>0</v>
      </c>
      <c r="JQ34" s="1205">
        <f>IFERROR(SUM(JQ31:JQ33)/SUM($BT$31:$BT$33),0)</f>
        <v>0</v>
      </c>
      <c r="JR34" s="1205">
        <f>IFERROR(SUM(JR31:JR33)/SUM($BT$31:$BT$33),0)</f>
        <v>0</v>
      </c>
      <c r="JS34" s="1205">
        <f>IFERROR(SUM(JS31:JS33)/SUM($BT$31:$BT$33),0)</f>
        <v>0</v>
      </c>
      <c r="JT34" s="1205">
        <f>IFERROR(SUM(JT31:JT33)/SUM($BT$31:$BT$33),0)</f>
        <v>0</v>
      </c>
      <c r="JU34" s="1205">
        <f>IFERROR(SUM(JU31:JU33)/SUM($BT$31:$BT$33),0)</f>
        <v>0</v>
      </c>
      <c r="JV34" s="1205">
        <f>IFERROR(SUM(JV31:JV33)/SUM($BT$31:$BT$33),0)</f>
        <v>0</v>
      </c>
      <c r="JW34" s="1205">
        <f>IFERROR(SUM(JW31:JW33)/SUM($BT$31:$BT$33),0)</f>
        <v>0</v>
      </c>
      <c r="JX34" s="1205">
        <f>IFERROR(SUM(JX31:JX33)/SUM($BT$31:$BT$33),0)</f>
        <v>0</v>
      </c>
      <c r="JY34" s="1205">
        <f>IFERROR(SUM(JY31:JY33)/SUM($BT$31:$BT$33),0)</f>
        <v>0</v>
      </c>
      <c r="JZ34" s="1205">
        <f>IFERROR(SUM(JZ31:JZ33)/SUM($BT$31:$BT$33),0)</f>
        <v>0</v>
      </c>
      <c r="KA34" s="1205">
        <f>IFERROR(SUM(KA31:KA33)/SUM($BT$31:$BT$33),0)</f>
        <v>0</v>
      </c>
      <c r="KB34" s="1205">
        <f>IFERROR(SUM(KB31:KB33)/SUM($BT$31:$BT$33),0)</f>
        <v>0</v>
      </c>
      <c r="KC34" s="1205">
        <f>IFERROR(SUM(KC31:KC33)/SUM($BT$31:$BT$33),0)</f>
        <v>0</v>
      </c>
      <c r="KD34" s="1205">
        <f>IFERROR(SUM(KD31:KD33)/SUM($BT$31:$BT$33),0)</f>
        <v>0</v>
      </c>
      <c r="KE34" s="1205">
        <f>IFERROR(SUM(KE31:KE33)/SUM($BT$31:$BT$33),0)</f>
        <v>0</v>
      </c>
      <c r="KF34" s="1205">
        <f>IFERROR(SUM(KF31:KF33)/SUM($BT$31:$BT$33),0)</f>
        <v>0</v>
      </c>
      <c r="KG34" s="1205">
        <f>IFERROR(SUM(KG31:KG33)/SUM($BT$31:$BT$33),0)</f>
        <v>0</v>
      </c>
      <c r="KH34" s="1205">
        <f>IFERROR(SUM(KH31:KH33)/SUM($BT$31:$BT$33),0)</f>
        <v>0</v>
      </c>
      <c r="KI34" s="1205">
        <f>IFERROR(SUM(KI31:KI33)/SUM($BT$31:$BT$33),0)</f>
        <v>0</v>
      </c>
      <c r="KJ34" s="1205">
        <f>IFERROR(SUM(KJ31:KJ33)/SUM($BT$31:$BT$33),0)</f>
        <v>0</v>
      </c>
      <c r="KK34" s="1205">
        <f>IFERROR(SUM(KK31:KK33)/SUM($BT$31:$BT$33),0)</f>
        <v>0</v>
      </c>
      <c r="KL34" s="1205">
        <f>IFERROR(SUM(KL31:KL33)/SUM($BT$31:$BT$33),0)</f>
        <v>0</v>
      </c>
      <c r="KM34" s="1205">
        <f>IFERROR(SUM(KM31:KM33)/SUM($BT$31:$BT$33),0)</f>
        <v>0</v>
      </c>
      <c r="KN34" s="1205">
        <f>IFERROR(SUM(KN31:KN33)/SUM($BT$31:$BT$33),0)</f>
        <v>0</v>
      </c>
      <c r="KO34" s="1205">
        <f>IFERROR(SUM(KO31:KO33)/SUM($BT$31:$BT$33),0)</f>
        <v>0</v>
      </c>
      <c r="KP34" s="1205">
        <f>IFERROR(SUM(KP31:KP33)/SUM($BT$31:$BT$33),0)</f>
        <v>0</v>
      </c>
      <c r="KQ34" s="1205">
        <f>IFERROR(SUM(KQ31:KQ33)/SUM($BT$31:$BT$33),0)</f>
        <v>0</v>
      </c>
      <c r="KR34" s="1205">
        <f>IFERROR(SUM(KR31:KR33)/SUM($BT$31:$BT$33),0)</f>
        <v>0</v>
      </c>
      <c r="KS34" s="1205">
        <f>IFERROR(SUM(KS31:KS33)/SUM($BT$31:$BT$33),0)</f>
        <v>0</v>
      </c>
      <c r="KT34" s="1205">
        <f>IFERROR(SUM(KT31:KT33)/SUM($BT$31:$BT$33),0)</f>
        <v>0</v>
      </c>
      <c r="KU34" s="1205">
        <f>IFERROR(SUM(KU31:KU33)/SUM($BT$31:$BT$33),0)</f>
        <v>0</v>
      </c>
      <c r="KV34" s="1205">
        <f>IFERROR(SUM(KV31:KV33)/SUM($BT$31:$BT$33),0)</f>
        <v>0</v>
      </c>
      <c r="KW34" s="1205">
        <f>IFERROR(SUM(KW31:KW33)/SUM($BT$31:$BT$33),0)</f>
        <v>0</v>
      </c>
      <c r="KX34" s="1205">
        <f>IFERROR(SUM(KX31:KX33)/SUM($BT$31:$BT$33),0)</f>
        <v>0</v>
      </c>
      <c r="KY34" s="1205">
        <f>IFERROR(SUM(KY31:KY33)/SUM($BT$31:$BT$33),0)</f>
        <v>0</v>
      </c>
      <c r="KZ34" s="1205">
        <f>IFERROR(SUM(KZ31:KZ33)/SUM($BT$31:$BT$33),0)</f>
        <v>0</v>
      </c>
      <c r="LA34" s="1205">
        <f>IFERROR(SUM(LA31:LA33)/SUM($BT$31:$BT$33),0)</f>
        <v>0</v>
      </c>
      <c r="LB34" s="1205">
        <f>IFERROR(SUM(LB31:LB33)/SUM($BT$31:$BT$33),0)</f>
        <v>0</v>
      </c>
      <c r="LC34" s="1205">
        <f>IFERROR(SUM(LC31:LC33)/SUM($BT$31:$BT$33),0)</f>
        <v>0</v>
      </c>
      <c r="LD34" s="1205">
        <f>IFERROR(SUM(LD31:LD33)/SUM($BT$31:$BT$33),0)</f>
        <v>0</v>
      </c>
      <c r="LE34" s="1205">
        <f>IFERROR(SUM(LE31:LE33)/SUM($BT$31:$BT$33),0)</f>
        <v>0</v>
      </c>
      <c r="LF34" s="1205">
        <f>IFERROR(SUM(LF31:LF33)/SUM($BT$31:$BT$33),0)</f>
        <v>0</v>
      </c>
    </row>
    <row r="35" spans="2:319" ht="15.6">
      <c r="B35" s="661"/>
      <c r="C35" s="646"/>
      <c r="D35" s="646"/>
      <c r="E35" s="647"/>
      <c r="F35" s="646"/>
      <c r="G35" s="646"/>
      <c r="H35" s="646"/>
      <c r="I35" s="844"/>
      <c r="J35" s="845"/>
      <c r="K35" s="654"/>
      <c r="L35" s="646"/>
      <c r="M35" s="906"/>
      <c r="N35" s="907"/>
      <c r="O35" s="854">
        <f>+IF(C35&lt;&gt;"",VLOOKUP(C35,'AUX-NIV1'!B:AO,40,FALSE)*H35,0)</f>
        <v>0</v>
      </c>
      <c r="P35" s="803" t="str">
        <f t="shared" si="562"/>
        <v/>
      </c>
      <c r="Q35" s="804">
        <f t="shared" si="811"/>
        <v>0</v>
      </c>
      <c r="R35" s="805">
        <f t="shared" si="811"/>
        <v>0</v>
      </c>
      <c r="S35" s="805">
        <f t="shared" si="811"/>
        <v>0</v>
      </c>
      <c r="T35" s="805">
        <f t="shared" si="811"/>
        <v>0</v>
      </c>
      <c r="U35" s="805">
        <f t="shared" si="811"/>
        <v>0</v>
      </c>
      <c r="V35" s="805">
        <f t="shared" si="811"/>
        <v>0</v>
      </c>
      <c r="W35" s="805">
        <f t="shared" si="811"/>
        <v>0</v>
      </c>
      <c r="X35" s="805">
        <f t="shared" si="811"/>
        <v>0</v>
      </c>
      <c r="Y35" s="805">
        <f t="shared" si="811"/>
        <v>0</v>
      </c>
      <c r="Z35" s="805">
        <f t="shared" si="811"/>
        <v>0</v>
      </c>
      <c r="AA35" s="805">
        <f t="shared" si="811"/>
        <v>0</v>
      </c>
      <c r="AB35" s="805">
        <f t="shared" si="811"/>
        <v>0</v>
      </c>
      <c r="AC35" s="805">
        <f t="shared" si="811"/>
        <v>0</v>
      </c>
      <c r="AD35" s="805">
        <f t="shared" si="811"/>
        <v>0</v>
      </c>
      <c r="AE35" s="805">
        <f t="shared" si="811"/>
        <v>0</v>
      </c>
      <c r="AF35" s="805">
        <f t="shared" si="811"/>
        <v>0</v>
      </c>
      <c r="AG35" s="805">
        <f t="shared" si="812"/>
        <v>0</v>
      </c>
      <c r="AH35" s="805">
        <f t="shared" si="812"/>
        <v>0</v>
      </c>
      <c r="AI35" s="805">
        <f t="shared" si="812"/>
        <v>0</v>
      </c>
      <c r="AJ35" s="805">
        <f t="shared" si="812"/>
        <v>0</v>
      </c>
      <c r="AK35" s="805">
        <f t="shared" si="812"/>
        <v>0</v>
      </c>
      <c r="AL35" s="805">
        <f t="shared" si="812"/>
        <v>0</v>
      </c>
      <c r="AM35" s="805">
        <f t="shared" si="812"/>
        <v>0</v>
      </c>
      <c r="AN35" s="805">
        <f t="shared" si="812"/>
        <v>0</v>
      </c>
      <c r="AO35" s="805">
        <f t="shared" si="812"/>
        <v>0</v>
      </c>
      <c r="AP35" s="805">
        <f t="shared" si="812"/>
        <v>0</v>
      </c>
      <c r="AQ35" s="805">
        <f t="shared" si="812"/>
        <v>0</v>
      </c>
      <c r="AR35" s="805">
        <f t="shared" si="812"/>
        <v>0</v>
      </c>
      <c r="AS35" s="805">
        <f t="shared" si="812"/>
        <v>0</v>
      </c>
      <c r="AT35" s="805">
        <f t="shared" si="812"/>
        <v>0</v>
      </c>
      <c r="AU35" s="805">
        <f t="shared" si="565"/>
        <v>0</v>
      </c>
      <c r="AV35" s="805">
        <f t="shared" si="813"/>
        <v>0</v>
      </c>
      <c r="AW35" s="805">
        <f t="shared" si="816"/>
        <v>0</v>
      </c>
      <c r="AX35" s="805">
        <f t="shared" si="816"/>
        <v>0</v>
      </c>
      <c r="AY35" s="805">
        <f t="shared" si="816"/>
        <v>0</v>
      </c>
      <c r="AZ35" s="805">
        <f t="shared" si="816"/>
        <v>0</v>
      </c>
      <c r="BA35" s="805">
        <f t="shared" si="816"/>
        <v>0</v>
      </c>
      <c r="BB35" s="805">
        <f t="shared" si="816"/>
        <v>0</v>
      </c>
      <c r="BC35" s="805">
        <f t="shared" si="816"/>
        <v>0</v>
      </c>
      <c r="BD35" s="805">
        <f t="shared" si="816"/>
        <v>0</v>
      </c>
      <c r="BE35" s="805">
        <f t="shared" si="816"/>
        <v>0</v>
      </c>
      <c r="BF35" s="805">
        <f t="shared" si="816"/>
        <v>0</v>
      </c>
      <c r="BG35" s="805">
        <f t="shared" si="816"/>
        <v>0</v>
      </c>
      <c r="BH35" s="805">
        <f t="shared" si="816"/>
        <v>0</v>
      </c>
      <c r="BI35" s="805">
        <f t="shared" si="816"/>
        <v>0</v>
      </c>
      <c r="BJ35" s="805">
        <f t="shared" si="816"/>
        <v>0</v>
      </c>
      <c r="BK35" s="805">
        <f t="shared" si="816"/>
        <v>0</v>
      </c>
      <c r="BL35" s="805">
        <f t="shared" si="815"/>
        <v>0</v>
      </c>
      <c r="BM35" s="806"/>
      <c r="BN35" s="785"/>
      <c r="BO35" s="1204"/>
      <c r="BP35" s="1203">
        <f>+SUMIF('AUX-NIV1'!$B:$B,Crono!$C35,'AUX-NIV1'!AQ:AQ)*Crono!$H35</f>
        <v>0</v>
      </c>
      <c r="BQ35" s="1202">
        <f>+SUMIF('AUX-NIV1'!$B:$B,Crono!$C35,'AUX-NIV1'!AR:AR)*Crono!$H35</f>
        <v>0</v>
      </c>
      <c r="BR35" s="1202">
        <f>+SUMIF('AUX-NIV1'!$B:$B,Crono!$C35,'AUX-NIV1'!AS:AS)*Crono!$H35</f>
        <v>0</v>
      </c>
      <c r="BS35" s="1202">
        <f>+SUMIF('AUX-NIV1'!$B:$B,Crono!$C35,'AUX-NIV1'!AT:AT)*Crono!$H35</f>
        <v>0</v>
      </c>
      <c r="BT35" s="1202">
        <f>+SUMIF('AUX-NIV1'!$B:$B,Crono!$C35,'AUX-NIV1'!AU:AU)*Crono!$H35</f>
        <v>0</v>
      </c>
      <c r="BU35" s="1202"/>
    </row>
    <row r="36" spans="2:319" ht="15.6">
      <c r="B36" s="661">
        <v>75</v>
      </c>
      <c r="C36" s="646"/>
      <c r="D36" s="646" t="s">
        <v>928</v>
      </c>
      <c r="E36" s="647"/>
      <c r="F36" s="653" t="s">
        <v>929</v>
      </c>
      <c r="G36" s="654" t="s">
        <v>623</v>
      </c>
      <c r="H36" s="655"/>
      <c r="I36" s="656"/>
      <c r="J36" s="846">
        <v>0</v>
      </c>
      <c r="K36" s="660">
        <f>+H36/L36/(Items!$N$3*Items!$N$4)</f>
        <v>0</v>
      </c>
      <c r="L36" s="622">
        <f>N36-M36+1</f>
        <v>2.5</v>
      </c>
      <c r="M36" s="906">
        <v>0.5</v>
      </c>
      <c r="N36" s="907">
        <v>2</v>
      </c>
      <c r="O36" s="854">
        <f>+IF(C36&lt;&gt;"",VLOOKUP(C36,'AUX-NIV1'!B:AO,40,FALSE)*H36,0)</f>
        <v>0</v>
      </c>
      <c r="P36" s="803" t="str">
        <f t="shared" si="562"/>
        <v/>
      </c>
      <c r="Q36" s="804">
        <f t="shared" si="811"/>
        <v>0</v>
      </c>
      <c r="R36" s="805">
        <f t="shared" si="811"/>
        <v>0</v>
      </c>
      <c r="S36" s="805">
        <f t="shared" si="811"/>
        <v>0</v>
      </c>
      <c r="T36" s="805">
        <f t="shared" si="811"/>
        <v>0</v>
      </c>
      <c r="U36" s="805">
        <f t="shared" si="811"/>
        <v>0</v>
      </c>
      <c r="V36" s="805">
        <f t="shared" si="811"/>
        <v>0</v>
      </c>
      <c r="W36" s="805">
        <f t="shared" si="811"/>
        <v>0</v>
      </c>
      <c r="X36" s="805">
        <f t="shared" si="811"/>
        <v>0</v>
      </c>
      <c r="Y36" s="805">
        <f t="shared" si="811"/>
        <v>0</v>
      </c>
      <c r="Z36" s="805">
        <f t="shared" si="811"/>
        <v>0</v>
      </c>
      <c r="AA36" s="805">
        <f t="shared" si="811"/>
        <v>0</v>
      </c>
      <c r="AB36" s="805">
        <f t="shared" si="811"/>
        <v>0</v>
      </c>
      <c r="AC36" s="805">
        <f t="shared" si="811"/>
        <v>0</v>
      </c>
      <c r="AD36" s="805">
        <f t="shared" si="811"/>
        <v>0</v>
      </c>
      <c r="AE36" s="805">
        <f t="shared" si="811"/>
        <v>0</v>
      </c>
      <c r="AF36" s="805">
        <f t="shared" si="811"/>
        <v>0</v>
      </c>
      <c r="AG36" s="805">
        <f t="shared" si="812"/>
        <v>0</v>
      </c>
      <c r="AH36" s="805">
        <f t="shared" si="812"/>
        <v>0</v>
      </c>
      <c r="AI36" s="805">
        <f t="shared" si="812"/>
        <v>0</v>
      </c>
      <c r="AJ36" s="805">
        <f t="shared" si="812"/>
        <v>0</v>
      </c>
      <c r="AK36" s="805">
        <f t="shared" si="812"/>
        <v>0</v>
      </c>
      <c r="AL36" s="805">
        <f t="shared" si="812"/>
        <v>0</v>
      </c>
      <c r="AM36" s="805">
        <f t="shared" si="812"/>
        <v>0</v>
      </c>
      <c r="AN36" s="805">
        <f t="shared" si="812"/>
        <v>0</v>
      </c>
      <c r="AO36" s="805">
        <f t="shared" si="812"/>
        <v>0</v>
      </c>
      <c r="AP36" s="805">
        <f t="shared" si="812"/>
        <v>0</v>
      </c>
      <c r="AQ36" s="805">
        <f t="shared" si="812"/>
        <v>0</v>
      </c>
      <c r="AR36" s="805">
        <f t="shared" si="812"/>
        <v>0</v>
      </c>
      <c r="AS36" s="805">
        <f t="shared" si="812"/>
        <v>0</v>
      </c>
      <c r="AT36" s="805">
        <f t="shared" si="812"/>
        <v>0</v>
      </c>
      <c r="AU36" s="805">
        <f t="shared" si="565"/>
        <v>0</v>
      </c>
      <c r="AV36" s="805">
        <f t="shared" si="813"/>
        <v>0</v>
      </c>
      <c r="AW36" s="805">
        <f t="shared" si="816"/>
        <v>0</v>
      </c>
      <c r="AX36" s="805">
        <f t="shared" si="816"/>
        <v>0</v>
      </c>
      <c r="AY36" s="805">
        <f t="shared" si="816"/>
        <v>0</v>
      </c>
      <c r="AZ36" s="805">
        <f t="shared" si="816"/>
        <v>0</v>
      </c>
      <c r="BA36" s="805">
        <f t="shared" si="816"/>
        <v>0</v>
      </c>
      <c r="BB36" s="805">
        <f t="shared" si="816"/>
        <v>0</v>
      </c>
      <c r="BC36" s="805">
        <f t="shared" si="816"/>
        <v>0</v>
      </c>
      <c r="BD36" s="805">
        <f t="shared" si="816"/>
        <v>0</v>
      </c>
      <c r="BE36" s="805">
        <f t="shared" si="816"/>
        <v>0</v>
      </c>
      <c r="BF36" s="805">
        <f t="shared" si="816"/>
        <v>0</v>
      </c>
      <c r="BG36" s="805">
        <f t="shared" si="816"/>
        <v>0</v>
      </c>
      <c r="BH36" s="805">
        <f t="shared" si="816"/>
        <v>0</v>
      </c>
      <c r="BI36" s="805">
        <f t="shared" si="816"/>
        <v>0</v>
      </c>
      <c r="BJ36" s="805">
        <f t="shared" si="816"/>
        <v>0</v>
      </c>
      <c r="BK36" s="805">
        <f t="shared" si="816"/>
        <v>0</v>
      </c>
      <c r="BL36" s="805">
        <f t="shared" si="815"/>
        <v>0</v>
      </c>
      <c r="BM36" s="806"/>
      <c r="BN36" s="785"/>
      <c r="BO36" s="1204"/>
      <c r="BP36" s="1203">
        <f>+SUMIF('AUX-NIV1'!$B:$B,Crono!$C36,'AUX-NIV1'!AQ:AQ)*Crono!$H36</f>
        <v>0</v>
      </c>
      <c r="BQ36" s="1202">
        <f>+SUMIF('AUX-NIV1'!$B:$B,Crono!$C36,'AUX-NIV1'!AR:AR)*Crono!$H36</f>
        <v>0</v>
      </c>
      <c r="BR36" s="1202">
        <f>+SUMIF('AUX-NIV1'!$B:$B,Crono!$C36,'AUX-NIV1'!AS:AS)*Crono!$H36</f>
        <v>0</v>
      </c>
      <c r="BS36" s="1202">
        <f>+SUMIF('AUX-NIV1'!$B:$B,Crono!$C36,'AUX-NIV1'!AT:AT)*Crono!$H36</f>
        <v>0</v>
      </c>
      <c r="BT36" s="1202">
        <f>+SUMIF('AUX-NIV1'!$B:$B,Crono!$C36,'AUX-NIV1'!AU:AU)*Crono!$H36</f>
        <v>0</v>
      </c>
      <c r="BU36" s="1202"/>
      <c r="BW36" s="1202">
        <f t="shared" ref="BW36:BW37" si="817">$BP36*Q36</f>
        <v>0</v>
      </c>
      <c r="BX36" s="1202">
        <f t="shared" ref="BX36:BX37" si="818">$BP36*R36</f>
        <v>0</v>
      </c>
      <c r="BY36" s="1202">
        <f t="shared" ref="BY36:BY37" si="819">$BP36*S36</f>
        <v>0</v>
      </c>
      <c r="BZ36" s="1202">
        <f t="shared" ref="BZ36:BZ37" si="820">$BP36*T36</f>
        <v>0</v>
      </c>
      <c r="CA36" s="1202">
        <f t="shared" ref="CA36:CA37" si="821">$BP36*U36</f>
        <v>0</v>
      </c>
      <c r="CB36" s="1202">
        <f t="shared" ref="CB36:CB37" si="822">$BP36*V36</f>
        <v>0</v>
      </c>
      <c r="CC36" s="1202">
        <f t="shared" ref="CC36:CC37" si="823">$BP36*W36</f>
        <v>0</v>
      </c>
      <c r="CD36" s="1202">
        <f t="shared" ref="CD36:CD37" si="824">$BP36*X36</f>
        <v>0</v>
      </c>
      <c r="CE36" s="1202">
        <f t="shared" ref="CE36:CE37" si="825">$BP36*Y36</f>
        <v>0</v>
      </c>
      <c r="CF36" s="1202">
        <f t="shared" ref="CF36:CF37" si="826">$BP36*Z36</f>
        <v>0</v>
      </c>
      <c r="CG36" s="1202">
        <f t="shared" ref="CG36:CG37" si="827">$BP36*AA36</f>
        <v>0</v>
      </c>
      <c r="CH36" s="1202">
        <f t="shared" ref="CH36:CH37" si="828">$BP36*AB36</f>
        <v>0</v>
      </c>
      <c r="CI36" s="1202">
        <f t="shared" ref="CI36:CI37" si="829">$BP36*AC36</f>
        <v>0</v>
      </c>
      <c r="CJ36" s="1202">
        <f t="shared" ref="CJ36:CJ37" si="830">$BP36*AD36</f>
        <v>0</v>
      </c>
      <c r="CK36" s="1202">
        <f t="shared" ref="CK36:CK37" si="831">$BP36*AE36</f>
        <v>0</v>
      </c>
      <c r="CL36" s="1202">
        <f t="shared" ref="CL36:CL37" si="832">$BP36*AF36</f>
        <v>0</v>
      </c>
      <c r="CM36" s="1202">
        <f t="shared" ref="CM36:CM37" si="833">$BP36*AG36</f>
        <v>0</v>
      </c>
      <c r="CN36" s="1202">
        <f t="shared" ref="CN36:CN37" si="834">$BP36*AH36</f>
        <v>0</v>
      </c>
      <c r="CO36" s="1202">
        <f t="shared" ref="CO36:CO37" si="835">$BP36*AI36</f>
        <v>0</v>
      </c>
      <c r="CP36" s="1202">
        <f t="shared" ref="CP36:CP37" si="836">$BP36*AJ36</f>
        <v>0</v>
      </c>
      <c r="CQ36" s="1202">
        <f t="shared" ref="CQ36:CQ37" si="837">$BP36*AK36</f>
        <v>0</v>
      </c>
      <c r="CR36" s="1202">
        <f t="shared" ref="CR36:CR37" si="838">$BP36*AL36</f>
        <v>0</v>
      </c>
      <c r="CS36" s="1202">
        <f t="shared" ref="CS36:CS37" si="839">$BP36*AM36</f>
        <v>0</v>
      </c>
      <c r="CT36" s="1202">
        <f t="shared" ref="CT36:CT37" si="840">$BP36*AN36</f>
        <v>0</v>
      </c>
      <c r="CU36" s="1202">
        <f t="shared" ref="CU36:CU37" si="841">$BP36*AO36</f>
        <v>0</v>
      </c>
      <c r="CV36" s="1202">
        <f t="shared" ref="CV36:CV37" si="842">$BP36*AP36</f>
        <v>0</v>
      </c>
      <c r="CW36" s="1202">
        <f t="shared" ref="CW36:CW37" si="843">$BP36*AQ36</f>
        <v>0</v>
      </c>
      <c r="CX36" s="1202">
        <f t="shared" ref="CX36:CX37" si="844">$BP36*AR36</f>
        <v>0</v>
      </c>
      <c r="CY36" s="1202">
        <f t="shared" ref="CY36:CY37" si="845">$BP36*AS36</f>
        <v>0</v>
      </c>
      <c r="CZ36" s="1202">
        <f t="shared" ref="CZ36:CZ37" si="846">$BP36*AT36</f>
        <v>0</v>
      </c>
      <c r="DA36" s="1202">
        <f t="shared" ref="DA36:DA37" si="847">$BP36*AU36</f>
        <v>0</v>
      </c>
      <c r="DB36" s="1202">
        <f t="shared" ref="DB36:DB37" si="848">$BP36*AV36</f>
        <v>0</v>
      </c>
      <c r="DC36" s="1202">
        <f t="shared" ref="DC36:DC37" si="849">$BP36*AW36</f>
        <v>0</v>
      </c>
      <c r="DD36" s="1202">
        <f t="shared" ref="DD36:DD37" si="850">$BP36*AX36</f>
        <v>0</v>
      </c>
      <c r="DE36" s="1202">
        <f t="shared" ref="DE36:DE37" si="851">$BP36*AY36</f>
        <v>0</v>
      </c>
      <c r="DF36" s="1202">
        <f t="shared" ref="DF36:DF37" si="852">$BP36*AZ36</f>
        <v>0</v>
      </c>
      <c r="DG36" s="1202">
        <f t="shared" ref="DG36:DG37" si="853">$BP36*BA36</f>
        <v>0</v>
      </c>
      <c r="DH36" s="1202">
        <f t="shared" ref="DH36:DH37" si="854">$BP36*BB36</f>
        <v>0</v>
      </c>
      <c r="DI36" s="1202">
        <f t="shared" ref="DI36:DI37" si="855">$BP36*BC36</f>
        <v>0</v>
      </c>
      <c r="DJ36" s="1202">
        <f t="shared" ref="DJ36:DJ37" si="856">$BP36*BD36</f>
        <v>0</v>
      </c>
      <c r="DK36" s="1202">
        <f t="shared" ref="DK36:DK37" si="857">$BP36*BE36</f>
        <v>0</v>
      </c>
      <c r="DL36" s="1202">
        <f t="shared" ref="DL36:DL37" si="858">$BP36*BF36</f>
        <v>0</v>
      </c>
      <c r="DM36" s="1202">
        <f t="shared" ref="DM36:DM37" si="859">$BP36*BG36</f>
        <v>0</v>
      </c>
      <c r="DN36" s="1202">
        <f t="shared" ref="DN36:DN37" si="860">$BP36*BH36</f>
        <v>0</v>
      </c>
      <c r="DO36" s="1202">
        <f t="shared" ref="DO36:DO37" si="861">$BP36*BI36</f>
        <v>0</v>
      </c>
      <c r="DP36" s="1202">
        <f t="shared" ref="DP36:DP37" si="862">$BP36*BJ36</f>
        <v>0</v>
      </c>
      <c r="DQ36" s="1202">
        <f t="shared" ref="DQ36:DQ37" si="863">$BP36*BK36</f>
        <v>0</v>
      </c>
      <c r="DR36" s="1202">
        <f t="shared" ref="DR36:DR37" si="864">$BP36*BL36</f>
        <v>0</v>
      </c>
      <c r="DS36" s="1202"/>
      <c r="DT36" s="1202">
        <f t="shared" ref="DT36:DT37" si="865">$BQ36*Q36</f>
        <v>0</v>
      </c>
      <c r="DU36" s="1202">
        <f t="shared" ref="DU36:DU37" si="866">$BQ36*R36</f>
        <v>0</v>
      </c>
      <c r="DV36" s="1202">
        <f t="shared" ref="DV36:DV37" si="867">$BQ36*S36</f>
        <v>0</v>
      </c>
      <c r="DW36" s="1202">
        <f t="shared" ref="DW36:DW37" si="868">$BQ36*T36</f>
        <v>0</v>
      </c>
      <c r="DX36" s="1202">
        <f t="shared" ref="DX36:DX37" si="869">$BQ36*U36</f>
        <v>0</v>
      </c>
      <c r="DY36" s="1202">
        <f t="shared" ref="DY36:DY37" si="870">$BQ36*V36</f>
        <v>0</v>
      </c>
      <c r="DZ36" s="1202">
        <f t="shared" ref="DZ36:DZ37" si="871">$BQ36*W36</f>
        <v>0</v>
      </c>
      <c r="EA36" s="1202">
        <f t="shared" ref="EA36:EA37" si="872">$BQ36*X36</f>
        <v>0</v>
      </c>
      <c r="EB36" s="1202">
        <f t="shared" ref="EB36:EB37" si="873">$BQ36*Y36</f>
        <v>0</v>
      </c>
      <c r="EC36" s="1202">
        <f t="shared" ref="EC36:EC37" si="874">$BQ36*Z36</f>
        <v>0</v>
      </c>
      <c r="ED36" s="1202">
        <f t="shared" ref="ED36:ED37" si="875">$BQ36*AA36</f>
        <v>0</v>
      </c>
      <c r="EE36" s="1202">
        <f t="shared" ref="EE36:EE37" si="876">$BQ36*AB36</f>
        <v>0</v>
      </c>
      <c r="EF36" s="1202">
        <f t="shared" ref="EF36:EF37" si="877">$BQ36*AC36</f>
        <v>0</v>
      </c>
      <c r="EG36" s="1202">
        <f t="shared" ref="EG36:EG37" si="878">$BQ36*AD36</f>
        <v>0</v>
      </c>
      <c r="EH36" s="1202">
        <f t="shared" ref="EH36:EH37" si="879">$BQ36*AE36</f>
        <v>0</v>
      </c>
      <c r="EI36" s="1202">
        <f t="shared" ref="EI36:EI37" si="880">$BQ36*AF36</f>
        <v>0</v>
      </c>
      <c r="EJ36" s="1202">
        <f t="shared" ref="EJ36:EJ37" si="881">$BQ36*AG36</f>
        <v>0</v>
      </c>
      <c r="EK36" s="1202">
        <f t="shared" ref="EK36:EK37" si="882">$BQ36*AH36</f>
        <v>0</v>
      </c>
      <c r="EL36" s="1202">
        <f t="shared" ref="EL36:EL37" si="883">$BQ36*AI36</f>
        <v>0</v>
      </c>
      <c r="EM36" s="1202">
        <f t="shared" ref="EM36:EM37" si="884">$BQ36*AJ36</f>
        <v>0</v>
      </c>
      <c r="EN36" s="1202">
        <f t="shared" ref="EN36:EN37" si="885">$BQ36*AK36</f>
        <v>0</v>
      </c>
      <c r="EO36" s="1202">
        <f t="shared" ref="EO36:EO37" si="886">$BQ36*AL36</f>
        <v>0</v>
      </c>
      <c r="EP36" s="1202">
        <f t="shared" ref="EP36:EP37" si="887">$BQ36*AM36</f>
        <v>0</v>
      </c>
      <c r="EQ36" s="1202">
        <f t="shared" ref="EQ36:EQ37" si="888">$BQ36*AN36</f>
        <v>0</v>
      </c>
      <c r="ER36" s="1202">
        <f t="shared" ref="ER36:ER37" si="889">$BQ36*AO36</f>
        <v>0</v>
      </c>
      <c r="ES36" s="1202">
        <f t="shared" ref="ES36:ES37" si="890">$BQ36*AP36</f>
        <v>0</v>
      </c>
      <c r="ET36" s="1202">
        <f t="shared" ref="ET36:ET37" si="891">$BQ36*AQ36</f>
        <v>0</v>
      </c>
      <c r="EU36" s="1202">
        <f t="shared" ref="EU36:EU37" si="892">$BQ36*AR36</f>
        <v>0</v>
      </c>
      <c r="EV36" s="1202">
        <f t="shared" ref="EV36:EV37" si="893">$BQ36*AS36</f>
        <v>0</v>
      </c>
      <c r="EW36" s="1202">
        <f t="shared" ref="EW36:EW37" si="894">$BQ36*AT36</f>
        <v>0</v>
      </c>
      <c r="EX36" s="1202">
        <f t="shared" ref="EX36:EX37" si="895">$BQ36*AU36</f>
        <v>0</v>
      </c>
      <c r="EY36" s="1202">
        <f t="shared" ref="EY36:EY37" si="896">$BQ36*AV36</f>
        <v>0</v>
      </c>
      <c r="EZ36" s="1202">
        <f t="shared" ref="EZ36:EZ37" si="897">$BQ36*AW36</f>
        <v>0</v>
      </c>
      <c r="FA36" s="1202">
        <f t="shared" ref="FA36:FA37" si="898">$BQ36*AX36</f>
        <v>0</v>
      </c>
      <c r="FB36" s="1202">
        <f t="shared" ref="FB36:FB37" si="899">$BQ36*AY36</f>
        <v>0</v>
      </c>
      <c r="FC36" s="1202">
        <f t="shared" ref="FC36:FC37" si="900">$BQ36*AZ36</f>
        <v>0</v>
      </c>
      <c r="FD36" s="1202">
        <f t="shared" ref="FD36:FD37" si="901">$BQ36*BA36</f>
        <v>0</v>
      </c>
      <c r="FE36" s="1202">
        <f t="shared" ref="FE36:FE37" si="902">$BQ36*BB36</f>
        <v>0</v>
      </c>
      <c r="FF36" s="1202">
        <f t="shared" ref="FF36:FF37" si="903">$BQ36*BC36</f>
        <v>0</v>
      </c>
      <c r="FG36" s="1202">
        <f t="shared" ref="FG36:FG37" si="904">$BQ36*BD36</f>
        <v>0</v>
      </c>
      <c r="FH36" s="1202">
        <f t="shared" ref="FH36:FH37" si="905">$BQ36*BE36</f>
        <v>0</v>
      </c>
      <c r="FI36" s="1202">
        <f t="shared" ref="FI36:FI37" si="906">$BQ36*BF36</f>
        <v>0</v>
      </c>
      <c r="FJ36" s="1202">
        <f t="shared" ref="FJ36:FJ37" si="907">$BQ36*BG36</f>
        <v>0</v>
      </c>
      <c r="FK36" s="1202">
        <f t="shared" ref="FK36:FK37" si="908">$BQ36*BH36</f>
        <v>0</v>
      </c>
      <c r="FL36" s="1202">
        <f t="shared" ref="FL36:FL37" si="909">$BQ36*BI36</f>
        <v>0</v>
      </c>
      <c r="FM36" s="1202">
        <f t="shared" ref="FM36:FM37" si="910">$BQ36*BJ36</f>
        <v>0</v>
      </c>
      <c r="FN36" s="1202">
        <f t="shared" ref="FN36:FN37" si="911">$BQ36*BK36</f>
        <v>0</v>
      </c>
      <c r="FO36" s="1202">
        <f t="shared" ref="FO36:FO37" si="912">$BQ36*BL36</f>
        <v>0</v>
      </c>
      <c r="FP36" s="1202"/>
      <c r="FQ36" s="1202">
        <f>$BR36*Q36</f>
        <v>0</v>
      </c>
      <c r="FR36" s="1202">
        <f t="shared" ref="FR36:FR37" si="913">$BR36*R36</f>
        <v>0</v>
      </c>
      <c r="FS36" s="1202">
        <f t="shared" ref="FS36:FS37" si="914">$BR36*S36</f>
        <v>0</v>
      </c>
      <c r="FT36" s="1202">
        <f t="shared" ref="FT36:FT37" si="915">$BR36*T36</f>
        <v>0</v>
      </c>
      <c r="FU36" s="1202">
        <f t="shared" ref="FU36:FU37" si="916">$BR36*U36</f>
        <v>0</v>
      </c>
      <c r="FV36" s="1202">
        <f t="shared" ref="FV36:FV37" si="917">$BR36*V36</f>
        <v>0</v>
      </c>
      <c r="FW36" s="1202">
        <f t="shared" ref="FW36:FW37" si="918">$BR36*W36</f>
        <v>0</v>
      </c>
      <c r="FX36" s="1202">
        <f t="shared" ref="FX36:FX37" si="919">$BR36*X36</f>
        <v>0</v>
      </c>
      <c r="FY36" s="1202">
        <f t="shared" ref="FY36:FY37" si="920">$BR36*Y36</f>
        <v>0</v>
      </c>
      <c r="FZ36" s="1202">
        <f t="shared" ref="FZ36:FZ37" si="921">$BR36*Z36</f>
        <v>0</v>
      </c>
      <c r="GA36" s="1202">
        <f t="shared" ref="GA36:GA37" si="922">$BR36*AA36</f>
        <v>0</v>
      </c>
      <c r="GB36" s="1202">
        <f t="shared" ref="GB36:GB37" si="923">$BR36*AB36</f>
        <v>0</v>
      </c>
      <c r="GC36" s="1202">
        <f t="shared" ref="GC36:GC37" si="924">$BR36*AC36</f>
        <v>0</v>
      </c>
      <c r="GD36" s="1202">
        <f t="shared" ref="GD36:GD37" si="925">$BR36*AD36</f>
        <v>0</v>
      </c>
      <c r="GE36" s="1202">
        <f t="shared" ref="GE36:GE37" si="926">$BR36*AE36</f>
        <v>0</v>
      </c>
      <c r="GF36" s="1202">
        <f t="shared" ref="GF36:GF37" si="927">$BR36*AF36</f>
        <v>0</v>
      </c>
      <c r="GG36" s="1202">
        <f t="shared" ref="GG36:GG37" si="928">$BR36*AG36</f>
        <v>0</v>
      </c>
      <c r="GH36" s="1202">
        <f t="shared" ref="GH36:GH37" si="929">$BR36*AH36</f>
        <v>0</v>
      </c>
      <c r="GI36" s="1202">
        <f t="shared" ref="GI36:GI37" si="930">$BR36*AI36</f>
        <v>0</v>
      </c>
      <c r="GJ36" s="1202">
        <f t="shared" ref="GJ36:GJ37" si="931">$BR36*AJ36</f>
        <v>0</v>
      </c>
      <c r="GK36" s="1202">
        <f t="shared" ref="GK36:GK37" si="932">$BR36*AK36</f>
        <v>0</v>
      </c>
      <c r="GL36" s="1202">
        <f t="shared" ref="GL36:GL37" si="933">$BR36*AL36</f>
        <v>0</v>
      </c>
      <c r="GM36" s="1202">
        <f t="shared" ref="GM36:GM37" si="934">$BR36*AM36</f>
        <v>0</v>
      </c>
      <c r="GN36" s="1202">
        <f t="shared" ref="GN36:GN37" si="935">$BR36*AN36</f>
        <v>0</v>
      </c>
      <c r="GO36" s="1202">
        <f t="shared" ref="GO36:GO37" si="936">$BR36*AO36</f>
        <v>0</v>
      </c>
      <c r="GP36" s="1202">
        <f t="shared" ref="GP36:GP37" si="937">$BR36*AP36</f>
        <v>0</v>
      </c>
      <c r="GQ36" s="1202">
        <f t="shared" ref="GQ36:GQ37" si="938">$BR36*AQ36</f>
        <v>0</v>
      </c>
      <c r="GR36" s="1202">
        <f t="shared" ref="GR36:GR37" si="939">$BR36*AR36</f>
        <v>0</v>
      </c>
      <c r="GS36" s="1202">
        <f t="shared" ref="GS36:GS37" si="940">$BR36*AS36</f>
        <v>0</v>
      </c>
      <c r="GT36" s="1202">
        <f t="shared" ref="GT36:GT37" si="941">$BR36*AT36</f>
        <v>0</v>
      </c>
      <c r="GU36" s="1202">
        <f t="shared" ref="GU36:GU37" si="942">$BR36*AU36</f>
        <v>0</v>
      </c>
      <c r="GV36" s="1202">
        <f t="shared" ref="GV36:GV37" si="943">$BR36*AV36</f>
        <v>0</v>
      </c>
      <c r="GW36" s="1202">
        <f t="shared" ref="GW36:GW37" si="944">$BR36*AW36</f>
        <v>0</v>
      </c>
      <c r="GX36" s="1202">
        <f t="shared" ref="GX36:GX37" si="945">$BR36*AX36</f>
        <v>0</v>
      </c>
      <c r="GY36" s="1202">
        <f t="shared" ref="GY36:GY37" si="946">$BR36*AY36</f>
        <v>0</v>
      </c>
      <c r="GZ36" s="1202">
        <f t="shared" ref="GZ36:GZ37" si="947">$BR36*AZ36</f>
        <v>0</v>
      </c>
      <c r="HA36" s="1202">
        <f t="shared" ref="HA36:HA37" si="948">$BR36*BA36</f>
        <v>0</v>
      </c>
      <c r="HB36" s="1202">
        <f t="shared" ref="HB36:HB37" si="949">$BR36*BB36</f>
        <v>0</v>
      </c>
      <c r="HC36" s="1202">
        <f t="shared" ref="HC36:HC37" si="950">$BR36*BC36</f>
        <v>0</v>
      </c>
      <c r="HD36" s="1202">
        <f t="shared" ref="HD36:HD37" si="951">$BR36*BD36</f>
        <v>0</v>
      </c>
      <c r="HE36" s="1202">
        <f t="shared" ref="HE36:HE37" si="952">$BR36*BE36</f>
        <v>0</v>
      </c>
      <c r="HF36" s="1202">
        <f t="shared" ref="HF36:HF37" si="953">$BR36*BF36</f>
        <v>0</v>
      </c>
      <c r="HG36" s="1202">
        <f t="shared" ref="HG36:HG37" si="954">$BR36*BG36</f>
        <v>0</v>
      </c>
      <c r="HH36" s="1202">
        <f t="shared" ref="HH36:HH37" si="955">$BR36*BH36</f>
        <v>0</v>
      </c>
      <c r="HI36" s="1202">
        <f t="shared" ref="HI36:HI37" si="956">$BR36*BI36</f>
        <v>0</v>
      </c>
      <c r="HJ36" s="1202">
        <f t="shared" ref="HJ36:HJ37" si="957">$BR36*BJ36</f>
        <v>0</v>
      </c>
      <c r="HK36" s="1202">
        <f t="shared" ref="HK36:HK37" si="958">$BR36*BK36</f>
        <v>0</v>
      </c>
      <c r="HL36" s="1202">
        <f t="shared" ref="HL36:HL37" si="959">$BR36*BL36</f>
        <v>0</v>
      </c>
      <c r="HM36" s="1202"/>
      <c r="HN36" s="1202">
        <f>$BS36*BN36</f>
        <v>0</v>
      </c>
      <c r="HO36" s="1202">
        <f t="shared" ref="HO36:HO37" si="960">$BS36*BO36</f>
        <v>0</v>
      </c>
      <c r="HP36" s="1202">
        <f t="shared" ref="HP36:HP37" si="961">$BS36*BP36</f>
        <v>0</v>
      </c>
      <c r="HQ36" s="1202">
        <f t="shared" ref="HQ36:HQ37" si="962">$BS36*BQ36</f>
        <v>0</v>
      </c>
      <c r="HR36" s="1202">
        <f t="shared" ref="HR36:HR37" si="963">$BS36*BR36</f>
        <v>0</v>
      </c>
      <c r="HS36" s="1202">
        <f t="shared" ref="HS36:HS37" si="964">$BS36*BS36</f>
        <v>0</v>
      </c>
      <c r="HT36" s="1202">
        <f t="shared" ref="HT36:HT37" si="965">$BS36*BT36</f>
        <v>0</v>
      </c>
      <c r="HU36" s="1202">
        <f t="shared" ref="HU36:HU37" si="966">$BS36*BU36</f>
        <v>0</v>
      </c>
      <c r="HV36" s="1202">
        <f t="shared" ref="HV36:HV37" si="967">$BS36*BV36</f>
        <v>0</v>
      </c>
      <c r="HW36" s="1202">
        <f t="shared" ref="HW36:HW37" si="968">$BS36*BW36</f>
        <v>0</v>
      </c>
      <c r="HX36" s="1202">
        <f t="shared" ref="HX36:HX37" si="969">$BS36*BX36</f>
        <v>0</v>
      </c>
      <c r="HY36" s="1202">
        <f t="shared" ref="HY36:HY37" si="970">$BS36*BY36</f>
        <v>0</v>
      </c>
      <c r="HZ36" s="1202">
        <f t="shared" ref="HZ36:HZ37" si="971">$BS36*BZ36</f>
        <v>0</v>
      </c>
      <c r="IA36" s="1202">
        <f t="shared" ref="IA36:IA37" si="972">$BS36*CA36</f>
        <v>0</v>
      </c>
      <c r="IB36" s="1202">
        <f t="shared" ref="IB36:IB37" si="973">$BS36*CB36</f>
        <v>0</v>
      </c>
      <c r="IC36" s="1202">
        <f t="shared" ref="IC36:IC37" si="974">$BS36*CC36</f>
        <v>0</v>
      </c>
      <c r="ID36" s="1202">
        <f t="shared" ref="ID36:ID37" si="975">$BS36*CD36</f>
        <v>0</v>
      </c>
      <c r="IE36" s="1202">
        <f t="shared" ref="IE36:IE37" si="976">$BS36*CE36</f>
        <v>0</v>
      </c>
      <c r="IF36" s="1202">
        <f t="shared" ref="IF36:IF37" si="977">$BS36*CF36</f>
        <v>0</v>
      </c>
      <c r="IG36" s="1202">
        <f t="shared" ref="IG36:IG37" si="978">$BS36*CG36</f>
        <v>0</v>
      </c>
      <c r="IH36" s="1202">
        <f t="shared" ref="IH36:IH37" si="979">$BS36*CH36</f>
        <v>0</v>
      </c>
      <c r="II36" s="1202">
        <f t="shared" ref="II36:II37" si="980">$BS36*CI36</f>
        <v>0</v>
      </c>
      <c r="IJ36" s="1202">
        <f t="shared" ref="IJ36:IJ37" si="981">$BS36*CJ36</f>
        <v>0</v>
      </c>
      <c r="IK36" s="1202">
        <f t="shared" ref="IK36:IK37" si="982">$BS36*CK36</f>
        <v>0</v>
      </c>
      <c r="IL36" s="1202">
        <f t="shared" ref="IL36:IL37" si="983">$BS36*CL36</f>
        <v>0</v>
      </c>
      <c r="IM36" s="1202">
        <f t="shared" ref="IM36:IM37" si="984">$BS36*CM36</f>
        <v>0</v>
      </c>
      <c r="IN36" s="1202">
        <f t="shared" ref="IN36:IN37" si="985">$BS36*CN36</f>
        <v>0</v>
      </c>
      <c r="IO36" s="1202">
        <f t="shared" ref="IO36:IO37" si="986">$BS36*CO36</f>
        <v>0</v>
      </c>
      <c r="IP36" s="1202">
        <f t="shared" ref="IP36:IP37" si="987">$BS36*CP36</f>
        <v>0</v>
      </c>
      <c r="IQ36" s="1202">
        <f t="shared" ref="IQ36:IQ37" si="988">$BS36*CQ36</f>
        <v>0</v>
      </c>
      <c r="IR36" s="1202">
        <f t="shared" ref="IR36:IR37" si="989">$BS36*CR36</f>
        <v>0</v>
      </c>
      <c r="IS36" s="1202">
        <f t="shared" ref="IS36:IS37" si="990">$BS36*CS36</f>
        <v>0</v>
      </c>
      <c r="IT36" s="1202">
        <f t="shared" ref="IT36:IT37" si="991">$BS36*CT36</f>
        <v>0</v>
      </c>
      <c r="IU36" s="1202">
        <f t="shared" ref="IU36:IU37" si="992">$BS36*CU36</f>
        <v>0</v>
      </c>
      <c r="IV36" s="1202">
        <f t="shared" ref="IV36:IV37" si="993">$BS36*CV36</f>
        <v>0</v>
      </c>
      <c r="IW36" s="1202">
        <f t="shared" ref="IW36:IW37" si="994">$BS36*CW36</f>
        <v>0</v>
      </c>
      <c r="IX36" s="1202">
        <f t="shared" ref="IX36:IX37" si="995">$BS36*CX36</f>
        <v>0</v>
      </c>
      <c r="IY36" s="1202">
        <f t="shared" ref="IY36:IY37" si="996">$BS36*CY36</f>
        <v>0</v>
      </c>
      <c r="IZ36" s="1202">
        <f t="shared" ref="IZ36:IZ37" si="997">$BS36*CZ36</f>
        <v>0</v>
      </c>
      <c r="JA36" s="1202">
        <f t="shared" ref="JA36:JA37" si="998">$BS36*DA36</f>
        <v>0</v>
      </c>
      <c r="JB36" s="1202">
        <f t="shared" ref="JB36:JB37" si="999">$BS36*DB36</f>
        <v>0</v>
      </c>
      <c r="JC36" s="1202">
        <f t="shared" ref="JC36:JC37" si="1000">$BS36*DC36</f>
        <v>0</v>
      </c>
      <c r="JD36" s="1202">
        <f t="shared" ref="JD36:JD37" si="1001">$BS36*DD36</f>
        <v>0</v>
      </c>
      <c r="JE36" s="1202">
        <f t="shared" ref="JE36:JE37" si="1002">$BS36*DE36</f>
        <v>0</v>
      </c>
      <c r="JF36" s="1202">
        <f t="shared" ref="JF36:JF37" si="1003">$BS36*DF36</f>
        <v>0</v>
      </c>
      <c r="JG36" s="1202">
        <f t="shared" ref="JG36:JG37" si="1004">$BS36*DG36</f>
        <v>0</v>
      </c>
      <c r="JH36" s="1202">
        <f t="shared" ref="JH36:JH37" si="1005">$BS36*DH36</f>
        <v>0</v>
      </c>
      <c r="JI36" s="1202">
        <f t="shared" ref="JI36:JI37" si="1006">$BS36*DI36</f>
        <v>0</v>
      </c>
      <c r="JJ36" s="1202"/>
      <c r="JK36" s="1202">
        <f>$BS36*DK36</f>
        <v>0</v>
      </c>
      <c r="JL36" s="1202">
        <f t="shared" ref="JL36:JL37" si="1007">$BS36*DL36</f>
        <v>0</v>
      </c>
      <c r="JM36" s="1202">
        <f t="shared" ref="JM36:JM37" si="1008">$BS36*DM36</f>
        <v>0</v>
      </c>
      <c r="JN36" s="1202">
        <f t="shared" ref="JN36:JN37" si="1009">$BS36*DN36</f>
        <v>0</v>
      </c>
      <c r="JO36" s="1202">
        <f t="shared" ref="JO36:JO37" si="1010">$BS36*DO36</f>
        <v>0</v>
      </c>
      <c r="JP36" s="1202">
        <f t="shared" ref="JP36:JP37" si="1011">$BS36*DP36</f>
        <v>0</v>
      </c>
      <c r="JQ36" s="1202">
        <f t="shared" ref="JQ36:JQ37" si="1012">$BS36*DQ36</f>
        <v>0</v>
      </c>
      <c r="JR36" s="1202">
        <f t="shared" ref="JR36:JR37" si="1013">$BS36*DR36</f>
        <v>0</v>
      </c>
      <c r="JS36" s="1202">
        <f t="shared" ref="JS36:JS37" si="1014">$BS36*DS36</f>
        <v>0</v>
      </c>
      <c r="JT36" s="1202">
        <f t="shared" ref="JT36:JT37" si="1015">$BS36*DT36</f>
        <v>0</v>
      </c>
      <c r="JU36" s="1202">
        <f t="shared" ref="JU36:JU37" si="1016">$BS36*DU36</f>
        <v>0</v>
      </c>
      <c r="JV36" s="1202">
        <f t="shared" ref="JV36:JV37" si="1017">$BS36*DV36</f>
        <v>0</v>
      </c>
      <c r="JW36" s="1202">
        <f t="shared" ref="JW36:JW37" si="1018">$BS36*DW36</f>
        <v>0</v>
      </c>
      <c r="JX36" s="1202">
        <f t="shared" ref="JX36:JX37" si="1019">$BS36*DX36</f>
        <v>0</v>
      </c>
      <c r="JY36" s="1202">
        <f t="shared" ref="JY36:JY37" si="1020">$BS36*DY36</f>
        <v>0</v>
      </c>
      <c r="JZ36" s="1202">
        <f t="shared" ref="JZ36:JZ37" si="1021">$BS36*DZ36</f>
        <v>0</v>
      </c>
      <c r="KA36" s="1202">
        <f t="shared" ref="KA36:KA37" si="1022">$BS36*EA36</f>
        <v>0</v>
      </c>
      <c r="KB36" s="1202">
        <f t="shared" ref="KB36:KB37" si="1023">$BS36*EB36</f>
        <v>0</v>
      </c>
      <c r="KC36" s="1202">
        <f t="shared" ref="KC36:KC37" si="1024">$BS36*EC36</f>
        <v>0</v>
      </c>
      <c r="KD36" s="1202">
        <f t="shared" ref="KD36:KD37" si="1025">$BS36*ED36</f>
        <v>0</v>
      </c>
      <c r="KE36" s="1202">
        <f t="shared" ref="KE36:KE37" si="1026">$BS36*EE36</f>
        <v>0</v>
      </c>
      <c r="KF36" s="1202">
        <f t="shared" ref="KF36:KF37" si="1027">$BS36*EF36</f>
        <v>0</v>
      </c>
      <c r="KG36" s="1202">
        <f t="shared" ref="KG36:KG37" si="1028">$BS36*EG36</f>
        <v>0</v>
      </c>
      <c r="KH36" s="1202">
        <f t="shared" ref="KH36:KH37" si="1029">$BS36*EH36</f>
        <v>0</v>
      </c>
      <c r="KI36" s="1202">
        <f t="shared" ref="KI36:KI37" si="1030">$BS36*EI36</f>
        <v>0</v>
      </c>
      <c r="KJ36" s="1202">
        <f t="shared" ref="KJ36:KJ37" si="1031">$BS36*EJ36</f>
        <v>0</v>
      </c>
      <c r="KK36" s="1202">
        <f t="shared" ref="KK36:KK37" si="1032">$BS36*EK36</f>
        <v>0</v>
      </c>
      <c r="KL36" s="1202">
        <f t="shared" ref="KL36:KL37" si="1033">$BS36*EL36</f>
        <v>0</v>
      </c>
      <c r="KM36" s="1202">
        <f t="shared" ref="KM36:KM37" si="1034">$BS36*EM36</f>
        <v>0</v>
      </c>
      <c r="KN36" s="1202">
        <f t="shared" ref="KN36:KN37" si="1035">$BS36*EN36</f>
        <v>0</v>
      </c>
      <c r="KO36" s="1202">
        <f t="shared" ref="KO36:KO37" si="1036">$BS36*EO36</f>
        <v>0</v>
      </c>
      <c r="KP36" s="1202">
        <f t="shared" ref="KP36:KP37" si="1037">$BS36*EP36</f>
        <v>0</v>
      </c>
      <c r="KQ36" s="1202">
        <f t="shared" ref="KQ36:KQ37" si="1038">$BS36*EQ36</f>
        <v>0</v>
      </c>
      <c r="KR36" s="1202">
        <f t="shared" ref="KR36:KR37" si="1039">$BS36*ER36</f>
        <v>0</v>
      </c>
      <c r="KS36" s="1202">
        <f t="shared" ref="KS36:KS37" si="1040">$BS36*ES36</f>
        <v>0</v>
      </c>
      <c r="KT36" s="1202">
        <f t="shared" ref="KT36:KT37" si="1041">$BS36*ET36</f>
        <v>0</v>
      </c>
      <c r="KU36" s="1202">
        <f t="shared" ref="KU36:KU37" si="1042">$BS36*EU36</f>
        <v>0</v>
      </c>
      <c r="KV36" s="1202">
        <f t="shared" ref="KV36:KV37" si="1043">$BS36*EV36</f>
        <v>0</v>
      </c>
      <c r="KW36" s="1202">
        <f t="shared" ref="KW36:KW37" si="1044">$BS36*EW36</f>
        <v>0</v>
      </c>
      <c r="KX36" s="1202">
        <f t="shared" ref="KX36:KX37" si="1045">$BS36*EX36</f>
        <v>0</v>
      </c>
      <c r="KY36" s="1202">
        <f t="shared" ref="KY36:KY37" si="1046">$BS36*EY36</f>
        <v>0</v>
      </c>
      <c r="KZ36" s="1202">
        <f t="shared" ref="KZ36:KZ37" si="1047">$BS36*EZ36</f>
        <v>0</v>
      </c>
      <c r="LA36" s="1202">
        <f t="shared" ref="LA36:LA37" si="1048">$BS36*FA36</f>
        <v>0</v>
      </c>
      <c r="LB36" s="1202">
        <f t="shared" ref="LB36:LB37" si="1049">$BS36*FB36</f>
        <v>0</v>
      </c>
      <c r="LC36" s="1202">
        <f t="shared" ref="LC36:LC37" si="1050">$BS36*FC36</f>
        <v>0</v>
      </c>
      <c r="LD36" s="1202">
        <f t="shared" ref="LD36:LD37" si="1051">$BS36*FD36</f>
        <v>0</v>
      </c>
      <c r="LE36" s="1202">
        <f t="shared" ref="LE36:LE37" si="1052">$BS36*FE36</f>
        <v>0</v>
      </c>
      <c r="LF36" s="1202">
        <f t="shared" ref="LF36:LF37" si="1053">$BS36*FF36</f>
        <v>0</v>
      </c>
      <c r="LG36" s="1202"/>
    </row>
    <row r="37" spans="2:319" ht="15.6">
      <c r="B37" s="661">
        <v>76</v>
      </c>
      <c r="C37" s="646"/>
      <c r="D37" s="646" t="s">
        <v>1181</v>
      </c>
      <c r="E37" s="647"/>
      <c r="F37" s="653" t="s">
        <v>1182</v>
      </c>
      <c r="G37" s="654" t="s">
        <v>623</v>
      </c>
      <c r="H37" s="660">
        <v>1</v>
      </c>
      <c r="I37" s="656">
        <f>Items!J32</f>
        <v>0</v>
      </c>
      <c r="J37" s="623">
        <f>I37*H37</f>
        <v>0</v>
      </c>
      <c r="K37" s="660">
        <f>+H37/L37/(Items!$N$3*Items!$N$4)</f>
        <v>3.1825034696810477E-3</v>
      </c>
      <c r="L37" s="622">
        <f>N37-M37+1</f>
        <v>2.5</v>
      </c>
      <c r="M37" s="906">
        <v>0.5</v>
      </c>
      <c r="N37" s="907">
        <v>2</v>
      </c>
      <c r="O37" s="854">
        <f>+IF(C37&lt;&gt;"",VLOOKUP(C37,'AUX-NIV1'!B:AO,40,FALSE)*H37,0)</f>
        <v>0</v>
      </c>
      <c r="P37" s="803" t="str">
        <f t="shared" si="562"/>
        <v/>
      </c>
      <c r="Q37" s="804">
        <f t="shared" si="811"/>
        <v>0.25</v>
      </c>
      <c r="R37" s="805">
        <f t="shared" si="811"/>
        <v>0.25</v>
      </c>
      <c r="S37" s="805">
        <f t="shared" si="811"/>
        <v>0.25</v>
      </c>
      <c r="T37" s="805">
        <f t="shared" si="811"/>
        <v>0.25</v>
      </c>
      <c r="U37" s="805">
        <f t="shared" si="811"/>
        <v>0</v>
      </c>
      <c r="V37" s="805">
        <f t="shared" si="811"/>
        <v>0</v>
      </c>
      <c r="W37" s="805">
        <f t="shared" si="811"/>
        <v>0</v>
      </c>
      <c r="X37" s="805">
        <f t="shared" si="811"/>
        <v>0</v>
      </c>
      <c r="Y37" s="805">
        <f t="shared" si="811"/>
        <v>0</v>
      </c>
      <c r="Z37" s="805">
        <f t="shared" si="811"/>
        <v>0</v>
      </c>
      <c r="AA37" s="805">
        <f t="shared" si="811"/>
        <v>0</v>
      </c>
      <c r="AB37" s="805">
        <f t="shared" si="811"/>
        <v>0</v>
      </c>
      <c r="AC37" s="805">
        <f t="shared" si="811"/>
        <v>0</v>
      </c>
      <c r="AD37" s="805">
        <f t="shared" si="811"/>
        <v>0</v>
      </c>
      <c r="AE37" s="805">
        <f t="shared" si="811"/>
        <v>0</v>
      </c>
      <c r="AF37" s="805">
        <f t="shared" si="811"/>
        <v>0</v>
      </c>
      <c r="AG37" s="805">
        <f t="shared" si="812"/>
        <v>0</v>
      </c>
      <c r="AH37" s="805">
        <f t="shared" si="812"/>
        <v>0</v>
      </c>
      <c r="AI37" s="805">
        <f t="shared" si="812"/>
        <v>0</v>
      </c>
      <c r="AJ37" s="805">
        <f t="shared" si="812"/>
        <v>0</v>
      </c>
      <c r="AK37" s="805">
        <f t="shared" si="812"/>
        <v>0</v>
      </c>
      <c r="AL37" s="805">
        <f t="shared" si="812"/>
        <v>0</v>
      </c>
      <c r="AM37" s="805">
        <f t="shared" si="812"/>
        <v>0</v>
      </c>
      <c r="AN37" s="805">
        <f t="shared" si="812"/>
        <v>0</v>
      </c>
      <c r="AO37" s="805">
        <f t="shared" si="812"/>
        <v>0</v>
      </c>
      <c r="AP37" s="805">
        <f t="shared" si="812"/>
        <v>0</v>
      </c>
      <c r="AQ37" s="805">
        <f t="shared" si="812"/>
        <v>0</v>
      </c>
      <c r="AR37" s="805">
        <f t="shared" si="812"/>
        <v>0</v>
      </c>
      <c r="AS37" s="805">
        <f t="shared" si="812"/>
        <v>0</v>
      </c>
      <c r="AT37" s="805">
        <f t="shared" si="812"/>
        <v>0</v>
      </c>
      <c r="AU37" s="805">
        <f t="shared" si="565"/>
        <v>0</v>
      </c>
      <c r="AV37" s="805">
        <f t="shared" si="813"/>
        <v>0</v>
      </c>
      <c r="AW37" s="805">
        <f t="shared" si="816"/>
        <v>0</v>
      </c>
      <c r="AX37" s="805">
        <f t="shared" si="816"/>
        <v>0</v>
      </c>
      <c r="AY37" s="805">
        <f t="shared" si="816"/>
        <v>0</v>
      </c>
      <c r="AZ37" s="805">
        <f t="shared" si="816"/>
        <v>0</v>
      </c>
      <c r="BA37" s="805">
        <f t="shared" si="816"/>
        <v>0</v>
      </c>
      <c r="BB37" s="805">
        <f t="shared" si="816"/>
        <v>0</v>
      </c>
      <c r="BC37" s="805">
        <f t="shared" si="816"/>
        <v>0</v>
      </c>
      <c r="BD37" s="805">
        <f t="shared" si="816"/>
        <v>0</v>
      </c>
      <c r="BE37" s="805">
        <f t="shared" si="816"/>
        <v>0</v>
      </c>
      <c r="BF37" s="805">
        <f t="shared" si="816"/>
        <v>0</v>
      </c>
      <c r="BG37" s="805">
        <f t="shared" si="816"/>
        <v>0</v>
      </c>
      <c r="BH37" s="805">
        <f t="shared" si="816"/>
        <v>0</v>
      </c>
      <c r="BI37" s="805">
        <f t="shared" si="816"/>
        <v>0</v>
      </c>
      <c r="BJ37" s="805">
        <f t="shared" si="816"/>
        <v>0</v>
      </c>
      <c r="BK37" s="805">
        <f t="shared" si="816"/>
        <v>0</v>
      </c>
      <c r="BL37" s="805">
        <f t="shared" si="815"/>
        <v>0</v>
      </c>
      <c r="BM37" s="806"/>
      <c r="BN37" s="785"/>
      <c r="BO37" s="1204"/>
      <c r="BP37" s="1203">
        <f>+SUMIF('AUX-NIV1'!$B:$B,Crono!$C37,'AUX-NIV1'!AQ:AQ)*Crono!$H37</f>
        <v>0</v>
      </c>
      <c r="BQ37" s="1202">
        <f>+SUMIF('AUX-NIV1'!$B:$B,Crono!$C37,'AUX-NIV1'!AR:AR)*Crono!$H37</f>
        <v>0</v>
      </c>
      <c r="BR37" s="1202">
        <f>+SUMIF('AUX-NIV1'!$B:$B,Crono!$C37,'AUX-NIV1'!AS:AS)*Crono!$H37</f>
        <v>0</v>
      </c>
      <c r="BS37" s="1202">
        <f>+SUMIF('AUX-NIV1'!$B:$B,Crono!$C37,'AUX-NIV1'!AT:AT)*Crono!$H37</f>
        <v>0</v>
      </c>
      <c r="BT37" s="1202">
        <f>+SUMIF('AUX-NIV1'!$B:$B,Crono!$C37,'AUX-NIV1'!AU:AU)*Crono!$H37</f>
        <v>0</v>
      </c>
      <c r="BU37" s="1202">
        <f>J37</f>
        <v>0</v>
      </c>
      <c r="BW37" s="1202">
        <f t="shared" si="817"/>
        <v>0</v>
      </c>
      <c r="BX37" s="1202">
        <f t="shared" si="818"/>
        <v>0</v>
      </c>
      <c r="BY37" s="1202">
        <f t="shared" si="819"/>
        <v>0</v>
      </c>
      <c r="BZ37" s="1202">
        <f t="shared" si="820"/>
        <v>0</v>
      </c>
      <c r="CA37" s="1202">
        <f t="shared" si="821"/>
        <v>0</v>
      </c>
      <c r="CB37" s="1202">
        <f t="shared" si="822"/>
        <v>0</v>
      </c>
      <c r="CC37" s="1202">
        <f t="shared" si="823"/>
        <v>0</v>
      </c>
      <c r="CD37" s="1202">
        <f t="shared" si="824"/>
        <v>0</v>
      </c>
      <c r="CE37" s="1202">
        <f t="shared" si="825"/>
        <v>0</v>
      </c>
      <c r="CF37" s="1202">
        <f t="shared" si="826"/>
        <v>0</v>
      </c>
      <c r="CG37" s="1202">
        <f t="shared" si="827"/>
        <v>0</v>
      </c>
      <c r="CH37" s="1202">
        <f t="shared" si="828"/>
        <v>0</v>
      </c>
      <c r="CI37" s="1202">
        <f t="shared" si="829"/>
        <v>0</v>
      </c>
      <c r="CJ37" s="1202">
        <f t="shared" si="830"/>
        <v>0</v>
      </c>
      <c r="CK37" s="1202">
        <f t="shared" si="831"/>
        <v>0</v>
      </c>
      <c r="CL37" s="1202">
        <f t="shared" si="832"/>
        <v>0</v>
      </c>
      <c r="CM37" s="1202">
        <f t="shared" si="833"/>
        <v>0</v>
      </c>
      <c r="CN37" s="1202">
        <f t="shared" si="834"/>
        <v>0</v>
      </c>
      <c r="CO37" s="1202">
        <f t="shared" si="835"/>
        <v>0</v>
      </c>
      <c r="CP37" s="1202">
        <f t="shared" si="836"/>
        <v>0</v>
      </c>
      <c r="CQ37" s="1202">
        <f t="shared" si="837"/>
        <v>0</v>
      </c>
      <c r="CR37" s="1202">
        <f t="shared" si="838"/>
        <v>0</v>
      </c>
      <c r="CS37" s="1202">
        <f t="shared" si="839"/>
        <v>0</v>
      </c>
      <c r="CT37" s="1202">
        <f t="shared" si="840"/>
        <v>0</v>
      </c>
      <c r="CU37" s="1202">
        <f t="shared" si="841"/>
        <v>0</v>
      </c>
      <c r="CV37" s="1202">
        <f t="shared" si="842"/>
        <v>0</v>
      </c>
      <c r="CW37" s="1202">
        <f t="shared" si="843"/>
        <v>0</v>
      </c>
      <c r="CX37" s="1202">
        <f t="shared" si="844"/>
        <v>0</v>
      </c>
      <c r="CY37" s="1202">
        <f t="shared" si="845"/>
        <v>0</v>
      </c>
      <c r="CZ37" s="1202">
        <f t="shared" si="846"/>
        <v>0</v>
      </c>
      <c r="DA37" s="1202">
        <f t="shared" si="847"/>
        <v>0</v>
      </c>
      <c r="DB37" s="1202">
        <f t="shared" si="848"/>
        <v>0</v>
      </c>
      <c r="DC37" s="1202">
        <f t="shared" si="849"/>
        <v>0</v>
      </c>
      <c r="DD37" s="1202">
        <f t="shared" si="850"/>
        <v>0</v>
      </c>
      <c r="DE37" s="1202">
        <f t="shared" si="851"/>
        <v>0</v>
      </c>
      <c r="DF37" s="1202">
        <f t="shared" si="852"/>
        <v>0</v>
      </c>
      <c r="DG37" s="1202">
        <f t="shared" si="853"/>
        <v>0</v>
      </c>
      <c r="DH37" s="1202">
        <f t="shared" si="854"/>
        <v>0</v>
      </c>
      <c r="DI37" s="1202">
        <f t="shared" si="855"/>
        <v>0</v>
      </c>
      <c r="DJ37" s="1202">
        <f t="shared" si="856"/>
        <v>0</v>
      </c>
      <c r="DK37" s="1202">
        <f t="shared" si="857"/>
        <v>0</v>
      </c>
      <c r="DL37" s="1202">
        <f t="shared" si="858"/>
        <v>0</v>
      </c>
      <c r="DM37" s="1202">
        <f t="shared" si="859"/>
        <v>0</v>
      </c>
      <c r="DN37" s="1202">
        <f t="shared" si="860"/>
        <v>0</v>
      </c>
      <c r="DO37" s="1202">
        <f t="shared" si="861"/>
        <v>0</v>
      </c>
      <c r="DP37" s="1202">
        <f t="shared" si="862"/>
        <v>0</v>
      </c>
      <c r="DQ37" s="1202">
        <f t="shared" si="863"/>
        <v>0</v>
      </c>
      <c r="DR37" s="1202">
        <f t="shared" si="864"/>
        <v>0</v>
      </c>
      <c r="DS37" s="1202"/>
      <c r="DT37" s="1202">
        <f t="shared" si="865"/>
        <v>0</v>
      </c>
      <c r="DU37" s="1202">
        <f t="shared" si="866"/>
        <v>0</v>
      </c>
      <c r="DV37" s="1202">
        <f t="shared" si="867"/>
        <v>0</v>
      </c>
      <c r="DW37" s="1202">
        <f t="shared" si="868"/>
        <v>0</v>
      </c>
      <c r="DX37" s="1202">
        <f t="shared" si="869"/>
        <v>0</v>
      </c>
      <c r="DY37" s="1202">
        <f t="shared" si="870"/>
        <v>0</v>
      </c>
      <c r="DZ37" s="1202">
        <f t="shared" si="871"/>
        <v>0</v>
      </c>
      <c r="EA37" s="1202">
        <f t="shared" si="872"/>
        <v>0</v>
      </c>
      <c r="EB37" s="1202">
        <f t="shared" si="873"/>
        <v>0</v>
      </c>
      <c r="EC37" s="1202">
        <f t="shared" si="874"/>
        <v>0</v>
      </c>
      <c r="ED37" s="1202">
        <f t="shared" si="875"/>
        <v>0</v>
      </c>
      <c r="EE37" s="1202">
        <f t="shared" si="876"/>
        <v>0</v>
      </c>
      <c r="EF37" s="1202">
        <f t="shared" si="877"/>
        <v>0</v>
      </c>
      <c r="EG37" s="1202">
        <f t="shared" si="878"/>
        <v>0</v>
      </c>
      <c r="EH37" s="1202">
        <f t="shared" si="879"/>
        <v>0</v>
      </c>
      <c r="EI37" s="1202">
        <f t="shared" si="880"/>
        <v>0</v>
      </c>
      <c r="EJ37" s="1202">
        <f t="shared" si="881"/>
        <v>0</v>
      </c>
      <c r="EK37" s="1202">
        <f t="shared" si="882"/>
        <v>0</v>
      </c>
      <c r="EL37" s="1202">
        <f t="shared" si="883"/>
        <v>0</v>
      </c>
      <c r="EM37" s="1202">
        <f t="shared" si="884"/>
        <v>0</v>
      </c>
      <c r="EN37" s="1202">
        <f t="shared" si="885"/>
        <v>0</v>
      </c>
      <c r="EO37" s="1202">
        <f t="shared" si="886"/>
        <v>0</v>
      </c>
      <c r="EP37" s="1202">
        <f t="shared" si="887"/>
        <v>0</v>
      </c>
      <c r="EQ37" s="1202">
        <f t="shared" si="888"/>
        <v>0</v>
      </c>
      <c r="ER37" s="1202">
        <f t="shared" si="889"/>
        <v>0</v>
      </c>
      <c r="ES37" s="1202">
        <f t="shared" si="890"/>
        <v>0</v>
      </c>
      <c r="ET37" s="1202">
        <f t="shared" si="891"/>
        <v>0</v>
      </c>
      <c r="EU37" s="1202">
        <f t="shared" si="892"/>
        <v>0</v>
      </c>
      <c r="EV37" s="1202">
        <f t="shared" si="893"/>
        <v>0</v>
      </c>
      <c r="EW37" s="1202">
        <f t="shared" si="894"/>
        <v>0</v>
      </c>
      <c r="EX37" s="1202">
        <f t="shared" si="895"/>
        <v>0</v>
      </c>
      <c r="EY37" s="1202">
        <f t="shared" si="896"/>
        <v>0</v>
      </c>
      <c r="EZ37" s="1202">
        <f t="shared" si="897"/>
        <v>0</v>
      </c>
      <c r="FA37" s="1202">
        <f t="shared" si="898"/>
        <v>0</v>
      </c>
      <c r="FB37" s="1202">
        <f t="shared" si="899"/>
        <v>0</v>
      </c>
      <c r="FC37" s="1202">
        <f t="shared" si="900"/>
        <v>0</v>
      </c>
      <c r="FD37" s="1202">
        <f t="shared" si="901"/>
        <v>0</v>
      </c>
      <c r="FE37" s="1202">
        <f t="shared" si="902"/>
        <v>0</v>
      </c>
      <c r="FF37" s="1202">
        <f t="shared" si="903"/>
        <v>0</v>
      </c>
      <c r="FG37" s="1202">
        <f t="shared" si="904"/>
        <v>0</v>
      </c>
      <c r="FH37" s="1202">
        <f t="shared" si="905"/>
        <v>0</v>
      </c>
      <c r="FI37" s="1202">
        <f t="shared" si="906"/>
        <v>0</v>
      </c>
      <c r="FJ37" s="1202">
        <f t="shared" si="907"/>
        <v>0</v>
      </c>
      <c r="FK37" s="1202">
        <f t="shared" si="908"/>
        <v>0</v>
      </c>
      <c r="FL37" s="1202">
        <f t="shared" si="909"/>
        <v>0</v>
      </c>
      <c r="FM37" s="1202">
        <f t="shared" si="910"/>
        <v>0</v>
      </c>
      <c r="FN37" s="1202">
        <f t="shared" si="911"/>
        <v>0</v>
      </c>
      <c r="FO37" s="1202">
        <f t="shared" si="912"/>
        <v>0</v>
      </c>
      <c r="FP37" s="1202"/>
      <c r="FQ37" s="1202">
        <f>$BR37*Q37</f>
        <v>0</v>
      </c>
      <c r="FR37" s="1202">
        <f t="shared" si="913"/>
        <v>0</v>
      </c>
      <c r="FS37" s="1202">
        <f t="shared" si="914"/>
        <v>0</v>
      </c>
      <c r="FT37" s="1202">
        <f t="shared" si="915"/>
        <v>0</v>
      </c>
      <c r="FU37" s="1202">
        <f t="shared" si="916"/>
        <v>0</v>
      </c>
      <c r="FV37" s="1202">
        <f t="shared" si="917"/>
        <v>0</v>
      </c>
      <c r="FW37" s="1202">
        <f t="shared" si="918"/>
        <v>0</v>
      </c>
      <c r="FX37" s="1202">
        <f t="shared" si="919"/>
        <v>0</v>
      </c>
      <c r="FY37" s="1202">
        <f t="shared" si="920"/>
        <v>0</v>
      </c>
      <c r="FZ37" s="1202">
        <f t="shared" si="921"/>
        <v>0</v>
      </c>
      <c r="GA37" s="1202">
        <f t="shared" si="922"/>
        <v>0</v>
      </c>
      <c r="GB37" s="1202">
        <f t="shared" si="923"/>
        <v>0</v>
      </c>
      <c r="GC37" s="1202">
        <f t="shared" si="924"/>
        <v>0</v>
      </c>
      <c r="GD37" s="1202">
        <f t="shared" si="925"/>
        <v>0</v>
      </c>
      <c r="GE37" s="1202">
        <f t="shared" si="926"/>
        <v>0</v>
      </c>
      <c r="GF37" s="1202">
        <f t="shared" si="927"/>
        <v>0</v>
      </c>
      <c r="GG37" s="1202">
        <f t="shared" si="928"/>
        <v>0</v>
      </c>
      <c r="GH37" s="1202">
        <f t="shared" si="929"/>
        <v>0</v>
      </c>
      <c r="GI37" s="1202">
        <f t="shared" si="930"/>
        <v>0</v>
      </c>
      <c r="GJ37" s="1202">
        <f t="shared" si="931"/>
        <v>0</v>
      </c>
      <c r="GK37" s="1202">
        <f t="shared" si="932"/>
        <v>0</v>
      </c>
      <c r="GL37" s="1202">
        <f t="shared" si="933"/>
        <v>0</v>
      </c>
      <c r="GM37" s="1202">
        <f t="shared" si="934"/>
        <v>0</v>
      </c>
      <c r="GN37" s="1202">
        <f t="shared" si="935"/>
        <v>0</v>
      </c>
      <c r="GO37" s="1202">
        <f t="shared" si="936"/>
        <v>0</v>
      </c>
      <c r="GP37" s="1202">
        <f t="shared" si="937"/>
        <v>0</v>
      </c>
      <c r="GQ37" s="1202">
        <f t="shared" si="938"/>
        <v>0</v>
      </c>
      <c r="GR37" s="1202">
        <f t="shared" si="939"/>
        <v>0</v>
      </c>
      <c r="GS37" s="1202">
        <f t="shared" si="940"/>
        <v>0</v>
      </c>
      <c r="GT37" s="1202">
        <f t="shared" si="941"/>
        <v>0</v>
      </c>
      <c r="GU37" s="1202">
        <f t="shared" si="942"/>
        <v>0</v>
      </c>
      <c r="GV37" s="1202">
        <f t="shared" si="943"/>
        <v>0</v>
      </c>
      <c r="GW37" s="1202">
        <f t="shared" si="944"/>
        <v>0</v>
      </c>
      <c r="GX37" s="1202">
        <f t="shared" si="945"/>
        <v>0</v>
      </c>
      <c r="GY37" s="1202">
        <f t="shared" si="946"/>
        <v>0</v>
      </c>
      <c r="GZ37" s="1202">
        <f t="shared" si="947"/>
        <v>0</v>
      </c>
      <c r="HA37" s="1202">
        <f t="shared" si="948"/>
        <v>0</v>
      </c>
      <c r="HB37" s="1202">
        <f t="shared" si="949"/>
        <v>0</v>
      </c>
      <c r="HC37" s="1202">
        <f t="shared" si="950"/>
        <v>0</v>
      </c>
      <c r="HD37" s="1202">
        <f t="shared" si="951"/>
        <v>0</v>
      </c>
      <c r="HE37" s="1202">
        <f t="shared" si="952"/>
        <v>0</v>
      </c>
      <c r="HF37" s="1202">
        <f t="shared" si="953"/>
        <v>0</v>
      </c>
      <c r="HG37" s="1202">
        <f t="shared" si="954"/>
        <v>0</v>
      </c>
      <c r="HH37" s="1202">
        <f t="shared" si="955"/>
        <v>0</v>
      </c>
      <c r="HI37" s="1202">
        <f t="shared" si="956"/>
        <v>0</v>
      </c>
      <c r="HJ37" s="1202">
        <f t="shared" si="957"/>
        <v>0</v>
      </c>
      <c r="HK37" s="1202">
        <f t="shared" si="958"/>
        <v>0</v>
      </c>
      <c r="HL37" s="1202">
        <f t="shared" si="959"/>
        <v>0</v>
      </c>
      <c r="HM37" s="1202"/>
      <c r="HN37" s="1202">
        <f>$BS37*BN37</f>
        <v>0</v>
      </c>
      <c r="HO37" s="1202">
        <f t="shared" si="960"/>
        <v>0</v>
      </c>
      <c r="HP37" s="1202">
        <f t="shared" si="961"/>
        <v>0</v>
      </c>
      <c r="HQ37" s="1202">
        <f t="shared" si="962"/>
        <v>0</v>
      </c>
      <c r="HR37" s="1202">
        <f t="shared" si="963"/>
        <v>0</v>
      </c>
      <c r="HS37" s="1202">
        <f t="shared" si="964"/>
        <v>0</v>
      </c>
      <c r="HT37" s="1202">
        <f t="shared" si="965"/>
        <v>0</v>
      </c>
      <c r="HU37" s="1202">
        <f t="shared" si="966"/>
        <v>0</v>
      </c>
      <c r="HV37" s="1202">
        <f t="shared" si="967"/>
        <v>0</v>
      </c>
      <c r="HW37" s="1202">
        <f t="shared" si="968"/>
        <v>0</v>
      </c>
      <c r="HX37" s="1202">
        <f t="shared" si="969"/>
        <v>0</v>
      </c>
      <c r="HY37" s="1202">
        <f t="shared" si="970"/>
        <v>0</v>
      </c>
      <c r="HZ37" s="1202">
        <f t="shared" si="971"/>
        <v>0</v>
      </c>
      <c r="IA37" s="1202">
        <f t="shared" si="972"/>
        <v>0</v>
      </c>
      <c r="IB37" s="1202">
        <f t="shared" si="973"/>
        <v>0</v>
      </c>
      <c r="IC37" s="1202">
        <f t="shared" si="974"/>
        <v>0</v>
      </c>
      <c r="ID37" s="1202">
        <f t="shared" si="975"/>
        <v>0</v>
      </c>
      <c r="IE37" s="1202">
        <f t="shared" si="976"/>
        <v>0</v>
      </c>
      <c r="IF37" s="1202">
        <f t="shared" si="977"/>
        <v>0</v>
      </c>
      <c r="IG37" s="1202">
        <f t="shared" si="978"/>
        <v>0</v>
      </c>
      <c r="IH37" s="1202">
        <f t="shared" si="979"/>
        <v>0</v>
      </c>
      <c r="II37" s="1202">
        <f t="shared" si="980"/>
        <v>0</v>
      </c>
      <c r="IJ37" s="1202">
        <f t="shared" si="981"/>
        <v>0</v>
      </c>
      <c r="IK37" s="1202">
        <f t="shared" si="982"/>
        <v>0</v>
      </c>
      <c r="IL37" s="1202">
        <f t="shared" si="983"/>
        <v>0</v>
      </c>
      <c r="IM37" s="1202">
        <f t="shared" si="984"/>
        <v>0</v>
      </c>
      <c r="IN37" s="1202">
        <f t="shared" si="985"/>
        <v>0</v>
      </c>
      <c r="IO37" s="1202">
        <f t="shared" si="986"/>
        <v>0</v>
      </c>
      <c r="IP37" s="1202">
        <f t="shared" si="987"/>
        <v>0</v>
      </c>
      <c r="IQ37" s="1202">
        <f t="shared" si="988"/>
        <v>0</v>
      </c>
      <c r="IR37" s="1202">
        <f t="shared" si="989"/>
        <v>0</v>
      </c>
      <c r="IS37" s="1202">
        <f t="shared" si="990"/>
        <v>0</v>
      </c>
      <c r="IT37" s="1202">
        <f t="shared" si="991"/>
        <v>0</v>
      </c>
      <c r="IU37" s="1202">
        <f t="shared" si="992"/>
        <v>0</v>
      </c>
      <c r="IV37" s="1202">
        <f t="shared" si="993"/>
        <v>0</v>
      </c>
      <c r="IW37" s="1202">
        <f t="shared" si="994"/>
        <v>0</v>
      </c>
      <c r="IX37" s="1202">
        <f t="shared" si="995"/>
        <v>0</v>
      </c>
      <c r="IY37" s="1202">
        <f t="shared" si="996"/>
        <v>0</v>
      </c>
      <c r="IZ37" s="1202">
        <f t="shared" si="997"/>
        <v>0</v>
      </c>
      <c r="JA37" s="1202">
        <f t="shared" si="998"/>
        <v>0</v>
      </c>
      <c r="JB37" s="1202">
        <f t="shared" si="999"/>
        <v>0</v>
      </c>
      <c r="JC37" s="1202">
        <f t="shared" si="1000"/>
        <v>0</v>
      </c>
      <c r="JD37" s="1202">
        <f t="shared" si="1001"/>
        <v>0</v>
      </c>
      <c r="JE37" s="1202">
        <f t="shared" si="1002"/>
        <v>0</v>
      </c>
      <c r="JF37" s="1202">
        <f t="shared" si="1003"/>
        <v>0</v>
      </c>
      <c r="JG37" s="1202">
        <f t="shared" si="1004"/>
        <v>0</v>
      </c>
      <c r="JH37" s="1202">
        <f t="shared" si="1005"/>
        <v>0</v>
      </c>
      <c r="JI37" s="1202">
        <f t="shared" si="1006"/>
        <v>0</v>
      </c>
      <c r="JJ37" s="1202"/>
      <c r="JK37" s="1202">
        <f>$BS37*DK37</f>
        <v>0</v>
      </c>
      <c r="JL37" s="1202">
        <f t="shared" si="1007"/>
        <v>0</v>
      </c>
      <c r="JM37" s="1202">
        <f t="shared" si="1008"/>
        <v>0</v>
      </c>
      <c r="JN37" s="1202">
        <f t="shared" si="1009"/>
        <v>0</v>
      </c>
      <c r="JO37" s="1202">
        <f t="shared" si="1010"/>
        <v>0</v>
      </c>
      <c r="JP37" s="1202">
        <f t="shared" si="1011"/>
        <v>0</v>
      </c>
      <c r="JQ37" s="1202">
        <f t="shared" si="1012"/>
        <v>0</v>
      </c>
      <c r="JR37" s="1202">
        <f t="shared" si="1013"/>
        <v>0</v>
      </c>
      <c r="JS37" s="1202">
        <f t="shared" si="1014"/>
        <v>0</v>
      </c>
      <c r="JT37" s="1202">
        <f t="shared" si="1015"/>
        <v>0</v>
      </c>
      <c r="JU37" s="1202">
        <f t="shared" si="1016"/>
        <v>0</v>
      </c>
      <c r="JV37" s="1202">
        <f t="shared" si="1017"/>
        <v>0</v>
      </c>
      <c r="JW37" s="1202">
        <f t="shared" si="1018"/>
        <v>0</v>
      </c>
      <c r="JX37" s="1202">
        <f t="shared" si="1019"/>
        <v>0</v>
      </c>
      <c r="JY37" s="1202">
        <f t="shared" si="1020"/>
        <v>0</v>
      </c>
      <c r="JZ37" s="1202">
        <f t="shared" si="1021"/>
        <v>0</v>
      </c>
      <c r="KA37" s="1202">
        <f t="shared" si="1022"/>
        <v>0</v>
      </c>
      <c r="KB37" s="1202">
        <f t="shared" si="1023"/>
        <v>0</v>
      </c>
      <c r="KC37" s="1202">
        <f t="shared" si="1024"/>
        <v>0</v>
      </c>
      <c r="KD37" s="1202">
        <f t="shared" si="1025"/>
        <v>0</v>
      </c>
      <c r="KE37" s="1202">
        <f t="shared" si="1026"/>
        <v>0</v>
      </c>
      <c r="KF37" s="1202">
        <f t="shared" si="1027"/>
        <v>0</v>
      </c>
      <c r="KG37" s="1202">
        <f t="shared" si="1028"/>
        <v>0</v>
      </c>
      <c r="KH37" s="1202">
        <f t="shared" si="1029"/>
        <v>0</v>
      </c>
      <c r="KI37" s="1202">
        <f t="shared" si="1030"/>
        <v>0</v>
      </c>
      <c r="KJ37" s="1202">
        <f t="shared" si="1031"/>
        <v>0</v>
      </c>
      <c r="KK37" s="1202">
        <f t="shared" si="1032"/>
        <v>0</v>
      </c>
      <c r="KL37" s="1202">
        <f t="shared" si="1033"/>
        <v>0</v>
      </c>
      <c r="KM37" s="1202">
        <f t="shared" si="1034"/>
        <v>0</v>
      </c>
      <c r="KN37" s="1202">
        <f t="shared" si="1035"/>
        <v>0</v>
      </c>
      <c r="KO37" s="1202">
        <f t="shared" si="1036"/>
        <v>0</v>
      </c>
      <c r="KP37" s="1202">
        <f t="shared" si="1037"/>
        <v>0</v>
      </c>
      <c r="KQ37" s="1202">
        <f t="shared" si="1038"/>
        <v>0</v>
      </c>
      <c r="KR37" s="1202">
        <f t="shared" si="1039"/>
        <v>0</v>
      </c>
      <c r="KS37" s="1202">
        <f t="shared" si="1040"/>
        <v>0</v>
      </c>
      <c r="KT37" s="1202">
        <f t="shared" si="1041"/>
        <v>0</v>
      </c>
      <c r="KU37" s="1202">
        <f t="shared" si="1042"/>
        <v>0</v>
      </c>
      <c r="KV37" s="1202">
        <f t="shared" si="1043"/>
        <v>0</v>
      </c>
      <c r="KW37" s="1202">
        <f t="shared" si="1044"/>
        <v>0</v>
      </c>
      <c r="KX37" s="1202">
        <f t="shared" si="1045"/>
        <v>0</v>
      </c>
      <c r="KY37" s="1202">
        <f t="shared" si="1046"/>
        <v>0</v>
      </c>
      <c r="KZ37" s="1202">
        <f t="shared" si="1047"/>
        <v>0</v>
      </c>
      <c r="LA37" s="1202">
        <f t="shared" si="1048"/>
        <v>0</v>
      </c>
      <c r="LB37" s="1202">
        <f t="shared" si="1049"/>
        <v>0</v>
      </c>
      <c r="LC37" s="1202">
        <f t="shared" si="1050"/>
        <v>0</v>
      </c>
      <c r="LD37" s="1202">
        <f t="shared" si="1051"/>
        <v>0</v>
      </c>
      <c r="LE37" s="1202">
        <f t="shared" si="1052"/>
        <v>0</v>
      </c>
      <c r="LF37" s="1202">
        <f t="shared" si="1053"/>
        <v>0</v>
      </c>
      <c r="LG37" s="1202"/>
    </row>
    <row r="38" spans="2:319" ht="15.6">
      <c r="B38" s="661"/>
      <c r="C38" s="646"/>
      <c r="D38" s="646"/>
      <c r="E38" s="647"/>
      <c r="F38" s="653"/>
      <c r="G38" s="654"/>
      <c r="H38" s="655"/>
      <c r="I38" s="656"/>
      <c r="J38" s="848"/>
      <c r="K38" s="847"/>
      <c r="L38" s="656"/>
      <c r="M38" s="906"/>
      <c r="N38" s="907"/>
      <c r="O38" s="854">
        <f>+IF(C38&lt;&gt;"",VLOOKUP(C38,'AUX-NIV1'!B:AO,40,FALSE)*H38,0)</f>
        <v>0</v>
      </c>
      <c r="P38" s="803" t="str">
        <f t="shared" si="562"/>
        <v/>
      </c>
      <c r="Q38" s="804">
        <f t="shared" si="811"/>
        <v>0</v>
      </c>
      <c r="R38" s="805">
        <f t="shared" si="811"/>
        <v>0</v>
      </c>
      <c r="S38" s="805">
        <f t="shared" si="811"/>
        <v>0</v>
      </c>
      <c r="T38" s="805">
        <f t="shared" si="811"/>
        <v>0</v>
      </c>
      <c r="U38" s="805">
        <f t="shared" si="811"/>
        <v>0</v>
      </c>
      <c r="V38" s="805">
        <f t="shared" si="811"/>
        <v>0</v>
      </c>
      <c r="W38" s="805">
        <f t="shared" si="811"/>
        <v>0</v>
      </c>
      <c r="X38" s="805">
        <f t="shared" si="811"/>
        <v>0</v>
      </c>
      <c r="Y38" s="805">
        <f t="shared" si="811"/>
        <v>0</v>
      </c>
      <c r="Z38" s="805">
        <f t="shared" si="811"/>
        <v>0</v>
      </c>
      <c r="AA38" s="805">
        <f t="shared" si="811"/>
        <v>0</v>
      </c>
      <c r="AB38" s="805">
        <f t="shared" si="811"/>
        <v>0</v>
      </c>
      <c r="AC38" s="805">
        <f t="shared" si="811"/>
        <v>0</v>
      </c>
      <c r="AD38" s="805">
        <f t="shared" si="811"/>
        <v>0</v>
      </c>
      <c r="AE38" s="805">
        <f t="shared" si="811"/>
        <v>0</v>
      </c>
      <c r="AF38" s="805">
        <f t="shared" si="811"/>
        <v>0</v>
      </c>
      <c r="AG38" s="805">
        <f t="shared" si="812"/>
        <v>0</v>
      </c>
      <c r="AH38" s="805">
        <f t="shared" si="812"/>
        <v>0</v>
      </c>
      <c r="AI38" s="805">
        <f t="shared" si="812"/>
        <v>0</v>
      </c>
      <c r="AJ38" s="805">
        <f t="shared" si="812"/>
        <v>0</v>
      </c>
      <c r="AK38" s="805">
        <f t="shared" si="812"/>
        <v>0</v>
      </c>
      <c r="AL38" s="805">
        <f t="shared" si="812"/>
        <v>0</v>
      </c>
      <c r="AM38" s="805">
        <f t="shared" si="812"/>
        <v>0</v>
      </c>
      <c r="AN38" s="805">
        <f t="shared" si="812"/>
        <v>0</v>
      </c>
      <c r="AO38" s="805">
        <f t="shared" si="812"/>
        <v>0</v>
      </c>
      <c r="AP38" s="805">
        <f t="shared" si="812"/>
        <v>0</v>
      </c>
      <c r="AQ38" s="805">
        <f t="shared" si="812"/>
        <v>0</v>
      </c>
      <c r="AR38" s="805">
        <f t="shared" si="812"/>
        <v>0</v>
      </c>
      <c r="AS38" s="805">
        <f t="shared" si="812"/>
        <v>0</v>
      </c>
      <c r="AT38" s="805">
        <f t="shared" si="812"/>
        <v>0</v>
      </c>
      <c r="AU38" s="805">
        <f t="shared" si="565"/>
        <v>0</v>
      </c>
      <c r="AV38" s="805">
        <f t="shared" si="813"/>
        <v>0</v>
      </c>
      <c r="AW38" s="805">
        <f t="shared" si="816"/>
        <v>0</v>
      </c>
      <c r="AX38" s="805">
        <f t="shared" si="816"/>
        <v>0</v>
      </c>
      <c r="AY38" s="805">
        <f t="shared" si="816"/>
        <v>0</v>
      </c>
      <c r="AZ38" s="805">
        <f t="shared" si="816"/>
        <v>0</v>
      </c>
      <c r="BA38" s="805">
        <f t="shared" si="816"/>
        <v>0</v>
      </c>
      <c r="BB38" s="805">
        <f t="shared" si="816"/>
        <v>0</v>
      </c>
      <c r="BC38" s="805">
        <f t="shared" si="816"/>
        <v>0</v>
      </c>
      <c r="BD38" s="805">
        <f t="shared" si="816"/>
        <v>0</v>
      </c>
      <c r="BE38" s="805">
        <f t="shared" si="816"/>
        <v>0</v>
      </c>
      <c r="BF38" s="805">
        <f t="shared" si="816"/>
        <v>0</v>
      </c>
      <c r="BG38" s="805">
        <f t="shared" si="816"/>
        <v>0</v>
      </c>
      <c r="BH38" s="805">
        <f t="shared" si="816"/>
        <v>0</v>
      </c>
      <c r="BI38" s="805">
        <f t="shared" si="816"/>
        <v>0</v>
      </c>
      <c r="BJ38" s="805">
        <f t="shared" si="816"/>
        <v>0</v>
      </c>
      <c r="BK38" s="805">
        <f t="shared" si="816"/>
        <v>0</v>
      </c>
      <c r="BL38" s="805">
        <f t="shared" si="815"/>
        <v>0</v>
      </c>
      <c r="BM38" s="806"/>
      <c r="BN38" s="785"/>
      <c r="BO38" s="1204"/>
      <c r="BP38" s="1203">
        <f>+SUMIF('AUX-NIV1'!$B:$B,Crono!$C38,'AUX-NIV1'!AQ:AQ)*Crono!$H38</f>
        <v>0</v>
      </c>
      <c r="BQ38" s="1202">
        <f>+SUMIF('AUX-NIV1'!$B:$B,Crono!$C38,'AUX-NIV1'!AR:AR)*Crono!$H38</f>
        <v>0</v>
      </c>
      <c r="BR38" s="1202">
        <f>+SUMIF('AUX-NIV1'!$B:$B,Crono!$C38,'AUX-NIV1'!AS:AS)*Crono!$H38</f>
        <v>0</v>
      </c>
      <c r="BS38" s="1202">
        <f>+SUMIF('AUX-NIV1'!$B:$B,Crono!$C38,'AUX-NIV1'!AT:AT)*Crono!$H38</f>
        <v>0</v>
      </c>
      <c r="BT38" s="1202">
        <f>+SUMIF('AUX-NIV1'!$B:$B,Crono!$C38,'AUX-NIV1'!AU:AU)*Crono!$H38</f>
        <v>0</v>
      </c>
      <c r="BU38" s="1202"/>
    </row>
    <row r="39" spans="2:319" ht="17.399999999999999">
      <c r="B39" s="662" t="s">
        <v>1326</v>
      </c>
      <c r="C39" s="635"/>
      <c r="D39" s="635"/>
      <c r="E39" s="636"/>
      <c r="F39" s="637" t="s">
        <v>1183</v>
      </c>
      <c r="G39" s="638"/>
      <c r="H39" s="639"/>
      <c r="I39" s="640"/>
      <c r="J39" s="641">
        <f>+SUBTOTAL(9,J36:J38)</f>
        <v>0</v>
      </c>
      <c r="K39" s="639"/>
      <c r="L39" s="640"/>
      <c r="M39" s="833"/>
      <c r="N39" s="834"/>
      <c r="O39" s="826">
        <f>+IF(C39&lt;&gt;"",VLOOKUP(C39,'AUX-NIV1'!B:AO,40,FALSE)*H39,0)</f>
        <v>0</v>
      </c>
      <c r="P39" s="803" t="str">
        <f t="shared" si="562"/>
        <v/>
      </c>
      <c r="Q39" s="1206">
        <f t="shared" si="811"/>
        <v>0</v>
      </c>
      <c r="R39" s="1207">
        <f t="shared" si="811"/>
        <v>0</v>
      </c>
      <c r="S39" s="1207">
        <f t="shared" si="811"/>
        <v>0</v>
      </c>
      <c r="T39" s="1207">
        <f t="shared" si="811"/>
        <v>0</v>
      </c>
      <c r="U39" s="1207">
        <f t="shared" si="811"/>
        <v>0</v>
      </c>
      <c r="V39" s="1207">
        <f t="shared" si="811"/>
        <v>0</v>
      </c>
      <c r="W39" s="1207">
        <f t="shared" si="811"/>
        <v>0</v>
      </c>
      <c r="X39" s="1207">
        <f t="shared" si="811"/>
        <v>0</v>
      </c>
      <c r="Y39" s="1207">
        <f t="shared" si="811"/>
        <v>0</v>
      </c>
      <c r="Z39" s="1207">
        <f t="shared" si="811"/>
        <v>0</v>
      </c>
      <c r="AA39" s="1207">
        <f t="shared" si="811"/>
        <v>0</v>
      </c>
      <c r="AB39" s="1207">
        <f t="shared" si="811"/>
        <v>0</v>
      </c>
      <c r="AC39" s="1207">
        <f t="shared" si="811"/>
        <v>0</v>
      </c>
      <c r="AD39" s="1207">
        <f t="shared" si="811"/>
        <v>0</v>
      </c>
      <c r="AE39" s="1207">
        <f t="shared" si="811"/>
        <v>0</v>
      </c>
      <c r="AF39" s="1207">
        <f t="shared" si="811"/>
        <v>0</v>
      </c>
      <c r="AG39" s="1207">
        <f t="shared" si="812"/>
        <v>0</v>
      </c>
      <c r="AH39" s="1207">
        <f t="shared" si="812"/>
        <v>0</v>
      </c>
      <c r="AI39" s="1207">
        <f t="shared" si="812"/>
        <v>0</v>
      </c>
      <c r="AJ39" s="1207">
        <f t="shared" si="812"/>
        <v>0</v>
      </c>
      <c r="AK39" s="1207">
        <f t="shared" si="812"/>
        <v>0</v>
      </c>
      <c r="AL39" s="1207">
        <f t="shared" si="812"/>
        <v>0</v>
      </c>
      <c r="AM39" s="1207">
        <f t="shared" si="812"/>
        <v>0</v>
      </c>
      <c r="AN39" s="1207">
        <f t="shared" si="812"/>
        <v>0</v>
      </c>
      <c r="AO39" s="1207">
        <f t="shared" si="812"/>
        <v>0</v>
      </c>
      <c r="AP39" s="1207">
        <f t="shared" si="812"/>
        <v>0</v>
      </c>
      <c r="AQ39" s="1207">
        <f t="shared" si="812"/>
        <v>0</v>
      </c>
      <c r="AR39" s="1207">
        <f t="shared" si="812"/>
        <v>0</v>
      </c>
      <c r="AS39" s="1207">
        <f t="shared" si="812"/>
        <v>0</v>
      </c>
      <c r="AT39" s="1207">
        <f t="shared" si="812"/>
        <v>0</v>
      </c>
      <c r="AU39" s="1207">
        <f t="shared" si="565"/>
        <v>0</v>
      </c>
      <c r="AV39" s="1207">
        <f t="shared" si="813"/>
        <v>0</v>
      </c>
      <c r="AW39" s="1207">
        <f t="shared" si="816"/>
        <v>0</v>
      </c>
      <c r="AX39" s="1207">
        <f t="shared" si="816"/>
        <v>0</v>
      </c>
      <c r="AY39" s="1207">
        <f t="shared" si="816"/>
        <v>0</v>
      </c>
      <c r="AZ39" s="1207">
        <f t="shared" si="816"/>
        <v>0</v>
      </c>
      <c r="BA39" s="1207">
        <f t="shared" si="816"/>
        <v>0</v>
      </c>
      <c r="BB39" s="1207">
        <f t="shared" si="816"/>
        <v>0</v>
      </c>
      <c r="BC39" s="1207">
        <f t="shared" si="816"/>
        <v>0</v>
      </c>
      <c r="BD39" s="1207">
        <f t="shared" si="816"/>
        <v>0</v>
      </c>
      <c r="BE39" s="1207">
        <f t="shared" si="816"/>
        <v>0</v>
      </c>
      <c r="BF39" s="1207">
        <f t="shared" si="816"/>
        <v>0</v>
      </c>
      <c r="BG39" s="1207">
        <f t="shared" si="816"/>
        <v>0</v>
      </c>
      <c r="BH39" s="1207">
        <f t="shared" si="816"/>
        <v>0</v>
      </c>
      <c r="BI39" s="1207">
        <f t="shared" si="816"/>
        <v>0</v>
      </c>
      <c r="BJ39" s="1207">
        <f t="shared" si="816"/>
        <v>0</v>
      </c>
      <c r="BK39" s="1207">
        <f t="shared" si="816"/>
        <v>0</v>
      </c>
      <c r="BL39" s="1207">
        <f t="shared" si="815"/>
        <v>0</v>
      </c>
      <c r="BM39" s="806"/>
      <c r="BN39" s="785"/>
      <c r="BO39" s="1212"/>
      <c r="BP39" s="1213"/>
      <c r="BQ39" s="1213"/>
      <c r="BR39" s="1213"/>
      <c r="BS39" s="1213"/>
      <c r="BT39" s="1213"/>
      <c r="BU39" s="1213">
        <f>SUM(BU35:BU38)</f>
        <v>0</v>
      </c>
    </row>
    <row r="40" spans="2:319" ht="15.6">
      <c r="B40" s="661"/>
      <c r="C40" s="646"/>
      <c r="D40" s="646"/>
      <c r="E40" s="647"/>
      <c r="F40" s="653"/>
      <c r="G40" s="654"/>
      <c r="H40" s="655"/>
      <c r="I40" s="656"/>
      <c r="J40" s="657"/>
      <c r="K40" s="655"/>
      <c r="L40" s="656"/>
      <c r="M40" s="835"/>
      <c r="N40" s="836"/>
      <c r="O40" s="829">
        <f>+IF(C40&lt;&gt;"",VLOOKUP(C40,'AUX-NIV1'!B:AO,40,FALSE)*H40,0)</f>
        <v>0</v>
      </c>
      <c r="P40" s="803" t="str">
        <f t="shared" si="562"/>
        <v/>
      </c>
      <c r="Q40" s="804">
        <f t="shared" si="811"/>
        <v>0</v>
      </c>
      <c r="R40" s="805">
        <f t="shared" si="811"/>
        <v>0</v>
      </c>
      <c r="S40" s="805">
        <f t="shared" si="811"/>
        <v>0</v>
      </c>
      <c r="T40" s="805">
        <f t="shared" si="811"/>
        <v>0</v>
      </c>
      <c r="U40" s="805">
        <f t="shared" si="811"/>
        <v>0</v>
      </c>
      <c r="V40" s="805">
        <f t="shared" si="811"/>
        <v>0</v>
      </c>
      <c r="W40" s="805">
        <f t="shared" si="811"/>
        <v>0</v>
      </c>
      <c r="X40" s="805">
        <f t="shared" si="811"/>
        <v>0</v>
      </c>
      <c r="Y40" s="805">
        <f t="shared" si="811"/>
        <v>0</v>
      </c>
      <c r="Z40" s="805">
        <f t="shared" si="811"/>
        <v>0</v>
      </c>
      <c r="AA40" s="805">
        <f t="shared" si="811"/>
        <v>0</v>
      </c>
      <c r="AB40" s="805">
        <f t="shared" si="811"/>
        <v>0</v>
      </c>
      <c r="AC40" s="805">
        <f t="shared" si="811"/>
        <v>0</v>
      </c>
      <c r="AD40" s="805">
        <f t="shared" si="811"/>
        <v>0</v>
      </c>
      <c r="AE40" s="805">
        <f t="shared" si="811"/>
        <v>0</v>
      </c>
      <c r="AF40" s="805">
        <f t="shared" si="811"/>
        <v>0</v>
      </c>
      <c r="AG40" s="805">
        <f t="shared" ref="AG40:AT49" si="1054">IF(AND($H40&gt;0,AG$7&gt;0),+IF(AND($M40&lt;=AG$7,$N40&gt;=AG$7),IF($W$6="QUINCENAL",1/(($N40-$M40)/0.5+1),1/($N40-$M40+1)),0),0)</f>
        <v>0</v>
      </c>
      <c r="AH40" s="805">
        <f t="shared" si="1054"/>
        <v>0</v>
      </c>
      <c r="AI40" s="805">
        <f t="shared" si="1054"/>
        <v>0</v>
      </c>
      <c r="AJ40" s="805">
        <f t="shared" si="1054"/>
        <v>0</v>
      </c>
      <c r="AK40" s="805">
        <f t="shared" si="1054"/>
        <v>0</v>
      </c>
      <c r="AL40" s="805">
        <f t="shared" si="1054"/>
        <v>0</v>
      </c>
      <c r="AM40" s="805">
        <f t="shared" si="1054"/>
        <v>0</v>
      </c>
      <c r="AN40" s="805">
        <f t="shared" si="1054"/>
        <v>0</v>
      </c>
      <c r="AO40" s="805">
        <f t="shared" si="1054"/>
        <v>0</v>
      </c>
      <c r="AP40" s="805">
        <f t="shared" si="1054"/>
        <v>0</v>
      </c>
      <c r="AQ40" s="805">
        <f t="shared" si="1054"/>
        <v>0</v>
      </c>
      <c r="AR40" s="805">
        <f t="shared" si="1054"/>
        <v>0</v>
      </c>
      <c r="AS40" s="805">
        <f t="shared" si="1054"/>
        <v>0</v>
      </c>
      <c r="AT40" s="805">
        <f t="shared" si="1054"/>
        <v>0</v>
      </c>
      <c r="AU40" s="805">
        <f t="shared" si="565"/>
        <v>0</v>
      </c>
      <c r="AV40" s="805">
        <f t="shared" si="813"/>
        <v>0</v>
      </c>
      <c r="AW40" s="805">
        <f t="shared" si="816"/>
        <v>0</v>
      </c>
      <c r="AX40" s="805">
        <f t="shared" si="816"/>
        <v>0</v>
      </c>
      <c r="AY40" s="805">
        <f t="shared" si="816"/>
        <v>0</v>
      </c>
      <c r="AZ40" s="805">
        <f t="shared" si="816"/>
        <v>0</v>
      </c>
      <c r="BA40" s="805">
        <f t="shared" si="816"/>
        <v>0</v>
      </c>
      <c r="BB40" s="805">
        <f t="shared" si="816"/>
        <v>0</v>
      </c>
      <c r="BC40" s="805">
        <f t="shared" si="816"/>
        <v>0</v>
      </c>
      <c r="BD40" s="805">
        <f t="shared" si="816"/>
        <v>0</v>
      </c>
      <c r="BE40" s="805">
        <f t="shared" si="816"/>
        <v>0</v>
      </c>
      <c r="BF40" s="805">
        <f t="shared" si="816"/>
        <v>0</v>
      </c>
      <c r="BG40" s="805">
        <f t="shared" si="816"/>
        <v>0</v>
      </c>
      <c r="BH40" s="805">
        <f t="shared" si="816"/>
        <v>0</v>
      </c>
      <c r="BI40" s="805">
        <f t="shared" si="816"/>
        <v>0</v>
      </c>
      <c r="BJ40" s="805">
        <f t="shared" si="816"/>
        <v>0</v>
      </c>
      <c r="BK40" s="805">
        <f t="shared" si="816"/>
        <v>0</v>
      </c>
      <c r="BL40" s="805">
        <f t="shared" si="815"/>
        <v>0</v>
      </c>
      <c r="BM40" s="806"/>
      <c r="BN40" s="785"/>
      <c r="BO40" s="1204"/>
      <c r="BP40" s="1203">
        <f>+SUMIF('AUX-NIV1'!$B:$B,Crono!$C40,'AUX-NIV1'!AQ:AQ)*Crono!$H40</f>
        <v>0</v>
      </c>
      <c r="BQ40" s="1202">
        <f>+SUMIF('AUX-NIV1'!$B:$B,Crono!$C40,'AUX-NIV1'!AR:AR)*Crono!$H40</f>
        <v>0</v>
      </c>
      <c r="BR40" s="1202">
        <f>+SUMIF('AUX-NIV1'!$B:$B,Crono!$C40,'AUX-NIV1'!AS:AS)*Crono!$H40</f>
        <v>0</v>
      </c>
      <c r="BS40" s="1202">
        <f>+SUMIF('AUX-NIV1'!$B:$B,Crono!$C40,'AUX-NIV1'!AT:AT)*Crono!$H40</f>
        <v>0</v>
      </c>
      <c r="BT40" s="1202">
        <f>+SUMIF('AUX-NIV1'!$B:$B,Crono!$C40,'AUX-NIV1'!AU:AU)*Crono!$H40</f>
        <v>0</v>
      </c>
      <c r="BU40" s="1202"/>
    </row>
    <row r="41" spans="2:319" ht="17.399999999999999">
      <c r="B41" s="666" t="s">
        <v>1326</v>
      </c>
      <c r="C41" s="667"/>
      <c r="D41" s="667"/>
      <c r="E41" s="668"/>
      <c r="F41" s="669" t="s">
        <v>1184</v>
      </c>
      <c r="G41" s="670"/>
      <c r="H41" s="671"/>
      <c r="I41" s="672"/>
      <c r="J41" s="673">
        <f>+J28+J34+J39</f>
        <v>324435.60810818302</v>
      </c>
      <c r="K41" s="671"/>
      <c r="L41" s="837"/>
      <c r="M41" s="838"/>
      <c r="N41" s="839"/>
      <c r="O41" s="840">
        <f>+IF(C41&lt;&gt;"",VLOOKUP(C41,'AUX-NIV1'!B:AO,40,FALSE)*H41,0)</f>
        <v>0</v>
      </c>
      <c r="P41" s="803" t="str">
        <f t="shared" si="562"/>
        <v>REV.</v>
      </c>
      <c r="Q41" s="804">
        <f t="shared" ref="Q41:AF50" si="1055">IF(AND($H41&gt;0,Q$7&gt;0),+IF(AND($M41&lt;=Q$7,$N41&gt;=Q$7),IF($W$6="QUINCENAL",1/(($N41-$M41)/0.5+1),1/($N41-$M41+1)),0),0)</f>
        <v>0</v>
      </c>
      <c r="R41" s="805">
        <f t="shared" si="1055"/>
        <v>0</v>
      </c>
      <c r="S41" s="805">
        <f t="shared" si="1055"/>
        <v>0</v>
      </c>
      <c r="T41" s="805">
        <f t="shared" si="1055"/>
        <v>0</v>
      </c>
      <c r="U41" s="805">
        <f t="shared" si="1055"/>
        <v>0</v>
      </c>
      <c r="V41" s="805">
        <f t="shared" si="1055"/>
        <v>0</v>
      </c>
      <c r="W41" s="805">
        <f t="shared" si="1055"/>
        <v>0</v>
      </c>
      <c r="X41" s="805">
        <f t="shared" si="1055"/>
        <v>0</v>
      </c>
      <c r="Y41" s="805">
        <f t="shared" si="1055"/>
        <v>0</v>
      </c>
      <c r="Z41" s="805">
        <f t="shared" si="1055"/>
        <v>0</v>
      </c>
      <c r="AA41" s="805">
        <f t="shared" si="1055"/>
        <v>0</v>
      </c>
      <c r="AB41" s="805">
        <f t="shared" si="1055"/>
        <v>0</v>
      </c>
      <c r="AC41" s="805">
        <f t="shared" si="1055"/>
        <v>0</v>
      </c>
      <c r="AD41" s="805">
        <f t="shared" si="1055"/>
        <v>0</v>
      </c>
      <c r="AE41" s="805">
        <f t="shared" si="1055"/>
        <v>0</v>
      </c>
      <c r="AF41" s="805">
        <f t="shared" si="1055"/>
        <v>0</v>
      </c>
      <c r="AG41" s="805">
        <f t="shared" si="1054"/>
        <v>0</v>
      </c>
      <c r="AH41" s="805">
        <f t="shared" si="1054"/>
        <v>0</v>
      </c>
      <c r="AI41" s="805">
        <f t="shared" si="1054"/>
        <v>0</v>
      </c>
      <c r="AJ41" s="805">
        <f t="shared" si="1054"/>
        <v>0</v>
      </c>
      <c r="AK41" s="805">
        <f t="shared" si="1054"/>
        <v>0</v>
      </c>
      <c r="AL41" s="805">
        <f t="shared" si="1054"/>
        <v>0</v>
      </c>
      <c r="AM41" s="805">
        <f t="shared" si="1054"/>
        <v>0</v>
      </c>
      <c r="AN41" s="805">
        <f t="shared" si="1054"/>
        <v>0</v>
      </c>
      <c r="AO41" s="805">
        <f t="shared" si="1054"/>
        <v>0</v>
      </c>
      <c r="AP41" s="805">
        <f t="shared" si="1054"/>
        <v>0</v>
      </c>
      <c r="AQ41" s="805">
        <f t="shared" si="1054"/>
        <v>0</v>
      </c>
      <c r="AR41" s="805">
        <f t="shared" si="1054"/>
        <v>0</v>
      </c>
      <c r="AS41" s="805">
        <f t="shared" si="1054"/>
        <v>0</v>
      </c>
      <c r="AT41" s="805">
        <f t="shared" si="1054"/>
        <v>0</v>
      </c>
      <c r="AU41" s="805">
        <f t="shared" si="565"/>
        <v>0</v>
      </c>
      <c r="AV41" s="805">
        <f t="shared" si="813"/>
        <v>0</v>
      </c>
      <c r="AW41" s="805">
        <f t="shared" si="816"/>
        <v>0</v>
      </c>
      <c r="AX41" s="805">
        <f t="shared" si="816"/>
        <v>0</v>
      </c>
      <c r="AY41" s="805">
        <f t="shared" si="816"/>
        <v>0</v>
      </c>
      <c r="AZ41" s="805">
        <f t="shared" si="816"/>
        <v>0</v>
      </c>
      <c r="BA41" s="805">
        <f t="shared" si="816"/>
        <v>0</v>
      </c>
      <c r="BB41" s="805">
        <f t="shared" si="816"/>
        <v>0</v>
      </c>
      <c r="BC41" s="805">
        <f t="shared" si="816"/>
        <v>0</v>
      </c>
      <c r="BD41" s="805">
        <f t="shared" si="816"/>
        <v>0</v>
      </c>
      <c r="BE41" s="805">
        <f t="shared" si="816"/>
        <v>0</v>
      </c>
      <c r="BF41" s="805">
        <f t="shared" si="816"/>
        <v>0</v>
      </c>
      <c r="BG41" s="805">
        <f t="shared" si="816"/>
        <v>0</v>
      </c>
      <c r="BH41" s="805">
        <f t="shared" si="816"/>
        <v>0</v>
      </c>
      <c r="BI41" s="805">
        <f t="shared" si="816"/>
        <v>0</v>
      </c>
      <c r="BJ41" s="805">
        <f t="shared" si="816"/>
        <v>0</v>
      </c>
      <c r="BK41" s="805">
        <f t="shared" si="816"/>
        <v>0</v>
      </c>
      <c r="BL41" s="805">
        <f t="shared" si="815"/>
        <v>0</v>
      </c>
      <c r="BM41" s="806"/>
      <c r="BN41" s="785"/>
      <c r="BO41" s="1204"/>
      <c r="BP41" s="1203">
        <f>+SUMIF('AUX-NIV1'!$B:$B,Crono!$C41,'AUX-NIV1'!AQ:AQ)*Crono!$H41</f>
        <v>0</v>
      </c>
      <c r="BQ41" s="1202">
        <f>+SUMIF('AUX-NIV1'!$B:$B,Crono!$C41,'AUX-NIV1'!AR:AR)*Crono!$H41</f>
        <v>0</v>
      </c>
      <c r="BR41" s="1202">
        <f>+SUMIF('AUX-NIV1'!$B:$B,Crono!$C41,'AUX-NIV1'!AS:AS)*Crono!$H41</f>
        <v>0</v>
      </c>
      <c r="BS41" s="1202">
        <f>+SUMIF('AUX-NIV1'!$B:$B,Crono!$C41,'AUX-NIV1'!AT:AT)*Crono!$H41</f>
        <v>0</v>
      </c>
      <c r="BT41" s="1202">
        <f>+SUMIF('AUX-NIV1'!$B:$B,Crono!$C41,'AUX-NIV1'!AU:AU)*Crono!$H41</f>
        <v>0</v>
      </c>
      <c r="BU41" s="1202"/>
    </row>
    <row r="42" spans="2:319" ht="15.6">
      <c r="B42" s="661"/>
      <c r="C42" s="646"/>
      <c r="D42" s="646"/>
      <c r="E42" s="647"/>
      <c r="F42" s="653"/>
      <c r="G42" s="654"/>
      <c r="H42" s="655"/>
      <c r="I42" s="656"/>
      <c r="J42" s="664"/>
      <c r="K42" s="655"/>
      <c r="L42" s="656"/>
      <c r="M42" s="906"/>
      <c r="N42" s="907"/>
      <c r="O42" s="854">
        <f>+IF(C42&lt;&gt;"",VLOOKUP(C42,'AUX-NIV1'!B:AO,40,FALSE)*H42,0)</f>
        <v>0</v>
      </c>
      <c r="P42" s="803" t="str">
        <f t="shared" si="562"/>
        <v/>
      </c>
      <c r="Q42" s="804">
        <f t="shared" si="1055"/>
        <v>0</v>
      </c>
      <c r="R42" s="805">
        <f t="shared" si="1055"/>
        <v>0</v>
      </c>
      <c r="S42" s="805">
        <f t="shared" si="1055"/>
        <v>0</v>
      </c>
      <c r="T42" s="805">
        <f t="shared" si="1055"/>
        <v>0</v>
      </c>
      <c r="U42" s="805">
        <f t="shared" si="1055"/>
        <v>0</v>
      </c>
      <c r="V42" s="805">
        <f t="shared" si="1055"/>
        <v>0</v>
      </c>
      <c r="W42" s="805">
        <f t="shared" si="1055"/>
        <v>0</v>
      </c>
      <c r="X42" s="805">
        <f t="shared" si="1055"/>
        <v>0</v>
      </c>
      <c r="Y42" s="805">
        <f t="shared" si="1055"/>
        <v>0</v>
      </c>
      <c r="Z42" s="805">
        <f t="shared" si="1055"/>
        <v>0</v>
      </c>
      <c r="AA42" s="805">
        <f t="shared" si="1055"/>
        <v>0</v>
      </c>
      <c r="AB42" s="805">
        <f t="shared" si="1055"/>
        <v>0</v>
      </c>
      <c r="AC42" s="805">
        <f t="shared" si="1055"/>
        <v>0</v>
      </c>
      <c r="AD42" s="805">
        <f t="shared" si="1055"/>
        <v>0</v>
      </c>
      <c r="AE42" s="805">
        <f t="shared" si="1055"/>
        <v>0</v>
      </c>
      <c r="AF42" s="805">
        <f t="shared" si="1055"/>
        <v>0</v>
      </c>
      <c r="AG42" s="805">
        <f t="shared" si="1054"/>
        <v>0</v>
      </c>
      <c r="AH42" s="805">
        <f t="shared" si="1054"/>
        <v>0</v>
      </c>
      <c r="AI42" s="805">
        <f t="shared" si="1054"/>
        <v>0</v>
      </c>
      <c r="AJ42" s="805">
        <f t="shared" si="1054"/>
        <v>0</v>
      </c>
      <c r="AK42" s="805">
        <f t="shared" si="1054"/>
        <v>0</v>
      </c>
      <c r="AL42" s="805">
        <f t="shared" si="1054"/>
        <v>0</v>
      </c>
      <c r="AM42" s="805">
        <f t="shared" si="1054"/>
        <v>0</v>
      </c>
      <c r="AN42" s="805">
        <f t="shared" si="1054"/>
        <v>0</v>
      </c>
      <c r="AO42" s="805">
        <f t="shared" si="1054"/>
        <v>0</v>
      </c>
      <c r="AP42" s="805">
        <f t="shared" si="1054"/>
        <v>0</v>
      </c>
      <c r="AQ42" s="805">
        <f t="shared" si="1054"/>
        <v>0</v>
      </c>
      <c r="AR42" s="805">
        <f t="shared" si="1054"/>
        <v>0</v>
      </c>
      <c r="AS42" s="805">
        <f t="shared" si="1054"/>
        <v>0</v>
      </c>
      <c r="AT42" s="805">
        <f t="shared" si="1054"/>
        <v>0</v>
      </c>
      <c r="AU42" s="805">
        <f t="shared" ref="AU42:AU60" si="1056">IF(AND($H42&gt;0,AU$7&gt;0),+IF(AND($M42&lt;=AU$7,$N42&gt;=AU$7),IF($W$6="QUINCENAL",1/(($N42-$M42)/0.5+1),1/($N42-$M42+1)),0),0)</f>
        <v>0</v>
      </c>
      <c r="AV42" s="805">
        <f t="shared" si="813"/>
        <v>0</v>
      </c>
      <c r="AW42" s="805">
        <f t="shared" si="816"/>
        <v>0</v>
      </c>
      <c r="AX42" s="805">
        <f t="shared" si="816"/>
        <v>0</v>
      </c>
      <c r="AY42" s="805">
        <f t="shared" si="816"/>
        <v>0</v>
      </c>
      <c r="AZ42" s="805">
        <f t="shared" si="816"/>
        <v>0</v>
      </c>
      <c r="BA42" s="805">
        <f t="shared" si="816"/>
        <v>0</v>
      </c>
      <c r="BB42" s="805">
        <f t="shared" si="816"/>
        <v>0</v>
      </c>
      <c r="BC42" s="805">
        <f t="shared" si="816"/>
        <v>0</v>
      </c>
      <c r="BD42" s="805">
        <f t="shared" si="816"/>
        <v>0</v>
      </c>
      <c r="BE42" s="805">
        <f t="shared" si="816"/>
        <v>0</v>
      </c>
      <c r="BF42" s="805">
        <f t="shared" si="816"/>
        <v>0</v>
      </c>
      <c r="BG42" s="805">
        <f t="shared" si="816"/>
        <v>0</v>
      </c>
      <c r="BH42" s="805">
        <f t="shared" si="816"/>
        <v>0</v>
      </c>
      <c r="BI42" s="805">
        <f t="shared" si="816"/>
        <v>0</v>
      </c>
      <c r="BJ42" s="805">
        <f t="shared" si="816"/>
        <v>0</v>
      </c>
      <c r="BK42" s="805">
        <f t="shared" si="816"/>
        <v>0</v>
      </c>
      <c r="BL42" s="805">
        <f t="shared" si="815"/>
        <v>0</v>
      </c>
      <c r="BM42" s="806"/>
      <c r="BN42" s="785"/>
      <c r="BO42" s="1204"/>
      <c r="BP42" s="1203">
        <f>+SUMIF('AUX-NIV1'!$B:$B,Crono!$C42,'AUX-NIV1'!AQ:AQ)*Crono!$H42</f>
        <v>0</v>
      </c>
      <c r="BQ42" s="1202">
        <f>+SUMIF('AUX-NIV1'!$B:$B,Crono!$C42,'AUX-NIV1'!AR:AR)*Crono!$H42</f>
        <v>0</v>
      </c>
      <c r="BR42" s="1202">
        <f>+SUMIF('AUX-NIV1'!$B:$B,Crono!$C42,'AUX-NIV1'!AS:AS)*Crono!$H42</f>
        <v>0</v>
      </c>
      <c r="BS42" s="1202">
        <f>+SUMIF('AUX-NIV1'!$B:$B,Crono!$C42,'AUX-NIV1'!AT:AT)*Crono!$H42</f>
        <v>0</v>
      </c>
      <c r="BT42" s="1202">
        <f>+SUMIF('AUX-NIV1'!$B:$B,Crono!$C42,'AUX-NIV1'!AU:AU)*Crono!$H42</f>
        <v>0</v>
      </c>
      <c r="BU42" s="1202"/>
    </row>
    <row r="43" spans="2:319" ht="15.6">
      <c r="B43" s="661">
        <v>77</v>
      </c>
      <c r="C43" s="646"/>
      <c r="D43" s="646"/>
      <c r="E43" s="647"/>
      <c r="F43" s="653" t="s">
        <v>1235</v>
      </c>
      <c r="G43" s="676">
        <v>2.5000000000000001E-3</v>
      </c>
      <c r="H43" s="660">
        <v>1</v>
      </c>
      <c r="I43" s="656"/>
      <c r="J43" s="665">
        <f>Items!J38</f>
        <v>1045.2178096268781</v>
      </c>
      <c r="K43" s="660"/>
      <c r="L43" s="656"/>
      <c r="M43" s="906">
        <v>0.5</v>
      </c>
      <c r="N43" s="907">
        <v>0.5</v>
      </c>
      <c r="O43" s="854">
        <f>+IF(C43&lt;&gt;"",VLOOKUP(C43,'AUX-NIV1'!B:AO,40,FALSE)*H43,0)</f>
        <v>0</v>
      </c>
      <c r="P43" s="803" t="str">
        <f t="shared" si="562"/>
        <v/>
      </c>
      <c r="Q43" s="804">
        <f t="shared" si="1055"/>
        <v>1</v>
      </c>
      <c r="R43" s="805">
        <f t="shared" si="1055"/>
        <v>0</v>
      </c>
      <c r="S43" s="805">
        <f t="shared" si="1055"/>
        <v>0</v>
      </c>
      <c r="T43" s="805">
        <f t="shared" si="1055"/>
        <v>0</v>
      </c>
      <c r="U43" s="805">
        <f t="shared" si="1055"/>
        <v>0</v>
      </c>
      <c r="V43" s="805">
        <f t="shared" si="1055"/>
        <v>0</v>
      </c>
      <c r="W43" s="805">
        <f t="shared" si="1055"/>
        <v>0</v>
      </c>
      <c r="X43" s="805">
        <f t="shared" si="1055"/>
        <v>0</v>
      </c>
      <c r="Y43" s="805">
        <f t="shared" si="1055"/>
        <v>0</v>
      </c>
      <c r="Z43" s="805">
        <f t="shared" si="1055"/>
        <v>0</v>
      </c>
      <c r="AA43" s="805">
        <f t="shared" si="1055"/>
        <v>0</v>
      </c>
      <c r="AB43" s="805">
        <f t="shared" si="1055"/>
        <v>0</v>
      </c>
      <c r="AC43" s="805">
        <f t="shared" si="1055"/>
        <v>0</v>
      </c>
      <c r="AD43" s="805">
        <f t="shared" si="1055"/>
        <v>0</v>
      </c>
      <c r="AE43" s="805">
        <f t="shared" si="1055"/>
        <v>0</v>
      </c>
      <c r="AF43" s="805">
        <f t="shared" si="1055"/>
        <v>0</v>
      </c>
      <c r="AG43" s="805">
        <f t="shared" si="1054"/>
        <v>0</v>
      </c>
      <c r="AH43" s="805">
        <f t="shared" si="1054"/>
        <v>0</v>
      </c>
      <c r="AI43" s="805">
        <f t="shared" si="1054"/>
        <v>0</v>
      </c>
      <c r="AJ43" s="805">
        <f t="shared" si="1054"/>
        <v>0</v>
      </c>
      <c r="AK43" s="805">
        <f t="shared" si="1054"/>
        <v>0</v>
      </c>
      <c r="AL43" s="805">
        <f t="shared" si="1054"/>
        <v>0</v>
      </c>
      <c r="AM43" s="805">
        <f t="shared" si="1054"/>
        <v>0</v>
      </c>
      <c r="AN43" s="805">
        <f t="shared" si="1054"/>
        <v>0</v>
      </c>
      <c r="AO43" s="805">
        <f t="shared" si="1054"/>
        <v>0</v>
      </c>
      <c r="AP43" s="805">
        <f t="shared" si="1054"/>
        <v>0</v>
      </c>
      <c r="AQ43" s="805">
        <f t="shared" si="1054"/>
        <v>0</v>
      </c>
      <c r="AR43" s="805">
        <f t="shared" si="1054"/>
        <v>0</v>
      </c>
      <c r="AS43" s="805">
        <f t="shared" si="1054"/>
        <v>0</v>
      </c>
      <c r="AT43" s="805">
        <f t="shared" si="1054"/>
        <v>0</v>
      </c>
      <c r="AU43" s="805">
        <f t="shared" si="1056"/>
        <v>0</v>
      </c>
      <c r="AV43" s="805">
        <f t="shared" si="813"/>
        <v>0</v>
      </c>
      <c r="AW43" s="805">
        <f t="shared" si="816"/>
        <v>0</v>
      </c>
      <c r="AX43" s="805">
        <f t="shared" si="816"/>
        <v>0</v>
      </c>
      <c r="AY43" s="805">
        <f t="shared" si="816"/>
        <v>0</v>
      </c>
      <c r="AZ43" s="805">
        <f t="shared" si="816"/>
        <v>0</v>
      </c>
      <c r="BA43" s="805">
        <f t="shared" si="816"/>
        <v>0</v>
      </c>
      <c r="BB43" s="805">
        <f t="shared" si="816"/>
        <v>0</v>
      </c>
      <c r="BC43" s="805">
        <f t="shared" si="816"/>
        <v>0</v>
      </c>
      <c r="BD43" s="805">
        <f t="shared" si="816"/>
        <v>0</v>
      </c>
      <c r="BE43" s="805">
        <f t="shared" si="816"/>
        <v>0</v>
      </c>
      <c r="BF43" s="805">
        <f t="shared" si="816"/>
        <v>0</v>
      </c>
      <c r="BG43" s="805">
        <f t="shared" si="816"/>
        <v>0</v>
      </c>
      <c r="BH43" s="805">
        <f t="shared" si="816"/>
        <v>0</v>
      </c>
      <c r="BI43" s="805">
        <f t="shared" si="816"/>
        <v>0</v>
      </c>
      <c r="BJ43" s="805">
        <f t="shared" si="816"/>
        <v>0</v>
      </c>
      <c r="BK43" s="805">
        <f t="shared" si="816"/>
        <v>0</v>
      </c>
      <c r="BL43" s="805">
        <f t="shared" si="815"/>
        <v>0</v>
      </c>
      <c r="BM43" s="806"/>
      <c r="BN43" s="785"/>
      <c r="BO43" s="1204"/>
      <c r="BP43" s="1203">
        <f>+SUMIF('AUX-NIV1'!$B:$B,Crono!$C43,'AUX-NIV1'!AQ:AQ)*Crono!$H43</f>
        <v>0</v>
      </c>
      <c r="BQ43" s="1202">
        <f>+SUMIF('AUX-NIV1'!$B:$B,Crono!$C43,'AUX-NIV1'!AR:AR)*Crono!$H43</f>
        <v>0</v>
      </c>
      <c r="BR43" s="1202">
        <f>+SUMIF('AUX-NIV1'!$B:$B,Crono!$C43,'AUX-NIV1'!AS:AS)*Crono!$H43</f>
        <v>0</v>
      </c>
      <c r="BS43" s="1202">
        <f>+SUMIF('AUX-NIV1'!$B:$B,Crono!$C43,'AUX-NIV1'!AT:AT)*Crono!$H43</f>
        <v>0</v>
      </c>
      <c r="BT43" s="1202">
        <f>+SUMIF('AUX-NIV1'!$B:$B,Crono!$C43,'AUX-NIV1'!AU:AU)*Crono!$H43</f>
        <v>0</v>
      </c>
      <c r="BU43" s="1202"/>
    </row>
    <row r="44" spans="2:319" ht="15.6">
      <c r="B44" s="661">
        <v>78</v>
      </c>
      <c r="C44" s="646"/>
      <c r="D44" s="646"/>
      <c r="E44" s="647"/>
      <c r="F44" s="653" t="s">
        <v>1236</v>
      </c>
      <c r="G44" s="676">
        <v>2.5000000000000001E-3</v>
      </c>
      <c r="H44" s="660">
        <v>1</v>
      </c>
      <c r="I44" s="656"/>
      <c r="J44" s="665">
        <f>Items!J39</f>
        <v>1045.2178096268781</v>
      </c>
      <c r="K44" s="655"/>
      <c r="L44" s="656"/>
      <c r="M44" s="906">
        <v>0.5</v>
      </c>
      <c r="N44" s="907">
        <v>0.5</v>
      </c>
      <c r="O44" s="854">
        <f>+IF(C44&lt;&gt;"",VLOOKUP(C44,'AUX-NIV1'!B:AO,40,FALSE)*H44,0)</f>
        <v>0</v>
      </c>
      <c r="P44" s="803" t="str">
        <f t="shared" si="562"/>
        <v/>
      </c>
      <c r="Q44" s="804">
        <f t="shared" si="1055"/>
        <v>1</v>
      </c>
      <c r="R44" s="805">
        <f t="shared" si="1055"/>
        <v>0</v>
      </c>
      <c r="S44" s="805">
        <f t="shared" si="1055"/>
        <v>0</v>
      </c>
      <c r="T44" s="805">
        <f t="shared" si="1055"/>
        <v>0</v>
      </c>
      <c r="U44" s="805">
        <f t="shared" si="1055"/>
        <v>0</v>
      </c>
      <c r="V44" s="805">
        <f t="shared" si="1055"/>
        <v>0</v>
      </c>
      <c r="W44" s="805">
        <f t="shared" si="1055"/>
        <v>0</v>
      </c>
      <c r="X44" s="805">
        <f t="shared" si="1055"/>
        <v>0</v>
      </c>
      <c r="Y44" s="805">
        <f t="shared" si="1055"/>
        <v>0</v>
      </c>
      <c r="Z44" s="805">
        <f t="shared" si="1055"/>
        <v>0</v>
      </c>
      <c r="AA44" s="805">
        <f t="shared" si="1055"/>
        <v>0</v>
      </c>
      <c r="AB44" s="805">
        <f t="shared" si="1055"/>
        <v>0</v>
      </c>
      <c r="AC44" s="805">
        <f t="shared" si="1055"/>
        <v>0</v>
      </c>
      <c r="AD44" s="805">
        <f t="shared" si="1055"/>
        <v>0</v>
      </c>
      <c r="AE44" s="805">
        <f t="shared" si="1055"/>
        <v>0</v>
      </c>
      <c r="AF44" s="805">
        <f t="shared" si="1055"/>
        <v>0</v>
      </c>
      <c r="AG44" s="805">
        <f t="shared" si="1054"/>
        <v>0</v>
      </c>
      <c r="AH44" s="805">
        <f t="shared" si="1054"/>
        <v>0</v>
      </c>
      <c r="AI44" s="805">
        <f t="shared" si="1054"/>
        <v>0</v>
      </c>
      <c r="AJ44" s="805">
        <f t="shared" si="1054"/>
        <v>0</v>
      </c>
      <c r="AK44" s="805">
        <f t="shared" si="1054"/>
        <v>0</v>
      </c>
      <c r="AL44" s="805">
        <f t="shared" si="1054"/>
        <v>0</v>
      </c>
      <c r="AM44" s="805">
        <f t="shared" si="1054"/>
        <v>0</v>
      </c>
      <c r="AN44" s="805">
        <f t="shared" si="1054"/>
        <v>0</v>
      </c>
      <c r="AO44" s="805">
        <f t="shared" si="1054"/>
        <v>0</v>
      </c>
      <c r="AP44" s="805">
        <f t="shared" si="1054"/>
        <v>0</v>
      </c>
      <c r="AQ44" s="805">
        <f t="shared" si="1054"/>
        <v>0</v>
      </c>
      <c r="AR44" s="805">
        <f t="shared" si="1054"/>
        <v>0</v>
      </c>
      <c r="AS44" s="805">
        <f t="shared" si="1054"/>
        <v>0</v>
      </c>
      <c r="AT44" s="805">
        <f t="shared" si="1054"/>
        <v>0</v>
      </c>
      <c r="AU44" s="805">
        <f t="shared" si="1056"/>
        <v>0</v>
      </c>
      <c r="AV44" s="805">
        <f t="shared" si="813"/>
        <v>0</v>
      </c>
      <c r="AW44" s="805">
        <f t="shared" ref="AW44:BK53" si="1057">IF(AND($H44&gt;0,AW$7&gt;0),+IF(AND($M44&lt;=AW$7,$N44&gt;=AW$7),IF($W$6="QUINCENAL",1/(($N44-$M44)/0.5+1),1/($N44-$M44+1)),0),0)</f>
        <v>0</v>
      </c>
      <c r="AX44" s="805">
        <f t="shared" si="1057"/>
        <v>0</v>
      </c>
      <c r="AY44" s="805">
        <f t="shared" si="1057"/>
        <v>0</v>
      </c>
      <c r="AZ44" s="805">
        <f t="shared" si="1057"/>
        <v>0</v>
      </c>
      <c r="BA44" s="805">
        <f t="shared" si="1057"/>
        <v>0</v>
      </c>
      <c r="BB44" s="805">
        <f t="shared" si="1057"/>
        <v>0</v>
      </c>
      <c r="BC44" s="805">
        <f t="shared" si="1057"/>
        <v>0</v>
      </c>
      <c r="BD44" s="805">
        <f t="shared" si="1057"/>
        <v>0</v>
      </c>
      <c r="BE44" s="805">
        <f t="shared" si="1057"/>
        <v>0</v>
      </c>
      <c r="BF44" s="805">
        <f t="shared" si="1057"/>
        <v>0</v>
      </c>
      <c r="BG44" s="805">
        <f t="shared" si="1057"/>
        <v>0</v>
      </c>
      <c r="BH44" s="805">
        <f t="shared" si="1057"/>
        <v>0</v>
      </c>
      <c r="BI44" s="805">
        <f t="shared" si="1057"/>
        <v>0</v>
      </c>
      <c r="BJ44" s="805">
        <f t="shared" si="1057"/>
        <v>0</v>
      </c>
      <c r="BK44" s="805">
        <f t="shared" si="1057"/>
        <v>0</v>
      </c>
      <c r="BL44" s="805">
        <f t="shared" si="815"/>
        <v>0</v>
      </c>
      <c r="BM44" s="806"/>
      <c r="BN44" s="785"/>
      <c r="BO44" s="1204"/>
      <c r="BP44" s="1203">
        <f>+SUMIF('AUX-NIV1'!$B:$B,Crono!$C44,'AUX-NIV1'!AQ:AQ)*Crono!$H44</f>
        <v>0</v>
      </c>
      <c r="BQ44" s="1202">
        <f>+SUMIF('AUX-NIV1'!$B:$B,Crono!$C44,'AUX-NIV1'!AR:AR)*Crono!$H44</f>
        <v>0</v>
      </c>
      <c r="BR44" s="1202">
        <f>+SUMIF('AUX-NIV1'!$B:$B,Crono!$C44,'AUX-NIV1'!AS:AS)*Crono!$H44</f>
        <v>0</v>
      </c>
      <c r="BS44" s="1202">
        <f>+SUMIF('AUX-NIV1'!$B:$B,Crono!$C44,'AUX-NIV1'!AT:AT)*Crono!$H44</f>
        <v>0</v>
      </c>
      <c r="BT44" s="1202">
        <f>+SUMIF('AUX-NIV1'!$B:$B,Crono!$C44,'AUX-NIV1'!AU:AU)*Crono!$H44</f>
        <v>0</v>
      </c>
      <c r="BU44" s="1202"/>
    </row>
    <row r="45" spans="2:319" ht="15.6">
      <c r="B45" s="661">
        <v>79</v>
      </c>
      <c r="C45" s="646"/>
      <c r="D45" s="646"/>
      <c r="E45" s="647"/>
      <c r="F45" s="653" t="s">
        <v>1237</v>
      </c>
      <c r="G45" s="677">
        <v>5.0000000000000001E-3</v>
      </c>
      <c r="H45" s="660">
        <v>1</v>
      </c>
      <c r="I45" s="656"/>
      <c r="J45" s="665">
        <f>Items!J40</f>
        <v>2090.4356192537562</v>
      </c>
      <c r="K45" s="655"/>
      <c r="L45" s="656"/>
      <c r="M45" s="906">
        <v>0.5</v>
      </c>
      <c r="N45" s="907">
        <v>0.5</v>
      </c>
      <c r="O45" s="854">
        <f>+IF(C45&lt;&gt;"",VLOOKUP(C45,'AUX-NIV1'!B:AO,40,FALSE)*H45,0)</f>
        <v>0</v>
      </c>
      <c r="P45" s="803" t="str">
        <f t="shared" si="562"/>
        <v/>
      </c>
      <c r="Q45" s="804">
        <f t="shared" si="1055"/>
        <v>1</v>
      </c>
      <c r="R45" s="805">
        <f t="shared" si="1055"/>
        <v>0</v>
      </c>
      <c r="S45" s="805">
        <f t="shared" si="1055"/>
        <v>0</v>
      </c>
      <c r="T45" s="805">
        <f t="shared" si="1055"/>
        <v>0</v>
      </c>
      <c r="U45" s="805">
        <f t="shared" si="1055"/>
        <v>0</v>
      </c>
      <c r="V45" s="805">
        <f t="shared" si="1055"/>
        <v>0</v>
      </c>
      <c r="W45" s="805">
        <f t="shared" si="1055"/>
        <v>0</v>
      </c>
      <c r="X45" s="805">
        <f t="shared" si="1055"/>
        <v>0</v>
      </c>
      <c r="Y45" s="805">
        <f t="shared" si="1055"/>
        <v>0</v>
      </c>
      <c r="Z45" s="805">
        <f t="shared" si="1055"/>
        <v>0</v>
      </c>
      <c r="AA45" s="805">
        <f t="shared" si="1055"/>
        <v>0</v>
      </c>
      <c r="AB45" s="805">
        <f t="shared" si="1055"/>
        <v>0</v>
      </c>
      <c r="AC45" s="805">
        <f t="shared" si="1055"/>
        <v>0</v>
      </c>
      <c r="AD45" s="805">
        <f t="shared" si="1055"/>
        <v>0</v>
      </c>
      <c r="AE45" s="805">
        <f t="shared" si="1055"/>
        <v>0</v>
      </c>
      <c r="AF45" s="805">
        <f t="shared" si="1055"/>
        <v>0</v>
      </c>
      <c r="AG45" s="805">
        <f t="shared" si="1054"/>
        <v>0</v>
      </c>
      <c r="AH45" s="805">
        <f t="shared" si="1054"/>
        <v>0</v>
      </c>
      <c r="AI45" s="805">
        <f t="shared" si="1054"/>
        <v>0</v>
      </c>
      <c r="AJ45" s="805">
        <f t="shared" si="1054"/>
        <v>0</v>
      </c>
      <c r="AK45" s="805">
        <f t="shared" si="1054"/>
        <v>0</v>
      </c>
      <c r="AL45" s="805">
        <f t="shared" si="1054"/>
        <v>0</v>
      </c>
      <c r="AM45" s="805">
        <f t="shared" si="1054"/>
        <v>0</v>
      </c>
      <c r="AN45" s="805">
        <f t="shared" si="1054"/>
        <v>0</v>
      </c>
      <c r="AO45" s="805">
        <f t="shared" si="1054"/>
        <v>0</v>
      </c>
      <c r="AP45" s="805">
        <f t="shared" si="1054"/>
        <v>0</v>
      </c>
      <c r="AQ45" s="805">
        <f t="shared" si="1054"/>
        <v>0</v>
      </c>
      <c r="AR45" s="805">
        <f t="shared" si="1054"/>
        <v>0</v>
      </c>
      <c r="AS45" s="805">
        <f t="shared" si="1054"/>
        <v>0</v>
      </c>
      <c r="AT45" s="805">
        <f t="shared" si="1054"/>
        <v>0</v>
      </c>
      <c r="AU45" s="805">
        <f t="shared" si="1056"/>
        <v>0</v>
      </c>
      <c r="AV45" s="805">
        <f t="shared" si="813"/>
        <v>0</v>
      </c>
      <c r="AW45" s="805">
        <f t="shared" si="1057"/>
        <v>0</v>
      </c>
      <c r="AX45" s="805">
        <f t="shared" si="1057"/>
        <v>0</v>
      </c>
      <c r="AY45" s="805">
        <f t="shared" si="1057"/>
        <v>0</v>
      </c>
      <c r="AZ45" s="805">
        <f t="shared" si="1057"/>
        <v>0</v>
      </c>
      <c r="BA45" s="805">
        <f t="shared" si="1057"/>
        <v>0</v>
      </c>
      <c r="BB45" s="805">
        <f t="shared" si="1057"/>
        <v>0</v>
      </c>
      <c r="BC45" s="805">
        <f t="shared" si="1057"/>
        <v>0</v>
      </c>
      <c r="BD45" s="805">
        <f t="shared" si="1057"/>
        <v>0</v>
      </c>
      <c r="BE45" s="805">
        <f t="shared" si="1057"/>
        <v>0</v>
      </c>
      <c r="BF45" s="805">
        <f t="shared" si="1057"/>
        <v>0</v>
      </c>
      <c r="BG45" s="805">
        <f t="shared" si="1057"/>
        <v>0</v>
      </c>
      <c r="BH45" s="805">
        <f t="shared" si="1057"/>
        <v>0</v>
      </c>
      <c r="BI45" s="805">
        <f t="shared" si="1057"/>
        <v>0</v>
      </c>
      <c r="BJ45" s="805">
        <f t="shared" si="1057"/>
        <v>0</v>
      </c>
      <c r="BK45" s="805">
        <f t="shared" si="1057"/>
        <v>0</v>
      </c>
      <c r="BL45" s="805">
        <f t="shared" si="815"/>
        <v>0</v>
      </c>
      <c r="BM45" s="806"/>
      <c r="BN45" s="785"/>
      <c r="BO45" s="1204"/>
      <c r="BP45" s="1203">
        <f>+SUMIF('AUX-NIV1'!$B:$B,Crono!$C45,'AUX-NIV1'!AQ:AQ)*Crono!$H45</f>
        <v>0</v>
      </c>
      <c r="BQ45" s="1202">
        <f>+SUMIF('AUX-NIV1'!$B:$B,Crono!$C45,'AUX-NIV1'!AR:AR)*Crono!$H45</f>
        <v>0</v>
      </c>
      <c r="BR45" s="1202">
        <f>+SUMIF('AUX-NIV1'!$B:$B,Crono!$C45,'AUX-NIV1'!AS:AS)*Crono!$H45</f>
        <v>0</v>
      </c>
      <c r="BS45" s="1202">
        <f>+SUMIF('AUX-NIV1'!$B:$B,Crono!$C45,'AUX-NIV1'!AT:AT)*Crono!$H45</f>
        <v>0</v>
      </c>
      <c r="BT45" s="1202">
        <f>+SUMIF('AUX-NIV1'!$B:$B,Crono!$C45,'AUX-NIV1'!AU:AU)*Crono!$H45</f>
        <v>0</v>
      </c>
      <c r="BU45" s="1202"/>
    </row>
    <row r="46" spans="2:319" ht="15.6">
      <c r="B46" s="661">
        <v>80</v>
      </c>
      <c r="C46" s="646"/>
      <c r="D46" s="646"/>
      <c r="E46" s="647"/>
      <c r="F46" s="653" t="s">
        <v>1238</v>
      </c>
      <c r="G46" s="677">
        <v>0.01</v>
      </c>
      <c r="H46" s="660">
        <v>1</v>
      </c>
      <c r="I46" s="656"/>
      <c r="J46" s="665">
        <f>Items!J41</f>
        <v>4180.8712385075123</v>
      </c>
      <c r="K46" s="655"/>
      <c r="L46" s="656"/>
      <c r="M46" s="906">
        <v>0.5</v>
      </c>
      <c r="N46" s="907">
        <v>0.5</v>
      </c>
      <c r="O46" s="854">
        <f>+IF(C46&lt;&gt;"",VLOOKUP(C46,'AUX-NIV1'!B:AO,40,FALSE)*H46,0)</f>
        <v>0</v>
      </c>
      <c r="P46" s="803" t="str">
        <f t="shared" si="562"/>
        <v/>
      </c>
      <c r="Q46" s="804">
        <f t="shared" si="1055"/>
        <v>1</v>
      </c>
      <c r="R46" s="805">
        <f t="shared" si="1055"/>
        <v>0</v>
      </c>
      <c r="S46" s="805">
        <f t="shared" si="1055"/>
        <v>0</v>
      </c>
      <c r="T46" s="805">
        <f t="shared" si="1055"/>
        <v>0</v>
      </c>
      <c r="U46" s="805">
        <f t="shared" si="1055"/>
        <v>0</v>
      </c>
      <c r="V46" s="805">
        <f t="shared" si="1055"/>
        <v>0</v>
      </c>
      <c r="W46" s="805">
        <f t="shared" si="1055"/>
        <v>0</v>
      </c>
      <c r="X46" s="805">
        <f t="shared" si="1055"/>
        <v>0</v>
      </c>
      <c r="Y46" s="805">
        <f t="shared" si="1055"/>
        <v>0</v>
      </c>
      <c r="Z46" s="805">
        <f t="shared" si="1055"/>
        <v>0</v>
      </c>
      <c r="AA46" s="805">
        <f t="shared" si="1055"/>
        <v>0</v>
      </c>
      <c r="AB46" s="805">
        <f t="shared" si="1055"/>
        <v>0</v>
      </c>
      <c r="AC46" s="805">
        <f t="shared" si="1055"/>
        <v>0</v>
      </c>
      <c r="AD46" s="805">
        <f t="shared" si="1055"/>
        <v>0</v>
      </c>
      <c r="AE46" s="805">
        <f t="shared" si="1055"/>
        <v>0</v>
      </c>
      <c r="AF46" s="805">
        <f t="shared" si="1055"/>
        <v>0</v>
      </c>
      <c r="AG46" s="805">
        <f t="shared" si="1054"/>
        <v>0</v>
      </c>
      <c r="AH46" s="805">
        <f t="shared" si="1054"/>
        <v>0</v>
      </c>
      <c r="AI46" s="805">
        <f t="shared" si="1054"/>
        <v>0</v>
      </c>
      <c r="AJ46" s="805">
        <f t="shared" si="1054"/>
        <v>0</v>
      </c>
      <c r="AK46" s="805">
        <f t="shared" si="1054"/>
        <v>0</v>
      </c>
      <c r="AL46" s="805">
        <f t="shared" si="1054"/>
        <v>0</v>
      </c>
      <c r="AM46" s="805">
        <f t="shared" si="1054"/>
        <v>0</v>
      </c>
      <c r="AN46" s="805">
        <f t="shared" si="1054"/>
        <v>0</v>
      </c>
      <c r="AO46" s="805">
        <f t="shared" si="1054"/>
        <v>0</v>
      </c>
      <c r="AP46" s="805">
        <f t="shared" si="1054"/>
        <v>0</v>
      </c>
      <c r="AQ46" s="805">
        <f t="shared" si="1054"/>
        <v>0</v>
      </c>
      <c r="AR46" s="805">
        <f t="shared" si="1054"/>
        <v>0</v>
      </c>
      <c r="AS46" s="805">
        <f t="shared" si="1054"/>
        <v>0</v>
      </c>
      <c r="AT46" s="805">
        <f t="shared" si="1054"/>
        <v>0</v>
      </c>
      <c r="AU46" s="805">
        <f t="shared" si="1056"/>
        <v>0</v>
      </c>
      <c r="AV46" s="805">
        <f t="shared" si="813"/>
        <v>0</v>
      </c>
      <c r="AW46" s="805">
        <f t="shared" si="1057"/>
        <v>0</v>
      </c>
      <c r="AX46" s="805">
        <f t="shared" si="1057"/>
        <v>0</v>
      </c>
      <c r="AY46" s="805">
        <f t="shared" si="1057"/>
        <v>0</v>
      </c>
      <c r="AZ46" s="805">
        <f t="shared" si="1057"/>
        <v>0</v>
      </c>
      <c r="BA46" s="805">
        <f t="shared" si="1057"/>
        <v>0</v>
      </c>
      <c r="BB46" s="805">
        <f t="shared" si="1057"/>
        <v>0</v>
      </c>
      <c r="BC46" s="805">
        <f t="shared" si="1057"/>
        <v>0</v>
      </c>
      <c r="BD46" s="805">
        <f t="shared" si="1057"/>
        <v>0</v>
      </c>
      <c r="BE46" s="805">
        <f t="shared" si="1057"/>
        <v>0</v>
      </c>
      <c r="BF46" s="805">
        <f t="shared" si="1057"/>
        <v>0</v>
      </c>
      <c r="BG46" s="805">
        <f t="shared" si="1057"/>
        <v>0</v>
      </c>
      <c r="BH46" s="805">
        <f t="shared" si="1057"/>
        <v>0</v>
      </c>
      <c r="BI46" s="805">
        <f t="shared" si="1057"/>
        <v>0</v>
      </c>
      <c r="BJ46" s="805">
        <f t="shared" si="1057"/>
        <v>0</v>
      </c>
      <c r="BK46" s="805">
        <f t="shared" si="1057"/>
        <v>0</v>
      </c>
      <c r="BL46" s="805">
        <f t="shared" si="815"/>
        <v>0</v>
      </c>
      <c r="BM46" s="806"/>
      <c r="BN46" s="785"/>
      <c r="BO46" s="1204"/>
      <c r="BP46" s="1203">
        <f>+SUMIF('AUX-NIV1'!$B:$B,Crono!$C46,'AUX-NIV1'!AQ:AQ)*Crono!$H46</f>
        <v>0</v>
      </c>
      <c r="BQ46" s="1202">
        <f>+SUMIF('AUX-NIV1'!$B:$B,Crono!$C46,'AUX-NIV1'!AR:AR)*Crono!$H46</f>
        <v>0</v>
      </c>
      <c r="BR46" s="1202">
        <f>+SUMIF('AUX-NIV1'!$B:$B,Crono!$C46,'AUX-NIV1'!AS:AS)*Crono!$H46</f>
        <v>0</v>
      </c>
      <c r="BS46" s="1202">
        <f>+SUMIF('AUX-NIV1'!$B:$B,Crono!$C46,'AUX-NIV1'!AT:AT)*Crono!$H46</f>
        <v>0</v>
      </c>
      <c r="BT46" s="1202">
        <f>+SUMIF('AUX-NIV1'!$B:$B,Crono!$C46,'AUX-NIV1'!AU:AU)*Crono!$H46</f>
        <v>0</v>
      </c>
      <c r="BU46" s="1202"/>
    </row>
    <row r="47" spans="2:319" ht="15.6">
      <c r="B47" s="661">
        <v>81</v>
      </c>
      <c r="C47" s="646"/>
      <c r="D47" s="646"/>
      <c r="E47" s="647"/>
      <c r="F47" s="653" t="s">
        <v>1239</v>
      </c>
      <c r="G47" s="677">
        <v>2.4E-2</v>
      </c>
      <c r="H47" s="660">
        <v>1</v>
      </c>
      <c r="I47" s="656"/>
      <c r="J47" s="665">
        <f>Items!J42</f>
        <v>10034.090972418031</v>
      </c>
      <c r="K47" s="655"/>
      <c r="L47" s="656"/>
      <c r="M47" s="906">
        <v>2</v>
      </c>
      <c r="N47" s="907">
        <v>2</v>
      </c>
      <c r="O47" s="854">
        <f>+IF(C47&lt;&gt;"",VLOOKUP(C47,'AUX-NIV1'!B:AO,40,FALSE)*H47,0)</f>
        <v>0</v>
      </c>
      <c r="P47" s="803" t="str">
        <f t="shared" si="562"/>
        <v/>
      </c>
      <c r="Q47" s="804">
        <f t="shared" si="1055"/>
        <v>0</v>
      </c>
      <c r="R47" s="805">
        <f t="shared" si="1055"/>
        <v>0</v>
      </c>
      <c r="S47" s="805">
        <f t="shared" si="1055"/>
        <v>0</v>
      </c>
      <c r="T47" s="805">
        <f t="shared" si="1055"/>
        <v>1</v>
      </c>
      <c r="U47" s="805">
        <f t="shared" si="1055"/>
        <v>0</v>
      </c>
      <c r="V47" s="805">
        <f t="shared" si="1055"/>
        <v>0</v>
      </c>
      <c r="W47" s="805">
        <f t="shared" si="1055"/>
        <v>0</v>
      </c>
      <c r="X47" s="805">
        <f t="shared" si="1055"/>
        <v>0</v>
      </c>
      <c r="Y47" s="805">
        <f t="shared" si="1055"/>
        <v>0</v>
      </c>
      <c r="Z47" s="805">
        <f t="shared" si="1055"/>
        <v>0</v>
      </c>
      <c r="AA47" s="805">
        <f t="shared" si="1055"/>
        <v>0</v>
      </c>
      <c r="AB47" s="805">
        <f t="shared" si="1055"/>
        <v>0</v>
      </c>
      <c r="AC47" s="805">
        <f t="shared" si="1055"/>
        <v>0</v>
      </c>
      <c r="AD47" s="805">
        <f t="shared" si="1055"/>
        <v>0</v>
      </c>
      <c r="AE47" s="805">
        <f t="shared" si="1055"/>
        <v>0</v>
      </c>
      <c r="AF47" s="805">
        <f t="shared" si="1055"/>
        <v>0</v>
      </c>
      <c r="AG47" s="805">
        <f t="shared" si="1054"/>
        <v>0</v>
      </c>
      <c r="AH47" s="805">
        <f t="shared" si="1054"/>
        <v>0</v>
      </c>
      <c r="AI47" s="805">
        <f t="shared" si="1054"/>
        <v>0</v>
      </c>
      <c r="AJ47" s="805">
        <f t="shared" si="1054"/>
        <v>0</v>
      </c>
      <c r="AK47" s="805">
        <f t="shared" si="1054"/>
        <v>0</v>
      </c>
      <c r="AL47" s="805">
        <f t="shared" si="1054"/>
        <v>0</v>
      </c>
      <c r="AM47" s="805">
        <f t="shared" si="1054"/>
        <v>0</v>
      </c>
      <c r="AN47" s="805">
        <f t="shared" si="1054"/>
        <v>0</v>
      </c>
      <c r="AO47" s="805">
        <f t="shared" si="1054"/>
        <v>0</v>
      </c>
      <c r="AP47" s="805">
        <f t="shared" si="1054"/>
        <v>0</v>
      </c>
      <c r="AQ47" s="805">
        <f t="shared" si="1054"/>
        <v>0</v>
      </c>
      <c r="AR47" s="805">
        <f t="shared" si="1054"/>
        <v>0</v>
      </c>
      <c r="AS47" s="805">
        <f t="shared" si="1054"/>
        <v>0</v>
      </c>
      <c r="AT47" s="805">
        <f t="shared" si="1054"/>
        <v>0</v>
      </c>
      <c r="AU47" s="805">
        <f t="shared" si="1056"/>
        <v>0</v>
      </c>
      <c r="AV47" s="805">
        <f t="shared" si="813"/>
        <v>0</v>
      </c>
      <c r="AW47" s="805">
        <f t="shared" si="1057"/>
        <v>0</v>
      </c>
      <c r="AX47" s="805">
        <f t="shared" si="1057"/>
        <v>0</v>
      </c>
      <c r="AY47" s="805">
        <f t="shared" si="1057"/>
        <v>0</v>
      </c>
      <c r="AZ47" s="805">
        <f t="shared" si="1057"/>
        <v>0</v>
      </c>
      <c r="BA47" s="805">
        <f t="shared" si="1057"/>
        <v>0</v>
      </c>
      <c r="BB47" s="805">
        <f t="shared" si="1057"/>
        <v>0</v>
      </c>
      <c r="BC47" s="805">
        <f t="shared" si="1057"/>
        <v>0</v>
      </c>
      <c r="BD47" s="805">
        <f t="shared" si="1057"/>
        <v>0</v>
      </c>
      <c r="BE47" s="805">
        <f t="shared" si="1057"/>
        <v>0</v>
      </c>
      <c r="BF47" s="805">
        <f t="shared" si="1057"/>
        <v>0</v>
      </c>
      <c r="BG47" s="805">
        <f t="shared" si="1057"/>
        <v>0</v>
      </c>
      <c r="BH47" s="805">
        <f t="shared" si="1057"/>
        <v>0</v>
      </c>
      <c r="BI47" s="805">
        <f t="shared" si="1057"/>
        <v>0</v>
      </c>
      <c r="BJ47" s="805">
        <f t="shared" si="1057"/>
        <v>0</v>
      </c>
      <c r="BK47" s="805">
        <f t="shared" si="1057"/>
        <v>0</v>
      </c>
      <c r="BL47" s="805">
        <f t="shared" si="815"/>
        <v>0</v>
      </c>
      <c r="BM47" s="806"/>
      <c r="BN47" s="785"/>
      <c r="BO47" s="1204"/>
      <c r="BP47" s="1203">
        <f>+SUMIF('AUX-NIV1'!$B:$B,Crono!$C47,'AUX-NIV1'!AQ:AQ)*Crono!$H47</f>
        <v>0</v>
      </c>
      <c r="BQ47" s="1202">
        <f>+SUMIF('AUX-NIV1'!$B:$B,Crono!$C47,'AUX-NIV1'!AR:AR)*Crono!$H47</f>
        <v>0</v>
      </c>
      <c r="BR47" s="1202">
        <f>+SUMIF('AUX-NIV1'!$B:$B,Crono!$C47,'AUX-NIV1'!AS:AS)*Crono!$H47</f>
        <v>0</v>
      </c>
      <c r="BS47" s="1202">
        <f>+SUMIF('AUX-NIV1'!$B:$B,Crono!$C47,'AUX-NIV1'!AT:AT)*Crono!$H47</f>
        <v>0</v>
      </c>
      <c r="BT47" s="1202">
        <f>+SUMIF('AUX-NIV1'!$B:$B,Crono!$C47,'AUX-NIV1'!AU:AU)*Crono!$H47</f>
        <v>0</v>
      </c>
      <c r="BU47" s="1202"/>
    </row>
    <row r="48" spans="2:319" ht="15.6">
      <c r="B48" s="661">
        <v>82</v>
      </c>
      <c r="C48" s="646"/>
      <c r="D48" s="646"/>
      <c r="E48" s="647"/>
      <c r="F48" s="653" t="s">
        <v>1240</v>
      </c>
      <c r="G48" s="677">
        <v>0.01</v>
      </c>
      <c r="H48" s="660">
        <v>1</v>
      </c>
      <c r="I48" s="656"/>
      <c r="J48" s="665">
        <f>Items!J43</f>
        <v>4180.8712385075123</v>
      </c>
      <c r="K48" s="655"/>
      <c r="L48" s="656"/>
      <c r="M48" s="906">
        <v>0.5</v>
      </c>
      <c r="N48" s="907">
        <v>2</v>
      </c>
      <c r="O48" s="854">
        <f>+IF(C48&lt;&gt;"",VLOOKUP(C48,'AUX-NIV1'!B:AO,40,FALSE)*H48,0)</f>
        <v>0</v>
      </c>
      <c r="P48" s="803" t="str">
        <f t="shared" si="562"/>
        <v/>
      </c>
      <c r="Q48" s="804">
        <f t="shared" si="1055"/>
        <v>0.25</v>
      </c>
      <c r="R48" s="805">
        <f t="shared" si="1055"/>
        <v>0.25</v>
      </c>
      <c r="S48" s="805">
        <f t="shared" si="1055"/>
        <v>0.25</v>
      </c>
      <c r="T48" s="805">
        <f t="shared" si="1055"/>
        <v>0.25</v>
      </c>
      <c r="U48" s="805">
        <f t="shared" si="1055"/>
        <v>0</v>
      </c>
      <c r="V48" s="805">
        <f t="shared" si="1055"/>
        <v>0</v>
      </c>
      <c r="W48" s="805">
        <f t="shared" si="1055"/>
        <v>0</v>
      </c>
      <c r="X48" s="805">
        <f t="shared" si="1055"/>
        <v>0</v>
      </c>
      <c r="Y48" s="805">
        <f t="shared" si="1055"/>
        <v>0</v>
      </c>
      <c r="Z48" s="805">
        <f t="shared" si="1055"/>
        <v>0</v>
      </c>
      <c r="AA48" s="805">
        <f t="shared" si="1055"/>
        <v>0</v>
      </c>
      <c r="AB48" s="805">
        <f t="shared" si="1055"/>
        <v>0</v>
      </c>
      <c r="AC48" s="805">
        <f t="shared" si="1055"/>
        <v>0</v>
      </c>
      <c r="AD48" s="805">
        <f t="shared" si="1055"/>
        <v>0</v>
      </c>
      <c r="AE48" s="805">
        <f t="shared" si="1055"/>
        <v>0</v>
      </c>
      <c r="AF48" s="805">
        <f t="shared" si="1055"/>
        <v>0</v>
      </c>
      <c r="AG48" s="805">
        <f t="shared" si="1054"/>
        <v>0</v>
      </c>
      <c r="AH48" s="805">
        <f t="shared" si="1054"/>
        <v>0</v>
      </c>
      <c r="AI48" s="805">
        <f t="shared" si="1054"/>
        <v>0</v>
      </c>
      <c r="AJ48" s="805">
        <f t="shared" si="1054"/>
        <v>0</v>
      </c>
      <c r="AK48" s="805">
        <f t="shared" si="1054"/>
        <v>0</v>
      </c>
      <c r="AL48" s="805">
        <f t="shared" si="1054"/>
        <v>0</v>
      </c>
      <c r="AM48" s="805">
        <f t="shared" si="1054"/>
        <v>0</v>
      </c>
      <c r="AN48" s="805">
        <f t="shared" si="1054"/>
        <v>0</v>
      </c>
      <c r="AO48" s="805">
        <f t="shared" si="1054"/>
        <v>0</v>
      </c>
      <c r="AP48" s="805">
        <f t="shared" si="1054"/>
        <v>0</v>
      </c>
      <c r="AQ48" s="805">
        <f t="shared" si="1054"/>
        <v>0</v>
      </c>
      <c r="AR48" s="805">
        <f t="shared" si="1054"/>
        <v>0</v>
      </c>
      <c r="AS48" s="805">
        <f t="shared" si="1054"/>
        <v>0</v>
      </c>
      <c r="AT48" s="805">
        <f t="shared" si="1054"/>
        <v>0</v>
      </c>
      <c r="AU48" s="805">
        <f t="shared" si="1056"/>
        <v>0</v>
      </c>
      <c r="AV48" s="805">
        <f t="shared" si="813"/>
        <v>0</v>
      </c>
      <c r="AW48" s="805">
        <f t="shared" si="1057"/>
        <v>0</v>
      </c>
      <c r="AX48" s="805">
        <f t="shared" si="1057"/>
        <v>0</v>
      </c>
      <c r="AY48" s="805">
        <f t="shared" si="1057"/>
        <v>0</v>
      </c>
      <c r="AZ48" s="805">
        <f t="shared" si="1057"/>
        <v>0</v>
      </c>
      <c r="BA48" s="805">
        <f t="shared" si="1057"/>
        <v>0</v>
      </c>
      <c r="BB48" s="805">
        <f t="shared" si="1057"/>
        <v>0</v>
      </c>
      <c r="BC48" s="805">
        <f t="shared" si="1057"/>
        <v>0</v>
      </c>
      <c r="BD48" s="805">
        <f t="shared" si="1057"/>
        <v>0</v>
      </c>
      <c r="BE48" s="805">
        <f t="shared" si="1057"/>
        <v>0</v>
      </c>
      <c r="BF48" s="805">
        <f t="shared" si="1057"/>
        <v>0</v>
      </c>
      <c r="BG48" s="805">
        <f t="shared" si="1057"/>
        <v>0</v>
      </c>
      <c r="BH48" s="805">
        <f t="shared" si="1057"/>
        <v>0</v>
      </c>
      <c r="BI48" s="805">
        <f t="shared" si="1057"/>
        <v>0</v>
      </c>
      <c r="BJ48" s="805">
        <f t="shared" si="1057"/>
        <v>0</v>
      </c>
      <c r="BK48" s="805">
        <f t="shared" si="1057"/>
        <v>0</v>
      </c>
      <c r="BL48" s="805">
        <f t="shared" si="815"/>
        <v>0</v>
      </c>
      <c r="BM48" s="806"/>
      <c r="BN48" s="785"/>
      <c r="BO48" s="1204"/>
      <c r="BP48" s="1203">
        <f>+SUMIF('AUX-NIV1'!$B:$B,Crono!$C48,'AUX-NIV1'!AQ:AQ)*Crono!$H48</f>
        <v>0</v>
      </c>
      <c r="BQ48" s="1202">
        <f>+SUMIF('AUX-NIV1'!$B:$B,Crono!$C48,'AUX-NIV1'!AR:AR)*Crono!$H48</f>
        <v>0</v>
      </c>
      <c r="BR48" s="1202">
        <f>+SUMIF('AUX-NIV1'!$B:$B,Crono!$C48,'AUX-NIV1'!AS:AS)*Crono!$H48</f>
        <v>0</v>
      </c>
      <c r="BS48" s="1202">
        <f>+SUMIF('AUX-NIV1'!$B:$B,Crono!$C48,'AUX-NIV1'!AT:AT)*Crono!$H48</f>
        <v>0</v>
      </c>
      <c r="BT48" s="1202">
        <f>+SUMIF('AUX-NIV1'!$B:$B,Crono!$C48,'AUX-NIV1'!AU:AU)*Crono!$H48</f>
        <v>0</v>
      </c>
      <c r="BU48" s="1202"/>
    </row>
    <row r="49" spans="2:73" ht="15.6">
      <c r="B49" s="661" t="s">
        <v>1326</v>
      </c>
      <c r="C49" s="646"/>
      <c r="D49" s="646"/>
      <c r="E49" s="647"/>
      <c r="F49" s="653" t="s">
        <v>1241</v>
      </c>
      <c r="G49" s="677"/>
      <c r="H49" s="655">
        <v>1</v>
      </c>
      <c r="I49" s="656"/>
      <c r="J49" s="665">
        <f>Items!J44</f>
        <v>0</v>
      </c>
      <c r="K49" s="655"/>
      <c r="L49" s="656"/>
      <c r="M49" s="906">
        <v>0.5</v>
      </c>
      <c r="N49" s="907">
        <v>0.5</v>
      </c>
      <c r="O49" s="854">
        <f>+IF(C49&lt;&gt;"",VLOOKUP(C49,'AUX-NIV1'!B:AO,40,FALSE)*H49,0)</f>
        <v>0</v>
      </c>
      <c r="P49" s="803" t="str">
        <f t="shared" si="562"/>
        <v/>
      </c>
      <c r="Q49" s="804">
        <f t="shared" si="1055"/>
        <v>1</v>
      </c>
      <c r="R49" s="805">
        <f t="shared" si="1055"/>
        <v>0</v>
      </c>
      <c r="S49" s="805">
        <f t="shared" si="1055"/>
        <v>0</v>
      </c>
      <c r="T49" s="805">
        <f t="shared" si="1055"/>
        <v>0</v>
      </c>
      <c r="U49" s="805">
        <f t="shared" si="1055"/>
        <v>0</v>
      </c>
      <c r="V49" s="805">
        <f t="shared" si="1055"/>
        <v>0</v>
      </c>
      <c r="W49" s="805">
        <f t="shared" si="1055"/>
        <v>0</v>
      </c>
      <c r="X49" s="805">
        <f t="shared" si="1055"/>
        <v>0</v>
      </c>
      <c r="Y49" s="805">
        <f t="shared" si="1055"/>
        <v>0</v>
      </c>
      <c r="Z49" s="805">
        <f t="shared" si="1055"/>
        <v>0</v>
      </c>
      <c r="AA49" s="805">
        <f t="shared" si="1055"/>
        <v>0</v>
      </c>
      <c r="AB49" s="805">
        <f t="shared" si="1055"/>
        <v>0</v>
      </c>
      <c r="AC49" s="805">
        <f t="shared" si="1055"/>
        <v>0</v>
      </c>
      <c r="AD49" s="805">
        <f t="shared" si="1055"/>
        <v>0</v>
      </c>
      <c r="AE49" s="805">
        <f t="shared" si="1055"/>
        <v>0</v>
      </c>
      <c r="AF49" s="805">
        <f t="shared" si="1055"/>
        <v>0</v>
      </c>
      <c r="AG49" s="805">
        <f t="shared" si="1054"/>
        <v>0</v>
      </c>
      <c r="AH49" s="805">
        <f t="shared" si="1054"/>
        <v>0</v>
      </c>
      <c r="AI49" s="805">
        <f t="shared" si="1054"/>
        <v>0</v>
      </c>
      <c r="AJ49" s="805">
        <f t="shared" si="1054"/>
        <v>0</v>
      </c>
      <c r="AK49" s="805">
        <f t="shared" si="1054"/>
        <v>0</v>
      </c>
      <c r="AL49" s="805">
        <f t="shared" si="1054"/>
        <v>0</v>
      </c>
      <c r="AM49" s="805">
        <f t="shared" si="1054"/>
        <v>0</v>
      </c>
      <c r="AN49" s="805">
        <f t="shared" si="1054"/>
        <v>0</v>
      </c>
      <c r="AO49" s="805">
        <f t="shared" si="1054"/>
        <v>0</v>
      </c>
      <c r="AP49" s="805">
        <f t="shared" si="1054"/>
        <v>0</v>
      </c>
      <c r="AQ49" s="805">
        <f t="shared" si="1054"/>
        <v>0</v>
      </c>
      <c r="AR49" s="805">
        <f t="shared" si="1054"/>
        <v>0</v>
      </c>
      <c r="AS49" s="805">
        <f t="shared" si="1054"/>
        <v>0</v>
      </c>
      <c r="AT49" s="805">
        <f t="shared" si="1054"/>
        <v>0</v>
      </c>
      <c r="AU49" s="805">
        <f t="shared" si="1056"/>
        <v>0</v>
      </c>
      <c r="AV49" s="805">
        <f t="shared" si="813"/>
        <v>0</v>
      </c>
      <c r="AW49" s="805">
        <f t="shared" si="1057"/>
        <v>0</v>
      </c>
      <c r="AX49" s="805">
        <f t="shared" si="1057"/>
        <v>0</v>
      </c>
      <c r="AY49" s="805">
        <f t="shared" si="1057"/>
        <v>0</v>
      </c>
      <c r="AZ49" s="805">
        <f t="shared" si="1057"/>
        <v>0</v>
      </c>
      <c r="BA49" s="805">
        <f t="shared" si="1057"/>
        <v>0</v>
      </c>
      <c r="BB49" s="805">
        <f t="shared" si="1057"/>
        <v>0</v>
      </c>
      <c r="BC49" s="805">
        <f t="shared" si="1057"/>
        <v>0</v>
      </c>
      <c r="BD49" s="805">
        <f t="shared" si="1057"/>
        <v>0</v>
      </c>
      <c r="BE49" s="805">
        <f t="shared" si="1057"/>
        <v>0</v>
      </c>
      <c r="BF49" s="805">
        <f t="shared" si="1057"/>
        <v>0</v>
      </c>
      <c r="BG49" s="805">
        <f t="shared" si="1057"/>
        <v>0</v>
      </c>
      <c r="BH49" s="805">
        <f t="shared" si="1057"/>
        <v>0</v>
      </c>
      <c r="BI49" s="805">
        <f t="shared" si="1057"/>
        <v>0</v>
      </c>
      <c r="BJ49" s="805">
        <f t="shared" si="1057"/>
        <v>0</v>
      </c>
      <c r="BK49" s="805">
        <f t="shared" si="1057"/>
        <v>0</v>
      </c>
      <c r="BL49" s="805">
        <f t="shared" si="815"/>
        <v>0</v>
      </c>
      <c r="BM49" s="806"/>
      <c r="BN49" s="785"/>
      <c r="BO49" s="1204"/>
      <c r="BP49" s="1203">
        <f>+SUMIF('AUX-NIV1'!$B:$B,Crono!$C49,'AUX-NIV1'!AQ:AQ)*Crono!$H49</f>
        <v>0</v>
      </c>
      <c r="BQ49" s="1202">
        <f>+SUMIF('AUX-NIV1'!$B:$B,Crono!$C49,'AUX-NIV1'!AR:AR)*Crono!$H49</f>
        <v>0</v>
      </c>
      <c r="BR49" s="1202">
        <f>+SUMIF('AUX-NIV1'!$B:$B,Crono!$C49,'AUX-NIV1'!AS:AS)*Crono!$H49</f>
        <v>0</v>
      </c>
      <c r="BS49" s="1202">
        <f>+SUMIF('AUX-NIV1'!$B:$B,Crono!$C49,'AUX-NIV1'!AT:AT)*Crono!$H49</f>
        <v>0</v>
      </c>
      <c r="BT49" s="1202">
        <f>+SUMIF('AUX-NIV1'!$B:$B,Crono!$C49,'AUX-NIV1'!AU:AU)*Crono!$H49</f>
        <v>0</v>
      </c>
      <c r="BU49" s="1202"/>
    </row>
    <row r="50" spans="2:73" ht="15.6">
      <c r="B50" s="661" t="s">
        <v>1326</v>
      </c>
      <c r="C50" s="646"/>
      <c r="D50" s="646"/>
      <c r="E50" s="647"/>
      <c r="F50" s="653" t="s">
        <v>1242</v>
      </c>
      <c r="G50" s="677"/>
      <c r="H50" s="655">
        <v>1</v>
      </c>
      <c r="I50" s="656"/>
      <c r="J50" s="665">
        <f>Items!J45</f>
        <v>0</v>
      </c>
      <c r="K50" s="655"/>
      <c r="L50" s="656"/>
      <c r="M50" s="906"/>
      <c r="N50" s="907"/>
      <c r="O50" s="854">
        <f>+IF(C50&lt;&gt;"",VLOOKUP(C50,'AUX-NIV1'!B:AO,40,FALSE)*H50,0)</f>
        <v>0</v>
      </c>
      <c r="P50" s="803" t="str">
        <f t="shared" si="562"/>
        <v/>
      </c>
      <c r="Q50" s="804">
        <f t="shared" si="1055"/>
        <v>0</v>
      </c>
      <c r="R50" s="805">
        <f t="shared" si="1055"/>
        <v>0</v>
      </c>
      <c r="S50" s="805">
        <f t="shared" si="1055"/>
        <v>0</v>
      </c>
      <c r="T50" s="805">
        <f t="shared" si="1055"/>
        <v>0</v>
      </c>
      <c r="U50" s="805">
        <f t="shared" si="1055"/>
        <v>0</v>
      </c>
      <c r="V50" s="805">
        <f t="shared" si="1055"/>
        <v>0</v>
      </c>
      <c r="W50" s="805">
        <f t="shared" si="1055"/>
        <v>0</v>
      </c>
      <c r="X50" s="805">
        <f t="shared" si="1055"/>
        <v>0</v>
      </c>
      <c r="Y50" s="805">
        <f t="shared" si="1055"/>
        <v>0</v>
      </c>
      <c r="Z50" s="805">
        <f t="shared" si="1055"/>
        <v>0</v>
      </c>
      <c r="AA50" s="805">
        <f t="shared" si="1055"/>
        <v>0</v>
      </c>
      <c r="AB50" s="805">
        <f t="shared" si="1055"/>
        <v>0</v>
      </c>
      <c r="AC50" s="805">
        <f t="shared" si="1055"/>
        <v>0</v>
      </c>
      <c r="AD50" s="805">
        <f t="shared" si="1055"/>
        <v>0</v>
      </c>
      <c r="AE50" s="805">
        <f t="shared" si="1055"/>
        <v>0</v>
      </c>
      <c r="AF50" s="805">
        <f t="shared" si="1055"/>
        <v>0</v>
      </c>
      <c r="AG50" s="805">
        <f t="shared" ref="AG50:AT59" si="1058">IF(AND($H50&gt;0,AG$7&gt;0),+IF(AND($M50&lt;=AG$7,$N50&gt;=AG$7),IF($W$6="QUINCENAL",1/(($N50-$M50)/0.5+1),1/($N50-$M50+1)),0),0)</f>
        <v>0</v>
      </c>
      <c r="AH50" s="805">
        <f t="shared" si="1058"/>
        <v>0</v>
      </c>
      <c r="AI50" s="805">
        <f t="shared" si="1058"/>
        <v>0</v>
      </c>
      <c r="AJ50" s="805">
        <f t="shared" si="1058"/>
        <v>0</v>
      </c>
      <c r="AK50" s="805">
        <f t="shared" si="1058"/>
        <v>0</v>
      </c>
      <c r="AL50" s="805">
        <f t="shared" si="1058"/>
        <v>0</v>
      </c>
      <c r="AM50" s="805">
        <f t="shared" si="1058"/>
        <v>0</v>
      </c>
      <c r="AN50" s="805">
        <f t="shared" si="1058"/>
        <v>0</v>
      </c>
      <c r="AO50" s="805">
        <f t="shared" si="1058"/>
        <v>0</v>
      </c>
      <c r="AP50" s="805">
        <f t="shared" si="1058"/>
        <v>0</v>
      </c>
      <c r="AQ50" s="805">
        <f t="shared" si="1058"/>
        <v>0</v>
      </c>
      <c r="AR50" s="805">
        <f t="shared" si="1058"/>
        <v>0</v>
      </c>
      <c r="AS50" s="805">
        <f t="shared" si="1058"/>
        <v>0</v>
      </c>
      <c r="AT50" s="805">
        <f t="shared" si="1058"/>
        <v>0</v>
      </c>
      <c r="AU50" s="805">
        <f t="shared" si="1056"/>
        <v>0</v>
      </c>
      <c r="AV50" s="805">
        <f t="shared" si="813"/>
        <v>0</v>
      </c>
      <c r="AW50" s="805">
        <f t="shared" si="1057"/>
        <v>0</v>
      </c>
      <c r="AX50" s="805">
        <f t="shared" si="1057"/>
        <v>0</v>
      </c>
      <c r="AY50" s="805">
        <f t="shared" si="1057"/>
        <v>0</v>
      </c>
      <c r="AZ50" s="805">
        <f t="shared" si="1057"/>
        <v>0</v>
      </c>
      <c r="BA50" s="805">
        <f t="shared" si="1057"/>
        <v>0</v>
      </c>
      <c r="BB50" s="805">
        <f t="shared" si="1057"/>
        <v>0</v>
      </c>
      <c r="BC50" s="805">
        <f t="shared" si="1057"/>
        <v>0</v>
      </c>
      <c r="BD50" s="805">
        <f t="shared" si="1057"/>
        <v>0</v>
      </c>
      <c r="BE50" s="805">
        <f t="shared" si="1057"/>
        <v>0</v>
      </c>
      <c r="BF50" s="805">
        <f t="shared" si="1057"/>
        <v>0</v>
      </c>
      <c r="BG50" s="805">
        <f t="shared" si="1057"/>
        <v>0</v>
      </c>
      <c r="BH50" s="805">
        <f t="shared" si="1057"/>
        <v>0</v>
      </c>
      <c r="BI50" s="805">
        <f t="shared" si="1057"/>
        <v>0</v>
      </c>
      <c r="BJ50" s="805">
        <f t="shared" si="1057"/>
        <v>0</v>
      </c>
      <c r="BK50" s="805">
        <f t="shared" si="1057"/>
        <v>0</v>
      </c>
      <c r="BL50" s="805">
        <f t="shared" si="815"/>
        <v>0</v>
      </c>
      <c r="BM50" s="806"/>
      <c r="BN50" s="785"/>
      <c r="BO50" s="1204"/>
      <c r="BP50" s="1203">
        <f>+SUMIF('AUX-NIV1'!$B:$B,Crono!$C50,'AUX-NIV1'!AQ:AQ)*Crono!$H50</f>
        <v>0</v>
      </c>
      <c r="BQ50" s="1202">
        <f>+SUMIF('AUX-NIV1'!$B:$B,Crono!$C50,'AUX-NIV1'!AR:AR)*Crono!$H50</f>
        <v>0</v>
      </c>
      <c r="BR50" s="1202">
        <f>+SUMIF('AUX-NIV1'!$B:$B,Crono!$C50,'AUX-NIV1'!AS:AS)*Crono!$H50</f>
        <v>0</v>
      </c>
      <c r="BS50" s="1202">
        <f>+SUMIF('AUX-NIV1'!$B:$B,Crono!$C50,'AUX-NIV1'!AT:AT)*Crono!$H50</f>
        <v>0</v>
      </c>
      <c r="BT50" s="1202">
        <f>+SUMIF('AUX-NIV1'!$B:$B,Crono!$C50,'AUX-NIV1'!AU:AU)*Crono!$H50</f>
        <v>0</v>
      </c>
      <c r="BU50" s="1202"/>
    </row>
    <row r="51" spans="2:73" ht="15.6">
      <c r="B51" s="661" t="s">
        <v>1326</v>
      </c>
      <c r="C51" s="646"/>
      <c r="D51" s="646"/>
      <c r="E51" s="647"/>
      <c r="F51" s="653" t="s">
        <v>1243</v>
      </c>
      <c r="G51" s="677"/>
      <c r="H51" s="660">
        <v>1</v>
      </c>
      <c r="I51" s="656"/>
      <c r="J51" s="665">
        <f>Items!J46</f>
        <v>0</v>
      </c>
      <c r="K51" s="660"/>
      <c r="L51" s="656"/>
      <c r="M51" s="906"/>
      <c r="N51" s="907"/>
      <c r="O51" s="854">
        <f>+IF(C51&lt;&gt;"",VLOOKUP(C51,'AUX-NIV1'!B:AO,40,FALSE)*H51,0)</f>
        <v>0</v>
      </c>
      <c r="P51" s="803" t="str">
        <f t="shared" si="562"/>
        <v/>
      </c>
      <c r="Q51" s="804">
        <f t="shared" ref="Q51:AF60" si="1059">IF(AND($H51&gt;0,Q$7&gt;0),+IF(AND($M51&lt;=Q$7,$N51&gt;=Q$7),IF($W$6="QUINCENAL",1/(($N51-$M51)/0.5+1),1/($N51-$M51+1)),0),0)</f>
        <v>0</v>
      </c>
      <c r="R51" s="805">
        <f t="shared" si="1059"/>
        <v>0</v>
      </c>
      <c r="S51" s="805">
        <f t="shared" si="1059"/>
        <v>0</v>
      </c>
      <c r="T51" s="805">
        <f t="shared" si="1059"/>
        <v>0</v>
      </c>
      <c r="U51" s="805">
        <f t="shared" si="1059"/>
        <v>0</v>
      </c>
      <c r="V51" s="805">
        <f t="shared" si="1059"/>
        <v>0</v>
      </c>
      <c r="W51" s="805">
        <f t="shared" si="1059"/>
        <v>0</v>
      </c>
      <c r="X51" s="805">
        <f t="shared" si="1059"/>
        <v>0</v>
      </c>
      <c r="Y51" s="805">
        <f t="shared" si="1059"/>
        <v>0</v>
      </c>
      <c r="Z51" s="805">
        <f t="shared" si="1059"/>
        <v>0</v>
      </c>
      <c r="AA51" s="805">
        <f t="shared" si="1059"/>
        <v>0</v>
      </c>
      <c r="AB51" s="805">
        <f t="shared" si="1059"/>
        <v>0</v>
      </c>
      <c r="AC51" s="805">
        <f t="shared" si="1059"/>
        <v>0</v>
      </c>
      <c r="AD51" s="805">
        <f t="shared" si="1059"/>
        <v>0</v>
      </c>
      <c r="AE51" s="805">
        <f t="shared" si="1059"/>
        <v>0</v>
      </c>
      <c r="AF51" s="805">
        <f t="shared" si="1059"/>
        <v>0</v>
      </c>
      <c r="AG51" s="805">
        <f t="shared" si="1058"/>
        <v>0</v>
      </c>
      <c r="AH51" s="805">
        <f t="shared" si="1058"/>
        <v>0</v>
      </c>
      <c r="AI51" s="805">
        <f t="shared" si="1058"/>
        <v>0</v>
      </c>
      <c r="AJ51" s="805">
        <f t="shared" si="1058"/>
        <v>0</v>
      </c>
      <c r="AK51" s="805">
        <f t="shared" si="1058"/>
        <v>0</v>
      </c>
      <c r="AL51" s="805">
        <f t="shared" si="1058"/>
        <v>0</v>
      </c>
      <c r="AM51" s="805">
        <f t="shared" si="1058"/>
        <v>0</v>
      </c>
      <c r="AN51" s="805">
        <f t="shared" si="1058"/>
        <v>0</v>
      </c>
      <c r="AO51" s="805">
        <f t="shared" si="1058"/>
        <v>0</v>
      </c>
      <c r="AP51" s="805">
        <f t="shared" si="1058"/>
        <v>0</v>
      </c>
      <c r="AQ51" s="805">
        <f t="shared" si="1058"/>
        <v>0</v>
      </c>
      <c r="AR51" s="805">
        <f t="shared" si="1058"/>
        <v>0</v>
      </c>
      <c r="AS51" s="805">
        <f t="shared" si="1058"/>
        <v>0</v>
      </c>
      <c r="AT51" s="805">
        <f t="shared" si="1058"/>
        <v>0</v>
      </c>
      <c r="AU51" s="805">
        <f t="shared" si="1056"/>
        <v>0</v>
      </c>
      <c r="AV51" s="805">
        <f t="shared" si="813"/>
        <v>0</v>
      </c>
      <c r="AW51" s="805">
        <f t="shared" si="1057"/>
        <v>0</v>
      </c>
      <c r="AX51" s="805">
        <f t="shared" si="1057"/>
        <v>0</v>
      </c>
      <c r="AY51" s="805">
        <f t="shared" si="1057"/>
        <v>0</v>
      </c>
      <c r="AZ51" s="805">
        <f t="shared" si="1057"/>
        <v>0</v>
      </c>
      <c r="BA51" s="805">
        <f t="shared" si="1057"/>
        <v>0</v>
      </c>
      <c r="BB51" s="805">
        <f t="shared" si="1057"/>
        <v>0</v>
      </c>
      <c r="BC51" s="805">
        <f t="shared" si="1057"/>
        <v>0</v>
      </c>
      <c r="BD51" s="805">
        <f t="shared" si="1057"/>
        <v>0</v>
      </c>
      <c r="BE51" s="805">
        <f t="shared" si="1057"/>
        <v>0</v>
      </c>
      <c r="BF51" s="805">
        <f t="shared" si="1057"/>
        <v>0</v>
      </c>
      <c r="BG51" s="805">
        <f t="shared" si="1057"/>
        <v>0</v>
      </c>
      <c r="BH51" s="805">
        <f t="shared" si="1057"/>
        <v>0</v>
      </c>
      <c r="BI51" s="805">
        <f t="shared" si="1057"/>
        <v>0</v>
      </c>
      <c r="BJ51" s="805">
        <f t="shared" si="1057"/>
        <v>0</v>
      </c>
      <c r="BK51" s="805">
        <f t="shared" si="1057"/>
        <v>0</v>
      </c>
      <c r="BL51" s="805">
        <f t="shared" si="815"/>
        <v>0</v>
      </c>
      <c r="BM51" s="806"/>
      <c r="BN51" s="785"/>
      <c r="BO51" s="1204"/>
      <c r="BP51" s="1203">
        <f>+SUMIF('AUX-NIV1'!$B:$B,Crono!$C51,'AUX-NIV1'!AQ:AQ)*Crono!$H51</f>
        <v>0</v>
      </c>
      <c r="BQ51" s="1202">
        <f>+SUMIF('AUX-NIV1'!$B:$B,Crono!$C51,'AUX-NIV1'!AR:AR)*Crono!$H51</f>
        <v>0</v>
      </c>
      <c r="BR51" s="1202">
        <f>+SUMIF('AUX-NIV1'!$B:$B,Crono!$C51,'AUX-NIV1'!AS:AS)*Crono!$H51</f>
        <v>0</v>
      </c>
      <c r="BS51" s="1202">
        <f>+SUMIF('AUX-NIV1'!$B:$B,Crono!$C51,'AUX-NIV1'!AT:AT)*Crono!$H51</f>
        <v>0</v>
      </c>
      <c r="BT51" s="1202">
        <f>+SUMIF('AUX-NIV1'!$B:$B,Crono!$C51,'AUX-NIV1'!AU:AU)*Crono!$H51</f>
        <v>0</v>
      </c>
      <c r="BU51" s="1202"/>
    </row>
    <row r="52" spans="2:73" ht="15.6">
      <c r="B52" s="661" t="s">
        <v>1326</v>
      </c>
      <c r="C52" s="646"/>
      <c r="D52" s="646"/>
      <c r="E52" s="647"/>
      <c r="F52" s="653" t="s">
        <v>1244</v>
      </c>
      <c r="G52" s="677"/>
      <c r="H52" s="655">
        <v>1</v>
      </c>
      <c r="I52" s="656"/>
      <c r="J52" s="665">
        <f>Items!J47</f>
        <v>0</v>
      </c>
      <c r="K52" s="655"/>
      <c r="L52" s="656"/>
      <c r="M52" s="906"/>
      <c r="N52" s="907"/>
      <c r="O52" s="854">
        <f>+IF(C52&lt;&gt;"",VLOOKUP(C52,'AUX-NIV1'!B:AO,40,FALSE)*H52,0)</f>
        <v>0</v>
      </c>
      <c r="P52" s="803" t="str">
        <f t="shared" si="562"/>
        <v/>
      </c>
      <c r="Q52" s="804">
        <f t="shared" si="1059"/>
        <v>0</v>
      </c>
      <c r="R52" s="805">
        <f t="shared" si="1059"/>
        <v>0</v>
      </c>
      <c r="S52" s="805">
        <f t="shared" si="1059"/>
        <v>0</v>
      </c>
      <c r="T52" s="805">
        <f t="shared" si="1059"/>
        <v>0</v>
      </c>
      <c r="U52" s="805">
        <f t="shared" si="1059"/>
        <v>0</v>
      </c>
      <c r="V52" s="805">
        <f t="shared" si="1059"/>
        <v>0</v>
      </c>
      <c r="W52" s="805">
        <f t="shared" si="1059"/>
        <v>0</v>
      </c>
      <c r="X52" s="805">
        <f t="shared" si="1059"/>
        <v>0</v>
      </c>
      <c r="Y52" s="805">
        <f t="shared" si="1059"/>
        <v>0</v>
      </c>
      <c r="Z52" s="805">
        <f t="shared" si="1059"/>
        <v>0</v>
      </c>
      <c r="AA52" s="805">
        <f t="shared" si="1059"/>
        <v>0</v>
      </c>
      <c r="AB52" s="805">
        <f t="shared" si="1059"/>
        <v>0</v>
      </c>
      <c r="AC52" s="805">
        <f t="shared" si="1059"/>
        <v>0</v>
      </c>
      <c r="AD52" s="805">
        <f t="shared" si="1059"/>
        <v>0</v>
      </c>
      <c r="AE52" s="805">
        <f t="shared" si="1059"/>
        <v>0</v>
      </c>
      <c r="AF52" s="805">
        <f t="shared" si="1059"/>
        <v>0</v>
      </c>
      <c r="AG52" s="805">
        <f t="shared" si="1058"/>
        <v>0</v>
      </c>
      <c r="AH52" s="805">
        <f t="shared" si="1058"/>
        <v>0</v>
      </c>
      <c r="AI52" s="805">
        <f t="shared" si="1058"/>
        <v>0</v>
      </c>
      <c r="AJ52" s="805">
        <f t="shared" si="1058"/>
        <v>0</v>
      </c>
      <c r="AK52" s="805">
        <f t="shared" si="1058"/>
        <v>0</v>
      </c>
      <c r="AL52" s="805">
        <f t="shared" si="1058"/>
        <v>0</v>
      </c>
      <c r="AM52" s="805">
        <f t="shared" si="1058"/>
        <v>0</v>
      </c>
      <c r="AN52" s="805">
        <f t="shared" si="1058"/>
        <v>0</v>
      </c>
      <c r="AO52" s="805">
        <f t="shared" si="1058"/>
        <v>0</v>
      </c>
      <c r="AP52" s="805">
        <f t="shared" si="1058"/>
        <v>0</v>
      </c>
      <c r="AQ52" s="805">
        <f t="shared" si="1058"/>
        <v>0</v>
      </c>
      <c r="AR52" s="805">
        <f t="shared" si="1058"/>
        <v>0</v>
      </c>
      <c r="AS52" s="805">
        <f t="shared" si="1058"/>
        <v>0</v>
      </c>
      <c r="AT52" s="805">
        <f t="shared" si="1058"/>
        <v>0</v>
      </c>
      <c r="AU52" s="805">
        <f t="shared" si="1056"/>
        <v>0</v>
      </c>
      <c r="AV52" s="805">
        <f t="shared" si="813"/>
        <v>0</v>
      </c>
      <c r="AW52" s="805">
        <f t="shared" si="1057"/>
        <v>0</v>
      </c>
      <c r="AX52" s="805">
        <f t="shared" si="1057"/>
        <v>0</v>
      </c>
      <c r="AY52" s="805">
        <f t="shared" si="1057"/>
        <v>0</v>
      </c>
      <c r="AZ52" s="805">
        <f t="shared" si="1057"/>
        <v>0</v>
      </c>
      <c r="BA52" s="805">
        <f t="shared" si="1057"/>
        <v>0</v>
      </c>
      <c r="BB52" s="805">
        <f t="shared" si="1057"/>
        <v>0</v>
      </c>
      <c r="BC52" s="805">
        <f t="shared" si="1057"/>
        <v>0</v>
      </c>
      <c r="BD52" s="805">
        <f t="shared" si="1057"/>
        <v>0</v>
      </c>
      <c r="BE52" s="805">
        <f t="shared" si="1057"/>
        <v>0</v>
      </c>
      <c r="BF52" s="805">
        <f t="shared" si="1057"/>
        <v>0</v>
      </c>
      <c r="BG52" s="805">
        <f t="shared" si="1057"/>
        <v>0</v>
      </c>
      <c r="BH52" s="805">
        <f t="shared" si="1057"/>
        <v>0</v>
      </c>
      <c r="BI52" s="805">
        <f t="shared" si="1057"/>
        <v>0</v>
      </c>
      <c r="BJ52" s="805">
        <f t="shared" si="1057"/>
        <v>0</v>
      </c>
      <c r="BK52" s="805">
        <f t="shared" si="1057"/>
        <v>0</v>
      </c>
      <c r="BL52" s="805">
        <f t="shared" si="815"/>
        <v>0</v>
      </c>
      <c r="BM52" s="806"/>
      <c r="BN52" s="785"/>
      <c r="BO52" s="1204"/>
      <c r="BP52" s="1203">
        <f>+SUMIF('AUX-NIV1'!$B:$B,Crono!$C52,'AUX-NIV1'!AQ:AQ)*Crono!$H52</f>
        <v>0</v>
      </c>
      <c r="BQ52" s="1202">
        <f>+SUMIF('AUX-NIV1'!$B:$B,Crono!$C52,'AUX-NIV1'!AR:AR)*Crono!$H52</f>
        <v>0</v>
      </c>
      <c r="BR52" s="1202">
        <f>+SUMIF('AUX-NIV1'!$B:$B,Crono!$C52,'AUX-NIV1'!AS:AS)*Crono!$H52</f>
        <v>0</v>
      </c>
      <c r="BS52" s="1202">
        <f>+SUMIF('AUX-NIV1'!$B:$B,Crono!$C52,'AUX-NIV1'!AT:AT)*Crono!$H52</f>
        <v>0</v>
      </c>
      <c r="BT52" s="1202">
        <f>+SUMIF('AUX-NIV1'!$B:$B,Crono!$C52,'AUX-NIV1'!AU:AU)*Crono!$H52</f>
        <v>0</v>
      </c>
      <c r="BU52" s="1202"/>
    </row>
    <row r="53" spans="2:73" ht="15.6">
      <c r="B53" s="661">
        <v>83</v>
      </c>
      <c r="C53" s="646"/>
      <c r="D53" s="646"/>
      <c r="E53" s="647"/>
      <c r="F53" s="653" t="s">
        <v>1245</v>
      </c>
      <c r="G53" s="677">
        <v>0.01</v>
      </c>
      <c r="H53" s="660">
        <v>1</v>
      </c>
      <c r="I53" s="656"/>
      <c r="J53" s="665">
        <f>Items!J48</f>
        <v>4180.8712385075123</v>
      </c>
      <c r="K53" s="655"/>
      <c r="L53" s="656"/>
      <c r="M53" s="906"/>
      <c r="N53" s="907"/>
      <c r="O53" s="854">
        <f>+IF(C53&lt;&gt;"",VLOOKUP(C53,'AUX-NIV1'!B:AO,40,FALSE)*H53,0)</f>
        <v>0</v>
      </c>
      <c r="P53" s="803" t="str">
        <f t="shared" si="562"/>
        <v>REV.</v>
      </c>
      <c r="Q53" s="804">
        <f t="shared" si="1059"/>
        <v>0</v>
      </c>
      <c r="R53" s="805">
        <f t="shared" si="1059"/>
        <v>0</v>
      </c>
      <c r="S53" s="805">
        <f t="shared" si="1059"/>
        <v>0</v>
      </c>
      <c r="T53" s="805">
        <f t="shared" si="1059"/>
        <v>0</v>
      </c>
      <c r="U53" s="805">
        <f t="shared" si="1059"/>
        <v>0</v>
      </c>
      <c r="V53" s="805">
        <f t="shared" si="1059"/>
        <v>0</v>
      </c>
      <c r="W53" s="805">
        <f t="shared" si="1059"/>
        <v>0</v>
      </c>
      <c r="X53" s="805">
        <f t="shared" si="1059"/>
        <v>0</v>
      </c>
      <c r="Y53" s="805">
        <f t="shared" si="1059"/>
        <v>0</v>
      </c>
      <c r="Z53" s="805">
        <f t="shared" si="1059"/>
        <v>0</v>
      </c>
      <c r="AA53" s="805">
        <f t="shared" si="1059"/>
        <v>0</v>
      </c>
      <c r="AB53" s="805">
        <f t="shared" si="1059"/>
        <v>0</v>
      </c>
      <c r="AC53" s="805">
        <f t="shared" si="1059"/>
        <v>0</v>
      </c>
      <c r="AD53" s="805">
        <f t="shared" si="1059"/>
        <v>0</v>
      </c>
      <c r="AE53" s="805">
        <f t="shared" si="1059"/>
        <v>0</v>
      </c>
      <c r="AF53" s="805">
        <f t="shared" si="1059"/>
        <v>0</v>
      </c>
      <c r="AG53" s="805">
        <f t="shared" si="1058"/>
        <v>0</v>
      </c>
      <c r="AH53" s="805">
        <f t="shared" si="1058"/>
        <v>0</v>
      </c>
      <c r="AI53" s="805">
        <f t="shared" si="1058"/>
        <v>0</v>
      </c>
      <c r="AJ53" s="805">
        <f t="shared" si="1058"/>
        <v>0</v>
      </c>
      <c r="AK53" s="805">
        <f t="shared" si="1058"/>
        <v>0</v>
      </c>
      <c r="AL53" s="805">
        <f t="shared" si="1058"/>
        <v>0</v>
      </c>
      <c r="AM53" s="805">
        <f t="shared" si="1058"/>
        <v>0</v>
      </c>
      <c r="AN53" s="805">
        <f t="shared" si="1058"/>
        <v>0</v>
      </c>
      <c r="AO53" s="805">
        <f t="shared" si="1058"/>
        <v>0</v>
      </c>
      <c r="AP53" s="805">
        <f t="shared" si="1058"/>
        <v>0</v>
      </c>
      <c r="AQ53" s="805">
        <f t="shared" si="1058"/>
        <v>0</v>
      </c>
      <c r="AR53" s="805">
        <f t="shared" si="1058"/>
        <v>0</v>
      </c>
      <c r="AS53" s="805">
        <f t="shared" si="1058"/>
        <v>0</v>
      </c>
      <c r="AT53" s="805">
        <f t="shared" si="1058"/>
        <v>0</v>
      </c>
      <c r="AU53" s="805">
        <f t="shared" si="1056"/>
        <v>0</v>
      </c>
      <c r="AV53" s="805">
        <f t="shared" si="813"/>
        <v>0</v>
      </c>
      <c r="AW53" s="805">
        <f t="shared" si="1057"/>
        <v>0</v>
      </c>
      <c r="AX53" s="805">
        <f t="shared" si="1057"/>
        <v>0</v>
      </c>
      <c r="AY53" s="805">
        <f t="shared" si="1057"/>
        <v>0</v>
      </c>
      <c r="AZ53" s="805">
        <f t="shared" si="1057"/>
        <v>0</v>
      </c>
      <c r="BA53" s="805">
        <f t="shared" si="1057"/>
        <v>0</v>
      </c>
      <c r="BB53" s="805">
        <f t="shared" si="1057"/>
        <v>0</v>
      </c>
      <c r="BC53" s="805">
        <f t="shared" si="1057"/>
        <v>0</v>
      </c>
      <c r="BD53" s="805">
        <f t="shared" si="1057"/>
        <v>0</v>
      </c>
      <c r="BE53" s="805">
        <f t="shared" si="1057"/>
        <v>0</v>
      </c>
      <c r="BF53" s="805">
        <f t="shared" si="1057"/>
        <v>0</v>
      </c>
      <c r="BG53" s="805">
        <f t="shared" si="1057"/>
        <v>0</v>
      </c>
      <c r="BH53" s="805">
        <f t="shared" si="1057"/>
        <v>0</v>
      </c>
      <c r="BI53" s="805">
        <f t="shared" si="1057"/>
        <v>0</v>
      </c>
      <c r="BJ53" s="805">
        <f t="shared" si="1057"/>
        <v>0</v>
      </c>
      <c r="BK53" s="805">
        <f t="shared" si="1057"/>
        <v>0</v>
      </c>
      <c r="BL53" s="805">
        <f t="shared" si="815"/>
        <v>0</v>
      </c>
      <c r="BM53" s="806"/>
      <c r="BN53" s="785"/>
      <c r="BO53" s="1204"/>
      <c r="BP53" s="1203">
        <f>+SUMIF('AUX-NIV1'!$B:$B,Crono!$C53,'AUX-NIV1'!AQ:AQ)*Crono!$H53</f>
        <v>0</v>
      </c>
      <c r="BQ53" s="1202">
        <f>+SUMIF('AUX-NIV1'!$B:$B,Crono!$C53,'AUX-NIV1'!AR:AR)*Crono!$H53</f>
        <v>0</v>
      </c>
      <c r="BR53" s="1202">
        <f>+SUMIF('AUX-NIV1'!$B:$B,Crono!$C53,'AUX-NIV1'!AS:AS)*Crono!$H53</f>
        <v>0</v>
      </c>
      <c r="BS53" s="1202">
        <f>+SUMIF('AUX-NIV1'!$B:$B,Crono!$C53,'AUX-NIV1'!AT:AT)*Crono!$H53</f>
        <v>0</v>
      </c>
      <c r="BT53" s="1202">
        <f>+SUMIF('AUX-NIV1'!$B:$B,Crono!$C53,'AUX-NIV1'!AU:AU)*Crono!$H53</f>
        <v>0</v>
      </c>
      <c r="BU53" s="1202"/>
    </row>
    <row r="54" spans="2:73" ht="15.6">
      <c r="B54" s="661">
        <v>84</v>
      </c>
      <c r="C54" s="646"/>
      <c r="D54" s="646"/>
      <c r="E54" s="647"/>
      <c r="F54" s="653" t="s">
        <v>1246</v>
      </c>
      <c r="G54" s="677">
        <v>0.02</v>
      </c>
      <c r="H54" s="660">
        <v>1</v>
      </c>
      <c r="I54" s="656"/>
      <c r="J54" s="665">
        <f>Items!J49</f>
        <v>8361.7424770150246</v>
      </c>
      <c r="K54" s="660"/>
      <c r="L54" s="656"/>
      <c r="M54" s="906"/>
      <c r="N54" s="907"/>
      <c r="O54" s="854">
        <f>+IF(C54&lt;&gt;"",VLOOKUP(C54,'AUX-NIV1'!B:AO,40,FALSE)*H54,0)</f>
        <v>0</v>
      </c>
      <c r="P54" s="803" t="str">
        <f t="shared" si="562"/>
        <v>REV.</v>
      </c>
      <c r="Q54" s="804">
        <f t="shared" si="1059"/>
        <v>0</v>
      </c>
      <c r="R54" s="805">
        <f t="shared" si="1059"/>
        <v>0</v>
      </c>
      <c r="S54" s="805">
        <f t="shared" si="1059"/>
        <v>0</v>
      </c>
      <c r="T54" s="805">
        <f t="shared" si="1059"/>
        <v>0</v>
      </c>
      <c r="U54" s="805">
        <f t="shared" si="1059"/>
        <v>0</v>
      </c>
      <c r="V54" s="805">
        <f t="shared" si="1059"/>
        <v>0</v>
      </c>
      <c r="W54" s="805">
        <f t="shared" si="1059"/>
        <v>0</v>
      </c>
      <c r="X54" s="805">
        <f t="shared" si="1059"/>
        <v>0</v>
      </c>
      <c r="Y54" s="805">
        <f t="shared" si="1059"/>
        <v>0</v>
      </c>
      <c r="Z54" s="805">
        <f t="shared" si="1059"/>
        <v>0</v>
      </c>
      <c r="AA54" s="805">
        <f t="shared" si="1059"/>
        <v>0</v>
      </c>
      <c r="AB54" s="805">
        <f t="shared" si="1059"/>
        <v>0</v>
      </c>
      <c r="AC54" s="805">
        <f t="shared" si="1059"/>
        <v>0</v>
      </c>
      <c r="AD54" s="805">
        <f t="shared" si="1059"/>
        <v>0</v>
      </c>
      <c r="AE54" s="805">
        <f t="shared" si="1059"/>
        <v>0</v>
      </c>
      <c r="AF54" s="805">
        <f t="shared" si="1059"/>
        <v>0</v>
      </c>
      <c r="AG54" s="805">
        <f t="shared" si="1058"/>
        <v>0</v>
      </c>
      <c r="AH54" s="805">
        <f t="shared" si="1058"/>
        <v>0</v>
      </c>
      <c r="AI54" s="805">
        <f t="shared" si="1058"/>
        <v>0</v>
      </c>
      <c r="AJ54" s="805">
        <f t="shared" si="1058"/>
        <v>0</v>
      </c>
      <c r="AK54" s="805">
        <f t="shared" si="1058"/>
        <v>0</v>
      </c>
      <c r="AL54" s="805">
        <f t="shared" si="1058"/>
        <v>0</v>
      </c>
      <c r="AM54" s="805">
        <f t="shared" si="1058"/>
        <v>0</v>
      </c>
      <c r="AN54" s="805">
        <f t="shared" si="1058"/>
        <v>0</v>
      </c>
      <c r="AO54" s="805">
        <f t="shared" si="1058"/>
        <v>0</v>
      </c>
      <c r="AP54" s="805">
        <f t="shared" si="1058"/>
        <v>0</v>
      </c>
      <c r="AQ54" s="805">
        <f t="shared" si="1058"/>
        <v>0</v>
      </c>
      <c r="AR54" s="805">
        <f t="shared" si="1058"/>
        <v>0</v>
      </c>
      <c r="AS54" s="805">
        <f t="shared" si="1058"/>
        <v>0</v>
      </c>
      <c r="AT54" s="805">
        <f t="shared" si="1058"/>
        <v>0</v>
      </c>
      <c r="AU54" s="805">
        <f t="shared" si="1056"/>
        <v>0</v>
      </c>
      <c r="AV54" s="805">
        <f t="shared" si="813"/>
        <v>0</v>
      </c>
      <c r="AW54" s="805">
        <f t="shared" ref="AW54:BK60" si="1060">IF(AND($H54&gt;0,AW$7&gt;0),+IF(AND($M54&lt;=AW$7,$N54&gt;=AW$7),IF($W$6="QUINCENAL",1/(($N54-$M54)/0.5+1),1/($N54-$M54+1)),0),0)</f>
        <v>0</v>
      </c>
      <c r="AX54" s="805">
        <f t="shared" si="1060"/>
        <v>0</v>
      </c>
      <c r="AY54" s="805">
        <f t="shared" si="1060"/>
        <v>0</v>
      </c>
      <c r="AZ54" s="805">
        <f t="shared" si="1060"/>
        <v>0</v>
      </c>
      <c r="BA54" s="805">
        <f t="shared" si="1060"/>
        <v>0</v>
      </c>
      <c r="BB54" s="805">
        <f t="shared" si="1060"/>
        <v>0</v>
      </c>
      <c r="BC54" s="805">
        <f t="shared" si="1060"/>
        <v>0</v>
      </c>
      <c r="BD54" s="805">
        <f t="shared" si="1060"/>
        <v>0</v>
      </c>
      <c r="BE54" s="805">
        <f t="shared" si="1060"/>
        <v>0</v>
      </c>
      <c r="BF54" s="805">
        <f t="shared" si="1060"/>
        <v>0</v>
      </c>
      <c r="BG54" s="805">
        <f t="shared" si="1060"/>
        <v>0</v>
      </c>
      <c r="BH54" s="805">
        <f t="shared" si="1060"/>
        <v>0</v>
      </c>
      <c r="BI54" s="805">
        <f t="shared" si="1060"/>
        <v>0</v>
      </c>
      <c r="BJ54" s="805">
        <f t="shared" si="1060"/>
        <v>0</v>
      </c>
      <c r="BK54" s="805">
        <f t="shared" si="1060"/>
        <v>0</v>
      </c>
      <c r="BL54" s="805">
        <f t="shared" si="815"/>
        <v>0</v>
      </c>
      <c r="BM54" s="806"/>
      <c r="BN54" s="785"/>
      <c r="BO54" s="1204"/>
      <c r="BP54" s="1203">
        <f>+SUMIF('AUX-NIV1'!$B:$B,Crono!$C54,'AUX-NIV1'!AQ:AQ)*Crono!$H54</f>
        <v>0</v>
      </c>
      <c r="BQ54" s="1202">
        <f>+SUMIF('AUX-NIV1'!$B:$B,Crono!$C54,'AUX-NIV1'!AR:AR)*Crono!$H54</f>
        <v>0</v>
      </c>
      <c r="BR54" s="1202">
        <f>+SUMIF('AUX-NIV1'!$B:$B,Crono!$C54,'AUX-NIV1'!AS:AS)*Crono!$H54</f>
        <v>0</v>
      </c>
      <c r="BS54" s="1202">
        <f>+SUMIF('AUX-NIV1'!$B:$B,Crono!$C54,'AUX-NIV1'!AT:AT)*Crono!$H54</f>
        <v>0</v>
      </c>
      <c r="BT54" s="1202">
        <f>+SUMIF('AUX-NIV1'!$B:$B,Crono!$C54,'AUX-NIV1'!AU:AU)*Crono!$H54</f>
        <v>0</v>
      </c>
      <c r="BU54" s="1202"/>
    </row>
    <row r="55" spans="2:73" ht="15.6">
      <c r="B55" s="661">
        <v>85</v>
      </c>
      <c r="C55" s="646"/>
      <c r="D55" s="646"/>
      <c r="E55" s="647"/>
      <c r="F55" s="653" t="s">
        <v>1135</v>
      </c>
      <c r="G55" s="677">
        <v>0.04</v>
      </c>
      <c r="H55" s="660">
        <v>1</v>
      </c>
      <c r="I55" s="656"/>
      <c r="J55" s="665">
        <f>Items!J50</f>
        <v>16723.484954030049</v>
      </c>
      <c r="K55" s="655"/>
      <c r="L55" s="656"/>
      <c r="M55" s="906"/>
      <c r="N55" s="907"/>
      <c r="O55" s="854">
        <f>+IF(C55&lt;&gt;"",VLOOKUP(C55,'AUX-NIV1'!B:AO,40,FALSE)*H55,0)</f>
        <v>0</v>
      </c>
      <c r="P55" s="803" t="str">
        <f t="shared" si="562"/>
        <v>REV.</v>
      </c>
      <c r="Q55" s="804">
        <f t="shared" si="1059"/>
        <v>0</v>
      </c>
      <c r="R55" s="805">
        <f t="shared" si="1059"/>
        <v>0</v>
      </c>
      <c r="S55" s="805">
        <f t="shared" si="1059"/>
        <v>0</v>
      </c>
      <c r="T55" s="805">
        <f t="shared" si="1059"/>
        <v>0</v>
      </c>
      <c r="U55" s="805">
        <f t="shared" si="1059"/>
        <v>0</v>
      </c>
      <c r="V55" s="805">
        <f t="shared" si="1059"/>
        <v>0</v>
      </c>
      <c r="W55" s="805">
        <f t="shared" si="1059"/>
        <v>0</v>
      </c>
      <c r="X55" s="805">
        <f t="shared" si="1059"/>
        <v>0</v>
      </c>
      <c r="Y55" s="805">
        <f t="shared" si="1059"/>
        <v>0</v>
      </c>
      <c r="Z55" s="805">
        <f t="shared" si="1059"/>
        <v>0</v>
      </c>
      <c r="AA55" s="805">
        <f t="shared" si="1059"/>
        <v>0</v>
      </c>
      <c r="AB55" s="805">
        <f t="shared" si="1059"/>
        <v>0</v>
      </c>
      <c r="AC55" s="805">
        <f t="shared" si="1059"/>
        <v>0</v>
      </c>
      <c r="AD55" s="805">
        <f t="shared" si="1059"/>
        <v>0</v>
      </c>
      <c r="AE55" s="805">
        <f t="shared" si="1059"/>
        <v>0</v>
      </c>
      <c r="AF55" s="805">
        <f t="shared" si="1059"/>
        <v>0</v>
      </c>
      <c r="AG55" s="805">
        <f t="shared" si="1058"/>
        <v>0</v>
      </c>
      <c r="AH55" s="805">
        <f t="shared" si="1058"/>
        <v>0</v>
      </c>
      <c r="AI55" s="805">
        <f t="shared" si="1058"/>
        <v>0</v>
      </c>
      <c r="AJ55" s="805">
        <f t="shared" si="1058"/>
        <v>0</v>
      </c>
      <c r="AK55" s="805">
        <f t="shared" si="1058"/>
        <v>0</v>
      </c>
      <c r="AL55" s="805">
        <f t="shared" si="1058"/>
        <v>0</v>
      </c>
      <c r="AM55" s="805">
        <f t="shared" si="1058"/>
        <v>0</v>
      </c>
      <c r="AN55" s="805">
        <f t="shared" si="1058"/>
        <v>0</v>
      </c>
      <c r="AO55" s="805">
        <f t="shared" si="1058"/>
        <v>0</v>
      </c>
      <c r="AP55" s="805">
        <f t="shared" si="1058"/>
        <v>0</v>
      </c>
      <c r="AQ55" s="805">
        <f t="shared" si="1058"/>
        <v>0</v>
      </c>
      <c r="AR55" s="805">
        <f t="shared" si="1058"/>
        <v>0</v>
      </c>
      <c r="AS55" s="805">
        <f t="shared" si="1058"/>
        <v>0</v>
      </c>
      <c r="AT55" s="805">
        <f t="shared" si="1058"/>
        <v>0</v>
      </c>
      <c r="AU55" s="805">
        <f t="shared" si="1056"/>
        <v>0</v>
      </c>
      <c r="AV55" s="805">
        <f t="shared" si="813"/>
        <v>0</v>
      </c>
      <c r="AW55" s="805">
        <f t="shared" si="1060"/>
        <v>0</v>
      </c>
      <c r="AX55" s="805">
        <f t="shared" si="1060"/>
        <v>0</v>
      </c>
      <c r="AY55" s="805">
        <f t="shared" si="1060"/>
        <v>0</v>
      </c>
      <c r="AZ55" s="805">
        <f t="shared" si="1060"/>
        <v>0</v>
      </c>
      <c r="BA55" s="805">
        <f t="shared" si="1060"/>
        <v>0</v>
      </c>
      <c r="BB55" s="805">
        <f t="shared" si="1060"/>
        <v>0</v>
      </c>
      <c r="BC55" s="805">
        <f t="shared" si="1060"/>
        <v>0</v>
      </c>
      <c r="BD55" s="805">
        <f t="shared" si="1060"/>
        <v>0</v>
      </c>
      <c r="BE55" s="805">
        <f t="shared" si="1060"/>
        <v>0</v>
      </c>
      <c r="BF55" s="805">
        <f t="shared" si="1060"/>
        <v>0</v>
      </c>
      <c r="BG55" s="805">
        <f t="shared" si="1060"/>
        <v>0</v>
      </c>
      <c r="BH55" s="805">
        <f t="shared" si="1060"/>
        <v>0</v>
      </c>
      <c r="BI55" s="805">
        <f t="shared" si="1060"/>
        <v>0</v>
      </c>
      <c r="BJ55" s="805">
        <f t="shared" si="1060"/>
        <v>0</v>
      </c>
      <c r="BK55" s="805">
        <f t="shared" si="1060"/>
        <v>0</v>
      </c>
      <c r="BL55" s="805">
        <f t="shared" si="815"/>
        <v>0</v>
      </c>
      <c r="BM55" s="806"/>
      <c r="BN55" s="785"/>
      <c r="BO55" s="1204"/>
      <c r="BP55" s="1203">
        <f>+SUMIF('AUX-NIV1'!$B:$B,Crono!$C55,'AUX-NIV1'!AQ:AQ)*Crono!$H55</f>
        <v>0</v>
      </c>
      <c r="BQ55" s="1202">
        <f>+SUMIF('AUX-NIV1'!$B:$B,Crono!$C55,'AUX-NIV1'!AR:AR)*Crono!$H55</f>
        <v>0</v>
      </c>
      <c r="BR55" s="1202">
        <f>+SUMIF('AUX-NIV1'!$B:$B,Crono!$C55,'AUX-NIV1'!AS:AS)*Crono!$H55</f>
        <v>0</v>
      </c>
      <c r="BS55" s="1202">
        <f>+SUMIF('AUX-NIV1'!$B:$B,Crono!$C55,'AUX-NIV1'!AT:AT)*Crono!$H55</f>
        <v>0</v>
      </c>
      <c r="BT55" s="1202">
        <f>+SUMIF('AUX-NIV1'!$B:$B,Crono!$C55,'AUX-NIV1'!AU:AU)*Crono!$H55</f>
        <v>0</v>
      </c>
      <c r="BU55" s="1202"/>
    </row>
    <row r="56" spans="2:73" ht="15.6">
      <c r="B56" s="661">
        <v>86</v>
      </c>
      <c r="C56" s="646"/>
      <c r="D56" s="646"/>
      <c r="E56" s="647"/>
      <c r="F56" s="653" t="s">
        <v>1137</v>
      </c>
      <c r="G56" s="677">
        <v>0.1</v>
      </c>
      <c r="H56" s="660">
        <v>1</v>
      </c>
      <c r="I56" s="656"/>
      <c r="J56" s="665">
        <f>Items!J51</f>
        <v>41808.71238507513</v>
      </c>
      <c r="K56" s="655"/>
      <c r="L56" s="656"/>
      <c r="M56" s="906">
        <v>2</v>
      </c>
      <c r="N56" s="907">
        <v>2</v>
      </c>
      <c r="O56" s="854">
        <f>+IF(C56&lt;&gt;"",VLOOKUP(C56,'AUX-NIV1'!B:AO,40,FALSE)*H56,0)</f>
        <v>0</v>
      </c>
      <c r="P56" s="803" t="str">
        <f t="shared" si="562"/>
        <v/>
      </c>
      <c r="Q56" s="804">
        <f t="shared" si="1059"/>
        <v>0</v>
      </c>
      <c r="R56" s="805">
        <f t="shared" si="1059"/>
        <v>0</v>
      </c>
      <c r="S56" s="805">
        <f t="shared" si="1059"/>
        <v>0</v>
      </c>
      <c r="T56" s="805">
        <f t="shared" si="1059"/>
        <v>1</v>
      </c>
      <c r="U56" s="805">
        <f t="shared" si="1059"/>
        <v>0</v>
      </c>
      <c r="V56" s="805">
        <f t="shared" si="1059"/>
        <v>0</v>
      </c>
      <c r="W56" s="805">
        <f t="shared" si="1059"/>
        <v>0</v>
      </c>
      <c r="X56" s="805">
        <f t="shared" si="1059"/>
        <v>0</v>
      </c>
      <c r="Y56" s="805">
        <f t="shared" si="1059"/>
        <v>0</v>
      </c>
      <c r="Z56" s="805">
        <f t="shared" si="1059"/>
        <v>0</v>
      </c>
      <c r="AA56" s="805">
        <f t="shared" si="1059"/>
        <v>0</v>
      </c>
      <c r="AB56" s="805">
        <f t="shared" si="1059"/>
        <v>0</v>
      </c>
      <c r="AC56" s="805">
        <f t="shared" si="1059"/>
        <v>0</v>
      </c>
      <c r="AD56" s="805">
        <f t="shared" si="1059"/>
        <v>0</v>
      </c>
      <c r="AE56" s="805">
        <f t="shared" si="1059"/>
        <v>0</v>
      </c>
      <c r="AF56" s="805">
        <f t="shared" si="1059"/>
        <v>0</v>
      </c>
      <c r="AG56" s="805">
        <f t="shared" si="1058"/>
        <v>0</v>
      </c>
      <c r="AH56" s="805">
        <f t="shared" si="1058"/>
        <v>0</v>
      </c>
      <c r="AI56" s="805">
        <f t="shared" si="1058"/>
        <v>0</v>
      </c>
      <c r="AJ56" s="805">
        <f t="shared" si="1058"/>
        <v>0</v>
      </c>
      <c r="AK56" s="805">
        <f t="shared" si="1058"/>
        <v>0</v>
      </c>
      <c r="AL56" s="805">
        <f t="shared" si="1058"/>
        <v>0</v>
      </c>
      <c r="AM56" s="805">
        <f t="shared" si="1058"/>
        <v>0</v>
      </c>
      <c r="AN56" s="805">
        <f t="shared" si="1058"/>
        <v>0</v>
      </c>
      <c r="AO56" s="805">
        <f t="shared" si="1058"/>
        <v>0</v>
      </c>
      <c r="AP56" s="805">
        <f t="shared" si="1058"/>
        <v>0</v>
      </c>
      <c r="AQ56" s="805">
        <f t="shared" si="1058"/>
        <v>0</v>
      </c>
      <c r="AR56" s="805">
        <f t="shared" si="1058"/>
        <v>0</v>
      </c>
      <c r="AS56" s="805">
        <f t="shared" si="1058"/>
        <v>0</v>
      </c>
      <c r="AT56" s="805">
        <f t="shared" si="1058"/>
        <v>0</v>
      </c>
      <c r="AU56" s="805">
        <f t="shared" si="1056"/>
        <v>0</v>
      </c>
      <c r="AV56" s="805">
        <f t="shared" si="813"/>
        <v>0</v>
      </c>
      <c r="AW56" s="805">
        <f t="shared" si="1060"/>
        <v>0</v>
      </c>
      <c r="AX56" s="805">
        <f t="shared" si="1060"/>
        <v>0</v>
      </c>
      <c r="AY56" s="805">
        <f t="shared" si="1060"/>
        <v>0</v>
      </c>
      <c r="AZ56" s="805">
        <f t="shared" si="1060"/>
        <v>0</v>
      </c>
      <c r="BA56" s="805">
        <f t="shared" si="1060"/>
        <v>0</v>
      </c>
      <c r="BB56" s="805">
        <f t="shared" si="1060"/>
        <v>0</v>
      </c>
      <c r="BC56" s="805">
        <f t="shared" si="1060"/>
        <v>0</v>
      </c>
      <c r="BD56" s="805">
        <f t="shared" si="1060"/>
        <v>0</v>
      </c>
      <c r="BE56" s="805">
        <f t="shared" si="1060"/>
        <v>0</v>
      </c>
      <c r="BF56" s="805">
        <f t="shared" si="1060"/>
        <v>0</v>
      </c>
      <c r="BG56" s="805">
        <f t="shared" si="1060"/>
        <v>0</v>
      </c>
      <c r="BH56" s="805">
        <f t="shared" si="1060"/>
        <v>0</v>
      </c>
      <c r="BI56" s="805">
        <f t="shared" si="1060"/>
        <v>0</v>
      </c>
      <c r="BJ56" s="805">
        <f t="shared" si="1060"/>
        <v>0</v>
      </c>
      <c r="BK56" s="805">
        <f t="shared" si="1060"/>
        <v>0</v>
      </c>
      <c r="BL56" s="805">
        <f t="shared" si="815"/>
        <v>0</v>
      </c>
      <c r="BM56" s="806"/>
      <c r="BN56" s="785"/>
      <c r="BO56" s="1204"/>
      <c r="BP56" s="1203">
        <f>+SUMIF('AUX-NIV1'!$B:$B,Crono!$C56,'AUX-NIV1'!AQ:AQ)*Crono!$H56</f>
        <v>0</v>
      </c>
      <c r="BQ56" s="1202">
        <f>+SUMIF('AUX-NIV1'!$B:$B,Crono!$C56,'AUX-NIV1'!AR:AR)*Crono!$H56</f>
        <v>0</v>
      </c>
      <c r="BR56" s="1202">
        <f>+SUMIF('AUX-NIV1'!$B:$B,Crono!$C56,'AUX-NIV1'!AS:AS)*Crono!$H56</f>
        <v>0</v>
      </c>
      <c r="BS56" s="1202">
        <f>+SUMIF('AUX-NIV1'!$B:$B,Crono!$C56,'AUX-NIV1'!AT:AT)*Crono!$H56</f>
        <v>0</v>
      </c>
      <c r="BT56" s="1202">
        <f>+SUMIF('AUX-NIV1'!$B:$B,Crono!$C56,'AUX-NIV1'!AU:AU)*Crono!$H56</f>
        <v>0</v>
      </c>
      <c r="BU56" s="1202"/>
    </row>
    <row r="57" spans="2:73" ht="15.6">
      <c r="B57" s="661"/>
      <c r="C57" s="646"/>
      <c r="D57" s="646"/>
      <c r="E57" s="647"/>
      <c r="F57" s="653"/>
      <c r="G57" s="654"/>
      <c r="H57" s="660"/>
      <c r="I57" s="656"/>
      <c r="J57" s="665"/>
      <c r="K57" s="660"/>
      <c r="L57" s="656"/>
      <c r="M57" s="852"/>
      <c r="N57" s="853"/>
      <c r="O57" s="854">
        <f>+IF(C57&lt;&gt;"",VLOOKUP(C57,'AUX-NIV1'!B:AO,40,FALSE)*H57,0)</f>
        <v>0</v>
      </c>
      <c r="P57" s="803" t="str">
        <f t="shared" si="562"/>
        <v/>
      </c>
      <c r="Q57" s="804">
        <f t="shared" si="1059"/>
        <v>0</v>
      </c>
      <c r="R57" s="805">
        <f t="shared" si="1059"/>
        <v>0</v>
      </c>
      <c r="S57" s="805">
        <f t="shared" si="1059"/>
        <v>0</v>
      </c>
      <c r="T57" s="805">
        <f t="shared" si="1059"/>
        <v>0</v>
      </c>
      <c r="U57" s="805">
        <f t="shared" si="1059"/>
        <v>0</v>
      </c>
      <c r="V57" s="805">
        <f t="shared" si="1059"/>
        <v>0</v>
      </c>
      <c r="W57" s="805">
        <f t="shared" si="1059"/>
        <v>0</v>
      </c>
      <c r="X57" s="805">
        <f t="shared" si="1059"/>
        <v>0</v>
      </c>
      <c r="Y57" s="805">
        <f t="shared" si="1059"/>
        <v>0</v>
      </c>
      <c r="Z57" s="805">
        <f t="shared" si="1059"/>
        <v>0</v>
      </c>
      <c r="AA57" s="805">
        <f t="shared" si="1059"/>
        <v>0</v>
      </c>
      <c r="AB57" s="805">
        <f t="shared" si="1059"/>
        <v>0</v>
      </c>
      <c r="AC57" s="805">
        <f t="shared" si="1059"/>
        <v>0</v>
      </c>
      <c r="AD57" s="805">
        <f t="shared" si="1059"/>
        <v>0</v>
      </c>
      <c r="AE57" s="805">
        <f t="shared" si="1059"/>
        <v>0</v>
      </c>
      <c r="AF57" s="805">
        <f t="shared" si="1059"/>
        <v>0</v>
      </c>
      <c r="AG57" s="805">
        <f t="shared" si="1058"/>
        <v>0</v>
      </c>
      <c r="AH57" s="805">
        <f t="shared" si="1058"/>
        <v>0</v>
      </c>
      <c r="AI57" s="805">
        <f t="shared" si="1058"/>
        <v>0</v>
      </c>
      <c r="AJ57" s="805">
        <f t="shared" si="1058"/>
        <v>0</v>
      </c>
      <c r="AK57" s="805">
        <f t="shared" si="1058"/>
        <v>0</v>
      </c>
      <c r="AL57" s="805">
        <f t="shared" si="1058"/>
        <v>0</v>
      </c>
      <c r="AM57" s="805">
        <f t="shared" si="1058"/>
        <v>0</v>
      </c>
      <c r="AN57" s="805">
        <f t="shared" si="1058"/>
        <v>0</v>
      </c>
      <c r="AO57" s="805">
        <f t="shared" si="1058"/>
        <v>0</v>
      </c>
      <c r="AP57" s="805">
        <f t="shared" si="1058"/>
        <v>0</v>
      </c>
      <c r="AQ57" s="805">
        <f t="shared" si="1058"/>
        <v>0</v>
      </c>
      <c r="AR57" s="805">
        <f t="shared" si="1058"/>
        <v>0</v>
      </c>
      <c r="AS57" s="805">
        <f t="shared" si="1058"/>
        <v>0</v>
      </c>
      <c r="AT57" s="805">
        <f t="shared" si="1058"/>
        <v>0</v>
      </c>
      <c r="AU57" s="805">
        <f t="shared" si="1056"/>
        <v>0</v>
      </c>
      <c r="AV57" s="805">
        <f t="shared" si="813"/>
        <v>0</v>
      </c>
      <c r="AW57" s="805">
        <f t="shared" si="1060"/>
        <v>0</v>
      </c>
      <c r="AX57" s="805">
        <f t="shared" si="1060"/>
        <v>0</v>
      </c>
      <c r="AY57" s="805">
        <f t="shared" si="1060"/>
        <v>0</v>
      </c>
      <c r="AZ57" s="805">
        <f t="shared" si="1060"/>
        <v>0</v>
      </c>
      <c r="BA57" s="805">
        <f t="shared" si="1060"/>
        <v>0</v>
      </c>
      <c r="BB57" s="805">
        <f t="shared" si="1060"/>
        <v>0</v>
      </c>
      <c r="BC57" s="805">
        <f t="shared" si="1060"/>
        <v>0</v>
      </c>
      <c r="BD57" s="805">
        <f t="shared" si="1060"/>
        <v>0</v>
      </c>
      <c r="BE57" s="805">
        <f t="shared" si="1060"/>
        <v>0</v>
      </c>
      <c r="BF57" s="805">
        <f t="shared" si="1060"/>
        <v>0</v>
      </c>
      <c r="BG57" s="805">
        <f t="shared" si="1060"/>
        <v>0</v>
      </c>
      <c r="BH57" s="805">
        <f t="shared" si="1060"/>
        <v>0</v>
      </c>
      <c r="BI57" s="805">
        <f t="shared" si="1060"/>
        <v>0</v>
      </c>
      <c r="BJ57" s="805">
        <f t="shared" si="1060"/>
        <v>0</v>
      </c>
      <c r="BK57" s="805">
        <f t="shared" si="1060"/>
        <v>0</v>
      </c>
      <c r="BL57" s="805">
        <f t="shared" si="815"/>
        <v>0</v>
      </c>
      <c r="BM57" s="806"/>
      <c r="BN57" s="785"/>
      <c r="BO57" s="1204"/>
      <c r="BP57" s="1203">
        <f>+SUMIF('AUX-NIV1'!$B:$B,Crono!$C57,'AUX-NIV1'!AQ:AQ)*Crono!$H57</f>
        <v>0</v>
      </c>
      <c r="BQ57" s="1202">
        <f>+SUMIF('AUX-NIV1'!$B:$B,Crono!$C57,'AUX-NIV1'!AR:AR)*Crono!$H57</f>
        <v>0</v>
      </c>
      <c r="BR57" s="1202">
        <f>+SUMIF('AUX-NIV1'!$B:$B,Crono!$C57,'AUX-NIV1'!AS:AS)*Crono!$H57</f>
        <v>0</v>
      </c>
      <c r="BS57" s="1202">
        <f>+SUMIF('AUX-NIV1'!$B:$B,Crono!$C57,'AUX-NIV1'!AT:AT)*Crono!$H57</f>
        <v>0</v>
      </c>
      <c r="BT57" s="1202">
        <f>+SUMIF('AUX-NIV1'!$B:$B,Crono!$C57,'AUX-NIV1'!AU:AU)*Crono!$H57</f>
        <v>0</v>
      </c>
      <c r="BU57" s="1202"/>
    </row>
    <row r="58" spans="2:73" ht="17.399999999999999">
      <c r="B58" s="662"/>
      <c r="C58" s="635"/>
      <c r="D58" s="635"/>
      <c r="E58" s="636"/>
      <c r="F58" s="637" t="s">
        <v>1134</v>
      </c>
      <c r="G58" s="678">
        <v>0.224</v>
      </c>
      <c r="H58" s="639"/>
      <c r="I58" s="640"/>
      <c r="J58" s="641">
        <f>+SUM(J43:J56)</f>
        <v>93651.515742568285</v>
      </c>
      <c r="K58" s="639"/>
      <c r="L58" s="640"/>
      <c r="M58" s="824"/>
      <c r="N58" s="825"/>
      <c r="O58" s="826">
        <f>+IF(C58&lt;&gt;"",VLOOKUP(C58,'AUX-NIV1'!B:AO,40,FALSE)*H58,0)</f>
        <v>0</v>
      </c>
      <c r="P58" s="803" t="str">
        <f t="shared" si="562"/>
        <v>REV.</v>
      </c>
      <c r="Q58" s="804">
        <f t="shared" si="1059"/>
        <v>0</v>
      </c>
      <c r="R58" s="805">
        <f t="shared" si="1059"/>
        <v>0</v>
      </c>
      <c r="S58" s="805">
        <f t="shared" si="1059"/>
        <v>0</v>
      </c>
      <c r="T58" s="805">
        <f t="shared" si="1059"/>
        <v>0</v>
      </c>
      <c r="U58" s="805">
        <f t="shared" si="1059"/>
        <v>0</v>
      </c>
      <c r="V58" s="805">
        <f t="shared" si="1059"/>
        <v>0</v>
      </c>
      <c r="W58" s="805">
        <f t="shared" si="1059"/>
        <v>0</v>
      </c>
      <c r="X58" s="805">
        <f t="shared" si="1059"/>
        <v>0</v>
      </c>
      <c r="Y58" s="805">
        <f t="shared" si="1059"/>
        <v>0</v>
      </c>
      <c r="Z58" s="805">
        <f t="shared" si="1059"/>
        <v>0</v>
      </c>
      <c r="AA58" s="805">
        <f t="shared" si="1059"/>
        <v>0</v>
      </c>
      <c r="AB58" s="805">
        <f t="shared" si="1059"/>
        <v>0</v>
      </c>
      <c r="AC58" s="805">
        <f t="shared" si="1059"/>
        <v>0</v>
      </c>
      <c r="AD58" s="805">
        <f t="shared" si="1059"/>
        <v>0</v>
      </c>
      <c r="AE58" s="805">
        <f t="shared" si="1059"/>
        <v>0</v>
      </c>
      <c r="AF58" s="805">
        <f t="shared" si="1059"/>
        <v>0</v>
      </c>
      <c r="AG58" s="805">
        <f t="shared" si="1058"/>
        <v>0</v>
      </c>
      <c r="AH58" s="805">
        <f t="shared" si="1058"/>
        <v>0</v>
      </c>
      <c r="AI58" s="805">
        <f t="shared" si="1058"/>
        <v>0</v>
      </c>
      <c r="AJ58" s="805">
        <f t="shared" si="1058"/>
        <v>0</v>
      </c>
      <c r="AK58" s="805">
        <f t="shared" si="1058"/>
        <v>0</v>
      </c>
      <c r="AL58" s="805">
        <f t="shared" si="1058"/>
        <v>0</v>
      </c>
      <c r="AM58" s="805">
        <f t="shared" si="1058"/>
        <v>0</v>
      </c>
      <c r="AN58" s="805">
        <f t="shared" si="1058"/>
        <v>0</v>
      </c>
      <c r="AO58" s="805">
        <f t="shared" si="1058"/>
        <v>0</v>
      </c>
      <c r="AP58" s="805">
        <f t="shared" si="1058"/>
        <v>0</v>
      </c>
      <c r="AQ58" s="805">
        <f t="shared" si="1058"/>
        <v>0</v>
      </c>
      <c r="AR58" s="805">
        <f t="shared" si="1058"/>
        <v>0</v>
      </c>
      <c r="AS58" s="805">
        <f t="shared" si="1058"/>
        <v>0</v>
      </c>
      <c r="AT58" s="805">
        <f t="shared" si="1058"/>
        <v>0</v>
      </c>
      <c r="AU58" s="805">
        <f t="shared" si="1056"/>
        <v>0</v>
      </c>
      <c r="AV58" s="805">
        <f t="shared" si="813"/>
        <v>0</v>
      </c>
      <c r="AW58" s="805">
        <f t="shared" si="1060"/>
        <v>0</v>
      </c>
      <c r="AX58" s="805">
        <f t="shared" si="1060"/>
        <v>0</v>
      </c>
      <c r="AY58" s="805">
        <f t="shared" si="1060"/>
        <v>0</v>
      </c>
      <c r="AZ58" s="805">
        <f t="shared" si="1060"/>
        <v>0</v>
      </c>
      <c r="BA58" s="805">
        <f t="shared" si="1060"/>
        <v>0</v>
      </c>
      <c r="BB58" s="805">
        <f t="shared" si="1060"/>
        <v>0</v>
      </c>
      <c r="BC58" s="805">
        <f t="shared" si="1060"/>
        <v>0</v>
      </c>
      <c r="BD58" s="805">
        <f t="shared" si="1060"/>
        <v>0</v>
      </c>
      <c r="BE58" s="805">
        <f t="shared" si="1060"/>
        <v>0</v>
      </c>
      <c r="BF58" s="805">
        <f t="shared" si="1060"/>
        <v>0</v>
      </c>
      <c r="BG58" s="805">
        <f t="shared" si="1060"/>
        <v>0</v>
      </c>
      <c r="BH58" s="805">
        <f t="shared" si="1060"/>
        <v>0</v>
      </c>
      <c r="BI58" s="805">
        <f t="shared" si="1060"/>
        <v>0</v>
      </c>
      <c r="BJ58" s="805">
        <f t="shared" si="1060"/>
        <v>0</v>
      </c>
      <c r="BK58" s="805">
        <f t="shared" si="1060"/>
        <v>0</v>
      </c>
      <c r="BL58" s="805">
        <f t="shared" si="815"/>
        <v>0</v>
      </c>
      <c r="BM58" s="806"/>
      <c r="BN58" s="785"/>
      <c r="BO58" s="1204"/>
      <c r="BP58" s="1203">
        <f>+SUMIF('AUX-NIV1'!$B:$B,Crono!$C58,'AUX-NIV1'!AQ:AQ)*Crono!$H58</f>
        <v>0</v>
      </c>
      <c r="BQ58" s="1202">
        <f>+SUMIF('AUX-NIV1'!$B:$B,Crono!$C58,'AUX-NIV1'!AR:AR)*Crono!$H58</f>
        <v>0</v>
      </c>
      <c r="BR58" s="1202">
        <f>+SUMIF('AUX-NIV1'!$B:$B,Crono!$C58,'AUX-NIV1'!AS:AS)*Crono!$H58</f>
        <v>0</v>
      </c>
      <c r="BS58" s="1202">
        <f>+SUMIF('AUX-NIV1'!$B:$B,Crono!$C58,'AUX-NIV1'!AT:AT)*Crono!$H58</f>
        <v>0</v>
      </c>
      <c r="BT58" s="1202">
        <f>+SUMIF('AUX-NIV1'!$B:$B,Crono!$C58,'AUX-NIV1'!AU:AU)*Crono!$H58</f>
        <v>0</v>
      </c>
      <c r="BU58" s="1202"/>
    </row>
    <row r="59" spans="2:73" ht="15.6">
      <c r="B59" s="661"/>
      <c r="C59" s="646"/>
      <c r="D59" s="646"/>
      <c r="E59" s="647"/>
      <c r="F59" s="653" t="s">
        <v>1247</v>
      </c>
      <c r="G59" s="654">
        <f>Items!G54</f>
        <v>1.2886597938144329</v>
      </c>
      <c r="H59" s="655"/>
      <c r="I59" s="656"/>
      <c r="J59" s="664"/>
      <c r="K59" s="655"/>
      <c r="L59" s="656"/>
      <c r="M59" s="827"/>
      <c r="N59" s="828"/>
      <c r="O59" s="829">
        <f>+IF(C59&lt;&gt;"",VLOOKUP(C59,'AUX-NIV1'!B:AO,40,FALSE)*H59,0)</f>
        <v>0</v>
      </c>
      <c r="P59" s="803" t="str">
        <f>IF(J59&gt;0,IF(+SUM(Q59:BM59)=1,"","REV."),"")</f>
        <v/>
      </c>
      <c r="Q59" s="804">
        <f t="shared" si="1059"/>
        <v>0</v>
      </c>
      <c r="R59" s="805">
        <f t="shared" si="1059"/>
        <v>0</v>
      </c>
      <c r="S59" s="805">
        <f t="shared" si="1059"/>
        <v>0</v>
      </c>
      <c r="T59" s="805">
        <f t="shared" si="1059"/>
        <v>0</v>
      </c>
      <c r="U59" s="805">
        <f t="shared" si="1059"/>
        <v>0</v>
      </c>
      <c r="V59" s="805">
        <f t="shared" si="1059"/>
        <v>0</v>
      </c>
      <c r="W59" s="805">
        <f t="shared" si="1059"/>
        <v>0</v>
      </c>
      <c r="X59" s="805">
        <f t="shared" si="1059"/>
        <v>0</v>
      </c>
      <c r="Y59" s="805">
        <f t="shared" si="1059"/>
        <v>0</v>
      </c>
      <c r="Z59" s="805">
        <f t="shared" si="1059"/>
        <v>0</v>
      </c>
      <c r="AA59" s="805">
        <f t="shared" si="1059"/>
        <v>0</v>
      </c>
      <c r="AB59" s="805">
        <f t="shared" si="1059"/>
        <v>0</v>
      </c>
      <c r="AC59" s="805">
        <f t="shared" si="1059"/>
        <v>0</v>
      </c>
      <c r="AD59" s="805">
        <f t="shared" si="1059"/>
        <v>0</v>
      </c>
      <c r="AE59" s="805">
        <f t="shared" si="1059"/>
        <v>0</v>
      </c>
      <c r="AF59" s="805">
        <f t="shared" si="1059"/>
        <v>0</v>
      </c>
      <c r="AG59" s="805">
        <f t="shared" si="1058"/>
        <v>0</v>
      </c>
      <c r="AH59" s="805">
        <f t="shared" si="1058"/>
        <v>0</v>
      </c>
      <c r="AI59" s="805">
        <f t="shared" si="1058"/>
        <v>0</v>
      </c>
      <c r="AJ59" s="805">
        <f t="shared" si="1058"/>
        <v>0</v>
      </c>
      <c r="AK59" s="805">
        <f t="shared" si="1058"/>
        <v>0</v>
      </c>
      <c r="AL59" s="805">
        <f t="shared" si="1058"/>
        <v>0</v>
      </c>
      <c r="AM59" s="805">
        <f t="shared" si="1058"/>
        <v>0</v>
      </c>
      <c r="AN59" s="805">
        <f t="shared" si="1058"/>
        <v>0</v>
      </c>
      <c r="AO59" s="805">
        <f t="shared" si="1058"/>
        <v>0</v>
      </c>
      <c r="AP59" s="805">
        <f t="shared" si="1058"/>
        <v>0</v>
      </c>
      <c r="AQ59" s="805">
        <f t="shared" si="1058"/>
        <v>0</v>
      </c>
      <c r="AR59" s="805">
        <f t="shared" si="1058"/>
        <v>0</v>
      </c>
      <c r="AS59" s="805">
        <f t="shared" si="1058"/>
        <v>0</v>
      </c>
      <c r="AT59" s="805">
        <f t="shared" si="1058"/>
        <v>0</v>
      </c>
      <c r="AU59" s="805">
        <f t="shared" si="1056"/>
        <v>0</v>
      </c>
      <c r="AV59" s="805">
        <f t="shared" si="813"/>
        <v>0</v>
      </c>
      <c r="AW59" s="805">
        <f t="shared" si="1060"/>
        <v>0</v>
      </c>
      <c r="AX59" s="805">
        <f t="shared" si="1060"/>
        <v>0</v>
      </c>
      <c r="AY59" s="805">
        <f t="shared" si="1060"/>
        <v>0</v>
      </c>
      <c r="AZ59" s="805">
        <f t="shared" si="1060"/>
        <v>0</v>
      </c>
      <c r="BA59" s="805">
        <f t="shared" si="1060"/>
        <v>0</v>
      </c>
      <c r="BB59" s="805">
        <f t="shared" si="1060"/>
        <v>0</v>
      </c>
      <c r="BC59" s="805">
        <f t="shared" si="1060"/>
        <v>0</v>
      </c>
      <c r="BD59" s="805">
        <f t="shared" si="1060"/>
        <v>0</v>
      </c>
      <c r="BE59" s="805">
        <f t="shared" si="1060"/>
        <v>0</v>
      </c>
      <c r="BF59" s="805">
        <f t="shared" si="1060"/>
        <v>0</v>
      </c>
      <c r="BG59" s="805">
        <f t="shared" si="1060"/>
        <v>0</v>
      </c>
      <c r="BH59" s="805">
        <f t="shared" si="1060"/>
        <v>0</v>
      </c>
      <c r="BI59" s="805">
        <f t="shared" si="1060"/>
        <v>0</v>
      </c>
      <c r="BJ59" s="805">
        <f t="shared" si="1060"/>
        <v>0</v>
      </c>
      <c r="BK59" s="805">
        <f t="shared" si="1060"/>
        <v>0</v>
      </c>
      <c r="BL59" s="805">
        <f t="shared" si="815"/>
        <v>0</v>
      </c>
      <c r="BM59" s="806"/>
      <c r="BN59" s="785"/>
      <c r="BO59" s="1204"/>
      <c r="BP59" s="1203">
        <f>+SUMIF('AUX-NIV1'!$B:$B,Crono!$C59,'AUX-NIV1'!AQ:AQ)*Crono!$H59</f>
        <v>0</v>
      </c>
      <c r="BQ59" s="1202">
        <f>+SUMIF('AUX-NIV1'!$B:$B,Crono!$C59,'AUX-NIV1'!AR:AR)*Crono!$H59</f>
        <v>0</v>
      </c>
      <c r="BR59" s="1202">
        <f>+SUMIF('AUX-NIV1'!$B:$B,Crono!$C59,'AUX-NIV1'!AS:AS)*Crono!$H59</f>
        <v>0</v>
      </c>
      <c r="BS59" s="1202">
        <f>+SUMIF('AUX-NIV1'!$B:$B,Crono!$C59,'AUX-NIV1'!AT:AT)*Crono!$H59</f>
        <v>0</v>
      </c>
      <c r="BT59" s="1202">
        <f>+SUMIF('AUX-NIV1'!$B:$B,Crono!$C59,'AUX-NIV1'!AU:AU)*Crono!$H59</f>
        <v>0</v>
      </c>
      <c r="BU59" s="1202"/>
    </row>
    <row r="60" spans="2:73" ht="17.399999999999999">
      <c r="B60" s="666" t="s">
        <v>1326</v>
      </c>
      <c r="C60" s="667"/>
      <c r="D60" s="667"/>
      <c r="E60" s="668"/>
      <c r="F60" s="669" t="s">
        <v>1234</v>
      </c>
      <c r="G60" s="670"/>
      <c r="H60" s="671"/>
      <c r="I60" s="672"/>
      <c r="J60" s="673">
        <f>+G59*J41</f>
        <v>418087.12385075126</v>
      </c>
      <c r="K60" s="671"/>
      <c r="L60" s="672"/>
      <c r="M60" s="841"/>
      <c r="N60" s="842"/>
      <c r="O60" s="840">
        <f>+IF(C60&lt;&gt;"",VLOOKUP(C60,'AUX-NIV1'!B:AO,40,FALSE)*H60,0)</f>
        <v>0</v>
      </c>
      <c r="P60" s="803" t="str">
        <f>IF(J60&gt;0,IF(+SUM(Q60:BM60)=1,"","REV."),"")</f>
        <v>REV.</v>
      </c>
      <c r="Q60" s="804">
        <f t="shared" si="1059"/>
        <v>0</v>
      </c>
      <c r="R60" s="805">
        <f t="shared" si="1059"/>
        <v>0</v>
      </c>
      <c r="S60" s="805">
        <f t="shared" si="1059"/>
        <v>0</v>
      </c>
      <c r="T60" s="805">
        <f t="shared" si="1059"/>
        <v>0</v>
      </c>
      <c r="U60" s="805">
        <f t="shared" si="1059"/>
        <v>0</v>
      </c>
      <c r="V60" s="805">
        <f t="shared" si="1059"/>
        <v>0</v>
      </c>
      <c r="W60" s="805">
        <f t="shared" si="1059"/>
        <v>0</v>
      </c>
      <c r="X60" s="805">
        <f t="shared" si="1059"/>
        <v>0</v>
      </c>
      <c r="Y60" s="805">
        <f t="shared" si="1059"/>
        <v>0</v>
      </c>
      <c r="Z60" s="805">
        <f t="shared" si="1059"/>
        <v>0</v>
      </c>
      <c r="AA60" s="805">
        <f t="shared" si="1059"/>
        <v>0</v>
      </c>
      <c r="AB60" s="805">
        <f t="shared" si="1059"/>
        <v>0</v>
      </c>
      <c r="AC60" s="805">
        <f t="shared" si="1059"/>
        <v>0</v>
      </c>
      <c r="AD60" s="805">
        <f t="shared" si="1059"/>
        <v>0</v>
      </c>
      <c r="AE60" s="805">
        <f t="shared" si="1059"/>
        <v>0</v>
      </c>
      <c r="AF60" s="805">
        <f t="shared" si="1059"/>
        <v>0</v>
      </c>
      <c r="AG60" s="805">
        <f t="shared" ref="AG60:AT60" si="1061">IF(AND($H60&gt;0,AG$7&gt;0),+IF(AND($M60&lt;=AG$7,$N60&gt;=AG$7),IF($W$6="QUINCENAL",1/(($N60-$M60)/0.5+1),1/($N60-$M60+1)),0),0)</f>
        <v>0</v>
      </c>
      <c r="AH60" s="805">
        <f t="shared" si="1061"/>
        <v>0</v>
      </c>
      <c r="AI60" s="805">
        <f t="shared" si="1061"/>
        <v>0</v>
      </c>
      <c r="AJ60" s="805">
        <f t="shared" si="1061"/>
        <v>0</v>
      </c>
      <c r="AK60" s="805">
        <f t="shared" si="1061"/>
        <v>0</v>
      </c>
      <c r="AL60" s="805">
        <f t="shared" si="1061"/>
        <v>0</v>
      </c>
      <c r="AM60" s="805">
        <f t="shared" si="1061"/>
        <v>0</v>
      </c>
      <c r="AN60" s="805">
        <f t="shared" si="1061"/>
        <v>0</v>
      </c>
      <c r="AO60" s="805">
        <f t="shared" si="1061"/>
        <v>0</v>
      </c>
      <c r="AP60" s="805">
        <f t="shared" si="1061"/>
        <v>0</v>
      </c>
      <c r="AQ60" s="805">
        <f t="shared" si="1061"/>
        <v>0</v>
      </c>
      <c r="AR60" s="805">
        <f t="shared" si="1061"/>
        <v>0</v>
      </c>
      <c r="AS60" s="805">
        <f t="shared" si="1061"/>
        <v>0</v>
      </c>
      <c r="AT60" s="805">
        <f t="shared" si="1061"/>
        <v>0</v>
      </c>
      <c r="AU60" s="805">
        <f t="shared" si="1056"/>
        <v>0</v>
      </c>
      <c r="AV60" s="805">
        <f t="shared" si="813"/>
        <v>0</v>
      </c>
      <c r="AW60" s="805">
        <f t="shared" si="1060"/>
        <v>0</v>
      </c>
      <c r="AX60" s="805">
        <f t="shared" si="1060"/>
        <v>0</v>
      </c>
      <c r="AY60" s="805">
        <f t="shared" si="1060"/>
        <v>0</v>
      </c>
      <c r="AZ60" s="805">
        <f t="shared" si="1060"/>
        <v>0</v>
      </c>
      <c r="BA60" s="805">
        <f t="shared" si="1060"/>
        <v>0</v>
      </c>
      <c r="BB60" s="805">
        <f t="shared" si="1060"/>
        <v>0</v>
      </c>
      <c r="BC60" s="805">
        <f t="shared" si="1060"/>
        <v>0</v>
      </c>
      <c r="BD60" s="805">
        <f t="shared" si="1060"/>
        <v>0</v>
      </c>
      <c r="BE60" s="805">
        <f t="shared" si="1060"/>
        <v>0</v>
      </c>
      <c r="BF60" s="805">
        <f t="shared" si="1060"/>
        <v>0</v>
      </c>
      <c r="BG60" s="805">
        <f t="shared" si="1060"/>
        <v>0</v>
      </c>
      <c r="BH60" s="805">
        <f t="shared" si="1060"/>
        <v>0</v>
      </c>
      <c r="BI60" s="805">
        <f t="shared" si="1060"/>
        <v>0</v>
      </c>
      <c r="BJ60" s="805">
        <f t="shared" si="1060"/>
        <v>0</v>
      </c>
      <c r="BK60" s="805">
        <f t="shared" si="1060"/>
        <v>0</v>
      </c>
      <c r="BL60" s="805">
        <f t="shared" si="815"/>
        <v>0</v>
      </c>
      <c r="BM60" s="806"/>
      <c r="BN60" s="785"/>
      <c r="BO60" s="1204"/>
      <c r="BP60" s="1203">
        <f>+SUMIF('AUX-NIV1'!$B:$B,Crono!$C60,'AUX-NIV1'!AQ:AQ)*Crono!$H60</f>
        <v>0</v>
      </c>
      <c r="BQ60" s="1202">
        <f>+SUMIF('AUX-NIV1'!$B:$B,Crono!$C60,'AUX-NIV1'!AR:AR)*Crono!$H60</f>
        <v>0</v>
      </c>
      <c r="BR60" s="1202">
        <f>+SUMIF('AUX-NIV1'!$B:$B,Crono!$C60,'AUX-NIV1'!AS:AS)*Crono!$H60</f>
        <v>0</v>
      </c>
      <c r="BS60" s="1202">
        <f>+SUMIF('AUX-NIV1'!$B:$B,Crono!$C60,'AUX-NIV1'!AT:AT)*Crono!$H60</f>
        <v>0</v>
      </c>
      <c r="BT60" s="1202">
        <f>+SUMIF('AUX-NIV1'!$B:$B,Crono!$C60,'AUX-NIV1'!AU:AU)*Crono!$H60</f>
        <v>0</v>
      </c>
      <c r="BU60" s="1202"/>
    </row>
    <row r="61" spans="2:73">
      <c r="N61" s="810"/>
    </row>
    <row r="62" spans="2:73">
      <c r="O62" s="811"/>
      <c r="P62" s="812" t="s">
        <v>1335</v>
      </c>
      <c r="Q62" s="813">
        <f>+SUMPRODUCT(Q$15:Q$60,$J15:$J60)/1000</f>
        <v>107.05218773072502</v>
      </c>
      <c r="R62" s="813">
        <f>+SUMPRODUCT(R$15:R$60,$J15:$J60)/1000</f>
        <v>482.22861880635321</v>
      </c>
      <c r="S62" s="813">
        <f>+SUMPRODUCT(S$15:S$60,$J15:$J60)/1000</f>
        <v>49.996206979477051</v>
      </c>
      <c r="T62" s="813">
        <f>+SUMPRODUCT(T$15:T$60,$J15:$J60)/1000</f>
        <v>101.83901033697022</v>
      </c>
      <c r="U62" s="813">
        <f>+SUMPRODUCT(U$15:U$60,$J15:$J60)/1000</f>
        <v>0</v>
      </c>
      <c r="V62" s="813">
        <f>+SUMPRODUCT(V$15:V$60,$J15:$J60)/1000</f>
        <v>0</v>
      </c>
      <c r="W62" s="813">
        <f>+SUMPRODUCT(W$15:W$60,$J15:$J60)/1000</f>
        <v>0</v>
      </c>
      <c r="X62" s="813">
        <f>+SUMPRODUCT(X$15:X$60,$J15:$J60)/1000</f>
        <v>0</v>
      </c>
      <c r="Y62" s="813">
        <f>+SUMPRODUCT(Y$15:Y$60,$J15:$J60)/1000</f>
        <v>0</v>
      </c>
      <c r="Z62" s="813">
        <f>+SUMPRODUCT(Z$15:Z$60,$J15:$J60)/1000</f>
        <v>0</v>
      </c>
      <c r="AA62" s="813">
        <f>+SUMPRODUCT(AA$15:AA$60,$J15:$J60)/1000</f>
        <v>0</v>
      </c>
      <c r="AB62" s="813">
        <f>+SUMPRODUCT(AB$15:AB$60,$J15:$J60)/1000</f>
        <v>0</v>
      </c>
      <c r="AC62" s="813">
        <f>+SUMPRODUCT(AC$15:AC$60,$J15:$J60)/1000</f>
        <v>0</v>
      </c>
      <c r="AD62" s="813">
        <f>+SUMPRODUCT(AD$15:AD$60,$J15:$J60)/1000</f>
        <v>0</v>
      </c>
      <c r="AE62" s="813">
        <f>+SUMPRODUCT(AE$15:AE$60,$J15:$J60)/1000</f>
        <v>0</v>
      </c>
      <c r="AF62" s="813">
        <f>+SUMPRODUCT(AF$15:AF$60,$J15:$J60)/1000</f>
        <v>0</v>
      </c>
      <c r="AG62" s="813">
        <f>+SUMPRODUCT(AG$15:AG$60,$J15:$J60)/1000</f>
        <v>0</v>
      </c>
      <c r="AH62" s="813">
        <f>+SUMPRODUCT(AH$15:AH$60,$J15:$J60)/1000</f>
        <v>0</v>
      </c>
      <c r="AI62" s="813">
        <f>+SUMPRODUCT(AI$15:AI$60,$J15:$J60)/1000</f>
        <v>0</v>
      </c>
      <c r="AJ62" s="813">
        <f>+SUMPRODUCT(AJ$15:AJ$60,$J15:$J60)/1000</f>
        <v>0</v>
      </c>
      <c r="AK62" s="813">
        <f>+SUMPRODUCT(AK$15:AK$60,$J15:$J60)/1000</f>
        <v>0</v>
      </c>
      <c r="AL62" s="813">
        <f>+SUMPRODUCT(AL$15:AL$60,$J15:$J60)/1000</f>
        <v>0</v>
      </c>
      <c r="AM62" s="813">
        <f>+SUMPRODUCT(AM$15:AM$60,$J15:$J60)/1000</f>
        <v>0</v>
      </c>
      <c r="AN62" s="813">
        <f>+SUMPRODUCT(AN$15:AN$60,$J15:$J60)/1000</f>
        <v>0</v>
      </c>
      <c r="AO62" s="813">
        <f>+SUMPRODUCT(AO$15:AO$60,$J15:$J60)/1000</f>
        <v>0</v>
      </c>
      <c r="AP62" s="813">
        <f>+SUMPRODUCT(AP$15:AP$60,$J15:$J60)/1000</f>
        <v>0</v>
      </c>
      <c r="AQ62" s="813">
        <f>+SUMPRODUCT(AQ$15:AQ$60,$J15:$J60)/1000</f>
        <v>0</v>
      </c>
      <c r="AR62" s="813">
        <f>+SUMPRODUCT(AR$15:AR$60,$J15:$J60)/1000</f>
        <v>0</v>
      </c>
      <c r="AS62" s="813">
        <f>+SUMPRODUCT(AS$15:AS$60,$J15:$J60)/1000</f>
        <v>0</v>
      </c>
      <c r="AT62" s="813">
        <f>+SUMPRODUCT(AT$15:AT$60,$J15:$J60)/1000</f>
        <v>0</v>
      </c>
      <c r="AU62" s="813">
        <f>+SUMPRODUCT(AU$15:AU$60,$J15:$J60)/1000</f>
        <v>0</v>
      </c>
      <c r="AV62" s="813">
        <f>+SUMPRODUCT(AV$15:AV$60,$J15:$J60)/1000</f>
        <v>0</v>
      </c>
      <c r="AW62" s="813">
        <f>+SUMPRODUCT(AW$15:AW$60,$J15:$J60)/1000</f>
        <v>0</v>
      </c>
      <c r="AX62" s="813">
        <f>+SUMPRODUCT(AX$15:AX$60,$J15:$J60)/1000</f>
        <v>0</v>
      </c>
      <c r="AY62" s="813">
        <f>+SUMPRODUCT(AY$15:AY$60,$J15:$J60)/1000</f>
        <v>0</v>
      </c>
      <c r="AZ62" s="813">
        <f>+SUMPRODUCT(AZ$15:AZ$60,$J15:$J60)/1000</f>
        <v>0</v>
      </c>
      <c r="BA62" s="813">
        <f>+SUMPRODUCT(BA$15:BA$60,$J15:$J60)/1000</f>
        <v>0</v>
      </c>
      <c r="BB62" s="813">
        <f>+SUMPRODUCT(BB$15:BB$60,$J15:$J60)/1000</f>
        <v>0</v>
      </c>
      <c r="BC62" s="813">
        <f>+SUMPRODUCT(BC$15:BC$60,$J15:$J60)/1000</f>
        <v>0</v>
      </c>
      <c r="BD62" s="813">
        <f>+SUMPRODUCT(BD$15:BD$60,$J15:$J60)/1000</f>
        <v>0</v>
      </c>
      <c r="BE62" s="813">
        <f>+SUMPRODUCT(BE$15:BE$60,$J15:$J60)/1000</f>
        <v>0</v>
      </c>
      <c r="BF62" s="813">
        <f>+SUMPRODUCT(BF$15:BF$60,$J15:$J60)/1000</f>
        <v>0</v>
      </c>
      <c r="BG62" s="813">
        <f>+SUMPRODUCT(BG$15:BG$60,$J15:$J60)/1000</f>
        <v>0</v>
      </c>
      <c r="BH62" s="813">
        <f>+SUMPRODUCT(BH$15:BH$60,$J15:$J60)/1000</f>
        <v>0</v>
      </c>
      <c r="BI62" s="813">
        <f>+SUMPRODUCT(BI$15:BI$60,$J15:$J60)/1000</f>
        <v>0</v>
      </c>
      <c r="BJ62" s="813">
        <f>+SUMPRODUCT(BJ$15:BJ$60,$J15:$J60)/1000</f>
        <v>0</v>
      </c>
      <c r="BK62" s="813">
        <f>+SUMPRODUCT(BK$15:BK$60,$J15:$J60)/1000</f>
        <v>0</v>
      </c>
      <c r="BL62" s="813">
        <f>+SUMPRODUCT(BL$15:BL$60,$J15:$J60)/1000</f>
        <v>0</v>
      </c>
      <c r="BM62" s="813">
        <f>+SUMPRODUCT(BM$15:BM$60,$J15:$J60)/1000</f>
        <v>0</v>
      </c>
    </row>
    <row r="63" spans="2:73">
      <c r="P63" s="812" t="s">
        <v>1338</v>
      </c>
      <c r="Q63" s="813">
        <f>+SUMPRODUCT(Q$13:Q$60,$O13:$O60)/Datos!$N$40</f>
        <v>0.93361152282742288</v>
      </c>
      <c r="R63" s="813">
        <f>+SUMPRODUCT(R$13:R$60,$O13:$O60)/Datos!$N$40</f>
        <v>1.0938447068985833</v>
      </c>
      <c r="S63" s="813">
        <f>+SUMPRODUCT(S$13:S$60,$O13:$O60)/Datos!$N$40</f>
        <v>0.75028862670008167</v>
      </c>
      <c r="T63" s="813">
        <f>+SUMPRODUCT(T$13:T$60,$O13:$O60)/Datos!$N$40</f>
        <v>0.75028862670008167</v>
      </c>
      <c r="U63" s="813">
        <f>+SUMPRODUCT(U$13:U$60,$O13:$O60)/Datos!$N$40</f>
        <v>0</v>
      </c>
      <c r="V63" s="813">
        <f>+SUMPRODUCT(V$13:V$60,$O13:$O60)/Datos!$N$40</f>
        <v>0</v>
      </c>
      <c r="W63" s="813">
        <f>+SUMPRODUCT(W$13:W$60,$O13:$O60)/Datos!$N$40</f>
        <v>0</v>
      </c>
      <c r="X63" s="813">
        <f>+SUMPRODUCT(X$13:X$60,$O13:$O60)/Datos!$N$40</f>
        <v>0</v>
      </c>
      <c r="Y63" s="813">
        <f>+SUMPRODUCT(Y$13:Y$60,$O13:$O60)/Datos!$N$40</f>
        <v>0</v>
      </c>
      <c r="Z63" s="813">
        <f>+SUMPRODUCT(Z$13:Z$60,$O13:$O60)/Datos!$N$40</f>
        <v>0</v>
      </c>
      <c r="AA63" s="813">
        <f>+SUMPRODUCT(AA$13:AA$60,$O13:$O60)/Datos!$N$40</f>
        <v>0</v>
      </c>
      <c r="AB63" s="813">
        <f>+SUMPRODUCT(AB$13:AB$60,$O13:$O60)/Datos!$N$40</f>
        <v>0</v>
      </c>
      <c r="AC63" s="813">
        <f>+SUMPRODUCT(AC$13:AC$60,$O13:$O60)/Datos!$N$40</f>
        <v>0</v>
      </c>
      <c r="AD63" s="813">
        <f>+SUMPRODUCT(AD$13:AD$60,$O13:$O60)/Datos!$N$40</f>
        <v>0</v>
      </c>
      <c r="AE63" s="813">
        <f>+SUMPRODUCT(AE$13:AE$60,$O13:$O60)/Datos!$N$40</f>
        <v>0</v>
      </c>
      <c r="AF63" s="813">
        <f>+SUMPRODUCT(AF$13:AF$60,$O13:$O60)/Datos!$N$40</f>
        <v>0</v>
      </c>
      <c r="AG63" s="813">
        <f>+SUMPRODUCT(AG$13:AG$60,$O13:$O60)/Datos!$N$40</f>
        <v>0</v>
      </c>
      <c r="AH63" s="813">
        <f>+SUMPRODUCT(AH$13:AH$60,$O13:$O60)/Datos!$N$40</f>
        <v>0</v>
      </c>
      <c r="AI63" s="813">
        <f>+SUMPRODUCT(AI$13:AI$60,$O13:$O60)/Datos!$N$40</f>
        <v>0</v>
      </c>
      <c r="AJ63" s="813">
        <f>+SUMPRODUCT(AJ$13:AJ$60,$O13:$O60)/Datos!$N$40</f>
        <v>0</v>
      </c>
      <c r="AK63" s="813">
        <f>+SUMPRODUCT(AK$13:AK$60,$O13:$O60)/Datos!$N$40</f>
        <v>0</v>
      </c>
      <c r="AL63" s="813">
        <f>+SUMPRODUCT(AL$13:AL$60,$O13:$O60)/Datos!$N$40</f>
        <v>0</v>
      </c>
      <c r="AM63" s="813">
        <f>+SUMPRODUCT(AM$13:AM$60,$O13:$O60)/Datos!$N$40</f>
        <v>0</v>
      </c>
      <c r="AN63" s="813">
        <f>+SUMPRODUCT(AN$13:AN$60,$O13:$O60)/Datos!$N$40</f>
        <v>0</v>
      </c>
      <c r="AO63" s="813">
        <f>+SUMPRODUCT(AO$13:AO$60,$O13:$O60)/Datos!$N$40</f>
        <v>0</v>
      </c>
      <c r="AP63" s="813">
        <f>+SUMPRODUCT(AP$13:AP$60,$O13:$O60)/Datos!$N$40</f>
        <v>0</v>
      </c>
      <c r="AQ63" s="813">
        <f>+SUMPRODUCT(AQ$13:AQ$60,$O13:$O60)/Datos!$N$40</f>
        <v>0</v>
      </c>
      <c r="AR63" s="813">
        <f>+SUMPRODUCT(AR$13:AR$60,$O13:$O60)/Datos!$N$40</f>
        <v>0</v>
      </c>
      <c r="AS63" s="813">
        <f>+SUMPRODUCT(AS$13:AS$60,$O13:$O60)/Datos!$N$40</f>
        <v>0</v>
      </c>
      <c r="AT63" s="813">
        <f>+SUMPRODUCT(AT$13:AT$60,$O13:$O60)/Datos!$N$40</f>
        <v>0</v>
      </c>
      <c r="AU63" s="813">
        <f>+SUMPRODUCT(AU$13:AU$60,$O13:$O60)/Datos!$N$40</f>
        <v>0</v>
      </c>
      <c r="AV63" s="813">
        <f>+SUMPRODUCT(AV$13:AV$60,$O13:$O60)/Datos!$N$40</f>
        <v>0</v>
      </c>
      <c r="AW63" s="813">
        <f>+SUMPRODUCT(AW$13:AW$60,$O13:$O60)/Datos!$N$40</f>
        <v>0</v>
      </c>
      <c r="AX63" s="813">
        <f>+SUMPRODUCT(AX$13:AX$60,$O13:$O60)/Datos!$N$40</f>
        <v>0</v>
      </c>
      <c r="AY63" s="813">
        <f>+SUMPRODUCT(AY$13:AY$60,$O13:$O60)/Datos!$N$40</f>
        <v>0</v>
      </c>
      <c r="AZ63" s="813">
        <f>+SUMPRODUCT(AZ$13:AZ$60,$O13:$O60)/Datos!$N$40</f>
        <v>0</v>
      </c>
      <c r="BA63" s="813">
        <f>+SUMPRODUCT(BA$13:BA$60,$O13:$O60)/Datos!$N$40</f>
        <v>0</v>
      </c>
      <c r="BB63" s="813">
        <f>+SUMPRODUCT(BB$13:BB$60,$O13:$O60)/Datos!$N$40</f>
        <v>0</v>
      </c>
      <c r="BC63" s="813">
        <f>+SUMPRODUCT(BC$13:BC$60,$O13:$O60)/Datos!$N$40</f>
        <v>0</v>
      </c>
      <c r="BD63" s="813">
        <f>+SUMPRODUCT(BD$13:BD$60,$O13:$O60)/Datos!$N$40</f>
        <v>0</v>
      </c>
      <c r="BE63" s="813">
        <f>+SUMPRODUCT(BE$13:BE$60,$O13:$O60)/Datos!$N$40</f>
        <v>0</v>
      </c>
      <c r="BF63" s="813">
        <f>+SUMPRODUCT(BF$13:BF$60,$O13:$O60)/Datos!$N$40</f>
        <v>0</v>
      </c>
      <c r="BG63" s="813">
        <f>+SUMPRODUCT(BG$13:BG$60,$O13:$O60)/Datos!$N$40</f>
        <v>0</v>
      </c>
      <c r="BH63" s="813">
        <f>+SUMPRODUCT(BH$13:BH$60,$O13:$O60)/Datos!$N$40</f>
        <v>0</v>
      </c>
      <c r="BI63" s="813">
        <f>+SUMPRODUCT(BI$13:BI$60,$O13:$O60)/Datos!$N$40</f>
        <v>0</v>
      </c>
      <c r="BJ63" s="813">
        <f>+SUMPRODUCT(BJ$13:BJ$60,$O13:$O60)/Datos!$N$40</f>
        <v>0</v>
      </c>
      <c r="BK63" s="813">
        <f>+SUMPRODUCT(BK$13:BK$60,$O13:$O60)/Datos!$N$40</f>
        <v>0</v>
      </c>
      <c r="BL63" s="813">
        <f>+SUMPRODUCT(BL$13:BL$60,$O13:$O60)/Datos!$N$40</f>
        <v>0</v>
      </c>
      <c r="BM63" s="813">
        <f>+SUMPRODUCT(BM$13:BM$60,$O13:$O60)/Datos!$N$40</f>
        <v>0</v>
      </c>
      <c r="BN63" s="813"/>
      <c r="BO63" s="813"/>
    </row>
    <row r="64" spans="2:73">
      <c r="P64" s="812" t="s">
        <v>1339</v>
      </c>
      <c r="Q64" s="813">
        <f>+SUMPRODUCT($O$30:$O$60,Q$30:Q$60)/Datos!$N$40</f>
        <v>0.75028862670008167</v>
      </c>
      <c r="R64" s="813">
        <f>+SUMPRODUCT($O$30:$O$60,R$30:R$60)/Datos!$N$40</f>
        <v>0.75028862670008167</v>
      </c>
      <c r="S64" s="813">
        <f>+SUMPRODUCT($O$30:$O$60,S$30:S$60)/Datos!$N$40</f>
        <v>0.75028862670008167</v>
      </c>
      <c r="T64" s="813">
        <f>+SUMPRODUCT($O$30:$O$60,T$30:T$60)/Datos!$N$40</f>
        <v>0.75028862670008167</v>
      </c>
      <c r="U64" s="813">
        <f>+SUMPRODUCT($O$30:$O$60,U$30:U$60)/Datos!$N$40</f>
        <v>0</v>
      </c>
      <c r="V64" s="813">
        <f>+SUMPRODUCT($O$30:$O$60,V$30:V$60)/Datos!$N$40</f>
        <v>0</v>
      </c>
      <c r="W64" s="813">
        <f>+SUMPRODUCT($O$30:$O$60,W$30:W$60)/Datos!$N$40</f>
        <v>0</v>
      </c>
      <c r="X64" s="813">
        <f>+SUMPRODUCT($O$30:$O$60,X$30:X$60)/Datos!$N$40</f>
        <v>0</v>
      </c>
      <c r="Y64" s="813">
        <f>+SUMPRODUCT($O$30:$O$60,Y$30:Y$60)/Datos!$N$40</f>
        <v>0</v>
      </c>
      <c r="Z64" s="813">
        <f>+SUMPRODUCT($O$30:$O$60,Z$30:Z$60)/Datos!$N$40</f>
        <v>0</v>
      </c>
      <c r="AA64" s="813">
        <f>+SUMPRODUCT($O$30:$O$60,AA$30:AA$60)/Datos!$N$40</f>
        <v>0</v>
      </c>
      <c r="AB64" s="813">
        <f>+SUMPRODUCT($O$30:$O$60,AB$30:AB$60)/Datos!$N$40</f>
        <v>0</v>
      </c>
      <c r="AC64" s="813">
        <f>+SUMPRODUCT($O$30:$O$60,AC$30:AC$60)/Datos!$N$40</f>
        <v>0</v>
      </c>
      <c r="AD64" s="813">
        <f>+SUMPRODUCT($O$30:$O$60,AD$30:AD$60)/Datos!$N$40</f>
        <v>0</v>
      </c>
      <c r="AE64" s="813">
        <f>+SUMPRODUCT($O$30:$O$60,AE$30:AE$60)/Datos!$N$40</f>
        <v>0</v>
      </c>
      <c r="AF64" s="813">
        <f>+SUMPRODUCT($O$30:$O$60,AF$30:AF$60)/Datos!$N$40</f>
        <v>0</v>
      </c>
      <c r="AG64" s="813">
        <f>+SUMPRODUCT($O$30:$O$60,AG$30:AG$60)/Datos!$N$40</f>
        <v>0</v>
      </c>
      <c r="AH64" s="813">
        <f>+SUMPRODUCT($O$30:$O$60,AH$30:AH$60)/Datos!$N$40</f>
        <v>0</v>
      </c>
      <c r="AI64" s="813">
        <f>+SUMPRODUCT($O$30:$O$60,AI$30:AI$60)/Datos!$N$40</f>
        <v>0</v>
      </c>
      <c r="AJ64" s="813">
        <f>+SUMPRODUCT($O$30:$O$60,AJ$30:AJ$60)/Datos!$N$40</f>
        <v>0</v>
      </c>
      <c r="AK64" s="813">
        <f>+SUMPRODUCT($O$30:$O$60,AK$30:AK$60)/Datos!$N$40</f>
        <v>0</v>
      </c>
      <c r="AL64" s="813">
        <f>+SUMPRODUCT($O$30:$O$60,AL$30:AL$60)/Datos!$N$40</f>
        <v>0</v>
      </c>
      <c r="AM64" s="813">
        <f>+SUMPRODUCT($O$30:$O$60,AM$30:AM$60)/Datos!$N$40</f>
        <v>0</v>
      </c>
      <c r="AN64" s="813">
        <f>+SUMPRODUCT($O$30:$O$60,AN$30:AN$60)/Datos!$N$40</f>
        <v>0</v>
      </c>
      <c r="AO64" s="813">
        <f>+SUMPRODUCT($O$30:$O$60,AO$30:AO$60)/Datos!$N$40</f>
        <v>0</v>
      </c>
      <c r="AP64" s="813">
        <f>+SUMPRODUCT($O$30:$O$60,AP$30:AP$60)/Datos!$N$40</f>
        <v>0</v>
      </c>
      <c r="AQ64" s="813">
        <f>+SUMPRODUCT($O$30:$O$60,AQ$30:AQ$60)/Datos!$N$40</f>
        <v>0</v>
      </c>
      <c r="AR64" s="813">
        <f>+SUMPRODUCT($O$30:$O$60,AR$30:AR$60)/Datos!$N$40</f>
        <v>0</v>
      </c>
      <c r="AS64" s="813">
        <f>+SUMPRODUCT($O$30:$O$60,AS$30:AS$60)/Datos!$N$40</f>
        <v>0</v>
      </c>
      <c r="AT64" s="813">
        <f>+SUMPRODUCT($O$30:$O$60,AT$30:AT$60)/Datos!$N$40</f>
        <v>0</v>
      </c>
      <c r="AU64" s="813">
        <f>+SUMPRODUCT($O$30:$O$60,AU$30:AU$60)/Datos!$N$40</f>
        <v>0</v>
      </c>
      <c r="AV64" s="813">
        <f>+SUMPRODUCT($O$30:$O$60,AV$30:AV$60)/Datos!$N$40</f>
        <v>0</v>
      </c>
      <c r="AW64" s="813">
        <f>+SUMPRODUCT($O$30:$O$60,AW$30:AW$60)/Datos!$N$40</f>
        <v>0</v>
      </c>
      <c r="AX64" s="813">
        <f>+SUMPRODUCT($O$30:$O$60,AX$30:AX$60)/Datos!$N$40</f>
        <v>0</v>
      </c>
      <c r="AY64" s="813">
        <f>+SUMPRODUCT($O$30:$O$60,AY$30:AY$60)/Datos!$N$40</f>
        <v>0</v>
      </c>
      <c r="AZ64" s="813">
        <f>+SUMPRODUCT($O$30:$O$60,AZ$30:AZ$60)/Datos!$N$40</f>
        <v>0</v>
      </c>
      <c r="BA64" s="813">
        <f>+SUMPRODUCT($O$30:$O$60,BA$30:BA$60)/Datos!$N$40</f>
        <v>0</v>
      </c>
      <c r="BB64" s="813">
        <f>+SUMPRODUCT($O$30:$O$60,BB$30:BB$60)/Datos!$N$40</f>
        <v>0</v>
      </c>
      <c r="BC64" s="813">
        <f>+SUMPRODUCT($O$30:$O$60,BC$30:BC$60)/Datos!$N$40</f>
        <v>0</v>
      </c>
      <c r="BD64" s="813">
        <f>+SUMPRODUCT($O$30:$O$60,BD$30:BD$60)/Datos!$N$40</f>
        <v>0</v>
      </c>
      <c r="BE64" s="813">
        <f>+SUMPRODUCT($O$30:$O$60,BE$30:BE$60)/Datos!$N$40</f>
        <v>0</v>
      </c>
      <c r="BF64" s="813">
        <f>+SUMPRODUCT($O$30:$O$60,BF$30:BF$60)/Datos!$N$40</f>
        <v>0</v>
      </c>
      <c r="BG64" s="813">
        <f>+SUMPRODUCT($O$30:$O$60,BG$30:BG$60)/Datos!$N$40</f>
        <v>0</v>
      </c>
      <c r="BH64" s="813">
        <f>+SUMPRODUCT($O$30:$O$60,BH$30:BH$60)/Datos!$N$40</f>
        <v>0</v>
      </c>
      <c r="BI64" s="813">
        <f>+SUMPRODUCT($O$30:$O$60,BI$30:BI$60)/Datos!$N$40</f>
        <v>0</v>
      </c>
      <c r="BJ64" s="813">
        <f>+SUMPRODUCT($O$30:$O$60,BJ$30:BJ$60)/Datos!$N$40</f>
        <v>0</v>
      </c>
      <c r="BK64" s="813">
        <f>+SUMPRODUCT($O$30:$O$60,BK$30:BK$60)/Datos!$N$40</f>
        <v>0</v>
      </c>
      <c r="BL64" s="813">
        <f>+SUMPRODUCT($O$30:$O$60,BL$30:BL$60)/Datos!$N$40</f>
        <v>0</v>
      </c>
      <c r="BM64" s="813">
        <f>+SUMPRODUCT($O$30:$O$60,BM$30:BM$60)/Datos!$N$40</f>
        <v>0</v>
      </c>
    </row>
    <row r="65" spans="16:40">
      <c r="P65" s="773" t="s">
        <v>3218</v>
      </c>
      <c r="Q65" s="922">
        <f>+Q62</f>
        <v>107.05218773072502</v>
      </c>
      <c r="R65" s="922">
        <f>+R62+Q65</f>
        <v>589.28080653707821</v>
      </c>
      <c r="S65" s="922">
        <f t="shared" ref="S65:AN65" si="1062">+S62+R65</f>
        <v>639.27701351655526</v>
      </c>
      <c r="T65" s="922">
        <f t="shared" si="1062"/>
        <v>741.11602385352546</v>
      </c>
      <c r="U65" s="922">
        <f t="shared" si="1062"/>
        <v>741.11602385352546</v>
      </c>
      <c r="V65" s="922">
        <f t="shared" si="1062"/>
        <v>741.11602385352546</v>
      </c>
      <c r="W65" s="922">
        <f t="shared" si="1062"/>
        <v>741.11602385352546</v>
      </c>
      <c r="X65" s="922">
        <f t="shared" si="1062"/>
        <v>741.11602385352546</v>
      </c>
      <c r="Y65" s="922">
        <f t="shared" si="1062"/>
        <v>741.11602385352546</v>
      </c>
      <c r="Z65" s="922">
        <f t="shared" si="1062"/>
        <v>741.11602385352546</v>
      </c>
      <c r="AA65" s="922">
        <f t="shared" si="1062"/>
        <v>741.11602385352546</v>
      </c>
      <c r="AB65" s="922">
        <f t="shared" si="1062"/>
        <v>741.11602385352546</v>
      </c>
      <c r="AC65" s="922">
        <f t="shared" si="1062"/>
        <v>741.11602385352546</v>
      </c>
      <c r="AD65" s="922">
        <f t="shared" si="1062"/>
        <v>741.11602385352546</v>
      </c>
      <c r="AE65" s="922">
        <f t="shared" si="1062"/>
        <v>741.11602385352546</v>
      </c>
      <c r="AF65" s="922">
        <f t="shared" si="1062"/>
        <v>741.11602385352546</v>
      </c>
      <c r="AG65" s="922">
        <f t="shared" si="1062"/>
        <v>741.11602385352546</v>
      </c>
      <c r="AH65" s="922">
        <f t="shared" si="1062"/>
        <v>741.11602385352546</v>
      </c>
      <c r="AI65" s="922">
        <f t="shared" si="1062"/>
        <v>741.11602385352546</v>
      </c>
      <c r="AJ65" s="922">
        <f t="shared" si="1062"/>
        <v>741.11602385352546</v>
      </c>
      <c r="AK65" s="922">
        <f t="shared" si="1062"/>
        <v>741.11602385352546</v>
      </c>
      <c r="AL65" s="922">
        <f t="shared" si="1062"/>
        <v>741.11602385352546</v>
      </c>
      <c r="AM65" s="922">
        <f t="shared" si="1062"/>
        <v>741.11602385352546</v>
      </c>
      <c r="AN65" s="922">
        <f t="shared" si="1062"/>
        <v>741.11602385352546</v>
      </c>
    </row>
    <row r="66" spans="16:40">
      <c r="Q66" s="923">
        <f>+Q65/$AN$65</f>
        <v>0.14444727179705788</v>
      </c>
      <c r="R66" s="923">
        <f>+R65/$AN$65</f>
        <v>0.79512625226079847</v>
      </c>
      <c r="S66" s="923">
        <f>+S65/$AN$65</f>
        <v>0.86258695391924534</v>
      </c>
      <c r="T66" s="923">
        <f>+T65/$AN$65</f>
        <v>1</v>
      </c>
      <c r="U66" s="923">
        <f>+U65/$AN$65</f>
        <v>1</v>
      </c>
      <c r="V66" s="923">
        <f>+V65/$AN$65</f>
        <v>1</v>
      </c>
      <c r="W66" s="923">
        <f>+W65/$AN$65</f>
        <v>1</v>
      </c>
      <c r="X66" s="923">
        <f>+X65/$AN$65</f>
        <v>1</v>
      </c>
      <c r="Y66" s="923">
        <f>+Y65/$AN$65</f>
        <v>1</v>
      </c>
      <c r="Z66" s="923">
        <f>+Z65/$AN$65</f>
        <v>1</v>
      </c>
      <c r="AA66" s="923">
        <f>+AA65/$AN$65</f>
        <v>1</v>
      </c>
      <c r="AB66" s="923">
        <f>+AB65/$AN$65</f>
        <v>1</v>
      </c>
      <c r="AC66" s="923">
        <f>+AC65/$AN$65</f>
        <v>1</v>
      </c>
      <c r="AD66" s="923">
        <f>+AD65/$AN$65</f>
        <v>1</v>
      </c>
      <c r="AE66" s="923">
        <f>+AE65/$AN$65</f>
        <v>1</v>
      </c>
      <c r="AF66" s="923">
        <f>+AF65/$AN$65</f>
        <v>1</v>
      </c>
      <c r="AG66" s="923">
        <f>+AG65/$AN$65</f>
        <v>1</v>
      </c>
      <c r="AH66" s="923">
        <f>+AH65/$AN$65</f>
        <v>1</v>
      </c>
      <c r="AI66" s="923">
        <f>+AI65/$AN$65</f>
        <v>1</v>
      </c>
      <c r="AJ66" s="923">
        <f>+AJ65/$AN$65</f>
        <v>1</v>
      </c>
      <c r="AK66" s="923">
        <f>+AK65/$AN$65</f>
        <v>1</v>
      </c>
      <c r="AL66" s="923">
        <f>+AL65/$AN$65</f>
        <v>1</v>
      </c>
      <c r="AM66" s="923">
        <f>+AM65/$AN$65</f>
        <v>1</v>
      </c>
      <c r="AN66" s="923">
        <f>+AN65/$AN$65</f>
        <v>1</v>
      </c>
    </row>
    <row r="171" spans="5:5">
      <c r="E171" s="919"/>
    </row>
    <row r="172" spans="5:5">
      <c r="E172" s="919"/>
    </row>
    <row r="173" spans="5:5">
      <c r="E173" s="919"/>
    </row>
    <row r="174" spans="5:5">
      <c r="E174" s="919"/>
    </row>
    <row r="175" spans="5:5">
      <c r="E175" s="919"/>
    </row>
    <row r="176" spans="5:5">
      <c r="E176" s="919"/>
    </row>
    <row r="177" spans="5:5">
      <c r="E177" s="919"/>
    </row>
    <row r="178" spans="5:5">
      <c r="E178" s="919"/>
    </row>
    <row r="179" spans="5:5">
      <c r="E179" s="919"/>
    </row>
    <row r="180" spans="5:5">
      <c r="E180" s="919"/>
    </row>
    <row r="181" spans="5:5">
      <c r="E181" s="919"/>
    </row>
    <row r="182" spans="5:5">
      <c r="E182" s="919"/>
    </row>
    <row r="183" spans="5:5">
      <c r="E183" s="919"/>
    </row>
    <row r="184" spans="5:5">
      <c r="E184" s="919"/>
    </row>
    <row r="185" spans="5:5">
      <c r="E185" s="919"/>
    </row>
    <row r="186" spans="5:5">
      <c r="E186" s="919"/>
    </row>
    <row r="187" spans="5:5">
      <c r="E187" s="919"/>
    </row>
    <row r="188" spans="5:5">
      <c r="E188" s="919"/>
    </row>
    <row r="189" spans="5:5">
      <c r="E189" s="919"/>
    </row>
    <row r="190" spans="5:5">
      <c r="E190" s="919"/>
    </row>
    <row r="191" spans="5:5">
      <c r="E191" s="919"/>
    </row>
    <row r="192" spans="5:5">
      <c r="E192" s="919"/>
    </row>
    <row r="193" spans="5:5">
      <c r="E193" s="919"/>
    </row>
    <row r="194" spans="5:5">
      <c r="E194" s="919"/>
    </row>
    <row r="195" spans="5:5">
      <c r="E195" s="919"/>
    </row>
    <row r="196" spans="5:5">
      <c r="E196" s="919"/>
    </row>
    <row r="197" spans="5:5">
      <c r="E197" s="919"/>
    </row>
    <row r="198" spans="5:5">
      <c r="E198" s="919"/>
    </row>
    <row r="199" spans="5:5">
      <c r="E199" s="919"/>
    </row>
    <row r="200" spans="5:5">
      <c r="E200" s="919"/>
    </row>
    <row r="201" spans="5:5">
      <c r="E201" s="919"/>
    </row>
    <row r="202" spans="5:5">
      <c r="E202" s="919"/>
    </row>
    <row r="203" spans="5:5">
      <c r="E203" s="919"/>
    </row>
    <row r="204" spans="5:5">
      <c r="E204" s="919"/>
    </row>
    <row r="205" spans="5:5">
      <c r="E205" s="919"/>
    </row>
    <row r="206" spans="5:5">
      <c r="E206" s="919"/>
    </row>
    <row r="207" spans="5:5">
      <c r="E207" s="919"/>
    </row>
    <row r="208" spans="5:5">
      <c r="E208" s="919"/>
    </row>
    <row r="209" spans="5:5">
      <c r="E209" s="919"/>
    </row>
    <row r="210" spans="5:5">
      <c r="E210" s="919"/>
    </row>
    <row r="211" spans="5:5">
      <c r="E211" s="919"/>
    </row>
    <row r="212" spans="5:5">
      <c r="E212" s="919"/>
    </row>
    <row r="213" spans="5:5">
      <c r="E213" s="919"/>
    </row>
    <row r="214" spans="5:5">
      <c r="E214" s="919"/>
    </row>
    <row r="215" spans="5:5">
      <c r="E215" s="919"/>
    </row>
    <row r="216" spans="5:5">
      <c r="E216" s="919"/>
    </row>
    <row r="217" spans="5:5">
      <c r="E217" s="919"/>
    </row>
    <row r="218" spans="5:5">
      <c r="E218" s="919"/>
    </row>
    <row r="219" spans="5:5">
      <c r="E219" s="919"/>
    </row>
    <row r="220" spans="5:5">
      <c r="E220" s="919"/>
    </row>
    <row r="221" spans="5:5">
      <c r="E221" s="919"/>
    </row>
    <row r="222" spans="5:5">
      <c r="E222" s="919"/>
    </row>
    <row r="223" spans="5:5">
      <c r="E223" s="919"/>
    </row>
    <row r="224" spans="5:5">
      <c r="E224" s="919"/>
    </row>
    <row r="225" spans="5:40">
      <c r="E225" s="919"/>
    </row>
    <row r="226" spans="5:40">
      <c r="E226" s="919"/>
    </row>
    <row r="227" spans="5:40">
      <c r="E227" s="919"/>
    </row>
    <row r="228" spans="5:40">
      <c r="E228" s="919"/>
    </row>
    <row r="229" spans="5:40">
      <c r="E229" s="919"/>
    </row>
    <row r="230" spans="5:40">
      <c r="E230" s="919"/>
    </row>
    <row r="231" spans="5:40">
      <c r="E231" s="919"/>
    </row>
    <row r="232" spans="5:40">
      <c r="E232" s="919"/>
    </row>
    <row r="233" spans="5:40">
      <c r="E233" s="919"/>
    </row>
    <row r="234" spans="5:40">
      <c r="E234" s="919"/>
    </row>
    <row r="235" spans="5:40">
      <c r="E235" s="919"/>
    </row>
    <row r="236" spans="5:40">
      <c r="E236" s="919"/>
    </row>
    <row r="237" spans="5:40">
      <c r="E237" s="919"/>
    </row>
    <row r="238" spans="5:40">
      <c r="E238" s="919" t="e">
        <f>#REF!</f>
        <v>#REF!</v>
      </c>
      <c r="M238" s="560">
        <f>SUMIF(E:E,E238,H:H)</f>
        <v>0</v>
      </c>
      <c r="Q238" s="560" t="e">
        <f>VLOOKUP($E238,$E$14:$H$22,4,FALSE)*VLOOKUP($E238,$E$14:$AN$22,COLUMN(Q$7)-4,FALSE)/$M238+VLOOKUP($E238,#REF!,4,FALSE)*VLOOKUP($E238,#REF!,COLUMN(Q$7)-4,FALSE)/$M238</f>
        <v>#REF!</v>
      </c>
      <c r="R238" s="560" t="e">
        <f>VLOOKUP($E238,$E$14:$H$22,4,FALSE)*VLOOKUP($E238,$E$14:$AN$22,COLUMN(R$7)-4,FALSE)/$M238+VLOOKUP($E238,#REF!,4,FALSE)*VLOOKUP($E238,#REF!,COLUMN(R$7)-4,FALSE)/$M238</f>
        <v>#REF!</v>
      </c>
      <c r="S238" s="560" t="e">
        <f>VLOOKUP($E238,$E$14:$H$22,4,FALSE)*VLOOKUP($E238,$E$14:$AN$22,COLUMN(S$7)-4,FALSE)/$M238+VLOOKUP($E238,#REF!,4,FALSE)*VLOOKUP($E238,#REF!,COLUMN(S$7)-4,FALSE)/$M238</f>
        <v>#REF!</v>
      </c>
      <c r="T238" s="560" t="e">
        <f>VLOOKUP($E238,$E$14:$H$22,4,FALSE)*VLOOKUP($E238,$E$14:$AN$22,COLUMN(T$7)-4,FALSE)/$M238+VLOOKUP($E238,#REF!,4,FALSE)*VLOOKUP($E238,#REF!,COLUMN(T$7)-4,FALSE)/$M238</f>
        <v>#REF!</v>
      </c>
      <c r="U238" s="560" t="e">
        <f>VLOOKUP($E238,$E$14:$H$22,4,FALSE)*VLOOKUP($E238,$E$14:$AN$22,COLUMN(U$7)-4,FALSE)/$M238+VLOOKUP($E238,#REF!,4,FALSE)*VLOOKUP($E238,#REF!,COLUMN(U$7)-4,FALSE)/$M238</f>
        <v>#REF!</v>
      </c>
      <c r="V238" s="560" t="e">
        <f>VLOOKUP($E238,$E$14:$H$22,4,FALSE)*VLOOKUP($E238,$E$14:$AN$22,COLUMN(V$7)-4,FALSE)/$M238+VLOOKUP($E238,#REF!,4,FALSE)*VLOOKUP($E238,#REF!,COLUMN(V$7)-4,FALSE)/$M238</f>
        <v>#REF!</v>
      </c>
      <c r="W238" s="560" t="e">
        <f>VLOOKUP($E238,$E$14:$H$22,4,FALSE)*VLOOKUP($E238,$E$14:$AN$22,COLUMN(W$7)-4,FALSE)/$M238+VLOOKUP($E238,#REF!,4,FALSE)*VLOOKUP($E238,#REF!,COLUMN(W$7)-4,FALSE)/$M238</f>
        <v>#REF!</v>
      </c>
      <c r="X238" s="560" t="e">
        <f>VLOOKUP($E238,$E$14:$H$22,4,FALSE)*VLOOKUP($E238,$E$14:$AN$22,COLUMN(X$7)-4,FALSE)/$M238+VLOOKUP($E238,#REF!,4,FALSE)*VLOOKUP($E238,#REF!,COLUMN(X$7)-4,FALSE)/$M238</f>
        <v>#REF!</v>
      </c>
      <c r="Y238" s="560" t="e">
        <f>VLOOKUP($E238,$E$14:$H$22,4,FALSE)*VLOOKUP($E238,$E$14:$AN$22,COLUMN(Y$7)-4,FALSE)/$M238+VLOOKUP($E238,#REF!,4,FALSE)*VLOOKUP($E238,#REF!,COLUMN(Y$7)-4,FALSE)/$M238</f>
        <v>#REF!</v>
      </c>
      <c r="Z238" s="560" t="e">
        <f>VLOOKUP($E238,$E$14:$H$22,4,FALSE)*VLOOKUP($E238,$E$14:$AN$22,COLUMN(Z$7)-4,FALSE)/$M238+VLOOKUP($E238,#REF!,4,FALSE)*VLOOKUP($E238,#REF!,COLUMN(Z$7)-4,FALSE)/$M238</f>
        <v>#REF!</v>
      </c>
      <c r="AA238" s="560" t="e">
        <f>VLOOKUP($E238,$E$14:$H$22,4,FALSE)*VLOOKUP($E238,$E$14:$AN$22,COLUMN(AA$7)-4,FALSE)/$M238+VLOOKUP($E238,#REF!,4,FALSE)*VLOOKUP($E238,#REF!,COLUMN(AA$7)-4,FALSE)/$M238</f>
        <v>#REF!</v>
      </c>
      <c r="AB238" s="560" t="e">
        <f>VLOOKUP($E238,$E$14:$H$22,4,FALSE)*VLOOKUP($E238,$E$14:$AN$22,COLUMN(AB$7)-4,FALSE)/$M238+VLOOKUP($E238,#REF!,4,FALSE)*VLOOKUP($E238,#REF!,COLUMN(AB$7)-4,FALSE)/$M238</f>
        <v>#REF!</v>
      </c>
      <c r="AC238" s="560" t="e">
        <f>VLOOKUP($E238,$E$14:$H$22,4,FALSE)*VLOOKUP($E238,$E$14:$AN$22,COLUMN(AC$7)-4,FALSE)/$M238+VLOOKUP($E238,#REF!,4,FALSE)*VLOOKUP($E238,#REF!,COLUMN(AC$7)-4,FALSE)/$M238</f>
        <v>#REF!</v>
      </c>
      <c r="AD238" s="560" t="e">
        <f>VLOOKUP($E238,$E$14:$H$22,4,FALSE)*VLOOKUP($E238,$E$14:$AN$22,COLUMN(AD$7)-4,FALSE)/$M238+VLOOKUP($E238,#REF!,4,FALSE)*VLOOKUP($E238,#REF!,COLUMN(AD$7)-4,FALSE)/$M238</f>
        <v>#REF!</v>
      </c>
      <c r="AE238" s="560" t="e">
        <f>VLOOKUP($E238,$E$14:$H$22,4,FALSE)*VLOOKUP($E238,$E$14:$AN$22,COLUMN(AE$7)-4,FALSE)/$M238+VLOOKUP($E238,#REF!,4,FALSE)*VLOOKUP($E238,#REF!,COLUMN(AE$7)-4,FALSE)/$M238</f>
        <v>#REF!</v>
      </c>
      <c r="AF238" s="560" t="e">
        <f>VLOOKUP($E238,$E$14:$H$22,4,FALSE)*VLOOKUP($E238,$E$14:$AN$22,COLUMN(AF$7)-4,FALSE)/$M238+VLOOKUP($E238,#REF!,4,FALSE)*VLOOKUP($E238,#REF!,COLUMN(AF$7)-4,FALSE)/$M238</f>
        <v>#REF!</v>
      </c>
      <c r="AG238" s="560" t="e">
        <f>VLOOKUP($E238,$E$14:$H$22,4,FALSE)*VLOOKUP($E238,$E$14:$AN$22,COLUMN(AG$7)-4,FALSE)/$M238+VLOOKUP($E238,#REF!,4,FALSE)*VLOOKUP($E238,#REF!,COLUMN(AG$7)-4,FALSE)/$M238</f>
        <v>#REF!</v>
      </c>
      <c r="AH238" s="560" t="e">
        <f>VLOOKUP($E238,$E$14:$H$22,4,FALSE)*VLOOKUP($E238,$E$14:$AN$22,COLUMN(AH$7)-4,FALSE)/$M238+VLOOKUP($E238,#REF!,4,FALSE)*VLOOKUP($E238,#REF!,COLUMN(AH$7)-4,FALSE)/$M238</f>
        <v>#REF!</v>
      </c>
      <c r="AI238" s="560" t="e">
        <f>VLOOKUP($E238,$E$14:$H$22,4,FALSE)*VLOOKUP($E238,$E$14:$AN$22,COLUMN(AI$7)-4,FALSE)/$M238+VLOOKUP($E238,#REF!,4,FALSE)*VLOOKUP($E238,#REF!,COLUMN(AI$7)-4,FALSE)/$M238</f>
        <v>#REF!</v>
      </c>
      <c r="AJ238" s="560" t="e">
        <f>VLOOKUP($E238,$E$14:$H$22,4,FALSE)*VLOOKUP($E238,$E$14:$AN$22,COLUMN(AJ$7)-4,FALSE)/$M238+VLOOKUP($E238,#REF!,4,FALSE)*VLOOKUP($E238,#REF!,COLUMN(AJ$7)-4,FALSE)/$M238</f>
        <v>#REF!</v>
      </c>
      <c r="AK238" s="560" t="e">
        <f>VLOOKUP($E238,$E$14:$H$22,4,FALSE)*VLOOKUP($E238,$E$14:$AN$22,COLUMN(AK$7)-4,FALSE)/$M238+VLOOKUP($E238,#REF!,4,FALSE)*VLOOKUP($E238,#REF!,COLUMN(AK$7)-4,FALSE)/$M238</f>
        <v>#REF!</v>
      </c>
      <c r="AL238" s="560" t="e">
        <f>VLOOKUP($E238,$E$14:$H$22,4,FALSE)*VLOOKUP($E238,$E$14:$AN$22,COLUMN(AL$7)-4,FALSE)/$M238+VLOOKUP($E238,#REF!,4,FALSE)*VLOOKUP($E238,#REF!,COLUMN(AL$7)-4,FALSE)/$M238</f>
        <v>#REF!</v>
      </c>
      <c r="AM238" s="560" t="e">
        <f>VLOOKUP($E238,$E$14:$H$22,4,FALSE)*VLOOKUP($E238,$E$14:$AN$22,COLUMN(AM$7)-4,FALSE)/$M238+VLOOKUP($E238,#REF!,4,FALSE)*VLOOKUP($E238,#REF!,COLUMN(AM$7)-4,FALSE)/$M238</f>
        <v>#REF!</v>
      </c>
      <c r="AN238" s="560" t="e">
        <f>VLOOKUP($E238,$E$14:$H$22,4,FALSE)*VLOOKUP($E238,$E$14:$AN$22,COLUMN(AN$7)-4,FALSE)/$M238+VLOOKUP($E238,#REF!,4,FALSE)*VLOOKUP($E238,#REF!,COLUMN(AN$7)-4,FALSE)/$M238</f>
        <v>#REF!</v>
      </c>
    </row>
    <row r="239" spans="5:40">
      <c r="E239" s="919" t="e">
        <f>#REF!</f>
        <v>#REF!</v>
      </c>
      <c r="M239" s="560">
        <f>SUMIF(E:E,E239,H:H)</f>
        <v>0</v>
      </c>
      <c r="Q239" s="560" t="e">
        <f>VLOOKUP($E239,$E$14:$H$22,4,FALSE)*VLOOKUP($E239,$E$14:$AN$22,COLUMN(Q$7)-4,FALSE)/$M239+VLOOKUP($E239,#REF!,4,FALSE)*VLOOKUP($E239,#REF!,COLUMN(Q$7)-4,FALSE)/$M239</f>
        <v>#REF!</v>
      </c>
      <c r="R239" s="560" t="e">
        <f>VLOOKUP($E239,$E$14:$H$22,4,FALSE)*VLOOKUP($E239,$E$14:$AN$22,COLUMN(R$7)-4,FALSE)/$M239+VLOOKUP($E239,#REF!,4,FALSE)*VLOOKUP($E239,#REF!,COLUMN(R$7)-4,FALSE)/$M239</f>
        <v>#REF!</v>
      </c>
      <c r="S239" s="560" t="e">
        <f>VLOOKUP($E239,$E$14:$H$22,4,FALSE)*VLOOKUP($E239,$E$14:$AN$22,COLUMN(S$7)-4,FALSE)/$M239+VLOOKUP($E239,#REF!,4,FALSE)*VLOOKUP($E239,#REF!,COLUMN(S$7)-4,FALSE)/$M239</f>
        <v>#REF!</v>
      </c>
      <c r="T239" s="560" t="e">
        <f>VLOOKUP($E239,$E$14:$H$22,4,FALSE)*VLOOKUP($E239,$E$14:$AN$22,COLUMN(T$7)-4,FALSE)/$M239+VLOOKUP($E239,#REF!,4,FALSE)*VLOOKUP($E239,#REF!,COLUMN(T$7)-4,FALSE)/$M239</f>
        <v>#REF!</v>
      </c>
      <c r="U239" s="560" t="e">
        <f>VLOOKUP($E239,$E$14:$H$22,4,FALSE)*VLOOKUP($E239,$E$14:$AN$22,COLUMN(U$7)-4,FALSE)/$M239+VLOOKUP($E239,#REF!,4,FALSE)*VLOOKUP($E239,#REF!,COLUMN(U$7)-4,FALSE)/$M239</f>
        <v>#REF!</v>
      </c>
      <c r="V239" s="560" t="e">
        <f>VLOOKUP($E239,$E$14:$H$22,4,FALSE)*VLOOKUP($E239,$E$14:$AN$22,COLUMN(V$7)-4,FALSE)/$M239+VLOOKUP($E239,#REF!,4,FALSE)*VLOOKUP($E239,#REF!,COLUMN(V$7)-4,FALSE)/$M239</f>
        <v>#REF!</v>
      </c>
      <c r="W239" s="560" t="e">
        <f>VLOOKUP($E239,$E$14:$H$22,4,FALSE)*VLOOKUP($E239,$E$14:$AN$22,COLUMN(W$7)-4,FALSE)/$M239+VLOOKUP($E239,#REF!,4,FALSE)*VLOOKUP($E239,#REF!,COLUMN(W$7)-4,FALSE)/$M239</f>
        <v>#REF!</v>
      </c>
      <c r="X239" s="560" t="e">
        <f>VLOOKUP($E239,$E$14:$H$22,4,FALSE)*VLOOKUP($E239,$E$14:$AN$22,COLUMN(X$7)-4,FALSE)/$M239+VLOOKUP($E239,#REF!,4,FALSE)*VLOOKUP($E239,#REF!,COLUMN(X$7)-4,FALSE)/$M239</f>
        <v>#REF!</v>
      </c>
      <c r="Y239" s="560" t="e">
        <f>VLOOKUP($E239,$E$14:$H$22,4,FALSE)*VLOOKUP($E239,$E$14:$AN$22,COLUMN(Y$7)-4,FALSE)/$M239+VLOOKUP($E239,#REF!,4,FALSE)*VLOOKUP($E239,#REF!,COLUMN(Y$7)-4,FALSE)/$M239</f>
        <v>#REF!</v>
      </c>
      <c r="Z239" s="560" t="e">
        <f>VLOOKUP($E239,$E$14:$H$22,4,FALSE)*VLOOKUP($E239,$E$14:$AN$22,COLUMN(Z$7)-4,FALSE)/$M239+VLOOKUP($E239,#REF!,4,FALSE)*VLOOKUP($E239,#REF!,COLUMN(Z$7)-4,FALSE)/$M239</f>
        <v>#REF!</v>
      </c>
      <c r="AA239" s="560" t="e">
        <f>VLOOKUP($E239,$E$14:$H$22,4,FALSE)*VLOOKUP($E239,$E$14:$AN$22,COLUMN(AA$7)-4,FALSE)/$M239+VLOOKUP($E239,#REF!,4,FALSE)*VLOOKUP($E239,#REF!,COLUMN(AA$7)-4,FALSE)/$M239</f>
        <v>#REF!</v>
      </c>
      <c r="AB239" s="560" t="e">
        <f>VLOOKUP($E239,$E$14:$H$22,4,FALSE)*VLOOKUP($E239,$E$14:$AN$22,COLUMN(AB$7)-4,FALSE)/$M239+VLOOKUP($E239,#REF!,4,FALSE)*VLOOKUP($E239,#REF!,COLUMN(AB$7)-4,FALSE)/$M239</f>
        <v>#REF!</v>
      </c>
      <c r="AC239" s="560" t="e">
        <f>VLOOKUP($E239,$E$14:$H$22,4,FALSE)*VLOOKUP($E239,$E$14:$AN$22,COLUMN(AC$7)-4,FALSE)/$M239+VLOOKUP($E239,#REF!,4,FALSE)*VLOOKUP($E239,#REF!,COLUMN(AC$7)-4,FALSE)/$M239</f>
        <v>#REF!</v>
      </c>
      <c r="AD239" s="560" t="e">
        <f>VLOOKUP($E239,$E$14:$H$22,4,FALSE)*VLOOKUP($E239,$E$14:$AN$22,COLUMN(AD$7)-4,FALSE)/$M239+VLOOKUP($E239,#REF!,4,FALSE)*VLOOKUP($E239,#REF!,COLUMN(AD$7)-4,FALSE)/$M239</f>
        <v>#REF!</v>
      </c>
      <c r="AE239" s="560" t="e">
        <f>VLOOKUP($E239,$E$14:$H$22,4,FALSE)*VLOOKUP($E239,$E$14:$AN$22,COLUMN(AE$7)-4,FALSE)/$M239+VLOOKUP($E239,#REF!,4,FALSE)*VLOOKUP($E239,#REF!,COLUMN(AE$7)-4,FALSE)/$M239</f>
        <v>#REF!</v>
      </c>
      <c r="AF239" s="560" t="e">
        <f>VLOOKUP($E239,$E$14:$H$22,4,FALSE)*VLOOKUP($E239,$E$14:$AN$22,COLUMN(AF$7)-4,FALSE)/$M239+VLOOKUP($E239,#REF!,4,FALSE)*VLOOKUP($E239,#REF!,COLUMN(AF$7)-4,FALSE)/$M239</f>
        <v>#REF!</v>
      </c>
      <c r="AG239" s="560" t="e">
        <f>VLOOKUP($E239,$E$14:$H$22,4,FALSE)*VLOOKUP($E239,$E$14:$AN$22,COLUMN(AG$7)-4,FALSE)/$M239+VLOOKUP($E239,#REF!,4,FALSE)*VLOOKUP($E239,#REF!,COLUMN(AG$7)-4,FALSE)/$M239</f>
        <v>#REF!</v>
      </c>
      <c r="AH239" s="560" t="e">
        <f>VLOOKUP($E239,$E$14:$H$22,4,FALSE)*VLOOKUP($E239,$E$14:$AN$22,COLUMN(AH$7)-4,FALSE)/$M239+VLOOKUP($E239,#REF!,4,FALSE)*VLOOKUP($E239,#REF!,COLUMN(AH$7)-4,FALSE)/$M239</f>
        <v>#REF!</v>
      </c>
      <c r="AI239" s="560" t="e">
        <f>VLOOKUP($E239,$E$14:$H$22,4,FALSE)*VLOOKUP($E239,$E$14:$AN$22,COLUMN(AI$7)-4,FALSE)/$M239+VLOOKUP($E239,#REF!,4,FALSE)*VLOOKUP($E239,#REF!,COLUMN(AI$7)-4,FALSE)/$M239</f>
        <v>#REF!</v>
      </c>
      <c r="AJ239" s="560" t="e">
        <f>VLOOKUP($E239,$E$14:$H$22,4,FALSE)*VLOOKUP($E239,$E$14:$AN$22,COLUMN(AJ$7)-4,FALSE)/$M239+VLOOKUP($E239,#REF!,4,FALSE)*VLOOKUP($E239,#REF!,COLUMN(AJ$7)-4,FALSE)/$M239</f>
        <v>#REF!</v>
      </c>
      <c r="AK239" s="560" t="e">
        <f>VLOOKUP($E239,$E$14:$H$22,4,FALSE)*VLOOKUP($E239,$E$14:$AN$22,COLUMN(AK$7)-4,FALSE)/$M239+VLOOKUP($E239,#REF!,4,FALSE)*VLOOKUP($E239,#REF!,COLUMN(AK$7)-4,FALSE)/$M239</f>
        <v>#REF!</v>
      </c>
      <c r="AL239" s="560" t="e">
        <f>VLOOKUP($E239,$E$14:$H$22,4,FALSE)*VLOOKUP($E239,$E$14:$AN$22,COLUMN(AL$7)-4,FALSE)/$M239+VLOOKUP($E239,#REF!,4,FALSE)*VLOOKUP($E239,#REF!,COLUMN(AL$7)-4,FALSE)/$M239</f>
        <v>#REF!</v>
      </c>
      <c r="AM239" s="560" t="e">
        <f>VLOOKUP($E239,$E$14:$H$22,4,FALSE)*VLOOKUP($E239,$E$14:$AN$22,COLUMN(AM$7)-4,FALSE)/$M239+VLOOKUP($E239,#REF!,4,FALSE)*VLOOKUP($E239,#REF!,COLUMN(AM$7)-4,FALSE)/$M239</f>
        <v>#REF!</v>
      </c>
      <c r="AN239" s="560" t="e">
        <f>VLOOKUP($E239,$E$14:$H$22,4,FALSE)*VLOOKUP($E239,$E$14:$AN$22,COLUMN(AN$7)-4,FALSE)/$M239+VLOOKUP($E239,#REF!,4,FALSE)*VLOOKUP($E239,#REF!,COLUMN(AN$7)-4,FALSE)/$M239</f>
        <v>#REF!</v>
      </c>
    </row>
    <row r="240" spans="5:40">
      <c r="E240" s="919" t="e">
        <f>#REF!</f>
        <v>#REF!</v>
      </c>
      <c r="M240" s="560">
        <f>SUMIF(E:E,E240,H:H)</f>
        <v>0</v>
      </c>
      <c r="Q240" s="560" t="e">
        <f>VLOOKUP($E240,$E$14:$H$22,4,FALSE)*VLOOKUP($E240,$E$14:$AN$22,COLUMN(Q$7)-4,FALSE)/$M240+VLOOKUP($E240,#REF!,4,FALSE)*VLOOKUP($E240,#REF!,COLUMN(Q$7)-4,FALSE)/$M240</f>
        <v>#REF!</v>
      </c>
      <c r="R240" s="560" t="e">
        <f>VLOOKUP($E240,$E$14:$H$22,4,FALSE)*VLOOKUP($E240,$E$14:$AN$22,COLUMN(R$7)-4,FALSE)/$M240+VLOOKUP($E240,#REF!,4,FALSE)*VLOOKUP($E240,#REF!,COLUMN(R$7)-4,FALSE)/$M240</f>
        <v>#REF!</v>
      </c>
      <c r="S240" s="560" t="e">
        <f>VLOOKUP($E240,$E$14:$H$22,4,FALSE)*VLOOKUP($E240,$E$14:$AN$22,COLUMN(S$7)-4,FALSE)/$M240+VLOOKUP($E240,#REF!,4,FALSE)*VLOOKUP($E240,#REF!,COLUMN(S$7)-4,FALSE)/$M240</f>
        <v>#REF!</v>
      </c>
      <c r="T240" s="560" t="e">
        <f>VLOOKUP($E240,$E$14:$H$22,4,FALSE)*VLOOKUP($E240,$E$14:$AN$22,COLUMN(T$7)-4,FALSE)/$M240+VLOOKUP($E240,#REF!,4,FALSE)*VLOOKUP($E240,#REF!,COLUMN(T$7)-4,FALSE)/$M240</f>
        <v>#REF!</v>
      </c>
      <c r="U240" s="560" t="e">
        <f>VLOOKUP($E240,$E$14:$H$22,4,FALSE)*VLOOKUP($E240,$E$14:$AN$22,COLUMN(U$7)-4,FALSE)/$M240+VLOOKUP($E240,#REF!,4,FALSE)*VLOOKUP($E240,#REF!,COLUMN(U$7)-4,FALSE)/$M240</f>
        <v>#REF!</v>
      </c>
      <c r="V240" s="560" t="e">
        <f>VLOOKUP($E240,$E$14:$H$22,4,FALSE)*VLOOKUP($E240,$E$14:$AN$22,COLUMN(V$7)-4,FALSE)/$M240+VLOOKUP($E240,#REF!,4,FALSE)*VLOOKUP($E240,#REF!,COLUMN(V$7)-4,FALSE)/$M240</f>
        <v>#REF!</v>
      </c>
      <c r="W240" s="560" t="e">
        <f>VLOOKUP($E240,$E$14:$H$22,4,FALSE)*VLOOKUP($E240,$E$14:$AN$22,COLUMN(W$7)-4,FALSE)/$M240+VLOOKUP($E240,#REF!,4,FALSE)*VLOOKUP($E240,#REF!,COLUMN(W$7)-4,FALSE)/$M240</f>
        <v>#REF!</v>
      </c>
      <c r="X240" s="560" t="e">
        <f>VLOOKUP($E240,$E$14:$H$22,4,FALSE)*VLOOKUP($E240,$E$14:$AN$22,COLUMN(X$7)-4,FALSE)/$M240+VLOOKUP($E240,#REF!,4,FALSE)*VLOOKUP($E240,#REF!,COLUMN(X$7)-4,FALSE)/$M240</f>
        <v>#REF!</v>
      </c>
      <c r="Y240" s="560" t="e">
        <f>VLOOKUP($E240,$E$14:$H$22,4,FALSE)*VLOOKUP($E240,$E$14:$AN$22,COLUMN(Y$7)-4,FALSE)/$M240+VLOOKUP($E240,#REF!,4,FALSE)*VLOOKUP($E240,#REF!,COLUMN(Y$7)-4,FALSE)/$M240</f>
        <v>#REF!</v>
      </c>
      <c r="Z240" s="560" t="e">
        <f>VLOOKUP($E240,$E$14:$H$22,4,FALSE)*VLOOKUP($E240,$E$14:$AN$22,COLUMN(Z$7)-4,FALSE)/$M240+VLOOKUP($E240,#REF!,4,FALSE)*VLOOKUP($E240,#REF!,COLUMN(Z$7)-4,FALSE)/$M240</f>
        <v>#REF!</v>
      </c>
      <c r="AA240" s="560" t="e">
        <f>VLOOKUP($E240,$E$14:$H$22,4,FALSE)*VLOOKUP($E240,$E$14:$AN$22,COLUMN(AA$7)-4,FALSE)/$M240+VLOOKUP($E240,#REF!,4,FALSE)*VLOOKUP($E240,#REF!,COLUMN(AA$7)-4,FALSE)/$M240</f>
        <v>#REF!</v>
      </c>
      <c r="AB240" s="560" t="e">
        <f>VLOOKUP($E240,$E$14:$H$22,4,FALSE)*VLOOKUP($E240,$E$14:$AN$22,COLUMN(AB$7)-4,FALSE)/$M240+VLOOKUP($E240,#REF!,4,FALSE)*VLOOKUP($E240,#REF!,COLUMN(AB$7)-4,FALSE)/$M240</f>
        <v>#REF!</v>
      </c>
      <c r="AC240" s="560" t="e">
        <f>VLOOKUP($E240,$E$14:$H$22,4,FALSE)*VLOOKUP($E240,$E$14:$AN$22,COLUMN(AC$7)-4,FALSE)/$M240+VLOOKUP($E240,#REF!,4,FALSE)*VLOOKUP($E240,#REF!,COLUMN(AC$7)-4,FALSE)/$M240</f>
        <v>#REF!</v>
      </c>
      <c r="AD240" s="560" t="e">
        <f>VLOOKUP($E240,$E$14:$H$22,4,FALSE)*VLOOKUP($E240,$E$14:$AN$22,COLUMN(AD$7)-4,FALSE)/$M240+VLOOKUP($E240,#REF!,4,FALSE)*VLOOKUP($E240,#REF!,COLUMN(AD$7)-4,FALSE)/$M240</f>
        <v>#REF!</v>
      </c>
      <c r="AE240" s="560" t="e">
        <f>VLOOKUP($E240,$E$14:$H$22,4,FALSE)*VLOOKUP($E240,$E$14:$AN$22,COLUMN(AE$7)-4,FALSE)/$M240+VLOOKUP($E240,#REF!,4,FALSE)*VLOOKUP($E240,#REF!,COLUMN(AE$7)-4,FALSE)/$M240</f>
        <v>#REF!</v>
      </c>
      <c r="AF240" s="560" t="e">
        <f>VLOOKUP($E240,$E$14:$H$22,4,FALSE)*VLOOKUP($E240,$E$14:$AN$22,COLUMN(AF$7)-4,FALSE)/$M240+VLOOKUP($E240,#REF!,4,FALSE)*VLOOKUP($E240,#REF!,COLUMN(AF$7)-4,FALSE)/$M240</f>
        <v>#REF!</v>
      </c>
      <c r="AG240" s="560" t="e">
        <f>VLOOKUP($E240,$E$14:$H$22,4,FALSE)*VLOOKUP($E240,$E$14:$AN$22,COLUMN(AG$7)-4,FALSE)/$M240+VLOOKUP($E240,#REF!,4,FALSE)*VLOOKUP($E240,#REF!,COLUMN(AG$7)-4,FALSE)/$M240</f>
        <v>#REF!</v>
      </c>
      <c r="AH240" s="560" t="e">
        <f>VLOOKUP($E240,$E$14:$H$22,4,FALSE)*VLOOKUP($E240,$E$14:$AN$22,COLUMN(AH$7)-4,FALSE)/$M240+VLOOKUP($E240,#REF!,4,FALSE)*VLOOKUP($E240,#REF!,COLUMN(AH$7)-4,FALSE)/$M240</f>
        <v>#REF!</v>
      </c>
      <c r="AI240" s="560" t="e">
        <f>VLOOKUP($E240,$E$14:$H$22,4,FALSE)*VLOOKUP($E240,$E$14:$AN$22,COLUMN(AI$7)-4,FALSE)/$M240+VLOOKUP($E240,#REF!,4,FALSE)*VLOOKUP($E240,#REF!,COLUMN(AI$7)-4,FALSE)/$M240</f>
        <v>#REF!</v>
      </c>
      <c r="AJ240" s="560" t="e">
        <f>VLOOKUP($E240,$E$14:$H$22,4,FALSE)*VLOOKUP($E240,$E$14:$AN$22,COLUMN(AJ$7)-4,FALSE)/$M240+VLOOKUP($E240,#REF!,4,FALSE)*VLOOKUP($E240,#REF!,COLUMN(AJ$7)-4,FALSE)/$M240</f>
        <v>#REF!</v>
      </c>
      <c r="AK240" s="560" t="e">
        <f>VLOOKUP($E240,$E$14:$H$22,4,FALSE)*VLOOKUP($E240,$E$14:$AN$22,COLUMN(AK$7)-4,FALSE)/$M240+VLOOKUP($E240,#REF!,4,FALSE)*VLOOKUP($E240,#REF!,COLUMN(AK$7)-4,FALSE)/$M240</f>
        <v>#REF!</v>
      </c>
      <c r="AL240" s="560" t="e">
        <f>VLOOKUP($E240,$E$14:$H$22,4,FALSE)*VLOOKUP($E240,$E$14:$AN$22,COLUMN(AL$7)-4,FALSE)/$M240+VLOOKUP($E240,#REF!,4,FALSE)*VLOOKUP($E240,#REF!,COLUMN(AL$7)-4,FALSE)/$M240</f>
        <v>#REF!</v>
      </c>
      <c r="AM240" s="560" t="e">
        <f>VLOOKUP($E240,$E$14:$H$22,4,FALSE)*VLOOKUP($E240,$E$14:$AN$22,COLUMN(AM$7)-4,FALSE)/$M240+VLOOKUP($E240,#REF!,4,FALSE)*VLOOKUP($E240,#REF!,COLUMN(AM$7)-4,FALSE)/$M240</f>
        <v>#REF!</v>
      </c>
      <c r="AN240" s="560" t="e">
        <f>VLOOKUP($E240,$E$14:$H$22,4,FALSE)*VLOOKUP($E240,$E$14:$AN$22,COLUMN(AN$7)-4,FALSE)/$M240+VLOOKUP($E240,#REF!,4,FALSE)*VLOOKUP($E240,#REF!,COLUMN(AN$7)-4,FALSE)/$M240</f>
        <v>#REF!</v>
      </c>
    </row>
    <row r="241" spans="5:40">
      <c r="E241" s="919" t="e">
        <f>#REF!</f>
        <v>#REF!</v>
      </c>
      <c r="M241" s="560">
        <f>SUMIF(E:E,E241,H:H)</f>
        <v>0</v>
      </c>
      <c r="Q241" s="560" t="e">
        <f>VLOOKUP($E241,$E$14:$H$22,4,FALSE)*VLOOKUP($E241,$E$14:$AN$22,COLUMN(Q$7)-4,FALSE)/$M241+VLOOKUP($E241,#REF!,4,FALSE)*VLOOKUP($E241,#REF!,COLUMN(Q$7)-4,FALSE)/$M241</f>
        <v>#REF!</v>
      </c>
      <c r="R241" s="560" t="e">
        <f>VLOOKUP($E241,$E$14:$H$22,4,FALSE)*VLOOKUP($E241,$E$14:$AN$22,COLUMN(R$7)-4,FALSE)/$M241+VLOOKUP($E241,#REF!,4,FALSE)*VLOOKUP($E241,#REF!,COLUMN(R$7)-4,FALSE)/$M241</f>
        <v>#REF!</v>
      </c>
      <c r="S241" s="560" t="e">
        <f>VLOOKUP($E241,$E$14:$H$22,4,FALSE)*VLOOKUP($E241,$E$14:$AN$22,COLUMN(S$7)-4,FALSE)/$M241+VLOOKUP($E241,#REF!,4,FALSE)*VLOOKUP($E241,#REF!,COLUMN(S$7)-4,FALSE)/$M241</f>
        <v>#REF!</v>
      </c>
      <c r="T241" s="560" t="e">
        <f>VLOOKUP($E241,$E$14:$H$22,4,FALSE)*VLOOKUP($E241,$E$14:$AN$22,COLUMN(T$7)-4,FALSE)/$M241+VLOOKUP($E241,#REF!,4,FALSE)*VLOOKUP($E241,#REF!,COLUMN(T$7)-4,FALSE)/$M241</f>
        <v>#REF!</v>
      </c>
      <c r="U241" s="560" t="e">
        <f>VLOOKUP($E241,$E$14:$H$22,4,FALSE)*VLOOKUP($E241,$E$14:$AN$22,COLUMN(U$7)-4,FALSE)/$M241+VLOOKUP($E241,#REF!,4,FALSE)*VLOOKUP($E241,#REF!,COLUMN(U$7)-4,FALSE)/$M241</f>
        <v>#REF!</v>
      </c>
      <c r="V241" s="560" t="e">
        <f>VLOOKUP($E241,$E$14:$H$22,4,FALSE)*VLOOKUP($E241,$E$14:$AN$22,COLUMN(V$7)-4,FALSE)/$M241+VLOOKUP($E241,#REF!,4,FALSE)*VLOOKUP($E241,#REF!,COLUMN(V$7)-4,FALSE)/$M241</f>
        <v>#REF!</v>
      </c>
      <c r="W241" s="560" t="e">
        <f>VLOOKUP($E241,$E$14:$H$22,4,FALSE)*VLOOKUP($E241,$E$14:$AN$22,COLUMN(W$7)-4,FALSE)/$M241+VLOOKUP($E241,#REF!,4,FALSE)*VLOOKUP($E241,#REF!,COLUMN(W$7)-4,FALSE)/$M241</f>
        <v>#REF!</v>
      </c>
      <c r="X241" s="560" t="e">
        <f>VLOOKUP($E241,$E$14:$H$22,4,FALSE)*VLOOKUP($E241,$E$14:$AN$22,COLUMN(X$7)-4,FALSE)/$M241+VLOOKUP($E241,#REF!,4,FALSE)*VLOOKUP($E241,#REF!,COLUMN(X$7)-4,FALSE)/$M241</f>
        <v>#REF!</v>
      </c>
      <c r="Y241" s="560" t="e">
        <f>VLOOKUP($E241,$E$14:$H$22,4,FALSE)*VLOOKUP($E241,$E$14:$AN$22,COLUMN(Y$7)-4,FALSE)/$M241+VLOOKUP($E241,#REF!,4,FALSE)*VLOOKUP($E241,#REF!,COLUMN(Y$7)-4,FALSE)/$M241</f>
        <v>#REF!</v>
      </c>
      <c r="Z241" s="560" t="e">
        <f>VLOOKUP($E241,$E$14:$H$22,4,FALSE)*VLOOKUP($E241,$E$14:$AN$22,COLUMN(Z$7)-4,FALSE)/$M241+VLOOKUP($E241,#REF!,4,FALSE)*VLOOKUP($E241,#REF!,COLUMN(Z$7)-4,FALSE)/$M241</f>
        <v>#REF!</v>
      </c>
      <c r="AA241" s="560" t="e">
        <f>VLOOKUP($E241,$E$14:$H$22,4,FALSE)*VLOOKUP($E241,$E$14:$AN$22,COLUMN(AA$7)-4,FALSE)/$M241+VLOOKUP($E241,#REF!,4,FALSE)*VLOOKUP($E241,#REF!,COLUMN(AA$7)-4,FALSE)/$M241</f>
        <v>#REF!</v>
      </c>
      <c r="AB241" s="560" t="e">
        <f>VLOOKUP($E241,$E$14:$H$22,4,FALSE)*VLOOKUP($E241,$E$14:$AN$22,COLUMN(AB$7)-4,FALSE)/$M241+VLOOKUP($E241,#REF!,4,FALSE)*VLOOKUP($E241,#REF!,COLUMN(AB$7)-4,FALSE)/$M241</f>
        <v>#REF!</v>
      </c>
      <c r="AC241" s="560" t="e">
        <f>VLOOKUP($E241,$E$14:$H$22,4,FALSE)*VLOOKUP($E241,$E$14:$AN$22,COLUMN(AC$7)-4,FALSE)/$M241+VLOOKUP($E241,#REF!,4,FALSE)*VLOOKUP($E241,#REF!,COLUMN(AC$7)-4,FALSE)/$M241</f>
        <v>#REF!</v>
      </c>
      <c r="AD241" s="560" t="e">
        <f>VLOOKUP($E241,$E$14:$H$22,4,FALSE)*VLOOKUP($E241,$E$14:$AN$22,COLUMN(AD$7)-4,FALSE)/$M241+VLOOKUP($E241,#REF!,4,FALSE)*VLOOKUP($E241,#REF!,COLUMN(AD$7)-4,FALSE)/$M241</f>
        <v>#REF!</v>
      </c>
      <c r="AE241" s="560" t="e">
        <f>VLOOKUP($E241,$E$14:$H$22,4,FALSE)*VLOOKUP($E241,$E$14:$AN$22,COLUMN(AE$7)-4,FALSE)/$M241+VLOOKUP($E241,#REF!,4,FALSE)*VLOOKUP($E241,#REF!,COLUMN(AE$7)-4,FALSE)/$M241</f>
        <v>#REF!</v>
      </c>
      <c r="AF241" s="560" t="e">
        <f>VLOOKUP($E241,$E$14:$H$22,4,FALSE)*VLOOKUP($E241,$E$14:$AN$22,COLUMN(AF$7)-4,FALSE)/$M241+VLOOKUP($E241,#REF!,4,FALSE)*VLOOKUP($E241,#REF!,COLUMN(AF$7)-4,FALSE)/$M241</f>
        <v>#REF!</v>
      </c>
      <c r="AG241" s="560" t="e">
        <f>VLOOKUP($E241,$E$14:$H$22,4,FALSE)*VLOOKUP($E241,$E$14:$AN$22,COLUMN(AG$7)-4,FALSE)/$M241+VLOOKUP($E241,#REF!,4,FALSE)*VLOOKUP($E241,#REF!,COLUMN(AG$7)-4,FALSE)/$M241</f>
        <v>#REF!</v>
      </c>
      <c r="AH241" s="560" t="e">
        <f>VLOOKUP($E241,$E$14:$H$22,4,FALSE)*VLOOKUP($E241,$E$14:$AN$22,COLUMN(AH$7)-4,FALSE)/$M241+VLOOKUP($E241,#REF!,4,FALSE)*VLOOKUP($E241,#REF!,COLUMN(AH$7)-4,FALSE)/$M241</f>
        <v>#REF!</v>
      </c>
      <c r="AI241" s="560" t="e">
        <f>VLOOKUP($E241,$E$14:$H$22,4,FALSE)*VLOOKUP($E241,$E$14:$AN$22,COLUMN(AI$7)-4,FALSE)/$M241+VLOOKUP($E241,#REF!,4,FALSE)*VLOOKUP($E241,#REF!,COLUMN(AI$7)-4,FALSE)/$M241</f>
        <v>#REF!</v>
      </c>
      <c r="AJ241" s="560" t="e">
        <f>VLOOKUP($E241,$E$14:$H$22,4,FALSE)*VLOOKUP($E241,$E$14:$AN$22,COLUMN(AJ$7)-4,FALSE)/$M241+VLOOKUP($E241,#REF!,4,FALSE)*VLOOKUP($E241,#REF!,COLUMN(AJ$7)-4,FALSE)/$M241</f>
        <v>#REF!</v>
      </c>
      <c r="AK241" s="560" t="e">
        <f>VLOOKUP($E241,$E$14:$H$22,4,FALSE)*VLOOKUP($E241,$E$14:$AN$22,COLUMN(AK$7)-4,FALSE)/$M241+VLOOKUP($E241,#REF!,4,FALSE)*VLOOKUP($E241,#REF!,COLUMN(AK$7)-4,FALSE)/$M241</f>
        <v>#REF!</v>
      </c>
      <c r="AL241" s="560" t="e">
        <f>VLOOKUP($E241,$E$14:$H$22,4,FALSE)*VLOOKUP($E241,$E$14:$AN$22,COLUMN(AL$7)-4,FALSE)/$M241+VLOOKUP($E241,#REF!,4,FALSE)*VLOOKUP($E241,#REF!,COLUMN(AL$7)-4,FALSE)/$M241</f>
        <v>#REF!</v>
      </c>
      <c r="AM241" s="560" t="e">
        <f>VLOOKUP($E241,$E$14:$H$22,4,FALSE)*VLOOKUP($E241,$E$14:$AN$22,COLUMN(AM$7)-4,FALSE)/$M241+VLOOKUP($E241,#REF!,4,FALSE)*VLOOKUP($E241,#REF!,COLUMN(AM$7)-4,FALSE)/$M241</f>
        <v>#REF!</v>
      </c>
      <c r="AN241" s="560" t="e">
        <f>VLOOKUP($E241,$E$14:$H$22,4,FALSE)*VLOOKUP($E241,$E$14:$AN$22,COLUMN(AN$7)-4,FALSE)/$M241+VLOOKUP($E241,#REF!,4,FALSE)*VLOOKUP($E241,#REF!,COLUMN(AN$7)-4,FALSE)/$M241</f>
        <v>#REF!</v>
      </c>
    </row>
    <row r="242" spans="5:40">
      <c r="E242" s="919" t="e">
        <f>#REF!</f>
        <v>#REF!</v>
      </c>
      <c r="M242" s="560">
        <f>SUMIF(E:E,E242,H:H)</f>
        <v>0</v>
      </c>
      <c r="Q242" s="560" t="e">
        <f>VLOOKUP($E242,$E$14:$H$22,4,FALSE)*VLOOKUP($E242,$E$14:$AN$22,COLUMN(Q$7)-4,FALSE)/$M242+VLOOKUP($E242,#REF!,4,FALSE)*VLOOKUP($E242,#REF!,COLUMN(Q$7)-4,FALSE)/$M242</f>
        <v>#REF!</v>
      </c>
      <c r="R242" s="560" t="e">
        <f>VLOOKUP($E242,$E$14:$H$22,4,FALSE)*VLOOKUP($E242,$E$14:$AN$22,COLUMN(R$7)-4,FALSE)/$M242+VLOOKUP($E242,#REF!,4,FALSE)*VLOOKUP($E242,#REF!,COLUMN(R$7)-4,FALSE)/$M242</f>
        <v>#REF!</v>
      </c>
      <c r="S242" s="560" t="e">
        <f>VLOOKUP($E242,$E$14:$H$22,4,FALSE)*VLOOKUP($E242,$E$14:$AN$22,COLUMN(S$7)-4,FALSE)/$M242+VLOOKUP($E242,#REF!,4,FALSE)*VLOOKUP($E242,#REF!,COLUMN(S$7)-4,FALSE)/$M242</f>
        <v>#REF!</v>
      </c>
      <c r="T242" s="560" t="e">
        <f>VLOOKUP($E242,$E$14:$H$22,4,FALSE)*VLOOKUP($E242,$E$14:$AN$22,COLUMN(T$7)-4,FALSE)/$M242+VLOOKUP($E242,#REF!,4,FALSE)*VLOOKUP($E242,#REF!,COLUMN(T$7)-4,FALSE)/$M242</f>
        <v>#REF!</v>
      </c>
      <c r="U242" s="560" t="e">
        <f>VLOOKUP($E242,$E$14:$H$22,4,FALSE)*VLOOKUP($E242,$E$14:$AN$22,COLUMN(U$7)-4,FALSE)/$M242+VLOOKUP($E242,#REF!,4,FALSE)*VLOOKUP($E242,#REF!,COLUMN(U$7)-4,FALSE)/$M242</f>
        <v>#REF!</v>
      </c>
      <c r="V242" s="560" t="e">
        <f>VLOOKUP($E242,$E$14:$H$22,4,FALSE)*VLOOKUP($E242,$E$14:$AN$22,COLUMN(V$7)-4,FALSE)/$M242+VLOOKUP($E242,#REF!,4,FALSE)*VLOOKUP($E242,#REF!,COLUMN(V$7)-4,FALSE)/$M242</f>
        <v>#REF!</v>
      </c>
      <c r="W242" s="560" t="e">
        <f>VLOOKUP($E242,$E$14:$H$22,4,FALSE)*VLOOKUP($E242,$E$14:$AN$22,COLUMN(W$7)-4,FALSE)/$M242+VLOOKUP($E242,#REF!,4,FALSE)*VLOOKUP($E242,#REF!,COLUMN(W$7)-4,FALSE)/$M242</f>
        <v>#REF!</v>
      </c>
      <c r="X242" s="560" t="e">
        <f>VLOOKUP($E242,$E$14:$H$22,4,FALSE)*VLOOKUP($E242,$E$14:$AN$22,COLUMN(X$7)-4,FALSE)/$M242+VLOOKUP($E242,#REF!,4,FALSE)*VLOOKUP($E242,#REF!,COLUMN(X$7)-4,FALSE)/$M242</f>
        <v>#REF!</v>
      </c>
      <c r="Y242" s="560" t="e">
        <f>VLOOKUP($E242,$E$14:$H$22,4,FALSE)*VLOOKUP($E242,$E$14:$AN$22,COLUMN(Y$7)-4,FALSE)/$M242+VLOOKUP($E242,#REF!,4,FALSE)*VLOOKUP($E242,#REF!,COLUMN(Y$7)-4,FALSE)/$M242</f>
        <v>#REF!</v>
      </c>
      <c r="Z242" s="560" t="e">
        <f>VLOOKUP($E242,$E$14:$H$22,4,FALSE)*VLOOKUP($E242,$E$14:$AN$22,COLUMN(Z$7)-4,FALSE)/$M242+VLOOKUP($E242,#REF!,4,FALSE)*VLOOKUP($E242,#REF!,COLUMN(Z$7)-4,FALSE)/$M242</f>
        <v>#REF!</v>
      </c>
      <c r="AA242" s="560" t="e">
        <f>VLOOKUP($E242,$E$14:$H$22,4,FALSE)*VLOOKUP($E242,$E$14:$AN$22,COLUMN(AA$7)-4,FALSE)/$M242+VLOOKUP($E242,#REF!,4,FALSE)*VLOOKUP($E242,#REF!,COLUMN(AA$7)-4,FALSE)/$M242</f>
        <v>#REF!</v>
      </c>
      <c r="AB242" s="560" t="e">
        <f>VLOOKUP($E242,$E$14:$H$22,4,FALSE)*VLOOKUP($E242,$E$14:$AN$22,COLUMN(AB$7)-4,FALSE)/$M242+VLOOKUP($E242,#REF!,4,FALSE)*VLOOKUP($E242,#REF!,COLUMN(AB$7)-4,FALSE)/$M242</f>
        <v>#REF!</v>
      </c>
      <c r="AC242" s="560" t="e">
        <f>VLOOKUP($E242,$E$14:$H$22,4,FALSE)*VLOOKUP($E242,$E$14:$AN$22,COLUMN(AC$7)-4,FALSE)/$M242+VLOOKUP($E242,#REF!,4,FALSE)*VLOOKUP($E242,#REF!,COLUMN(AC$7)-4,FALSE)/$M242</f>
        <v>#REF!</v>
      </c>
      <c r="AD242" s="560" t="e">
        <f>VLOOKUP($E242,$E$14:$H$22,4,FALSE)*VLOOKUP($E242,$E$14:$AN$22,COLUMN(AD$7)-4,FALSE)/$M242+VLOOKUP($E242,#REF!,4,FALSE)*VLOOKUP($E242,#REF!,COLUMN(AD$7)-4,FALSE)/$M242</f>
        <v>#REF!</v>
      </c>
      <c r="AE242" s="560" t="e">
        <f>VLOOKUP($E242,$E$14:$H$22,4,FALSE)*VLOOKUP($E242,$E$14:$AN$22,COLUMN(AE$7)-4,FALSE)/$M242+VLOOKUP($E242,#REF!,4,FALSE)*VLOOKUP($E242,#REF!,COLUMN(AE$7)-4,FALSE)/$M242</f>
        <v>#REF!</v>
      </c>
      <c r="AF242" s="560" t="e">
        <f>VLOOKUP($E242,$E$14:$H$22,4,FALSE)*VLOOKUP($E242,$E$14:$AN$22,COLUMN(AF$7)-4,FALSE)/$M242+VLOOKUP($E242,#REF!,4,FALSE)*VLOOKUP($E242,#REF!,COLUMN(AF$7)-4,FALSE)/$M242</f>
        <v>#REF!</v>
      </c>
      <c r="AG242" s="560" t="e">
        <f>VLOOKUP($E242,$E$14:$H$22,4,FALSE)*VLOOKUP($E242,$E$14:$AN$22,COLUMN(AG$7)-4,FALSE)/$M242+VLOOKUP($E242,#REF!,4,FALSE)*VLOOKUP($E242,#REF!,COLUMN(AG$7)-4,FALSE)/$M242</f>
        <v>#REF!</v>
      </c>
      <c r="AH242" s="560" t="e">
        <f>VLOOKUP($E242,$E$14:$H$22,4,FALSE)*VLOOKUP($E242,$E$14:$AN$22,COLUMN(AH$7)-4,FALSE)/$M242+VLOOKUP($E242,#REF!,4,FALSE)*VLOOKUP($E242,#REF!,COLUMN(AH$7)-4,FALSE)/$M242</f>
        <v>#REF!</v>
      </c>
      <c r="AI242" s="560" t="e">
        <f>VLOOKUP($E242,$E$14:$H$22,4,FALSE)*VLOOKUP($E242,$E$14:$AN$22,COLUMN(AI$7)-4,FALSE)/$M242+VLOOKUP($E242,#REF!,4,FALSE)*VLOOKUP($E242,#REF!,COLUMN(AI$7)-4,FALSE)/$M242</f>
        <v>#REF!</v>
      </c>
      <c r="AJ242" s="560" t="e">
        <f>VLOOKUP($E242,$E$14:$H$22,4,FALSE)*VLOOKUP($E242,$E$14:$AN$22,COLUMN(AJ$7)-4,FALSE)/$M242+VLOOKUP($E242,#REF!,4,FALSE)*VLOOKUP($E242,#REF!,COLUMN(AJ$7)-4,FALSE)/$M242</f>
        <v>#REF!</v>
      </c>
      <c r="AK242" s="560" t="e">
        <f>VLOOKUP($E242,$E$14:$H$22,4,FALSE)*VLOOKUP($E242,$E$14:$AN$22,COLUMN(AK$7)-4,FALSE)/$M242+VLOOKUP($E242,#REF!,4,FALSE)*VLOOKUP($E242,#REF!,COLUMN(AK$7)-4,FALSE)/$M242</f>
        <v>#REF!</v>
      </c>
      <c r="AL242" s="560" t="e">
        <f>VLOOKUP($E242,$E$14:$H$22,4,FALSE)*VLOOKUP($E242,$E$14:$AN$22,COLUMN(AL$7)-4,FALSE)/$M242+VLOOKUP($E242,#REF!,4,FALSE)*VLOOKUP($E242,#REF!,COLUMN(AL$7)-4,FALSE)/$M242</f>
        <v>#REF!</v>
      </c>
      <c r="AM242" s="560" t="e">
        <f>VLOOKUP($E242,$E$14:$H$22,4,FALSE)*VLOOKUP($E242,$E$14:$AN$22,COLUMN(AM$7)-4,FALSE)/$M242+VLOOKUP($E242,#REF!,4,FALSE)*VLOOKUP($E242,#REF!,COLUMN(AM$7)-4,FALSE)/$M242</f>
        <v>#REF!</v>
      </c>
      <c r="AN242" s="560" t="e">
        <f>VLOOKUP($E242,$E$14:$H$22,4,FALSE)*VLOOKUP($E242,$E$14:$AN$22,COLUMN(AN$7)-4,FALSE)/$M242+VLOOKUP($E242,#REF!,4,FALSE)*VLOOKUP($E242,#REF!,COLUMN(AN$7)-4,FALSE)/$M242</f>
        <v>#REF!</v>
      </c>
    </row>
    <row r="243" spans="5:40">
      <c r="E243" s="919" t="e">
        <f>#REF!</f>
        <v>#REF!</v>
      </c>
      <c r="M243" s="560">
        <f>SUMIF(E:E,E243,H:H)</f>
        <v>0</v>
      </c>
      <c r="Q243" s="560" t="e">
        <f>VLOOKUP($E243,$E$14:$H$22,4,FALSE)*VLOOKUP($E243,$E$14:$AN$22,COLUMN(Q$7)-4,FALSE)/$M243+VLOOKUP($E243,#REF!,4,FALSE)*VLOOKUP($E243,#REF!,COLUMN(Q$7)-4,FALSE)/$M243</f>
        <v>#REF!</v>
      </c>
      <c r="R243" s="560" t="e">
        <f>VLOOKUP($E243,$E$14:$H$22,4,FALSE)*VLOOKUP($E243,$E$14:$AN$22,COLUMN(R$7)-4,FALSE)/$M243+VLOOKUP($E243,#REF!,4,FALSE)*VLOOKUP($E243,#REF!,COLUMN(R$7)-4,FALSE)/$M243</f>
        <v>#REF!</v>
      </c>
      <c r="S243" s="560" t="e">
        <f>VLOOKUP($E243,$E$14:$H$22,4,FALSE)*VLOOKUP($E243,$E$14:$AN$22,COLUMN(S$7)-4,FALSE)/$M243+VLOOKUP($E243,#REF!,4,FALSE)*VLOOKUP($E243,#REF!,COLUMN(S$7)-4,FALSE)/$M243</f>
        <v>#REF!</v>
      </c>
      <c r="T243" s="560" t="e">
        <f>VLOOKUP($E243,$E$14:$H$22,4,FALSE)*VLOOKUP($E243,$E$14:$AN$22,COLUMN(T$7)-4,FALSE)/$M243+VLOOKUP($E243,#REF!,4,FALSE)*VLOOKUP($E243,#REF!,COLUMN(T$7)-4,FALSE)/$M243</f>
        <v>#REF!</v>
      </c>
      <c r="U243" s="560" t="e">
        <f>VLOOKUP($E243,$E$14:$H$22,4,FALSE)*VLOOKUP($E243,$E$14:$AN$22,COLUMN(U$7)-4,FALSE)/$M243+VLOOKUP($E243,#REF!,4,FALSE)*VLOOKUP($E243,#REF!,COLUMN(U$7)-4,FALSE)/$M243</f>
        <v>#REF!</v>
      </c>
      <c r="V243" s="560" t="e">
        <f>VLOOKUP($E243,$E$14:$H$22,4,FALSE)*VLOOKUP($E243,$E$14:$AN$22,COLUMN(V$7)-4,FALSE)/$M243+VLOOKUP($E243,#REF!,4,FALSE)*VLOOKUP($E243,#REF!,COLUMN(V$7)-4,FALSE)/$M243</f>
        <v>#REF!</v>
      </c>
      <c r="W243" s="560" t="e">
        <f>VLOOKUP($E243,$E$14:$H$22,4,FALSE)*VLOOKUP($E243,$E$14:$AN$22,COLUMN(W$7)-4,FALSE)/$M243+VLOOKUP($E243,#REF!,4,FALSE)*VLOOKUP($E243,#REF!,COLUMN(W$7)-4,FALSE)/$M243</f>
        <v>#REF!</v>
      </c>
      <c r="X243" s="560" t="e">
        <f>VLOOKUP($E243,$E$14:$H$22,4,FALSE)*VLOOKUP($E243,$E$14:$AN$22,COLUMN(X$7)-4,FALSE)/$M243+VLOOKUP($E243,#REF!,4,FALSE)*VLOOKUP($E243,#REF!,COLUMN(X$7)-4,FALSE)/$M243</f>
        <v>#REF!</v>
      </c>
      <c r="Y243" s="560" t="e">
        <f>VLOOKUP($E243,$E$14:$H$22,4,FALSE)*VLOOKUP($E243,$E$14:$AN$22,COLUMN(Y$7)-4,FALSE)/$M243+VLOOKUP($E243,#REF!,4,FALSE)*VLOOKUP($E243,#REF!,COLUMN(Y$7)-4,FALSE)/$M243</f>
        <v>#REF!</v>
      </c>
      <c r="Z243" s="560" t="e">
        <f>VLOOKUP($E243,$E$14:$H$22,4,FALSE)*VLOOKUP($E243,$E$14:$AN$22,COLUMN(Z$7)-4,FALSE)/$M243+VLOOKUP($E243,#REF!,4,FALSE)*VLOOKUP($E243,#REF!,COLUMN(Z$7)-4,FALSE)/$M243</f>
        <v>#REF!</v>
      </c>
      <c r="AA243" s="560" t="e">
        <f>VLOOKUP($E243,$E$14:$H$22,4,FALSE)*VLOOKUP($E243,$E$14:$AN$22,COLUMN(AA$7)-4,FALSE)/$M243+VLOOKUP($E243,#REF!,4,FALSE)*VLOOKUP($E243,#REF!,COLUMN(AA$7)-4,FALSE)/$M243</f>
        <v>#REF!</v>
      </c>
      <c r="AB243" s="560" t="e">
        <f>VLOOKUP($E243,$E$14:$H$22,4,FALSE)*VLOOKUP($E243,$E$14:$AN$22,COLUMN(AB$7)-4,FALSE)/$M243+VLOOKUP($E243,#REF!,4,FALSE)*VLOOKUP($E243,#REF!,COLUMN(AB$7)-4,FALSE)/$M243</f>
        <v>#REF!</v>
      </c>
      <c r="AC243" s="560" t="e">
        <f>VLOOKUP($E243,$E$14:$H$22,4,FALSE)*VLOOKUP($E243,$E$14:$AN$22,COLUMN(AC$7)-4,FALSE)/$M243+VLOOKUP($E243,#REF!,4,FALSE)*VLOOKUP($E243,#REF!,COLUMN(AC$7)-4,FALSE)/$M243</f>
        <v>#REF!</v>
      </c>
      <c r="AD243" s="560" t="e">
        <f>VLOOKUP($E243,$E$14:$H$22,4,FALSE)*VLOOKUP($E243,$E$14:$AN$22,COLUMN(AD$7)-4,FALSE)/$M243+VLOOKUP($E243,#REF!,4,FALSE)*VLOOKUP($E243,#REF!,COLUMN(AD$7)-4,FALSE)/$M243</f>
        <v>#REF!</v>
      </c>
      <c r="AE243" s="560" t="e">
        <f>VLOOKUP($E243,$E$14:$H$22,4,FALSE)*VLOOKUP($E243,$E$14:$AN$22,COLUMN(AE$7)-4,FALSE)/$M243+VLOOKUP($E243,#REF!,4,FALSE)*VLOOKUP($E243,#REF!,COLUMN(AE$7)-4,FALSE)/$M243</f>
        <v>#REF!</v>
      </c>
      <c r="AF243" s="560" t="e">
        <f>VLOOKUP($E243,$E$14:$H$22,4,FALSE)*VLOOKUP($E243,$E$14:$AN$22,COLUMN(AF$7)-4,FALSE)/$M243+VLOOKUP($E243,#REF!,4,FALSE)*VLOOKUP($E243,#REF!,COLUMN(AF$7)-4,FALSE)/$M243</f>
        <v>#REF!</v>
      </c>
      <c r="AG243" s="560" t="e">
        <f>VLOOKUP($E243,$E$14:$H$22,4,FALSE)*VLOOKUP($E243,$E$14:$AN$22,COLUMN(AG$7)-4,FALSE)/$M243+VLOOKUP($E243,#REF!,4,FALSE)*VLOOKUP($E243,#REF!,COLUMN(AG$7)-4,FALSE)/$M243</f>
        <v>#REF!</v>
      </c>
      <c r="AH243" s="560" t="e">
        <f>VLOOKUP($E243,$E$14:$H$22,4,FALSE)*VLOOKUP($E243,$E$14:$AN$22,COLUMN(AH$7)-4,FALSE)/$M243+VLOOKUP($E243,#REF!,4,FALSE)*VLOOKUP($E243,#REF!,COLUMN(AH$7)-4,FALSE)/$M243</f>
        <v>#REF!</v>
      </c>
      <c r="AI243" s="560" t="e">
        <f>VLOOKUP($E243,$E$14:$H$22,4,FALSE)*VLOOKUP($E243,$E$14:$AN$22,COLUMN(AI$7)-4,FALSE)/$M243+VLOOKUP($E243,#REF!,4,FALSE)*VLOOKUP($E243,#REF!,COLUMN(AI$7)-4,FALSE)/$M243</f>
        <v>#REF!</v>
      </c>
      <c r="AJ243" s="560" t="e">
        <f>VLOOKUP($E243,$E$14:$H$22,4,FALSE)*VLOOKUP($E243,$E$14:$AN$22,COLUMN(AJ$7)-4,FALSE)/$M243+VLOOKUP($E243,#REF!,4,FALSE)*VLOOKUP($E243,#REF!,COLUMN(AJ$7)-4,FALSE)/$M243</f>
        <v>#REF!</v>
      </c>
      <c r="AK243" s="560" t="e">
        <f>VLOOKUP($E243,$E$14:$H$22,4,FALSE)*VLOOKUP($E243,$E$14:$AN$22,COLUMN(AK$7)-4,FALSE)/$M243+VLOOKUP($E243,#REF!,4,FALSE)*VLOOKUP($E243,#REF!,COLUMN(AK$7)-4,FALSE)/$M243</f>
        <v>#REF!</v>
      </c>
      <c r="AL243" s="560" t="e">
        <f>VLOOKUP($E243,$E$14:$H$22,4,FALSE)*VLOOKUP($E243,$E$14:$AN$22,COLUMN(AL$7)-4,FALSE)/$M243+VLOOKUP($E243,#REF!,4,FALSE)*VLOOKUP($E243,#REF!,COLUMN(AL$7)-4,FALSE)/$M243</f>
        <v>#REF!</v>
      </c>
      <c r="AM243" s="560" t="e">
        <f>VLOOKUP($E243,$E$14:$H$22,4,FALSE)*VLOOKUP($E243,$E$14:$AN$22,COLUMN(AM$7)-4,FALSE)/$M243+VLOOKUP($E243,#REF!,4,FALSE)*VLOOKUP($E243,#REF!,COLUMN(AM$7)-4,FALSE)/$M243</f>
        <v>#REF!</v>
      </c>
      <c r="AN243" s="560" t="e">
        <f>VLOOKUP($E243,$E$14:$H$22,4,FALSE)*VLOOKUP($E243,$E$14:$AN$22,COLUMN(AN$7)-4,FALSE)/$M243+VLOOKUP($E243,#REF!,4,FALSE)*VLOOKUP($E243,#REF!,COLUMN(AN$7)-4,FALSE)/$M243</f>
        <v>#REF!</v>
      </c>
    </row>
    <row r="244" spans="5:40">
      <c r="E244" s="919" t="e">
        <f>#REF!</f>
        <v>#REF!</v>
      </c>
      <c r="M244" s="560">
        <f>SUMIF(E:E,E244,H:H)</f>
        <v>0</v>
      </c>
      <c r="Q244" s="560" t="e">
        <f>VLOOKUP($E244,$E$14:$H$22,4,FALSE)*VLOOKUP($E244,$E$14:$AN$22,COLUMN(Q$7)-4,FALSE)/$M244+VLOOKUP($E244,#REF!,4,FALSE)*VLOOKUP($E244,#REF!,COLUMN(Q$7)-4,FALSE)/$M244</f>
        <v>#REF!</v>
      </c>
      <c r="R244" s="560" t="e">
        <f>VLOOKUP($E244,$E$14:$H$22,4,FALSE)*VLOOKUP($E244,$E$14:$AN$22,COLUMN(R$7)-4,FALSE)/$M244+VLOOKUP($E244,#REF!,4,FALSE)*VLOOKUP($E244,#REF!,COLUMN(R$7)-4,FALSE)/$M244</f>
        <v>#REF!</v>
      </c>
      <c r="S244" s="560" t="e">
        <f>VLOOKUP($E244,$E$14:$H$22,4,FALSE)*VLOOKUP($E244,$E$14:$AN$22,COLUMN(S$7)-4,FALSE)/$M244+VLOOKUP($E244,#REF!,4,FALSE)*VLOOKUP($E244,#REF!,COLUMN(S$7)-4,FALSE)/$M244</f>
        <v>#REF!</v>
      </c>
      <c r="T244" s="560" t="e">
        <f>VLOOKUP($E244,$E$14:$H$22,4,FALSE)*VLOOKUP($E244,$E$14:$AN$22,COLUMN(T$7)-4,FALSE)/$M244+VLOOKUP($E244,#REF!,4,FALSE)*VLOOKUP($E244,#REF!,COLUMN(T$7)-4,FALSE)/$M244</f>
        <v>#REF!</v>
      </c>
      <c r="U244" s="560" t="e">
        <f>VLOOKUP($E244,$E$14:$H$22,4,FALSE)*VLOOKUP($E244,$E$14:$AN$22,COLUMN(U$7)-4,FALSE)/$M244+VLOOKUP($E244,#REF!,4,FALSE)*VLOOKUP($E244,#REF!,COLUMN(U$7)-4,FALSE)/$M244</f>
        <v>#REF!</v>
      </c>
      <c r="V244" s="560" t="e">
        <f>VLOOKUP($E244,$E$14:$H$22,4,FALSE)*VLOOKUP($E244,$E$14:$AN$22,COLUMN(V$7)-4,FALSE)/$M244+VLOOKUP($E244,#REF!,4,FALSE)*VLOOKUP($E244,#REF!,COLUMN(V$7)-4,FALSE)/$M244</f>
        <v>#REF!</v>
      </c>
      <c r="W244" s="560" t="e">
        <f>VLOOKUP($E244,$E$14:$H$22,4,FALSE)*VLOOKUP($E244,$E$14:$AN$22,COLUMN(W$7)-4,FALSE)/$M244+VLOOKUP($E244,#REF!,4,FALSE)*VLOOKUP($E244,#REF!,COLUMN(W$7)-4,FALSE)/$M244</f>
        <v>#REF!</v>
      </c>
      <c r="X244" s="560" t="e">
        <f>VLOOKUP($E244,$E$14:$H$22,4,FALSE)*VLOOKUP($E244,$E$14:$AN$22,COLUMN(X$7)-4,FALSE)/$M244+VLOOKUP($E244,#REF!,4,FALSE)*VLOOKUP($E244,#REF!,COLUMN(X$7)-4,FALSE)/$M244</f>
        <v>#REF!</v>
      </c>
      <c r="Y244" s="560" t="e">
        <f>VLOOKUP($E244,$E$14:$H$22,4,FALSE)*VLOOKUP($E244,$E$14:$AN$22,COLUMN(Y$7)-4,FALSE)/$M244+VLOOKUP($E244,#REF!,4,FALSE)*VLOOKUP($E244,#REF!,COLUMN(Y$7)-4,FALSE)/$M244</f>
        <v>#REF!</v>
      </c>
      <c r="Z244" s="560" t="e">
        <f>VLOOKUP($E244,$E$14:$H$22,4,FALSE)*VLOOKUP($E244,$E$14:$AN$22,COLUMN(Z$7)-4,FALSE)/$M244+VLOOKUP($E244,#REF!,4,FALSE)*VLOOKUP($E244,#REF!,COLUMN(Z$7)-4,FALSE)/$M244</f>
        <v>#REF!</v>
      </c>
      <c r="AA244" s="560" t="e">
        <f>VLOOKUP($E244,$E$14:$H$22,4,FALSE)*VLOOKUP($E244,$E$14:$AN$22,COLUMN(AA$7)-4,FALSE)/$M244+VLOOKUP($E244,#REF!,4,FALSE)*VLOOKUP($E244,#REF!,COLUMN(AA$7)-4,FALSE)/$M244</f>
        <v>#REF!</v>
      </c>
      <c r="AB244" s="560" t="e">
        <f>VLOOKUP($E244,$E$14:$H$22,4,FALSE)*VLOOKUP($E244,$E$14:$AN$22,COLUMN(AB$7)-4,FALSE)/$M244+VLOOKUP($E244,#REF!,4,FALSE)*VLOOKUP($E244,#REF!,COLUMN(AB$7)-4,FALSE)/$M244</f>
        <v>#REF!</v>
      </c>
      <c r="AC244" s="560" t="e">
        <f>VLOOKUP($E244,$E$14:$H$22,4,FALSE)*VLOOKUP($E244,$E$14:$AN$22,COLUMN(AC$7)-4,FALSE)/$M244+VLOOKUP($E244,#REF!,4,FALSE)*VLOOKUP($E244,#REF!,COLUMN(AC$7)-4,FALSE)/$M244</f>
        <v>#REF!</v>
      </c>
      <c r="AD244" s="560" t="e">
        <f>VLOOKUP($E244,$E$14:$H$22,4,FALSE)*VLOOKUP($E244,$E$14:$AN$22,COLUMN(AD$7)-4,FALSE)/$M244+VLOOKUP($E244,#REF!,4,FALSE)*VLOOKUP($E244,#REF!,COLUMN(AD$7)-4,FALSE)/$M244</f>
        <v>#REF!</v>
      </c>
      <c r="AE244" s="560" t="e">
        <f>VLOOKUP($E244,$E$14:$H$22,4,FALSE)*VLOOKUP($E244,$E$14:$AN$22,COLUMN(AE$7)-4,FALSE)/$M244+VLOOKUP($E244,#REF!,4,FALSE)*VLOOKUP($E244,#REF!,COLUMN(AE$7)-4,FALSE)/$M244</f>
        <v>#REF!</v>
      </c>
      <c r="AF244" s="560" t="e">
        <f>VLOOKUP($E244,$E$14:$H$22,4,FALSE)*VLOOKUP($E244,$E$14:$AN$22,COLUMN(AF$7)-4,FALSE)/$M244+VLOOKUP($E244,#REF!,4,FALSE)*VLOOKUP($E244,#REF!,COLUMN(AF$7)-4,FALSE)/$M244</f>
        <v>#REF!</v>
      </c>
      <c r="AG244" s="560" t="e">
        <f>VLOOKUP($E244,$E$14:$H$22,4,FALSE)*VLOOKUP($E244,$E$14:$AN$22,COLUMN(AG$7)-4,FALSE)/$M244+VLOOKUP($E244,#REF!,4,FALSE)*VLOOKUP($E244,#REF!,COLUMN(AG$7)-4,FALSE)/$M244</f>
        <v>#REF!</v>
      </c>
      <c r="AH244" s="560" t="e">
        <f>VLOOKUP($E244,$E$14:$H$22,4,FALSE)*VLOOKUP($E244,$E$14:$AN$22,COLUMN(AH$7)-4,FALSE)/$M244+VLOOKUP($E244,#REF!,4,FALSE)*VLOOKUP($E244,#REF!,COLUMN(AH$7)-4,FALSE)/$M244</f>
        <v>#REF!</v>
      </c>
      <c r="AI244" s="560" t="e">
        <f>VLOOKUP($E244,$E$14:$H$22,4,FALSE)*VLOOKUP($E244,$E$14:$AN$22,COLUMN(AI$7)-4,FALSE)/$M244+VLOOKUP($E244,#REF!,4,FALSE)*VLOOKUP($E244,#REF!,COLUMN(AI$7)-4,FALSE)/$M244</f>
        <v>#REF!</v>
      </c>
      <c r="AJ244" s="560" t="e">
        <f>VLOOKUP($E244,$E$14:$H$22,4,FALSE)*VLOOKUP($E244,$E$14:$AN$22,COLUMN(AJ$7)-4,FALSE)/$M244+VLOOKUP($E244,#REF!,4,FALSE)*VLOOKUP($E244,#REF!,COLUMN(AJ$7)-4,FALSE)/$M244</f>
        <v>#REF!</v>
      </c>
      <c r="AK244" s="560" t="e">
        <f>VLOOKUP($E244,$E$14:$H$22,4,FALSE)*VLOOKUP($E244,$E$14:$AN$22,COLUMN(AK$7)-4,FALSE)/$M244+VLOOKUP($E244,#REF!,4,FALSE)*VLOOKUP($E244,#REF!,COLUMN(AK$7)-4,FALSE)/$M244</f>
        <v>#REF!</v>
      </c>
      <c r="AL244" s="560" t="e">
        <f>VLOOKUP($E244,$E$14:$H$22,4,FALSE)*VLOOKUP($E244,$E$14:$AN$22,COLUMN(AL$7)-4,FALSE)/$M244+VLOOKUP($E244,#REF!,4,FALSE)*VLOOKUP($E244,#REF!,COLUMN(AL$7)-4,FALSE)/$M244</f>
        <v>#REF!</v>
      </c>
      <c r="AM244" s="560" t="e">
        <f>VLOOKUP($E244,$E$14:$H$22,4,FALSE)*VLOOKUP($E244,$E$14:$AN$22,COLUMN(AM$7)-4,FALSE)/$M244+VLOOKUP($E244,#REF!,4,FALSE)*VLOOKUP($E244,#REF!,COLUMN(AM$7)-4,FALSE)/$M244</f>
        <v>#REF!</v>
      </c>
      <c r="AN244" s="560" t="e">
        <f>VLOOKUP($E244,$E$14:$H$22,4,FALSE)*VLOOKUP($E244,$E$14:$AN$22,COLUMN(AN$7)-4,FALSE)/$M244+VLOOKUP($E244,#REF!,4,FALSE)*VLOOKUP($E244,#REF!,COLUMN(AN$7)-4,FALSE)/$M244</f>
        <v>#REF!</v>
      </c>
    </row>
    <row r="245" spans="5:40">
      <c r="E245" s="919" t="e">
        <f>#REF!</f>
        <v>#REF!</v>
      </c>
      <c r="M245" s="560">
        <f>SUMIF(E:E,E245,H:H)</f>
        <v>0</v>
      </c>
      <c r="Q245" s="560" t="e">
        <f>VLOOKUP($E245,$E$14:$H$22,4,FALSE)*VLOOKUP($E245,$E$14:$AN$22,COLUMN(Q$7)-4,FALSE)/$M245+VLOOKUP($E245,#REF!,4,FALSE)*VLOOKUP($E245,#REF!,COLUMN(Q$7)-4,FALSE)/$M245</f>
        <v>#REF!</v>
      </c>
      <c r="R245" s="560" t="e">
        <f>VLOOKUP($E245,$E$14:$H$22,4,FALSE)*VLOOKUP($E245,$E$14:$AN$22,COLUMN(R$7)-4,FALSE)/$M245+VLOOKUP($E245,#REF!,4,FALSE)*VLOOKUP($E245,#REF!,COLUMN(R$7)-4,FALSE)/$M245</f>
        <v>#REF!</v>
      </c>
      <c r="S245" s="560" t="e">
        <f>VLOOKUP($E245,$E$14:$H$22,4,FALSE)*VLOOKUP($E245,$E$14:$AN$22,COLUMN(S$7)-4,FALSE)/$M245+VLOOKUP($E245,#REF!,4,FALSE)*VLOOKUP($E245,#REF!,COLUMN(S$7)-4,FALSE)/$M245</f>
        <v>#REF!</v>
      </c>
      <c r="T245" s="560" t="e">
        <f>VLOOKUP($E245,$E$14:$H$22,4,FALSE)*VLOOKUP($E245,$E$14:$AN$22,COLUMN(T$7)-4,FALSE)/$M245+VLOOKUP($E245,#REF!,4,FALSE)*VLOOKUP($E245,#REF!,COLUMN(T$7)-4,FALSE)/$M245</f>
        <v>#REF!</v>
      </c>
      <c r="U245" s="560" t="e">
        <f>VLOOKUP($E245,$E$14:$H$22,4,FALSE)*VLOOKUP($E245,$E$14:$AN$22,COLUMN(U$7)-4,FALSE)/$M245+VLOOKUP($E245,#REF!,4,FALSE)*VLOOKUP($E245,#REF!,COLUMN(U$7)-4,FALSE)/$M245</f>
        <v>#REF!</v>
      </c>
      <c r="V245" s="560" t="e">
        <f>VLOOKUP($E245,$E$14:$H$22,4,FALSE)*VLOOKUP($E245,$E$14:$AN$22,COLUMN(V$7)-4,FALSE)/$M245+VLOOKUP($E245,#REF!,4,FALSE)*VLOOKUP($E245,#REF!,COLUMN(V$7)-4,FALSE)/$M245</f>
        <v>#REF!</v>
      </c>
      <c r="W245" s="560" t="e">
        <f>VLOOKUP($E245,$E$14:$H$22,4,FALSE)*VLOOKUP($E245,$E$14:$AN$22,COLUMN(W$7)-4,FALSE)/$M245+VLOOKUP($E245,#REF!,4,FALSE)*VLOOKUP($E245,#REF!,COLUMN(W$7)-4,FALSE)/$M245</f>
        <v>#REF!</v>
      </c>
      <c r="X245" s="560" t="e">
        <f>VLOOKUP($E245,$E$14:$H$22,4,FALSE)*VLOOKUP($E245,$E$14:$AN$22,COLUMN(X$7)-4,FALSE)/$M245+VLOOKUP($E245,#REF!,4,FALSE)*VLOOKUP($E245,#REF!,COLUMN(X$7)-4,FALSE)/$M245</f>
        <v>#REF!</v>
      </c>
      <c r="Y245" s="560" t="e">
        <f>VLOOKUP($E245,$E$14:$H$22,4,FALSE)*VLOOKUP($E245,$E$14:$AN$22,COLUMN(Y$7)-4,FALSE)/$M245+VLOOKUP($E245,#REF!,4,FALSE)*VLOOKUP($E245,#REF!,COLUMN(Y$7)-4,FALSE)/$M245</f>
        <v>#REF!</v>
      </c>
      <c r="Z245" s="560" t="e">
        <f>VLOOKUP($E245,$E$14:$H$22,4,FALSE)*VLOOKUP($E245,$E$14:$AN$22,COLUMN(Z$7)-4,FALSE)/$M245+VLOOKUP($E245,#REF!,4,FALSE)*VLOOKUP($E245,#REF!,COLUMN(Z$7)-4,FALSE)/$M245</f>
        <v>#REF!</v>
      </c>
      <c r="AA245" s="560" t="e">
        <f>VLOOKUP($E245,$E$14:$H$22,4,FALSE)*VLOOKUP($E245,$E$14:$AN$22,COLUMN(AA$7)-4,FALSE)/$M245+VLOOKUP($E245,#REF!,4,FALSE)*VLOOKUP($E245,#REF!,COLUMN(AA$7)-4,FALSE)/$M245</f>
        <v>#REF!</v>
      </c>
      <c r="AB245" s="560" t="e">
        <f>VLOOKUP($E245,$E$14:$H$22,4,FALSE)*VLOOKUP($E245,$E$14:$AN$22,COLUMN(AB$7)-4,FALSE)/$M245+VLOOKUP($E245,#REF!,4,FALSE)*VLOOKUP($E245,#REF!,COLUMN(AB$7)-4,FALSE)/$M245</f>
        <v>#REF!</v>
      </c>
      <c r="AC245" s="560" t="e">
        <f>VLOOKUP($E245,$E$14:$H$22,4,FALSE)*VLOOKUP($E245,$E$14:$AN$22,COLUMN(AC$7)-4,FALSE)/$M245+VLOOKUP($E245,#REF!,4,FALSE)*VLOOKUP($E245,#REF!,COLUMN(AC$7)-4,FALSE)/$M245</f>
        <v>#REF!</v>
      </c>
      <c r="AD245" s="560" t="e">
        <f>VLOOKUP($E245,$E$14:$H$22,4,FALSE)*VLOOKUP($E245,$E$14:$AN$22,COLUMN(AD$7)-4,FALSE)/$M245+VLOOKUP($E245,#REF!,4,FALSE)*VLOOKUP($E245,#REF!,COLUMN(AD$7)-4,FALSE)/$M245</f>
        <v>#REF!</v>
      </c>
      <c r="AE245" s="560" t="e">
        <f>VLOOKUP($E245,$E$14:$H$22,4,FALSE)*VLOOKUP($E245,$E$14:$AN$22,COLUMN(AE$7)-4,FALSE)/$M245+VLOOKUP($E245,#REF!,4,FALSE)*VLOOKUP($E245,#REF!,COLUMN(AE$7)-4,FALSE)/$M245</f>
        <v>#REF!</v>
      </c>
      <c r="AF245" s="560" t="e">
        <f>VLOOKUP($E245,$E$14:$H$22,4,FALSE)*VLOOKUP($E245,$E$14:$AN$22,COLUMN(AF$7)-4,FALSE)/$M245+VLOOKUP($E245,#REF!,4,FALSE)*VLOOKUP($E245,#REF!,COLUMN(AF$7)-4,FALSE)/$M245</f>
        <v>#REF!</v>
      </c>
      <c r="AG245" s="560" t="e">
        <f>VLOOKUP($E245,$E$14:$H$22,4,FALSE)*VLOOKUP($E245,$E$14:$AN$22,COLUMN(AG$7)-4,FALSE)/$M245+VLOOKUP($E245,#REF!,4,FALSE)*VLOOKUP($E245,#REF!,COLUMN(AG$7)-4,FALSE)/$M245</f>
        <v>#REF!</v>
      </c>
      <c r="AH245" s="560" t="e">
        <f>VLOOKUP($E245,$E$14:$H$22,4,FALSE)*VLOOKUP($E245,$E$14:$AN$22,COLUMN(AH$7)-4,FALSE)/$M245+VLOOKUP($E245,#REF!,4,FALSE)*VLOOKUP($E245,#REF!,COLUMN(AH$7)-4,FALSE)/$M245</f>
        <v>#REF!</v>
      </c>
      <c r="AI245" s="560" t="e">
        <f>VLOOKUP($E245,$E$14:$H$22,4,FALSE)*VLOOKUP($E245,$E$14:$AN$22,COLUMN(AI$7)-4,FALSE)/$M245+VLOOKUP($E245,#REF!,4,FALSE)*VLOOKUP($E245,#REF!,COLUMN(AI$7)-4,FALSE)/$M245</f>
        <v>#REF!</v>
      </c>
      <c r="AJ245" s="560" t="e">
        <f>VLOOKUP($E245,$E$14:$H$22,4,FALSE)*VLOOKUP($E245,$E$14:$AN$22,COLUMN(AJ$7)-4,FALSE)/$M245+VLOOKUP($E245,#REF!,4,FALSE)*VLOOKUP($E245,#REF!,COLUMN(AJ$7)-4,FALSE)/$M245</f>
        <v>#REF!</v>
      </c>
      <c r="AK245" s="560" t="e">
        <f>VLOOKUP($E245,$E$14:$H$22,4,FALSE)*VLOOKUP($E245,$E$14:$AN$22,COLUMN(AK$7)-4,FALSE)/$M245+VLOOKUP($E245,#REF!,4,FALSE)*VLOOKUP($E245,#REF!,COLUMN(AK$7)-4,FALSE)/$M245</f>
        <v>#REF!</v>
      </c>
      <c r="AL245" s="560" t="e">
        <f>VLOOKUP($E245,$E$14:$H$22,4,FALSE)*VLOOKUP($E245,$E$14:$AN$22,COLUMN(AL$7)-4,FALSE)/$M245+VLOOKUP($E245,#REF!,4,FALSE)*VLOOKUP($E245,#REF!,COLUMN(AL$7)-4,FALSE)/$M245</f>
        <v>#REF!</v>
      </c>
      <c r="AM245" s="560" t="e">
        <f>VLOOKUP($E245,$E$14:$H$22,4,FALSE)*VLOOKUP($E245,$E$14:$AN$22,COLUMN(AM$7)-4,FALSE)/$M245+VLOOKUP($E245,#REF!,4,FALSE)*VLOOKUP($E245,#REF!,COLUMN(AM$7)-4,FALSE)/$M245</f>
        <v>#REF!</v>
      </c>
      <c r="AN245" s="560" t="e">
        <f>VLOOKUP($E245,$E$14:$H$22,4,FALSE)*VLOOKUP($E245,$E$14:$AN$22,COLUMN(AN$7)-4,FALSE)/$M245+VLOOKUP($E245,#REF!,4,FALSE)*VLOOKUP($E245,#REF!,COLUMN(AN$7)-4,FALSE)/$M245</f>
        <v>#REF!</v>
      </c>
    </row>
    <row r="246" spans="5:40">
      <c r="E246" s="919" t="e">
        <f>#REF!</f>
        <v>#REF!</v>
      </c>
      <c r="M246" s="560">
        <f>SUMIF(E:E,E246,H:H)</f>
        <v>0</v>
      </c>
      <c r="Q246" s="560" t="e">
        <f>VLOOKUP($E246,$E$14:$H$22,4,FALSE)*VLOOKUP($E246,$E$14:$AN$22,COLUMN(Q$7)-4,FALSE)/$M246+VLOOKUP($E246,#REF!,4,FALSE)*VLOOKUP($E246,#REF!,COLUMN(Q$7)-4,FALSE)/$M246</f>
        <v>#REF!</v>
      </c>
      <c r="R246" s="560" t="e">
        <f>VLOOKUP($E246,$E$14:$H$22,4,FALSE)*VLOOKUP($E246,$E$14:$AN$22,COLUMN(R$7)-4,FALSE)/$M246+VLOOKUP($E246,#REF!,4,FALSE)*VLOOKUP($E246,#REF!,COLUMN(R$7)-4,FALSE)/$M246</f>
        <v>#REF!</v>
      </c>
      <c r="S246" s="560" t="e">
        <f>VLOOKUP($E246,$E$14:$H$22,4,FALSE)*VLOOKUP($E246,$E$14:$AN$22,COLUMN(S$7)-4,FALSE)/$M246+VLOOKUP($E246,#REF!,4,FALSE)*VLOOKUP($E246,#REF!,COLUMN(S$7)-4,FALSE)/$M246</f>
        <v>#REF!</v>
      </c>
      <c r="T246" s="560" t="e">
        <f>VLOOKUP($E246,$E$14:$H$22,4,FALSE)*VLOOKUP($E246,$E$14:$AN$22,COLUMN(T$7)-4,FALSE)/$M246+VLOOKUP($E246,#REF!,4,FALSE)*VLOOKUP($E246,#REF!,COLUMN(T$7)-4,FALSE)/$M246</f>
        <v>#REF!</v>
      </c>
      <c r="U246" s="560" t="e">
        <f>VLOOKUP($E246,$E$14:$H$22,4,FALSE)*VLOOKUP($E246,$E$14:$AN$22,COLUMN(U$7)-4,FALSE)/$M246+VLOOKUP($E246,#REF!,4,FALSE)*VLOOKUP($E246,#REF!,COLUMN(U$7)-4,FALSE)/$M246</f>
        <v>#REF!</v>
      </c>
      <c r="V246" s="560" t="e">
        <f>VLOOKUP($E246,$E$14:$H$22,4,FALSE)*VLOOKUP($E246,$E$14:$AN$22,COLUMN(V$7)-4,FALSE)/$M246+VLOOKUP($E246,#REF!,4,FALSE)*VLOOKUP($E246,#REF!,COLUMN(V$7)-4,FALSE)/$M246</f>
        <v>#REF!</v>
      </c>
      <c r="W246" s="560" t="e">
        <f>VLOOKUP($E246,$E$14:$H$22,4,FALSE)*VLOOKUP($E246,$E$14:$AN$22,COLUMN(W$7)-4,FALSE)/$M246+VLOOKUP($E246,#REF!,4,FALSE)*VLOOKUP($E246,#REF!,COLUMN(W$7)-4,FALSE)/$M246</f>
        <v>#REF!</v>
      </c>
      <c r="X246" s="560" t="e">
        <f>VLOOKUP($E246,$E$14:$H$22,4,FALSE)*VLOOKUP($E246,$E$14:$AN$22,COLUMN(X$7)-4,FALSE)/$M246+VLOOKUP($E246,#REF!,4,FALSE)*VLOOKUP($E246,#REF!,COLUMN(X$7)-4,FALSE)/$M246</f>
        <v>#REF!</v>
      </c>
      <c r="Y246" s="560" t="e">
        <f>VLOOKUP($E246,$E$14:$H$22,4,FALSE)*VLOOKUP($E246,$E$14:$AN$22,COLUMN(Y$7)-4,FALSE)/$M246+VLOOKUP($E246,#REF!,4,FALSE)*VLOOKUP($E246,#REF!,COLUMN(Y$7)-4,FALSE)/$M246</f>
        <v>#REF!</v>
      </c>
      <c r="Z246" s="560" t="e">
        <f>VLOOKUP($E246,$E$14:$H$22,4,FALSE)*VLOOKUP($E246,$E$14:$AN$22,COLUMN(Z$7)-4,FALSE)/$M246+VLOOKUP($E246,#REF!,4,FALSE)*VLOOKUP($E246,#REF!,COLUMN(Z$7)-4,FALSE)/$M246</f>
        <v>#REF!</v>
      </c>
      <c r="AA246" s="560" t="e">
        <f>VLOOKUP($E246,$E$14:$H$22,4,FALSE)*VLOOKUP($E246,$E$14:$AN$22,COLUMN(AA$7)-4,FALSE)/$M246+VLOOKUP($E246,#REF!,4,FALSE)*VLOOKUP($E246,#REF!,COLUMN(AA$7)-4,FALSE)/$M246</f>
        <v>#REF!</v>
      </c>
      <c r="AB246" s="560" t="e">
        <f>VLOOKUP($E246,$E$14:$H$22,4,FALSE)*VLOOKUP($E246,$E$14:$AN$22,COLUMN(AB$7)-4,FALSE)/$M246+VLOOKUP($E246,#REF!,4,FALSE)*VLOOKUP($E246,#REF!,COLUMN(AB$7)-4,FALSE)/$M246</f>
        <v>#REF!</v>
      </c>
      <c r="AC246" s="560" t="e">
        <f>VLOOKUP($E246,$E$14:$H$22,4,FALSE)*VLOOKUP($E246,$E$14:$AN$22,COLUMN(AC$7)-4,FALSE)/$M246+VLOOKUP($E246,#REF!,4,FALSE)*VLOOKUP($E246,#REF!,COLUMN(AC$7)-4,FALSE)/$M246</f>
        <v>#REF!</v>
      </c>
      <c r="AD246" s="560" t="e">
        <f>VLOOKUP($E246,$E$14:$H$22,4,FALSE)*VLOOKUP($E246,$E$14:$AN$22,COLUMN(AD$7)-4,FALSE)/$M246+VLOOKUP($E246,#REF!,4,FALSE)*VLOOKUP($E246,#REF!,COLUMN(AD$7)-4,FALSE)/$M246</f>
        <v>#REF!</v>
      </c>
      <c r="AE246" s="560" t="e">
        <f>VLOOKUP($E246,$E$14:$H$22,4,FALSE)*VLOOKUP($E246,$E$14:$AN$22,COLUMN(AE$7)-4,FALSE)/$M246+VLOOKUP($E246,#REF!,4,FALSE)*VLOOKUP($E246,#REF!,COLUMN(AE$7)-4,FALSE)/$M246</f>
        <v>#REF!</v>
      </c>
      <c r="AF246" s="560" t="e">
        <f>VLOOKUP($E246,$E$14:$H$22,4,FALSE)*VLOOKUP($E246,$E$14:$AN$22,COLUMN(AF$7)-4,FALSE)/$M246+VLOOKUP($E246,#REF!,4,FALSE)*VLOOKUP($E246,#REF!,COLUMN(AF$7)-4,FALSE)/$M246</f>
        <v>#REF!</v>
      </c>
      <c r="AG246" s="560" t="e">
        <f>VLOOKUP($E246,$E$14:$H$22,4,FALSE)*VLOOKUP($E246,$E$14:$AN$22,COLUMN(AG$7)-4,FALSE)/$M246+VLOOKUP($E246,#REF!,4,FALSE)*VLOOKUP($E246,#REF!,COLUMN(AG$7)-4,FALSE)/$M246</f>
        <v>#REF!</v>
      </c>
      <c r="AH246" s="560" t="e">
        <f>VLOOKUP($E246,$E$14:$H$22,4,FALSE)*VLOOKUP($E246,$E$14:$AN$22,COLUMN(AH$7)-4,FALSE)/$M246+VLOOKUP($E246,#REF!,4,FALSE)*VLOOKUP($E246,#REF!,COLUMN(AH$7)-4,FALSE)/$M246</f>
        <v>#REF!</v>
      </c>
      <c r="AI246" s="560" t="e">
        <f>VLOOKUP($E246,$E$14:$H$22,4,FALSE)*VLOOKUP($E246,$E$14:$AN$22,COLUMN(AI$7)-4,FALSE)/$M246+VLOOKUP($E246,#REF!,4,FALSE)*VLOOKUP($E246,#REF!,COLUMN(AI$7)-4,FALSE)/$M246</f>
        <v>#REF!</v>
      </c>
      <c r="AJ246" s="560" t="e">
        <f>VLOOKUP($E246,$E$14:$H$22,4,FALSE)*VLOOKUP($E246,$E$14:$AN$22,COLUMN(AJ$7)-4,FALSE)/$M246+VLOOKUP($E246,#REF!,4,FALSE)*VLOOKUP($E246,#REF!,COLUMN(AJ$7)-4,FALSE)/$M246</f>
        <v>#REF!</v>
      </c>
      <c r="AK246" s="560" t="e">
        <f>VLOOKUP($E246,$E$14:$H$22,4,FALSE)*VLOOKUP($E246,$E$14:$AN$22,COLUMN(AK$7)-4,FALSE)/$M246+VLOOKUP($E246,#REF!,4,FALSE)*VLOOKUP($E246,#REF!,COLUMN(AK$7)-4,FALSE)/$M246</f>
        <v>#REF!</v>
      </c>
      <c r="AL246" s="560" t="e">
        <f>VLOOKUP($E246,$E$14:$H$22,4,FALSE)*VLOOKUP($E246,$E$14:$AN$22,COLUMN(AL$7)-4,FALSE)/$M246+VLOOKUP($E246,#REF!,4,FALSE)*VLOOKUP($E246,#REF!,COLUMN(AL$7)-4,FALSE)/$M246</f>
        <v>#REF!</v>
      </c>
      <c r="AM246" s="560" t="e">
        <f>VLOOKUP($E246,$E$14:$H$22,4,FALSE)*VLOOKUP($E246,$E$14:$AN$22,COLUMN(AM$7)-4,FALSE)/$M246+VLOOKUP($E246,#REF!,4,FALSE)*VLOOKUP($E246,#REF!,COLUMN(AM$7)-4,FALSE)/$M246</f>
        <v>#REF!</v>
      </c>
      <c r="AN246" s="560" t="e">
        <f>VLOOKUP($E246,$E$14:$H$22,4,FALSE)*VLOOKUP($E246,$E$14:$AN$22,COLUMN(AN$7)-4,FALSE)/$M246+VLOOKUP($E246,#REF!,4,FALSE)*VLOOKUP($E246,#REF!,COLUMN(AN$7)-4,FALSE)/$M246</f>
        <v>#REF!</v>
      </c>
    </row>
    <row r="247" spans="5:40">
      <c r="E247" s="919" t="e">
        <f>#REF!</f>
        <v>#REF!</v>
      </c>
      <c r="M247" s="560">
        <f>SUMIF(E:E,E247,H:H)</f>
        <v>0</v>
      </c>
      <c r="Q247" s="560" t="e">
        <f>VLOOKUP($E247,$E$14:$H$22,4,FALSE)*VLOOKUP($E247,$E$14:$AN$22,COLUMN(Q$7)-4,FALSE)/$M247+VLOOKUP($E247,#REF!,4,FALSE)*VLOOKUP($E247,#REF!,COLUMN(Q$7)-4,FALSE)/$M247</f>
        <v>#REF!</v>
      </c>
      <c r="R247" s="560" t="e">
        <f>VLOOKUP($E247,$E$14:$H$22,4,FALSE)*VLOOKUP($E247,$E$14:$AN$22,COLUMN(R$7)-4,FALSE)/$M247+VLOOKUP($E247,#REF!,4,FALSE)*VLOOKUP($E247,#REF!,COLUMN(R$7)-4,FALSE)/$M247</f>
        <v>#REF!</v>
      </c>
      <c r="S247" s="560" t="e">
        <f>VLOOKUP($E247,$E$14:$H$22,4,FALSE)*VLOOKUP($E247,$E$14:$AN$22,COLUMN(S$7)-4,FALSE)/$M247+VLOOKUP($E247,#REF!,4,FALSE)*VLOOKUP($E247,#REF!,COLUMN(S$7)-4,FALSE)/$M247</f>
        <v>#REF!</v>
      </c>
      <c r="T247" s="560" t="e">
        <f>VLOOKUP($E247,$E$14:$H$22,4,FALSE)*VLOOKUP($E247,$E$14:$AN$22,COLUMN(T$7)-4,FALSE)/$M247+VLOOKUP($E247,#REF!,4,FALSE)*VLOOKUP($E247,#REF!,COLUMN(T$7)-4,FALSE)/$M247</f>
        <v>#REF!</v>
      </c>
      <c r="U247" s="560" t="e">
        <f>VLOOKUP($E247,$E$14:$H$22,4,FALSE)*VLOOKUP($E247,$E$14:$AN$22,COLUMN(U$7)-4,FALSE)/$M247+VLOOKUP($E247,#REF!,4,FALSE)*VLOOKUP($E247,#REF!,COLUMN(U$7)-4,FALSE)/$M247</f>
        <v>#REF!</v>
      </c>
      <c r="V247" s="560" t="e">
        <f>VLOOKUP($E247,$E$14:$H$22,4,FALSE)*VLOOKUP($E247,$E$14:$AN$22,COLUMN(V$7)-4,FALSE)/$M247+VLOOKUP($E247,#REF!,4,FALSE)*VLOOKUP($E247,#REF!,COLUMN(V$7)-4,FALSE)/$M247</f>
        <v>#REF!</v>
      </c>
      <c r="W247" s="560" t="e">
        <f>VLOOKUP($E247,$E$14:$H$22,4,FALSE)*VLOOKUP($E247,$E$14:$AN$22,COLUMN(W$7)-4,FALSE)/$M247+VLOOKUP($E247,#REF!,4,FALSE)*VLOOKUP($E247,#REF!,COLUMN(W$7)-4,FALSE)/$M247</f>
        <v>#REF!</v>
      </c>
      <c r="X247" s="560" t="e">
        <f>VLOOKUP($E247,$E$14:$H$22,4,FALSE)*VLOOKUP($E247,$E$14:$AN$22,COLUMN(X$7)-4,FALSE)/$M247+VLOOKUP($E247,#REF!,4,FALSE)*VLOOKUP($E247,#REF!,COLUMN(X$7)-4,FALSE)/$M247</f>
        <v>#REF!</v>
      </c>
      <c r="Y247" s="560" t="e">
        <f>VLOOKUP($E247,$E$14:$H$22,4,FALSE)*VLOOKUP($E247,$E$14:$AN$22,COLUMN(Y$7)-4,FALSE)/$M247+VLOOKUP($E247,#REF!,4,FALSE)*VLOOKUP($E247,#REF!,COLUMN(Y$7)-4,FALSE)/$M247</f>
        <v>#REF!</v>
      </c>
      <c r="Z247" s="560" t="e">
        <f>VLOOKUP($E247,$E$14:$H$22,4,FALSE)*VLOOKUP($E247,$E$14:$AN$22,COLUMN(Z$7)-4,FALSE)/$M247+VLOOKUP($E247,#REF!,4,FALSE)*VLOOKUP($E247,#REF!,COLUMN(Z$7)-4,FALSE)/$M247</f>
        <v>#REF!</v>
      </c>
      <c r="AA247" s="560" t="e">
        <f>VLOOKUP($E247,$E$14:$H$22,4,FALSE)*VLOOKUP($E247,$E$14:$AN$22,COLUMN(AA$7)-4,FALSE)/$M247+VLOOKUP($E247,#REF!,4,FALSE)*VLOOKUP($E247,#REF!,COLUMN(AA$7)-4,FALSE)/$M247</f>
        <v>#REF!</v>
      </c>
      <c r="AB247" s="560" t="e">
        <f>VLOOKUP($E247,$E$14:$H$22,4,FALSE)*VLOOKUP($E247,$E$14:$AN$22,COLUMN(AB$7)-4,FALSE)/$M247+VLOOKUP($E247,#REF!,4,FALSE)*VLOOKUP($E247,#REF!,COLUMN(AB$7)-4,FALSE)/$M247</f>
        <v>#REF!</v>
      </c>
      <c r="AC247" s="560" t="e">
        <f>VLOOKUP($E247,$E$14:$H$22,4,FALSE)*VLOOKUP($E247,$E$14:$AN$22,COLUMN(AC$7)-4,FALSE)/$M247+VLOOKUP($E247,#REF!,4,FALSE)*VLOOKUP($E247,#REF!,COLUMN(AC$7)-4,FALSE)/$M247</f>
        <v>#REF!</v>
      </c>
      <c r="AD247" s="560" t="e">
        <f>VLOOKUP($E247,$E$14:$H$22,4,FALSE)*VLOOKUP($E247,$E$14:$AN$22,COLUMN(AD$7)-4,FALSE)/$M247+VLOOKUP($E247,#REF!,4,FALSE)*VLOOKUP($E247,#REF!,COLUMN(AD$7)-4,FALSE)/$M247</f>
        <v>#REF!</v>
      </c>
      <c r="AE247" s="560" t="e">
        <f>VLOOKUP($E247,$E$14:$H$22,4,FALSE)*VLOOKUP($E247,$E$14:$AN$22,COLUMN(AE$7)-4,FALSE)/$M247+VLOOKUP($E247,#REF!,4,FALSE)*VLOOKUP($E247,#REF!,COLUMN(AE$7)-4,FALSE)/$M247</f>
        <v>#REF!</v>
      </c>
      <c r="AF247" s="560" t="e">
        <f>VLOOKUP($E247,$E$14:$H$22,4,FALSE)*VLOOKUP($E247,$E$14:$AN$22,COLUMN(AF$7)-4,FALSE)/$M247+VLOOKUP($E247,#REF!,4,FALSE)*VLOOKUP($E247,#REF!,COLUMN(AF$7)-4,FALSE)/$M247</f>
        <v>#REF!</v>
      </c>
      <c r="AG247" s="560" t="e">
        <f>VLOOKUP($E247,$E$14:$H$22,4,FALSE)*VLOOKUP($E247,$E$14:$AN$22,COLUMN(AG$7)-4,FALSE)/$M247+VLOOKUP($E247,#REF!,4,FALSE)*VLOOKUP($E247,#REF!,COLUMN(AG$7)-4,FALSE)/$M247</f>
        <v>#REF!</v>
      </c>
      <c r="AH247" s="560" t="e">
        <f>VLOOKUP($E247,$E$14:$H$22,4,FALSE)*VLOOKUP($E247,$E$14:$AN$22,COLUMN(AH$7)-4,FALSE)/$M247+VLOOKUP($E247,#REF!,4,FALSE)*VLOOKUP($E247,#REF!,COLUMN(AH$7)-4,FALSE)/$M247</f>
        <v>#REF!</v>
      </c>
      <c r="AI247" s="560" t="e">
        <f>VLOOKUP($E247,$E$14:$H$22,4,FALSE)*VLOOKUP($E247,$E$14:$AN$22,COLUMN(AI$7)-4,FALSE)/$M247+VLOOKUP($E247,#REF!,4,FALSE)*VLOOKUP($E247,#REF!,COLUMN(AI$7)-4,FALSE)/$M247</f>
        <v>#REF!</v>
      </c>
      <c r="AJ247" s="560" t="e">
        <f>VLOOKUP($E247,$E$14:$H$22,4,FALSE)*VLOOKUP($E247,$E$14:$AN$22,COLUMN(AJ$7)-4,FALSE)/$M247+VLOOKUP($E247,#REF!,4,FALSE)*VLOOKUP($E247,#REF!,COLUMN(AJ$7)-4,FALSE)/$M247</f>
        <v>#REF!</v>
      </c>
      <c r="AK247" s="560" t="e">
        <f>VLOOKUP($E247,$E$14:$H$22,4,FALSE)*VLOOKUP($E247,$E$14:$AN$22,COLUMN(AK$7)-4,FALSE)/$M247+VLOOKUP($E247,#REF!,4,FALSE)*VLOOKUP($E247,#REF!,COLUMN(AK$7)-4,FALSE)/$M247</f>
        <v>#REF!</v>
      </c>
      <c r="AL247" s="560" t="e">
        <f>VLOOKUP($E247,$E$14:$H$22,4,FALSE)*VLOOKUP($E247,$E$14:$AN$22,COLUMN(AL$7)-4,FALSE)/$M247+VLOOKUP($E247,#REF!,4,FALSE)*VLOOKUP($E247,#REF!,COLUMN(AL$7)-4,FALSE)/$M247</f>
        <v>#REF!</v>
      </c>
      <c r="AM247" s="560" t="e">
        <f>VLOOKUP($E247,$E$14:$H$22,4,FALSE)*VLOOKUP($E247,$E$14:$AN$22,COLUMN(AM$7)-4,FALSE)/$M247+VLOOKUP($E247,#REF!,4,FALSE)*VLOOKUP($E247,#REF!,COLUMN(AM$7)-4,FALSE)/$M247</f>
        <v>#REF!</v>
      </c>
      <c r="AN247" s="560" t="e">
        <f>VLOOKUP($E247,$E$14:$H$22,4,FALSE)*VLOOKUP($E247,$E$14:$AN$22,COLUMN(AN$7)-4,FALSE)/$M247+VLOOKUP($E247,#REF!,4,FALSE)*VLOOKUP($E247,#REF!,COLUMN(AN$7)-4,FALSE)/$M247</f>
        <v>#REF!</v>
      </c>
    </row>
    <row r="248" spans="5:40">
      <c r="E248" s="919" t="e">
        <f>#REF!</f>
        <v>#REF!</v>
      </c>
      <c r="M248" s="560">
        <f>SUMIF(E:E,E248,H:H)</f>
        <v>0</v>
      </c>
      <c r="Q248" s="560" t="e">
        <f>VLOOKUP($E248,$E$14:$H$22,4,FALSE)*VLOOKUP($E248,$E$14:$AN$22,COLUMN(Q$7)-4,FALSE)/$M248+VLOOKUP($E248,#REF!,4,FALSE)*VLOOKUP($E248,#REF!,COLUMN(Q$7)-4,FALSE)/$M248</f>
        <v>#REF!</v>
      </c>
      <c r="R248" s="560" t="e">
        <f>VLOOKUP($E248,$E$14:$H$22,4,FALSE)*VLOOKUP($E248,$E$14:$AN$22,COLUMN(R$7)-4,FALSE)/$M248+VLOOKUP($E248,#REF!,4,FALSE)*VLOOKUP($E248,#REF!,COLUMN(R$7)-4,FALSE)/$M248</f>
        <v>#REF!</v>
      </c>
      <c r="S248" s="560" t="e">
        <f>VLOOKUP($E248,$E$14:$H$22,4,FALSE)*VLOOKUP($E248,$E$14:$AN$22,COLUMN(S$7)-4,FALSE)/$M248+VLOOKUP($E248,#REF!,4,FALSE)*VLOOKUP($E248,#REF!,COLUMN(S$7)-4,FALSE)/$M248</f>
        <v>#REF!</v>
      </c>
      <c r="T248" s="560" t="e">
        <f>VLOOKUP($E248,$E$14:$H$22,4,FALSE)*VLOOKUP($E248,$E$14:$AN$22,COLUMN(T$7)-4,FALSE)/$M248+VLOOKUP($E248,#REF!,4,FALSE)*VLOOKUP($E248,#REF!,COLUMN(T$7)-4,FALSE)/$M248</f>
        <v>#REF!</v>
      </c>
      <c r="U248" s="560" t="e">
        <f>VLOOKUP($E248,$E$14:$H$22,4,FALSE)*VLOOKUP($E248,$E$14:$AN$22,COLUMN(U$7)-4,FALSE)/$M248+VLOOKUP($E248,#REF!,4,FALSE)*VLOOKUP($E248,#REF!,COLUMN(U$7)-4,FALSE)/$M248</f>
        <v>#REF!</v>
      </c>
      <c r="V248" s="560" t="e">
        <f>VLOOKUP($E248,$E$14:$H$22,4,FALSE)*VLOOKUP($E248,$E$14:$AN$22,COLUMN(V$7)-4,FALSE)/$M248+VLOOKUP($E248,#REF!,4,FALSE)*VLOOKUP($E248,#REF!,COLUMN(V$7)-4,FALSE)/$M248</f>
        <v>#REF!</v>
      </c>
      <c r="W248" s="560" t="e">
        <f>VLOOKUP($E248,$E$14:$H$22,4,FALSE)*VLOOKUP($E248,$E$14:$AN$22,COLUMN(W$7)-4,FALSE)/$M248+VLOOKUP($E248,#REF!,4,FALSE)*VLOOKUP($E248,#REF!,COLUMN(W$7)-4,FALSE)/$M248</f>
        <v>#REF!</v>
      </c>
      <c r="X248" s="560" t="e">
        <f>VLOOKUP($E248,$E$14:$H$22,4,FALSE)*VLOOKUP($E248,$E$14:$AN$22,COLUMN(X$7)-4,FALSE)/$M248+VLOOKUP($E248,#REF!,4,FALSE)*VLOOKUP($E248,#REF!,COLUMN(X$7)-4,FALSE)/$M248</f>
        <v>#REF!</v>
      </c>
      <c r="Y248" s="560" t="e">
        <f>VLOOKUP($E248,$E$14:$H$22,4,FALSE)*VLOOKUP($E248,$E$14:$AN$22,COLUMN(Y$7)-4,FALSE)/$M248+VLOOKUP($E248,#REF!,4,FALSE)*VLOOKUP($E248,#REF!,COLUMN(Y$7)-4,FALSE)/$M248</f>
        <v>#REF!</v>
      </c>
      <c r="Z248" s="560" t="e">
        <f>VLOOKUP($E248,$E$14:$H$22,4,FALSE)*VLOOKUP($E248,$E$14:$AN$22,COLUMN(Z$7)-4,FALSE)/$M248+VLOOKUP($E248,#REF!,4,FALSE)*VLOOKUP($E248,#REF!,COLUMN(Z$7)-4,FALSE)/$M248</f>
        <v>#REF!</v>
      </c>
      <c r="AA248" s="560" t="e">
        <f>VLOOKUP($E248,$E$14:$H$22,4,FALSE)*VLOOKUP($E248,$E$14:$AN$22,COLUMN(AA$7)-4,FALSE)/$M248+VLOOKUP($E248,#REF!,4,FALSE)*VLOOKUP($E248,#REF!,COLUMN(AA$7)-4,FALSE)/$M248</f>
        <v>#REF!</v>
      </c>
      <c r="AB248" s="560" t="e">
        <f>VLOOKUP($E248,$E$14:$H$22,4,FALSE)*VLOOKUP($E248,$E$14:$AN$22,COLUMN(AB$7)-4,FALSE)/$M248+VLOOKUP($E248,#REF!,4,FALSE)*VLOOKUP($E248,#REF!,COLUMN(AB$7)-4,FALSE)/$M248</f>
        <v>#REF!</v>
      </c>
      <c r="AC248" s="560" t="e">
        <f>VLOOKUP($E248,$E$14:$H$22,4,FALSE)*VLOOKUP($E248,$E$14:$AN$22,COLUMN(AC$7)-4,FALSE)/$M248+VLOOKUP($E248,#REF!,4,FALSE)*VLOOKUP($E248,#REF!,COLUMN(AC$7)-4,FALSE)/$M248</f>
        <v>#REF!</v>
      </c>
      <c r="AD248" s="560" t="e">
        <f>VLOOKUP($E248,$E$14:$H$22,4,FALSE)*VLOOKUP($E248,$E$14:$AN$22,COLUMN(AD$7)-4,FALSE)/$M248+VLOOKUP($E248,#REF!,4,FALSE)*VLOOKUP($E248,#REF!,COLUMN(AD$7)-4,FALSE)/$M248</f>
        <v>#REF!</v>
      </c>
      <c r="AE248" s="560" t="e">
        <f>VLOOKUP($E248,$E$14:$H$22,4,FALSE)*VLOOKUP($E248,$E$14:$AN$22,COLUMN(AE$7)-4,FALSE)/$M248+VLOOKUP($E248,#REF!,4,FALSE)*VLOOKUP($E248,#REF!,COLUMN(AE$7)-4,FALSE)/$M248</f>
        <v>#REF!</v>
      </c>
      <c r="AF248" s="560" t="e">
        <f>VLOOKUP($E248,$E$14:$H$22,4,FALSE)*VLOOKUP($E248,$E$14:$AN$22,COLUMN(AF$7)-4,FALSE)/$M248+VLOOKUP($E248,#REF!,4,FALSE)*VLOOKUP($E248,#REF!,COLUMN(AF$7)-4,FALSE)/$M248</f>
        <v>#REF!</v>
      </c>
      <c r="AG248" s="560" t="e">
        <f>VLOOKUP($E248,$E$14:$H$22,4,FALSE)*VLOOKUP($E248,$E$14:$AN$22,COLUMN(AG$7)-4,FALSE)/$M248+VLOOKUP($E248,#REF!,4,FALSE)*VLOOKUP($E248,#REF!,COLUMN(AG$7)-4,FALSE)/$M248</f>
        <v>#REF!</v>
      </c>
      <c r="AH248" s="560" t="e">
        <f>VLOOKUP($E248,$E$14:$H$22,4,FALSE)*VLOOKUP($E248,$E$14:$AN$22,COLUMN(AH$7)-4,FALSE)/$M248+VLOOKUP($E248,#REF!,4,FALSE)*VLOOKUP($E248,#REF!,COLUMN(AH$7)-4,FALSE)/$M248</f>
        <v>#REF!</v>
      </c>
      <c r="AI248" s="560" t="e">
        <f>VLOOKUP($E248,$E$14:$H$22,4,FALSE)*VLOOKUP($E248,$E$14:$AN$22,COLUMN(AI$7)-4,FALSE)/$M248+VLOOKUP($E248,#REF!,4,FALSE)*VLOOKUP($E248,#REF!,COLUMN(AI$7)-4,FALSE)/$M248</f>
        <v>#REF!</v>
      </c>
      <c r="AJ248" s="560" t="e">
        <f>VLOOKUP($E248,$E$14:$H$22,4,FALSE)*VLOOKUP($E248,$E$14:$AN$22,COLUMN(AJ$7)-4,FALSE)/$M248+VLOOKUP($E248,#REF!,4,FALSE)*VLOOKUP($E248,#REF!,COLUMN(AJ$7)-4,FALSE)/$M248</f>
        <v>#REF!</v>
      </c>
      <c r="AK248" s="560" t="e">
        <f>VLOOKUP($E248,$E$14:$H$22,4,FALSE)*VLOOKUP($E248,$E$14:$AN$22,COLUMN(AK$7)-4,FALSE)/$M248+VLOOKUP($E248,#REF!,4,FALSE)*VLOOKUP($E248,#REF!,COLUMN(AK$7)-4,FALSE)/$M248</f>
        <v>#REF!</v>
      </c>
      <c r="AL248" s="560" t="e">
        <f>VLOOKUP($E248,$E$14:$H$22,4,FALSE)*VLOOKUP($E248,$E$14:$AN$22,COLUMN(AL$7)-4,FALSE)/$M248+VLOOKUP($E248,#REF!,4,FALSE)*VLOOKUP($E248,#REF!,COLUMN(AL$7)-4,FALSE)/$M248</f>
        <v>#REF!</v>
      </c>
      <c r="AM248" s="560" t="e">
        <f>VLOOKUP($E248,$E$14:$H$22,4,FALSE)*VLOOKUP($E248,$E$14:$AN$22,COLUMN(AM$7)-4,FALSE)/$M248+VLOOKUP($E248,#REF!,4,FALSE)*VLOOKUP($E248,#REF!,COLUMN(AM$7)-4,FALSE)/$M248</f>
        <v>#REF!</v>
      </c>
      <c r="AN248" s="560" t="e">
        <f>VLOOKUP($E248,$E$14:$H$22,4,FALSE)*VLOOKUP($E248,$E$14:$AN$22,COLUMN(AN$7)-4,FALSE)/$M248+VLOOKUP($E248,#REF!,4,FALSE)*VLOOKUP($E248,#REF!,COLUMN(AN$7)-4,FALSE)/$M248</f>
        <v>#REF!</v>
      </c>
    </row>
    <row r="249" spans="5:40">
      <c r="E249" s="919" t="e">
        <f>#REF!</f>
        <v>#REF!</v>
      </c>
      <c r="M249" s="560">
        <f>SUMIF(E:E,E249,H:H)</f>
        <v>0</v>
      </c>
      <c r="Q249" s="560" t="e">
        <f>VLOOKUP($E249,$E$14:$H$22,4,FALSE)*VLOOKUP($E249,$E$14:$AN$22,COLUMN(Q$7)-4,FALSE)/$M249+VLOOKUP($E249,#REF!,4,FALSE)*VLOOKUP($E249,#REF!,COLUMN(Q$7)-4,FALSE)/$M249</f>
        <v>#REF!</v>
      </c>
      <c r="R249" s="560" t="e">
        <f>VLOOKUP($E249,$E$14:$H$22,4,FALSE)*VLOOKUP($E249,$E$14:$AN$22,COLUMN(R$7)-4,FALSE)/$M249+VLOOKUP($E249,#REF!,4,FALSE)*VLOOKUP($E249,#REF!,COLUMN(R$7)-4,FALSE)/$M249</f>
        <v>#REF!</v>
      </c>
      <c r="S249" s="560" t="e">
        <f>VLOOKUP($E249,$E$14:$H$22,4,FALSE)*VLOOKUP($E249,$E$14:$AN$22,COLUMN(S$7)-4,FALSE)/$M249+VLOOKUP($E249,#REF!,4,FALSE)*VLOOKUP($E249,#REF!,COLUMN(S$7)-4,FALSE)/$M249</f>
        <v>#REF!</v>
      </c>
      <c r="T249" s="560" t="e">
        <f>VLOOKUP($E249,$E$14:$H$22,4,FALSE)*VLOOKUP($E249,$E$14:$AN$22,COLUMN(T$7)-4,FALSE)/$M249+VLOOKUP($E249,#REF!,4,FALSE)*VLOOKUP($E249,#REF!,COLUMN(T$7)-4,FALSE)/$M249</f>
        <v>#REF!</v>
      </c>
      <c r="U249" s="560" t="e">
        <f>VLOOKUP($E249,$E$14:$H$22,4,FALSE)*VLOOKUP($E249,$E$14:$AN$22,COLUMN(U$7)-4,FALSE)/$M249+VLOOKUP($E249,#REF!,4,FALSE)*VLOOKUP($E249,#REF!,COLUMN(U$7)-4,FALSE)/$M249</f>
        <v>#REF!</v>
      </c>
      <c r="V249" s="560" t="e">
        <f>VLOOKUP($E249,$E$14:$H$22,4,FALSE)*VLOOKUP($E249,$E$14:$AN$22,COLUMN(V$7)-4,FALSE)/$M249+VLOOKUP($E249,#REF!,4,FALSE)*VLOOKUP($E249,#REF!,COLUMN(V$7)-4,FALSE)/$M249</f>
        <v>#REF!</v>
      </c>
      <c r="W249" s="560" t="e">
        <f>VLOOKUP($E249,$E$14:$H$22,4,FALSE)*VLOOKUP($E249,$E$14:$AN$22,COLUMN(W$7)-4,FALSE)/$M249+VLOOKUP($E249,#REF!,4,FALSE)*VLOOKUP($E249,#REF!,COLUMN(W$7)-4,FALSE)/$M249</f>
        <v>#REF!</v>
      </c>
      <c r="X249" s="560" t="e">
        <f>VLOOKUP($E249,$E$14:$H$22,4,FALSE)*VLOOKUP($E249,$E$14:$AN$22,COLUMN(X$7)-4,FALSE)/$M249+VLOOKUP($E249,#REF!,4,FALSE)*VLOOKUP($E249,#REF!,COLUMN(X$7)-4,FALSE)/$M249</f>
        <v>#REF!</v>
      </c>
      <c r="Y249" s="560" t="e">
        <f>VLOOKUP($E249,$E$14:$H$22,4,FALSE)*VLOOKUP($E249,$E$14:$AN$22,COLUMN(Y$7)-4,FALSE)/$M249+VLOOKUP($E249,#REF!,4,FALSE)*VLOOKUP($E249,#REF!,COLUMN(Y$7)-4,FALSE)/$M249</f>
        <v>#REF!</v>
      </c>
      <c r="Z249" s="560" t="e">
        <f>VLOOKUP($E249,$E$14:$H$22,4,FALSE)*VLOOKUP($E249,$E$14:$AN$22,COLUMN(Z$7)-4,FALSE)/$M249+VLOOKUP($E249,#REF!,4,FALSE)*VLOOKUP($E249,#REF!,COLUMN(Z$7)-4,FALSE)/$M249</f>
        <v>#REF!</v>
      </c>
      <c r="AA249" s="560" t="e">
        <f>VLOOKUP($E249,$E$14:$H$22,4,FALSE)*VLOOKUP($E249,$E$14:$AN$22,COLUMN(AA$7)-4,FALSE)/$M249+VLOOKUP($E249,#REF!,4,FALSE)*VLOOKUP($E249,#REF!,COLUMN(AA$7)-4,FALSE)/$M249</f>
        <v>#REF!</v>
      </c>
      <c r="AB249" s="560" t="e">
        <f>VLOOKUP($E249,$E$14:$H$22,4,FALSE)*VLOOKUP($E249,$E$14:$AN$22,COLUMN(AB$7)-4,FALSE)/$M249+VLOOKUP($E249,#REF!,4,FALSE)*VLOOKUP($E249,#REF!,COLUMN(AB$7)-4,FALSE)/$M249</f>
        <v>#REF!</v>
      </c>
      <c r="AC249" s="560" t="e">
        <f>VLOOKUP($E249,$E$14:$H$22,4,FALSE)*VLOOKUP($E249,$E$14:$AN$22,COLUMN(AC$7)-4,FALSE)/$M249+VLOOKUP($E249,#REF!,4,FALSE)*VLOOKUP($E249,#REF!,COLUMN(AC$7)-4,FALSE)/$M249</f>
        <v>#REF!</v>
      </c>
      <c r="AD249" s="560" t="e">
        <f>VLOOKUP($E249,$E$14:$H$22,4,FALSE)*VLOOKUP($E249,$E$14:$AN$22,COLUMN(AD$7)-4,FALSE)/$M249+VLOOKUP($E249,#REF!,4,FALSE)*VLOOKUP($E249,#REF!,COLUMN(AD$7)-4,FALSE)/$M249</f>
        <v>#REF!</v>
      </c>
      <c r="AE249" s="560" t="e">
        <f>VLOOKUP($E249,$E$14:$H$22,4,FALSE)*VLOOKUP($E249,$E$14:$AN$22,COLUMN(AE$7)-4,FALSE)/$M249+VLOOKUP($E249,#REF!,4,FALSE)*VLOOKUP($E249,#REF!,COLUMN(AE$7)-4,FALSE)/$M249</f>
        <v>#REF!</v>
      </c>
      <c r="AF249" s="560" t="e">
        <f>VLOOKUP($E249,$E$14:$H$22,4,FALSE)*VLOOKUP($E249,$E$14:$AN$22,COLUMN(AF$7)-4,FALSE)/$M249+VLOOKUP($E249,#REF!,4,FALSE)*VLOOKUP($E249,#REF!,COLUMN(AF$7)-4,FALSE)/$M249</f>
        <v>#REF!</v>
      </c>
      <c r="AG249" s="560" t="e">
        <f>VLOOKUP($E249,$E$14:$H$22,4,FALSE)*VLOOKUP($E249,$E$14:$AN$22,COLUMN(AG$7)-4,FALSE)/$M249+VLOOKUP($E249,#REF!,4,FALSE)*VLOOKUP($E249,#REF!,COLUMN(AG$7)-4,FALSE)/$M249</f>
        <v>#REF!</v>
      </c>
      <c r="AH249" s="560" t="e">
        <f>VLOOKUP($E249,$E$14:$H$22,4,FALSE)*VLOOKUP($E249,$E$14:$AN$22,COLUMN(AH$7)-4,FALSE)/$M249+VLOOKUP($E249,#REF!,4,FALSE)*VLOOKUP($E249,#REF!,COLUMN(AH$7)-4,FALSE)/$M249</f>
        <v>#REF!</v>
      </c>
      <c r="AI249" s="560" t="e">
        <f>VLOOKUP($E249,$E$14:$H$22,4,FALSE)*VLOOKUP($E249,$E$14:$AN$22,COLUMN(AI$7)-4,FALSE)/$M249+VLOOKUP($E249,#REF!,4,FALSE)*VLOOKUP($E249,#REF!,COLUMN(AI$7)-4,FALSE)/$M249</f>
        <v>#REF!</v>
      </c>
      <c r="AJ249" s="560" t="e">
        <f>VLOOKUP($E249,$E$14:$H$22,4,FALSE)*VLOOKUP($E249,$E$14:$AN$22,COLUMN(AJ$7)-4,FALSE)/$M249+VLOOKUP($E249,#REF!,4,FALSE)*VLOOKUP($E249,#REF!,COLUMN(AJ$7)-4,FALSE)/$M249</f>
        <v>#REF!</v>
      </c>
      <c r="AK249" s="560" t="e">
        <f>VLOOKUP($E249,$E$14:$H$22,4,FALSE)*VLOOKUP($E249,$E$14:$AN$22,COLUMN(AK$7)-4,FALSE)/$M249+VLOOKUP($E249,#REF!,4,FALSE)*VLOOKUP($E249,#REF!,COLUMN(AK$7)-4,FALSE)/$M249</f>
        <v>#REF!</v>
      </c>
      <c r="AL249" s="560" t="e">
        <f>VLOOKUP($E249,$E$14:$H$22,4,FALSE)*VLOOKUP($E249,$E$14:$AN$22,COLUMN(AL$7)-4,FALSE)/$M249+VLOOKUP($E249,#REF!,4,FALSE)*VLOOKUP($E249,#REF!,COLUMN(AL$7)-4,FALSE)/$M249</f>
        <v>#REF!</v>
      </c>
      <c r="AM249" s="560" t="e">
        <f>VLOOKUP($E249,$E$14:$H$22,4,FALSE)*VLOOKUP($E249,$E$14:$AN$22,COLUMN(AM$7)-4,FALSE)/$M249+VLOOKUP($E249,#REF!,4,FALSE)*VLOOKUP($E249,#REF!,COLUMN(AM$7)-4,FALSE)/$M249</f>
        <v>#REF!</v>
      </c>
      <c r="AN249" s="560" t="e">
        <f>VLOOKUP($E249,$E$14:$H$22,4,FALSE)*VLOOKUP($E249,$E$14:$AN$22,COLUMN(AN$7)-4,FALSE)/$M249+VLOOKUP($E249,#REF!,4,FALSE)*VLOOKUP($E249,#REF!,COLUMN(AN$7)-4,FALSE)/$M249</f>
        <v>#REF!</v>
      </c>
    </row>
    <row r="250" spans="5:40">
      <c r="E250" s="919" t="e">
        <f>#REF!</f>
        <v>#REF!</v>
      </c>
      <c r="M250" s="560">
        <f>SUMIF(E:E,E250,H:H)</f>
        <v>0</v>
      </c>
      <c r="Q250" s="560" t="e">
        <f>VLOOKUP($E250,$E$14:$H$22,4,FALSE)*VLOOKUP($E250,$E$14:$AN$22,COLUMN(Q$7)-4,FALSE)/$M250+VLOOKUP($E250,#REF!,4,FALSE)*VLOOKUP($E250,#REF!,COLUMN(Q$7)-4,FALSE)/$M250</f>
        <v>#REF!</v>
      </c>
      <c r="R250" s="560" t="e">
        <f>VLOOKUP($E250,$E$14:$H$22,4,FALSE)*VLOOKUP($E250,$E$14:$AN$22,COLUMN(R$7)-4,FALSE)/$M250+VLOOKUP($E250,#REF!,4,FALSE)*VLOOKUP($E250,#REF!,COLUMN(R$7)-4,FALSE)/$M250</f>
        <v>#REF!</v>
      </c>
      <c r="S250" s="560" t="e">
        <f>VLOOKUP($E250,$E$14:$H$22,4,FALSE)*VLOOKUP($E250,$E$14:$AN$22,COLUMN(S$7)-4,FALSE)/$M250+VLOOKUP($E250,#REF!,4,FALSE)*VLOOKUP($E250,#REF!,COLUMN(S$7)-4,FALSE)/$M250</f>
        <v>#REF!</v>
      </c>
      <c r="T250" s="560" t="e">
        <f>VLOOKUP($E250,$E$14:$H$22,4,FALSE)*VLOOKUP($E250,$E$14:$AN$22,COLUMN(T$7)-4,FALSE)/$M250+VLOOKUP($E250,#REF!,4,FALSE)*VLOOKUP($E250,#REF!,COLUMN(T$7)-4,FALSE)/$M250</f>
        <v>#REF!</v>
      </c>
      <c r="U250" s="560" t="e">
        <f>VLOOKUP($E250,$E$14:$H$22,4,FALSE)*VLOOKUP($E250,$E$14:$AN$22,COLUMN(U$7)-4,FALSE)/$M250+VLOOKUP($E250,#REF!,4,FALSE)*VLOOKUP($E250,#REF!,COLUMN(U$7)-4,FALSE)/$M250</f>
        <v>#REF!</v>
      </c>
      <c r="V250" s="560" t="e">
        <f>VLOOKUP($E250,$E$14:$H$22,4,FALSE)*VLOOKUP($E250,$E$14:$AN$22,COLUMN(V$7)-4,FALSE)/$M250+VLOOKUP($E250,#REF!,4,FALSE)*VLOOKUP($E250,#REF!,COLUMN(V$7)-4,FALSE)/$M250</f>
        <v>#REF!</v>
      </c>
      <c r="W250" s="560" t="e">
        <f>VLOOKUP($E250,$E$14:$H$22,4,FALSE)*VLOOKUP($E250,$E$14:$AN$22,COLUMN(W$7)-4,FALSE)/$M250+VLOOKUP($E250,#REF!,4,FALSE)*VLOOKUP($E250,#REF!,COLUMN(W$7)-4,FALSE)/$M250</f>
        <v>#REF!</v>
      </c>
      <c r="X250" s="560" t="e">
        <f>VLOOKUP($E250,$E$14:$H$22,4,FALSE)*VLOOKUP($E250,$E$14:$AN$22,COLUMN(X$7)-4,FALSE)/$M250+VLOOKUP($E250,#REF!,4,FALSE)*VLOOKUP($E250,#REF!,COLUMN(X$7)-4,FALSE)/$M250</f>
        <v>#REF!</v>
      </c>
      <c r="Y250" s="560" t="e">
        <f>VLOOKUP($E250,$E$14:$H$22,4,FALSE)*VLOOKUP($E250,$E$14:$AN$22,COLUMN(Y$7)-4,FALSE)/$M250+VLOOKUP($E250,#REF!,4,FALSE)*VLOOKUP($E250,#REF!,COLUMN(Y$7)-4,FALSE)/$M250</f>
        <v>#REF!</v>
      </c>
      <c r="Z250" s="560" t="e">
        <f>VLOOKUP($E250,$E$14:$H$22,4,FALSE)*VLOOKUP($E250,$E$14:$AN$22,COLUMN(Z$7)-4,FALSE)/$M250+VLOOKUP($E250,#REF!,4,FALSE)*VLOOKUP($E250,#REF!,COLUMN(Z$7)-4,FALSE)/$M250</f>
        <v>#REF!</v>
      </c>
      <c r="AA250" s="560" t="e">
        <f>VLOOKUP($E250,$E$14:$H$22,4,FALSE)*VLOOKUP($E250,$E$14:$AN$22,COLUMN(AA$7)-4,FALSE)/$M250+VLOOKUP($E250,#REF!,4,FALSE)*VLOOKUP($E250,#REF!,COLUMN(AA$7)-4,FALSE)/$M250</f>
        <v>#REF!</v>
      </c>
      <c r="AB250" s="560" t="e">
        <f>VLOOKUP($E250,$E$14:$H$22,4,FALSE)*VLOOKUP($E250,$E$14:$AN$22,COLUMN(AB$7)-4,FALSE)/$M250+VLOOKUP($E250,#REF!,4,FALSE)*VLOOKUP($E250,#REF!,COLUMN(AB$7)-4,FALSE)/$M250</f>
        <v>#REF!</v>
      </c>
      <c r="AC250" s="560" t="e">
        <f>VLOOKUP($E250,$E$14:$H$22,4,FALSE)*VLOOKUP($E250,$E$14:$AN$22,COLUMN(AC$7)-4,FALSE)/$M250+VLOOKUP($E250,#REF!,4,FALSE)*VLOOKUP($E250,#REF!,COLUMN(AC$7)-4,FALSE)/$M250</f>
        <v>#REF!</v>
      </c>
      <c r="AD250" s="560" t="e">
        <f>VLOOKUP($E250,$E$14:$H$22,4,FALSE)*VLOOKUP($E250,$E$14:$AN$22,COLUMN(AD$7)-4,FALSE)/$M250+VLOOKUP($E250,#REF!,4,FALSE)*VLOOKUP($E250,#REF!,COLUMN(AD$7)-4,FALSE)/$M250</f>
        <v>#REF!</v>
      </c>
      <c r="AE250" s="560" t="e">
        <f>VLOOKUP($E250,$E$14:$H$22,4,FALSE)*VLOOKUP($E250,$E$14:$AN$22,COLUMN(AE$7)-4,FALSE)/$M250+VLOOKUP($E250,#REF!,4,FALSE)*VLOOKUP($E250,#REF!,COLUMN(AE$7)-4,FALSE)/$M250</f>
        <v>#REF!</v>
      </c>
      <c r="AF250" s="560" t="e">
        <f>VLOOKUP($E250,$E$14:$H$22,4,FALSE)*VLOOKUP($E250,$E$14:$AN$22,COLUMN(AF$7)-4,FALSE)/$M250+VLOOKUP($E250,#REF!,4,FALSE)*VLOOKUP($E250,#REF!,COLUMN(AF$7)-4,FALSE)/$M250</f>
        <v>#REF!</v>
      </c>
      <c r="AG250" s="560" t="e">
        <f>VLOOKUP($E250,$E$14:$H$22,4,FALSE)*VLOOKUP($E250,$E$14:$AN$22,COLUMN(AG$7)-4,FALSE)/$M250+VLOOKUP($E250,#REF!,4,FALSE)*VLOOKUP($E250,#REF!,COLUMN(AG$7)-4,FALSE)/$M250</f>
        <v>#REF!</v>
      </c>
      <c r="AH250" s="560" t="e">
        <f>VLOOKUP($E250,$E$14:$H$22,4,FALSE)*VLOOKUP($E250,$E$14:$AN$22,COLUMN(AH$7)-4,FALSE)/$M250+VLOOKUP($E250,#REF!,4,FALSE)*VLOOKUP($E250,#REF!,COLUMN(AH$7)-4,FALSE)/$M250</f>
        <v>#REF!</v>
      </c>
      <c r="AI250" s="560" t="e">
        <f>VLOOKUP($E250,$E$14:$H$22,4,FALSE)*VLOOKUP($E250,$E$14:$AN$22,COLUMN(AI$7)-4,FALSE)/$M250+VLOOKUP($E250,#REF!,4,FALSE)*VLOOKUP($E250,#REF!,COLUMN(AI$7)-4,FALSE)/$M250</f>
        <v>#REF!</v>
      </c>
      <c r="AJ250" s="560" t="e">
        <f>VLOOKUP($E250,$E$14:$H$22,4,FALSE)*VLOOKUP($E250,$E$14:$AN$22,COLUMN(AJ$7)-4,FALSE)/$M250+VLOOKUP($E250,#REF!,4,FALSE)*VLOOKUP($E250,#REF!,COLUMN(AJ$7)-4,FALSE)/$M250</f>
        <v>#REF!</v>
      </c>
      <c r="AK250" s="560" t="e">
        <f>VLOOKUP($E250,$E$14:$H$22,4,FALSE)*VLOOKUP($E250,$E$14:$AN$22,COLUMN(AK$7)-4,FALSE)/$M250+VLOOKUP($E250,#REF!,4,FALSE)*VLOOKUP($E250,#REF!,COLUMN(AK$7)-4,FALSE)/$M250</f>
        <v>#REF!</v>
      </c>
      <c r="AL250" s="560" t="e">
        <f>VLOOKUP($E250,$E$14:$H$22,4,FALSE)*VLOOKUP($E250,$E$14:$AN$22,COLUMN(AL$7)-4,FALSE)/$M250+VLOOKUP($E250,#REF!,4,FALSE)*VLOOKUP($E250,#REF!,COLUMN(AL$7)-4,FALSE)/$M250</f>
        <v>#REF!</v>
      </c>
      <c r="AM250" s="560" t="e">
        <f>VLOOKUP($E250,$E$14:$H$22,4,FALSE)*VLOOKUP($E250,$E$14:$AN$22,COLUMN(AM$7)-4,FALSE)/$M250+VLOOKUP($E250,#REF!,4,FALSE)*VLOOKUP($E250,#REF!,COLUMN(AM$7)-4,FALSE)/$M250</f>
        <v>#REF!</v>
      </c>
      <c r="AN250" s="560" t="e">
        <f>VLOOKUP($E250,$E$14:$H$22,4,FALSE)*VLOOKUP($E250,$E$14:$AN$22,COLUMN(AN$7)-4,FALSE)/$M250+VLOOKUP($E250,#REF!,4,FALSE)*VLOOKUP($E250,#REF!,COLUMN(AN$7)-4,FALSE)/$M250</f>
        <v>#REF!</v>
      </c>
    </row>
    <row r="251" spans="5:40">
      <c r="E251" s="919" t="e">
        <f>#REF!</f>
        <v>#REF!</v>
      </c>
      <c r="M251" s="560">
        <f>SUMIF(E:E,E251,H:H)</f>
        <v>0</v>
      </c>
      <c r="Q251" s="560" t="e">
        <f>VLOOKUP($E251,$E$14:$H$22,4,FALSE)*VLOOKUP($E251,$E$14:$AN$22,COLUMN(Q$7)-4,FALSE)/$M251+VLOOKUP($E251,#REF!,4,FALSE)*VLOOKUP($E251,#REF!,COLUMN(Q$7)-4,FALSE)/$M251</f>
        <v>#REF!</v>
      </c>
      <c r="R251" s="560" t="e">
        <f>VLOOKUP($E251,$E$14:$H$22,4,FALSE)*VLOOKUP($E251,$E$14:$AN$22,COLUMN(R$7)-4,FALSE)/$M251+VLOOKUP($E251,#REF!,4,FALSE)*VLOOKUP($E251,#REF!,COLUMN(R$7)-4,FALSE)/$M251</f>
        <v>#REF!</v>
      </c>
      <c r="S251" s="560" t="e">
        <f>VLOOKUP($E251,$E$14:$H$22,4,FALSE)*VLOOKUP($E251,$E$14:$AN$22,COLUMN(S$7)-4,FALSE)/$M251+VLOOKUP($E251,#REF!,4,FALSE)*VLOOKUP($E251,#REF!,COLUMN(S$7)-4,FALSE)/$M251</f>
        <v>#REF!</v>
      </c>
      <c r="T251" s="560" t="e">
        <f>VLOOKUP($E251,$E$14:$H$22,4,FALSE)*VLOOKUP($E251,$E$14:$AN$22,COLUMN(T$7)-4,FALSE)/$M251+VLOOKUP($E251,#REF!,4,FALSE)*VLOOKUP($E251,#REF!,COLUMN(T$7)-4,FALSE)/$M251</f>
        <v>#REF!</v>
      </c>
      <c r="U251" s="560" t="e">
        <f>VLOOKUP($E251,$E$14:$H$22,4,FALSE)*VLOOKUP($E251,$E$14:$AN$22,COLUMN(U$7)-4,FALSE)/$M251+VLOOKUP($E251,#REF!,4,FALSE)*VLOOKUP($E251,#REF!,COLUMN(U$7)-4,FALSE)/$M251</f>
        <v>#REF!</v>
      </c>
      <c r="V251" s="560" t="e">
        <f>VLOOKUP($E251,$E$14:$H$22,4,FALSE)*VLOOKUP($E251,$E$14:$AN$22,COLUMN(V$7)-4,FALSE)/$M251+VLOOKUP($E251,#REF!,4,FALSE)*VLOOKUP($E251,#REF!,COLUMN(V$7)-4,FALSE)/$M251</f>
        <v>#REF!</v>
      </c>
      <c r="W251" s="560" t="e">
        <f>VLOOKUP($E251,$E$14:$H$22,4,FALSE)*VLOOKUP($E251,$E$14:$AN$22,COLUMN(W$7)-4,FALSE)/$M251+VLOOKUP($E251,#REF!,4,FALSE)*VLOOKUP($E251,#REF!,COLUMN(W$7)-4,FALSE)/$M251</f>
        <v>#REF!</v>
      </c>
      <c r="X251" s="560" t="e">
        <f>VLOOKUP($E251,$E$14:$H$22,4,FALSE)*VLOOKUP($E251,$E$14:$AN$22,COLUMN(X$7)-4,FALSE)/$M251+VLOOKUP($E251,#REF!,4,FALSE)*VLOOKUP($E251,#REF!,COLUMN(X$7)-4,FALSE)/$M251</f>
        <v>#REF!</v>
      </c>
      <c r="Y251" s="560" t="e">
        <f>VLOOKUP($E251,$E$14:$H$22,4,FALSE)*VLOOKUP($E251,$E$14:$AN$22,COLUMN(Y$7)-4,FALSE)/$M251+VLOOKUP($E251,#REF!,4,FALSE)*VLOOKUP($E251,#REF!,COLUMN(Y$7)-4,FALSE)/$M251</f>
        <v>#REF!</v>
      </c>
      <c r="Z251" s="560" t="e">
        <f>VLOOKUP($E251,$E$14:$H$22,4,FALSE)*VLOOKUP($E251,$E$14:$AN$22,COLUMN(Z$7)-4,FALSE)/$M251+VLOOKUP($E251,#REF!,4,FALSE)*VLOOKUP($E251,#REF!,COLUMN(Z$7)-4,FALSE)/$M251</f>
        <v>#REF!</v>
      </c>
      <c r="AA251" s="560" t="e">
        <f>VLOOKUP($E251,$E$14:$H$22,4,FALSE)*VLOOKUP($E251,$E$14:$AN$22,COLUMN(AA$7)-4,FALSE)/$M251+VLOOKUP($E251,#REF!,4,FALSE)*VLOOKUP($E251,#REF!,COLUMN(AA$7)-4,FALSE)/$M251</f>
        <v>#REF!</v>
      </c>
      <c r="AB251" s="560" t="e">
        <f>VLOOKUP($E251,$E$14:$H$22,4,FALSE)*VLOOKUP($E251,$E$14:$AN$22,COLUMN(AB$7)-4,FALSE)/$M251+VLOOKUP($E251,#REF!,4,FALSE)*VLOOKUP($E251,#REF!,COLUMN(AB$7)-4,FALSE)/$M251</f>
        <v>#REF!</v>
      </c>
      <c r="AC251" s="560" t="e">
        <f>VLOOKUP($E251,$E$14:$H$22,4,FALSE)*VLOOKUP($E251,$E$14:$AN$22,COLUMN(AC$7)-4,FALSE)/$M251+VLOOKUP($E251,#REF!,4,FALSE)*VLOOKUP($E251,#REF!,COLUMN(AC$7)-4,FALSE)/$M251</f>
        <v>#REF!</v>
      </c>
      <c r="AD251" s="560" t="e">
        <f>VLOOKUP($E251,$E$14:$H$22,4,FALSE)*VLOOKUP($E251,$E$14:$AN$22,COLUMN(AD$7)-4,FALSE)/$M251+VLOOKUP($E251,#REF!,4,FALSE)*VLOOKUP($E251,#REF!,COLUMN(AD$7)-4,FALSE)/$M251</f>
        <v>#REF!</v>
      </c>
      <c r="AE251" s="560" t="e">
        <f>VLOOKUP($E251,$E$14:$H$22,4,FALSE)*VLOOKUP($E251,$E$14:$AN$22,COLUMN(AE$7)-4,FALSE)/$M251+VLOOKUP($E251,#REF!,4,FALSE)*VLOOKUP($E251,#REF!,COLUMN(AE$7)-4,FALSE)/$M251</f>
        <v>#REF!</v>
      </c>
      <c r="AF251" s="560" t="e">
        <f>VLOOKUP($E251,$E$14:$H$22,4,FALSE)*VLOOKUP($E251,$E$14:$AN$22,COLUMN(AF$7)-4,FALSE)/$M251+VLOOKUP($E251,#REF!,4,FALSE)*VLOOKUP($E251,#REF!,COLUMN(AF$7)-4,FALSE)/$M251</f>
        <v>#REF!</v>
      </c>
      <c r="AG251" s="560" t="e">
        <f>VLOOKUP($E251,$E$14:$H$22,4,FALSE)*VLOOKUP($E251,$E$14:$AN$22,COLUMN(AG$7)-4,FALSE)/$M251+VLOOKUP($E251,#REF!,4,FALSE)*VLOOKUP($E251,#REF!,COLUMN(AG$7)-4,FALSE)/$M251</f>
        <v>#REF!</v>
      </c>
      <c r="AH251" s="560" t="e">
        <f>VLOOKUP($E251,$E$14:$H$22,4,FALSE)*VLOOKUP($E251,$E$14:$AN$22,COLUMN(AH$7)-4,FALSE)/$M251+VLOOKUP($E251,#REF!,4,FALSE)*VLOOKUP($E251,#REF!,COLUMN(AH$7)-4,FALSE)/$M251</f>
        <v>#REF!</v>
      </c>
      <c r="AI251" s="560" t="e">
        <f>VLOOKUP($E251,$E$14:$H$22,4,FALSE)*VLOOKUP($E251,$E$14:$AN$22,COLUMN(AI$7)-4,FALSE)/$M251+VLOOKUP($E251,#REF!,4,FALSE)*VLOOKUP($E251,#REF!,COLUMN(AI$7)-4,FALSE)/$M251</f>
        <v>#REF!</v>
      </c>
      <c r="AJ251" s="560" t="e">
        <f>VLOOKUP($E251,$E$14:$H$22,4,FALSE)*VLOOKUP($E251,$E$14:$AN$22,COLUMN(AJ$7)-4,FALSE)/$M251+VLOOKUP($E251,#REF!,4,FALSE)*VLOOKUP($E251,#REF!,COLUMN(AJ$7)-4,FALSE)/$M251</f>
        <v>#REF!</v>
      </c>
      <c r="AK251" s="560" t="e">
        <f>VLOOKUP($E251,$E$14:$H$22,4,FALSE)*VLOOKUP($E251,$E$14:$AN$22,COLUMN(AK$7)-4,FALSE)/$M251+VLOOKUP($E251,#REF!,4,FALSE)*VLOOKUP($E251,#REF!,COLUMN(AK$7)-4,FALSE)/$M251</f>
        <v>#REF!</v>
      </c>
      <c r="AL251" s="560" t="e">
        <f>VLOOKUP($E251,$E$14:$H$22,4,FALSE)*VLOOKUP($E251,$E$14:$AN$22,COLUMN(AL$7)-4,FALSE)/$M251+VLOOKUP($E251,#REF!,4,FALSE)*VLOOKUP($E251,#REF!,COLUMN(AL$7)-4,FALSE)/$M251</f>
        <v>#REF!</v>
      </c>
      <c r="AM251" s="560" t="e">
        <f>VLOOKUP($E251,$E$14:$H$22,4,FALSE)*VLOOKUP($E251,$E$14:$AN$22,COLUMN(AM$7)-4,FALSE)/$M251+VLOOKUP($E251,#REF!,4,FALSE)*VLOOKUP($E251,#REF!,COLUMN(AM$7)-4,FALSE)/$M251</f>
        <v>#REF!</v>
      </c>
      <c r="AN251" s="560" t="e">
        <f>VLOOKUP($E251,$E$14:$H$22,4,FALSE)*VLOOKUP($E251,$E$14:$AN$22,COLUMN(AN$7)-4,FALSE)/$M251+VLOOKUP($E251,#REF!,4,FALSE)*VLOOKUP($E251,#REF!,COLUMN(AN$7)-4,FALSE)/$M251</f>
        <v>#REF!</v>
      </c>
    </row>
    <row r="252" spans="5:40">
      <c r="E252" s="919" t="e">
        <f>#REF!</f>
        <v>#REF!</v>
      </c>
      <c r="M252" s="560">
        <f>SUMIF(E:E,E252,H:H)</f>
        <v>0</v>
      </c>
      <c r="Q252" s="560" t="e">
        <f>VLOOKUP($E252,$E$14:$H$22,4,FALSE)*VLOOKUP($E252,$E$14:$AN$22,COLUMN(Q$7)-4,FALSE)/$M252+VLOOKUP($E252,#REF!,4,FALSE)*VLOOKUP($E252,#REF!,COLUMN(Q$7)-4,FALSE)/$M252</f>
        <v>#REF!</v>
      </c>
      <c r="R252" s="560" t="e">
        <f>VLOOKUP($E252,$E$14:$H$22,4,FALSE)*VLOOKUP($E252,$E$14:$AN$22,COLUMN(R$7)-4,FALSE)/$M252+VLOOKUP($E252,#REF!,4,FALSE)*VLOOKUP($E252,#REF!,COLUMN(R$7)-4,FALSE)/$M252</f>
        <v>#REF!</v>
      </c>
      <c r="S252" s="560" t="e">
        <f>VLOOKUP($E252,$E$14:$H$22,4,FALSE)*VLOOKUP($E252,$E$14:$AN$22,COLUMN(S$7)-4,FALSE)/$M252+VLOOKUP($E252,#REF!,4,FALSE)*VLOOKUP($E252,#REF!,COLUMN(S$7)-4,FALSE)/$M252</f>
        <v>#REF!</v>
      </c>
      <c r="T252" s="560" t="e">
        <f>VLOOKUP($E252,$E$14:$H$22,4,FALSE)*VLOOKUP($E252,$E$14:$AN$22,COLUMN(T$7)-4,FALSE)/$M252+VLOOKUP($E252,#REF!,4,FALSE)*VLOOKUP($E252,#REF!,COLUMN(T$7)-4,FALSE)/$M252</f>
        <v>#REF!</v>
      </c>
      <c r="U252" s="560" t="e">
        <f>VLOOKUP($E252,$E$14:$H$22,4,FALSE)*VLOOKUP($E252,$E$14:$AN$22,COLUMN(U$7)-4,FALSE)/$M252+VLOOKUP($E252,#REF!,4,FALSE)*VLOOKUP($E252,#REF!,COLUMN(U$7)-4,FALSE)/$M252</f>
        <v>#REF!</v>
      </c>
      <c r="V252" s="560" t="e">
        <f>VLOOKUP($E252,$E$14:$H$22,4,FALSE)*VLOOKUP($E252,$E$14:$AN$22,COLUMN(V$7)-4,FALSE)/$M252+VLOOKUP($E252,#REF!,4,FALSE)*VLOOKUP($E252,#REF!,COLUMN(V$7)-4,FALSE)/$M252</f>
        <v>#REF!</v>
      </c>
      <c r="W252" s="560" t="e">
        <f>VLOOKUP($E252,$E$14:$H$22,4,FALSE)*VLOOKUP($E252,$E$14:$AN$22,COLUMN(W$7)-4,FALSE)/$M252+VLOOKUP($E252,#REF!,4,FALSE)*VLOOKUP($E252,#REF!,COLUMN(W$7)-4,FALSE)/$M252</f>
        <v>#REF!</v>
      </c>
      <c r="X252" s="560" t="e">
        <f>VLOOKUP($E252,$E$14:$H$22,4,FALSE)*VLOOKUP($E252,$E$14:$AN$22,COLUMN(X$7)-4,FALSE)/$M252+VLOOKUP($E252,#REF!,4,FALSE)*VLOOKUP($E252,#REF!,COLUMN(X$7)-4,FALSE)/$M252</f>
        <v>#REF!</v>
      </c>
      <c r="Y252" s="560" t="e">
        <f>VLOOKUP($E252,$E$14:$H$22,4,FALSE)*VLOOKUP($E252,$E$14:$AN$22,COLUMN(Y$7)-4,FALSE)/$M252+VLOOKUP($E252,#REF!,4,FALSE)*VLOOKUP($E252,#REF!,COLUMN(Y$7)-4,FALSE)/$M252</f>
        <v>#REF!</v>
      </c>
      <c r="Z252" s="560" t="e">
        <f>VLOOKUP($E252,$E$14:$H$22,4,FALSE)*VLOOKUP($E252,$E$14:$AN$22,COLUMN(Z$7)-4,FALSE)/$M252+VLOOKUP($E252,#REF!,4,FALSE)*VLOOKUP($E252,#REF!,COLUMN(Z$7)-4,FALSE)/$M252</f>
        <v>#REF!</v>
      </c>
      <c r="AA252" s="560" t="e">
        <f>VLOOKUP($E252,$E$14:$H$22,4,FALSE)*VLOOKUP($E252,$E$14:$AN$22,COLUMN(AA$7)-4,FALSE)/$M252+VLOOKUP($E252,#REF!,4,FALSE)*VLOOKUP($E252,#REF!,COLUMN(AA$7)-4,FALSE)/$M252</f>
        <v>#REF!</v>
      </c>
      <c r="AB252" s="560" t="e">
        <f>VLOOKUP($E252,$E$14:$H$22,4,FALSE)*VLOOKUP($E252,$E$14:$AN$22,COLUMN(AB$7)-4,FALSE)/$M252+VLOOKUP($E252,#REF!,4,FALSE)*VLOOKUP($E252,#REF!,COLUMN(AB$7)-4,FALSE)/$M252</f>
        <v>#REF!</v>
      </c>
      <c r="AC252" s="560" t="e">
        <f>VLOOKUP($E252,$E$14:$H$22,4,FALSE)*VLOOKUP($E252,$E$14:$AN$22,COLUMN(AC$7)-4,FALSE)/$M252+VLOOKUP($E252,#REF!,4,FALSE)*VLOOKUP($E252,#REF!,COLUMN(AC$7)-4,FALSE)/$M252</f>
        <v>#REF!</v>
      </c>
      <c r="AD252" s="560" t="e">
        <f>VLOOKUP($E252,$E$14:$H$22,4,FALSE)*VLOOKUP($E252,$E$14:$AN$22,COLUMN(AD$7)-4,FALSE)/$M252+VLOOKUP($E252,#REF!,4,FALSE)*VLOOKUP($E252,#REF!,COLUMN(AD$7)-4,FALSE)/$M252</f>
        <v>#REF!</v>
      </c>
      <c r="AE252" s="560" t="e">
        <f>VLOOKUP($E252,$E$14:$H$22,4,FALSE)*VLOOKUP($E252,$E$14:$AN$22,COLUMN(AE$7)-4,FALSE)/$M252+VLOOKUP($E252,#REF!,4,FALSE)*VLOOKUP($E252,#REF!,COLUMN(AE$7)-4,FALSE)/$M252</f>
        <v>#REF!</v>
      </c>
      <c r="AF252" s="560" t="e">
        <f>VLOOKUP($E252,$E$14:$H$22,4,FALSE)*VLOOKUP($E252,$E$14:$AN$22,COLUMN(AF$7)-4,FALSE)/$M252+VLOOKUP($E252,#REF!,4,FALSE)*VLOOKUP($E252,#REF!,COLUMN(AF$7)-4,FALSE)/$M252</f>
        <v>#REF!</v>
      </c>
      <c r="AG252" s="560" t="e">
        <f>VLOOKUP($E252,$E$14:$H$22,4,FALSE)*VLOOKUP($E252,$E$14:$AN$22,COLUMN(AG$7)-4,FALSE)/$M252+VLOOKUP($E252,#REF!,4,FALSE)*VLOOKUP($E252,#REF!,COLUMN(AG$7)-4,FALSE)/$M252</f>
        <v>#REF!</v>
      </c>
      <c r="AH252" s="560" t="e">
        <f>VLOOKUP($E252,$E$14:$H$22,4,FALSE)*VLOOKUP($E252,$E$14:$AN$22,COLUMN(AH$7)-4,FALSE)/$M252+VLOOKUP($E252,#REF!,4,FALSE)*VLOOKUP($E252,#REF!,COLUMN(AH$7)-4,FALSE)/$M252</f>
        <v>#REF!</v>
      </c>
      <c r="AI252" s="560" t="e">
        <f>VLOOKUP($E252,$E$14:$H$22,4,FALSE)*VLOOKUP($E252,$E$14:$AN$22,COLUMN(AI$7)-4,FALSE)/$M252+VLOOKUP($E252,#REF!,4,FALSE)*VLOOKUP($E252,#REF!,COLUMN(AI$7)-4,FALSE)/$M252</f>
        <v>#REF!</v>
      </c>
      <c r="AJ252" s="560" t="e">
        <f>VLOOKUP($E252,$E$14:$H$22,4,FALSE)*VLOOKUP($E252,$E$14:$AN$22,COLUMN(AJ$7)-4,FALSE)/$M252+VLOOKUP($E252,#REF!,4,FALSE)*VLOOKUP($E252,#REF!,COLUMN(AJ$7)-4,FALSE)/$M252</f>
        <v>#REF!</v>
      </c>
      <c r="AK252" s="560" t="e">
        <f>VLOOKUP($E252,$E$14:$H$22,4,FALSE)*VLOOKUP($E252,$E$14:$AN$22,COLUMN(AK$7)-4,FALSE)/$M252+VLOOKUP($E252,#REF!,4,FALSE)*VLOOKUP($E252,#REF!,COLUMN(AK$7)-4,FALSE)/$M252</f>
        <v>#REF!</v>
      </c>
      <c r="AL252" s="560" t="e">
        <f>VLOOKUP($E252,$E$14:$H$22,4,FALSE)*VLOOKUP($E252,$E$14:$AN$22,COLUMN(AL$7)-4,FALSE)/$M252+VLOOKUP($E252,#REF!,4,FALSE)*VLOOKUP($E252,#REF!,COLUMN(AL$7)-4,FALSE)/$M252</f>
        <v>#REF!</v>
      </c>
      <c r="AM252" s="560" t="e">
        <f>VLOOKUP($E252,$E$14:$H$22,4,FALSE)*VLOOKUP($E252,$E$14:$AN$22,COLUMN(AM$7)-4,FALSE)/$M252+VLOOKUP($E252,#REF!,4,FALSE)*VLOOKUP($E252,#REF!,COLUMN(AM$7)-4,FALSE)/$M252</f>
        <v>#REF!</v>
      </c>
      <c r="AN252" s="560" t="e">
        <f>VLOOKUP($E252,$E$14:$H$22,4,FALSE)*VLOOKUP($E252,$E$14:$AN$22,COLUMN(AN$7)-4,FALSE)/$M252+VLOOKUP($E252,#REF!,4,FALSE)*VLOOKUP($E252,#REF!,COLUMN(AN$7)-4,FALSE)/$M252</f>
        <v>#REF!</v>
      </c>
    </row>
    <row r="253" spans="5:40">
      <c r="E253" s="919" t="e">
        <f>#REF!</f>
        <v>#REF!</v>
      </c>
      <c r="M253" s="560">
        <f>SUMIF(E:E,E253,H:H)</f>
        <v>0</v>
      </c>
      <c r="Q253" s="560" t="e">
        <f>VLOOKUP($E253,$E$14:$H$22,4,FALSE)*VLOOKUP($E253,$E$14:$AN$22,COLUMN(Q$7)-4,FALSE)/$M253+VLOOKUP($E253,#REF!,4,FALSE)*VLOOKUP($E253,#REF!,COLUMN(Q$7)-4,FALSE)/$M253</f>
        <v>#REF!</v>
      </c>
      <c r="R253" s="560" t="e">
        <f>VLOOKUP($E253,$E$14:$H$22,4,FALSE)*VLOOKUP($E253,$E$14:$AN$22,COLUMN(R$7)-4,FALSE)/$M253+VLOOKUP($E253,#REF!,4,FALSE)*VLOOKUP($E253,#REF!,COLUMN(R$7)-4,FALSE)/$M253</f>
        <v>#REF!</v>
      </c>
      <c r="S253" s="560" t="e">
        <f>VLOOKUP($E253,$E$14:$H$22,4,FALSE)*VLOOKUP($E253,$E$14:$AN$22,COLUMN(S$7)-4,FALSE)/$M253+VLOOKUP($E253,#REF!,4,FALSE)*VLOOKUP($E253,#REF!,COLUMN(S$7)-4,FALSE)/$M253</f>
        <v>#REF!</v>
      </c>
      <c r="T253" s="560" t="e">
        <f>VLOOKUP($E253,$E$14:$H$22,4,FALSE)*VLOOKUP($E253,$E$14:$AN$22,COLUMN(T$7)-4,FALSE)/$M253+VLOOKUP($E253,#REF!,4,FALSE)*VLOOKUP($E253,#REF!,COLUMN(T$7)-4,FALSE)/$M253</f>
        <v>#REF!</v>
      </c>
      <c r="U253" s="560" t="e">
        <f>VLOOKUP($E253,$E$14:$H$22,4,FALSE)*VLOOKUP($E253,$E$14:$AN$22,COLUMN(U$7)-4,FALSE)/$M253+VLOOKUP($E253,#REF!,4,FALSE)*VLOOKUP($E253,#REF!,COLUMN(U$7)-4,FALSE)/$M253</f>
        <v>#REF!</v>
      </c>
      <c r="V253" s="560" t="e">
        <f>VLOOKUP($E253,$E$14:$H$22,4,FALSE)*VLOOKUP($E253,$E$14:$AN$22,COLUMN(V$7)-4,FALSE)/$M253+VLOOKUP($E253,#REF!,4,FALSE)*VLOOKUP($E253,#REF!,COLUMN(V$7)-4,FALSE)/$M253</f>
        <v>#REF!</v>
      </c>
      <c r="W253" s="560" t="e">
        <f>VLOOKUP($E253,$E$14:$H$22,4,FALSE)*VLOOKUP($E253,$E$14:$AN$22,COLUMN(W$7)-4,FALSE)/$M253+VLOOKUP($E253,#REF!,4,FALSE)*VLOOKUP($E253,#REF!,COLUMN(W$7)-4,FALSE)/$M253</f>
        <v>#REF!</v>
      </c>
      <c r="X253" s="560" t="e">
        <f>VLOOKUP($E253,$E$14:$H$22,4,FALSE)*VLOOKUP($E253,$E$14:$AN$22,COLUMN(X$7)-4,FALSE)/$M253+VLOOKUP($E253,#REF!,4,FALSE)*VLOOKUP($E253,#REF!,COLUMN(X$7)-4,FALSE)/$M253</f>
        <v>#REF!</v>
      </c>
      <c r="Y253" s="560" t="e">
        <f>VLOOKUP($E253,$E$14:$H$22,4,FALSE)*VLOOKUP($E253,$E$14:$AN$22,COLUMN(Y$7)-4,FALSE)/$M253+VLOOKUP($E253,#REF!,4,FALSE)*VLOOKUP($E253,#REF!,COLUMN(Y$7)-4,FALSE)/$M253</f>
        <v>#REF!</v>
      </c>
      <c r="Z253" s="560" t="e">
        <f>VLOOKUP($E253,$E$14:$H$22,4,FALSE)*VLOOKUP($E253,$E$14:$AN$22,COLUMN(Z$7)-4,FALSE)/$M253+VLOOKUP($E253,#REF!,4,FALSE)*VLOOKUP($E253,#REF!,COLUMN(Z$7)-4,FALSE)/$M253</f>
        <v>#REF!</v>
      </c>
      <c r="AA253" s="560" t="e">
        <f>VLOOKUP($E253,$E$14:$H$22,4,FALSE)*VLOOKUP($E253,$E$14:$AN$22,COLUMN(AA$7)-4,FALSE)/$M253+VLOOKUP($E253,#REF!,4,FALSE)*VLOOKUP($E253,#REF!,COLUMN(AA$7)-4,FALSE)/$M253</f>
        <v>#REF!</v>
      </c>
      <c r="AB253" s="560" t="e">
        <f>VLOOKUP($E253,$E$14:$H$22,4,FALSE)*VLOOKUP($E253,$E$14:$AN$22,COLUMN(AB$7)-4,FALSE)/$M253+VLOOKUP($E253,#REF!,4,FALSE)*VLOOKUP($E253,#REF!,COLUMN(AB$7)-4,FALSE)/$M253</f>
        <v>#REF!</v>
      </c>
      <c r="AC253" s="560" t="e">
        <f>VLOOKUP($E253,$E$14:$H$22,4,FALSE)*VLOOKUP($E253,$E$14:$AN$22,COLUMN(AC$7)-4,FALSE)/$M253+VLOOKUP($E253,#REF!,4,FALSE)*VLOOKUP($E253,#REF!,COLUMN(AC$7)-4,FALSE)/$M253</f>
        <v>#REF!</v>
      </c>
      <c r="AD253" s="560" t="e">
        <f>VLOOKUP($E253,$E$14:$H$22,4,FALSE)*VLOOKUP($E253,$E$14:$AN$22,COLUMN(AD$7)-4,FALSE)/$M253+VLOOKUP($E253,#REF!,4,FALSE)*VLOOKUP($E253,#REF!,COLUMN(AD$7)-4,FALSE)/$M253</f>
        <v>#REF!</v>
      </c>
      <c r="AE253" s="560" t="e">
        <f>VLOOKUP($E253,$E$14:$H$22,4,FALSE)*VLOOKUP($E253,$E$14:$AN$22,COLUMN(AE$7)-4,FALSE)/$M253+VLOOKUP($E253,#REF!,4,FALSE)*VLOOKUP($E253,#REF!,COLUMN(AE$7)-4,FALSE)/$M253</f>
        <v>#REF!</v>
      </c>
      <c r="AF253" s="560" t="e">
        <f>VLOOKUP($E253,$E$14:$H$22,4,FALSE)*VLOOKUP($E253,$E$14:$AN$22,COLUMN(AF$7)-4,FALSE)/$M253+VLOOKUP($E253,#REF!,4,FALSE)*VLOOKUP($E253,#REF!,COLUMN(AF$7)-4,FALSE)/$M253</f>
        <v>#REF!</v>
      </c>
      <c r="AG253" s="560" t="e">
        <f>VLOOKUP($E253,$E$14:$H$22,4,FALSE)*VLOOKUP($E253,$E$14:$AN$22,COLUMN(AG$7)-4,FALSE)/$M253+VLOOKUP($E253,#REF!,4,FALSE)*VLOOKUP($E253,#REF!,COLUMN(AG$7)-4,FALSE)/$M253</f>
        <v>#REF!</v>
      </c>
      <c r="AH253" s="560" t="e">
        <f>VLOOKUP($E253,$E$14:$H$22,4,FALSE)*VLOOKUP($E253,$E$14:$AN$22,COLUMN(AH$7)-4,FALSE)/$M253+VLOOKUP($E253,#REF!,4,FALSE)*VLOOKUP($E253,#REF!,COLUMN(AH$7)-4,FALSE)/$M253</f>
        <v>#REF!</v>
      </c>
      <c r="AI253" s="560" t="e">
        <f>VLOOKUP($E253,$E$14:$H$22,4,FALSE)*VLOOKUP($E253,$E$14:$AN$22,COLUMN(AI$7)-4,FALSE)/$M253+VLOOKUP($E253,#REF!,4,FALSE)*VLOOKUP($E253,#REF!,COLUMN(AI$7)-4,FALSE)/$M253</f>
        <v>#REF!</v>
      </c>
      <c r="AJ253" s="560" t="e">
        <f>VLOOKUP($E253,$E$14:$H$22,4,FALSE)*VLOOKUP($E253,$E$14:$AN$22,COLUMN(AJ$7)-4,FALSE)/$M253+VLOOKUP($E253,#REF!,4,FALSE)*VLOOKUP($E253,#REF!,COLUMN(AJ$7)-4,FALSE)/$M253</f>
        <v>#REF!</v>
      </c>
      <c r="AK253" s="560" t="e">
        <f>VLOOKUP($E253,$E$14:$H$22,4,FALSE)*VLOOKUP($E253,$E$14:$AN$22,COLUMN(AK$7)-4,FALSE)/$M253+VLOOKUP($E253,#REF!,4,FALSE)*VLOOKUP($E253,#REF!,COLUMN(AK$7)-4,FALSE)/$M253</f>
        <v>#REF!</v>
      </c>
      <c r="AL253" s="560" t="e">
        <f>VLOOKUP($E253,$E$14:$H$22,4,FALSE)*VLOOKUP($E253,$E$14:$AN$22,COLUMN(AL$7)-4,FALSE)/$M253+VLOOKUP($E253,#REF!,4,FALSE)*VLOOKUP($E253,#REF!,COLUMN(AL$7)-4,FALSE)/$M253</f>
        <v>#REF!</v>
      </c>
      <c r="AM253" s="560" t="e">
        <f>VLOOKUP($E253,$E$14:$H$22,4,FALSE)*VLOOKUP($E253,$E$14:$AN$22,COLUMN(AM$7)-4,FALSE)/$M253+VLOOKUP($E253,#REF!,4,FALSE)*VLOOKUP($E253,#REF!,COLUMN(AM$7)-4,FALSE)/$M253</f>
        <v>#REF!</v>
      </c>
      <c r="AN253" s="560" t="e">
        <f>VLOOKUP($E253,$E$14:$H$22,4,FALSE)*VLOOKUP($E253,$E$14:$AN$22,COLUMN(AN$7)-4,FALSE)/$M253+VLOOKUP($E253,#REF!,4,FALSE)*VLOOKUP($E253,#REF!,COLUMN(AN$7)-4,FALSE)/$M253</f>
        <v>#REF!</v>
      </c>
    </row>
    <row r="254" spans="5:40">
      <c r="E254" s="919" t="e">
        <f>#REF!</f>
        <v>#REF!</v>
      </c>
      <c r="M254" s="560">
        <f>SUMIF(E:E,E254,H:H)</f>
        <v>0</v>
      </c>
      <c r="Q254" s="560" t="e">
        <f>VLOOKUP($E254,$E$14:$H$22,4,FALSE)*VLOOKUP($E254,$E$14:$AN$22,COLUMN(Q$7)-4,FALSE)/$M254+VLOOKUP($E254,#REF!,4,FALSE)*VLOOKUP($E254,#REF!,COLUMN(Q$7)-4,FALSE)/$M254</f>
        <v>#REF!</v>
      </c>
      <c r="R254" s="560" t="e">
        <f>VLOOKUP($E254,$E$14:$H$22,4,FALSE)*VLOOKUP($E254,$E$14:$AN$22,COLUMN(R$7)-4,FALSE)/$M254+VLOOKUP($E254,#REF!,4,FALSE)*VLOOKUP($E254,#REF!,COLUMN(R$7)-4,FALSE)/$M254</f>
        <v>#REF!</v>
      </c>
      <c r="S254" s="560" t="e">
        <f>VLOOKUP($E254,$E$14:$H$22,4,FALSE)*VLOOKUP($E254,$E$14:$AN$22,COLUMN(S$7)-4,FALSE)/$M254+VLOOKUP($E254,#REF!,4,FALSE)*VLOOKUP($E254,#REF!,COLUMN(S$7)-4,FALSE)/$M254</f>
        <v>#REF!</v>
      </c>
      <c r="T254" s="560" t="e">
        <f>VLOOKUP($E254,$E$14:$H$22,4,FALSE)*VLOOKUP($E254,$E$14:$AN$22,COLUMN(T$7)-4,FALSE)/$M254+VLOOKUP($E254,#REF!,4,FALSE)*VLOOKUP($E254,#REF!,COLUMN(T$7)-4,FALSE)/$M254</f>
        <v>#REF!</v>
      </c>
      <c r="U254" s="560" t="e">
        <f>VLOOKUP($E254,$E$14:$H$22,4,FALSE)*VLOOKUP($E254,$E$14:$AN$22,COLUMN(U$7)-4,FALSE)/$M254+VLOOKUP($E254,#REF!,4,FALSE)*VLOOKUP($E254,#REF!,COLUMN(U$7)-4,FALSE)/$M254</f>
        <v>#REF!</v>
      </c>
      <c r="V254" s="560" t="e">
        <f>VLOOKUP($E254,$E$14:$H$22,4,FALSE)*VLOOKUP($E254,$E$14:$AN$22,COLUMN(V$7)-4,FALSE)/$M254+VLOOKUP($E254,#REF!,4,FALSE)*VLOOKUP($E254,#REF!,COLUMN(V$7)-4,FALSE)/$M254</f>
        <v>#REF!</v>
      </c>
      <c r="W254" s="560" t="e">
        <f>VLOOKUP($E254,$E$14:$H$22,4,FALSE)*VLOOKUP($E254,$E$14:$AN$22,COLUMN(W$7)-4,FALSE)/$M254+VLOOKUP($E254,#REF!,4,FALSE)*VLOOKUP($E254,#REF!,COLUMN(W$7)-4,FALSE)/$M254</f>
        <v>#REF!</v>
      </c>
      <c r="X254" s="560" t="e">
        <f>VLOOKUP($E254,$E$14:$H$22,4,FALSE)*VLOOKUP($E254,$E$14:$AN$22,COLUMN(X$7)-4,FALSE)/$M254+VLOOKUP($E254,#REF!,4,FALSE)*VLOOKUP($E254,#REF!,COLUMN(X$7)-4,FALSE)/$M254</f>
        <v>#REF!</v>
      </c>
      <c r="Y254" s="560" t="e">
        <f>VLOOKUP($E254,$E$14:$H$22,4,FALSE)*VLOOKUP($E254,$E$14:$AN$22,COLUMN(Y$7)-4,FALSE)/$M254+VLOOKUP($E254,#REF!,4,FALSE)*VLOOKUP($E254,#REF!,COLUMN(Y$7)-4,FALSE)/$M254</f>
        <v>#REF!</v>
      </c>
      <c r="Z254" s="560" t="e">
        <f>VLOOKUP($E254,$E$14:$H$22,4,FALSE)*VLOOKUP($E254,$E$14:$AN$22,COLUMN(Z$7)-4,FALSE)/$M254+VLOOKUP($E254,#REF!,4,FALSE)*VLOOKUP($E254,#REF!,COLUMN(Z$7)-4,FALSE)/$M254</f>
        <v>#REF!</v>
      </c>
      <c r="AA254" s="560" t="e">
        <f>VLOOKUP($E254,$E$14:$H$22,4,FALSE)*VLOOKUP($E254,$E$14:$AN$22,COLUMN(AA$7)-4,FALSE)/$M254+VLOOKUP($E254,#REF!,4,FALSE)*VLOOKUP($E254,#REF!,COLUMN(AA$7)-4,FALSE)/$M254</f>
        <v>#REF!</v>
      </c>
      <c r="AB254" s="560" t="e">
        <f>VLOOKUP($E254,$E$14:$H$22,4,FALSE)*VLOOKUP($E254,$E$14:$AN$22,COLUMN(AB$7)-4,FALSE)/$M254+VLOOKUP($E254,#REF!,4,FALSE)*VLOOKUP($E254,#REF!,COLUMN(AB$7)-4,FALSE)/$M254</f>
        <v>#REF!</v>
      </c>
      <c r="AC254" s="560" t="e">
        <f>VLOOKUP($E254,$E$14:$H$22,4,FALSE)*VLOOKUP($E254,$E$14:$AN$22,COLUMN(AC$7)-4,FALSE)/$M254+VLOOKUP($E254,#REF!,4,FALSE)*VLOOKUP($E254,#REF!,COLUMN(AC$7)-4,FALSE)/$M254</f>
        <v>#REF!</v>
      </c>
      <c r="AD254" s="560" t="e">
        <f>VLOOKUP($E254,$E$14:$H$22,4,FALSE)*VLOOKUP($E254,$E$14:$AN$22,COLUMN(AD$7)-4,FALSE)/$M254+VLOOKUP($E254,#REF!,4,FALSE)*VLOOKUP($E254,#REF!,COLUMN(AD$7)-4,FALSE)/$M254</f>
        <v>#REF!</v>
      </c>
      <c r="AE254" s="560" t="e">
        <f>VLOOKUP($E254,$E$14:$H$22,4,FALSE)*VLOOKUP($E254,$E$14:$AN$22,COLUMN(AE$7)-4,FALSE)/$M254+VLOOKUP($E254,#REF!,4,FALSE)*VLOOKUP($E254,#REF!,COLUMN(AE$7)-4,FALSE)/$M254</f>
        <v>#REF!</v>
      </c>
      <c r="AF254" s="560" t="e">
        <f>VLOOKUP($E254,$E$14:$H$22,4,FALSE)*VLOOKUP($E254,$E$14:$AN$22,COLUMN(AF$7)-4,FALSE)/$M254+VLOOKUP($E254,#REF!,4,FALSE)*VLOOKUP($E254,#REF!,COLUMN(AF$7)-4,FALSE)/$M254</f>
        <v>#REF!</v>
      </c>
      <c r="AG254" s="560" t="e">
        <f>VLOOKUP($E254,$E$14:$H$22,4,FALSE)*VLOOKUP($E254,$E$14:$AN$22,COLUMN(AG$7)-4,FALSE)/$M254+VLOOKUP($E254,#REF!,4,FALSE)*VLOOKUP($E254,#REF!,COLUMN(AG$7)-4,FALSE)/$M254</f>
        <v>#REF!</v>
      </c>
      <c r="AH254" s="560" t="e">
        <f>VLOOKUP($E254,$E$14:$H$22,4,FALSE)*VLOOKUP($E254,$E$14:$AN$22,COLUMN(AH$7)-4,FALSE)/$M254+VLOOKUP($E254,#REF!,4,FALSE)*VLOOKUP($E254,#REF!,COLUMN(AH$7)-4,FALSE)/$M254</f>
        <v>#REF!</v>
      </c>
      <c r="AI254" s="560" t="e">
        <f>VLOOKUP($E254,$E$14:$H$22,4,FALSE)*VLOOKUP($E254,$E$14:$AN$22,COLUMN(AI$7)-4,FALSE)/$M254+VLOOKUP($E254,#REF!,4,FALSE)*VLOOKUP($E254,#REF!,COLUMN(AI$7)-4,FALSE)/$M254</f>
        <v>#REF!</v>
      </c>
      <c r="AJ254" s="560" t="e">
        <f>VLOOKUP($E254,$E$14:$H$22,4,FALSE)*VLOOKUP($E254,$E$14:$AN$22,COLUMN(AJ$7)-4,FALSE)/$M254+VLOOKUP($E254,#REF!,4,FALSE)*VLOOKUP($E254,#REF!,COLUMN(AJ$7)-4,FALSE)/$M254</f>
        <v>#REF!</v>
      </c>
      <c r="AK254" s="560" t="e">
        <f>VLOOKUP($E254,$E$14:$H$22,4,FALSE)*VLOOKUP($E254,$E$14:$AN$22,COLUMN(AK$7)-4,FALSE)/$M254+VLOOKUP($E254,#REF!,4,FALSE)*VLOOKUP($E254,#REF!,COLUMN(AK$7)-4,FALSE)/$M254</f>
        <v>#REF!</v>
      </c>
      <c r="AL254" s="560" t="e">
        <f>VLOOKUP($E254,$E$14:$H$22,4,FALSE)*VLOOKUP($E254,$E$14:$AN$22,COLUMN(AL$7)-4,FALSE)/$M254+VLOOKUP($E254,#REF!,4,FALSE)*VLOOKUP($E254,#REF!,COLUMN(AL$7)-4,FALSE)/$M254</f>
        <v>#REF!</v>
      </c>
      <c r="AM254" s="560" t="e">
        <f>VLOOKUP($E254,$E$14:$H$22,4,FALSE)*VLOOKUP($E254,$E$14:$AN$22,COLUMN(AM$7)-4,FALSE)/$M254+VLOOKUP($E254,#REF!,4,FALSE)*VLOOKUP($E254,#REF!,COLUMN(AM$7)-4,FALSE)/$M254</f>
        <v>#REF!</v>
      </c>
      <c r="AN254" s="560" t="e">
        <f>VLOOKUP($E254,$E$14:$H$22,4,FALSE)*VLOOKUP($E254,$E$14:$AN$22,COLUMN(AN$7)-4,FALSE)/$M254+VLOOKUP($E254,#REF!,4,FALSE)*VLOOKUP($E254,#REF!,COLUMN(AN$7)-4,FALSE)/$M254</f>
        <v>#REF!</v>
      </c>
    </row>
    <row r="255" spans="5:40">
      <c r="E255" s="919" t="e">
        <f>#REF!</f>
        <v>#REF!</v>
      </c>
      <c r="M255" s="560">
        <f>SUMIF(E:E,E255,H:H)</f>
        <v>0</v>
      </c>
      <c r="Q255" s="560" t="e">
        <f>VLOOKUP($E255,$E$14:$H$22,4,FALSE)*VLOOKUP($E255,$E$14:$AN$22,COLUMN(Q$7)-4,FALSE)/$M255+VLOOKUP($E255,#REF!,4,FALSE)*VLOOKUP($E255,#REF!,COLUMN(Q$7)-4,FALSE)/$M255</f>
        <v>#REF!</v>
      </c>
      <c r="R255" s="560" t="e">
        <f>VLOOKUP($E255,$E$14:$H$22,4,FALSE)*VLOOKUP($E255,$E$14:$AN$22,COLUMN(R$7)-4,FALSE)/$M255+VLOOKUP($E255,#REF!,4,FALSE)*VLOOKUP($E255,#REF!,COLUMN(R$7)-4,FALSE)/$M255</f>
        <v>#REF!</v>
      </c>
      <c r="S255" s="560" t="e">
        <f>VLOOKUP($E255,$E$14:$H$22,4,FALSE)*VLOOKUP($E255,$E$14:$AN$22,COLUMN(S$7)-4,FALSE)/$M255+VLOOKUP($E255,#REF!,4,FALSE)*VLOOKUP($E255,#REF!,COLUMN(S$7)-4,FALSE)/$M255</f>
        <v>#REF!</v>
      </c>
      <c r="T255" s="560" t="e">
        <f>VLOOKUP($E255,$E$14:$H$22,4,FALSE)*VLOOKUP($E255,$E$14:$AN$22,COLUMN(T$7)-4,FALSE)/$M255+VLOOKUP($E255,#REF!,4,FALSE)*VLOOKUP($E255,#REF!,COLUMN(T$7)-4,FALSE)/$M255</f>
        <v>#REF!</v>
      </c>
      <c r="U255" s="560" t="e">
        <f>VLOOKUP($E255,$E$14:$H$22,4,FALSE)*VLOOKUP($E255,$E$14:$AN$22,COLUMN(U$7)-4,FALSE)/$M255+VLOOKUP($E255,#REF!,4,FALSE)*VLOOKUP($E255,#REF!,COLUMN(U$7)-4,FALSE)/$M255</f>
        <v>#REF!</v>
      </c>
      <c r="V255" s="560" t="e">
        <f>VLOOKUP($E255,$E$14:$H$22,4,FALSE)*VLOOKUP($E255,$E$14:$AN$22,COLUMN(V$7)-4,FALSE)/$M255+VLOOKUP($E255,#REF!,4,FALSE)*VLOOKUP($E255,#REF!,COLUMN(V$7)-4,FALSE)/$M255</f>
        <v>#REF!</v>
      </c>
      <c r="W255" s="560" t="e">
        <f>VLOOKUP($E255,$E$14:$H$22,4,FALSE)*VLOOKUP($E255,$E$14:$AN$22,COLUMN(W$7)-4,FALSE)/$M255+VLOOKUP($E255,#REF!,4,FALSE)*VLOOKUP($E255,#REF!,COLUMN(W$7)-4,FALSE)/$M255</f>
        <v>#REF!</v>
      </c>
      <c r="X255" s="560" t="e">
        <f>VLOOKUP($E255,$E$14:$H$22,4,FALSE)*VLOOKUP($E255,$E$14:$AN$22,COLUMN(X$7)-4,FALSE)/$M255+VLOOKUP($E255,#REF!,4,FALSE)*VLOOKUP($E255,#REF!,COLUMN(X$7)-4,FALSE)/$M255</f>
        <v>#REF!</v>
      </c>
      <c r="Y255" s="560" t="e">
        <f>VLOOKUP($E255,$E$14:$H$22,4,FALSE)*VLOOKUP($E255,$E$14:$AN$22,COLUMN(Y$7)-4,FALSE)/$M255+VLOOKUP($E255,#REF!,4,FALSE)*VLOOKUP($E255,#REF!,COLUMN(Y$7)-4,FALSE)/$M255</f>
        <v>#REF!</v>
      </c>
      <c r="Z255" s="560" t="e">
        <f>VLOOKUP($E255,$E$14:$H$22,4,FALSE)*VLOOKUP($E255,$E$14:$AN$22,COLUMN(Z$7)-4,FALSE)/$M255+VLOOKUP($E255,#REF!,4,FALSE)*VLOOKUP($E255,#REF!,COLUMN(Z$7)-4,FALSE)/$M255</f>
        <v>#REF!</v>
      </c>
      <c r="AA255" s="560" t="e">
        <f>VLOOKUP($E255,$E$14:$H$22,4,FALSE)*VLOOKUP($E255,$E$14:$AN$22,COLUMN(AA$7)-4,FALSE)/$M255+VLOOKUP($E255,#REF!,4,FALSE)*VLOOKUP($E255,#REF!,COLUMN(AA$7)-4,FALSE)/$M255</f>
        <v>#REF!</v>
      </c>
      <c r="AB255" s="560" t="e">
        <f>VLOOKUP($E255,$E$14:$H$22,4,FALSE)*VLOOKUP($E255,$E$14:$AN$22,COLUMN(AB$7)-4,FALSE)/$M255+VLOOKUP($E255,#REF!,4,FALSE)*VLOOKUP($E255,#REF!,COLUMN(AB$7)-4,FALSE)/$M255</f>
        <v>#REF!</v>
      </c>
      <c r="AC255" s="560" t="e">
        <f>VLOOKUP($E255,$E$14:$H$22,4,FALSE)*VLOOKUP($E255,$E$14:$AN$22,COLUMN(AC$7)-4,FALSE)/$M255+VLOOKUP($E255,#REF!,4,FALSE)*VLOOKUP($E255,#REF!,COLUMN(AC$7)-4,FALSE)/$M255</f>
        <v>#REF!</v>
      </c>
      <c r="AD255" s="560" t="e">
        <f>VLOOKUP($E255,$E$14:$H$22,4,FALSE)*VLOOKUP($E255,$E$14:$AN$22,COLUMN(AD$7)-4,FALSE)/$M255+VLOOKUP($E255,#REF!,4,FALSE)*VLOOKUP($E255,#REF!,COLUMN(AD$7)-4,FALSE)/$M255</f>
        <v>#REF!</v>
      </c>
      <c r="AE255" s="560" t="e">
        <f>VLOOKUP($E255,$E$14:$H$22,4,FALSE)*VLOOKUP($E255,$E$14:$AN$22,COLUMN(AE$7)-4,FALSE)/$M255+VLOOKUP($E255,#REF!,4,FALSE)*VLOOKUP($E255,#REF!,COLUMN(AE$7)-4,FALSE)/$M255</f>
        <v>#REF!</v>
      </c>
      <c r="AF255" s="560" t="e">
        <f>VLOOKUP($E255,$E$14:$H$22,4,FALSE)*VLOOKUP($E255,$E$14:$AN$22,COLUMN(AF$7)-4,FALSE)/$M255+VLOOKUP($E255,#REF!,4,FALSE)*VLOOKUP($E255,#REF!,COLUMN(AF$7)-4,FALSE)/$M255</f>
        <v>#REF!</v>
      </c>
      <c r="AG255" s="560" t="e">
        <f>VLOOKUP($E255,$E$14:$H$22,4,FALSE)*VLOOKUP($E255,$E$14:$AN$22,COLUMN(AG$7)-4,FALSE)/$M255+VLOOKUP($E255,#REF!,4,FALSE)*VLOOKUP($E255,#REF!,COLUMN(AG$7)-4,FALSE)/$M255</f>
        <v>#REF!</v>
      </c>
      <c r="AH255" s="560" t="e">
        <f>VLOOKUP($E255,$E$14:$H$22,4,FALSE)*VLOOKUP($E255,$E$14:$AN$22,COLUMN(AH$7)-4,FALSE)/$M255+VLOOKUP($E255,#REF!,4,FALSE)*VLOOKUP($E255,#REF!,COLUMN(AH$7)-4,FALSE)/$M255</f>
        <v>#REF!</v>
      </c>
      <c r="AI255" s="560" t="e">
        <f>VLOOKUP($E255,$E$14:$H$22,4,FALSE)*VLOOKUP($E255,$E$14:$AN$22,COLUMN(AI$7)-4,FALSE)/$M255+VLOOKUP($E255,#REF!,4,FALSE)*VLOOKUP($E255,#REF!,COLUMN(AI$7)-4,FALSE)/$M255</f>
        <v>#REF!</v>
      </c>
      <c r="AJ255" s="560" t="e">
        <f>VLOOKUP($E255,$E$14:$H$22,4,FALSE)*VLOOKUP($E255,$E$14:$AN$22,COLUMN(AJ$7)-4,FALSE)/$M255+VLOOKUP($E255,#REF!,4,FALSE)*VLOOKUP($E255,#REF!,COLUMN(AJ$7)-4,FALSE)/$M255</f>
        <v>#REF!</v>
      </c>
      <c r="AK255" s="560" t="e">
        <f>VLOOKUP($E255,$E$14:$H$22,4,FALSE)*VLOOKUP($E255,$E$14:$AN$22,COLUMN(AK$7)-4,FALSE)/$M255+VLOOKUP($E255,#REF!,4,FALSE)*VLOOKUP($E255,#REF!,COLUMN(AK$7)-4,FALSE)/$M255</f>
        <v>#REF!</v>
      </c>
      <c r="AL255" s="560" t="e">
        <f>VLOOKUP($E255,$E$14:$H$22,4,FALSE)*VLOOKUP($E255,$E$14:$AN$22,COLUMN(AL$7)-4,FALSE)/$M255+VLOOKUP($E255,#REF!,4,FALSE)*VLOOKUP($E255,#REF!,COLUMN(AL$7)-4,FALSE)/$M255</f>
        <v>#REF!</v>
      </c>
      <c r="AM255" s="560" t="e">
        <f>VLOOKUP($E255,$E$14:$H$22,4,FALSE)*VLOOKUP($E255,$E$14:$AN$22,COLUMN(AM$7)-4,FALSE)/$M255+VLOOKUP($E255,#REF!,4,FALSE)*VLOOKUP($E255,#REF!,COLUMN(AM$7)-4,FALSE)/$M255</f>
        <v>#REF!</v>
      </c>
      <c r="AN255" s="560" t="e">
        <f>VLOOKUP($E255,$E$14:$H$22,4,FALSE)*VLOOKUP($E255,$E$14:$AN$22,COLUMN(AN$7)-4,FALSE)/$M255+VLOOKUP($E255,#REF!,4,FALSE)*VLOOKUP($E255,#REF!,COLUMN(AN$7)-4,FALSE)/$M255</f>
        <v>#REF!</v>
      </c>
    </row>
    <row r="256" spans="5:40">
      <c r="E256" s="919" t="e">
        <f>#REF!</f>
        <v>#REF!</v>
      </c>
      <c r="M256" s="560">
        <f>SUMIF(E:E,E256,H:H)</f>
        <v>0</v>
      </c>
      <c r="Q256" s="560" t="e">
        <f>VLOOKUP($E256,$E$14:$H$22,4,FALSE)*VLOOKUP($E256,$E$14:$AN$22,COLUMN(Q$7)-4,FALSE)/$M256+VLOOKUP($E256,#REF!,4,FALSE)*VLOOKUP($E256,#REF!,COLUMN(Q$7)-4,FALSE)/$M256</f>
        <v>#REF!</v>
      </c>
      <c r="R256" s="560" t="e">
        <f>VLOOKUP($E256,$E$14:$H$22,4,FALSE)*VLOOKUP($E256,$E$14:$AN$22,COLUMN(R$7)-4,FALSE)/$M256+VLOOKUP($E256,#REF!,4,FALSE)*VLOOKUP($E256,#REF!,COLUMN(R$7)-4,FALSE)/$M256</f>
        <v>#REF!</v>
      </c>
      <c r="S256" s="560" t="e">
        <f>VLOOKUP($E256,$E$14:$H$22,4,FALSE)*VLOOKUP($E256,$E$14:$AN$22,COLUMN(S$7)-4,FALSE)/$M256+VLOOKUP($E256,#REF!,4,FALSE)*VLOOKUP($E256,#REF!,COLUMN(S$7)-4,FALSE)/$M256</f>
        <v>#REF!</v>
      </c>
      <c r="T256" s="560" t="e">
        <f>VLOOKUP($E256,$E$14:$H$22,4,FALSE)*VLOOKUP($E256,$E$14:$AN$22,COLUMN(T$7)-4,FALSE)/$M256+VLOOKUP($E256,#REF!,4,FALSE)*VLOOKUP($E256,#REF!,COLUMN(T$7)-4,FALSE)/$M256</f>
        <v>#REF!</v>
      </c>
      <c r="U256" s="560" t="e">
        <f>VLOOKUP($E256,$E$14:$H$22,4,FALSE)*VLOOKUP($E256,$E$14:$AN$22,COLUMN(U$7)-4,FALSE)/$M256+VLOOKUP($E256,#REF!,4,FALSE)*VLOOKUP($E256,#REF!,COLUMN(U$7)-4,FALSE)/$M256</f>
        <v>#REF!</v>
      </c>
      <c r="V256" s="560" t="e">
        <f>VLOOKUP($E256,$E$14:$H$22,4,FALSE)*VLOOKUP($E256,$E$14:$AN$22,COLUMN(V$7)-4,FALSE)/$M256+VLOOKUP($E256,#REF!,4,FALSE)*VLOOKUP($E256,#REF!,COLUMN(V$7)-4,FALSE)/$M256</f>
        <v>#REF!</v>
      </c>
      <c r="W256" s="560" t="e">
        <f>VLOOKUP($E256,$E$14:$H$22,4,FALSE)*VLOOKUP($E256,$E$14:$AN$22,COLUMN(W$7)-4,FALSE)/$M256+VLOOKUP($E256,#REF!,4,FALSE)*VLOOKUP($E256,#REF!,COLUMN(W$7)-4,FALSE)/$M256</f>
        <v>#REF!</v>
      </c>
      <c r="X256" s="560" t="e">
        <f>VLOOKUP($E256,$E$14:$H$22,4,FALSE)*VLOOKUP($E256,$E$14:$AN$22,COLUMN(X$7)-4,FALSE)/$M256+VLOOKUP($E256,#REF!,4,FALSE)*VLOOKUP($E256,#REF!,COLUMN(X$7)-4,FALSE)/$M256</f>
        <v>#REF!</v>
      </c>
      <c r="Y256" s="560" t="e">
        <f>VLOOKUP($E256,$E$14:$H$22,4,FALSE)*VLOOKUP($E256,$E$14:$AN$22,COLUMN(Y$7)-4,FALSE)/$M256+VLOOKUP($E256,#REF!,4,FALSE)*VLOOKUP($E256,#REF!,COLUMN(Y$7)-4,FALSE)/$M256</f>
        <v>#REF!</v>
      </c>
      <c r="Z256" s="560" t="e">
        <f>VLOOKUP($E256,$E$14:$H$22,4,FALSE)*VLOOKUP($E256,$E$14:$AN$22,COLUMN(Z$7)-4,FALSE)/$M256+VLOOKUP($E256,#REF!,4,FALSE)*VLOOKUP($E256,#REF!,COLUMN(Z$7)-4,FALSE)/$M256</f>
        <v>#REF!</v>
      </c>
      <c r="AA256" s="560" t="e">
        <f>VLOOKUP($E256,$E$14:$H$22,4,FALSE)*VLOOKUP($E256,$E$14:$AN$22,COLUMN(AA$7)-4,FALSE)/$M256+VLOOKUP($E256,#REF!,4,FALSE)*VLOOKUP($E256,#REF!,COLUMN(AA$7)-4,FALSE)/$M256</f>
        <v>#REF!</v>
      </c>
      <c r="AB256" s="560" t="e">
        <f>VLOOKUP($E256,$E$14:$H$22,4,FALSE)*VLOOKUP($E256,$E$14:$AN$22,COLUMN(AB$7)-4,FALSE)/$M256+VLOOKUP($E256,#REF!,4,FALSE)*VLOOKUP($E256,#REF!,COLUMN(AB$7)-4,FALSE)/$M256</f>
        <v>#REF!</v>
      </c>
      <c r="AC256" s="560" t="e">
        <f>VLOOKUP($E256,$E$14:$H$22,4,FALSE)*VLOOKUP($E256,$E$14:$AN$22,COLUMN(AC$7)-4,FALSE)/$M256+VLOOKUP($E256,#REF!,4,FALSE)*VLOOKUP($E256,#REF!,COLUMN(AC$7)-4,FALSE)/$M256</f>
        <v>#REF!</v>
      </c>
      <c r="AD256" s="560" t="e">
        <f>VLOOKUP($E256,$E$14:$H$22,4,FALSE)*VLOOKUP($E256,$E$14:$AN$22,COLUMN(AD$7)-4,FALSE)/$M256+VLOOKUP($E256,#REF!,4,FALSE)*VLOOKUP($E256,#REF!,COLUMN(AD$7)-4,FALSE)/$M256</f>
        <v>#REF!</v>
      </c>
      <c r="AE256" s="560" t="e">
        <f>VLOOKUP($E256,$E$14:$H$22,4,FALSE)*VLOOKUP($E256,$E$14:$AN$22,COLUMN(AE$7)-4,FALSE)/$M256+VLOOKUP($E256,#REF!,4,FALSE)*VLOOKUP($E256,#REF!,COLUMN(AE$7)-4,FALSE)/$M256</f>
        <v>#REF!</v>
      </c>
      <c r="AF256" s="560" t="e">
        <f>VLOOKUP($E256,$E$14:$H$22,4,FALSE)*VLOOKUP($E256,$E$14:$AN$22,COLUMN(AF$7)-4,FALSE)/$M256+VLOOKUP($E256,#REF!,4,FALSE)*VLOOKUP($E256,#REF!,COLUMN(AF$7)-4,FALSE)/$M256</f>
        <v>#REF!</v>
      </c>
      <c r="AG256" s="560" t="e">
        <f>VLOOKUP($E256,$E$14:$H$22,4,FALSE)*VLOOKUP($E256,$E$14:$AN$22,COLUMN(AG$7)-4,FALSE)/$M256+VLOOKUP($E256,#REF!,4,FALSE)*VLOOKUP($E256,#REF!,COLUMN(AG$7)-4,FALSE)/$M256</f>
        <v>#REF!</v>
      </c>
      <c r="AH256" s="560" t="e">
        <f>VLOOKUP($E256,$E$14:$H$22,4,FALSE)*VLOOKUP($E256,$E$14:$AN$22,COLUMN(AH$7)-4,FALSE)/$M256+VLOOKUP($E256,#REF!,4,FALSE)*VLOOKUP($E256,#REF!,COLUMN(AH$7)-4,FALSE)/$M256</f>
        <v>#REF!</v>
      </c>
      <c r="AI256" s="560" t="e">
        <f>VLOOKUP($E256,$E$14:$H$22,4,FALSE)*VLOOKUP($E256,$E$14:$AN$22,COLUMN(AI$7)-4,FALSE)/$M256+VLOOKUP($E256,#REF!,4,FALSE)*VLOOKUP($E256,#REF!,COLUMN(AI$7)-4,FALSE)/$M256</f>
        <v>#REF!</v>
      </c>
      <c r="AJ256" s="560" t="e">
        <f>VLOOKUP($E256,$E$14:$H$22,4,FALSE)*VLOOKUP($E256,$E$14:$AN$22,COLUMN(AJ$7)-4,FALSE)/$M256+VLOOKUP($E256,#REF!,4,FALSE)*VLOOKUP($E256,#REF!,COLUMN(AJ$7)-4,FALSE)/$M256</f>
        <v>#REF!</v>
      </c>
      <c r="AK256" s="560" t="e">
        <f>VLOOKUP($E256,$E$14:$H$22,4,FALSE)*VLOOKUP($E256,$E$14:$AN$22,COLUMN(AK$7)-4,FALSE)/$M256+VLOOKUP($E256,#REF!,4,FALSE)*VLOOKUP($E256,#REF!,COLUMN(AK$7)-4,FALSE)/$M256</f>
        <v>#REF!</v>
      </c>
      <c r="AL256" s="560" t="e">
        <f>VLOOKUP($E256,$E$14:$H$22,4,FALSE)*VLOOKUP($E256,$E$14:$AN$22,COLUMN(AL$7)-4,FALSE)/$M256+VLOOKUP($E256,#REF!,4,FALSE)*VLOOKUP($E256,#REF!,COLUMN(AL$7)-4,FALSE)/$M256</f>
        <v>#REF!</v>
      </c>
      <c r="AM256" s="560" t="e">
        <f>VLOOKUP($E256,$E$14:$H$22,4,FALSE)*VLOOKUP($E256,$E$14:$AN$22,COLUMN(AM$7)-4,FALSE)/$M256+VLOOKUP($E256,#REF!,4,FALSE)*VLOOKUP($E256,#REF!,COLUMN(AM$7)-4,FALSE)/$M256</f>
        <v>#REF!</v>
      </c>
      <c r="AN256" s="560" t="e">
        <f>VLOOKUP($E256,$E$14:$H$22,4,FALSE)*VLOOKUP($E256,$E$14:$AN$22,COLUMN(AN$7)-4,FALSE)/$M256+VLOOKUP($E256,#REF!,4,FALSE)*VLOOKUP($E256,#REF!,COLUMN(AN$7)-4,FALSE)/$M256</f>
        <v>#REF!</v>
      </c>
    </row>
    <row r="257" spans="5:40">
      <c r="E257" s="919" t="e">
        <f>#REF!</f>
        <v>#REF!</v>
      </c>
      <c r="M257" s="560">
        <f>SUMIF(E:E,E257,H:H)</f>
        <v>0</v>
      </c>
      <c r="Q257" s="560" t="e">
        <f>VLOOKUP($E257,$E$14:$H$22,4,FALSE)*VLOOKUP($E257,$E$14:$AN$22,COLUMN(Q$7)-4,FALSE)/$M257+VLOOKUP($E257,#REF!,4,FALSE)*VLOOKUP($E257,#REF!,COLUMN(Q$7)-4,FALSE)/$M257</f>
        <v>#REF!</v>
      </c>
      <c r="R257" s="560" t="e">
        <f>VLOOKUP($E257,$E$14:$H$22,4,FALSE)*VLOOKUP($E257,$E$14:$AN$22,COLUMN(R$7)-4,FALSE)/$M257+VLOOKUP($E257,#REF!,4,FALSE)*VLOOKUP($E257,#REF!,COLUMN(R$7)-4,FALSE)/$M257</f>
        <v>#REF!</v>
      </c>
      <c r="S257" s="560" t="e">
        <f>VLOOKUP($E257,$E$14:$H$22,4,FALSE)*VLOOKUP($E257,$E$14:$AN$22,COLUMN(S$7)-4,FALSE)/$M257+VLOOKUP($E257,#REF!,4,FALSE)*VLOOKUP($E257,#REF!,COLUMN(S$7)-4,FALSE)/$M257</f>
        <v>#REF!</v>
      </c>
      <c r="T257" s="560" t="e">
        <f>VLOOKUP($E257,$E$14:$H$22,4,FALSE)*VLOOKUP($E257,$E$14:$AN$22,COLUMN(T$7)-4,FALSE)/$M257+VLOOKUP($E257,#REF!,4,FALSE)*VLOOKUP($E257,#REF!,COLUMN(T$7)-4,FALSE)/$M257</f>
        <v>#REF!</v>
      </c>
      <c r="U257" s="560" t="e">
        <f>VLOOKUP($E257,$E$14:$H$22,4,FALSE)*VLOOKUP($E257,$E$14:$AN$22,COLUMN(U$7)-4,FALSE)/$M257+VLOOKUP($E257,#REF!,4,FALSE)*VLOOKUP($E257,#REF!,COLUMN(U$7)-4,FALSE)/$M257</f>
        <v>#REF!</v>
      </c>
      <c r="V257" s="560" t="e">
        <f>VLOOKUP($E257,$E$14:$H$22,4,FALSE)*VLOOKUP($E257,$E$14:$AN$22,COLUMN(V$7)-4,FALSE)/$M257+VLOOKUP($E257,#REF!,4,FALSE)*VLOOKUP($E257,#REF!,COLUMN(V$7)-4,FALSE)/$M257</f>
        <v>#REF!</v>
      </c>
      <c r="W257" s="560" t="e">
        <f>VLOOKUP($E257,$E$14:$H$22,4,FALSE)*VLOOKUP($E257,$E$14:$AN$22,COLUMN(W$7)-4,FALSE)/$M257+VLOOKUP($E257,#REF!,4,FALSE)*VLOOKUP($E257,#REF!,COLUMN(W$7)-4,FALSE)/$M257</f>
        <v>#REF!</v>
      </c>
      <c r="X257" s="560" t="e">
        <f>VLOOKUP($E257,$E$14:$H$22,4,FALSE)*VLOOKUP($E257,$E$14:$AN$22,COLUMN(X$7)-4,FALSE)/$M257+VLOOKUP($E257,#REF!,4,FALSE)*VLOOKUP($E257,#REF!,COLUMN(X$7)-4,FALSE)/$M257</f>
        <v>#REF!</v>
      </c>
      <c r="Y257" s="560" t="e">
        <f>VLOOKUP($E257,$E$14:$H$22,4,FALSE)*VLOOKUP($E257,$E$14:$AN$22,COLUMN(Y$7)-4,FALSE)/$M257+VLOOKUP($E257,#REF!,4,FALSE)*VLOOKUP($E257,#REF!,COLUMN(Y$7)-4,FALSE)/$M257</f>
        <v>#REF!</v>
      </c>
      <c r="Z257" s="560" t="e">
        <f>VLOOKUP($E257,$E$14:$H$22,4,FALSE)*VLOOKUP($E257,$E$14:$AN$22,COLUMN(Z$7)-4,FALSE)/$M257+VLOOKUP($E257,#REF!,4,FALSE)*VLOOKUP($E257,#REF!,COLUMN(Z$7)-4,FALSE)/$M257</f>
        <v>#REF!</v>
      </c>
      <c r="AA257" s="560" t="e">
        <f>VLOOKUP($E257,$E$14:$H$22,4,FALSE)*VLOOKUP($E257,$E$14:$AN$22,COLUMN(AA$7)-4,FALSE)/$M257+VLOOKUP($E257,#REF!,4,FALSE)*VLOOKUP($E257,#REF!,COLUMN(AA$7)-4,FALSE)/$M257</f>
        <v>#REF!</v>
      </c>
      <c r="AB257" s="560" t="e">
        <f>VLOOKUP($E257,$E$14:$H$22,4,FALSE)*VLOOKUP($E257,$E$14:$AN$22,COLUMN(AB$7)-4,FALSE)/$M257+VLOOKUP($E257,#REF!,4,FALSE)*VLOOKUP($E257,#REF!,COLUMN(AB$7)-4,FALSE)/$M257</f>
        <v>#REF!</v>
      </c>
      <c r="AC257" s="560" t="e">
        <f>VLOOKUP($E257,$E$14:$H$22,4,FALSE)*VLOOKUP($E257,$E$14:$AN$22,COLUMN(AC$7)-4,FALSE)/$M257+VLOOKUP($E257,#REF!,4,FALSE)*VLOOKUP($E257,#REF!,COLUMN(AC$7)-4,FALSE)/$M257</f>
        <v>#REF!</v>
      </c>
      <c r="AD257" s="560" t="e">
        <f>VLOOKUP($E257,$E$14:$H$22,4,FALSE)*VLOOKUP($E257,$E$14:$AN$22,COLUMN(AD$7)-4,FALSE)/$M257+VLOOKUP($E257,#REF!,4,FALSE)*VLOOKUP($E257,#REF!,COLUMN(AD$7)-4,FALSE)/$M257</f>
        <v>#REF!</v>
      </c>
      <c r="AE257" s="560" t="e">
        <f>VLOOKUP($E257,$E$14:$H$22,4,FALSE)*VLOOKUP($E257,$E$14:$AN$22,COLUMN(AE$7)-4,FALSE)/$M257+VLOOKUP($E257,#REF!,4,FALSE)*VLOOKUP($E257,#REF!,COLUMN(AE$7)-4,FALSE)/$M257</f>
        <v>#REF!</v>
      </c>
      <c r="AF257" s="560" t="e">
        <f>VLOOKUP($E257,$E$14:$H$22,4,FALSE)*VLOOKUP($E257,$E$14:$AN$22,COLUMN(AF$7)-4,FALSE)/$M257+VLOOKUP($E257,#REF!,4,FALSE)*VLOOKUP($E257,#REF!,COLUMN(AF$7)-4,FALSE)/$M257</f>
        <v>#REF!</v>
      </c>
      <c r="AG257" s="560" t="e">
        <f>VLOOKUP($E257,$E$14:$H$22,4,FALSE)*VLOOKUP($E257,$E$14:$AN$22,COLUMN(AG$7)-4,FALSE)/$M257+VLOOKUP($E257,#REF!,4,FALSE)*VLOOKUP($E257,#REF!,COLUMN(AG$7)-4,FALSE)/$M257</f>
        <v>#REF!</v>
      </c>
      <c r="AH257" s="560" t="e">
        <f>VLOOKUP($E257,$E$14:$H$22,4,FALSE)*VLOOKUP($E257,$E$14:$AN$22,COLUMN(AH$7)-4,FALSE)/$M257+VLOOKUP($E257,#REF!,4,FALSE)*VLOOKUP($E257,#REF!,COLUMN(AH$7)-4,FALSE)/$M257</f>
        <v>#REF!</v>
      </c>
      <c r="AI257" s="560" t="e">
        <f>VLOOKUP($E257,$E$14:$H$22,4,FALSE)*VLOOKUP($E257,$E$14:$AN$22,COLUMN(AI$7)-4,FALSE)/$M257+VLOOKUP($E257,#REF!,4,FALSE)*VLOOKUP($E257,#REF!,COLUMN(AI$7)-4,FALSE)/$M257</f>
        <v>#REF!</v>
      </c>
      <c r="AJ257" s="560" t="e">
        <f>VLOOKUP($E257,$E$14:$H$22,4,FALSE)*VLOOKUP($E257,$E$14:$AN$22,COLUMN(AJ$7)-4,FALSE)/$M257+VLOOKUP($E257,#REF!,4,FALSE)*VLOOKUP($E257,#REF!,COLUMN(AJ$7)-4,FALSE)/$M257</f>
        <v>#REF!</v>
      </c>
      <c r="AK257" s="560" t="e">
        <f>VLOOKUP($E257,$E$14:$H$22,4,FALSE)*VLOOKUP($E257,$E$14:$AN$22,COLUMN(AK$7)-4,FALSE)/$M257+VLOOKUP($E257,#REF!,4,FALSE)*VLOOKUP($E257,#REF!,COLUMN(AK$7)-4,FALSE)/$M257</f>
        <v>#REF!</v>
      </c>
      <c r="AL257" s="560" t="e">
        <f>VLOOKUP($E257,$E$14:$H$22,4,FALSE)*VLOOKUP($E257,$E$14:$AN$22,COLUMN(AL$7)-4,FALSE)/$M257+VLOOKUP($E257,#REF!,4,FALSE)*VLOOKUP($E257,#REF!,COLUMN(AL$7)-4,FALSE)/$M257</f>
        <v>#REF!</v>
      </c>
      <c r="AM257" s="560" t="e">
        <f>VLOOKUP($E257,$E$14:$H$22,4,FALSE)*VLOOKUP($E257,$E$14:$AN$22,COLUMN(AM$7)-4,FALSE)/$M257+VLOOKUP($E257,#REF!,4,FALSE)*VLOOKUP($E257,#REF!,COLUMN(AM$7)-4,FALSE)/$M257</f>
        <v>#REF!</v>
      </c>
      <c r="AN257" s="560" t="e">
        <f>VLOOKUP($E257,$E$14:$H$22,4,FALSE)*VLOOKUP($E257,$E$14:$AN$22,COLUMN(AN$7)-4,FALSE)/$M257+VLOOKUP($E257,#REF!,4,FALSE)*VLOOKUP($E257,#REF!,COLUMN(AN$7)-4,FALSE)/$M257</f>
        <v>#REF!</v>
      </c>
    </row>
    <row r="258" spans="5:40">
      <c r="E258" s="919" t="e">
        <f>#REF!</f>
        <v>#REF!</v>
      </c>
      <c r="M258" s="560">
        <f>SUMIF(E:E,E258,H:H)</f>
        <v>0</v>
      </c>
      <c r="Q258" s="560" t="e">
        <f>VLOOKUP($E258,$E$14:$H$22,4,FALSE)*VLOOKUP($E258,$E$14:$AN$22,COLUMN(Q$7)-4,FALSE)/$M258+VLOOKUP($E258,#REF!,4,FALSE)*VLOOKUP($E258,#REF!,COLUMN(Q$7)-4,FALSE)/$M258</f>
        <v>#REF!</v>
      </c>
      <c r="R258" s="560" t="e">
        <f>VLOOKUP($E258,$E$14:$H$22,4,FALSE)*VLOOKUP($E258,$E$14:$AN$22,COLUMN(R$7)-4,FALSE)/$M258+VLOOKUP($E258,#REF!,4,FALSE)*VLOOKUP($E258,#REF!,COLUMN(R$7)-4,FALSE)/$M258</f>
        <v>#REF!</v>
      </c>
      <c r="S258" s="560" t="e">
        <f>VLOOKUP($E258,$E$14:$H$22,4,FALSE)*VLOOKUP($E258,$E$14:$AN$22,COLUMN(S$7)-4,FALSE)/$M258+VLOOKUP($E258,#REF!,4,FALSE)*VLOOKUP($E258,#REF!,COLUMN(S$7)-4,FALSE)/$M258</f>
        <v>#REF!</v>
      </c>
      <c r="T258" s="560" t="e">
        <f>VLOOKUP($E258,$E$14:$H$22,4,FALSE)*VLOOKUP($E258,$E$14:$AN$22,COLUMN(T$7)-4,FALSE)/$M258+VLOOKUP($E258,#REF!,4,FALSE)*VLOOKUP($E258,#REF!,COLUMN(T$7)-4,FALSE)/$M258</f>
        <v>#REF!</v>
      </c>
      <c r="U258" s="560" t="e">
        <f>VLOOKUP($E258,$E$14:$H$22,4,FALSE)*VLOOKUP($E258,$E$14:$AN$22,COLUMN(U$7)-4,FALSE)/$M258+VLOOKUP($E258,#REF!,4,FALSE)*VLOOKUP($E258,#REF!,COLUMN(U$7)-4,FALSE)/$M258</f>
        <v>#REF!</v>
      </c>
      <c r="V258" s="560" t="e">
        <f>VLOOKUP($E258,$E$14:$H$22,4,FALSE)*VLOOKUP($E258,$E$14:$AN$22,COLUMN(V$7)-4,FALSE)/$M258+VLOOKUP($E258,#REF!,4,FALSE)*VLOOKUP($E258,#REF!,COLUMN(V$7)-4,FALSE)/$M258</f>
        <v>#REF!</v>
      </c>
      <c r="W258" s="560" t="e">
        <f>VLOOKUP($E258,$E$14:$H$22,4,FALSE)*VLOOKUP($E258,$E$14:$AN$22,COLUMN(W$7)-4,FALSE)/$M258+VLOOKUP($E258,#REF!,4,FALSE)*VLOOKUP($E258,#REF!,COLUMN(W$7)-4,FALSE)/$M258</f>
        <v>#REF!</v>
      </c>
      <c r="X258" s="560" t="e">
        <f>VLOOKUP($E258,$E$14:$H$22,4,FALSE)*VLOOKUP($E258,$E$14:$AN$22,COLUMN(X$7)-4,FALSE)/$M258+VLOOKUP($E258,#REF!,4,FALSE)*VLOOKUP($E258,#REF!,COLUMN(X$7)-4,FALSE)/$M258</f>
        <v>#REF!</v>
      </c>
      <c r="Y258" s="560" t="e">
        <f>VLOOKUP($E258,$E$14:$H$22,4,FALSE)*VLOOKUP($E258,$E$14:$AN$22,COLUMN(Y$7)-4,FALSE)/$M258+VLOOKUP($E258,#REF!,4,FALSE)*VLOOKUP($E258,#REF!,COLUMN(Y$7)-4,FALSE)/$M258</f>
        <v>#REF!</v>
      </c>
      <c r="Z258" s="560" t="e">
        <f>VLOOKUP($E258,$E$14:$H$22,4,FALSE)*VLOOKUP($E258,$E$14:$AN$22,COLUMN(Z$7)-4,FALSE)/$M258+VLOOKUP($E258,#REF!,4,FALSE)*VLOOKUP($E258,#REF!,COLUMN(Z$7)-4,FALSE)/$M258</f>
        <v>#REF!</v>
      </c>
      <c r="AA258" s="560" t="e">
        <f>VLOOKUP($E258,$E$14:$H$22,4,FALSE)*VLOOKUP($E258,$E$14:$AN$22,COLUMN(AA$7)-4,FALSE)/$M258+VLOOKUP($E258,#REF!,4,FALSE)*VLOOKUP($E258,#REF!,COLUMN(AA$7)-4,FALSE)/$M258</f>
        <v>#REF!</v>
      </c>
      <c r="AB258" s="560" t="e">
        <f>VLOOKUP($E258,$E$14:$H$22,4,FALSE)*VLOOKUP($E258,$E$14:$AN$22,COLUMN(AB$7)-4,FALSE)/$M258+VLOOKUP($E258,#REF!,4,FALSE)*VLOOKUP($E258,#REF!,COLUMN(AB$7)-4,FALSE)/$M258</f>
        <v>#REF!</v>
      </c>
      <c r="AC258" s="560" t="e">
        <f>VLOOKUP($E258,$E$14:$H$22,4,FALSE)*VLOOKUP($E258,$E$14:$AN$22,COLUMN(AC$7)-4,FALSE)/$M258+VLOOKUP($E258,#REF!,4,FALSE)*VLOOKUP($E258,#REF!,COLUMN(AC$7)-4,FALSE)/$M258</f>
        <v>#REF!</v>
      </c>
      <c r="AD258" s="560" t="e">
        <f>VLOOKUP($E258,$E$14:$H$22,4,FALSE)*VLOOKUP($E258,$E$14:$AN$22,COLUMN(AD$7)-4,FALSE)/$M258+VLOOKUP($E258,#REF!,4,FALSE)*VLOOKUP($E258,#REF!,COLUMN(AD$7)-4,FALSE)/$M258</f>
        <v>#REF!</v>
      </c>
      <c r="AE258" s="560" t="e">
        <f>VLOOKUP($E258,$E$14:$H$22,4,FALSE)*VLOOKUP($E258,$E$14:$AN$22,COLUMN(AE$7)-4,FALSE)/$M258+VLOOKUP($E258,#REF!,4,FALSE)*VLOOKUP($E258,#REF!,COLUMN(AE$7)-4,FALSE)/$M258</f>
        <v>#REF!</v>
      </c>
      <c r="AF258" s="560" t="e">
        <f>VLOOKUP($E258,$E$14:$H$22,4,FALSE)*VLOOKUP($E258,$E$14:$AN$22,COLUMN(AF$7)-4,FALSE)/$M258+VLOOKUP($E258,#REF!,4,FALSE)*VLOOKUP($E258,#REF!,COLUMN(AF$7)-4,FALSE)/$M258</f>
        <v>#REF!</v>
      </c>
      <c r="AG258" s="560" t="e">
        <f>VLOOKUP($E258,$E$14:$H$22,4,FALSE)*VLOOKUP($E258,$E$14:$AN$22,COLUMN(AG$7)-4,FALSE)/$M258+VLOOKUP($E258,#REF!,4,FALSE)*VLOOKUP($E258,#REF!,COLUMN(AG$7)-4,FALSE)/$M258</f>
        <v>#REF!</v>
      </c>
      <c r="AH258" s="560" t="e">
        <f>VLOOKUP($E258,$E$14:$H$22,4,FALSE)*VLOOKUP($E258,$E$14:$AN$22,COLUMN(AH$7)-4,FALSE)/$M258+VLOOKUP($E258,#REF!,4,FALSE)*VLOOKUP($E258,#REF!,COLUMN(AH$7)-4,FALSE)/$M258</f>
        <v>#REF!</v>
      </c>
      <c r="AI258" s="560" t="e">
        <f>VLOOKUP($E258,$E$14:$H$22,4,FALSE)*VLOOKUP($E258,$E$14:$AN$22,COLUMN(AI$7)-4,FALSE)/$M258+VLOOKUP($E258,#REF!,4,FALSE)*VLOOKUP($E258,#REF!,COLUMN(AI$7)-4,FALSE)/$M258</f>
        <v>#REF!</v>
      </c>
      <c r="AJ258" s="560" t="e">
        <f>VLOOKUP($E258,$E$14:$H$22,4,FALSE)*VLOOKUP($E258,$E$14:$AN$22,COLUMN(AJ$7)-4,FALSE)/$M258+VLOOKUP($E258,#REF!,4,FALSE)*VLOOKUP($E258,#REF!,COLUMN(AJ$7)-4,FALSE)/$M258</f>
        <v>#REF!</v>
      </c>
      <c r="AK258" s="560" t="e">
        <f>VLOOKUP($E258,$E$14:$H$22,4,FALSE)*VLOOKUP($E258,$E$14:$AN$22,COLUMN(AK$7)-4,FALSE)/$M258+VLOOKUP($E258,#REF!,4,FALSE)*VLOOKUP($E258,#REF!,COLUMN(AK$7)-4,FALSE)/$M258</f>
        <v>#REF!</v>
      </c>
      <c r="AL258" s="560" t="e">
        <f>VLOOKUP($E258,$E$14:$H$22,4,FALSE)*VLOOKUP($E258,$E$14:$AN$22,COLUMN(AL$7)-4,FALSE)/$M258+VLOOKUP($E258,#REF!,4,FALSE)*VLOOKUP($E258,#REF!,COLUMN(AL$7)-4,FALSE)/$M258</f>
        <v>#REF!</v>
      </c>
      <c r="AM258" s="560" t="e">
        <f>VLOOKUP($E258,$E$14:$H$22,4,FALSE)*VLOOKUP($E258,$E$14:$AN$22,COLUMN(AM$7)-4,FALSE)/$M258+VLOOKUP($E258,#REF!,4,FALSE)*VLOOKUP($E258,#REF!,COLUMN(AM$7)-4,FALSE)/$M258</f>
        <v>#REF!</v>
      </c>
      <c r="AN258" s="560" t="e">
        <f>VLOOKUP($E258,$E$14:$H$22,4,FALSE)*VLOOKUP($E258,$E$14:$AN$22,COLUMN(AN$7)-4,FALSE)/$M258+VLOOKUP($E258,#REF!,4,FALSE)*VLOOKUP($E258,#REF!,COLUMN(AN$7)-4,FALSE)/$M258</f>
        <v>#REF!</v>
      </c>
    </row>
    <row r="259" spans="5:40">
      <c r="E259" s="919" t="e">
        <f>#REF!</f>
        <v>#REF!</v>
      </c>
      <c r="M259" s="560">
        <f>SUMIF(E:E,E259,H:H)</f>
        <v>0</v>
      </c>
      <c r="Q259" s="560" t="e">
        <f>VLOOKUP($E259,$E$14:$H$22,4,FALSE)*VLOOKUP($E259,$E$14:$AN$22,COLUMN(Q$7)-4,FALSE)/$M259+VLOOKUP($E259,#REF!,4,FALSE)*VLOOKUP($E259,#REF!,COLUMN(Q$7)-4,FALSE)/$M259</f>
        <v>#REF!</v>
      </c>
      <c r="R259" s="560" t="e">
        <f>VLOOKUP($E259,$E$14:$H$22,4,FALSE)*VLOOKUP($E259,$E$14:$AN$22,COLUMN(R$7)-4,FALSE)/$M259+VLOOKUP($E259,#REF!,4,FALSE)*VLOOKUP($E259,#REF!,COLUMN(R$7)-4,FALSE)/$M259</f>
        <v>#REF!</v>
      </c>
      <c r="S259" s="560" t="e">
        <f>VLOOKUP($E259,$E$14:$H$22,4,FALSE)*VLOOKUP($E259,$E$14:$AN$22,COLUMN(S$7)-4,FALSE)/$M259+VLOOKUP($E259,#REF!,4,FALSE)*VLOOKUP($E259,#REF!,COLUMN(S$7)-4,FALSE)/$M259</f>
        <v>#REF!</v>
      </c>
      <c r="T259" s="560" t="e">
        <f>VLOOKUP($E259,$E$14:$H$22,4,FALSE)*VLOOKUP($E259,$E$14:$AN$22,COLUMN(T$7)-4,FALSE)/$M259+VLOOKUP($E259,#REF!,4,FALSE)*VLOOKUP($E259,#REF!,COLUMN(T$7)-4,FALSE)/$M259</f>
        <v>#REF!</v>
      </c>
      <c r="U259" s="560" t="e">
        <f>VLOOKUP($E259,$E$14:$H$22,4,FALSE)*VLOOKUP($E259,$E$14:$AN$22,COLUMN(U$7)-4,FALSE)/$M259+VLOOKUP($E259,#REF!,4,FALSE)*VLOOKUP($E259,#REF!,COLUMN(U$7)-4,FALSE)/$M259</f>
        <v>#REF!</v>
      </c>
      <c r="V259" s="560" t="e">
        <f>VLOOKUP($E259,$E$14:$H$22,4,FALSE)*VLOOKUP($E259,$E$14:$AN$22,COLUMN(V$7)-4,FALSE)/$M259+VLOOKUP($E259,#REF!,4,FALSE)*VLOOKUP($E259,#REF!,COLUMN(V$7)-4,FALSE)/$M259</f>
        <v>#REF!</v>
      </c>
      <c r="W259" s="560" t="e">
        <f>VLOOKUP($E259,$E$14:$H$22,4,FALSE)*VLOOKUP($E259,$E$14:$AN$22,COLUMN(W$7)-4,FALSE)/$M259+VLOOKUP($E259,#REF!,4,FALSE)*VLOOKUP($E259,#REF!,COLUMN(W$7)-4,FALSE)/$M259</f>
        <v>#REF!</v>
      </c>
      <c r="X259" s="560" t="e">
        <f>VLOOKUP($E259,$E$14:$H$22,4,FALSE)*VLOOKUP($E259,$E$14:$AN$22,COLUMN(X$7)-4,FALSE)/$M259+VLOOKUP($E259,#REF!,4,FALSE)*VLOOKUP($E259,#REF!,COLUMN(X$7)-4,FALSE)/$M259</f>
        <v>#REF!</v>
      </c>
      <c r="Y259" s="560" t="e">
        <f>VLOOKUP($E259,$E$14:$H$22,4,FALSE)*VLOOKUP($E259,$E$14:$AN$22,COLUMN(Y$7)-4,FALSE)/$M259+VLOOKUP($E259,#REF!,4,FALSE)*VLOOKUP($E259,#REF!,COLUMN(Y$7)-4,FALSE)/$M259</f>
        <v>#REF!</v>
      </c>
      <c r="Z259" s="560" t="e">
        <f>VLOOKUP($E259,$E$14:$H$22,4,FALSE)*VLOOKUP($E259,$E$14:$AN$22,COLUMN(Z$7)-4,FALSE)/$M259+VLOOKUP($E259,#REF!,4,FALSE)*VLOOKUP($E259,#REF!,COLUMN(Z$7)-4,FALSE)/$M259</f>
        <v>#REF!</v>
      </c>
      <c r="AA259" s="560" t="e">
        <f>VLOOKUP($E259,$E$14:$H$22,4,FALSE)*VLOOKUP($E259,$E$14:$AN$22,COLUMN(AA$7)-4,FALSE)/$M259+VLOOKUP($E259,#REF!,4,FALSE)*VLOOKUP($E259,#REF!,COLUMN(AA$7)-4,FALSE)/$M259</f>
        <v>#REF!</v>
      </c>
      <c r="AB259" s="560" t="e">
        <f>VLOOKUP($E259,$E$14:$H$22,4,FALSE)*VLOOKUP($E259,$E$14:$AN$22,COLUMN(AB$7)-4,FALSE)/$M259+VLOOKUP($E259,#REF!,4,FALSE)*VLOOKUP($E259,#REF!,COLUMN(AB$7)-4,FALSE)/$M259</f>
        <v>#REF!</v>
      </c>
      <c r="AC259" s="560" t="e">
        <f>VLOOKUP($E259,$E$14:$H$22,4,FALSE)*VLOOKUP($E259,$E$14:$AN$22,COLUMN(AC$7)-4,FALSE)/$M259+VLOOKUP($E259,#REF!,4,FALSE)*VLOOKUP($E259,#REF!,COLUMN(AC$7)-4,FALSE)/$M259</f>
        <v>#REF!</v>
      </c>
      <c r="AD259" s="560" t="e">
        <f>VLOOKUP($E259,$E$14:$H$22,4,FALSE)*VLOOKUP($E259,$E$14:$AN$22,COLUMN(AD$7)-4,FALSE)/$M259+VLOOKUP($E259,#REF!,4,FALSE)*VLOOKUP($E259,#REF!,COLUMN(AD$7)-4,FALSE)/$M259</f>
        <v>#REF!</v>
      </c>
      <c r="AE259" s="560" t="e">
        <f>VLOOKUP($E259,$E$14:$H$22,4,FALSE)*VLOOKUP($E259,$E$14:$AN$22,COLUMN(AE$7)-4,FALSE)/$M259+VLOOKUP($E259,#REF!,4,FALSE)*VLOOKUP($E259,#REF!,COLUMN(AE$7)-4,FALSE)/$M259</f>
        <v>#REF!</v>
      </c>
      <c r="AF259" s="560" t="e">
        <f>VLOOKUP($E259,$E$14:$H$22,4,FALSE)*VLOOKUP($E259,$E$14:$AN$22,COLUMN(AF$7)-4,FALSE)/$M259+VLOOKUP($E259,#REF!,4,FALSE)*VLOOKUP($E259,#REF!,COLUMN(AF$7)-4,FALSE)/$M259</f>
        <v>#REF!</v>
      </c>
      <c r="AG259" s="560" t="e">
        <f>VLOOKUP($E259,$E$14:$H$22,4,FALSE)*VLOOKUP($E259,$E$14:$AN$22,COLUMN(AG$7)-4,FALSE)/$M259+VLOOKUP($E259,#REF!,4,FALSE)*VLOOKUP($E259,#REF!,COLUMN(AG$7)-4,FALSE)/$M259</f>
        <v>#REF!</v>
      </c>
      <c r="AH259" s="560" t="e">
        <f>VLOOKUP($E259,$E$14:$H$22,4,FALSE)*VLOOKUP($E259,$E$14:$AN$22,COLUMN(AH$7)-4,FALSE)/$M259+VLOOKUP($E259,#REF!,4,FALSE)*VLOOKUP($E259,#REF!,COLUMN(AH$7)-4,FALSE)/$M259</f>
        <v>#REF!</v>
      </c>
      <c r="AI259" s="560" t="e">
        <f>VLOOKUP($E259,$E$14:$H$22,4,FALSE)*VLOOKUP($E259,$E$14:$AN$22,COLUMN(AI$7)-4,FALSE)/$M259+VLOOKUP($E259,#REF!,4,FALSE)*VLOOKUP($E259,#REF!,COLUMN(AI$7)-4,FALSE)/$M259</f>
        <v>#REF!</v>
      </c>
      <c r="AJ259" s="560" t="e">
        <f>VLOOKUP($E259,$E$14:$H$22,4,FALSE)*VLOOKUP($E259,$E$14:$AN$22,COLUMN(AJ$7)-4,FALSE)/$M259+VLOOKUP($E259,#REF!,4,FALSE)*VLOOKUP($E259,#REF!,COLUMN(AJ$7)-4,FALSE)/$M259</f>
        <v>#REF!</v>
      </c>
      <c r="AK259" s="560" t="e">
        <f>VLOOKUP($E259,$E$14:$H$22,4,FALSE)*VLOOKUP($E259,$E$14:$AN$22,COLUMN(AK$7)-4,FALSE)/$M259+VLOOKUP($E259,#REF!,4,FALSE)*VLOOKUP($E259,#REF!,COLUMN(AK$7)-4,FALSE)/$M259</f>
        <v>#REF!</v>
      </c>
      <c r="AL259" s="560" t="e">
        <f>VLOOKUP($E259,$E$14:$H$22,4,FALSE)*VLOOKUP($E259,$E$14:$AN$22,COLUMN(AL$7)-4,FALSE)/$M259+VLOOKUP($E259,#REF!,4,FALSE)*VLOOKUP($E259,#REF!,COLUMN(AL$7)-4,FALSE)/$M259</f>
        <v>#REF!</v>
      </c>
      <c r="AM259" s="560" t="e">
        <f>VLOOKUP($E259,$E$14:$H$22,4,FALSE)*VLOOKUP($E259,$E$14:$AN$22,COLUMN(AM$7)-4,FALSE)/$M259+VLOOKUP($E259,#REF!,4,FALSE)*VLOOKUP($E259,#REF!,COLUMN(AM$7)-4,FALSE)/$M259</f>
        <v>#REF!</v>
      </c>
      <c r="AN259" s="560" t="e">
        <f>VLOOKUP($E259,$E$14:$H$22,4,FALSE)*VLOOKUP($E259,$E$14:$AN$22,COLUMN(AN$7)-4,FALSE)/$M259+VLOOKUP($E259,#REF!,4,FALSE)*VLOOKUP($E259,#REF!,COLUMN(AN$7)-4,FALSE)/$M259</f>
        <v>#REF!</v>
      </c>
    </row>
    <row r="260" spans="5:40">
      <c r="E260" s="919" t="e">
        <f>#REF!</f>
        <v>#REF!</v>
      </c>
      <c r="M260" s="560">
        <f>SUMIF(E:E,E260,H:H)</f>
        <v>0</v>
      </c>
      <c r="Q260" s="560" t="e">
        <f>VLOOKUP($E260,$E$14:$H$22,4,FALSE)*VLOOKUP($E260,$E$14:$AN$22,COLUMN(Q$7)-4,FALSE)/$M260+VLOOKUP($E260,#REF!,4,FALSE)*VLOOKUP($E260,#REF!,COLUMN(Q$7)-4,FALSE)/$M260</f>
        <v>#REF!</v>
      </c>
      <c r="R260" s="560" t="e">
        <f>VLOOKUP($E260,$E$14:$H$22,4,FALSE)*VLOOKUP($E260,$E$14:$AN$22,COLUMN(R$7)-4,FALSE)/$M260+VLOOKUP($E260,#REF!,4,FALSE)*VLOOKUP($E260,#REF!,COLUMN(R$7)-4,FALSE)/$M260</f>
        <v>#REF!</v>
      </c>
      <c r="S260" s="560" t="e">
        <f>VLOOKUP($E260,$E$14:$H$22,4,FALSE)*VLOOKUP($E260,$E$14:$AN$22,COLUMN(S$7)-4,FALSE)/$M260+VLOOKUP($E260,#REF!,4,FALSE)*VLOOKUP($E260,#REF!,COLUMN(S$7)-4,FALSE)/$M260</f>
        <v>#REF!</v>
      </c>
      <c r="T260" s="560" t="e">
        <f>VLOOKUP($E260,$E$14:$H$22,4,FALSE)*VLOOKUP($E260,$E$14:$AN$22,COLUMN(T$7)-4,FALSE)/$M260+VLOOKUP($E260,#REF!,4,FALSE)*VLOOKUP($E260,#REF!,COLUMN(T$7)-4,FALSE)/$M260</f>
        <v>#REF!</v>
      </c>
      <c r="U260" s="560" t="e">
        <f>VLOOKUP($E260,$E$14:$H$22,4,FALSE)*VLOOKUP($E260,$E$14:$AN$22,COLUMN(U$7)-4,FALSE)/$M260+VLOOKUP($E260,#REF!,4,FALSE)*VLOOKUP($E260,#REF!,COLUMN(U$7)-4,FALSE)/$M260</f>
        <v>#REF!</v>
      </c>
      <c r="V260" s="560" t="e">
        <f>VLOOKUP($E260,$E$14:$H$22,4,FALSE)*VLOOKUP($E260,$E$14:$AN$22,COLUMN(V$7)-4,FALSE)/$M260+VLOOKUP($E260,#REF!,4,FALSE)*VLOOKUP($E260,#REF!,COLUMN(V$7)-4,FALSE)/$M260</f>
        <v>#REF!</v>
      </c>
      <c r="W260" s="560" t="e">
        <f>VLOOKUP($E260,$E$14:$H$22,4,FALSE)*VLOOKUP($E260,$E$14:$AN$22,COLUMN(W$7)-4,FALSE)/$M260+VLOOKUP($E260,#REF!,4,FALSE)*VLOOKUP($E260,#REF!,COLUMN(W$7)-4,FALSE)/$M260</f>
        <v>#REF!</v>
      </c>
      <c r="X260" s="560" t="e">
        <f>VLOOKUP($E260,$E$14:$H$22,4,FALSE)*VLOOKUP($E260,$E$14:$AN$22,COLUMN(X$7)-4,FALSE)/$M260+VLOOKUP($E260,#REF!,4,FALSE)*VLOOKUP($E260,#REF!,COLUMN(X$7)-4,FALSE)/$M260</f>
        <v>#REF!</v>
      </c>
      <c r="Y260" s="560" t="e">
        <f>VLOOKUP($E260,$E$14:$H$22,4,FALSE)*VLOOKUP($E260,$E$14:$AN$22,COLUMN(Y$7)-4,FALSE)/$M260+VLOOKUP($E260,#REF!,4,FALSE)*VLOOKUP($E260,#REF!,COLUMN(Y$7)-4,FALSE)/$M260</f>
        <v>#REF!</v>
      </c>
      <c r="Z260" s="560" t="e">
        <f>VLOOKUP($E260,$E$14:$H$22,4,FALSE)*VLOOKUP($E260,$E$14:$AN$22,COLUMN(Z$7)-4,FALSE)/$M260+VLOOKUP($E260,#REF!,4,FALSE)*VLOOKUP($E260,#REF!,COLUMN(Z$7)-4,FALSE)/$M260</f>
        <v>#REF!</v>
      </c>
      <c r="AA260" s="560" t="e">
        <f>VLOOKUP($E260,$E$14:$H$22,4,FALSE)*VLOOKUP($E260,$E$14:$AN$22,COLUMN(AA$7)-4,FALSE)/$M260+VLOOKUP($E260,#REF!,4,FALSE)*VLOOKUP($E260,#REF!,COLUMN(AA$7)-4,FALSE)/$M260</f>
        <v>#REF!</v>
      </c>
      <c r="AB260" s="560" t="e">
        <f>VLOOKUP($E260,$E$14:$H$22,4,FALSE)*VLOOKUP($E260,$E$14:$AN$22,COLUMN(AB$7)-4,FALSE)/$M260+VLOOKUP($E260,#REF!,4,FALSE)*VLOOKUP($E260,#REF!,COLUMN(AB$7)-4,FALSE)/$M260</f>
        <v>#REF!</v>
      </c>
      <c r="AC260" s="560" t="e">
        <f>VLOOKUP($E260,$E$14:$H$22,4,FALSE)*VLOOKUP($E260,$E$14:$AN$22,COLUMN(AC$7)-4,FALSE)/$M260+VLOOKUP($E260,#REF!,4,FALSE)*VLOOKUP($E260,#REF!,COLUMN(AC$7)-4,FALSE)/$M260</f>
        <v>#REF!</v>
      </c>
      <c r="AD260" s="560" t="e">
        <f>VLOOKUP($E260,$E$14:$H$22,4,FALSE)*VLOOKUP($E260,$E$14:$AN$22,COLUMN(AD$7)-4,FALSE)/$M260+VLOOKUP($E260,#REF!,4,FALSE)*VLOOKUP($E260,#REF!,COLUMN(AD$7)-4,FALSE)/$M260</f>
        <v>#REF!</v>
      </c>
      <c r="AE260" s="560" t="e">
        <f>VLOOKUP($E260,$E$14:$H$22,4,FALSE)*VLOOKUP($E260,$E$14:$AN$22,COLUMN(AE$7)-4,FALSE)/$M260+VLOOKUP($E260,#REF!,4,FALSE)*VLOOKUP($E260,#REF!,COLUMN(AE$7)-4,FALSE)/$M260</f>
        <v>#REF!</v>
      </c>
      <c r="AF260" s="560" t="e">
        <f>VLOOKUP($E260,$E$14:$H$22,4,FALSE)*VLOOKUP($E260,$E$14:$AN$22,COLUMN(AF$7)-4,FALSE)/$M260+VLOOKUP($E260,#REF!,4,FALSE)*VLOOKUP($E260,#REF!,COLUMN(AF$7)-4,FALSE)/$M260</f>
        <v>#REF!</v>
      </c>
      <c r="AG260" s="560" t="e">
        <f>VLOOKUP($E260,$E$14:$H$22,4,FALSE)*VLOOKUP($E260,$E$14:$AN$22,COLUMN(AG$7)-4,FALSE)/$M260+VLOOKUP($E260,#REF!,4,FALSE)*VLOOKUP($E260,#REF!,COLUMN(AG$7)-4,FALSE)/$M260</f>
        <v>#REF!</v>
      </c>
      <c r="AH260" s="560" t="e">
        <f>VLOOKUP($E260,$E$14:$H$22,4,FALSE)*VLOOKUP($E260,$E$14:$AN$22,COLUMN(AH$7)-4,FALSE)/$M260+VLOOKUP($E260,#REF!,4,FALSE)*VLOOKUP($E260,#REF!,COLUMN(AH$7)-4,FALSE)/$M260</f>
        <v>#REF!</v>
      </c>
      <c r="AI260" s="560" t="e">
        <f>VLOOKUP($E260,$E$14:$H$22,4,FALSE)*VLOOKUP($E260,$E$14:$AN$22,COLUMN(AI$7)-4,FALSE)/$M260+VLOOKUP($E260,#REF!,4,FALSE)*VLOOKUP($E260,#REF!,COLUMN(AI$7)-4,FALSE)/$M260</f>
        <v>#REF!</v>
      </c>
      <c r="AJ260" s="560" t="e">
        <f>VLOOKUP($E260,$E$14:$H$22,4,FALSE)*VLOOKUP($E260,$E$14:$AN$22,COLUMN(AJ$7)-4,FALSE)/$M260+VLOOKUP($E260,#REF!,4,FALSE)*VLOOKUP($E260,#REF!,COLUMN(AJ$7)-4,FALSE)/$M260</f>
        <v>#REF!</v>
      </c>
      <c r="AK260" s="560" t="e">
        <f>VLOOKUP($E260,$E$14:$H$22,4,FALSE)*VLOOKUP($E260,$E$14:$AN$22,COLUMN(AK$7)-4,FALSE)/$M260+VLOOKUP($E260,#REF!,4,FALSE)*VLOOKUP($E260,#REF!,COLUMN(AK$7)-4,FALSE)/$M260</f>
        <v>#REF!</v>
      </c>
      <c r="AL260" s="560" t="e">
        <f>VLOOKUP($E260,$E$14:$H$22,4,FALSE)*VLOOKUP($E260,$E$14:$AN$22,COLUMN(AL$7)-4,FALSE)/$M260+VLOOKUP($E260,#REF!,4,FALSE)*VLOOKUP($E260,#REF!,COLUMN(AL$7)-4,FALSE)/$M260</f>
        <v>#REF!</v>
      </c>
      <c r="AM260" s="560" t="e">
        <f>VLOOKUP($E260,$E$14:$H$22,4,FALSE)*VLOOKUP($E260,$E$14:$AN$22,COLUMN(AM$7)-4,FALSE)/$M260+VLOOKUP($E260,#REF!,4,FALSE)*VLOOKUP($E260,#REF!,COLUMN(AM$7)-4,FALSE)/$M260</f>
        <v>#REF!</v>
      </c>
      <c r="AN260" s="560" t="e">
        <f>VLOOKUP($E260,$E$14:$H$22,4,FALSE)*VLOOKUP($E260,$E$14:$AN$22,COLUMN(AN$7)-4,FALSE)/$M260+VLOOKUP($E260,#REF!,4,FALSE)*VLOOKUP($E260,#REF!,COLUMN(AN$7)-4,FALSE)/$M260</f>
        <v>#REF!</v>
      </c>
    </row>
    <row r="261" spans="5:40">
      <c r="E261" s="919" t="e">
        <f>#REF!</f>
        <v>#REF!</v>
      </c>
      <c r="M261" s="560">
        <f>SUMIF(E:E,E261,H:H)</f>
        <v>0</v>
      </c>
      <c r="Q261" s="560" t="e">
        <f>VLOOKUP($E261,$E$14:$H$22,4,FALSE)*VLOOKUP($E261,$E$14:$AN$22,COLUMN(Q$7)-4,FALSE)/$M261+VLOOKUP($E261,#REF!,4,FALSE)*VLOOKUP($E261,#REF!,COLUMN(Q$7)-4,FALSE)/$M261</f>
        <v>#REF!</v>
      </c>
      <c r="R261" s="560" t="e">
        <f>VLOOKUP($E261,$E$14:$H$22,4,FALSE)*VLOOKUP($E261,$E$14:$AN$22,COLUMN(R$7)-4,FALSE)/$M261+VLOOKUP($E261,#REF!,4,FALSE)*VLOOKUP($E261,#REF!,COLUMN(R$7)-4,FALSE)/$M261</f>
        <v>#REF!</v>
      </c>
      <c r="S261" s="560" t="e">
        <f>VLOOKUP($E261,$E$14:$H$22,4,FALSE)*VLOOKUP($E261,$E$14:$AN$22,COLUMN(S$7)-4,FALSE)/$M261+VLOOKUP($E261,#REF!,4,FALSE)*VLOOKUP($E261,#REF!,COLUMN(S$7)-4,FALSE)/$M261</f>
        <v>#REF!</v>
      </c>
      <c r="T261" s="560" t="e">
        <f>VLOOKUP($E261,$E$14:$H$22,4,FALSE)*VLOOKUP($E261,$E$14:$AN$22,COLUMN(T$7)-4,FALSE)/$M261+VLOOKUP($E261,#REF!,4,FALSE)*VLOOKUP($E261,#REF!,COLUMN(T$7)-4,FALSE)/$M261</f>
        <v>#REF!</v>
      </c>
      <c r="U261" s="560" t="e">
        <f>VLOOKUP($E261,$E$14:$H$22,4,FALSE)*VLOOKUP($E261,$E$14:$AN$22,COLUMN(U$7)-4,FALSE)/$M261+VLOOKUP($E261,#REF!,4,FALSE)*VLOOKUP($E261,#REF!,COLUMN(U$7)-4,FALSE)/$M261</f>
        <v>#REF!</v>
      </c>
      <c r="V261" s="560" t="e">
        <f>VLOOKUP($E261,$E$14:$H$22,4,FALSE)*VLOOKUP($E261,$E$14:$AN$22,COLUMN(V$7)-4,FALSE)/$M261+VLOOKUP($E261,#REF!,4,FALSE)*VLOOKUP($E261,#REF!,COLUMN(V$7)-4,FALSE)/$M261</f>
        <v>#REF!</v>
      </c>
      <c r="W261" s="560" t="e">
        <f>VLOOKUP($E261,$E$14:$H$22,4,FALSE)*VLOOKUP($E261,$E$14:$AN$22,COLUMN(W$7)-4,FALSE)/$M261+VLOOKUP($E261,#REF!,4,FALSE)*VLOOKUP($E261,#REF!,COLUMN(W$7)-4,FALSE)/$M261</f>
        <v>#REF!</v>
      </c>
      <c r="X261" s="560" t="e">
        <f>VLOOKUP($E261,$E$14:$H$22,4,FALSE)*VLOOKUP($E261,$E$14:$AN$22,COLUMN(X$7)-4,FALSE)/$M261+VLOOKUP($E261,#REF!,4,FALSE)*VLOOKUP($E261,#REF!,COLUMN(X$7)-4,FALSE)/$M261</f>
        <v>#REF!</v>
      </c>
      <c r="Y261" s="560" t="e">
        <f>VLOOKUP($E261,$E$14:$H$22,4,FALSE)*VLOOKUP($E261,$E$14:$AN$22,COLUMN(Y$7)-4,FALSE)/$M261+VLOOKUP($E261,#REF!,4,FALSE)*VLOOKUP($E261,#REF!,COLUMN(Y$7)-4,FALSE)/$M261</f>
        <v>#REF!</v>
      </c>
      <c r="Z261" s="560" t="e">
        <f>VLOOKUP($E261,$E$14:$H$22,4,FALSE)*VLOOKUP($E261,$E$14:$AN$22,COLUMN(Z$7)-4,FALSE)/$M261+VLOOKUP($E261,#REF!,4,FALSE)*VLOOKUP($E261,#REF!,COLUMN(Z$7)-4,FALSE)/$M261</f>
        <v>#REF!</v>
      </c>
      <c r="AA261" s="560" t="e">
        <f>VLOOKUP($E261,$E$14:$H$22,4,FALSE)*VLOOKUP($E261,$E$14:$AN$22,COLUMN(AA$7)-4,FALSE)/$M261+VLOOKUP($E261,#REF!,4,FALSE)*VLOOKUP($E261,#REF!,COLUMN(AA$7)-4,FALSE)/$M261</f>
        <v>#REF!</v>
      </c>
      <c r="AB261" s="560" t="e">
        <f>VLOOKUP($E261,$E$14:$H$22,4,FALSE)*VLOOKUP($E261,$E$14:$AN$22,COLUMN(AB$7)-4,FALSE)/$M261+VLOOKUP($E261,#REF!,4,FALSE)*VLOOKUP($E261,#REF!,COLUMN(AB$7)-4,FALSE)/$M261</f>
        <v>#REF!</v>
      </c>
      <c r="AC261" s="560" t="e">
        <f>VLOOKUP($E261,$E$14:$H$22,4,FALSE)*VLOOKUP($E261,$E$14:$AN$22,COLUMN(AC$7)-4,FALSE)/$M261+VLOOKUP($E261,#REF!,4,FALSE)*VLOOKUP($E261,#REF!,COLUMN(AC$7)-4,FALSE)/$M261</f>
        <v>#REF!</v>
      </c>
      <c r="AD261" s="560" t="e">
        <f>VLOOKUP($E261,$E$14:$H$22,4,FALSE)*VLOOKUP($E261,$E$14:$AN$22,COLUMN(AD$7)-4,FALSE)/$M261+VLOOKUP($E261,#REF!,4,FALSE)*VLOOKUP($E261,#REF!,COLUMN(AD$7)-4,FALSE)/$M261</f>
        <v>#REF!</v>
      </c>
      <c r="AE261" s="560" t="e">
        <f>VLOOKUP($E261,$E$14:$H$22,4,FALSE)*VLOOKUP($E261,$E$14:$AN$22,COLUMN(AE$7)-4,FALSE)/$M261+VLOOKUP($E261,#REF!,4,FALSE)*VLOOKUP($E261,#REF!,COLUMN(AE$7)-4,FALSE)/$M261</f>
        <v>#REF!</v>
      </c>
      <c r="AF261" s="560" t="e">
        <f>VLOOKUP($E261,$E$14:$H$22,4,FALSE)*VLOOKUP($E261,$E$14:$AN$22,COLUMN(AF$7)-4,FALSE)/$M261+VLOOKUP($E261,#REF!,4,FALSE)*VLOOKUP($E261,#REF!,COLUMN(AF$7)-4,FALSE)/$M261</f>
        <v>#REF!</v>
      </c>
      <c r="AG261" s="560" t="e">
        <f>VLOOKUP($E261,$E$14:$H$22,4,FALSE)*VLOOKUP($E261,$E$14:$AN$22,COLUMN(AG$7)-4,FALSE)/$M261+VLOOKUP($E261,#REF!,4,FALSE)*VLOOKUP($E261,#REF!,COLUMN(AG$7)-4,FALSE)/$M261</f>
        <v>#REF!</v>
      </c>
      <c r="AH261" s="560" t="e">
        <f>VLOOKUP($E261,$E$14:$H$22,4,FALSE)*VLOOKUP($E261,$E$14:$AN$22,COLUMN(AH$7)-4,FALSE)/$M261+VLOOKUP($E261,#REF!,4,FALSE)*VLOOKUP($E261,#REF!,COLUMN(AH$7)-4,FALSE)/$M261</f>
        <v>#REF!</v>
      </c>
      <c r="AI261" s="560" t="e">
        <f>VLOOKUP($E261,$E$14:$H$22,4,FALSE)*VLOOKUP($E261,$E$14:$AN$22,COLUMN(AI$7)-4,FALSE)/$M261+VLOOKUP($E261,#REF!,4,FALSE)*VLOOKUP($E261,#REF!,COLUMN(AI$7)-4,FALSE)/$M261</f>
        <v>#REF!</v>
      </c>
      <c r="AJ261" s="560" t="e">
        <f>VLOOKUP($E261,$E$14:$H$22,4,FALSE)*VLOOKUP($E261,$E$14:$AN$22,COLUMN(AJ$7)-4,FALSE)/$M261+VLOOKUP($E261,#REF!,4,FALSE)*VLOOKUP($E261,#REF!,COLUMN(AJ$7)-4,FALSE)/$M261</f>
        <v>#REF!</v>
      </c>
      <c r="AK261" s="560" t="e">
        <f>VLOOKUP($E261,$E$14:$H$22,4,FALSE)*VLOOKUP($E261,$E$14:$AN$22,COLUMN(AK$7)-4,FALSE)/$M261+VLOOKUP($E261,#REF!,4,FALSE)*VLOOKUP($E261,#REF!,COLUMN(AK$7)-4,FALSE)/$M261</f>
        <v>#REF!</v>
      </c>
      <c r="AL261" s="560" t="e">
        <f>VLOOKUP($E261,$E$14:$H$22,4,FALSE)*VLOOKUP($E261,$E$14:$AN$22,COLUMN(AL$7)-4,FALSE)/$M261+VLOOKUP($E261,#REF!,4,FALSE)*VLOOKUP($E261,#REF!,COLUMN(AL$7)-4,FALSE)/$M261</f>
        <v>#REF!</v>
      </c>
      <c r="AM261" s="560" t="e">
        <f>VLOOKUP($E261,$E$14:$H$22,4,FALSE)*VLOOKUP($E261,$E$14:$AN$22,COLUMN(AM$7)-4,FALSE)/$M261+VLOOKUP($E261,#REF!,4,FALSE)*VLOOKUP($E261,#REF!,COLUMN(AM$7)-4,FALSE)/$M261</f>
        <v>#REF!</v>
      </c>
      <c r="AN261" s="560" t="e">
        <f>VLOOKUP($E261,$E$14:$H$22,4,FALSE)*VLOOKUP($E261,$E$14:$AN$22,COLUMN(AN$7)-4,FALSE)/$M261+VLOOKUP($E261,#REF!,4,FALSE)*VLOOKUP($E261,#REF!,COLUMN(AN$7)-4,FALSE)/$M261</f>
        <v>#REF!</v>
      </c>
    </row>
    <row r="262" spans="5:40">
      <c r="E262" s="919" t="e">
        <f>#REF!</f>
        <v>#REF!</v>
      </c>
      <c r="M262" s="560">
        <f>SUMIF(E:E,E262,H:H)</f>
        <v>0</v>
      </c>
      <c r="Q262" s="560" t="e">
        <f>VLOOKUP($E262,$E$14:$H$22,4,FALSE)*VLOOKUP($E262,$E$14:$AN$22,COLUMN(Q$7)-4,FALSE)/$M262+VLOOKUP($E262,#REF!,4,FALSE)*VLOOKUP($E262,#REF!,COLUMN(Q$7)-4,FALSE)/$M262</f>
        <v>#REF!</v>
      </c>
      <c r="R262" s="560" t="e">
        <f>VLOOKUP($E262,$E$14:$H$22,4,FALSE)*VLOOKUP($E262,$E$14:$AN$22,COLUMN(R$7)-4,FALSE)/$M262+VLOOKUP($E262,#REF!,4,FALSE)*VLOOKUP($E262,#REF!,COLUMN(R$7)-4,FALSE)/$M262</f>
        <v>#REF!</v>
      </c>
      <c r="S262" s="560" t="e">
        <f>VLOOKUP($E262,$E$14:$H$22,4,FALSE)*VLOOKUP($E262,$E$14:$AN$22,COLUMN(S$7)-4,FALSE)/$M262+VLOOKUP($E262,#REF!,4,FALSE)*VLOOKUP($E262,#REF!,COLUMN(S$7)-4,FALSE)/$M262</f>
        <v>#REF!</v>
      </c>
      <c r="T262" s="560" t="e">
        <f>VLOOKUP($E262,$E$14:$H$22,4,FALSE)*VLOOKUP($E262,$E$14:$AN$22,COLUMN(T$7)-4,FALSE)/$M262+VLOOKUP($E262,#REF!,4,FALSE)*VLOOKUP($E262,#REF!,COLUMN(T$7)-4,FALSE)/$M262</f>
        <v>#REF!</v>
      </c>
      <c r="U262" s="560" t="e">
        <f>VLOOKUP($E262,$E$14:$H$22,4,FALSE)*VLOOKUP($E262,$E$14:$AN$22,COLUMN(U$7)-4,FALSE)/$M262+VLOOKUP($E262,#REF!,4,FALSE)*VLOOKUP($E262,#REF!,COLUMN(U$7)-4,FALSE)/$M262</f>
        <v>#REF!</v>
      </c>
      <c r="V262" s="560" t="e">
        <f>VLOOKUP($E262,$E$14:$H$22,4,FALSE)*VLOOKUP($E262,$E$14:$AN$22,COLUMN(V$7)-4,FALSE)/$M262+VLOOKUP($E262,#REF!,4,FALSE)*VLOOKUP($E262,#REF!,COLUMN(V$7)-4,FALSE)/$M262</f>
        <v>#REF!</v>
      </c>
      <c r="W262" s="560" t="e">
        <f>VLOOKUP($E262,$E$14:$H$22,4,FALSE)*VLOOKUP($E262,$E$14:$AN$22,COLUMN(W$7)-4,FALSE)/$M262+VLOOKUP($E262,#REF!,4,FALSE)*VLOOKUP($E262,#REF!,COLUMN(W$7)-4,FALSE)/$M262</f>
        <v>#REF!</v>
      </c>
      <c r="X262" s="560" t="e">
        <f>VLOOKUP($E262,$E$14:$H$22,4,FALSE)*VLOOKUP($E262,$E$14:$AN$22,COLUMN(X$7)-4,FALSE)/$M262+VLOOKUP($E262,#REF!,4,FALSE)*VLOOKUP($E262,#REF!,COLUMN(X$7)-4,FALSE)/$M262</f>
        <v>#REF!</v>
      </c>
      <c r="Y262" s="560" t="e">
        <f>VLOOKUP($E262,$E$14:$H$22,4,FALSE)*VLOOKUP($E262,$E$14:$AN$22,COLUMN(Y$7)-4,FALSE)/$M262+VLOOKUP($E262,#REF!,4,FALSE)*VLOOKUP($E262,#REF!,COLUMN(Y$7)-4,FALSE)/$M262</f>
        <v>#REF!</v>
      </c>
      <c r="Z262" s="560" t="e">
        <f>VLOOKUP($E262,$E$14:$H$22,4,FALSE)*VLOOKUP($E262,$E$14:$AN$22,COLUMN(Z$7)-4,FALSE)/$M262+VLOOKUP($E262,#REF!,4,FALSE)*VLOOKUP($E262,#REF!,COLUMN(Z$7)-4,FALSE)/$M262</f>
        <v>#REF!</v>
      </c>
      <c r="AA262" s="560" t="e">
        <f>VLOOKUP($E262,$E$14:$H$22,4,FALSE)*VLOOKUP($E262,$E$14:$AN$22,COLUMN(AA$7)-4,FALSE)/$M262+VLOOKUP($E262,#REF!,4,FALSE)*VLOOKUP($E262,#REF!,COLUMN(AA$7)-4,FALSE)/$M262</f>
        <v>#REF!</v>
      </c>
      <c r="AB262" s="560" t="e">
        <f>VLOOKUP($E262,$E$14:$H$22,4,FALSE)*VLOOKUP($E262,$E$14:$AN$22,COLUMN(AB$7)-4,FALSE)/$M262+VLOOKUP($E262,#REF!,4,FALSE)*VLOOKUP($E262,#REF!,COLUMN(AB$7)-4,FALSE)/$M262</f>
        <v>#REF!</v>
      </c>
      <c r="AC262" s="560" t="e">
        <f>VLOOKUP($E262,$E$14:$H$22,4,FALSE)*VLOOKUP($E262,$E$14:$AN$22,COLUMN(AC$7)-4,FALSE)/$M262+VLOOKUP($E262,#REF!,4,FALSE)*VLOOKUP($E262,#REF!,COLUMN(AC$7)-4,FALSE)/$M262</f>
        <v>#REF!</v>
      </c>
      <c r="AD262" s="560" t="e">
        <f>VLOOKUP($E262,$E$14:$H$22,4,FALSE)*VLOOKUP($E262,$E$14:$AN$22,COLUMN(AD$7)-4,FALSE)/$M262+VLOOKUP($E262,#REF!,4,FALSE)*VLOOKUP($E262,#REF!,COLUMN(AD$7)-4,FALSE)/$M262</f>
        <v>#REF!</v>
      </c>
      <c r="AE262" s="560" t="e">
        <f>VLOOKUP($E262,$E$14:$H$22,4,FALSE)*VLOOKUP($E262,$E$14:$AN$22,COLUMN(AE$7)-4,FALSE)/$M262+VLOOKUP($E262,#REF!,4,FALSE)*VLOOKUP($E262,#REF!,COLUMN(AE$7)-4,FALSE)/$M262</f>
        <v>#REF!</v>
      </c>
      <c r="AF262" s="560" t="e">
        <f>VLOOKUP($E262,$E$14:$H$22,4,FALSE)*VLOOKUP($E262,$E$14:$AN$22,COLUMN(AF$7)-4,FALSE)/$M262+VLOOKUP($E262,#REF!,4,FALSE)*VLOOKUP($E262,#REF!,COLUMN(AF$7)-4,FALSE)/$M262</f>
        <v>#REF!</v>
      </c>
      <c r="AG262" s="560" t="e">
        <f>VLOOKUP($E262,$E$14:$H$22,4,FALSE)*VLOOKUP($E262,$E$14:$AN$22,COLUMN(AG$7)-4,FALSE)/$M262+VLOOKUP($E262,#REF!,4,FALSE)*VLOOKUP($E262,#REF!,COLUMN(AG$7)-4,FALSE)/$M262</f>
        <v>#REF!</v>
      </c>
      <c r="AH262" s="560" t="e">
        <f>VLOOKUP($E262,$E$14:$H$22,4,FALSE)*VLOOKUP($E262,$E$14:$AN$22,COLUMN(AH$7)-4,FALSE)/$M262+VLOOKUP($E262,#REF!,4,FALSE)*VLOOKUP($E262,#REF!,COLUMN(AH$7)-4,FALSE)/$M262</f>
        <v>#REF!</v>
      </c>
      <c r="AI262" s="560" t="e">
        <f>VLOOKUP($E262,$E$14:$H$22,4,FALSE)*VLOOKUP($E262,$E$14:$AN$22,COLUMN(AI$7)-4,FALSE)/$M262+VLOOKUP($E262,#REF!,4,FALSE)*VLOOKUP($E262,#REF!,COLUMN(AI$7)-4,FALSE)/$M262</f>
        <v>#REF!</v>
      </c>
      <c r="AJ262" s="560" t="e">
        <f>VLOOKUP($E262,$E$14:$H$22,4,FALSE)*VLOOKUP($E262,$E$14:$AN$22,COLUMN(AJ$7)-4,FALSE)/$M262+VLOOKUP($E262,#REF!,4,FALSE)*VLOOKUP($E262,#REF!,COLUMN(AJ$7)-4,FALSE)/$M262</f>
        <v>#REF!</v>
      </c>
      <c r="AK262" s="560" t="e">
        <f>VLOOKUP($E262,$E$14:$H$22,4,FALSE)*VLOOKUP($E262,$E$14:$AN$22,COLUMN(AK$7)-4,FALSE)/$M262+VLOOKUP($E262,#REF!,4,FALSE)*VLOOKUP($E262,#REF!,COLUMN(AK$7)-4,FALSE)/$M262</f>
        <v>#REF!</v>
      </c>
      <c r="AL262" s="560" t="e">
        <f>VLOOKUP($E262,$E$14:$H$22,4,FALSE)*VLOOKUP($E262,$E$14:$AN$22,COLUMN(AL$7)-4,FALSE)/$M262+VLOOKUP($E262,#REF!,4,FALSE)*VLOOKUP($E262,#REF!,COLUMN(AL$7)-4,FALSE)/$M262</f>
        <v>#REF!</v>
      </c>
      <c r="AM262" s="560" t="e">
        <f>VLOOKUP($E262,$E$14:$H$22,4,FALSE)*VLOOKUP($E262,$E$14:$AN$22,COLUMN(AM$7)-4,FALSE)/$M262+VLOOKUP($E262,#REF!,4,FALSE)*VLOOKUP($E262,#REF!,COLUMN(AM$7)-4,FALSE)/$M262</f>
        <v>#REF!</v>
      </c>
      <c r="AN262" s="560" t="e">
        <f>VLOOKUP($E262,$E$14:$H$22,4,FALSE)*VLOOKUP($E262,$E$14:$AN$22,COLUMN(AN$7)-4,FALSE)/$M262+VLOOKUP($E262,#REF!,4,FALSE)*VLOOKUP($E262,#REF!,COLUMN(AN$7)-4,FALSE)/$M262</f>
        <v>#REF!</v>
      </c>
    </row>
    <row r="263" spans="5:40">
      <c r="E263" s="919" t="e">
        <f>#REF!</f>
        <v>#REF!</v>
      </c>
      <c r="M263" s="560">
        <f>SUMIF(E:E,E263,H:H)</f>
        <v>0</v>
      </c>
      <c r="Q263" s="560" t="e">
        <f>VLOOKUP($E263,$E$14:$H$22,4,FALSE)*VLOOKUP($E263,$E$14:$AN$22,COLUMN(Q$7)-4,FALSE)/$M263+VLOOKUP($E263,#REF!,4,FALSE)*VLOOKUP($E263,#REF!,COLUMN(Q$7)-4,FALSE)/$M263</f>
        <v>#REF!</v>
      </c>
      <c r="R263" s="560" t="e">
        <f>VLOOKUP($E263,$E$14:$H$22,4,FALSE)*VLOOKUP($E263,$E$14:$AN$22,COLUMN(R$7)-4,FALSE)/$M263+VLOOKUP($E263,#REF!,4,FALSE)*VLOOKUP($E263,#REF!,COLUMN(R$7)-4,FALSE)/$M263</f>
        <v>#REF!</v>
      </c>
      <c r="S263" s="560" t="e">
        <f>VLOOKUP($E263,$E$14:$H$22,4,FALSE)*VLOOKUP($E263,$E$14:$AN$22,COLUMN(S$7)-4,FALSE)/$M263+VLOOKUP($E263,#REF!,4,FALSE)*VLOOKUP($E263,#REF!,COLUMN(S$7)-4,FALSE)/$M263</f>
        <v>#REF!</v>
      </c>
      <c r="T263" s="560" t="e">
        <f>VLOOKUP($E263,$E$14:$H$22,4,FALSE)*VLOOKUP($E263,$E$14:$AN$22,COLUMN(T$7)-4,FALSE)/$M263+VLOOKUP($E263,#REF!,4,FALSE)*VLOOKUP($E263,#REF!,COLUMN(T$7)-4,FALSE)/$M263</f>
        <v>#REF!</v>
      </c>
      <c r="U263" s="560" t="e">
        <f>VLOOKUP($E263,$E$14:$H$22,4,FALSE)*VLOOKUP($E263,$E$14:$AN$22,COLUMN(U$7)-4,FALSE)/$M263+VLOOKUP($E263,#REF!,4,FALSE)*VLOOKUP($E263,#REF!,COLUMN(U$7)-4,FALSE)/$M263</f>
        <v>#REF!</v>
      </c>
      <c r="V263" s="560" t="e">
        <f>VLOOKUP($E263,$E$14:$H$22,4,FALSE)*VLOOKUP($E263,$E$14:$AN$22,COLUMN(V$7)-4,FALSE)/$M263+VLOOKUP($E263,#REF!,4,FALSE)*VLOOKUP($E263,#REF!,COLUMN(V$7)-4,FALSE)/$M263</f>
        <v>#REF!</v>
      </c>
      <c r="W263" s="560" t="e">
        <f>VLOOKUP($E263,$E$14:$H$22,4,FALSE)*VLOOKUP($E263,$E$14:$AN$22,COLUMN(W$7)-4,FALSE)/$M263+VLOOKUP($E263,#REF!,4,FALSE)*VLOOKUP($E263,#REF!,COLUMN(W$7)-4,FALSE)/$M263</f>
        <v>#REF!</v>
      </c>
      <c r="X263" s="560" t="e">
        <f>VLOOKUP($E263,$E$14:$H$22,4,FALSE)*VLOOKUP($E263,$E$14:$AN$22,COLUMN(X$7)-4,FALSE)/$M263+VLOOKUP($E263,#REF!,4,FALSE)*VLOOKUP($E263,#REF!,COLUMN(X$7)-4,FALSE)/$M263</f>
        <v>#REF!</v>
      </c>
      <c r="Y263" s="560" t="e">
        <f>VLOOKUP($E263,$E$14:$H$22,4,FALSE)*VLOOKUP($E263,$E$14:$AN$22,COLUMN(Y$7)-4,FALSE)/$M263+VLOOKUP($E263,#REF!,4,FALSE)*VLOOKUP($E263,#REF!,COLUMN(Y$7)-4,FALSE)/$M263</f>
        <v>#REF!</v>
      </c>
      <c r="Z263" s="560" t="e">
        <f>VLOOKUP($E263,$E$14:$H$22,4,FALSE)*VLOOKUP($E263,$E$14:$AN$22,COLUMN(Z$7)-4,FALSE)/$M263+VLOOKUP($E263,#REF!,4,FALSE)*VLOOKUP($E263,#REF!,COLUMN(Z$7)-4,FALSE)/$M263</f>
        <v>#REF!</v>
      </c>
      <c r="AA263" s="560" t="e">
        <f>VLOOKUP($E263,$E$14:$H$22,4,FALSE)*VLOOKUP($E263,$E$14:$AN$22,COLUMN(AA$7)-4,FALSE)/$M263+VLOOKUP($E263,#REF!,4,FALSE)*VLOOKUP($E263,#REF!,COLUMN(AA$7)-4,FALSE)/$M263</f>
        <v>#REF!</v>
      </c>
      <c r="AB263" s="560" t="e">
        <f>VLOOKUP($E263,$E$14:$H$22,4,FALSE)*VLOOKUP($E263,$E$14:$AN$22,COLUMN(AB$7)-4,FALSE)/$M263+VLOOKUP($E263,#REF!,4,FALSE)*VLOOKUP($E263,#REF!,COLUMN(AB$7)-4,FALSE)/$M263</f>
        <v>#REF!</v>
      </c>
      <c r="AC263" s="560" t="e">
        <f>VLOOKUP($E263,$E$14:$H$22,4,FALSE)*VLOOKUP($E263,$E$14:$AN$22,COLUMN(AC$7)-4,FALSE)/$M263+VLOOKUP($E263,#REF!,4,FALSE)*VLOOKUP($E263,#REF!,COLUMN(AC$7)-4,FALSE)/$M263</f>
        <v>#REF!</v>
      </c>
      <c r="AD263" s="560" t="e">
        <f>VLOOKUP($E263,$E$14:$H$22,4,FALSE)*VLOOKUP($E263,$E$14:$AN$22,COLUMN(AD$7)-4,FALSE)/$M263+VLOOKUP($E263,#REF!,4,FALSE)*VLOOKUP($E263,#REF!,COLUMN(AD$7)-4,FALSE)/$M263</f>
        <v>#REF!</v>
      </c>
      <c r="AE263" s="560" t="e">
        <f>VLOOKUP($E263,$E$14:$H$22,4,FALSE)*VLOOKUP($E263,$E$14:$AN$22,COLUMN(AE$7)-4,FALSE)/$M263+VLOOKUP($E263,#REF!,4,FALSE)*VLOOKUP($E263,#REF!,COLUMN(AE$7)-4,FALSE)/$M263</f>
        <v>#REF!</v>
      </c>
      <c r="AF263" s="560" t="e">
        <f>VLOOKUP($E263,$E$14:$H$22,4,FALSE)*VLOOKUP($E263,$E$14:$AN$22,COLUMN(AF$7)-4,FALSE)/$M263+VLOOKUP($E263,#REF!,4,FALSE)*VLOOKUP($E263,#REF!,COLUMN(AF$7)-4,FALSE)/$M263</f>
        <v>#REF!</v>
      </c>
      <c r="AG263" s="560" t="e">
        <f>VLOOKUP($E263,$E$14:$H$22,4,FALSE)*VLOOKUP($E263,$E$14:$AN$22,COLUMN(AG$7)-4,FALSE)/$M263+VLOOKUP($E263,#REF!,4,FALSE)*VLOOKUP($E263,#REF!,COLUMN(AG$7)-4,FALSE)/$M263</f>
        <v>#REF!</v>
      </c>
      <c r="AH263" s="560" t="e">
        <f>VLOOKUP($E263,$E$14:$H$22,4,FALSE)*VLOOKUP($E263,$E$14:$AN$22,COLUMN(AH$7)-4,FALSE)/$M263+VLOOKUP($E263,#REF!,4,FALSE)*VLOOKUP($E263,#REF!,COLUMN(AH$7)-4,FALSE)/$M263</f>
        <v>#REF!</v>
      </c>
      <c r="AI263" s="560" t="e">
        <f>VLOOKUP($E263,$E$14:$H$22,4,FALSE)*VLOOKUP($E263,$E$14:$AN$22,COLUMN(AI$7)-4,FALSE)/$M263+VLOOKUP($E263,#REF!,4,FALSE)*VLOOKUP($E263,#REF!,COLUMN(AI$7)-4,FALSE)/$M263</f>
        <v>#REF!</v>
      </c>
      <c r="AJ263" s="560" t="e">
        <f>VLOOKUP($E263,$E$14:$H$22,4,FALSE)*VLOOKUP($E263,$E$14:$AN$22,COLUMN(AJ$7)-4,FALSE)/$M263+VLOOKUP($E263,#REF!,4,FALSE)*VLOOKUP($E263,#REF!,COLUMN(AJ$7)-4,FALSE)/$M263</f>
        <v>#REF!</v>
      </c>
      <c r="AK263" s="560" t="e">
        <f>VLOOKUP($E263,$E$14:$H$22,4,FALSE)*VLOOKUP($E263,$E$14:$AN$22,COLUMN(AK$7)-4,FALSE)/$M263+VLOOKUP($E263,#REF!,4,FALSE)*VLOOKUP($E263,#REF!,COLUMN(AK$7)-4,FALSE)/$M263</f>
        <v>#REF!</v>
      </c>
      <c r="AL263" s="560" t="e">
        <f>VLOOKUP($E263,$E$14:$H$22,4,FALSE)*VLOOKUP($E263,$E$14:$AN$22,COLUMN(AL$7)-4,FALSE)/$M263+VLOOKUP($E263,#REF!,4,FALSE)*VLOOKUP($E263,#REF!,COLUMN(AL$7)-4,FALSE)/$M263</f>
        <v>#REF!</v>
      </c>
      <c r="AM263" s="560" t="e">
        <f>VLOOKUP($E263,$E$14:$H$22,4,FALSE)*VLOOKUP($E263,$E$14:$AN$22,COLUMN(AM$7)-4,FALSE)/$M263+VLOOKUP($E263,#REF!,4,FALSE)*VLOOKUP($E263,#REF!,COLUMN(AM$7)-4,FALSE)/$M263</f>
        <v>#REF!</v>
      </c>
      <c r="AN263" s="560" t="e">
        <f>VLOOKUP($E263,$E$14:$H$22,4,FALSE)*VLOOKUP($E263,$E$14:$AN$22,COLUMN(AN$7)-4,FALSE)/$M263+VLOOKUP($E263,#REF!,4,FALSE)*VLOOKUP($E263,#REF!,COLUMN(AN$7)-4,FALSE)/$M263</f>
        <v>#REF!</v>
      </c>
    </row>
    <row r="264" spans="5:40">
      <c r="E264" s="919" t="e">
        <f>#REF!</f>
        <v>#REF!</v>
      </c>
      <c r="M264" s="560">
        <f>SUMIF(E:E,E264,H:H)</f>
        <v>0</v>
      </c>
      <c r="Q264" s="560" t="e">
        <f>VLOOKUP($E264,$E$14:$H$22,4,FALSE)*VLOOKUP($E264,$E$14:$AN$22,COLUMN(Q$7)-4,FALSE)/$M264+VLOOKUP($E264,#REF!,4,FALSE)*VLOOKUP($E264,#REF!,COLUMN(Q$7)-4,FALSE)/$M264</f>
        <v>#REF!</v>
      </c>
      <c r="R264" s="560" t="e">
        <f>VLOOKUP($E264,$E$14:$H$22,4,FALSE)*VLOOKUP($E264,$E$14:$AN$22,COLUMN(R$7)-4,FALSE)/$M264+VLOOKUP($E264,#REF!,4,FALSE)*VLOOKUP($E264,#REF!,COLUMN(R$7)-4,FALSE)/$M264</f>
        <v>#REF!</v>
      </c>
      <c r="S264" s="560" t="e">
        <f>VLOOKUP($E264,$E$14:$H$22,4,FALSE)*VLOOKUP($E264,$E$14:$AN$22,COLUMN(S$7)-4,FALSE)/$M264+VLOOKUP($E264,#REF!,4,FALSE)*VLOOKUP($E264,#REF!,COLUMN(S$7)-4,FALSE)/$M264</f>
        <v>#REF!</v>
      </c>
      <c r="T264" s="560" t="e">
        <f>VLOOKUP($E264,$E$14:$H$22,4,FALSE)*VLOOKUP($E264,$E$14:$AN$22,COLUMN(T$7)-4,FALSE)/$M264+VLOOKUP($E264,#REF!,4,FALSE)*VLOOKUP($E264,#REF!,COLUMN(T$7)-4,FALSE)/$M264</f>
        <v>#REF!</v>
      </c>
      <c r="U264" s="560" t="e">
        <f>VLOOKUP($E264,$E$14:$H$22,4,FALSE)*VLOOKUP($E264,$E$14:$AN$22,COLUMN(U$7)-4,FALSE)/$M264+VLOOKUP($E264,#REF!,4,FALSE)*VLOOKUP($E264,#REF!,COLUMN(U$7)-4,FALSE)/$M264</f>
        <v>#REF!</v>
      </c>
      <c r="V264" s="560" t="e">
        <f>VLOOKUP($E264,$E$14:$H$22,4,FALSE)*VLOOKUP($E264,$E$14:$AN$22,COLUMN(V$7)-4,FALSE)/$M264+VLOOKUP($E264,#REF!,4,FALSE)*VLOOKUP($E264,#REF!,COLUMN(V$7)-4,FALSE)/$M264</f>
        <v>#REF!</v>
      </c>
      <c r="W264" s="560" t="e">
        <f>VLOOKUP($E264,$E$14:$H$22,4,FALSE)*VLOOKUP($E264,$E$14:$AN$22,COLUMN(W$7)-4,FALSE)/$M264+VLOOKUP($E264,#REF!,4,FALSE)*VLOOKUP($E264,#REF!,COLUMN(W$7)-4,FALSE)/$M264</f>
        <v>#REF!</v>
      </c>
      <c r="X264" s="560" t="e">
        <f>VLOOKUP($E264,$E$14:$H$22,4,FALSE)*VLOOKUP($E264,$E$14:$AN$22,COLUMN(X$7)-4,FALSE)/$M264+VLOOKUP($E264,#REF!,4,FALSE)*VLOOKUP($E264,#REF!,COLUMN(X$7)-4,FALSE)/$M264</f>
        <v>#REF!</v>
      </c>
      <c r="Y264" s="560" t="e">
        <f>VLOOKUP($E264,$E$14:$H$22,4,FALSE)*VLOOKUP($E264,$E$14:$AN$22,COLUMN(Y$7)-4,FALSE)/$M264+VLOOKUP($E264,#REF!,4,FALSE)*VLOOKUP($E264,#REF!,COLUMN(Y$7)-4,FALSE)/$M264</f>
        <v>#REF!</v>
      </c>
      <c r="Z264" s="560" t="e">
        <f>VLOOKUP($E264,$E$14:$H$22,4,FALSE)*VLOOKUP($E264,$E$14:$AN$22,COLUMN(Z$7)-4,FALSE)/$M264+VLOOKUP($E264,#REF!,4,FALSE)*VLOOKUP($E264,#REF!,COLUMN(Z$7)-4,FALSE)/$M264</f>
        <v>#REF!</v>
      </c>
      <c r="AA264" s="560" t="e">
        <f>VLOOKUP($E264,$E$14:$H$22,4,FALSE)*VLOOKUP($E264,$E$14:$AN$22,COLUMN(AA$7)-4,FALSE)/$M264+VLOOKUP($E264,#REF!,4,FALSE)*VLOOKUP($E264,#REF!,COLUMN(AA$7)-4,FALSE)/$M264</f>
        <v>#REF!</v>
      </c>
      <c r="AB264" s="560" t="e">
        <f>VLOOKUP($E264,$E$14:$H$22,4,FALSE)*VLOOKUP($E264,$E$14:$AN$22,COLUMN(AB$7)-4,FALSE)/$M264+VLOOKUP($E264,#REF!,4,FALSE)*VLOOKUP($E264,#REF!,COLUMN(AB$7)-4,FALSE)/$M264</f>
        <v>#REF!</v>
      </c>
      <c r="AC264" s="560" t="e">
        <f>VLOOKUP($E264,$E$14:$H$22,4,FALSE)*VLOOKUP($E264,$E$14:$AN$22,COLUMN(AC$7)-4,FALSE)/$M264+VLOOKUP($E264,#REF!,4,FALSE)*VLOOKUP($E264,#REF!,COLUMN(AC$7)-4,FALSE)/$M264</f>
        <v>#REF!</v>
      </c>
      <c r="AD264" s="560" t="e">
        <f>VLOOKUP($E264,$E$14:$H$22,4,FALSE)*VLOOKUP($E264,$E$14:$AN$22,COLUMN(AD$7)-4,FALSE)/$M264+VLOOKUP($E264,#REF!,4,FALSE)*VLOOKUP($E264,#REF!,COLUMN(AD$7)-4,FALSE)/$M264</f>
        <v>#REF!</v>
      </c>
      <c r="AE264" s="560" t="e">
        <f>VLOOKUP($E264,$E$14:$H$22,4,FALSE)*VLOOKUP($E264,$E$14:$AN$22,COLUMN(AE$7)-4,FALSE)/$M264+VLOOKUP($E264,#REF!,4,FALSE)*VLOOKUP($E264,#REF!,COLUMN(AE$7)-4,FALSE)/$M264</f>
        <v>#REF!</v>
      </c>
      <c r="AF264" s="560" t="e">
        <f>VLOOKUP($E264,$E$14:$H$22,4,FALSE)*VLOOKUP($E264,$E$14:$AN$22,COLUMN(AF$7)-4,FALSE)/$M264+VLOOKUP($E264,#REF!,4,FALSE)*VLOOKUP($E264,#REF!,COLUMN(AF$7)-4,FALSE)/$M264</f>
        <v>#REF!</v>
      </c>
      <c r="AG264" s="560" t="e">
        <f>VLOOKUP($E264,$E$14:$H$22,4,FALSE)*VLOOKUP($E264,$E$14:$AN$22,COLUMN(AG$7)-4,FALSE)/$M264+VLOOKUP($E264,#REF!,4,FALSE)*VLOOKUP($E264,#REF!,COLUMN(AG$7)-4,FALSE)/$M264</f>
        <v>#REF!</v>
      </c>
      <c r="AH264" s="560" t="e">
        <f>VLOOKUP($E264,$E$14:$H$22,4,FALSE)*VLOOKUP($E264,$E$14:$AN$22,COLUMN(AH$7)-4,FALSE)/$M264+VLOOKUP($E264,#REF!,4,FALSE)*VLOOKUP($E264,#REF!,COLUMN(AH$7)-4,FALSE)/$M264</f>
        <v>#REF!</v>
      </c>
      <c r="AI264" s="560" t="e">
        <f>VLOOKUP($E264,$E$14:$H$22,4,FALSE)*VLOOKUP($E264,$E$14:$AN$22,COLUMN(AI$7)-4,FALSE)/$M264+VLOOKUP($E264,#REF!,4,FALSE)*VLOOKUP($E264,#REF!,COLUMN(AI$7)-4,FALSE)/$M264</f>
        <v>#REF!</v>
      </c>
      <c r="AJ264" s="560" t="e">
        <f>VLOOKUP($E264,$E$14:$H$22,4,FALSE)*VLOOKUP($E264,$E$14:$AN$22,COLUMN(AJ$7)-4,FALSE)/$M264+VLOOKUP($E264,#REF!,4,FALSE)*VLOOKUP($E264,#REF!,COLUMN(AJ$7)-4,FALSE)/$M264</f>
        <v>#REF!</v>
      </c>
      <c r="AK264" s="560" t="e">
        <f>VLOOKUP($E264,$E$14:$H$22,4,FALSE)*VLOOKUP($E264,$E$14:$AN$22,COLUMN(AK$7)-4,FALSE)/$M264+VLOOKUP($E264,#REF!,4,FALSE)*VLOOKUP($E264,#REF!,COLUMN(AK$7)-4,FALSE)/$M264</f>
        <v>#REF!</v>
      </c>
      <c r="AL264" s="560" t="e">
        <f>VLOOKUP($E264,$E$14:$H$22,4,FALSE)*VLOOKUP($E264,$E$14:$AN$22,COLUMN(AL$7)-4,FALSE)/$M264+VLOOKUP($E264,#REF!,4,FALSE)*VLOOKUP($E264,#REF!,COLUMN(AL$7)-4,FALSE)/$M264</f>
        <v>#REF!</v>
      </c>
      <c r="AM264" s="560" t="e">
        <f>VLOOKUP($E264,$E$14:$H$22,4,FALSE)*VLOOKUP($E264,$E$14:$AN$22,COLUMN(AM$7)-4,FALSE)/$M264+VLOOKUP($E264,#REF!,4,FALSE)*VLOOKUP($E264,#REF!,COLUMN(AM$7)-4,FALSE)/$M264</f>
        <v>#REF!</v>
      </c>
      <c r="AN264" s="560" t="e">
        <f>VLOOKUP($E264,$E$14:$H$22,4,FALSE)*VLOOKUP($E264,$E$14:$AN$22,COLUMN(AN$7)-4,FALSE)/$M264+VLOOKUP($E264,#REF!,4,FALSE)*VLOOKUP($E264,#REF!,COLUMN(AN$7)-4,FALSE)/$M264</f>
        <v>#REF!</v>
      </c>
    </row>
    <row r="265" spans="5:40">
      <c r="E265" s="919" t="e">
        <f>#REF!</f>
        <v>#REF!</v>
      </c>
      <c r="M265" s="560">
        <f>SUMIF(E:E,E265,H:H)</f>
        <v>0</v>
      </c>
      <c r="Q265" s="560" t="e">
        <f>VLOOKUP($E265,$E$14:$H$22,4,FALSE)*VLOOKUP($E265,$E$14:$AN$22,COLUMN(Q$7)-4,FALSE)/$M265+VLOOKUP($E265,#REF!,4,FALSE)*VLOOKUP($E265,#REF!,COLUMN(Q$7)-4,FALSE)/$M265</f>
        <v>#REF!</v>
      </c>
      <c r="R265" s="560" t="e">
        <f>VLOOKUP($E265,$E$14:$H$22,4,FALSE)*VLOOKUP($E265,$E$14:$AN$22,COLUMN(R$7)-4,FALSE)/$M265+VLOOKUP($E265,#REF!,4,FALSE)*VLOOKUP($E265,#REF!,COLUMN(R$7)-4,FALSE)/$M265</f>
        <v>#REF!</v>
      </c>
      <c r="S265" s="560" t="e">
        <f>VLOOKUP($E265,$E$14:$H$22,4,FALSE)*VLOOKUP($E265,$E$14:$AN$22,COLUMN(S$7)-4,FALSE)/$M265+VLOOKUP($E265,#REF!,4,FALSE)*VLOOKUP($E265,#REF!,COLUMN(S$7)-4,FALSE)/$M265</f>
        <v>#REF!</v>
      </c>
      <c r="T265" s="560" t="e">
        <f>VLOOKUP($E265,$E$14:$H$22,4,FALSE)*VLOOKUP($E265,$E$14:$AN$22,COLUMN(T$7)-4,FALSE)/$M265+VLOOKUP($E265,#REF!,4,FALSE)*VLOOKUP($E265,#REF!,COLUMN(T$7)-4,FALSE)/$M265</f>
        <v>#REF!</v>
      </c>
      <c r="U265" s="560" t="e">
        <f>VLOOKUP($E265,$E$14:$H$22,4,FALSE)*VLOOKUP($E265,$E$14:$AN$22,COLUMN(U$7)-4,FALSE)/$M265+VLOOKUP($E265,#REF!,4,FALSE)*VLOOKUP($E265,#REF!,COLUMN(U$7)-4,FALSE)/$M265</f>
        <v>#REF!</v>
      </c>
      <c r="V265" s="560" t="e">
        <f>VLOOKUP($E265,$E$14:$H$22,4,FALSE)*VLOOKUP($E265,$E$14:$AN$22,COLUMN(V$7)-4,FALSE)/$M265+VLOOKUP($E265,#REF!,4,FALSE)*VLOOKUP($E265,#REF!,COLUMN(V$7)-4,FALSE)/$M265</f>
        <v>#REF!</v>
      </c>
      <c r="W265" s="560" t="e">
        <f>VLOOKUP($E265,$E$14:$H$22,4,FALSE)*VLOOKUP($E265,$E$14:$AN$22,COLUMN(W$7)-4,FALSE)/$M265+VLOOKUP($E265,#REF!,4,FALSE)*VLOOKUP($E265,#REF!,COLUMN(W$7)-4,FALSE)/$M265</f>
        <v>#REF!</v>
      </c>
      <c r="X265" s="560" t="e">
        <f>VLOOKUP($E265,$E$14:$H$22,4,FALSE)*VLOOKUP($E265,$E$14:$AN$22,COLUMN(X$7)-4,FALSE)/$M265+VLOOKUP($E265,#REF!,4,FALSE)*VLOOKUP($E265,#REF!,COLUMN(X$7)-4,FALSE)/$M265</f>
        <v>#REF!</v>
      </c>
      <c r="Y265" s="560" t="e">
        <f>VLOOKUP($E265,$E$14:$H$22,4,FALSE)*VLOOKUP($E265,$E$14:$AN$22,COLUMN(Y$7)-4,FALSE)/$M265+VLOOKUP($E265,#REF!,4,FALSE)*VLOOKUP($E265,#REF!,COLUMN(Y$7)-4,FALSE)/$M265</f>
        <v>#REF!</v>
      </c>
      <c r="Z265" s="560" t="e">
        <f>VLOOKUP($E265,$E$14:$H$22,4,FALSE)*VLOOKUP($E265,$E$14:$AN$22,COLUMN(Z$7)-4,FALSE)/$M265+VLOOKUP($E265,#REF!,4,FALSE)*VLOOKUP($E265,#REF!,COLUMN(Z$7)-4,FALSE)/$M265</f>
        <v>#REF!</v>
      </c>
      <c r="AA265" s="560" t="e">
        <f>VLOOKUP($E265,$E$14:$H$22,4,FALSE)*VLOOKUP($E265,$E$14:$AN$22,COLUMN(AA$7)-4,FALSE)/$M265+VLOOKUP($E265,#REF!,4,FALSE)*VLOOKUP($E265,#REF!,COLUMN(AA$7)-4,FALSE)/$M265</f>
        <v>#REF!</v>
      </c>
      <c r="AB265" s="560" t="e">
        <f>VLOOKUP($E265,$E$14:$H$22,4,FALSE)*VLOOKUP($E265,$E$14:$AN$22,COLUMN(AB$7)-4,FALSE)/$M265+VLOOKUP($E265,#REF!,4,FALSE)*VLOOKUP($E265,#REF!,COLUMN(AB$7)-4,FALSE)/$M265</f>
        <v>#REF!</v>
      </c>
      <c r="AC265" s="560" t="e">
        <f>VLOOKUP($E265,$E$14:$H$22,4,FALSE)*VLOOKUP($E265,$E$14:$AN$22,COLUMN(AC$7)-4,FALSE)/$M265+VLOOKUP($E265,#REF!,4,FALSE)*VLOOKUP($E265,#REF!,COLUMN(AC$7)-4,FALSE)/$M265</f>
        <v>#REF!</v>
      </c>
      <c r="AD265" s="560" t="e">
        <f>VLOOKUP($E265,$E$14:$H$22,4,FALSE)*VLOOKUP($E265,$E$14:$AN$22,COLUMN(AD$7)-4,FALSE)/$M265+VLOOKUP($E265,#REF!,4,FALSE)*VLOOKUP($E265,#REF!,COLUMN(AD$7)-4,FALSE)/$M265</f>
        <v>#REF!</v>
      </c>
      <c r="AE265" s="560" t="e">
        <f>VLOOKUP($E265,$E$14:$H$22,4,FALSE)*VLOOKUP($E265,$E$14:$AN$22,COLUMN(AE$7)-4,FALSE)/$M265+VLOOKUP($E265,#REF!,4,FALSE)*VLOOKUP($E265,#REF!,COLUMN(AE$7)-4,FALSE)/$M265</f>
        <v>#REF!</v>
      </c>
      <c r="AF265" s="560" t="e">
        <f>VLOOKUP($E265,$E$14:$H$22,4,FALSE)*VLOOKUP($E265,$E$14:$AN$22,COLUMN(AF$7)-4,FALSE)/$M265+VLOOKUP($E265,#REF!,4,FALSE)*VLOOKUP($E265,#REF!,COLUMN(AF$7)-4,FALSE)/$M265</f>
        <v>#REF!</v>
      </c>
      <c r="AG265" s="560" t="e">
        <f>VLOOKUP($E265,$E$14:$H$22,4,FALSE)*VLOOKUP($E265,$E$14:$AN$22,COLUMN(AG$7)-4,FALSE)/$M265+VLOOKUP($E265,#REF!,4,FALSE)*VLOOKUP($E265,#REF!,COLUMN(AG$7)-4,FALSE)/$M265</f>
        <v>#REF!</v>
      </c>
      <c r="AH265" s="560" t="e">
        <f>VLOOKUP($E265,$E$14:$H$22,4,FALSE)*VLOOKUP($E265,$E$14:$AN$22,COLUMN(AH$7)-4,FALSE)/$M265+VLOOKUP($E265,#REF!,4,FALSE)*VLOOKUP($E265,#REF!,COLUMN(AH$7)-4,FALSE)/$M265</f>
        <v>#REF!</v>
      </c>
      <c r="AI265" s="560" t="e">
        <f>VLOOKUP($E265,$E$14:$H$22,4,FALSE)*VLOOKUP($E265,$E$14:$AN$22,COLUMN(AI$7)-4,FALSE)/$M265+VLOOKUP($E265,#REF!,4,FALSE)*VLOOKUP($E265,#REF!,COLUMN(AI$7)-4,FALSE)/$M265</f>
        <v>#REF!</v>
      </c>
      <c r="AJ265" s="560" t="e">
        <f>VLOOKUP($E265,$E$14:$H$22,4,FALSE)*VLOOKUP($E265,$E$14:$AN$22,COLUMN(AJ$7)-4,FALSE)/$M265+VLOOKUP($E265,#REF!,4,FALSE)*VLOOKUP($E265,#REF!,COLUMN(AJ$7)-4,FALSE)/$M265</f>
        <v>#REF!</v>
      </c>
      <c r="AK265" s="560" t="e">
        <f>VLOOKUP($E265,$E$14:$H$22,4,FALSE)*VLOOKUP($E265,$E$14:$AN$22,COLUMN(AK$7)-4,FALSE)/$M265+VLOOKUP($E265,#REF!,4,FALSE)*VLOOKUP($E265,#REF!,COLUMN(AK$7)-4,FALSE)/$M265</f>
        <v>#REF!</v>
      </c>
      <c r="AL265" s="560" t="e">
        <f>VLOOKUP($E265,$E$14:$H$22,4,FALSE)*VLOOKUP($E265,$E$14:$AN$22,COLUMN(AL$7)-4,FALSE)/$M265+VLOOKUP($E265,#REF!,4,FALSE)*VLOOKUP($E265,#REF!,COLUMN(AL$7)-4,FALSE)/$M265</f>
        <v>#REF!</v>
      </c>
      <c r="AM265" s="560" t="e">
        <f>VLOOKUP($E265,$E$14:$H$22,4,FALSE)*VLOOKUP($E265,$E$14:$AN$22,COLUMN(AM$7)-4,FALSE)/$M265+VLOOKUP($E265,#REF!,4,FALSE)*VLOOKUP($E265,#REF!,COLUMN(AM$7)-4,FALSE)/$M265</f>
        <v>#REF!</v>
      </c>
      <c r="AN265" s="560" t="e">
        <f>VLOOKUP($E265,$E$14:$H$22,4,FALSE)*VLOOKUP($E265,$E$14:$AN$22,COLUMN(AN$7)-4,FALSE)/$M265+VLOOKUP($E265,#REF!,4,FALSE)*VLOOKUP($E265,#REF!,COLUMN(AN$7)-4,FALSE)/$M265</f>
        <v>#REF!</v>
      </c>
    </row>
    <row r="266" spans="5:40">
      <c r="E266" s="919" t="e">
        <f>#REF!</f>
        <v>#REF!</v>
      </c>
      <c r="M266" s="560">
        <f>SUMIF(E:E,E266,H:H)</f>
        <v>0</v>
      </c>
      <c r="Q266" s="560" t="e">
        <f>VLOOKUP($E266,$E$14:$H$22,4,FALSE)*VLOOKUP($E266,$E$14:$AN$22,COLUMN(Q$7)-4,FALSE)/$M266+VLOOKUP($E266,#REF!,4,FALSE)*VLOOKUP($E266,#REF!,COLUMN(Q$7)-4,FALSE)/$M266</f>
        <v>#REF!</v>
      </c>
      <c r="R266" s="560" t="e">
        <f>VLOOKUP($E266,$E$14:$H$22,4,FALSE)*VLOOKUP($E266,$E$14:$AN$22,COLUMN(R$7)-4,FALSE)/$M266+VLOOKUP($E266,#REF!,4,FALSE)*VLOOKUP($E266,#REF!,COLUMN(R$7)-4,FALSE)/$M266</f>
        <v>#REF!</v>
      </c>
      <c r="S266" s="560" t="e">
        <f>VLOOKUP($E266,$E$14:$H$22,4,FALSE)*VLOOKUP($E266,$E$14:$AN$22,COLUMN(S$7)-4,FALSE)/$M266+VLOOKUP($E266,#REF!,4,FALSE)*VLOOKUP($E266,#REF!,COLUMN(S$7)-4,FALSE)/$M266</f>
        <v>#REF!</v>
      </c>
      <c r="T266" s="560" t="e">
        <f>VLOOKUP($E266,$E$14:$H$22,4,FALSE)*VLOOKUP($E266,$E$14:$AN$22,COLUMN(T$7)-4,FALSE)/$M266+VLOOKUP($E266,#REF!,4,FALSE)*VLOOKUP($E266,#REF!,COLUMN(T$7)-4,FALSE)/$M266</f>
        <v>#REF!</v>
      </c>
      <c r="U266" s="560" t="e">
        <f>VLOOKUP($E266,$E$14:$H$22,4,FALSE)*VLOOKUP($E266,$E$14:$AN$22,COLUMN(U$7)-4,FALSE)/$M266+VLOOKUP($E266,#REF!,4,FALSE)*VLOOKUP($E266,#REF!,COLUMN(U$7)-4,FALSE)/$M266</f>
        <v>#REF!</v>
      </c>
      <c r="V266" s="560" t="e">
        <f>VLOOKUP($E266,$E$14:$H$22,4,FALSE)*VLOOKUP($E266,$E$14:$AN$22,COLUMN(V$7)-4,FALSE)/$M266+VLOOKUP($E266,#REF!,4,FALSE)*VLOOKUP($E266,#REF!,COLUMN(V$7)-4,FALSE)/$M266</f>
        <v>#REF!</v>
      </c>
      <c r="W266" s="560" t="e">
        <f>VLOOKUP($E266,$E$14:$H$22,4,FALSE)*VLOOKUP($E266,$E$14:$AN$22,COLUMN(W$7)-4,FALSE)/$M266+VLOOKUP($E266,#REF!,4,FALSE)*VLOOKUP($E266,#REF!,COLUMN(W$7)-4,FALSE)/$M266</f>
        <v>#REF!</v>
      </c>
      <c r="X266" s="560" t="e">
        <f>VLOOKUP($E266,$E$14:$H$22,4,FALSE)*VLOOKUP($E266,$E$14:$AN$22,COLUMN(X$7)-4,FALSE)/$M266+VLOOKUP($E266,#REF!,4,FALSE)*VLOOKUP($E266,#REF!,COLUMN(X$7)-4,FALSE)/$M266</f>
        <v>#REF!</v>
      </c>
      <c r="Y266" s="560" t="e">
        <f>VLOOKUP($E266,$E$14:$H$22,4,FALSE)*VLOOKUP($E266,$E$14:$AN$22,COLUMN(Y$7)-4,FALSE)/$M266+VLOOKUP($E266,#REF!,4,FALSE)*VLOOKUP($E266,#REF!,COLUMN(Y$7)-4,FALSE)/$M266</f>
        <v>#REF!</v>
      </c>
      <c r="Z266" s="560" t="e">
        <f>VLOOKUP($E266,$E$14:$H$22,4,FALSE)*VLOOKUP($E266,$E$14:$AN$22,COLUMN(Z$7)-4,FALSE)/$M266+VLOOKUP($E266,#REF!,4,FALSE)*VLOOKUP($E266,#REF!,COLUMN(Z$7)-4,FALSE)/$M266</f>
        <v>#REF!</v>
      </c>
      <c r="AA266" s="560" t="e">
        <f>VLOOKUP($E266,$E$14:$H$22,4,FALSE)*VLOOKUP($E266,$E$14:$AN$22,COLUMN(AA$7)-4,FALSE)/$M266+VLOOKUP($E266,#REF!,4,FALSE)*VLOOKUP($E266,#REF!,COLUMN(AA$7)-4,FALSE)/$M266</f>
        <v>#REF!</v>
      </c>
      <c r="AB266" s="560" t="e">
        <f>VLOOKUP($E266,$E$14:$H$22,4,FALSE)*VLOOKUP($E266,$E$14:$AN$22,COLUMN(AB$7)-4,FALSE)/$M266+VLOOKUP($E266,#REF!,4,FALSE)*VLOOKUP($E266,#REF!,COLUMN(AB$7)-4,FALSE)/$M266</f>
        <v>#REF!</v>
      </c>
      <c r="AC266" s="560" t="e">
        <f>VLOOKUP($E266,$E$14:$H$22,4,FALSE)*VLOOKUP($E266,$E$14:$AN$22,COLUMN(AC$7)-4,FALSE)/$M266+VLOOKUP($E266,#REF!,4,FALSE)*VLOOKUP($E266,#REF!,COLUMN(AC$7)-4,FALSE)/$M266</f>
        <v>#REF!</v>
      </c>
      <c r="AD266" s="560" t="e">
        <f>VLOOKUP($E266,$E$14:$H$22,4,FALSE)*VLOOKUP($E266,$E$14:$AN$22,COLUMN(AD$7)-4,FALSE)/$M266+VLOOKUP($E266,#REF!,4,FALSE)*VLOOKUP($E266,#REF!,COLUMN(AD$7)-4,FALSE)/$M266</f>
        <v>#REF!</v>
      </c>
      <c r="AE266" s="560" t="e">
        <f>VLOOKUP($E266,$E$14:$H$22,4,FALSE)*VLOOKUP($E266,$E$14:$AN$22,COLUMN(AE$7)-4,FALSE)/$M266+VLOOKUP($E266,#REF!,4,FALSE)*VLOOKUP($E266,#REF!,COLUMN(AE$7)-4,FALSE)/$M266</f>
        <v>#REF!</v>
      </c>
      <c r="AF266" s="560" t="e">
        <f>VLOOKUP($E266,$E$14:$H$22,4,FALSE)*VLOOKUP($E266,$E$14:$AN$22,COLUMN(AF$7)-4,FALSE)/$M266+VLOOKUP($E266,#REF!,4,FALSE)*VLOOKUP($E266,#REF!,COLUMN(AF$7)-4,FALSE)/$M266</f>
        <v>#REF!</v>
      </c>
      <c r="AG266" s="560" t="e">
        <f>VLOOKUP($E266,$E$14:$H$22,4,FALSE)*VLOOKUP($E266,$E$14:$AN$22,COLUMN(AG$7)-4,FALSE)/$M266+VLOOKUP($E266,#REF!,4,FALSE)*VLOOKUP($E266,#REF!,COLUMN(AG$7)-4,FALSE)/$M266</f>
        <v>#REF!</v>
      </c>
      <c r="AH266" s="560" t="e">
        <f>VLOOKUP($E266,$E$14:$H$22,4,FALSE)*VLOOKUP($E266,$E$14:$AN$22,COLUMN(AH$7)-4,FALSE)/$M266+VLOOKUP($E266,#REF!,4,FALSE)*VLOOKUP($E266,#REF!,COLUMN(AH$7)-4,FALSE)/$M266</f>
        <v>#REF!</v>
      </c>
      <c r="AI266" s="560" t="e">
        <f>VLOOKUP($E266,$E$14:$H$22,4,FALSE)*VLOOKUP($E266,$E$14:$AN$22,COLUMN(AI$7)-4,FALSE)/$M266+VLOOKUP($E266,#REF!,4,FALSE)*VLOOKUP($E266,#REF!,COLUMN(AI$7)-4,FALSE)/$M266</f>
        <v>#REF!</v>
      </c>
      <c r="AJ266" s="560" t="e">
        <f>VLOOKUP($E266,$E$14:$H$22,4,FALSE)*VLOOKUP($E266,$E$14:$AN$22,COLUMN(AJ$7)-4,FALSE)/$M266+VLOOKUP($E266,#REF!,4,FALSE)*VLOOKUP($E266,#REF!,COLUMN(AJ$7)-4,FALSE)/$M266</f>
        <v>#REF!</v>
      </c>
      <c r="AK266" s="560" t="e">
        <f>VLOOKUP($E266,$E$14:$H$22,4,FALSE)*VLOOKUP($E266,$E$14:$AN$22,COLUMN(AK$7)-4,FALSE)/$M266+VLOOKUP($E266,#REF!,4,FALSE)*VLOOKUP($E266,#REF!,COLUMN(AK$7)-4,FALSE)/$M266</f>
        <v>#REF!</v>
      </c>
      <c r="AL266" s="560" t="e">
        <f>VLOOKUP($E266,$E$14:$H$22,4,FALSE)*VLOOKUP($E266,$E$14:$AN$22,COLUMN(AL$7)-4,FALSE)/$M266+VLOOKUP($E266,#REF!,4,FALSE)*VLOOKUP($E266,#REF!,COLUMN(AL$7)-4,FALSE)/$M266</f>
        <v>#REF!</v>
      </c>
      <c r="AM266" s="560" t="e">
        <f>VLOOKUP($E266,$E$14:$H$22,4,FALSE)*VLOOKUP($E266,$E$14:$AN$22,COLUMN(AM$7)-4,FALSE)/$M266+VLOOKUP($E266,#REF!,4,FALSE)*VLOOKUP($E266,#REF!,COLUMN(AM$7)-4,FALSE)/$M266</f>
        <v>#REF!</v>
      </c>
      <c r="AN266" s="560" t="e">
        <f>VLOOKUP($E266,$E$14:$H$22,4,FALSE)*VLOOKUP($E266,$E$14:$AN$22,COLUMN(AN$7)-4,FALSE)/$M266+VLOOKUP($E266,#REF!,4,FALSE)*VLOOKUP($E266,#REF!,COLUMN(AN$7)-4,FALSE)/$M266</f>
        <v>#REF!</v>
      </c>
    </row>
    <row r="267" spans="5:40">
      <c r="E267" s="919" t="e">
        <f>#REF!</f>
        <v>#REF!</v>
      </c>
      <c r="M267" s="560">
        <f>SUMIF(E:E,E267,H:H)</f>
        <v>0</v>
      </c>
      <c r="Q267" s="560" t="e">
        <f>VLOOKUP($E267,$E$14:$H$22,4,FALSE)*VLOOKUP($E267,$E$14:$AN$22,COLUMN(Q$7)-4,FALSE)/$M267+VLOOKUP($E267,#REF!,4,FALSE)*VLOOKUP($E267,#REF!,COLUMN(Q$7)-4,FALSE)/$M267</f>
        <v>#REF!</v>
      </c>
      <c r="R267" s="560" t="e">
        <f>VLOOKUP($E267,$E$14:$H$22,4,FALSE)*VLOOKUP($E267,$E$14:$AN$22,COLUMN(R$7)-4,FALSE)/$M267+VLOOKUP($E267,#REF!,4,FALSE)*VLOOKUP($E267,#REF!,COLUMN(R$7)-4,FALSE)/$M267</f>
        <v>#REF!</v>
      </c>
      <c r="S267" s="560" t="e">
        <f>VLOOKUP($E267,$E$14:$H$22,4,FALSE)*VLOOKUP($E267,$E$14:$AN$22,COLUMN(S$7)-4,FALSE)/$M267+VLOOKUP($E267,#REF!,4,FALSE)*VLOOKUP($E267,#REF!,COLUMN(S$7)-4,FALSE)/$M267</f>
        <v>#REF!</v>
      </c>
      <c r="T267" s="560" t="e">
        <f>VLOOKUP($E267,$E$14:$H$22,4,FALSE)*VLOOKUP($E267,$E$14:$AN$22,COLUMN(T$7)-4,FALSE)/$M267+VLOOKUP($E267,#REF!,4,FALSE)*VLOOKUP($E267,#REF!,COLUMN(T$7)-4,FALSE)/$M267</f>
        <v>#REF!</v>
      </c>
      <c r="U267" s="560" t="e">
        <f>VLOOKUP($E267,$E$14:$H$22,4,FALSE)*VLOOKUP($E267,$E$14:$AN$22,COLUMN(U$7)-4,FALSE)/$M267+VLOOKUP($E267,#REF!,4,FALSE)*VLOOKUP($E267,#REF!,COLUMN(U$7)-4,FALSE)/$M267</f>
        <v>#REF!</v>
      </c>
      <c r="V267" s="560" t="e">
        <f>VLOOKUP($E267,$E$14:$H$22,4,FALSE)*VLOOKUP($E267,$E$14:$AN$22,COLUMN(V$7)-4,FALSE)/$M267+VLOOKUP($E267,#REF!,4,FALSE)*VLOOKUP($E267,#REF!,COLUMN(V$7)-4,FALSE)/$M267</f>
        <v>#REF!</v>
      </c>
      <c r="W267" s="560" t="e">
        <f>VLOOKUP($E267,$E$14:$H$22,4,FALSE)*VLOOKUP($E267,$E$14:$AN$22,COLUMN(W$7)-4,FALSE)/$M267+VLOOKUP($E267,#REF!,4,FALSE)*VLOOKUP($E267,#REF!,COLUMN(W$7)-4,FALSE)/$M267</f>
        <v>#REF!</v>
      </c>
      <c r="X267" s="560" t="e">
        <f>VLOOKUP($E267,$E$14:$H$22,4,FALSE)*VLOOKUP($E267,$E$14:$AN$22,COLUMN(X$7)-4,FALSE)/$M267+VLOOKUP($E267,#REF!,4,FALSE)*VLOOKUP($E267,#REF!,COLUMN(X$7)-4,FALSE)/$M267</f>
        <v>#REF!</v>
      </c>
      <c r="Y267" s="560" t="e">
        <f>VLOOKUP($E267,$E$14:$H$22,4,FALSE)*VLOOKUP($E267,$E$14:$AN$22,COLUMN(Y$7)-4,FALSE)/$M267+VLOOKUP($E267,#REF!,4,FALSE)*VLOOKUP($E267,#REF!,COLUMN(Y$7)-4,FALSE)/$M267</f>
        <v>#REF!</v>
      </c>
      <c r="Z267" s="560" t="e">
        <f>VLOOKUP($E267,$E$14:$H$22,4,FALSE)*VLOOKUP($E267,$E$14:$AN$22,COLUMN(Z$7)-4,FALSE)/$M267+VLOOKUP($E267,#REF!,4,FALSE)*VLOOKUP($E267,#REF!,COLUMN(Z$7)-4,FALSE)/$M267</f>
        <v>#REF!</v>
      </c>
      <c r="AA267" s="560" t="e">
        <f>VLOOKUP($E267,$E$14:$H$22,4,FALSE)*VLOOKUP($E267,$E$14:$AN$22,COLUMN(AA$7)-4,FALSE)/$M267+VLOOKUP($E267,#REF!,4,FALSE)*VLOOKUP($E267,#REF!,COLUMN(AA$7)-4,FALSE)/$M267</f>
        <v>#REF!</v>
      </c>
      <c r="AB267" s="560" t="e">
        <f>VLOOKUP($E267,$E$14:$H$22,4,FALSE)*VLOOKUP($E267,$E$14:$AN$22,COLUMN(AB$7)-4,FALSE)/$M267+VLOOKUP($E267,#REF!,4,FALSE)*VLOOKUP($E267,#REF!,COLUMN(AB$7)-4,FALSE)/$M267</f>
        <v>#REF!</v>
      </c>
      <c r="AC267" s="560" t="e">
        <f>VLOOKUP($E267,$E$14:$H$22,4,FALSE)*VLOOKUP($E267,$E$14:$AN$22,COLUMN(AC$7)-4,FALSE)/$M267+VLOOKUP($E267,#REF!,4,FALSE)*VLOOKUP($E267,#REF!,COLUMN(AC$7)-4,FALSE)/$M267</f>
        <v>#REF!</v>
      </c>
      <c r="AD267" s="560" t="e">
        <f>VLOOKUP($E267,$E$14:$H$22,4,FALSE)*VLOOKUP($E267,$E$14:$AN$22,COLUMN(AD$7)-4,FALSE)/$M267+VLOOKUP($E267,#REF!,4,FALSE)*VLOOKUP($E267,#REF!,COLUMN(AD$7)-4,FALSE)/$M267</f>
        <v>#REF!</v>
      </c>
      <c r="AE267" s="560" t="e">
        <f>VLOOKUP($E267,$E$14:$H$22,4,FALSE)*VLOOKUP($E267,$E$14:$AN$22,COLUMN(AE$7)-4,FALSE)/$M267+VLOOKUP($E267,#REF!,4,FALSE)*VLOOKUP($E267,#REF!,COLUMN(AE$7)-4,FALSE)/$M267</f>
        <v>#REF!</v>
      </c>
      <c r="AF267" s="560" t="e">
        <f>VLOOKUP($E267,$E$14:$H$22,4,FALSE)*VLOOKUP($E267,$E$14:$AN$22,COLUMN(AF$7)-4,FALSE)/$M267+VLOOKUP($E267,#REF!,4,FALSE)*VLOOKUP($E267,#REF!,COLUMN(AF$7)-4,FALSE)/$M267</f>
        <v>#REF!</v>
      </c>
      <c r="AG267" s="560" t="e">
        <f>VLOOKUP($E267,$E$14:$H$22,4,FALSE)*VLOOKUP($E267,$E$14:$AN$22,COLUMN(AG$7)-4,FALSE)/$M267+VLOOKUP($E267,#REF!,4,FALSE)*VLOOKUP($E267,#REF!,COLUMN(AG$7)-4,FALSE)/$M267</f>
        <v>#REF!</v>
      </c>
      <c r="AH267" s="560" t="e">
        <f>VLOOKUP($E267,$E$14:$H$22,4,FALSE)*VLOOKUP($E267,$E$14:$AN$22,COLUMN(AH$7)-4,FALSE)/$M267+VLOOKUP($E267,#REF!,4,FALSE)*VLOOKUP($E267,#REF!,COLUMN(AH$7)-4,FALSE)/$M267</f>
        <v>#REF!</v>
      </c>
      <c r="AI267" s="560" t="e">
        <f>VLOOKUP($E267,$E$14:$H$22,4,FALSE)*VLOOKUP($E267,$E$14:$AN$22,COLUMN(AI$7)-4,FALSE)/$M267+VLOOKUP($E267,#REF!,4,FALSE)*VLOOKUP($E267,#REF!,COLUMN(AI$7)-4,FALSE)/$M267</f>
        <v>#REF!</v>
      </c>
      <c r="AJ267" s="560" t="e">
        <f>VLOOKUP($E267,$E$14:$H$22,4,FALSE)*VLOOKUP($E267,$E$14:$AN$22,COLUMN(AJ$7)-4,FALSE)/$M267+VLOOKUP($E267,#REF!,4,FALSE)*VLOOKUP($E267,#REF!,COLUMN(AJ$7)-4,FALSE)/$M267</f>
        <v>#REF!</v>
      </c>
      <c r="AK267" s="560" t="e">
        <f>VLOOKUP($E267,$E$14:$H$22,4,FALSE)*VLOOKUP($E267,$E$14:$AN$22,COLUMN(AK$7)-4,FALSE)/$M267+VLOOKUP($E267,#REF!,4,FALSE)*VLOOKUP($E267,#REF!,COLUMN(AK$7)-4,FALSE)/$M267</f>
        <v>#REF!</v>
      </c>
      <c r="AL267" s="560" t="e">
        <f>VLOOKUP($E267,$E$14:$H$22,4,FALSE)*VLOOKUP($E267,$E$14:$AN$22,COLUMN(AL$7)-4,FALSE)/$M267+VLOOKUP($E267,#REF!,4,FALSE)*VLOOKUP($E267,#REF!,COLUMN(AL$7)-4,FALSE)/$M267</f>
        <v>#REF!</v>
      </c>
      <c r="AM267" s="560" t="e">
        <f>VLOOKUP($E267,$E$14:$H$22,4,FALSE)*VLOOKUP($E267,$E$14:$AN$22,COLUMN(AM$7)-4,FALSE)/$M267+VLOOKUP($E267,#REF!,4,FALSE)*VLOOKUP($E267,#REF!,COLUMN(AM$7)-4,FALSE)/$M267</f>
        <v>#REF!</v>
      </c>
      <c r="AN267" s="560" t="e">
        <f>VLOOKUP($E267,$E$14:$H$22,4,FALSE)*VLOOKUP($E267,$E$14:$AN$22,COLUMN(AN$7)-4,FALSE)/$M267+VLOOKUP($E267,#REF!,4,FALSE)*VLOOKUP($E267,#REF!,COLUMN(AN$7)-4,FALSE)/$M267</f>
        <v>#REF!</v>
      </c>
    </row>
    <row r="268" spans="5:40">
      <c r="E268" s="919" t="e">
        <f>#REF!</f>
        <v>#REF!</v>
      </c>
      <c r="M268" s="560">
        <f>SUMIF(E:E,E268,H:H)</f>
        <v>0</v>
      </c>
      <c r="Q268" s="560" t="e">
        <f>VLOOKUP($E268,$E$14:$H$22,4,FALSE)*VLOOKUP($E268,$E$14:$AN$22,COLUMN(Q$7)-4,FALSE)/$M268+VLOOKUP($E268,#REF!,4,FALSE)*VLOOKUP($E268,#REF!,COLUMN(Q$7)-4,FALSE)/$M268</f>
        <v>#REF!</v>
      </c>
      <c r="R268" s="560" t="e">
        <f>VLOOKUP($E268,$E$14:$H$22,4,FALSE)*VLOOKUP($E268,$E$14:$AN$22,COLUMN(R$7)-4,FALSE)/$M268+VLOOKUP($E268,#REF!,4,FALSE)*VLOOKUP($E268,#REF!,COLUMN(R$7)-4,FALSE)/$M268</f>
        <v>#REF!</v>
      </c>
      <c r="S268" s="560" t="e">
        <f>VLOOKUP($E268,$E$14:$H$22,4,FALSE)*VLOOKUP($E268,$E$14:$AN$22,COLUMN(S$7)-4,FALSE)/$M268+VLOOKUP($E268,#REF!,4,FALSE)*VLOOKUP($E268,#REF!,COLUMN(S$7)-4,FALSE)/$M268</f>
        <v>#REF!</v>
      </c>
      <c r="T268" s="560" t="e">
        <f>VLOOKUP($E268,$E$14:$H$22,4,FALSE)*VLOOKUP($E268,$E$14:$AN$22,COLUMN(T$7)-4,FALSE)/$M268+VLOOKUP($E268,#REF!,4,FALSE)*VLOOKUP($E268,#REF!,COLUMN(T$7)-4,FALSE)/$M268</f>
        <v>#REF!</v>
      </c>
      <c r="U268" s="560" t="e">
        <f>VLOOKUP($E268,$E$14:$H$22,4,FALSE)*VLOOKUP($E268,$E$14:$AN$22,COLUMN(U$7)-4,FALSE)/$M268+VLOOKUP($E268,#REF!,4,FALSE)*VLOOKUP($E268,#REF!,COLUMN(U$7)-4,FALSE)/$M268</f>
        <v>#REF!</v>
      </c>
      <c r="V268" s="560" t="e">
        <f>VLOOKUP($E268,$E$14:$H$22,4,FALSE)*VLOOKUP($E268,$E$14:$AN$22,COLUMN(V$7)-4,FALSE)/$M268+VLOOKUP($E268,#REF!,4,FALSE)*VLOOKUP($E268,#REF!,COLUMN(V$7)-4,FALSE)/$M268</f>
        <v>#REF!</v>
      </c>
      <c r="W268" s="560" t="e">
        <f>VLOOKUP($E268,$E$14:$H$22,4,FALSE)*VLOOKUP($E268,$E$14:$AN$22,COLUMN(W$7)-4,FALSE)/$M268+VLOOKUP($E268,#REF!,4,FALSE)*VLOOKUP($E268,#REF!,COLUMN(W$7)-4,FALSE)/$M268</f>
        <v>#REF!</v>
      </c>
      <c r="X268" s="560" t="e">
        <f>VLOOKUP($E268,$E$14:$H$22,4,FALSE)*VLOOKUP($E268,$E$14:$AN$22,COLUMN(X$7)-4,FALSE)/$M268+VLOOKUP($E268,#REF!,4,FALSE)*VLOOKUP($E268,#REF!,COLUMN(X$7)-4,FALSE)/$M268</f>
        <v>#REF!</v>
      </c>
      <c r="Y268" s="560" t="e">
        <f>VLOOKUP($E268,$E$14:$H$22,4,FALSE)*VLOOKUP($E268,$E$14:$AN$22,COLUMN(Y$7)-4,FALSE)/$M268+VLOOKUP($E268,#REF!,4,FALSE)*VLOOKUP($E268,#REF!,COLUMN(Y$7)-4,FALSE)/$M268</f>
        <v>#REF!</v>
      </c>
      <c r="Z268" s="560" t="e">
        <f>VLOOKUP($E268,$E$14:$H$22,4,FALSE)*VLOOKUP($E268,$E$14:$AN$22,COLUMN(Z$7)-4,FALSE)/$M268+VLOOKUP($E268,#REF!,4,FALSE)*VLOOKUP($E268,#REF!,COLUMN(Z$7)-4,FALSE)/$M268</f>
        <v>#REF!</v>
      </c>
      <c r="AA268" s="560" t="e">
        <f>VLOOKUP($E268,$E$14:$H$22,4,FALSE)*VLOOKUP($E268,$E$14:$AN$22,COLUMN(AA$7)-4,FALSE)/$M268+VLOOKUP($E268,#REF!,4,FALSE)*VLOOKUP($E268,#REF!,COLUMN(AA$7)-4,FALSE)/$M268</f>
        <v>#REF!</v>
      </c>
      <c r="AB268" s="560" t="e">
        <f>VLOOKUP($E268,$E$14:$H$22,4,FALSE)*VLOOKUP($E268,$E$14:$AN$22,COLUMN(AB$7)-4,FALSE)/$M268+VLOOKUP($E268,#REF!,4,FALSE)*VLOOKUP($E268,#REF!,COLUMN(AB$7)-4,FALSE)/$M268</f>
        <v>#REF!</v>
      </c>
      <c r="AC268" s="560" t="e">
        <f>VLOOKUP($E268,$E$14:$H$22,4,FALSE)*VLOOKUP($E268,$E$14:$AN$22,COLUMN(AC$7)-4,FALSE)/$M268+VLOOKUP($E268,#REF!,4,FALSE)*VLOOKUP($E268,#REF!,COLUMN(AC$7)-4,FALSE)/$M268</f>
        <v>#REF!</v>
      </c>
      <c r="AD268" s="560" t="e">
        <f>VLOOKUP($E268,$E$14:$H$22,4,FALSE)*VLOOKUP($E268,$E$14:$AN$22,COLUMN(AD$7)-4,FALSE)/$M268+VLOOKUP($E268,#REF!,4,FALSE)*VLOOKUP($E268,#REF!,COLUMN(AD$7)-4,FALSE)/$M268</f>
        <v>#REF!</v>
      </c>
      <c r="AE268" s="560" t="e">
        <f>VLOOKUP($E268,$E$14:$H$22,4,FALSE)*VLOOKUP($E268,$E$14:$AN$22,COLUMN(AE$7)-4,FALSE)/$M268+VLOOKUP($E268,#REF!,4,FALSE)*VLOOKUP($E268,#REF!,COLUMN(AE$7)-4,FALSE)/$M268</f>
        <v>#REF!</v>
      </c>
      <c r="AF268" s="560" t="e">
        <f>VLOOKUP($E268,$E$14:$H$22,4,FALSE)*VLOOKUP($E268,$E$14:$AN$22,COLUMN(AF$7)-4,FALSE)/$M268+VLOOKUP($E268,#REF!,4,FALSE)*VLOOKUP($E268,#REF!,COLUMN(AF$7)-4,FALSE)/$M268</f>
        <v>#REF!</v>
      </c>
      <c r="AG268" s="560" t="e">
        <f>VLOOKUP($E268,$E$14:$H$22,4,FALSE)*VLOOKUP($E268,$E$14:$AN$22,COLUMN(AG$7)-4,FALSE)/$M268+VLOOKUP($E268,#REF!,4,FALSE)*VLOOKUP($E268,#REF!,COLUMN(AG$7)-4,FALSE)/$M268</f>
        <v>#REF!</v>
      </c>
      <c r="AH268" s="560" t="e">
        <f>VLOOKUP($E268,$E$14:$H$22,4,FALSE)*VLOOKUP($E268,$E$14:$AN$22,COLUMN(AH$7)-4,FALSE)/$M268+VLOOKUP($E268,#REF!,4,FALSE)*VLOOKUP($E268,#REF!,COLUMN(AH$7)-4,FALSE)/$M268</f>
        <v>#REF!</v>
      </c>
      <c r="AI268" s="560" t="e">
        <f>VLOOKUP($E268,$E$14:$H$22,4,FALSE)*VLOOKUP($E268,$E$14:$AN$22,COLUMN(AI$7)-4,FALSE)/$M268+VLOOKUP($E268,#REF!,4,FALSE)*VLOOKUP($E268,#REF!,COLUMN(AI$7)-4,FALSE)/$M268</f>
        <v>#REF!</v>
      </c>
      <c r="AJ268" s="560" t="e">
        <f>VLOOKUP($E268,$E$14:$H$22,4,FALSE)*VLOOKUP($E268,$E$14:$AN$22,COLUMN(AJ$7)-4,FALSE)/$M268+VLOOKUP($E268,#REF!,4,FALSE)*VLOOKUP($E268,#REF!,COLUMN(AJ$7)-4,FALSE)/$M268</f>
        <v>#REF!</v>
      </c>
      <c r="AK268" s="560" t="e">
        <f>VLOOKUP($E268,$E$14:$H$22,4,FALSE)*VLOOKUP($E268,$E$14:$AN$22,COLUMN(AK$7)-4,FALSE)/$M268+VLOOKUP($E268,#REF!,4,FALSE)*VLOOKUP($E268,#REF!,COLUMN(AK$7)-4,FALSE)/$M268</f>
        <v>#REF!</v>
      </c>
      <c r="AL268" s="560" t="e">
        <f>VLOOKUP($E268,$E$14:$H$22,4,FALSE)*VLOOKUP($E268,$E$14:$AN$22,COLUMN(AL$7)-4,FALSE)/$M268+VLOOKUP($E268,#REF!,4,FALSE)*VLOOKUP($E268,#REF!,COLUMN(AL$7)-4,FALSE)/$M268</f>
        <v>#REF!</v>
      </c>
      <c r="AM268" s="560" t="e">
        <f>VLOOKUP($E268,$E$14:$H$22,4,FALSE)*VLOOKUP($E268,$E$14:$AN$22,COLUMN(AM$7)-4,FALSE)/$M268+VLOOKUP($E268,#REF!,4,FALSE)*VLOOKUP($E268,#REF!,COLUMN(AM$7)-4,FALSE)/$M268</f>
        <v>#REF!</v>
      </c>
      <c r="AN268" s="560" t="e">
        <f>VLOOKUP($E268,$E$14:$H$22,4,FALSE)*VLOOKUP($E268,$E$14:$AN$22,COLUMN(AN$7)-4,FALSE)/$M268+VLOOKUP($E268,#REF!,4,FALSE)*VLOOKUP($E268,#REF!,COLUMN(AN$7)-4,FALSE)/$M268</f>
        <v>#REF!</v>
      </c>
    </row>
    <row r="269" spans="5:40">
      <c r="E269" s="919" t="e">
        <f>#REF!</f>
        <v>#REF!</v>
      </c>
      <c r="M269" s="560">
        <f>SUMIF(E:E,E269,H:H)</f>
        <v>0</v>
      </c>
      <c r="Q269" s="560" t="e">
        <f>VLOOKUP($E269,$E$14:$H$22,4,FALSE)*VLOOKUP($E269,$E$14:$AN$22,COLUMN(Q$7)-4,FALSE)/$M269+VLOOKUP($E269,#REF!,4,FALSE)*VLOOKUP($E269,#REF!,COLUMN(Q$7)-4,FALSE)/$M269</f>
        <v>#REF!</v>
      </c>
      <c r="R269" s="560" t="e">
        <f>VLOOKUP($E269,$E$14:$H$22,4,FALSE)*VLOOKUP($E269,$E$14:$AN$22,COLUMN(R$7)-4,FALSE)/$M269+VLOOKUP($E269,#REF!,4,FALSE)*VLOOKUP($E269,#REF!,COLUMN(R$7)-4,FALSE)/$M269</f>
        <v>#REF!</v>
      </c>
      <c r="S269" s="560" t="e">
        <f>VLOOKUP($E269,$E$14:$H$22,4,FALSE)*VLOOKUP($E269,$E$14:$AN$22,COLUMN(S$7)-4,FALSE)/$M269+VLOOKUP($E269,#REF!,4,FALSE)*VLOOKUP($E269,#REF!,COLUMN(S$7)-4,FALSE)/$M269</f>
        <v>#REF!</v>
      </c>
      <c r="T269" s="560" t="e">
        <f>VLOOKUP($E269,$E$14:$H$22,4,FALSE)*VLOOKUP($E269,$E$14:$AN$22,COLUMN(T$7)-4,FALSE)/$M269+VLOOKUP($E269,#REF!,4,FALSE)*VLOOKUP($E269,#REF!,COLUMN(T$7)-4,FALSE)/$M269</f>
        <v>#REF!</v>
      </c>
      <c r="U269" s="560" t="e">
        <f>VLOOKUP($E269,$E$14:$H$22,4,FALSE)*VLOOKUP($E269,$E$14:$AN$22,COLUMN(U$7)-4,FALSE)/$M269+VLOOKUP($E269,#REF!,4,FALSE)*VLOOKUP($E269,#REF!,COLUMN(U$7)-4,FALSE)/$M269</f>
        <v>#REF!</v>
      </c>
      <c r="V269" s="560" t="e">
        <f>VLOOKUP($E269,$E$14:$H$22,4,FALSE)*VLOOKUP($E269,$E$14:$AN$22,COLUMN(V$7)-4,FALSE)/$M269+VLOOKUP($E269,#REF!,4,FALSE)*VLOOKUP($E269,#REF!,COLUMN(V$7)-4,FALSE)/$M269</f>
        <v>#REF!</v>
      </c>
      <c r="W269" s="560" t="e">
        <f>VLOOKUP($E269,$E$14:$H$22,4,FALSE)*VLOOKUP($E269,$E$14:$AN$22,COLUMN(W$7)-4,FALSE)/$M269+VLOOKUP($E269,#REF!,4,FALSE)*VLOOKUP($E269,#REF!,COLUMN(W$7)-4,FALSE)/$M269</f>
        <v>#REF!</v>
      </c>
      <c r="X269" s="560" t="e">
        <f>VLOOKUP($E269,$E$14:$H$22,4,FALSE)*VLOOKUP($E269,$E$14:$AN$22,COLUMN(X$7)-4,FALSE)/$M269+VLOOKUP($E269,#REF!,4,FALSE)*VLOOKUP($E269,#REF!,COLUMN(X$7)-4,FALSE)/$M269</f>
        <v>#REF!</v>
      </c>
      <c r="Y269" s="560" t="e">
        <f>VLOOKUP($E269,$E$14:$H$22,4,FALSE)*VLOOKUP($E269,$E$14:$AN$22,COLUMN(Y$7)-4,FALSE)/$M269+VLOOKUP($E269,#REF!,4,FALSE)*VLOOKUP($E269,#REF!,COLUMN(Y$7)-4,FALSE)/$M269</f>
        <v>#REF!</v>
      </c>
      <c r="Z269" s="560" t="e">
        <f>VLOOKUP($E269,$E$14:$H$22,4,FALSE)*VLOOKUP($E269,$E$14:$AN$22,COLUMN(Z$7)-4,FALSE)/$M269+VLOOKUP($E269,#REF!,4,FALSE)*VLOOKUP($E269,#REF!,COLUMN(Z$7)-4,FALSE)/$M269</f>
        <v>#REF!</v>
      </c>
      <c r="AA269" s="560" t="e">
        <f>VLOOKUP($E269,$E$14:$H$22,4,FALSE)*VLOOKUP($E269,$E$14:$AN$22,COLUMN(AA$7)-4,FALSE)/$M269+VLOOKUP($E269,#REF!,4,FALSE)*VLOOKUP($E269,#REF!,COLUMN(AA$7)-4,FALSE)/$M269</f>
        <v>#REF!</v>
      </c>
      <c r="AB269" s="560" t="e">
        <f>VLOOKUP($E269,$E$14:$H$22,4,FALSE)*VLOOKUP($E269,$E$14:$AN$22,COLUMN(AB$7)-4,FALSE)/$M269+VLOOKUP($E269,#REF!,4,FALSE)*VLOOKUP($E269,#REF!,COLUMN(AB$7)-4,FALSE)/$M269</f>
        <v>#REF!</v>
      </c>
      <c r="AC269" s="560" t="e">
        <f>VLOOKUP($E269,$E$14:$H$22,4,FALSE)*VLOOKUP($E269,$E$14:$AN$22,COLUMN(AC$7)-4,FALSE)/$M269+VLOOKUP($E269,#REF!,4,FALSE)*VLOOKUP($E269,#REF!,COLUMN(AC$7)-4,FALSE)/$M269</f>
        <v>#REF!</v>
      </c>
      <c r="AD269" s="560" t="e">
        <f>VLOOKUP($E269,$E$14:$H$22,4,FALSE)*VLOOKUP($E269,$E$14:$AN$22,COLUMN(AD$7)-4,FALSE)/$M269+VLOOKUP($E269,#REF!,4,FALSE)*VLOOKUP($E269,#REF!,COLUMN(AD$7)-4,FALSE)/$M269</f>
        <v>#REF!</v>
      </c>
      <c r="AE269" s="560" t="e">
        <f>VLOOKUP($E269,$E$14:$H$22,4,FALSE)*VLOOKUP($E269,$E$14:$AN$22,COLUMN(AE$7)-4,FALSE)/$M269+VLOOKUP($E269,#REF!,4,FALSE)*VLOOKUP($E269,#REF!,COLUMN(AE$7)-4,FALSE)/$M269</f>
        <v>#REF!</v>
      </c>
      <c r="AF269" s="560" t="e">
        <f>VLOOKUP($E269,$E$14:$H$22,4,FALSE)*VLOOKUP($E269,$E$14:$AN$22,COLUMN(AF$7)-4,FALSE)/$M269+VLOOKUP($E269,#REF!,4,FALSE)*VLOOKUP($E269,#REF!,COLUMN(AF$7)-4,FALSE)/$M269</f>
        <v>#REF!</v>
      </c>
      <c r="AG269" s="560" t="e">
        <f>VLOOKUP($E269,$E$14:$H$22,4,FALSE)*VLOOKUP($E269,$E$14:$AN$22,COLUMN(AG$7)-4,FALSE)/$M269+VLOOKUP($E269,#REF!,4,FALSE)*VLOOKUP($E269,#REF!,COLUMN(AG$7)-4,FALSE)/$M269</f>
        <v>#REF!</v>
      </c>
      <c r="AH269" s="560" t="e">
        <f>VLOOKUP($E269,$E$14:$H$22,4,FALSE)*VLOOKUP($E269,$E$14:$AN$22,COLUMN(AH$7)-4,FALSE)/$M269+VLOOKUP($E269,#REF!,4,FALSE)*VLOOKUP($E269,#REF!,COLUMN(AH$7)-4,FALSE)/$M269</f>
        <v>#REF!</v>
      </c>
      <c r="AI269" s="560" t="e">
        <f>VLOOKUP($E269,$E$14:$H$22,4,FALSE)*VLOOKUP($E269,$E$14:$AN$22,COLUMN(AI$7)-4,FALSE)/$M269+VLOOKUP($E269,#REF!,4,FALSE)*VLOOKUP($E269,#REF!,COLUMN(AI$7)-4,FALSE)/$M269</f>
        <v>#REF!</v>
      </c>
      <c r="AJ269" s="560" t="e">
        <f>VLOOKUP($E269,$E$14:$H$22,4,FALSE)*VLOOKUP($E269,$E$14:$AN$22,COLUMN(AJ$7)-4,FALSE)/$M269+VLOOKUP($E269,#REF!,4,FALSE)*VLOOKUP($E269,#REF!,COLUMN(AJ$7)-4,FALSE)/$M269</f>
        <v>#REF!</v>
      </c>
      <c r="AK269" s="560" t="e">
        <f>VLOOKUP($E269,$E$14:$H$22,4,FALSE)*VLOOKUP($E269,$E$14:$AN$22,COLUMN(AK$7)-4,FALSE)/$M269+VLOOKUP($E269,#REF!,4,FALSE)*VLOOKUP($E269,#REF!,COLUMN(AK$7)-4,FALSE)/$M269</f>
        <v>#REF!</v>
      </c>
      <c r="AL269" s="560" t="e">
        <f>VLOOKUP($E269,$E$14:$H$22,4,FALSE)*VLOOKUP($E269,$E$14:$AN$22,COLUMN(AL$7)-4,FALSE)/$M269+VLOOKUP($E269,#REF!,4,FALSE)*VLOOKUP($E269,#REF!,COLUMN(AL$7)-4,FALSE)/$M269</f>
        <v>#REF!</v>
      </c>
      <c r="AM269" s="560" t="e">
        <f>VLOOKUP($E269,$E$14:$H$22,4,FALSE)*VLOOKUP($E269,$E$14:$AN$22,COLUMN(AM$7)-4,FALSE)/$M269+VLOOKUP($E269,#REF!,4,FALSE)*VLOOKUP($E269,#REF!,COLUMN(AM$7)-4,FALSE)/$M269</f>
        <v>#REF!</v>
      </c>
      <c r="AN269" s="560" t="e">
        <f>VLOOKUP($E269,$E$14:$H$22,4,FALSE)*VLOOKUP($E269,$E$14:$AN$22,COLUMN(AN$7)-4,FALSE)/$M269+VLOOKUP($E269,#REF!,4,FALSE)*VLOOKUP($E269,#REF!,COLUMN(AN$7)-4,FALSE)/$M269</f>
        <v>#REF!</v>
      </c>
    </row>
    <row r="270" spans="5:40">
      <c r="E270" s="919" t="e">
        <f>#REF!</f>
        <v>#REF!</v>
      </c>
      <c r="M270" s="560">
        <f>SUMIF(E:E,E270,H:H)</f>
        <v>0</v>
      </c>
      <c r="Q270" s="560" t="e">
        <f>VLOOKUP($E270,$E$14:$H$22,4,FALSE)*VLOOKUP($E270,$E$14:$AN$22,COLUMN(Q$7)-4,FALSE)/$M270+VLOOKUP($E270,#REF!,4,FALSE)*VLOOKUP($E270,#REF!,COLUMN(Q$7)-4,FALSE)/$M270</f>
        <v>#REF!</v>
      </c>
      <c r="R270" s="560" t="e">
        <f>VLOOKUP($E270,$E$14:$H$22,4,FALSE)*VLOOKUP($E270,$E$14:$AN$22,COLUMN(R$7)-4,FALSE)/$M270+VLOOKUP($E270,#REF!,4,FALSE)*VLOOKUP($E270,#REF!,COLUMN(R$7)-4,FALSE)/$M270</f>
        <v>#REF!</v>
      </c>
      <c r="S270" s="560" t="e">
        <f>VLOOKUP($E270,$E$14:$H$22,4,FALSE)*VLOOKUP($E270,$E$14:$AN$22,COLUMN(S$7)-4,FALSE)/$M270+VLOOKUP($E270,#REF!,4,FALSE)*VLOOKUP($E270,#REF!,COLUMN(S$7)-4,FALSE)/$M270</f>
        <v>#REF!</v>
      </c>
      <c r="T270" s="560" t="e">
        <f>VLOOKUP($E270,$E$14:$H$22,4,FALSE)*VLOOKUP($E270,$E$14:$AN$22,COLUMN(T$7)-4,FALSE)/$M270+VLOOKUP($E270,#REF!,4,FALSE)*VLOOKUP($E270,#REF!,COLUMN(T$7)-4,FALSE)/$M270</f>
        <v>#REF!</v>
      </c>
      <c r="U270" s="560" t="e">
        <f>VLOOKUP($E270,$E$14:$H$22,4,FALSE)*VLOOKUP($E270,$E$14:$AN$22,COLUMN(U$7)-4,FALSE)/$M270+VLOOKUP($E270,#REF!,4,FALSE)*VLOOKUP($E270,#REF!,COLUMN(U$7)-4,FALSE)/$M270</f>
        <v>#REF!</v>
      </c>
      <c r="V270" s="560" t="e">
        <f>VLOOKUP($E270,$E$14:$H$22,4,FALSE)*VLOOKUP($E270,$E$14:$AN$22,COLUMN(V$7)-4,FALSE)/$M270+VLOOKUP($E270,#REF!,4,FALSE)*VLOOKUP($E270,#REF!,COLUMN(V$7)-4,FALSE)/$M270</f>
        <v>#REF!</v>
      </c>
      <c r="W270" s="560" t="e">
        <f>VLOOKUP($E270,$E$14:$H$22,4,FALSE)*VLOOKUP($E270,$E$14:$AN$22,COLUMN(W$7)-4,FALSE)/$M270+VLOOKUP($E270,#REF!,4,FALSE)*VLOOKUP($E270,#REF!,COLUMN(W$7)-4,FALSE)/$M270</f>
        <v>#REF!</v>
      </c>
      <c r="X270" s="560" t="e">
        <f>VLOOKUP($E270,$E$14:$H$22,4,FALSE)*VLOOKUP($E270,$E$14:$AN$22,COLUMN(X$7)-4,FALSE)/$M270+VLOOKUP($E270,#REF!,4,FALSE)*VLOOKUP($E270,#REF!,COLUMN(X$7)-4,FALSE)/$M270</f>
        <v>#REF!</v>
      </c>
      <c r="Y270" s="560" t="e">
        <f>VLOOKUP($E270,$E$14:$H$22,4,FALSE)*VLOOKUP($E270,$E$14:$AN$22,COLUMN(Y$7)-4,FALSE)/$M270+VLOOKUP($E270,#REF!,4,FALSE)*VLOOKUP($E270,#REF!,COLUMN(Y$7)-4,FALSE)/$M270</f>
        <v>#REF!</v>
      </c>
      <c r="Z270" s="560" t="e">
        <f>VLOOKUP($E270,$E$14:$H$22,4,FALSE)*VLOOKUP($E270,$E$14:$AN$22,COLUMN(Z$7)-4,FALSE)/$M270+VLOOKUP($E270,#REF!,4,FALSE)*VLOOKUP($E270,#REF!,COLUMN(Z$7)-4,FALSE)/$M270</f>
        <v>#REF!</v>
      </c>
      <c r="AA270" s="560" t="e">
        <f>VLOOKUP($E270,$E$14:$H$22,4,FALSE)*VLOOKUP($E270,$E$14:$AN$22,COLUMN(AA$7)-4,FALSE)/$M270+VLOOKUP($E270,#REF!,4,FALSE)*VLOOKUP($E270,#REF!,COLUMN(AA$7)-4,FALSE)/$M270</f>
        <v>#REF!</v>
      </c>
      <c r="AB270" s="560" t="e">
        <f>VLOOKUP($E270,$E$14:$H$22,4,FALSE)*VLOOKUP($E270,$E$14:$AN$22,COLUMN(AB$7)-4,FALSE)/$M270+VLOOKUP($E270,#REF!,4,FALSE)*VLOOKUP($E270,#REF!,COLUMN(AB$7)-4,FALSE)/$M270</f>
        <v>#REF!</v>
      </c>
      <c r="AC270" s="560" t="e">
        <f>VLOOKUP($E270,$E$14:$H$22,4,FALSE)*VLOOKUP($E270,$E$14:$AN$22,COLUMN(AC$7)-4,FALSE)/$M270+VLOOKUP($E270,#REF!,4,FALSE)*VLOOKUP($E270,#REF!,COLUMN(AC$7)-4,FALSE)/$M270</f>
        <v>#REF!</v>
      </c>
      <c r="AD270" s="560" t="e">
        <f>VLOOKUP($E270,$E$14:$H$22,4,FALSE)*VLOOKUP($E270,$E$14:$AN$22,COLUMN(AD$7)-4,FALSE)/$M270+VLOOKUP($E270,#REF!,4,FALSE)*VLOOKUP($E270,#REF!,COLUMN(AD$7)-4,FALSE)/$M270</f>
        <v>#REF!</v>
      </c>
      <c r="AE270" s="560" t="e">
        <f>VLOOKUP($E270,$E$14:$H$22,4,FALSE)*VLOOKUP($E270,$E$14:$AN$22,COLUMN(AE$7)-4,FALSE)/$M270+VLOOKUP($E270,#REF!,4,FALSE)*VLOOKUP($E270,#REF!,COLUMN(AE$7)-4,FALSE)/$M270</f>
        <v>#REF!</v>
      </c>
      <c r="AF270" s="560" t="e">
        <f>VLOOKUP($E270,$E$14:$H$22,4,FALSE)*VLOOKUP($E270,$E$14:$AN$22,COLUMN(AF$7)-4,FALSE)/$M270+VLOOKUP($E270,#REF!,4,FALSE)*VLOOKUP($E270,#REF!,COLUMN(AF$7)-4,FALSE)/$M270</f>
        <v>#REF!</v>
      </c>
      <c r="AG270" s="560" t="e">
        <f>VLOOKUP($E270,$E$14:$H$22,4,FALSE)*VLOOKUP($E270,$E$14:$AN$22,COLUMN(AG$7)-4,FALSE)/$M270+VLOOKUP($E270,#REF!,4,FALSE)*VLOOKUP($E270,#REF!,COLUMN(AG$7)-4,FALSE)/$M270</f>
        <v>#REF!</v>
      </c>
      <c r="AH270" s="560" t="e">
        <f>VLOOKUP($E270,$E$14:$H$22,4,FALSE)*VLOOKUP($E270,$E$14:$AN$22,COLUMN(AH$7)-4,FALSE)/$M270+VLOOKUP($E270,#REF!,4,FALSE)*VLOOKUP($E270,#REF!,COLUMN(AH$7)-4,FALSE)/$M270</f>
        <v>#REF!</v>
      </c>
      <c r="AI270" s="560" t="e">
        <f>VLOOKUP($E270,$E$14:$H$22,4,FALSE)*VLOOKUP($E270,$E$14:$AN$22,COLUMN(AI$7)-4,FALSE)/$M270+VLOOKUP($E270,#REF!,4,FALSE)*VLOOKUP($E270,#REF!,COLUMN(AI$7)-4,FALSE)/$M270</f>
        <v>#REF!</v>
      </c>
      <c r="AJ270" s="560" t="e">
        <f>VLOOKUP($E270,$E$14:$H$22,4,FALSE)*VLOOKUP($E270,$E$14:$AN$22,COLUMN(AJ$7)-4,FALSE)/$M270+VLOOKUP($E270,#REF!,4,FALSE)*VLOOKUP($E270,#REF!,COLUMN(AJ$7)-4,FALSE)/$M270</f>
        <v>#REF!</v>
      </c>
      <c r="AK270" s="560" t="e">
        <f>VLOOKUP($E270,$E$14:$H$22,4,FALSE)*VLOOKUP($E270,$E$14:$AN$22,COLUMN(AK$7)-4,FALSE)/$M270+VLOOKUP($E270,#REF!,4,FALSE)*VLOOKUP($E270,#REF!,COLUMN(AK$7)-4,FALSE)/$M270</f>
        <v>#REF!</v>
      </c>
      <c r="AL270" s="560" t="e">
        <f>VLOOKUP($E270,$E$14:$H$22,4,FALSE)*VLOOKUP($E270,$E$14:$AN$22,COLUMN(AL$7)-4,FALSE)/$M270+VLOOKUP($E270,#REF!,4,FALSE)*VLOOKUP($E270,#REF!,COLUMN(AL$7)-4,FALSE)/$M270</f>
        <v>#REF!</v>
      </c>
      <c r="AM270" s="560" t="e">
        <f>VLOOKUP($E270,$E$14:$H$22,4,FALSE)*VLOOKUP($E270,$E$14:$AN$22,COLUMN(AM$7)-4,FALSE)/$M270+VLOOKUP($E270,#REF!,4,FALSE)*VLOOKUP($E270,#REF!,COLUMN(AM$7)-4,FALSE)/$M270</f>
        <v>#REF!</v>
      </c>
      <c r="AN270" s="560" t="e">
        <f>VLOOKUP($E270,$E$14:$H$22,4,FALSE)*VLOOKUP($E270,$E$14:$AN$22,COLUMN(AN$7)-4,FALSE)/$M270+VLOOKUP($E270,#REF!,4,FALSE)*VLOOKUP($E270,#REF!,COLUMN(AN$7)-4,FALSE)/$M270</f>
        <v>#REF!</v>
      </c>
    </row>
    <row r="271" spans="5:40">
      <c r="E271" s="919" t="e">
        <f>#REF!</f>
        <v>#REF!</v>
      </c>
      <c r="M271" s="560">
        <f>SUMIF(E:E,E271,H:H)</f>
        <v>0</v>
      </c>
      <c r="Q271" s="560" t="e">
        <f>VLOOKUP($E271,$E$14:$H$22,4,FALSE)*VLOOKUP($E271,$E$14:$AN$22,COLUMN(Q$7)-4,FALSE)/$M271+VLOOKUP($E271,#REF!,4,FALSE)*VLOOKUP($E271,#REF!,COLUMN(Q$7)-4,FALSE)/$M271</f>
        <v>#REF!</v>
      </c>
      <c r="R271" s="560" t="e">
        <f>VLOOKUP($E271,$E$14:$H$22,4,FALSE)*VLOOKUP($E271,$E$14:$AN$22,COLUMN(R$7)-4,FALSE)/$M271+VLOOKUP($E271,#REF!,4,FALSE)*VLOOKUP($E271,#REF!,COLUMN(R$7)-4,FALSE)/$M271</f>
        <v>#REF!</v>
      </c>
      <c r="S271" s="560" t="e">
        <f>VLOOKUP($E271,$E$14:$H$22,4,FALSE)*VLOOKUP($E271,$E$14:$AN$22,COLUMN(S$7)-4,FALSE)/$M271+VLOOKUP($E271,#REF!,4,FALSE)*VLOOKUP($E271,#REF!,COLUMN(S$7)-4,FALSE)/$M271</f>
        <v>#REF!</v>
      </c>
      <c r="T271" s="560" t="e">
        <f>VLOOKUP($E271,$E$14:$H$22,4,FALSE)*VLOOKUP($E271,$E$14:$AN$22,COLUMN(T$7)-4,FALSE)/$M271+VLOOKUP($E271,#REF!,4,FALSE)*VLOOKUP($E271,#REF!,COLUMN(T$7)-4,FALSE)/$M271</f>
        <v>#REF!</v>
      </c>
      <c r="U271" s="560" t="e">
        <f>VLOOKUP($E271,$E$14:$H$22,4,FALSE)*VLOOKUP($E271,$E$14:$AN$22,COLUMN(U$7)-4,FALSE)/$M271+VLOOKUP($E271,#REF!,4,FALSE)*VLOOKUP($E271,#REF!,COLUMN(U$7)-4,FALSE)/$M271</f>
        <v>#REF!</v>
      </c>
      <c r="V271" s="560" t="e">
        <f>VLOOKUP($E271,$E$14:$H$22,4,FALSE)*VLOOKUP($E271,$E$14:$AN$22,COLUMN(V$7)-4,FALSE)/$M271+VLOOKUP($E271,#REF!,4,FALSE)*VLOOKUP($E271,#REF!,COLUMN(V$7)-4,FALSE)/$M271</f>
        <v>#REF!</v>
      </c>
      <c r="W271" s="560" t="e">
        <f>VLOOKUP($E271,$E$14:$H$22,4,FALSE)*VLOOKUP($E271,$E$14:$AN$22,COLUMN(W$7)-4,FALSE)/$M271+VLOOKUP($E271,#REF!,4,FALSE)*VLOOKUP($E271,#REF!,COLUMN(W$7)-4,FALSE)/$M271</f>
        <v>#REF!</v>
      </c>
      <c r="X271" s="560" t="e">
        <f>VLOOKUP($E271,$E$14:$H$22,4,FALSE)*VLOOKUP($E271,$E$14:$AN$22,COLUMN(X$7)-4,FALSE)/$M271+VLOOKUP($E271,#REF!,4,FALSE)*VLOOKUP($E271,#REF!,COLUMN(X$7)-4,FALSE)/$M271</f>
        <v>#REF!</v>
      </c>
      <c r="Y271" s="560" t="e">
        <f>VLOOKUP($E271,$E$14:$H$22,4,FALSE)*VLOOKUP($E271,$E$14:$AN$22,COLUMN(Y$7)-4,FALSE)/$M271+VLOOKUP($E271,#REF!,4,FALSE)*VLOOKUP($E271,#REF!,COLUMN(Y$7)-4,FALSE)/$M271</f>
        <v>#REF!</v>
      </c>
      <c r="Z271" s="560" t="e">
        <f>VLOOKUP($E271,$E$14:$H$22,4,FALSE)*VLOOKUP($E271,$E$14:$AN$22,COLUMN(Z$7)-4,FALSE)/$M271+VLOOKUP($E271,#REF!,4,FALSE)*VLOOKUP($E271,#REF!,COLUMN(Z$7)-4,FALSE)/$M271</f>
        <v>#REF!</v>
      </c>
      <c r="AA271" s="560" t="e">
        <f>VLOOKUP($E271,$E$14:$H$22,4,FALSE)*VLOOKUP($E271,$E$14:$AN$22,COLUMN(AA$7)-4,FALSE)/$M271+VLOOKUP($E271,#REF!,4,FALSE)*VLOOKUP($E271,#REF!,COLUMN(AA$7)-4,FALSE)/$M271</f>
        <v>#REF!</v>
      </c>
      <c r="AB271" s="560" t="e">
        <f>VLOOKUP($E271,$E$14:$H$22,4,FALSE)*VLOOKUP($E271,$E$14:$AN$22,COLUMN(AB$7)-4,FALSE)/$M271+VLOOKUP($E271,#REF!,4,FALSE)*VLOOKUP($E271,#REF!,COLUMN(AB$7)-4,FALSE)/$M271</f>
        <v>#REF!</v>
      </c>
      <c r="AC271" s="560" t="e">
        <f>VLOOKUP($E271,$E$14:$H$22,4,FALSE)*VLOOKUP($E271,$E$14:$AN$22,COLUMN(AC$7)-4,FALSE)/$M271+VLOOKUP($E271,#REF!,4,FALSE)*VLOOKUP($E271,#REF!,COLUMN(AC$7)-4,FALSE)/$M271</f>
        <v>#REF!</v>
      </c>
      <c r="AD271" s="560" t="e">
        <f>VLOOKUP($E271,$E$14:$H$22,4,FALSE)*VLOOKUP($E271,$E$14:$AN$22,COLUMN(AD$7)-4,FALSE)/$M271+VLOOKUP($E271,#REF!,4,FALSE)*VLOOKUP($E271,#REF!,COLUMN(AD$7)-4,FALSE)/$M271</f>
        <v>#REF!</v>
      </c>
      <c r="AE271" s="560" t="e">
        <f>VLOOKUP($E271,$E$14:$H$22,4,FALSE)*VLOOKUP($E271,$E$14:$AN$22,COLUMN(AE$7)-4,FALSE)/$M271+VLOOKUP($E271,#REF!,4,FALSE)*VLOOKUP($E271,#REF!,COLUMN(AE$7)-4,FALSE)/$M271</f>
        <v>#REF!</v>
      </c>
      <c r="AF271" s="560" t="e">
        <f>VLOOKUP($E271,$E$14:$H$22,4,FALSE)*VLOOKUP($E271,$E$14:$AN$22,COLUMN(AF$7)-4,FALSE)/$M271+VLOOKUP($E271,#REF!,4,FALSE)*VLOOKUP($E271,#REF!,COLUMN(AF$7)-4,FALSE)/$M271</f>
        <v>#REF!</v>
      </c>
      <c r="AG271" s="560" t="e">
        <f>VLOOKUP($E271,$E$14:$H$22,4,FALSE)*VLOOKUP($E271,$E$14:$AN$22,COLUMN(AG$7)-4,FALSE)/$M271+VLOOKUP($E271,#REF!,4,FALSE)*VLOOKUP($E271,#REF!,COLUMN(AG$7)-4,FALSE)/$M271</f>
        <v>#REF!</v>
      </c>
      <c r="AH271" s="560" t="e">
        <f>VLOOKUP($E271,$E$14:$H$22,4,FALSE)*VLOOKUP($E271,$E$14:$AN$22,COLUMN(AH$7)-4,FALSE)/$M271+VLOOKUP($E271,#REF!,4,FALSE)*VLOOKUP($E271,#REF!,COLUMN(AH$7)-4,FALSE)/$M271</f>
        <v>#REF!</v>
      </c>
      <c r="AI271" s="560" t="e">
        <f>VLOOKUP($E271,$E$14:$H$22,4,FALSE)*VLOOKUP($E271,$E$14:$AN$22,COLUMN(AI$7)-4,FALSE)/$M271+VLOOKUP($E271,#REF!,4,FALSE)*VLOOKUP($E271,#REF!,COLUMN(AI$7)-4,FALSE)/$M271</f>
        <v>#REF!</v>
      </c>
      <c r="AJ271" s="560" t="e">
        <f>VLOOKUP($E271,$E$14:$H$22,4,FALSE)*VLOOKUP($E271,$E$14:$AN$22,COLUMN(AJ$7)-4,FALSE)/$M271+VLOOKUP($E271,#REF!,4,FALSE)*VLOOKUP($E271,#REF!,COLUMN(AJ$7)-4,FALSE)/$M271</f>
        <v>#REF!</v>
      </c>
      <c r="AK271" s="560" t="e">
        <f>VLOOKUP($E271,$E$14:$H$22,4,FALSE)*VLOOKUP($E271,$E$14:$AN$22,COLUMN(AK$7)-4,FALSE)/$M271+VLOOKUP($E271,#REF!,4,FALSE)*VLOOKUP($E271,#REF!,COLUMN(AK$7)-4,FALSE)/$M271</f>
        <v>#REF!</v>
      </c>
      <c r="AL271" s="560" t="e">
        <f>VLOOKUP($E271,$E$14:$H$22,4,FALSE)*VLOOKUP($E271,$E$14:$AN$22,COLUMN(AL$7)-4,FALSE)/$M271+VLOOKUP($E271,#REF!,4,FALSE)*VLOOKUP($E271,#REF!,COLUMN(AL$7)-4,FALSE)/$M271</f>
        <v>#REF!</v>
      </c>
      <c r="AM271" s="560" t="e">
        <f>VLOOKUP($E271,$E$14:$H$22,4,FALSE)*VLOOKUP($E271,$E$14:$AN$22,COLUMN(AM$7)-4,FALSE)/$M271+VLOOKUP($E271,#REF!,4,FALSE)*VLOOKUP($E271,#REF!,COLUMN(AM$7)-4,FALSE)/$M271</f>
        <v>#REF!</v>
      </c>
      <c r="AN271" s="560" t="e">
        <f>VLOOKUP($E271,$E$14:$H$22,4,FALSE)*VLOOKUP($E271,$E$14:$AN$22,COLUMN(AN$7)-4,FALSE)/$M271+VLOOKUP($E271,#REF!,4,FALSE)*VLOOKUP($E271,#REF!,COLUMN(AN$7)-4,FALSE)/$M271</f>
        <v>#REF!</v>
      </c>
    </row>
    <row r="272" spans="5:40">
      <c r="E272" s="919" t="e">
        <f>#REF!</f>
        <v>#REF!</v>
      </c>
      <c r="M272" s="560">
        <f>SUMIF(E:E,E272,H:H)</f>
        <v>0</v>
      </c>
      <c r="Q272" s="560" t="e">
        <f>VLOOKUP($E272,$E$14:$H$22,4,FALSE)*VLOOKUP($E272,$E$14:$AN$22,COLUMN(Q$7)-4,FALSE)/$M272+VLOOKUP($E272,#REF!,4,FALSE)*VLOOKUP($E272,#REF!,COLUMN(Q$7)-4,FALSE)/$M272</f>
        <v>#REF!</v>
      </c>
      <c r="R272" s="560" t="e">
        <f>VLOOKUP($E272,$E$14:$H$22,4,FALSE)*VLOOKUP($E272,$E$14:$AN$22,COLUMN(R$7)-4,FALSE)/$M272+VLOOKUP($E272,#REF!,4,FALSE)*VLOOKUP($E272,#REF!,COLUMN(R$7)-4,FALSE)/$M272</f>
        <v>#REF!</v>
      </c>
      <c r="S272" s="560" t="e">
        <f>VLOOKUP($E272,$E$14:$H$22,4,FALSE)*VLOOKUP($E272,$E$14:$AN$22,COLUMN(S$7)-4,FALSE)/$M272+VLOOKUP($E272,#REF!,4,FALSE)*VLOOKUP($E272,#REF!,COLUMN(S$7)-4,FALSE)/$M272</f>
        <v>#REF!</v>
      </c>
      <c r="T272" s="560" t="e">
        <f>VLOOKUP($E272,$E$14:$H$22,4,FALSE)*VLOOKUP($E272,$E$14:$AN$22,COLUMN(T$7)-4,FALSE)/$M272+VLOOKUP($E272,#REF!,4,FALSE)*VLOOKUP($E272,#REF!,COLUMN(T$7)-4,FALSE)/$M272</f>
        <v>#REF!</v>
      </c>
      <c r="U272" s="560" t="e">
        <f>VLOOKUP($E272,$E$14:$H$22,4,FALSE)*VLOOKUP($E272,$E$14:$AN$22,COLUMN(U$7)-4,FALSE)/$M272+VLOOKUP($E272,#REF!,4,FALSE)*VLOOKUP($E272,#REF!,COLUMN(U$7)-4,FALSE)/$M272</f>
        <v>#REF!</v>
      </c>
      <c r="V272" s="560" t="e">
        <f>VLOOKUP($E272,$E$14:$H$22,4,FALSE)*VLOOKUP($E272,$E$14:$AN$22,COLUMN(V$7)-4,FALSE)/$M272+VLOOKUP($E272,#REF!,4,FALSE)*VLOOKUP($E272,#REF!,COLUMN(V$7)-4,FALSE)/$M272</f>
        <v>#REF!</v>
      </c>
      <c r="W272" s="560" t="e">
        <f>VLOOKUP($E272,$E$14:$H$22,4,FALSE)*VLOOKUP($E272,$E$14:$AN$22,COLUMN(W$7)-4,FALSE)/$M272+VLOOKUP($E272,#REF!,4,FALSE)*VLOOKUP($E272,#REF!,COLUMN(W$7)-4,FALSE)/$M272</f>
        <v>#REF!</v>
      </c>
      <c r="X272" s="560" t="e">
        <f>VLOOKUP($E272,$E$14:$H$22,4,FALSE)*VLOOKUP($E272,$E$14:$AN$22,COLUMN(X$7)-4,FALSE)/$M272+VLOOKUP($E272,#REF!,4,FALSE)*VLOOKUP($E272,#REF!,COLUMN(X$7)-4,FALSE)/$M272</f>
        <v>#REF!</v>
      </c>
      <c r="Y272" s="560" t="e">
        <f>VLOOKUP($E272,$E$14:$H$22,4,FALSE)*VLOOKUP($E272,$E$14:$AN$22,COLUMN(Y$7)-4,FALSE)/$M272+VLOOKUP($E272,#REF!,4,FALSE)*VLOOKUP($E272,#REF!,COLUMN(Y$7)-4,FALSE)/$M272</f>
        <v>#REF!</v>
      </c>
      <c r="Z272" s="560" t="e">
        <f>VLOOKUP($E272,$E$14:$H$22,4,FALSE)*VLOOKUP($E272,$E$14:$AN$22,COLUMN(Z$7)-4,FALSE)/$M272+VLOOKUP($E272,#REF!,4,FALSE)*VLOOKUP($E272,#REF!,COLUMN(Z$7)-4,FALSE)/$M272</f>
        <v>#REF!</v>
      </c>
      <c r="AA272" s="560" t="e">
        <f>VLOOKUP($E272,$E$14:$H$22,4,FALSE)*VLOOKUP($E272,$E$14:$AN$22,COLUMN(AA$7)-4,FALSE)/$M272+VLOOKUP($E272,#REF!,4,FALSE)*VLOOKUP($E272,#REF!,COLUMN(AA$7)-4,FALSE)/$M272</f>
        <v>#REF!</v>
      </c>
      <c r="AB272" s="560" t="e">
        <f>VLOOKUP($E272,$E$14:$H$22,4,FALSE)*VLOOKUP($E272,$E$14:$AN$22,COLUMN(AB$7)-4,FALSE)/$M272+VLOOKUP($E272,#REF!,4,FALSE)*VLOOKUP($E272,#REF!,COLUMN(AB$7)-4,FALSE)/$M272</f>
        <v>#REF!</v>
      </c>
      <c r="AC272" s="560" t="e">
        <f>VLOOKUP($E272,$E$14:$H$22,4,FALSE)*VLOOKUP($E272,$E$14:$AN$22,COLUMN(AC$7)-4,FALSE)/$M272+VLOOKUP($E272,#REF!,4,FALSE)*VLOOKUP($E272,#REF!,COLUMN(AC$7)-4,FALSE)/$M272</f>
        <v>#REF!</v>
      </c>
      <c r="AD272" s="560" t="e">
        <f>VLOOKUP($E272,$E$14:$H$22,4,FALSE)*VLOOKUP($E272,$E$14:$AN$22,COLUMN(AD$7)-4,FALSE)/$M272+VLOOKUP($E272,#REF!,4,FALSE)*VLOOKUP($E272,#REF!,COLUMN(AD$7)-4,FALSE)/$M272</f>
        <v>#REF!</v>
      </c>
      <c r="AE272" s="560" t="e">
        <f>VLOOKUP($E272,$E$14:$H$22,4,FALSE)*VLOOKUP($E272,$E$14:$AN$22,COLUMN(AE$7)-4,FALSE)/$M272+VLOOKUP($E272,#REF!,4,FALSE)*VLOOKUP($E272,#REF!,COLUMN(AE$7)-4,FALSE)/$M272</f>
        <v>#REF!</v>
      </c>
      <c r="AF272" s="560" t="e">
        <f>VLOOKUP($E272,$E$14:$H$22,4,FALSE)*VLOOKUP($E272,$E$14:$AN$22,COLUMN(AF$7)-4,FALSE)/$M272+VLOOKUP($E272,#REF!,4,FALSE)*VLOOKUP($E272,#REF!,COLUMN(AF$7)-4,FALSE)/$M272</f>
        <v>#REF!</v>
      </c>
      <c r="AG272" s="560" t="e">
        <f>VLOOKUP($E272,$E$14:$H$22,4,FALSE)*VLOOKUP($E272,$E$14:$AN$22,COLUMN(AG$7)-4,FALSE)/$M272+VLOOKUP($E272,#REF!,4,FALSE)*VLOOKUP($E272,#REF!,COLUMN(AG$7)-4,FALSE)/$M272</f>
        <v>#REF!</v>
      </c>
      <c r="AH272" s="560" t="e">
        <f>VLOOKUP($E272,$E$14:$H$22,4,FALSE)*VLOOKUP($E272,$E$14:$AN$22,COLUMN(AH$7)-4,FALSE)/$M272+VLOOKUP($E272,#REF!,4,FALSE)*VLOOKUP($E272,#REF!,COLUMN(AH$7)-4,FALSE)/$M272</f>
        <v>#REF!</v>
      </c>
      <c r="AI272" s="560" t="e">
        <f>VLOOKUP($E272,$E$14:$H$22,4,FALSE)*VLOOKUP($E272,$E$14:$AN$22,COLUMN(AI$7)-4,FALSE)/$M272+VLOOKUP($E272,#REF!,4,FALSE)*VLOOKUP($E272,#REF!,COLUMN(AI$7)-4,FALSE)/$M272</f>
        <v>#REF!</v>
      </c>
      <c r="AJ272" s="560" t="e">
        <f>VLOOKUP($E272,$E$14:$H$22,4,FALSE)*VLOOKUP($E272,$E$14:$AN$22,COLUMN(AJ$7)-4,FALSE)/$M272+VLOOKUP($E272,#REF!,4,FALSE)*VLOOKUP($E272,#REF!,COLUMN(AJ$7)-4,FALSE)/$M272</f>
        <v>#REF!</v>
      </c>
      <c r="AK272" s="560" t="e">
        <f>VLOOKUP($E272,$E$14:$H$22,4,FALSE)*VLOOKUP($E272,$E$14:$AN$22,COLUMN(AK$7)-4,FALSE)/$M272+VLOOKUP($E272,#REF!,4,FALSE)*VLOOKUP($E272,#REF!,COLUMN(AK$7)-4,FALSE)/$M272</f>
        <v>#REF!</v>
      </c>
      <c r="AL272" s="560" t="e">
        <f>VLOOKUP($E272,$E$14:$H$22,4,FALSE)*VLOOKUP($E272,$E$14:$AN$22,COLUMN(AL$7)-4,FALSE)/$M272+VLOOKUP($E272,#REF!,4,FALSE)*VLOOKUP($E272,#REF!,COLUMN(AL$7)-4,FALSE)/$M272</f>
        <v>#REF!</v>
      </c>
      <c r="AM272" s="560" t="e">
        <f>VLOOKUP($E272,$E$14:$H$22,4,FALSE)*VLOOKUP($E272,$E$14:$AN$22,COLUMN(AM$7)-4,FALSE)/$M272+VLOOKUP($E272,#REF!,4,FALSE)*VLOOKUP($E272,#REF!,COLUMN(AM$7)-4,FALSE)/$M272</f>
        <v>#REF!</v>
      </c>
      <c r="AN272" s="560" t="e">
        <f>VLOOKUP($E272,$E$14:$H$22,4,FALSE)*VLOOKUP($E272,$E$14:$AN$22,COLUMN(AN$7)-4,FALSE)/$M272+VLOOKUP($E272,#REF!,4,FALSE)*VLOOKUP($E272,#REF!,COLUMN(AN$7)-4,FALSE)/$M272</f>
        <v>#REF!</v>
      </c>
    </row>
    <row r="273" spans="5:40">
      <c r="E273" s="919" t="e">
        <f>#REF!</f>
        <v>#REF!</v>
      </c>
      <c r="M273" s="560">
        <f>SUMIF(E:E,E273,H:H)</f>
        <v>0</v>
      </c>
      <c r="Q273" s="560" t="e">
        <f>VLOOKUP($E273,$E$14:$H$22,4,FALSE)*VLOOKUP($E273,$E$14:$AN$22,COLUMN(Q$7)-4,FALSE)/$M273+VLOOKUP($E273,#REF!,4,FALSE)*VLOOKUP($E273,#REF!,COLUMN(Q$7)-4,FALSE)/$M273</f>
        <v>#REF!</v>
      </c>
      <c r="R273" s="560" t="e">
        <f>VLOOKUP($E273,$E$14:$H$22,4,FALSE)*VLOOKUP($E273,$E$14:$AN$22,COLUMN(R$7)-4,FALSE)/$M273+VLOOKUP($E273,#REF!,4,FALSE)*VLOOKUP($E273,#REF!,COLUMN(R$7)-4,FALSE)/$M273</f>
        <v>#REF!</v>
      </c>
      <c r="S273" s="560" t="e">
        <f>VLOOKUP($E273,$E$14:$H$22,4,FALSE)*VLOOKUP($E273,$E$14:$AN$22,COLUMN(S$7)-4,FALSE)/$M273+VLOOKUP($E273,#REF!,4,FALSE)*VLOOKUP($E273,#REF!,COLUMN(S$7)-4,FALSE)/$M273</f>
        <v>#REF!</v>
      </c>
      <c r="T273" s="560" t="e">
        <f>VLOOKUP($E273,$E$14:$H$22,4,FALSE)*VLOOKUP($E273,$E$14:$AN$22,COLUMN(T$7)-4,FALSE)/$M273+VLOOKUP($E273,#REF!,4,FALSE)*VLOOKUP($E273,#REF!,COLUMN(T$7)-4,FALSE)/$M273</f>
        <v>#REF!</v>
      </c>
      <c r="U273" s="560" t="e">
        <f>VLOOKUP($E273,$E$14:$H$22,4,FALSE)*VLOOKUP($E273,$E$14:$AN$22,COLUMN(U$7)-4,FALSE)/$M273+VLOOKUP($E273,#REF!,4,FALSE)*VLOOKUP($E273,#REF!,COLUMN(U$7)-4,FALSE)/$M273</f>
        <v>#REF!</v>
      </c>
      <c r="V273" s="560" t="e">
        <f>VLOOKUP($E273,$E$14:$H$22,4,FALSE)*VLOOKUP($E273,$E$14:$AN$22,COLUMN(V$7)-4,FALSE)/$M273+VLOOKUP($E273,#REF!,4,FALSE)*VLOOKUP($E273,#REF!,COLUMN(V$7)-4,FALSE)/$M273</f>
        <v>#REF!</v>
      </c>
      <c r="W273" s="560" t="e">
        <f>VLOOKUP($E273,$E$14:$H$22,4,FALSE)*VLOOKUP($E273,$E$14:$AN$22,COLUMN(W$7)-4,FALSE)/$M273+VLOOKUP($E273,#REF!,4,FALSE)*VLOOKUP($E273,#REF!,COLUMN(W$7)-4,FALSE)/$M273</f>
        <v>#REF!</v>
      </c>
      <c r="X273" s="560" t="e">
        <f>VLOOKUP($E273,$E$14:$H$22,4,FALSE)*VLOOKUP($E273,$E$14:$AN$22,COLUMN(X$7)-4,FALSE)/$M273+VLOOKUP($E273,#REF!,4,FALSE)*VLOOKUP($E273,#REF!,COLUMN(X$7)-4,FALSE)/$M273</f>
        <v>#REF!</v>
      </c>
      <c r="Y273" s="560" t="e">
        <f>VLOOKUP($E273,$E$14:$H$22,4,FALSE)*VLOOKUP($E273,$E$14:$AN$22,COLUMN(Y$7)-4,FALSE)/$M273+VLOOKUP($E273,#REF!,4,FALSE)*VLOOKUP($E273,#REF!,COLUMN(Y$7)-4,FALSE)/$M273</f>
        <v>#REF!</v>
      </c>
      <c r="Z273" s="560" t="e">
        <f>VLOOKUP($E273,$E$14:$H$22,4,FALSE)*VLOOKUP($E273,$E$14:$AN$22,COLUMN(Z$7)-4,FALSE)/$M273+VLOOKUP($E273,#REF!,4,FALSE)*VLOOKUP($E273,#REF!,COLUMN(Z$7)-4,FALSE)/$M273</f>
        <v>#REF!</v>
      </c>
      <c r="AA273" s="560" t="e">
        <f>VLOOKUP($E273,$E$14:$H$22,4,FALSE)*VLOOKUP($E273,$E$14:$AN$22,COLUMN(AA$7)-4,FALSE)/$M273+VLOOKUP($E273,#REF!,4,FALSE)*VLOOKUP($E273,#REF!,COLUMN(AA$7)-4,FALSE)/$M273</f>
        <v>#REF!</v>
      </c>
      <c r="AB273" s="560" t="e">
        <f>VLOOKUP($E273,$E$14:$H$22,4,FALSE)*VLOOKUP($E273,$E$14:$AN$22,COLUMN(AB$7)-4,FALSE)/$M273+VLOOKUP($E273,#REF!,4,FALSE)*VLOOKUP($E273,#REF!,COLUMN(AB$7)-4,FALSE)/$M273</f>
        <v>#REF!</v>
      </c>
      <c r="AC273" s="560" t="e">
        <f>VLOOKUP($E273,$E$14:$H$22,4,FALSE)*VLOOKUP($E273,$E$14:$AN$22,COLUMN(AC$7)-4,FALSE)/$M273+VLOOKUP($E273,#REF!,4,FALSE)*VLOOKUP($E273,#REF!,COLUMN(AC$7)-4,FALSE)/$M273</f>
        <v>#REF!</v>
      </c>
      <c r="AD273" s="560" t="e">
        <f>VLOOKUP($E273,$E$14:$H$22,4,FALSE)*VLOOKUP($E273,$E$14:$AN$22,COLUMN(AD$7)-4,FALSE)/$M273+VLOOKUP($E273,#REF!,4,FALSE)*VLOOKUP($E273,#REF!,COLUMN(AD$7)-4,FALSE)/$M273</f>
        <v>#REF!</v>
      </c>
      <c r="AE273" s="560" t="e">
        <f>VLOOKUP($E273,$E$14:$H$22,4,FALSE)*VLOOKUP($E273,$E$14:$AN$22,COLUMN(AE$7)-4,FALSE)/$M273+VLOOKUP($E273,#REF!,4,FALSE)*VLOOKUP($E273,#REF!,COLUMN(AE$7)-4,FALSE)/$M273</f>
        <v>#REF!</v>
      </c>
      <c r="AF273" s="560" t="e">
        <f>VLOOKUP($E273,$E$14:$H$22,4,FALSE)*VLOOKUP($E273,$E$14:$AN$22,COLUMN(AF$7)-4,FALSE)/$M273+VLOOKUP($E273,#REF!,4,FALSE)*VLOOKUP($E273,#REF!,COLUMN(AF$7)-4,FALSE)/$M273</f>
        <v>#REF!</v>
      </c>
      <c r="AG273" s="560" t="e">
        <f>VLOOKUP($E273,$E$14:$H$22,4,FALSE)*VLOOKUP($E273,$E$14:$AN$22,COLUMN(AG$7)-4,FALSE)/$M273+VLOOKUP($E273,#REF!,4,FALSE)*VLOOKUP($E273,#REF!,COLUMN(AG$7)-4,FALSE)/$M273</f>
        <v>#REF!</v>
      </c>
      <c r="AH273" s="560" t="e">
        <f>VLOOKUP($E273,$E$14:$H$22,4,FALSE)*VLOOKUP($E273,$E$14:$AN$22,COLUMN(AH$7)-4,FALSE)/$M273+VLOOKUP($E273,#REF!,4,FALSE)*VLOOKUP($E273,#REF!,COLUMN(AH$7)-4,FALSE)/$M273</f>
        <v>#REF!</v>
      </c>
      <c r="AI273" s="560" t="e">
        <f>VLOOKUP($E273,$E$14:$H$22,4,FALSE)*VLOOKUP($E273,$E$14:$AN$22,COLUMN(AI$7)-4,FALSE)/$M273+VLOOKUP($E273,#REF!,4,FALSE)*VLOOKUP($E273,#REF!,COLUMN(AI$7)-4,FALSE)/$M273</f>
        <v>#REF!</v>
      </c>
      <c r="AJ273" s="560" t="e">
        <f>VLOOKUP($E273,$E$14:$H$22,4,FALSE)*VLOOKUP($E273,$E$14:$AN$22,COLUMN(AJ$7)-4,FALSE)/$M273+VLOOKUP($E273,#REF!,4,FALSE)*VLOOKUP($E273,#REF!,COLUMN(AJ$7)-4,FALSE)/$M273</f>
        <v>#REF!</v>
      </c>
      <c r="AK273" s="560" t="e">
        <f>VLOOKUP($E273,$E$14:$H$22,4,FALSE)*VLOOKUP($E273,$E$14:$AN$22,COLUMN(AK$7)-4,FALSE)/$M273+VLOOKUP($E273,#REF!,4,FALSE)*VLOOKUP($E273,#REF!,COLUMN(AK$7)-4,FALSE)/$M273</f>
        <v>#REF!</v>
      </c>
      <c r="AL273" s="560" t="e">
        <f>VLOOKUP($E273,$E$14:$H$22,4,FALSE)*VLOOKUP($E273,$E$14:$AN$22,COLUMN(AL$7)-4,FALSE)/$M273+VLOOKUP($E273,#REF!,4,FALSE)*VLOOKUP($E273,#REF!,COLUMN(AL$7)-4,FALSE)/$M273</f>
        <v>#REF!</v>
      </c>
      <c r="AM273" s="560" t="e">
        <f>VLOOKUP($E273,$E$14:$H$22,4,FALSE)*VLOOKUP($E273,$E$14:$AN$22,COLUMN(AM$7)-4,FALSE)/$M273+VLOOKUP($E273,#REF!,4,FALSE)*VLOOKUP($E273,#REF!,COLUMN(AM$7)-4,FALSE)/$M273</f>
        <v>#REF!</v>
      </c>
      <c r="AN273" s="560" t="e">
        <f>VLOOKUP($E273,$E$14:$H$22,4,FALSE)*VLOOKUP($E273,$E$14:$AN$22,COLUMN(AN$7)-4,FALSE)/$M273+VLOOKUP($E273,#REF!,4,FALSE)*VLOOKUP($E273,#REF!,COLUMN(AN$7)-4,FALSE)/$M273</f>
        <v>#REF!</v>
      </c>
    </row>
    <row r="274" spans="5:40">
      <c r="E274" s="919" t="e">
        <f>#REF!</f>
        <v>#REF!</v>
      </c>
      <c r="M274" s="560">
        <f>SUMIF(E:E,E274,H:H)</f>
        <v>0</v>
      </c>
      <c r="Q274" s="560" t="e">
        <f>VLOOKUP($E274,$E$14:$H$22,4,FALSE)*VLOOKUP($E274,$E$14:$AN$22,COLUMN(Q$7)-4,FALSE)/$M274+VLOOKUP($E274,#REF!,4,FALSE)*VLOOKUP($E274,#REF!,COLUMN(Q$7)-4,FALSE)/$M274</f>
        <v>#REF!</v>
      </c>
      <c r="R274" s="560" t="e">
        <f>VLOOKUP($E274,$E$14:$H$22,4,FALSE)*VLOOKUP($E274,$E$14:$AN$22,COLUMN(R$7)-4,FALSE)/$M274+VLOOKUP($E274,#REF!,4,FALSE)*VLOOKUP($E274,#REF!,COLUMN(R$7)-4,FALSE)/$M274</f>
        <v>#REF!</v>
      </c>
      <c r="S274" s="560" t="e">
        <f>VLOOKUP($E274,$E$14:$H$22,4,FALSE)*VLOOKUP($E274,$E$14:$AN$22,COLUMN(S$7)-4,FALSE)/$M274+VLOOKUP($E274,#REF!,4,FALSE)*VLOOKUP($E274,#REF!,COLUMN(S$7)-4,FALSE)/$M274</f>
        <v>#REF!</v>
      </c>
      <c r="T274" s="560" t="e">
        <f>VLOOKUP($E274,$E$14:$H$22,4,FALSE)*VLOOKUP($E274,$E$14:$AN$22,COLUMN(T$7)-4,FALSE)/$M274+VLOOKUP($E274,#REF!,4,FALSE)*VLOOKUP($E274,#REF!,COLUMN(T$7)-4,FALSE)/$M274</f>
        <v>#REF!</v>
      </c>
      <c r="U274" s="560" t="e">
        <f>VLOOKUP($E274,$E$14:$H$22,4,FALSE)*VLOOKUP($E274,$E$14:$AN$22,COLUMN(U$7)-4,FALSE)/$M274+VLOOKUP($E274,#REF!,4,FALSE)*VLOOKUP($E274,#REF!,COLUMN(U$7)-4,FALSE)/$M274</f>
        <v>#REF!</v>
      </c>
      <c r="V274" s="560" t="e">
        <f>VLOOKUP($E274,$E$14:$H$22,4,FALSE)*VLOOKUP($E274,$E$14:$AN$22,COLUMN(V$7)-4,FALSE)/$M274+VLOOKUP($E274,#REF!,4,FALSE)*VLOOKUP($E274,#REF!,COLUMN(V$7)-4,FALSE)/$M274</f>
        <v>#REF!</v>
      </c>
      <c r="W274" s="560" t="e">
        <f>VLOOKUP($E274,$E$14:$H$22,4,FALSE)*VLOOKUP($E274,$E$14:$AN$22,COLUMN(W$7)-4,FALSE)/$M274+VLOOKUP($E274,#REF!,4,FALSE)*VLOOKUP($E274,#REF!,COLUMN(W$7)-4,FALSE)/$M274</f>
        <v>#REF!</v>
      </c>
      <c r="X274" s="560" t="e">
        <f>VLOOKUP($E274,$E$14:$H$22,4,FALSE)*VLOOKUP($E274,$E$14:$AN$22,COLUMN(X$7)-4,FALSE)/$M274+VLOOKUP($E274,#REF!,4,FALSE)*VLOOKUP($E274,#REF!,COLUMN(X$7)-4,FALSE)/$M274</f>
        <v>#REF!</v>
      </c>
      <c r="Y274" s="560" t="e">
        <f>VLOOKUP($E274,$E$14:$H$22,4,FALSE)*VLOOKUP($E274,$E$14:$AN$22,COLUMN(Y$7)-4,FALSE)/$M274+VLOOKUP($E274,#REF!,4,FALSE)*VLOOKUP($E274,#REF!,COLUMN(Y$7)-4,FALSE)/$M274</f>
        <v>#REF!</v>
      </c>
      <c r="Z274" s="560" t="e">
        <f>VLOOKUP($E274,$E$14:$H$22,4,FALSE)*VLOOKUP($E274,$E$14:$AN$22,COLUMN(Z$7)-4,FALSE)/$M274+VLOOKUP($E274,#REF!,4,FALSE)*VLOOKUP($E274,#REF!,COLUMN(Z$7)-4,FALSE)/$M274</f>
        <v>#REF!</v>
      </c>
      <c r="AA274" s="560" t="e">
        <f>VLOOKUP($E274,$E$14:$H$22,4,FALSE)*VLOOKUP($E274,$E$14:$AN$22,COLUMN(AA$7)-4,FALSE)/$M274+VLOOKUP($E274,#REF!,4,FALSE)*VLOOKUP($E274,#REF!,COLUMN(AA$7)-4,FALSE)/$M274</f>
        <v>#REF!</v>
      </c>
      <c r="AB274" s="560" t="e">
        <f>VLOOKUP($E274,$E$14:$H$22,4,FALSE)*VLOOKUP($E274,$E$14:$AN$22,COLUMN(AB$7)-4,FALSE)/$M274+VLOOKUP($E274,#REF!,4,FALSE)*VLOOKUP($E274,#REF!,COLUMN(AB$7)-4,FALSE)/$M274</f>
        <v>#REF!</v>
      </c>
      <c r="AC274" s="560" t="e">
        <f>VLOOKUP($E274,$E$14:$H$22,4,FALSE)*VLOOKUP($E274,$E$14:$AN$22,COLUMN(AC$7)-4,FALSE)/$M274+VLOOKUP($E274,#REF!,4,FALSE)*VLOOKUP($E274,#REF!,COLUMN(AC$7)-4,FALSE)/$M274</f>
        <v>#REF!</v>
      </c>
      <c r="AD274" s="560" t="e">
        <f>VLOOKUP($E274,$E$14:$H$22,4,FALSE)*VLOOKUP($E274,$E$14:$AN$22,COLUMN(AD$7)-4,FALSE)/$M274+VLOOKUP($E274,#REF!,4,FALSE)*VLOOKUP($E274,#REF!,COLUMN(AD$7)-4,FALSE)/$M274</f>
        <v>#REF!</v>
      </c>
      <c r="AE274" s="560" t="e">
        <f>VLOOKUP($E274,$E$14:$H$22,4,FALSE)*VLOOKUP($E274,$E$14:$AN$22,COLUMN(AE$7)-4,FALSE)/$M274+VLOOKUP($E274,#REF!,4,FALSE)*VLOOKUP($E274,#REF!,COLUMN(AE$7)-4,FALSE)/$M274</f>
        <v>#REF!</v>
      </c>
      <c r="AF274" s="560" t="e">
        <f>VLOOKUP($E274,$E$14:$H$22,4,FALSE)*VLOOKUP($E274,$E$14:$AN$22,COLUMN(AF$7)-4,FALSE)/$M274+VLOOKUP($E274,#REF!,4,FALSE)*VLOOKUP($E274,#REF!,COLUMN(AF$7)-4,FALSE)/$M274</f>
        <v>#REF!</v>
      </c>
      <c r="AG274" s="560" t="e">
        <f>VLOOKUP($E274,$E$14:$H$22,4,FALSE)*VLOOKUP($E274,$E$14:$AN$22,COLUMN(AG$7)-4,FALSE)/$M274+VLOOKUP($E274,#REF!,4,FALSE)*VLOOKUP($E274,#REF!,COLUMN(AG$7)-4,FALSE)/$M274</f>
        <v>#REF!</v>
      </c>
      <c r="AH274" s="560" t="e">
        <f>VLOOKUP($E274,$E$14:$H$22,4,FALSE)*VLOOKUP($E274,$E$14:$AN$22,COLUMN(AH$7)-4,FALSE)/$M274+VLOOKUP($E274,#REF!,4,FALSE)*VLOOKUP($E274,#REF!,COLUMN(AH$7)-4,FALSE)/$M274</f>
        <v>#REF!</v>
      </c>
      <c r="AI274" s="560" t="e">
        <f>VLOOKUP($E274,$E$14:$H$22,4,FALSE)*VLOOKUP($E274,$E$14:$AN$22,COLUMN(AI$7)-4,FALSE)/$M274+VLOOKUP($E274,#REF!,4,FALSE)*VLOOKUP($E274,#REF!,COLUMN(AI$7)-4,FALSE)/$M274</f>
        <v>#REF!</v>
      </c>
      <c r="AJ274" s="560" t="e">
        <f>VLOOKUP($E274,$E$14:$H$22,4,FALSE)*VLOOKUP($E274,$E$14:$AN$22,COLUMN(AJ$7)-4,FALSE)/$M274+VLOOKUP($E274,#REF!,4,FALSE)*VLOOKUP($E274,#REF!,COLUMN(AJ$7)-4,FALSE)/$M274</f>
        <v>#REF!</v>
      </c>
      <c r="AK274" s="560" t="e">
        <f>VLOOKUP($E274,$E$14:$H$22,4,FALSE)*VLOOKUP($E274,$E$14:$AN$22,COLUMN(AK$7)-4,FALSE)/$M274+VLOOKUP($E274,#REF!,4,FALSE)*VLOOKUP($E274,#REF!,COLUMN(AK$7)-4,FALSE)/$M274</f>
        <v>#REF!</v>
      </c>
      <c r="AL274" s="560" t="e">
        <f>VLOOKUP($E274,$E$14:$H$22,4,FALSE)*VLOOKUP($E274,$E$14:$AN$22,COLUMN(AL$7)-4,FALSE)/$M274+VLOOKUP($E274,#REF!,4,FALSE)*VLOOKUP($E274,#REF!,COLUMN(AL$7)-4,FALSE)/$M274</f>
        <v>#REF!</v>
      </c>
      <c r="AM274" s="560" t="e">
        <f>VLOOKUP($E274,$E$14:$H$22,4,FALSE)*VLOOKUP($E274,$E$14:$AN$22,COLUMN(AM$7)-4,FALSE)/$M274+VLOOKUP($E274,#REF!,4,FALSE)*VLOOKUP($E274,#REF!,COLUMN(AM$7)-4,FALSE)/$M274</f>
        <v>#REF!</v>
      </c>
      <c r="AN274" s="560" t="e">
        <f>VLOOKUP($E274,$E$14:$H$22,4,FALSE)*VLOOKUP($E274,$E$14:$AN$22,COLUMN(AN$7)-4,FALSE)/$M274+VLOOKUP($E274,#REF!,4,FALSE)*VLOOKUP($E274,#REF!,COLUMN(AN$7)-4,FALSE)/$M274</f>
        <v>#REF!</v>
      </c>
    </row>
    <row r="275" spans="5:40">
      <c r="E275" s="919" t="e">
        <f>#REF!</f>
        <v>#REF!</v>
      </c>
      <c r="M275" s="560">
        <f>SUMIF(E:E,E275,H:H)</f>
        <v>0</v>
      </c>
      <c r="Q275" s="560" t="e">
        <f>VLOOKUP($E275,$E$14:$H$22,4,FALSE)*VLOOKUP($E275,$E$14:$AN$22,COLUMN(Q$7)-4,FALSE)/$M275+VLOOKUP($E275,#REF!,4,FALSE)*VLOOKUP($E275,#REF!,COLUMN(Q$7)-4,FALSE)/$M275</f>
        <v>#REF!</v>
      </c>
      <c r="R275" s="560" t="e">
        <f>VLOOKUP($E275,$E$14:$H$22,4,FALSE)*VLOOKUP($E275,$E$14:$AN$22,COLUMN(R$7)-4,FALSE)/$M275+VLOOKUP($E275,#REF!,4,FALSE)*VLOOKUP($E275,#REF!,COLUMN(R$7)-4,FALSE)/$M275</f>
        <v>#REF!</v>
      </c>
      <c r="S275" s="560" t="e">
        <f>VLOOKUP($E275,$E$14:$H$22,4,FALSE)*VLOOKUP($E275,$E$14:$AN$22,COLUMN(S$7)-4,FALSE)/$M275+VLOOKUP($E275,#REF!,4,FALSE)*VLOOKUP($E275,#REF!,COLUMN(S$7)-4,FALSE)/$M275</f>
        <v>#REF!</v>
      </c>
      <c r="T275" s="560" t="e">
        <f>VLOOKUP($E275,$E$14:$H$22,4,FALSE)*VLOOKUP($E275,$E$14:$AN$22,COLUMN(T$7)-4,FALSE)/$M275+VLOOKUP($E275,#REF!,4,FALSE)*VLOOKUP($E275,#REF!,COLUMN(T$7)-4,FALSE)/$M275</f>
        <v>#REF!</v>
      </c>
      <c r="U275" s="560" t="e">
        <f>VLOOKUP($E275,$E$14:$H$22,4,FALSE)*VLOOKUP($E275,$E$14:$AN$22,COLUMN(U$7)-4,FALSE)/$M275+VLOOKUP($E275,#REF!,4,FALSE)*VLOOKUP($E275,#REF!,COLUMN(U$7)-4,FALSE)/$M275</f>
        <v>#REF!</v>
      </c>
      <c r="V275" s="560" t="e">
        <f>VLOOKUP($E275,$E$14:$H$22,4,FALSE)*VLOOKUP($E275,$E$14:$AN$22,COLUMN(V$7)-4,FALSE)/$M275+VLOOKUP($E275,#REF!,4,FALSE)*VLOOKUP($E275,#REF!,COLUMN(V$7)-4,FALSE)/$M275</f>
        <v>#REF!</v>
      </c>
      <c r="W275" s="560" t="e">
        <f>VLOOKUP($E275,$E$14:$H$22,4,FALSE)*VLOOKUP($E275,$E$14:$AN$22,COLUMN(W$7)-4,FALSE)/$M275+VLOOKUP($E275,#REF!,4,FALSE)*VLOOKUP($E275,#REF!,COLUMN(W$7)-4,FALSE)/$M275</f>
        <v>#REF!</v>
      </c>
      <c r="X275" s="560" t="e">
        <f>VLOOKUP($E275,$E$14:$H$22,4,FALSE)*VLOOKUP($E275,$E$14:$AN$22,COLUMN(X$7)-4,FALSE)/$M275+VLOOKUP($E275,#REF!,4,FALSE)*VLOOKUP($E275,#REF!,COLUMN(X$7)-4,FALSE)/$M275</f>
        <v>#REF!</v>
      </c>
      <c r="Y275" s="560" t="e">
        <f>VLOOKUP($E275,$E$14:$H$22,4,FALSE)*VLOOKUP($E275,$E$14:$AN$22,COLUMN(Y$7)-4,FALSE)/$M275+VLOOKUP($E275,#REF!,4,FALSE)*VLOOKUP($E275,#REF!,COLUMN(Y$7)-4,FALSE)/$M275</f>
        <v>#REF!</v>
      </c>
      <c r="Z275" s="560" t="e">
        <f>VLOOKUP($E275,$E$14:$H$22,4,FALSE)*VLOOKUP($E275,$E$14:$AN$22,COLUMN(Z$7)-4,FALSE)/$M275+VLOOKUP($E275,#REF!,4,FALSE)*VLOOKUP($E275,#REF!,COLUMN(Z$7)-4,FALSE)/$M275</f>
        <v>#REF!</v>
      </c>
      <c r="AA275" s="560" t="e">
        <f>VLOOKUP($E275,$E$14:$H$22,4,FALSE)*VLOOKUP($E275,$E$14:$AN$22,COLUMN(AA$7)-4,FALSE)/$M275+VLOOKUP($E275,#REF!,4,FALSE)*VLOOKUP($E275,#REF!,COLUMN(AA$7)-4,FALSE)/$M275</f>
        <v>#REF!</v>
      </c>
      <c r="AB275" s="560" t="e">
        <f>VLOOKUP($E275,$E$14:$H$22,4,FALSE)*VLOOKUP($E275,$E$14:$AN$22,COLUMN(AB$7)-4,FALSE)/$M275+VLOOKUP($E275,#REF!,4,FALSE)*VLOOKUP($E275,#REF!,COLUMN(AB$7)-4,FALSE)/$M275</f>
        <v>#REF!</v>
      </c>
      <c r="AC275" s="560" t="e">
        <f>VLOOKUP($E275,$E$14:$H$22,4,FALSE)*VLOOKUP($E275,$E$14:$AN$22,COLUMN(AC$7)-4,FALSE)/$M275+VLOOKUP($E275,#REF!,4,FALSE)*VLOOKUP($E275,#REF!,COLUMN(AC$7)-4,FALSE)/$M275</f>
        <v>#REF!</v>
      </c>
      <c r="AD275" s="560" t="e">
        <f>VLOOKUP($E275,$E$14:$H$22,4,FALSE)*VLOOKUP($E275,$E$14:$AN$22,COLUMN(AD$7)-4,FALSE)/$M275+VLOOKUP($E275,#REF!,4,FALSE)*VLOOKUP($E275,#REF!,COLUMN(AD$7)-4,FALSE)/$M275</f>
        <v>#REF!</v>
      </c>
      <c r="AE275" s="560" t="e">
        <f>VLOOKUP($E275,$E$14:$H$22,4,FALSE)*VLOOKUP($E275,$E$14:$AN$22,COLUMN(AE$7)-4,FALSE)/$M275+VLOOKUP($E275,#REF!,4,FALSE)*VLOOKUP($E275,#REF!,COLUMN(AE$7)-4,FALSE)/$M275</f>
        <v>#REF!</v>
      </c>
      <c r="AF275" s="560" t="e">
        <f>VLOOKUP($E275,$E$14:$H$22,4,FALSE)*VLOOKUP($E275,$E$14:$AN$22,COLUMN(AF$7)-4,FALSE)/$M275+VLOOKUP($E275,#REF!,4,FALSE)*VLOOKUP($E275,#REF!,COLUMN(AF$7)-4,FALSE)/$M275</f>
        <v>#REF!</v>
      </c>
      <c r="AG275" s="560" t="e">
        <f>VLOOKUP($E275,$E$14:$H$22,4,FALSE)*VLOOKUP($E275,$E$14:$AN$22,COLUMN(AG$7)-4,FALSE)/$M275+VLOOKUP($E275,#REF!,4,FALSE)*VLOOKUP($E275,#REF!,COLUMN(AG$7)-4,FALSE)/$M275</f>
        <v>#REF!</v>
      </c>
      <c r="AH275" s="560" t="e">
        <f>VLOOKUP($E275,$E$14:$H$22,4,FALSE)*VLOOKUP($E275,$E$14:$AN$22,COLUMN(AH$7)-4,FALSE)/$M275+VLOOKUP($E275,#REF!,4,FALSE)*VLOOKUP($E275,#REF!,COLUMN(AH$7)-4,FALSE)/$M275</f>
        <v>#REF!</v>
      </c>
      <c r="AI275" s="560" t="e">
        <f>VLOOKUP($E275,$E$14:$H$22,4,FALSE)*VLOOKUP($E275,$E$14:$AN$22,COLUMN(AI$7)-4,FALSE)/$M275+VLOOKUP($E275,#REF!,4,FALSE)*VLOOKUP($E275,#REF!,COLUMN(AI$7)-4,FALSE)/$M275</f>
        <v>#REF!</v>
      </c>
      <c r="AJ275" s="560" t="e">
        <f>VLOOKUP($E275,$E$14:$H$22,4,FALSE)*VLOOKUP($E275,$E$14:$AN$22,COLUMN(AJ$7)-4,FALSE)/$M275+VLOOKUP($E275,#REF!,4,FALSE)*VLOOKUP($E275,#REF!,COLUMN(AJ$7)-4,FALSE)/$M275</f>
        <v>#REF!</v>
      </c>
      <c r="AK275" s="560" t="e">
        <f>VLOOKUP($E275,$E$14:$H$22,4,FALSE)*VLOOKUP($E275,$E$14:$AN$22,COLUMN(AK$7)-4,FALSE)/$M275+VLOOKUP($E275,#REF!,4,FALSE)*VLOOKUP($E275,#REF!,COLUMN(AK$7)-4,FALSE)/$M275</f>
        <v>#REF!</v>
      </c>
      <c r="AL275" s="560" t="e">
        <f>VLOOKUP($E275,$E$14:$H$22,4,FALSE)*VLOOKUP($E275,$E$14:$AN$22,COLUMN(AL$7)-4,FALSE)/$M275+VLOOKUP($E275,#REF!,4,FALSE)*VLOOKUP($E275,#REF!,COLUMN(AL$7)-4,FALSE)/$M275</f>
        <v>#REF!</v>
      </c>
      <c r="AM275" s="560" t="e">
        <f>VLOOKUP($E275,$E$14:$H$22,4,FALSE)*VLOOKUP($E275,$E$14:$AN$22,COLUMN(AM$7)-4,FALSE)/$M275+VLOOKUP($E275,#REF!,4,FALSE)*VLOOKUP($E275,#REF!,COLUMN(AM$7)-4,FALSE)/$M275</f>
        <v>#REF!</v>
      </c>
      <c r="AN275" s="560" t="e">
        <f>VLOOKUP($E275,$E$14:$H$22,4,FALSE)*VLOOKUP($E275,$E$14:$AN$22,COLUMN(AN$7)-4,FALSE)/$M275+VLOOKUP($E275,#REF!,4,FALSE)*VLOOKUP($E275,#REF!,COLUMN(AN$7)-4,FALSE)/$M275</f>
        <v>#REF!</v>
      </c>
    </row>
    <row r="276" spans="5:40">
      <c r="E276" s="919" t="e">
        <f>#REF!</f>
        <v>#REF!</v>
      </c>
      <c r="M276" s="560">
        <f>SUMIF(E:E,E276,H:H)</f>
        <v>0</v>
      </c>
      <c r="Q276" s="560" t="e">
        <f>VLOOKUP($E276,$E$14:$H$22,4,FALSE)*VLOOKUP($E276,$E$14:$AN$22,COLUMN(Q$7)-4,FALSE)/$M276+VLOOKUP($E276,#REF!,4,FALSE)*VLOOKUP($E276,#REF!,COLUMN(Q$7)-4,FALSE)/$M276</f>
        <v>#REF!</v>
      </c>
      <c r="R276" s="560" t="e">
        <f>VLOOKUP($E276,$E$14:$H$22,4,FALSE)*VLOOKUP($E276,$E$14:$AN$22,COLUMN(R$7)-4,FALSE)/$M276+VLOOKUP($E276,#REF!,4,FALSE)*VLOOKUP($E276,#REF!,COLUMN(R$7)-4,FALSE)/$M276</f>
        <v>#REF!</v>
      </c>
      <c r="S276" s="560" t="e">
        <f>VLOOKUP($E276,$E$14:$H$22,4,FALSE)*VLOOKUP($E276,$E$14:$AN$22,COLUMN(S$7)-4,FALSE)/$M276+VLOOKUP($E276,#REF!,4,FALSE)*VLOOKUP($E276,#REF!,COLUMN(S$7)-4,FALSE)/$M276</f>
        <v>#REF!</v>
      </c>
      <c r="T276" s="560" t="e">
        <f>VLOOKUP($E276,$E$14:$H$22,4,FALSE)*VLOOKUP($E276,$E$14:$AN$22,COLUMN(T$7)-4,FALSE)/$M276+VLOOKUP($E276,#REF!,4,FALSE)*VLOOKUP($E276,#REF!,COLUMN(T$7)-4,FALSE)/$M276</f>
        <v>#REF!</v>
      </c>
      <c r="U276" s="560" t="e">
        <f>VLOOKUP($E276,$E$14:$H$22,4,FALSE)*VLOOKUP($E276,$E$14:$AN$22,COLUMN(U$7)-4,FALSE)/$M276+VLOOKUP($E276,#REF!,4,FALSE)*VLOOKUP($E276,#REF!,COLUMN(U$7)-4,FALSE)/$M276</f>
        <v>#REF!</v>
      </c>
      <c r="V276" s="560" t="e">
        <f>VLOOKUP($E276,$E$14:$H$22,4,FALSE)*VLOOKUP($E276,$E$14:$AN$22,COLUMN(V$7)-4,FALSE)/$M276+VLOOKUP($E276,#REF!,4,FALSE)*VLOOKUP($E276,#REF!,COLUMN(V$7)-4,FALSE)/$M276</f>
        <v>#REF!</v>
      </c>
      <c r="W276" s="560" t="e">
        <f>VLOOKUP($E276,$E$14:$H$22,4,FALSE)*VLOOKUP($E276,$E$14:$AN$22,COLUMN(W$7)-4,FALSE)/$M276+VLOOKUP($E276,#REF!,4,FALSE)*VLOOKUP($E276,#REF!,COLUMN(W$7)-4,FALSE)/$M276</f>
        <v>#REF!</v>
      </c>
      <c r="X276" s="560" t="e">
        <f>VLOOKUP($E276,$E$14:$H$22,4,FALSE)*VLOOKUP($E276,$E$14:$AN$22,COLUMN(X$7)-4,FALSE)/$M276+VLOOKUP($E276,#REF!,4,FALSE)*VLOOKUP($E276,#REF!,COLUMN(X$7)-4,FALSE)/$M276</f>
        <v>#REF!</v>
      </c>
      <c r="Y276" s="560" t="e">
        <f>VLOOKUP($E276,$E$14:$H$22,4,FALSE)*VLOOKUP($E276,$E$14:$AN$22,COLUMN(Y$7)-4,FALSE)/$M276+VLOOKUP($E276,#REF!,4,FALSE)*VLOOKUP($E276,#REF!,COLUMN(Y$7)-4,FALSE)/$M276</f>
        <v>#REF!</v>
      </c>
      <c r="Z276" s="560" t="e">
        <f>VLOOKUP($E276,$E$14:$H$22,4,FALSE)*VLOOKUP($E276,$E$14:$AN$22,COLUMN(Z$7)-4,FALSE)/$M276+VLOOKUP($E276,#REF!,4,FALSE)*VLOOKUP($E276,#REF!,COLUMN(Z$7)-4,FALSE)/$M276</f>
        <v>#REF!</v>
      </c>
      <c r="AA276" s="560" t="e">
        <f>VLOOKUP($E276,$E$14:$H$22,4,FALSE)*VLOOKUP($E276,$E$14:$AN$22,COLUMN(AA$7)-4,FALSE)/$M276+VLOOKUP($E276,#REF!,4,FALSE)*VLOOKUP($E276,#REF!,COLUMN(AA$7)-4,FALSE)/$M276</f>
        <v>#REF!</v>
      </c>
      <c r="AB276" s="560" t="e">
        <f>VLOOKUP($E276,$E$14:$H$22,4,FALSE)*VLOOKUP($E276,$E$14:$AN$22,COLUMN(AB$7)-4,FALSE)/$M276+VLOOKUP($E276,#REF!,4,FALSE)*VLOOKUP($E276,#REF!,COLUMN(AB$7)-4,FALSE)/$M276</f>
        <v>#REF!</v>
      </c>
      <c r="AC276" s="560" t="e">
        <f>VLOOKUP($E276,$E$14:$H$22,4,FALSE)*VLOOKUP($E276,$E$14:$AN$22,COLUMN(AC$7)-4,FALSE)/$M276+VLOOKUP($E276,#REF!,4,FALSE)*VLOOKUP($E276,#REF!,COLUMN(AC$7)-4,FALSE)/$M276</f>
        <v>#REF!</v>
      </c>
      <c r="AD276" s="560" t="e">
        <f>VLOOKUP($E276,$E$14:$H$22,4,FALSE)*VLOOKUP($E276,$E$14:$AN$22,COLUMN(AD$7)-4,FALSE)/$M276+VLOOKUP($E276,#REF!,4,FALSE)*VLOOKUP($E276,#REF!,COLUMN(AD$7)-4,FALSE)/$M276</f>
        <v>#REF!</v>
      </c>
      <c r="AE276" s="560" t="e">
        <f>VLOOKUP($E276,$E$14:$H$22,4,FALSE)*VLOOKUP($E276,$E$14:$AN$22,COLUMN(AE$7)-4,FALSE)/$M276+VLOOKUP($E276,#REF!,4,FALSE)*VLOOKUP($E276,#REF!,COLUMN(AE$7)-4,FALSE)/$M276</f>
        <v>#REF!</v>
      </c>
      <c r="AF276" s="560" t="e">
        <f>VLOOKUP($E276,$E$14:$H$22,4,FALSE)*VLOOKUP($E276,$E$14:$AN$22,COLUMN(AF$7)-4,FALSE)/$M276+VLOOKUP($E276,#REF!,4,FALSE)*VLOOKUP($E276,#REF!,COLUMN(AF$7)-4,FALSE)/$M276</f>
        <v>#REF!</v>
      </c>
      <c r="AG276" s="560" t="e">
        <f>VLOOKUP($E276,$E$14:$H$22,4,FALSE)*VLOOKUP($E276,$E$14:$AN$22,COLUMN(AG$7)-4,FALSE)/$M276+VLOOKUP($E276,#REF!,4,FALSE)*VLOOKUP($E276,#REF!,COLUMN(AG$7)-4,FALSE)/$M276</f>
        <v>#REF!</v>
      </c>
      <c r="AH276" s="560" t="e">
        <f>VLOOKUP($E276,$E$14:$H$22,4,FALSE)*VLOOKUP($E276,$E$14:$AN$22,COLUMN(AH$7)-4,FALSE)/$M276+VLOOKUP($E276,#REF!,4,FALSE)*VLOOKUP($E276,#REF!,COLUMN(AH$7)-4,FALSE)/$M276</f>
        <v>#REF!</v>
      </c>
      <c r="AI276" s="560" t="e">
        <f>VLOOKUP($E276,$E$14:$H$22,4,FALSE)*VLOOKUP($E276,$E$14:$AN$22,COLUMN(AI$7)-4,FALSE)/$M276+VLOOKUP($E276,#REF!,4,FALSE)*VLOOKUP($E276,#REF!,COLUMN(AI$7)-4,FALSE)/$M276</f>
        <v>#REF!</v>
      </c>
      <c r="AJ276" s="560" t="e">
        <f>VLOOKUP($E276,$E$14:$H$22,4,FALSE)*VLOOKUP($E276,$E$14:$AN$22,COLUMN(AJ$7)-4,FALSE)/$M276+VLOOKUP($E276,#REF!,4,FALSE)*VLOOKUP($E276,#REF!,COLUMN(AJ$7)-4,FALSE)/$M276</f>
        <v>#REF!</v>
      </c>
      <c r="AK276" s="560" t="e">
        <f>VLOOKUP($E276,$E$14:$H$22,4,FALSE)*VLOOKUP($E276,$E$14:$AN$22,COLUMN(AK$7)-4,FALSE)/$M276+VLOOKUP($E276,#REF!,4,FALSE)*VLOOKUP($E276,#REF!,COLUMN(AK$7)-4,FALSE)/$M276</f>
        <v>#REF!</v>
      </c>
      <c r="AL276" s="560" t="e">
        <f>VLOOKUP($E276,$E$14:$H$22,4,FALSE)*VLOOKUP($E276,$E$14:$AN$22,COLUMN(AL$7)-4,FALSE)/$M276+VLOOKUP($E276,#REF!,4,FALSE)*VLOOKUP($E276,#REF!,COLUMN(AL$7)-4,FALSE)/$M276</f>
        <v>#REF!</v>
      </c>
      <c r="AM276" s="560" t="e">
        <f>VLOOKUP($E276,$E$14:$H$22,4,FALSE)*VLOOKUP($E276,$E$14:$AN$22,COLUMN(AM$7)-4,FALSE)/$M276+VLOOKUP($E276,#REF!,4,FALSE)*VLOOKUP($E276,#REF!,COLUMN(AM$7)-4,FALSE)/$M276</f>
        <v>#REF!</v>
      </c>
      <c r="AN276" s="560" t="e">
        <f>VLOOKUP($E276,$E$14:$H$22,4,FALSE)*VLOOKUP($E276,$E$14:$AN$22,COLUMN(AN$7)-4,FALSE)/$M276+VLOOKUP($E276,#REF!,4,FALSE)*VLOOKUP($E276,#REF!,COLUMN(AN$7)-4,FALSE)/$M276</f>
        <v>#REF!</v>
      </c>
    </row>
    <row r="277" spans="5:40">
      <c r="E277" s="919" t="e">
        <f>#REF!</f>
        <v>#REF!</v>
      </c>
      <c r="M277" s="560">
        <f>SUMIF(E:E,E277,H:H)</f>
        <v>0</v>
      </c>
      <c r="Q277" s="560" t="e">
        <f>VLOOKUP($E277,$E$14:$H$22,4,FALSE)*VLOOKUP($E277,$E$14:$AN$22,COLUMN(Q$7)-4,FALSE)/$M277+VLOOKUP($E277,#REF!,4,FALSE)*VLOOKUP($E277,#REF!,COLUMN(Q$7)-4,FALSE)/$M277</f>
        <v>#REF!</v>
      </c>
      <c r="R277" s="560" t="e">
        <f>VLOOKUP($E277,$E$14:$H$22,4,FALSE)*VLOOKUP($E277,$E$14:$AN$22,COLUMN(R$7)-4,FALSE)/$M277+VLOOKUP($E277,#REF!,4,FALSE)*VLOOKUP($E277,#REF!,COLUMN(R$7)-4,FALSE)/$M277</f>
        <v>#REF!</v>
      </c>
      <c r="S277" s="560" t="e">
        <f>VLOOKUP($E277,$E$14:$H$22,4,FALSE)*VLOOKUP($E277,$E$14:$AN$22,COLUMN(S$7)-4,FALSE)/$M277+VLOOKUP($E277,#REF!,4,FALSE)*VLOOKUP($E277,#REF!,COLUMN(S$7)-4,FALSE)/$M277</f>
        <v>#REF!</v>
      </c>
      <c r="T277" s="560" t="e">
        <f>VLOOKUP($E277,$E$14:$H$22,4,FALSE)*VLOOKUP($E277,$E$14:$AN$22,COLUMN(T$7)-4,FALSE)/$M277+VLOOKUP($E277,#REF!,4,FALSE)*VLOOKUP($E277,#REF!,COLUMN(T$7)-4,FALSE)/$M277</f>
        <v>#REF!</v>
      </c>
      <c r="U277" s="560" t="e">
        <f>VLOOKUP($E277,$E$14:$H$22,4,FALSE)*VLOOKUP($E277,$E$14:$AN$22,COLUMN(U$7)-4,FALSE)/$M277+VLOOKUP($E277,#REF!,4,FALSE)*VLOOKUP($E277,#REF!,COLUMN(U$7)-4,FALSE)/$M277</f>
        <v>#REF!</v>
      </c>
      <c r="V277" s="560" t="e">
        <f>VLOOKUP($E277,$E$14:$H$22,4,FALSE)*VLOOKUP($E277,$E$14:$AN$22,COLUMN(V$7)-4,FALSE)/$M277+VLOOKUP($E277,#REF!,4,FALSE)*VLOOKUP($E277,#REF!,COLUMN(V$7)-4,FALSE)/$M277</f>
        <v>#REF!</v>
      </c>
      <c r="W277" s="560" t="e">
        <f>VLOOKUP($E277,$E$14:$H$22,4,FALSE)*VLOOKUP($E277,$E$14:$AN$22,COLUMN(W$7)-4,FALSE)/$M277+VLOOKUP($E277,#REF!,4,FALSE)*VLOOKUP($E277,#REF!,COLUMN(W$7)-4,FALSE)/$M277</f>
        <v>#REF!</v>
      </c>
      <c r="X277" s="560" t="e">
        <f>VLOOKUP($E277,$E$14:$H$22,4,FALSE)*VLOOKUP($E277,$E$14:$AN$22,COLUMN(X$7)-4,FALSE)/$M277+VLOOKUP($E277,#REF!,4,FALSE)*VLOOKUP($E277,#REF!,COLUMN(X$7)-4,FALSE)/$M277</f>
        <v>#REF!</v>
      </c>
      <c r="Y277" s="560" t="e">
        <f>VLOOKUP($E277,$E$14:$H$22,4,FALSE)*VLOOKUP($E277,$E$14:$AN$22,COLUMN(Y$7)-4,FALSE)/$M277+VLOOKUP($E277,#REF!,4,FALSE)*VLOOKUP($E277,#REF!,COLUMN(Y$7)-4,FALSE)/$M277</f>
        <v>#REF!</v>
      </c>
      <c r="Z277" s="560" t="e">
        <f>VLOOKUP($E277,$E$14:$H$22,4,FALSE)*VLOOKUP($E277,$E$14:$AN$22,COLUMN(Z$7)-4,FALSE)/$M277+VLOOKUP($E277,#REF!,4,FALSE)*VLOOKUP($E277,#REF!,COLUMN(Z$7)-4,FALSE)/$M277</f>
        <v>#REF!</v>
      </c>
      <c r="AA277" s="560" t="e">
        <f>VLOOKUP($E277,$E$14:$H$22,4,FALSE)*VLOOKUP($E277,$E$14:$AN$22,COLUMN(AA$7)-4,FALSE)/$M277+VLOOKUP($E277,#REF!,4,FALSE)*VLOOKUP($E277,#REF!,COLUMN(AA$7)-4,FALSE)/$M277</f>
        <v>#REF!</v>
      </c>
      <c r="AB277" s="560" t="e">
        <f>VLOOKUP($E277,$E$14:$H$22,4,FALSE)*VLOOKUP($E277,$E$14:$AN$22,COLUMN(AB$7)-4,FALSE)/$M277+VLOOKUP($E277,#REF!,4,FALSE)*VLOOKUP($E277,#REF!,COLUMN(AB$7)-4,FALSE)/$M277</f>
        <v>#REF!</v>
      </c>
      <c r="AC277" s="560" t="e">
        <f>VLOOKUP($E277,$E$14:$H$22,4,FALSE)*VLOOKUP($E277,$E$14:$AN$22,COLUMN(AC$7)-4,FALSE)/$M277+VLOOKUP($E277,#REF!,4,FALSE)*VLOOKUP($E277,#REF!,COLUMN(AC$7)-4,FALSE)/$M277</f>
        <v>#REF!</v>
      </c>
      <c r="AD277" s="560" t="e">
        <f>VLOOKUP($E277,$E$14:$H$22,4,FALSE)*VLOOKUP($E277,$E$14:$AN$22,COLUMN(AD$7)-4,FALSE)/$M277+VLOOKUP($E277,#REF!,4,FALSE)*VLOOKUP($E277,#REF!,COLUMN(AD$7)-4,FALSE)/$M277</f>
        <v>#REF!</v>
      </c>
      <c r="AE277" s="560" t="e">
        <f>VLOOKUP($E277,$E$14:$H$22,4,FALSE)*VLOOKUP($E277,$E$14:$AN$22,COLUMN(AE$7)-4,FALSE)/$M277+VLOOKUP($E277,#REF!,4,FALSE)*VLOOKUP($E277,#REF!,COLUMN(AE$7)-4,FALSE)/$M277</f>
        <v>#REF!</v>
      </c>
      <c r="AF277" s="560" t="e">
        <f>VLOOKUP($E277,$E$14:$H$22,4,FALSE)*VLOOKUP($E277,$E$14:$AN$22,COLUMN(AF$7)-4,FALSE)/$M277+VLOOKUP($E277,#REF!,4,FALSE)*VLOOKUP($E277,#REF!,COLUMN(AF$7)-4,FALSE)/$M277</f>
        <v>#REF!</v>
      </c>
      <c r="AG277" s="560" t="e">
        <f>VLOOKUP($E277,$E$14:$H$22,4,FALSE)*VLOOKUP($E277,$E$14:$AN$22,COLUMN(AG$7)-4,FALSE)/$M277+VLOOKUP($E277,#REF!,4,FALSE)*VLOOKUP($E277,#REF!,COLUMN(AG$7)-4,FALSE)/$M277</f>
        <v>#REF!</v>
      </c>
      <c r="AH277" s="560" t="e">
        <f>VLOOKUP($E277,$E$14:$H$22,4,FALSE)*VLOOKUP($E277,$E$14:$AN$22,COLUMN(AH$7)-4,FALSE)/$M277+VLOOKUP($E277,#REF!,4,FALSE)*VLOOKUP($E277,#REF!,COLUMN(AH$7)-4,FALSE)/$M277</f>
        <v>#REF!</v>
      </c>
      <c r="AI277" s="560" t="e">
        <f>VLOOKUP($E277,$E$14:$H$22,4,FALSE)*VLOOKUP($E277,$E$14:$AN$22,COLUMN(AI$7)-4,FALSE)/$M277+VLOOKUP($E277,#REF!,4,FALSE)*VLOOKUP($E277,#REF!,COLUMN(AI$7)-4,FALSE)/$M277</f>
        <v>#REF!</v>
      </c>
      <c r="AJ277" s="560" t="e">
        <f>VLOOKUP($E277,$E$14:$H$22,4,FALSE)*VLOOKUP($E277,$E$14:$AN$22,COLUMN(AJ$7)-4,FALSE)/$M277+VLOOKUP($E277,#REF!,4,FALSE)*VLOOKUP($E277,#REF!,COLUMN(AJ$7)-4,FALSE)/$M277</f>
        <v>#REF!</v>
      </c>
      <c r="AK277" s="560" t="e">
        <f>VLOOKUP($E277,$E$14:$H$22,4,FALSE)*VLOOKUP($E277,$E$14:$AN$22,COLUMN(AK$7)-4,FALSE)/$M277+VLOOKUP($E277,#REF!,4,FALSE)*VLOOKUP($E277,#REF!,COLUMN(AK$7)-4,FALSE)/$M277</f>
        <v>#REF!</v>
      </c>
      <c r="AL277" s="560" t="e">
        <f>VLOOKUP($E277,$E$14:$H$22,4,FALSE)*VLOOKUP($E277,$E$14:$AN$22,COLUMN(AL$7)-4,FALSE)/$M277+VLOOKUP($E277,#REF!,4,FALSE)*VLOOKUP($E277,#REF!,COLUMN(AL$7)-4,FALSE)/$M277</f>
        <v>#REF!</v>
      </c>
      <c r="AM277" s="560" t="e">
        <f>VLOOKUP($E277,$E$14:$H$22,4,FALSE)*VLOOKUP($E277,$E$14:$AN$22,COLUMN(AM$7)-4,FALSE)/$M277+VLOOKUP($E277,#REF!,4,FALSE)*VLOOKUP($E277,#REF!,COLUMN(AM$7)-4,FALSE)/$M277</f>
        <v>#REF!</v>
      </c>
      <c r="AN277" s="560" t="e">
        <f>VLOOKUP($E277,$E$14:$H$22,4,FALSE)*VLOOKUP($E277,$E$14:$AN$22,COLUMN(AN$7)-4,FALSE)/$M277+VLOOKUP($E277,#REF!,4,FALSE)*VLOOKUP($E277,#REF!,COLUMN(AN$7)-4,FALSE)/$M277</f>
        <v>#REF!</v>
      </c>
    </row>
    <row r="278" spans="5:40">
      <c r="E278" s="919" t="e">
        <f>#REF!</f>
        <v>#REF!</v>
      </c>
      <c r="M278" s="560">
        <f>SUMIF(E:E,E278,H:H)</f>
        <v>0</v>
      </c>
      <c r="Q278" s="560" t="e">
        <f>VLOOKUP($E278,$E$14:$H$22,4,FALSE)*VLOOKUP($E278,$E$14:$AN$22,COLUMN(Q$7)-4,FALSE)/$M278+VLOOKUP($E278,#REF!,4,FALSE)*VLOOKUP($E278,#REF!,COLUMN(Q$7)-4,FALSE)/$M278</f>
        <v>#REF!</v>
      </c>
      <c r="R278" s="560" t="e">
        <f>VLOOKUP($E278,$E$14:$H$22,4,FALSE)*VLOOKUP($E278,$E$14:$AN$22,COLUMN(R$7)-4,FALSE)/$M278+VLOOKUP($E278,#REF!,4,FALSE)*VLOOKUP($E278,#REF!,COLUMN(R$7)-4,FALSE)/$M278</f>
        <v>#REF!</v>
      </c>
      <c r="S278" s="560" t="e">
        <f>VLOOKUP($E278,$E$14:$H$22,4,FALSE)*VLOOKUP($E278,$E$14:$AN$22,COLUMN(S$7)-4,FALSE)/$M278+VLOOKUP($E278,#REF!,4,FALSE)*VLOOKUP($E278,#REF!,COLUMN(S$7)-4,FALSE)/$M278</f>
        <v>#REF!</v>
      </c>
      <c r="T278" s="560" t="e">
        <f>VLOOKUP($E278,$E$14:$H$22,4,FALSE)*VLOOKUP($E278,$E$14:$AN$22,COLUMN(T$7)-4,FALSE)/$M278+VLOOKUP($E278,#REF!,4,FALSE)*VLOOKUP($E278,#REF!,COLUMN(T$7)-4,FALSE)/$M278</f>
        <v>#REF!</v>
      </c>
      <c r="U278" s="560" t="e">
        <f>VLOOKUP($E278,$E$14:$H$22,4,FALSE)*VLOOKUP($E278,$E$14:$AN$22,COLUMN(U$7)-4,FALSE)/$M278+VLOOKUP($E278,#REF!,4,FALSE)*VLOOKUP($E278,#REF!,COLUMN(U$7)-4,FALSE)/$M278</f>
        <v>#REF!</v>
      </c>
      <c r="V278" s="560" t="e">
        <f>VLOOKUP($E278,$E$14:$H$22,4,FALSE)*VLOOKUP($E278,$E$14:$AN$22,COLUMN(V$7)-4,FALSE)/$M278+VLOOKUP($E278,#REF!,4,FALSE)*VLOOKUP($E278,#REF!,COLUMN(V$7)-4,FALSE)/$M278</f>
        <v>#REF!</v>
      </c>
      <c r="W278" s="560" t="e">
        <f>VLOOKUP($E278,$E$14:$H$22,4,FALSE)*VLOOKUP($E278,$E$14:$AN$22,COLUMN(W$7)-4,FALSE)/$M278+VLOOKUP($E278,#REF!,4,FALSE)*VLOOKUP($E278,#REF!,COLUMN(W$7)-4,FALSE)/$M278</f>
        <v>#REF!</v>
      </c>
      <c r="X278" s="560" t="e">
        <f>VLOOKUP($E278,$E$14:$H$22,4,FALSE)*VLOOKUP($E278,$E$14:$AN$22,COLUMN(X$7)-4,FALSE)/$M278+VLOOKUP($E278,#REF!,4,FALSE)*VLOOKUP($E278,#REF!,COLUMN(X$7)-4,FALSE)/$M278</f>
        <v>#REF!</v>
      </c>
      <c r="Y278" s="560" t="e">
        <f>VLOOKUP($E278,$E$14:$H$22,4,FALSE)*VLOOKUP($E278,$E$14:$AN$22,COLUMN(Y$7)-4,FALSE)/$M278+VLOOKUP($E278,#REF!,4,FALSE)*VLOOKUP($E278,#REF!,COLUMN(Y$7)-4,FALSE)/$M278</f>
        <v>#REF!</v>
      </c>
      <c r="Z278" s="560" t="e">
        <f>VLOOKUP($E278,$E$14:$H$22,4,FALSE)*VLOOKUP($E278,$E$14:$AN$22,COLUMN(Z$7)-4,FALSE)/$M278+VLOOKUP($E278,#REF!,4,FALSE)*VLOOKUP($E278,#REF!,COLUMN(Z$7)-4,FALSE)/$M278</f>
        <v>#REF!</v>
      </c>
      <c r="AA278" s="560" t="e">
        <f>VLOOKUP($E278,$E$14:$H$22,4,FALSE)*VLOOKUP($E278,$E$14:$AN$22,COLUMN(AA$7)-4,FALSE)/$M278+VLOOKUP($E278,#REF!,4,FALSE)*VLOOKUP($E278,#REF!,COLUMN(AA$7)-4,FALSE)/$M278</f>
        <v>#REF!</v>
      </c>
      <c r="AB278" s="560" t="e">
        <f>VLOOKUP($E278,$E$14:$H$22,4,FALSE)*VLOOKUP($E278,$E$14:$AN$22,COLUMN(AB$7)-4,FALSE)/$M278+VLOOKUP($E278,#REF!,4,FALSE)*VLOOKUP($E278,#REF!,COLUMN(AB$7)-4,FALSE)/$M278</f>
        <v>#REF!</v>
      </c>
      <c r="AC278" s="560" t="e">
        <f>VLOOKUP($E278,$E$14:$H$22,4,FALSE)*VLOOKUP($E278,$E$14:$AN$22,COLUMN(AC$7)-4,FALSE)/$M278+VLOOKUP($E278,#REF!,4,FALSE)*VLOOKUP($E278,#REF!,COLUMN(AC$7)-4,FALSE)/$M278</f>
        <v>#REF!</v>
      </c>
      <c r="AD278" s="560" t="e">
        <f>VLOOKUP($E278,$E$14:$H$22,4,FALSE)*VLOOKUP($E278,$E$14:$AN$22,COLUMN(AD$7)-4,FALSE)/$M278+VLOOKUP($E278,#REF!,4,FALSE)*VLOOKUP($E278,#REF!,COLUMN(AD$7)-4,FALSE)/$M278</f>
        <v>#REF!</v>
      </c>
      <c r="AE278" s="560" t="e">
        <f>VLOOKUP($E278,$E$14:$H$22,4,FALSE)*VLOOKUP($E278,$E$14:$AN$22,COLUMN(AE$7)-4,FALSE)/$M278+VLOOKUP($E278,#REF!,4,FALSE)*VLOOKUP($E278,#REF!,COLUMN(AE$7)-4,FALSE)/$M278</f>
        <v>#REF!</v>
      </c>
      <c r="AF278" s="560" t="e">
        <f>VLOOKUP($E278,$E$14:$H$22,4,FALSE)*VLOOKUP($E278,$E$14:$AN$22,COLUMN(AF$7)-4,FALSE)/$M278+VLOOKUP($E278,#REF!,4,FALSE)*VLOOKUP($E278,#REF!,COLUMN(AF$7)-4,FALSE)/$M278</f>
        <v>#REF!</v>
      </c>
      <c r="AG278" s="560" t="e">
        <f>VLOOKUP($E278,$E$14:$H$22,4,FALSE)*VLOOKUP($E278,$E$14:$AN$22,COLUMN(AG$7)-4,FALSE)/$M278+VLOOKUP($E278,#REF!,4,FALSE)*VLOOKUP($E278,#REF!,COLUMN(AG$7)-4,FALSE)/$M278</f>
        <v>#REF!</v>
      </c>
      <c r="AH278" s="560" t="e">
        <f>VLOOKUP($E278,$E$14:$H$22,4,FALSE)*VLOOKUP($E278,$E$14:$AN$22,COLUMN(AH$7)-4,FALSE)/$M278+VLOOKUP($E278,#REF!,4,FALSE)*VLOOKUP($E278,#REF!,COLUMN(AH$7)-4,FALSE)/$M278</f>
        <v>#REF!</v>
      </c>
      <c r="AI278" s="560" t="e">
        <f>VLOOKUP($E278,$E$14:$H$22,4,FALSE)*VLOOKUP($E278,$E$14:$AN$22,COLUMN(AI$7)-4,FALSE)/$M278+VLOOKUP($E278,#REF!,4,FALSE)*VLOOKUP($E278,#REF!,COLUMN(AI$7)-4,FALSE)/$M278</f>
        <v>#REF!</v>
      </c>
      <c r="AJ278" s="560" t="e">
        <f>VLOOKUP($E278,$E$14:$H$22,4,FALSE)*VLOOKUP($E278,$E$14:$AN$22,COLUMN(AJ$7)-4,FALSE)/$M278+VLOOKUP($E278,#REF!,4,FALSE)*VLOOKUP($E278,#REF!,COLUMN(AJ$7)-4,FALSE)/$M278</f>
        <v>#REF!</v>
      </c>
      <c r="AK278" s="560" t="e">
        <f>VLOOKUP($E278,$E$14:$H$22,4,FALSE)*VLOOKUP($E278,$E$14:$AN$22,COLUMN(AK$7)-4,FALSE)/$M278+VLOOKUP($E278,#REF!,4,FALSE)*VLOOKUP($E278,#REF!,COLUMN(AK$7)-4,FALSE)/$M278</f>
        <v>#REF!</v>
      </c>
      <c r="AL278" s="560" t="e">
        <f>VLOOKUP($E278,$E$14:$H$22,4,FALSE)*VLOOKUP($E278,$E$14:$AN$22,COLUMN(AL$7)-4,FALSE)/$M278+VLOOKUP($E278,#REF!,4,FALSE)*VLOOKUP($E278,#REF!,COLUMN(AL$7)-4,FALSE)/$M278</f>
        <v>#REF!</v>
      </c>
      <c r="AM278" s="560" t="e">
        <f>VLOOKUP($E278,$E$14:$H$22,4,FALSE)*VLOOKUP($E278,$E$14:$AN$22,COLUMN(AM$7)-4,FALSE)/$M278+VLOOKUP($E278,#REF!,4,FALSE)*VLOOKUP($E278,#REF!,COLUMN(AM$7)-4,FALSE)/$M278</f>
        <v>#REF!</v>
      </c>
      <c r="AN278" s="560" t="e">
        <f>VLOOKUP($E278,$E$14:$H$22,4,FALSE)*VLOOKUP($E278,$E$14:$AN$22,COLUMN(AN$7)-4,FALSE)/$M278+VLOOKUP($E278,#REF!,4,FALSE)*VLOOKUP($E278,#REF!,COLUMN(AN$7)-4,FALSE)/$M278</f>
        <v>#REF!</v>
      </c>
    </row>
    <row r="279" spans="5:40">
      <c r="E279" s="919" t="e">
        <f>#REF!</f>
        <v>#REF!</v>
      </c>
      <c r="M279" s="560">
        <f>SUMIF(E:E,E279,H:H)</f>
        <v>0</v>
      </c>
      <c r="Q279" s="560" t="e">
        <f>VLOOKUP($E279,$E$14:$H$22,4,FALSE)*VLOOKUP($E279,$E$14:$AN$22,COLUMN(Q$7)-4,FALSE)/$M279+VLOOKUP($E279,#REF!,4,FALSE)*VLOOKUP($E279,#REF!,COLUMN(Q$7)-4,FALSE)/$M279</f>
        <v>#REF!</v>
      </c>
      <c r="R279" s="560" t="e">
        <f>VLOOKUP($E279,$E$14:$H$22,4,FALSE)*VLOOKUP($E279,$E$14:$AN$22,COLUMN(R$7)-4,FALSE)/$M279+VLOOKUP($E279,#REF!,4,FALSE)*VLOOKUP($E279,#REF!,COLUMN(R$7)-4,FALSE)/$M279</f>
        <v>#REF!</v>
      </c>
      <c r="S279" s="560" t="e">
        <f>VLOOKUP($E279,$E$14:$H$22,4,FALSE)*VLOOKUP($E279,$E$14:$AN$22,COLUMN(S$7)-4,FALSE)/$M279+VLOOKUP($E279,#REF!,4,FALSE)*VLOOKUP($E279,#REF!,COLUMN(S$7)-4,FALSE)/$M279</f>
        <v>#REF!</v>
      </c>
      <c r="T279" s="560" t="e">
        <f>VLOOKUP($E279,$E$14:$H$22,4,FALSE)*VLOOKUP($E279,$E$14:$AN$22,COLUMN(T$7)-4,FALSE)/$M279+VLOOKUP($E279,#REF!,4,FALSE)*VLOOKUP($E279,#REF!,COLUMN(T$7)-4,FALSE)/$M279</f>
        <v>#REF!</v>
      </c>
      <c r="U279" s="560" t="e">
        <f>VLOOKUP($E279,$E$14:$H$22,4,FALSE)*VLOOKUP($E279,$E$14:$AN$22,COLUMN(U$7)-4,FALSE)/$M279+VLOOKUP($E279,#REF!,4,FALSE)*VLOOKUP($E279,#REF!,COLUMN(U$7)-4,FALSE)/$M279</f>
        <v>#REF!</v>
      </c>
      <c r="V279" s="560" t="e">
        <f>VLOOKUP($E279,$E$14:$H$22,4,FALSE)*VLOOKUP($E279,$E$14:$AN$22,COLUMN(V$7)-4,FALSE)/$M279+VLOOKUP($E279,#REF!,4,FALSE)*VLOOKUP($E279,#REF!,COLUMN(V$7)-4,FALSE)/$M279</f>
        <v>#REF!</v>
      </c>
      <c r="W279" s="560" t="e">
        <f>VLOOKUP($E279,$E$14:$H$22,4,FALSE)*VLOOKUP($E279,$E$14:$AN$22,COLUMN(W$7)-4,FALSE)/$M279+VLOOKUP($E279,#REF!,4,FALSE)*VLOOKUP($E279,#REF!,COLUMN(W$7)-4,FALSE)/$M279</f>
        <v>#REF!</v>
      </c>
      <c r="X279" s="560" t="e">
        <f>VLOOKUP($E279,$E$14:$H$22,4,FALSE)*VLOOKUP($E279,$E$14:$AN$22,COLUMN(X$7)-4,FALSE)/$M279+VLOOKUP($E279,#REF!,4,FALSE)*VLOOKUP($E279,#REF!,COLUMN(X$7)-4,FALSE)/$M279</f>
        <v>#REF!</v>
      </c>
      <c r="Y279" s="560" t="e">
        <f>VLOOKUP($E279,$E$14:$H$22,4,FALSE)*VLOOKUP($E279,$E$14:$AN$22,COLUMN(Y$7)-4,FALSE)/$M279+VLOOKUP($E279,#REF!,4,FALSE)*VLOOKUP($E279,#REF!,COLUMN(Y$7)-4,FALSE)/$M279</f>
        <v>#REF!</v>
      </c>
      <c r="Z279" s="560" t="e">
        <f>VLOOKUP($E279,$E$14:$H$22,4,FALSE)*VLOOKUP($E279,$E$14:$AN$22,COLUMN(Z$7)-4,FALSE)/$M279+VLOOKUP($E279,#REF!,4,FALSE)*VLOOKUP($E279,#REF!,COLUMN(Z$7)-4,FALSE)/$M279</f>
        <v>#REF!</v>
      </c>
      <c r="AA279" s="560" t="e">
        <f>VLOOKUP($E279,$E$14:$H$22,4,FALSE)*VLOOKUP($E279,$E$14:$AN$22,COLUMN(AA$7)-4,FALSE)/$M279+VLOOKUP($E279,#REF!,4,FALSE)*VLOOKUP($E279,#REF!,COLUMN(AA$7)-4,FALSE)/$M279</f>
        <v>#REF!</v>
      </c>
      <c r="AB279" s="560" t="e">
        <f>VLOOKUP($E279,$E$14:$H$22,4,FALSE)*VLOOKUP($E279,$E$14:$AN$22,COLUMN(AB$7)-4,FALSE)/$M279+VLOOKUP($E279,#REF!,4,FALSE)*VLOOKUP($E279,#REF!,COLUMN(AB$7)-4,FALSE)/$M279</f>
        <v>#REF!</v>
      </c>
      <c r="AC279" s="560" t="e">
        <f>VLOOKUP($E279,$E$14:$H$22,4,FALSE)*VLOOKUP($E279,$E$14:$AN$22,COLUMN(AC$7)-4,FALSE)/$M279+VLOOKUP($E279,#REF!,4,FALSE)*VLOOKUP($E279,#REF!,COLUMN(AC$7)-4,FALSE)/$M279</f>
        <v>#REF!</v>
      </c>
      <c r="AD279" s="560" t="e">
        <f>VLOOKUP($E279,$E$14:$H$22,4,FALSE)*VLOOKUP($E279,$E$14:$AN$22,COLUMN(AD$7)-4,FALSE)/$M279+VLOOKUP($E279,#REF!,4,FALSE)*VLOOKUP($E279,#REF!,COLUMN(AD$7)-4,FALSE)/$M279</f>
        <v>#REF!</v>
      </c>
      <c r="AE279" s="560" t="e">
        <f>VLOOKUP($E279,$E$14:$H$22,4,FALSE)*VLOOKUP($E279,$E$14:$AN$22,COLUMN(AE$7)-4,FALSE)/$M279+VLOOKUP($E279,#REF!,4,FALSE)*VLOOKUP($E279,#REF!,COLUMN(AE$7)-4,FALSE)/$M279</f>
        <v>#REF!</v>
      </c>
      <c r="AF279" s="560" t="e">
        <f>VLOOKUP($E279,$E$14:$H$22,4,FALSE)*VLOOKUP($E279,$E$14:$AN$22,COLUMN(AF$7)-4,FALSE)/$M279+VLOOKUP($E279,#REF!,4,FALSE)*VLOOKUP($E279,#REF!,COLUMN(AF$7)-4,FALSE)/$M279</f>
        <v>#REF!</v>
      </c>
      <c r="AG279" s="560" t="e">
        <f>VLOOKUP($E279,$E$14:$H$22,4,FALSE)*VLOOKUP($E279,$E$14:$AN$22,COLUMN(AG$7)-4,FALSE)/$M279+VLOOKUP($E279,#REF!,4,FALSE)*VLOOKUP($E279,#REF!,COLUMN(AG$7)-4,FALSE)/$M279</f>
        <v>#REF!</v>
      </c>
      <c r="AH279" s="560" t="e">
        <f>VLOOKUP($E279,$E$14:$H$22,4,FALSE)*VLOOKUP($E279,$E$14:$AN$22,COLUMN(AH$7)-4,FALSE)/$M279+VLOOKUP($E279,#REF!,4,FALSE)*VLOOKUP($E279,#REF!,COLUMN(AH$7)-4,FALSE)/$M279</f>
        <v>#REF!</v>
      </c>
      <c r="AI279" s="560" t="e">
        <f>VLOOKUP($E279,$E$14:$H$22,4,FALSE)*VLOOKUP($E279,$E$14:$AN$22,COLUMN(AI$7)-4,FALSE)/$M279+VLOOKUP($E279,#REF!,4,FALSE)*VLOOKUP($E279,#REF!,COLUMN(AI$7)-4,FALSE)/$M279</f>
        <v>#REF!</v>
      </c>
      <c r="AJ279" s="560" t="e">
        <f>VLOOKUP($E279,$E$14:$H$22,4,FALSE)*VLOOKUP($E279,$E$14:$AN$22,COLUMN(AJ$7)-4,FALSE)/$M279+VLOOKUP($E279,#REF!,4,FALSE)*VLOOKUP($E279,#REF!,COLUMN(AJ$7)-4,FALSE)/$M279</f>
        <v>#REF!</v>
      </c>
      <c r="AK279" s="560" t="e">
        <f>VLOOKUP($E279,$E$14:$H$22,4,FALSE)*VLOOKUP($E279,$E$14:$AN$22,COLUMN(AK$7)-4,FALSE)/$M279+VLOOKUP($E279,#REF!,4,FALSE)*VLOOKUP($E279,#REF!,COLUMN(AK$7)-4,FALSE)/$M279</f>
        <v>#REF!</v>
      </c>
      <c r="AL279" s="560" t="e">
        <f>VLOOKUP($E279,$E$14:$H$22,4,FALSE)*VLOOKUP($E279,$E$14:$AN$22,COLUMN(AL$7)-4,FALSE)/$M279+VLOOKUP($E279,#REF!,4,FALSE)*VLOOKUP($E279,#REF!,COLUMN(AL$7)-4,FALSE)/$M279</f>
        <v>#REF!</v>
      </c>
      <c r="AM279" s="560" t="e">
        <f>VLOOKUP($E279,$E$14:$H$22,4,FALSE)*VLOOKUP($E279,$E$14:$AN$22,COLUMN(AM$7)-4,FALSE)/$M279+VLOOKUP($E279,#REF!,4,FALSE)*VLOOKUP($E279,#REF!,COLUMN(AM$7)-4,FALSE)/$M279</f>
        <v>#REF!</v>
      </c>
      <c r="AN279" s="560" t="e">
        <f>VLOOKUP($E279,$E$14:$H$22,4,FALSE)*VLOOKUP($E279,$E$14:$AN$22,COLUMN(AN$7)-4,FALSE)/$M279+VLOOKUP($E279,#REF!,4,FALSE)*VLOOKUP($E279,#REF!,COLUMN(AN$7)-4,FALSE)/$M279</f>
        <v>#REF!</v>
      </c>
    </row>
    <row r="280" spans="5:40">
      <c r="E280" s="919" t="e">
        <f>#REF!</f>
        <v>#REF!</v>
      </c>
      <c r="M280" s="560">
        <f>SUMIF(E:E,E280,H:H)</f>
        <v>0</v>
      </c>
      <c r="Q280" s="560" t="e">
        <f>VLOOKUP($E280,$E$14:$H$22,4,FALSE)*VLOOKUP($E280,$E$14:$AN$22,COLUMN(Q$7)-4,FALSE)/$M280+VLOOKUP($E280,#REF!,4,FALSE)*VLOOKUP($E280,#REF!,COLUMN(Q$7)-4,FALSE)/$M280</f>
        <v>#REF!</v>
      </c>
      <c r="R280" s="560" t="e">
        <f>VLOOKUP($E280,$E$14:$H$22,4,FALSE)*VLOOKUP($E280,$E$14:$AN$22,COLUMN(R$7)-4,FALSE)/$M280+VLOOKUP($E280,#REF!,4,FALSE)*VLOOKUP($E280,#REF!,COLUMN(R$7)-4,FALSE)/$M280</f>
        <v>#REF!</v>
      </c>
      <c r="S280" s="560" t="e">
        <f>VLOOKUP($E280,$E$14:$H$22,4,FALSE)*VLOOKUP($E280,$E$14:$AN$22,COLUMN(S$7)-4,FALSE)/$M280+VLOOKUP($E280,#REF!,4,FALSE)*VLOOKUP($E280,#REF!,COLUMN(S$7)-4,FALSE)/$M280</f>
        <v>#REF!</v>
      </c>
      <c r="T280" s="560" t="e">
        <f>VLOOKUP($E280,$E$14:$H$22,4,FALSE)*VLOOKUP($E280,$E$14:$AN$22,COLUMN(T$7)-4,FALSE)/$M280+VLOOKUP($E280,#REF!,4,FALSE)*VLOOKUP($E280,#REF!,COLUMN(T$7)-4,FALSE)/$M280</f>
        <v>#REF!</v>
      </c>
      <c r="U280" s="560" t="e">
        <f>VLOOKUP($E280,$E$14:$H$22,4,FALSE)*VLOOKUP($E280,$E$14:$AN$22,COLUMN(U$7)-4,FALSE)/$M280+VLOOKUP($E280,#REF!,4,FALSE)*VLOOKUP($E280,#REF!,COLUMN(U$7)-4,FALSE)/$M280</f>
        <v>#REF!</v>
      </c>
      <c r="V280" s="560" t="e">
        <f>VLOOKUP($E280,$E$14:$H$22,4,FALSE)*VLOOKUP($E280,$E$14:$AN$22,COLUMN(V$7)-4,FALSE)/$M280+VLOOKUP($E280,#REF!,4,FALSE)*VLOOKUP($E280,#REF!,COLUMN(V$7)-4,FALSE)/$M280</f>
        <v>#REF!</v>
      </c>
      <c r="W280" s="560" t="e">
        <f>VLOOKUP($E280,$E$14:$H$22,4,FALSE)*VLOOKUP($E280,$E$14:$AN$22,COLUMN(W$7)-4,FALSE)/$M280+VLOOKUP($E280,#REF!,4,FALSE)*VLOOKUP($E280,#REF!,COLUMN(W$7)-4,FALSE)/$M280</f>
        <v>#REF!</v>
      </c>
      <c r="X280" s="560" t="e">
        <f>VLOOKUP($E280,$E$14:$H$22,4,FALSE)*VLOOKUP($E280,$E$14:$AN$22,COLUMN(X$7)-4,FALSE)/$M280+VLOOKUP($E280,#REF!,4,FALSE)*VLOOKUP($E280,#REF!,COLUMN(X$7)-4,FALSE)/$M280</f>
        <v>#REF!</v>
      </c>
      <c r="Y280" s="560" t="e">
        <f>VLOOKUP($E280,$E$14:$H$22,4,FALSE)*VLOOKUP($E280,$E$14:$AN$22,COLUMN(Y$7)-4,FALSE)/$M280+VLOOKUP($E280,#REF!,4,FALSE)*VLOOKUP($E280,#REF!,COLUMN(Y$7)-4,FALSE)/$M280</f>
        <v>#REF!</v>
      </c>
      <c r="Z280" s="560" t="e">
        <f>VLOOKUP($E280,$E$14:$H$22,4,FALSE)*VLOOKUP($E280,$E$14:$AN$22,COLUMN(Z$7)-4,FALSE)/$M280+VLOOKUP($E280,#REF!,4,FALSE)*VLOOKUP($E280,#REF!,COLUMN(Z$7)-4,FALSE)/$M280</f>
        <v>#REF!</v>
      </c>
      <c r="AA280" s="560" t="e">
        <f>VLOOKUP($E280,$E$14:$H$22,4,FALSE)*VLOOKUP($E280,$E$14:$AN$22,COLUMN(AA$7)-4,FALSE)/$M280+VLOOKUP($E280,#REF!,4,FALSE)*VLOOKUP($E280,#REF!,COLUMN(AA$7)-4,FALSE)/$M280</f>
        <v>#REF!</v>
      </c>
      <c r="AB280" s="560" t="e">
        <f>VLOOKUP($E280,$E$14:$H$22,4,FALSE)*VLOOKUP($E280,$E$14:$AN$22,COLUMN(AB$7)-4,FALSE)/$M280+VLOOKUP($E280,#REF!,4,FALSE)*VLOOKUP($E280,#REF!,COLUMN(AB$7)-4,FALSE)/$M280</f>
        <v>#REF!</v>
      </c>
      <c r="AC280" s="560" t="e">
        <f>VLOOKUP($E280,$E$14:$H$22,4,FALSE)*VLOOKUP($E280,$E$14:$AN$22,COLUMN(AC$7)-4,FALSE)/$M280+VLOOKUP($E280,#REF!,4,FALSE)*VLOOKUP($E280,#REF!,COLUMN(AC$7)-4,FALSE)/$M280</f>
        <v>#REF!</v>
      </c>
      <c r="AD280" s="560" t="e">
        <f>VLOOKUP($E280,$E$14:$H$22,4,FALSE)*VLOOKUP($E280,$E$14:$AN$22,COLUMN(AD$7)-4,FALSE)/$M280+VLOOKUP($E280,#REF!,4,FALSE)*VLOOKUP($E280,#REF!,COLUMN(AD$7)-4,FALSE)/$M280</f>
        <v>#REF!</v>
      </c>
      <c r="AE280" s="560" t="e">
        <f>VLOOKUP($E280,$E$14:$H$22,4,FALSE)*VLOOKUP($E280,$E$14:$AN$22,COLUMN(AE$7)-4,FALSE)/$M280+VLOOKUP($E280,#REF!,4,FALSE)*VLOOKUP($E280,#REF!,COLUMN(AE$7)-4,FALSE)/$M280</f>
        <v>#REF!</v>
      </c>
      <c r="AF280" s="560" t="e">
        <f>VLOOKUP($E280,$E$14:$H$22,4,FALSE)*VLOOKUP($E280,$E$14:$AN$22,COLUMN(AF$7)-4,FALSE)/$M280+VLOOKUP($E280,#REF!,4,FALSE)*VLOOKUP($E280,#REF!,COLUMN(AF$7)-4,FALSE)/$M280</f>
        <v>#REF!</v>
      </c>
      <c r="AG280" s="560" t="e">
        <f>VLOOKUP($E280,$E$14:$H$22,4,FALSE)*VLOOKUP($E280,$E$14:$AN$22,COLUMN(AG$7)-4,FALSE)/$M280+VLOOKUP($E280,#REF!,4,FALSE)*VLOOKUP($E280,#REF!,COLUMN(AG$7)-4,FALSE)/$M280</f>
        <v>#REF!</v>
      </c>
      <c r="AH280" s="560" t="e">
        <f>VLOOKUP($E280,$E$14:$H$22,4,FALSE)*VLOOKUP($E280,$E$14:$AN$22,COLUMN(AH$7)-4,FALSE)/$M280+VLOOKUP($E280,#REF!,4,FALSE)*VLOOKUP($E280,#REF!,COLUMN(AH$7)-4,FALSE)/$M280</f>
        <v>#REF!</v>
      </c>
      <c r="AI280" s="560" t="e">
        <f>VLOOKUP($E280,$E$14:$H$22,4,FALSE)*VLOOKUP($E280,$E$14:$AN$22,COLUMN(AI$7)-4,FALSE)/$M280+VLOOKUP($E280,#REF!,4,FALSE)*VLOOKUP($E280,#REF!,COLUMN(AI$7)-4,FALSE)/$M280</f>
        <v>#REF!</v>
      </c>
      <c r="AJ280" s="560" t="e">
        <f>VLOOKUP($E280,$E$14:$H$22,4,FALSE)*VLOOKUP($E280,$E$14:$AN$22,COLUMN(AJ$7)-4,FALSE)/$M280+VLOOKUP($E280,#REF!,4,FALSE)*VLOOKUP($E280,#REF!,COLUMN(AJ$7)-4,FALSE)/$M280</f>
        <v>#REF!</v>
      </c>
      <c r="AK280" s="560" t="e">
        <f>VLOOKUP($E280,$E$14:$H$22,4,FALSE)*VLOOKUP($E280,$E$14:$AN$22,COLUMN(AK$7)-4,FALSE)/$M280+VLOOKUP($E280,#REF!,4,FALSE)*VLOOKUP($E280,#REF!,COLUMN(AK$7)-4,FALSE)/$M280</f>
        <v>#REF!</v>
      </c>
      <c r="AL280" s="560" t="e">
        <f>VLOOKUP($E280,$E$14:$H$22,4,FALSE)*VLOOKUP($E280,$E$14:$AN$22,COLUMN(AL$7)-4,FALSE)/$M280+VLOOKUP($E280,#REF!,4,FALSE)*VLOOKUP($E280,#REF!,COLUMN(AL$7)-4,FALSE)/$M280</f>
        <v>#REF!</v>
      </c>
      <c r="AM280" s="560" t="e">
        <f>VLOOKUP($E280,$E$14:$H$22,4,FALSE)*VLOOKUP($E280,$E$14:$AN$22,COLUMN(AM$7)-4,FALSE)/$M280+VLOOKUP($E280,#REF!,4,FALSE)*VLOOKUP($E280,#REF!,COLUMN(AM$7)-4,FALSE)/$M280</f>
        <v>#REF!</v>
      </c>
      <c r="AN280" s="560" t="e">
        <f>VLOOKUP($E280,$E$14:$H$22,4,FALSE)*VLOOKUP($E280,$E$14:$AN$22,COLUMN(AN$7)-4,FALSE)/$M280+VLOOKUP($E280,#REF!,4,FALSE)*VLOOKUP($E280,#REF!,COLUMN(AN$7)-4,FALSE)/$M280</f>
        <v>#REF!</v>
      </c>
    </row>
    <row r="281" spans="5:40">
      <c r="E281" s="919" t="e">
        <f>#REF!</f>
        <v>#REF!</v>
      </c>
      <c r="M281" s="560">
        <f>SUMIF(E:E,E281,H:H)</f>
        <v>0</v>
      </c>
      <c r="Q281" s="560" t="e">
        <f>VLOOKUP($E281,$E$14:$H$22,4,FALSE)*VLOOKUP($E281,$E$14:$AN$22,COLUMN(Q$7)-4,FALSE)/$M281+VLOOKUP($E281,#REF!,4,FALSE)*VLOOKUP($E281,#REF!,COLUMN(Q$7)-4,FALSE)/$M281</f>
        <v>#REF!</v>
      </c>
      <c r="R281" s="560" t="e">
        <f>VLOOKUP($E281,$E$14:$H$22,4,FALSE)*VLOOKUP($E281,$E$14:$AN$22,COLUMN(R$7)-4,FALSE)/$M281+VLOOKUP($E281,#REF!,4,FALSE)*VLOOKUP($E281,#REF!,COLUMN(R$7)-4,FALSE)/$M281</f>
        <v>#REF!</v>
      </c>
      <c r="S281" s="560" t="e">
        <f>VLOOKUP($E281,$E$14:$H$22,4,FALSE)*VLOOKUP($E281,$E$14:$AN$22,COLUMN(S$7)-4,FALSE)/$M281+VLOOKUP($E281,#REF!,4,FALSE)*VLOOKUP($E281,#REF!,COLUMN(S$7)-4,FALSE)/$M281</f>
        <v>#REF!</v>
      </c>
      <c r="T281" s="560" t="e">
        <f>VLOOKUP($E281,$E$14:$H$22,4,FALSE)*VLOOKUP($E281,$E$14:$AN$22,COLUMN(T$7)-4,FALSE)/$M281+VLOOKUP($E281,#REF!,4,FALSE)*VLOOKUP($E281,#REF!,COLUMN(T$7)-4,FALSE)/$M281</f>
        <v>#REF!</v>
      </c>
      <c r="U281" s="560" t="e">
        <f>VLOOKUP($E281,$E$14:$H$22,4,FALSE)*VLOOKUP($E281,$E$14:$AN$22,COLUMN(U$7)-4,FALSE)/$M281+VLOOKUP($E281,#REF!,4,FALSE)*VLOOKUP($E281,#REF!,COLUMN(U$7)-4,FALSE)/$M281</f>
        <v>#REF!</v>
      </c>
      <c r="V281" s="560" t="e">
        <f>VLOOKUP($E281,$E$14:$H$22,4,FALSE)*VLOOKUP($E281,$E$14:$AN$22,COLUMN(V$7)-4,FALSE)/$M281+VLOOKUP($E281,#REF!,4,FALSE)*VLOOKUP($E281,#REF!,COLUMN(V$7)-4,FALSE)/$M281</f>
        <v>#REF!</v>
      </c>
      <c r="W281" s="560" t="e">
        <f>VLOOKUP($E281,$E$14:$H$22,4,FALSE)*VLOOKUP($E281,$E$14:$AN$22,COLUMN(W$7)-4,FALSE)/$M281+VLOOKUP($E281,#REF!,4,FALSE)*VLOOKUP($E281,#REF!,COLUMN(W$7)-4,FALSE)/$M281</f>
        <v>#REF!</v>
      </c>
      <c r="X281" s="560" t="e">
        <f>VLOOKUP($E281,$E$14:$H$22,4,FALSE)*VLOOKUP($E281,$E$14:$AN$22,COLUMN(X$7)-4,FALSE)/$M281+VLOOKUP($E281,#REF!,4,FALSE)*VLOOKUP($E281,#REF!,COLUMN(X$7)-4,FALSE)/$M281</f>
        <v>#REF!</v>
      </c>
      <c r="Y281" s="560" t="e">
        <f>VLOOKUP($E281,$E$14:$H$22,4,FALSE)*VLOOKUP($E281,$E$14:$AN$22,COLUMN(Y$7)-4,FALSE)/$M281+VLOOKUP($E281,#REF!,4,FALSE)*VLOOKUP($E281,#REF!,COLUMN(Y$7)-4,FALSE)/$M281</f>
        <v>#REF!</v>
      </c>
      <c r="Z281" s="560" t="e">
        <f>VLOOKUP($E281,$E$14:$H$22,4,FALSE)*VLOOKUP($E281,$E$14:$AN$22,COLUMN(Z$7)-4,FALSE)/$M281+VLOOKUP($E281,#REF!,4,FALSE)*VLOOKUP($E281,#REF!,COLUMN(Z$7)-4,FALSE)/$M281</f>
        <v>#REF!</v>
      </c>
      <c r="AA281" s="560" t="e">
        <f>VLOOKUP($E281,$E$14:$H$22,4,FALSE)*VLOOKUP($E281,$E$14:$AN$22,COLUMN(AA$7)-4,FALSE)/$M281+VLOOKUP($E281,#REF!,4,FALSE)*VLOOKUP($E281,#REF!,COLUMN(AA$7)-4,FALSE)/$M281</f>
        <v>#REF!</v>
      </c>
      <c r="AB281" s="560" t="e">
        <f>VLOOKUP($E281,$E$14:$H$22,4,FALSE)*VLOOKUP($E281,$E$14:$AN$22,COLUMN(AB$7)-4,FALSE)/$M281+VLOOKUP($E281,#REF!,4,FALSE)*VLOOKUP($E281,#REF!,COLUMN(AB$7)-4,FALSE)/$M281</f>
        <v>#REF!</v>
      </c>
      <c r="AC281" s="560" t="e">
        <f>VLOOKUP($E281,$E$14:$H$22,4,FALSE)*VLOOKUP($E281,$E$14:$AN$22,COLUMN(AC$7)-4,FALSE)/$M281+VLOOKUP($E281,#REF!,4,FALSE)*VLOOKUP($E281,#REF!,COLUMN(AC$7)-4,FALSE)/$M281</f>
        <v>#REF!</v>
      </c>
      <c r="AD281" s="560" t="e">
        <f>VLOOKUP($E281,$E$14:$H$22,4,FALSE)*VLOOKUP($E281,$E$14:$AN$22,COLUMN(AD$7)-4,FALSE)/$M281+VLOOKUP($E281,#REF!,4,FALSE)*VLOOKUP($E281,#REF!,COLUMN(AD$7)-4,FALSE)/$M281</f>
        <v>#REF!</v>
      </c>
      <c r="AE281" s="560" t="e">
        <f>VLOOKUP($E281,$E$14:$H$22,4,FALSE)*VLOOKUP($E281,$E$14:$AN$22,COLUMN(AE$7)-4,FALSE)/$M281+VLOOKUP($E281,#REF!,4,FALSE)*VLOOKUP($E281,#REF!,COLUMN(AE$7)-4,FALSE)/$M281</f>
        <v>#REF!</v>
      </c>
      <c r="AF281" s="560" t="e">
        <f>VLOOKUP($E281,$E$14:$H$22,4,FALSE)*VLOOKUP($E281,$E$14:$AN$22,COLUMN(AF$7)-4,FALSE)/$M281+VLOOKUP($E281,#REF!,4,FALSE)*VLOOKUP($E281,#REF!,COLUMN(AF$7)-4,FALSE)/$M281</f>
        <v>#REF!</v>
      </c>
      <c r="AG281" s="560" t="e">
        <f>VLOOKUP($E281,$E$14:$H$22,4,FALSE)*VLOOKUP($E281,$E$14:$AN$22,COLUMN(AG$7)-4,FALSE)/$M281+VLOOKUP($E281,#REF!,4,FALSE)*VLOOKUP($E281,#REF!,COLUMN(AG$7)-4,FALSE)/$M281</f>
        <v>#REF!</v>
      </c>
      <c r="AH281" s="560" t="e">
        <f>VLOOKUP($E281,$E$14:$H$22,4,FALSE)*VLOOKUP($E281,$E$14:$AN$22,COLUMN(AH$7)-4,FALSE)/$M281+VLOOKUP($E281,#REF!,4,FALSE)*VLOOKUP($E281,#REF!,COLUMN(AH$7)-4,FALSE)/$M281</f>
        <v>#REF!</v>
      </c>
      <c r="AI281" s="560" t="e">
        <f>VLOOKUP($E281,$E$14:$H$22,4,FALSE)*VLOOKUP($E281,$E$14:$AN$22,COLUMN(AI$7)-4,FALSE)/$M281+VLOOKUP($E281,#REF!,4,FALSE)*VLOOKUP($E281,#REF!,COLUMN(AI$7)-4,FALSE)/$M281</f>
        <v>#REF!</v>
      </c>
      <c r="AJ281" s="560" t="e">
        <f>VLOOKUP($E281,$E$14:$H$22,4,FALSE)*VLOOKUP($E281,$E$14:$AN$22,COLUMN(AJ$7)-4,FALSE)/$M281+VLOOKUP($E281,#REF!,4,FALSE)*VLOOKUP($E281,#REF!,COLUMN(AJ$7)-4,FALSE)/$M281</f>
        <v>#REF!</v>
      </c>
      <c r="AK281" s="560" t="e">
        <f>VLOOKUP($E281,$E$14:$H$22,4,FALSE)*VLOOKUP($E281,$E$14:$AN$22,COLUMN(AK$7)-4,FALSE)/$M281+VLOOKUP($E281,#REF!,4,FALSE)*VLOOKUP($E281,#REF!,COLUMN(AK$7)-4,FALSE)/$M281</f>
        <v>#REF!</v>
      </c>
      <c r="AL281" s="560" t="e">
        <f>VLOOKUP($E281,$E$14:$H$22,4,FALSE)*VLOOKUP($E281,$E$14:$AN$22,COLUMN(AL$7)-4,FALSE)/$M281+VLOOKUP($E281,#REF!,4,FALSE)*VLOOKUP($E281,#REF!,COLUMN(AL$7)-4,FALSE)/$M281</f>
        <v>#REF!</v>
      </c>
      <c r="AM281" s="560" t="e">
        <f>VLOOKUP($E281,$E$14:$H$22,4,FALSE)*VLOOKUP($E281,$E$14:$AN$22,COLUMN(AM$7)-4,FALSE)/$M281+VLOOKUP($E281,#REF!,4,FALSE)*VLOOKUP($E281,#REF!,COLUMN(AM$7)-4,FALSE)/$M281</f>
        <v>#REF!</v>
      </c>
      <c r="AN281" s="560" t="e">
        <f>VLOOKUP($E281,$E$14:$H$22,4,FALSE)*VLOOKUP($E281,$E$14:$AN$22,COLUMN(AN$7)-4,FALSE)/$M281+VLOOKUP($E281,#REF!,4,FALSE)*VLOOKUP($E281,#REF!,COLUMN(AN$7)-4,FALSE)/$M281</f>
        <v>#REF!</v>
      </c>
    </row>
    <row r="282" spans="5:40">
      <c r="E282" s="919" t="e">
        <f>#REF!</f>
        <v>#REF!</v>
      </c>
      <c r="M282" s="560">
        <f>SUMIF(E:E,E282,H:H)</f>
        <v>0</v>
      </c>
      <c r="Q282" s="560" t="e">
        <f>VLOOKUP($E282,$E$14:$H$22,4,FALSE)*VLOOKUP($E282,$E$14:$AN$22,COLUMN(Q$7)-4,FALSE)/$M282+VLOOKUP($E282,#REF!,4,FALSE)*VLOOKUP($E282,#REF!,COLUMN(Q$7)-4,FALSE)/$M282</f>
        <v>#REF!</v>
      </c>
      <c r="R282" s="560" t="e">
        <f>VLOOKUP($E282,$E$14:$H$22,4,FALSE)*VLOOKUP($E282,$E$14:$AN$22,COLUMN(R$7)-4,FALSE)/$M282+VLOOKUP($E282,#REF!,4,FALSE)*VLOOKUP($E282,#REF!,COLUMN(R$7)-4,FALSE)/$M282</f>
        <v>#REF!</v>
      </c>
      <c r="S282" s="560" t="e">
        <f>VLOOKUP($E282,$E$14:$H$22,4,FALSE)*VLOOKUP($E282,$E$14:$AN$22,COLUMN(S$7)-4,FALSE)/$M282+VLOOKUP($E282,#REF!,4,FALSE)*VLOOKUP($E282,#REF!,COLUMN(S$7)-4,FALSE)/$M282</f>
        <v>#REF!</v>
      </c>
      <c r="T282" s="560" t="e">
        <f>VLOOKUP($E282,$E$14:$H$22,4,FALSE)*VLOOKUP($E282,$E$14:$AN$22,COLUMN(T$7)-4,FALSE)/$M282+VLOOKUP($E282,#REF!,4,FALSE)*VLOOKUP($E282,#REF!,COLUMN(T$7)-4,FALSE)/$M282</f>
        <v>#REF!</v>
      </c>
      <c r="U282" s="560" t="e">
        <f>VLOOKUP($E282,$E$14:$H$22,4,FALSE)*VLOOKUP($E282,$E$14:$AN$22,COLUMN(U$7)-4,FALSE)/$M282+VLOOKUP($E282,#REF!,4,FALSE)*VLOOKUP($E282,#REF!,COLUMN(U$7)-4,FALSE)/$M282</f>
        <v>#REF!</v>
      </c>
      <c r="V282" s="560" t="e">
        <f>VLOOKUP($E282,$E$14:$H$22,4,FALSE)*VLOOKUP($E282,$E$14:$AN$22,COLUMN(V$7)-4,FALSE)/$M282+VLOOKUP($E282,#REF!,4,FALSE)*VLOOKUP($E282,#REF!,COLUMN(V$7)-4,FALSE)/$M282</f>
        <v>#REF!</v>
      </c>
      <c r="W282" s="560" t="e">
        <f>VLOOKUP($E282,$E$14:$H$22,4,FALSE)*VLOOKUP($E282,$E$14:$AN$22,COLUMN(W$7)-4,FALSE)/$M282+VLOOKUP($E282,#REF!,4,FALSE)*VLOOKUP($E282,#REF!,COLUMN(W$7)-4,FALSE)/$M282</f>
        <v>#REF!</v>
      </c>
      <c r="X282" s="560" t="e">
        <f>VLOOKUP($E282,$E$14:$H$22,4,FALSE)*VLOOKUP($E282,$E$14:$AN$22,COLUMN(X$7)-4,FALSE)/$M282+VLOOKUP($E282,#REF!,4,FALSE)*VLOOKUP($E282,#REF!,COLUMN(X$7)-4,FALSE)/$M282</f>
        <v>#REF!</v>
      </c>
      <c r="Y282" s="560" t="e">
        <f>VLOOKUP($E282,$E$14:$H$22,4,FALSE)*VLOOKUP($E282,$E$14:$AN$22,COLUMN(Y$7)-4,FALSE)/$M282+VLOOKUP($E282,#REF!,4,FALSE)*VLOOKUP($E282,#REF!,COLUMN(Y$7)-4,FALSE)/$M282</f>
        <v>#REF!</v>
      </c>
      <c r="Z282" s="560" t="e">
        <f>VLOOKUP($E282,$E$14:$H$22,4,FALSE)*VLOOKUP($E282,$E$14:$AN$22,COLUMN(Z$7)-4,FALSE)/$M282+VLOOKUP($E282,#REF!,4,FALSE)*VLOOKUP($E282,#REF!,COLUMN(Z$7)-4,FALSE)/$M282</f>
        <v>#REF!</v>
      </c>
      <c r="AA282" s="560" t="e">
        <f>VLOOKUP($E282,$E$14:$H$22,4,FALSE)*VLOOKUP($E282,$E$14:$AN$22,COLUMN(AA$7)-4,FALSE)/$M282+VLOOKUP($E282,#REF!,4,FALSE)*VLOOKUP($E282,#REF!,COLUMN(AA$7)-4,FALSE)/$M282</f>
        <v>#REF!</v>
      </c>
      <c r="AB282" s="560" t="e">
        <f>VLOOKUP($E282,$E$14:$H$22,4,FALSE)*VLOOKUP($E282,$E$14:$AN$22,COLUMN(AB$7)-4,FALSE)/$M282+VLOOKUP($E282,#REF!,4,FALSE)*VLOOKUP($E282,#REF!,COLUMN(AB$7)-4,FALSE)/$M282</f>
        <v>#REF!</v>
      </c>
      <c r="AC282" s="560" t="e">
        <f>VLOOKUP($E282,$E$14:$H$22,4,FALSE)*VLOOKUP($E282,$E$14:$AN$22,COLUMN(AC$7)-4,FALSE)/$M282+VLOOKUP($E282,#REF!,4,FALSE)*VLOOKUP($E282,#REF!,COLUMN(AC$7)-4,FALSE)/$M282</f>
        <v>#REF!</v>
      </c>
      <c r="AD282" s="560" t="e">
        <f>VLOOKUP($E282,$E$14:$H$22,4,FALSE)*VLOOKUP($E282,$E$14:$AN$22,COLUMN(AD$7)-4,FALSE)/$M282+VLOOKUP($E282,#REF!,4,FALSE)*VLOOKUP($E282,#REF!,COLUMN(AD$7)-4,FALSE)/$M282</f>
        <v>#REF!</v>
      </c>
      <c r="AE282" s="560" t="e">
        <f>VLOOKUP($E282,$E$14:$H$22,4,FALSE)*VLOOKUP($E282,$E$14:$AN$22,COLUMN(AE$7)-4,FALSE)/$M282+VLOOKUP($E282,#REF!,4,FALSE)*VLOOKUP($E282,#REF!,COLUMN(AE$7)-4,FALSE)/$M282</f>
        <v>#REF!</v>
      </c>
      <c r="AF282" s="560" t="e">
        <f>VLOOKUP($E282,$E$14:$H$22,4,FALSE)*VLOOKUP($E282,$E$14:$AN$22,COLUMN(AF$7)-4,FALSE)/$M282+VLOOKUP($E282,#REF!,4,FALSE)*VLOOKUP($E282,#REF!,COLUMN(AF$7)-4,FALSE)/$M282</f>
        <v>#REF!</v>
      </c>
      <c r="AG282" s="560" t="e">
        <f>VLOOKUP($E282,$E$14:$H$22,4,FALSE)*VLOOKUP($E282,$E$14:$AN$22,COLUMN(AG$7)-4,FALSE)/$M282+VLOOKUP($E282,#REF!,4,FALSE)*VLOOKUP($E282,#REF!,COLUMN(AG$7)-4,FALSE)/$M282</f>
        <v>#REF!</v>
      </c>
      <c r="AH282" s="560" t="e">
        <f>VLOOKUP($E282,$E$14:$H$22,4,FALSE)*VLOOKUP($E282,$E$14:$AN$22,COLUMN(AH$7)-4,FALSE)/$M282+VLOOKUP($E282,#REF!,4,FALSE)*VLOOKUP($E282,#REF!,COLUMN(AH$7)-4,FALSE)/$M282</f>
        <v>#REF!</v>
      </c>
      <c r="AI282" s="560" t="e">
        <f>VLOOKUP($E282,$E$14:$H$22,4,FALSE)*VLOOKUP($E282,$E$14:$AN$22,COLUMN(AI$7)-4,FALSE)/$M282+VLOOKUP($E282,#REF!,4,FALSE)*VLOOKUP($E282,#REF!,COLUMN(AI$7)-4,FALSE)/$M282</f>
        <v>#REF!</v>
      </c>
      <c r="AJ282" s="560" t="e">
        <f>VLOOKUP($E282,$E$14:$H$22,4,FALSE)*VLOOKUP($E282,$E$14:$AN$22,COLUMN(AJ$7)-4,FALSE)/$M282+VLOOKUP($E282,#REF!,4,FALSE)*VLOOKUP($E282,#REF!,COLUMN(AJ$7)-4,FALSE)/$M282</f>
        <v>#REF!</v>
      </c>
      <c r="AK282" s="560" t="e">
        <f>VLOOKUP($E282,$E$14:$H$22,4,FALSE)*VLOOKUP($E282,$E$14:$AN$22,COLUMN(AK$7)-4,FALSE)/$M282+VLOOKUP($E282,#REF!,4,FALSE)*VLOOKUP($E282,#REF!,COLUMN(AK$7)-4,FALSE)/$M282</f>
        <v>#REF!</v>
      </c>
      <c r="AL282" s="560" t="e">
        <f>VLOOKUP($E282,$E$14:$H$22,4,FALSE)*VLOOKUP($E282,$E$14:$AN$22,COLUMN(AL$7)-4,FALSE)/$M282+VLOOKUP($E282,#REF!,4,FALSE)*VLOOKUP($E282,#REF!,COLUMN(AL$7)-4,FALSE)/$M282</f>
        <v>#REF!</v>
      </c>
      <c r="AM282" s="560" t="e">
        <f>VLOOKUP($E282,$E$14:$H$22,4,FALSE)*VLOOKUP($E282,$E$14:$AN$22,COLUMN(AM$7)-4,FALSE)/$M282+VLOOKUP($E282,#REF!,4,FALSE)*VLOOKUP($E282,#REF!,COLUMN(AM$7)-4,FALSE)/$M282</f>
        <v>#REF!</v>
      </c>
      <c r="AN282" s="560" t="e">
        <f>VLOOKUP($E282,$E$14:$H$22,4,FALSE)*VLOOKUP($E282,$E$14:$AN$22,COLUMN(AN$7)-4,FALSE)/$M282+VLOOKUP($E282,#REF!,4,FALSE)*VLOOKUP($E282,#REF!,COLUMN(AN$7)-4,FALSE)/$M282</f>
        <v>#REF!</v>
      </c>
    </row>
    <row r="283" spans="5:40">
      <c r="E283" s="919" t="e">
        <f>#REF!</f>
        <v>#REF!</v>
      </c>
      <c r="M283" s="560">
        <f>SUMIF(E:E,E283,H:H)</f>
        <v>0</v>
      </c>
      <c r="Q283" s="560" t="e">
        <f>VLOOKUP($E283,$E$14:$H$22,4,FALSE)*VLOOKUP($E283,$E$14:$AN$22,COLUMN(Q$7)-4,FALSE)/$M283+VLOOKUP($E283,#REF!,4,FALSE)*VLOOKUP($E283,#REF!,COLUMN(Q$7)-4,FALSE)/$M283</f>
        <v>#REF!</v>
      </c>
      <c r="R283" s="560" t="e">
        <f>VLOOKUP($E283,$E$14:$H$22,4,FALSE)*VLOOKUP($E283,$E$14:$AN$22,COLUMN(R$7)-4,FALSE)/$M283+VLOOKUP($E283,#REF!,4,FALSE)*VLOOKUP($E283,#REF!,COLUMN(R$7)-4,FALSE)/$M283</f>
        <v>#REF!</v>
      </c>
      <c r="S283" s="560" t="e">
        <f>VLOOKUP($E283,$E$14:$H$22,4,FALSE)*VLOOKUP($E283,$E$14:$AN$22,COLUMN(S$7)-4,FALSE)/$M283+VLOOKUP($E283,#REF!,4,FALSE)*VLOOKUP($E283,#REF!,COLUMN(S$7)-4,FALSE)/$M283</f>
        <v>#REF!</v>
      </c>
      <c r="T283" s="560" t="e">
        <f>VLOOKUP($E283,$E$14:$H$22,4,FALSE)*VLOOKUP($E283,$E$14:$AN$22,COLUMN(T$7)-4,FALSE)/$M283+VLOOKUP($E283,#REF!,4,FALSE)*VLOOKUP($E283,#REF!,COLUMN(T$7)-4,FALSE)/$M283</f>
        <v>#REF!</v>
      </c>
      <c r="U283" s="560" t="e">
        <f>VLOOKUP($E283,$E$14:$H$22,4,FALSE)*VLOOKUP($E283,$E$14:$AN$22,COLUMN(U$7)-4,FALSE)/$M283+VLOOKUP($E283,#REF!,4,FALSE)*VLOOKUP($E283,#REF!,COLUMN(U$7)-4,FALSE)/$M283</f>
        <v>#REF!</v>
      </c>
      <c r="V283" s="560" t="e">
        <f>VLOOKUP($E283,$E$14:$H$22,4,FALSE)*VLOOKUP($E283,$E$14:$AN$22,COLUMN(V$7)-4,FALSE)/$M283+VLOOKUP($E283,#REF!,4,FALSE)*VLOOKUP($E283,#REF!,COLUMN(V$7)-4,FALSE)/$M283</f>
        <v>#REF!</v>
      </c>
      <c r="W283" s="560" t="e">
        <f>VLOOKUP($E283,$E$14:$H$22,4,FALSE)*VLOOKUP($E283,$E$14:$AN$22,COLUMN(W$7)-4,FALSE)/$M283+VLOOKUP($E283,#REF!,4,FALSE)*VLOOKUP($E283,#REF!,COLUMN(W$7)-4,FALSE)/$M283</f>
        <v>#REF!</v>
      </c>
      <c r="X283" s="560" t="e">
        <f>VLOOKUP($E283,$E$14:$H$22,4,FALSE)*VLOOKUP($E283,$E$14:$AN$22,COLUMN(X$7)-4,FALSE)/$M283+VLOOKUP($E283,#REF!,4,FALSE)*VLOOKUP($E283,#REF!,COLUMN(X$7)-4,FALSE)/$M283</f>
        <v>#REF!</v>
      </c>
      <c r="Y283" s="560" t="e">
        <f>VLOOKUP($E283,$E$14:$H$22,4,FALSE)*VLOOKUP($E283,$E$14:$AN$22,COLUMN(Y$7)-4,FALSE)/$M283+VLOOKUP($E283,#REF!,4,FALSE)*VLOOKUP($E283,#REF!,COLUMN(Y$7)-4,FALSE)/$M283</f>
        <v>#REF!</v>
      </c>
      <c r="Z283" s="560" t="e">
        <f>VLOOKUP($E283,$E$14:$H$22,4,FALSE)*VLOOKUP($E283,$E$14:$AN$22,COLUMN(Z$7)-4,FALSE)/$M283+VLOOKUP($E283,#REF!,4,FALSE)*VLOOKUP($E283,#REF!,COLUMN(Z$7)-4,FALSE)/$M283</f>
        <v>#REF!</v>
      </c>
      <c r="AA283" s="560" t="e">
        <f>VLOOKUP($E283,$E$14:$H$22,4,FALSE)*VLOOKUP($E283,$E$14:$AN$22,COLUMN(AA$7)-4,FALSE)/$M283+VLOOKUP($E283,#REF!,4,FALSE)*VLOOKUP($E283,#REF!,COLUMN(AA$7)-4,FALSE)/$M283</f>
        <v>#REF!</v>
      </c>
      <c r="AB283" s="560" t="e">
        <f>VLOOKUP($E283,$E$14:$H$22,4,FALSE)*VLOOKUP($E283,$E$14:$AN$22,COLUMN(AB$7)-4,FALSE)/$M283+VLOOKUP($E283,#REF!,4,FALSE)*VLOOKUP($E283,#REF!,COLUMN(AB$7)-4,FALSE)/$M283</f>
        <v>#REF!</v>
      </c>
      <c r="AC283" s="560" t="e">
        <f>VLOOKUP($E283,$E$14:$H$22,4,FALSE)*VLOOKUP($E283,$E$14:$AN$22,COLUMN(AC$7)-4,FALSE)/$M283+VLOOKUP($E283,#REF!,4,FALSE)*VLOOKUP($E283,#REF!,COLUMN(AC$7)-4,FALSE)/$M283</f>
        <v>#REF!</v>
      </c>
      <c r="AD283" s="560" t="e">
        <f>VLOOKUP($E283,$E$14:$H$22,4,FALSE)*VLOOKUP($E283,$E$14:$AN$22,COLUMN(AD$7)-4,FALSE)/$M283+VLOOKUP($E283,#REF!,4,FALSE)*VLOOKUP($E283,#REF!,COLUMN(AD$7)-4,FALSE)/$M283</f>
        <v>#REF!</v>
      </c>
      <c r="AE283" s="560" t="e">
        <f>VLOOKUP($E283,$E$14:$H$22,4,FALSE)*VLOOKUP($E283,$E$14:$AN$22,COLUMN(AE$7)-4,FALSE)/$M283+VLOOKUP($E283,#REF!,4,FALSE)*VLOOKUP($E283,#REF!,COLUMN(AE$7)-4,FALSE)/$M283</f>
        <v>#REF!</v>
      </c>
      <c r="AF283" s="560" t="e">
        <f>VLOOKUP($E283,$E$14:$H$22,4,FALSE)*VLOOKUP($E283,$E$14:$AN$22,COLUMN(AF$7)-4,FALSE)/$M283+VLOOKUP($E283,#REF!,4,FALSE)*VLOOKUP($E283,#REF!,COLUMN(AF$7)-4,FALSE)/$M283</f>
        <v>#REF!</v>
      </c>
      <c r="AG283" s="560" t="e">
        <f>VLOOKUP($E283,$E$14:$H$22,4,FALSE)*VLOOKUP($E283,$E$14:$AN$22,COLUMN(AG$7)-4,FALSE)/$M283+VLOOKUP($E283,#REF!,4,FALSE)*VLOOKUP($E283,#REF!,COLUMN(AG$7)-4,FALSE)/$M283</f>
        <v>#REF!</v>
      </c>
      <c r="AH283" s="560" t="e">
        <f>VLOOKUP($E283,$E$14:$H$22,4,FALSE)*VLOOKUP($E283,$E$14:$AN$22,COLUMN(AH$7)-4,FALSE)/$M283+VLOOKUP($E283,#REF!,4,FALSE)*VLOOKUP($E283,#REF!,COLUMN(AH$7)-4,FALSE)/$M283</f>
        <v>#REF!</v>
      </c>
      <c r="AI283" s="560" t="e">
        <f>VLOOKUP($E283,$E$14:$H$22,4,FALSE)*VLOOKUP($E283,$E$14:$AN$22,COLUMN(AI$7)-4,FALSE)/$M283+VLOOKUP($E283,#REF!,4,FALSE)*VLOOKUP($E283,#REF!,COLUMN(AI$7)-4,FALSE)/$M283</f>
        <v>#REF!</v>
      </c>
      <c r="AJ283" s="560" t="e">
        <f>VLOOKUP($E283,$E$14:$H$22,4,FALSE)*VLOOKUP($E283,$E$14:$AN$22,COLUMN(AJ$7)-4,FALSE)/$M283+VLOOKUP($E283,#REF!,4,FALSE)*VLOOKUP($E283,#REF!,COLUMN(AJ$7)-4,FALSE)/$M283</f>
        <v>#REF!</v>
      </c>
      <c r="AK283" s="560" t="e">
        <f>VLOOKUP($E283,$E$14:$H$22,4,FALSE)*VLOOKUP($E283,$E$14:$AN$22,COLUMN(AK$7)-4,FALSE)/$M283+VLOOKUP($E283,#REF!,4,FALSE)*VLOOKUP($E283,#REF!,COLUMN(AK$7)-4,FALSE)/$M283</f>
        <v>#REF!</v>
      </c>
      <c r="AL283" s="560" t="e">
        <f>VLOOKUP($E283,$E$14:$H$22,4,FALSE)*VLOOKUP($E283,$E$14:$AN$22,COLUMN(AL$7)-4,FALSE)/$M283+VLOOKUP($E283,#REF!,4,FALSE)*VLOOKUP($E283,#REF!,COLUMN(AL$7)-4,FALSE)/$M283</f>
        <v>#REF!</v>
      </c>
      <c r="AM283" s="560" t="e">
        <f>VLOOKUP($E283,$E$14:$H$22,4,FALSE)*VLOOKUP($E283,$E$14:$AN$22,COLUMN(AM$7)-4,FALSE)/$M283+VLOOKUP($E283,#REF!,4,FALSE)*VLOOKUP($E283,#REF!,COLUMN(AM$7)-4,FALSE)/$M283</f>
        <v>#REF!</v>
      </c>
      <c r="AN283" s="560" t="e">
        <f>VLOOKUP($E283,$E$14:$H$22,4,FALSE)*VLOOKUP($E283,$E$14:$AN$22,COLUMN(AN$7)-4,FALSE)/$M283+VLOOKUP($E283,#REF!,4,FALSE)*VLOOKUP($E283,#REF!,COLUMN(AN$7)-4,FALSE)/$M283</f>
        <v>#REF!</v>
      </c>
    </row>
    <row r="284" spans="5:40">
      <c r="E284" s="919" t="e">
        <f>#REF!</f>
        <v>#REF!</v>
      </c>
      <c r="M284" s="560">
        <f>SUMIF(E:E,E284,H:H)</f>
        <v>0</v>
      </c>
      <c r="Q284" s="560" t="e">
        <f>VLOOKUP($E284,$E$14:$H$22,4,FALSE)*VLOOKUP($E284,$E$14:$AN$22,COLUMN(Q$7)-4,FALSE)/$M284+VLOOKUP($E284,#REF!,4,FALSE)*VLOOKUP($E284,#REF!,COLUMN(Q$7)-4,FALSE)/$M284</f>
        <v>#REF!</v>
      </c>
      <c r="R284" s="560" t="e">
        <f>VLOOKUP($E284,$E$14:$H$22,4,FALSE)*VLOOKUP($E284,$E$14:$AN$22,COLUMN(R$7)-4,FALSE)/$M284+VLOOKUP($E284,#REF!,4,FALSE)*VLOOKUP($E284,#REF!,COLUMN(R$7)-4,FALSE)/$M284</f>
        <v>#REF!</v>
      </c>
      <c r="S284" s="560" t="e">
        <f>VLOOKUP($E284,$E$14:$H$22,4,FALSE)*VLOOKUP($E284,$E$14:$AN$22,COLUMN(S$7)-4,FALSE)/$M284+VLOOKUP($E284,#REF!,4,FALSE)*VLOOKUP($E284,#REF!,COLUMN(S$7)-4,FALSE)/$M284</f>
        <v>#REF!</v>
      </c>
      <c r="T284" s="560" t="e">
        <f>VLOOKUP($E284,$E$14:$H$22,4,FALSE)*VLOOKUP($E284,$E$14:$AN$22,COLUMN(T$7)-4,FALSE)/$M284+VLOOKUP($E284,#REF!,4,FALSE)*VLOOKUP($E284,#REF!,COLUMN(T$7)-4,FALSE)/$M284</f>
        <v>#REF!</v>
      </c>
      <c r="U284" s="560" t="e">
        <f>VLOOKUP($E284,$E$14:$H$22,4,FALSE)*VLOOKUP($E284,$E$14:$AN$22,COLUMN(U$7)-4,FALSE)/$M284+VLOOKUP($E284,#REF!,4,FALSE)*VLOOKUP($E284,#REF!,COLUMN(U$7)-4,FALSE)/$M284</f>
        <v>#REF!</v>
      </c>
      <c r="V284" s="560" t="e">
        <f>VLOOKUP($E284,$E$14:$H$22,4,FALSE)*VLOOKUP($E284,$E$14:$AN$22,COLUMN(V$7)-4,FALSE)/$M284+VLOOKUP($E284,#REF!,4,FALSE)*VLOOKUP($E284,#REF!,COLUMN(V$7)-4,FALSE)/$M284</f>
        <v>#REF!</v>
      </c>
      <c r="W284" s="560" t="e">
        <f>VLOOKUP($E284,$E$14:$H$22,4,FALSE)*VLOOKUP($E284,$E$14:$AN$22,COLUMN(W$7)-4,FALSE)/$M284+VLOOKUP($E284,#REF!,4,FALSE)*VLOOKUP($E284,#REF!,COLUMN(W$7)-4,FALSE)/$M284</f>
        <v>#REF!</v>
      </c>
      <c r="X284" s="560" t="e">
        <f>VLOOKUP($E284,$E$14:$H$22,4,FALSE)*VLOOKUP($E284,$E$14:$AN$22,COLUMN(X$7)-4,FALSE)/$M284+VLOOKUP($E284,#REF!,4,FALSE)*VLOOKUP($E284,#REF!,COLUMN(X$7)-4,FALSE)/$M284</f>
        <v>#REF!</v>
      </c>
      <c r="Y284" s="560" t="e">
        <f>VLOOKUP($E284,$E$14:$H$22,4,FALSE)*VLOOKUP($E284,$E$14:$AN$22,COLUMN(Y$7)-4,FALSE)/$M284+VLOOKUP($E284,#REF!,4,FALSE)*VLOOKUP($E284,#REF!,COLUMN(Y$7)-4,FALSE)/$M284</f>
        <v>#REF!</v>
      </c>
      <c r="Z284" s="560" t="e">
        <f>VLOOKUP($E284,$E$14:$H$22,4,FALSE)*VLOOKUP($E284,$E$14:$AN$22,COLUMN(Z$7)-4,FALSE)/$M284+VLOOKUP($E284,#REF!,4,FALSE)*VLOOKUP($E284,#REF!,COLUMN(Z$7)-4,FALSE)/$M284</f>
        <v>#REF!</v>
      </c>
      <c r="AA284" s="560" t="e">
        <f>VLOOKUP($E284,$E$14:$H$22,4,FALSE)*VLOOKUP($E284,$E$14:$AN$22,COLUMN(AA$7)-4,FALSE)/$M284+VLOOKUP($E284,#REF!,4,FALSE)*VLOOKUP($E284,#REF!,COLUMN(AA$7)-4,FALSE)/$M284</f>
        <v>#REF!</v>
      </c>
      <c r="AB284" s="560" t="e">
        <f>VLOOKUP($E284,$E$14:$H$22,4,FALSE)*VLOOKUP($E284,$E$14:$AN$22,COLUMN(AB$7)-4,FALSE)/$M284+VLOOKUP($E284,#REF!,4,FALSE)*VLOOKUP($E284,#REF!,COLUMN(AB$7)-4,FALSE)/$M284</f>
        <v>#REF!</v>
      </c>
      <c r="AC284" s="560" t="e">
        <f>VLOOKUP($E284,$E$14:$H$22,4,FALSE)*VLOOKUP($E284,$E$14:$AN$22,COLUMN(AC$7)-4,FALSE)/$M284+VLOOKUP($E284,#REF!,4,FALSE)*VLOOKUP($E284,#REF!,COLUMN(AC$7)-4,FALSE)/$M284</f>
        <v>#REF!</v>
      </c>
      <c r="AD284" s="560" t="e">
        <f>VLOOKUP($E284,$E$14:$H$22,4,FALSE)*VLOOKUP($E284,$E$14:$AN$22,COLUMN(AD$7)-4,FALSE)/$M284+VLOOKUP($E284,#REF!,4,FALSE)*VLOOKUP($E284,#REF!,COLUMN(AD$7)-4,FALSE)/$M284</f>
        <v>#REF!</v>
      </c>
      <c r="AE284" s="560" t="e">
        <f>VLOOKUP($E284,$E$14:$H$22,4,FALSE)*VLOOKUP($E284,$E$14:$AN$22,COLUMN(AE$7)-4,FALSE)/$M284+VLOOKUP($E284,#REF!,4,FALSE)*VLOOKUP($E284,#REF!,COLUMN(AE$7)-4,FALSE)/$M284</f>
        <v>#REF!</v>
      </c>
      <c r="AF284" s="560" t="e">
        <f>VLOOKUP($E284,$E$14:$H$22,4,FALSE)*VLOOKUP($E284,$E$14:$AN$22,COLUMN(AF$7)-4,FALSE)/$M284+VLOOKUP($E284,#REF!,4,FALSE)*VLOOKUP($E284,#REF!,COLUMN(AF$7)-4,FALSE)/$M284</f>
        <v>#REF!</v>
      </c>
      <c r="AG284" s="560" t="e">
        <f>VLOOKUP($E284,$E$14:$H$22,4,FALSE)*VLOOKUP($E284,$E$14:$AN$22,COLUMN(AG$7)-4,FALSE)/$M284+VLOOKUP($E284,#REF!,4,FALSE)*VLOOKUP($E284,#REF!,COLUMN(AG$7)-4,FALSE)/$M284</f>
        <v>#REF!</v>
      </c>
      <c r="AH284" s="560" t="e">
        <f>VLOOKUP($E284,$E$14:$H$22,4,FALSE)*VLOOKUP($E284,$E$14:$AN$22,COLUMN(AH$7)-4,FALSE)/$M284+VLOOKUP($E284,#REF!,4,FALSE)*VLOOKUP($E284,#REF!,COLUMN(AH$7)-4,FALSE)/$M284</f>
        <v>#REF!</v>
      </c>
      <c r="AI284" s="560" t="e">
        <f>VLOOKUP($E284,$E$14:$H$22,4,FALSE)*VLOOKUP($E284,$E$14:$AN$22,COLUMN(AI$7)-4,FALSE)/$M284+VLOOKUP($E284,#REF!,4,FALSE)*VLOOKUP($E284,#REF!,COLUMN(AI$7)-4,FALSE)/$M284</f>
        <v>#REF!</v>
      </c>
      <c r="AJ284" s="560" t="e">
        <f>VLOOKUP($E284,$E$14:$H$22,4,FALSE)*VLOOKUP($E284,$E$14:$AN$22,COLUMN(AJ$7)-4,FALSE)/$M284+VLOOKUP($E284,#REF!,4,FALSE)*VLOOKUP($E284,#REF!,COLUMN(AJ$7)-4,FALSE)/$M284</f>
        <v>#REF!</v>
      </c>
      <c r="AK284" s="560" t="e">
        <f>VLOOKUP($E284,$E$14:$H$22,4,FALSE)*VLOOKUP($E284,$E$14:$AN$22,COLUMN(AK$7)-4,FALSE)/$M284+VLOOKUP($E284,#REF!,4,FALSE)*VLOOKUP($E284,#REF!,COLUMN(AK$7)-4,FALSE)/$M284</f>
        <v>#REF!</v>
      </c>
      <c r="AL284" s="560" t="e">
        <f>VLOOKUP($E284,$E$14:$H$22,4,FALSE)*VLOOKUP($E284,$E$14:$AN$22,COLUMN(AL$7)-4,FALSE)/$M284+VLOOKUP($E284,#REF!,4,FALSE)*VLOOKUP($E284,#REF!,COLUMN(AL$7)-4,FALSE)/$M284</f>
        <v>#REF!</v>
      </c>
      <c r="AM284" s="560" t="e">
        <f>VLOOKUP($E284,$E$14:$H$22,4,FALSE)*VLOOKUP($E284,$E$14:$AN$22,COLUMN(AM$7)-4,FALSE)/$M284+VLOOKUP($E284,#REF!,4,FALSE)*VLOOKUP($E284,#REF!,COLUMN(AM$7)-4,FALSE)/$M284</f>
        <v>#REF!</v>
      </c>
      <c r="AN284" s="560" t="e">
        <f>VLOOKUP($E284,$E$14:$H$22,4,FALSE)*VLOOKUP($E284,$E$14:$AN$22,COLUMN(AN$7)-4,FALSE)/$M284+VLOOKUP($E284,#REF!,4,FALSE)*VLOOKUP($E284,#REF!,COLUMN(AN$7)-4,FALSE)/$M284</f>
        <v>#REF!</v>
      </c>
    </row>
    <row r="285" spans="5:40">
      <c r="E285" s="919" t="e">
        <f>#REF!</f>
        <v>#REF!</v>
      </c>
      <c r="M285" s="560">
        <f>SUMIF(E:E,E285,H:H)</f>
        <v>0</v>
      </c>
      <c r="Q285" s="560" t="e">
        <f>VLOOKUP($E285,$E$14:$H$22,4,FALSE)*VLOOKUP($E285,$E$14:$AN$22,COLUMN(Q$7)-4,FALSE)/$M285+VLOOKUP($E285,#REF!,4,FALSE)*VLOOKUP($E285,#REF!,COLUMN(Q$7)-4,FALSE)/$M285</f>
        <v>#REF!</v>
      </c>
      <c r="R285" s="560" t="e">
        <f>VLOOKUP($E285,$E$14:$H$22,4,FALSE)*VLOOKUP($E285,$E$14:$AN$22,COLUMN(R$7)-4,FALSE)/$M285+VLOOKUP($E285,#REF!,4,FALSE)*VLOOKUP($E285,#REF!,COLUMN(R$7)-4,FALSE)/$M285</f>
        <v>#REF!</v>
      </c>
      <c r="S285" s="560" t="e">
        <f>VLOOKUP($E285,$E$14:$H$22,4,FALSE)*VLOOKUP($E285,$E$14:$AN$22,COLUMN(S$7)-4,FALSE)/$M285+VLOOKUP($E285,#REF!,4,FALSE)*VLOOKUP($E285,#REF!,COLUMN(S$7)-4,FALSE)/$M285</f>
        <v>#REF!</v>
      </c>
      <c r="T285" s="560" t="e">
        <f>VLOOKUP($E285,$E$14:$H$22,4,FALSE)*VLOOKUP($E285,$E$14:$AN$22,COLUMN(T$7)-4,FALSE)/$M285+VLOOKUP($E285,#REF!,4,FALSE)*VLOOKUP($E285,#REF!,COLUMN(T$7)-4,FALSE)/$M285</f>
        <v>#REF!</v>
      </c>
      <c r="U285" s="560" t="e">
        <f>VLOOKUP($E285,$E$14:$H$22,4,FALSE)*VLOOKUP($E285,$E$14:$AN$22,COLUMN(U$7)-4,FALSE)/$M285+VLOOKUP($E285,#REF!,4,FALSE)*VLOOKUP($E285,#REF!,COLUMN(U$7)-4,FALSE)/$M285</f>
        <v>#REF!</v>
      </c>
      <c r="V285" s="560" t="e">
        <f>VLOOKUP($E285,$E$14:$H$22,4,FALSE)*VLOOKUP($E285,$E$14:$AN$22,COLUMN(V$7)-4,FALSE)/$M285+VLOOKUP($E285,#REF!,4,FALSE)*VLOOKUP($E285,#REF!,COLUMN(V$7)-4,FALSE)/$M285</f>
        <v>#REF!</v>
      </c>
      <c r="W285" s="560" t="e">
        <f>VLOOKUP($E285,$E$14:$H$22,4,FALSE)*VLOOKUP($E285,$E$14:$AN$22,COLUMN(W$7)-4,FALSE)/$M285+VLOOKUP($E285,#REF!,4,FALSE)*VLOOKUP($E285,#REF!,COLUMN(W$7)-4,FALSE)/$M285</f>
        <v>#REF!</v>
      </c>
      <c r="X285" s="560" t="e">
        <f>VLOOKUP($E285,$E$14:$H$22,4,FALSE)*VLOOKUP($E285,$E$14:$AN$22,COLUMN(X$7)-4,FALSE)/$M285+VLOOKUP($E285,#REF!,4,FALSE)*VLOOKUP($E285,#REF!,COLUMN(X$7)-4,FALSE)/$M285</f>
        <v>#REF!</v>
      </c>
      <c r="Y285" s="560" t="e">
        <f>VLOOKUP($E285,$E$14:$H$22,4,FALSE)*VLOOKUP($E285,$E$14:$AN$22,COLUMN(Y$7)-4,FALSE)/$M285+VLOOKUP($E285,#REF!,4,FALSE)*VLOOKUP($E285,#REF!,COLUMN(Y$7)-4,FALSE)/$M285</f>
        <v>#REF!</v>
      </c>
      <c r="Z285" s="560" t="e">
        <f>VLOOKUP($E285,$E$14:$H$22,4,FALSE)*VLOOKUP($E285,$E$14:$AN$22,COLUMN(Z$7)-4,FALSE)/$M285+VLOOKUP($E285,#REF!,4,FALSE)*VLOOKUP($E285,#REF!,COLUMN(Z$7)-4,FALSE)/$M285</f>
        <v>#REF!</v>
      </c>
      <c r="AA285" s="560" t="e">
        <f>VLOOKUP($E285,$E$14:$H$22,4,FALSE)*VLOOKUP($E285,$E$14:$AN$22,COLUMN(AA$7)-4,FALSE)/$M285+VLOOKUP($E285,#REF!,4,FALSE)*VLOOKUP($E285,#REF!,COLUMN(AA$7)-4,FALSE)/$M285</f>
        <v>#REF!</v>
      </c>
      <c r="AB285" s="560" t="e">
        <f>VLOOKUP($E285,$E$14:$H$22,4,FALSE)*VLOOKUP($E285,$E$14:$AN$22,COLUMN(AB$7)-4,FALSE)/$M285+VLOOKUP($E285,#REF!,4,FALSE)*VLOOKUP($E285,#REF!,COLUMN(AB$7)-4,FALSE)/$M285</f>
        <v>#REF!</v>
      </c>
      <c r="AC285" s="560" t="e">
        <f>VLOOKUP($E285,$E$14:$H$22,4,FALSE)*VLOOKUP($E285,$E$14:$AN$22,COLUMN(AC$7)-4,FALSE)/$M285+VLOOKUP($E285,#REF!,4,FALSE)*VLOOKUP($E285,#REF!,COLUMN(AC$7)-4,FALSE)/$M285</f>
        <v>#REF!</v>
      </c>
      <c r="AD285" s="560" t="e">
        <f>VLOOKUP($E285,$E$14:$H$22,4,FALSE)*VLOOKUP($E285,$E$14:$AN$22,COLUMN(AD$7)-4,FALSE)/$M285+VLOOKUP($E285,#REF!,4,FALSE)*VLOOKUP($E285,#REF!,COLUMN(AD$7)-4,FALSE)/$M285</f>
        <v>#REF!</v>
      </c>
      <c r="AE285" s="560" t="e">
        <f>VLOOKUP($E285,$E$14:$H$22,4,FALSE)*VLOOKUP($E285,$E$14:$AN$22,COLUMN(AE$7)-4,FALSE)/$M285+VLOOKUP($E285,#REF!,4,FALSE)*VLOOKUP($E285,#REF!,COLUMN(AE$7)-4,FALSE)/$M285</f>
        <v>#REF!</v>
      </c>
      <c r="AF285" s="560" t="e">
        <f>VLOOKUP($E285,$E$14:$H$22,4,FALSE)*VLOOKUP($E285,$E$14:$AN$22,COLUMN(AF$7)-4,FALSE)/$M285+VLOOKUP($E285,#REF!,4,FALSE)*VLOOKUP($E285,#REF!,COLUMN(AF$7)-4,FALSE)/$M285</f>
        <v>#REF!</v>
      </c>
      <c r="AG285" s="560" t="e">
        <f>VLOOKUP($E285,$E$14:$H$22,4,FALSE)*VLOOKUP($E285,$E$14:$AN$22,COLUMN(AG$7)-4,FALSE)/$M285+VLOOKUP($E285,#REF!,4,FALSE)*VLOOKUP($E285,#REF!,COLUMN(AG$7)-4,FALSE)/$M285</f>
        <v>#REF!</v>
      </c>
      <c r="AH285" s="560" t="e">
        <f>VLOOKUP($E285,$E$14:$H$22,4,FALSE)*VLOOKUP($E285,$E$14:$AN$22,COLUMN(AH$7)-4,FALSE)/$M285+VLOOKUP($E285,#REF!,4,FALSE)*VLOOKUP($E285,#REF!,COLUMN(AH$7)-4,FALSE)/$M285</f>
        <v>#REF!</v>
      </c>
      <c r="AI285" s="560" t="e">
        <f>VLOOKUP($E285,$E$14:$H$22,4,FALSE)*VLOOKUP($E285,$E$14:$AN$22,COLUMN(AI$7)-4,FALSE)/$M285+VLOOKUP($E285,#REF!,4,FALSE)*VLOOKUP($E285,#REF!,COLUMN(AI$7)-4,FALSE)/$M285</f>
        <v>#REF!</v>
      </c>
      <c r="AJ285" s="560" t="e">
        <f>VLOOKUP($E285,$E$14:$H$22,4,FALSE)*VLOOKUP($E285,$E$14:$AN$22,COLUMN(AJ$7)-4,FALSE)/$M285+VLOOKUP($E285,#REF!,4,FALSE)*VLOOKUP($E285,#REF!,COLUMN(AJ$7)-4,FALSE)/$M285</f>
        <v>#REF!</v>
      </c>
      <c r="AK285" s="560" t="e">
        <f>VLOOKUP($E285,$E$14:$H$22,4,FALSE)*VLOOKUP($E285,$E$14:$AN$22,COLUMN(AK$7)-4,FALSE)/$M285+VLOOKUP($E285,#REF!,4,FALSE)*VLOOKUP($E285,#REF!,COLUMN(AK$7)-4,FALSE)/$M285</f>
        <v>#REF!</v>
      </c>
      <c r="AL285" s="560" t="e">
        <f>VLOOKUP($E285,$E$14:$H$22,4,FALSE)*VLOOKUP($E285,$E$14:$AN$22,COLUMN(AL$7)-4,FALSE)/$M285+VLOOKUP($E285,#REF!,4,FALSE)*VLOOKUP($E285,#REF!,COLUMN(AL$7)-4,FALSE)/$M285</f>
        <v>#REF!</v>
      </c>
      <c r="AM285" s="560" t="e">
        <f>VLOOKUP($E285,$E$14:$H$22,4,FALSE)*VLOOKUP($E285,$E$14:$AN$22,COLUMN(AM$7)-4,FALSE)/$M285+VLOOKUP($E285,#REF!,4,FALSE)*VLOOKUP($E285,#REF!,COLUMN(AM$7)-4,FALSE)/$M285</f>
        <v>#REF!</v>
      </c>
      <c r="AN285" s="560" t="e">
        <f>VLOOKUP($E285,$E$14:$H$22,4,FALSE)*VLOOKUP($E285,$E$14:$AN$22,COLUMN(AN$7)-4,FALSE)/$M285+VLOOKUP($E285,#REF!,4,FALSE)*VLOOKUP($E285,#REF!,COLUMN(AN$7)-4,FALSE)/$M285</f>
        <v>#REF!</v>
      </c>
    </row>
    <row r="286" spans="5:40">
      <c r="E286" s="919" t="e">
        <f>#REF!</f>
        <v>#REF!</v>
      </c>
      <c r="M286" s="560">
        <f>SUMIF(E:E,E286,H:H)</f>
        <v>0</v>
      </c>
      <c r="Q286" s="560" t="e">
        <f>VLOOKUP($E286,$E$14:$H$22,4,FALSE)*VLOOKUP($E286,$E$14:$AN$22,COLUMN(Q$7)-4,FALSE)/$M286+VLOOKUP($E286,#REF!,4,FALSE)*VLOOKUP($E286,#REF!,COLUMN(Q$7)-4,FALSE)/$M286</f>
        <v>#REF!</v>
      </c>
      <c r="R286" s="560" t="e">
        <f>VLOOKUP($E286,$E$14:$H$22,4,FALSE)*VLOOKUP($E286,$E$14:$AN$22,COLUMN(R$7)-4,FALSE)/$M286+VLOOKUP($E286,#REF!,4,FALSE)*VLOOKUP($E286,#REF!,COLUMN(R$7)-4,FALSE)/$M286</f>
        <v>#REF!</v>
      </c>
      <c r="S286" s="560" t="e">
        <f>VLOOKUP($E286,$E$14:$H$22,4,FALSE)*VLOOKUP($E286,$E$14:$AN$22,COLUMN(S$7)-4,FALSE)/$M286+VLOOKUP($E286,#REF!,4,FALSE)*VLOOKUP($E286,#REF!,COLUMN(S$7)-4,FALSE)/$M286</f>
        <v>#REF!</v>
      </c>
      <c r="T286" s="560" t="e">
        <f>VLOOKUP($E286,$E$14:$H$22,4,FALSE)*VLOOKUP($E286,$E$14:$AN$22,COLUMN(T$7)-4,FALSE)/$M286+VLOOKUP($E286,#REF!,4,FALSE)*VLOOKUP($E286,#REF!,COLUMN(T$7)-4,FALSE)/$M286</f>
        <v>#REF!</v>
      </c>
      <c r="U286" s="560" t="e">
        <f>VLOOKUP($E286,$E$14:$H$22,4,FALSE)*VLOOKUP($E286,$E$14:$AN$22,COLUMN(U$7)-4,FALSE)/$M286+VLOOKUP($E286,#REF!,4,FALSE)*VLOOKUP($E286,#REF!,COLUMN(U$7)-4,FALSE)/$M286</f>
        <v>#REF!</v>
      </c>
      <c r="V286" s="560" t="e">
        <f>VLOOKUP($E286,$E$14:$H$22,4,FALSE)*VLOOKUP($E286,$E$14:$AN$22,COLUMN(V$7)-4,FALSE)/$M286+VLOOKUP($E286,#REF!,4,FALSE)*VLOOKUP($E286,#REF!,COLUMN(V$7)-4,FALSE)/$M286</f>
        <v>#REF!</v>
      </c>
      <c r="W286" s="560" t="e">
        <f>VLOOKUP($E286,$E$14:$H$22,4,FALSE)*VLOOKUP($E286,$E$14:$AN$22,COLUMN(W$7)-4,FALSE)/$M286+VLOOKUP($E286,#REF!,4,FALSE)*VLOOKUP($E286,#REF!,COLUMN(W$7)-4,FALSE)/$M286</f>
        <v>#REF!</v>
      </c>
      <c r="X286" s="560" t="e">
        <f>VLOOKUP($E286,$E$14:$H$22,4,FALSE)*VLOOKUP($E286,$E$14:$AN$22,COLUMN(X$7)-4,FALSE)/$M286+VLOOKUP($E286,#REF!,4,FALSE)*VLOOKUP($E286,#REF!,COLUMN(X$7)-4,FALSE)/$M286</f>
        <v>#REF!</v>
      </c>
      <c r="Y286" s="560" t="e">
        <f>VLOOKUP($E286,$E$14:$H$22,4,FALSE)*VLOOKUP($E286,$E$14:$AN$22,COLUMN(Y$7)-4,FALSE)/$M286+VLOOKUP($E286,#REF!,4,FALSE)*VLOOKUP($E286,#REF!,COLUMN(Y$7)-4,FALSE)/$M286</f>
        <v>#REF!</v>
      </c>
      <c r="Z286" s="560" t="e">
        <f>VLOOKUP($E286,$E$14:$H$22,4,FALSE)*VLOOKUP($E286,$E$14:$AN$22,COLUMN(Z$7)-4,FALSE)/$M286+VLOOKUP($E286,#REF!,4,FALSE)*VLOOKUP($E286,#REF!,COLUMN(Z$7)-4,FALSE)/$M286</f>
        <v>#REF!</v>
      </c>
      <c r="AA286" s="560" t="e">
        <f>VLOOKUP($E286,$E$14:$H$22,4,FALSE)*VLOOKUP($E286,$E$14:$AN$22,COLUMN(AA$7)-4,FALSE)/$M286+VLOOKUP($E286,#REF!,4,FALSE)*VLOOKUP($E286,#REF!,COLUMN(AA$7)-4,FALSE)/$M286</f>
        <v>#REF!</v>
      </c>
      <c r="AB286" s="560" t="e">
        <f>VLOOKUP($E286,$E$14:$H$22,4,FALSE)*VLOOKUP($E286,$E$14:$AN$22,COLUMN(AB$7)-4,FALSE)/$M286+VLOOKUP($E286,#REF!,4,FALSE)*VLOOKUP($E286,#REF!,COLUMN(AB$7)-4,FALSE)/$M286</f>
        <v>#REF!</v>
      </c>
      <c r="AC286" s="560" t="e">
        <f>VLOOKUP($E286,$E$14:$H$22,4,FALSE)*VLOOKUP($E286,$E$14:$AN$22,COLUMN(AC$7)-4,FALSE)/$M286+VLOOKUP($E286,#REF!,4,FALSE)*VLOOKUP($E286,#REF!,COLUMN(AC$7)-4,FALSE)/$M286</f>
        <v>#REF!</v>
      </c>
      <c r="AD286" s="560" t="e">
        <f>VLOOKUP($E286,$E$14:$H$22,4,FALSE)*VLOOKUP($E286,$E$14:$AN$22,COLUMN(AD$7)-4,FALSE)/$M286+VLOOKUP($E286,#REF!,4,FALSE)*VLOOKUP($E286,#REF!,COLUMN(AD$7)-4,FALSE)/$M286</f>
        <v>#REF!</v>
      </c>
      <c r="AE286" s="560" t="e">
        <f>VLOOKUP($E286,$E$14:$H$22,4,FALSE)*VLOOKUP($E286,$E$14:$AN$22,COLUMN(AE$7)-4,FALSE)/$M286+VLOOKUP($E286,#REF!,4,FALSE)*VLOOKUP($E286,#REF!,COLUMN(AE$7)-4,FALSE)/$M286</f>
        <v>#REF!</v>
      </c>
      <c r="AF286" s="560" t="e">
        <f>VLOOKUP($E286,$E$14:$H$22,4,FALSE)*VLOOKUP($E286,$E$14:$AN$22,COLUMN(AF$7)-4,FALSE)/$M286+VLOOKUP($E286,#REF!,4,FALSE)*VLOOKUP($E286,#REF!,COLUMN(AF$7)-4,FALSE)/$M286</f>
        <v>#REF!</v>
      </c>
      <c r="AG286" s="560" t="e">
        <f>VLOOKUP($E286,$E$14:$H$22,4,FALSE)*VLOOKUP($E286,$E$14:$AN$22,COLUMN(AG$7)-4,FALSE)/$M286+VLOOKUP($E286,#REF!,4,FALSE)*VLOOKUP($E286,#REF!,COLUMN(AG$7)-4,FALSE)/$M286</f>
        <v>#REF!</v>
      </c>
      <c r="AH286" s="560" t="e">
        <f>VLOOKUP($E286,$E$14:$H$22,4,FALSE)*VLOOKUP($E286,$E$14:$AN$22,COLUMN(AH$7)-4,FALSE)/$M286+VLOOKUP($E286,#REF!,4,FALSE)*VLOOKUP($E286,#REF!,COLUMN(AH$7)-4,FALSE)/$M286</f>
        <v>#REF!</v>
      </c>
      <c r="AI286" s="560" t="e">
        <f>VLOOKUP($E286,$E$14:$H$22,4,FALSE)*VLOOKUP($E286,$E$14:$AN$22,COLUMN(AI$7)-4,FALSE)/$M286+VLOOKUP($E286,#REF!,4,FALSE)*VLOOKUP($E286,#REF!,COLUMN(AI$7)-4,FALSE)/$M286</f>
        <v>#REF!</v>
      </c>
      <c r="AJ286" s="560" t="e">
        <f>VLOOKUP($E286,$E$14:$H$22,4,FALSE)*VLOOKUP($E286,$E$14:$AN$22,COLUMN(AJ$7)-4,FALSE)/$M286+VLOOKUP($E286,#REF!,4,FALSE)*VLOOKUP($E286,#REF!,COLUMN(AJ$7)-4,FALSE)/$M286</f>
        <v>#REF!</v>
      </c>
      <c r="AK286" s="560" t="e">
        <f>VLOOKUP($E286,$E$14:$H$22,4,FALSE)*VLOOKUP($E286,$E$14:$AN$22,COLUMN(AK$7)-4,FALSE)/$M286+VLOOKUP($E286,#REF!,4,FALSE)*VLOOKUP($E286,#REF!,COLUMN(AK$7)-4,FALSE)/$M286</f>
        <v>#REF!</v>
      </c>
      <c r="AL286" s="560" t="e">
        <f>VLOOKUP($E286,$E$14:$H$22,4,FALSE)*VLOOKUP($E286,$E$14:$AN$22,COLUMN(AL$7)-4,FALSE)/$M286+VLOOKUP($E286,#REF!,4,FALSE)*VLOOKUP($E286,#REF!,COLUMN(AL$7)-4,FALSE)/$M286</f>
        <v>#REF!</v>
      </c>
      <c r="AM286" s="560" t="e">
        <f>VLOOKUP($E286,$E$14:$H$22,4,FALSE)*VLOOKUP($E286,$E$14:$AN$22,COLUMN(AM$7)-4,FALSE)/$M286+VLOOKUP($E286,#REF!,4,FALSE)*VLOOKUP($E286,#REF!,COLUMN(AM$7)-4,FALSE)/$M286</f>
        <v>#REF!</v>
      </c>
      <c r="AN286" s="560" t="e">
        <f>VLOOKUP($E286,$E$14:$H$22,4,FALSE)*VLOOKUP($E286,$E$14:$AN$22,COLUMN(AN$7)-4,FALSE)/$M286+VLOOKUP($E286,#REF!,4,FALSE)*VLOOKUP($E286,#REF!,COLUMN(AN$7)-4,FALSE)/$M286</f>
        <v>#REF!</v>
      </c>
    </row>
    <row r="287" spans="5:40">
      <c r="E287" s="919" t="e">
        <f>#REF!</f>
        <v>#REF!</v>
      </c>
      <c r="M287" s="560">
        <f>SUMIF(E:E,E287,H:H)</f>
        <v>0</v>
      </c>
      <c r="Q287" s="560" t="e">
        <f>VLOOKUP($E287,$E$14:$H$22,4,FALSE)*VLOOKUP($E287,$E$14:$AN$22,COLUMN(Q$7)-4,FALSE)/$M287+VLOOKUP($E287,#REF!,4,FALSE)*VLOOKUP($E287,#REF!,COLUMN(Q$7)-4,FALSE)/$M287</f>
        <v>#REF!</v>
      </c>
      <c r="R287" s="560" t="e">
        <f>VLOOKUP($E287,$E$14:$H$22,4,FALSE)*VLOOKUP($E287,$E$14:$AN$22,COLUMN(R$7)-4,FALSE)/$M287+VLOOKUP($E287,#REF!,4,FALSE)*VLOOKUP($E287,#REF!,COLUMN(R$7)-4,FALSE)/$M287</f>
        <v>#REF!</v>
      </c>
      <c r="S287" s="560" t="e">
        <f>VLOOKUP($E287,$E$14:$H$22,4,FALSE)*VLOOKUP($E287,$E$14:$AN$22,COLUMN(S$7)-4,FALSE)/$M287+VLOOKUP($E287,#REF!,4,FALSE)*VLOOKUP($E287,#REF!,COLUMN(S$7)-4,FALSE)/$M287</f>
        <v>#REF!</v>
      </c>
      <c r="T287" s="560" t="e">
        <f>VLOOKUP($E287,$E$14:$H$22,4,FALSE)*VLOOKUP($E287,$E$14:$AN$22,COLUMN(T$7)-4,FALSE)/$M287+VLOOKUP($E287,#REF!,4,FALSE)*VLOOKUP($E287,#REF!,COLUMN(T$7)-4,FALSE)/$M287</f>
        <v>#REF!</v>
      </c>
      <c r="U287" s="560" t="e">
        <f>VLOOKUP($E287,$E$14:$H$22,4,FALSE)*VLOOKUP($E287,$E$14:$AN$22,COLUMN(U$7)-4,FALSE)/$M287+VLOOKUP($E287,#REF!,4,FALSE)*VLOOKUP($E287,#REF!,COLUMN(U$7)-4,FALSE)/$M287</f>
        <v>#REF!</v>
      </c>
      <c r="V287" s="560" t="e">
        <f>VLOOKUP($E287,$E$14:$H$22,4,FALSE)*VLOOKUP($E287,$E$14:$AN$22,COLUMN(V$7)-4,FALSE)/$M287+VLOOKUP($E287,#REF!,4,FALSE)*VLOOKUP($E287,#REF!,COLUMN(V$7)-4,FALSE)/$M287</f>
        <v>#REF!</v>
      </c>
      <c r="W287" s="560" t="e">
        <f>VLOOKUP($E287,$E$14:$H$22,4,FALSE)*VLOOKUP($E287,$E$14:$AN$22,COLUMN(W$7)-4,FALSE)/$M287+VLOOKUP($E287,#REF!,4,FALSE)*VLOOKUP($E287,#REF!,COLUMN(W$7)-4,FALSE)/$M287</f>
        <v>#REF!</v>
      </c>
      <c r="X287" s="560" t="e">
        <f>VLOOKUP($E287,$E$14:$H$22,4,FALSE)*VLOOKUP($E287,$E$14:$AN$22,COLUMN(X$7)-4,FALSE)/$M287+VLOOKUP($E287,#REF!,4,FALSE)*VLOOKUP($E287,#REF!,COLUMN(X$7)-4,FALSE)/$M287</f>
        <v>#REF!</v>
      </c>
      <c r="Y287" s="560" t="e">
        <f>VLOOKUP($E287,$E$14:$H$22,4,FALSE)*VLOOKUP($E287,$E$14:$AN$22,COLUMN(Y$7)-4,FALSE)/$M287+VLOOKUP($E287,#REF!,4,FALSE)*VLOOKUP($E287,#REF!,COLUMN(Y$7)-4,FALSE)/$M287</f>
        <v>#REF!</v>
      </c>
      <c r="Z287" s="560" t="e">
        <f>VLOOKUP($E287,$E$14:$H$22,4,FALSE)*VLOOKUP($E287,$E$14:$AN$22,COLUMN(Z$7)-4,FALSE)/$M287+VLOOKUP($E287,#REF!,4,FALSE)*VLOOKUP($E287,#REF!,COLUMN(Z$7)-4,FALSE)/$M287</f>
        <v>#REF!</v>
      </c>
      <c r="AA287" s="560" t="e">
        <f>VLOOKUP($E287,$E$14:$H$22,4,FALSE)*VLOOKUP($E287,$E$14:$AN$22,COLUMN(AA$7)-4,FALSE)/$M287+VLOOKUP($E287,#REF!,4,FALSE)*VLOOKUP($E287,#REF!,COLUMN(AA$7)-4,FALSE)/$M287</f>
        <v>#REF!</v>
      </c>
      <c r="AB287" s="560" t="e">
        <f>VLOOKUP($E287,$E$14:$H$22,4,FALSE)*VLOOKUP($E287,$E$14:$AN$22,COLUMN(AB$7)-4,FALSE)/$M287+VLOOKUP($E287,#REF!,4,FALSE)*VLOOKUP($E287,#REF!,COLUMN(AB$7)-4,FALSE)/$M287</f>
        <v>#REF!</v>
      </c>
      <c r="AC287" s="560" t="e">
        <f>VLOOKUP($E287,$E$14:$H$22,4,FALSE)*VLOOKUP($E287,$E$14:$AN$22,COLUMN(AC$7)-4,FALSE)/$M287+VLOOKUP($E287,#REF!,4,FALSE)*VLOOKUP($E287,#REF!,COLUMN(AC$7)-4,FALSE)/$M287</f>
        <v>#REF!</v>
      </c>
      <c r="AD287" s="560" t="e">
        <f>VLOOKUP($E287,$E$14:$H$22,4,FALSE)*VLOOKUP($E287,$E$14:$AN$22,COLUMN(AD$7)-4,FALSE)/$M287+VLOOKUP($E287,#REF!,4,FALSE)*VLOOKUP($E287,#REF!,COLUMN(AD$7)-4,FALSE)/$M287</f>
        <v>#REF!</v>
      </c>
      <c r="AE287" s="560" t="e">
        <f>VLOOKUP($E287,$E$14:$H$22,4,FALSE)*VLOOKUP($E287,$E$14:$AN$22,COLUMN(AE$7)-4,FALSE)/$M287+VLOOKUP($E287,#REF!,4,FALSE)*VLOOKUP($E287,#REF!,COLUMN(AE$7)-4,FALSE)/$M287</f>
        <v>#REF!</v>
      </c>
      <c r="AF287" s="560" t="e">
        <f>VLOOKUP($E287,$E$14:$H$22,4,FALSE)*VLOOKUP($E287,$E$14:$AN$22,COLUMN(AF$7)-4,FALSE)/$M287+VLOOKUP($E287,#REF!,4,FALSE)*VLOOKUP($E287,#REF!,COLUMN(AF$7)-4,FALSE)/$M287</f>
        <v>#REF!</v>
      </c>
      <c r="AG287" s="560" t="e">
        <f>VLOOKUP($E287,$E$14:$H$22,4,FALSE)*VLOOKUP($E287,$E$14:$AN$22,COLUMN(AG$7)-4,FALSE)/$M287+VLOOKUP($E287,#REF!,4,FALSE)*VLOOKUP($E287,#REF!,COLUMN(AG$7)-4,FALSE)/$M287</f>
        <v>#REF!</v>
      </c>
      <c r="AH287" s="560" t="e">
        <f>VLOOKUP($E287,$E$14:$H$22,4,FALSE)*VLOOKUP($E287,$E$14:$AN$22,COLUMN(AH$7)-4,FALSE)/$M287+VLOOKUP($E287,#REF!,4,FALSE)*VLOOKUP($E287,#REF!,COLUMN(AH$7)-4,FALSE)/$M287</f>
        <v>#REF!</v>
      </c>
      <c r="AI287" s="560" t="e">
        <f>VLOOKUP($E287,$E$14:$H$22,4,FALSE)*VLOOKUP($E287,$E$14:$AN$22,COLUMN(AI$7)-4,FALSE)/$M287+VLOOKUP($E287,#REF!,4,FALSE)*VLOOKUP($E287,#REF!,COLUMN(AI$7)-4,FALSE)/$M287</f>
        <v>#REF!</v>
      </c>
      <c r="AJ287" s="560" t="e">
        <f>VLOOKUP($E287,$E$14:$H$22,4,FALSE)*VLOOKUP($E287,$E$14:$AN$22,COLUMN(AJ$7)-4,FALSE)/$M287+VLOOKUP($E287,#REF!,4,FALSE)*VLOOKUP($E287,#REF!,COLUMN(AJ$7)-4,FALSE)/$M287</f>
        <v>#REF!</v>
      </c>
      <c r="AK287" s="560" t="e">
        <f>VLOOKUP($E287,$E$14:$H$22,4,FALSE)*VLOOKUP($E287,$E$14:$AN$22,COLUMN(AK$7)-4,FALSE)/$M287+VLOOKUP($E287,#REF!,4,FALSE)*VLOOKUP($E287,#REF!,COLUMN(AK$7)-4,FALSE)/$M287</f>
        <v>#REF!</v>
      </c>
      <c r="AL287" s="560" t="e">
        <f>VLOOKUP($E287,$E$14:$H$22,4,FALSE)*VLOOKUP($E287,$E$14:$AN$22,COLUMN(AL$7)-4,FALSE)/$M287+VLOOKUP($E287,#REF!,4,FALSE)*VLOOKUP($E287,#REF!,COLUMN(AL$7)-4,FALSE)/$M287</f>
        <v>#REF!</v>
      </c>
      <c r="AM287" s="560" t="e">
        <f>VLOOKUP($E287,$E$14:$H$22,4,FALSE)*VLOOKUP($E287,$E$14:$AN$22,COLUMN(AM$7)-4,FALSE)/$M287+VLOOKUP($E287,#REF!,4,FALSE)*VLOOKUP($E287,#REF!,COLUMN(AM$7)-4,FALSE)/$M287</f>
        <v>#REF!</v>
      </c>
      <c r="AN287" s="560" t="e">
        <f>VLOOKUP($E287,$E$14:$H$22,4,FALSE)*VLOOKUP($E287,$E$14:$AN$22,COLUMN(AN$7)-4,FALSE)/$M287+VLOOKUP($E287,#REF!,4,FALSE)*VLOOKUP($E287,#REF!,COLUMN(AN$7)-4,FALSE)/$M287</f>
        <v>#REF!</v>
      </c>
    </row>
    <row r="288" spans="5:40">
      <c r="E288" s="919" t="e">
        <f>#REF!</f>
        <v>#REF!</v>
      </c>
      <c r="M288" s="560">
        <f>SUMIF(E:E,E288,H:H)</f>
        <v>0</v>
      </c>
      <c r="Q288" s="560" t="e">
        <f>VLOOKUP($E288,$E$14:$H$22,4,FALSE)*VLOOKUP($E288,$E$14:$AN$22,COLUMN(Q$7)-4,FALSE)/$M288+VLOOKUP($E288,#REF!,4,FALSE)*VLOOKUP($E288,#REF!,COLUMN(Q$7)-4,FALSE)/$M288</f>
        <v>#REF!</v>
      </c>
      <c r="R288" s="560" t="e">
        <f>VLOOKUP($E288,$E$14:$H$22,4,FALSE)*VLOOKUP($E288,$E$14:$AN$22,COLUMN(R$7)-4,FALSE)/$M288+VLOOKUP($E288,#REF!,4,FALSE)*VLOOKUP($E288,#REF!,COLUMN(R$7)-4,FALSE)/$M288</f>
        <v>#REF!</v>
      </c>
      <c r="S288" s="560" t="e">
        <f>VLOOKUP($E288,$E$14:$H$22,4,FALSE)*VLOOKUP($E288,$E$14:$AN$22,COLUMN(S$7)-4,FALSE)/$M288+VLOOKUP($E288,#REF!,4,FALSE)*VLOOKUP($E288,#REF!,COLUMN(S$7)-4,FALSE)/$M288</f>
        <v>#REF!</v>
      </c>
      <c r="T288" s="560" t="e">
        <f>VLOOKUP($E288,$E$14:$H$22,4,FALSE)*VLOOKUP($E288,$E$14:$AN$22,COLUMN(T$7)-4,FALSE)/$M288+VLOOKUP($E288,#REF!,4,FALSE)*VLOOKUP($E288,#REF!,COLUMN(T$7)-4,FALSE)/$M288</f>
        <v>#REF!</v>
      </c>
      <c r="U288" s="560" t="e">
        <f>VLOOKUP($E288,$E$14:$H$22,4,FALSE)*VLOOKUP($E288,$E$14:$AN$22,COLUMN(U$7)-4,FALSE)/$M288+VLOOKUP($E288,#REF!,4,FALSE)*VLOOKUP($E288,#REF!,COLUMN(U$7)-4,FALSE)/$M288</f>
        <v>#REF!</v>
      </c>
      <c r="V288" s="560" t="e">
        <f>VLOOKUP($E288,$E$14:$H$22,4,FALSE)*VLOOKUP($E288,$E$14:$AN$22,COLUMN(V$7)-4,FALSE)/$M288+VLOOKUP($E288,#REF!,4,FALSE)*VLOOKUP($E288,#REF!,COLUMN(V$7)-4,FALSE)/$M288</f>
        <v>#REF!</v>
      </c>
      <c r="W288" s="560" t="e">
        <f>VLOOKUP($E288,$E$14:$H$22,4,FALSE)*VLOOKUP($E288,$E$14:$AN$22,COLUMN(W$7)-4,FALSE)/$M288+VLOOKUP($E288,#REF!,4,FALSE)*VLOOKUP($E288,#REF!,COLUMN(W$7)-4,FALSE)/$M288</f>
        <v>#REF!</v>
      </c>
      <c r="X288" s="560" t="e">
        <f>VLOOKUP($E288,$E$14:$H$22,4,FALSE)*VLOOKUP($E288,$E$14:$AN$22,COLUMN(X$7)-4,FALSE)/$M288+VLOOKUP($E288,#REF!,4,FALSE)*VLOOKUP($E288,#REF!,COLUMN(X$7)-4,FALSE)/$M288</f>
        <v>#REF!</v>
      </c>
      <c r="Y288" s="560" t="e">
        <f>VLOOKUP($E288,$E$14:$H$22,4,FALSE)*VLOOKUP($E288,$E$14:$AN$22,COLUMN(Y$7)-4,FALSE)/$M288+VLOOKUP($E288,#REF!,4,FALSE)*VLOOKUP($E288,#REF!,COLUMN(Y$7)-4,FALSE)/$M288</f>
        <v>#REF!</v>
      </c>
      <c r="Z288" s="560" t="e">
        <f>VLOOKUP($E288,$E$14:$H$22,4,FALSE)*VLOOKUP($E288,$E$14:$AN$22,COLUMN(Z$7)-4,FALSE)/$M288+VLOOKUP($E288,#REF!,4,FALSE)*VLOOKUP($E288,#REF!,COLUMN(Z$7)-4,FALSE)/$M288</f>
        <v>#REF!</v>
      </c>
      <c r="AA288" s="560" t="e">
        <f>VLOOKUP($E288,$E$14:$H$22,4,FALSE)*VLOOKUP($E288,$E$14:$AN$22,COLUMN(AA$7)-4,FALSE)/$M288+VLOOKUP($E288,#REF!,4,FALSE)*VLOOKUP($E288,#REF!,COLUMN(AA$7)-4,FALSE)/$M288</f>
        <v>#REF!</v>
      </c>
      <c r="AB288" s="560" t="e">
        <f>VLOOKUP($E288,$E$14:$H$22,4,FALSE)*VLOOKUP($E288,$E$14:$AN$22,COLUMN(AB$7)-4,FALSE)/$M288+VLOOKUP($E288,#REF!,4,FALSE)*VLOOKUP($E288,#REF!,COLUMN(AB$7)-4,FALSE)/$M288</f>
        <v>#REF!</v>
      </c>
      <c r="AC288" s="560" t="e">
        <f>VLOOKUP($E288,$E$14:$H$22,4,FALSE)*VLOOKUP($E288,$E$14:$AN$22,COLUMN(AC$7)-4,FALSE)/$M288+VLOOKUP($E288,#REF!,4,FALSE)*VLOOKUP($E288,#REF!,COLUMN(AC$7)-4,FALSE)/$M288</f>
        <v>#REF!</v>
      </c>
      <c r="AD288" s="560" t="e">
        <f>VLOOKUP($E288,$E$14:$H$22,4,FALSE)*VLOOKUP($E288,$E$14:$AN$22,COLUMN(AD$7)-4,FALSE)/$M288+VLOOKUP($E288,#REF!,4,FALSE)*VLOOKUP($E288,#REF!,COLUMN(AD$7)-4,FALSE)/$M288</f>
        <v>#REF!</v>
      </c>
      <c r="AE288" s="560" t="e">
        <f>VLOOKUP($E288,$E$14:$H$22,4,FALSE)*VLOOKUP($E288,$E$14:$AN$22,COLUMN(AE$7)-4,FALSE)/$M288+VLOOKUP($E288,#REF!,4,FALSE)*VLOOKUP($E288,#REF!,COLUMN(AE$7)-4,FALSE)/$M288</f>
        <v>#REF!</v>
      </c>
      <c r="AF288" s="560" t="e">
        <f>VLOOKUP($E288,$E$14:$H$22,4,FALSE)*VLOOKUP($E288,$E$14:$AN$22,COLUMN(AF$7)-4,FALSE)/$M288+VLOOKUP($E288,#REF!,4,FALSE)*VLOOKUP($E288,#REF!,COLUMN(AF$7)-4,FALSE)/$M288</f>
        <v>#REF!</v>
      </c>
      <c r="AG288" s="560" t="e">
        <f>VLOOKUP($E288,$E$14:$H$22,4,FALSE)*VLOOKUP($E288,$E$14:$AN$22,COLUMN(AG$7)-4,FALSE)/$M288+VLOOKUP($E288,#REF!,4,FALSE)*VLOOKUP($E288,#REF!,COLUMN(AG$7)-4,FALSE)/$M288</f>
        <v>#REF!</v>
      </c>
      <c r="AH288" s="560" t="e">
        <f>VLOOKUP($E288,$E$14:$H$22,4,FALSE)*VLOOKUP($E288,$E$14:$AN$22,COLUMN(AH$7)-4,FALSE)/$M288+VLOOKUP($E288,#REF!,4,FALSE)*VLOOKUP($E288,#REF!,COLUMN(AH$7)-4,FALSE)/$M288</f>
        <v>#REF!</v>
      </c>
      <c r="AI288" s="560" t="e">
        <f>VLOOKUP($E288,$E$14:$H$22,4,FALSE)*VLOOKUP($E288,$E$14:$AN$22,COLUMN(AI$7)-4,FALSE)/$M288+VLOOKUP($E288,#REF!,4,FALSE)*VLOOKUP($E288,#REF!,COLUMN(AI$7)-4,FALSE)/$M288</f>
        <v>#REF!</v>
      </c>
      <c r="AJ288" s="560" t="e">
        <f>VLOOKUP($E288,$E$14:$H$22,4,FALSE)*VLOOKUP($E288,$E$14:$AN$22,COLUMN(AJ$7)-4,FALSE)/$M288+VLOOKUP($E288,#REF!,4,FALSE)*VLOOKUP($E288,#REF!,COLUMN(AJ$7)-4,FALSE)/$M288</f>
        <v>#REF!</v>
      </c>
      <c r="AK288" s="560" t="e">
        <f>VLOOKUP($E288,$E$14:$H$22,4,FALSE)*VLOOKUP($E288,$E$14:$AN$22,COLUMN(AK$7)-4,FALSE)/$M288+VLOOKUP($E288,#REF!,4,FALSE)*VLOOKUP($E288,#REF!,COLUMN(AK$7)-4,FALSE)/$M288</f>
        <v>#REF!</v>
      </c>
      <c r="AL288" s="560" t="e">
        <f>VLOOKUP($E288,$E$14:$H$22,4,FALSE)*VLOOKUP($E288,$E$14:$AN$22,COLUMN(AL$7)-4,FALSE)/$M288+VLOOKUP($E288,#REF!,4,FALSE)*VLOOKUP($E288,#REF!,COLUMN(AL$7)-4,FALSE)/$M288</f>
        <v>#REF!</v>
      </c>
      <c r="AM288" s="560" t="e">
        <f>VLOOKUP($E288,$E$14:$H$22,4,FALSE)*VLOOKUP($E288,$E$14:$AN$22,COLUMN(AM$7)-4,FALSE)/$M288+VLOOKUP($E288,#REF!,4,FALSE)*VLOOKUP($E288,#REF!,COLUMN(AM$7)-4,FALSE)/$M288</f>
        <v>#REF!</v>
      </c>
      <c r="AN288" s="560" t="e">
        <f>VLOOKUP($E288,$E$14:$H$22,4,FALSE)*VLOOKUP($E288,$E$14:$AN$22,COLUMN(AN$7)-4,FALSE)/$M288+VLOOKUP($E288,#REF!,4,FALSE)*VLOOKUP($E288,#REF!,COLUMN(AN$7)-4,FALSE)/$M288</f>
        <v>#REF!</v>
      </c>
    </row>
    <row r="289" spans="5:40">
      <c r="E289" s="919" t="e">
        <f>#REF!</f>
        <v>#REF!</v>
      </c>
      <c r="M289" s="560">
        <f>SUMIF(E:E,E289,H:H)</f>
        <v>0</v>
      </c>
      <c r="Q289" s="560" t="e">
        <f>VLOOKUP($E289,#REF!,4,FALSE)*VLOOKUP($E289,#REF!,COLUMN(Q$7)-4,FALSE)/$M289</f>
        <v>#REF!</v>
      </c>
      <c r="R289" s="560" t="e">
        <f>VLOOKUP($E289,#REF!,4,FALSE)*VLOOKUP($E289,#REF!,COLUMN(R$7)-4,FALSE)/$M289</f>
        <v>#REF!</v>
      </c>
      <c r="S289" s="560" t="e">
        <f>VLOOKUP($E289,#REF!,4,FALSE)*VLOOKUP($E289,#REF!,COLUMN(S$7)-4,FALSE)/$M289</f>
        <v>#REF!</v>
      </c>
      <c r="T289" s="560" t="e">
        <f>VLOOKUP($E289,#REF!,4,FALSE)*VLOOKUP($E289,#REF!,COLUMN(T$7)-4,FALSE)/$M289</f>
        <v>#REF!</v>
      </c>
      <c r="U289" s="560" t="e">
        <f>VLOOKUP($E289,#REF!,4,FALSE)*VLOOKUP($E289,#REF!,COLUMN(U$7)-4,FALSE)/$M289</f>
        <v>#REF!</v>
      </c>
      <c r="V289" s="560" t="e">
        <f>VLOOKUP($E289,#REF!,4,FALSE)*VLOOKUP($E289,#REF!,COLUMN(V$7)-4,FALSE)/$M289</f>
        <v>#REF!</v>
      </c>
      <c r="W289" s="560" t="e">
        <f>VLOOKUP($E289,#REF!,4,FALSE)*VLOOKUP($E289,#REF!,COLUMN(W$7)-4,FALSE)/$M289</f>
        <v>#REF!</v>
      </c>
      <c r="X289" s="560" t="e">
        <f>VLOOKUP($E289,#REF!,4,FALSE)*VLOOKUP($E289,#REF!,COLUMN(X$7)-4,FALSE)/$M289</f>
        <v>#REF!</v>
      </c>
      <c r="Y289" s="560" t="e">
        <f>VLOOKUP($E289,#REF!,4,FALSE)*VLOOKUP($E289,#REF!,COLUMN(Y$7)-4,FALSE)/$M289</f>
        <v>#REF!</v>
      </c>
      <c r="Z289" s="560" t="e">
        <f>VLOOKUP($E289,#REF!,4,FALSE)*VLOOKUP($E289,#REF!,COLUMN(Z$7)-4,FALSE)/$M289</f>
        <v>#REF!</v>
      </c>
      <c r="AA289" s="560" t="e">
        <f>VLOOKUP($E289,#REF!,4,FALSE)*VLOOKUP($E289,#REF!,COLUMN(AA$7)-4,FALSE)/$M289</f>
        <v>#REF!</v>
      </c>
      <c r="AB289" s="560" t="e">
        <f>VLOOKUP($E289,#REF!,4,FALSE)*VLOOKUP($E289,#REF!,COLUMN(AB$7)-4,FALSE)/$M289</f>
        <v>#REF!</v>
      </c>
      <c r="AC289" s="560" t="e">
        <f>VLOOKUP($E289,#REF!,4,FALSE)*VLOOKUP($E289,#REF!,COLUMN(AC$7)-4,FALSE)/$M289</f>
        <v>#REF!</v>
      </c>
      <c r="AD289" s="560" t="e">
        <f>VLOOKUP($E289,#REF!,4,FALSE)*VLOOKUP($E289,#REF!,COLUMN(AD$7)-4,FALSE)/$M289</f>
        <v>#REF!</v>
      </c>
      <c r="AE289" s="560" t="e">
        <f>VLOOKUP($E289,#REF!,4,FALSE)*VLOOKUP($E289,#REF!,COLUMN(AE$7)-4,FALSE)/$M289</f>
        <v>#REF!</v>
      </c>
      <c r="AF289" s="560" t="e">
        <f>VLOOKUP($E289,#REF!,4,FALSE)*VLOOKUP($E289,#REF!,COLUMN(AF$7)-4,FALSE)/$M289</f>
        <v>#REF!</v>
      </c>
      <c r="AG289" s="560" t="e">
        <f>VLOOKUP($E289,#REF!,4,FALSE)*VLOOKUP($E289,#REF!,COLUMN(AG$7)-4,FALSE)/$M289</f>
        <v>#REF!</v>
      </c>
      <c r="AH289" s="560" t="e">
        <f>VLOOKUP($E289,#REF!,4,FALSE)*VLOOKUP($E289,#REF!,COLUMN(AH$7)-4,FALSE)/$M289</f>
        <v>#REF!</v>
      </c>
      <c r="AI289" s="560" t="e">
        <f>VLOOKUP($E289,#REF!,4,FALSE)*VLOOKUP($E289,#REF!,COLUMN(AI$7)-4,FALSE)/$M289</f>
        <v>#REF!</v>
      </c>
      <c r="AJ289" s="560" t="e">
        <f>VLOOKUP($E289,#REF!,4,FALSE)*VLOOKUP($E289,#REF!,COLUMN(AJ$7)-4,FALSE)/$M289</f>
        <v>#REF!</v>
      </c>
      <c r="AK289" s="560" t="e">
        <f>VLOOKUP($E289,#REF!,4,FALSE)*VLOOKUP($E289,#REF!,COLUMN(AK$7)-4,FALSE)/$M289</f>
        <v>#REF!</v>
      </c>
      <c r="AL289" s="560" t="e">
        <f>VLOOKUP($E289,#REF!,4,FALSE)*VLOOKUP($E289,#REF!,COLUMN(AL$7)-4,FALSE)/$M289</f>
        <v>#REF!</v>
      </c>
      <c r="AM289" s="560" t="e">
        <f>VLOOKUP($E289,#REF!,4,FALSE)*VLOOKUP($E289,#REF!,COLUMN(AM$7)-4,FALSE)/$M289</f>
        <v>#REF!</v>
      </c>
      <c r="AN289" s="560" t="e">
        <f>VLOOKUP($E289,#REF!,4,FALSE)*VLOOKUP($E289,#REF!,COLUMN(AN$7)-4,FALSE)/$M289</f>
        <v>#REF!</v>
      </c>
    </row>
    <row r="290" spans="5:40">
      <c r="E290" s="919"/>
    </row>
  </sheetData>
  <autoFilter ref="B13:O60"/>
  <mergeCells count="66">
    <mergeCell ref="F3:O3"/>
    <mergeCell ref="BM7:BM10"/>
    <mergeCell ref="O7:O10"/>
    <mergeCell ref="W6:Z6"/>
    <mergeCell ref="BI7:BI10"/>
    <mergeCell ref="BJ7:BJ10"/>
    <mergeCell ref="BK7:BK10"/>
    <mergeCell ref="BL7:BL10"/>
    <mergeCell ref="BE7:BE10"/>
    <mergeCell ref="BF7:BF10"/>
    <mergeCell ref="AW7:AW10"/>
    <mergeCell ref="AX7:AX10"/>
    <mergeCell ref="AY7:AY10"/>
    <mergeCell ref="BG7:BG10"/>
    <mergeCell ref="AZ7:AZ10"/>
    <mergeCell ref="BH7:BH10"/>
    <mergeCell ref="BA7:BA10"/>
    <mergeCell ref="BB7:BB10"/>
    <mergeCell ref="BC7:BC10"/>
    <mergeCell ref="BD7:BD10"/>
    <mergeCell ref="AQ7:AQ10"/>
    <mergeCell ref="AR7:AR10"/>
    <mergeCell ref="AS7:AS10"/>
    <mergeCell ref="AT7:AT10"/>
    <mergeCell ref="AU7:AU10"/>
    <mergeCell ref="AV7:AV10"/>
    <mergeCell ref="AP7:AP10"/>
    <mergeCell ref="AE7:AE10"/>
    <mergeCell ref="AF7:AF10"/>
    <mergeCell ref="AG7:AG10"/>
    <mergeCell ref="AH7:AH10"/>
    <mergeCell ref="AI7:AI10"/>
    <mergeCell ref="AJ7:AJ10"/>
    <mergeCell ref="AK7:AK10"/>
    <mergeCell ref="AL7:AL10"/>
    <mergeCell ref="AM7:AM10"/>
    <mergeCell ref="AN7:AN10"/>
    <mergeCell ref="AO7:AO10"/>
    <mergeCell ref="AD7:AD10"/>
    <mergeCell ref="L7:L10"/>
    <mergeCell ref="T7:T10"/>
    <mergeCell ref="U7:U10"/>
    <mergeCell ref="V7:V10"/>
    <mergeCell ref="W7:W10"/>
    <mergeCell ref="X7:X10"/>
    <mergeCell ref="Y7:Y10"/>
    <mergeCell ref="Z7:Z10"/>
    <mergeCell ref="AA7:AA10"/>
    <mergeCell ref="AB7:AB10"/>
    <mergeCell ref="AC7:AC10"/>
    <mergeCell ref="H7:H10"/>
    <mergeCell ref="I7:I10"/>
    <mergeCell ref="Q7:Q10"/>
    <mergeCell ref="R7:R10"/>
    <mergeCell ref="S7:S10"/>
    <mergeCell ref="P7:P10"/>
    <mergeCell ref="M7:M10"/>
    <mergeCell ref="N7:N10"/>
    <mergeCell ref="J7:J10"/>
    <mergeCell ref="K7:K10"/>
    <mergeCell ref="G7:G10"/>
    <mergeCell ref="B7:B10"/>
    <mergeCell ref="C7:C10"/>
    <mergeCell ref="D7:D10"/>
    <mergeCell ref="E7:E10"/>
    <mergeCell ref="F7:F10"/>
  </mergeCells>
  <phoneticPr fontId="52" type="noConversion"/>
  <conditionalFormatting sqref="AF17:BM17 Q19:BM19 Q21:BM21 Q23:BM60">
    <cfRule type="cellIs" dxfId="17" priority="63" stopIfTrue="1" operator="greaterThan">
      <formula>0</formula>
    </cfRule>
  </conditionalFormatting>
  <conditionalFormatting sqref="I59:J59 I31:J31 J35 I36:J36 I40:J40 I33:J33 L59 L31 L38 L40 L42:L57 L33 I38:J38 I37 I42:J57">
    <cfRule type="expression" dxfId="16" priority="64" stopIfTrue="1">
      <formula>dólar=1</formula>
    </cfRule>
    <cfRule type="expression" dxfId="15" priority="65" stopIfTrue="1">
      <formula>dólar&lt;&gt;1</formula>
    </cfRule>
  </conditionalFormatting>
  <conditionalFormatting sqref="Q14:BM14">
    <cfRule type="cellIs" dxfId="14" priority="49" operator="greaterThan">
      <formula>0</formula>
    </cfRule>
  </conditionalFormatting>
  <conditionalFormatting sqref="Q18:BM18">
    <cfRule type="cellIs" dxfId="13" priority="23" operator="greaterThan">
      <formula>0</formula>
    </cfRule>
  </conditionalFormatting>
  <conditionalFormatting sqref="Q20:BM20">
    <cfRule type="cellIs" dxfId="12" priority="22" operator="greaterThan">
      <formula>0</formula>
    </cfRule>
  </conditionalFormatting>
  <conditionalFormatting sqref="Q15:BM16">
    <cfRule type="cellIs" dxfId="11" priority="9" stopIfTrue="1" operator="greaterThan">
      <formula>0</formula>
    </cfRule>
  </conditionalFormatting>
  <conditionalFormatting sqref="Q22:BM22">
    <cfRule type="cellIs" dxfId="10" priority="8" stopIfTrue="1" operator="greaterThan">
      <formula>0</formula>
    </cfRule>
  </conditionalFormatting>
  <conditionalFormatting sqref="Q17:AE17">
    <cfRule type="cellIs" dxfId="9" priority="1" stopIfTrue="1" operator="greaterThan">
      <formula>0</formula>
    </cfRule>
  </conditionalFormatting>
  <dataValidations count="1">
    <dataValidation type="list" allowBlank="1" showInputMessage="1" showErrorMessage="1" sqref="W6:Z6">
      <formula1>"QUINCENAL,MENSUAL"</formula1>
    </dataValidation>
  </dataValidations>
  <pageMargins left="0.75" right="0.75" top="0.31" bottom="0.49" header="0.17" footer="0.21"/>
  <pageSetup paperSize="9" scale="38" fitToHeight="0" orientation="landscape" r:id="rId1"/>
  <headerFooter alignWithMargins="0">
    <oddFooter>&amp;CHoja N° &amp;P de &amp;N&amp;RArchivo: &amp;F</oddFooter>
  </headerFooter>
  <rowBreaks count="1" manualBreakCount="1">
    <brk id="60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BW92"/>
  <sheetViews>
    <sheetView topLeftCell="A88" zoomScale="85" zoomScaleNormal="85" workbookViewId="0">
      <selection activeCell="H23" sqref="H23:BC26"/>
    </sheetView>
  </sheetViews>
  <sheetFormatPr baseColWidth="10" defaultColWidth="9.109375" defaultRowHeight="13.8" outlineLevelCol="1"/>
  <cols>
    <col min="1" max="1" width="2.5546875" style="560" customWidth="1"/>
    <col min="2" max="4" width="9.109375" style="560"/>
    <col min="5" max="5" width="17.88671875" style="560" customWidth="1"/>
    <col min="6" max="6" width="16.88671875" style="560" bestFit="1" customWidth="1"/>
    <col min="7" max="7" width="12.33203125" style="560" customWidth="1"/>
    <col min="8" max="8" width="7.88671875" style="560" customWidth="1"/>
    <col min="9" max="11" width="10.33203125" style="560" bestFit="1" customWidth="1"/>
    <col min="12" max="12" width="9.88671875" style="560" bestFit="1" customWidth="1"/>
    <col min="13" max="15" width="8.44140625" style="560" bestFit="1" customWidth="1"/>
    <col min="16" max="33" width="7.88671875" style="560" customWidth="1"/>
    <col min="34" max="55" width="7.88671875" style="560" customWidth="1" outlineLevel="1"/>
    <col min="56" max="56" width="7.88671875" style="560" customWidth="1"/>
    <col min="57" max="57" width="5" style="560" customWidth="1"/>
    <col min="58" max="16384" width="9.109375" style="560"/>
  </cols>
  <sheetData>
    <row r="1" spans="1:75" ht="2.25" customHeight="1"/>
    <row r="2" spans="1:75">
      <c r="B2" s="560" t="s">
        <v>1126</v>
      </c>
      <c r="I2" s="1204"/>
      <c r="J2" s="1204"/>
    </row>
    <row r="3" spans="1:75" ht="15.6">
      <c r="B3" s="1162" t="s">
        <v>1127</v>
      </c>
    </row>
    <row r="4" spans="1:75">
      <c r="B4" s="560" t="str">
        <f>+Resumen!$B$2</f>
        <v>CONSTRUCCIÓN DE SANITARIOS</v>
      </c>
      <c r="I4" s="1202"/>
      <c r="J4" s="1202"/>
      <c r="K4" s="1202"/>
      <c r="L4" s="1202"/>
      <c r="M4" s="1202"/>
    </row>
    <row r="6" spans="1:75">
      <c r="BW6" s="1208"/>
    </row>
    <row r="8" spans="1:75">
      <c r="B8" s="560" t="s">
        <v>1128</v>
      </c>
      <c r="E8" s="560" t="s">
        <v>55</v>
      </c>
      <c r="F8" s="560" t="s">
        <v>1129</v>
      </c>
      <c r="G8" s="1163" t="s">
        <v>56</v>
      </c>
      <c r="H8" s="560" t="s">
        <v>834</v>
      </c>
    </row>
    <row r="9" spans="1:75">
      <c r="A9" s="1262">
        <v>1</v>
      </c>
      <c r="B9" s="1163" t="s">
        <v>1130</v>
      </c>
      <c r="E9" s="1164">
        <f>+SUM(E10:E26)</f>
        <v>324507.77305663656</v>
      </c>
      <c r="H9" s="1165">
        <f>Crono!Q$7</f>
        <v>0.5</v>
      </c>
      <c r="I9" s="1165">
        <f>Crono!R$7</f>
        <v>1</v>
      </c>
      <c r="J9" s="1165">
        <f>Crono!S$7</f>
        <v>1.5</v>
      </c>
      <c r="K9" s="1165">
        <f>Crono!T$7</f>
        <v>2</v>
      </c>
      <c r="L9" s="1165">
        <f>Crono!U$7</f>
        <v>2.5</v>
      </c>
      <c r="M9" s="1165">
        <f>Crono!V$7</f>
        <v>3</v>
      </c>
      <c r="N9" s="1165">
        <f>Crono!W$7</f>
        <v>3.5</v>
      </c>
      <c r="O9" s="1165">
        <f>Crono!X$7</f>
        <v>4</v>
      </c>
      <c r="P9" s="1165">
        <f>Crono!Y$7</f>
        <v>4.5</v>
      </c>
      <c r="Q9" s="1165">
        <f>Crono!Z$7</f>
        <v>5</v>
      </c>
      <c r="R9" s="1165">
        <f>Crono!AA$7</f>
        <v>5.5</v>
      </c>
      <c r="S9" s="1165">
        <f>Crono!AB$7</f>
        <v>6</v>
      </c>
      <c r="T9" s="1165">
        <f>Crono!AC$7</f>
        <v>6.5</v>
      </c>
      <c r="U9" s="1165">
        <f>Crono!AD$7</f>
        <v>7</v>
      </c>
      <c r="V9" s="1165">
        <f>Crono!AE$7</f>
        <v>7.5</v>
      </c>
      <c r="W9" s="1165">
        <f>Crono!AF$7</f>
        <v>8</v>
      </c>
      <c r="X9" s="1165">
        <f>Crono!AG$7</f>
        <v>8.5</v>
      </c>
      <c r="Y9" s="1165">
        <f>Crono!AH$7</f>
        <v>9</v>
      </c>
      <c r="Z9" s="1165">
        <f>Crono!AI$7</f>
        <v>9.5</v>
      </c>
      <c r="AA9" s="1165">
        <f>Crono!AJ$7</f>
        <v>10</v>
      </c>
      <c r="AB9" s="1165">
        <f>Crono!AK$7</f>
        <v>10.5</v>
      </c>
      <c r="AC9" s="1165">
        <f>Crono!AL$7</f>
        <v>11</v>
      </c>
      <c r="AD9" s="1165">
        <f>Crono!AM$7</f>
        <v>11.5</v>
      </c>
      <c r="AE9" s="1165">
        <f>Crono!AN$7</f>
        <v>12</v>
      </c>
      <c r="AF9" s="1165">
        <f>Crono!AO$7</f>
        <v>12.5</v>
      </c>
      <c r="AG9" s="1165">
        <f>Crono!AP$7</f>
        <v>13</v>
      </c>
      <c r="AH9" s="1165">
        <f>Crono!AQ$7</f>
        <v>13.5</v>
      </c>
      <c r="AI9" s="1165">
        <f>Crono!AR$7</f>
        <v>14</v>
      </c>
      <c r="AJ9" s="1165">
        <f>Crono!AS$7</f>
        <v>14.5</v>
      </c>
      <c r="AK9" s="1165">
        <f>Crono!AT$7</f>
        <v>15</v>
      </c>
      <c r="AL9" s="1165">
        <f>Crono!AU$7</f>
        <v>15.5</v>
      </c>
      <c r="AM9" s="1165">
        <f>Crono!AV$7</f>
        <v>16</v>
      </c>
      <c r="AN9" s="1165">
        <f>Crono!AW$7</f>
        <v>16.5</v>
      </c>
      <c r="AO9" s="1165">
        <f>Crono!AX$7</f>
        <v>17</v>
      </c>
      <c r="AP9" s="1165">
        <f>Crono!AY$7</f>
        <v>17.5</v>
      </c>
      <c r="AQ9" s="1165">
        <f>Crono!AZ$7</f>
        <v>18</v>
      </c>
      <c r="AR9" s="1165">
        <f>Crono!BA$7</f>
        <v>18.5</v>
      </c>
      <c r="AS9" s="1165">
        <f>Crono!BB$7</f>
        <v>19</v>
      </c>
      <c r="AT9" s="1165">
        <f>Crono!BC$7</f>
        <v>19.5</v>
      </c>
      <c r="AU9" s="1165">
        <f>Crono!BD$7</f>
        <v>20</v>
      </c>
      <c r="AV9" s="1165">
        <f>Crono!BE$7</f>
        <v>20.5</v>
      </c>
      <c r="AW9" s="1165">
        <f>Crono!BF$7</f>
        <v>21</v>
      </c>
      <c r="AX9" s="1165">
        <f>Crono!BG$7</f>
        <v>21.5</v>
      </c>
      <c r="AY9" s="1165">
        <f>Crono!BH$7</f>
        <v>22</v>
      </c>
      <c r="AZ9" s="1165">
        <f>Crono!BI$7</f>
        <v>22.5</v>
      </c>
      <c r="BA9" s="1165">
        <f>Crono!BJ$7</f>
        <v>23</v>
      </c>
      <c r="BB9" s="1165">
        <f>Crono!BK$7</f>
        <v>23.5</v>
      </c>
      <c r="BC9" s="1165">
        <f>Crono!BL$7</f>
        <v>24</v>
      </c>
    </row>
    <row r="10" spans="1:75">
      <c r="A10" s="1262">
        <f>1+A9</f>
        <v>2</v>
      </c>
      <c r="B10" s="560" t="s">
        <v>1018</v>
      </c>
      <c r="E10" s="1259">
        <f>Crono!BP28</f>
        <v>44778.486522747386</v>
      </c>
      <c r="F10" s="1167">
        <f>+E10/$E$9</f>
        <v>0.13798894892706365</v>
      </c>
      <c r="G10" s="1187">
        <f>+SUM(H10:BC10)</f>
        <v>44.778486522747386</v>
      </c>
      <c r="H10" s="1188">
        <f>HLOOKUP(H$9,Crono!$BW$10:$DR$34,19,FALSE)*$E$10/1000</f>
        <v>15.958800365935215</v>
      </c>
      <c r="I10" s="1188">
        <f>HLOOKUP(I$9,Crono!$BW$10:$DR$34,19,FALSE)*$E$10/1000</f>
        <v>28.819686156812168</v>
      </c>
      <c r="J10" s="1188">
        <f>HLOOKUP(J$9,Crono!$BW$10:$DR$34,19,FALSE)*$E$10/1000</f>
        <v>0</v>
      </c>
      <c r="K10" s="1188">
        <f>HLOOKUP(K$9,Crono!$BW$10:$DR$34,19,FALSE)*$E$10/1000</f>
        <v>0</v>
      </c>
      <c r="L10" s="1188">
        <f>HLOOKUP(L$9,Crono!$BW$10:$DR$34,19,FALSE)*$E$10/1000</f>
        <v>0</v>
      </c>
      <c r="M10" s="1188">
        <f>HLOOKUP(M$9,Crono!$BW$10:$DR$34,19,FALSE)*$E$10/1000</f>
        <v>0</v>
      </c>
      <c r="N10" s="1188">
        <f>HLOOKUP(N$9,Crono!$BW$10:$DR$34,19,FALSE)*$E$10/1000</f>
        <v>0</v>
      </c>
      <c r="O10" s="1188">
        <f>HLOOKUP(O$9,Crono!$BW$10:$DR$34,19,FALSE)*$E$10/1000</f>
        <v>0</v>
      </c>
      <c r="P10" s="1188">
        <f>HLOOKUP(P$9,Crono!$BW$10:$DR$34,19,FALSE)*$E$10/1000</f>
        <v>0</v>
      </c>
      <c r="Q10" s="1188">
        <f>HLOOKUP(Q$9,Crono!$BW$10:$DR$34,19,FALSE)*$E$10/1000</f>
        <v>0</v>
      </c>
      <c r="R10" s="1188">
        <f>HLOOKUP(R$9,Crono!$BW$10:$DR$34,19,FALSE)*$E$10/1000</f>
        <v>0</v>
      </c>
      <c r="S10" s="1188">
        <f>HLOOKUP(S$9,Crono!$BW$10:$DR$34,19,FALSE)*$E$10/1000</f>
        <v>0</v>
      </c>
      <c r="T10" s="1188">
        <f>HLOOKUP(T$9,Crono!$BW$10:$DR$34,19,FALSE)*$E$10/1000</f>
        <v>0</v>
      </c>
      <c r="U10" s="1188">
        <f>HLOOKUP(U$9,Crono!$BW$10:$DR$34,19,FALSE)*$E$10/1000</f>
        <v>0</v>
      </c>
      <c r="V10" s="1188">
        <f>HLOOKUP(V$9,Crono!$BW$10:$DR$34,19,FALSE)*$E$10/1000</f>
        <v>0</v>
      </c>
      <c r="W10" s="1188">
        <f>HLOOKUP(W$9,Crono!$BW$10:$DR$34,19,FALSE)*$E$10/1000</f>
        <v>0</v>
      </c>
      <c r="X10" s="1188">
        <f>HLOOKUP(X$9,Crono!$BW$10:$DR$34,19,FALSE)*$E$10/1000</f>
        <v>0</v>
      </c>
      <c r="Y10" s="1188">
        <f>HLOOKUP(Y$9,Crono!$BW$10:$DR$34,19,FALSE)*$E$10/1000</f>
        <v>0</v>
      </c>
      <c r="Z10" s="1188">
        <f>HLOOKUP(Z$9,Crono!$BW$10:$DR$34,19,FALSE)*$E$10/1000</f>
        <v>0</v>
      </c>
      <c r="AA10" s="1188">
        <f>HLOOKUP(AA$9,Crono!$BW$10:$DR$34,19,FALSE)*$E$10/1000</f>
        <v>0</v>
      </c>
      <c r="AB10" s="1188">
        <f>HLOOKUP(AB$9,Crono!$BW$10:$DR$34,19,FALSE)*$E$10/1000</f>
        <v>0</v>
      </c>
      <c r="AC10" s="1188">
        <f>HLOOKUP(AC$9,Crono!$BW$10:$DR$34,19,FALSE)*$E$10/1000</f>
        <v>0</v>
      </c>
      <c r="AD10" s="1188">
        <f>HLOOKUP(AD$9,Crono!$BW$10:$DR$34,19,FALSE)*$E$10/1000</f>
        <v>0</v>
      </c>
      <c r="AE10" s="1188">
        <f>HLOOKUP(AE$9,Crono!$BW$10:$DR$34,19,FALSE)*$E$10/1000</f>
        <v>0</v>
      </c>
      <c r="AF10" s="1188">
        <f>HLOOKUP(AF$9,Crono!$BW$10:$DR$34,19,FALSE)*$E$10/1000</f>
        <v>0</v>
      </c>
      <c r="AG10" s="1188">
        <f>HLOOKUP(AG$9,Crono!$BW$10:$DR$34,19,FALSE)*$E$10/1000</f>
        <v>0</v>
      </c>
      <c r="AH10" s="1188">
        <f>HLOOKUP(AH$9,Crono!$BW$10:$DR$34,19,FALSE)*$E$10/1000</f>
        <v>0</v>
      </c>
      <c r="AI10" s="1188">
        <f>HLOOKUP(AI$9,Crono!$BW$10:$DR$34,19,FALSE)*$E$10/1000</f>
        <v>0</v>
      </c>
      <c r="AJ10" s="1188">
        <f>HLOOKUP(AJ$9,Crono!$BW$10:$DR$34,19,FALSE)*$E$10/1000</f>
        <v>0</v>
      </c>
      <c r="AK10" s="1188">
        <f>HLOOKUP(AK$9,Crono!$BW$10:$DR$34,19,FALSE)*$E$10/1000</f>
        <v>0</v>
      </c>
      <c r="AL10" s="1188">
        <f>HLOOKUP(AL$9,Crono!$BW$10:$DR$34,19,FALSE)*$E$10/1000</f>
        <v>0</v>
      </c>
      <c r="AM10" s="1188">
        <f>HLOOKUP(AM$9,Crono!$BW$10:$DR$34,19,FALSE)*$E$10/1000</f>
        <v>0</v>
      </c>
      <c r="AN10" s="1188">
        <f>HLOOKUP(AN$9,Crono!$BW$10:$DR$34,19,FALSE)*$E$10/1000</f>
        <v>0</v>
      </c>
      <c r="AO10" s="1188">
        <f>HLOOKUP(AO$9,Crono!$BW$10:$DR$34,19,FALSE)*$E$10/1000</f>
        <v>0</v>
      </c>
      <c r="AP10" s="1188">
        <f>HLOOKUP(AP$9,Crono!$BW$10:$DR$34,19,FALSE)*$E$10/1000</f>
        <v>0</v>
      </c>
      <c r="AQ10" s="1188">
        <f>HLOOKUP(AQ$9,Crono!$BW$10:$DR$34,19,FALSE)*$E$10/1000</f>
        <v>0</v>
      </c>
      <c r="AR10" s="1188">
        <f>HLOOKUP(AR$9,Crono!$BW$10:$DR$34,19,FALSE)*$E$10/1000</f>
        <v>0</v>
      </c>
      <c r="AS10" s="1188">
        <f>HLOOKUP(AS$9,Crono!$BW$10:$DR$34,19,FALSE)*$E$10/1000</f>
        <v>0</v>
      </c>
      <c r="AT10" s="1188">
        <f>HLOOKUP(AT$9,Crono!$BW$10:$DR$34,19,FALSE)*$E$10/1000</f>
        <v>0</v>
      </c>
      <c r="AU10" s="1188">
        <f>HLOOKUP(AU$9,Crono!$BW$10:$DR$34,19,FALSE)*$E$10/1000</f>
        <v>0</v>
      </c>
      <c r="AV10" s="1188">
        <f>HLOOKUP(AV$9,Crono!$BW$10:$DR$34,19,FALSE)*$E$10/1000</f>
        <v>0</v>
      </c>
      <c r="AW10" s="1188">
        <f>HLOOKUP(AW$9,Crono!$BW$10:$DR$34,19,FALSE)*$E$10/1000</f>
        <v>0</v>
      </c>
      <c r="AX10" s="1188">
        <f>HLOOKUP(AX$9,Crono!$BW$10:$DR$34,19,FALSE)*$E$10/1000</f>
        <v>0</v>
      </c>
      <c r="AY10" s="1188">
        <f>HLOOKUP(AY$9,Crono!$BW$10:$DR$34,19,FALSE)*$E$10/1000</f>
        <v>0</v>
      </c>
      <c r="AZ10" s="1188">
        <f>HLOOKUP(AZ$9,Crono!$BW$10:$DR$34,19,FALSE)*$E$10/1000</f>
        <v>0</v>
      </c>
      <c r="BA10" s="1188">
        <f>HLOOKUP(BA$9,Crono!$BW$10:$DR$34,19,FALSE)*$E$10/1000</f>
        <v>0</v>
      </c>
      <c r="BB10" s="1188">
        <f>HLOOKUP(BB$9,Crono!$BW$10:$DR$34,19,FALSE)*$E$10/1000</f>
        <v>0</v>
      </c>
      <c r="BC10" s="1188">
        <f>HLOOKUP(BC$9,Crono!$BW$10:$DR$34,19,FALSE)*$E$10/1000</f>
        <v>0</v>
      </c>
    </row>
    <row r="11" spans="1:75" s="1081" customFormat="1">
      <c r="A11" s="1263">
        <f t="shared" ref="A11:A34" si="0">1+A10</f>
        <v>3</v>
      </c>
      <c r="B11" s="1081" t="s">
        <v>3513</v>
      </c>
      <c r="E11" s="1259">
        <f>Crono!BR28</f>
        <v>74992.82786821395</v>
      </c>
      <c r="F11" s="1264">
        <f>+E11/$E$9</f>
        <v>0.23109716960501098</v>
      </c>
      <c r="G11" s="1265">
        <f t="shared" ref="G11:G12" si="1">+SUM(H11:BC11)</f>
        <v>74.992827868213965</v>
      </c>
      <c r="H11" s="1266">
        <f>HLOOKUP(H$9,Crono!$FQ$10:$HL$34,19,FALSE)*$E$11/1000</f>
        <v>2.9083141572318225</v>
      </c>
      <c r="I11" s="1266">
        <f>HLOOKUP(I$9,Crono!$FQ$10:$HL$34,19,FALSE)*$E$11/1000</f>
        <v>72.084513710982137</v>
      </c>
      <c r="J11" s="1266">
        <f>HLOOKUP(J$9,Crono!$FQ$10:$HL$34,19,FALSE)*$E$11/1000</f>
        <v>0</v>
      </c>
      <c r="K11" s="1266">
        <f>HLOOKUP(K$9,Crono!$FQ$10:$HL$34,19,FALSE)*$E$11/1000</f>
        <v>0</v>
      </c>
      <c r="L11" s="1266">
        <f>HLOOKUP(L$9,Crono!$FQ$10:$HL$34,19,FALSE)*$E$11/1000</f>
        <v>0</v>
      </c>
      <c r="M11" s="1266">
        <f>HLOOKUP(M$9,Crono!$FQ$10:$HL$34,19,FALSE)*$E$11/1000</f>
        <v>0</v>
      </c>
      <c r="N11" s="1266">
        <f>HLOOKUP(N$9,Crono!$FQ$10:$HL$34,19,FALSE)*$E$11/1000</f>
        <v>0</v>
      </c>
      <c r="O11" s="1266">
        <f>HLOOKUP(O$9,Crono!$FQ$10:$HL$34,19,FALSE)*$E$11/1000</f>
        <v>0</v>
      </c>
      <c r="P11" s="1266">
        <f>HLOOKUP(P$9,Crono!$FQ$10:$HL$34,19,FALSE)*$E$11/1000</f>
        <v>0</v>
      </c>
      <c r="Q11" s="1266">
        <f>HLOOKUP(Q$9,Crono!$FQ$10:$HL$34,19,FALSE)*$E$11/1000</f>
        <v>0</v>
      </c>
      <c r="R11" s="1266">
        <f>HLOOKUP(R$9,Crono!$FQ$10:$HL$34,19,FALSE)*$E$11/1000</f>
        <v>0</v>
      </c>
      <c r="S11" s="1266">
        <f>HLOOKUP(S$9,Crono!$FQ$10:$HL$34,19,FALSE)*$E$11/1000</f>
        <v>0</v>
      </c>
      <c r="T11" s="1266">
        <f>HLOOKUP(T$9,Crono!$FQ$10:$HL$34,19,FALSE)*$E$11/1000</f>
        <v>0</v>
      </c>
      <c r="U11" s="1266">
        <f>HLOOKUP(U$9,Crono!$FQ$10:$HL$34,19,FALSE)*$E$11/1000</f>
        <v>0</v>
      </c>
      <c r="V11" s="1266">
        <f>HLOOKUP(V$9,Crono!$FQ$10:$HL$34,19,FALSE)*$E$11/1000</f>
        <v>0</v>
      </c>
      <c r="W11" s="1266">
        <f>HLOOKUP(W$9,Crono!$FQ$10:$HL$34,19,FALSE)*$E$11/1000</f>
        <v>0</v>
      </c>
      <c r="X11" s="1266">
        <f>HLOOKUP(X$9,Crono!$FQ$10:$HL$34,19,FALSE)*$E$11/1000</f>
        <v>0</v>
      </c>
      <c r="Y11" s="1266">
        <f>HLOOKUP(Y$9,Crono!$FQ$10:$HL$34,19,FALSE)*$E$11/1000</f>
        <v>0</v>
      </c>
      <c r="Z11" s="1266">
        <f>HLOOKUP(Z$9,Crono!$FQ$10:$HL$34,19,FALSE)*$E$11/1000</f>
        <v>0</v>
      </c>
      <c r="AA11" s="1266">
        <f>HLOOKUP(AA$9,Crono!$FQ$10:$HL$34,19,FALSE)*$E$11/1000</f>
        <v>0</v>
      </c>
      <c r="AB11" s="1266">
        <f>HLOOKUP(AB$9,Crono!$FQ$10:$HL$34,19,FALSE)*$E$11/1000</f>
        <v>0</v>
      </c>
      <c r="AC11" s="1266">
        <f>HLOOKUP(AC$9,Crono!$FQ$10:$HL$34,19,FALSE)*$E$11/1000</f>
        <v>0</v>
      </c>
      <c r="AD11" s="1266">
        <f>HLOOKUP(AD$9,Crono!$FQ$10:$HL$34,19,FALSE)*$E$11/1000</f>
        <v>0</v>
      </c>
      <c r="AE11" s="1266">
        <f>HLOOKUP(AE$9,Crono!$FQ$10:$HL$34,19,FALSE)*$E$11/1000</f>
        <v>0</v>
      </c>
      <c r="AF11" s="1266">
        <f>HLOOKUP(AF$9,Crono!$FQ$10:$HL$34,19,FALSE)*$E$11/1000</f>
        <v>0</v>
      </c>
      <c r="AG11" s="1266">
        <f>HLOOKUP(AG$9,Crono!$FQ$10:$HL$34,19,FALSE)*$E$11/1000</f>
        <v>0</v>
      </c>
      <c r="AH11" s="1266">
        <f>HLOOKUP(AH$9,Crono!$FQ$10:$HL$34,19,FALSE)*$E$11/1000</f>
        <v>0</v>
      </c>
      <c r="AI11" s="1266">
        <f>HLOOKUP(AI$9,Crono!$FQ$10:$HL$34,19,FALSE)*$E$11/1000</f>
        <v>0</v>
      </c>
      <c r="AJ11" s="1266">
        <f>HLOOKUP(AJ$9,Crono!$FQ$10:$HL$34,19,FALSE)*$E$11/1000</f>
        <v>0</v>
      </c>
      <c r="AK11" s="1266">
        <f>HLOOKUP(AK$9,Crono!$FQ$10:$HL$34,19,FALSE)*$E$11/1000</f>
        <v>0</v>
      </c>
      <c r="AL11" s="1266">
        <f>HLOOKUP(AL$9,Crono!$FQ$10:$HL$34,19,FALSE)*$E$11/1000</f>
        <v>0</v>
      </c>
      <c r="AM11" s="1266">
        <f>HLOOKUP(AM$9,Crono!$FQ$10:$HL$34,19,FALSE)*$E$11/1000</f>
        <v>0</v>
      </c>
      <c r="AN11" s="1266">
        <f>HLOOKUP(AN$9,Crono!$FQ$10:$HL$34,19,FALSE)*$E$11/1000</f>
        <v>0</v>
      </c>
      <c r="AO11" s="1266">
        <f>HLOOKUP(AO$9,Crono!$FQ$10:$HL$34,19,FALSE)*$E$11/1000</f>
        <v>0</v>
      </c>
      <c r="AP11" s="1266">
        <f>HLOOKUP(AP$9,Crono!$FQ$10:$HL$34,19,FALSE)*$E$11/1000</f>
        <v>0</v>
      </c>
      <c r="AQ11" s="1266">
        <f>HLOOKUP(AQ$9,Crono!$FQ$10:$HL$34,19,FALSE)*$E$11/1000</f>
        <v>0</v>
      </c>
      <c r="AR11" s="1266">
        <f>HLOOKUP(AR$9,Crono!$FQ$10:$HL$34,19,FALSE)*$E$11/1000</f>
        <v>0</v>
      </c>
      <c r="AS11" s="1266">
        <f>HLOOKUP(AS$9,Crono!$FQ$10:$HL$34,19,FALSE)*$E$11/1000</f>
        <v>0</v>
      </c>
      <c r="AT11" s="1266">
        <f>HLOOKUP(AT$9,Crono!$FQ$10:$HL$34,19,FALSE)*$E$11/1000</f>
        <v>0</v>
      </c>
      <c r="AU11" s="1266">
        <f>HLOOKUP(AU$9,Crono!$FQ$10:$HL$34,19,FALSE)*$E$11/1000</f>
        <v>0</v>
      </c>
      <c r="AV11" s="1266">
        <f>HLOOKUP(AV$9,Crono!$FQ$10:$HL$34,19,FALSE)*$E$11/1000</f>
        <v>0</v>
      </c>
      <c r="AW11" s="1266">
        <f>HLOOKUP(AW$9,Crono!$FQ$10:$HL$34,19,FALSE)*$E$11/1000</f>
        <v>0</v>
      </c>
      <c r="AX11" s="1266">
        <f>HLOOKUP(AX$9,Crono!$FQ$10:$HL$34,19,FALSE)*$E$11/1000</f>
        <v>0</v>
      </c>
      <c r="AY11" s="1266">
        <f>HLOOKUP(AY$9,Crono!$FQ$10:$HL$34,19,FALSE)*$E$11/1000</f>
        <v>0</v>
      </c>
      <c r="AZ11" s="1266">
        <f>HLOOKUP(AZ$9,Crono!$FQ$10:$HL$34,19,FALSE)*$E$11/1000</f>
        <v>0</v>
      </c>
      <c r="BA11" s="1266">
        <f>HLOOKUP(BA$9,Crono!$FQ$10:$HL$34,19,FALSE)*$E$11/1000</f>
        <v>0</v>
      </c>
      <c r="BB11" s="1266">
        <f>HLOOKUP(BB$9,Crono!$FQ$10:$HL$34,19,FALSE)*$E$11/1000</f>
        <v>0</v>
      </c>
      <c r="BC11" s="1266">
        <f>HLOOKUP(BC$9,Crono!$FQ$10:$HL$34,19,FALSE)*$E$11/1000</f>
        <v>0</v>
      </c>
    </row>
    <row r="12" spans="1:75" s="1081" customFormat="1">
      <c r="A12" s="1263">
        <f t="shared" si="0"/>
        <v>4</v>
      </c>
      <c r="B12" s="1081" t="s">
        <v>3514</v>
      </c>
      <c r="E12" s="1259">
        <f>Crono!BT28</f>
        <v>0</v>
      </c>
      <c r="F12" s="1264">
        <f>+E12/$E$9</f>
        <v>0</v>
      </c>
      <c r="G12" s="1265">
        <f t="shared" si="1"/>
        <v>0</v>
      </c>
      <c r="H12" s="1266">
        <f>HLOOKUP(H$9,Crono!$JK$10:$LF$34,19,FALSE)*$E$12/1000</f>
        <v>0</v>
      </c>
      <c r="I12" s="1266">
        <f>HLOOKUP(I$9,Crono!$JK$10:$LF$34,19,FALSE)*$E$12/1000</f>
        <v>0</v>
      </c>
      <c r="J12" s="1266">
        <f>HLOOKUP(J$9,Crono!$JK$10:$LF$34,19,FALSE)*$E$12/1000</f>
        <v>0</v>
      </c>
      <c r="K12" s="1266">
        <f>HLOOKUP(K$9,Crono!$JK$10:$LF$34,19,FALSE)*$E$12/1000</f>
        <v>0</v>
      </c>
      <c r="L12" s="1266">
        <f>HLOOKUP(L$9,Crono!$JK$10:$LF$34,19,FALSE)*$E$12/1000</f>
        <v>0</v>
      </c>
      <c r="M12" s="1266">
        <f>HLOOKUP(M$9,Crono!$JK$10:$LF$34,19,FALSE)*$E$12/1000</f>
        <v>0</v>
      </c>
      <c r="N12" s="1266">
        <f>HLOOKUP(N$9,Crono!$JK$10:$LF$34,19,FALSE)*$E$12/1000</f>
        <v>0</v>
      </c>
      <c r="O12" s="1266">
        <f>HLOOKUP(O$9,Crono!$JK$10:$LF$34,19,FALSE)*$E$12/1000</f>
        <v>0</v>
      </c>
      <c r="P12" s="1266">
        <f>HLOOKUP(P$9,Crono!$JK$10:$LF$34,19,FALSE)*$E$12/1000</f>
        <v>0</v>
      </c>
      <c r="Q12" s="1266">
        <f>HLOOKUP(Q$9,Crono!$JK$10:$LF$34,19,FALSE)*$E$12/1000</f>
        <v>0</v>
      </c>
      <c r="R12" s="1266">
        <f>HLOOKUP(R$9,Crono!$JK$10:$LF$34,19,FALSE)*$E$12/1000</f>
        <v>0</v>
      </c>
      <c r="S12" s="1266">
        <f>HLOOKUP(S$9,Crono!$JK$10:$LF$34,19,FALSE)*$E$12/1000</f>
        <v>0</v>
      </c>
      <c r="T12" s="1266">
        <f>HLOOKUP(T$9,Crono!$JK$10:$LF$34,19,FALSE)*$E$12/1000</f>
        <v>0</v>
      </c>
      <c r="U12" s="1266">
        <f>HLOOKUP(U$9,Crono!$JK$10:$LF$34,19,FALSE)*$E$12/1000</f>
        <v>0</v>
      </c>
      <c r="V12" s="1266">
        <f>HLOOKUP(V$9,Crono!$JK$10:$LF$34,19,FALSE)*$E$12/1000</f>
        <v>0</v>
      </c>
      <c r="W12" s="1266">
        <f>HLOOKUP(W$9,Crono!$JK$10:$LF$34,19,FALSE)*$E$12/1000</f>
        <v>0</v>
      </c>
      <c r="X12" s="1266">
        <f>HLOOKUP(X$9,Crono!$JK$10:$LF$34,19,FALSE)*$E$12/1000</f>
        <v>0</v>
      </c>
      <c r="Y12" s="1266">
        <f>HLOOKUP(Y$9,Crono!$JK$10:$LF$34,19,FALSE)*$E$12/1000</f>
        <v>0</v>
      </c>
      <c r="Z12" s="1266">
        <f>HLOOKUP(Z$9,Crono!$JK$10:$LF$34,19,FALSE)*$E$12/1000</f>
        <v>0</v>
      </c>
      <c r="AA12" s="1266">
        <f>HLOOKUP(AA$9,Crono!$JK$10:$LF$34,19,FALSE)*$E$12/1000</f>
        <v>0</v>
      </c>
      <c r="AB12" s="1266">
        <f>HLOOKUP(AB$9,Crono!$JK$10:$LF$34,19,FALSE)*$E$12/1000</f>
        <v>0</v>
      </c>
      <c r="AC12" s="1266">
        <f>HLOOKUP(AC$9,Crono!$JK$10:$LF$34,19,FALSE)*$E$12/1000</f>
        <v>0</v>
      </c>
      <c r="AD12" s="1266">
        <f>HLOOKUP(AD$9,Crono!$JK$10:$LF$34,19,FALSE)*$E$12/1000</f>
        <v>0</v>
      </c>
      <c r="AE12" s="1266">
        <f>HLOOKUP(AE$9,Crono!$JK$10:$LF$34,19,FALSE)*$E$12/1000</f>
        <v>0</v>
      </c>
      <c r="AF12" s="1266">
        <f>HLOOKUP(AF$9,Crono!$JK$10:$LF$34,19,FALSE)*$E$12/1000</f>
        <v>0</v>
      </c>
      <c r="AG12" s="1266">
        <f>HLOOKUP(AG$9,Crono!$JK$10:$LF$34,19,FALSE)*$E$12/1000</f>
        <v>0</v>
      </c>
      <c r="AH12" s="1266">
        <f>HLOOKUP(AH$9,Crono!$JK$10:$LF$34,19,FALSE)*$E$12/1000</f>
        <v>0</v>
      </c>
      <c r="AI12" s="1266">
        <f>HLOOKUP(AI$9,Crono!$JK$10:$LF$34,19,FALSE)*$E$12/1000</f>
        <v>0</v>
      </c>
      <c r="AJ12" s="1266">
        <f>HLOOKUP(AJ$9,Crono!$JK$10:$LF$34,19,FALSE)*$E$12/1000</f>
        <v>0</v>
      </c>
      <c r="AK12" s="1266">
        <f>HLOOKUP(AK$9,Crono!$JK$10:$LF$34,19,FALSE)*$E$12/1000</f>
        <v>0</v>
      </c>
      <c r="AL12" s="1266">
        <f>HLOOKUP(AL$9,Crono!$JK$10:$LF$34,19,FALSE)*$E$12/1000</f>
        <v>0</v>
      </c>
      <c r="AM12" s="1266">
        <f>HLOOKUP(AM$9,Crono!$JK$10:$LF$34,19,FALSE)*$E$12/1000</f>
        <v>0</v>
      </c>
      <c r="AN12" s="1266">
        <f>HLOOKUP(AN$9,Crono!$JK$10:$LF$34,19,FALSE)*$E$12/1000</f>
        <v>0</v>
      </c>
      <c r="AO12" s="1266">
        <f>HLOOKUP(AO$9,Crono!$JK$10:$LF$34,19,FALSE)*$E$12/1000</f>
        <v>0</v>
      </c>
      <c r="AP12" s="1266">
        <f>HLOOKUP(AP$9,Crono!$JK$10:$LF$34,19,FALSE)*$E$12/1000</f>
        <v>0</v>
      </c>
      <c r="AQ12" s="1266">
        <f>HLOOKUP(AQ$9,Crono!$JK$10:$LF$34,19,FALSE)*$E$12/1000</f>
        <v>0</v>
      </c>
      <c r="AR12" s="1266">
        <f>HLOOKUP(AR$9,Crono!$JK$10:$LF$34,19,FALSE)*$E$12/1000</f>
        <v>0</v>
      </c>
      <c r="AS12" s="1266">
        <f>HLOOKUP(AS$9,Crono!$JK$10:$LF$34,19,FALSE)*$E$12/1000</f>
        <v>0</v>
      </c>
      <c r="AT12" s="1266">
        <f>HLOOKUP(AT$9,Crono!$JK$10:$LF$34,19,FALSE)*$E$12/1000</f>
        <v>0</v>
      </c>
      <c r="AU12" s="1266">
        <f>HLOOKUP(AU$9,Crono!$JK$10:$LF$34,19,FALSE)*$E$12/1000</f>
        <v>0</v>
      </c>
      <c r="AV12" s="1266">
        <f>HLOOKUP(AV$9,Crono!$JK$10:$LF$34,19,FALSE)*$E$12/1000</f>
        <v>0</v>
      </c>
      <c r="AW12" s="1266">
        <f>HLOOKUP(AW$9,Crono!$JK$10:$LF$34,19,FALSE)*$E$12/1000</f>
        <v>0</v>
      </c>
      <c r="AX12" s="1266">
        <f>HLOOKUP(AX$9,Crono!$JK$10:$LF$34,19,FALSE)*$E$12/1000</f>
        <v>0</v>
      </c>
      <c r="AY12" s="1266">
        <f>HLOOKUP(AY$9,Crono!$JK$10:$LF$34,19,FALSE)*$E$12/1000</f>
        <v>0</v>
      </c>
      <c r="AZ12" s="1266">
        <f>HLOOKUP(AZ$9,Crono!$JK$10:$LF$34,19,FALSE)*$E$12/1000</f>
        <v>0</v>
      </c>
      <c r="BA12" s="1266">
        <f>HLOOKUP(BA$9,Crono!$JK$10:$LF$34,19,FALSE)*$E$12/1000</f>
        <v>0</v>
      </c>
      <c r="BB12" s="1266">
        <f>HLOOKUP(BB$9,Crono!$JK$10:$LF$34,19,FALSE)*$E$12/1000</f>
        <v>0</v>
      </c>
      <c r="BC12" s="1266">
        <f>HLOOKUP(BC$9,Crono!$JK$10:$LF$34,19,FALSE)*$E$12/1000</f>
        <v>0</v>
      </c>
    </row>
    <row r="13" spans="1:75">
      <c r="A13" s="1262">
        <f t="shared" si="0"/>
        <v>5</v>
      </c>
      <c r="B13" s="560" t="s">
        <v>755</v>
      </c>
      <c r="F13" s="1167">
        <f>+SUM(F14:F15)</f>
        <v>2.752631131802058E-2</v>
      </c>
      <c r="G13" s="1187">
        <f t="shared" ref="G13:G34" si="2">+SUM(H13:AE13)</f>
        <v>0</v>
      </c>
      <c r="H13" s="1188"/>
      <c r="I13" s="1188"/>
      <c r="J13" s="1188"/>
      <c r="K13" s="1188"/>
      <c r="L13" s="1188"/>
      <c r="M13" s="1188"/>
      <c r="N13" s="1188"/>
      <c r="O13" s="1188"/>
      <c r="P13" s="1188"/>
      <c r="Q13" s="1188"/>
      <c r="R13" s="1188"/>
      <c r="S13" s="1188"/>
      <c r="T13" s="1188"/>
      <c r="U13" s="1188"/>
      <c r="V13" s="1188"/>
      <c r="W13" s="1188"/>
      <c r="X13" s="1188"/>
      <c r="Y13" s="1188"/>
      <c r="Z13" s="1188"/>
      <c r="AA13" s="1188"/>
      <c r="AB13" s="1188"/>
      <c r="AC13" s="1188"/>
      <c r="AD13" s="1188"/>
      <c r="AE13" s="1188"/>
      <c r="AF13" s="1188"/>
      <c r="AG13" s="1188"/>
      <c r="AH13" s="1188"/>
      <c r="AI13" s="1188"/>
      <c r="AJ13" s="1188"/>
      <c r="AK13" s="1188"/>
      <c r="AL13" s="1188"/>
      <c r="AM13" s="1188"/>
      <c r="AN13" s="1188"/>
      <c r="AO13" s="1188"/>
      <c r="AP13" s="1188"/>
      <c r="AQ13" s="1188"/>
      <c r="AR13" s="1188"/>
      <c r="AS13" s="1188"/>
      <c r="AT13" s="1188"/>
      <c r="AU13" s="1188"/>
      <c r="AV13" s="1188"/>
      <c r="AW13" s="1188"/>
      <c r="AX13" s="1188"/>
      <c r="AY13" s="1188"/>
      <c r="AZ13" s="1188"/>
      <c r="BA13" s="1188"/>
      <c r="BB13" s="1188"/>
      <c r="BC13" s="1188"/>
    </row>
    <row r="14" spans="1:75">
      <c r="A14" s="1262">
        <f t="shared" si="0"/>
        <v>6</v>
      </c>
      <c r="B14" s="1169" t="s">
        <v>1131</v>
      </c>
      <c r="E14" s="1258">
        <f>Crono!BQ28*EQ_CE!$F$187/SUM(EQ_CE!$F$187:$I$187)</f>
        <v>3284.186680254722</v>
      </c>
      <c r="F14" s="1167">
        <f>+E14/$E$9</f>
        <v>1.0120517759312751E-2</v>
      </c>
      <c r="G14" s="1187">
        <f t="shared" ref="G14:G16" si="3">+SUM(H14:BC14)</f>
        <v>3.2841866802547228</v>
      </c>
      <c r="H14" s="1209">
        <f>HLOOKUP(H$9,Crono!$DT$10:$FO$34,19,FALSE)*$E$14/1000</f>
        <v>0.54007639267033036</v>
      </c>
      <c r="I14" s="1209">
        <f>HLOOKUP(I$9,Crono!$DT$10:$FO$34,19,FALSE)*$E$14/1000</f>
        <v>2.7441102875843923</v>
      </c>
      <c r="J14" s="1209">
        <f>HLOOKUP(J$9,Crono!$DT$10:$FO$34,19,FALSE)*$E$14/1000</f>
        <v>0</v>
      </c>
      <c r="K14" s="1209">
        <f>HLOOKUP(K$9,Crono!$DT$10:$FO$34,19,FALSE)*$E$14/1000</f>
        <v>0</v>
      </c>
      <c r="L14" s="1209">
        <f>HLOOKUP(L$9,Crono!$DT$10:$FO$34,19,FALSE)*$E$14/1000</f>
        <v>0</v>
      </c>
      <c r="M14" s="1209">
        <f>HLOOKUP(M$9,Crono!$DT$10:$FO$34,19,FALSE)*$E$14/1000</f>
        <v>0</v>
      </c>
      <c r="N14" s="1209">
        <f>HLOOKUP(N$9,Crono!$DT$10:$FO$34,19,FALSE)*$E$14/1000</f>
        <v>0</v>
      </c>
      <c r="O14" s="1209">
        <f>HLOOKUP(O$9,Crono!$DT$10:$FO$34,19,FALSE)*$E$14/1000</f>
        <v>0</v>
      </c>
      <c r="P14" s="1209">
        <f>HLOOKUP(P$9,Crono!$DT$10:$FO$34,19,FALSE)*$E$14/1000</f>
        <v>0</v>
      </c>
      <c r="Q14" s="1209">
        <f>HLOOKUP(Q$9,Crono!$DT$10:$FO$34,19,FALSE)*$E$14/1000</f>
        <v>0</v>
      </c>
      <c r="R14" s="1209">
        <f>HLOOKUP(R$9,Crono!$DT$10:$FO$34,19,FALSE)*$E$14/1000</f>
        <v>0</v>
      </c>
      <c r="S14" s="1209">
        <f>HLOOKUP(S$9,Crono!$DT$10:$FO$34,19,FALSE)*$E$14/1000</f>
        <v>0</v>
      </c>
      <c r="T14" s="1209">
        <f>HLOOKUP(T$9,Crono!$DT$10:$FO$34,19,FALSE)*$E$14/1000</f>
        <v>0</v>
      </c>
      <c r="U14" s="1209">
        <f>HLOOKUP(U$9,Crono!$DT$10:$FO$34,19,FALSE)*$E$14/1000</f>
        <v>0</v>
      </c>
      <c r="V14" s="1209">
        <f>HLOOKUP(V$9,Crono!$DT$10:$FO$34,19,FALSE)*$E$14/1000</f>
        <v>0</v>
      </c>
      <c r="W14" s="1209">
        <f>HLOOKUP(W$9,Crono!$DT$10:$FO$34,19,FALSE)*$E$14/1000</f>
        <v>0</v>
      </c>
      <c r="X14" s="1209">
        <f>HLOOKUP(X$9,Crono!$DT$10:$FO$34,19,FALSE)*$E$14/1000</f>
        <v>0</v>
      </c>
      <c r="Y14" s="1209">
        <f>HLOOKUP(Y$9,Crono!$DT$10:$FO$34,19,FALSE)*$E$14/1000</f>
        <v>0</v>
      </c>
      <c r="Z14" s="1209">
        <f>HLOOKUP(Z$9,Crono!$DT$10:$FO$34,19,FALSE)*$E$14/1000</f>
        <v>0</v>
      </c>
      <c r="AA14" s="1209">
        <f>HLOOKUP(AA$9,Crono!$DT$10:$FO$34,19,FALSE)*$E$14/1000</f>
        <v>0</v>
      </c>
      <c r="AB14" s="1209">
        <f>HLOOKUP(AB$9,Crono!$DT$10:$FO$34,19,FALSE)*$E$14/1000</f>
        <v>0</v>
      </c>
      <c r="AC14" s="1209">
        <f>HLOOKUP(AC$9,Crono!$DT$10:$FO$34,19,FALSE)*$E$14/1000</f>
        <v>0</v>
      </c>
      <c r="AD14" s="1209">
        <f>HLOOKUP(AD$9,Crono!$DT$10:$FO$34,19,FALSE)*$E$14/1000</f>
        <v>0</v>
      </c>
      <c r="AE14" s="1209">
        <f>HLOOKUP(AE$9,Crono!$DT$10:$FO$34,19,FALSE)*$E$14/1000</f>
        <v>0</v>
      </c>
      <c r="AF14" s="1209">
        <f>HLOOKUP(AF$9,Crono!$DT$10:$FO$34,19,FALSE)*$E$14/1000</f>
        <v>0</v>
      </c>
      <c r="AG14" s="1209">
        <f>HLOOKUP(AG$9,Crono!$DT$10:$FO$34,19,FALSE)*$E$14/1000</f>
        <v>0</v>
      </c>
      <c r="AH14" s="1209">
        <f>HLOOKUP(AH$9,Crono!$DT$10:$FO$34,19,FALSE)*$E$14/1000</f>
        <v>0</v>
      </c>
      <c r="AI14" s="1209">
        <f>HLOOKUP(AI$9,Crono!$DT$10:$FO$34,19,FALSE)*$E$14/1000</f>
        <v>0</v>
      </c>
      <c r="AJ14" s="1209">
        <f>HLOOKUP(AJ$9,Crono!$DT$10:$FO$34,19,FALSE)*$E$14/1000</f>
        <v>0</v>
      </c>
      <c r="AK14" s="1209">
        <f>HLOOKUP(AK$9,Crono!$DT$10:$FO$34,19,FALSE)*$E$14/1000</f>
        <v>0</v>
      </c>
      <c r="AL14" s="1209">
        <f>HLOOKUP(AL$9,Crono!$DT$10:$FO$34,19,FALSE)*$E$14/1000</f>
        <v>0</v>
      </c>
      <c r="AM14" s="1209">
        <f>HLOOKUP(AM$9,Crono!$DT$10:$FO$34,19,FALSE)*$E$14/1000</f>
        <v>0</v>
      </c>
      <c r="AN14" s="1209">
        <f>HLOOKUP(AN$9,Crono!$DT$10:$FO$34,19,FALSE)*$E$14/1000</f>
        <v>0</v>
      </c>
      <c r="AO14" s="1209">
        <f>HLOOKUP(AO$9,Crono!$DT$10:$FO$34,19,FALSE)*$E$14/1000</f>
        <v>0</v>
      </c>
      <c r="AP14" s="1209">
        <f>HLOOKUP(AP$9,Crono!$DT$10:$FO$34,19,FALSE)*$E$14/1000</f>
        <v>0</v>
      </c>
      <c r="AQ14" s="1209">
        <f>HLOOKUP(AQ$9,Crono!$DT$10:$FO$34,19,FALSE)*$E$14/1000</f>
        <v>0</v>
      </c>
      <c r="AR14" s="1209">
        <f>HLOOKUP(AR$9,Crono!$DT$10:$FO$34,19,FALSE)*$E$14/1000</f>
        <v>0</v>
      </c>
      <c r="AS14" s="1209">
        <f>HLOOKUP(AS$9,Crono!$DT$10:$FO$34,19,FALSE)*$E$14/1000</f>
        <v>0</v>
      </c>
      <c r="AT14" s="1209">
        <f>HLOOKUP(AT$9,Crono!$DT$10:$FO$34,19,FALSE)*$E$14/1000</f>
        <v>0</v>
      </c>
      <c r="AU14" s="1209">
        <f>HLOOKUP(AU$9,Crono!$DT$10:$FO$34,19,FALSE)*$E$14/1000</f>
        <v>0</v>
      </c>
      <c r="AV14" s="1209">
        <f>HLOOKUP(AV$9,Crono!$DT$10:$FO$34,19,FALSE)*$E$14/1000</f>
        <v>0</v>
      </c>
      <c r="AW14" s="1209">
        <f>HLOOKUP(AW$9,Crono!$DT$10:$FO$34,19,FALSE)*$E$14/1000</f>
        <v>0</v>
      </c>
      <c r="AX14" s="1209">
        <f>HLOOKUP(AX$9,Crono!$DT$10:$FO$34,19,FALSE)*$E$14/1000</f>
        <v>0</v>
      </c>
      <c r="AY14" s="1209">
        <f>HLOOKUP(AY$9,Crono!$DT$10:$FO$34,19,FALSE)*$E$14/1000</f>
        <v>0</v>
      </c>
      <c r="AZ14" s="1209">
        <f>HLOOKUP(AZ$9,Crono!$DT$10:$FO$34,19,FALSE)*$E$14/1000</f>
        <v>0</v>
      </c>
      <c r="BA14" s="1209">
        <f>HLOOKUP(BA$9,Crono!$DT$10:$FO$34,19,FALSE)*$E$14/1000</f>
        <v>0</v>
      </c>
      <c r="BB14" s="1209">
        <f>HLOOKUP(BB$9,Crono!$DT$10:$FO$34,19,FALSE)*$E$14/1000</f>
        <v>0</v>
      </c>
      <c r="BC14" s="1209">
        <f>HLOOKUP(BC$9,Crono!$DT$10:$FO$34,19,FALSE)*$E$14/1000</f>
        <v>0</v>
      </c>
    </row>
    <row r="15" spans="1:75">
      <c r="A15" s="1262">
        <f t="shared" si="0"/>
        <v>7</v>
      </c>
      <c r="B15" s="1169" t="s">
        <v>1132</v>
      </c>
      <c r="E15" s="1258">
        <f>Crono!BQ28*(EQ_CE!$G$187+EQ_CE!$H$187+EQ_CE!$I$187)/SUM(EQ_CE!$F$187:$I$187)</f>
        <v>5648.3153060198265</v>
      </c>
      <c r="F15" s="1167">
        <f>+E15/$E$9</f>
        <v>1.7405793558707829E-2</v>
      </c>
      <c r="G15" s="1187">
        <f t="shared" si="3"/>
        <v>5.6483153060198283</v>
      </c>
      <c r="H15" s="1188">
        <f>HLOOKUP(H$9,Crono!$DT$10:$FO$34,19,FALSE)*$E$15/1000</f>
        <v>0.92885150941030004</v>
      </c>
      <c r="I15" s="1188">
        <f>HLOOKUP(I$9,Crono!$DT$10:$FO$34,19,FALSE)*$E$15/1000</f>
        <v>4.7194637966095279</v>
      </c>
      <c r="J15" s="1188">
        <f>HLOOKUP(J$9,Crono!$DT$10:$FO$34,19,FALSE)*$E$15/1000</f>
        <v>0</v>
      </c>
      <c r="K15" s="1188">
        <f>HLOOKUP(K$9,Crono!$DT$10:$FO$34,19,FALSE)*$E$15/1000</f>
        <v>0</v>
      </c>
      <c r="L15" s="1188">
        <f>HLOOKUP(L$9,Crono!$DT$10:$FO$34,19,FALSE)*$E$15/1000</f>
        <v>0</v>
      </c>
      <c r="M15" s="1188">
        <f>HLOOKUP(M$9,Crono!$DT$10:$FO$34,19,FALSE)*$E$15/1000</f>
        <v>0</v>
      </c>
      <c r="N15" s="1188">
        <f>HLOOKUP(N$9,Crono!$DT$10:$FO$34,19,FALSE)*$E$15/1000</f>
        <v>0</v>
      </c>
      <c r="O15" s="1188">
        <f>HLOOKUP(O$9,Crono!$DT$10:$FO$34,19,FALSE)*$E$15/1000</f>
        <v>0</v>
      </c>
      <c r="P15" s="1188">
        <f>HLOOKUP(P$9,Crono!$DT$10:$FO$34,19,FALSE)*$E$15/1000</f>
        <v>0</v>
      </c>
      <c r="Q15" s="1188">
        <f>HLOOKUP(Q$9,Crono!$DT$10:$FO$34,19,FALSE)*$E$15/1000</f>
        <v>0</v>
      </c>
      <c r="R15" s="1188">
        <f>HLOOKUP(R$9,Crono!$DT$10:$FO$34,19,FALSE)*$E$15/1000</f>
        <v>0</v>
      </c>
      <c r="S15" s="1188">
        <f>HLOOKUP(S$9,Crono!$DT$10:$FO$34,19,FALSE)*$E$15/1000</f>
        <v>0</v>
      </c>
      <c r="T15" s="1188">
        <f>HLOOKUP(T$9,Crono!$DT$10:$FO$34,19,FALSE)*$E$15/1000</f>
        <v>0</v>
      </c>
      <c r="U15" s="1188">
        <f>HLOOKUP(U$9,Crono!$DT$10:$FO$34,19,FALSE)*$E$15/1000</f>
        <v>0</v>
      </c>
      <c r="V15" s="1188">
        <f>HLOOKUP(V$9,Crono!$DT$10:$FO$34,19,FALSE)*$E$15/1000</f>
        <v>0</v>
      </c>
      <c r="W15" s="1188">
        <f>HLOOKUP(W$9,Crono!$DT$10:$FO$34,19,FALSE)*$E$15/1000</f>
        <v>0</v>
      </c>
      <c r="X15" s="1188">
        <f>HLOOKUP(X$9,Crono!$DT$10:$FO$34,19,FALSE)*$E$15/1000</f>
        <v>0</v>
      </c>
      <c r="Y15" s="1188">
        <f>HLOOKUP(Y$9,Crono!$DT$10:$FO$34,19,FALSE)*$E$15/1000</f>
        <v>0</v>
      </c>
      <c r="Z15" s="1188">
        <f>HLOOKUP(Z$9,Crono!$DT$10:$FO$34,19,FALSE)*$E$15/1000</f>
        <v>0</v>
      </c>
      <c r="AA15" s="1188">
        <f>HLOOKUP(AA$9,Crono!$DT$10:$FO$34,19,FALSE)*$E$15/1000</f>
        <v>0</v>
      </c>
      <c r="AB15" s="1188">
        <f>HLOOKUP(AB$9,Crono!$DT$10:$FO$34,19,FALSE)*$E$15/1000</f>
        <v>0</v>
      </c>
      <c r="AC15" s="1188">
        <f>HLOOKUP(AC$9,Crono!$DT$10:$FO$34,19,FALSE)*$E$15/1000</f>
        <v>0</v>
      </c>
      <c r="AD15" s="1188">
        <f>HLOOKUP(AD$9,Crono!$DT$10:$FO$34,19,FALSE)*$E$15/1000</f>
        <v>0</v>
      </c>
      <c r="AE15" s="1188">
        <f>HLOOKUP(AE$9,Crono!$DT$10:$FO$34,19,FALSE)*$E$15/1000</f>
        <v>0</v>
      </c>
      <c r="AF15" s="1188">
        <f>HLOOKUP(AF$9,Crono!$DT$10:$FO$34,19,FALSE)*$E$15/1000</f>
        <v>0</v>
      </c>
      <c r="AG15" s="1188">
        <f>HLOOKUP(AG$9,Crono!$DT$10:$FO$34,19,FALSE)*$E$15/1000</f>
        <v>0</v>
      </c>
      <c r="AH15" s="1188">
        <f>HLOOKUP(AH$9,Crono!$DT$10:$FO$34,19,FALSE)*$E$15/1000</f>
        <v>0</v>
      </c>
      <c r="AI15" s="1188">
        <f>HLOOKUP(AI$9,Crono!$DT$10:$FO$34,19,FALSE)*$E$15/1000</f>
        <v>0</v>
      </c>
      <c r="AJ15" s="1188">
        <f>HLOOKUP(AJ$9,Crono!$DT$10:$FO$34,19,FALSE)*$E$15/1000</f>
        <v>0</v>
      </c>
      <c r="AK15" s="1188">
        <f>HLOOKUP(AK$9,Crono!$DT$10:$FO$34,19,FALSE)*$E$15/1000</f>
        <v>0</v>
      </c>
      <c r="AL15" s="1188">
        <f>HLOOKUP(AL$9,Crono!$DT$10:$FO$34,19,FALSE)*$E$15/1000</f>
        <v>0</v>
      </c>
      <c r="AM15" s="1188">
        <f>HLOOKUP(AM$9,Crono!$DT$10:$FO$34,19,FALSE)*$E$15/1000</f>
        <v>0</v>
      </c>
      <c r="AN15" s="1188">
        <f>HLOOKUP(AN$9,Crono!$DT$10:$FO$34,19,FALSE)*$E$15/1000</f>
        <v>0</v>
      </c>
      <c r="AO15" s="1188">
        <f>HLOOKUP(AO$9,Crono!$DT$10:$FO$34,19,FALSE)*$E$15/1000</f>
        <v>0</v>
      </c>
      <c r="AP15" s="1188">
        <f>HLOOKUP(AP$9,Crono!$DT$10:$FO$34,19,FALSE)*$E$15/1000</f>
        <v>0</v>
      </c>
      <c r="AQ15" s="1188">
        <f>HLOOKUP(AQ$9,Crono!$DT$10:$FO$34,19,FALSE)*$E$15/1000</f>
        <v>0</v>
      </c>
      <c r="AR15" s="1188">
        <f>HLOOKUP(AR$9,Crono!$DT$10:$FO$34,19,FALSE)*$E$15/1000</f>
        <v>0</v>
      </c>
      <c r="AS15" s="1188">
        <f>HLOOKUP(AS$9,Crono!$DT$10:$FO$34,19,FALSE)*$E$15/1000</f>
        <v>0</v>
      </c>
      <c r="AT15" s="1188">
        <f>HLOOKUP(AT$9,Crono!$DT$10:$FO$34,19,FALSE)*$E$15/1000</f>
        <v>0</v>
      </c>
      <c r="AU15" s="1188">
        <f>HLOOKUP(AU$9,Crono!$DT$10:$FO$34,19,FALSE)*$E$15/1000</f>
        <v>0</v>
      </c>
      <c r="AV15" s="1188">
        <f>HLOOKUP(AV$9,Crono!$DT$10:$FO$34,19,FALSE)*$E$15/1000</f>
        <v>0</v>
      </c>
      <c r="AW15" s="1188">
        <f>HLOOKUP(AW$9,Crono!$DT$10:$FO$34,19,FALSE)*$E$15/1000</f>
        <v>0</v>
      </c>
      <c r="AX15" s="1188">
        <f>HLOOKUP(AX$9,Crono!$DT$10:$FO$34,19,FALSE)*$E$15/1000</f>
        <v>0</v>
      </c>
      <c r="AY15" s="1188">
        <f>HLOOKUP(AY$9,Crono!$DT$10:$FO$34,19,FALSE)*$E$15/1000</f>
        <v>0</v>
      </c>
      <c r="AZ15" s="1188">
        <f>HLOOKUP(AZ$9,Crono!$DT$10:$FO$34,19,FALSE)*$E$15/1000</f>
        <v>0</v>
      </c>
      <c r="BA15" s="1188">
        <f>HLOOKUP(BA$9,Crono!$DT$10:$FO$34,19,FALSE)*$E$15/1000</f>
        <v>0</v>
      </c>
      <c r="BB15" s="1188">
        <f>HLOOKUP(BB$9,Crono!$DT$10:$FO$34,19,FALSE)*$E$15/1000</f>
        <v>0</v>
      </c>
      <c r="BC15" s="1188">
        <f>HLOOKUP(BC$9,Crono!$DT$10:$FO$34,19,FALSE)*$E$15/1000</f>
        <v>0</v>
      </c>
    </row>
    <row r="16" spans="1:75">
      <c r="A16" s="1262">
        <f t="shared" si="0"/>
        <v>8</v>
      </c>
      <c r="B16" s="1169" t="s">
        <v>3517</v>
      </c>
      <c r="E16" s="1166">
        <f>Crono!BS28</f>
        <v>0</v>
      </c>
      <c r="F16" s="1167">
        <f>+E16/$E$9</f>
        <v>0</v>
      </c>
      <c r="G16" s="1187">
        <f t="shared" si="3"/>
        <v>0</v>
      </c>
      <c r="H16" s="1188"/>
      <c r="I16" s="1188"/>
      <c r="J16" s="1188"/>
      <c r="K16" s="1188"/>
      <c r="L16" s="1188"/>
      <c r="M16" s="1188"/>
      <c r="N16" s="1188"/>
      <c r="O16" s="1188"/>
      <c r="P16" s="1188"/>
      <c r="Q16" s="1188"/>
      <c r="R16" s="1188"/>
      <c r="S16" s="1188"/>
      <c r="T16" s="1188"/>
      <c r="U16" s="1188"/>
      <c r="V16" s="1188"/>
      <c r="W16" s="1188"/>
      <c r="X16" s="1188"/>
      <c r="Y16" s="1188"/>
      <c r="Z16" s="1188"/>
      <c r="AA16" s="1188"/>
      <c r="AB16" s="1188"/>
      <c r="AC16" s="1188"/>
      <c r="AD16" s="1188"/>
      <c r="AE16" s="1188"/>
      <c r="AF16" s="1188"/>
      <c r="AG16" s="1188"/>
      <c r="AH16" s="1188"/>
      <c r="AI16" s="1188"/>
      <c r="AJ16" s="1188"/>
      <c r="AK16" s="1188"/>
      <c r="AL16" s="1188"/>
      <c r="AM16" s="1188"/>
      <c r="AN16" s="1188"/>
      <c r="AO16" s="1188"/>
      <c r="AP16" s="1188"/>
      <c r="AQ16" s="1188"/>
      <c r="AR16" s="1188"/>
      <c r="AS16" s="1188"/>
      <c r="AT16" s="1188"/>
      <c r="AU16" s="1188"/>
      <c r="AV16" s="1188"/>
      <c r="AW16" s="1188"/>
      <c r="AX16" s="1188"/>
      <c r="AY16" s="1188"/>
      <c r="AZ16" s="1188"/>
      <c r="BA16" s="1188"/>
      <c r="BB16" s="1188"/>
      <c r="BC16" s="1188"/>
    </row>
    <row r="17" spans="1:55">
      <c r="A17" s="1262">
        <f t="shared" si="0"/>
        <v>9</v>
      </c>
      <c r="B17" s="1169"/>
      <c r="E17" s="1166"/>
      <c r="F17" s="1167"/>
      <c r="G17" s="1187">
        <f>+SUM(H17:BC17)</f>
        <v>128.70381637723588</v>
      </c>
      <c r="H17" s="1260">
        <f>SUM(H10:H16)</f>
        <v>20.336042425247665</v>
      </c>
      <c r="I17" s="1260">
        <f t="shared" ref="I17:BC17" si="4">SUM(I10:I16)</f>
        <v>108.36777395198823</v>
      </c>
      <c r="J17" s="1260">
        <f t="shared" si="4"/>
        <v>0</v>
      </c>
      <c r="K17" s="1260">
        <f t="shared" si="4"/>
        <v>0</v>
      </c>
      <c r="L17" s="1260">
        <f t="shared" si="4"/>
        <v>0</v>
      </c>
      <c r="M17" s="1260">
        <f t="shared" si="4"/>
        <v>0</v>
      </c>
      <c r="N17" s="1260">
        <f t="shared" si="4"/>
        <v>0</v>
      </c>
      <c r="O17" s="1260">
        <f t="shared" si="4"/>
        <v>0</v>
      </c>
      <c r="P17" s="1260">
        <f t="shared" si="4"/>
        <v>0</v>
      </c>
      <c r="Q17" s="1260">
        <f t="shared" si="4"/>
        <v>0</v>
      </c>
      <c r="R17" s="1260">
        <f t="shared" si="4"/>
        <v>0</v>
      </c>
      <c r="S17" s="1260">
        <f t="shared" si="4"/>
        <v>0</v>
      </c>
      <c r="T17" s="1260">
        <f t="shared" si="4"/>
        <v>0</v>
      </c>
      <c r="U17" s="1260">
        <f t="shared" si="4"/>
        <v>0</v>
      </c>
      <c r="V17" s="1260">
        <f t="shared" si="4"/>
        <v>0</v>
      </c>
      <c r="W17" s="1260">
        <f t="shared" si="4"/>
        <v>0</v>
      </c>
      <c r="X17" s="1260">
        <f t="shared" si="4"/>
        <v>0</v>
      </c>
      <c r="Y17" s="1260">
        <f t="shared" si="4"/>
        <v>0</v>
      </c>
      <c r="Z17" s="1260">
        <f t="shared" si="4"/>
        <v>0</v>
      </c>
      <c r="AA17" s="1260">
        <f t="shared" si="4"/>
        <v>0</v>
      </c>
      <c r="AB17" s="1260">
        <f t="shared" si="4"/>
        <v>0</v>
      </c>
      <c r="AC17" s="1260">
        <f t="shared" si="4"/>
        <v>0</v>
      </c>
      <c r="AD17" s="1260">
        <f t="shared" si="4"/>
        <v>0</v>
      </c>
      <c r="AE17" s="1260">
        <f t="shared" si="4"/>
        <v>0</v>
      </c>
      <c r="AF17" s="1260">
        <f t="shared" si="4"/>
        <v>0</v>
      </c>
      <c r="AG17" s="1260">
        <f t="shared" si="4"/>
        <v>0</v>
      </c>
      <c r="AH17" s="1260">
        <f t="shared" si="4"/>
        <v>0</v>
      </c>
      <c r="AI17" s="1260">
        <f t="shared" si="4"/>
        <v>0</v>
      </c>
      <c r="AJ17" s="1260">
        <f t="shared" si="4"/>
        <v>0</v>
      </c>
      <c r="AK17" s="1260">
        <f t="shared" si="4"/>
        <v>0</v>
      </c>
      <c r="AL17" s="1260">
        <f t="shared" si="4"/>
        <v>0</v>
      </c>
      <c r="AM17" s="1260">
        <f t="shared" si="4"/>
        <v>0</v>
      </c>
      <c r="AN17" s="1260">
        <f t="shared" si="4"/>
        <v>0</v>
      </c>
      <c r="AO17" s="1260">
        <f t="shared" si="4"/>
        <v>0</v>
      </c>
      <c r="AP17" s="1260">
        <f t="shared" si="4"/>
        <v>0</v>
      </c>
      <c r="AQ17" s="1260">
        <f t="shared" si="4"/>
        <v>0</v>
      </c>
      <c r="AR17" s="1260">
        <f t="shared" si="4"/>
        <v>0</v>
      </c>
      <c r="AS17" s="1260">
        <f t="shared" si="4"/>
        <v>0</v>
      </c>
      <c r="AT17" s="1260">
        <f t="shared" si="4"/>
        <v>0</v>
      </c>
      <c r="AU17" s="1260">
        <f t="shared" si="4"/>
        <v>0</v>
      </c>
      <c r="AV17" s="1260">
        <f t="shared" si="4"/>
        <v>0</v>
      </c>
      <c r="AW17" s="1260">
        <f t="shared" si="4"/>
        <v>0</v>
      </c>
      <c r="AX17" s="1260">
        <f t="shared" si="4"/>
        <v>0</v>
      </c>
      <c r="AY17" s="1260">
        <f t="shared" si="4"/>
        <v>0</v>
      </c>
      <c r="AZ17" s="1260">
        <f t="shared" si="4"/>
        <v>0</v>
      </c>
      <c r="BA17" s="1260">
        <f t="shared" si="4"/>
        <v>0</v>
      </c>
      <c r="BB17" s="1260">
        <f t="shared" si="4"/>
        <v>0</v>
      </c>
      <c r="BC17" s="1260">
        <f t="shared" si="4"/>
        <v>0</v>
      </c>
    </row>
    <row r="18" spans="1:55">
      <c r="A18" s="1262">
        <f t="shared" si="0"/>
        <v>10</v>
      </c>
      <c r="B18" s="1169"/>
      <c r="E18" s="1166"/>
      <c r="F18" s="1167"/>
      <c r="G18" s="1187"/>
      <c r="H18" s="1195">
        <f>H17/$G$17</f>
        <v>0.15800652224361347</v>
      </c>
      <c r="I18" s="1195">
        <f t="shared" ref="I18:BC18" si="5">I17/$G$17</f>
        <v>0.84199347775638655</v>
      </c>
      <c r="J18" s="1195">
        <f t="shared" si="5"/>
        <v>0</v>
      </c>
      <c r="K18" s="1195">
        <f t="shared" si="5"/>
        <v>0</v>
      </c>
      <c r="L18" s="1195">
        <f t="shared" si="5"/>
        <v>0</v>
      </c>
      <c r="M18" s="1195">
        <f t="shared" si="5"/>
        <v>0</v>
      </c>
      <c r="N18" s="1195">
        <f t="shared" si="5"/>
        <v>0</v>
      </c>
      <c r="O18" s="1195">
        <f t="shared" si="5"/>
        <v>0</v>
      </c>
      <c r="P18" s="1195">
        <f t="shared" si="5"/>
        <v>0</v>
      </c>
      <c r="Q18" s="1195">
        <f t="shared" si="5"/>
        <v>0</v>
      </c>
      <c r="R18" s="1195">
        <f t="shared" si="5"/>
        <v>0</v>
      </c>
      <c r="S18" s="1195">
        <f t="shared" si="5"/>
        <v>0</v>
      </c>
      <c r="T18" s="1195">
        <f t="shared" si="5"/>
        <v>0</v>
      </c>
      <c r="U18" s="1195">
        <f t="shared" si="5"/>
        <v>0</v>
      </c>
      <c r="V18" s="1195">
        <f t="shared" si="5"/>
        <v>0</v>
      </c>
      <c r="W18" s="1195">
        <f t="shared" si="5"/>
        <v>0</v>
      </c>
      <c r="X18" s="1195">
        <f t="shared" si="5"/>
        <v>0</v>
      </c>
      <c r="Y18" s="1195">
        <f t="shared" si="5"/>
        <v>0</v>
      </c>
      <c r="Z18" s="1195">
        <f t="shared" si="5"/>
        <v>0</v>
      </c>
      <c r="AA18" s="1195">
        <f t="shared" si="5"/>
        <v>0</v>
      </c>
      <c r="AB18" s="1195">
        <f t="shared" si="5"/>
        <v>0</v>
      </c>
      <c r="AC18" s="1195">
        <f t="shared" si="5"/>
        <v>0</v>
      </c>
      <c r="AD18" s="1195">
        <f t="shared" si="5"/>
        <v>0</v>
      </c>
      <c r="AE18" s="1195">
        <f t="shared" si="5"/>
        <v>0</v>
      </c>
      <c r="AF18" s="1195">
        <f t="shared" si="5"/>
        <v>0</v>
      </c>
      <c r="AG18" s="1195">
        <f t="shared" si="5"/>
        <v>0</v>
      </c>
      <c r="AH18" s="1195">
        <f t="shared" si="5"/>
        <v>0</v>
      </c>
      <c r="AI18" s="1195">
        <f t="shared" si="5"/>
        <v>0</v>
      </c>
      <c r="AJ18" s="1195">
        <f t="shared" si="5"/>
        <v>0</v>
      </c>
      <c r="AK18" s="1195">
        <f t="shared" si="5"/>
        <v>0</v>
      </c>
      <c r="AL18" s="1195">
        <f t="shared" si="5"/>
        <v>0</v>
      </c>
      <c r="AM18" s="1195">
        <f t="shared" si="5"/>
        <v>0</v>
      </c>
      <c r="AN18" s="1195">
        <f t="shared" si="5"/>
        <v>0</v>
      </c>
      <c r="AO18" s="1195">
        <f t="shared" si="5"/>
        <v>0</v>
      </c>
      <c r="AP18" s="1195">
        <f t="shared" si="5"/>
        <v>0</v>
      </c>
      <c r="AQ18" s="1195">
        <f t="shared" si="5"/>
        <v>0</v>
      </c>
      <c r="AR18" s="1195">
        <f t="shared" si="5"/>
        <v>0</v>
      </c>
      <c r="AS18" s="1195">
        <f t="shared" si="5"/>
        <v>0</v>
      </c>
      <c r="AT18" s="1195">
        <f t="shared" si="5"/>
        <v>0</v>
      </c>
      <c r="AU18" s="1195">
        <f t="shared" si="5"/>
        <v>0</v>
      </c>
      <c r="AV18" s="1195">
        <f t="shared" si="5"/>
        <v>0</v>
      </c>
      <c r="AW18" s="1195">
        <f t="shared" si="5"/>
        <v>0</v>
      </c>
      <c r="AX18" s="1195">
        <f t="shared" si="5"/>
        <v>0</v>
      </c>
      <c r="AY18" s="1195">
        <f t="shared" si="5"/>
        <v>0</v>
      </c>
      <c r="AZ18" s="1195">
        <f t="shared" si="5"/>
        <v>0</v>
      </c>
      <c r="BA18" s="1195">
        <f t="shared" si="5"/>
        <v>0</v>
      </c>
      <c r="BB18" s="1195">
        <f t="shared" si="5"/>
        <v>0</v>
      </c>
      <c r="BC18" s="1195">
        <f t="shared" si="5"/>
        <v>0</v>
      </c>
    </row>
    <row r="19" spans="1:55">
      <c r="A19" s="1262">
        <f t="shared" si="0"/>
        <v>11</v>
      </c>
      <c r="B19" s="560" t="s">
        <v>1019</v>
      </c>
      <c r="E19" s="1166">
        <f>Crono!BP34</f>
        <v>195803.9566794007</v>
      </c>
      <c r="F19" s="1167">
        <f>+E19/$E$9</f>
        <v>0.60338757014990485</v>
      </c>
      <c r="G19" s="1187">
        <f t="shared" ref="G19:G21" si="6">+SUM(H19:BC19)</f>
        <v>195.80395667940067</v>
      </c>
      <c r="H19" s="1188">
        <f>HLOOKUP(H$9,Crono!$BW$10:$DR$34,19,FALSE)*$E$19/1000</f>
        <v>69.783427225022265</v>
      </c>
      <c r="I19" s="1188">
        <f>HLOOKUP(I$9,Crono!$BW$10:$DR$34,19,FALSE)*$E$19/1000</f>
        <v>126.0205294543784</v>
      </c>
      <c r="J19" s="1188">
        <f>HLOOKUP(J$9,Crono!$BW$10:$DR$34,19,FALSE)*$E$19/1000</f>
        <v>0</v>
      </c>
      <c r="K19" s="1188">
        <f>HLOOKUP(K$9,Crono!$BW$10:$DR$34,19,FALSE)*$E$19/1000</f>
        <v>0</v>
      </c>
      <c r="L19" s="1188">
        <f>HLOOKUP(L$9,Crono!$BW$10:$DR$34,19,FALSE)*$E$19/1000</f>
        <v>0</v>
      </c>
      <c r="M19" s="1188">
        <f>HLOOKUP(M$9,Crono!$BW$10:$DR$34,19,FALSE)*$E$19/1000</f>
        <v>0</v>
      </c>
      <c r="N19" s="1188">
        <f>HLOOKUP(N$9,Crono!$BW$10:$DR$34,19,FALSE)*$E$19/1000</f>
        <v>0</v>
      </c>
      <c r="O19" s="1188">
        <f>HLOOKUP(O$9,Crono!$BW$10:$DR$34,19,FALSE)*$E$19/1000</f>
        <v>0</v>
      </c>
      <c r="P19" s="1188">
        <f>HLOOKUP(P$9,Crono!$BW$10:$DR$34,19,FALSE)*$E$19/1000</f>
        <v>0</v>
      </c>
      <c r="Q19" s="1188">
        <f>HLOOKUP(Q$9,Crono!$BW$10:$DR$34,19,FALSE)*$E$19/1000</f>
        <v>0</v>
      </c>
      <c r="R19" s="1188">
        <f>HLOOKUP(R$9,Crono!$BW$10:$DR$34,19,FALSE)*$E$19/1000</f>
        <v>0</v>
      </c>
      <c r="S19" s="1188">
        <f>HLOOKUP(S$9,Crono!$BW$10:$DR$34,19,FALSE)*$E$19/1000</f>
        <v>0</v>
      </c>
      <c r="T19" s="1188">
        <f>HLOOKUP(T$9,Crono!$BW$10:$DR$34,19,FALSE)*$E$19/1000</f>
        <v>0</v>
      </c>
      <c r="U19" s="1188">
        <f>HLOOKUP(U$9,Crono!$BW$10:$DR$34,19,FALSE)*$E$19/1000</f>
        <v>0</v>
      </c>
      <c r="V19" s="1188">
        <f>HLOOKUP(V$9,Crono!$BW$10:$DR$34,19,FALSE)*$E$19/1000</f>
        <v>0</v>
      </c>
      <c r="W19" s="1188">
        <f>HLOOKUP(W$9,Crono!$BW$10:$DR$34,19,FALSE)*$E$19/1000</f>
        <v>0</v>
      </c>
      <c r="X19" s="1188">
        <f>HLOOKUP(X$9,Crono!$BW$10:$DR$34,19,FALSE)*$E$19/1000</f>
        <v>0</v>
      </c>
      <c r="Y19" s="1188">
        <f>HLOOKUP(Y$9,Crono!$BW$10:$DR$34,19,FALSE)*$E$19/1000</f>
        <v>0</v>
      </c>
      <c r="Z19" s="1188">
        <f>HLOOKUP(Z$9,Crono!$BW$10:$DR$34,19,FALSE)*$E$19/1000</f>
        <v>0</v>
      </c>
      <c r="AA19" s="1188">
        <f>HLOOKUP(AA$9,Crono!$BW$10:$DR$34,19,FALSE)*$E$19/1000</f>
        <v>0</v>
      </c>
      <c r="AB19" s="1188">
        <f>HLOOKUP(AB$9,Crono!$BW$10:$DR$34,19,FALSE)*$E$19/1000</f>
        <v>0</v>
      </c>
      <c r="AC19" s="1188">
        <f>HLOOKUP(AC$9,Crono!$BW$10:$DR$34,19,FALSE)*$E$19/1000</f>
        <v>0</v>
      </c>
      <c r="AD19" s="1188">
        <f>HLOOKUP(AD$9,Crono!$BW$10:$DR$34,19,FALSE)*$E$19/1000</f>
        <v>0</v>
      </c>
      <c r="AE19" s="1188">
        <f>HLOOKUP(AE$9,Crono!$BW$10:$DR$34,19,FALSE)*$E$19/1000</f>
        <v>0</v>
      </c>
      <c r="AF19" s="1188">
        <f>HLOOKUP(AF$9,Crono!$BW$10:$DR$34,19,FALSE)*$E$19/1000</f>
        <v>0</v>
      </c>
      <c r="AG19" s="1188">
        <f>HLOOKUP(AG$9,Crono!$BW$10:$DR$34,19,FALSE)*$E$19/1000</f>
        <v>0</v>
      </c>
      <c r="AH19" s="1188">
        <f>HLOOKUP(AH$9,Crono!$BW$10:$DR$34,19,FALSE)*$E$19/1000</f>
        <v>0</v>
      </c>
      <c r="AI19" s="1188">
        <f>HLOOKUP(AI$9,Crono!$BW$10:$DR$34,19,FALSE)*$E$19/1000</f>
        <v>0</v>
      </c>
      <c r="AJ19" s="1188">
        <f>HLOOKUP(AJ$9,Crono!$BW$10:$DR$34,19,FALSE)*$E$19/1000</f>
        <v>0</v>
      </c>
      <c r="AK19" s="1188">
        <f>HLOOKUP(AK$9,Crono!$BW$10:$DR$34,19,FALSE)*$E$19/1000</f>
        <v>0</v>
      </c>
      <c r="AL19" s="1188">
        <f>HLOOKUP(AL$9,Crono!$BW$10:$DR$34,19,FALSE)*$E$19/1000</f>
        <v>0</v>
      </c>
      <c r="AM19" s="1188">
        <f>HLOOKUP(AM$9,Crono!$BW$10:$DR$34,19,FALSE)*$E$19/1000</f>
        <v>0</v>
      </c>
      <c r="AN19" s="1188">
        <f>HLOOKUP(AN$9,Crono!$BW$10:$DR$34,19,FALSE)*$E$19/1000</f>
        <v>0</v>
      </c>
      <c r="AO19" s="1188">
        <f>HLOOKUP(AO$9,Crono!$BW$10:$DR$34,19,FALSE)*$E$19/1000</f>
        <v>0</v>
      </c>
      <c r="AP19" s="1188">
        <f>HLOOKUP(AP$9,Crono!$BW$10:$DR$34,19,FALSE)*$E$19/1000</f>
        <v>0</v>
      </c>
      <c r="AQ19" s="1188">
        <f>HLOOKUP(AQ$9,Crono!$BW$10:$DR$34,19,FALSE)*$E$19/1000</f>
        <v>0</v>
      </c>
      <c r="AR19" s="1188">
        <f>HLOOKUP(AR$9,Crono!$BW$10:$DR$34,19,FALSE)*$E$19/1000</f>
        <v>0</v>
      </c>
      <c r="AS19" s="1188">
        <f>HLOOKUP(AS$9,Crono!$BW$10:$DR$34,19,FALSE)*$E$19/1000</f>
        <v>0</v>
      </c>
      <c r="AT19" s="1188">
        <f>HLOOKUP(AT$9,Crono!$BW$10:$DR$34,19,FALSE)*$E$19/1000</f>
        <v>0</v>
      </c>
      <c r="AU19" s="1188">
        <f>HLOOKUP(AU$9,Crono!$BW$10:$DR$34,19,FALSE)*$E$19/1000</f>
        <v>0</v>
      </c>
      <c r="AV19" s="1188">
        <f>HLOOKUP(AV$9,Crono!$BW$10:$DR$34,19,FALSE)*$E$19/1000</f>
        <v>0</v>
      </c>
      <c r="AW19" s="1188">
        <f>HLOOKUP(AW$9,Crono!$BW$10:$DR$34,19,FALSE)*$E$19/1000</f>
        <v>0</v>
      </c>
      <c r="AX19" s="1188">
        <f>HLOOKUP(AX$9,Crono!$BW$10:$DR$34,19,FALSE)*$E$19/1000</f>
        <v>0</v>
      </c>
      <c r="AY19" s="1188">
        <f>HLOOKUP(AY$9,Crono!$BW$10:$DR$34,19,FALSE)*$E$19/1000</f>
        <v>0</v>
      </c>
      <c r="AZ19" s="1188">
        <f>HLOOKUP(AZ$9,Crono!$BW$10:$DR$34,19,FALSE)*$E$19/1000</f>
        <v>0</v>
      </c>
      <c r="BA19" s="1188">
        <f>HLOOKUP(BA$9,Crono!$BW$10:$DR$34,19,FALSE)*$E$19/1000</f>
        <v>0</v>
      </c>
      <c r="BB19" s="1188">
        <f>HLOOKUP(BB$9,Crono!$BW$10:$DR$34,19,FALSE)*$E$19/1000</f>
        <v>0</v>
      </c>
      <c r="BC19" s="1188">
        <f>HLOOKUP(BC$9,Crono!$BW$10:$DR$34,19,FALSE)*$E$19/1000</f>
        <v>0</v>
      </c>
    </row>
    <row r="20" spans="1:55" s="1081" customFormat="1">
      <c r="A20" s="1263">
        <f t="shared" si="0"/>
        <v>12</v>
      </c>
      <c r="B20" s="1081" t="s">
        <v>3515</v>
      </c>
      <c r="E20" s="1259">
        <f>Crono!BR34</f>
        <v>0</v>
      </c>
      <c r="F20" s="1264">
        <f t="shared" ref="F20:F25" si="7">+E20/$E$9</f>
        <v>0</v>
      </c>
      <c r="G20" s="1265">
        <f t="shared" si="6"/>
        <v>0</v>
      </c>
      <c r="H20" s="1266">
        <f>HLOOKUP(H$9,Crono!$FQ$10:$HL$34,19,FALSE)*$E$20/1000</f>
        <v>0</v>
      </c>
      <c r="I20" s="1266">
        <f>HLOOKUP(I$9,Crono!$FQ$10:$HL$34,19,FALSE)*$E$20/1000</f>
        <v>0</v>
      </c>
      <c r="J20" s="1266">
        <f>HLOOKUP(J$9,Crono!$FQ$10:$HL$34,19,FALSE)*$E$20/1000</f>
        <v>0</v>
      </c>
      <c r="K20" s="1266">
        <f>HLOOKUP(K$9,Crono!$FQ$10:$HL$34,19,FALSE)*$E$20/1000</f>
        <v>0</v>
      </c>
      <c r="L20" s="1266">
        <f>HLOOKUP(L$9,Crono!$FQ$10:$HL$34,19,FALSE)*$E$20/1000</f>
        <v>0</v>
      </c>
      <c r="M20" s="1266">
        <f>HLOOKUP(M$9,Crono!$FQ$10:$HL$34,19,FALSE)*$E$20/1000</f>
        <v>0</v>
      </c>
      <c r="N20" s="1266">
        <f>HLOOKUP(N$9,Crono!$FQ$10:$HL$34,19,FALSE)*$E$20/1000</f>
        <v>0</v>
      </c>
      <c r="O20" s="1266">
        <f>HLOOKUP(O$9,Crono!$FQ$10:$HL$34,19,FALSE)*$E$20/1000</f>
        <v>0</v>
      </c>
      <c r="P20" s="1266">
        <f>HLOOKUP(P$9,Crono!$FQ$10:$HL$34,19,FALSE)*$E$20/1000</f>
        <v>0</v>
      </c>
      <c r="Q20" s="1266">
        <f>HLOOKUP(Q$9,Crono!$FQ$10:$HL$34,19,FALSE)*$E$20/1000</f>
        <v>0</v>
      </c>
      <c r="R20" s="1266">
        <f>HLOOKUP(R$9,Crono!$FQ$10:$HL$34,19,FALSE)*$E$20/1000</f>
        <v>0</v>
      </c>
      <c r="S20" s="1266">
        <f>HLOOKUP(S$9,Crono!$FQ$10:$HL$34,19,FALSE)*$E$20/1000</f>
        <v>0</v>
      </c>
      <c r="T20" s="1266">
        <f>HLOOKUP(T$9,Crono!$FQ$10:$HL$34,19,FALSE)*$E$20/1000</f>
        <v>0</v>
      </c>
      <c r="U20" s="1266">
        <f>HLOOKUP(U$9,Crono!$FQ$10:$HL$34,19,FALSE)*$E$20/1000</f>
        <v>0</v>
      </c>
      <c r="V20" s="1266">
        <f>HLOOKUP(V$9,Crono!$FQ$10:$HL$34,19,FALSE)*$E$20/1000</f>
        <v>0</v>
      </c>
      <c r="W20" s="1266">
        <f>HLOOKUP(W$9,Crono!$FQ$10:$HL$34,19,FALSE)*$E$20/1000</f>
        <v>0</v>
      </c>
      <c r="X20" s="1266">
        <f>HLOOKUP(X$9,Crono!$FQ$10:$HL$34,19,FALSE)*$E$20/1000</f>
        <v>0</v>
      </c>
      <c r="Y20" s="1266">
        <f>HLOOKUP(Y$9,Crono!$FQ$10:$HL$34,19,FALSE)*$E$20/1000</f>
        <v>0</v>
      </c>
      <c r="Z20" s="1266">
        <f>HLOOKUP(Z$9,Crono!$FQ$10:$HL$34,19,FALSE)*$E$20/1000</f>
        <v>0</v>
      </c>
      <c r="AA20" s="1266">
        <f>HLOOKUP(AA$9,Crono!$FQ$10:$HL$34,19,FALSE)*$E$20/1000</f>
        <v>0</v>
      </c>
      <c r="AB20" s="1266">
        <f>HLOOKUP(AB$9,Crono!$FQ$10:$HL$34,19,FALSE)*$E$20/1000</f>
        <v>0</v>
      </c>
      <c r="AC20" s="1266">
        <f>HLOOKUP(AC$9,Crono!$FQ$10:$HL$34,19,FALSE)*$E$20/1000</f>
        <v>0</v>
      </c>
      <c r="AD20" s="1266">
        <f>HLOOKUP(AD$9,Crono!$FQ$10:$HL$34,19,FALSE)*$E$20/1000</f>
        <v>0</v>
      </c>
      <c r="AE20" s="1266">
        <f>HLOOKUP(AE$9,Crono!$FQ$10:$HL$34,19,FALSE)*$E$20/1000</f>
        <v>0</v>
      </c>
      <c r="AF20" s="1266">
        <f>HLOOKUP(AF$9,Crono!$FQ$10:$HL$34,19,FALSE)*$E$20/1000</f>
        <v>0</v>
      </c>
      <c r="AG20" s="1266">
        <f>HLOOKUP(AG$9,Crono!$FQ$10:$HL$34,19,FALSE)*$E$20/1000</f>
        <v>0</v>
      </c>
      <c r="AH20" s="1266">
        <f>HLOOKUP(AH$9,Crono!$FQ$10:$HL$34,19,FALSE)*$E$20/1000</f>
        <v>0</v>
      </c>
      <c r="AI20" s="1266">
        <f>HLOOKUP(AI$9,Crono!$FQ$10:$HL$34,19,FALSE)*$E$20/1000</f>
        <v>0</v>
      </c>
      <c r="AJ20" s="1266">
        <f>HLOOKUP(AJ$9,Crono!$FQ$10:$HL$34,19,FALSE)*$E$20/1000</f>
        <v>0</v>
      </c>
      <c r="AK20" s="1266">
        <f>HLOOKUP(AK$9,Crono!$FQ$10:$HL$34,19,FALSE)*$E$20/1000</f>
        <v>0</v>
      </c>
      <c r="AL20" s="1266">
        <f>HLOOKUP(AL$9,Crono!$FQ$10:$HL$34,19,FALSE)*$E$20/1000</f>
        <v>0</v>
      </c>
      <c r="AM20" s="1266">
        <f>HLOOKUP(AM$9,Crono!$FQ$10:$HL$34,19,FALSE)*$E$20/1000</f>
        <v>0</v>
      </c>
      <c r="AN20" s="1266">
        <f>HLOOKUP(AN$9,Crono!$FQ$10:$HL$34,19,FALSE)*$E$20/1000</f>
        <v>0</v>
      </c>
      <c r="AO20" s="1266">
        <f>HLOOKUP(AO$9,Crono!$FQ$10:$HL$34,19,FALSE)*$E$20/1000</f>
        <v>0</v>
      </c>
      <c r="AP20" s="1266">
        <f>HLOOKUP(AP$9,Crono!$FQ$10:$HL$34,19,FALSE)*$E$20/1000</f>
        <v>0</v>
      </c>
      <c r="AQ20" s="1266">
        <f>HLOOKUP(AQ$9,Crono!$FQ$10:$HL$34,19,FALSE)*$E$20/1000</f>
        <v>0</v>
      </c>
      <c r="AR20" s="1266">
        <f>HLOOKUP(AR$9,Crono!$FQ$10:$HL$34,19,FALSE)*$E$20/1000</f>
        <v>0</v>
      </c>
      <c r="AS20" s="1266">
        <f>HLOOKUP(AS$9,Crono!$FQ$10:$HL$34,19,FALSE)*$E$20/1000</f>
        <v>0</v>
      </c>
      <c r="AT20" s="1266">
        <f>HLOOKUP(AT$9,Crono!$FQ$10:$HL$34,19,FALSE)*$E$20/1000</f>
        <v>0</v>
      </c>
      <c r="AU20" s="1266">
        <f>HLOOKUP(AU$9,Crono!$FQ$10:$HL$34,19,FALSE)*$E$20/1000</f>
        <v>0</v>
      </c>
      <c r="AV20" s="1266">
        <f>HLOOKUP(AV$9,Crono!$FQ$10:$HL$34,19,FALSE)*$E$20/1000</f>
        <v>0</v>
      </c>
      <c r="AW20" s="1266">
        <f>HLOOKUP(AW$9,Crono!$FQ$10:$HL$34,19,FALSE)*$E$20/1000</f>
        <v>0</v>
      </c>
      <c r="AX20" s="1266">
        <f>HLOOKUP(AX$9,Crono!$FQ$10:$HL$34,19,FALSE)*$E$20/1000</f>
        <v>0</v>
      </c>
      <c r="AY20" s="1266">
        <f>HLOOKUP(AY$9,Crono!$FQ$10:$HL$34,19,FALSE)*$E$20/1000</f>
        <v>0</v>
      </c>
      <c r="AZ20" s="1266">
        <f>HLOOKUP(AZ$9,Crono!$FQ$10:$HL$34,19,FALSE)*$E$20/1000</f>
        <v>0</v>
      </c>
      <c r="BA20" s="1266">
        <f>HLOOKUP(BA$9,Crono!$FQ$10:$HL$34,19,FALSE)*$E$20/1000</f>
        <v>0</v>
      </c>
      <c r="BB20" s="1266">
        <f>HLOOKUP(BB$9,Crono!$FQ$10:$HL$34,19,FALSE)*$E$20/1000</f>
        <v>0</v>
      </c>
      <c r="BC20" s="1266">
        <f>HLOOKUP(BC$9,Crono!$FQ$10:$HL$34,19,FALSE)*$E$20/1000</f>
        <v>0</v>
      </c>
    </row>
    <row r="21" spans="1:55" s="1081" customFormat="1">
      <c r="A21" s="1263">
        <f t="shared" si="0"/>
        <v>13</v>
      </c>
      <c r="B21" s="1081" t="s">
        <v>3516</v>
      </c>
      <c r="E21" s="1259">
        <f>Crono!BT34</f>
        <v>0</v>
      </c>
      <c r="F21" s="1264">
        <f t="shared" si="7"/>
        <v>0</v>
      </c>
      <c r="G21" s="1265">
        <f t="shared" si="6"/>
        <v>0</v>
      </c>
      <c r="H21" s="1266">
        <f>HLOOKUP(H$9,Crono!$JK$10:$LF$34,19,FALSE)*$E$21/1000</f>
        <v>0</v>
      </c>
      <c r="I21" s="1266">
        <f>HLOOKUP(I$9,Crono!$JK$10:$LF$34,19,FALSE)*$E$21/1000</f>
        <v>0</v>
      </c>
      <c r="J21" s="1266">
        <f>HLOOKUP(J$9,Crono!$JK$10:$LF$34,19,FALSE)*$E$21/1000</f>
        <v>0</v>
      </c>
      <c r="K21" s="1266">
        <f>HLOOKUP(K$9,Crono!$JK$10:$LF$34,19,FALSE)*$E$21/1000</f>
        <v>0</v>
      </c>
      <c r="L21" s="1266">
        <f>HLOOKUP(L$9,Crono!$JK$10:$LF$34,19,FALSE)*$E$21/1000</f>
        <v>0</v>
      </c>
      <c r="M21" s="1266">
        <f>HLOOKUP(M$9,Crono!$JK$10:$LF$34,19,FALSE)*$E$21/1000</f>
        <v>0</v>
      </c>
      <c r="N21" s="1266">
        <f>HLOOKUP(N$9,Crono!$JK$10:$LF$34,19,FALSE)*$E$21/1000</f>
        <v>0</v>
      </c>
      <c r="O21" s="1266">
        <f>HLOOKUP(O$9,Crono!$JK$10:$LF$34,19,FALSE)*$E$21/1000</f>
        <v>0</v>
      </c>
      <c r="P21" s="1266">
        <f>HLOOKUP(P$9,Crono!$JK$10:$LF$34,19,FALSE)*$E$21/1000</f>
        <v>0</v>
      </c>
      <c r="Q21" s="1266">
        <f>HLOOKUP(Q$9,Crono!$JK$10:$LF$34,19,FALSE)*$E$21/1000</f>
        <v>0</v>
      </c>
      <c r="R21" s="1266">
        <f>HLOOKUP(R$9,Crono!$JK$10:$LF$34,19,FALSE)*$E$21/1000</f>
        <v>0</v>
      </c>
      <c r="S21" s="1266">
        <f>HLOOKUP(S$9,Crono!$JK$10:$LF$34,19,FALSE)*$E$21/1000</f>
        <v>0</v>
      </c>
      <c r="T21" s="1266">
        <f>HLOOKUP(T$9,Crono!$JK$10:$LF$34,19,FALSE)*$E$21/1000</f>
        <v>0</v>
      </c>
      <c r="U21" s="1266">
        <f>HLOOKUP(U$9,Crono!$JK$10:$LF$34,19,FALSE)*$E$21/1000</f>
        <v>0</v>
      </c>
      <c r="V21" s="1266">
        <f>HLOOKUP(V$9,Crono!$JK$10:$LF$34,19,FALSE)*$E$21/1000</f>
        <v>0</v>
      </c>
      <c r="W21" s="1266">
        <f>HLOOKUP(W$9,Crono!$JK$10:$LF$34,19,FALSE)*$E$21/1000</f>
        <v>0</v>
      </c>
      <c r="X21" s="1266">
        <f>HLOOKUP(X$9,Crono!$JK$10:$LF$34,19,FALSE)*$E$21/1000</f>
        <v>0</v>
      </c>
      <c r="Y21" s="1266">
        <f>HLOOKUP(Y$9,Crono!$JK$10:$LF$34,19,FALSE)*$E$21/1000</f>
        <v>0</v>
      </c>
      <c r="Z21" s="1266">
        <f>HLOOKUP(Z$9,Crono!$JK$10:$LF$34,19,FALSE)*$E$21/1000</f>
        <v>0</v>
      </c>
      <c r="AA21" s="1266">
        <f>HLOOKUP(AA$9,Crono!$JK$10:$LF$34,19,FALSE)*$E$21/1000</f>
        <v>0</v>
      </c>
      <c r="AB21" s="1266">
        <f>HLOOKUP(AB$9,Crono!$JK$10:$LF$34,19,FALSE)*$E$21/1000</f>
        <v>0</v>
      </c>
      <c r="AC21" s="1266">
        <f>HLOOKUP(AC$9,Crono!$JK$10:$LF$34,19,FALSE)*$E$21/1000</f>
        <v>0</v>
      </c>
      <c r="AD21" s="1266">
        <f>HLOOKUP(AD$9,Crono!$JK$10:$LF$34,19,FALSE)*$E$21/1000</f>
        <v>0</v>
      </c>
      <c r="AE21" s="1266">
        <f>HLOOKUP(AE$9,Crono!$JK$10:$LF$34,19,FALSE)*$E$21/1000</f>
        <v>0</v>
      </c>
      <c r="AF21" s="1266">
        <f>HLOOKUP(AF$9,Crono!$JK$10:$LF$34,19,FALSE)*$E$21/1000</f>
        <v>0</v>
      </c>
      <c r="AG21" s="1266">
        <f>HLOOKUP(AG$9,Crono!$JK$10:$LF$34,19,FALSE)*$E$21/1000</f>
        <v>0</v>
      </c>
      <c r="AH21" s="1266">
        <f>HLOOKUP(AH$9,Crono!$JK$10:$LF$34,19,FALSE)*$E$21/1000</f>
        <v>0</v>
      </c>
      <c r="AI21" s="1266">
        <f>HLOOKUP(AI$9,Crono!$JK$10:$LF$34,19,FALSE)*$E$21/1000</f>
        <v>0</v>
      </c>
      <c r="AJ21" s="1266">
        <f>HLOOKUP(AJ$9,Crono!$JK$10:$LF$34,19,FALSE)*$E$21/1000</f>
        <v>0</v>
      </c>
      <c r="AK21" s="1266">
        <f>HLOOKUP(AK$9,Crono!$JK$10:$LF$34,19,FALSE)*$E$21/1000</f>
        <v>0</v>
      </c>
      <c r="AL21" s="1266">
        <f>HLOOKUP(AL$9,Crono!$JK$10:$LF$34,19,FALSE)*$E$21/1000</f>
        <v>0</v>
      </c>
      <c r="AM21" s="1266">
        <f>HLOOKUP(AM$9,Crono!$JK$10:$LF$34,19,FALSE)*$E$21/1000</f>
        <v>0</v>
      </c>
      <c r="AN21" s="1266">
        <f>HLOOKUP(AN$9,Crono!$JK$10:$LF$34,19,FALSE)*$E$21/1000</f>
        <v>0</v>
      </c>
      <c r="AO21" s="1266">
        <f>HLOOKUP(AO$9,Crono!$JK$10:$LF$34,19,FALSE)*$E$21/1000</f>
        <v>0</v>
      </c>
      <c r="AP21" s="1266">
        <f>HLOOKUP(AP$9,Crono!$JK$10:$LF$34,19,FALSE)*$E$21/1000</f>
        <v>0</v>
      </c>
      <c r="AQ21" s="1266">
        <f>HLOOKUP(AQ$9,Crono!$JK$10:$LF$34,19,FALSE)*$E$21/1000</f>
        <v>0</v>
      </c>
      <c r="AR21" s="1266">
        <f>HLOOKUP(AR$9,Crono!$JK$10:$LF$34,19,FALSE)*$E$21/1000</f>
        <v>0</v>
      </c>
      <c r="AS21" s="1266">
        <f>HLOOKUP(AS$9,Crono!$JK$10:$LF$34,19,FALSE)*$E$21/1000</f>
        <v>0</v>
      </c>
      <c r="AT21" s="1266">
        <f>HLOOKUP(AT$9,Crono!$JK$10:$LF$34,19,FALSE)*$E$21/1000</f>
        <v>0</v>
      </c>
      <c r="AU21" s="1266">
        <f>HLOOKUP(AU$9,Crono!$JK$10:$LF$34,19,FALSE)*$E$21/1000</f>
        <v>0</v>
      </c>
      <c r="AV21" s="1266">
        <f>HLOOKUP(AV$9,Crono!$JK$10:$LF$34,19,FALSE)*$E$21/1000</f>
        <v>0</v>
      </c>
      <c r="AW21" s="1266">
        <f>HLOOKUP(AW$9,Crono!$JK$10:$LF$34,19,FALSE)*$E$21/1000</f>
        <v>0</v>
      </c>
      <c r="AX21" s="1266">
        <f>HLOOKUP(AX$9,Crono!$JK$10:$LF$34,19,FALSE)*$E$21/1000</f>
        <v>0</v>
      </c>
      <c r="AY21" s="1266">
        <f>HLOOKUP(AY$9,Crono!$JK$10:$LF$34,19,FALSE)*$E$21/1000</f>
        <v>0</v>
      </c>
      <c r="AZ21" s="1266">
        <f>HLOOKUP(AZ$9,Crono!$JK$10:$LF$34,19,FALSE)*$E$21/1000</f>
        <v>0</v>
      </c>
      <c r="BA21" s="1266">
        <f>HLOOKUP(BA$9,Crono!$JK$10:$LF$34,19,FALSE)*$E$21/1000</f>
        <v>0</v>
      </c>
      <c r="BB21" s="1266">
        <f>HLOOKUP(BB$9,Crono!$JK$10:$LF$34,19,FALSE)*$E$21/1000</f>
        <v>0</v>
      </c>
      <c r="BC21" s="1266">
        <f>HLOOKUP(BC$9,Crono!$JK$10:$LF$34,19,FALSE)*$E$21/1000</f>
        <v>0</v>
      </c>
    </row>
    <row r="22" spans="1:55">
      <c r="A22" s="1262">
        <f t="shared" si="0"/>
        <v>14</v>
      </c>
      <c r="B22" s="560" t="s">
        <v>755</v>
      </c>
      <c r="E22" s="1166"/>
      <c r="F22" s="1167">
        <f>+SUM(F23:F24)</f>
        <v>0</v>
      </c>
      <c r="G22" s="1187">
        <f t="shared" si="2"/>
        <v>0</v>
      </c>
      <c r="H22" s="1188"/>
      <c r="I22" s="1188"/>
      <c r="J22" s="1188"/>
      <c r="K22" s="1188"/>
      <c r="L22" s="1188"/>
      <c r="M22" s="1188"/>
      <c r="N22" s="1188"/>
      <c r="O22" s="1188"/>
      <c r="P22" s="1188"/>
      <c r="Q22" s="1188"/>
      <c r="R22" s="1188"/>
      <c r="S22" s="1188"/>
      <c r="T22" s="1188"/>
      <c r="U22" s="1188"/>
      <c r="V22" s="1188"/>
      <c r="W22" s="1188"/>
      <c r="X22" s="1188"/>
      <c r="Y22" s="1188"/>
      <c r="Z22" s="1188"/>
      <c r="AA22" s="1188"/>
      <c r="AB22" s="1188"/>
      <c r="AC22" s="1188"/>
      <c r="AD22" s="1188"/>
      <c r="AE22" s="1188"/>
      <c r="AF22" s="1188"/>
      <c r="AG22" s="1188"/>
      <c r="AH22" s="1188"/>
      <c r="AI22" s="1188"/>
      <c r="AJ22" s="1188"/>
      <c r="AK22" s="1188"/>
      <c r="AL22" s="1188"/>
      <c r="AM22" s="1188"/>
      <c r="AN22" s="1188"/>
      <c r="AO22" s="1188"/>
      <c r="AP22" s="1188"/>
      <c r="AQ22" s="1188"/>
      <c r="AR22" s="1188"/>
      <c r="AS22" s="1188"/>
      <c r="AT22" s="1188"/>
      <c r="AU22" s="1188"/>
      <c r="AV22" s="1188"/>
      <c r="AW22" s="1188"/>
      <c r="AX22" s="1188"/>
      <c r="AY22" s="1188"/>
      <c r="AZ22" s="1188"/>
      <c r="BA22" s="1188"/>
      <c r="BB22" s="1188"/>
      <c r="BC22" s="1188"/>
    </row>
    <row r="23" spans="1:55">
      <c r="A23" s="1262">
        <f t="shared" si="0"/>
        <v>15</v>
      </c>
      <c r="B23" s="1169" t="s">
        <v>1131</v>
      </c>
      <c r="E23" s="1258">
        <f>Crono!BQ34*EQ_CE!$F$187/SUM(EQ_CE!$F$187:$I$187)</f>
        <v>0</v>
      </c>
      <c r="F23" s="1167">
        <f t="shared" si="7"/>
        <v>0</v>
      </c>
      <c r="G23" s="1187">
        <f t="shared" ref="G23:G26" si="8">+SUM(H23:BC23)</f>
        <v>0</v>
      </c>
      <c r="H23" s="1209">
        <f>HLOOKUP(H$9,Crono!$DT$10:$FO$34,19,FALSE)*$E$23/1000</f>
        <v>0</v>
      </c>
      <c r="I23" s="1209">
        <f>HLOOKUP(I$9,Crono!$DT$10:$FO$34,19,FALSE)*$E$23/1000</f>
        <v>0</v>
      </c>
      <c r="J23" s="1209">
        <f>HLOOKUP(J$9,Crono!$DT$10:$FO$34,19,FALSE)*$E$23/1000</f>
        <v>0</v>
      </c>
      <c r="K23" s="1209">
        <f>HLOOKUP(K$9,Crono!$DT$10:$FO$34,19,FALSE)*$E$23/1000</f>
        <v>0</v>
      </c>
      <c r="L23" s="1209">
        <f>HLOOKUP(L$9,Crono!$DT$10:$FO$34,19,FALSE)*$E$23/1000</f>
        <v>0</v>
      </c>
      <c r="M23" s="1209">
        <f>HLOOKUP(M$9,Crono!$DT$10:$FO$34,19,FALSE)*$E$23/1000</f>
        <v>0</v>
      </c>
      <c r="N23" s="1209">
        <f>HLOOKUP(N$9,Crono!$DT$10:$FO$34,19,FALSE)*$E$23/1000</f>
        <v>0</v>
      </c>
      <c r="O23" s="1209">
        <f>HLOOKUP(O$9,Crono!$DT$10:$FO$34,19,FALSE)*$E$23/1000</f>
        <v>0</v>
      </c>
      <c r="P23" s="1209">
        <f>HLOOKUP(P$9,Crono!$DT$10:$FO$34,19,FALSE)*$E$23/1000</f>
        <v>0</v>
      </c>
      <c r="Q23" s="1209">
        <f>HLOOKUP(Q$9,Crono!$DT$10:$FO$34,19,FALSE)*$E$23/1000</f>
        <v>0</v>
      </c>
      <c r="R23" s="1209">
        <f>HLOOKUP(R$9,Crono!$DT$10:$FO$34,19,FALSE)*$E$23/1000</f>
        <v>0</v>
      </c>
      <c r="S23" s="1209">
        <f>HLOOKUP(S$9,Crono!$DT$10:$FO$34,19,FALSE)*$E$23/1000</f>
        <v>0</v>
      </c>
      <c r="T23" s="1209">
        <f>HLOOKUP(T$9,Crono!$DT$10:$FO$34,19,FALSE)*$E$23/1000</f>
        <v>0</v>
      </c>
      <c r="U23" s="1209">
        <f>HLOOKUP(U$9,Crono!$DT$10:$FO$34,19,FALSE)*$E$23/1000</f>
        <v>0</v>
      </c>
      <c r="V23" s="1209">
        <f>HLOOKUP(V$9,Crono!$DT$10:$FO$34,19,FALSE)*$E$23/1000</f>
        <v>0</v>
      </c>
      <c r="W23" s="1209">
        <f>HLOOKUP(W$9,Crono!$DT$10:$FO$34,19,FALSE)*$E$23/1000</f>
        <v>0</v>
      </c>
      <c r="X23" s="1209">
        <f>HLOOKUP(X$9,Crono!$DT$10:$FO$34,19,FALSE)*$E$23/1000</f>
        <v>0</v>
      </c>
      <c r="Y23" s="1209">
        <f>HLOOKUP(Y$9,Crono!$DT$10:$FO$34,19,FALSE)*$E$23/1000</f>
        <v>0</v>
      </c>
      <c r="Z23" s="1209">
        <f>HLOOKUP(Z$9,Crono!$DT$10:$FO$34,19,FALSE)*$E$23/1000</f>
        <v>0</v>
      </c>
      <c r="AA23" s="1209">
        <f>HLOOKUP(AA$9,Crono!$DT$10:$FO$34,19,FALSE)*$E$23/1000</f>
        <v>0</v>
      </c>
      <c r="AB23" s="1209">
        <f>HLOOKUP(AB$9,Crono!$DT$10:$FO$34,19,FALSE)*$E$23/1000</f>
        <v>0</v>
      </c>
      <c r="AC23" s="1209">
        <f>HLOOKUP(AC$9,Crono!$DT$10:$FO$34,19,FALSE)*$E$23/1000</f>
        <v>0</v>
      </c>
      <c r="AD23" s="1209">
        <f>HLOOKUP(AD$9,Crono!$DT$10:$FO$34,19,FALSE)*$E$23/1000</f>
        <v>0</v>
      </c>
      <c r="AE23" s="1209">
        <f>HLOOKUP(AE$9,Crono!$DT$10:$FO$34,19,FALSE)*$E$23/1000</f>
        <v>0</v>
      </c>
      <c r="AF23" s="1209">
        <f>HLOOKUP(AF$9,Crono!$DT$10:$FO$34,19,FALSE)*$E$23/1000</f>
        <v>0</v>
      </c>
      <c r="AG23" s="1209">
        <f>HLOOKUP(AG$9,Crono!$DT$10:$FO$34,19,FALSE)*$E$23/1000</f>
        <v>0</v>
      </c>
      <c r="AH23" s="1209">
        <f>HLOOKUP(AH$9,Crono!$DT$10:$FO$34,19,FALSE)*$E$23/1000</f>
        <v>0</v>
      </c>
      <c r="AI23" s="1209">
        <f>HLOOKUP(AI$9,Crono!$DT$10:$FO$34,19,FALSE)*$E$23/1000</f>
        <v>0</v>
      </c>
      <c r="AJ23" s="1209">
        <f>HLOOKUP(AJ$9,Crono!$DT$10:$FO$34,19,FALSE)*$E$23/1000</f>
        <v>0</v>
      </c>
      <c r="AK23" s="1209">
        <f>HLOOKUP(AK$9,Crono!$DT$10:$FO$34,19,FALSE)*$E$23/1000</f>
        <v>0</v>
      </c>
      <c r="AL23" s="1209">
        <f>HLOOKUP(AL$9,Crono!$DT$10:$FO$34,19,FALSE)*$E$23/1000</f>
        <v>0</v>
      </c>
      <c r="AM23" s="1209">
        <f>HLOOKUP(AM$9,Crono!$DT$10:$FO$34,19,FALSE)*$E$23/1000</f>
        <v>0</v>
      </c>
      <c r="AN23" s="1209">
        <f>HLOOKUP(AN$9,Crono!$DT$10:$FO$34,19,FALSE)*$E$23/1000</f>
        <v>0</v>
      </c>
      <c r="AO23" s="1209">
        <f>HLOOKUP(AO$9,Crono!$DT$10:$FO$34,19,FALSE)*$E$23/1000</f>
        <v>0</v>
      </c>
      <c r="AP23" s="1209">
        <f>HLOOKUP(AP$9,Crono!$DT$10:$FO$34,19,FALSE)*$E$23/1000</f>
        <v>0</v>
      </c>
      <c r="AQ23" s="1209">
        <f>HLOOKUP(AQ$9,Crono!$DT$10:$FO$34,19,FALSE)*$E$23/1000</f>
        <v>0</v>
      </c>
      <c r="AR23" s="1209">
        <f>HLOOKUP(AR$9,Crono!$DT$10:$FO$34,19,FALSE)*$E$23/1000</f>
        <v>0</v>
      </c>
      <c r="AS23" s="1209">
        <f>HLOOKUP(AS$9,Crono!$DT$10:$FO$34,19,FALSE)*$E$23/1000</f>
        <v>0</v>
      </c>
      <c r="AT23" s="1209">
        <f>HLOOKUP(AT$9,Crono!$DT$10:$FO$34,19,FALSE)*$E$23/1000</f>
        <v>0</v>
      </c>
      <c r="AU23" s="1209">
        <f>HLOOKUP(AU$9,Crono!$DT$10:$FO$34,19,FALSE)*$E$23/1000</f>
        <v>0</v>
      </c>
      <c r="AV23" s="1209">
        <f>HLOOKUP(AV$9,Crono!$DT$10:$FO$34,19,FALSE)*$E$23/1000</f>
        <v>0</v>
      </c>
      <c r="AW23" s="1209">
        <f>HLOOKUP(AW$9,Crono!$DT$10:$FO$34,19,FALSE)*$E$23/1000</f>
        <v>0</v>
      </c>
      <c r="AX23" s="1209">
        <f>HLOOKUP(AX$9,Crono!$DT$10:$FO$34,19,FALSE)*$E$23/1000</f>
        <v>0</v>
      </c>
      <c r="AY23" s="1209">
        <f>HLOOKUP(AY$9,Crono!$DT$10:$FO$34,19,FALSE)*$E$23/1000</f>
        <v>0</v>
      </c>
      <c r="AZ23" s="1209">
        <f>HLOOKUP(AZ$9,Crono!$DT$10:$FO$34,19,FALSE)*$E$23/1000</f>
        <v>0</v>
      </c>
      <c r="BA23" s="1209">
        <f>HLOOKUP(BA$9,Crono!$DT$10:$FO$34,19,FALSE)*$E$23/1000</f>
        <v>0</v>
      </c>
      <c r="BB23" s="1209">
        <f>HLOOKUP(BB$9,Crono!$DT$10:$FO$34,19,FALSE)*$E$23/1000</f>
        <v>0</v>
      </c>
      <c r="BC23" s="1209">
        <f>HLOOKUP(BC$9,Crono!$DT$10:$FO$34,19,FALSE)*$E$23/1000</f>
        <v>0</v>
      </c>
    </row>
    <row r="24" spans="1:55">
      <c r="A24" s="1262">
        <f t="shared" si="0"/>
        <v>16</v>
      </c>
      <c r="B24" s="1169" t="s">
        <v>1132</v>
      </c>
      <c r="E24" s="1258">
        <f>Crono!BQ34*(EQ_CE!$G$187+EQ_CE!$H$187+EQ_CE!$I$187)/SUM(EQ_CE!$F$187:$I$187)</f>
        <v>0</v>
      </c>
      <c r="F24" s="1167">
        <f t="shared" si="7"/>
        <v>0</v>
      </c>
      <c r="G24" s="1187">
        <f t="shared" si="8"/>
        <v>0</v>
      </c>
      <c r="H24" s="1188">
        <f>HLOOKUP(H$9,Crono!$DT$10:$FO$34,19,FALSE)*$E$24/1000</f>
        <v>0</v>
      </c>
      <c r="I24" s="1188">
        <f>HLOOKUP(I$9,Crono!$DT$10:$FO$34,19,FALSE)*$E$24/1000</f>
        <v>0</v>
      </c>
      <c r="J24" s="1188">
        <f>HLOOKUP(J$9,Crono!$DT$10:$FO$34,19,FALSE)*$E$24/1000</f>
        <v>0</v>
      </c>
      <c r="K24" s="1188">
        <f>HLOOKUP(K$9,Crono!$DT$10:$FO$34,19,FALSE)*$E$24/1000</f>
        <v>0</v>
      </c>
      <c r="L24" s="1188">
        <f>HLOOKUP(L$9,Crono!$DT$10:$FO$34,19,FALSE)*$E$24/1000</f>
        <v>0</v>
      </c>
      <c r="M24" s="1188">
        <f>HLOOKUP(M$9,Crono!$DT$10:$FO$34,19,FALSE)*$E$24/1000</f>
        <v>0</v>
      </c>
      <c r="N24" s="1188">
        <f>HLOOKUP(N$9,Crono!$DT$10:$FO$34,19,FALSE)*$E$24/1000</f>
        <v>0</v>
      </c>
      <c r="O24" s="1188">
        <f>HLOOKUP(O$9,Crono!$DT$10:$FO$34,19,FALSE)*$E$24/1000</f>
        <v>0</v>
      </c>
      <c r="P24" s="1188">
        <f>HLOOKUP(P$9,Crono!$DT$10:$FO$34,19,FALSE)*$E$24/1000</f>
        <v>0</v>
      </c>
      <c r="Q24" s="1188">
        <f>HLOOKUP(Q$9,Crono!$DT$10:$FO$34,19,FALSE)*$E$24/1000</f>
        <v>0</v>
      </c>
      <c r="R24" s="1188">
        <f>HLOOKUP(R$9,Crono!$DT$10:$FO$34,19,FALSE)*$E$24/1000</f>
        <v>0</v>
      </c>
      <c r="S24" s="1188">
        <f>HLOOKUP(S$9,Crono!$DT$10:$FO$34,19,FALSE)*$E$24/1000</f>
        <v>0</v>
      </c>
      <c r="T24" s="1188">
        <f>HLOOKUP(T$9,Crono!$DT$10:$FO$34,19,FALSE)*$E$24/1000</f>
        <v>0</v>
      </c>
      <c r="U24" s="1188">
        <f>HLOOKUP(U$9,Crono!$DT$10:$FO$34,19,FALSE)*$E$24/1000</f>
        <v>0</v>
      </c>
      <c r="V24" s="1188">
        <f>HLOOKUP(V$9,Crono!$DT$10:$FO$34,19,FALSE)*$E$24/1000</f>
        <v>0</v>
      </c>
      <c r="W24" s="1188">
        <f>HLOOKUP(W$9,Crono!$DT$10:$FO$34,19,FALSE)*$E$24/1000</f>
        <v>0</v>
      </c>
      <c r="X24" s="1188">
        <f>HLOOKUP(X$9,Crono!$DT$10:$FO$34,19,FALSE)*$E$24/1000</f>
        <v>0</v>
      </c>
      <c r="Y24" s="1188">
        <f>HLOOKUP(Y$9,Crono!$DT$10:$FO$34,19,FALSE)*$E$24/1000</f>
        <v>0</v>
      </c>
      <c r="Z24" s="1188">
        <f>HLOOKUP(Z$9,Crono!$DT$10:$FO$34,19,FALSE)*$E$24/1000</f>
        <v>0</v>
      </c>
      <c r="AA24" s="1188">
        <f>HLOOKUP(AA$9,Crono!$DT$10:$FO$34,19,FALSE)*$E$24/1000</f>
        <v>0</v>
      </c>
      <c r="AB24" s="1188">
        <f>HLOOKUP(AB$9,Crono!$DT$10:$FO$34,19,FALSE)*$E$24/1000</f>
        <v>0</v>
      </c>
      <c r="AC24" s="1188">
        <f>HLOOKUP(AC$9,Crono!$DT$10:$FO$34,19,FALSE)*$E$24/1000</f>
        <v>0</v>
      </c>
      <c r="AD24" s="1188">
        <f>HLOOKUP(AD$9,Crono!$DT$10:$FO$34,19,FALSE)*$E$24/1000</f>
        <v>0</v>
      </c>
      <c r="AE24" s="1188">
        <f>HLOOKUP(AE$9,Crono!$DT$10:$FO$34,19,FALSE)*$E$24/1000</f>
        <v>0</v>
      </c>
      <c r="AF24" s="1188">
        <f>HLOOKUP(AF$9,Crono!$DT$10:$FO$34,19,FALSE)*$E$24/1000</f>
        <v>0</v>
      </c>
      <c r="AG24" s="1188">
        <f>HLOOKUP(AG$9,Crono!$DT$10:$FO$34,19,FALSE)*$E$24/1000</f>
        <v>0</v>
      </c>
      <c r="AH24" s="1188">
        <f>HLOOKUP(AH$9,Crono!$DT$10:$FO$34,19,FALSE)*$E$24/1000</f>
        <v>0</v>
      </c>
      <c r="AI24" s="1188">
        <f>HLOOKUP(AI$9,Crono!$DT$10:$FO$34,19,FALSE)*$E$24/1000</f>
        <v>0</v>
      </c>
      <c r="AJ24" s="1188">
        <f>HLOOKUP(AJ$9,Crono!$DT$10:$FO$34,19,FALSE)*$E$24/1000</f>
        <v>0</v>
      </c>
      <c r="AK24" s="1188">
        <f>HLOOKUP(AK$9,Crono!$DT$10:$FO$34,19,FALSE)*$E$24/1000</f>
        <v>0</v>
      </c>
      <c r="AL24" s="1188">
        <f>HLOOKUP(AL$9,Crono!$DT$10:$FO$34,19,FALSE)*$E$24/1000</f>
        <v>0</v>
      </c>
      <c r="AM24" s="1188">
        <f>HLOOKUP(AM$9,Crono!$DT$10:$FO$34,19,FALSE)*$E$24/1000</f>
        <v>0</v>
      </c>
      <c r="AN24" s="1188">
        <f>HLOOKUP(AN$9,Crono!$DT$10:$FO$34,19,FALSE)*$E$24/1000</f>
        <v>0</v>
      </c>
      <c r="AO24" s="1188">
        <f>HLOOKUP(AO$9,Crono!$DT$10:$FO$34,19,FALSE)*$E$24/1000</f>
        <v>0</v>
      </c>
      <c r="AP24" s="1188">
        <f>HLOOKUP(AP$9,Crono!$DT$10:$FO$34,19,FALSE)*$E$24/1000</f>
        <v>0</v>
      </c>
      <c r="AQ24" s="1188">
        <f>HLOOKUP(AQ$9,Crono!$DT$10:$FO$34,19,FALSE)*$E$24/1000</f>
        <v>0</v>
      </c>
      <c r="AR24" s="1188">
        <f>HLOOKUP(AR$9,Crono!$DT$10:$FO$34,19,FALSE)*$E$24/1000</f>
        <v>0</v>
      </c>
      <c r="AS24" s="1188">
        <f>HLOOKUP(AS$9,Crono!$DT$10:$FO$34,19,FALSE)*$E$24/1000</f>
        <v>0</v>
      </c>
      <c r="AT24" s="1188">
        <f>HLOOKUP(AT$9,Crono!$DT$10:$FO$34,19,FALSE)*$E$24/1000</f>
        <v>0</v>
      </c>
      <c r="AU24" s="1188">
        <f>HLOOKUP(AU$9,Crono!$DT$10:$FO$34,19,FALSE)*$E$24/1000</f>
        <v>0</v>
      </c>
      <c r="AV24" s="1188">
        <f>HLOOKUP(AV$9,Crono!$DT$10:$FO$34,19,FALSE)*$E$24/1000</f>
        <v>0</v>
      </c>
      <c r="AW24" s="1188">
        <f>HLOOKUP(AW$9,Crono!$DT$10:$FO$34,19,FALSE)*$E$24/1000</f>
        <v>0</v>
      </c>
      <c r="AX24" s="1188">
        <f>HLOOKUP(AX$9,Crono!$DT$10:$FO$34,19,FALSE)*$E$24/1000</f>
        <v>0</v>
      </c>
      <c r="AY24" s="1188">
        <f>HLOOKUP(AY$9,Crono!$DT$10:$FO$34,19,FALSE)*$E$24/1000</f>
        <v>0</v>
      </c>
      <c r="AZ24" s="1188">
        <f>HLOOKUP(AZ$9,Crono!$DT$10:$FO$34,19,FALSE)*$E$24/1000</f>
        <v>0</v>
      </c>
      <c r="BA24" s="1188">
        <f>HLOOKUP(BA$9,Crono!$DT$10:$FO$34,19,FALSE)*$E$24/1000</f>
        <v>0</v>
      </c>
      <c r="BB24" s="1188">
        <f>HLOOKUP(BB$9,Crono!$DT$10:$FO$34,19,FALSE)*$E$24/1000</f>
        <v>0</v>
      </c>
      <c r="BC24" s="1188">
        <f>HLOOKUP(BC$9,Crono!$DT$10:$FO$34,19,FALSE)*$E$24/1000</f>
        <v>0</v>
      </c>
    </row>
    <row r="25" spans="1:55">
      <c r="A25" s="1262">
        <f t="shared" si="0"/>
        <v>17</v>
      </c>
      <c r="B25" s="1169" t="s">
        <v>3518</v>
      </c>
      <c r="E25" s="1166">
        <f>Crono!BS34</f>
        <v>0</v>
      </c>
      <c r="F25" s="1167">
        <f t="shared" si="7"/>
        <v>0</v>
      </c>
      <c r="G25" s="1187">
        <f t="shared" si="8"/>
        <v>0</v>
      </c>
      <c r="H25" s="1188"/>
      <c r="I25" s="1188"/>
      <c r="J25" s="1188"/>
      <c r="K25" s="1188"/>
      <c r="L25" s="1188"/>
      <c r="M25" s="1188"/>
      <c r="N25" s="1188"/>
      <c r="O25" s="1188"/>
      <c r="P25" s="1188"/>
      <c r="Q25" s="1188"/>
      <c r="R25" s="1188"/>
      <c r="S25" s="1188"/>
      <c r="T25" s="1188"/>
      <c r="U25" s="1188"/>
      <c r="V25" s="1188"/>
      <c r="W25" s="1188"/>
      <c r="X25" s="1188"/>
      <c r="Y25" s="1188"/>
      <c r="Z25" s="1188"/>
      <c r="AA25" s="1188"/>
      <c r="AB25" s="1188"/>
      <c r="AC25" s="1188"/>
      <c r="AD25" s="1188"/>
      <c r="AE25" s="1188"/>
      <c r="AF25" s="1188"/>
      <c r="AG25" s="1188"/>
      <c r="AH25" s="1188"/>
      <c r="AI25" s="1188"/>
      <c r="AJ25" s="1188"/>
      <c r="AK25" s="1188"/>
      <c r="AL25" s="1188"/>
      <c r="AM25" s="1188"/>
      <c r="AN25" s="1188"/>
      <c r="AO25" s="1188"/>
      <c r="AP25" s="1188"/>
      <c r="AQ25" s="1188"/>
      <c r="AR25" s="1188"/>
      <c r="AS25" s="1188"/>
      <c r="AT25" s="1188"/>
      <c r="AU25" s="1188"/>
      <c r="AV25" s="1188"/>
      <c r="AW25" s="1188"/>
      <c r="AX25" s="1188"/>
      <c r="AY25" s="1188"/>
      <c r="AZ25" s="1188"/>
      <c r="BA25" s="1188"/>
      <c r="BB25" s="1188"/>
      <c r="BC25" s="1188"/>
    </row>
    <row r="26" spans="1:55">
      <c r="A26" s="1262">
        <f t="shared" si="0"/>
        <v>18</v>
      </c>
      <c r="B26" s="1169" t="s">
        <v>1133</v>
      </c>
      <c r="E26" s="1166">
        <f>(Crono!BQ28+Crono!BQ34+Crono!BU39)-Precio!E14-Precio!E15-E23-E24</f>
        <v>0</v>
      </c>
      <c r="F26" s="1167">
        <f>+E26/$E$9</f>
        <v>0</v>
      </c>
      <c r="G26" s="1187">
        <f t="shared" si="8"/>
        <v>0</v>
      </c>
      <c r="H26" s="1188">
        <f>(HLOOKUP(H$9,Crono!$DT$10:$FO$34,19,FALSE)+HLOOKUP(H$9,Crono!$DT$10:$FO$34,19,FALSE))*$E$26/1000</f>
        <v>0</v>
      </c>
      <c r="I26" s="1188">
        <f>(HLOOKUP(I$9,Crono!$DT$10:$FO$34,19,FALSE)+HLOOKUP(I$9,Crono!$DT$10:$FO$34,19,FALSE))*$E$26/1000</f>
        <v>0</v>
      </c>
      <c r="J26" s="1188">
        <f>(HLOOKUP(J$9,Crono!$DT$10:$FO$34,19,FALSE)+HLOOKUP(J$9,Crono!$DT$10:$FO$34,19,FALSE))*$E$26/1000</f>
        <v>0</v>
      </c>
      <c r="K26" s="1188">
        <f>(HLOOKUP(K$9,Crono!$DT$10:$FO$34,19,FALSE)+HLOOKUP(K$9,Crono!$DT$10:$FO$34,19,FALSE))*$E$26/1000</f>
        <v>0</v>
      </c>
      <c r="L26" s="1188">
        <f>(HLOOKUP(L$9,Crono!$DT$10:$FO$34,19,FALSE)+HLOOKUP(L$9,Crono!$DT$10:$FO$34,19,FALSE))*$E$26/1000</f>
        <v>0</v>
      </c>
      <c r="M26" s="1188">
        <f>(HLOOKUP(M$9,Crono!$DT$10:$FO$34,19,FALSE)+HLOOKUP(M$9,Crono!$DT$10:$FO$34,19,FALSE))*$E$26/1000</f>
        <v>0</v>
      </c>
      <c r="N26" s="1188">
        <f>(HLOOKUP(N$9,Crono!$DT$10:$FO$34,19,FALSE)+HLOOKUP(N$9,Crono!$DT$10:$FO$34,19,FALSE))*$E$26/1000</f>
        <v>0</v>
      </c>
      <c r="O26" s="1188">
        <f>(HLOOKUP(O$9,Crono!$DT$10:$FO$34,19,FALSE)+HLOOKUP(O$9,Crono!$DT$10:$FO$34,19,FALSE))*$E$26/1000</f>
        <v>0</v>
      </c>
      <c r="P26" s="1188">
        <f>(HLOOKUP(P$9,Crono!$DT$10:$FO$34,19,FALSE)+HLOOKUP(P$9,Crono!$DT$10:$FO$34,19,FALSE))*$E$26/1000</f>
        <v>0</v>
      </c>
      <c r="Q26" s="1188">
        <f>(HLOOKUP(Q$9,Crono!$DT$10:$FO$34,19,FALSE)+HLOOKUP(Q$9,Crono!$DT$10:$FO$34,19,FALSE))*$E$26/1000</f>
        <v>0</v>
      </c>
      <c r="R26" s="1188">
        <f>(HLOOKUP(R$9,Crono!$DT$10:$FO$34,19,FALSE)+HLOOKUP(R$9,Crono!$DT$10:$FO$34,19,FALSE))*$E$26/1000</f>
        <v>0</v>
      </c>
      <c r="S26" s="1188">
        <f>(HLOOKUP(S$9,Crono!$DT$10:$FO$34,19,FALSE)+HLOOKUP(S$9,Crono!$DT$10:$FO$34,19,FALSE))*$E$26/1000</f>
        <v>0</v>
      </c>
      <c r="T26" s="1188">
        <f>(HLOOKUP(T$9,Crono!$DT$10:$FO$34,19,FALSE)+HLOOKUP(T$9,Crono!$DT$10:$FO$34,19,FALSE))*$E$26/1000</f>
        <v>0</v>
      </c>
      <c r="U26" s="1188">
        <f>(HLOOKUP(U$9,Crono!$DT$10:$FO$34,19,FALSE)+HLOOKUP(U$9,Crono!$DT$10:$FO$34,19,FALSE))*$E$26/1000</f>
        <v>0</v>
      </c>
      <c r="V26" s="1188">
        <f>(HLOOKUP(V$9,Crono!$DT$10:$FO$34,19,FALSE)+HLOOKUP(V$9,Crono!$DT$10:$FO$34,19,FALSE))*$E$26/1000</f>
        <v>0</v>
      </c>
      <c r="W26" s="1188">
        <f>(HLOOKUP(W$9,Crono!$DT$10:$FO$34,19,FALSE)+HLOOKUP(W$9,Crono!$DT$10:$FO$34,19,FALSE))*$E$26/1000</f>
        <v>0</v>
      </c>
      <c r="X26" s="1188">
        <f>(HLOOKUP(X$9,Crono!$DT$10:$FO$34,19,FALSE)+HLOOKUP(X$9,Crono!$DT$10:$FO$34,19,FALSE))*$E$26/1000</f>
        <v>0</v>
      </c>
      <c r="Y26" s="1188">
        <f>(HLOOKUP(Y$9,Crono!$DT$10:$FO$34,19,FALSE)+HLOOKUP(Y$9,Crono!$DT$10:$FO$34,19,FALSE))*$E$26/1000</f>
        <v>0</v>
      </c>
      <c r="Z26" s="1188">
        <f>(HLOOKUP(Z$9,Crono!$DT$10:$FO$34,19,FALSE)+HLOOKUP(Z$9,Crono!$DT$10:$FO$34,19,FALSE))*$E$26/1000</f>
        <v>0</v>
      </c>
      <c r="AA26" s="1188">
        <f>(HLOOKUP(AA$9,Crono!$DT$10:$FO$34,19,FALSE)+HLOOKUP(AA$9,Crono!$DT$10:$FO$34,19,FALSE))*$E$26/1000</f>
        <v>0</v>
      </c>
      <c r="AB26" s="1188">
        <f>(HLOOKUP(AB$9,Crono!$DT$10:$FO$34,19,FALSE)+HLOOKUP(AB$9,Crono!$DT$10:$FO$34,19,FALSE))*$E$26/1000</f>
        <v>0</v>
      </c>
      <c r="AC26" s="1188">
        <f>(HLOOKUP(AC$9,Crono!$DT$10:$FO$34,19,FALSE)+HLOOKUP(AC$9,Crono!$DT$10:$FO$34,19,FALSE))*$E$26/1000</f>
        <v>0</v>
      </c>
      <c r="AD26" s="1188">
        <f>(HLOOKUP(AD$9,Crono!$DT$10:$FO$34,19,FALSE)+HLOOKUP(AD$9,Crono!$DT$10:$FO$34,19,FALSE))*$E$26/1000</f>
        <v>0</v>
      </c>
      <c r="AE26" s="1188">
        <f>(HLOOKUP(AE$9,Crono!$DT$10:$FO$34,19,FALSE)+HLOOKUP(AE$9,Crono!$DT$10:$FO$34,19,FALSE))*$E$26/1000</f>
        <v>0</v>
      </c>
      <c r="AF26" s="1188">
        <f>(HLOOKUP(AF$9,Crono!$DT$10:$FO$34,19,FALSE)+HLOOKUP(AF$9,Crono!$DT$10:$FO$34,19,FALSE))*$E$26/1000</f>
        <v>0</v>
      </c>
      <c r="AG26" s="1188">
        <f>(HLOOKUP(AG$9,Crono!$DT$10:$FO$34,19,FALSE)+HLOOKUP(AG$9,Crono!$DT$10:$FO$34,19,FALSE))*$E$26/1000</f>
        <v>0</v>
      </c>
      <c r="AH26" s="1188">
        <f>(HLOOKUP(AH$9,Crono!$DT$10:$FO$34,19,FALSE)+HLOOKUP(AH$9,Crono!$DT$10:$FO$34,19,FALSE))*$E$26/1000</f>
        <v>0</v>
      </c>
      <c r="AI26" s="1188">
        <f>(HLOOKUP(AI$9,Crono!$DT$10:$FO$34,19,FALSE)+HLOOKUP(AI$9,Crono!$DT$10:$FO$34,19,FALSE))*$E$26/1000</f>
        <v>0</v>
      </c>
      <c r="AJ26" s="1188">
        <f>(HLOOKUP(AJ$9,Crono!$DT$10:$FO$34,19,FALSE)+HLOOKUP(AJ$9,Crono!$DT$10:$FO$34,19,FALSE))*$E$26/1000</f>
        <v>0</v>
      </c>
      <c r="AK26" s="1188">
        <f>(HLOOKUP(AK$9,Crono!$DT$10:$FO$34,19,FALSE)+HLOOKUP(AK$9,Crono!$DT$10:$FO$34,19,FALSE))*$E$26/1000</f>
        <v>0</v>
      </c>
      <c r="AL26" s="1188">
        <f>(HLOOKUP(AL$9,Crono!$DT$10:$FO$34,19,FALSE)+HLOOKUP(AL$9,Crono!$DT$10:$FO$34,19,FALSE))*$E$26/1000</f>
        <v>0</v>
      </c>
      <c r="AM26" s="1188">
        <f>(HLOOKUP(AM$9,Crono!$DT$10:$FO$34,19,FALSE)+HLOOKUP(AM$9,Crono!$DT$10:$FO$34,19,FALSE))*$E$26/1000</f>
        <v>0</v>
      </c>
      <c r="AN26" s="1188">
        <f>(HLOOKUP(AN$9,Crono!$DT$10:$FO$34,19,FALSE)+HLOOKUP(AN$9,Crono!$DT$10:$FO$34,19,FALSE))*$E$26/1000</f>
        <v>0</v>
      </c>
      <c r="AO26" s="1188">
        <f>(HLOOKUP(AO$9,Crono!$DT$10:$FO$34,19,FALSE)+HLOOKUP(AO$9,Crono!$DT$10:$FO$34,19,FALSE))*$E$26/1000</f>
        <v>0</v>
      </c>
      <c r="AP26" s="1188">
        <f>(HLOOKUP(AP$9,Crono!$DT$10:$FO$34,19,FALSE)+HLOOKUP(AP$9,Crono!$DT$10:$FO$34,19,FALSE))*$E$26/1000</f>
        <v>0</v>
      </c>
      <c r="AQ26" s="1188">
        <f>(HLOOKUP(AQ$9,Crono!$DT$10:$FO$34,19,FALSE)+HLOOKUP(AQ$9,Crono!$DT$10:$FO$34,19,FALSE))*$E$26/1000</f>
        <v>0</v>
      </c>
      <c r="AR26" s="1188">
        <f>(HLOOKUP(AR$9,Crono!$DT$10:$FO$34,19,FALSE)+HLOOKUP(AR$9,Crono!$DT$10:$FO$34,19,FALSE))*$E$26/1000</f>
        <v>0</v>
      </c>
      <c r="AS26" s="1188">
        <f>(HLOOKUP(AS$9,Crono!$DT$10:$FO$34,19,FALSE)+HLOOKUP(AS$9,Crono!$DT$10:$FO$34,19,FALSE))*$E$26/1000</f>
        <v>0</v>
      </c>
      <c r="AT26" s="1188">
        <f>(HLOOKUP(AT$9,Crono!$DT$10:$FO$34,19,FALSE)+HLOOKUP(AT$9,Crono!$DT$10:$FO$34,19,FALSE))*$E$26/1000</f>
        <v>0</v>
      </c>
      <c r="AU26" s="1188">
        <f>(HLOOKUP(AU$9,Crono!$DT$10:$FO$34,19,FALSE)+HLOOKUP(AU$9,Crono!$DT$10:$FO$34,19,FALSE))*$E$26/1000</f>
        <v>0</v>
      </c>
      <c r="AV26" s="1188">
        <f>(HLOOKUP(AV$9,Crono!$DT$10:$FO$34,19,FALSE)+HLOOKUP(AV$9,Crono!$DT$10:$FO$34,19,FALSE))*$E$26/1000</f>
        <v>0</v>
      </c>
      <c r="AW26" s="1188">
        <f>(HLOOKUP(AW$9,Crono!$DT$10:$FO$34,19,FALSE)+HLOOKUP(AW$9,Crono!$DT$10:$FO$34,19,FALSE))*$E$26/1000</f>
        <v>0</v>
      </c>
      <c r="AX26" s="1188">
        <f>(HLOOKUP(AX$9,Crono!$DT$10:$FO$34,19,FALSE)+HLOOKUP(AX$9,Crono!$DT$10:$FO$34,19,FALSE))*$E$26/1000</f>
        <v>0</v>
      </c>
      <c r="AY26" s="1188">
        <f>(HLOOKUP(AY$9,Crono!$DT$10:$FO$34,19,FALSE)+HLOOKUP(AY$9,Crono!$DT$10:$FO$34,19,FALSE))*$E$26/1000</f>
        <v>0</v>
      </c>
      <c r="AZ26" s="1188">
        <f>(HLOOKUP(AZ$9,Crono!$DT$10:$FO$34,19,FALSE)+HLOOKUP(AZ$9,Crono!$DT$10:$FO$34,19,FALSE))*$E$26/1000</f>
        <v>0</v>
      </c>
      <c r="BA26" s="1188">
        <f>(HLOOKUP(BA$9,Crono!$DT$10:$FO$34,19,FALSE)+HLOOKUP(BA$9,Crono!$DT$10:$FO$34,19,FALSE))*$E$26/1000</f>
        <v>0</v>
      </c>
      <c r="BB26" s="1188">
        <f>(HLOOKUP(BB$9,Crono!$DT$10:$FO$34,19,FALSE)+HLOOKUP(BB$9,Crono!$DT$10:$FO$34,19,FALSE))*$E$26/1000</f>
        <v>0</v>
      </c>
      <c r="BC26" s="1188">
        <f>(HLOOKUP(BC$9,Crono!$DT$10:$FO$34,19,FALSE)+HLOOKUP(BC$9,Crono!$DT$10:$FO$34,19,FALSE))*$E$26/1000</f>
        <v>0</v>
      </c>
    </row>
    <row r="27" spans="1:55">
      <c r="A27" s="1262">
        <f t="shared" si="0"/>
        <v>19</v>
      </c>
      <c r="G27" s="1187">
        <f>+SUM(H27:BC27)</f>
        <v>195.80395667940067</v>
      </c>
      <c r="H27" s="1260">
        <f>SUM(H19:H26)</f>
        <v>69.783427225022265</v>
      </c>
      <c r="I27" s="1260">
        <f t="shared" ref="I27:BC27" si="9">SUM(I19:I26)</f>
        <v>126.0205294543784</v>
      </c>
      <c r="J27" s="1260">
        <f t="shared" si="9"/>
        <v>0</v>
      </c>
      <c r="K27" s="1260">
        <f t="shared" si="9"/>
        <v>0</v>
      </c>
      <c r="L27" s="1260">
        <f t="shared" si="9"/>
        <v>0</v>
      </c>
      <c r="M27" s="1260">
        <f t="shared" si="9"/>
        <v>0</v>
      </c>
      <c r="N27" s="1260">
        <f t="shared" si="9"/>
        <v>0</v>
      </c>
      <c r="O27" s="1260">
        <f t="shared" si="9"/>
        <v>0</v>
      </c>
      <c r="P27" s="1260">
        <f t="shared" si="9"/>
        <v>0</v>
      </c>
      <c r="Q27" s="1260">
        <f t="shared" si="9"/>
        <v>0</v>
      </c>
      <c r="R27" s="1260">
        <f t="shared" si="9"/>
        <v>0</v>
      </c>
      <c r="S27" s="1260">
        <f t="shared" si="9"/>
        <v>0</v>
      </c>
      <c r="T27" s="1260">
        <f t="shared" si="9"/>
        <v>0</v>
      </c>
      <c r="U27" s="1260">
        <f t="shared" si="9"/>
        <v>0</v>
      </c>
      <c r="V27" s="1260">
        <f t="shared" si="9"/>
        <v>0</v>
      </c>
      <c r="W27" s="1260">
        <f t="shared" si="9"/>
        <v>0</v>
      </c>
      <c r="X27" s="1260">
        <f t="shared" si="9"/>
        <v>0</v>
      </c>
      <c r="Y27" s="1260">
        <f t="shared" si="9"/>
        <v>0</v>
      </c>
      <c r="Z27" s="1260">
        <f t="shared" si="9"/>
        <v>0</v>
      </c>
      <c r="AA27" s="1260">
        <f t="shared" si="9"/>
        <v>0</v>
      </c>
      <c r="AB27" s="1260">
        <f t="shared" si="9"/>
        <v>0</v>
      </c>
      <c r="AC27" s="1260">
        <f t="shared" si="9"/>
        <v>0</v>
      </c>
      <c r="AD27" s="1260">
        <f t="shared" si="9"/>
        <v>0</v>
      </c>
      <c r="AE27" s="1260">
        <f t="shared" si="9"/>
        <v>0</v>
      </c>
      <c r="AF27" s="1260">
        <f t="shared" si="9"/>
        <v>0</v>
      </c>
      <c r="AG27" s="1260">
        <f t="shared" si="9"/>
        <v>0</v>
      </c>
      <c r="AH27" s="1260">
        <f t="shared" si="9"/>
        <v>0</v>
      </c>
      <c r="AI27" s="1260">
        <f t="shared" si="9"/>
        <v>0</v>
      </c>
      <c r="AJ27" s="1260">
        <f t="shared" si="9"/>
        <v>0</v>
      </c>
      <c r="AK27" s="1260">
        <f t="shared" si="9"/>
        <v>0</v>
      </c>
      <c r="AL27" s="1260">
        <f t="shared" si="9"/>
        <v>0</v>
      </c>
      <c r="AM27" s="1260">
        <f t="shared" si="9"/>
        <v>0</v>
      </c>
      <c r="AN27" s="1260">
        <f t="shared" si="9"/>
        <v>0</v>
      </c>
      <c r="AO27" s="1260">
        <f t="shared" si="9"/>
        <v>0</v>
      </c>
      <c r="AP27" s="1260">
        <f t="shared" si="9"/>
        <v>0</v>
      </c>
      <c r="AQ27" s="1260">
        <f t="shared" si="9"/>
        <v>0</v>
      </c>
      <c r="AR27" s="1260">
        <f t="shared" si="9"/>
        <v>0</v>
      </c>
      <c r="AS27" s="1260">
        <f t="shared" si="9"/>
        <v>0</v>
      </c>
      <c r="AT27" s="1260">
        <f t="shared" si="9"/>
        <v>0</v>
      </c>
      <c r="AU27" s="1260">
        <f t="shared" si="9"/>
        <v>0</v>
      </c>
      <c r="AV27" s="1260">
        <f t="shared" si="9"/>
        <v>0</v>
      </c>
      <c r="AW27" s="1260">
        <f t="shared" si="9"/>
        <v>0</v>
      </c>
      <c r="AX27" s="1260">
        <f t="shared" si="9"/>
        <v>0</v>
      </c>
      <c r="AY27" s="1260">
        <f t="shared" si="9"/>
        <v>0</v>
      </c>
      <c r="AZ27" s="1260">
        <f t="shared" si="9"/>
        <v>0</v>
      </c>
      <c r="BA27" s="1260">
        <f t="shared" si="9"/>
        <v>0</v>
      </c>
      <c r="BB27" s="1260">
        <f t="shared" si="9"/>
        <v>0</v>
      </c>
      <c r="BC27" s="1260">
        <f t="shared" si="9"/>
        <v>0</v>
      </c>
    </row>
    <row r="28" spans="1:55">
      <c r="A28" s="1262">
        <f t="shared" si="0"/>
        <v>20</v>
      </c>
      <c r="G28" s="1187">
        <f>+SUM(H28:BC28)</f>
        <v>324.50777305663655</v>
      </c>
      <c r="H28" s="1260">
        <f>H27+H17</f>
        <v>90.119469650269934</v>
      </c>
      <c r="I28" s="1260">
        <f t="shared" ref="I28:BC28" si="10">I27+I17</f>
        <v>234.38830340636662</v>
      </c>
      <c r="J28" s="1260">
        <f t="shared" si="10"/>
        <v>0</v>
      </c>
      <c r="K28" s="1260">
        <f t="shared" si="10"/>
        <v>0</v>
      </c>
      <c r="L28" s="1260">
        <f t="shared" si="10"/>
        <v>0</v>
      </c>
      <c r="M28" s="1260">
        <f t="shared" si="10"/>
        <v>0</v>
      </c>
      <c r="N28" s="1260">
        <f t="shared" si="10"/>
        <v>0</v>
      </c>
      <c r="O28" s="1260">
        <f t="shared" si="10"/>
        <v>0</v>
      </c>
      <c r="P28" s="1260">
        <f t="shared" si="10"/>
        <v>0</v>
      </c>
      <c r="Q28" s="1260">
        <f t="shared" si="10"/>
        <v>0</v>
      </c>
      <c r="R28" s="1260">
        <f t="shared" si="10"/>
        <v>0</v>
      </c>
      <c r="S28" s="1260">
        <f t="shared" si="10"/>
        <v>0</v>
      </c>
      <c r="T28" s="1260">
        <f t="shared" si="10"/>
        <v>0</v>
      </c>
      <c r="U28" s="1260">
        <f t="shared" si="10"/>
        <v>0</v>
      </c>
      <c r="V28" s="1260">
        <f t="shared" si="10"/>
        <v>0</v>
      </c>
      <c r="W28" s="1260">
        <f t="shared" si="10"/>
        <v>0</v>
      </c>
      <c r="X28" s="1260">
        <f t="shared" si="10"/>
        <v>0</v>
      </c>
      <c r="Y28" s="1260">
        <f t="shared" si="10"/>
        <v>0</v>
      </c>
      <c r="Z28" s="1260">
        <f t="shared" si="10"/>
        <v>0</v>
      </c>
      <c r="AA28" s="1260">
        <f t="shared" si="10"/>
        <v>0</v>
      </c>
      <c r="AB28" s="1260">
        <f t="shared" si="10"/>
        <v>0</v>
      </c>
      <c r="AC28" s="1260">
        <f t="shared" si="10"/>
        <v>0</v>
      </c>
      <c r="AD28" s="1260">
        <f t="shared" si="10"/>
        <v>0</v>
      </c>
      <c r="AE28" s="1260">
        <f t="shared" si="10"/>
        <v>0</v>
      </c>
      <c r="AF28" s="1260">
        <f t="shared" si="10"/>
        <v>0</v>
      </c>
      <c r="AG28" s="1260">
        <f t="shared" si="10"/>
        <v>0</v>
      </c>
      <c r="AH28" s="1260">
        <f t="shared" si="10"/>
        <v>0</v>
      </c>
      <c r="AI28" s="1260">
        <f t="shared" si="10"/>
        <v>0</v>
      </c>
      <c r="AJ28" s="1260">
        <f t="shared" si="10"/>
        <v>0</v>
      </c>
      <c r="AK28" s="1260">
        <f t="shared" si="10"/>
        <v>0</v>
      </c>
      <c r="AL28" s="1260">
        <f t="shared" si="10"/>
        <v>0</v>
      </c>
      <c r="AM28" s="1260">
        <f t="shared" si="10"/>
        <v>0</v>
      </c>
      <c r="AN28" s="1260">
        <f t="shared" si="10"/>
        <v>0</v>
      </c>
      <c r="AO28" s="1260">
        <f t="shared" si="10"/>
        <v>0</v>
      </c>
      <c r="AP28" s="1260">
        <f t="shared" si="10"/>
        <v>0</v>
      </c>
      <c r="AQ28" s="1260">
        <f t="shared" si="10"/>
        <v>0</v>
      </c>
      <c r="AR28" s="1260">
        <f t="shared" si="10"/>
        <v>0</v>
      </c>
      <c r="AS28" s="1260">
        <f t="shared" si="10"/>
        <v>0</v>
      </c>
      <c r="AT28" s="1260">
        <f t="shared" si="10"/>
        <v>0</v>
      </c>
      <c r="AU28" s="1260">
        <f t="shared" si="10"/>
        <v>0</v>
      </c>
      <c r="AV28" s="1260">
        <f t="shared" si="10"/>
        <v>0</v>
      </c>
      <c r="AW28" s="1260">
        <f t="shared" si="10"/>
        <v>0</v>
      </c>
      <c r="AX28" s="1260">
        <f t="shared" si="10"/>
        <v>0</v>
      </c>
      <c r="AY28" s="1260">
        <f t="shared" si="10"/>
        <v>0</v>
      </c>
      <c r="AZ28" s="1260">
        <f t="shared" si="10"/>
        <v>0</v>
      </c>
      <c r="BA28" s="1260">
        <f t="shared" si="10"/>
        <v>0</v>
      </c>
      <c r="BB28" s="1260">
        <f t="shared" si="10"/>
        <v>0</v>
      </c>
      <c r="BC28" s="1260">
        <f t="shared" si="10"/>
        <v>0</v>
      </c>
    </row>
    <row r="29" spans="1:55">
      <c r="A29" s="1262">
        <f t="shared" si="0"/>
        <v>21</v>
      </c>
      <c r="H29" s="1188"/>
      <c r="I29" s="1188"/>
      <c r="J29" s="1188"/>
      <c r="K29" s="1188"/>
      <c r="L29" s="1188"/>
      <c r="M29" s="1188"/>
      <c r="N29" s="1188"/>
      <c r="O29" s="1188"/>
      <c r="P29" s="1188"/>
      <c r="Q29" s="1188"/>
      <c r="R29" s="1188"/>
      <c r="S29" s="1188"/>
      <c r="T29" s="1188"/>
      <c r="U29" s="1188"/>
      <c r="V29" s="1188"/>
      <c r="W29" s="1188"/>
      <c r="X29" s="1188"/>
      <c r="Y29" s="1188"/>
      <c r="Z29" s="1188"/>
      <c r="AA29" s="1188"/>
      <c r="AB29" s="1188"/>
      <c r="AC29" s="1188"/>
      <c r="AD29" s="1188"/>
      <c r="AE29" s="1188"/>
      <c r="AF29" s="1188"/>
      <c r="AG29" s="1188"/>
      <c r="AH29" s="1188"/>
      <c r="AI29" s="1188"/>
      <c r="AJ29" s="1188"/>
      <c r="AK29" s="1188"/>
      <c r="AL29" s="1188"/>
      <c r="AM29" s="1188"/>
      <c r="AN29" s="1188"/>
      <c r="AO29" s="1188"/>
      <c r="AP29" s="1188"/>
      <c r="AQ29" s="1188"/>
      <c r="AR29" s="1188"/>
      <c r="AS29" s="1188"/>
      <c r="AT29" s="1188"/>
      <c r="AU29" s="1188"/>
      <c r="AV29" s="1188"/>
      <c r="AW29" s="1188"/>
      <c r="AX29" s="1188"/>
      <c r="AY29" s="1188"/>
      <c r="AZ29" s="1188"/>
      <c r="BA29" s="1188"/>
      <c r="BB29" s="1188"/>
      <c r="BC29" s="1188"/>
    </row>
    <row r="30" spans="1:55">
      <c r="A30" s="1262">
        <f t="shared" si="0"/>
        <v>22</v>
      </c>
      <c r="G30" s="1168"/>
    </row>
    <row r="31" spans="1:55">
      <c r="A31" s="1262">
        <f t="shared" si="0"/>
        <v>23</v>
      </c>
      <c r="B31" s="1163" t="s">
        <v>1134</v>
      </c>
      <c r="E31" s="1164">
        <f>+SUM(E32:E34)</f>
        <v>93672.34686170952</v>
      </c>
      <c r="G31" s="1168"/>
    </row>
    <row r="32" spans="1:55">
      <c r="A32" s="1262">
        <f t="shared" si="0"/>
        <v>24</v>
      </c>
      <c r="B32" s="1169" t="s">
        <v>552</v>
      </c>
      <c r="E32" s="1170">
        <f>+F32*$E$36</f>
        <v>43490.732471507996</v>
      </c>
      <c r="F32" s="1171">
        <f>+Items!G53-Precio!F33-Precio!F34</f>
        <v>0.10400000000000001</v>
      </c>
      <c r="G32" s="1187">
        <f t="shared" si="2"/>
        <v>302.25373872808569</v>
      </c>
      <c r="H32" s="1188">
        <f t="shared" ref="H32:Q34" si="11">+$E32/$E$36*H$59</f>
        <v>33.932861126069348</v>
      </c>
      <c r="I32" s="1188">
        <f t="shared" si="11"/>
        <v>252.53001500110588</v>
      </c>
      <c r="J32" s="1188">
        <f t="shared" si="11"/>
        <v>5.1996055258656142</v>
      </c>
      <c r="K32" s="1188">
        <f t="shared" si="11"/>
        <v>10.591257075044902</v>
      </c>
      <c r="L32" s="1188">
        <f t="shared" si="11"/>
        <v>0</v>
      </c>
      <c r="M32" s="1188">
        <f t="shared" si="11"/>
        <v>0</v>
      </c>
      <c r="N32" s="1188">
        <f t="shared" si="11"/>
        <v>0</v>
      </c>
      <c r="O32" s="1188">
        <f t="shared" si="11"/>
        <v>0</v>
      </c>
      <c r="P32" s="1188">
        <f t="shared" si="11"/>
        <v>0</v>
      </c>
      <c r="Q32" s="1188">
        <f t="shared" si="11"/>
        <v>0</v>
      </c>
      <c r="R32" s="1188">
        <f t="shared" ref="R32:AA34" si="12">+$E32/$E$36*R$59</f>
        <v>0</v>
      </c>
      <c r="S32" s="1188">
        <f t="shared" si="12"/>
        <v>0</v>
      </c>
      <c r="T32" s="1188">
        <f t="shared" si="12"/>
        <v>0</v>
      </c>
      <c r="U32" s="1188">
        <f t="shared" si="12"/>
        <v>0</v>
      </c>
      <c r="V32" s="1188">
        <f t="shared" si="12"/>
        <v>0</v>
      </c>
      <c r="W32" s="1188">
        <f t="shared" si="12"/>
        <v>0</v>
      </c>
      <c r="X32" s="1188">
        <f t="shared" si="12"/>
        <v>0</v>
      </c>
      <c r="Y32" s="1188">
        <f t="shared" si="12"/>
        <v>0</v>
      </c>
      <c r="Z32" s="1188">
        <f t="shared" si="12"/>
        <v>0</v>
      </c>
      <c r="AA32" s="1188">
        <f t="shared" si="12"/>
        <v>0</v>
      </c>
      <c r="AB32" s="1188">
        <f t="shared" ref="AB32:AK34" si="13">+$E32/$E$36*AB$59</f>
        <v>0</v>
      </c>
      <c r="AC32" s="1188">
        <f t="shared" si="13"/>
        <v>0</v>
      </c>
      <c r="AD32" s="1188">
        <f t="shared" si="13"/>
        <v>0</v>
      </c>
      <c r="AE32" s="1188">
        <f t="shared" si="13"/>
        <v>0</v>
      </c>
      <c r="AF32" s="1188">
        <f t="shared" si="13"/>
        <v>0</v>
      </c>
      <c r="AG32" s="1188">
        <f t="shared" si="13"/>
        <v>0</v>
      </c>
      <c r="AH32" s="1188">
        <f t="shared" si="13"/>
        <v>0</v>
      </c>
      <c r="AI32" s="1188">
        <f t="shared" si="13"/>
        <v>0</v>
      </c>
      <c r="AJ32" s="1188">
        <f t="shared" si="13"/>
        <v>0</v>
      </c>
      <c r="AK32" s="1188">
        <f t="shared" si="13"/>
        <v>0</v>
      </c>
      <c r="AL32" s="1188">
        <f t="shared" ref="AL32:AU34" si="14">+$E32/$E$36*AL$59</f>
        <v>0</v>
      </c>
      <c r="AM32" s="1188">
        <f t="shared" si="14"/>
        <v>0</v>
      </c>
      <c r="AN32" s="1188">
        <f t="shared" si="14"/>
        <v>0</v>
      </c>
      <c r="AO32" s="1188">
        <f t="shared" si="14"/>
        <v>0</v>
      </c>
      <c r="AP32" s="1188">
        <f t="shared" si="14"/>
        <v>0</v>
      </c>
      <c r="AQ32" s="1188">
        <f t="shared" si="14"/>
        <v>0</v>
      </c>
      <c r="AR32" s="1188">
        <f t="shared" si="14"/>
        <v>0</v>
      </c>
      <c r="AS32" s="1188">
        <f t="shared" si="14"/>
        <v>0</v>
      </c>
      <c r="AT32" s="1188">
        <f t="shared" si="14"/>
        <v>0</v>
      </c>
      <c r="AU32" s="1188">
        <f t="shared" si="14"/>
        <v>0</v>
      </c>
      <c r="AV32" s="1188">
        <f t="shared" ref="AV32:BC34" si="15">+$E32/$E$36*AV$59</f>
        <v>0</v>
      </c>
      <c r="AW32" s="1188">
        <f t="shared" si="15"/>
        <v>0</v>
      </c>
      <c r="AX32" s="1188">
        <f t="shared" si="15"/>
        <v>0</v>
      </c>
      <c r="AY32" s="1188">
        <f t="shared" si="15"/>
        <v>0</v>
      </c>
      <c r="AZ32" s="1188">
        <f t="shared" si="15"/>
        <v>0</v>
      </c>
      <c r="BA32" s="1188">
        <f t="shared" si="15"/>
        <v>0</v>
      </c>
      <c r="BB32" s="1188">
        <f t="shared" si="15"/>
        <v>0</v>
      </c>
      <c r="BC32" s="1188">
        <f t="shared" si="15"/>
        <v>0</v>
      </c>
    </row>
    <row r="33" spans="1:56">
      <c r="A33" s="1262">
        <f t="shared" si="0"/>
        <v>25</v>
      </c>
      <c r="B33" s="1169" t="s">
        <v>1136</v>
      </c>
      <c r="E33" s="1170">
        <f>+F33*$E$36</f>
        <v>8363.602398366922</v>
      </c>
      <c r="F33" s="1171">
        <f>+Items!G49</f>
        <v>0.02</v>
      </c>
      <c r="G33" s="1187">
        <f t="shared" si="2"/>
        <v>58.125718986170327</v>
      </c>
      <c r="H33" s="1188">
        <f t="shared" si="11"/>
        <v>6.5255502165517969</v>
      </c>
      <c r="I33" s="1188">
        <f t="shared" si="11"/>
        <v>48.563464423289588</v>
      </c>
      <c r="J33" s="1188">
        <f t="shared" si="11"/>
        <v>0.99992413958954107</v>
      </c>
      <c r="K33" s="1188">
        <f t="shared" si="11"/>
        <v>2.0367802067394041</v>
      </c>
      <c r="L33" s="1188">
        <f t="shared" si="11"/>
        <v>0</v>
      </c>
      <c r="M33" s="1188">
        <f t="shared" si="11"/>
        <v>0</v>
      </c>
      <c r="N33" s="1188">
        <f t="shared" si="11"/>
        <v>0</v>
      </c>
      <c r="O33" s="1188">
        <f t="shared" si="11"/>
        <v>0</v>
      </c>
      <c r="P33" s="1188">
        <f t="shared" si="11"/>
        <v>0</v>
      </c>
      <c r="Q33" s="1188">
        <f t="shared" si="11"/>
        <v>0</v>
      </c>
      <c r="R33" s="1188">
        <f t="shared" si="12"/>
        <v>0</v>
      </c>
      <c r="S33" s="1188">
        <f t="shared" si="12"/>
        <v>0</v>
      </c>
      <c r="T33" s="1188">
        <f t="shared" si="12"/>
        <v>0</v>
      </c>
      <c r="U33" s="1188">
        <f t="shared" si="12"/>
        <v>0</v>
      </c>
      <c r="V33" s="1188">
        <f t="shared" si="12"/>
        <v>0</v>
      </c>
      <c r="W33" s="1188">
        <f t="shared" si="12"/>
        <v>0</v>
      </c>
      <c r="X33" s="1188">
        <f t="shared" si="12"/>
        <v>0</v>
      </c>
      <c r="Y33" s="1188">
        <f t="shared" si="12"/>
        <v>0</v>
      </c>
      <c r="Z33" s="1188">
        <f t="shared" si="12"/>
        <v>0</v>
      </c>
      <c r="AA33" s="1188">
        <f t="shared" si="12"/>
        <v>0</v>
      </c>
      <c r="AB33" s="1188">
        <f t="shared" si="13"/>
        <v>0</v>
      </c>
      <c r="AC33" s="1188">
        <f t="shared" si="13"/>
        <v>0</v>
      </c>
      <c r="AD33" s="1188">
        <f t="shared" si="13"/>
        <v>0</v>
      </c>
      <c r="AE33" s="1188">
        <f t="shared" si="13"/>
        <v>0</v>
      </c>
      <c r="AF33" s="1188">
        <f t="shared" si="13"/>
        <v>0</v>
      </c>
      <c r="AG33" s="1188">
        <f t="shared" si="13"/>
        <v>0</v>
      </c>
      <c r="AH33" s="1188">
        <f t="shared" si="13"/>
        <v>0</v>
      </c>
      <c r="AI33" s="1188">
        <f t="shared" si="13"/>
        <v>0</v>
      </c>
      <c r="AJ33" s="1188">
        <f t="shared" si="13"/>
        <v>0</v>
      </c>
      <c r="AK33" s="1188">
        <f t="shared" si="13"/>
        <v>0</v>
      </c>
      <c r="AL33" s="1188">
        <f t="shared" si="14"/>
        <v>0</v>
      </c>
      <c r="AM33" s="1188">
        <f t="shared" si="14"/>
        <v>0</v>
      </c>
      <c r="AN33" s="1188">
        <f t="shared" si="14"/>
        <v>0</v>
      </c>
      <c r="AO33" s="1188">
        <f t="shared" si="14"/>
        <v>0</v>
      </c>
      <c r="AP33" s="1188">
        <f t="shared" si="14"/>
        <v>0</v>
      </c>
      <c r="AQ33" s="1188">
        <f t="shared" si="14"/>
        <v>0</v>
      </c>
      <c r="AR33" s="1188">
        <f t="shared" si="14"/>
        <v>0</v>
      </c>
      <c r="AS33" s="1188">
        <f t="shared" si="14"/>
        <v>0</v>
      </c>
      <c r="AT33" s="1188">
        <f t="shared" si="14"/>
        <v>0</v>
      </c>
      <c r="AU33" s="1188">
        <f t="shared" si="14"/>
        <v>0</v>
      </c>
      <c r="AV33" s="1188">
        <f t="shared" si="15"/>
        <v>0</v>
      </c>
      <c r="AW33" s="1188">
        <f t="shared" si="15"/>
        <v>0</v>
      </c>
      <c r="AX33" s="1188">
        <f t="shared" si="15"/>
        <v>0</v>
      </c>
      <c r="AY33" s="1188">
        <f t="shared" si="15"/>
        <v>0</v>
      </c>
      <c r="AZ33" s="1188">
        <f t="shared" si="15"/>
        <v>0</v>
      </c>
      <c r="BA33" s="1188">
        <f t="shared" si="15"/>
        <v>0</v>
      </c>
      <c r="BB33" s="1188">
        <f t="shared" si="15"/>
        <v>0</v>
      </c>
      <c r="BC33" s="1188">
        <f t="shared" si="15"/>
        <v>0</v>
      </c>
    </row>
    <row r="34" spans="1:56">
      <c r="A34" s="1262">
        <f t="shared" si="0"/>
        <v>26</v>
      </c>
      <c r="B34" s="1169" t="s">
        <v>1137</v>
      </c>
      <c r="E34" s="1170">
        <f>+F34*$E$36</f>
        <v>41818.01199183461</v>
      </c>
      <c r="F34" s="1171">
        <f>+Items!G51</f>
        <v>0.1</v>
      </c>
      <c r="G34" s="1187">
        <f t="shared" si="2"/>
        <v>290.62859493085165</v>
      </c>
      <c r="H34" s="1188">
        <f t="shared" si="11"/>
        <v>32.627751082758984</v>
      </c>
      <c r="I34" s="1188">
        <f t="shared" si="11"/>
        <v>242.81732211644794</v>
      </c>
      <c r="J34" s="1188">
        <f t="shared" si="11"/>
        <v>4.9996206979477051</v>
      </c>
      <c r="K34" s="1188">
        <f t="shared" si="11"/>
        <v>10.183901033697021</v>
      </c>
      <c r="L34" s="1188">
        <f t="shared" si="11"/>
        <v>0</v>
      </c>
      <c r="M34" s="1188">
        <f t="shared" si="11"/>
        <v>0</v>
      </c>
      <c r="N34" s="1188">
        <f t="shared" si="11"/>
        <v>0</v>
      </c>
      <c r="O34" s="1188">
        <f t="shared" si="11"/>
        <v>0</v>
      </c>
      <c r="P34" s="1188">
        <f t="shared" si="11"/>
        <v>0</v>
      </c>
      <c r="Q34" s="1188">
        <f t="shared" si="11"/>
        <v>0</v>
      </c>
      <c r="R34" s="1188">
        <f t="shared" si="12"/>
        <v>0</v>
      </c>
      <c r="S34" s="1188">
        <f t="shared" si="12"/>
        <v>0</v>
      </c>
      <c r="T34" s="1188">
        <f t="shared" si="12"/>
        <v>0</v>
      </c>
      <c r="U34" s="1188">
        <f t="shared" si="12"/>
        <v>0</v>
      </c>
      <c r="V34" s="1188">
        <f t="shared" si="12"/>
        <v>0</v>
      </c>
      <c r="W34" s="1188">
        <f t="shared" si="12"/>
        <v>0</v>
      </c>
      <c r="X34" s="1188">
        <f t="shared" si="12"/>
        <v>0</v>
      </c>
      <c r="Y34" s="1188">
        <f t="shared" si="12"/>
        <v>0</v>
      </c>
      <c r="Z34" s="1188">
        <f t="shared" si="12"/>
        <v>0</v>
      </c>
      <c r="AA34" s="1188">
        <f t="shared" si="12"/>
        <v>0</v>
      </c>
      <c r="AB34" s="1188">
        <f t="shared" si="13"/>
        <v>0</v>
      </c>
      <c r="AC34" s="1188">
        <f t="shared" si="13"/>
        <v>0</v>
      </c>
      <c r="AD34" s="1188">
        <f t="shared" si="13"/>
        <v>0</v>
      </c>
      <c r="AE34" s="1188">
        <f t="shared" si="13"/>
        <v>0</v>
      </c>
      <c r="AF34" s="1188">
        <f t="shared" si="13"/>
        <v>0</v>
      </c>
      <c r="AG34" s="1188">
        <f t="shared" si="13"/>
        <v>0</v>
      </c>
      <c r="AH34" s="1188">
        <f t="shared" si="13"/>
        <v>0</v>
      </c>
      <c r="AI34" s="1188">
        <f t="shared" si="13"/>
        <v>0</v>
      </c>
      <c r="AJ34" s="1188">
        <f t="shared" si="13"/>
        <v>0</v>
      </c>
      <c r="AK34" s="1188">
        <f t="shared" si="13"/>
        <v>0</v>
      </c>
      <c r="AL34" s="1188">
        <f t="shared" si="14"/>
        <v>0</v>
      </c>
      <c r="AM34" s="1188">
        <f t="shared" si="14"/>
        <v>0</v>
      </c>
      <c r="AN34" s="1188">
        <f t="shared" si="14"/>
        <v>0</v>
      </c>
      <c r="AO34" s="1188">
        <f t="shared" si="14"/>
        <v>0</v>
      </c>
      <c r="AP34" s="1188">
        <f t="shared" si="14"/>
        <v>0</v>
      </c>
      <c r="AQ34" s="1188">
        <f t="shared" si="14"/>
        <v>0</v>
      </c>
      <c r="AR34" s="1188">
        <f t="shared" si="14"/>
        <v>0</v>
      </c>
      <c r="AS34" s="1188">
        <f t="shared" si="14"/>
        <v>0</v>
      </c>
      <c r="AT34" s="1188">
        <f t="shared" si="14"/>
        <v>0</v>
      </c>
      <c r="AU34" s="1188">
        <f t="shared" si="14"/>
        <v>0</v>
      </c>
      <c r="AV34" s="1188">
        <f t="shared" si="15"/>
        <v>0</v>
      </c>
      <c r="AW34" s="1188">
        <f t="shared" si="15"/>
        <v>0</v>
      </c>
      <c r="AX34" s="1188">
        <f t="shared" si="15"/>
        <v>0</v>
      </c>
      <c r="AY34" s="1188">
        <f t="shared" si="15"/>
        <v>0</v>
      </c>
      <c r="AZ34" s="1188">
        <f t="shared" si="15"/>
        <v>0</v>
      </c>
      <c r="BA34" s="1188">
        <f t="shared" si="15"/>
        <v>0</v>
      </c>
      <c r="BB34" s="1188">
        <f t="shared" si="15"/>
        <v>0</v>
      </c>
      <c r="BC34" s="1188">
        <f t="shared" si="15"/>
        <v>0</v>
      </c>
    </row>
    <row r="35" spans="1:56">
      <c r="F35" s="1172">
        <f>1/(1-SUM(F32:F34))</f>
        <v>1.2886597938144329</v>
      </c>
    </row>
    <row r="36" spans="1:56">
      <c r="B36" s="1173" t="s">
        <v>1138</v>
      </c>
      <c r="E36" s="1164">
        <f>+E9*F35</f>
        <v>418180.11991834606</v>
      </c>
      <c r="H36" s="1174"/>
      <c r="I36" s="1174"/>
      <c r="J36" s="1174"/>
      <c r="K36" s="1174"/>
      <c r="L36" s="1174"/>
      <c r="M36" s="1174"/>
      <c r="N36" s="1174"/>
      <c r="O36" s="1174"/>
      <c r="P36" s="1174"/>
      <c r="Q36" s="1174"/>
      <c r="R36" s="1174"/>
      <c r="S36" s="1174"/>
      <c r="T36" s="1174"/>
      <c r="U36" s="1174"/>
      <c r="V36" s="1174"/>
      <c r="W36" s="1174"/>
      <c r="X36" s="1174"/>
      <c r="Y36" s="1174"/>
      <c r="Z36" s="1174"/>
      <c r="AA36" s="1174"/>
      <c r="AB36" s="1174"/>
      <c r="AC36" s="1174"/>
      <c r="AD36" s="1174"/>
      <c r="AE36" s="1174"/>
      <c r="AF36" s="1166"/>
      <c r="AG36" s="1166"/>
      <c r="AH36" s="1166"/>
      <c r="AI36" s="1166"/>
      <c r="AJ36" s="1166"/>
      <c r="AK36" s="1166"/>
      <c r="AL36" s="1166"/>
      <c r="AM36" s="1166"/>
      <c r="AN36" s="1166"/>
      <c r="AO36" s="1166"/>
      <c r="AP36" s="1166"/>
      <c r="AQ36" s="1166"/>
      <c r="AR36" s="1166"/>
      <c r="AS36" s="1166"/>
      <c r="AT36" s="1166"/>
      <c r="AU36" s="1166"/>
      <c r="AV36" s="1166"/>
      <c r="AW36" s="1166"/>
      <c r="AX36" s="1166"/>
      <c r="AY36" s="1166"/>
      <c r="AZ36" s="1166"/>
      <c r="BA36" s="1166"/>
      <c r="BB36" s="1166"/>
      <c r="BC36" s="1166"/>
      <c r="BD36" s="1166"/>
    </row>
    <row r="37" spans="1:56">
      <c r="B37" s="1173" t="s">
        <v>3210</v>
      </c>
      <c r="E37" s="1175">
        <f>Items!J55</f>
        <v>418087.12385075126</v>
      </c>
    </row>
    <row r="38" spans="1:56">
      <c r="E38" s="1175">
        <f>E37-E36</f>
        <v>-92.996067594795022</v>
      </c>
    </row>
    <row r="40" spans="1:56">
      <c r="H40" s="1163" t="s">
        <v>1145</v>
      </c>
    </row>
    <row r="41" spans="1:56">
      <c r="H41" s="560" t="s">
        <v>834</v>
      </c>
    </row>
    <row r="42" spans="1:56">
      <c r="B42" s="1163" t="s">
        <v>1146</v>
      </c>
      <c r="H42" s="1165">
        <f>Crono!Q$7</f>
        <v>0.5</v>
      </c>
      <c r="I42" s="1165">
        <f>Crono!R$7</f>
        <v>1</v>
      </c>
      <c r="J42" s="1165">
        <f>Crono!S$7</f>
        <v>1.5</v>
      </c>
      <c r="K42" s="1165">
        <f>Crono!T$7</f>
        <v>2</v>
      </c>
      <c r="L42" s="1165">
        <f>Crono!U$7</f>
        <v>2.5</v>
      </c>
      <c r="M42" s="1165">
        <f>Crono!V$7</f>
        <v>3</v>
      </c>
      <c r="N42" s="1165">
        <f>Crono!W$7</f>
        <v>3.5</v>
      </c>
      <c r="O42" s="1165">
        <f>Crono!X$7</f>
        <v>4</v>
      </c>
      <c r="P42" s="1165">
        <f>Crono!Y$7</f>
        <v>4.5</v>
      </c>
      <c r="Q42" s="1165">
        <f>Crono!Z$7</f>
        <v>5</v>
      </c>
      <c r="R42" s="1165">
        <f>Crono!AA$7</f>
        <v>5.5</v>
      </c>
      <c r="S42" s="1165">
        <f>Crono!AB$7</f>
        <v>6</v>
      </c>
      <c r="T42" s="1165">
        <f>Crono!AC$7</f>
        <v>6.5</v>
      </c>
      <c r="U42" s="1165">
        <f>Crono!AD$7</f>
        <v>7</v>
      </c>
      <c r="V42" s="1165">
        <f>Crono!AE$7</f>
        <v>7.5</v>
      </c>
      <c r="W42" s="1165">
        <f>Crono!AF$7</f>
        <v>8</v>
      </c>
      <c r="X42" s="1165">
        <f>Crono!AG$7</f>
        <v>8.5</v>
      </c>
      <c r="Y42" s="1165">
        <f>Crono!AH$7</f>
        <v>9</v>
      </c>
      <c r="Z42" s="1165">
        <f>Crono!AI$7</f>
        <v>9.5</v>
      </c>
      <c r="AA42" s="1165">
        <f>Crono!AJ$7</f>
        <v>10</v>
      </c>
      <c r="AB42" s="1165">
        <f>Crono!AK$7</f>
        <v>10.5</v>
      </c>
      <c r="AC42" s="1165">
        <f>Crono!AL$7</f>
        <v>11</v>
      </c>
      <c r="AD42" s="1165">
        <f>Crono!AM$7</f>
        <v>11.5</v>
      </c>
      <c r="AE42" s="1165">
        <f>Crono!AN$7</f>
        <v>12</v>
      </c>
      <c r="AF42" s="1165">
        <f>Crono!AO$7</f>
        <v>12.5</v>
      </c>
      <c r="AG42" s="1165">
        <f>Crono!AP$7</f>
        <v>13</v>
      </c>
      <c r="AH42" s="1165">
        <f>Crono!AQ$7</f>
        <v>13.5</v>
      </c>
      <c r="AI42" s="1165">
        <f>Crono!AR$7</f>
        <v>14</v>
      </c>
      <c r="AJ42" s="1165">
        <f>Crono!AS$7</f>
        <v>14.5</v>
      </c>
      <c r="AK42" s="1165">
        <f>Crono!AT$7</f>
        <v>15</v>
      </c>
      <c r="AL42" s="1165">
        <f>Crono!AU$7</f>
        <v>15.5</v>
      </c>
      <c r="AM42" s="1165">
        <f>Crono!AV$7</f>
        <v>16</v>
      </c>
      <c r="AN42" s="1165">
        <f>Crono!AW$7</f>
        <v>16.5</v>
      </c>
      <c r="AO42" s="1165">
        <f>Crono!AX$7</f>
        <v>17</v>
      </c>
      <c r="AP42" s="1165">
        <f>Crono!AY$7</f>
        <v>17.5</v>
      </c>
      <c r="AQ42" s="1165">
        <f>Crono!AZ$7</f>
        <v>18</v>
      </c>
      <c r="AR42" s="1165">
        <f>Crono!BA$7</f>
        <v>18.5</v>
      </c>
      <c r="AS42" s="1165">
        <f>Crono!BB$7</f>
        <v>19</v>
      </c>
      <c r="AT42" s="1165">
        <f>Crono!BC$7</f>
        <v>19.5</v>
      </c>
      <c r="AU42" s="1165">
        <f>Crono!BD$7</f>
        <v>20</v>
      </c>
      <c r="AV42" s="1165">
        <f>Crono!BE$7</f>
        <v>20.5</v>
      </c>
      <c r="AW42" s="1165">
        <f>Crono!BF$7</f>
        <v>21</v>
      </c>
      <c r="AX42" s="1165">
        <f>Crono!BG$7</f>
        <v>21.5</v>
      </c>
      <c r="AY42" s="1165">
        <f>Crono!BH$7</f>
        <v>22</v>
      </c>
      <c r="AZ42" s="1165">
        <f>Crono!BI$7</f>
        <v>22.5</v>
      </c>
      <c r="BA42" s="1165">
        <f>Crono!BJ$7</f>
        <v>23</v>
      </c>
      <c r="BB42" s="1165">
        <f>Crono!BK$7</f>
        <v>23.5</v>
      </c>
      <c r="BC42" s="1165">
        <f>Crono!BL$7</f>
        <v>24</v>
      </c>
      <c r="BD42" s="1165"/>
    </row>
    <row r="43" spans="1:56">
      <c r="A43" s="773"/>
      <c r="B43" s="560" t="s">
        <v>4622</v>
      </c>
      <c r="F43" s="1176">
        <f>+$E$36/SUM($G$43:$G$55)*G43</f>
        <v>6306.6646866314004</v>
      </c>
      <c r="G43" s="1177">
        <f>+SUMIF(Crono!E:E,Precio!B43,Crono!J:J)</f>
        <v>1939.9217107866893</v>
      </c>
      <c r="H43" s="1189">
        <f>+SUMPRODUCT(Crono!Q$15:Q$22,Crono!$J$15:$J$22)/1000</f>
        <v>24.347119137116476</v>
      </c>
      <c r="I43" s="1189">
        <f>+SUMPRODUCT(Crono!R$15:R$22,Crono!$J$15:$J$22)/1000</f>
        <v>216.11620591343805</v>
      </c>
      <c r="J43" s="1189">
        <f>+SUMPRODUCT(Crono!S$15:S$22,Crono!$J$15:$J$22)/1000</f>
        <v>0</v>
      </c>
      <c r="K43" s="1189">
        <f>+SUMPRODUCT(Crono!T$15:T$22,Crono!$J$15:$J$22)/1000</f>
        <v>0</v>
      </c>
      <c r="L43" s="1189">
        <f>+SUMPRODUCT(Crono!U$15:U$22,Crono!$J$15:$J$22)/1000</f>
        <v>0</v>
      </c>
      <c r="M43" s="1189">
        <f>+SUMPRODUCT(Crono!V$15:V$22,Crono!$J$15:$J$22)/1000</f>
        <v>0</v>
      </c>
      <c r="N43" s="1189">
        <f>+SUMPRODUCT(Crono!W$15:W$22,Crono!$J$15:$J$22)/1000</f>
        <v>0</v>
      </c>
      <c r="O43" s="1189">
        <f>+SUMPRODUCT(Crono!X$15:X$22,Crono!$J$15:$J$22)/1000</f>
        <v>0</v>
      </c>
      <c r="P43" s="1189">
        <f>+SUMPRODUCT(Crono!Y$15:Y$22,Crono!$J$15:$J$22)/1000</f>
        <v>0</v>
      </c>
      <c r="Q43" s="1189">
        <f>+SUMPRODUCT(Crono!Z$15:Z$22,Crono!$J$15:$J$22)/1000</f>
        <v>0</v>
      </c>
      <c r="R43" s="1189">
        <f>+SUMPRODUCT(Crono!AA$15:AA$22,Crono!$J$15:$J$22)/1000</f>
        <v>0</v>
      </c>
      <c r="S43" s="1189">
        <f>+SUMPRODUCT(Crono!AB$15:AB$22,Crono!$J$15:$J$22)/1000</f>
        <v>0</v>
      </c>
      <c r="T43" s="1189">
        <f>+SUMPRODUCT(Crono!AC$15:AC$22,Crono!$J$15:$J$22)/1000</f>
        <v>0</v>
      </c>
      <c r="U43" s="1189">
        <f>+SUMPRODUCT(Crono!AD$15:AD$22,Crono!$J$15:$J$22)/1000</f>
        <v>0</v>
      </c>
      <c r="V43" s="1189">
        <f>+SUMPRODUCT(Crono!AE$15:AE$22,Crono!$J$15:$J$22)/1000</f>
        <v>0</v>
      </c>
      <c r="W43" s="1189"/>
      <c r="X43" s="1189"/>
      <c r="Y43" s="1189"/>
      <c r="Z43" s="1189"/>
      <c r="AA43" s="1189"/>
      <c r="AB43" s="1189"/>
      <c r="AC43" s="1189"/>
      <c r="AD43" s="1189"/>
      <c r="AE43" s="1189"/>
      <c r="AF43" s="1189"/>
      <c r="AG43" s="1189"/>
      <c r="AH43" s="1189"/>
      <c r="AI43" s="1189"/>
      <c r="AJ43" s="1189"/>
      <c r="AK43" s="1189"/>
      <c r="AL43" s="1189"/>
      <c r="AM43" s="1189"/>
      <c r="AN43" s="1189"/>
      <c r="AO43" s="1189"/>
      <c r="AP43" s="1189"/>
      <c r="AQ43" s="1189"/>
      <c r="AR43" s="1189"/>
      <c r="AS43" s="1189"/>
      <c r="AT43" s="1189"/>
      <c r="AU43" s="1189"/>
      <c r="AV43" s="1189"/>
      <c r="AW43" s="1189"/>
      <c r="AX43" s="1189"/>
      <c r="AY43" s="1189"/>
      <c r="AZ43" s="1189"/>
      <c r="BA43" s="1189"/>
      <c r="BB43" s="1189"/>
      <c r="BC43" s="1189"/>
      <c r="BD43" s="1179"/>
    </row>
    <row r="44" spans="1:56">
      <c r="A44" s="773"/>
      <c r="B44" s="560" t="s">
        <v>4624</v>
      </c>
      <c r="F44" s="1176">
        <f>+$E$36/SUM($G$43:$G$55)*G44</f>
        <v>32871.568059530167</v>
      </c>
      <c r="G44" s="1177">
        <f>+SUMIF(Crono!E:E,Precio!B44,Crono!J:J)</f>
        <v>10111.25082984959</v>
      </c>
      <c r="H44" s="1189">
        <f>+SUMPRODUCT(Crono!Q$15:Q$22,Crono!$J$15:$J$22)/1000</f>
        <v>24.347119137116476</v>
      </c>
      <c r="I44" s="1189">
        <f>+SUMPRODUCT(Crono!R$15:R$22,Crono!$J$15:$J$22)/1000</f>
        <v>216.11620591343805</v>
      </c>
      <c r="J44" s="1189">
        <f>+SUMPRODUCT(Crono!S$15:S$22,Crono!$J$15:$J$22)/1000</f>
        <v>0</v>
      </c>
      <c r="K44" s="1189">
        <f>+SUMPRODUCT(Crono!T$15:T$22,Crono!$J$15:$J$22)/1000</f>
        <v>0</v>
      </c>
      <c r="L44" s="1189">
        <f>+SUMPRODUCT(Crono!U$15:U$22,Crono!$J$15:$J$22)/1000</f>
        <v>0</v>
      </c>
      <c r="M44" s="1189">
        <f>+SUMPRODUCT(Crono!V$15:V$22,Crono!$J$15:$J$22)/1000</f>
        <v>0</v>
      </c>
      <c r="N44" s="1189">
        <f>+SUMPRODUCT(Crono!W$15:W$22,Crono!$J$15:$J$22)/1000</f>
        <v>0</v>
      </c>
      <c r="O44" s="1189">
        <f>+SUMPRODUCT(Crono!X$15:X$22,Crono!$J$15:$J$22)/1000</f>
        <v>0</v>
      </c>
      <c r="P44" s="1189">
        <f>+SUMPRODUCT(Crono!Y$15:Y$22,Crono!$J$15:$J$22)/1000</f>
        <v>0</v>
      </c>
      <c r="Q44" s="1189">
        <f>+SUMPRODUCT(Crono!Z$15:Z$22,Crono!$J$15:$J$22)/1000</f>
        <v>0</v>
      </c>
      <c r="R44" s="1189">
        <f>+SUMPRODUCT(Crono!AA$15:AA$22,Crono!$J$15:$J$22)/1000</f>
        <v>0</v>
      </c>
      <c r="S44" s="1189">
        <f>+SUMPRODUCT(Crono!AB$15:AB$22,Crono!$J$15:$J$22)/1000</f>
        <v>0</v>
      </c>
      <c r="T44" s="1189">
        <f>+SUMPRODUCT(Crono!AC$15:AC$22,Crono!$J$15:$J$22)/1000</f>
        <v>0</v>
      </c>
      <c r="U44" s="1189">
        <f>+SUMPRODUCT(Crono!AD$15:AD$22,Crono!$J$15:$J$22)/1000</f>
        <v>0</v>
      </c>
      <c r="V44" s="1189">
        <f>+SUMPRODUCT(Crono!AE$15:AE$22,Crono!$J$15:$J$22)/1000</f>
        <v>0</v>
      </c>
      <c r="W44" s="1189"/>
      <c r="X44" s="1189"/>
      <c r="Y44" s="1189"/>
      <c r="Z44" s="1189"/>
      <c r="AA44" s="1189"/>
      <c r="AB44" s="1189"/>
      <c r="AC44" s="1189"/>
      <c r="AD44" s="1189"/>
      <c r="AE44" s="1189"/>
      <c r="AF44" s="1189"/>
      <c r="AG44" s="1189"/>
      <c r="AH44" s="1189"/>
      <c r="AI44" s="1189"/>
      <c r="AJ44" s="1189"/>
      <c r="AK44" s="1189"/>
      <c r="AL44" s="1189"/>
      <c r="AM44" s="1189"/>
      <c r="AN44" s="1189"/>
      <c r="AO44" s="1189"/>
      <c r="AP44" s="1189"/>
      <c r="AQ44" s="1189"/>
      <c r="AR44" s="1189"/>
      <c r="AS44" s="1189"/>
      <c r="AT44" s="1189"/>
      <c r="AU44" s="1189"/>
      <c r="AV44" s="1189"/>
      <c r="AW44" s="1189"/>
      <c r="AX44" s="1189"/>
      <c r="AY44" s="1189"/>
      <c r="AZ44" s="1189"/>
      <c r="BA44" s="1189"/>
      <c r="BB44" s="1189"/>
      <c r="BC44" s="1189"/>
      <c r="BD44" s="1179"/>
    </row>
    <row r="45" spans="1:56">
      <c r="A45" s="773"/>
      <c r="B45" s="560" t="s">
        <v>4626</v>
      </c>
      <c r="F45" s="1176">
        <f>+$E$36/SUM($G$43:$G$55)*G45</f>
        <v>15438.315015807293</v>
      </c>
      <c r="G45" s="1177">
        <f>+SUMIF(Crono!E:E,Precio!B45,Crono!J:J)</f>
        <v>4748.8052663737772</v>
      </c>
      <c r="H45" s="1189">
        <f>+SUMPRODUCT(Crono!Q$15:Q$22,Crono!$J$15:$J$22)/1000</f>
        <v>24.347119137116476</v>
      </c>
      <c r="I45" s="1189">
        <f>+SUMPRODUCT(Crono!R$15:R$22,Crono!$J$15:$J$22)/1000</f>
        <v>216.11620591343805</v>
      </c>
      <c r="J45" s="1189">
        <f>+SUMPRODUCT(Crono!S$15:S$22,Crono!$J$15:$J$22)/1000</f>
        <v>0</v>
      </c>
      <c r="K45" s="1189">
        <f>+SUMPRODUCT(Crono!T$15:T$22,Crono!$J$15:$J$22)/1000</f>
        <v>0</v>
      </c>
      <c r="L45" s="1189">
        <f>+SUMPRODUCT(Crono!U$15:U$22,Crono!$J$15:$J$22)/1000</f>
        <v>0</v>
      </c>
      <c r="M45" s="1189">
        <f>+SUMPRODUCT(Crono!V$15:V$22,Crono!$J$15:$J$22)/1000</f>
        <v>0</v>
      </c>
      <c r="N45" s="1189">
        <f>+SUMPRODUCT(Crono!W$15:W$22,Crono!$J$15:$J$22)/1000</f>
        <v>0</v>
      </c>
      <c r="O45" s="1189">
        <f>+SUMPRODUCT(Crono!X$15:X$22,Crono!$J$15:$J$22)/1000</f>
        <v>0</v>
      </c>
      <c r="P45" s="1189">
        <f>+SUMPRODUCT(Crono!Y$15:Y$22,Crono!$J$15:$J$22)/1000</f>
        <v>0</v>
      </c>
      <c r="Q45" s="1189">
        <f>+SUMPRODUCT(Crono!Z$15:Z$22,Crono!$J$15:$J$22)/1000</f>
        <v>0</v>
      </c>
      <c r="R45" s="1189">
        <f>+SUMPRODUCT(Crono!AA$15:AA$22,Crono!$J$15:$J$22)/1000</f>
        <v>0</v>
      </c>
      <c r="S45" s="1189">
        <f>+SUMPRODUCT(Crono!AB$15:AB$22,Crono!$J$15:$J$22)/1000</f>
        <v>0</v>
      </c>
      <c r="T45" s="1189">
        <f>+SUMPRODUCT(Crono!AC$15:AC$22,Crono!$J$15:$J$22)/1000</f>
        <v>0</v>
      </c>
      <c r="U45" s="1189">
        <f>+SUMPRODUCT(Crono!AD$15:AD$22,Crono!$J$15:$J$22)/1000</f>
        <v>0</v>
      </c>
      <c r="V45" s="1189">
        <f>+SUMPRODUCT(Crono!AE$15:AE$22,Crono!$J$15:$J$22)/1000</f>
        <v>0</v>
      </c>
      <c r="W45" s="1189"/>
      <c r="X45" s="1189"/>
      <c r="Y45" s="1189"/>
      <c r="Z45" s="1189"/>
      <c r="AA45" s="1189"/>
      <c r="AB45" s="1189"/>
      <c r="AC45" s="1189"/>
      <c r="AD45" s="1189"/>
      <c r="AE45" s="1189"/>
      <c r="AF45" s="1189"/>
      <c r="AG45" s="1189"/>
      <c r="AH45" s="1189"/>
      <c r="AI45" s="1189"/>
      <c r="AJ45" s="1189"/>
      <c r="AK45" s="1189"/>
      <c r="AL45" s="1189"/>
      <c r="AM45" s="1189"/>
      <c r="AN45" s="1189"/>
      <c r="AO45" s="1189"/>
      <c r="AP45" s="1189"/>
      <c r="AQ45" s="1189"/>
      <c r="AR45" s="1189"/>
      <c r="AS45" s="1189"/>
      <c r="AT45" s="1189"/>
      <c r="AU45" s="1189"/>
      <c r="AV45" s="1189"/>
      <c r="AW45" s="1189"/>
      <c r="AX45" s="1189"/>
      <c r="AY45" s="1189"/>
      <c r="AZ45" s="1189"/>
      <c r="BA45" s="1189"/>
      <c r="BB45" s="1189"/>
      <c r="BC45" s="1189"/>
      <c r="BD45" s="1179"/>
    </row>
    <row r="46" spans="1:56">
      <c r="A46" s="773"/>
      <c r="B46" s="560" t="s">
        <v>4630</v>
      </c>
      <c r="F46" s="1176">
        <f t="shared" ref="F46:F51" si="16">+$E$36/SUM($G$43:$G$55)*G46</f>
        <v>12267.837781014508</v>
      </c>
      <c r="G46" s="1177">
        <f>+SUMIF(Crono!E:E,Precio!B46,Crono!J:J)</f>
        <v>3773.5706650532102</v>
      </c>
      <c r="H46" s="1189">
        <f>+SUMPRODUCT(Crono!Q$15:Q$22,Crono!$J$15:$J$22)/1000</f>
        <v>24.347119137116476</v>
      </c>
      <c r="I46" s="1189">
        <f>+SUMPRODUCT(Crono!R$15:R$22,Crono!$J$15:$J$22)/1000</f>
        <v>216.11620591343805</v>
      </c>
      <c r="J46" s="1189">
        <f>+SUMPRODUCT(Crono!S$15:S$22,Crono!$J$15:$J$22)/1000</f>
        <v>0</v>
      </c>
      <c r="K46" s="1189">
        <f>+SUMPRODUCT(Crono!T$15:T$22,Crono!$J$15:$J$22)/1000</f>
        <v>0</v>
      </c>
      <c r="L46" s="1189">
        <f>+SUMPRODUCT(Crono!U$15:U$22,Crono!$J$15:$J$22)/1000</f>
        <v>0</v>
      </c>
      <c r="M46" s="1189">
        <f>+SUMPRODUCT(Crono!V$15:V$22,Crono!$J$15:$J$22)/1000</f>
        <v>0</v>
      </c>
      <c r="N46" s="1189">
        <f>+SUMPRODUCT(Crono!W$15:W$22,Crono!$J$15:$J$22)/1000</f>
        <v>0</v>
      </c>
      <c r="O46" s="1189">
        <f>+SUMPRODUCT(Crono!X$15:X$22,Crono!$J$15:$J$22)/1000</f>
        <v>0</v>
      </c>
      <c r="P46" s="1189">
        <f>+SUMPRODUCT(Crono!Y$15:Y$22,Crono!$J$15:$J$22)/1000</f>
        <v>0</v>
      </c>
      <c r="Q46" s="1189">
        <f>+SUMPRODUCT(Crono!Z$15:Z$22,Crono!$J$15:$J$22)/1000</f>
        <v>0</v>
      </c>
      <c r="R46" s="1189">
        <f>+SUMPRODUCT(Crono!AA$15:AA$22,Crono!$J$15:$J$22)/1000</f>
        <v>0</v>
      </c>
      <c r="S46" s="1189">
        <f>+SUMPRODUCT(Crono!AB$15:AB$22,Crono!$J$15:$J$22)/1000</f>
        <v>0</v>
      </c>
      <c r="T46" s="1189">
        <f>+SUMPRODUCT(Crono!AC$15:AC$22,Crono!$J$15:$J$22)/1000</f>
        <v>0</v>
      </c>
      <c r="U46" s="1189">
        <f>+SUMPRODUCT(Crono!AD$15:AD$22,Crono!$J$15:$J$22)/1000</f>
        <v>0</v>
      </c>
      <c r="V46" s="1189">
        <f>+SUMPRODUCT(Crono!AE$15:AE$22,Crono!$J$15:$J$22)/1000</f>
        <v>0</v>
      </c>
      <c r="W46" s="1189"/>
      <c r="X46" s="1189"/>
      <c r="Y46" s="1189"/>
      <c r="Z46" s="1189"/>
      <c r="AA46" s="1189"/>
      <c r="AB46" s="1189"/>
      <c r="AC46" s="1189"/>
      <c r="AD46" s="1189"/>
      <c r="AE46" s="1189"/>
      <c r="AF46" s="1189"/>
      <c r="AG46" s="1189"/>
      <c r="AH46" s="1189"/>
      <c r="AI46" s="1189"/>
      <c r="AJ46" s="1189"/>
      <c r="AK46" s="1189"/>
      <c r="AL46" s="1189"/>
      <c r="AM46" s="1189"/>
      <c r="AN46" s="1189"/>
      <c r="AO46" s="1189"/>
      <c r="AP46" s="1189"/>
      <c r="AQ46" s="1189"/>
      <c r="AR46" s="1189"/>
      <c r="AS46" s="1189"/>
      <c r="AT46" s="1189"/>
      <c r="AU46" s="1189"/>
      <c r="AV46" s="1189"/>
      <c r="AW46" s="1189"/>
      <c r="AX46" s="1189"/>
      <c r="AY46" s="1189"/>
      <c r="AZ46" s="1189"/>
      <c r="BA46" s="1189"/>
      <c r="BB46" s="1189"/>
      <c r="BC46" s="1189"/>
      <c r="BD46" s="1179"/>
    </row>
    <row r="47" spans="1:56">
      <c r="A47" s="773"/>
      <c r="B47" s="560" t="s">
        <v>4282</v>
      </c>
      <c r="F47" s="1176">
        <f t="shared" si="16"/>
        <v>348451.0990224795</v>
      </c>
      <c r="G47" s="1177">
        <f>+SUMIF(Crono!E:E,Precio!B47,Crono!J:J)</f>
        <v>107183.09688702467</v>
      </c>
      <c r="H47" s="1189">
        <f>+SUMPRODUCT(Crono!Q$15:Q$22,Crono!$J$15:$J$22)/1000</f>
        <v>24.347119137116476</v>
      </c>
      <c r="I47" s="1189">
        <f>+SUMPRODUCT(Crono!R$15:R$22,Crono!$J$15:$J$22)/1000</f>
        <v>216.11620591343805</v>
      </c>
      <c r="J47" s="1189">
        <f>+SUMPRODUCT(Crono!S$15:S$22,Crono!$J$15:$J$22)/1000</f>
        <v>0</v>
      </c>
      <c r="K47" s="1189">
        <f>+SUMPRODUCT(Crono!T$15:T$22,Crono!$J$15:$J$22)/1000</f>
        <v>0</v>
      </c>
      <c r="L47" s="1189">
        <f>+SUMPRODUCT(Crono!U$15:U$22,Crono!$J$15:$J$22)/1000</f>
        <v>0</v>
      </c>
      <c r="M47" s="1189">
        <f>+SUMPRODUCT(Crono!V$15:V$22,Crono!$J$15:$J$22)/1000</f>
        <v>0</v>
      </c>
      <c r="N47" s="1189">
        <f>+SUMPRODUCT(Crono!W$15:W$22,Crono!$J$15:$J$22)/1000</f>
        <v>0</v>
      </c>
      <c r="O47" s="1189">
        <f>+SUMPRODUCT(Crono!X$15:X$22,Crono!$J$15:$J$22)/1000</f>
        <v>0</v>
      </c>
      <c r="P47" s="1189">
        <f>+SUMPRODUCT(Crono!Y$15:Y$22,Crono!$J$15:$J$22)/1000</f>
        <v>0</v>
      </c>
      <c r="Q47" s="1189">
        <f>+SUMPRODUCT(Crono!Z$15:Z$22,Crono!$J$15:$J$22)/1000</f>
        <v>0</v>
      </c>
      <c r="R47" s="1189">
        <f>+SUMPRODUCT(Crono!AA$15:AA$22,Crono!$J$15:$J$22)/1000</f>
        <v>0</v>
      </c>
      <c r="S47" s="1189">
        <f>+SUMPRODUCT(Crono!AB$15:AB$22,Crono!$J$15:$J$22)/1000</f>
        <v>0</v>
      </c>
      <c r="T47" s="1189">
        <f>+SUMPRODUCT(Crono!AC$15:AC$22,Crono!$J$15:$J$22)/1000</f>
        <v>0</v>
      </c>
      <c r="U47" s="1189">
        <f>+SUMPRODUCT(Crono!AD$15:AD$22,Crono!$J$15:$J$22)/1000</f>
        <v>0</v>
      </c>
      <c r="V47" s="1189">
        <f>+SUMPRODUCT(Crono!AE$15:AE$22,Crono!$J$15:$J$22)/1000</f>
        <v>0</v>
      </c>
      <c r="W47" s="1189"/>
      <c r="X47" s="1189"/>
      <c r="Y47" s="1189"/>
      <c r="Z47" s="1189"/>
      <c r="AA47" s="1189"/>
      <c r="AB47" s="1189"/>
      <c r="AC47" s="1189"/>
      <c r="AD47" s="1189"/>
      <c r="AE47" s="1189"/>
      <c r="AF47" s="1189"/>
      <c r="AG47" s="1189"/>
      <c r="AH47" s="1189"/>
      <c r="AI47" s="1189"/>
      <c r="AJ47" s="1189"/>
      <c r="AK47" s="1189"/>
      <c r="AL47" s="1189"/>
      <c r="AM47" s="1189"/>
      <c r="AN47" s="1189"/>
      <c r="AO47" s="1189"/>
      <c r="AP47" s="1189"/>
      <c r="AQ47" s="1189"/>
      <c r="AR47" s="1189"/>
      <c r="AS47" s="1189"/>
      <c r="AT47" s="1189"/>
      <c r="AU47" s="1189"/>
      <c r="AV47" s="1189"/>
      <c r="AW47" s="1189"/>
      <c r="AX47" s="1189"/>
      <c r="AY47" s="1189"/>
      <c r="AZ47" s="1189"/>
      <c r="BA47" s="1189"/>
      <c r="BB47" s="1189"/>
      <c r="BC47" s="1189"/>
      <c r="BD47" s="1179"/>
    </row>
    <row r="48" spans="1:56">
      <c r="A48" s="773"/>
      <c r="B48" s="560" t="s">
        <v>4285</v>
      </c>
      <c r="F48" s="1176">
        <f t="shared" si="16"/>
        <v>2844.6353528832174</v>
      </c>
      <c r="G48" s="1177">
        <f>+SUMIF(Crono!E:E,Precio!B48,Crono!J:J)</f>
        <v>875.00606969435285</v>
      </c>
      <c r="H48" s="1189">
        <f>+SUMPRODUCT(Crono!Q$15:Q$22,Crono!$J$15:$J$22)/1000</f>
        <v>24.347119137116476</v>
      </c>
      <c r="I48" s="1189">
        <f>+SUMPRODUCT(Crono!R$15:R$22,Crono!$J$15:$J$22)/1000</f>
        <v>216.11620591343805</v>
      </c>
      <c r="J48" s="1189">
        <f>+SUMPRODUCT(Crono!S$15:S$22,Crono!$J$15:$J$22)/1000</f>
        <v>0</v>
      </c>
      <c r="K48" s="1189">
        <f>+SUMPRODUCT(Crono!T$15:T$22,Crono!$J$15:$J$22)/1000</f>
        <v>0</v>
      </c>
      <c r="L48" s="1189">
        <f>+SUMPRODUCT(Crono!U$15:U$22,Crono!$J$15:$J$22)/1000</f>
        <v>0</v>
      </c>
      <c r="M48" s="1189">
        <f>+SUMPRODUCT(Crono!V$15:V$22,Crono!$J$15:$J$22)/1000</f>
        <v>0</v>
      </c>
      <c r="N48" s="1189">
        <f>+SUMPRODUCT(Crono!W$15:W$22,Crono!$J$15:$J$22)/1000</f>
        <v>0</v>
      </c>
      <c r="O48" s="1189">
        <f>+SUMPRODUCT(Crono!X$15:X$22,Crono!$J$15:$J$22)/1000</f>
        <v>0</v>
      </c>
      <c r="P48" s="1189">
        <f>+SUMPRODUCT(Crono!Y$15:Y$22,Crono!$J$15:$J$22)/1000</f>
        <v>0</v>
      </c>
      <c r="Q48" s="1189">
        <f>+SUMPRODUCT(Crono!Z$15:Z$22,Crono!$J$15:$J$22)/1000</f>
        <v>0</v>
      </c>
      <c r="R48" s="1189">
        <f>+SUMPRODUCT(Crono!AA$15:AA$22,Crono!$J$15:$J$22)/1000</f>
        <v>0</v>
      </c>
      <c r="S48" s="1189">
        <f>+SUMPRODUCT(Crono!AB$15:AB$22,Crono!$J$15:$J$22)/1000</f>
        <v>0</v>
      </c>
      <c r="T48" s="1189">
        <f>+SUMPRODUCT(Crono!AC$15:AC$22,Crono!$J$15:$J$22)/1000</f>
        <v>0</v>
      </c>
      <c r="U48" s="1189">
        <f>+SUMPRODUCT(Crono!AD$15:AD$22,Crono!$J$15:$J$22)/1000</f>
        <v>0</v>
      </c>
      <c r="V48" s="1189">
        <f>+SUMPRODUCT(Crono!AE$15:AE$22,Crono!$J$15:$J$22)/1000</f>
        <v>0</v>
      </c>
      <c r="W48" s="1189"/>
      <c r="X48" s="1189"/>
      <c r="Y48" s="1189"/>
      <c r="Z48" s="1189"/>
      <c r="AA48" s="1189"/>
      <c r="AB48" s="1189"/>
      <c r="AC48" s="1189"/>
      <c r="AD48" s="1189"/>
      <c r="AE48" s="1189"/>
      <c r="AF48" s="1189"/>
      <c r="AG48" s="1189"/>
      <c r="AH48" s="1189"/>
      <c r="AI48" s="1189"/>
      <c r="AJ48" s="1189"/>
      <c r="AK48" s="1189"/>
      <c r="AL48" s="1189"/>
      <c r="AM48" s="1189"/>
      <c r="AN48" s="1189"/>
      <c r="AO48" s="1189"/>
      <c r="AP48" s="1189"/>
      <c r="AQ48" s="1189"/>
      <c r="AR48" s="1189"/>
      <c r="AS48" s="1189"/>
      <c r="AT48" s="1189"/>
      <c r="AU48" s="1189"/>
      <c r="AV48" s="1189"/>
      <c r="AW48" s="1189"/>
      <c r="AX48" s="1189"/>
      <c r="AY48" s="1189"/>
      <c r="AZ48" s="1189"/>
      <c r="BA48" s="1189"/>
      <c r="BB48" s="1189"/>
      <c r="BC48" s="1189"/>
      <c r="BD48" s="1179"/>
    </row>
    <row r="49" spans="1:56">
      <c r="A49" s="773"/>
      <c r="B49" s="560" t="s">
        <v>3285</v>
      </c>
      <c r="F49" s="1176">
        <f t="shared" si="16"/>
        <v>0</v>
      </c>
      <c r="G49" s="1177">
        <f>+SUMIF(Crono!E:E,Precio!B49,Crono!J:J)</f>
        <v>0</v>
      </c>
      <c r="H49" s="1189">
        <f>+SUMPRODUCT(Crono!Q$15:Q$22,Crono!$J$15:$J$22)/1000</f>
        <v>24.347119137116476</v>
      </c>
      <c r="I49" s="1189">
        <f>+SUMPRODUCT(Crono!R$15:R$22,Crono!$J$15:$J$22)/1000</f>
        <v>216.11620591343805</v>
      </c>
      <c r="J49" s="1189">
        <f>+SUMPRODUCT(Crono!S$15:S$22,Crono!$J$15:$J$22)/1000</f>
        <v>0</v>
      </c>
      <c r="K49" s="1189">
        <f>+SUMPRODUCT(Crono!T$15:T$22,Crono!$J$15:$J$22)/1000</f>
        <v>0</v>
      </c>
      <c r="L49" s="1189">
        <f>+SUMPRODUCT(Crono!U$15:U$22,Crono!$J$15:$J$22)/1000</f>
        <v>0</v>
      </c>
      <c r="M49" s="1189">
        <f>+SUMPRODUCT(Crono!V$15:V$22,Crono!$J$15:$J$22)/1000</f>
        <v>0</v>
      </c>
      <c r="N49" s="1189">
        <f>+SUMPRODUCT(Crono!W$15:W$22,Crono!$J$15:$J$22)/1000</f>
        <v>0</v>
      </c>
      <c r="O49" s="1189">
        <f>+SUMPRODUCT(Crono!X$15:X$22,Crono!$J$15:$J$22)/1000</f>
        <v>0</v>
      </c>
      <c r="P49" s="1189">
        <f>+SUMPRODUCT(Crono!Y$15:Y$22,Crono!$J$15:$J$22)/1000</f>
        <v>0</v>
      </c>
      <c r="Q49" s="1189">
        <f>+SUMPRODUCT(Crono!Z$15:Z$22,Crono!$J$15:$J$22)/1000</f>
        <v>0</v>
      </c>
      <c r="R49" s="1189">
        <f>+SUMPRODUCT(Crono!AA$15:AA$22,Crono!$J$15:$J$22)/1000</f>
        <v>0</v>
      </c>
      <c r="S49" s="1189">
        <f>+SUMPRODUCT(Crono!AB$15:AB$22,Crono!$J$15:$J$22)/1000</f>
        <v>0</v>
      </c>
      <c r="T49" s="1189">
        <f>+SUMPRODUCT(Crono!AC$15:AC$22,Crono!$J$15:$J$22)/1000</f>
        <v>0</v>
      </c>
      <c r="U49" s="1189">
        <f>+SUMPRODUCT(Crono!AD$15:AD$22,Crono!$J$15:$J$22)/1000</f>
        <v>0</v>
      </c>
      <c r="V49" s="1189">
        <f>+SUMPRODUCT(Crono!AE$15:AE$22,Crono!$J$15:$J$22)/1000</f>
        <v>0</v>
      </c>
      <c r="W49" s="1189"/>
      <c r="X49" s="1189"/>
      <c r="Y49" s="1189"/>
      <c r="Z49" s="1189"/>
      <c r="AA49" s="1189"/>
      <c r="AB49" s="1189"/>
      <c r="AC49" s="1189"/>
      <c r="AD49" s="1189"/>
      <c r="AE49" s="1189"/>
      <c r="AF49" s="1189"/>
      <c r="AG49" s="1189"/>
      <c r="AH49" s="1189"/>
      <c r="AI49" s="1189"/>
      <c r="AJ49" s="1189"/>
      <c r="AK49" s="1189"/>
      <c r="AL49" s="1189"/>
      <c r="AM49" s="1189"/>
      <c r="AN49" s="1189"/>
      <c r="AO49" s="1189"/>
      <c r="AP49" s="1189"/>
      <c r="AQ49" s="1189"/>
      <c r="AR49" s="1189"/>
      <c r="AS49" s="1189"/>
      <c r="AT49" s="1189"/>
      <c r="AU49" s="1189"/>
      <c r="AV49" s="1189"/>
      <c r="AW49" s="1189"/>
      <c r="AX49" s="1189"/>
      <c r="AY49" s="1189"/>
      <c r="AZ49" s="1189"/>
      <c r="BA49" s="1189"/>
      <c r="BB49" s="1189"/>
      <c r="BC49" s="1189"/>
      <c r="BD49" s="1179"/>
    </row>
    <row r="50" spans="1:56">
      <c r="A50" s="773"/>
      <c r="B50" s="560" t="s">
        <v>3286</v>
      </c>
      <c r="F50" s="1176">
        <f t="shared" si="16"/>
        <v>0</v>
      </c>
      <c r="G50" s="1177">
        <f>+SUMIF(Crono!E:E,Precio!B50,Crono!J:J)</f>
        <v>0</v>
      </c>
      <c r="H50" s="1189">
        <f>+SUMPRODUCT(Crono!Q$15:Q$22,Crono!$J$15:$J$22)/1000</f>
        <v>24.347119137116476</v>
      </c>
      <c r="I50" s="1189">
        <f>+SUMPRODUCT(Crono!R$15:R$22,Crono!$J$15:$J$22)/1000</f>
        <v>216.11620591343805</v>
      </c>
      <c r="J50" s="1189">
        <f>+SUMPRODUCT(Crono!S$15:S$22,Crono!$J$15:$J$22)/1000</f>
        <v>0</v>
      </c>
      <c r="K50" s="1189">
        <f>+SUMPRODUCT(Crono!T$15:T$22,Crono!$J$15:$J$22)/1000</f>
        <v>0</v>
      </c>
      <c r="L50" s="1189">
        <f>+SUMPRODUCT(Crono!U$15:U$22,Crono!$J$15:$J$22)/1000</f>
        <v>0</v>
      </c>
      <c r="M50" s="1189">
        <f>+SUMPRODUCT(Crono!V$15:V$22,Crono!$J$15:$J$22)/1000</f>
        <v>0</v>
      </c>
      <c r="N50" s="1189">
        <f>+SUMPRODUCT(Crono!W$15:W$22,Crono!$J$15:$J$22)/1000</f>
        <v>0</v>
      </c>
      <c r="O50" s="1189">
        <f>+SUMPRODUCT(Crono!X$15:X$22,Crono!$J$15:$J$22)/1000</f>
        <v>0</v>
      </c>
      <c r="P50" s="1189">
        <f>+SUMPRODUCT(Crono!Y$15:Y$22,Crono!$J$15:$J$22)/1000</f>
        <v>0</v>
      </c>
      <c r="Q50" s="1189">
        <f>+SUMPRODUCT(Crono!Z$15:Z$22,Crono!$J$15:$J$22)/1000</f>
        <v>0</v>
      </c>
      <c r="R50" s="1189">
        <f>+SUMPRODUCT(Crono!AA$15:AA$22,Crono!$J$15:$J$22)/1000</f>
        <v>0</v>
      </c>
      <c r="S50" s="1189">
        <f>+SUMPRODUCT(Crono!AB$15:AB$22,Crono!$J$15:$J$22)/1000</f>
        <v>0</v>
      </c>
      <c r="T50" s="1189">
        <f>+SUMPRODUCT(Crono!AC$15:AC$22,Crono!$J$15:$J$22)/1000</f>
        <v>0</v>
      </c>
      <c r="U50" s="1189">
        <f>+SUMPRODUCT(Crono!AD$15:AD$22,Crono!$J$15:$J$22)/1000</f>
        <v>0</v>
      </c>
      <c r="V50" s="1189">
        <f>+SUMPRODUCT(Crono!AE$15:AE$22,Crono!$J$15:$J$22)/1000</f>
        <v>0</v>
      </c>
      <c r="W50" s="1189"/>
      <c r="X50" s="1189"/>
      <c r="Y50" s="1189"/>
      <c r="Z50" s="1189"/>
      <c r="AA50" s="1189"/>
      <c r="AB50" s="1189"/>
      <c r="AC50" s="1189"/>
      <c r="AD50" s="1189"/>
      <c r="AE50" s="1189"/>
      <c r="AF50" s="1189"/>
      <c r="AG50" s="1189"/>
      <c r="AH50" s="1189"/>
      <c r="AI50" s="1189"/>
      <c r="AJ50" s="1189"/>
      <c r="AK50" s="1189"/>
      <c r="AL50" s="1189"/>
      <c r="AM50" s="1189"/>
      <c r="AN50" s="1189"/>
      <c r="AO50" s="1189"/>
      <c r="AP50" s="1189"/>
      <c r="AQ50" s="1189"/>
      <c r="AR50" s="1189"/>
      <c r="AS50" s="1189"/>
      <c r="AT50" s="1189"/>
      <c r="AU50" s="1189"/>
      <c r="AV50" s="1189"/>
      <c r="AW50" s="1189"/>
      <c r="AX50" s="1189"/>
      <c r="AY50" s="1189"/>
      <c r="AZ50" s="1189"/>
      <c r="BA50" s="1189"/>
      <c r="BB50" s="1189"/>
      <c r="BC50" s="1189"/>
      <c r="BD50" s="1179"/>
    </row>
    <row r="51" spans="1:56">
      <c r="A51" s="773"/>
      <c r="B51" s="560" t="s">
        <v>3287</v>
      </c>
      <c r="F51" s="1176">
        <f t="shared" si="16"/>
        <v>0</v>
      </c>
      <c r="G51" s="1177">
        <f>+SUMIF(Crono!E:E,Precio!B51,Crono!J:J)</f>
        <v>0</v>
      </c>
      <c r="H51" s="1189">
        <f>+SUMPRODUCT(Crono!Q$15:Q$22,Crono!$J$15:$J$22)/1000</f>
        <v>24.347119137116476</v>
      </c>
      <c r="I51" s="1189">
        <f>+SUMPRODUCT(Crono!R$15:R$22,Crono!$J$15:$J$22)/1000</f>
        <v>216.11620591343805</v>
      </c>
      <c r="J51" s="1189">
        <f>+SUMPRODUCT(Crono!S$15:S$22,Crono!$J$15:$J$22)/1000</f>
        <v>0</v>
      </c>
      <c r="K51" s="1189">
        <f>+SUMPRODUCT(Crono!T$15:T$22,Crono!$J$15:$J$22)/1000</f>
        <v>0</v>
      </c>
      <c r="L51" s="1189">
        <f>+SUMPRODUCT(Crono!U$15:U$22,Crono!$J$15:$J$22)/1000</f>
        <v>0</v>
      </c>
      <c r="M51" s="1189">
        <f>+SUMPRODUCT(Crono!V$15:V$22,Crono!$J$15:$J$22)/1000</f>
        <v>0</v>
      </c>
      <c r="N51" s="1189">
        <f>+SUMPRODUCT(Crono!W$15:W$22,Crono!$J$15:$J$22)/1000</f>
        <v>0</v>
      </c>
      <c r="O51" s="1189">
        <f>+SUMPRODUCT(Crono!X$15:X$22,Crono!$J$15:$J$22)/1000</f>
        <v>0</v>
      </c>
      <c r="P51" s="1189">
        <f>+SUMPRODUCT(Crono!Y$15:Y$22,Crono!$J$15:$J$22)/1000</f>
        <v>0</v>
      </c>
      <c r="Q51" s="1189">
        <f>+SUMPRODUCT(Crono!Z$15:Z$22,Crono!$J$15:$J$22)/1000</f>
        <v>0</v>
      </c>
      <c r="R51" s="1189">
        <f>+SUMPRODUCT(Crono!AA$15:AA$22,Crono!$J$15:$J$22)/1000</f>
        <v>0</v>
      </c>
      <c r="S51" s="1189">
        <f>+SUMPRODUCT(Crono!AB$15:AB$22,Crono!$J$15:$J$22)/1000</f>
        <v>0</v>
      </c>
      <c r="T51" s="1189">
        <f>+SUMPRODUCT(Crono!AC$15:AC$22,Crono!$J$15:$J$22)/1000</f>
        <v>0</v>
      </c>
      <c r="U51" s="1189">
        <f>+SUMPRODUCT(Crono!AD$15:AD$22,Crono!$J$15:$J$22)/1000</f>
        <v>0</v>
      </c>
      <c r="V51" s="1189">
        <f>+SUMPRODUCT(Crono!AE$15:AE$22,Crono!$J$15:$J$22)/1000</f>
        <v>0</v>
      </c>
      <c r="W51" s="1189"/>
      <c r="X51" s="1189"/>
      <c r="Y51" s="1189"/>
      <c r="Z51" s="1189"/>
      <c r="AA51" s="1189"/>
      <c r="AB51" s="1189"/>
      <c r="AC51" s="1189"/>
      <c r="AD51" s="1189"/>
      <c r="AE51" s="1189"/>
      <c r="AF51" s="1189"/>
      <c r="AG51" s="1189"/>
      <c r="AH51" s="1189"/>
      <c r="AI51" s="1189"/>
      <c r="AJ51" s="1189"/>
      <c r="AK51" s="1189"/>
      <c r="AL51" s="1189"/>
      <c r="AM51" s="1189"/>
      <c r="AN51" s="1189"/>
      <c r="AO51" s="1189"/>
      <c r="AP51" s="1189"/>
      <c r="AQ51" s="1189"/>
      <c r="AR51" s="1189"/>
      <c r="AS51" s="1189"/>
      <c r="AT51" s="1189"/>
      <c r="AU51" s="1189"/>
      <c r="AV51" s="1189"/>
      <c r="AW51" s="1189"/>
      <c r="AX51" s="1189"/>
      <c r="AY51" s="1189"/>
      <c r="AZ51" s="1189"/>
      <c r="BA51" s="1189"/>
      <c r="BB51" s="1189"/>
      <c r="BC51" s="1189"/>
      <c r="BD51" s="1179"/>
    </row>
    <row r="52" spans="1:56">
      <c r="A52" s="773"/>
      <c r="B52" s="560" t="s">
        <v>3288</v>
      </c>
      <c r="F52" s="1176">
        <f>+$E$36/SUM($G$43:$G$55)*G52</f>
        <v>0</v>
      </c>
      <c r="G52" s="1177">
        <f>+SUMIF(Crono!E:E,Precio!B52,Crono!J:J)</f>
        <v>0</v>
      </c>
      <c r="H52" s="1189">
        <f>+SUMPRODUCT(Crono!Q$15:Q$22,Crono!$J$15:$J$22)/1000</f>
        <v>24.347119137116476</v>
      </c>
      <c r="I52" s="1189">
        <f>+SUMPRODUCT(Crono!R$15:R$22,Crono!$J$15:$J$22)/1000</f>
        <v>216.11620591343805</v>
      </c>
      <c r="J52" s="1189">
        <f>+SUMPRODUCT(Crono!S$15:S$22,Crono!$J$15:$J$22)/1000</f>
        <v>0</v>
      </c>
      <c r="K52" s="1189">
        <f>+SUMPRODUCT(Crono!T$15:T$22,Crono!$J$15:$J$22)/1000</f>
        <v>0</v>
      </c>
      <c r="L52" s="1189">
        <f>+SUMPRODUCT(Crono!U$15:U$22,Crono!$J$15:$J$22)/1000</f>
        <v>0</v>
      </c>
      <c r="M52" s="1189">
        <f>+SUMPRODUCT(Crono!V$15:V$22,Crono!$J$15:$J$22)/1000</f>
        <v>0</v>
      </c>
      <c r="N52" s="1189">
        <f>+SUMPRODUCT(Crono!W$15:W$22,Crono!$J$15:$J$22)/1000</f>
        <v>0</v>
      </c>
      <c r="O52" s="1189">
        <f>+SUMPRODUCT(Crono!X$15:X$22,Crono!$J$15:$J$22)/1000</f>
        <v>0</v>
      </c>
      <c r="P52" s="1189">
        <f>+SUMPRODUCT(Crono!Y$15:Y$22,Crono!$J$15:$J$22)/1000</f>
        <v>0</v>
      </c>
      <c r="Q52" s="1189">
        <f>+SUMPRODUCT(Crono!Z$15:Z$22,Crono!$J$15:$J$22)/1000</f>
        <v>0</v>
      </c>
      <c r="R52" s="1189">
        <f>+SUMPRODUCT(Crono!AA$15:AA$22,Crono!$J$15:$J$22)/1000</f>
        <v>0</v>
      </c>
      <c r="S52" s="1189">
        <f>+SUMPRODUCT(Crono!AB$15:AB$22,Crono!$J$15:$J$22)/1000</f>
        <v>0</v>
      </c>
      <c r="T52" s="1189">
        <f>+SUMPRODUCT(Crono!AC$15:AC$22,Crono!$J$15:$J$22)/1000</f>
        <v>0</v>
      </c>
      <c r="U52" s="1189">
        <f>+SUMPRODUCT(Crono!AD$15:AD$22,Crono!$J$15:$J$22)/1000</f>
        <v>0</v>
      </c>
      <c r="V52" s="1189">
        <f>+SUMPRODUCT(Crono!AE$15:AE$22,Crono!$J$15:$J$22)/1000</f>
        <v>0</v>
      </c>
      <c r="W52" s="1189"/>
      <c r="X52" s="1189"/>
      <c r="Y52" s="1189"/>
      <c r="Z52" s="1189"/>
      <c r="AA52" s="1189"/>
      <c r="AB52" s="1189"/>
      <c r="AC52" s="1189"/>
      <c r="AD52" s="1189"/>
      <c r="AE52" s="1189"/>
      <c r="AF52" s="1189"/>
      <c r="AG52" s="1189"/>
      <c r="AH52" s="1189"/>
      <c r="AI52" s="1189"/>
      <c r="AJ52" s="1189"/>
      <c r="AK52" s="1189"/>
      <c r="AL52" s="1189"/>
      <c r="AM52" s="1189"/>
      <c r="AN52" s="1189"/>
      <c r="AO52" s="1189"/>
      <c r="AP52" s="1189"/>
      <c r="AQ52" s="1189"/>
      <c r="AR52" s="1189"/>
      <c r="AS52" s="1189"/>
      <c r="AT52" s="1189"/>
      <c r="AU52" s="1189"/>
      <c r="AV52" s="1189"/>
      <c r="AW52" s="1189"/>
      <c r="AX52" s="1189"/>
      <c r="AY52" s="1189"/>
      <c r="AZ52" s="1189"/>
      <c r="BA52" s="1189"/>
      <c r="BB52" s="1189"/>
      <c r="BC52" s="1189"/>
      <c r="BD52" s="1179"/>
    </row>
    <row r="53" spans="1:56">
      <c r="A53" s="773"/>
      <c r="B53" s="560" t="s">
        <v>3289</v>
      </c>
      <c r="F53" s="1176">
        <f>+$E$36/SUM($G$43:$G$55)*G53</f>
        <v>0</v>
      </c>
      <c r="G53" s="1177">
        <f>+SUMIF(Crono!E:E,Precio!B53,Crono!J:J)</f>
        <v>0</v>
      </c>
      <c r="H53" s="1189">
        <f>+SUMPRODUCT(Crono!Q$15:Q$22,Crono!$J$15:$J$22)/1000</f>
        <v>24.347119137116476</v>
      </c>
      <c r="I53" s="1189">
        <f>+SUMPRODUCT(Crono!R$15:R$22,Crono!$J$15:$J$22)/1000</f>
        <v>216.11620591343805</v>
      </c>
      <c r="J53" s="1189">
        <f>+SUMPRODUCT(Crono!S$15:S$22,Crono!$J$15:$J$22)/1000</f>
        <v>0</v>
      </c>
      <c r="K53" s="1189">
        <f>+SUMPRODUCT(Crono!T$15:T$22,Crono!$J$15:$J$22)/1000</f>
        <v>0</v>
      </c>
      <c r="L53" s="1189">
        <f>+SUMPRODUCT(Crono!U$15:U$22,Crono!$J$15:$J$22)/1000</f>
        <v>0</v>
      </c>
      <c r="M53" s="1189">
        <f>+SUMPRODUCT(Crono!V$15:V$22,Crono!$J$15:$J$22)/1000</f>
        <v>0</v>
      </c>
      <c r="N53" s="1189">
        <f>+SUMPRODUCT(Crono!W$15:W$22,Crono!$J$15:$J$22)/1000</f>
        <v>0</v>
      </c>
      <c r="O53" s="1189">
        <f>+SUMPRODUCT(Crono!X$15:X$22,Crono!$J$15:$J$22)/1000</f>
        <v>0</v>
      </c>
      <c r="P53" s="1189">
        <f>+SUMPRODUCT(Crono!Y$15:Y$22,Crono!$J$15:$J$22)/1000</f>
        <v>0</v>
      </c>
      <c r="Q53" s="1189">
        <f>+SUMPRODUCT(Crono!Z$15:Z$22,Crono!$J$15:$J$22)/1000</f>
        <v>0</v>
      </c>
      <c r="R53" s="1189">
        <f>+SUMPRODUCT(Crono!AA$15:AA$22,Crono!$J$15:$J$22)/1000</f>
        <v>0</v>
      </c>
      <c r="S53" s="1189">
        <f>+SUMPRODUCT(Crono!AB$15:AB$22,Crono!$J$15:$J$22)/1000</f>
        <v>0</v>
      </c>
      <c r="T53" s="1189">
        <f>+SUMPRODUCT(Crono!AC$15:AC$22,Crono!$J$15:$J$22)/1000</f>
        <v>0</v>
      </c>
      <c r="U53" s="1189">
        <f>+SUMPRODUCT(Crono!AD$15:AD$22,Crono!$J$15:$J$22)/1000</f>
        <v>0</v>
      </c>
      <c r="V53" s="1189">
        <f>+SUMPRODUCT(Crono!AE$15:AE$22,Crono!$J$15:$J$22)/1000</f>
        <v>0</v>
      </c>
      <c r="W53" s="1189"/>
      <c r="X53" s="1189"/>
      <c r="Y53" s="1189"/>
      <c r="Z53" s="1189"/>
      <c r="AA53" s="1189"/>
      <c r="AB53" s="1189"/>
      <c r="AC53" s="1189"/>
      <c r="AD53" s="1189"/>
      <c r="AE53" s="1189"/>
      <c r="AF53" s="1189"/>
      <c r="AG53" s="1189"/>
      <c r="AH53" s="1189"/>
      <c r="AI53" s="1189"/>
      <c r="AJ53" s="1189"/>
      <c r="AK53" s="1189"/>
      <c r="AL53" s="1189"/>
      <c r="AM53" s="1189"/>
      <c r="AN53" s="1189"/>
      <c r="AO53" s="1189"/>
      <c r="AP53" s="1189"/>
      <c r="AQ53" s="1189"/>
      <c r="AR53" s="1189"/>
      <c r="AS53" s="1189"/>
      <c r="AT53" s="1189"/>
      <c r="AU53" s="1189"/>
      <c r="AV53" s="1189"/>
      <c r="AW53" s="1189"/>
      <c r="AX53" s="1189"/>
      <c r="AY53" s="1189"/>
      <c r="AZ53" s="1189"/>
      <c r="BA53" s="1189"/>
      <c r="BB53" s="1189"/>
      <c r="BC53" s="1189"/>
      <c r="BD53" s="1179"/>
    </row>
    <row r="54" spans="1:56">
      <c r="A54" s="773"/>
      <c r="F54" s="1176"/>
      <c r="G54" s="1177"/>
      <c r="H54" s="1195">
        <f>SUM(H43:H53)/SUM($H$43:$BC$53)</f>
        <v>0.101250862816597</v>
      </c>
      <c r="I54" s="1195">
        <f t="shared" ref="I54:BC54" si="17">SUM(I43:I53)/SUM($H$43:$BC$53)</f>
        <v>0.89874913718340277</v>
      </c>
      <c r="J54" s="1195">
        <f t="shared" si="17"/>
        <v>0</v>
      </c>
      <c r="K54" s="1195">
        <f t="shared" si="17"/>
        <v>0</v>
      </c>
      <c r="L54" s="1195">
        <f t="shared" si="17"/>
        <v>0</v>
      </c>
      <c r="M54" s="1195">
        <f t="shared" si="17"/>
        <v>0</v>
      </c>
      <c r="N54" s="1195">
        <f t="shared" si="17"/>
        <v>0</v>
      </c>
      <c r="O54" s="1195">
        <f t="shared" si="17"/>
        <v>0</v>
      </c>
      <c r="P54" s="1195">
        <f t="shared" si="17"/>
        <v>0</v>
      </c>
      <c r="Q54" s="1195">
        <f t="shared" si="17"/>
        <v>0</v>
      </c>
      <c r="R54" s="1195">
        <f t="shared" si="17"/>
        <v>0</v>
      </c>
      <c r="S54" s="1195">
        <f t="shared" si="17"/>
        <v>0</v>
      </c>
      <c r="T54" s="1195">
        <f t="shared" si="17"/>
        <v>0</v>
      </c>
      <c r="U54" s="1195">
        <f t="shared" si="17"/>
        <v>0</v>
      </c>
      <c r="V54" s="1195">
        <f t="shared" si="17"/>
        <v>0</v>
      </c>
      <c r="W54" s="1195">
        <f t="shared" si="17"/>
        <v>0</v>
      </c>
      <c r="X54" s="1195">
        <f t="shared" si="17"/>
        <v>0</v>
      </c>
      <c r="Y54" s="1195">
        <f t="shared" si="17"/>
        <v>0</v>
      </c>
      <c r="Z54" s="1195">
        <f t="shared" si="17"/>
        <v>0</v>
      </c>
      <c r="AA54" s="1195">
        <f t="shared" si="17"/>
        <v>0</v>
      </c>
      <c r="AB54" s="1195">
        <f t="shared" si="17"/>
        <v>0</v>
      </c>
      <c r="AC54" s="1195">
        <f t="shared" si="17"/>
        <v>0</v>
      </c>
      <c r="AD54" s="1195">
        <f t="shared" si="17"/>
        <v>0</v>
      </c>
      <c r="AE54" s="1195">
        <f t="shared" si="17"/>
        <v>0</v>
      </c>
      <c r="AF54" s="1195">
        <f t="shared" si="17"/>
        <v>0</v>
      </c>
      <c r="AG54" s="1195">
        <f t="shared" si="17"/>
        <v>0</v>
      </c>
      <c r="AH54" s="1195">
        <f t="shared" si="17"/>
        <v>0</v>
      </c>
      <c r="AI54" s="1195">
        <f t="shared" si="17"/>
        <v>0</v>
      </c>
      <c r="AJ54" s="1195">
        <f t="shared" si="17"/>
        <v>0</v>
      </c>
      <c r="AK54" s="1195">
        <f t="shared" si="17"/>
        <v>0</v>
      </c>
      <c r="AL54" s="1195">
        <f t="shared" si="17"/>
        <v>0</v>
      </c>
      <c r="AM54" s="1195">
        <f t="shared" si="17"/>
        <v>0</v>
      </c>
      <c r="AN54" s="1195">
        <f t="shared" si="17"/>
        <v>0</v>
      </c>
      <c r="AO54" s="1195">
        <f t="shared" si="17"/>
        <v>0</v>
      </c>
      <c r="AP54" s="1195">
        <f t="shared" si="17"/>
        <v>0</v>
      </c>
      <c r="AQ54" s="1195">
        <f t="shared" si="17"/>
        <v>0</v>
      </c>
      <c r="AR54" s="1195">
        <f t="shared" si="17"/>
        <v>0</v>
      </c>
      <c r="AS54" s="1195">
        <f t="shared" si="17"/>
        <v>0</v>
      </c>
      <c r="AT54" s="1195">
        <f t="shared" si="17"/>
        <v>0</v>
      </c>
      <c r="AU54" s="1195">
        <f t="shared" si="17"/>
        <v>0</v>
      </c>
      <c r="AV54" s="1195">
        <f t="shared" si="17"/>
        <v>0</v>
      </c>
      <c r="AW54" s="1195">
        <f t="shared" si="17"/>
        <v>0</v>
      </c>
      <c r="AX54" s="1195">
        <f t="shared" si="17"/>
        <v>0</v>
      </c>
      <c r="AY54" s="1195">
        <f t="shared" si="17"/>
        <v>0</v>
      </c>
      <c r="AZ54" s="1195">
        <f t="shared" si="17"/>
        <v>0</v>
      </c>
      <c r="BA54" s="1195">
        <f t="shared" si="17"/>
        <v>0</v>
      </c>
      <c r="BB54" s="1195">
        <f t="shared" si="17"/>
        <v>0</v>
      </c>
      <c r="BC54" s="1195">
        <f t="shared" si="17"/>
        <v>0</v>
      </c>
      <c r="BD54" s="1179"/>
    </row>
    <row r="55" spans="1:56">
      <c r="A55" s="773"/>
      <c r="F55" s="1176"/>
      <c r="G55" s="1177"/>
      <c r="H55" s="1178"/>
      <c r="I55" s="1178"/>
      <c r="J55" s="1178"/>
      <c r="K55" s="1178"/>
      <c r="L55" s="1178"/>
      <c r="M55" s="1178"/>
      <c r="N55" s="1178"/>
      <c r="O55" s="1178"/>
      <c r="P55" s="1178"/>
      <c r="Q55" s="1178"/>
      <c r="R55" s="1178"/>
      <c r="S55" s="1178"/>
      <c r="T55" s="1178"/>
      <c r="U55" s="1178"/>
      <c r="V55" s="1178"/>
      <c r="W55" s="1178"/>
      <c r="X55" s="1178"/>
      <c r="Y55" s="1178"/>
      <c r="Z55" s="1178"/>
      <c r="AA55" s="1178"/>
      <c r="AB55" s="1178"/>
      <c r="AC55" s="1178"/>
      <c r="AD55" s="1178"/>
      <c r="AE55" s="1178"/>
      <c r="AF55" s="1178"/>
      <c r="AG55" s="1178"/>
      <c r="AH55" s="1178"/>
      <c r="AI55" s="1178"/>
      <c r="AJ55" s="1178"/>
      <c r="AK55" s="1178"/>
      <c r="AL55" s="1178"/>
      <c r="AM55" s="1178"/>
      <c r="AN55" s="1178"/>
      <c r="AO55" s="1178"/>
      <c r="AP55" s="1178"/>
      <c r="AQ55" s="1178"/>
      <c r="AR55" s="1178"/>
      <c r="AS55" s="1178"/>
      <c r="AT55" s="1178"/>
      <c r="AU55" s="1178"/>
      <c r="AV55" s="1178"/>
      <c r="AW55" s="1178"/>
      <c r="AX55" s="1178"/>
      <c r="AY55" s="1178"/>
      <c r="AZ55" s="1178"/>
      <c r="BA55" s="1178"/>
      <c r="BB55" s="1178"/>
      <c r="BC55" s="1178"/>
      <c r="BD55" s="1179"/>
    </row>
    <row r="56" spans="1:56">
      <c r="A56" s="773"/>
      <c r="B56" s="560" t="s">
        <v>1165</v>
      </c>
      <c r="F56" s="1176"/>
      <c r="G56" s="1177">
        <f>+Items!J29</f>
        <v>195803.9566794007</v>
      </c>
      <c r="H56" s="1189">
        <f>+SUMPRODUCT(Crono!Q32:Q32,Crono!$J$32:$J$32)/1000</f>
        <v>48.950989169850175</v>
      </c>
      <c r="I56" s="1189">
        <f>+SUMPRODUCT(Crono!R32:R32,Crono!$J$32:$J$32)/1000</f>
        <v>48.950989169850175</v>
      </c>
      <c r="J56" s="1189">
        <f>+SUMPRODUCT(Crono!S32:S32,Crono!$J$32:$J$32)/1000</f>
        <v>48.950989169850175</v>
      </c>
      <c r="K56" s="1189">
        <f>+SUMPRODUCT(Crono!T32:T32,Crono!$J$32:$J$32)/1000</f>
        <v>48.950989169850175</v>
      </c>
      <c r="L56" s="1189">
        <f>+SUMPRODUCT(Crono!U32:U32,Crono!$J$32:$J$32)/1000</f>
        <v>0</v>
      </c>
      <c r="M56" s="1189">
        <f>+SUMPRODUCT(Crono!V32:V32,Crono!$J$32:$J$32)/1000</f>
        <v>0</v>
      </c>
      <c r="N56" s="1189">
        <f>+SUMPRODUCT(Crono!W32:W32,Crono!$J$32:$J$32)/1000</f>
        <v>0</v>
      </c>
      <c r="O56" s="1189">
        <f>+SUMPRODUCT(Crono!X32:X32,Crono!$J$32:$J$32)/1000</f>
        <v>0</v>
      </c>
      <c r="P56" s="1189">
        <f>+SUMPRODUCT(Crono!Y32:Y32,Crono!$J$32:$J$32)/1000</f>
        <v>0</v>
      </c>
      <c r="Q56" s="1189">
        <f>+SUMPRODUCT(Crono!Z32:Z32,Crono!$J$32:$J$32)/1000</f>
        <v>0</v>
      </c>
      <c r="R56" s="1189">
        <f>+SUMPRODUCT(Crono!AA32:AA32,Crono!$J$32:$J$32)/1000</f>
        <v>0</v>
      </c>
      <c r="S56" s="1189">
        <f>+SUMPRODUCT(Crono!AB32:AB32,Crono!$J$32:$J$32)/1000</f>
        <v>0</v>
      </c>
      <c r="T56" s="1189">
        <f>+SUMPRODUCT(Crono!AC32:AC32,Crono!$J$32:$J$32)/1000</f>
        <v>0</v>
      </c>
      <c r="U56" s="1189">
        <f>+SUMPRODUCT(Crono!AD32:AD32,Crono!$J$32:$J$32)/1000</f>
        <v>0</v>
      </c>
      <c r="V56" s="1189">
        <f>+SUMPRODUCT(Crono!AE32:AE32,Crono!$J$32:$J$32)/1000</f>
        <v>0</v>
      </c>
      <c r="W56" s="1189">
        <f>+SUMPRODUCT(Crono!AF32:AF32,Crono!$J$32:$J$32)/1000</f>
        <v>0</v>
      </c>
      <c r="X56" s="1189">
        <f>+SUMPRODUCT(Crono!AG32:AG32,Crono!$J$32:$J$32)/1000</f>
        <v>0</v>
      </c>
      <c r="Y56" s="1189">
        <f>+SUMPRODUCT(Crono!AH32:AH32,Crono!$J$32:$J$32)/1000</f>
        <v>0</v>
      </c>
      <c r="Z56" s="1189">
        <f>+SUMPRODUCT(Crono!AI32:AI32,Crono!$J$32:$J$32)/1000</f>
        <v>0</v>
      </c>
      <c r="AA56" s="1189">
        <f>+SUMPRODUCT(Crono!AJ32:AJ32,Crono!$J$32:$J$32)/1000</f>
        <v>0</v>
      </c>
      <c r="AB56" s="1189">
        <f>+SUMPRODUCT(Crono!AK32:AK32,Crono!$J$32:$J$32)/1000</f>
        <v>0</v>
      </c>
      <c r="AC56" s="1189">
        <f>+SUMPRODUCT(Crono!AL32:AL32,Crono!$J$32:$J$32)/1000</f>
        <v>0</v>
      </c>
      <c r="AD56" s="1189">
        <f>+SUMPRODUCT(Crono!AM32:AM32,Crono!$J$32:$J$32)/1000</f>
        <v>0</v>
      </c>
      <c r="AE56" s="1189">
        <f>+SUMPRODUCT(Crono!AN32:AN32,Crono!$J$32:$J$32)/1000</f>
        <v>0</v>
      </c>
      <c r="AF56" s="1189">
        <f>+SUMPRODUCT(Crono!AO32:AO32,Crono!$J$32:$J$32)/1000</f>
        <v>0</v>
      </c>
      <c r="AG56" s="1189">
        <f>+SUMPRODUCT(Crono!AP32:AP32,Crono!$J$32:$J$32)/1000</f>
        <v>0</v>
      </c>
      <c r="AH56" s="1189">
        <f>+SUMPRODUCT(Crono!AQ32:AQ32,Crono!$J$32:$J$32)/1000</f>
        <v>0</v>
      </c>
      <c r="AI56" s="1189">
        <f>+SUMPRODUCT(Crono!AR32:AR32,Crono!$J$32:$J$32)/1000</f>
        <v>0</v>
      </c>
      <c r="AJ56" s="1189">
        <f>+SUMPRODUCT(Crono!AS32:AS32,Crono!$J$32:$J$32)/1000</f>
        <v>0</v>
      </c>
      <c r="AK56" s="1189">
        <f>+SUMPRODUCT(Crono!AT32:AT32,Crono!$J$32:$J$32)/1000</f>
        <v>0</v>
      </c>
      <c r="AL56" s="1189">
        <f>+SUMPRODUCT(Crono!AU32:AU32,Crono!$J$32:$J$32)/1000</f>
        <v>0</v>
      </c>
      <c r="AM56" s="1189">
        <f>+SUMPRODUCT(Crono!AV32:AV32,Crono!$J$32:$J$32)/1000</f>
        <v>0</v>
      </c>
      <c r="AN56" s="1189">
        <f>+SUMPRODUCT(Crono!AW32:AW32,Crono!$J$32:$J$32)/1000</f>
        <v>0</v>
      </c>
      <c r="AO56" s="1189">
        <f>+SUMPRODUCT(Crono!AX32:AX32,Crono!$J$32:$J$32)/1000</f>
        <v>0</v>
      </c>
      <c r="AP56" s="1189">
        <f>+SUMPRODUCT(Crono!AY32:AY32,Crono!$J$32:$J$32)/1000</f>
        <v>0</v>
      </c>
      <c r="AQ56" s="1189">
        <f>+SUMPRODUCT(Crono!AZ32:AZ32,Crono!$J$32:$J$32)/1000</f>
        <v>0</v>
      </c>
      <c r="AR56" s="1189">
        <f>+SUMPRODUCT(Crono!BA32:BA32,Crono!$J$32:$J$32)/1000</f>
        <v>0</v>
      </c>
      <c r="AS56" s="1189">
        <f>+SUMPRODUCT(Crono!BB32:BB32,Crono!$J$32:$J$32)/1000</f>
        <v>0</v>
      </c>
      <c r="AT56" s="1189">
        <f>+SUMPRODUCT(Crono!BC32:BC32,Crono!$J$32:$J$32)/1000</f>
        <v>0</v>
      </c>
      <c r="AU56" s="1189">
        <f>+SUMPRODUCT(Crono!BD32:BD32,Crono!$J$32:$J$32)/1000</f>
        <v>0</v>
      </c>
      <c r="AV56" s="1189">
        <f>+SUMPRODUCT(Crono!BE32:BE32,Crono!$J$32:$J$32)/1000</f>
        <v>0</v>
      </c>
      <c r="AW56" s="1189">
        <f>+SUMPRODUCT(Crono!BF32:BF32,Crono!$J$32:$J$32)/1000</f>
        <v>0</v>
      </c>
      <c r="AX56" s="1189">
        <f>+SUMPRODUCT(Crono!BG32:BG32,Crono!$J$32:$J$32)/1000</f>
        <v>0</v>
      </c>
      <c r="AY56" s="1189">
        <f>+SUMPRODUCT(Crono!BH32:BH32,Crono!$J$32:$J$32)/1000</f>
        <v>0</v>
      </c>
      <c r="AZ56" s="1189">
        <f>+SUMPRODUCT(Crono!BI32:BI32,Crono!$J$32:$J$32)/1000</f>
        <v>0</v>
      </c>
      <c r="BA56" s="1189">
        <f>+SUMPRODUCT(Crono!BJ32:BJ32,Crono!$J$32:$J$32)/1000</f>
        <v>0</v>
      </c>
      <c r="BB56" s="1189">
        <f>+SUMPRODUCT(Crono!BK32:BK32,Crono!$J$32:$J$32)/1000</f>
        <v>0</v>
      </c>
      <c r="BC56" s="1189">
        <f>+SUMPRODUCT(Crono!BL32:BL32,Crono!$J$32:$J$32)/1000</f>
        <v>0</v>
      </c>
      <c r="BD56" s="1179"/>
    </row>
    <row r="57" spans="1:56">
      <c r="A57" s="773"/>
      <c r="B57" s="560" t="s">
        <v>1183</v>
      </c>
      <c r="F57" s="1176"/>
      <c r="G57" s="1177">
        <f>+SUMIF(Items!F:F,Precio!B57,Items!J:J)</f>
        <v>0</v>
      </c>
      <c r="H57" s="1189">
        <f>+SUMPRODUCT(Crono!Q36:Q37,Crono!$J$36:$J$37)/1000</f>
        <v>0</v>
      </c>
      <c r="I57" s="1189">
        <f>+SUMPRODUCT(Crono!R36:R37,Crono!$J$36:$J$37)/1000</f>
        <v>0</v>
      </c>
      <c r="J57" s="1189">
        <f>+SUMPRODUCT(Crono!S36:S37,Crono!$J$36:$J$37)/1000</f>
        <v>0</v>
      </c>
      <c r="K57" s="1189">
        <f>+SUMPRODUCT(Crono!T36:T37,Crono!$J$36:$J$37)/1000</f>
        <v>0</v>
      </c>
      <c r="L57" s="1189">
        <f>+SUMPRODUCT(Crono!U36:U37,Crono!$J$36:$J$37)/1000</f>
        <v>0</v>
      </c>
      <c r="M57" s="1189">
        <f>+SUMPRODUCT(Crono!V36:V37,Crono!$J$36:$J$37)/1000</f>
        <v>0</v>
      </c>
      <c r="N57" s="1189">
        <f>+SUMPRODUCT(Crono!W36:W37,Crono!$J$36:$J$37)/1000</f>
        <v>0</v>
      </c>
      <c r="O57" s="1189">
        <f>+SUMPRODUCT(Crono!X36:X37,Crono!$J$36:$J$37)/1000</f>
        <v>0</v>
      </c>
      <c r="P57" s="1189">
        <f>+SUMPRODUCT(Crono!Y36:Y37,Crono!$J$36:$J$37)/1000</f>
        <v>0</v>
      </c>
      <c r="Q57" s="1189">
        <f>+SUMPRODUCT(Crono!Z36:Z37,Crono!$J$36:$J$37)/1000</f>
        <v>0</v>
      </c>
      <c r="R57" s="1189">
        <f>+SUMPRODUCT(Crono!AA36:AA37,Crono!$J$36:$J$37)/1000</f>
        <v>0</v>
      </c>
      <c r="S57" s="1189">
        <f>+SUMPRODUCT(Crono!AB36:AB37,Crono!$J$36:$J$37)/1000</f>
        <v>0</v>
      </c>
      <c r="T57" s="1189">
        <f>+SUMPRODUCT(Crono!AC36:AC37,Crono!$J$36:$J$37)/1000</f>
        <v>0</v>
      </c>
      <c r="U57" s="1189">
        <f>+SUMPRODUCT(Crono!AD36:AD37,Crono!$J$36:$J$37)/1000</f>
        <v>0</v>
      </c>
      <c r="V57" s="1189">
        <f>+SUMPRODUCT(Crono!AE36:AE37,Crono!$J$36:$J$37)/1000</f>
        <v>0</v>
      </c>
      <c r="W57" s="1189">
        <f>+SUMPRODUCT(Crono!AF36:AF37,Crono!$J$36:$J$37)/1000</f>
        <v>0</v>
      </c>
      <c r="X57" s="1189">
        <f>+SUMPRODUCT(Crono!AG36:AG37,Crono!$J$36:$J$37)/1000</f>
        <v>0</v>
      </c>
      <c r="Y57" s="1189">
        <f>+SUMPRODUCT(Crono!AH36:AH37,Crono!$J$36:$J$37)/1000</f>
        <v>0</v>
      </c>
      <c r="Z57" s="1189">
        <f>+SUMPRODUCT(Crono!AI36:AI37,Crono!$J$36:$J$37)/1000</f>
        <v>0</v>
      </c>
      <c r="AA57" s="1189">
        <f>+SUMPRODUCT(Crono!AJ36:AJ37,Crono!$J$36:$J$37)/1000</f>
        <v>0</v>
      </c>
      <c r="AB57" s="1189">
        <f>+SUMPRODUCT(Crono!AK36:AK37,Crono!$J$36:$J$37)/1000</f>
        <v>0</v>
      </c>
      <c r="AC57" s="1189">
        <f>+SUMPRODUCT(Crono!AL36:AL37,Crono!$J$36:$J$37)/1000</f>
        <v>0</v>
      </c>
      <c r="AD57" s="1189">
        <f>+SUMPRODUCT(Crono!AM36:AM37,Crono!$J$36:$J$37)/1000</f>
        <v>0</v>
      </c>
      <c r="AE57" s="1189">
        <f>+SUMPRODUCT(Crono!AN36:AN37,Crono!$J$36:$J$37)/1000</f>
        <v>0</v>
      </c>
      <c r="AF57" s="1189">
        <f>+SUMPRODUCT(Crono!AO36:AO37,Crono!$J$36:$J$37)/1000</f>
        <v>0</v>
      </c>
      <c r="AG57" s="1189">
        <f>+SUMPRODUCT(Crono!AP36:AP37,Crono!$J$36:$J$37)/1000</f>
        <v>0</v>
      </c>
      <c r="AH57" s="1189">
        <f>+SUMPRODUCT(Crono!AQ36:AQ37,Crono!$J$36:$J$37)/1000</f>
        <v>0</v>
      </c>
      <c r="AI57" s="1189">
        <f>+SUMPRODUCT(Crono!AR36:AR37,Crono!$J$36:$J$37)/1000</f>
        <v>0</v>
      </c>
      <c r="AJ57" s="1189">
        <f>+SUMPRODUCT(Crono!AS36:AS37,Crono!$J$36:$J$37)/1000</f>
        <v>0</v>
      </c>
      <c r="AK57" s="1189">
        <f>+SUMPRODUCT(Crono!AT36:AT37,Crono!$J$36:$J$37)/1000</f>
        <v>0</v>
      </c>
      <c r="AL57" s="1189">
        <f>+SUMPRODUCT(Crono!AU36:AU37,Crono!$J$36:$J$37)/1000</f>
        <v>0</v>
      </c>
      <c r="AM57" s="1189">
        <f>+SUMPRODUCT(Crono!AV36:AV37,Crono!$J$36:$J$37)/1000</f>
        <v>0</v>
      </c>
      <c r="AN57" s="1189">
        <f>+SUMPRODUCT(Crono!AW36:AW37,Crono!$J$36:$J$37)/1000</f>
        <v>0</v>
      </c>
      <c r="AO57" s="1189">
        <f>+SUMPRODUCT(Crono!AX36:AX37,Crono!$J$36:$J$37)/1000</f>
        <v>0</v>
      </c>
      <c r="AP57" s="1189">
        <f>+SUMPRODUCT(Crono!AY36:AY37,Crono!$J$36:$J$37)/1000</f>
        <v>0</v>
      </c>
      <c r="AQ57" s="1189">
        <f>+SUMPRODUCT(Crono!AZ36:AZ37,Crono!$J$36:$J$37)/1000</f>
        <v>0</v>
      </c>
      <c r="AR57" s="1189">
        <f>+SUMPRODUCT(Crono!BA36:BA37,Crono!$J$36:$J$37)/1000</f>
        <v>0</v>
      </c>
      <c r="AS57" s="1189">
        <f>+SUMPRODUCT(Crono!BB36:BB37,Crono!$J$36:$J$37)/1000</f>
        <v>0</v>
      </c>
      <c r="AT57" s="1189">
        <f>+SUMPRODUCT(Crono!BC36:BC37,Crono!$J$36:$J$37)/1000</f>
        <v>0</v>
      </c>
      <c r="AU57" s="1189">
        <f>+SUMPRODUCT(Crono!BD36:BD37,Crono!$J$36:$J$37)/1000</f>
        <v>0</v>
      </c>
      <c r="AV57" s="1189">
        <f>+SUMPRODUCT(Crono!BE36:BE37,Crono!$J$36:$J$37)/1000</f>
        <v>0</v>
      </c>
      <c r="AW57" s="1189">
        <f>+SUMPRODUCT(Crono!BF36:BF37,Crono!$J$36:$J$37)/1000</f>
        <v>0</v>
      </c>
      <c r="AX57" s="1189">
        <f>+SUMPRODUCT(Crono!BG36:BG37,Crono!$J$36:$J$37)/1000</f>
        <v>0</v>
      </c>
      <c r="AY57" s="1189">
        <f>+SUMPRODUCT(Crono!BH36:BH37,Crono!$J$36:$J$37)/1000</f>
        <v>0</v>
      </c>
      <c r="AZ57" s="1189">
        <f>+SUMPRODUCT(Crono!BI36:BI37,Crono!$J$36:$J$37)/1000</f>
        <v>0</v>
      </c>
      <c r="BA57" s="1189">
        <f>+SUMPRODUCT(Crono!BJ36:BJ37,Crono!$J$36:$J$37)/1000</f>
        <v>0</v>
      </c>
      <c r="BB57" s="1189">
        <f>+SUMPRODUCT(Crono!BK36:BK37,Crono!$J$36:$J$37)/1000</f>
        <v>0</v>
      </c>
      <c r="BC57" s="1189">
        <f>+SUMPRODUCT(Crono!BL36:BL37,Crono!$J$36:$J$37)/1000</f>
        <v>0</v>
      </c>
      <c r="BD57" s="1179"/>
    </row>
    <row r="58" spans="1:56">
      <c r="A58" s="773"/>
      <c r="B58" s="560" t="s">
        <v>1134</v>
      </c>
      <c r="F58" s="1176"/>
      <c r="G58" s="1177">
        <f>+SUMIF(Items!F:F,Precio!B58,Items!J:J)</f>
        <v>93651.515742568285</v>
      </c>
      <c r="H58" s="1189">
        <f>+SUMPRODUCT(Crono!Q43:Q56,Crono!$J$43:$J$56)/1000</f>
        <v>9.4069602866419029</v>
      </c>
      <c r="I58" s="1189">
        <f>+SUMPRODUCT(Crono!R43:R56,Crono!$J$43:$J$56)/1000</f>
        <v>1.045217809626878</v>
      </c>
      <c r="J58" s="1189">
        <f>+SUMPRODUCT(Crono!S43:S56,Crono!$J$43:$J$56)/1000</f>
        <v>1.045217809626878</v>
      </c>
      <c r="K58" s="1189">
        <f>+SUMPRODUCT(Crono!T43:T56,Crono!$J$43:$J$56)/1000</f>
        <v>52.888021167120037</v>
      </c>
      <c r="L58" s="1189">
        <f>+SUMPRODUCT(Crono!U43:U56,Crono!$J$43:$J$56)/1000</f>
        <v>0</v>
      </c>
      <c r="M58" s="1189">
        <f>+SUMPRODUCT(Crono!V43:V56,Crono!$J$43:$J$56)/1000</f>
        <v>0</v>
      </c>
      <c r="N58" s="1189">
        <f>+SUMPRODUCT(Crono!W43:W56,Crono!$J$43:$J$56)/1000</f>
        <v>0</v>
      </c>
      <c r="O58" s="1189">
        <f>+SUMPRODUCT(Crono!X43:X56,Crono!$J$43:$J$56)/1000</f>
        <v>0</v>
      </c>
      <c r="P58" s="1189">
        <f>+SUMPRODUCT(Crono!Y43:Y56,Crono!$J$43:$J$56)/1000</f>
        <v>0</v>
      </c>
      <c r="Q58" s="1189">
        <f>+SUMPRODUCT(Crono!Z43:Z56,Crono!$J$43:$J$56)/1000</f>
        <v>0</v>
      </c>
      <c r="R58" s="1189">
        <f>+SUMPRODUCT(Crono!AA43:AA56,Crono!$J$43:$J$56)/1000</f>
        <v>0</v>
      </c>
      <c r="S58" s="1189">
        <f>+SUMPRODUCT(Crono!AB43:AB56,Crono!$J$43:$J$56)/1000</f>
        <v>0</v>
      </c>
      <c r="T58" s="1189">
        <f>+SUMPRODUCT(Crono!AC43:AC56,Crono!$J$43:$J$56)/1000</f>
        <v>0</v>
      </c>
      <c r="U58" s="1189">
        <f>+SUMPRODUCT(Crono!AD43:AD56,Crono!$J$43:$J$56)/1000</f>
        <v>0</v>
      </c>
      <c r="V58" s="1189">
        <f>+SUMPRODUCT(Crono!AE43:AE56,Crono!$J$43:$J$56)/1000</f>
        <v>0</v>
      </c>
      <c r="W58" s="1189">
        <f>+SUMPRODUCT(Crono!AF43:AF56,Crono!$J$43:$J$56)/1000</f>
        <v>0</v>
      </c>
      <c r="X58" s="1189">
        <f>+SUMPRODUCT(Crono!AG43:AG56,Crono!$J$43:$J$56)/1000</f>
        <v>0</v>
      </c>
      <c r="Y58" s="1189">
        <f>+SUMPRODUCT(Crono!AH43:AH56,Crono!$J$43:$J$56)/1000</f>
        <v>0</v>
      </c>
      <c r="Z58" s="1189">
        <f>+SUMPRODUCT(Crono!AI43:AI56,Crono!$J$43:$J$56)/1000</f>
        <v>0</v>
      </c>
      <c r="AA58" s="1189">
        <f>+SUMPRODUCT(Crono!AJ43:AJ56,Crono!$J$43:$J$56)/1000</f>
        <v>0</v>
      </c>
      <c r="AB58" s="1189">
        <f>+SUMPRODUCT(Crono!AK43:AK56,Crono!$J$43:$J$56)/1000</f>
        <v>0</v>
      </c>
      <c r="AC58" s="1189">
        <f>+SUMPRODUCT(Crono!AL43:AL56,Crono!$J$43:$J$56)/1000</f>
        <v>0</v>
      </c>
      <c r="AD58" s="1189">
        <f>+SUMPRODUCT(Crono!AM43:AM56,Crono!$J$43:$J$56)/1000</f>
        <v>0</v>
      </c>
      <c r="AE58" s="1189">
        <f>+SUMPRODUCT(Crono!AN43:AN56,Crono!$J$43:$J$56)/1000</f>
        <v>0</v>
      </c>
      <c r="AF58" s="1189">
        <f>+SUMPRODUCT(Crono!AO43:AO56,Crono!$J$43:$J$56)/1000</f>
        <v>0</v>
      </c>
      <c r="AG58" s="1189">
        <f>+SUMPRODUCT(Crono!AP43:AP56,Crono!$J$43:$J$56)/1000</f>
        <v>0</v>
      </c>
      <c r="AH58" s="1189">
        <f>+SUMPRODUCT(Crono!AQ43:AQ56,Crono!$J$43:$J$56)/1000</f>
        <v>0</v>
      </c>
      <c r="AI58" s="1189">
        <f>+SUMPRODUCT(Crono!AR43:AR56,Crono!$J$43:$J$56)/1000</f>
        <v>0</v>
      </c>
      <c r="AJ58" s="1189">
        <f>+SUMPRODUCT(Crono!AS43:AS56,Crono!$J$43:$J$56)/1000</f>
        <v>0</v>
      </c>
      <c r="AK58" s="1189">
        <f>+SUMPRODUCT(Crono!AT43:AT56,Crono!$J$43:$J$56)/1000</f>
        <v>0</v>
      </c>
      <c r="AL58" s="1189">
        <f>+SUMPRODUCT(Crono!AU43:AU56,Crono!$J$43:$J$56)/1000</f>
        <v>0</v>
      </c>
      <c r="AM58" s="1189">
        <f>+SUMPRODUCT(Crono!AV43:AV56,Crono!$J$43:$J$56)/1000</f>
        <v>0</v>
      </c>
      <c r="AN58" s="1189">
        <f>+SUMPRODUCT(Crono!AW43:AW56,Crono!$J$43:$J$56)/1000</f>
        <v>0</v>
      </c>
      <c r="AO58" s="1189">
        <f>+SUMPRODUCT(Crono!AX43:AX56,Crono!$J$43:$J$56)/1000</f>
        <v>0</v>
      </c>
      <c r="AP58" s="1189">
        <f>+SUMPRODUCT(Crono!AY43:AY56,Crono!$J$43:$J$56)/1000</f>
        <v>0</v>
      </c>
      <c r="AQ58" s="1189">
        <f>+SUMPRODUCT(Crono!AZ43:AZ56,Crono!$J$43:$J$56)/1000</f>
        <v>0</v>
      </c>
      <c r="AR58" s="1189">
        <f>+SUMPRODUCT(Crono!BA43:BA56,Crono!$J$43:$J$56)/1000</f>
        <v>0</v>
      </c>
      <c r="AS58" s="1189">
        <f>+SUMPRODUCT(Crono!BB43:BB56,Crono!$J$43:$J$56)/1000</f>
        <v>0</v>
      </c>
      <c r="AT58" s="1189">
        <f>+SUMPRODUCT(Crono!BC43:BC56,Crono!$J$43:$J$56)/1000</f>
        <v>0</v>
      </c>
      <c r="AU58" s="1189">
        <f>+SUMPRODUCT(Crono!BD43:BD56,Crono!$J$43:$J$56)/1000</f>
        <v>0</v>
      </c>
      <c r="AV58" s="1189">
        <f>+SUMPRODUCT(Crono!BE43:BE56,Crono!$J$43:$J$56)/1000</f>
        <v>0</v>
      </c>
      <c r="AW58" s="1189">
        <f>+SUMPRODUCT(Crono!BF43:BF56,Crono!$J$43:$J$56)/1000</f>
        <v>0</v>
      </c>
      <c r="AX58" s="1189">
        <f>+SUMPRODUCT(Crono!BG43:BG56,Crono!$J$43:$J$56)/1000</f>
        <v>0</v>
      </c>
      <c r="AY58" s="1189">
        <f>+SUMPRODUCT(Crono!BH43:BH56,Crono!$J$43:$J$56)/1000</f>
        <v>0</v>
      </c>
      <c r="AZ58" s="1189">
        <f>+SUMPRODUCT(Crono!BI43:BI56,Crono!$J$43:$J$56)/1000</f>
        <v>0</v>
      </c>
      <c r="BA58" s="1189">
        <f>+SUMPRODUCT(Crono!BJ43:BJ56,Crono!$J$43:$J$56)/1000</f>
        <v>0</v>
      </c>
      <c r="BB58" s="1189">
        <f>+SUMPRODUCT(Crono!BK43:BK56,Crono!$J$43:$J$56)/1000</f>
        <v>0</v>
      </c>
      <c r="BC58" s="1189">
        <f>+SUMPRODUCT(Crono!BL43:BL56,Crono!$J$43:$J$56)/1000</f>
        <v>0</v>
      </c>
      <c r="BD58" s="1179"/>
    </row>
    <row r="59" spans="1:56">
      <c r="F59" s="1175">
        <f>+SUM(F43:F58)</f>
        <v>418180.11991834606</v>
      </c>
      <c r="G59" s="1176">
        <f>SUM(H59:BC59)</f>
        <v>2906.2859493085166</v>
      </c>
      <c r="H59" s="1190">
        <f t="shared" ref="H59:AD59" si="18">+SUM(H43:H58)</f>
        <v>326.27751082758982</v>
      </c>
      <c r="I59" s="1190">
        <f t="shared" si="18"/>
        <v>2428.1732211644794</v>
      </c>
      <c r="J59" s="1190">
        <f t="shared" si="18"/>
        <v>49.996206979477051</v>
      </c>
      <c r="K59" s="1190">
        <f t="shared" si="18"/>
        <v>101.8390103369702</v>
      </c>
      <c r="L59" s="1190">
        <f t="shared" si="18"/>
        <v>0</v>
      </c>
      <c r="M59" s="1190">
        <f t="shared" si="18"/>
        <v>0</v>
      </c>
      <c r="N59" s="1190">
        <f t="shared" si="18"/>
        <v>0</v>
      </c>
      <c r="O59" s="1190">
        <f t="shared" si="18"/>
        <v>0</v>
      </c>
      <c r="P59" s="1190">
        <f t="shared" si="18"/>
        <v>0</v>
      </c>
      <c r="Q59" s="1190">
        <f t="shared" si="18"/>
        <v>0</v>
      </c>
      <c r="R59" s="1190">
        <f t="shared" si="18"/>
        <v>0</v>
      </c>
      <c r="S59" s="1190">
        <f t="shared" si="18"/>
        <v>0</v>
      </c>
      <c r="T59" s="1190">
        <f t="shared" si="18"/>
        <v>0</v>
      </c>
      <c r="U59" s="1190">
        <f t="shared" si="18"/>
        <v>0</v>
      </c>
      <c r="V59" s="1190">
        <f t="shared" si="18"/>
        <v>0</v>
      </c>
      <c r="W59" s="1190">
        <f t="shared" si="18"/>
        <v>0</v>
      </c>
      <c r="X59" s="1190">
        <f t="shared" si="18"/>
        <v>0</v>
      </c>
      <c r="Y59" s="1190">
        <f t="shared" si="18"/>
        <v>0</v>
      </c>
      <c r="Z59" s="1190">
        <f t="shared" si="18"/>
        <v>0</v>
      </c>
      <c r="AA59" s="1190">
        <f t="shared" si="18"/>
        <v>0</v>
      </c>
      <c r="AB59" s="1190">
        <f t="shared" si="18"/>
        <v>0</v>
      </c>
      <c r="AC59" s="1190">
        <f t="shared" si="18"/>
        <v>0</v>
      </c>
      <c r="AD59" s="1190">
        <f t="shared" si="18"/>
        <v>0</v>
      </c>
      <c r="AE59" s="1190">
        <f t="shared" ref="AE59:BC59" si="19">+SUM(AE43:AE58)</f>
        <v>0</v>
      </c>
      <c r="AF59" s="1190">
        <f t="shared" si="19"/>
        <v>0</v>
      </c>
      <c r="AG59" s="1190">
        <f t="shared" si="19"/>
        <v>0</v>
      </c>
      <c r="AH59" s="1190">
        <f t="shared" si="19"/>
        <v>0</v>
      </c>
      <c r="AI59" s="1190">
        <f t="shared" si="19"/>
        <v>0</v>
      </c>
      <c r="AJ59" s="1190">
        <f t="shared" si="19"/>
        <v>0</v>
      </c>
      <c r="AK59" s="1190">
        <f t="shared" si="19"/>
        <v>0</v>
      </c>
      <c r="AL59" s="1190">
        <f t="shared" si="19"/>
        <v>0</v>
      </c>
      <c r="AM59" s="1190">
        <f t="shared" si="19"/>
        <v>0</v>
      </c>
      <c r="AN59" s="1190">
        <f t="shared" si="19"/>
        <v>0</v>
      </c>
      <c r="AO59" s="1190">
        <f t="shared" si="19"/>
        <v>0</v>
      </c>
      <c r="AP59" s="1190">
        <f t="shared" si="19"/>
        <v>0</v>
      </c>
      <c r="AQ59" s="1190">
        <f t="shared" si="19"/>
        <v>0</v>
      </c>
      <c r="AR59" s="1190">
        <f t="shared" si="19"/>
        <v>0</v>
      </c>
      <c r="AS59" s="1190">
        <f t="shared" si="19"/>
        <v>0</v>
      </c>
      <c r="AT59" s="1190">
        <f t="shared" si="19"/>
        <v>0</v>
      </c>
      <c r="AU59" s="1190">
        <f t="shared" si="19"/>
        <v>0</v>
      </c>
      <c r="AV59" s="1190">
        <f t="shared" si="19"/>
        <v>0</v>
      </c>
      <c r="AW59" s="1190">
        <f t="shared" si="19"/>
        <v>0</v>
      </c>
      <c r="AX59" s="1190">
        <f t="shared" si="19"/>
        <v>0</v>
      </c>
      <c r="AY59" s="1190">
        <f t="shared" si="19"/>
        <v>0</v>
      </c>
      <c r="AZ59" s="1190">
        <f t="shared" si="19"/>
        <v>0</v>
      </c>
      <c r="BA59" s="1190">
        <f t="shared" si="19"/>
        <v>0</v>
      </c>
      <c r="BB59" s="1190">
        <f t="shared" si="19"/>
        <v>0</v>
      </c>
      <c r="BC59" s="1190">
        <f t="shared" si="19"/>
        <v>0</v>
      </c>
      <c r="BD59" s="1180"/>
    </row>
    <row r="62" spans="1:56">
      <c r="B62" s="1181"/>
      <c r="C62" s="1181"/>
      <c r="D62" s="1181"/>
      <c r="E62" s="1181"/>
      <c r="F62" s="1181"/>
      <c r="G62" s="1181"/>
      <c r="H62" s="1181" t="s">
        <v>834</v>
      </c>
      <c r="I62" s="1181"/>
      <c r="J62" s="1181"/>
      <c r="K62" s="1181"/>
      <c r="L62" s="1181"/>
      <c r="M62" s="1181"/>
      <c r="N62" s="1181"/>
      <c r="O62" s="1181"/>
      <c r="P62" s="1181"/>
      <c r="Q62" s="1181"/>
      <c r="R62" s="1181"/>
      <c r="S62" s="1181"/>
      <c r="T62" s="1181"/>
      <c r="U62" s="1181"/>
      <c r="V62" s="1181"/>
      <c r="W62" s="1181"/>
      <c r="X62" s="1181"/>
      <c r="Y62" s="1181"/>
      <c r="Z62" s="1181"/>
      <c r="AA62" s="1181"/>
      <c r="AB62" s="1181"/>
      <c r="AC62" s="1181"/>
      <c r="AD62" s="1181"/>
      <c r="AE62" s="1181"/>
      <c r="AF62" s="1181"/>
      <c r="AG62" s="1181"/>
      <c r="AH62" s="1181"/>
      <c r="AI62" s="1181"/>
      <c r="AJ62" s="1181"/>
      <c r="AK62" s="1181"/>
      <c r="AL62" s="1181"/>
      <c r="AM62" s="1181"/>
      <c r="AN62" s="1181"/>
      <c r="AO62" s="1181"/>
      <c r="AP62" s="1181"/>
      <c r="AQ62" s="1181"/>
      <c r="AR62" s="1181"/>
      <c r="AS62" s="1181"/>
      <c r="AT62" s="1181"/>
      <c r="AU62" s="1181"/>
      <c r="AV62" s="1181"/>
      <c r="AW62" s="1181"/>
      <c r="AX62" s="1181"/>
      <c r="AY62" s="1181"/>
      <c r="AZ62" s="1181"/>
      <c r="BA62" s="1181"/>
      <c r="BB62" s="1181"/>
      <c r="BC62" s="1181"/>
    </row>
    <row r="63" spans="1:56">
      <c r="B63" s="1199" t="s">
        <v>61</v>
      </c>
      <c r="C63" s="1181"/>
      <c r="D63" s="1181"/>
      <c r="E63" s="1181"/>
      <c r="F63" s="1181"/>
      <c r="G63" s="1181"/>
      <c r="H63" s="1182">
        <f>H42</f>
        <v>0.5</v>
      </c>
      <c r="I63" s="1182">
        <f t="shared" ref="I63:BC63" si="20">I42</f>
        <v>1</v>
      </c>
      <c r="J63" s="1182">
        <f t="shared" si="20"/>
        <v>1.5</v>
      </c>
      <c r="K63" s="1182">
        <f t="shared" si="20"/>
        <v>2</v>
      </c>
      <c r="L63" s="1182">
        <f t="shared" si="20"/>
        <v>2.5</v>
      </c>
      <c r="M63" s="1182">
        <f t="shared" si="20"/>
        <v>3</v>
      </c>
      <c r="N63" s="1182">
        <f t="shared" si="20"/>
        <v>3.5</v>
      </c>
      <c r="O63" s="1182">
        <f t="shared" si="20"/>
        <v>4</v>
      </c>
      <c r="P63" s="1182">
        <f t="shared" si="20"/>
        <v>4.5</v>
      </c>
      <c r="Q63" s="1182">
        <f t="shared" si="20"/>
        <v>5</v>
      </c>
      <c r="R63" s="1182">
        <f t="shared" si="20"/>
        <v>5.5</v>
      </c>
      <c r="S63" s="1182">
        <f t="shared" si="20"/>
        <v>6</v>
      </c>
      <c r="T63" s="1182">
        <f t="shared" si="20"/>
        <v>6.5</v>
      </c>
      <c r="U63" s="1182">
        <f t="shared" si="20"/>
        <v>7</v>
      </c>
      <c r="V63" s="1182">
        <f t="shared" si="20"/>
        <v>7.5</v>
      </c>
      <c r="W63" s="1182">
        <f t="shared" si="20"/>
        <v>8</v>
      </c>
      <c r="X63" s="1182">
        <f t="shared" si="20"/>
        <v>8.5</v>
      </c>
      <c r="Y63" s="1182">
        <f t="shared" si="20"/>
        <v>9</v>
      </c>
      <c r="Z63" s="1182">
        <f t="shared" si="20"/>
        <v>9.5</v>
      </c>
      <c r="AA63" s="1182">
        <f t="shared" si="20"/>
        <v>10</v>
      </c>
      <c r="AB63" s="1182">
        <f t="shared" si="20"/>
        <v>10.5</v>
      </c>
      <c r="AC63" s="1182">
        <f t="shared" si="20"/>
        <v>11</v>
      </c>
      <c r="AD63" s="1182">
        <f t="shared" si="20"/>
        <v>11.5</v>
      </c>
      <c r="AE63" s="1182">
        <f t="shared" si="20"/>
        <v>12</v>
      </c>
      <c r="AF63" s="1182">
        <f t="shared" si="20"/>
        <v>12.5</v>
      </c>
      <c r="AG63" s="1182">
        <f t="shared" si="20"/>
        <v>13</v>
      </c>
      <c r="AH63" s="1182">
        <f t="shared" si="20"/>
        <v>13.5</v>
      </c>
      <c r="AI63" s="1182">
        <f t="shared" si="20"/>
        <v>14</v>
      </c>
      <c r="AJ63" s="1182">
        <f t="shared" si="20"/>
        <v>14.5</v>
      </c>
      <c r="AK63" s="1182">
        <f t="shared" si="20"/>
        <v>15</v>
      </c>
      <c r="AL63" s="1182">
        <f t="shared" si="20"/>
        <v>15.5</v>
      </c>
      <c r="AM63" s="1182">
        <f t="shared" si="20"/>
        <v>16</v>
      </c>
      <c r="AN63" s="1182">
        <f t="shared" si="20"/>
        <v>16.5</v>
      </c>
      <c r="AO63" s="1182">
        <f t="shared" si="20"/>
        <v>17</v>
      </c>
      <c r="AP63" s="1182">
        <f t="shared" si="20"/>
        <v>17.5</v>
      </c>
      <c r="AQ63" s="1182">
        <f t="shared" si="20"/>
        <v>18</v>
      </c>
      <c r="AR63" s="1182">
        <f t="shared" si="20"/>
        <v>18.5</v>
      </c>
      <c r="AS63" s="1182">
        <f t="shared" si="20"/>
        <v>19</v>
      </c>
      <c r="AT63" s="1182">
        <f t="shared" si="20"/>
        <v>19.5</v>
      </c>
      <c r="AU63" s="1182">
        <f t="shared" si="20"/>
        <v>20</v>
      </c>
      <c r="AV63" s="1182">
        <f t="shared" si="20"/>
        <v>20.5</v>
      </c>
      <c r="AW63" s="1182">
        <f t="shared" si="20"/>
        <v>21</v>
      </c>
      <c r="AX63" s="1182">
        <f t="shared" si="20"/>
        <v>21.5</v>
      </c>
      <c r="AY63" s="1182">
        <f t="shared" si="20"/>
        <v>22</v>
      </c>
      <c r="AZ63" s="1182">
        <f t="shared" si="20"/>
        <v>22.5</v>
      </c>
      <c r="BA63" s="1182">
        <f t="shared" si="20"/>
        <v>23</v>
      </c>
      <c r="BB63" s="1182">
        <f t="shared" si="20"/>
        <v>23.5</v>
      </c>
      <c r="BC63" s="1182">
        <f t="shared" si="20"/>
        <v>24</v>
      </c>
      <c r="BD63" s="1165"/>
    </row>
    <row r="64" spans="1:56">
      <c r="B64" s="1199" t="s">
        <v>67</v>
      </c>
      <c r="C64" s="1181"/>
      <c r="D64" s="1181"/>
      <c r="E64" s="1181"/>
      <c r="F64" s="1181"/>
      <c r="G64" s="1181"/>
      <c r="H64" s="1191">
        <f>+SUM(H65:H68)</f>
        <v>435.9428923962775</v>
      </c>
      <c r="I64" s="1191">
        <f t="shared" ref="I64:AL64" si="21">+SUM(I65:I68)</f>
        <v>0</v>
      </c>
      <c r="J64" s="1191">
        <f t="shared" si="21"/>
        <v>2220.2186909468846</v>
      </c>
      <c r="K64" s="1191">
        <f t="shared" si="21"/>
        <v>0</v>
      </c>
      <c r="L64" s="1191">
        <f t="shared" si="21"/>
        <v>0</v>
      </c>
      <c r="M64" s="1191">
        <f t="shared" si="21"/>
        <v>0</v>
      </c>
      <c r="N64" s="1191">
        <f t="shared" si="21"/>
        <v>0</v>
      </c>
      <c r="O64" s="1191">
        <f t="shared" si="21"/>
        <v>0</v>
      </c>
      <c r="P64" s="1191">
        <f t="shared" si="21"/>
        <v>0</v>
      </c>
      <c r="Q64" s="1191">
        <f t="shared" si="21"/>
        <v>0</v>
      </c>
      <c r="R64" s="1191">
        <f t="shared" si="21"/>
        <v>0</v>
      </c>
      <c r="S64" s="1191">
        <f t="shared" si="21"/>
        <v>0</v>
      </c>
      <c r="T64" s="1191">
        <f t="shared" si="21"/>
        <v>0</v>
      </c>
      <c r="U64" s="1191">
        <f t="shared" si="21"/>
        <v>0</v>
      </c>
      <c r="V64" s="1191">
        <f t="shared" si="21"/>
        <v>0</v>
      </c>
      <c r="W64" s="1191">
        <f t="shared" si="21"/>
        <v>0</v>
      </c>
      <c r="X64" s="1191">
        <f t="shared" si="21"/>
        <v>0</v>
      </c>
      <c r="Y64" s="1191">
        <f t="shared" si="21"/>
        <v>0</v>
      </c>
      <c r="Z64" s="1191">
        <f t="shared" si="21"/>
        <v>0</v>
      </c>
      <c r="AA64" s="1191">
        <f t="shared" si="21"/>
        <v>0</v>
      </c>
      <c r="AB64" s="1191">
        <f t="shared" si="21"/>
        <v>0</v>
      </c>
      <c r="AC64" s="1191">
        <f t="shared" si="21"/>
        <v>0</v>
      </c>
      <c r="AD64" s="1191">
        <f t="shared" si="21"/>
        <v>0</v>
      </c>
      <c r="AE64" s="1191">
        <f t="shared" si="21"/>
        <v>0</v>
      </c>
      <c r="AF64" s="1191">
        <f t="shared" si="21"/>
        <v>0</v>
      </c>
      <c r="AG64" s="1191">
        <f t="shared" si="21"/>
        <v>0</v>
      </c>
      <c r="AH64" s="1191">
        <f t="shared" si="21"/>
        <v>0</v>
      </c>
      <c r="AI64" s="1191">
        <f t="shared" si="21"/>
        <v>0</v>
      </c>
      <c r="AJ64" s="1191">
        <f t="shared" si="21"/>
        <v>0</v>
      </c>
      <c r="AK64" s="1191">
        <f t="shared" si="21"/>
        <v>0</v>
      </c>
      <c r="AL64" s="1191">
        <f t="shared" si="21"/>
        <v>0</v>
      </c>
      <c r="AM64" s="1183"/>
      <c r="AN64" s="1183"/>
      <c r="AO64" s="1183"/>
      <c r="AP64" s="1183"/>
      <c r="AQ64" s="1183"/>
      <c r="AR64" s="1183"/>
      <c r="AS64" s="1183"/>
      <c r="AT64" s="1183"/>
      <c r="AU64" s="1183"/>
      <c r="AV64" s="1183"/>
      <c r="AW64" s="1183"/>
      <c r="AX64" s="1183"/>
      <c r="AY64" s="1183"/>
      <c r="AZ64" s="1183"/>
      <c r="BA64" s="1183"/>
      <c r="BB64" s="1183"/>
      <c r="BC64" s="1183"/>
    </row>
    <row r="65" spans="2:55">
      <c r="B65" s="1198" t="s">
        <v>57</v>
      </c>
      <c r="C65" s="1181"/>
      <c r="D65" s="1181"/>
      <c r="E65" s="1181"/>
      <c r="F65" s="1181"/>
      <c r="G65" s="1197">
        <v>60</v>
      </c>
      <c r="H65" s="1193">
        <f>IFERROR(HLOOKUP(COLUMN(H$42)-$G$65/30-7,$H$42:$BC$54,13,FALSE)*$G$59,0)</f>
        <v>0</v>
      </c>
      <c r="I65" s="1193">
        <f t="shared" ref="I65:BC65" si="22">IFERROR(HLOOKUP(COLUMN(I$42)-$G$65/30-7,$H$42:$BC$54,13,FALSE)*$G$59,0)</f>
        <v>0</v>
      </c>
      <c r="J65" s="1193">
        <f t="shared" si="22"/>
        <v>2612.0219893492758</v>
      </c>
      <c r="K65" s="1193">
        <f t="shared" si="22"/>
        <v>0</v>
      </c>
      <c r="L65" s="1193">
        <f t="shared" si="22"/>
        <v>0</v>
      </c>
      <c r="M65" s="1193">
        <f t="shared" si="22"/>
        <v>0</v>
      </c>
      <c r="N65" s="1193">
        <f t="shared" si="22"/>
        <v>0</v>
      </c>
      <c r="O65" s="1193">
        <f t="shared" si="22"/>
        <v>0</v>
      </c>
      <c r="P65" s="1193">
        <f t="shared" si="22"/>
        <v>0</v>
      </c>
      <c r="Q65" s="1193">
        <f t="shared" si="22"/>
        <v>0</v>
      </c>
      <c r="R65" s="1193">
        <f t="shared" si="22"/>
        <v>0</v>
      </c>
      <c r="S65" s="1193">
        <f t="shared" si="22"/>
        <v>0</v>
      </c>
      <c r="T65" s="1193">
        <f t="shared" si="22"/>
        <v>0</v>
      </c>
      <c r="U65" s="1193">
        <f t="shared" si="22"/>
        <v>0</v>
      </c>
      <c r="V65" s="1193">
        <f t="shared" si="22"/>
        <v>0</v>
      </c>
      <c r="W65" s="1193">
        <f t="shared" si="22"/>
        <v>0</v>
      </c>
      <c r="X65" s="1193">
        <f t="shared" si="22"/>
        <v>0</v>
      </c>
      <c r="Y65" s="1193">
        <f t="shared" si="22"/>
        <v>0</v>
      </c>
      <c r="Z65" s="1193">
        <f t="shared" si="22"/>
        <v>0</v>
      </c>
      <c r="AA65" s="1193">
        <f t="shared" si="22"/>
        <v>0</v>
      </c>
      <c r="AB65" s="1193">
        <f t="shared" si="22"/>
        <v>0</v>
      </c>
      <c r="AC65" s="1193">
        <f t="shared" si="22"/>
        <v>0</v>
      </c>
      <c r="AD65" s="1193">
        <f t="shared" si="22"/>
        <v>0</v>
      </c>
      <c r="AE65" s="1193">
        <f t="shared" si="22"/>
        <v>0</v>
      </c>
      <c r="AF65" s="1193">
        <f t="shared" si="22"/>
        <v>0</v>
      </c>
      <c r="AG65" s="1193">
        <f t="shared" si="22"/>
        <v>0</v>
      </c>
      <c r="AH65" s="1193">
        <f t="shared" si="22"/>
        <v>0</v>
      </c>
      <c r="AI65" s="1193">
        <f t="shared" si="22"/>
        <v>0</v>
      </c>
      <c r="AJ65" s="1193">
        <f t="shared" si="22"/>
        <v>0</v>
      </c>
      <c r="AK65" s="1193">
        <f t="shared" si="22"/>
        <v>0</v>
      </c>
      <c r="AL65" s="1193">
        <f t="shared" si="22"/>
        <v>0</v>
      </c>
      <c r="AM65" s="1193">
        <f t="shared" si="22"/>
        <v>0</v>
      </c>
      <c r="AN65" s="1193">
        <f t="shared" si="22"/>
        <v>0</v>
      </c>
      <c r="AO65" s="1193">
        <f t="shared" si="22"/>
        <v>0</v>
      </c>
      <c r="AP65" s="1193">
        <f t="shared" si="22"/>
        <v>0</v>
      </c>
      <c r="AQ65" s="1193">
        <f t="shared" si="22"/>
        <v>0</v>
      </c>
      <c r="AR65" s="1193">
        <f t="shared" si="22"/>
        <v>0</v>
      </c>
      <c r="AS65" s="1193">
        <f t="shared" si="22"/>
        <v>0</v>
      </c>
      <c r="AT65" s="1193">
        <f t="shared" si="22"/>
        <v>0</v>
      </c>
      <c r="AU65" s="1193">
        <f t="shared" si="22"/>
        <v>0</v>
      </c>
      <c r="AV65" s="1193">
        <f t="shared" si="22"/>
        <v>0</v>
      </c>
      <c r="AW65" s="1193">
        <f t="shared" si="22"/>
        <v>0</v>
      </c>
      <c r="AX65" s="1193">
        <f t="shared" si="22"/>
        <v>0</v>
      </c>
      <c r="AY65" s="1193">
        <f t="shared" si="22"/>
        <v>0</v>
      </c>
      <c r="AZ65" s="1193">
        <f t="shared" si="22"/>
        <v>0</v>
      </c>
      <c r="BA65" s="1193">
        <f t="shared" si="22"/>
        <v>0</v>
      </c>
      <c r="BB65" s="1193">
        <f t="shared" si="22"/>
        <v>0</v>
      </c>
      <c r="BC65" s="1193">
        <f t="shared" si="22"/>
        <v>0</v>
      </c>
    </row>
    <row r="66" spans="2:55">
      <c r="B66" s="1198" t="s">
        <v>58</v>
      </c>
      <c r="C66" s="1181"/>
      <c r="D66" s="1181"/>
      <c r="E66" s="1181"/>
      <c r="F66" s="1181"/>
      <c r="G66" s="1196">
        <v>0</v>
      </c>
      <c r="H66" s="1193">
        <f t="shared" ref="H66:BC66" si="23">-$G$66*H65</f>
        <v>0</v>
      </c>
      <c r="I66" s="1193">
        <f t="shared" si="23"/>
        <v>0</v>
      </c>
      <c r="J66" s="1193">
        <f t="shared" si="23"/>
        <v>0</v>
      </c>
      <c r="K66" s="1193">
        <f t="shared" si="23"/>
        <v>0</v>
      </c>
      <c r="L66" s="1193">
        <f t="shared" si="23"/>
        <v>0</v>
      </c>
      <c r="M66" s="1193">
        <f t="shared" si="23"/>
        <v>0</v>
      </c>
      <c r="N66" s="1193">
        <f t="shared" si="23"/>
        <v>0</v>
      </c>
      <c r="O66" s="1193">
        <f t="shared" si="23"/>
        <v>0</v>
      </c>
      <c r="P66" s="1193">
        <f t="shared" si="23"/>
        <v>0</v>
      </c>
      <c r="Q66" s="1193">
        <f t="shared" si="23"/>
        <v>0</v>
      </c>
      <c r="R66" s="1193">
        <f t="shared" si="23"/>
        <v>0</v>
      </c>
      <c r="S66" s="1193">
        <f t="shared" si="23"/>
        <v>0</v>
      </c>
      <c r="T66" s="1193">
        <f t="shared" si="23"/>
        <v>0</v>
      </c>
      <c r="U66" s="1193">
        <f t="shared" si="23"/>
        <v>0</v>
      </c>
      <c r="V66" s="1193">
        <f t="shared" si="23"/>
        <v>0</v>
      </c>
      <c r="W66" s="1193">
        <f t="shared" si="23"/>
        <v>0</v>
      </c>
      <c r="X66" s="1193">
        <f t="shared" si="23"/>
        <v>0</v>
      </c>
      <c r="Y66" s="1193">
        <f t="shared" si="23"/>
        <v>0</v>
      </c>
      <c r="Z66" s="1193">
        <f t="shared" si="23"/>
        <v>0</v>
      </c>
      <c r="AA66" s="1193">
        <f t="shared" si="23"/>
        <v>0</v>
      </c>
      <c r="AB66" s="1193">
        <f t="shared" si="23"/>
        <v>0</v>
      </c>
      <c r="AC66" s="1193">
        <f t="shared" si="23"/>
        <v>0</v>
      </c>
      <c r="AD66" s="1193">
        <f t="shared" si="23"/>
        <v>0</v>
      </c>
      <c r="AE66" s="1193">
        <f t="shared" si="23"/>
        <v>0</v>
      </c>
      <c r="AF66" s="1193">
        <f t="shared" si="23"/>
        <v>0</v>
      </c>
      <c r="AG66" s="1193">
        <f t="shared" si="23"/>
        <v>0</v>
      </c>
      <c r="AH66" s="1193">
        <f t="shared" si="23"/>
        <v>0</v>
      </c>
      <c r="AI66" s="1193">
        <f t="shared" si="23"/>
        <v>0</v>
      </c>
      <c r="AJ66" s="1193">
        <f t="shared" si="23"/>
        <v>0</v>
      </c>
      <c r="AK66" s="1193">
        <f t="shared" si="23"/>
        <v>0</v>
      </c>
      <c r="AL66" s="1193">
        <f t="shared" si="23"/>
        <v>0</v>
      </c>
      <c r="AM66" s="1193">
        <f t="shared" si="23"/>
        <v>0</v>
      </c>
      <c r="AN66" s="1193">
        <f t="shared" si="23"/>
        <v>0</v>
      </c>
      <c r="AO66" s="1193">
        <f t="shared" si="23"/>
        <v>0</v>
      </c>
      <c r="AP66" s="1193">
        <f t="shared" si="23"/>
        <v>0</v>
      </c>
      <c r="AQ66" s="1193">
        <f t="shared" si="23"/>
        <v>0</v>
      </c>
      <c r="AR66" s="1193">
        <f t="shared" si="23"/>
        <v>0</v>
      </c>
      <c r="AS66" s="1193">
        <f t="shared" si="23"/>
        <v>0</v>
      </c>
      <c r="AT66" s="1193">
        <f t="shared" si="23"/>
        <v>0</v>
      </c>
      <c r="AU66" s="1193">
        <f t="shared" si="23"/>
        <v>0</v>
      </c>
      <c r="AV66" s="1193">
        <f t="shared" si="23"/>
        <v>0</v>
      </c>
      <c r="AW66" s="1193">
        <f t="shared" si="23"/>
        <v>0</v>
      </c>
      <c r="AX66" s="1193">
        <f t="shared" si="23"/>
        <v>0</v>
      </c>
      <c r="AY66" s="1193">
        <f t="shared" si="23"/>
        <v>0</v>
      </c>
      <c r="AZ66" s="1193">
        <f t="shared" si="23"/>
        <v>0</v>
      </c>
      <c r="BA66" s="1193">
        <f t="shared" si="23"/>
        <v>0</v>
      </c>
      <c r="BB66" s="1193">
        <f t="shared" si="23"/>
        <v>0</v>
      </c>
      <c r="BC66" s="1193">
        <f t="shared" si="23"/>
        <v>0</v>
      </c>
    </row>
    <row r="67" spans="2:55" ht="15.6">
      <c r="B67" s="1269" t="s">
        <v>59</v>
      </c>
      <c r="C67" s="1181"/>
      <c r="D67" s="1181"/>
      <c r="E67" s="1181"/>
      <c r="F67" s="1181"/>
      <c r="G67" s="1194">
        <v>0.15</v>
      </c>
      <c r="H67" s="1192">
        <f>$G$67*$G$59</f>
        <v>435.9428923962775</v>
      </c>
      <c r="I67" s="1193">
        <f t="shared" ref="I67:K67" si="24">-$G$67*I65</f>
        <v>0</v>
      </c>
      <c r="J67" s="1193">
        <f t="shared" si="24"/>
        <v>-391.80329840239136</v>
      </c>
      <c r="K67" s="1193">
        <f t="shared" si="24"/>
        <v>0</v>
      </c>
      <c r="L67" s="1193">
        <f t="shared" ref="L67:BC67" si="25">-$G$67*L65</f>
        <v>0</v>
      </c>
      <c r="M67" s="1193">
        <f t="shared" si="25"/>
        <v>0</v>
      </c>
      <c r="N67" s="1193">
        <f t="shared" si="25"/>
        <v>0</v>
      </c>
      <c r="O67" s="1193">
        <f t="shared" si="25"/>
        <v>0</v>
      </c>
      <c r="P67" s="1193">
        <f t="shared" si="25"/>
        <v>0</v>
      </c>
      <c r="Q67" s="1193">
        <f t="shared" si="25"/>
        <v>0</v>
      </c>
      <c r="R67" s="1193">
        <f t="shared" si="25"/>
        <v>0</v>
      </c>
      <c r="S67" s="1193">
        <f t="shared" si="25"/>
        <v>0</v>
      </c>
      <c r="T67" s="1193">
        <f t="shared" si="25"/>
        <v>0</v>
      </c>
      <c r="U67" s="1193">
        <f t="shared" si="25"/>
        <v>0</v>
      </c>
      <c r="V67" s="1193">
        <f t="shared" si="25"/>
        <v>0</v>
      </c>
      <c r="W67" s="1193">
        <f t="shared" si="25"/>
        <v>0</v>
      </c>
      <c r="X67" s="1193">
        <f t="shared" si="25"/>
        <v>0</v>
      </c>
      <c r="Y67" s="1193">
        <f t="shared" si="25"/>
        <v>0</v>
      </c>
      <c r="Z67" s="1193">
        <f t="shared" si="25"/>
        <v>0</v>
      </c>
      <c r="AA67" s="1193">
        <f t="shared" si="25"/>
        <v>0</v>
      </c>
      <c r="AB67" s="1193">
        <f t="shared" si="25"/>
        <v>0</v>
      </c>
      <c r="AC67" s="1193">
        <f t="shared" si="25"/>
        <v>0</v>
      </c>
      <c r="AD67" s="1193">
        <f t="shared" si="25"/>
        <v>0</v>
      </c>
      <c r="AE67" s="1193">
        <f t="shared" si="25"/>
        <v>0</v>
      </c>
      <c r="AF67" s="1193">
        <f t="shared" si="25"/>
        <v>0</v>
      </c>
      <c r="AG67" s="1193">
        <f t="shared" si="25"/>
        <v>0</v>
      </c>
      <c r="AH67" s="1193">
        <f t="shared" si="25"/>
        <v>0</v>
      </c>
      <c r="AI67" s="1193">
        <f t="shared" si="25"/>
        <v>0</v>
      </c>
      <c r="AJ67" s="1193">
        <f t="shared" si="25"/>
        <v>0</v>
      </c>
      <c r="AK67" s="1193">
        <f t="shared" si="25"/>
        <v>0</v>
      </c>
      <c r="AL67" s="1193">
        <f t="shared" si="25"/>
        <v>0</v>
      </c>
      <c r="AM67" s="1193">
        <f t="shared" si="25"/>
        <v>0</v>
      </c>
      <c r="AN67" s="1193">
        <f t="shared" si="25"/>
        <v>0</v>
      </c>
      <c r="AO67" s="1193">
        <f t="shared" si="25"/>
        <v>0</v>
      </c>
      <c r="AP67" s="1193">
        <f t="shared" si="25"/>
        <v>0</v>
      </c>
      <c r="AQ67" s="1193">
        <f t="shared" si="25"/>
        <v>0</v>
      </c>
      <c r="AR67" s="1193">
        <f t="shared" si="25"/>
        <v>0</v>
      </c>
      <c r="AS67" s="1193">
        <f t="shared" si="25"/>
        <v>0</v>
      </c>
      <c r="AT67" s="1193">
        <f t="shared" si="25"/>
        <v>0</v>
      </c>
      <c r="AU67" s="1193">
        <f t="shared" si="25"/>
        <v>0</v>
      </c>
      <c r="AV67" s="1193">
        <f t="shared" si="25"/>
        <v>0</v>
      </c>
      <c r="AW67" s="1193">
        <f t="shared" si="25"/>
        <v>0</v>
      </c>
      <c r="AX67" s="1193">
        <f t="shared" si="25"/>
        <v>0</v>
      </c>
      <c r="AY67" s="1193">
        <f t="shared" si="25"/>
        <v>0</v>
      </c>
      <c r="AZ67" s="1193">
        <f t="shared" si="25"/>
        <v>0</v>
      </c>
      <c r="BA67" s="1193">
        <f t="shared" si="25"/>
        <v>0</v>
      </c>
      <c r="BB67" s="1193">
        <f t="shared" si="25"/>
        <v>0</v>
      </c>
      <c r="BC67" s="1193">
        <f t="shared" si="25"/>
        <v>0</v>
      </c>
    </row>
    <row r="68" spans="2:55">
      <c r="B68" s="1198" t="s">
        <v>60</v>
      </c>
      <c r="C68" s="1181"/>
      <c r="D68" s="1181"/>
      <c r="E68" s="1181"/>
      <c r="F68" s="1181"/>
      <c r="G68" s="1181"/>
      <c r="H68" s="1192"/>
      <c r="I68" s="1192"/>
      <c r="J68" s="1192"/>
      <c r="K68" s="1192"/>
      <c r="L68" s="1193"/>
      <c r="M68" s="1193"/>
      <c r="N68" s="1193"/>
      <c r="O68" s="1193"/>
      <c r="P68" s="1193"/>
      <c r="Q68" s="1193"/>
      <c r="R68" s="1193"/>
      <c r="S68" s="1193"/>
      <c r="T68" s="1193"/>
      <c r="U68" s="1193"/>
      <c r="V68" s="1193"/>
      <c r="W68" s="1193"/>
      <c r="X68" s="1193"/>
      <c r="Y68" s="1193"/>
      <c r="Z68" s="1193"/>
      <c r="AA68" s="1193"/>
      <c r="AB68" s="1193"/>
      <c r="AC68" s="1193"/>
      <c r="AD68" s="1193"/>
      <c r="AE68" s="1193">
        <f>$G$66*$G$59</f>
        <v>0</v>
      </c>
      <c r="AF68" s="1193"/>
      <c r="AG68" s="1193"/>
      <c r="AH68" s="1193"/>
      <c r="AI68" s="1193"/>
      <c r="AJ68" s="1193"/>
      <c r="AK68" s="1193"/>
      <c r="AL68" s="1193"/>
      <c r="AM68" s="1184"/>
      <c r="AN68" s="1184"/>
      <c r="AO68" s="1184"/>
      <c r="AP68" s="1184"/>
      <c r="AQ68" s="1184"/>
      <c r="AR68" s="1184"/>
      <c r="AS68" s="1184"/>
      <c r="AT68" s="1184"/>
      <c r="AU68" s="1184"/>
      <c r="AV68" s="1184"/>
      <c r="AW68" s="1184"/>
      <c r="AX68" s="1184"/>
      <c r="AY68" s="1184"/>
      <c r="AZ68" s="1184"/>
      <c r="BA68" s="1184"/>
      <c r="BB68" s="1184"/>
      <c r="BC68" s="1184"/>
    </row>
    <row r="69" spans="2:55">
      <c r="B69" s="1198"/>
      <c r="C69" s="1181"/>
      <c r="D69" s="1181"/>
      <c r="E69" s="1181"/>
      <c r="F69" s="1181"/>
      <c r="G69" s="1181"/>
      <c r="H69" s="1192"/>
      <c r="I69" s="1192"/>
      <c r="J69" s="1192"/>
      <c r="K69" s="1192"/>
      <c r="L69" s="1193"/>
      <c r="M69" s="1193"/>
      <c r="N69" s="1193"/>
      <c r="O69" s="1193"/>
      <c r="P69" s="1193"/>
      <c r="Q69" s="1193"/>
      <c r="R69" s="1193"/>
      <c r="S69" s="1193"/>
      <c r="T69" s="1193"/>
      <c r="U69" s="1193"/>
      <c r="V69" s="1193"/>
      <c r="W69" s="1193"/>
      <c r="X69" s="1193"/>
      <c r="Y69" s="1193"/>
      <c r="Z69" s="1193"/>
      <c r="AA69" s="1193"/>
      <c r="AB69" s="1193"/>
      <c r="AC69" s="1193"/>
      <c r="AD69" s="1193"/>
      <c r="AE69" s="1193"/>
      <c r="AF69" s="1193"/>
      <c r="AG69" s="1193"/>
      <c r="AH69" s="1193"/>
      <c r="AI69" s="1193"/>
      <c r="AJ69" s="1193"/>
      <c r="AK69" s="1193"/>
      <c r="AL69" s="1193"/>
      <c r="AM69" s="1184"/>
      <c r="AN69" s="1184"/>
      <c r="AO69" s="1184"/>
      <c r="AP69" s="1184"/>
      <c r="AQ69" s="1184"/>
      <c r="AR69" s="1184"/>
      <c r="AS69" s="1184"/>
      <c r="AT69" s="1184"/>
      <c r="AU69" s="1184"/>
      <c r="AV69" s="1184"/>
      <c r="AW69" s="1184"/>
      <c r="AX69" s="1184"/>
      <c r="AY69" s="1184"/>
      <c r="AZ69" s="1184"/>
      <c r="BA69" s="1184"/>
      <c r="BB69" s="1184"/>
      <c r="BC69" s="1184"/>
    </row>
    <row r="70" spans="2:55">
      <c r="B70" s="1199" t="s">
        <v>68</v>
      </c>
      <c r="C70" s="1181"/>
      <c r="D70" s="1181"/>
      <c r="E70" s="1181"/>
      <c r="F70" s="1181"/>
      <c r="G70" s="1181"/>
      <c r="H70" s="1191">
        <f t="shared" ref="H70:AK70" si="26">+SUM(H71:H84)</f>
        <v>-55.171563730506676</v>
      </c>
      <c r="I70" s="1191">
        <f t="shared" si="26"/>
        <v>-176.47262938827555</v>
      </c>
      <c r="J70" s="1191">
        <f t="shared" si="26"/>
        <v>-303.83758971197983</v>
      </c>
      <c r="K70" s="1191">
        <f t="shared" si="26"/>
        <v>-12.628037281784307</v>
      </c>
      <c r="L70" s="1191">
        <f t="shared" si="26"/>
        <v>0</v>
      </c>
      <c r="M70" s="1191">
        <f t="shared" si="26"/>
        <v>0</v>
      </c>
      <c r="N70" s="1191">
        <f t="shared" si="26"/>
        <v>0</v>
      </c>
      <c r="O70" s="1191">
        <f t="shared" si="26"/>
        <v>0</v>
      </c>
      <c r="P70" s="1191">
        <f t="shared" si="26"/>
        <v>0</v>
      </c>
      <c r="Q70" s="1191">
        <f t="shared" si="26"/>
        <v>0</v>
      </c>
      <c r="R70" s="1191">
        <f t="shared" si="26"/>
        <v>0</v>
      </c>
      <c r="S70" s="1191">
        <f t="shared" si="26"/>
        <v>0</v>
      </c>
      <c r="T70" s="1191">
        <f t="shared" si="26"/>
        <v>0</v>
      </c>
      <c r="U70" s="1191">
        <f t="shared" si="26"/>
        <v>0</v>
      </c>
      <c r="V70" s="1191">
        <f t="shared" si="26"/>
        <v>0</v>
      </c>
      <c r="W70" s="1191">
        <f t="shared" si="26"/>
        <v>0</v>
      </c>
      <c r="X70" s="1191">
        <f t="shared" si="26"/>
        <v>0</v>
      </c>
      <c r="Y70" s="1191">
        <f t="shared" si="26"/>
        <v>0</v>
      </c>
      <c r="Z70" s="1191">
        <f t="shared" si="26"/>
        <v>0</v>
      </c>
      <c r="AA70" s="1191">
        <f t="shared" si="26"/>
        <v>0</v>
      </c>
      <c r="AB70" s="1191">
        <f t="shared" si="26"/>
        <v>0</v>
      </c>
      <c r="AC70" s="1191">
        <f t="shared" si="26"/>
        <v>0</v>
      </c>
      <c r="AD70" s="1191">
        <f t="shared" si="26"/>
        <v>0</v>
      </c>
      <c r="AE70" s="1191">
        <f t="shared" si="26"/>
        <v>0</v>
      </c>
      <c r="AF70" s="1191">
        <f t="shared" si="26"/>
        <v>0</v>
      </c>
      <c r="AG70" s="1191">
        <f>+SUM(AG71:AG84)</f>
        <v>-41.818011991834609</v>
      </c>
      <c r="AH70" s="1191">
        <f t="shared" si="26"/>
        <v>0</v>
      </c>
      <c r="AI70" s="1191">
        <f>+SUM(AI71:AI84)</f>
        <v>0</v>
      </c>
      <c r="AJ70" s="1191">
        <f t="shared" si="26"/>
        <v>0</v>
      </c>
      <c r="AK70" s="1191">
        <f t="shared" si="26"/>
        <v>0</v>
      </c>
      <c r="AL70" s="1191">
        <f>+SUM(AL71:AL84)</f>
        <v>0</v>
      </c>
      <c r="AM70" s="1183"/>
      <c r="AN70" s="1183"/>
      <c r="AO70" s="1183"/>
      <c r="AP70" s="1183"/>
      <c r="AQ70" s="1183"/>
      <c r="AR70" s="1183"/>
      <c r="AS70" s="1183"/>
      <c r="AT70" s="1183"/>
      <c r="AU70" s="1183"/>
      <c r="AV70" s="1183"/>
      <c r="AW70" s="1183"/>
      <c r="AX70" s="1183"/>
      <c r="AY70" s="1183"/>
      <c r="AZ70" s="1183"/>
      <c r="BA70" s="1183"/>
      <c r="BB70" s="1183"/>
      <c r="BC70" s="1183"/>
    </row>
    <row r="71" spans="2:55">
      <c r="B71" s="1198" t="s">
        <v>1226</v>
      </c>
      <c r="C71" s="1181"/>
      <c r="D71" s="1181"/>
      <c r="E71" s="1181"/>
      <c r="F71" s="1196">
        <v>0.5</v>
      </c>
      <c r="G71" s="1197">
        <v>0</v>
      </c>
      <c r="H71" s="1193">
        <f>-IFERROR(HLOOKUP(COLUMN(H$63)-$G$71/30-7,$H$9:$BC$16,2,FALSE)*$F$71,0)</f>
        <v>-14.409843078406084</v>
      </c>
      <c r="I71" s="1193">
        <f t="shared" ref="I71:BC71" si="27">-IFERROR(HLOOKUP(COLUMN(I$63)-$G$71/30-7,$H$9:$BC$16,2,FALSE)*$F$71,0)</f>
        <v>0</v>
      </c>
      <c r="J71" s="1193">
        <f t="shared" si="27"/>
        <v>0</v>
      </c>
      <c r="K71" s="1193">
        <f t="shared" si="27"/>
        <v>0</v>
      </c>
      <c r="L71" s="1193">
        <f t="shared" si="27"/>
        <v>0</v>
      </c>
      <c r="M71" s="1193">
        <f t="shared" si="27"/>
        <v>0</v>
      </c>
      <c r="N71" s="1193">
        <f t="shared" si="27"/>
        <v>0</v>
      </c>
      <c r="O71" s="1193">
        <f t="shared" si="27"/>
        <v>0</v>
      </c>
      <c r="P71" s="1193">
        <f t="shared" si="27"/>
        <v>0</v>
      </c>
      <c r="Q71" s="1193">
        <f t="shared" si="27"/>
        <v>0</v>
      </c>
      <c r="R71" s="1193">
        <f t="shared" si="27"/>
        <v>0</v>
      </c>
      <c r="S71" s="1193">
        <f t="shared" si="27"/>
        <v>0</v>
      </c>
      <c r="T71" s="1193">
        <f t="shared" si="27"/>
        <v>0</v>
      </c>
      <c r="U71" s="1193">
        <f t="shared" si="27"/>
        <v>0</v>
      </c>
      <c r="V71" s="1193">
        <f t="shared" si="27"/>
        <v>0</v>
      </c>
      <c r="W71" s="1193">
        <f t="shared" si="27"/>
        <v>0</v>
      </c>
      <c r="X71" s="1193">
        <f t="shared" si="27"/>
        <v>0</v>
      </c>
      <c r="Y71" s="1193">
        <f t="shared" si="27"/>
        <v>0</v>
      </c>
      <c r="Z71" s="1193">
        <f t="shared" si="27"/>
        <v>0</v>
      </c>
      <c r="AA71" s="1193">
        <f t="shared" si="27"/>
        <v>0</v>
      </c>
      <c r="AB71" s="1193">
        <f t="shared" si="27"/>
        <v>0</v>
      </c>
      <c r="AC71" s="1193">
        <f t="shared" si="27"/>
        <v>0</v>
      </c>
      <c r="AD71" s="1193">
        <f t="shared" si="27"/>
        <v>0</v>
      </c>
      <c r="AE71" s="1193">
        <f t="shared" si="27"/>
        <v>0</v>
      </c>
      <c r="AF71" s="1193">
        <f t="shared" si="27"/>
        <v>0</v>
      </c>
      <c r="AG71" s="1193">
        <f t="shared" si="27"/>
        <v>0</v>
      </c>
      <c r="AH71" s="1193">
        <f t="shared" si="27"/>
        <v>0</v>
      </c>
      <c r="AI71" s="1193">
        <f t="shared" si="27"/>
        <v>0</v>
      </c>
      <c r="AJ71" s="1193">
        <f t="shared" si="27"/>
        <v>0</v>
      </c>
      <c r="AK71" s="1193">
        <f t="shared" si="27"/>
        <v>0</v>
      </c>
      <c r="AL71" s="1193">
        <f t="shared" si="27"/>
        <v>0</v>
      </c>
      <c r="AM71" s="1193">
        <f t="shared" si="27"/>
        <v>0</v>
      </c>
      <c r="AN71" s="1193">
        <f t="shared" si="27"/>
        <v>0</v>
      </c>
      <c r="AO71" s="1193">
        <f t="shared" si="27"/>
        <v>0</v>
      </c>
      <c r="AP71" s="1193">
        <f t="shared" si="27"/>
        <v>0</v>
      </c>
      <c r="AQ71" s="1193">
        <f t="shared" si="27"/>
        <v>0</v>
      </c>
      <c r="AR71" s="1193">
        <f t="shared" si="27"/>
        <v>0</v>
      </c>
      <c r="AS71" s="1193">
        <f t="shared" si="27"/>
        <v>0</v>
      </c>
      <c r="AT71" s="1193">
        <f t="shared" si="27"/>
        <v>0</v>
      </c>
      <c r="AU71" s="1193">
        <f t="shared" si="27"/>
        <v>0</v>
      </c>
      <c r="AV71" s="1193">
        <f t="shared" si="27"/>
        <v>0</v>
      </c>
      <c r="AW71" s="1193">
        <f t="shared" si="27"/>
        <v>0</v>
      </c>
      <c r="AX71" s="1193">
        <f t="shared" si="27"/>
        <v>0</v>
      </c>
      <c r="AY71" s="1193">
        <f t="shared" si="27"/>
        <v>0</v>
      </c>
      <c r="AZ71" s="1193">
        <f t="shared" si="27"/>
        <v>0</v>
      </c>
      <c r="BA71" s="1193">
        <f t="shared" si="27"/>
        <v>0</v>
      </c>
      <c r="BB71" s="1193">
        <f t="shared" si="27"/>
        <v>0</v>
      </c>
      <c r="BC71" s="1193">
        <f t="shared" si="27"/>
        <v>0</v>
      </c>
    </row>
    <row r="72" spans="2:55">
      <c r="B72" s="1198" t="s">
        <v>1226</v>
      </c>
      <c r="C72" s="1181"/>
      <c r="D72" s="1181"/>
      <c r="E72" s="1181"/>
      <c r="F72" s="1261">
        <f>1-F71</f>
        <v>0.5</v>
      </c>
      <c r="G72" s="1197">
        <v>30</v>
      </c>
      <c r="H72" s="1193">
        <f>-IFERROR(HLOOKUP(COLUMN(H$63)-$G$72/30-7,$H$9:$BC$16,2,FALSE)*$F$72,0)</f>
        <v>0</v>
      </c>
      <c r="I72" s="1193">
        <f t="shared" ref="I72:BC72" si="28">-IFERROR(HLOOKUP(COLUMN(I$63)-$G$72/30-7,$H$9:$BC$16,2,FALSE)*$F$72,0)</f>
        <v>-14.409843078406084</v>
      </c>
      <c r="J72" s="1193">
        <f t="shared" si="28"/>
        <v>0</v>
      </c>
      <c r="K72" s="1193">
        <f t="shared" si="28"/>
        <v>0</v>
      </c>
      <c r="L72" s="1193">
        <f t="shared" si="28"/>
        <v>0</v>
      </c>
      <c r="M72" s="1193">
        <f t="shared" si="28"/>
        <v>0</v>
      </c>
      <c r="N72" s="1193">
        <f t="shared" si="28"/>
        <v>0</v>
      </c>
      <c r="O72" s="1193">
        <f t="shared" si="28"/>
        <v>0</v>
      </c>
      <c r="P72" s="1193">
        <f t="shared" si="28"/>
        <v>0</v>
      </c>
      <c r="Q72" s="1193">
        <f t="shared" si="28"/>
        <v>0</v>
      </c>
      <c r="R72" s="1193">
        <f t="shared" si="28"/>
        <v>0</v>
      </c>
      <c r="S72" s="1193">
        <f t="shared" si="28"/>
        <v>0</v>
      </c>
      <c r="T72" s="1193">
        <f t="shared" si="28"/>
        <v>0</v>
      </c>
      <c r="U72" s="1193">
        <f t="shared" si="28"/>
        <v>0</v>
      </c>
      <c r="V72" s="1193">
        <f t="shared" si="28"/>
        <v>0</v>
      </c>
      <c r="W72" s="1193">
        <f t="shared" si="28"/>
        <v>0</v>
      </c>
      <c r="X72" s="1193">
        <f t="shared" si="28"/>
        <v>0</v>
      </c>
      <c r="Y72" s="1193">
        <f t="shared" si="28"/>
        <v>0</v>
      </c>
      <c r="Z72" s="1193">
        <f t="shared" si="28"/>
        <v>0</v>
      </c>
      <c r="AA72" s="1193">
        <f t="shared" si="28"/>
        <v>0</v>
      </c>
      <c r="AB72" s="1193">
        <f t="shared" si="28"/>
        <v>0</v>
      </c>
      <c r="AC72" s="1193">
        <f t="shared" si="28"/>
        <v>0</v>
      </c>
      <c r="AD72" s="1193">
        <f t="shared" si="28"/>
        <v>0</v>
      </c>
      <c r="AE72" s="1193">
        <f t="shared" si="28"/>
        <v>0</v>
      </c>
      <c r="AF72" s="1193">
        <f t="shared" si="28"/>
        <v>0</v>
      </c>
      <c r="AG72" s="1193">
        <f t="shared" si="28"/>
        <v>0</v>
      </c>
      <c r="AH72" s="1193">
        <f t="shared" si="28"/>
        <v>0</v>
      </c>
      <c r="AI72" s="1193">
        <f t="shared" si="28"/>
        <v>0</v>
      </c>
      <c r="AJ72" s="1193">
        <f t="shared" si="28"/>
        <v>0</v>
      </c>
      <c r="AK72" s="1193">
        <f t="shared" si="28"/>
        <v>0</v>
      </c>
      <c r="AL72" s="1193">
        <f t="shared" si="28"/>
        <v>0</v>
      </c>
      <c r="AM72" s="1193">
        <f t="shared" si="28"/>
        <v>0</v>
      </c>
      <c r="AN72" s="1193">
        <f t="shared" si="28"/>
        <v>0</v>
      </c>
      <c r="AO72" s="1193">
        <f t="shared" si="28"/>
        <v>0</v>
      </c>
      <c r="AP72" s="1193">
        <f t="shared" si="28"/>
        <v>0</v>
      </c>
      <c r="AQ72" s="1193">
        <f t="shared" si="28"/>
        <v>0</v>
      </c>
      <c r="AR72" s="1193">
        <f t="shared" si="28"/>
        <v>0</v>
      </c>
      <c r="AS72" s="1193">
        <f t="shared" si="28"/>
        <v>0</v>
      </c>
      <c r="AT72" s="1193">
        <f t="shared" si="28"/>
        <v>0</v>
      </c>
      <c r="AU72" s="1193">
        <f t="shared" si="28"/>
        <v>0</v>
      </c>
      <c r="AV72" s="1193">
        <f t="shared" si="28"/>
        <v>0</v>
      </c>
      <c r="AW72" s="1193">
        <f t="shared" si="28"/>
        <v>0</v>
      </c>
      <c r="AX72" s="1193">
        <f t="shared" si="28"/>
        <v>0</v>
      </c>
      <c r="AY72" s="1193">
        <f t="shared" si="28"/>
        <v>0</v>
      </c>
      <c r="AZ72" s="1193">
        <f t="shared" si="28"/>
        <v>0</v>
      </c>
      <c r="BA72" s="1193">
        <f t="shared" si="28"/>
        <v>0</v>
      </c>
      <c r="BB72" s="1193">
        <f t="shared" si="28"/>
        <v>0</v>
      </c>
      <c r="BC72" s="1193">
        <f t="shared" si="28"/>
        <v>0</v>
      </c>
    </row>
    <row r="73" spans="2:55">
      <c r="B73" s="1198" t="s">
        <v>3519</v>
      </c>
      <c r="C73" s="1181"/>
      <c r="D73" s="1181"/>
      <c r="E73" s="1181"/>
      <c r="F73" s="1261">
        <v>1</v>
      </c>
      <c r="G73" s="1197">
        <v>30</v>
      </c>
      <c r="H73" s="1193">
        <f>-IFERROR(HLOOKUP(COLUMN(H$63)-$G$73/30-7,$H$9:$BC$26,11,FALSE)*$F$73,0)</f>
        <v>0</v>
      </c>
      <c r="I73" s="1193">
        <f t="shared" ref="I73:BC73" si="29">-IFERROR(HLOOKUP(COLUMN(I$63)-$G$73/30-7,$H$9:$BC$26,11,FALSE)*$F$73,0)</f>
        <v>-126.0205294543784</v>
      </c>
      <c r="J73" s="1193">
        <f t="shared" si="29"/>
        <v>0</v>
      </c>
      <c r="K73" s="1193">
        <f t="shared" si="29"/>
        <v>0</v>
      </c>
      <c r="L73" s="1193">
        <f t="shared" si="29"/>
        <v>0</v>
      </c>
      <c r="M73" s="1193">
        <f t="shared" si="29"/>
        <v>0</v>
      </c>
      <c r="N73" s="1193">
        <f t="shared" si="29"/>
        <v>0</v>
      </c>
      <c r="O73" s="1193">
        <f t="shared" si="29"/>
        <v>0</v>
      </c>
      <c r="P73" s="1193">
        <f t="shared" si="29"/>
        <v>0</v>
      </c>
      <c r="Q73" s="1193">
        <f t="shared" si="29"/>
        <v>0</v>
      </c>
      <c r="R73" s="1193">
        <f t="shared" si="29"/>
        <v>0</v>
      </c>
      <c r="S73" s="1193">
        <f t="shared" si="29"/>
        <v>0</v>
      </c>
      <c r="T73" s="1193">
        <f t="shared" si="29"/>
        <v>0</v>
      </c>
      <c r="U73" s="1193">
        <f t="shared" si="29"/>
        <v>0</v>
      </c>
      <c r="V73" s="1193">
        <f t="shared" si="29"/>
        <v>0</v>
      </c>
      <c r="W73" s="1193">
        <f t="shared" si="29"/>
        <v>0</v>
      </c>
      <c r="X73" s="1193">
        <f t="shared" si="29"/>
        <v>0</v>
      </c>
      <c r="Y73" s="1193">
        <f t="shared" si="29"/>
        <v>0</v>
      </c>
      <c r="Z73" s="1193">
        <f t="shared" si="29"/>
        <v>0</v>
      </c>
      <c r="AA73" s="1193">
        <f t="shared" si="29"/>
        <v>0</v>
      </c>
      <c r="AB73" s="1193">
        <f t="shared" si="29"/>
        <v>0</v>
      </c>
      <c r="AC73" s="1193">
        <f t="shared" si="29"/>
        <v>0</v>
      </c>
      <c r="AD73" s="1193">
        <f t="shared" si="29"/>
        <v>0</v>
      </c>
      <c r="AE73" s="1193">
        <f t="shared" si="29"/>
        <v>0</v>
      </c>
      <c r="AF73" s="1193">
        <f t="shared" si="29"/>
        <v>0</v>
      </c>
      <c r="AG73" s="1193">
        <f t="shared" si="29"/>
        <v>0</v>
      </c>
      <c r="AH73" s="1193">
        <f t="shared" si="29"/>
        <v>0</v>
      </c>
      <c r="AI73" s="1193">
        <f t="shared" si="29"/>
        <v>0</v>
      </c>
      <c r="AJ73" s="1193">
        <f t="shared" si="29"/>
        <v>0</v>
      </c>
      <c r="AK73" s="1193">
        <f t="shared" si="29"/>
        <v>0</v>
      </c>
      <c r="AL73" s="1193">
        <f t="shared" si="29"/>
        <v>0</v>
      </c>
      <c r="AM73" s="1193">
        <f t="shared" si="29"/>
        <v>0</v>
      </c>
      <c r="AN73" s="1193">
        <f t="shared" si="29"/>
        <v>0</v>
      </c>
      <c r="AO73" s="1193">
        <f t="shared" si="29"/>
        <v>0</v>
      </c>
      <c r="AP73" s="1193">
        <f t="shared" si="29"/>
        <v>0</v>
      </c>
      <c r="AQ73" s="1193">
        <f t="shared" si="29"/>
        <v>0</v>
      </c>
      <c r="AR73" s="1193">
        <f t="shared" si="29"/>
        <v>0</v>
      </c>
      <c r="AS73" s="1193">
        <f t="shared" si="29"/>
        <v>0</v>
      </c>
      <c r="AT73" s="1193">
        <f t="shared" si="29"/>
        <v>0</v>
      </c>
      <c r="AU73" s="1193">
        <f t="shared" si="29"/>
        <v>0</v>
      </c>
      <c r="AV73" s="1193">
        <f t="shared" si="29"/>
        <v>0</v>
      </c>
      <c r="AW73" s="1193">
        <f t="shared" si="29"/>
        <v>0</v>
      </c>
      <c r="AX73" s="1193">
        <f t="shared" si="29"/>
        <v>0</v>
      </c>
      <c r="AY73" s="1193">
        <f t="shared" si="29"/>
        <v>0</v>
      </c>
      <c r="AZ73" s="1193">
        <f t="shared" si="29"/>
        <v>0</v>
      </c>
      <c r="BA73" s="1193">
        <f t="shared" si="29"/>
        <v>0</v>
      </c>
      <c r="BB73" s="1193">
        <f t="shared" si="29"/>
        <v>0</v>
      </c>
      <c r="BC73" s="1193">
        <f t="shared" si="29"/>
        <v>0</v>
      </c>
    </row>
    <row r="74" spans="2:55">
      <c r="B74" s="1198" t="s">
        <v>1228</v>
      </c>
      <c r="C74" s="1181"/>
      <c r="D74" s="1181"/>
      <c r="E74" s="1181"/>
      <c r="F74" s="1196">
        <v>0.5</v>
      </c>
      <c r="G74" s="1197">
        <v>0</v>
      </c>
      <c r="H74" s="1193">
        <f>-IFERROR((HLOOKUP(COLUMN(H$63)-$G$74/30-7,$H$9:$BC$16,3,FALSE)+HLOOKUP(COLUMN(H$63)-$G$74/30-7,$H$9:$BC$26,12,FALSE))*$F$74,0)</f>
        <v>-36.042256855491068</v>
      </c>
      <c r="I74" s="1193">
        <f t="shared" ref="I74:BC74" si="30">-IFERROR((HLOOKUP(COLUMN(I$63)-$G$74/30-7,$H$9:$BC$16,3,FALSE)+HLOOKUP(COLUMN(I$63)-$G$74/30-7,$H$9:$BC$26,12,FALSE))*$F$74,0)</f>
        <v>0</v>
      </c>
      <c r="J74" s="1193">
        <f t="shared" si="30"/>
        <v>0</v>
      </c>
      <c r="K74" s="1193">
        <f t="shared" si="30"/>
        <v>0</v>
      </c>
      <c r="L74" s="1193">
        <f t="shared" si="30"/>
        <v>0</v>
      </c>
      <c r="M74" s="1193">
        <f t="shared" si="30"/>
        <v>0</v>
      </c>
      <c r="N74" s="1193">
        <f t="shared" si="30"/>
        <v>0</v>
      </c>
      <c r="O74" s="1193">
        <f t="shared" si="30"/>
        <v>0</v>
      </c>
      <c r="P74" s="1193">
        <f t="shared" si="30"/>
        <v>0</v>
      </c>
      <c r="Q74" s="1193">
        <f t="shared" si="30"/>
        <v>0</v>
      </c>
      <c r="R74" s="1193">
        <f t="shared" si="30"/>
        <v>0</v>
      </c>
      <c r="S74" s="1193">
        <f t="shared" si="30"/>
        <v>0</v>
      </c>
      <c r="T74" s="1193">
        <f t="shared" si="30"/>
        <v>0</v>
      </c>
      <c r="U74" s="1193">
        <f t="shared" si="30"/>
        <v>0</v>
      </c>
      <c r="V74" s="1193">
        <f t="shared" si="30"/>
        <v>0</v>
      </c>
      <c r="W74" s="1193">
        <f t="shared" si="30"/>
        <v>0</v>
      </c>
      <c r="X74" s="1193">
        <f t="shared" si="30"/>
        <v>0</v>
      </c>
      <c r="Y74" s="1193">
        <f t="shared" si="30"/>
        <v>0</v>
      </c>
      <c r="Z74" s="1193">
        <f t="shared" si="30"/>
        <v>0</v>
      </c>
      <c r="AA74" s="1193">
        <f t="shared" si="30"/>
        <v>0</v>
      </c>
      <c r="AB74" s="1193">
        <f t="shared" si="30"/>
        <v>0</v>
      </c>
      <c r="AC74" s="1193">
        <f t="shared" si="30"/>
        <v>0</v>
      </c>
      <c r="AD74" s="1193">
        <f t="shared" si="30"/>
        <v>0</v>
      </c>
      <c r="AE74" s="1193">
        <f t="shared" si="30"/>
        <v>0</v>
      </c>
      <c r="AF74" s="1193">
        <f t="shared" si="30"/>
        <v>0</v>
      </c>
      <c r="AG74" s="1193">
        <f t="shared" si="30"/>
        <v>0</v>
      </c>
      <c r="AH74" s="1193">
        <f t="shared" si="30"/>
        <v>0</v>
      </c>
      <c r="AI74" s="1193">
        <f t="shared" si="30"/>
        <v>0</v>
      </c>
      <c r="AJ74" s="1193">
        <f t="shared" si="30"/>
        <v>0</v>
      </c>
      <c r="AK74" s="1193">
        <f t="shared" si="30"/>
        <v>0</v>
      </c>
      <c r="AL74" s="1193">
        <f t="shared" si="30"/>
        <v>0</v>
      </c>
      <c r="AM74" s="1193">
        <f t="shared" si="30"/>
        <v>0</v>
      </c>
      <c r="AN74" s="1193">
        <f t="shared" si="30"/>
        <v>0</v>
      </c>
      <c r="AO74" s="1193">
        <f t="shared" si="30"/>
        <v>0</v>
      </c>
      <c r="AP74" s="1193">
        <f t="shared" si="30"/>
        <v>0</v>
      </c>
      <c r="AQ74" s="1193">
        <f t="shared" si="30"/>
        <v>0</v>
      </c>
      <c r="AR74" s="1193">
        <f t="shared" si="30"/>
        <v>0</v>
      </c>
      <c r="AS74" s="1193">
        <f t="shared" si="30"/>
        <v>0</v>
      </c>
      <c r="AT74" s="1193">
        <f t="shared" si="30"/>
        <v>0</v>
      </c>
      <c r="AU74" s="1193">
        <f t="shared" si="30"/>
        <v>0</v>
      </c>
      <c r="AV74" s="1193">
        <f t="shared" si="30"/>
        <v>0</v>
      </c>
      <c r="AW74" s="1193">
        <f t="shared" si="30"/>
        <v>0</v>
      </c>
      <c r="AX74" s="1193">
        <f t="shared" si="30"/>
        <v>0</v>
      </c>
      <c r="AY74" s="1193">
        <f t="shared" si="30"/>
        <v>0</v>
      </c>
      <c r="AZ74" s="1193">
        <f t="shared" si="30"/>
        <v>0</v>
      </c>
      <c r="BA74" s="1193">
        <f t="shared" si="30"/>
        <v>0</v>
      </c>
      <c r="BB74" s="1193">
        <f t="shared" si="30"/>
        <v>0</v>
      </c>
      <c r="BC74" s="1193">
        <f t="shared" si="30"/>
        <v>0</v>
      </c>
    </row>
    <row r="75" spans="2:55">
      <c r="B75" s="1198" t="s">
        <v>1228</v>
      </c>
      <c r="C75" s="1181"/>
      <c r="D75" s="1181"/>
      <c r="E75" s="1181"/>
      <c r="F75" s="1261">
        <f>1-F74</f>
        <v>0.5</v>
      </c>
      <c r="G75" s="1197">
        <v>30</v>
      </c>
      <c r="H75" s="1193">
        <f>-IFERROR((HLOOKUP(COLUMN(H$63)-$G$75/30-7,$H$9:$BC$16,3,FALSE)+HLOOKUP(COLUMN(H$63)-$G$75/30-7,$H$9:$BC$26,12,FALSE))*$F$75,0)</f>
        <v>0</v>
      </c>
      <c r="I75" s="1193">
        <f t="shared" ref="I75:BC75" si="31">-IFERROR((HLOOKUP(COLUMN(I$63)-$G$75/30-7,$H$9:$BC$16,3,FALSE)+HLOOKUP(COLUMN(I$63)-$G$75/30-7,$H$9:$BC$26,12,FALSE))*$F$75,0)</f>
        <v>-36.042256855491068</v>
      </c>
      <c r="J75" s="1193">
        <f t="shared" si="31"/>
        <v>0</v>
      </c>
      <c r="K75" s="1193">
        <f t="shared" si="31"/>
        <v>0</v>
      </c>
      <c r="L75" s="1193">
        <f t="shared" si="31"/>
        <v>0</v>
      </c>
      <c r="M75" s="1193">
        <f t="shared" si="31"/>
        <v>0</v>
      </c>
      <c r="N75" s="1193">
        <f t="shared" si="31"/>
        <v>0</v>
      </c>
      <c r="O75" s="1193">
        <f t="shared" si="31"/>
        <v>0</v>
      </c>
      <c r="P75" s="1193">
        <f t="shared" si="31"/>
        <v>0</v>
      </c>
      <c r="Q75" s="1193">
        <f t="shared" si="31"/>
        <v>0</v>
      </c>
      <c r="R75" s="1193">
        <f t="shared" si="31"/>
        <v>0</v>
      </c>
      <c r="S75" s="1193">
        <f t="shared" si="31"/>
        <v>0</v>
      </c>
      <c r="T75" s="1193">
        <f t="shared" si="31"/>
        <v>0</v>
      </c>
      <c r="U75" s="1193">
        <f t="shared" si="31"/>
        <v>0</v>
      </c>
      <c r="V75" s="1193">
        <f t="shared" si="31"/>
        <v>0</v>
      </c>
      <c r="W75" s="1193">
        <f t="shared" si="31"/>
        <v>0</v>
      </c>
      <c r="X75" s="1193">
        <f t="shared" si="31"/>
        <v>0</v>
      </c>
      <c r="Y75" s="1193">
        <f t="shared" si="31"/>
        <v>0</v>
      </c>
      <c r="Z75" s="1193">
        <f t="shared" si="31"/>
        <v>0</v>
      </c>
      <c r="AA75" s="1193">
        <f t="shared" si="31"/>
        <v>0</v>
      </c>
      <c r="AB75" s="1193">
        <f t="shared" si="31"/>
        <v>0</v>
      </c>
      <c r="AC75" s="1193">
        <f t="shared" si="31"/>
        <v>0</v>
      </c>
      <c r="AD75" s="1193">
        <f t="shared" si="31"/>
        <v>0</v>
      </c>
      <c r="AE75" s="1193">
        <f t="shared" si="31"/>
        <v>0</v>
      </c>
      <c r="AF75" s="1193">
        <f t="shared" si="31"/>
        <v>0</v>
      </c>
      <c r="AG75" s="1193">
        <f t="shared" si="31"/>
        <v>0</v>
      </c>
      <c r="AH75" s="1193">
        <f t="shared" si="31"/>
        <v>0</v>
      </c>
      <c r="AI75" s="1193">
        <f t="shared" si="31"/>
        <v>0</v>
      </c>
      <c r="AJ75" s="1193">
        <f t="shared" si="31"/>
        <v>0</v>
      </c>
      <c r="AK75" s="1193">
        <f t="shared" si="31"/>
        <v>0</v>
      </c>
      <c r="AL75" s="1193">
        <f t="shared" si="31"/>
        <v>0</v>
      </c>
      <c r="AM75" s="1193">
        <f t="shared" si="31"/>
        <v>0</v>
      </c>
      <c r="AN75" s="1193">
        <f t="shared" si="31"/>
        <v>0</v>
      </c>
      <c r="AO75" s="1193">
        <f t="shared" si="31"/>
        <v>0</v>
      </c>
      <c r="AP75" s="1193">
        <f t="shared" si="31"/>
        <v>0</v>
      </c>
      <c r="AQ75" s="1193">
        <f t="shared" si="31"/>
        <v>0</v>
      </c>
      <c r="AR75" s="1193">
        <f t="shared" si="31"/>
        <v>0</v>
      </c>
      <c r="AS75" s="1193">
        <f t="shared" si="31"/>
        <v>0</v>
      </c>
      <c r="AT75" s="1193">
        <f t="shared" si="31"/>
        <v>0</v>
      </c>
      <c r="AU75" s="1193">
        <f t="shared" si="31"/>
        <v>0</v>
      </c>
      <c r="AV75" s="1193">
        <f t="shared" si="31"/>
        <v>0</v>
      </c>
      <c r="AW75" s="1193">
        <f t="shared" si="31"/>
        <v>0</v>
      </c>
      <c r="AX75" s="1193">
        <f t="shared" si="31"/>
        <v>0</v>
      </c>
      <c r="AY75" s="1193">
        <f t="shared" si="31"/>
        <v>0</v>
      </c>
      <c r="AZ75" s="1193">
        <f t="shared" si="31"/>
        <v>0</v>
      </c>
      <c r="BA75" s="1193">
        <f t="shared" si="31"/>
        <v>0</v>
      </c>
      <c r="BB75" s="1193">
        <f t="shared" si="31"/>
        <v>0</v>
      </c>
      <c r="BC75" s="1193">
        <f t="shared" si="31"/>
        <v>0</v>
      </c>
    </row>
    <row r="76" spans="2:55">
      <c r="B76" s="1198" t="s">
        <v>1230</v>
      </c>
      <c r="C76" s="1181"/>
      <c r="D76" s="1181"/>
      <c r="E76" s="1181"/>
      <c r="F76" s="1196">
        <v>0.25</v>
      </c>
      <c r="G76" s="1197">
        <v>0</v>
      </c>
      <c r="H76" s="1193">
        <f>-IFERROR((HLOOKUP(COLUMN(H$63)-$G$76/30-7,$H$9:$BC$16,4,FALSE)+HLOOKUP(COLUMN(H$63)-$G$76/30-7,$H$9:$BC$26,13,FALSE))*$F$76,0)</f>
        <v>0</v>
      </c>
      <c r="I76" s="1193">
        <f t="shared" ref="I76:BC76" si="32">-IFERROR((HLOOKUP(COLUMN(I$63)-$G$76/30-7,$H$9:$BC$16,4,FALSE)+HLOOKUP(COLUMN(I$63)-$G$76/30-7,$H$9:$BC$26,13,FALSE))*$F$76,0)</f>
        <v>0</v>
      </c>
      <c r="J76" s="1193">
        <f t="shared" si="32"/>
        <v>0</v>
      </c>
      <c r="K76" s="1193">
        <f t="shared" si="32"/>
        <v>0</v>
      </c>
      <c r="L76" s="1193">
        <f t="shared" si="32"/>
        <v>0</v>
      </c>
      <c r="M76" s="1193">
        <f t="shared" si="32"/>
        <v>0</v>
      </c>
      <c r="N76" s="1193">
        <f t="shared" si="32"/>
        <v>0</v>
      </c>
      <c r="O76" s="1193">
        <f t="shared" si="32"/>
        <v>0</v>
      </c>
      <c r="P76" s="1193">
        <f t="shared" si="32"/>
        <v>0</v>
      </c>
      <c r="Q76" s="1193">
        <f t="shared" si="32"/>
        <v>0</v>
      </c>
      <c r="R76" s="1193">
        <f t="shared" si="32"/>
        <v>0</v>
      </c>
      <c r="S76" s="1193">
        <f t="shared" si="32"/>
        <v>0</v>
      </c>
      <c r="T76" s="1193">
        <f t="shared" si="32"/>
        <v>0</v>
      </c>
      <c r="U76" s="1193">
        <f t="shared" si="32"/>
        <v>0</v>
      </c>
      <c r="V76" s="1193">
        <f t="shared" si="32"/>
        <v>0</v>
      </c>
      <c r="W76" s="1193">
        <f t="shared" si="32"/>
        <v>0</v>
      </c>
      <c r="X76" s="1193">
        <f t="shared" si="32"/>
        <v>0</v>
      </c>
      <c r="Y76" s="1193">
        <f t="shared" si="32"/>
        <v>0</v>
      </c>
      <c r="Z76" s="1193">
        <f t="shared" si="32"/>
        <v>0</v>
      </c>
      <c r="AA76" s="1193">
        <f t="shared" si="32"/>
        <v>0</v>
      </c>
      <c r="AB76" s="1193">
        <f t="shared" si="32"/>
        <v>0</v>
      </c>
      <c r="AC76" s="1193">
        <f t="shared" si="32"/>
        <v>0</v>
      </c>
      <c r="AD76" s="1193">
        <f t="shared" si="32"/>
        <v>0</v>
      </c>
      <c r="AE76" s="1193">
        <f t="shared" si="32"/>
        <v>0</v>
      </c>
      <c r="AF76" s="1193">
        <f t="shared" si="32"/>
        <v>0</v>
      </c>
      <c r="AG76" s="1193">
        <f t="shared" si="32"/>
        <v>0</v>
      </c>
      <c r="AH76" s="1193">
        <f t="shared" si="32"/>
        <v>0</v>
      </c>
      <c r="AI76" s="1193">
        <f t="shared" si="32"/>
        <v>0</v>
      </c>
      <c r="AJ76" s="1193">
        <f t="shared" si="32"/>
        <v>0</v>
      </c>
      <c r="AK76" s="1193">
        <f t="shared" si="32"/>
        <v>0</v>
      </c>
      <c r="AL76" s="1193">
        <f t="shared" si="32"/>
        <v>0</v>
      </c>
      <c r="AM76" s="1193">
        <f t="shared" si="32"/>
        <v>0</v>
      </c>
      <c r="AN76" s="1193">
        <f t="shared" si="32"/>
        <v>0</v>
      </c>
      <c r="AO76" s="1193">
        <f t="shared" si="32"/>
        <v>0</v>
      </c>
      <c r="AP76" s="1193">
        <f t="shared" si="32"/>
        <v>0</v>
      </c>
      <c r="AQ76" s="1193">
        <f t="shared" si="32"/>
        <v>0</v>
      </c>
      <c r="AR76" s="1193">
        <f t="shared" si="32"/>
        <v>0</v>
      </c>
      <c r="AS76" s="1193">
        <f t="shared" si="32"/>
        <v>0</v>
      </c>
      <c r="AT76" s="1193">
        <f t="shared" si="32"/>
        <v>0</v>
      </c>
      <c r="AU76" s="1193">
        <f t="shared" si="32"/>
        <v>0</v>
      </c>
      <c r="AV76" s="1193">
        <f t="shared" si="32"/>
        <v>0</v>
      </c>
      <c r="AW76" s="1193">
        <f t="shared" si="32"/>
        <v>0</v>
      </c>
      <c r="AX76" s="1193">
        <f t="shared" si="32"/>
        <v>0</v>
      </c>
      <c r="AY76" s="1193">
        <f t="shared" si="32"/>
        <v>0</v>
      </c>
      <c r="AZ76" s="1193">
        <f t="shared" si="32"/>
        <v>0</v>
      </c>
      <c r="BA76" s="1193">
        <f t="shared" si="32"/>
        <v>0</v>
      </c>
      <c r="BB76" s="1193">
        <f t="shared" si="32"/>
        <v>0</v>
      </c>
      <c r="BC76" s="1193">
        <f t="shared" si="32"/>
        <v>0</v>
      </c>
    </row>
    <row r="77" spans="2:55">
      <c r="B77" s="1198" t="s">
        <v>1230</v>
      </c>
      <c r="C77" s="1181"/>
      <c r="D77" s="1181"/>
      <c r="E77" s="1181"/>
      <c r="F77" s="1261">
        <f>1-F76</f>
        <v>0.75</v>
      </c>
      <c r="G77" s="1197">
        <v>30</v>
      </c>
      <c r="H77" s="1193">
        <f>-IFERROR((HLOOKUP(COLUMN(H$63)-$G$77/30-7,$H$9:$BC$16,4,FALSE)+HLOOKUP(COLUMN(H$63)-$G$77/30-7,$H$9:$BC$26,13,FALSE))*$F$77,0)</f>
        <v>0</v>
      </c>
      <c r="I77" s="1193">
        <f t="shared" ref="I77:BC77" si="33">-IFERROR((HLOOKUP(COLUMN(I$63)-$G$77/30-7,$H$9:$BC$16,4,FALSE)+HLOOKUP(COLUMN(I$63)-$G$77/30-7,$H$9:$BC$26,13,FALSE))*$F$77,0)</f>
        <v>0</v>
      </c>
      <c r="J77" s="1193">
        <f t="shared" si="33"/>
        <v>0</v>
      </c>
      <c r="K77" s="1193">
        <f t="shared" si="33"/>
        <v>0</v>
      </c>
      <c r="L77" s="1193">
        <f t="shared" si="33"/>
        <v>0</v>
      </c>
      <c r="M77" s="1193">
        <f t="shared" si="33"/>
        <v>0</v>
      </c>
      <c r="N77" s="1193">
        <f t="shared" si="33"/>
        <v>0</v>
      </c>
      <c r="O77" s="1193">
        <f t="shared" si="33"/>
        <v>0</v>
      </c>
      <c r="P77" s="1193">
        <f t="shared" si="33"/>
        <v>0</v>
      </c>
      <c r="Q77" s="1193">
        <f t="shared" si="33"/>
        <v>0</v>
      </c>
      <c r="R77" s="1193">
        <f t="shared" si="33"/>
        <v>0</v>
      </c>
      <c r="S77" s="1193">
        <f t="shared" si="33"/>
        <v>0</v>
      </c>
      <c r="T77" s="1193">
        <f t="shared" si="33"/>
        <v>0</v>
      </c>
      <c r="U77" s="1193">
        <f t="shared" si="33"/>
        <v>0</v>
      </c>
      <c r="V77" s="1193">
        <f t="shared" si="33"/>
        <v>0</v>
      </c>
      <c r="W77" s="1193">
        <f t="shared" si="33"/>
        <v>0</v>
      </c>
      <c r="X77" s="1193">
        <f t="shared" si="33"/>
        <v>0</v>
      </c>
      <c r="Y77" s="1193">
        <f t="shared" si="33"/>
        <v>0</v>
      </c>
      <c r="Z77" s="1193">
        <f t="shared" si="33"/>
        <v>0</v>
      </c>
      <c r="AA77" s="1193">
        <f t="shared" si="33"/>
        <v>0</v>
      </c>
      <c r="AB77" s="1193">
        <f t="shared" si="33"/>
        <v>0</v>
      </c>
      <c r="AC77" s="1193">
        <f t="shared" si="33"/>
        <v>0</v>
      </c>
      <c r="AD77" s="1193">
        <f t="shared" si="33"/>
        <v>0</v>
      </c>
      <c r="AE77" s="1193">
        <f t="shared" si="33"/>
        <v>0</v>
      </c>
      <c r="AF77" s="1193">
        <f t="shared" si="33"/>
        <v>0</v>
      </c>
      <c r="AG77" s="1193">
        <f t="shared" si="33"/>
        <v>0</v>
      </c>
      <c r="AH77" s="1193">
        <f t="shared" si="33"/>
        <v>0</v>
      </c>
      <c r="AI77" s="1193">
        <f t="shared" si="33"/>
        <v>0</v>
      </c>
      <c r="AJ77" s="1193">
        <f t="shared" si="33"/>
        <v>0</v>
      </c>
      <c r="AK77" s="1193">
        <f t="shared" si="33"/>
        <v>0</v>
      </c>
      <c r="AL77" s="1193">
        <f t="shared" si="33"/>
        <v>0</v>
      </c>
      <c r="AM77" s="1193">
        <f t="shared" si="33"/>
        <v>0</v>
      </c>
      <c r="AN77" s="1193">
        <f t="shared" si="33"/>
        <v>0</v>
      </c>
      <c r="AO77" s="1193">
        <f t="shared" si="33"/>
        <v>0</v>
      </c>
      <c r="AP77" s="1193">
        <f t="shared" si="33"/>
        <v>0</v>
      </c>
      <c r="AQ77" s="1193">
        <f t="shared" si="33"/>
        <v>0</v>
      </c>
      <c r="AR77" s="1193">
        <f t="shared" si="33"/>
        <v>0</v>
      </c>
      <c r="AS77" s="1193">
        <f t="shared" si="33"/>
        <v>0</v>
      </c>
      <c r="AT77" s="1193">
        <f t="shared" si="33"/>
        <v>0</v>
      </c>
      <c r="AU77" s="1193">
        <f t="shared" si="33"/>
        <v>0</v>
      </c>
      <c r="AV77" s="1193">
        <f t="shared" si="33"/>
        <v>0</v>
      </c>
      <c r="AW77" s="1193">
        <f t="shared" si="33"/>
        <v>0</v>
      </c>
      <c r="AX77" s="1193">
        <f t="shared" si="33"/>
        <v>0</v>
      </c>
      <c r="AY77" s="1193">
        <f t="shared" si="33"/>
        <v>0</v>
      </c>
      <c r="AZ77" s="1193">
        <f t="shared" si="33"/>
        <v>0</v>
      </c>
      <c r="BA77" s="1193">
        <f t="shared" si="33"/>
        <v>0</v>
      </c>
      <c r="BB77" s="1193">
        <f t="shared" si="33"/>
        <v>0</v>
      </c>
      <c r="BC77" s="1193">
        <f t="shared" si="33"/>
        <v>0</v>
      </c>
    </row>
    <row r="78" spans="2:55">
      <c r="B78" s="1198" t="s">
        <v>62</v>
      </c>
      <c r="C78" s="1181"/>
      <c r="D78" s="1181"/>
      <c r="E78" s="1181"/>
      <c r="F78" s="1196">
        <v>1</v>
      </c>
      <c r="G78" s="1197">
        <v>60</v>
      </c>
      <c r="H78" s="1193">
        <f>-IFERROR((HLOOKUP(COLUMN(H$63)-$G$78/30-7,$H$9:$BC$16,6,FALSE)+HLOOKUP(COLUMN(H$63)-$G$78/30-7,$H$9:$BC$26,15,FALSE))*$F$78,0)</f>
        <v>0</v>
      </c>
      <c r="I78" s="1193">
        <f t="shared" ref="I78:BC78" si="34">-IFERROR((HLOOKUP(COLUMN(I$63)-$G$78/30-7,$H$9:$BC$16,6,FALSE)+HLOOKUP(COLUMN(I$63)-$G$78/30-7,$H$9:$BC$26,15,FALSE))*$F$78,0)</f>
        <v>0</v>
      </c>
      <c r="J78" s="1193">
        <f t="shared" si="34"/>
        <v>-2.7441102875843923</v>
      </c>
      <c r="K78" s="1193">
        <f t="shared" si="34"/>
        <v>0</v>
      </c>
      <c r="L78" s="1193">
        <f t="shared" si="34"/>
        <v>0</v>
      </c>
      <c r="M78" s="1193">
        <f t="shared" si="34"/>
        <v>0</v>
      </c>
      <c r="N78" s="1193">
        <f t="shared" si="34"/>
        <v>0</v>
      </c>
      <c r="O78" s="1193">
        <f t="shared" si="34"/>
        <v>0</v>
      </c>
      <c r="P78" s="1193">
        <f t="shared" si="34"/>
        <v>0</v>
      </c>
      <c r="Q78" s="1193">
        <f t="shared" si="34"/>
        <v>0</v>
      </c>
      <c r="R78" s="1193">
        <f t="shared" si="34"/>
        <v>0</v>
      </c>
      <c r="S78" s="1193">
        <f t="shared" si="34"/>
        <v>0</v>
      </c>
      <c r="T78" s="1193">
        <f t="shared" si="34"/>
        <v>0</v>
      </c>
      <c r="U78" s="1193">
        <f t="shared" si="34"/>
        <v>0</v>
      </c>
      <c r="V78" s="1193">
        <f t="shared" si="34"/>
        <v>0</v>
      </c>
      <c r="W78" s="1193">
        <f t="shared" si="34"/>
        <v>0</v>
      </c>
      <c r="X78" s="1193">
        <f t="shared" si="34"/>
        <v>0</v>
      </c>
      <c r="Y78" s="1193">
        <f t="shared" si="34"/>
        <v>0</v>
      </c>
      <c r="Z78" s="1193">
        <f t="shared" si="34"/>
        <v>0</v>
      </c>
      <c r="AA78" s="1193">
        <f t="shared" si="34"/>
        <v>0</v>
      </c>
      <c r="AB78" s="1193">
        <f t="shared" si="34"/>
        <v>0</v>
      </c>
      <c r="AC78" s="1193">
        <f t="shared" si="34"/>
        <v>0</v>
      </c>
      <c r="AD78" s="1193">
        <f t="shared" si="34"/>
        <v>0</v>
      </c>
      <c r="AE78" s="1193">
        <f t="shared" si="34"/>
        <v>0</v>
      </c>
      <c r="AF78" s="1193">
        <f t="shared" si="34"/>
        <v>0</v>
      </c>
      <c r="AG78" s="1193">
        <f t="shared" si="34"/>
        <v>0</v>
      </c>
      <c r="AH78" s="1193">
        <f t="shared" si="34"/>
        <v>0</v>
      </c>
      <c r="AI78" s="1193">
        <f t="shared" si="34"/>
        <v>0</v>
      </c>
      <c r="AJ78" s="1193">
        <f t="shared" si="34"/>
        <v>0</v>
      </c>
      <c r="AK78" s="1193">
        <f t="shared" si="34"/>
        <v>0</v>
      </c>
      <c r="AL78" s="1193">
        <f t="shared" si="34"/>
        <v>0</v>
      </c>
      <c r="AM78" s="1193">
        <f t="shared" si="34"/>
        <v>0</v>
      </c>
      <c r="AN78" s="1193">
        <f t="shared" si="34"/>
        <v>0</v>
      </c>
      <c r="AO78" s="1193">
        <f t="shared" si="34"/>
        <v>0</v>
      </c>
      <c r="AP78" s="1193">
        <f t="shared" si="34"/>
        <v>0</v>
      </c>
      <c r="AQ78" s="1193">
        <f t="shared" si="34"/>
        <v>0</v>
      </c>
      <c r="AR78" s="1193">
        <f t="shared" si="34"/>
        <v>0</v>
      </c>
      <c r="AS78" s="1193">
        <f t="shared" si="34"/>
        <v>0</v>
      </c>
      <c r="AT78" s="1193">
        <f t="shared" si="34"/>
        <v>0</v>
      </c>
      <c r="AU78" s="1193">
        <f t="shared" si="34"/>
        <v>0</v>
      </c>
      <c r="AV78" s="1193">
        <f t="shared" si="34"/>
        <v>0</v>
      </c>
      <c r="AW78" s="1193">
        <f t="shared" si="34"/>
        <v>0</v>
      </c>
      <c r="AX78" s="1193">
        <f t="shared" si="34"/>
        <v>0</v>
      </c>
      <c r="AY78" s="1193">
        <f t="shared" si="34"/>
        <v>0</v>
      </c>
      <c r="AZ78" s="1193">
        <f t="shared" si="34"/>
        <v>0</v>
      </c>
      <c r="BA78" s="1193">
        <f t="shared" si="34"/>
        <v>0</v>
      </c>
      <c r="BB78" s="1193">
        <f t="shared" si="34"/>
        <v>0</v>
      </c>
      <c r="BC78" s="1193">
        <f t="shared" si="34"/>
        <v>0</v>
      </c>
    </row>
    <row r="79" spans="2:55">
      <c r="B79" s="1198" t="s">
        <v>63</v>
      </c>
      <c r="C79" s="1181"/>
      <c r="D79" s="1181"/>
      <c r="E79" s="1181"/>
      <c r="F79" s="1196">
        <v>1</v>
      </c>
      <c r="G79" s="1197">
        <v>0</v>
      </c>
      <c r="H79" s="1193">
        <f>-IFERROR((HLOOKUP(COLUMN(H$63)-$G$79/30-7,$H$9:$BC$16,7,FALSE)+HLOOKUP(COLUMN(H$63)-$G$79/30-7,$H$9:$BC$26,16,FALSE))*$F$79,0)</f>
        <v>-4.7194637966095279</v>
      </c>
      <c r="I79" s="1193">
        <f t="shared" ref="I79:BC79" si="35">-IFERROR((HLOOKUP(COLUMN(I$63)-$G$79/30-7,$H$9:$BC$16,7,FALSE)+HLOOKUP(COLUMN(I$63)-$G$79/30-7,$H$9:$BC$26,16,FALSE))*$F$79,0)</f>
        <v>0</v>
      </c>
      <c r="J79" s="1193">
        <f t="shared" si="35"/>
        <v>0</v>
      </c>
      <c r="K79" s="1193">
        <f t="shared" si="35"/>
        <v>0</v>
      </c>
      <c r="L79" s="1193">
        <f t="shared" si="35"/>
        <v>0</v>
      </c>
      <c r="M79" s="1193">
        <f t="shared" si="35"/>
        <v>0</v>
      </c>
      <c r="N79" s="1193">
        <f t="shared" si="35"/>
        <v>0</v>
      </c>
      <c r="O79" s="1193">
        <f t="shared" si="35"/>
        <v>0</v>
      </c>
      <c r="P79" s="1193">
        <f t="shared" si="35"/>
        <v>0</v>
      </c>
      <c r="Q79" s="1193">
        <f t="shared" si="35"/>
        <v>0</v>
      </c>
      <c r="R79" s="1193">
        <f t="shared" si="35"/>
        <v>0</v>
      </c>
      <c r="S79" s="1193">
        <f t="shared" si="35"/>
        <v>0</v>
      </c>
      <c r="T79" s="1193">
        <f t="shared" si="35"/>
        <v>0</v>
      </c>
      <c r="U79" s="1193">
        <f t="shared" si="35"/>
        <v>0</v>
      </c>
      <c r="V79" s="1193">
        <f t="shared" si="35"/>
        <v>0</v>
      </c>
      <c r="W79" s="1193">
        <f t="shared" si="35"/>
        <v>0</v>
      </c>
      <c r="X79" s="1193">
        <f t="shared" si="35"/>
        <v>0</v>
      </c>
      <c r="Y79" s="1193">
        <f t="shared" si="35"/>
        <v>0</v>
      </c>
      <c r="Z79" s="1193">
        <f t="shared" si="35"/>
        <v>0</v>
      </c>
      <c r="AA79" s="1193">
        <f t="shared" si="35"/>
        <v>0</v>
      </c>
      <c r="AB79" s="1193">
        <f t="shared" si="35"/>
        <v>0</v>
      </c>
      <c r="AC79" s="1193">
        <f t="shared" si="35"/>
        <v>0</v>
      </c>
      <c r="AD79" s="1193">
        <f t="shared" si="35"/>
        <v>0</v>
      </c>
      <c r="AE79" s="1193">
        <f t="shared" si="35"/>
        <v>0</v>
      </c>
      <c r="AF79" s="1193">
        <f t="shared" si="35"/>
        <v>0</v>
      </c>
      <c r="AG79" s="1193">
        <f t="shared" si="35"/>
        <v>0</v>
      </c>
      <c r="AH79" s="1193">
        <f t="shared" si="35"/>
        <v>0</v>
      </c>
      <c r="AI79" s="1193">
        <f t="shared" si="35"/>
        <v>0</v>
      </c>
      <c r="AJ79" s="1193">
        <f t="shared" si="35"/>
        <v>0</v>
      </c>
      <c r="AK79" s="1193">
        <f t="shared" si="35"/>
        <v>0</v>
      </c>
      <c r="AL79" s="1193">
        <f t="shared" si="35"/>
        <v>0</v>
      </c>
      <c r="AM79" s="1193">
        <f t="shared" si="35"/>
        <v>0</v>
      </c>
      <c r="AN79" s="1193">
        <f t="shared" si="35"/>
        <v>0</v>
      </c>
      <c r="AO79" s="1193">
        <f t="shared" si="35"/>
        <v>0</v>
      </c>
      <c r="AP79" s="1193">
        <f t="shared" si="35"/>
        <v>0</v>
      </c>
      <c r="AQ79" s="1193">
        <f t="shared" si="35"/>
        <v>0</v>
      </c>
      <c r="AR79" s="1193">
        <f t="shared" si="35"/>
        <v>0</v>
      </c>
      <c r="AS79" s="1193">
        <f t="shared" si="35"/>
        <v>0</v>
      </c>
      <c r="AT79" s="1193">
        <f t="shared" si="35"/>
        <v>0</v>
      </c>
      <c r="AU79" s="1193">
        <f t="shared" si="35"/>
        <v>0</v>
      </c>
      <c r="AV79" s="1193">
        <f t="shared" si="35"/>
        <v>0</v>
      </c>
      <c r="AW79" s="1193">
        <f t="shared" si="35"/>
        <v>0</v>
      </c>
      <c r="AX79" s="1193">
        <f t="shared" si="35"/>
        <v>0</v>
      </c>
      <c r="AY79" s="1193">
        <f t="shared" si="35"/>
        <v>0</v>
      </c>
      <c r="AZ79" s="1193">
        <f t="shared" si="35"/>
        <v>0</v>
      </c>
      <c r="BA79" s="1193">
        <f t="shared" si="35"/>
        <v>0</v>
      </c>
      <c r="BB79" s="1193">
        <f t="shared" si="35"/>
        <v>0</v>
      </c>
      <c r="BC79" s="1193">
        <f t="shared" si="35"/>
        <v>0</v>
      </c>
    </row>
    <row r="80" spans="2:55">
      <c r="B80" s="1198" t="s">
        <v>338</v>
      </c>
      <c r="C80" s="1181"/>
      <c r="D80" s="1181"/>
      <c r="E80" s="1181"/>
      <c r="F80" s="1196">
        <v>1</v>
      </c>
      <c r="G80" s="1197">
        <v>0</v>
      </c>
      <c r="H80" s="1193">
        <f>-IFERROR((HLOOKUP(COLUMN(H$63)-$G$80/30-7,$H$9:$BC$16,8,FALSE)+HLOOKUP(COLUMN(H$63)-$G$80/30-7,$H$9:$BC$26,17,FALSE))*$F$80,0)</f>
        <v>0</v>
      </c>
      <c r="I80" s="1193">
        <f t="shared" ref="I80:BC80" si="36">-IFERROR((HLOOKUP(COLUMN(I$63)-$G$80/30-7,$H$9:$BC$16,8,FALSE)+HLOOKUP(COLUMN(I$63)-$G$80/30-7,$H$9:$BC$26,17,FALSE))*$F$80,0)</f>
        <v>0</v>
      </c>
      <c r="J80" s="1193">
        <f t="shared" si="36"/>
        <v>0</v>
      </c>
      <c r="K80" s="1193">
        <f t="shared" si="36"/>
        <v>0</v>
      </c>
      <c r="L80" s="1193">
        <f t="shared" si="36"/>
        <v>0</v>
      </c>
      <c r="M80" s="1193">
        <f t="shared" si="36"/>
        <v>0</v>
      </c>
      <c r="N80" s="1193">
        <f t="shared" si="36"/>
        <v>0</v>
      </c>
      <c r="O80" s="1193">
        <f t="shared" si="36"/>
        <v>0</v>
      </c>
      <c r="P80" s="1193">
        <f t="shared" si="36"/>
        <v>0</v>
      </c>
      <c r="Q80" s="1193">
        <f t="shared" si="36"/>
        <v>0</v>
      </c>
      <c r="R80" s="1193">
        <f t="shared" si="36"/>
        <v>0</v>
      </c>
      <c r="S80" s="1193">
        <f t="shared" si="36"/>
        <v>0</v>
      </c>
      <c r="T80" s="1193">
        <f t="shared" si="36"/>
        <v>0</v>
      </c>
      <c r="U80" s="1193">
        <f t="shared" si="36"/>
        <v>0</v>
      </c>
      <c r="V80" s="1193">
        <f t="shared" si="36"/>
        <v>0</v>
      </c>
      <c r="W80" s="1193">
        <f t="shared" si="36"/>
        <v>0</v>
      </c>
      <c r="X80" s="1193">
        <f t="shared" si="36"/>
        <v>0</v>
      </c>
      <c r="Y80" s="1193">
        <f t="shared" si="36"/>
        <v>0</v>
      </c>
      <c r="Z80" s="1193">
        <f t="shared" si="36"/>
        <v>0</v>
      </c>
      <c r="AA80" s="1193">
        <f t="shared" si="36"/>
        <v>0</v>
      </c>
      <c r="AB80" s="1193">
        <f t="shared" si="36"/>
        <v>0</v>
      </c>
      <c r="AC80" s="1193">
        <f t="shared" si="36"/>
        <v>0</v>
      </c>
      <c r="AD80" s="1193">
        <f t="shared" si="36"/>
        <v>0</v>
      </c>
      <c r="AE80" s="1193">
        <f t="shared" si="36"/>
        <v>0</v>
      </c>
      <c r="AF80" s="1193">
        <f t="shared" si="36"/>
        <v>0</v>
      </c>
      <c r="AG80" s="1193">
        <f t="shared" si="36"/>
        <v>0</v>
      </c>
      <c r="AH80" s="1193">
        <f t="shared" si="36"/>
        <v>0</v>
      </c>
      <c r="AI80" s="1193">
        <f t="shared" si="36"/>
        <v>0</v>
      </c>
      <c r="AJ80" s="1193">
        <f t="shared" si="36"/>
        <v>0</v>
      </c>
      <c r="AK80" s="1193">
        <f t="shared" si="36"/>
        <v>0</v>
      </c>
      <c r="AL80" s="1193">
        <f t="shared" si="36"/>
        <v>0</v>
      </c>
      <c r="AM80" s="1193">
        <f t="shared" si="36"/>
        <v>0</v>
      </c>
      <c r="AN80" s="1193">
        <f t="shared" si="36"/>
        <v>0</v>
      </c>
      <c r="AO80" s="1193">
        <f t="shared" si="36"/>
        <v>0</v>
      </c>
      <c r="AP80" s="1193">
        <f t="shared" si="36"/>
        <v>0</v>
      </c>
      <c r="AQ80" s="1193">
        <f t="shared" si="36"/>
        <v>0</v>
      </c>
      <c r="AR80" s="1193">
        <f t="shared" si="36"/>
        <v>0</v>
      </c>
      <c r="AS80" s="1193">
        <f t="shared" si="36"/>
        <v>0</v>
      </c>
      <c r="AT80" s="1193">
        <f t="shared" si="36"/>
        <v>0</v>
      </c>
      <c r="AU80" s="1193">
        <f t="shared" si="36"/>
        <v>0</v>
      </c>
      <c r="AV80" s="1193">
        <f t="shared" si="36"/>
        <v>0</v>
      </c>
      <c r="AW80" s="1193">
        <f t="shared" si="36"/>
        <v>0</v>
      </c>
      <c r="AX80" s="1193">
        <f t="shared" si="36"/>
        <v>0</v>
      </c>
      <c r="AY80" s="1193">
        <f t="shared" si="36"/>
        <v>0</v>
      </c>
      <c r="AZ80" s="1193">
        <f t="shared" si="36"/>
        <v>0</v>
      </c>
      <c r="BA80" s="1193">
        <f t="shared" si="36"/>
        <v>0</v>
      </c>
      <c r="BB80" s="1193">
        <f t="shared" si="36"/>
        <v>0</v>
      </c>
      <c r="BC80" s="1193">
        <f t="shared" si="36"/>
        <v>0</v>
      </c>
    </row>
    <row r="81" spans="2:55">
      <c r="B81" s="1198" t="s">
        <v>64</v>
      </c>
      <c r="C81" s="1181"/>
      <c r="D81" s="1181"/>
      <c r="E81" s="1181"/>
      <c r="F81" s="1196">
        <v>1</v>
      </c>
      <c r="G81" s="1197">
        <v>30</v>
      </c>
      <c r="H81" s="1193">
        <f>-IFERROR((HLOOKUP(COLUMN(H$63)-$G$81/30-7,$H$9:$BC$26,18,FALSE))*$F$81,0)</f>
        <v>0</v>
      </c>
      <c r="I81" s="1193">
        <f t="shared" ref="I81:BC81" si="37">-IFERROR((HLOOKUP(COLUMN(I$63)-$G$81/30-7,$H$9:$BC$26,18,FALSE))*$F$81,0)</f>
        <v>0</v>
      </c>
      <c r="J81" s="1193">
        <f t="shared" si="37"/>
        <v>0</v>
      </c>
      <c r="K81" s="1193">
        <f t="shared" si="37"/>
        <v>0</v>
      </c>
      <c r="L81" s="1193">
        <f t="shared" si="37"/>
        <v>0</v>
      </c>
      <c r="M81" s="1193">
        <f t="shared" si="37"/>
        <v>0</v>
      </c>
      <c r="N81" s="1193">
        <f t="shared" si="37"/>
        <v>0</v>
      </c>
      <c r="O81" s="1193">
        <f t="shared" si="37"/>
        <v>0</v>
      </c>
      <c r="P81" s="1193">
        <f t="shared" si="37"/>
        <v>0</v>
      </c>
      <c r="Q81" s="1193">
        <f t="shared" si="37"/>
        <v>0</v>
      </c>
      <c r="R81" s="1193">
        <f t="shared" si="37"/>
        <v>0</v>
      </c>
      <c r="S81" s="1193">
        <f t="shared" si="37"/>
        <v>0</v>
      </c>
      <c r="T81" s="1193">
        <f t="shared" si="37"/>
        <v>0</v>
      </c>
      <c r="U81" s="1193">
        <f t="shared" si="37"/>
        <v>0</v>
      </c>
      <c r="V81" s="1193">
        <f t="shared" si="37"/>
        <v>0</v>
      </c>
      <c r="W81" s="1193">
        <f t="shared" si="37"/>
        <v>0</v>
      </c>
      <c r="X81" s="1193">
        <f t="shared" si="37"/>
        <v>0</v>
      </c>
      <c r="Y81" s="1193">
        <f t="shared" si="37"/>
        <v>0</v>
      </c>
      <c r="Z81" s="1193">
        <f t="shared" si="37"/>
        <v>0</v>
      </c>
      <c r="AA81" s="1193">
        <f t="shared" si="37"/>
        <v>0</v>
      </c>
      <c r="AB81" s="1193">
        <f t="shared" si="37"/>
        <v>0</v>
      </c>
      <c r="AC81" s="1193">
        <f t="shared" si="37"/>
        <v>0</v>
      </c>
      <c r="AD81" s="1193">
        <f t="shared" si="37"/>
        <v>0</v>
      </c>
      <c r="AE81" s="1193">
        <f t="shared" si="37"/>
        <v>0</v>
      </c>
      <c r="AF81" s="1193">
        <f t="shared" si="37"/>
        <v>0</v>
      </c>
      <c r="AG81" s="1193">
        <f t="shared" si="37"/>
        <v>0</v>
      </c>
      <c r="AH81" s="1193">
        <f t="shared" si="37"/>
        <v>0</v>
      </c>
      <c r="AI81" s="1193">
        <f t="shared" si="37"/>
        <v>0</v>
      </c>
      <c r="AJ81" s="1193">
        <f t="shared" si="37"/>
        <v>0</v>
      </c>
      <c r="AK81" s="1193">
        <f t="shared" si="37"/>
        <v>0</v>
      </c>
      <c r="AL81" s="1193">
        <f t="shared" si="37"/>
        <v>0</v>
      </c>
      <c r="AM81" s="1193">
        <f t="shared" si="37"/>
        <v>0</v>
      </c>
      <c r="AN81" s="1193">
        <f t="shared" si="37"/>
        <v>0</v>
      </c>
      <c r="AO81" s="1193">
        <f t="shared" si="37"/>
        <v>0</v>
      </c>
      <c r="AP81" s="1193">
        <f t="shared" si="37"/>
        <v>0</v>
      </c>
      <c r="AQ81" s="1193">
        <f t="shared" si="37"/>
        <v>0</v>
      </c>
      <c r="AR81" s="1193">
        <f t="shared" si="37"/>
        <v>0</v>
      </c>
      <c r="AS81" s="1193">
        <f t="shared" si="37"/>
        <v>0</v>
      </c>
      <c r="AT81" s="1193">
        <f t="shared" si="37"/>
        <v>0</v>
      </c>
      <c r="AU81" s="1193">
        <f t="shared" si="37"/>
        <v>0</v>
      </c>
      <c r="AV81" s="1193">
        <f t="shared" si="37"/>
        <v>0</v>
      </c>
      <c r="AW81" s="1193">
        <f t="shared" si="37"/>
        <v>0</v>
      </c>
      <c r="AX81" s="1193">
        <f t="shared" si="37"/>
        <v>0</v>
      </c>
      <c r="AY81" s="1193">
        <f t="shared" si="37"/>
        <v>0</v>
      </c>
      <c r="AZ81" s="1193">
        <f t="shared" si="37"/>
        <v>0</v>
      </c>
      <c r="BA81" s="1193">
        <f t="shared" si="37"/>
        <v>0</v>
      </c>
      <c r="BB81" s="1193">
        <f t="shared" si="37"/>
        <v>0</v>
      </c>
      <c r="BC81" s="1193">
        <f t="shared" si="37"/>
        <v>0</v>
      </c>
    </row>
    <row r="82" spans="2:55">
      <c r="B82" s="1198" t="s">
        <v>65</v>
      </c>
      <c r="C82" s="1181"/>
      <c r="D82" s="1181"/>
      <c r="E82" s="1181"/>
      <c r="F82" s="1268"/>
      <c r="G82" s="1267"/>
      <c r="H82" s="1193">
        <f>-IFERROR((HLOOKUP(COLUMN(H$63)-$G$65/30-7,$H$9:$BC$34,24,FALSE)),0)</f>
        <v>0</v>
      </c>
      <c r="I82" s="1193">
        <f t="shared" ref="I82:BC82" si="38">-IFERROR((HLOOKUP(COLUMN(I$63)-$G$65/30-7,$H$9:$BC$34,24,FALSE)),0)</f>
        <v>0</v>
      </c>
      <c r="J82" s="1193">
        <f t="shared" si="38"/>
        <v>-252.53001500110588</v>
      </c>
      <c r="K82" s="1193">
        <f t="shared" si="38"/>
        <v>-10.591257075044902</v>
      </c>
      <c r="L82" s="1193">
        <f t="shared" si="38"/>
        <v>0</v>
      </c>
      <c r="M82" s="1193">
        <f t="shared" si="38"/>
        <v>0</v>
      </c>
      <c r="N82" s="1193">
        <f t="shared" si="38"/>
        <v>0</v>
      </c>
      <c r="O82" s="1193">
        <f t="shared" si="38"/>
        <v>0</v>
      </c>
      <c r="P82" s="1193">
        <f t="shared" si="38"/>
        <v>0</v>
      </c>
      <c r="Q82" s="1193">
        <f t="shared" si="38"/>
        <v>0</v>
      </c>
      <c r="R82" s="1193">
        <f t="shared" si="38"/>
        <v>0</v>
      </c>
      <c r="S82" s="1193">
        <f t="shared" si="38"/>
        <v>0</v>
      </c>
      <c r="T82" s="1193">
        <f t="shared" si="38"/>
        <v>0</v>
      </c>
      <c r="U82" s="1193">
        <f t="shared" si="38"/>
        <v>0</v>
      </c>
      <c r="V82" s="1193">
        <f t="shared" si="38"/>
        <v>0</v>
      </c>
      <c r="W82" s="1193">
        <f t="shared" si="38"/>
        <v>0</v>
      </c>
      <c r="X82" s="1193">
        <f t="shared" si="38"/>
        <v>0</v>
      </c>
      <c r="Y82" s="1193">
        <f t="shared" si="38"/>
        <v>0</v>
      </c>
      <c r="Z82" s="1193">
        <f t="shared" si="38"/>
        <v>0</v>
      </c>
      <c r="AA82" s="1193">
        <f t="shared" si="38"/>
        <v>0</v>
      </c>
      <c r="AB82" s="1193">
        <f t="shared" si="38"/>
        <v>0</v>
      </c>
      <c r="AC82" s="1193">
        <f t="shared" si="38"/>
        <v>0</v>
      </c>
      <c r="AD82" s="1193">
        <f t="shared" si="38"/>
        <v>0</v>
      </c>
      <c r="AE82" s="1193">
        <f t="shared" si="38"/>
        <v>0</v>
      </c>
      <c r="AF82" s="1193">
        <f t="shared" si="38"/>
        <v>0</v>
      </c>
      <c r="AG82" s="1193">
        <f t="shared" si="38"/>
        <v>0</v>
      </c>
      <c r="AH82" s="1193">
        <f t="shared" si="38"/>
        <v>0</v>
      </c>
      <c r="AI82" s="1193">
        <f t="shared" si="38"/>
        <v>0</v>
      </c>
      <c r="AJ82" s="1193">
        <f t="shared" si="38"/>
        <v>0</v>
      </c>
      <c r="AK82" s="1193">
        <f t="shared" si="38"/>
        <v>0</v>
      </c>
      <c r="AL82" s="1193">
        <f t="shared" si="38"/>
        <v>0</v>
      </c>
      <c r="AM82" s="1193">
        <f t="shared" si="38"/>
        <v>0</v>
      </c>
      <c r="AN82" s="1193">
        <f t="shared" si="38"/>
        <v>0</v>
      </c>
      <c r="AO82" s="1193">
        <f t="shared" si="38"/>
        <v>0</v>
      </c>
      <c r="AP82" s="1193">
        <f t="shared" si="38"/>
        <v>0</v>
      </c>
      <c r="AQ82" s="1193">
        <f t="shared" si="38"/>
        <v>0</v>
      </c>
      <c r="AR82" s="1193">
        <f t="shared" si="38"/>
        <v>0</v>
      </c>
      <c r="AS82" s="1193">
        <f t="shared" si="38"/>
        <v>0</v>
      </c>
      <c r="AT82" s="1193">
        <f t="shared" si="38"/>
        <v>0</v>
      </c>
      <c r="AU82" s="1193">
        <f t="shared" si="38"/>
        <v>0</v>
      </c>
      <c r="AV82" s="1193">
        <f t="shared" si="38"/>
        <v>0</v>
      </c>
      <c r="AW82" s="1193">
        <f t="shared" si="38"/>
        <v>0</v>
      </c>
      <c r="AX82" s="1193">
        <f t="shared" si="38"/>
        <v>0</v>
      </c>
      <c r="AY82" s="1193">
        <f t="shared" si="38"/>
        <v>0</v>
      </c>
      <c r="AZ82" s="1193">
        <f t="shared" si="38"/>
        <v>0</v>
      </c>
      <c r="BA82" s="1193">
        <f t="shared" si="38"/>
        <v>0</v>
      </c>
      <c r="BB82" s="1193">
        <f t="shared" si="38"/>
        <v>0</v>
      </c>
      <c r="BC82" s="1193">
        <f t="shared" si="38"/>
        <v>0</v>
      </c>
    </row>
    <row r="83" spans="2:55">
      <c r="B83" s="1198" t="s">
        <v>1136</v>
      </c>
      <c r="C83" s="1181"/>
      <c r="D83" s="1181"/>
      <c r="E83" s="1181"/>
      <c r="F83" s="1181"/>
      <c r="G83" s="1186"/>
      <c r="H83" s="1193">
        <f>-IFERROR((HLOOKUP(COLUMN(H$63)-$G$65/30-7,$H$9:$BC$34,25,FALSE)),0)</f>
        <v>0</v>
      </c>
      <c r="I83" s="1193">
        <f t="shared" ref="I83:BC83" si="39">-IFERROR((HLOOKUP(COLUMN(I$63)-$G$65/30-7,$H$9:$BC$34,25,FALSE)),0)</f>
        <v>0</v>
      </c>
      <c r="J83" s="1193">
        <f t="shared" si="39"/>
        <v>-48.563464423289588</v>
      </c>
      <c r="K83" s="1193">
        <f t="shared" si="39"/>
        <v>-2.0367802067394041</v>
      </c>
      <c r="L83" s="1193">
        <f t="shared" si="39"/>
        <v>0</v>
      </c>
      <c r="M83" s="1193">
        <f t="shared" si="39"/>
        <v>0</v>
      </c>
      <c r="N83" s="1193">
        <f t="shared" si="39"/>
        <v>0</v>
      </c>
      <c r="O83" s="1193">
        <f t="shared" si="39"/>
        <v>0</v>
      </c>
      <c r="P83" s="1193">
        <f t="shared" si="39"/>
        <v>0</v>
      </c>
      <c r="Q83" s="1193">
        <f t="shared" si="39"/>
        <v>0</v>
      </c>
      <c r="R83" s="1193">
        <f t="shared" si="39"/>
        <v>0</v>
      </c>
      <c r="S83" s="1193">
        <f t="shared" si="39"/>
        <v>0</v>
      </c>
      <c r="T83" s="1193">
        <f t="shared" si="39"/>
        <v>0</v>
      </c>
      <c r="U83" s="1193">
        <f t="shared" si="39"/>
        <v>0</v>
      </c>
      <c r="V83" s="1193">
        <f t="shared" si="39"/>
        <v>0</v>
      </c>
      <c r="W83" s="1193">
        <f t="shared" si="39"/>
        <v>0</v>
      </c>
      <c r="X83" s="1193">
        <f t="shared" si="39"/>
        <v>0</v>
      </c>
      <c r="Y83" s="1193">
        <f t="shared" si="39"/>
        <v>0</v>
      </c>
      <c r="Z83" s="1193">
        <f t="shared" si="39"/>
        <v>0</v>
      </c>
      <c r="AA83" s="1193">
        <f t="shared" si="39"/>
        <v>0</v>
      </c>
      <c r="AB83" s="1193">
        <f t="shared" si="39"/>
        <v>0</v>
      </c>
      <c r="AC83" s="1193">
        <f t="shared" si="39"/>
        <v>0</v>
      </c>
      <c r="AD83" s="1193">
        <f t="shared" si="39"/>
        <v>0</v>
      </c>
      <c r="AE83" s="1193">
        <f t="shared" si="39"/>
        <v>0</v>
      </c>
      <c r="AF83" s="1193">
        <f t="shared" si="39"/>
        <v>0</v>
      </c>
      <c r="AG83" s="1193">
        <f t="shared" si="39"/>
        <v>0</v>
      </c>
      <c r="AH83" s="1193">
        <f t="shared" si="39"/>
        <v>0</v>
      </c>
      <c r="AI83" s="1193">
        <f t="shared" si="39"/>
        <v>0</v>
      </c>
      <c r="AJ83" s="1193">
        <f t="shared" si="39"/>
        <v>0</v>
      </c>
      <c r="AK83" s="1193">
        <f t="shared" si="39"/>
        <v>0</v>
      </c>
      <c r="AL83" s="1193">
        <f t="shared" si="39"/>
        <v>0</v>
      </c>
      <c r="AM83" s="1193">
        <f t="shared" si="39"/>
        <v>0</v>
      </c>
      <c r="AN83" s="1193">
        <f t="shared" si="39"/>
        <v>0</v>
      </c>
      <c r="AO83" s="1193">
        <f t="shared" si="39"/>
        <v>0</v>
      </c>
      <c r="AP83" s="1193">
        <f t="shared" si="39"/>
        <v>0</v>
      </c>
      <c r="AQ83" s="1193">
        <f t="shared" si="39"/>
        <v>0</v>
      </c>
      <c r="AR83" s="1193">
        <f t="shared" si="39"/>
        <v>0</v>
      </c>
      <c r="AS83" s="1193">
        <f t="shared" si="39"/>
        <v>0</v>
      </c>
      <c r="AT83" s="1193">
        <f t="shared" si="39"/>
        <v>0</v>
      </c>
      <c r="AU83" s="1193">
        <f t="shared" si="39"/>
        <v>0</v>
      </c>
      <c r="AV83" s="1193">
        <f t="shared" si="39"/>
        <v>0</v>
      </c>
      <c r="AW83" s="1193">
        <f t="shared" si="39"/>
        <v>0</v>
      </c>
      <c r="AX83" s="1193">
        <f t="shared" si="39"/>
        <v>0</v>
      </c>
      <c r="AY83" s="1193">
        <f t="shared" si="39"/>
        <v>0</v>
      </c>
      <c r="AZ83" s="1193">
        <f t="shared" si="39"/>
        <v>0</v>
      </c>
      <c r="BA83" s="1193">
        <f t="shared" si="39"/>
        <v>0</v>
      </c>
      <c r="BB83" s="1193">
        <f t="shared" si="39"/>
        <v>0</v>
      </c>
      <c r="BC83" s="1193">
        <f t="shared" si="39"/>
        <v>0</v>
      </c>
    </row>
    <row r="84" spans="2:55">
      <c r="B84" s="1198" t="s">
        <v>1137</v>
      </c>
      <c r="C84" s="1181"/>
      <c r="D84" s="1181"/>
      <c r="E84" s="1181"/>
      <c r="F84" s="1181"/>
      <c r="G84" s="1186"/>
      <c r="H84" s="1193"/>
      <c r="I84" s="1193"/>
      <c r="J84" s="1193"/>
      <c r="K84" s="1193"/>
      <c r="L84" s="1193"/>
      <c r="M84" s="1193"/>
      <c r="N84" s="1193"/>
      <c r="O84" s="1193"/>
      <c r="P84" s="1193"/>
      <c r="Q84" s="1193"/>
      <c r="R84" s="1193"/>
      <c r="S84" s="1193"/>
      <c r="T84" s="1193"/>
      <c r="U84" s="1193"/>
      <c r="V84" s="1193"/>
      <c r="W84" s="1193"/>
      <c r="X84" s="1193"/>
      <c r="Y84" s="1193"/>
      <c r="Z84" s="1193"/>
      <c r="AA84" s="1193"/>
      <c r="AB84" s="1193"/>
      <c r="AC84" s="1193"/>
      <c r="AD84" s="1193"/>
      <c r="AE84" s="1193"/>
      <c r="AF84" s="1193"/>
      <c r="AG84" s="1193">
        <f>-E34/1000</f>
        <v>-41.818011991834609</v>
      </c>
      <c r="AH84" s="1193"/>
      <c r="AJ84" s="1193"/>
      <c r="AK84" s="1193"/>
      <c r="AL84" s="1193"/>
      <c r="AM84" s="1185"/>
      <c r="AN84" s="1185"/>
      <c r="AO84" s="1185"/>
      <c r="AP84" s="1185"/>
      <c r="AQ84" s="1185"/>
      <c r="AR84" s="1185"/>
      <c r="AS84" s="1185"/>
      <c r="AT84" s="1185"/>
      <c r="AU84" s="1185"/>
      <c r="AV84" s="1185"/>
      <c r="AW84" s="1185"/>
      <c r="AX84" s="1185"/>
      <c r="AY84" s="1185"/>
      <c r="AZ84" s="1185"/>
      <c r="BA84" s="1185"/>
      <c r="BB84" s="1185"/>
      <c r="BC84" s="1185"/>
    </row>
    <row r="85" spans="2:55">
      <c r="B85" s="1198"/>
      <c r="C85" s="1181"/>
      <c r="D85" s="1181"/>
      <c r="E85" s="1181"/>
      <c r="F85" s="1181"/>
      <c r="G85" s="1181"/>
      <c r="H85" s="1193"/>
      <c r="I85" s="1193"/>
      <c r="J85" s="1193"/>
      <c r="K85" s="1193"/>
      <c r="L85" s="1193"/>
      <c r="M85" s="1193"/>
      <c r="N85" s="1193"/>
      <c r="O85" s="1193"/>
      <c r="P85" s="1193"/>
      <c r="Q85" s="1193"/>
      <c r="R85" s="1193"/>
      <c r="S85" s="1193"/>
      <c r="T85" s="1193"/>
      <c r="U85" s="1193"/>
      <c r="V85" s="1193"/>
      <c r="W85" s="1193"/>
      <c r="X85" s="1193"/>
      <c r="Y85" s="1193"/>
      <c r="Z85" s="1193"/>
      <c r="AA85" s="1193"/>
      <c r="AB85" s="1193"/>
      <c r="AC85" s="1193"/>
      <c r="AD85" s="1193"/>
      <c r="AE85" s="1193"/>
      <c r="AF85" s="1193"/>
      <c r="AG85" s="1193"/>
      <c r="AH85" s="1193"/>
      <c r="AI85" s="1193"/>
      <c r="AJ85" s="1193"/>
      <c r="AK85" s="1193"/>
      <c r="AL85" s="1193"/>
      <c r="AM85" s="1185"/>
      <c r="AN85" s="1185"/>
      <c r="AO85" s="1185"/>
      <c r="AP85" s="1185"/>
      <c r="AQ85" s="1185"/>
      <c r="AR85" s="1185"/>
      <c r="AS85" s="1185"/>
      <c r="AT85" s="1185"/>
      <c r="AU85" s="1185"/>
      <c r="AV85" s="1185"/>
      <c r="AW85" s="1185"/>
      <c r="AX85" s="1185"/>
      <c r="AY85" s="1185"/>
      <c r="AZ85" s="1185"/>
      <c r="BA85" s="1185"/>
      <c r="BB85" s="1185"/>
      <c r="BC85" s="1185"/>
    </row>
    <row r="86" spans="2:55">
      <c r="B86" s="1199" t="s">
        <v>1185</v>
      </c>
      <c r="C86" s="1181"/>
      <c r="D86" s="1181"/>
      <c r="E86" s="1181"/>
      <c r="F86" s="1181"/>
      <c r="G86" s="1181"/>
      <c r="H86" s="1191"/>
      <c r="I86" s="1191"/>
      <c r="J86" s="1191"/>
      <c r="K86" s="1191"/>
      <c r="L86" s="1191"/>
      <c r="M86" s="1191"/>
      <c r="N86" s="1191"/>
      <c r="O86" s="1191"/>
      <c r="P86" s="1191"/>
      <c r="Q86" s="1191"/>
      <c r="R86" s="1191"/>
      <c r="S86" s="1191"/>
      <c r="T86" s="1191"/>
      <c r="U86" s="1191"/>
      <c r="V86" s="1191"/>
      <c r="W86" s="1191"/>
      <c r="X86" s="1191"/>
      <c r="Y86" s="1191"/>
      <c r="Z86" s="1191"/>
      <c r="AA86" s="1191"/>
      <c r="AB86" s="1191"/>
      <c r="AC86" s="1191"/>
      <c r="AD86" s="1191"/>
      <c r="AE86" s="1191"/>
      <c r="AF86" s="1191"/>
      <c r="AG86" s="1191"/>
      <c r="AH86" s="1191"/>
      <c r="AI86" s="1191"/>
      <c r="AJ86" s="1191"/>
      <c r="AK86" s="1191"/>
      <c r="AL86" s="1191"/>
      <c r="AM86" s="1183"/>
      <c r="AN86" s="1183"/>
      <c r="AO86" s="1183"/>
      <c r="AP86" s="1183"/>
      <c r="AQ86" s="1183"/>
      <c r="AR86" s="1183"/>
      <c r="AS86" s="1183"/>
      <c r="AT86" s="1183"/>
      <c r="AU86" s="1183"/>
      <c r="AV86" s="1183"/>
      <c r="AW86" s="1183"/>
      <c r="AX86" s="1183"/>
      <c r="AY86" s="1183"/>
      <c r="AZ86" s="1183"/>
      <c r="BA86" s="1183"/>
      <c r="BB86" s="1183"/>
      <c r="BC86" s="1183"/>
    </row>
    <row r="87" spans="2:55">
      <c r="B87" s="1198" t="s">
        <v>71</v>
      </c>
      <c r="C87" s="1181"/>
      <c r="D87" s="1181"/>
      <c r="E87" s="1181"/>
      <c r="F87" s="1181"/>
      <c r="G87" s="1181"/>
      <c r="H87" s="1193">
        <f>+SUM(H88:H89)</f>
        <v>82.98804606627715</v>
      </c>
      <c r="I87" s="1193">
        <f>+SUM($H$88:I89)</f>
        <v>75.419172126624034</v>
      </c>
      <c r="J87" s="1193">
        <f>+SUM($H$88:J89)</f>
        <v>477.85920338595406</v>
      </c>
      <c r="K87" s="1193">
        <f>+SUM($H$88:K89)</f>
        <v>475.20731555677935</v>
      </c>
      <c r="L87" s="1193">
        <f>+SUM($H$88:L89)</f>
        <v>475.20731555677935</v>
      </c>
      <c r="M87" s="1193">
        <f>+SUM($H$88:M89)</f>
        <v>475.20731555677935</v>
      </c>
      <c r="N87" s="1193">
        <f>+SUM($H$88:N89)</f>
        <v>475.20731555677935</v>
      </c>
      <c r="O87" s="1193">
        <f>+SUM($H$88:O89)</f>
        <v>475.20731555677935</v>
      </c>
      <c r="P87" s="1193">
        <f>+SUM($H$88:P89)</f>
        <v>475.20731555677935</v>
      </c>
      <c r="Q87" s="1193">
        <f>+SUM($H$88:Q89)</f>
        <v>475.20731555677935</v>
      </c>
      <c r="R87" s="1193">
        <f>+SUM($H$88:R89)</f>
        <v>475.20731555677935</v>
      </c>
      <c r="S87" s="1193">
        <f>+SUM($H$88:S89)</f>
        <v>475.20731555677935</v>
      </c>
      <c r="T87" s="1193">
        <f>+SUM($H$88:T89)</f>
        <v>475.20731555677935</v>
      </c>
      <c r="U87" s="1193">
        <f>+SUM($H$88:U89)</f>
        <v>475.20731555677935</v>
      </c>
      <c r="V87" s="1193">
        <f>+SUM($H$88:V89)</f>
        <v>475.20731555677935</v>
      </c>
      <c r="W87" s="1193">
        <f>+SUM($H$88:W89)</f>
        <v>475.20731555677935</v>
      </c>
      <c r="X87" s="1193">
        <f>+SUM($H$88:X89)</f>
        <v>475.20731555677935</v>
      </c>
      <c r="Y87" s="1193">
        <f>+SUM($H$88:Y89)</f>
        <v>475.20731555677935</v>
      </c>
      <c r="Z87" s="1193">
        <f>+SUM($H$88:Z89)</f>
        <v>475.20731555677935</v>
      </c>
      <c r="AA87" s="1193">
        <f>+SUM($H$88:AA89)</f>
        <v>475.20731555677935</v>
      </c>
      <c r="AB87" s="1193">
        <f>+SUM($H$88:AB89)</f>
        <v>475.20731555677935</v>
      </c>
      <c r="AC87" s="1193">
        <f>+SUM($H$88:AC89)</f>
        <v>475.20731555677935</v>
      </c>
      <c r="AD87" s="1193">
        <f>+SUM($H$88:AD89)</f>
        <v>475.20731555677935</v>
      </c>
      <c r="AE87" s="1193">
        <f>+SUM($H$88:AE89)</f>
        <v>475.20731555677935</v>
      </c>
      <c r="AF87" s="1193">
        <f>+SUM($H$88:AF89)</f>
        <v>475.20731555677935</v>
      </c>
      <c r="AG87" s="1193">
        <f>+SUM($H$88:AG89)</f>
        <v>466.42553303849405</v>
      </c>
      <c r="AH87" s="1193">
        <f>+SUM($H$88:AH89)</f>
        <v>466.42553303849405</v>
      </c>
      <c r="AI87" s="1193">
        <f>+SUM($H$88:AI89)</f>
        <v>466.42553303849405</v>
      </c>
      <c r="AJ87" s="1193">
        <f>+SUM($H$88:AJ89)</f>
        <v>466.42553303849405</v>
      </c>
      <c r="AK87" s="1193">
        <f>+SUM($H$88:AK89)</f>
        <v>466.42553303849405</v>
      </c>
      <c r="AL87" s="1193">
        <f>+SUM($H$88:AL89)</f>
        <v>466.42553303849405</v>
      </c>
      <c r="AM87" s="1184"/>
      <c r="AN87" s="1184"/>
      <c r="AO87" s="1184"/>
      <c r="AP87" s="1184"/>
      <c r="AQ87" s="1184"/>
      <c r="AR87" s="1184"/>
      <c r="AS87" s="1184"/>
      <c r="AT87" s="1184"/>
      <c r="AU87" s="1184"/>
      <c r="AV87" s="1184"/>
      <c r="AW87" s="1184"/>
      <c r="AX87" s="1184"/>
      <c r="AY87" s="1184"/>
      <c r="AZ87" s="1184"/>
      <c r="BA87" s="1184"/>
      <c r="BB87" s="1184"/>
      <c r="BC87" s="1184"/>
    </row>
    <row r="88" spans="2:55">
      <c r="B88" s="1198" t="s">
        <v>72</v>
      </c>
      <c r="C88" s="1181"/>
      <c r="D88" s="1181"/>
      <c r="E88" s="1181"/>
      <c r="F88" s="1181"/>
      <c r="G88" s="1181"/>
      <c r="H88" s="1193">
        <f>SUM(H74:H84)*0.21</f>
        <v>-8.5599613369411234</v>
      </c>
      <c r="I88" s="1193">
        <f t="shared" ref="I88:BC88" si="40">SUM(I74:I84)*0.21</f>
        <v>-7.5688739396531242</v>
      </c>
      <c r="J88" s="1193">
        <f t="shared" si="40"/>
        <v>-63.805893839515761</v>
      </c>
      <c r="K88" s="1193">
        <f t="shared" si="40"/>
        <v>-2.6518878291747043</v>
      </c>
      <c r="L88" s="1193">
        <f t="shared" si="40"/>
        <v>0</v>
      </c>
      <c r="M88" s="1193">
        <f t="shared" si="40"/>
        <v>0</v>
      </c>
      <c r="N88" s="1193">
        <f t="shared" si="40"/>
        <v>0</v>
      </c>
      <c r="O88" s="1193">
        <f t="shared" si="40"/>
        <v>0</v>
      </c>
      <c r="P88" s="1193">
        <f t="shared" si="40"/>
        <v>0</v>
      </c>
      <c r="Q88" s="1193">
        <f t="shared" si="40"/>
        <v>0</v>
      </c>
      <c r="R88" s="1193">
        <f t="shared" si="40"/>
        <v>0</v>
      </c>
      <c r="S88" s="1193">
        <f t="shared" si="40"/>
        <v>0</v>
      </c>
      <c r="T88" s="1193">
        <f t="shared" si="40"/>
        <v>0</v>
      </c>
      <c r="U88" s="1193">
        <f t="shared" si="40"/>
        <v>0</v>
      </c>
      <c r="V88" s="1193">
        <f t="shared" si="40"/>
        <v>0</v>
      </c>
      <c r="W88" s="1193">
        <f t="shared" si="40"/>
        <v>0</v>
      </c>
      <c r="X88" s="1193">
        <f t="shared" si="40"/>
        <v>0</v>
      </c>
      <c r="Y88" s="1193">
        <f t="shared" si="40"/>
        <v>0</v>
      </c>
      <c r="Z88" s="1193">
        <f t="shared" si="40"/>
        <v>0</v>
      </c>
      <c r="AA88" s="1193">
        <f t="shared" si="40"/>
        <v>0</v>
      </c>
      <c r="AB88" s="1193">
        <f t="shared" si="40"/>
        <v>0</v>
      </c>
      <c r="AC88" s="1193">
        <f t="shared" si="40"/>
        <v>0</v>
      </c>
      <c r="AD88" s="1193">
        <f t="shared" si="40"/>
        <v>0</v>
      </c>
      <c r="AE88" s="1193">
        <f t="shared" si="40"/>
        <v>0</v>
      </c>
      <c r="AF88" s="1193">
        <f t="shared" si="40"/>
        <v>0</v>
      </c>
      <c r="AG88" s="1193">
        <f>SUM(AG74:AG84)*0.21</f>
        <v>-8.7817825182852669</v>
      </c>
      <c r="AH88" s="1193">
        <f t="shared" si="40"/>
        <v>0</v>
      </c>
      <c r="AI88" s="1193">
        <f t="shared" si="40"/>
        <v>0</v>
      </c>
      <c r="AJ88" s="1193">
        <f t="shared" si="40"/>
        <v>0</v>
      </c>
      <c r="AK88" s="1193">
        <f t="shared" si="40"/>
        <v>0</v>
      </c>
      <c r="AL88" s="1193">
        <f t="shared" si="40"/>
        <v>0</v>
      </c>
      <c r="AM88" s="1193">
        <f t="shared" si="40"/>
        <v>0</v>
      </c>
      <c r="AN88" s="1193">
        <f t="shared" si="40"/>
        <v>0</v>
      </c>
      <c r="AO88" s="1193">
        <f t="shared" si="40"/>
        <v>0</v>
      </c>
      <c r="AP88" s="1193">
        <f t="shared" si="40"/>
        <v>0</v>
      </c>
      <c r="AQ88" s="1193">
        <f t="shared" si="40"/>
        <v>0</v>
      </c>
      <c r="AR88" s="1193">
        <f t="shared" si="40"/>
        <v>0</v>
      </c>
      <c r="AS88" s="1193">
        <f t="shared" si="40"/>
        <v>0</v>
      </c>
      <c r="AT88" s="1193">
        <f t="shared" si="40"/>
        <v>0</v>
      </c>
      <c r="AU88" s="1193">
        <f t="shared" si="40"/>
        <v>0</v>
      </c>
      <c r="AV88" s="1193">
        <f t="shared" si="40"/>
        <v>0</v>
      </c>
      <c r="AW88" s="1193">
        <f t="shared" si="40"/>
        <v>0</v>
      </c>
      <c r="AX88" s="1193">
        <f t="shared" si="40"/>
        <v>0</v>
      </c>
      <c r="AY88" s="1193">
        <f t="shared" si="40"/>
        <v>0</v>
      </c>
      <c r="AZ88" s="1193">
        <f t="shared" si="40"/>
        <v>0</v>
      </c>
      <c r="BA88" s="1193">
        <f t="shared" si="40"/>
        <v>0</v>
      </c>
      <c r="BB88" s="1193">
        <f t="shared" si="40"/>
        <v>0</v>
      </c>
      <c r="BC88" s="1193">
        <f t="shared" si="40"/>
        <v>0</v>
      </c>
    </row>
    <row r="89" spans="2:55">
      <c r="B89" s="1198" t="s">
        <v>66</v>
      </c>
      <c r="C89" s="1181"/>
      <c r="D89" s="1181"/>
      <c r="E89" s="1181"/>
      <c r="F89" s="1181"/>
      <c r="G89" s="1181"/>
      <c r="H89" s="1193">
        <f>0.21*H64</f>
        <v>91.548007403218278</v>
      </c>
      <c r="I89" s="1193">
        <f t="shared" ref="I89:BC89" si="41">0.21*I64</f>
        <v>0</v>
      </c>
      <c r="J89" s="1193">
        <f t="shared" si="41"/>
        <v>466.24592509884576</v>
      </c>
      <c r="K89" s="1193">
        <f t="shared" si="41"/>
        <v>0</v>
      </c>
      <c r="L89" s="1193">
        <f t="shared" si="41"/>
        <v>0</v>
      </c>
      <c r="M89" s="1193">
        <f t="shared" si="41"/>
        <v>0</v>
      </c>
      <c r="N89" s="1193">
        <f t="shared" si="41"/>
        <v>0</v>
      </c>
      <c r="O89" s="1193">
        <f t="shared" si="41"/>
        <v>0</v>
      </c>
      <c r="P89" s="1193">
        <f t="shared" si="41"/>
        <v>0</v>
      </c>
      <c r="Q89" s="1193">
        <f t="shared" si="41"/>
        <v>0</v>
      </c>
      <c r="R89" s="1193">
        <f t="shared" si="41"/>
        <v>0</v>
      </c>
      <c r="S89" s="1193">
        <f t="shared" si="41"/>
        <v>0</v>
      </c>
      <c r="T89" s="1193">
        <f t="shared" si="41"/>
        <v>0</v>
      </c>
      <c r="U89" s="1193">
        <f t="shared" si="41"/>
        <v>0</v>
      </c>
      <c r="V89" s="1193">
        <f t="shared" si="41"/>
        <v>0</v>
      </c>
      <c r="W89" s="1193">
        <f t="shared" si="41"/>
        <v>0</v>
      </c>
      <c r="X89" s="1193">
        <f t="shared" si="41"/>
        <v>0</v>
      </c>
      <c r="Y89" s="1193">
        <f t="shared" si="41"/>
        <v>0</v>
      </c>
      <c r="Z89" s="1193">
        <f t="shared" si="41"/>
        <v>0</v>
      </c>
      <c r="AA89" s="1193">
        <f t="shared" si="41"/>
        <v>0</v>
      </c>
      <c r="AB89" s="1193">
        <f t="shared" si="41"/>
        <v>0</v>
      </c>
      <c r="AC89" s="1193">
        <f t="shared" si="41"/>
        <v>0</v>
      </c>
      <c r="AD89" s="1193">
        <f t="shared" si="41"/>
        <v>0</v>
      </c>
      <c r="AE89" s="1193">
        <f t="shared" si="41"/>
        <v>0</v>
      </c>
      <c r="AF89" s="1193">
        <f t="shared" si="41"/>
        <v>0</v>
      </c>
      <c r="AG89" s="1193">
        <f t="shared" si="41"/>
        <v>0</v>
      </c>
      <c r="AH89" s="1193">
        <f t="shared" si="41"/>
        <v>0</v>
      </c>
      <c r="AI89" s="1193">
        <f t="shared" si="41"/>
        <v>0</v>
      </c>
      <c r="AJ89" s="1193">
        <f t="shared" si="41"/>
        <v>0</v>
      </c>
      <c r="AK89" s="1193">
        <f t="shared" si="41"/>
        <v>0</v>
      </c>
      <c r="AL89" s="1193">
        <f t="shared" si="41"/>
        <v>0</v>
      </c>
      <c r="AM89" s="1193">
        <f t="shared" si="41"/>
        <v>0</v>
      </c>
      <c r="AN89" s="1193">
        <f t="shared" si="41"/>
        <v>0</v>
      </c>
      <c r="AO89" s="1193">
        <f t="shared" si="41"/>
        <v>0</v>
      </c>
      <c r="AP89" s="1193">
        <f t="shared" si="41"/>
        <v>0</v>
      </c>
      <c r="AQ89" s="1193">
        <f t="shared" si="41"/>
        <v>0</v>
      </c>
      <c r="AR89" s="1193">
        <f t="shared" si="41"/>
        <v>0</v>
      </c>
      <c r="AS89" s="1193">
        <f t="shared" si="41"/>
        <v>0</v>
      </c>
      <c r="AT89" s="1193">
        <f t="shared" si="41"/>
        <v>0</v>
      </c>
      <c r="AU89" s="1193">
        <f t="shared" si="41"/>
        <v>0</v>
      </c>
      <c r="AV89" s="1193">
        <f t="shared" si="41"/>
        <v>0</v>
      </c>
      <c r="AW89" s="1193">
        <f t="shared" si="41"/>
        <v>0</v>
      </c>
      <c r="AX89" s="1193">
        <f t="shared" si="41"/>
        <v>0</v>
      </c>
      <c r="AY89" s="1193">
        <f t="shared" si="41"/>
        <v>0</v>
      </c>
      <c r="AZ89" s="1193">
        <f t="shared" si="41"/>
        <v>0</v>
      </c>
      <c r="BA89" s="1193">
        <f t="shared" si="41"/>
        <v>0</v>
      </c>
      <c r="BB89" s="1193">
        <f t="shared" si="41"/>
        <v>0</v>
      </c>
      <c r="BC89" s="1193">
        <f t="shared" si="41"/>
        <v>0</v>
      </c>
    </row>
    <row r="90" spans="2:55">
      <c r="B90" s="1198"/>
      <c r="C90" s="1181"/>
      <c r="D90" s="1181"/>
      <c r="E90" s="1181"/>
      <c r="F90" s="1181"/>
      <c r="G90" s="1181"/>
      <c r="H90" s="1193"/>
      <c r="I90" s="1193"/>
      <c r="J90" s="1193"/>
      <c r="K90" s="1193"/>
      <c r="L90" s="1193"/>
      <c r="M90" s="1193"/>
      <c r="N90" s="1193"/>
      <c r="O90" s="1193"/>
      <c r="P90" s="1193"/>
      <c r="Q90" s="1193"/>
      <c r="R90" s="1193"/>
      <c r="S90" s="1193"/>
      <c r="T90" s="1193"/>
      <c r="U90" s="1193"/>
      <c r="V90" s="1193"/>
      <c r="W90" s="1193"/>
      <c r="X90" s="1193"/>
      <c r="Y90" s="1193"/>
      <c r="Z90" s="1193"/>
      <c r="AA90" s="1193"/>
      <c r="AB90" s="1193"/>
      <c r="AC90" s="1193"/>
      <c r="AD90" s="1193"/>
      <c r="AE90" s="1193"/>
      <c r="AF90" s="1193"/>
      <c r="AG90" s="1193"/>
      <c r="AH90" s="1193"/>
      <c r="AI90" s="1193"/>
      <c r="AJ90" s="1193"/>
      <c r="AK90" s="1193"/>
      <c r="AL90" s="1193"/>
      <c r="AM90" s="1185"/>
      <c r="AN90" s="1185"/>
      <c r="AO90" s="1185"/>
      <c r="AP90" s="1185"/>
      <c r="AQ90" s="1185"/>
      <c r="AR90" s="1185"/>
      <c r="AS90" s="1185"/>
      <c r="AT90" s="1185"/>
      <c r="AU90" s="1185"/>
      <c r="AV90" s="1185"/>
      <c r="AW90" s="1185"/>
      <c r="AX90" s="1185"/>
      <c r="AY90" s="1185"/>
      <c r="AZ90" s="1185"/>
      <c r="BA90" s="1185"/>
      <c r="BB90" s="1185"/>
      <c r="BC90" s="1185"/>
    </row>
    <row r="91" spans="2:55">
      <c r="B91" s="1199" t="s">
        <v>69</v>
      </c>
      <c r="C91" s="1181"/>
      <c r="D91" s="1181"/>
      <c r="E91" s="1181"/>
      <c r="F91" s="1181"/>
      <c r="G91" s="1181"/>
      <c r="H91" s="1191">
        <f>+H64+H70+H86</f>
        <v>380.77132866577085</v>
      </c>
      <c r="I91" s="1191">
        <f t="shared" ref="I91:BC91" si="42">+I64+I70+I86</f>
        <v>-176.47262938827555</v>
      </c>
      <c r="J91" s="1191">
        <f t="shared" si="42"/>
        <v>1916.3811012349047</v>
      </c>
      <c r="K91" s="1191">
        <f t="shared" si="42"/>
        <v>-12.628037281784307</v>
      </c>
      <c r="L91" s="1191">
        <f t="shared" si="42"/>
        <v>0</v>
      </c>
      <c r="M91" s="1191">
        <f t="shared" si="42"/>
        <v>0</v>
      </c>
      <c r="N91" s="1191">
        <f t="shared" si="42"/>
        <v>0</v>
      </c>
      <c r="O91" s="1191">
        <f t="shared" si="42"/>
        <v>0</v>
      </c>
      <c r="P91" s="1191">
        <f t="shared" si="42"/>
        <v>0</v>
      </c>
      <c r="Q91" s="1191">
        <f t="shared" si="42"/>
        <v>0</v>
      </c>
      <c r="R91" s="1191">
        <f t="shared" si="42"/>
        <v>0</v>
      </c>
      <c r="S91" s="1191">
        <f t="shared" si="42"/>
        <v>0</v>
      </c>
      <c r="T91" s="1191">
        <f t="shared" si="42"/>
        <v>0</v>
      </c>
      <c r="U91" s="1191">
        <f t="shared" si="42"/>
        <v>0</v>
      </c>
      <c r="V91" s="1191">
        <f t="shared" si="42"/>
        <v>0</v>
      </c>
      <c r="W91" s="1191">
        <f t="shared" si="42"/>
        <v>0</v>
      </c>
      <c r="X91" s="1191">
        <f t="shared" si="42"/>
        <v>0</v>
      </c>
      <c r="Y91" s="1191">
        <f t="shared" si="42"/>
        <v>0</v>
      </c>
      <c r="Z91" s="1191">
        <f t="shared" si="42"/>
        <v>0</v>
      </c>
      <c r="AA91" s="1191">
        <f t="shared" si="42"/>
        <v>0</v>
      </c>
      <c r="AB91" s="1191">
        <f t="shared" si="42"/>
        <v>0</v>
      </c>
      <c r="AC91" s="1191">
        <f t="shared" si="42"/>
        <v>0</v>
      </c>
      <c r="AD91" s="1191">
        <f t="shared" si="42"/>
        <v>0</v>
      </c>
      <c r="AE91" s="1191">
        <f t="shared" si="42"/>
        <v>0</v>
      </c>
      <c r="AF91" s="1191">
        <f t="shared" si="42"/>
        <v>0</v>
      </c>
      <c r="AG91" s="1191">
        <f t="shared" si="42"/>
        <v>-41.818011991834609</v>
      </c>
      <c r="AH91" s="1191">
        <f t="shared" si="42"/>
        <v>0</v>
      </c>
      <c r="AI91" s="1191">
        <f t="shared" si="42"/>
        <v>0</v>
      </c>
      <c r="AJ91" s="1191">
        <f t="shared" si="42"/>
        <v>0</v>
      </c>
      <c r="AK91" s="1191">
        <f t="shared" si="42"/>
        <v>0</v>
      </c>
      <c r="AL91" s="1191">
        <f t="shared" si="42"/>
        <v>0</v>
      </c>
      <c r="AM91" s="1191">
        <f t="shared" si="42"/>
        <v>0</v>
      </c>
      <c r="AN91" s="1191">
        <f t="shared" si="42"/>
        <v>0</v>
      </c>
      <c r="AO91" s="1191">
        <f t="shared" si="42"/>
        <v>0</v>
      </c>
      <c r="AP91" s="1191">
        <f t="shared" si="42"/>
        <v>0</v>
      </c>
      <c r="AQ91" s="1191">
        <f t="shared" si="42"/>
        <v>0</v>
      </c>
      <c r="AR91" s="1191">
        <f t="shared" si="42"/>
        <v>0</v>
      </c>
      <c r="AS91" s="1191">
        <f t="shared" si="42"/>
        <v>0</v>
      </c>
      <c r="AT91" s="1191">
        <f t="shared" si="42"/>
        <v>0</v>
      </c>
      <c r="AU91" s="1191">
        <f t="shared" si="42"/>
        <v>0</v>
      </c>
      <c r="AV91" s="1191">
        <f t="shared" si="42"/>
        <v>0</v>
      </c>
      <c r="AW91" s="1191">
        <f t="shared" si="42"/>
        <v>0</v>
      </c>
      <c r="AX91" s="1191">
        <f t="shared" si="42"/>
        <v>0</v>
      </c>
      <c r="AY91" s="1191">
        <f t="shared" si="42"/>
        <v>0</v>
      </c>
      <c r="AZ91" s="1191">
        <f t="shared" si="42"/>
        <v>0</v>
      </c>
      <c r="BA91" s="1191">
        <f t="shared" si="42"/>
        <v>0</v>
      </c>
      <c r="BB91" s="1191">
        <f t="shared" si="42"/>
        <v>0</v>
      </c>
      <c r="BC91" s="1191">
        <f t="shared" si="42"/>
        <v>0</v>
      </c>
    </row>
    <row r="92" spans="2:55">
      <c r="B92" s="1199" t="s">
        <v>70</v>
      </c>
      <c r="C92" s="1181"/>
      <c r="D92" s="1181"/>
      <c r="E92" s="1181"/>
      <c r="F92" s="1181"/>
      <c r="G92" s="1181"/>
      <c r="H92" s="1191">
        <f>+H91</f>
        <v>380.77132866577085</v>
      </c>
      <c r="I92" s="1191">
        <f>+I91+H92</f>
        <v>204.2986992774953</v>
      </c>
      <c r="J92" s="1191">
        <f t="shared" ref="J92:AI92" si="43">+J91+I92</f>
        <v>2120.6798005124001</v>
      </c>
      <c r="K92" s="1191">
        <f t="shared" si="43"/>
        <v>2108.051763230616</v>
      </c>
      <c r="L92" s="1191">
        <f t="shared" si="43"/>
        <v>2108.051763230616</v>
      </c>
      <c r="M92" s="1191">
        <f t="shared" si="43"/>
        <v>2108.051763230616</v>
      </c>
      <c r="N92" s="1191">
        <f t="shared" si="43"/>
        <v>2108.051763230616</v>
      </c>
      <c r="O92" s="1191">
        <f t="shared" si="43"/>
        <v>2108.051763230616</v>
      </c>
      <c r="P92" s="1191">
        <f t="shared" si="43"/>
        <v>2108.051763230616</v>
      </c>
      <c r="Q92" s="1191">
        <f t="shared" si="43"/>
        <v>2108.051763230616</v>
      </c>
      <c r="R92" s="1191">
        <f t="shared" si="43"/>
        <v>2108.051763230616</v>
      </c>
      <c r="S92" s="1191">
        <f t="shared" si="43"/>
        <v>2108.051763230616</v>
      </c>
      <c r="T92" s="1191">
        <f t="shared" si="43"/>
        <v>2108.051763230616</v>
      </c>
      <c r="U92" s="1191">
        <f t="shared" si="43"/>
        <v>2108.051763230616</v>
      </c>
      <c r="V92" s="1191">
        <f t="shared" si="43"/>
        <v>2108.051763230616</v>
      </c>
      <c r="W92" s="1191">
        <f t="shared" si="43"/>
        <v>2108.051763230616</v>
      </c>
      <c r="X92" s="1191">
        <f t="shared" si="43"/>
        <v>2108.051763230616</v>
      </c>
      <c r="Y92" s="1191">
        <f t="shared" si="43"/>
        <v>2108.051763230616</v>
      </c>
      <c r="Z92" s="1191">
        <f t="shared" si="43"/>
        <v>2108.051763230616</v>
      </c>
      <c r="AA92" s="1191">
        <f t="shared" si="43"/>
        <v>2108.051763230616</v>
      </c>
      <c r="AB92" s="1191">
        <f t="shared" si="43"/>
        <v>2108.051763230616</v>
      </c>
      <c r="AC92" s="1191">
        <f t="shared" si="43"/>
        <v>2108.051763230616</v>
      </c>
      <c r="AD92" s="1191">
        <f t="shared" si="43"/>
        <v>2108.051763230616</v>
      </c>
      <c r="AE92" s="1191">
        <f t="shared" si="43"/>
        <v>2108.051763230616</v>
      </c>
      <c r="AF92" s="1191">
        <f t="shared" si="43"/>
        <v>2108.051763230616</v>
      </c>
      <c r="AG92" s="1191">
        <f t="shared" si="43"/>
        <v>2066.2337512387812</v>
      </c>
      <c r="AH92" s="1191">
        <f t="shared" si="43"/>
        <v>2066.2337512387812</v>
      </c>
      <c r="AI92" s="1191">
        <f t="shared" si="43"/>
        <v>2066.2337512387812</v>
      </c>
      <c r="AJ92" s="1191">
        <f>+AJ91+AI92</f>
        <v>2066.2337512387812</v>
      </c>
      <c r="AK92" s="1191">
        <f>+AK91+AJ92</f>
        <v>2066.2337512387812</v>
      </c>
      <c r="AL92" s="1191">
        <f>+AL91+AK92</f>
        <v>2066.2337512387812</v>
      </c>
      <c r="AM92" s="1191">
        <f t="shared" ref="AM92:BC92" si="44">+AM91+AL92</f>
        <v>2066.2337512387812</v>
      </c>
      <c r="AN92" s="1191">
        <f t="shared" si="44"/>
        <v>2066.2337512387812</v>
      </c>
      <c r="AO92" s="1191">
        <f t="shared" si="44"/>
        <v>2066.2337512387812</v>
      </c>
      <c r="AP92" s="1191">
        <f t="shared" si="44"/>
        <v>2066.2337512387812</v>
      </c>
      <c r="AQ92" s="1191">
        <f t="shared" si="44"/>
        <v>2066.2337512387812</v>
      </c>
      <c r="AR92" s="1191">
        <f t="shared" si="44"/>
        <v>2066.2337512387812</v>
      </c>
      <c r="AS92" s="1191">
        <f t="shared" si="44"/>
        <v>2066.2337512387812</v>
      </c>
      <c r="AT92" s="1191">
        <f t="shared" si="44"/>
        <v>2066.2337512387812</v>
      </c>
      <c r="AU92" s="1191">
        <f t="shared" si="44"/>
        <v>2066.2337512387812</v>
      </c>
      <c r="AV92" s="1191">
        <f t="shared" si="44"/>
        <v>2066.2337512387812</v>
      </c>
      <c r="AW92" s="1191">
        <f t="shared" si="44"/>
        <v>2066.2337512387812</v>
      </c>
      <c r="AX92" s="1191">
        <f t="shared" si="44"/>
        <v>2066.2337512387812</v>
      </c>
      <c r="AY92" s="1191">
        <f t="shared" si="44"/>
        <v>2066.2337512387812</v>
      </c>
      <c r="AZ92" s="1191">
        <f t="shared" si="44"/>
        <v>2066.2337512387812</v>
      </c>
      <c r="BA92" s="1191">
        <f t="shared" si="44"/>
        <v>2066.2337512387812</v>
      </c>
      <c r="BB92" s="1191">
        <f t="shared" si="44"/>
        <v>2066.2337512387812</v>
      </c>
      <c r="BC92" s="1191">
        <f t="shared" si="44"/>
        <v>2066.2337512387812</v>
      </c>
    </row>
  </sheetData>
  <phoneticPr fontId="0" type="noConversion"/>
  <pageMargins left="0.74803149606299213" right="0.74803149606299213" top="0.64" bottom="0.98425196850393704" header="0.3" footer="0.51181102362204722"/>
  <pageSetup paperSize="9" scale="43" fitToHeight="0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pageSetUpPr fitToPage="1"/>
  </sheetPr>
  <dimension ref="A1:BS1940"/>
  <sheetViews>
    <sheetView showZeros="0" zoomScale="85" zoomScaleNormal="85" workbookViewId="0">
      <pane xSplit="5" ySplit="5" topLeftCell="F6" activePane="bottomRight" state="frozen"/>
      <selection activeCell="B1457" sqref="B1457"/>
      <selection pane="topRight" activeCell="B1457" sqref="B1457"/>
      <selection pane="bottomLeft" activeCell="B1457" sqref="B1457"/>
      <selection pane="bottomRight" activeCell="D27" sqref="D27"/>
    </sheetView>
  </sheetViews>
  <sheetFormatPr baseColWidth="10" defaultColWidth="11.44140625" defaultRowHeight="11.4"/>
  <cols>
    <col min="1" max="1" width="2.109375" style="83" customWidth="1"/>
    <col min="2" max="2" width="2.88671875" style="81" customWidth="1"/>
    <col min="3" max="3" width="10.44140625" style="83" customWidth="1"/>
    <col min="4" max="4" width="54.6640625" style="83" customWidth="1"/>
    <col min="5" max="5" width="11" style="83" customWidth="1"/>
    <col min="6" max="7" width="14.88671875" style="83" customWidth="1"/>
    <col min="8" max="8" width="15.88671875" style="83" customWidth="1"/>
    <col min="9" max="9" width="12.6640625" style="83" customWidth="1"/>
    <col min="10" max="10" width="13.44140625" style="83" customWidth="1"/>
    <col min="11" max="11" width="1" style="83" customWidth="1"/>
    <col min="12" max="12" width="11" style="84" customWidth="1"/>
    <col min="13" max="15" width="13.5546875" style="84" hidden="1" customWidth="1"/>
    <col min="16" max="16" width="13.5546875" style="85" hidden="1" customWidth="1"/>
    <col min="17" max="19" width="13.5546875" style="86" hidden="1" customWidth="1"/>
    <col min="20" max="23" width="13.5546875" style="87" hidden="1" customWidth="1"/>
    <col min="24" max="24" width="13" style="83" hidden="1" customWidth="1"/>
    <col min="25" max="64" width="11.44140625" style="83" hidden="1" customWidth="1"/>
    <col min="65" max="65" width="3" style="83" hidden="1" customWidth="1"/>
    <col min="66" max="66" width="25.33203125" style="83" customWidth="1"/>
    <col min="67" max="67" width="3.6640625" style="83" bestFit="1" customWidth="1"/>
    <col min="68" max="69" width="10.88671875" style="83" bestFit="1" customWidth="1"/>
    <col min="70" max="70" width="12" style="83" bestFit="1" customWidth="1"/>
    <col min="71" max="16373" width="11.44140625" style="83"/>
    <col min="16374" max="16374" width="11.44140625" style="83" customWidth="1"/>
    <col min="16375" max="16384" width="11.44140625" style="83"/>
  </cols>
  <sheetData>
    <row r="1" spans="2:66" ht="12" thickBot="1"/>
    <row r="2" spans="2:66" ht="16.2" thickBot="1">
      <c r="C2" s="82" t="s">
        <v>366</v>
      </c>
      <c r="E2"/>
      <c r="F2" s="957">
        <f>SUM('AUX-NIV1'!F7:F387)</f>
        <v>692394832.34888828</v>
      </c>
      <c r="G2" s="957" t="e">
        <f>SUM('AUX-NIV2'!F7:F1249)</f>
        <v>#N/A</v>
      </c>
      <c r="H2" s="957" t="e">
        <f>SUM('AUX-NIV3'!F7:F482)</f>
        <v>#N/A</v>
      </c>
      <c r="I2" s="1701">
        <f>+I3/usd</f>
        <v>3179.182833005224</v>
      </c>
      <c r="J2" s="1702"/>
      <c r="K2"/>
      <c r="L2"/>
    </row>
    <row r="3" spans="2:66" ht="31.2">
      <c r="C3" s="82" t="s">
        <v>1109</v>
      </c>
      <c r="D3" s="1161" t="str">
        <f>+obra&amp;" "&amp;comitente</f>
        <v>CONSTRUCCIÓN DE SANITARIOS MUNICIPALIDAD DE GODOY CRUZ</v>
      </c>
      <c r="E3" s="1159"/>
      <c r="F3" s="1159"/>
      <c r="G3" s="1159"/>
      <c r="H3" s="1159"/>
      <c r="I3" s="1703">
        <f>+SUBTOTAL(9,H6:H1646)</f>
        <v>324435.60810818308</v>
      </c>
      <c r="J3" s="1703"/>
      <c r="K3"/>
      <c r="L3"/>
      <c r="BN3" s="1687"/>
    </row>
    <row r="4" spans="2:66" ht="12" thickBot="1">
      <c r="D4" s="1160"/>
      <c r="E4" s="1160"/>
      <c r="F4" s="1160"/>
      <c r="G4" s="1160"/>
      <c r="H4" s="1160"/>
      <c r="I4" s="1704"/>
      <c r="J4" s="1704"/>
    </row>
    <row r="5" spans="2:66" s="108" customFormat="1" ht="34.200000000000003">
      <c r="B5" s="96" t="s">
        <v>368</v>
      </c>
      <c r="C5" s="97" t="s">
        <v>369</v>
      </c>
      <c r="D5" s="98" t="s">
        <v>370</v>
      </c>
      <c r="E5" s="98" t="s">
        <v>371</v>
      </c>
      <c r="F5" s="98" t="s">
        <v>372</v>
      </c>
      <c r="G5" s="98" t="s">
        <v>373</v>
      </c>
      <c r="H5" s="98" t="s">
        <v>374</v>
      </c>
      <c r="I5" s="98" t="s">
        <v>795</v>
      </c>
      <c r="J5" s="98"/>
      <c r="K5" s="99"/>
      <c r="L5" s="198"/>
    </row>
    <row r="6" spans="2:66" ht="12">
      <c r="B6" s="305">
        <f>+COUNTA(C6:C14)-2</f>
        <v>6</v>
      </c>
      <c r="C6" s="109" t="s">
        <v>1018</v>
      </c>
      <c r="D6" s="110"/>
      <c r="E6" s="111"/>
      <c r="F6" s="113">
        <f>+sub_mo/G6</f>
        <v>447.61044062916142</v>
      </c>
      <c r="G6" s="112">
        <f>+SUBTOTAL(9,G7:G13)</f>
        <v>100.06849558236067</v>
      </c>
      <c r="H6" s="112">
        <f>+SUBTOTAL(9,H7:H13)</f>
        <v>44791.70340071775</v>
      </c>
      <c r="I6" s="365">
        <f t="shared" ref="I6:I11" si="0">+H6/$I$3</f>
        <v>0.13806038018423045</v>
      </c>
      <c r="J6" s="114"/>
      <c r="K6" s="115"/>
    </row>
    <row r="7" spans="2:66">
      <c r="B7" s="222">
        <v>1</v>
      </c>
      <c r="C7" s="206" t="s">
        <v>1745</v>
      </c>
      <c r="D7" s="207" t="s">
        <v>391</v>
      </c>
      <c r="E7" s="201" t="s">
        <v>392</v>
      </c>
      <c r="F7" s="202">
        <f>+Ayu</f>
        <v>422.48042769667234</v>
      </c>
      <c r="G7" s="203">
        <f>+SUMIF('AUX-NIV1'!I:I,Recursos!C7,'AUX-NIV1'!Q:Q)+SUMIF('AUX-NIV2'!I:I,Recursos!C7,'AUX-NIV2'!Q:Q)+SUMIF('AUX-NIV3'!I:I,Recursos!C7,'AUX-NIV3'!Q:Q)</f>
        <v>70.37870465789473</v>
      </c>
      <c r="H7" s="204">
        <f t="shared" ref="H7:H12" si="1">+F7*G7</f>
        <v>29733.625244605151</v>
      </c>
      <c r="I7" s="366">
        <f t="shared" si="0"/>
        <v>9.1647231381243671E-2</v>
      </c>
      <c r="J7" s="474"/>
    </row>
    <row r="8" spans="2:66">
      <c r="B8" s="222">
        <v>2</v>
      </c>
      <c r="C8" s="206" t="s">
        <v>3309</v>
      </c>
      <c r="D8" s="207" t="s">
        <v>394</v>
      </c>
      <c r="E8" s="201" t="s">
        <v>392</v>
      </c>
      <c r="F8" s="202">
        <f>+mof</f>
        <v>459.10093211890984</v>
      </c>
      <c r="G8" s="203">
        <f>+SUMIF('AUX-NIV1'!I:I,Recursos!C8,'AUX-NIV1'!Q:Q)+SUMIF('AUX-NIV2'!I:I,Recursos!C8,'AUX-NIV2'!Q:Q)+SUMIF('AUX-NIV3'!I:I,Recursos!C8,'AUX-NIV3'!Q:Q)</f>
        <v>6.3302399999999995E-2</v>
      </c>
      <c r="H8" s="204">
        <f t="shared" si="1"/>
        <v>29.062190845364075</v>
      </c>
      <c r="I8" s="366">
        <f t="shared" si="0"/>
        <v>8.9577685429872067E-5</v>
      </c>
      <c r="J8" s="474"/>
    </row>
    <row r="9" spans="2:66">
      <c r="B9" s="222">
        <v>4</v>
      </c>
      <c r="C9" s="206" t="s">
        <v>1746</v>
      </c>
      <c r="D9" s="207" t="s">
        <v>395</v>
      </c>
      <c r="E9" s="201" t="s">
        <v>392</v>
      </c>
      <c r="F9" s="202">
        <f>of</f>
        <v>496.91595439275824</v>
      </c>
      <c r="G9" s="203">
        <f>+SUMIF('AUX-NIV1'!I:I,Recursos!C9,'AUX-NIV1'!Q:Q)+SUMIF('AUX-NIV2'!I:I,Recursos!C9,'AUX-NIV2'!Q:Q)+SUMIF('AUX-NIV3'!I:I,Recursos!C9,'AUX-NIV3'!Q:Q)</f>
        <v>25.761038024465929</v>
      </c>
      <c r="H9" s="204">
        <f t="shared" si="1"/>
        <v>12801.070796075623</v>
      </c>
      <c r="I9" s="366">
        <f t="shared" si="0"/>
        <v>3.945642980041545E-2</v>
      </c>
      <c r="J9" s="474"/>
    </row>
    <row r="10" spans="2:66">
      <c r="B10" s="222">
        <v>3</v>
      </c>
      <c r="C10" s="206" t="s">
        <v>3310</v>
      </c>
      <c r="D10" s="207" t="s">
        <v>396</v>
      </c>
      <c r="E10" s="201" t="s">
        <v>392</v>
      </c>
      <c r="F10" s="202">
        <f>+ofe</f>
        <v>581.06120476836554</v>
      </c>
      <c r="G10" s="203">
        <f>+SUMIF('AUX-NIV1'!I:I,Recursos!C10,'AUX-NIV1'!Q:Q)+SUMIF('AUX-NIV2'!I:I,Recursos!C10,'AUX-NIV2'!Q:Q)+SUMIF('AUX-NIV3'!I:I,Recursos!C10,'AUX-NIV3'!Q:Q)</f>
        <v>3.3306399999999998</v>
      </c>
      <c r="H10" s="204">
        <f t="shared" si="1"/>
        <v>1935.3056910497089</v>
      </c>
      <c r="I10" s="366">
        <f t="shared" si="0"/>
        <v>5.9651457567641009E-3</v>
      </c>
      <c r="J10" s="474"/>
    </row>
    <row r="11" spans="2:66">
      <c r="B11" s="222"/>
      <c r="C11" s="206" t="s">
        <v>3311</v>
      </c>
      <c r="D11" s="200" t="s">
        <v>3313</v>
      </c>
      <c r="E11" s="201" t="s">
        <v>392</v>
      </c>
      <c r="F11" s="202">
        <f>+ope</f>
        <v>581.06120476836554</v>
      </c>
      <c r="G11" s="203">
        <f>+SUMIF('AUX-NIV1'!I:I,Recursos!C11,'AUX-NIV1'!Q:Q)+SUMIF('AUX-NIV2'!I:I,Recursos!C11,'AUX-NIV2'!Q:Q)+SUMIF('AUX-NIV3'!I:I,Recursos!C11,'AUX-NIV3'!Q:Q)</f>
        <v>0.31949049999999996</v>
      </c>
      <c r="H11" s="204">
        <f t="shared" si="1"/>
        <v>185.64353484204747</v>
      </c>
      <c r="I11" s="366">
        <f t="shared" si="0"/>
        <v>5.7220456140604837E-4</v>
      </c>
      <c r="J11" s="205"/>
    </row>
    <row r="12" spans="2:66">
      <c r="B12" s="222"/>
      <c r="C12" s="206" t="s">
        <v>3312</v>
      </c>
      <c r="D12" s="200" t="s">
        <v>393</v>
      </c>
      <c r="E12" s="201" t="s">
        <v>392</v>
      </c>
      <c r="F12" s="202">
        <f>+of</f>
        <v>496.91595439275824</v>
      </c>
      <c r="G12" s="203">
        <f>+SUMIF('AUX-NIV1'!I:I,Recursos!C12,'AUX-NIV1'!Q:Q)+SUMIF('AUX-NIV2'!I:I,Recursos!C12,'AUX-NIV2'!Q:Q)+SUMIF('AUX-NIV3'!I:I,Recursos!C12,'AUX-NIV3'!Q:Q)</f>
        <v>0.21531999999999996</v>
      </c>
      <c r="H12" s="204">
        <f t="shared" si="1"/>
        <v>106.99594329984868</v>
      </c>
      <c r="I12" s="366">
        <f t="shared" ref="I12:I15" si="2">+H12/$I$3</f>
        <v>3.297909989712685E-4</v>
      </c>
      <c r="J12" s="205"/>
    </row>
    <row r="13" spans="2:66">
      <c r="B13" s="222"/>
      <c r="C13" s="199"/>
      <c r="D13" s="200"/>
      <c r="E13" s="201"/>
      <c r="F13" s="202"/>
      <c r="G13" s="203"/>
      <c r="H13" s="204"/>
      <c r="I13" s="366">
        <f t="shared" si="2"/>
        <v>0</v>
      </c>
      <c r="J13" s="205"/>
    </row>
    <row r="14" spans="2:66" ht="12">
      <c r="B14" s="305">
        <f>+COUNTA(C14:C76)-2</f>
        <v>60</v>
      </c>
      <c r="C14" s="109" t="s">
        <v>1019</v>
      </c>
      <c r="D14" s="110"/>
      <c r="E14" s="111"/>
      <c r="F14" s="113">
        <f>+sub_mo/G14</f>
        <v>78.581935790732899</v>
      </c>
      <c r="G14" s="112">
        <f>+SUBTOTAL(9,G15:G75)</f>
        <v>570</v>
      </c>
      <c r="H14" s="112">
        <f>+SUBTOTAL(9,H15:H75)</f>
        <v>195803.9566794007</v>
      </c>
      <c r="I14" s="365">
        <f t="shared" si="2"/>
        <v>0.60352178301621517</v>
      </c>
      <c r="J14" s="114"/>
    </row>
    <row r="15" spans="2:66">
      <c r="B15" s="222">
        <v>7</v>
      </c>
      <c r="C15" s="199" t="s">
        <v>397</v>
      </c>
      <c r="D15" s="872" t="str">
        <f>Organig!J7</f>
        <v>Director de Obra</v>
      </c>
      <c r="E15" s="201" t="s">
        <v>392</v>
      </c>
      <c r="F15" s="866">
        <f>+SUMIF(MOi_CE!B:B,Recursos!C15,MOi_CE!C:C)</f>
        <v>363.00420460475482</v>
      </c>
      <c r="G15" s="203">
        <f>+SUMIF('AUX-NIV1'!I:I,Recursos!C15,'AUX-NIV1'!Q:Q)+SUMIF('AUX-NIV2'!I:I,Recursos!C15,'AUX-NIV2'!Q:Q)+SUMIF('AUX-NIV3'!I:I,Recursos!C15,'AUX-NIV3'!Q:Q)</f>
        <v>380</v>
      </c>
      <c r="H15" s="204">
        <f>+F15*G15</f>
        <v>137941.59774980682</v>
      </c>
      <c r="I15" s="366">
        <f t="shared" si="2"/>
        <v>0.42517403855316088</v>
      </c>
      <c r="J15" s="205"/>
    </row>
    <row r="16" spans="2:66">
      <c r="B16" s="222"/>
      <c r="C16" s="199" t="s">
        <v>400</v>
      </c>
      <c r="D16" s="872" t="str">
        <f>Organig!F11</f>
        <v>Asesores Externos</v>
      </c>
      <c r="E16" s="201" t="s">
        <v>392</v>
      </c>
      <c r="F16" s="866">
        <f>+SUMIF(MOi_CE!B:B,Recursos!C16,MOi_CE!C:C)</f>
        <v>1473.8481991357087</v>
      </c>
      <c r="G16" s="203">
        <f>+SUMIF('AUX-NIV1'!I:I,Recursos!C16,'AUX-NIV1'!Q:Q)+SUMIF('AUX-NIV2'!I:I,Recursos!C16,'AUX-NIV2'!Q:Q)+SUMIF('AUX-NIV3'!I:I,Recursos!C16,'AUX-NIV3'!Q:Q)</f>
        <v>0</v>
      </c>
      <c r="H16" s="204">
        <f t="shared" ref="H16:H74" si="3">+F16*G16</f>
        <v>0</v>
      </c>
      <c r="I16" s="366">
        <f t="shared" ref="I16:I74" si="4">+H16/$I$3</f>
        <v>0</v>
      </c>
      <c r="J16" s="205"/>
    </row>
    <row r="17" spans="2:12">
      <c r="B17" s="222"/>
      <c r="C17" s="199" t="s">
        <v>401</v>
      </c>
      <c r="D17" s="872" t="str">
        <f>Organig!N11</f>
        <v>Secretaría</v>
      </c>
      <c r="E17" s="201" t="s">
        <v>392</v>
      </c>
      <c r="F17" s="866">
        <f>+SUMIF(MOi_CE!B:B,Recursos!C17,MOi_CE!C:C)</f>
        <v>281.15254184984235</v>
      </c>
      <c r="G17" s="203">
        <f>+SUMIF('AUX-NIV1'!I:I,Recursos!C17,'AUX-NIV1'!Q:Q)+SUMIF('AUX-NIV2'!I:I,Recursos!C17,'AUX-NIV2'!Q:Q)+SUMIF('AUX-NIV3'!I:I,Recursos!C17,'AUX-NIV3'!Q:Q)</f>
        <v>0</v>
      </c>
      <c r="H17" s="204">
        <f t="shared" si="3"/>
        <v>0</v>
      </c>
      <c r="I17" s="366">
        <f t="shared" si="4"/>
        <v>0</v>
      </c>
      <c r="J17" s="205"/>
    </row>
    <row r="18" spans="2:12">
      <c r="B18" s="222"/>
      <c r="C18" s="208" t="s">
        <v>402</v>
      </c>
      <c r="D18" s="889" t="str">
        <f>Organig!J15</f>
        <v>Jefe de Obra</v>
      </c>
      <c r="E18" s="210" t="s">
        <v>392</v>
      </c>
      <c r="F18" s="1653">
        <f>+SUMIF(MOi_CE!B:B,Recursos!C18,MOi_CE!C:C)</f>
        <v>713.79704498295087</v>
      </c>
      <c r="G18" s="467">
        <f>+SUMIF('AUX-NIV1'!I:I,Recursos!C18,'AUX-NIV1'!Q:Q)+SUMIF('AUX-NIV2'!I:I,Recursos!C18,'AUX-NIV2'!Q:Q)+SUMIF('AUX-NIV3'!I:I,Recursos!C18,'AUX-NIV3'!Q:Q)</f>
        <v>0</v>
      </c>
      <c r="H18" s="213">
        <f t="shared" si="3"/>
        <v>0</v>
      </c>
      <c r="I18" s="367">
        <f t="shared" si="4"/>
        <v>0</v>
      </c>
      <c r="J18" s="484"/>
      <c r="L18" s="84">
        <f>+H18/5</f>
        <v>0</v>
      </c>
    </row>
    <row r="19" spans="2:12">
      <c r="B19" s="222">
        <v>7</v>
      </c>
      <c r="C19" s="890" t="s">
        <v>403</v>
      </c>
      <c r="D19" s="891" t="str">
        <f>Organig!B21</f>
        <v>Jefe de Seguridad Industrial y Patrimonial</v>
      </c>
      <c r="E19" s="892" t="s">
        <v>392</v>
      </c>
      <c r="F19" s="893">
        <f>+SUMIF(MOi_CE!B:B,Recursos!C19,MOi_CE!C:C)</f>
        <v>538.4006247938529</v>
      </c>
      <c r="G19" s="894">
        <f>+SUMIF('AUX-NIV1'!I:I,Recursos!C19,'AUX-NIV1'!Q:Q)+SUMIF('AUX-NIV2'!I:I,Recursos!C19,'AUX-NIV2'!Q:Q)+SUMIF('AUX-NIV3'!I:I,Recursos!C19,'AUX-NIV3'!Q:Q)</f>
        <v>0</v>
      </c>
      <c r="H19" s="895">
        <f t="shared" si="3"/>
        <v>0</v>
      </c>
      <c r="I19" s="896">
        <f t="shared" si="4"/>
        <v>0</v>
      </c>
      <c r="J19" s="897"/>
    </row>
    <row r="20" spans="2:12">
      <c r="B20" s="222"/>
      <c r="C20" s="199" t="s">
        <v>417</v>
      </c>
      <c r="D20" s="872" t="str">
        <f>Organig!C25</f>
        <v>Jefe de Seguridad Industrial</v>
      </c>
      <c r="E20" s="201" t="s">
        <v>392</v>
      </c>
      <c r="F20" s="866">
        <f>+SUMIF(MOi_CE!B:B,Recursos!C20,MOi_CE!C:C)</f>
        <v>503.32134075603324</v>
      </c>
      <c r="G20" s="203">
        <f>+SUMIF('AUX-NIV1'!I:I,Recursos!C20,'AUX-NIV1'!Q:Q)+SUMIF('AUX-NIV2'!I:I,Recursos!C20,'AUX-NIV2'!Q:Q)+SUMIF('AUX-NIV3'!I:I,Recursos!C20,'AUX-NIV3'!Q:Q)</f>
        <v>0</v>
      </c>
      <c r="H20" s="204">
        <f t="shared" si="3"/>
        <v>0</v>
      </c>
      <c r="I20" s="366">
        <f t="shared" si="4"/>
        <v>0</v>
      </c>
      <c r="J20" s="205"/>
    </row>
    <row r="21" spans="2:12">
      <c r="B21" s="222"/>
      <c r="C21" s="199" t="s">
        <v>418</v>
      </c>
      <c r="D21" s="872" t="str">
        <f>Organig!C29</f>
        <v>Jefe de Seguridad Patrimonial</v>
      </c>
      <c r="E21" s="201" t="s">
        <v>392</v>
      </c>
      <c r="F21" s="866">
        <f>+SUMIF(MOi_CE!B:B,Recursos!C21,MOi_CE!C:C)</f>
        <v>538.4006247938529</v>
      </c>
      <c r="G21" s="203">
        <f>+SUMIF('AUX-NIV1'!I:I,Recursos!C21,'AUX-NIV1'!Q:Q)+SUMIF('AUX-NIV2'!I:I,Recursos!C21,'AUX-NIV2'!Q:Q)+SUMIF('AUX-NIV3'!I:I,Recursos!C21,'AUX-NIV3'!Q:Q)</f>
        <v>0</v>
      </c>
      <c r="H21" s="204">
        <f t="shared" si="3"/>
        <v>0</v>
      </c>
      <c r="I21" s="366">
        <f t="shared" si="4"/>
        <v>0</v>
      </c>
      <c r="J21" s="205"/>
    </row>
    <row r="22" spans="2:12">
      <c r="B22" s="222">
        <v>7</v>
      </c>
      <c r="C22" s="199" t="s">
        <v>419</v>
      </c>
      <c r="D22" s="872" t="str">
        <f>Organig!C33</f>
        <v>Prevencionistas</v>
      </c>
      <c r="E22" s="201" t="s">
        <v>392</v>
      </c>
      <c r="F22" s="1654">
        <f>+SUMIF(MOi_CE!B:B,Recursos!C22,MOi_CE!C:C)</f>
        <v>304.5387312083887</v>
      </c>
      <c r="G22" s="203">
        <f>+SUMIF('AUX-NIV1'!I:I,Recursos!C22,'AUX-NIV1'!Q:Q)+SUMIF('AUX-NIV2'!I:I,Recursos!C22,'AUX-NIV2'!Q:Q)+SUMIF('AUX-NIV3'!I:I,Recursos!C22,'AUX-NIV3'!Q:Q)</f>
        <v>95</v>
      </c>
      <c r="H22" s="204">
        <f t="shared" si="3"/>
        <v>28931.179464796925</v>
      </c>
      <c r="I22" s="366">
        <f t="shared" si="4"/>
        <v>8.9173872231527132E-2</v>
      </c>
      <c r="J22" s="205"/>
      <c r="L22" s="84">
        <f>+H22/5</f>
        <v>5786.2358929593847</v>
      </c>
    </row>
    <row r="23" spans="2:12">
      <c r="B23" s="222"/>
      <c r="C23" s="199" t="s">
        <v>420</v>
      </c>
      <c r="D23" s="872" t="str">
        <f>Organig!C37</f>
        <v xml:space="preserve">Medicos </v>
      </c>
      <c r="E23" s="201" t="s">
        <v>392</v>
      </c>
      <c r="F23" s="866">
        <f>+SUMIF(MOi_CE!B:B,Recursos!C23,MOi_CE!C:C)</f>
        <v>462.39550937857706</v>
      </c>
      <c r="G23" s="203">
        <f>+SUMIF('AUX-NIV1'!I:I,Recursos!C23,'AUX-NIV1'!Q:Q)+SUMIF('AUX-NIV2'!I:I,Recursos!C23,'AUX-NIV2'!Q:Q)+SUMIF('AUX-NIV3'!I:I,Recursos!C23,'AUX-NIV3'!Q:Q)</f>
        <v>0</v>
      </c>
      <c r="H23" s="204">
        <f t="shared" si="3"/>
        <v>0</v>
      </c>
      <c r="I23" s="366">
        <f t="shared" si="4"/>
        <v>0</v>
      </c>
      <c r="J23" s="205"/>
    </row>
    <row r="24" spans="2:12">
      <c r="B24" s="222"/>
      <c r="C24" s="199" t="s">
        <v>421</v>
      </c>
      <c r="D24" s="872" t="str">
        <f>Organig!C41</f>
        <v>Enfermeros</v>
      </c>
      <c r="E24" s="201" t="s">
        <v>392</v>
      </c>
      <c r="F24" s="866">
        <f>+SUMIF(MOi_CE!B:B,Recursos!C24,MOi_CE!C:C)</f>
        <v>380.54384662366459</v>
      </c>
      <c r="G24" s="203">
        <f>+SUMIF('AUX-NIV1'!I:I,Recursos!C24,'AUX-NIV1'!Q:Q)+SUMIF('AUX-NIV2'!I:I,Recursos!C24,'AUX-NIV2'!Q:Q)+SUMIF('AUX-NIV3'!I:I,Recursos!C24,'AUX-NIV3'!Q:Q)</f>
        <v>0</v>
      </c>
      <c r="H24" s="204">
        <f t="shared" si="3"/>
        <v>0</v>
      </c>
      <c r="I24" s="366">
        <f t="shared" si="4"/>
        <v>0</v>
      </c>
      <c r="J24" s="205"/>
    </row>
    <row r="25" spans="2:12">
      <c r="B25" s="222"/>
      <c r="C25" s="199" t="s">
        <v>422</v>
      </c>
      <c r="D25" s="872" t="str">
        <f>Organig!C45</f>
        <v>Auxiliares Generales</v>
      </c>
      <c r="E25" s="201" t="s">
        <v>392</v>
      </c>
      <c r="F25" s="866">
        <f>+SUMIF(MOi_CE!B:B,Recursos!C25,MOi_CE!C:C)</f>
        <v>281.15254184984235</v>
      </c>
      <c r="G25" s="203">
        <f>+SUMIF('AUX-NIV1'!I:I,Recursos!C25,'AUX-NIV1'!Q:Q)+SUMIF('AUX-NIV2'!I:I,Recursos!C25,'AUX-NIV2'!Q:Q)+SUMIF('AUX-NIV3'!I:I,Recursos!C25,'AUX-NIV3'!Q:Q)</f>
        <v>0</v>
      </c>
      <c r="H25" s="204">
        <f t="shared" si="3"/>
        <v>0</v>
      </c>
      <c r="I25" s="366">
        <f t="shared" si="4"/>
        <v>0</v>
      </c>
      <c r="J25" s="205"/>
    </row>
    <row r="26" spans="2:12">
      <c r="B26" s="222">
        <v>1</v>
      </c>
      <c r="C26" s="199" t="s">
        <v>423</v>
      </c>
      <c r="D26" s="872" t="str">
        <f>Organig!C49</f>
        <v>Auxiliares de Vigilancia</v>
      </c>
      <c r="E26" s="201" t="s">
        <v>392</v>
      </c>
      <c r="F26" s="866">
        <f>+SUMIF(MOi_CE!B:B,Recursos!C26,MOi_CE!C:C)</f>
        <v>281.15254184984235</v>
      </c>
      <c r="G26" s="203">
        <f>+SUMIF('AUX-NIV1'!I:I,Recursos!C26,'AUX-NIV1'!Q:Q)+SUMIF('AUX-NIV2'!I:I,Recursos!C26,'AUX-NIV2'!Q:Q)+SUMIF('AUX-NIV3'!I:I,Recursos!C26,'AUX-NIV3'!Q:Q)</f>
        <v>0</v>
      </c>
      <c r="H26" s="204">
        <f t="shared" si="3"/>
        <v>0</v>
      </c>
      <c r="I26" s="366">
        <f t="shared" si="4"/>
        <v>0</v>
      </c>
      <c r="J26" s="205"/>
    </row>
    <row r="27" spans="2:12">
      <c r="B27" s="222"/>
      <c r="C27" s="199" t="s">
        <v>424</v>
      </c>
      <c r="D27" s="872" t="str">
        <f>Organig!C53</f>
        <v>Otros</v>
      </c>
      <c r="E27" s="201" t="s">
        <v>392</v>
      </c>
      <c r="F27" s="866">
        <f>+SUMIF(MOi_CE!B:B,Recursos!C27,MOi_CE!C:C)</f>
        <v>281.15254184984235</v>
      </c>
      <c r="G27" s="203">
        <f>+SUMIF('AUX-NIV1'!I:I,Recursos!C27,'AUX-NIV1'!Q:Q)+SUMIF('AUX-NIV2'!I:I,Recursos!C27,'AUX-NIV2'!Q:Q)+SUMIF('AUX-NIV3'!I:I,Recursos!C27,'AUX-NIV3'!Q:Q)</f>
        <v>0</v>
      </c>
      <c r="H27" s="204">
        <f t="shared" si="3"/>
        <v>0</v>
      </c>
      <c r="I27" s="366">
        <f t="shared" si="4"/>
        <v>0</v>
      </c>
      <c r="J27" s="205"/>
    </row>
    <row r="28" spans="2:12">
      <c r="B28" s="222"/>
      <c r="C28" s="881" t="s">
        <v>425</v>
      </c>
      <c r="D28" s="882" t="str">
        <f>Organig!C57</f>
        <v>Otros</v>
      </c>
      <c r="E28" s="883" t="s">
        <v>392</v>
      </c>
      <c r="F28" s="884">
        <f>+SUMIF(MOi_CE!B:B,Recursos!C28,MOi_CE!C:C)</f>
        <v>281.15254184984235</v>
      </c>
      <c r="G28" s="885">
        <f>+SUMIF('AUX-NIV1'!I:I,Recursos!C28,'AUX-NIV1'!Q:Q)+SUMIF('AUX-NIV2'!I:I,Recursos!C28,'AUX-NIV2'!Q:Q)+SUMIF('AUX-NIV3'!I:I,Recursos!C28,'AUX-NIV3'!Q:Q)</f>
        <v>0</v>
      </c>
      <c r="H28" s="886">
        <f t="shared" si="3"/>
        <v>0</v>
      </c>
      <c r="I28" s="887">
        <f t="shared" si="4"/>
        <v>0</v>
      </c>
      <c r="J28" s="888"/>
    </row>
    <row r="29" spans="2:12">
      <c r="B29" s="222">
        <v>7</v>
      </c>
      <c r="C29" s="890" t="s">
        <v>426</v>
      </c>
      <c r="D29" s="891" t="str">
        <f>Organig!F21</f>
        <v>Jefe Servicios Técnicos</v>
      </c>
      <c r="E29" s="892" t="s">
        <v>392</v>
      </c>
      <c r="F29" s="1655">
        <f>+SUMIF(MOi_CE!B:B,Recursos!C29,MOi_CE!C:C)</f>
        <v>503.32134075603324</v>
      </c>
      <c r="G29" s="894">
        <f>+SUMIF('AUX-NIV1'!I:I,Recursos!C29,'AUX-NIV1'!Q:Q)+SUMIF('AUX-NIV2'!I:I,Recursos!C29,'AUX-NIV2'!Q:Q)+SUMIF('AUX-NIV3'!I:I,Recursos!C29,'AUX-NIV3'!Q:Q)</f>
        <v>0</v>
      </c>
      <c r="H29" s="895">
        <f t="shared" si="3"/>
        <v>0</v>
      </c>
      <c r="I29" s="896">
        <f t="shared" si="4"/>
        <v>0</v>
      </c>
      <c r="J29" s="897"/>
      <c r="L29" s="84">
        <f>+H29/5</f>
        <v>0</v>
      </c>
    </row>
    <row r="30" spans="2:12">
      <c r="B30" s="222">
        <v>7</v>
      </c>
      <c r="C30" s="199" t="s">
        <v>427</v>
      </c>
      <c r="D30" s="872" t="str">
        <f>Organig!G25</f>
        <v>Jefe Ingeniería</v>
      </c>
      <c r="E30" s="201" t="s">
        <v>392</v>
      </c>
      <c r="F30" s="866">
        <f>+SUMIF(MOi_CE!B:B,Recursos!C30,MOi_CE!C:C)</f>
        <v>458.88758097479513</v>
      </c>
      <c r="G30" s="203">
        <f>+SUMIF('AUX-NIV1'!I:I,Recursos!C30,'AUX-NIV1'!Q:Q)+SUMIF('AUX-NIV2'!I:I,Recursos!C30,'AUX-NIV2'!Q:Q)+SUMIF('AUX-NIV3'!I:I,Recursos!C30,'AUX-NIV3'!Q:Q)</f>
        <v>0</v>
      </c>
      <c r="H30" s="204">
        <f t="shared" si="3"/>
        <v>0</v>
      </c>
      <c r="I30" s="366">
        <f t="shared" si="4"/>
        <v>0</v>
      </c>
      <c r="J30" s="205"/>
    </row>
    <row r="31" spans="2:12">
      <c r="B31" s="222"/>
      <c r="C31" s="199" t="s">
        <v>428</v>
      </c>
      <c r="D31" s="872" t="str">
        <f>Organig!G29</f>
        <v>Encargado de Contratos y Subc.</v>
      </c>
      <c r="E31" s="201" t="s">
        <v>392</v>
      </c>
      <c r="F31" s="866">
        <f>+SUMIF(MOi_CE!B:B,Recursos!C31,MOi_CE!C:C)</f>
        <v>392.23694130293785</v>
      </c>
      <c r="G31" s="203">
        <f>+SUMIF('AUX-NIV1'!I:I,Recursos!C31,'AUX-NIV1'!Q:Q)+SUMIF('AUX-NIV2'!I:I,Recursos!C31,'AUX-NIV2'!Q:Q)+SUMIF('AUX-NIV3'!I:I,Recursos!C31,'AUX-NIV3'!Q:Q)</f>
        <v>0</v>
      </c>
      <c r="H31" s="204">
        <f t="shared" si="3"/>
        <v>0</v>
      </c>
      <c r="I31" s="366">
        <f t="shared" si="4"/>
        <v>0</v>
      </c>
      <c r="J31" s="205"/>
    </row>
    <row r="32" spans="2:12">
      <c r="B32" s="222">
        <v>7</v>
      </c>
      <c r="C32" s="199" t="s">
        <v>429</v>
      </c>
      <c r="D32" s="872" t="str">
        <f>Organig!G33</f>
        <v>Certificación, Programac. y CG.</v>
      </c>
      <c r="E32" s="201" t="s">
        <v>392</v>
      </c>
      <c r="F32" s="866">
        <f>+SUMIF(MOi_CE!B:B,Recursos!C32,MOi_CE!C:C)</f>
        <v>414.45382119355685</v>
      </c>
      <c r="G32" s="203">
        <f>+SUMIF('AUX-NIV1'!I:I,Recursos!C32,'AUX-NIV1'!Q:Q)+SUMIF('AUX-NIV2'!I:I,Recursos!C32,'AUX-NIV2'!Q:Q)+SUMIF('AUX-NIV3'!I:I,Recursos!C32,'AUX-NIV3'!Q:Q)</f>
        <v>0</v>
      </c>
      <c r="H32" s="204">
        <f t="shared" si="3"/>
        <v>0</v>
      </c>
      <c r="I32" s="366">
        <f t="shared" si="4"/>
        <v>0</v>
      </c>
      <c r="J32" s="205"/>
    </row>
    <row r="33" spans="2:12">
      <c r="B33" s="222">
        <v>7</v>
      </c>
      <c r="C33" s="199" t="s">
        <v>430</v>
      </c>
      <c r="D33" s="872" t="str">
        <f>Organig!G37</f>
        <v>Jefe de Topografía</v>
      </c>
      <c r="E33" s="201" t="s">
        <v>392</v>
      </c>
      <c r="F33" s="866">
        <f>+SUMIF(MOi_CE!B:B,Recursos!C33,MOi_CE!C:C)</f>
        <v>414.45382119355685</v>
      </c>
      <c r="G33" s="203">
        <f>+SUMIF('AUX-NIV1'!I:I,Recursos!C33,'AUX-NIV1'!Q:Q)+SUMIF('AUX-NIV2'!I:I,Recursos!C33,'AUX-NIV2'!Q:Q)+SUMIF('AUX-NIV3'!I:I,Recursos!C33,'AUX-NIV3'!Q:Q)</f>
        <v>0</v>
      </c>
      <c r="H33" s="204">
        <f t="shared" si="3"/>
        <v>0</v>
      </c>
      <c r="I33" s="366">
        <f t="shared" si="4"/>
        <v>0</v>
      </c>
      <c r="J33" s="205"/>
    </row>
    <row r="34" spans="2:12">
      <c r="B34" s="222"/>
      <c r="C34" s="199" t="s">
        <v>431</v>
      </c>
      <c r="D34" s="872" t="str">
        <f>Organig!G41</f>
        <v>Materiales Permanentes</v>
      </c>
      <c r="E34" s="201" t="s">
        <v>392</v>
      </c>
      <c r="F34" s="866">
        <f>+SUMIF(MOi_CE!B:B,Recursos!C34,MOi_CE!C:C)</f>
        <v>403.34538124824735</v>
      </c>
      <c r="G34" s="203">
        <f>+SUMIF('AUX-NIV1'!I:I,Recursos!C34,'AUX-NIV1'!Q:Q)+SUMIF('AUX-NIV2'!I:I,Recursos!C34,'AUX-NIV2'!Q:Q)+SUMIF('AUX-NIV3'!I:I,Recursos!C34,'AUX-NIV3'!Q:Q)</f>
        <v>0</v>
      </c>
      <c r="H34" s="204">
        <f t="shared" si="3"/>
        <v>0</v>
      </c>
      <c r="I34" s="366">
        <f t="shared" si="4"/>
        <v>0</v>
      </c>
      <c r="J34" s="205"/>
    </row>
    <row r="35" spans="2:12">
      <c r="B35" s="222">
        <v>7</v>
      </c>
      <c r="C35" s="199" t="s">
        <v>432</v>
      </c>
      <c r="D35" s="872" t="str">
        <f>Organig!G45</f>
        <v xml:space="preserve">Topografos </v>
      </c>
      <c r="E35" s="201" t="s">
        <v>392</v>
      </c>
      <c r="F35" s="866">
        <f>+SUMIF(MOi_CE!B:B,Recursos!C35,MOi_CE!C:C)</f>
        <v>370.02006141231874</v>
      </c>
      <c r="G35" s="203">
        <f>+SUMIF('AUX-NIV1'!I:I,Recursos!C35,'AUX-NIV1'!Q:Q)+SUMIF('AUX-NIV2'!I:I,Recursos!C35,'AUX-NIV2'!Q:Q)+SUMIF('AUX-NIV3'!I:I,Recursos!C35,'AUX-NIV3'!Q:Q)</f>
        <v>0</v>
      </c>
      <c r="H35" s="204">
        <f t="shared" si="3"/>
        <v>0</v>
      </c>
      <c r="I35" s="366">
        <f t="shared" si="4"/>
        <v>0</v>
      </c>
      <c r="J35" s="205"/>
    </row>
    <row r="36" spans="2:12">
      <c r="B36" s="222">
        <v>1</v>
      </c>
      <c r="C36" s="199" t="s">
        <v>433</v>
      </c>
      <c r="D36" s="872" t="str">
        <f>Organig!G49</f>
        <v>Auxiliares de Topografía</v>
      </c>
      <c r="E36" s="201" t="s">
        <v>392</v>
      </c>
      <c r="F36" s="866">
        <f>+SUMIF(MOi_CE!B:B,Recursos!C36,MOi_CE!C:C)</f>
        <v>281.15254184984235</v>
      </c>
      <c r="G36" s="203">
        <f>+SUMIF('AUX-NIV1'!I:I,Recursos!C36,'AUX-NIV1'!Q:Q)+SUMIF('AUX-NIV2'!I:I,Recursos!C36,'AUX-NIV2'!Q:Q)+SUMIF('AUX-NIV3'!I:I,Recursos!C36,'AUX-NIV3'!Q:Q)</f>
        <v>0</v>
      </c>
      <c r="H36" s="204">
        <f t="shared" si="3"/>
        <v>0</v>
      </c>
      <c r="I36" s="366">
        <f t="shared" si="4"/>
        <v>0</v>
      </c>
      <c r="J36" s="205"/>
    </row>
    <row r="37" spans="2:12">
      <c r="B37" s="222">
        <v>7</v>
      </c>
      <c r="C37" s="199" t="s">
        <v>434</v>
      </c>
      <c r="D37" s="872" t="str">
        <f>Organig!G53</f>
        <v>Dibujantes</v>
      </c>
      <c r="E37" s="201" t="s">
        <v>392</v>
      </c>
      <c r="F37" s="866">
        <f>+SUMIF(MOi_CE!B:B,Recursos!C37,MOi_CE!C:C)</f>
        <v>358.91162146700918</v>
      </c>
      <c r="G37" s="203">
        <f>+SUMIF('AUX-NIV1'!I:I,Recursos!C37,'AUX-NIV1'!Q:Q)+SUMIF('AUX-NIV2'!I:I,Recursos!C37,'AUX-NIV2'!Q:Q)+SUMIF('AUX-NIV3'!I:I,Recursos!C37,'AUX-NIV3'!Q:Q)</f>
        <v>0</v>
      </c>
      <c r="H37" s="204">
        <f t="shared" si="3"/>
        <v>0</v>
      </c>
      <c r="I37" s="366">
        <f t="shared" si="4"/>
        <v>0</v>
      </c>
      <c r="J37" s="205"/>
    </row>
    <row r="38" spans="2:12">
      <c r="B38" s="222"/>
      <c r="C38" s="881" t="s">
        <v>435</v>
      </c>
      <c r="D38" s="882" t="str">
        <f>Organig!G57</f>
        <v>Apuntadores</v>
      </c>
      <c r="E38" s="883" t="s">
        <v>392</v>
      </c>
      <c r="F38" s="884">
        <f>+SUMIF(MOi_CE!B:B,Recursos!C38,MOi_CE!C:C)</f>
        <v>281.15254184984235</v>
      </c>
      <c r="G38" s="885">
        <f>+SUMIF('AUX-NIV1'!I:I,Recursos!C38,'AUX-NIV1'!Q:Q)+SUMIF('AUX-NIV2'!I:I,Recursos!C38,'AUX-NIV2'!Q:Q)+SUMIF('AUX-NIV3'!I:I,Recursos!C38,'AUX-NIV3'!Q:Q)</f>
        <v>0</v>
      </c>
      <c r="H38" s="886">
        <f t="shared" si="3"/>
        <v>0</v>
      </c>
      <c r="I38" s="887">
        <f t="shared" si="4"/>
        <v>0</v>
      </c>
      <c r="J38" s="888"/>
    </row>
    <row r="39" spans="2:12">
      <c r="B39" s="222">
        <v>7</v>
      </c>
      <c r="C39" s="890" t="s">
        <v>436</v>
      </c>
      <c r="D39" s="891" t="str">
        <f>Organig!J21</f>
        <v>Jefe Producción</v>
      </c>
      <c r="E39" s="892" t="s">
        <v>392</v>
      </c>
      <c r="F39" s="893">
        <f>+SUMIF(MOi_CE!B:B,Recursos!C39,MOi_CE!C:C)</f>
        <v>538.4006247938529</v>
      </c>
      <c r="G39" s="894">
        <f>+SUMIF('AUX-NIV1'!I:I,Recursos!C39,'AUX-NIV1'!Q:Q)+SUMIF('AUX-NIV2'!I:I,Recursos!C39,'AUX-NIV2'!Q:Q)+SUMIF('AUX-NIV3'!I:I,Recursos!C39,'AUX-NIV3'!Q:Q)</f>
        <v>0</v>
      </c>
      <c r="H39" s="895">
        <f t="shared" si="3"/>
        <v>0</v>
      </c>
      <c r="I39" s="896">
        <f t="shared" si="4"/>
        <v>0</v>
      </c>
      <c r="J39" s="897"/>
    </row>
    <row r="40" spans="2:12">
      <c r="B40" s="222"/>
      <c r="C40" s="199" t="s">
        <v>437</v>
      </c>
      <c r="D40" s="872" t="str">
        <f>Organig!K25</f>
        <v>Jefe de Minería Subt. Y C.Abierto</v>
      </c>
      <c r="E40" s="201" t="s">
        <v>392</v>
      </c>
      <c r="F40" s="866">
        <f>+SUMIF(MOi_CE!B:B,Recursos!C40,MOi_CE!C:C)</f>
        <v>537.23131532592549</v>
      </c>
      <c r="G40" s="203">
        <f>+SUMIF('AUX-NIV1'!I:I,Recursos!C40,'AUX-NIV1'!Q:Q)+SUMIF('AUX-NIV2'!I:I,Recursos!C40,'AUX-NIV2'!Q:Q)+SUMIF('AUX-NIV3'!I:I,Recursos!C40,'AUX-NIV3'!Q:Q)</f>
        <v>0</v>
      </c>
      <c r="H40" s="204">
        <f t="shared" si="3"/>
        <v>0</v>
      </c>
      <c r="I40" s="366">
        <f t="shared" si="4"/>
        <v>0</v>
      </c>
      <c r="J40" s="205"/>
    </row>
    <row r="41" spans="2:12">
      <c r="B41" s="222"/>
      <c r="C41" s="199" t="s">
        <v>7</v>
      </c>
      <c r="D41" s="872" t="str">
        <f>Organig!K29</f>
        <v>Jefe de Planteles</v>
      </c>
      <c r="E41" s="201" t="s">
        <v>392</v>
      </c>
      <c r="F41" s="866">
        <f>+SUMIF(MOi_CE!B:B,Recursos!C41,MOi_CE!C:C)</f>
        <v>536.6466605919619</v>
      </c>
      <c r="G41" s="203">
        <f>+SUMIF('AUX-NIV1'!I:I,Recursos!C41,'AUX-NIV1'!Q:Q)+SUMIF('AUX-NIV2'!I:I,Recursos!C41,'AUX-NIV2'!Q:Q)+SUMIF('AUX-NIV3'!I:I,Recursos!C41,'AUX-NIV3'!Q:Q)</f>
        <v>0</v>
      </c>
      <c r="H41" s="204">
        <f t="shared" si="3"/>
        <v>0</v>
      </c>
      <c r="I41" s="366">
        <f t="shared" si="4"/>
        <v>0</v>
      </c>
      <c r="J41" s="205"/>
    </row>
    <row r="42" spans="2:12">
      <c r="B42" s="222">
        <v>7</v>
      </c>
      <c r="C42" s="199" t="s">
        <v>3180</v>
      </c>
      <c r="D42" s="872" t="str">
        <f>Organig!K33</f>
        <v>Jefe de Mov. de Suelos</v>
      </c>
      <c r="E42" s="201" t="s">
        <v>392</v>
      </c>
      <c r="F42" s="866">
        <f>+SUMIF(MOi_CE!B:B,Recursos!C42,MOi_CE!C:C)</f>
        <v>537.23131532592549</v>
      </c>
      <c r="G42" s="203">
        <f>+SUMIF('AUX-NIV1'!I:I,Recursos!C42,'AUX-NIV1'!Q:Q)+SUMIF('AUX-NIV2'!I:I,Recursos!C42,'AUX-NIV2'!Q:Q)+SUMIF('AUX-NIV3'!I:I,Recursos!C42,'AUX-NIV3'!Q:Q)</f>
        <v>0</v>
      </c>
      <c r="H42" s="204">
        <f t="shared" si="3"/>
        <v>0</v>
      </c>
      <c r="I42" s="366">
        <f t="shared" si="4"/>
        <v>0</v>
      </c>
      <c r="J42" s="205"/>
    </row>
    <row r="43" spans="2:12">
      <c r="B43" s="222">
        <v>7</v>
      </c>
      <c r="C43" s="199" t="s">
        <v>8</v>
      </c>
      <c r="D43" s="872" t="str">
        <f>Organig!K37</f>
        <v>Jefe de Hormigones</v>
      </c>
      <c r="E43" s="201" t="s">
        <v>392</v>
      </c>
      <c r="F43" s="866">
        <f>+SUMIF(MOi_CE!B:B,Recursos!C43,MOi_CE!C:C)</f>
        <v>537.23131532592549</v>
      </c>
      <c r="G43" s="203">
        <f>+SUMIF('AUX-NIV1'!I:I,Recursos!C43,'AUX-NIV1'!Q:Q)+SUMIF('AUX-NIV2'!I:I,Recursos!C43,'AUX-NIV2'!Q:Q)+SUMIF('AUX-NIV3'!I:I,Recursos!C43,'AUX-NIV3'!Q:Q)</f>
        <v>0</v>
      </c>
      <c r="H43" s="204">
        <f t="shared" si="3"/>
        <v>0</v>
      </c>
      <c r="I43" s="366">
        <f t="shared" si="4"/>
        <v>0</v>
      </c>
      <c r="J43" s="205"/>
    </row>
    <row r="44" spans="2:12">
      <c r="B44" s="222"/>
      <c r="C44" s="199" t="s">
        <v>1067</v>
      </c>
      <c r="D44" s="872" t="str">
        <f>Organig!K41</f>
        <v>Jefe de Armaduras y Playa Hierro</v>
      </c>
      <c r="E44" s="201" t="s">
        <v>392</v>
      </c>
      <c r="F44" s="866">
        <f>+SUMIF(MOi_CE!B:B,Recursos!C44,MOi_CE!C:C)</f>
        <v>537.23131532592549</v>
      </c>
      <c r="G44" s="203">
        <f>+SUMIF('AUX-NIV1'!I:I,Recursos!C44,'AUX-NIV1'!Q:Q)+SUMIF('AUX-NIV2'!I:I,Recursos!C44,'AUX-NIV2'!Q:Q)+SUMIF('AUX-NIV3'!I:I,Recursos!C44,'AUX-NIV3'!Q:Q)</f>
        <v>0</v>
      </c>
      <c r="H44" s="204">
        <f t="shared" si="3"/>
        <v>0</v>
      </c>
      <c r="I44" s="366">
        <f t="shared" si="4"/>
        <v>0</v>
      </c>
      <c r="J44" s="205"/>
    </row>
    <row r="45" spans="2:12">
      <c r="B45" s="222"/>
      <c r="C45" s="199" t="s">
        <v>1068</v>
      </c>
      <c r="D45" s="872" t="str">
        <f>Organig!K45</f>
        <v>Jefe Encofrados y Carpinterias</v>
      </c>
      <c r="E45" s="201" t="s">
        <v>392</v>
      </c>
      <c r="F45" s="866">
        <f>+SUMIF(MOi_CE!B:B,Recursos!C45,MOi_CE!C:C)</f>
        <v>537.23131532592549</v>
      </c>
      <c r="G45" s="203">
        <f>+SUMIF('AUX-NIV1'!I:I,Recursos!C45,'AUX-NIV1'!Q:Q)+SUMIF('AUX-NIV2'!I:I,Recursos!C45,'AUX-NIV2'!Q:Q)+SUMIF('AUX-NIV3'!I:I,Recursos!C45,'AUX-NIV3'!Q:Q)</f>
        <v>0</v>
      </c>
      <c r="H45" s="204">
        <f t="shared" si="3"/>
        <v>0</v>
      </c>
      <c r="I45" s="366">
        <f t="shared" si="4"/>
        <v>0</v>
      </c>
      <c r="J45" s="205"/>
    </row>
    <row r="46" spans="2:12">
      <c r="B46" s="222">
        <v>7</v>
      </c>
      <c r="C46" s="199" t="s">
        <v>1069</v>
      </c>
      <c r="D46" s="872" t="str">
        <f>Organig!K49</f>
        <v>Jefe Tuberias</v>
      </c>
      <c r="E46" s="201" t="s">
        <v>392</v>
      </c>
      <c r="F46" s="866">
        <f>+SUMIF(MOi_CE!B:B,Recursos!C46,MOi_CE!C:C)</f>
        <v>537.23131532592549</v>
      </c>
      <c r="G46" s="203">
        <f>+SUMIF('AUX-NIV1'!I:I,Recursos!C46,'AUX-NIV1'!Q:Q)+SUMIF('AUX-NIV2'!I:I,Recursos!C46,'AUX-NIV2'!Q:Q)+SUMIF('AUX-NIV3'!I:I,Recursos!C46,'AUX-NIV3'!Q:Q)</f>
        <v>0</v>
      </c>
      <c r="H46" s="204">
        <f t="shared" si="3"/>
        <v>0</v>
      </c>
      <c r="I46" s="366">
        <f t="shared" si="4"/>
        <v>0</v>
      </c>
      <c r="J46" s="205"/>
    </row>
    <row r="47" spans="2:12">
      <c r="B47" s="222">
        <v>7</v>
      </c>
      <c r="C47" s="199" t="s">
        <v>1072</v>
      </c>
      <c r="D47" s="872" t="str">
        <f>Organig!K53</f>
        <v>Capataces Generales</v>
      </c>
      <c r="E47" s="201" t="s">
        <v>392</v>
      </c>
      <c r="F47" s="1654">
        <f>+SUMIF(MOi_CE!B:B,Recursos!C47,MOi_CE!C:C)</f>
        <v>479.93515139748689</v>
      </c>
      <c r="G47" s="203">
        <f>+SUMIF('AUX-NIV1'!I:I,Recursos!C47,'AUX-NIV1'!Q:Q)+SUMIF('AUX-NIV2'!I:I,Recursos!C47,'AUX-NIV2'!Q:Q)+SUMIF('AUX-NIV3'!I:I,Recursos!C47,'AUX-NIV3'!Q:Q)</f>
        <v>0</v>
      </c>
      <c r="H47" s="204">
        <f t="shared" si="3"/>
        <v>0</v>
      </c>
      <c r="I47" s="366">
        <f t="shared" si="4"/>
        <v>0</v>
      </c>
      <c r="J47" s="205"/>
      <c r="L47" s="84">
        <f>+H47/5</f>
        <v>0</v>
      </c>
    </row>
    <row r="48" spans="2:12">
      <c r="B48" s="222">
        <v>7</v>
      </c>
      <c r="C48" s="881" t="s">
        <v>3181</v>
      </c>
      <c r="D48" s="882" t="str">
        <f>Organig!K57</f>
        <v>Capataces de Obra, Plantas</v>
      </c>
      <c r="E48" s="883" t="s">
        <v>392</v>
      </c>
      <c r="F48" s="884">
        <f>+SUMIF(MOi_CE!B:B,Recursos!C48,MOi_CE!C:C)</f>
        <v>532.55407745421633</v>
      </c>
      <c r="G48" s="885">
        <f>+SUMIF('AUX-NIV1'!I:I,Recursos!C48,'AUX-NIV1'!Q:Q)+SUMIF('AUX-NIV2'!I:I,Recursos!C48,'AUX-NIV2'!Q:Q)+SUMIF('AUX-NIV3'!I:I,Recursos!C48,'AUX-NIV3'!Q:Q)</f>
        <v>0</v>
      </c>
      <c r="H48" s="886">
        <f t="shared" si="3"/>
        <v>0</v>
      </c>
      <c r="I48" s="887">
        <f t="shared" si="4"/>
        <v>0</v>
      </c>
      <c r="J48" s="888"/>
    </row>
    <row r="49" spans="2:12">
      <c r="B49" s="222">
        <v>7</v>
      </c>
      <c r="C49" s="890" t="s">
        <v>3182</v>
      </c>
      <c r="D49" s="891" t="str">
        <f>Organig!N21</f>
        <v>Jefe Administrativo Contable</v>
      </c>
      <c r="E49" s="892" t="s">
        <v>392</v>
      </c>
      <c r="F49" s="893">
        <f>+SUMIF(MOi_CE!B:B,Recursos!C49,MOi_CE!C:C)</f>
        <v>433.16277268039403</v>
      </c>
      <c r="G49" s="894">
        <f>+SUMIF('AUX-NIV1'!I:I,Recursos!C49,'AUX-NIV1'!Q:Q)+SUMIF('AUX-NIV2'!I:I,Recursos!C49,'AUX-NIV2'!Q:Q)+SUMIF('AUX-NIV3'!I:I,Recursos!C49,'AUX-NIV3'!Q:Q)</f>
        <v>0</v>
      </c>
      <c r="H49" s="895">
        <f t="shared" si="3"/>
        <v>0</v>
      </c>
      <c r="I49" s="896">
        <f t="shared" si="4"/>
        <v>0</v>
      </c>
      <c r="J49" s="897"/>
    </row>
    <row r="50" spans="2:12">
      <c r="B50" s="222">
        <v>7</v>
      </c>
      <c r="C50" s="199" t="s">
        <v>3183</v>
      </c>
      <c r="D50" s="872" t="str">
        <f>Organig!O25</f>
        <v>Jefe de Compras</v>
      </c>
      <c r="E50" s="201" t="s">
        <v>392</v>
      </c>
      <c r="F50" s="1654">
        <f>+SUMIF(MOi_CE!B:B,Recursos!C50,MOi_CE!C:C)</f>
        <v>304.5387312083887</v>
      </c>
      <c r="G50" s="203">
        <f>+SUMIF('AUX-NIV1'!I:I,Recursos!C50,'AUX-NIV1'!Q:Q)+SUMIF('AUX-NIV2'!I:I,Recursos!C50,'AUX-NIV2'!Q:Q)+SUMIF('AUX-NIV3'!I:I,Recursos!C50,'AUX-NIV3'!Q:Q)</f>
        <v>95</v>
      </c>
      <c r="H50" s="204">
        <f t="shared" si="3"/>
        <v>28931.179464796925</v>
      </c>
      <c r="I50" s="366">
        <f t="shared" si="4"/>
        <v>8.9173872231527132E-2</v>
      </c>
      <c r="J50" s="205"/>
      <c r="L50" s="84">
        <f>+H50/5</f>
        <v>5786.2358929593847</v>
      </c>
    </row>
    <row r="51" spans="2:12">
      <c r="B51" s="222">
        <v>7</v>
      </c>
      <c r="C51" s="199" t="s">
        <v>3184</v>
      </c>
      <c r="D51" s="872" t="str">
        <f>Organig!O29</f>
        <v>Jefe de Deposito</v>
      </c>
      <c r="E51" s="201" t="s">
        <v>392</v>
      </c>
      <c r="F51" s="866">
        <f>+SUMIF(MOi_CE!B:B,Recursos!C51,MOi_CE!C:C)</f>
        <v>341.95663418206294</v>
      </c>
      <c r="G51" s="203">
        <f>+SUMIF('AUX-NIV1'!I:I,Recursos!C51,'AUX-NIV1'!Q:Q)+SUMIF('AUX-NIV2'!I:I,Recursos!C51,'AUX-NIV2'!Q:Q)+SUMIF('AUX-NIV3'!I:I,Recursos!C51,'AUX-NIV3'!Q:Q)</f>
        <v>0</v>
      </c>
      <c r="H51" s="204">
        <f t="shared" si="3"/>
        <v>0</v>
      </c>
      <c r="I51" s="366">
        <f t="shared" si="4"/>
        <v>0</v>
      </c>
      <c r="J51" s="205"/>
    </row>
    <row r="52" spans="2:12">
      <c r="B52" s="222"/>
      <c r="C52" s="199" t="s">
        <v>3185</v>
      </c>
      <c r="D52" s="872" t="str">
        <f>Organig!O33</f>
        <v>Jefe de Campamento</v>
      </c>
      <c r="E52" s="201" t="s">
        <v>392</v>
      </c>
      <c r="F52" s="866">
        <f>+SUMIF(MOi_CE!B:B,Recursos!C52,MOi_CE!C:C)</f>
        <v>341.95663418206294</v>
      </c>
      <c r="G52" s="203">
        <f>+SUMIF('AUX-NIV1'!I:I,Recursos!C52,'AUX-NIV1'!Q:Q)+SUMIF('AUX-NIV2'!I:I,Recursos!C52,'AUX-NIV2'!Q:Q)+SUMIF('AUX-NIV3'!I:I,Recursos!C52,'AUX-NIV3'!Q:Q)</f>
        <v>0</v>
      </c>
      <c r="H52" s="204">
        <f t="shared" si="3"/>
        <v>0</v>
      </c>
      <c r="I52" s="366">
        <f t="shared" si="4"/>
        <v>0</v>
      </c>
      <c r="J52" s="205"/>
    </row>
    <row r="53" spans="2:12">
      <c r="B53" s="222"/>
      <c r="C53" s="199" t="s">
        <v>3186</v>
      </c>
      <c r="D53" s="872" t="str">
        <f>Organig!O37</f>
        <v>Enc.Servicios Generales</v>
      </c>
      <c r="E53" s="201" t="s">
        <v>392</v>
      </c>
      <c r="F53" s="866">
        <f>+SUMIF(MOi_CE!B:B,Recursos!C53,MOi_CE!C:C)</f>
        <v>341.95663418206294</v>
      </c>
      <c r="G53" s="203">
        <f>+SUMIF('AUX-NIV1'!I:I,Recursos!C53,'AUX-NIV1'!Q:Q)+SUMIF('AUX-NIV2'!I:I,Recursos!C53,'AUX-NIV2'!Q:Q)+SUMIF('AUX-NIV3'!I:I,Recursos!C53,'AUX-NIV3'!Q:Q)</f>
        <v>0</v>
      </c>
      <c r="H53" s="204">
        <f t="shared" si="3"/>
        <v>0</v>
      </c>
      <c r="I53" s="366">
        <f t="shared" si="4"/>
        <v>0</v>
      </c>
      <c r="J53" s="205"/>
    </row>
    <row r="54" spans="2:12">
      <c r="B54" s="222">
        <v>7</v>
      </c>
      <c r="C54" s="199" t="s">
        <v>3187</v>
      </c>
      <c r="D54" s="872" t="str">
        <f>Organig!O41</f>
        <v>Enc. Administrativo</v>
      </c>
      <c r="E54" s="201" t="s">
        <v>392</v>
      </c>
      <c r="F54" s="866">
        <f>+SUMIF(MOi_CE!B:B,Recursos!C54,MOi_CE!C:C)</f>
        <v>387.55970343122851</v>
      </c>
      <c r="G54" s="203">
        <f>+SUMIF('AUX-NIV1'!I:I,Recursos!C54,'AUX-NIV1'!Q:Q)+SUMIF('AUX-NIV2'!I:I,Recursos!C54,'AUX-NIV2'!Q:Q)+SUMIF('AUX-NIV3'!I:I,Recursos!C54,'AUX-NIV3'!Q:Q)</f>
        <v>0</v>
      </c>
      <c r="H54" s="204">
        <f t="shared" si="3"/>
        <v>0</v>
      </c>
      <c r="I54" s="366">
        <f t="shared" si="4"/>
        <v>0</v>
      </c>
      <c r="J54" s="205"/>
    </row>
    <row r="55" spans="2:12">
      <c r="B55" s="222"/>
      <c r="C55" s="199" t="s">
        <v>3188</v>
      </c>
      <c r="D55" s="872" t="str">
        <f>Organig!O45</f>
        <v>Encargado Financiero</v>
      </c>
      <c r="E55" s="201" t="s">
        <v>392</v>
      </c>
      <c r="F55" s="866">
        <f>+SUMIF(MOi_CE!B:B,Recursos!C55,MOi_CE!C:C)</f>
        <v>387.55970343122851</v>
      </c>
      <c r="G55" s="203">
        <f>+SUMIF('AUX-NIV1'!I:I,Recursos!C55,'AUX-NIV1'!Q:Q)+SUMIF('AUX-NIV2'!I:I,Recursos!C55,'AUX-NIV2'!Q:Q)+SUMIF('AUX-NIV3'!I:I,Recursos!C55,'AUX-NIV3'!Q:Q)</f>
        <v>0</v>
      </c>
      <c r="H55" s="204">
        <f t="shared" si="3"/>
        <v>0</v>
      </c>
      <c r="I55" s="366">
        <f t="shared" si="4"/>
        <v>0</v>
      </c>
      <c r="J55" s="205"/>
    </row>
    <row r="56" spans="2:12">
      <c r="B56" s="222">
        <v>7</v>
      </c>
      <c r="C56" s="199" t="s">
        <v>3189</v>
      </c>
      <c r="D56" s="872" t="str">
        <f>Organig!O49</f>
        <v>Jefe de Personal</v>
      </c>
      <c r="E56" s="201" t="s">
        <v>392</v>
      </c>
      <c r="F56" s="866">
        <f>+SUMIF(MOi_CE!B:B,Recursos!C56,MOi_CE!C:C)</f>
        <v>357.15765726511808</v>
      </c>
      <c r="G56" s="203">
        <f>+SUMIF('AUX-NIV1'!I:I,Recursos!C56,'AUX-NIV1'!Q:Q)+SUMIF('AUX-NIV2'!I:I,Recursos!C56,'AUX-NIV2'!Q:Q)+SUMIF('AUX-NIV3'!I:I,Recursos!C56,'AUX-NIV3'!Q:Q)</f>
        <v>0</v>
      </c>
      <c r="H56" s="204">
        <f t="shared" si="3"/>
        <v>0</v>
      </c>
      <c r="I56" s="366">
        <f t="shared" si="4"/>
        <v>0</v>
      </c>
      <c r="J56" s="205"/>
    </row>
    <row r="57" spans="2:12">
      <c r="B57" s="222">
        <v>7</v>
      </c>
      <c r="C57" s="199" t="s">
        <v>3190</v>
      </c>
      <c r="D57" s="872" t="str">
        <f>Organig!O53</f>
        <v>Administrativos</v>
      </c>
      <c r="E57" s="201" t="s">
        <v>392</v>
      </c>
      <c r="F57" s="1654">
        <f>+SUMIF(MOi_CE!B:B,Recursos!C57,MOi_CE!C:C)</f>
        <v>304.5387312083887</v>
      </c>
      <c r="G57" s="203">
        <f>+SUMIF('AUX-NIV1'!I:I,Recursos!C57,'AUX-NIV1'!Q:Q)+SUMIF('AUX-NIV2'!I:I,Recursos!C57,'AUX-NIV2'!Q:Q)+SUMIF('AUX-NIV3'!I:I,Recursos!C57,'AUX-NIV3'!Q:Q)</f>
        <v>0</v>
      </c>
      <c r="H57" s="204">
        <f t="shared" si="3"/>
        <v>0</v>
      </c>
      <c r="I57" s="366">
        <f t="shared" si="4"/>
        <v>0</v>
      </c>
      <c r="J57" s="205"/>
      <c r="L57" s="84">
        <f>+H57/5</f>
        <v>0</v>
      </c>
    </row>
    <row r="58" spans="2:12">
      <c r="B58" s="222"/>
      <c r="C58" s="881" t="s">
        <v>3191</v>
      </c>
      <c r="D58" s="882" t="str">
        <f>Organig!O57</f>
        <v>Auxiliares</v>
      </c>
      <c r="E58" s="883" t="s">
        <v>392</v>
      </c>
      <c r="F58" s="884">
        <f>+SUMIF(MOi_CE!B:B,Recursos!C58,MOi_CE!C:C)</f>
        <v>281.15254184984235</v>
      </c>
      <c r="G58" s="885">
        <f>+SUMIF('AUX-NIV1'!I:I,Recursos!C58,'AUX-NIV1'!Q:Q)+SUMIF('AUX-NIV2'!I:I,Recursos!C58,'AUX-NIV2'!Q:Q)+SUMIF('AUX-NIV3'!I:I,Recursos!C58,'AUX-NIV3'!Q:Q)</f>
        <v>0</v>
      </c>
      <c r="H58" s="886">
        <f t="shared" si="3"/>
        <v>0</v>
      </c>
      <c r="I58" s="887">
        <f t="shared" si="4"/>
        <v>0</v>
      </c>
      <c r="J58" s="888"/>
    </row>
    <row r="59" spans="2:12">
      <c r="B59" s="222"/>
      <c r="C59" s="890" t="s">
        <v>3192</v>
      </c>
      <c r="D59" s="891" t="str">
        <f>Organig!R21</f>
        <v>Jefe de Taller</v>
      </c>
      <c r="E59" s="892" t="s">
        <v>392</v>
      </c>
      <c r="F59" s="893">
        <f>+SUMIF(MOi_CE!B:B,Recursos!C59,MOi_CE!C:C)</f>
        <v>503.32134075603324</v>
      </c>
      <c r="G59" s="894">
        <f>+SUMIF('AUX-NIV1'!I:I,Recursos!C59,'AUX-NIV1'!Q:Q)+SUMIF('AUX-NIV2'!I:I,Recursos!C59,'AUX-NIV2'!Q:Q)+SUMIF('AUX-NIV3'!I:I,Recursos!C59,'AUX-NIV3'!Q:Q)</f>
        <v>0</v>
      </c>
      <c r="H59" s="895">
        <f t="shared" si="3"/>
        <v>0</v>
      </c>
      <c r="I59" s="896">
        <f t="shared" si="4"/>
        <v>0</v>
      </c>
      <c r="J59" s="897"/>
    </row>
    <row r="60" spans="2:12">
      <c r="B60" s="222">
        <v>7</v>
      </c>
      <c r="C60" s="199" t="s">
        <v>3193</v>
      </c>
      <c r="D60" s="872" t="str">
        <f>Organig!S25</f>
        <v>Taller Mecanico</v>
      </c>
      <c r="E60" s="201" t="s">
        <v>392</v>
      </c>
      <c r="F60" s="866">
        <f>+SUMIF(MOi_CE!B:B,Recursos!C60,MOi_CE!C:C)</f>
        <v>447.77914102948546</v>
      </c>
      <c r="G60" s="203">
        <f>+SUMIF('AUX-NIV1'!I:I,Recursos!C60,'AUX-NIV1'!Q:Q)+SUMIF('AUX-NIV2'!I:I,Recursos!C60,'AUX-NIV2'!Q:Q)+SUMIF('AUX-NIV3'!I:I,Recursos!C60,'AUX-NIV3'!Q:Q)</f>
        <v>0</v>
      </c>
      <c r="H60" s="204">
        <f t="shared" si="3"/>
        <v>0</v>
      </c>
      <c r="I60" s="366">
        <f t="shared" si="4"/>
        <v>0</v>
      </c>
      <c r="J60" s="205"/>
    </row>
    <row r="61" spans="2:12">
      <c r="B61" s="222"/>
      <c r="C61" s="199" t="s">
        <v>3194</v>
      </c>
      <c r="D61" s="872" t="str">
        <f>Organig!S29</f>
        <v>Taller Eléctrico</v>
      </c>
      <c r="E61" s="201" t="s">
        <v>392</v>
      </c>
      <c r="F61" s="866">
        <f>+SUMIF(MOi_CE!B:B,Recursos!C61,MOi_CE!C:C)</f>
        <v>447.77914102948546</v>
      </c>
      <c r="G61" s="203">
        <f>+SUMIF('AUX-NIV1'!I:I,Recursos!C61,'AUX-NIV1'!Q:Q)+SUMIF('AUX-NIV2'!I:I,Recursos!C61,'AUX-NIV2'!Q:Q)+SUMIF('AUX-NIV3'!I:I,Recursos!C61,'AUX-NIV3'!Q:Q)</f>
        <v>0</v>
      </c>
      <c r="H61" s="204">
        <f t="shared" si="3"/>
        <v>0</v>
      </c>
      <c r="I61" s="366">
        <f t="shared" si="4"/>
        <v>0</v>
      </c>
      <c r="J61" s="205"/>
    </row>
    <row r="62" spans="2:12">
      <c r="B62" s="222"/>
      <c r="C62" s="199" t="s">
        <v>3195</v>
      </c>
      <c r="D62" s="872" t="str">
        <f>Organig!S33</f>
        <v>Gruas</v>
      </c>
      <c r="E62" s="201" t="s">
        <v>392</v>
      </c>
      <c r="F62" s="866">
        <f>+SUMIF(MOi_CE!B:B,Recursos!C62,MOi_CE!C:C)</f>
        <v>425.56226113886646</v>
      </c>
      <c r="G62" s="203">
        <f>+SUMIF('AUX-NIV1'!I:I,Recursos!C62,'AUX-NIV1'!Q:Q)+SUMIF('AUX-NIV2'!I:I,Recursos!C62,'AUX-NIV2'!Q:Q)+SUMIF('AUX-NIV3'!I:I,Recursos!C62,'AUX-NIV3'!Q:Q)</f>
        <v>0</v>
      </c>
      <c r="H62" s="204">
        <f t="shared" si="3"/>
        <v>0</v>
      </c>
      <c r="I62" s="366">
        <f t="shared" si="4"/>
        <v>0</v>
      </c>
      <c r="J62" s="205"/>
    </row>
    <row r="63" spans="2:12">
      <c r="B63" s="222"/>
      <c r="C63" s="199" t="s">
        <v>3196</v>
      </c>
      <c r="D63" s="872" t="str">
        <f>Organig!S37</f>
        <v>Gomerías</v>
      </c>
      <c r="E63" s="201" t="s">
        <v>392</v>
      </c>
      <c r="F63" s="866">
        <f>+SUMIF(MOi_CE!B:B,Recursos!C63,MOi_CE!C:C)</f>
        <v>325.58630163108046</v>
      </c>
      <c r="G63" s="203">
        <f>+SUMIF('AUX-NIV1'!I:I,Recursos!C63,'AUX-NIV1'!Q:Q)+SUMIF('AUX-NIV2'!I:I,Recursos!C63,'AUX-NIV2'!Q:Q)+SUMIF('AUX-NIV3'!I:I,Recursos!C63,'AUX-NIV3'!Q:Q)</f>
        <v>0</v>
      </c>
      <c r="H63" s="204">
        <f t="shared" si="3"/>
        <v>0</v>
      </c>
      <c r="I63" s="366">
        <f t="shared" si="4"/>
        <v>0</v>
      </c>
      <c r="J63" s="205"/>
    </row>
    <row r="64" spans="2:12">
      <c r="B64" s="222"/>
      <c r="C64" s="199" t="s">
        <v>3197</v>
      </c>
      <c r="D64" s="872" t="str">
        <f>Organig!S41</f>
        <v>Taller Hidráulico</v>
      </c>
      <c r="E64" s="201" t="s">
        <v>392</v>
      </c>
      <c r="F64" s="866">
        <f>+SUMIF(MOi_CE!B:B,Recursos!C64,MOi_CE!C:C)</f>
        <v>370.02006141231874</v>
      </c>
      <c r="G64" s="203">
        <f>+SUMIF('AUX-NIV1'!I:I,Recursos!C64,'AUX-NIV1'!Q:Q)+SUMIF('AUX-NIV2'!I:I,Recursos!C64,'AUX-NIV2'!Q:Q)+SUMIF('AUX-NIV3'!I:I,Recursos!C64,'AUX-NIV3'!Q:Q)</f>
        <v>0</v>
      </c>
      <c r="H64" s="204">
        <f t="shared" si="3"/>
        <v>0</v>
      </c>
      <c r="I64" s="366">
        <f t="shared" si="4"/>
        <v>0</v>
      </c>
      <c r="J64" s="205"/>
    </row>
    <row r="65" spans="2:12">
      <c r="B65" s="222"/>
      <c r="C65" s="199" t="s">
        <v>3198</v>
      </c>
      <c r="D65" s="872" t="str">
        <f>Organig!S45</f>
        <v>Electromecánica y Bombas</v>
      </c>
      <c r="E65" s="201" t="s">
        <v>392</v>
      </c>
      <c r="F65" s="866">
        <f>+SUMIF(MOi_CE!B:B,Recursos!C65,MOi_CE!C:C)</f>
        <v>370.02006141231874</v>
      </c>
      <c r="G65" s="203">
        <f>+SUMIF('AUX-NIV1'!I:I,Recursos!C65,'AUX-NIV1'!Q:Q)+SUMIF('AUX-NIV2'!I:I,Recursos!C65,'AUX-NIV2'!Q:Q)+SUMIF('AUX-NIV3'!I:I,Recursos!C65,'AUX-NIV3'!Q:Q)</f>
        <v>0</v>
      </c>
      <c r="H65" s="204">
        <f t="shared" si="3"/>
        <v>0</v>
      </c>
      <c r="I65" s="366">
        <f t="shared" si="4"/>
        <v>0</v>
      </c>
      <c r="J65" s="205"/>
    </row>
    <row r="66" spans="2:12">
      <c r="B66" s="222">
        <v>4</v>
      </c>
      <c r="C66" s="199" t="s">
        <v>3199</v>
      </c>
      <c r="D66" s="872" t="str">
        <f>Organig!S49</f>
        <v>Mecanicos y/o Electricos de 1°</v>
      </c>
      <c r="E66" s="201" t="s">
        <v>392</v>
      </c>
      <c r="F66" s="866">
        <f>+SUMIF(MOi_CE!B:B,Recursos!C66,MOi_CE!C:C)</f>
        <v>381.12850135762824</v>
      </c>
      <c r="G66" s="203">
        <f>+SUMIF('AUX-NIV1'!I:I,Recursos!C66,'AUX-NIV1'!Q:Q)+SUMIF('AUX-NIV2'!I:I,Recursos!C66,'AUX-NIV2'!Q:Q)+SUMIF('AUX-NIV3'!I:I,Recursos!C66,'AUX-NIV3'!Q:Q)</f>
        <v>0</v>
      </c>
      <c r="H66" s="204">
        <f t="shared" si="3"/>
        <v>0</v>
      </c>
      <c r="I66" s="366">
        <f t="shared" si="4"/>
        <v>0</v>
      </c>
      <c r="J66" s="205"/>
    </row>
    <row r="67" spans="2:12">
      <c r="B67" s="222">
        <v>4</v>
      </c>
      <c r="C67" s="199" t="s">
        <v>3200</v>
      </c>
      <c r="D67" s="872" t="str">
        <f>Organig!S53</f>
        <v>Mecanicos y/o Electricos de 2°</v>
      </c>
      <c r="E67" s="201" t="s">
        <v>392</v>
      </c>
      <c r="F67" s="866">
        <f>+SUMIF(MOi_CE!B:B,Recursos!C67,MOi_CE!C:C)</f>
        <v>358.91162146700918</v>
      </c>
      <c r="G67" s="203">
        <f>+SUMIF('AUX-NIV1'!I:I,Recursos!C67,'AUX-NIV1'!Q:Q)+SUMIF('AUX-NIV2'!I:I,Recursos!C67,'AUX-NIV2'!Q:Q)+SUMIF('AUX-NIV3'!I:I,Recursos!C67,'AUX-NIV3'!Q:Q)</f>
        <v>0</v>
      </c>
      <c r="H67" s="204">
        <f t="shared" si="3"/>
        <v>0</v>
      </c>
      <c r="I67" s="366">
        <f t="shared" si="4"/>
        <v>0</v>
      </c>
      <c r="J67" s="205"/>
    </row>
    <row r="68" spans="2:12">
      <c r="B68" s="222"/>
      <c r="C68" s="881" t="s">
        <v>3201</v>
      </c>
      <c r="D68" s="882" t="str">
        <f>Organig!S57</f>
        <v>Auxiliares de Taller</v>
      </c>
      <c r="E68" s="883" t="s">
        <v>392</v>
      </c>
      <c r="F68" s="884">
        <f>+SUMIF(MOi_CE!B:B,Recursos!C68,MOi_CE!C:C)</f>
        <v>281.15254184984235</v>
      </c>
      <c r="G68" s="885">
        <f>+SUMIF('AUX-NIV1'!I:I,Recursos!C68,'AUX-NIV1'!Q:Q)+SUMIF('AUX-NIV2'!I:I,Recursos!C68,'AUX-NIV2'!Q:Q)+SUMIF('AUX-NIV3'!I:I,Recursos!C68,'AUX-NIV3'!Q:Q)</f>
        <v>0</v>
      </c>
      <c r="H68" s="886">
        <f t="shared" si="3"/>
        <v>0</v>
      </c>
      <c r="I68" s="887">
        <f t="shared" si="4"/>
        <v>0</v>
      </c>
      <c r="J68" s="888"/>
    </row>
    <row r="69" spans="2:12">
      <c r="B69" s="222">
        <v>7</v>
      </c>
      <c r="C69" s="873" t="s">
        <v>3202</v>
      </c>
      <c r="D69" s="874" t="str">
        <f>Organig!V21</f>
        <v>Jefe de Calidad</v>
      </c>
      <c r="E69" s="875" t="s">
        <v>392</v>
      </c>
      <c r="F69" s="876">
        <f>+SUMIF(MOi_CE!B:B,Recursos!C69,MOi_CE!C:C)</f>
        <v>433.16277268039403</v>
      </c>
      <c r="G69" s="877">
        <f>+SUMIF('AUX-NIV1'!I:I,Recursos!C69,'AUX-NIV1'!Q:Q)+SUMIF('AUX-NIV2'!I:I,Recursos!C69,'AUX-NIV2'!Q:Q)+SUMIF('AUX-NIV3'!I:I,Recursos!C69,'AUX-NIV3'!Q:Q)</f>
        <v>0</v>
      </c>
      <c r="H69" s="878">
        <f t="shared" si="3"/>
        <v>0</v>
      </c>
      <c r="I69" s="879">
        <f t="shared" si="4"/>
        <v>0</v>
      </c>
      <c r="J69" s="880"/>
    </row>
    <row r="70" spans="2:12">
      <c r="B70" s="222">
        <v>7</v>
      </c>
      <c r="C70" s="199" t="s">
        <v>3203</v>
      </c>
      <c r="D70" s="872" t="str">
        <f>Organig!W25</f>
        <v>Jefe de Laboratorio</v>
      </c>
      <c r="E70" s="201" t="s">
        <v>392</v>
      </c>
      <c r="F70" s="866">
        <f>+SUMIF(MOi_CE!B:B,Recursos!C70,MOi_CE!C:C)</f>
        <v>379.959191889701</v>
      </c>
      <c r="G70" s="203">
        <f>+SUMIF('AUX-NIV1'!I:I,Recursos!C70,'AUX-NIV1'!Q:Q)+SUMIF('AUX-NIV2'!I:I,Recursos!C70,'AUX-NIV2'!Q:Q)+SUMIF('AUX-NIV3'!I:I,Recursos!C70,'AUX-NIV3'!Q:Q)</f>
        <v>0</v>
      </c>
      <c r="H70" s="204">
        <f t="shared" si="3"/>
        <v>0</v>
      </c>
      <c r="I70" s="366">
        <f t="shared" si="4"/>
        <v>0</v>
      </c>
      <c r="J70" s="205"/>
    </row>
    <row r="71" spans="2:12">
      <c r="B71" s="222">
        <v>7</v>
      </c>
      <c r="C71" s="199" t="s">
        <v>3204</v>
      </c>
      <c r="D71" s="872" t="str">
        <f>Organig!W29</f>
        <v>Personal de Calidad</v>
      </c>
      <c r="E71" s="201" t="s">
        <v>392</v>
      </c>
      <c r="F71" s="866">
        <f>+SUMIF(MOi_CE!B:B,Recursos!C71,MOi_CE!C:C)</f>
        <v>349.55714572359057</v>
      </c>
      <c r="G71" s="203">
        <f>+SUMIF('AUX-NIV1'!I:I,Recursos!C71,'AUX-NIV1'!Q:Q)+SUMIF('AUX-NIV2'!I:I,Recursos!C71,'AUX-NIV2'!Q:Q)+SUMIF('AUX-NIV3'!I:I,Recursos!C71,'AUX-NIV3'!Q:Q)</f>
        <v>0</v>
      </c>
      <c r="H71" s="204">
        <f t="shared" si="3"/>
        <v>0</v>
      </c>
      <c r="I71" s="366">
        <f t="shared" si="4"/>
        <v>0</v>
      </c>
      <c r="J71" s="205"/>
    </row>
    <row r="72" spans="2:12">
      <c r="B72" s="222"/>
      <c r="C72" s="199" t="s">
        <v>3205</v>
      </c>
      <c r="D72" s="872" t="str">
        <f>Organig!W33</f>
        <v>Personal de Medio Ambiente</v>
      </c>
      <c r="E72" s="201" t="s">
        <v>392</v>
      </c>
      <c r="F72" s="866">
        <f>+SUMIF(MOi_CE!B:B,Recursos!C72,MOi_CE!C:C)</f>
        <v>349.55714572359057</v>
      </c>
      <c r="G72" s="203">
        <f>+SUMIF('AUX-NIV1'!I:I,Recursos!C72,'AUX-NIV1'!Q:Q)+SUMIF('AUX-NIV2'!I:I,Recursos!C72,'AUX-NIV2'!Q:Q)+SUMIF('AUX-NIV3'!I:I,Recursos!C72,'AUX-NIV3'!Q:Q)</f>
        <v>0</v>
      </c>
      <c r="H72" s="204">
        <f t="shared" si="3"/>
        <v>0</v>
      </c>
      <c r="I72" s="366">
        <f t="shared" si="4"/>
        <v>0</v>
      </c>
      <c r="J72" s="205"/>
    </row>
    <row r="73" spans="2:12">
      <c r="B73" s="222">
        <v>4</v>
      </c>
      <c r="C73" s="199" t="s">
        <v>3206</v>
      </c>
      <c r="D73" s="872" t="str">
        <f>Organig!W37</f>
        <v>Laboratoristas</v>
      </c>
      <c r="E73" s="201" t="s">
        <v>392</v>
      </c>
      <c r="F73" s="866">
        <f>+SUMIF(MOi_CE!B:B,Recursos!C73,MOi_CE!C:C)</f>
        <v>349.55714572359057</v>
      </c>
      <c r="G73" s="203">
        <f>+SUMIF('AUX-NIV1'!I:I,Recursos!C73,'AUX-NIV1'!Q:Q)+SUMIF('AUX-NIV2'!I:I,Recursos!C73,'AUX-NIV2'!Q:Q)+SUMIF('AUX-NIV3'!I:I,Recursos!C73,'AUX-NIV3'!Q:Q)</f>
        <v>0</v>
      </c>
      <c r="H73" s="204">
        <f t="shared" si="3"/>
        <v>0</v>
      </c>
      <c r="I73" s="366">
        <f t="shared" si="4"/>
        <v>0</v>
      </c>
      <c r="J73" s="205"/>
    </row>
    <row r="74" spans="2:12">
      <c r="B74" s="222">
        <v>1</v>
      </c>
      <c r="C74" s="199" t="s">
        <v>3207</v>
      </c>
      <c r="D74" s="872" t="str">
        <f>Organig!W41</f>
        <v>Auxiliares</v>
      </c>
      <c r="E74" s="201" t="s">
        <v>392</v>
      </c>
      <c r="F74" s="866">
        <f>+SUMIF(MOi_CE!B:B,Recursos!C74,MOi_CE!C:C)</f>
        <v>281.15254184984235</v>
      </c>
      <c r="G74" s="203">
        <f>+SUMIF('AUX-NIV1'!I:I,Recursos!C74,'AUX-NIV1'!Q:Q)+SUMIF('AUX-NIV2'!I:I,Recursos!C74,'AUX-NIV2'!Q:Q)+SUMIF('AUX-NIV3'!I:I,Recursos!C74,'AUX-NIV3'!Q:Q)</f>
        <v>0</v>
      </c>
      <c r="H74" s="204">
        <f t="shared" si="3"/>
        <v>0</v>
      </c>
      <c r="I74" s="366">
        <f t="shared" si="4"/>
        <v>0</v>
      </c>
      <c r="J74" s="205"/>
    </row>
    <row r="75" spans="2:12">
      <c r="B75" s="222"/>
      <c r="C75" s="199"/>
      <c r="D75" s="200"/>
      <c r="E75" s="201"/>
      <c r="F75" s="202"/>
      <c r="G75" s="203"/>
      <c r="H75" s="204"/>
      <c r="I75" s="366">
        <f>+H75/$I$3</f>
        <v>0</v>
      </c>
      <c r="J75" s="205"/>
    </row>
    <row r="76" spans="2:12" ht="12">
      <c r="B76" s="305">
        <f>+COUNTA(C76:C950)-2</f>
        <v>871</v>
      </c>
      <c r="C76" s="109" t="s">
        <v>438</v>
      </c>
      <c r="D76" s="110"/>
      <c r="E76" s="111"/>
      <c r="F76" s="111"/>
      <c r="G76" s="112"/>
      <c r="H76" s="112">
        <f>+SUBTOTAL(9,H77:H949)</f>
        <v>74920.27371571293</v>
      </c>
      <c r="I76" s="365">
        <f>+H76/$I$3</f>
        <v>0.23092494116962267</v>
      </c>
      <c r="J76" s="114"/>
      <c r="L76" s="1611">
        <f>SUM(L94:L949)</f>
        <v>0.95783094188913254</v>
      </c>
    </row>
    <row r="77" spans="2:12">
      <c r="B77" s="222"/>
      <c r="C77" s="206" t="s">
        <v>439</v>
      </c>
      <c r="D77" s="200" t="s">
        <v>440</v>
      </c>
      <c r="E77" s="201" t="s">
        <v>441</v>
      </c>
      <c r="F77" s="551">
        <f>230000/1.21</f>
        <v>190082.64462809917</v>
      </c>
      <c r="G77" s="203">
        <f>+SUMIF('AUX-NIV1'!I:I,Recursos!C77,'AUX-NIV1'!Q:Q)+SUMIF('AUX-NIV2'!I:I,Recursos!C77,'AUX-NIV2'!Q:Q)+SUMIF('AUX-NIV3'!I:I,Recursos!C77,'AUX-NIV3'!Q:Q)</f>
        <v>0</v>
      </c>
      <c r="H77" s="204">
        <f>+F77*G77</f>
        <v>0</v>
      </c>
      <c r="I77" s="366">
        <f t="shared" ref="I77" si="5">+H77/$I$3</f>
        <v>0</v>
      </c>
      <c r="J77" s="205"/>
    </row>
    <row r="78" spans="2:12">
      <c r="B78" s="222"/>
      <c r="C78" s="206" t="s">
        <v>442</v>
      </c>
      <c r="D78" s="200" t="s">
        <v>443</v>
      </c>
      <c r="E78" s="201" t="s">
        <v>444</v>
      </c>
      <c r="F78" s="551">
        <v>2.5</v>
      </c>
      <c r="G78" s="203">
        <f>+SUMIF('AUX-NIV1'!I:I,Recursos!C78,'AUX-NIV1'!Q:Q)+SUMIF('AUX-NIV2'!I:I,Recursos!C78,'AUX-NIV2'!Q:Q)+SUMIF('AUX-NIV3'!I:I,Recursos!C78,'AUX-NIV3'!Q:Q)</f>
        <v>0</v>
      </c>
      <c r="H78" s="204">
        <f t="shared" ref="H78:H141" si="6">+F78*G78</f>
        <v>0</v>
      </c>
      <c r="I78" s="366">
        <f t="shared" ref="I78:I141" si="7">+H78/$I$3</f>
        <v>0</v>
      </c>
      <c r="J78" s="205"/>
      <c r="L78" s="83"/>
    </row>
    <row r="79" spans="2:12">
      <c r="B79" s="222"/>
      <c r="C79" s="206" t="s">
        <v>445</v>
      </c>
      <c r="D79" s="200" t="s">
        <v>446</v>
      </c>
      <c r="E79" s="201" t="s">
        <v>447</v>
      </c>
      <c r="F79" s="551">
        <v>12</v>
      </c>
      <c r="G79" s="203">
        <f>+SUMIF('AUX-NIV1'!I:I,Recursos!C79,'AUX-NIV1'!Q:Q)+SUMIF('AUX-NIV2'!I:I,Recursos!C79,'AUX-NIV2'!Q:Q)+SUMIF('AUX-NIV3'!I:I,Recursos!C79,'AUX-NIV3'!Q:Q)</f>
        <v>0</v>
      </c>
      <c r="H79" s="204">
        <f t="shared" si="6"/>
        <v>0</v>
      </c>
      <c r="I79" s="366">
        <f t="shared" si="7"/>
        <v>0</v>
      </c>
      <c r="J79" s="205"/>
      <c r="L79" s="83"/>
    </row>
    <row r="80" spans="2:12">
      <c r="B80" s="222"/>
      <c r="C80" s="206" t="s">
        <v>448</v>
      </c>
      <c r="D80" s="200" t="s">
        <v>449</v>
      </c>
      <c r="E80" s="201" t="s">
        <v>450</v>
      </c>
      <c r="F80" s="551">
        <f>890/1.21</f>
        <v>735.53719008264466</v>
      </c>
      <c r="G80" s="203">
        <f>+SUMIF('AUX-NIV1'!I:I,Recursos!C80,'AUX-NIV1'!Q:Q)+SUMIF('AUX-NIV2'!I:I,Recursos!C80,'AUX-NIV2'!Q:Q)+SUMIF('AUX-NIV3'!I:I,Recursos!C80,'AUX-NIV3'!Q:Q)</f>
        <v>0</v>
      </c>
      <c r="H80" s="204">
        <f t="shared" si="6"/>
        <v>0</v>
      </c>
      <c r="I80" s="366">
        <f t="shared" si="7"/>
        <v>0</v>
      </c>
      <c r="J80" s="205"/>
      <c r="L80" s="83"/>
    </row>
    <row r="81" spans="2:12">
      <c r="B81" s="222"/>
      <c r="C81" s="206" t="s">
        <v>451</v>
      </c>
      <c r="D81" s="200" t="s">
        <v>452</v>
      </c>
      <c r="E81" s="201" t="s">
        <v>453</v>
      </c>
      <c r="F81" s="551">
        <v>25000</v>
      </c>
      <c r="G81" s="203">
        <f>+SUMIF('AUX-NIV1'!I:I,Recursos!C81,'AUX-NIV1'!Q:Q)+SUMIF('AUX-NIV2'!I:I,Recursos!C81,'AUX-NIV2'!Q:Q)+SUMIF('AUX-NIV3'!I:I,Recursos!C81,'AUX-NIV3'!Q:Q)</f>
        <v>0</v>
      </c>
      <c r="H81" s="204">
        <f t="shared" si="6"/>
        <v>0</v>
      </c>
      <c r="I81" s="366">
        <f t="shared" si="7"/>
        <v>0</v>
      </c>
      <c r="J81" s="205"/>
      <c r="L81" s="83"/>
    </row>
    <row r="82" spans="2:12">
      <c r="B82" s="222"/>
      <c r="C82" s="206" t="s">
        <v>454</v>
      </c>
      <c r="D82" s="200" t="s">
        <v>455</v>
      </c>
      <c r="E82" s="201" t="s">
        <v>456</v>
      </c>
      <c r="F82" s="551">
        <v>193.2</v>
      </c>
      <c r="G82" s="203">
        <f>+SUMIF('AUX-NIV1'!I:I,Recursos!C82,'AUX-NIV1'!Q:Q)+SUMIF('AUX-NIV2'!I:I,Recursos!C82,'AUX-NIV2'!Q:Q)+SUMIF('AUX-NIV3'!I:I,Recursos!C82,'AUX-NIV3'!Q:Q)</f>
        <v>0</v>
      </c>
      <c r="H82" s="204">
        <f t="shared" si="6"/>
        <v>0</v>
      </c>
      <c r="I82" s="366">
        <f t="shared" si="7"/>
        <v>0</v>
      </c>
      <c r="J82" s="205"/>
      <c r="L82" s="83"/>
    </row>
    <row r="83" spans="2:12">
      <c r="B83" s="222"/>
      <c r="C83" s="206" t="s">
        <v>1124</v>
      </c>
      <c r="D83" s="200" t="s">
        <v>1118</v>
      </c>
      <c r="E83" s="201" t="s">
        <v>546</v>
      </c>
      <c r="F83" s="551">
        <v>0.1</v>
      </c>
      <c r="G83" s="203">
        <f>+SUMIF('AUX-NIV1'!I:I,Recursos!C83,'AUX-NIV1'!Q:Q)+SUMIF('AUX-NIV2'!I:I,Recursos!C83,'AUX-NIV2'!Q:Q)+SUMIF('AUX-NIV3'!I:I,Recursos!C83,'AUX-NIV3'!Q:Q)</f>
        <v>0</v>
      </c>
      <c r="H83" s="204">
        <f t="shared" si="6"/>
        <v>0</v>
      </c>
      <c r="I83" s="366">
        <f t="shared" si="7"/>
        <v>0</v>
      </c>
      <c r="J83" s="205"/>
      <c r="L83" s="83"/>
    </row>
    <row r="84" spans="2:12">
      <c r="B84" s="222"/>
      <c r="C84" s="206" t="s">
        <v>460</v>
      </c>
      <c r="D84" s="200" t="s">
        <v>461</v>
      </c>
      <c r="E84" s="201" t="s">
        <v>462</v>
      </c>
      <c r="F84" s="551">
        <v>16.964717999999998</v>
      </c>
      <c r="G84" s="203">
        <f>+SUMIF('AUX-NIV1'!I:I,Recursos!C84,'AUX-NIV1'!Q:Q)+SUMIF('AUX-NIV2'!I:I,Recursos!C84,'AUX-NIV2'!Q:Q)+SUMIF('AUX-NIV3'!I:I,Recursos!C84,'AUX-NIV3'!Q:Q)</f>
        <v>0</v>
      </c>
      <c r="H84" s="204">
        <f t="shared" si="6"/>
        <v>0</v>
      </c>
      <c r="I84" s="366">
        <f t="shared" si="7"/>
        <v>0</v>
      </c>
      <c r="J84" s="205"/>
      <c r="L84" s="83"/>
    </row>
    <row r="85" spans="2:12">
      <c r="B85" s="222"/>
      <c r="C85" s="206" t="s">
        <v>463</v>
      </c>
      <c r="D85" s="200" t="s">
        <v>464</v>
      </c>
      <c r="E85" s="201" t="s">
        <v>462</v>
      </c>
      <c r="F85" s="551">
        <v>18.902178899999999</v>
      </c>
      <c r="G85" s="203">
        <f>+SUMIF('AUX-NIV1'!I:I,Recursos!C85,'AUX-NIV1'!Q:Q)+SUMIF('AUX-NIV2'!I:I,Recursos!C85,'AUX-NIV2'!Q:Q)+SUMIF('AUX-NIV3'!I:I,Recursos!C85,'AUX-NIV3'!Q:Q)</f>
        <v>0</v>
      </c>
      <c r="H85" s="204">
        <f t="shared" si="6"/>
        <v>0</v>
      </c>
      <c r="I85" s="366">
        <f t="shared" si="7"/>
        <v>0</v>
      </c>
      <c r="J85" s="205"/>
      <c r="L85" s="83"/>
    </row>
    <row r="86" spans="2:12">
      <c r="B86" s="222"/>
      <c r="C86" s="206" t="s">
        <v>889</v>
      </c>
      <c r="D86" s="200" t="s">
        <v>890</v>
      </c>
      <c r="E86" s="201" t="s">
        <v>477</v>
      </c>
      <c r="F86" s="551">
        <v>450</v>
      </c>
      <c r="G86" s="203">
        <f>+SUMIF('AUX-NIV1'!I:I,Recursos!C86,'AUX-NIV1'!Q:Q)+SUMIF('AUX-NIV2'!I:I,Recursos!C86,'AUX-NIV2'!Q:Q)+SUMIF('AUX-NIV3'!I:I,Recursos!C86,'AUX-NIV3'!Q:Q)</f>
        <v>0</v>
      </c>
      <c r="H86" s="204">
        <f t="shared" si="6"/>
        <v>0</v>
      </c>
      <c r="I86" s="366">
        <f t="shared" si="7"/>
        <v>0</v>
      </c>
      <c r="J86" s="205"/>
      <c r="L86" s="83"/>
    </row>
    <row r="87" spans="2:12">
      <c r="B87" s="222"/>
      <c r="C87" s="206" t="s">
        <v>891</v>
      </c>
      <c r="D87" s="200" t="s">
        <v>892</v>
      </c>
      <c r="E87" s="201" t="s">
        <v>477</v>
      </c>
      <c r="F87" s="551">
        <v>10</v>
      </c>
      <c r="G87" s="203">
        <f>+SUMIF('AUX-NIV1'!I:I,Recursos!C87,'AUX-NIV1'!Q:Q)+SUMIF('AUX-NIV2'!I:I,Recursos!C87,'AUX-NIV2'!Q:Q)+SUMIF('AUX-NIV3'!I:I,Recursos!C87,'AUX-NIV3'!Q:Q)</f>
        <v>0</v>
      </c>
      <c r="H87" s="204">
        <f t="shared" si="6"/>
        <v>0</v>
      </c>
      <c r="I87" s="366">
        <f t="shared" si="7"/>
        <v>0</v>
      </c>
      <c r="J87" s="205"/>
      <c r="L87" s="83"/>
    </row>
    <row r="88" spans="2:12">
      <c r="B88" s="222"/>
      <c r="C88" s="206" t="s">
        <v>466</v>
      </c>
      <c r="D88" s="200" t="s">
        <v>467</v>
      </c>
      <c r="E88" s="201" t="s">
        <v>468</v>
      </c>
      <c r="F88" s="551">
        <v>6</v>
      </c>
      <c r="G88" s="203">
        <f>+SUMIF('AUX-NIV1'!I:I,Recursos!C88,'AUX-NIV1'!Q:Q)+SUMIF('AUX-NIV2'!I:I,Recursos!C88,'AUX-NIV2'!Q:Q)+SUMIF('AUX-NIV3'!I:I,Recursos!C88,'AUX-NIV3'!Q:Q)</f>
        <v>0</v>
      </c>
      <c r="H88" s="204">
        <f t="shared" si="6"/>
        <v>0</v>
      </c>
      <c r="I88" s="366">
        <f t="shared" si="7"/>
        <v>0</v>
      </c>
      <c r="J88" s="205"/>
      <c r="L88" s="83"/>
    </row>
    <row r="89" spans="2:12">
      <c r="B89" s="222"/>
      <c r="C89" s="206" t="s">
        <v>469</v>
      </c>
      <c r="D89" s="200" t="s">
        <v>470</v>
      </c>
      <c r="E89" s="201" t="s">
        <v>462</v>
      </c>
      <c r="F89" s="551"/>
      <c r="G89" s="203">
        <f>+SUMIF('AUX-NIV1'!I:I,Recursos!C89,'AUX-NIV1'!Q:Q)+SUMIF('AUX-NIV2'!I:I,Recursos!C89,'AUX-NIV2'!Q:Q)+SUMIF('AUX-NIV3'!I:I,Recursos!C89,'AUX-NIV3'!Q:Q)</f>
        <v>0</v>
      </c>
      <c r="H89" s="204">
        <f t="shared" si="6"/>
        <v>0</v>
      </c>
      <c r="I89" s="366">
        <f t="shared" si="7"/>
        <v>0</v>
      </c>
      <c r="J89" s="205"/>
    </row>
    <row r="90" spans="2:12">
      <c r="B90" s="222"/>
      <c r="C90" s="206" t="s">
        <v>471</v>
      </c>
      <c r="D90" s="200" t="s">
        <v>2979</v>
      </c>
      <c r="E90" s="201" t="s">
        <v>462</v>
      </c>
      <c r="F90" s="551">
        <v>15</v>
      </c>
      <c r="G90" s="203">
        <f>+SUMIF('AUX-NIV1'!I:I,Recursos!C90,'AUX-NIV1'!Q:Q)+SUMIF('AUX-NIV2'!I:I,Recursos!C90,'AUX-NIV2'!Q:Q)+SUMIF('AUX-NIV3'!I:I,Recursos!C90,'AUX-NIV3'!Q:Q)</f>
        <v>0</v>
      </c>
      <c r="H90" s="204">
        <f t="shared" si="6"/>
        <v>0</v>
      </c>
      <c r="I90" s="366">
        <f t="shared" si="7"/>
        <v>0</v>
      </c>
      <c r="J90" s="205"/>
    </row>
    <row r="91" spans="2:12">
      <c r="B91" s="222"/>
      <c r="C91" s="206" t="s">
        <v>473</v>
      </c>
      <c r="D91" s="200" t="s">
        <v>474</v>
      </c>
      <c r="E91" s="201" t="s">
        <v>462</v>
      </c>
      <c r="F91" s="551"/>
      <c r="G91" s="203">
        <f>+SUMIF('AUX-NIV1'!I:I,Recursos!C91,'AUX-NIV1'!Q:Q)+SUMIF('AUX-NIV2'!I:I,Recursos!C91,'AUX-NIV2'!Q:Q)+SUMIF('AUX-NIV3'!I:I,Recursos!C91,'AUX-NIV3'!Q:Q)</f>
        <v>0</v>
      </c>
      <c r="H91" s="204">
        <f t="shared" si="6"/>
        <v>0</v>
      </c>
      <c r="I91" s="366">
        <f t="shared" si="7"/>
        <v>0</v>
      </c>
      <c r="J91" s="205"/>
    </row>
    <row r="92" spans="2:12">
      <c r="B92" s="222"/>
      <c r="C92" s="206" t="s">
        <v>475</v>
      </c>
      <c r="D92" s="200" t="s">
        <v>476</v>
      </c>
      <c r="E92" s="201" t="s">
        <v>477</v>
      </c>
      <c r="F92" s="551">
        <v>15</v>
      </c>
      <c r="G92" s="203">
        <f>+SUMIF('AUX-NIV1'!I:I,Recursos!C92,'AUX-NIV1'!Q:Q)+SUMIF('AUX-NIV2'!I:I,Recursos!C92,'AUX-NIV2'!Q:Q)+SUMIF('AUX-NIV3'!I:I,Recursos!C92,'AUX-NIV3'!Q:Q)</f>
        <v>0</v>
      </c>
      <c r="H92" s="204">
        <f t="shared" si="6"/>
        <v>0</v>
      </c>
      <c r="I92" s="366">
        <f t="shared" si="7"/>
        <v>0</v>
      </c>
      <c r="J92" s="205"/>
      <c r="L92" s="83"/>
    </row>
    <row r="93" spans="2:12">
      <c r="B93" s="222"/>
      <c r="C93" s="206" t="s">
        <v>478</v>
      </c>
      <c r="D93" s="200" t="s">
        <v>479</v>
      </c>
      <c r="E93" s="201" t="s">
        <v>371</v>
      </c>
      <c r="F93" s="551">
        <v>60</v>
      </c>
      <c r="G93" s="203">
        <f>+SUMIF('AUX-NIV1'!I:I,Recursos!C93,'AUX-NIV1'!Q:Q)+SUMIF('AUX-NIV2'!I:I,Recursos!C93,'AUX-NIV2'!Q:Q)+SUMIF('AUX-NIV3'!I:I,Recursos!C93,'AUX-NIV3'!Q:Q)</f>
        <v>0</v>
      </c>
      <c r="H93" s="204">
        <f t="shared" si="6"/>
        <v>0</v>
      </c>
      <c r="I93" s="366">
        <f t="shared" si="7"/>
        <v>0</v>
      </c>
      <c r="J93" s="205"/>
      <c r="L93" s="83"/>
    </row>
    <row r="94" spans="2:12">
      <c r="B94" s="222"/>
      <c r="C94" s="206" t="s">
        <v>480</v>
      </c>
      <c r="D94" s="200" t="s">
        <v>481</v>
      </c>
      <c r="E94" s="201" t="s">
        <v>450</v>
      </c>
      <c r="F94" s="551">
        <v>193.2</v>
      </c>
      <c r="G94" s="203">
        <f>+SUMIF('AUX-NIV1'!I:I,Recursos!C94,'AUX-NIV1'!Q:Q)+SUMIF('AUX-NIV2'!I:I,Recursos!C94,'AUX-NIV2'!Q:Q)+SUMIF('AUX-NIV3'!I:I,Recursos!C94,'AUX-NIV3'!Q:Q)</f>
        <v>0</v>
      </c>
      <c r="H94" s="204">
        <f t="shared" si="6"/>
        <v>0</v>
      </c>
      <c r="I94" s="366">
        <f t="shared" si="7"/>
        <v>0</v>
      </c>
      <c r="J94" s="205"/>
      <c r="L94" s="1610"/>
    </row>
    <row r="95" spans="2:12">
      <c r="B95" s="222"/>
      <c r="C95" s="206" t="s">
        <v>482</v>
      </c>
      <c r="D95" s="200" t="s">
        <v>483</v>
      </c>
      <c r="E95" s="201" t="s">
        <v>484</v>
      </c>
      <c r="F95" s="551"/>
      <c r="G95" s="203">
        <f>+SUMIF('AUX-NIV1'!I:I,Recursos!C95,'AUX-NIV1'!Q:Q)+SUMIF('AUX-NIV2'!I:I,Recursos!C95,'AUX-NIV2'!Q:Q)+SUMIF('AUX-NIV3'!I:I,Recursos!C95,'AUX-NIV3'!Q:Q)</f>
        <v>0</v>
      </c>
      <c r="H95" s="204">
        <f t="shared" si="6"/>
        <v>0</v>
      </c>
      <c r="I95" s="366">
        <f t="shared" si="7"/>
        <v>0</v>
      </c>
      <c r="J95" s="205"/>
      <c r="L95" s="83"/>
    </row>
    <row r="96" spans="2:12">
      <c r="B96" s="222"/>
      <c r="C96" s="206" t="s">
        <v>485</v>
      </c>
      <c r="D96" s="200" t="s">
        <v>486</v>
      </c>
      <c r="E96" s="201" t="s">
        <v>484</v>
      </c>
      <c r="F96" s="551"/>
      <c r="G96" s="203">
        <f>+SUMIF('AUX-NIV1'!I:I,Recursos!C96,'AUX-NIV1'!Q:Q)+SUMIF('AUX-NIV2'!I:I,Recursos!C96,'AUX-NIV2'!Q:Q)+SUMIF('AUX-NIV3'!I:I,Recursos!C96,'AUX-NIV3'!Q:Q)</f>
        <v>0</v>
      </c>
      <c r="H96" s="204">
        <f t="shared" si="6"/>
        <v>0</v>
      </c>
      <c r="I96" s="366">
        <f t="shared" si="7"/>
        <v>0</v>
      </c>
      <c r="J96" s="205"/>
      <c r="L96" s="83"/>
    </row>
    <row r="97" spans="2:26">
      <c r="B97" s="222"/>
      <c r="C97" s="206" t="s">
        <v>487</v>
      </c>
      <c r="D97" s="200" t="s">
        <v>488</v>
      </c>
      <c r="E97" s="201" t="s">
        <v>484</v>
      </c>
      <c r="F97" s="551">
        <f>15/1.6+3</f>
        <v>12.375</v>
      </c>
      <c r="G97" s="203">
        <f>+SUMIF('AUX-NIV1'!I:I,Recursos!C97,'AUX-NIV1'!Q:Q)+SUMIF('AUX-NIV2'!I:I,Recursos!C97,'AUX-NIV2'!Q:Q)+SUMIF('AUX-NIV3'!I:I,Recursos!C97,'AUX-NIV3'!Q:Q)</f>
        <v>0</v>
      </c>
      <c r="H97" s="204">
        <f t="shared" si="6"/>
        <v>0</v>
      </c>
      <c r="I97" s="366">
        <f t="shared" si="7"/>
        <v>0</v>
      </c>
      <c r="J97" s="205"/>
      <c r="L97" s="83"/>
    </row>
    <row r="98" spans="2:26">
      <c r="B98" s="222"/>
      <c r="C98" s="206" t="s">
        <v>489</v>
      </c>
      <c r="D98" s="200" t="s">
        <v>490</v>
      </c>
      <c r="E98" s="201" t="s">
        <v>484</v>
      </c>
      <c r="F98" s="551">
        <f>12+3</f>
        <v>15</v>
      </c>
      <c r="G98" s="203">
        <f>+SUMIF('AUX-NIV1'!I:I,Recursos!C98,'AUX-NIV1'!Q:Q)+SUMIF('AUX-NIV2'!I:I,Recursos!C98,'AUX-NIV2'!Q:Q)+SUMIF('AUX-NIV3'!I:I,Recursos!C98,'AUX-NIV3'!Q:Q)</f>
        <v>0</v>
      </c>
      <c r="H98" s="204">
        <f t="shared" si="6"/>
        <v>0</v>
      </c>
      <c r="I98" s="366">
        <f t="shared" si="7"/>
        <v>0</v>
      </c>
      <c r="J98" s="205"/>
      <c r="L98" s="83"/>
    </row>
    <row r="99" spans="2:26">
      <c r="B99" s="222"/>
      <c r="C99" s="206" t="s">
        <v>491</v>
      </c>
      <c r="D99" s="200" t="s">
        <v>492</v>
      </c>
      <c r="E99" s="201" t="s">
        <v>484</v>
      </c>
      <c r="F99" s="551">
        <f>15/1.6+3</f>
        <v>12.375</v>
      </c>
      <c r="G99" s="203">
        <f>+SUMIF('AUX-NIV1'!I:I,Recursos!C99,'AUX-NIV1'!Q:Q)+SUMIF('AUX-NIV2'!I:I,Recursos!C99,'AUX-NIV2'!Q:Q)+SUMIF('AUX-NIV3'!I:I,Recursos!C99,'AUX-NIV3'!Q:Q)</f>
        <v>0</v>
      </c>
      <c r="H99" s="204">
        <f t="shared" si="6"/>
        <v>0</v>
      </c>
      <c r="I99" s="366">
        <f t="shared" si="7"/>
        <v>0</v>
      </c>
      <c r="J99" s="205"/>
      <c r="L99" s="83"/>
    </row>
    <row r="100" spans="2:26">
      <c r="B100" s="222"/>
      <c r="C100" s="206" t="s">
        <v>493</v>
      </c>
      <c r="D100" s="200" t="s">
        <v>494</v>
      </c>
      <c r="E100" s="201" t="s">
        <v>468</v>
      </c>
      <c r="F100" s="551">
        <f>0.42*50</f>
        <v>21</v>
      </c>
      <c r="G100" s="203">
        <f>+SUMIF('AUX-NIV1'!I:I,Recursos!C100,'AUX-NIV1'!Q:Q)+SUMIF('AUX-NIV2'!I:I,Recursos!C100,'AUX-NIV2'!Q:Q)+SUMIF('AUX-NIV3'!I:I,Recursos!C100,'AUX-NIV3'!Q:Q)</f>
        <v>0</v>
      </c>
      <c r="H100" s="204">
        <f t="shared" si="6"/>
        <v>0</v>
      </c>
      <c r="I100" s="366">
        <f t="shared" si="7"/>
        <v>0</v>
      </c>
      <c r="J100" s="205"/>
      <c r="L100" s="83"/>
    </row>
    <row r="101" spans="2:26">
      <c r="B101" s="222"/>
      <c r="C101" s="206" t="s">
        <v>457</v>
      </c>
      <c r="D101" s="200" t="s">
        <v>458</v>
      </c>
      <c r="E101" s="201" t="s">
        <v>459</v>
      </c>
      <c r="F101" s="551">
        <v>6989</v>
      </c>
      <c r="G101" s="203">
        <f>+SUMIF('AUX-NIV1'!I:I,Recursos!C101,'AUX-NIV1'!Q:Q)+SUMIF('AUX-NIV2'!I:I,Recursos!C101,'AUX-NIV2'!Q:Q)+SUMIF('AUX-NIV3'!I:I,Recursos!C101,'AUX-NIV3'!Q:Q)</f>
        <v>0</v>
      </c>
      <c r="H101" s="204">
        <f t="shared" si="6"/>
        <v>0</v>
      </c>
      <c r="I101" s="366">
        <f t="shared" si="7"/>
        <v>0</v>
      </c>
      <c r="J101" s="205"/>
      <c r="L101" s="83"/>
    </row>
    <row r="102" spans="2:26">
      <c r="B102" s="222"/>
      <c r="C102" s="206" t="s">
        <v>495</v>
      </c>
      <c r="D102" s="200" t="s">
        <v>496</v>
      </c>
      <c r="E102" s="201" t="s">
        <v>450</v>
      </c>
      <c r="F102" s="551">
        <v>40.25</v>
      </c>
      <c r="G102" s="203">
        <f>+SUMIF('AUX-NIV1'!I:I,Recursos!C102,'AUX-NIV1'!Q:Q)+SUMIF('AUX-NIV2'!I:I,Recursos!C102,'AUX-NIV2'!Q:Q)+SUMIF('AUX-NIV3'!I:I,Recursos!C102,'AUX-NIV3'!Q:Q)</f>
        <v>0</v>
      </c>
      <c r="H102" s="204">
        <f t="shared" si="6"/>
        <v>0</v>
      </c>
      <c r="I102" s="366">
        <f t="shared" si="7"/>
        <v>0</v>
      </c>
      <c r="J102" s="205"/>
      <c r="L102" s="83"/>
    </row>
    <row r="103" spans="2:26">
      <c r="B103" s="222"/>
      <c r="C103" s="206" t="s">
        <v>497</v>
      </c>
      <c r="D103" s="200" t="s">
        <v>498</v>
      </c>
      <c r="E103" s="201" t="s">
        <v>477</v>
      </c>
      <c r="F103" s="551"/>
      <c r="G103" s="203">
        <f>+SUMIF('AUX-NIV1'!I:I,Recursos!C103,'AUX-NIV1'!Q:Q)+SUMIF('AUX-NIV2'!I:I,Recursos!C103,'AUX-NIV2'!Q:Q)+SUMIF('AUX-NIV3'!I:I,Recursos!C103,'AUX-NIV3'!Q:Q)</f>
        <v>0</v>
      </c>
      <c r="H103" s="204">
        <f t="shared" si="6"/>
        <v>0</v>
      </c>
      <c r="I103" s="366">
        <f t="shared" si="7"/>
        <v>0</v>
      </c>
      <c r="J103" s="205"/>
      <c r="L103" s="83"/>
    </row>
    <row r="104" spans="2:26">
      <c r="B104" s="222"/>
      <c r="C104" s="206" t="s">
        <v>499</v>
      </c>
      <c r="D104" s="200" t="s">
        <v>500</v>
      </c>
      <c r="E104" s="201" t="s">
        <v>501</v>
      </c>
      <c r="F104" s="551">
        <v>0.7</v>
      </c>
      <c r="G104" s="203">
        <f>+SUMIF('AUX-NIV1'!I:I,Recursos!C104,'AUX-NIV1'!Q:Q)+SUMIF('AUX-NIV2'!I:I,Recursos!C104,'AUX-NIV2'!Q:Q)+SUMIF('AUX-NIV3'!I:I,Recursos!C104,'AUX-NIV3'!Q:Q)</f>
        <v>0</v>
      </c>
      <c r="H104" s="204">
        <f t="shared" si="6"/>
        <v>0</v>
      </c>
      <c r="I104" s="366">
        <f t="shared" si="7"/>
        <v>0</v>
      </c>
      <c r="J104" s="205"/>
      <c r="L104" s="83"/>
    </row>
    <row r="105" spans="2:26" ht="12">
      <c r="B105" s="222"/>
      <c r="C105" s="206" t="s">
        <v>502</v>
      </c>
      <c r="D105" s="200" t="s">
        <v>503</v>
      </c>
      <c r="E105" s="201" t="s">
        <v>462</v>
      </c>
      <c r="F105" s="551">
        <v>15</v>
      </c>
      <c r="G105" s="203">
        <f>+SUMIF('AUX-NIV1'!I:I,Recursos!C105,'AUX-NIV1'!Q:Q)+SUMIF('AUX-NIV2'!I:I,Recursos!C105,'AUX-NIV2'!Q:Q)+SUMIF('AUX-NIV3'!I:I,Recursos!C105,'AUX-NIV3'!Q:Q)</f>
        <v>0</v>
      </c>
      <c r="H105" s="204">
        <f t="shared" si="6"/>
        <v>0</v>
      </c>
      <c r="I105" s="366">
        <f t="shared" si="7"/>
        <v>0</v>
      </c>
      <c r="J105" s="205"/>
      <c r="L105" s="140"/>
      <c r="W105" s="141"/>
    </row>
    <row r="106" spans="2:26" ht="12">
      <c r="B106" s="222"/>
      <c r="C106" s="206" t="s">
        <v>504</v>
      </c>
      <c r="D106" s="200" t="s">
        <v>505</v>
      </c>
      <c r="E106" s="201" t="s">
        <v>450</v>
      </c>
      <c r="F106" s="551">
        <f>685/1.21</f>
        <v>566.11570247933889</v>
      </c>
      <c r="G106" s="203">
        <f>+SUMIF('AUX-NIV1'!I:I,Recursos!C106,'AUX-NIV1'!Q:Q)+SUMIF('AUX-NIV2'!I:I,Recursos!C106,'AUX-NIV2'!Q:Q)+SUMIF('AUX-NIV3'!I:I,Recursos!C106,'AUX-NIV3'!Q:Q)</f>
        <v>0</v>
      </c>
      <c r="H106" s="204">
        <f t="shared" si="6"/>
        <v>0</v>
      </c>
      <c r="I106" s="366">
        <f t="shared" si="7"/>
        <v>0</v>
      </c>
      <c r="J106" s="205"/>
      <c r="L106" s="142"/>
      <c r="X106" s="143"/>
      <c r="Z106" s="144"/>
    </row>
    <row r="107" spans="2:26">
      <c r="B107" s="222"/>
      <c r="C107" s="206" t="s">
        <v>506</v>
      </c>
      <c r="D107" s="200" t="s">
        <v>507</v>
      </c>
      <c r="E107" s="201" t="s">
        <v>371</v>
      </c>
      <c r="F107" s="551">
        <v>25</v>
      </c>
      <c r="G107" s="203">
        <f>+SUMIF('AUX-NIV1'!I:I,Recursos!C107,'AUX-NIV1'!Q:Q)+SUMIF('AUX-NIV2'!I:I,Recursos!C107,'AUX-NIV2'!Q:Q)+SUMIF('AUX-NIV3'!I:I,Recursos!C107,'AUX-NIV3'!Q:Q)</f>
        <v>0</v>
      </c>
      <c r="H107" s="204">
        <f t="shared" si="6"/>
        <v>0</v>
      </c>
      <c r="I107" s="366">
        <f t="shared" si="7"/>
        <v>0</v>
      </c>
      <c r="J107" s="205"/>
      <c r="L107" s="83"/>
    </row>
    <row r="108" spans="2:26">
      <c r="B108" s="222"/>
      <c r="C108" s="206" t="s">
        <v>508</v>
      </c>
      <c r="D108" s="200" t="s">
        <v>509</v>
      </c>
      <c r="E108" s="201" t="s">
        <v>462</v>
      </c>
      <c r="F108" s="551">
        <v>0</v>
      </c>
      <c r="G108" s="203">
        <f>+SUMIF('AUX-NIV1'!I:I,Recursos!C108,'AUX-NIV1'!Q:Q)+SUMIF('AUX-NIV2'!I:I,Recursos!C108,'AUX-NIV2'!Q:Q)+SUMIF('AUX-NIV3'!I:I,Recursos!C108,'AUX-NIV3'!Q:Q)</f>
        <v>0</v>
      </c>
      <c r="H108" s="204">
        <f t="shared" si="6"/>
        <v>0</v>
      </c>
      <c r="I108" s="366">
        <f t="shared" si="7"/>
        <v>0</v>
      </c>
      <c r="J108" s="205"/>
      <c r="L108" s="83"/>
    </row>
    <row r="109" spans="2:26">
      <c r="B109" s="222"/>
      <c r="C109" s="206" t="s">
        <v>510</v>
      </c>
      <c r="D109" s="200" t="s">
        <v>579</v>
      </c>
      <c r="E109" s="201" t="s">
        <v>465</v>
      </c>
      <c r="F109" s="551">
        <v>837</v>
      </c>
      <c r="G109" s="203">
        <f>+SUMIF('AUX-NIV1'!I:I,Recursos!C109,'AUX-NIV1'!Q:Q)+SUMIF('AUX-NIV2'!I:I,Recursos!C109,'AUX-NIV2'!Q:Q)+SUMIF('AUX-NIV3'!I:I,Recursos!C109,'AUX-NIV3'!Q:Q)</f>
        <v>0</v>
      </c>
      <c r="H109" s="204">
        <f t="shared" si="6"/>
        <v>0</v>
      </c>
      <c r="I109" s="366">
        <f t="shared" si="7"/>
        <v>0</v>
      </c>
      <c r="J109" s="205"/>
      <c r="L109" s="83"/>
    </row>
    <row r="110" spans="2:26">
      <c r="B110" s="222"/>
      <c r="C110" s="206" t="s">
        <v>580</v>
      </c>
      <c r="D110" s="200" t="s">
        <v>581</v>
      </c>
      <c r="E110" s="201" t="s">
        <v>450</v>
      </c>
      <c r="F110" s="551"/>
      <c r="G110" s="203">
        <f>+SUMIF('AUX-NIV1'!I:I,Recursos!C110,'AUX-NIV1'!Q:Q)+SUMIF('AUX-NIV2'!I:I,Recursos!C110,'AUX-NIV2'!Q:Q)+SUMIF('AUX-NIV3'!I:I,Recursos!C110,'AUX-NIV3'!Q:Q)</f>
        <v>0</v>
      </c>
      <c r="H110" s="204">
        <f t="shared" si="6"/>
        <v>0</v>
      </c>
      <c r="I110" s="366">
        <f t="shared" si="7"/>
        <v>0</v>
      </c>
      <c r="J110" s="205"/>
      <c r="L110" s="83"/>
    </row>
    <row r="111" spans="2:26">
      <c r="B111" s="222"/>
      <c r="C111" s="206" t="s">
        <v>148</v>
      </c>
      <c r="D111" s="200" t="s">
        <v>149</v>
      </c>
      <c r="E111" s="201" t="s">
        <v>501</v>
      </c>
      <c r="F111" s="551">
        <v>1000</v>
      </c>
      <c r="G111" s="203">
        <f>+SUMIF('AUX-NIV1'!I:I,Recursos!C111,'AUX-NIV1'!Q:Q)+SUMIF('AUX-NIV2'!I:I,Recursos!C111,'AUX-NIV2'!Q:Q)+SUMIF('AUX-NIV3'!I:I,Recursos!C111,'AUX-NIV3'!Q:Q)</f>
        <v>0</v>
      </c>
      <c r="H111" s="204">
        <f t="shared" si="6"/>
        <v>0</v>
      </c>
      <c r="I111" s="366">
        <f t="shared" si="7"/>
        <v>0</v>
      </c>
      <c r="J111" s="205"/>
      <c r="L111" s="83"/>
    </row>
    <row r="112" spans="2:26">
      <c r="B112" s="222"/>
      <c r="C112" s="206" t="s">
        <v>582</v>
      </c>
      <c r="D112" s="200" t="s">
        <v>583</v>
      </c>
      <c r="E112" s="201" t="s">
        <v>501</v>
      </c>
      <c r="F112" s="551">
        <v>10</v>
      </c>
      <c r="G112" s="203">
        <f>+SUMIF('AUX-NIV1'!I:I,Recursos!C112,'AUX-NIV1'!Q:Q)+SUMIF('AUX-NIV2'!I:I,Recursos!C112,'AUX-NIV2'!Q:Q)+SUMIF('AUX-NIV3'!I:I,Recursos!C112,'AUX-NIV3'!Q:Q)</f>
        <v>0</v>
      </c>
      <c r="H112" s="204">
        <f t="shared" si="6"/>
        <v>0</v>
      </c>
      <c r="I112" s="366">
        <f t="shared" si="7"/>
        <v>0</v>
      </c>
      <c r="J112" s="205"/>
      <c r="L112" s="83"/>
      <c r="M112" s="145"/>
    </row>
    <row r="113" spans="2:12">
      <c r="B113" s="222"/>
      <c r="C113" s="206" t="s">
        <v>263</v>
      </c>
      <c r="D113" s="200" t="s">
        <v>270</v>
      </c>
      <c r="E113" s="201" t="s">
        <v>444</v>
      </c>
      <c r="F113" s="551">
        <v>4.3499999999999996</v>
      </c>
      <c r="G113" s="203">
        <f>+SUMIF('AUX-NIV1'!I:I,Recursos!C113,'AUX-NIV1'!Q:Q)+SUMIF('AUX-NIV2'!I:I,Recursos!C113,'AUX-NIV2'!Q:Q)+SUMIF('AUX-NIV3'!I:I,Recursos!C113,'AUX-NIV3'!Q:Q)</f>
        <v>0</v>
      </c>
      <c r="H113" s="204">
        <f t="shared" si="6"/>
        <v>0</v>
      </c>
      <c r="I113" s="366">
        <f t="shared" si="7"/>
        <v>0</v>
      </c>
      <c r="J113" s="205"/>
      <c r="L113" s="83"/>
    </row>
    <row r="114" spans="2:12">
      <c r="B114" s="222"/>
      <c r="C114" s="206" t="s">
        <v>264</v>
      </c>
      <c r="D114" s="200" t="s">
        <v>271</v>
      </c>
      <c r="E114" s="201" t="s">
        <v>477</v>
      </c>
      <c r="F114" s="551">
        <v>0.75</v>
      </c>
      <c r="G114" s="203">
        <f>+SUMIF('AUX-NIV1'!I:I,Recursos!C114,'AUX-NIV1'!Q:Q)+SUMIF('AUX-NIV2'!I:I,Recursos!C114,'AUX-NIV2'!Q:Q)+SUMIF('AUX-NIV3'!I:I,Recursos!C114,'AUX-NIV3'!Q:Q)</f>
        <v>0</v>
      </c>
      <c r="H114" s="204">
        <f t="shared" si="6"/>
        <v>0</v>
      </c>
      <c r="I114" s="366">
        <f t="shared" si="7"/>
        <v>0</v>
      </c>
      <c r="J114" s="205"/>
      <c r="L114" s="83"/>
    </row>
    <row r="115" spans="2:12">
      <c r="B115" s="222"/>
      <c r="C115" s="206" t="s">
        <v>265</v>
      </c>
      <c r="D115" s="200" t="s">
        <v>272</v>
      </c>
      <c r="E115" s="201" t="s">
        <v>185</v>
      </c>
      <c r="F115" s="551">
        <f>2.25*usd/6</f>
        <v>38.268749999999997</v>
      </c>
      <c r="G115" s="203">
        <f>+SUMIF('AUX-NIV1'!I:I,Recursos!C115,'AUX-NIV1'!Q:Q)+SUMIF('AUX-NIV2'!I:I,Recursos!C115,'AUX-NIV2'!Q:Q)+SUMIF('AUX-NIV3'!I:I,Recursos!C115,'AUX-NIV3'!Q:Q)</f>
        <v>0</v>
      </c>
      <c r="H115" s="204">
        <f t="shared" si="6"/>
        <v>0</v>
      </c>
      <c r="I115" s="366">
        <f t="shared" si="7"/>
        <v>0</v>
      </c>
      <c r="J115" s="205"/>
      <c r="L115" s="83"/>
    </row>
    <row r="116" spans="2:12">
      <c r="B116" s="222"/>
      <c r="C116" s="206" t="s">
        <v>266</v>
      </c>
      <c r="D116" s="200" t="s">
        <v>273</v>
      </c>
      <c r="E116" s="201" t="s">
        <v>477</v>
      </c>
      <c r="F116" s="551">
        <f>0.25*usd</f>
        <v>25.512499999999999</v>
      </c>
      <c r="G116" s="203">
        <f>+SUMIF('AUX-NIV1'!I:I,Recursos!C116,'AUX-NIV1'!Q:Q)+SUMIF('AUX-NIV2'!I:I,Recursos!C116,'AUX-NIV2'!Q:Q)+SUMIF('AUX-NIV3'!I:I,Recursos!C116,'AUX-NIV3'!Q:Q)</f>
        <v>0</v>
      </c>
      <c r="H116" s="204">
        <f t="shared" si="6"/>
        <v>0</v>
      </c>
      <c r="I116" s="366">
        <f t="shared" si="7"/>
        <v>0</v>
      </c>
      <c r="J116" s="205"/>
      <c r="L116" s="83"/>
    </row>
    <row r="117" spans="2:12" ht="12">
      <c r="B117" s="222"/>
      <c r="C117" s="206" t="s">
        <v>267</v>
      </c>
      <c r="D117" s="200" t="s">
        <v>274</v>
      </c>
      <c r="E117" s="201" t="s">
        <v>444</v>
      </c>
      <c r="F117" s="551">
        <v>2</v>
      </c>
      <c r="G117" s="203">
        <f>+SUMIF('AUX-NIV1'!I:I,Recursos!C117,'AUX-NIV1'!Q:Q)+SUMIF('AUX-NIV2'!I:I,Recursos!C117,'AUX-NIV2'!Q:Q)+SUMIF('AUX-NIV3'!I:I,Recursos!C117,'AUX-NIV3'!Q:Q)</f>
        <v>0</v>
      </c>
      <c r="H117" s="204">
        <f t="shared" si="6"/>
        <v>0</v>
      </c>
      <c r="I117" s="366">
        <f t="shared" si="7"/>
        <v>0</v>
      </c>
      <c r="J117" s="205"/>
      <c r="L117" s="139"/>
    </row>
    <row r="118" spans="2:12">
      <c r="B118" s="222"/>
      <c r="C118" s="206" t="s">
        <v>268</v>
      </c>
      <c r="D118" s="200" t="s">
        <v>275</v>
      </c>
      <c r="E118" s="201" t="s">
        <v>477</v>
      </c>
      <c r="F118" s="551">
        <v>0.4</v>
      </c>
      <c r="G118" s="203">
        <f>+SUMIF('AUX-NIV1'!I:I,Recursos!C118,'AUX-NIV1'!Q:Q)+SUMIF('AUX-NIV2'!I:I,Recursos!C118,'AUX-NIV2'!Q:Q)+SUMIF('AUX-NIV3'!I:I,Recursos!C118,'AUX-NIV3'!Q:Q)</f>
        <v>0</v>
      </c>
      <c r="H118" s="204">
        <f t="shared" si="6"/>
        <v>0</v>
      </c>
      <c r="I118" s="366">
        <f t="shared" si="7"/>
        <v>0</v>
      </c>
      <c r="J118" s="205"/>
      <c r="L118" s="83"/>
    </row>
    <row r="119" spans="2:12">
      <c r="B119" s="222"/>
      <c r="C119" s="206" t="s">
        <v>269</v>
      </c>
      <c r="D119" s="200" t="s">
        <v>276</v>
      </c>
      <c r="E119" s="201" t="s">
        <v>185</v>
      </c>
      <c r="F119" s="551">
        <v>0.75</v>
      </c>
      <c r="G119" s="203">
        <f>+SUMIF('AUX-NIV1'!I:I,Recursos!C119,'AUX-NIV1'!Q:Q)+SUMIF('AUX-NIV2'!I:I,Recursos!C119,'AUX-NIV2'!Q:Q)+SUMIF('AUX-NIV3'!I:I,Recursos!C119,'AUX-NIV3'!Q:Q)</f>
        <v>0</v>
      </c>
      <c r="H119" s="204">
        <f t="shared" si="6"/>
        <v>0</v>
      </c>
      <c r="I119" s="366">
        <f t="shared" si="7"/>
        <v>0</v>
      </c>
      <c r="J119" s="205"/>
      <c r="L119" s="83"/>
    </row>
    <row r="120" spans="2:12">
      <c r="B120" s="222"/>
      <c r="C120" s="206" t="s">
        <v>584</v>
      </c>
      <c r="D120" s="200" t="s">
        <v>585</v>
      </c>
      <c r="E120" s="201" t="s">
        <v>586</v>
      </c>
      <c r="F120" s="551">
        <f>3140/1.21/(1.2*2.4)</f>
        <v>901.05601469237831</v>
      </c>
      <c r="G120" s="203">
        <f>+SUMIF('AUX-NIV1'!I:I,Recursos!C120,'AUX-NIV1'!Q:Q)+SUMIF('AUX-NIV2'!I:I,Recursos!C120,'AUX-NIV2'!Q:Q)+SUMIF('AUX-NIV3'!I:I,Recursos!C120,'AUX-NIV3'!Q:Q)</f>
        <v>0</v>
      </c>
      <c r="H120" s="204">
        <f t="shared" si="6"/>
        <v>0</v>
      </c>
      <c r="I120" s="366">
        <f t="shared" si="7"/>
        <v>0</v>
      </c>
      <c r="J120" s="205"/>
      <c r="L120" s="83"/>
    </row>
    <row r="121" spans="2:12">
      <c r="B121" s="222"/>
      <c r="C121" s="206" t="s">
        <v>118</v>
      </c>
      <c r="D121" s="200" t="s">
        <v>119</v>
      </c>
      <c r="E121" s="201" t="s">
        <v>450</v>
      </c>
      <c r="F121" s="551">
        <f>F122</f>
        <v>0</v>
      </c>
      <c r="G121" s="203">
        <f>+SUMIF('AUX-NIV1'!I:I,Recursos!C121,'AUX-NIV1'!Q:Q)+SUMIF('AUX-NIV2'!I:I,Recursos!C121,'AUX-NIV2'!Q:Q)+SUMIF('AUX-NIV3'!I:I,Recursos!C121,'AUX-NIV3'!Q:Q)</f>
        <v>0</v>
      </c>
      <c r="H121" s="204">
        <f t="shared" si="6"/>
        <v>0</v>
      </c>
      <c r="I121" s="366">
        <f t="shared" si="7"/>
        <v>0</v>
      </c>
      <c r="J121" s="205"/>
      <c r="L121" s="83"/>
    </row>
    <row r="122" spans="2:12">
      <c r="B122" s="222"/>
      <c r="C122" s="206" t="s">
        <v>406</v>
      </c>
      <c r="D122" s="200" t="s">
        <v>410</v>
      </c>
      <c r="E122" s="201" t="s">
        <v>185</v>
      </c>
      <c r="F122" s="551"/>
      <c r="G122" s="203">
        <f>+SUMIF('AUX-NIV1'!I:I,Recursos!C122,'AUX-NIV1'!Q:Q)+SUMIF('AUX-NIV2'!I:I,Recursos!C122,'AUX-NIV2'!Q:Q)+SUMIF('AUX-NIV3'!I:I,Recursos!C122,'AUX-NIV3'!Q:Q)</f>
        <v>0</v>
      </c>
      <c r="H122" s="204">
        <f t="shared" si="6"/>
        <v>0</v>
      </c>
      <c r="I122" s="366">
        <f t="shared" si="7"/>
        <v>0</v>
      </c>
      <c r="J122" s="205"/>
      <c r="L122" s="83"/>
    </row>
    <row r="123" spans="2:12">
      <c r="B123" s="222"/>
      <c r="C123" s="206" t="s">
        <v>173</v>
      </c>
      <c r="D123" s="200" t="s">
        <v>174</v>
      </c>
      <c r="E123" s="201" t="s">
        <v>501</v>
      </c>
      <c r="F123" s="551"/>
      <c r="G123" s="203">
        <f>+SUMIF('AUX-NIV1'!I:I,Recursos!C123,'AUX-NIV1'!Q:Q)+SUMIF('AUX-NIV2'!I:I,Recursos!C123,'AUX-NIV2'!Q:Q)+SUMIF('AUX-NIV3'!I:I,Recursos!C123,'AUX-NIV3'!Q:Q)</f>
        <v>0</v>
      </c>
      <c r="H123" s="204">
        <f t="shared" si="6"/>
        <v>0</v>
      </c>
      <c r="I123" s="366">
        <f t="shared" si="7"/>
        <v>0</v>
      </c>
      <c r="J123" s="205"/>
      <c r="L123" s="83"/>
    </row>
    <row r="124" spans="2:12">
      <c r="B124" s="222"/>
      <c r="C124" s="206" t="s">
        <v>1073</v>
      </c>
      <c r="D124" s="200" t="s">
        <v>1074</v>
      </c>
      <c r="E124" s="201" t="s">
        <v>1172</v>
      </c>
      <c r="F124" s="551">
        <v>1</v>
      </c>
      <c r="G124" s="203">
        <f>+SUMIF('AUX-NIV1'!I:I,Recursos!C124,'AUX-NIV1'!Q:Q)+SUMIF('AUX-NIV2'!I:I,Recursos!C124,'AUX-NIV2'!Q:Q)+SUMIF('AUX-NIV3'!I:I,Recursos!C124,'AUX-NIV3'!Q:Q)</f>
        <v>0</v>
      </c>
      <c r="H124" s="204">
        <f t="shared" si="6"/>
        <v>0</v>
      </c>
      <c r="I124" s="366">
        <f t="shared" si="7"/>
        <v>0</v>
      </c>
      <c r="J124" s="205"/>
      <c r="L124" s="1610"/>
    </row>
    <row r="125" spans="2:12">
      <c r="B125" s="222"/>
      <c r="C125" s="206" t="s">
        <v>587</v>
      </c>
      <c r="D125" s="200" t="s">
        <v>588</v>
      </c>
      <c r="E125" s="201" t="s">
        <v>589</v>
      </c>
      <c r="F125" s="551">
        <v>0.6</v>
      </c>
      <c r="G125" s="203">
        <f>+SUMIF('AUX-NIV1'!I:I,Recursos!C125,'AUX-NIV1'!Q:Q)+SUMIF('AUX-NIV2'!I:I,Recursos!C125,'AUX-NIV2'!Q:Q)+SUMIF('AUX-NIV3'!I:I,Recursos!C125,'AUX-NIV3'!Q:Q)</f>
        <v>0</v>
      </c>
      <c r="H125" s="204">
        <f t="shared" si="6"/>
        <v>0</v>
      </c>
      <c r="I125" s="366">
        <f t="shared" si="7"/>
        <v>0</v>
      </c>
      <c r="J125" s="205"/>
      <c r="L125" s="83"/>
    </row>
    <row r="126" spans="2:12">
      <c r="B126" s="222"/>
      <c r="C126" s="206" t="s">
        <v>624</v>
      </c>
      <c r="D126" s="200" t="s">
        <v>625</v>
      </c>
      <c r="E126" s="201" t="s">
        <v>456</v>
      </c>
      <c r="F126" s="551">
        <v>8.4</v>
      </c>
      <c r="G126" s="203">
        <f>+SUMIF('AUX-NIV1'!I:I,Recursos!C126,'AUX-NIV1'!Q:Q)+SUMIF('AUX-NIV2'!I:I,Recursos!C126,'AUX-NIV2'!Q:Q)+SUMIF('AUX-NIV3'!I:I,Recursos!C126,'AUX-NIV3'!Q:Q)</f>
        <v>0</v>
      </c>
      <c r="H126" s="204">
        <f t="shared" si="6"/>
        <v>0</v>
      </c>
      <c r="I126" s="366">
        <f t="shared" si="7"/>
        <v>0</v>
      </c>
      <c r="J126" s="205"/>
      <c r="L126" s="83"/>
    </row>
    <row r="127" spans="2:12">
      <c r="B127" s="222"/>
      <c r="C127" s="206" t="s">
        <v>590</v>
      </c>
      <c r="D127" s="200" t="s">
        <v>591</v>
      </c>
      <c r="E127" s="201" t="s">
        <v>371</v>
      </c>
      <c r="F127" s="551">
        <v>0</v>
      </c>
      <c r="G127" s="203">
        <f>+SUMIF('AUX-NIV1'!I:I,Recursos!C127,'AUX-NIV1'!Q:Q)+SUMIF('AUX-NIV2'!I:I,Recursos!C127,'AUX-NIV2'!Q:Q)+SUMIF('AUX-NIV3'!I:I,Recursos!C127,'AUX-NIV3'!Q:Q)</f>
        <v>0</v>
      </c>
      <c r="H127" s="204">
        <f t="shared" si="6"/>
        <v>0</v>
      </c>
      <c r="I127" s="366">
        <f t="shared" si="7"/>
        <v>0</v>
      </c>
      <c r="J127" s="205"/>
      <c r="L127" s="83"/>
    </row>
    <row r="128" spans="2:12">
      <c r="B128" s="222"/>
      <c r="C128" s="206" t="s">
        <v>157</v>
      </c>
      <c r="D128" s="200" t="s">
        <v>158</v>
      </c>
      <c r="E128" s="201" t="s">
        <v>477</v>
      </c>
      <c r="F128" s="551"/>
      <c r="G128" s="203">
        <f>+SUMIF('AUX-NIV1'!I:I,Recursos!C128,'AUX-NIV1'!Q:Q)+SUMIF('AUX-NIV2'!I:I,Recursos!C128,'AUX-NIV2'!Q:Q)+SUMIF('AUX-NIV3'!I:I,Recursos!C128,'AUX-NIV3'!Q:Q)</f>
        <v>0</v>
      </c>
      <c r="H128" s="204">
        <f t="shared" si="6"/>
        <v>0</v>
      </c>
      <c r="I128" s="366">
        <f t="shared" si="7"/>
        <v>0</v>
      </c>
      <c r="J128" s="205"/>
      <c r="L128" s="83"/>
    </row>
    <row r="129" spans="2:67">
      <c r="B129" s="222"/>
      <c r="C129" s="206" t="s">
        <v>154</v>
      </c>
      <c r="D129" s="200" t="s">
        <v>155</v>
      </c>
      <c r="E129" s="201" t="s">
        <v>477</v>
      </c>
      <c r="F129" s="551">
        <v>35</v>
      </c>
      <c r="G129" s="203">
        <f>+SUMIF('AUX-NIV1'!I:I,Recursos!C129,'AUX-NIV1'!Q:Q)+SUMIF('AUX-NIV2'!I:I,Recursos!C129,'AUX-NIV2'!Q:Q)+SUMIF('AUX-NIV3'!I:I,Recursos!C129,'AUX-NIV3'!Q:Q)</f>
        <v>0</v>
      </c>
      <c r="H129" s="204">
        <f t="shared" si="6"/>
        <v>0</v>
      </c>
      <c r="I129" s="366">
        <f t="shared" si="7"/>
        <v>0</v>
      </c>
      <c r="J129" s="205"/>
      <c r="L129" s="83"/>
    </row>
    <row r="130" spans="2:67">
      <c r="B130" s="222"/>
      <c r="C130" s="206" t="s">
        <v>152</v>
      </c>
      <c r="D130" s="200" t="s">
        <v>153</v>
      </c>
      <c r="E130" s="201" t="s">
        <v>477</v>
      </c>
      <c r="F130" s="551"/>
      <c r="G130" s="203">
        <f>+SUMIF('AUX-NIV1'!I:I,Recursos!C130,'AUX-NIV1'!Q:Q)+SUMIF('AUX-NIV2'!I:I,Recursos!C130,'AUX-NIV2'!Q:Q)+SUMIF('AUX-NIV3'!I:I,Recursos!C130,'AUX-NIV3'!Q:Q)</f>
        <v>0</v>
      </c>
      <c r="H130" s="204">
        <f t="shared" si="6"/>
        <v>0</v>
      </c>
      <c r="I130" s="366">
        <f t="shared" si="7"/>
        <v>0</v>
      </c>
      <c r="J130" s="205"/>
      <c r="L130" s="83"/>
    </row>
    <row r="131" spans="2:67">
      <c r="B131" s="222"/>
      <c r="C131" s="206" t="s">
        <v>592</v>
      </c>
      <c r="D131" s="200" t="s">
        <v>593</v>
      </c>
      <c r="E131" s="201" t="s">
        <v>371</v>
      </c>
      <c r="F131" s="551">
        <v>0.8</v>
      </c>
      <c r="G131" s="203">
        <f>+SUMIF('AUX-NIV1'!I:I,Recursos!C131,'AUX-NIV1'!Q:Q)+SUMIF('AUX-NIV2'!I:I,Recursos!C131,'AUX-NIV2'!Q:Q)+SUMIF('AUX-NIV3'!I:I,Recursos!C131,'AUX-NIV3'!Q:Q)</f>
        <v>0</v>
      </c>
      <c r="H131" s="204">
        <f t="shared" si="6"/>
        <v>0</v>
      </c>
      <c r="I131" s="366">
        <f t="shared" si="7"/>
        <v>0</v>
      </c>
      <c r="J131" s="205"/>
      <c r="L131" s="83"/>
    </row>
    <row r="132" spans="2:67">
      <c r="B132" s="222"/>
      <c r="C132" s="206" t="s">
        <v>893</v>
      </c>
      <c r="D132" s="200" t="s">
        <v>894</v>
      </c>
      <c r="E132" s="201" t="s">
        <v>185</v>
      </c>
      <c r="F132" s="551">
        <v>100</v>
      </c>
      <c r="G132" s="203">
        <f>+SUMIF('AUX-NIV1'!I:I,Recursos!C132,'AUX-NIV1'!Q:Q)+SUMIF('AUX-NIV2'!I:I,Recursos!C132,'AUX-NIV2'!Q:Q)+SUMIF('AUX-NIV3'!I:I,Recursos!C132,'AUX-NIV3'!Q:Q)</f>
        <v>0</v>
      </c>
      <c r="H132" s="204">
        <f t="shared" si="6"/>
        <v>0</v>
      </c>
      <c r="I132" s="366">
        <f t="shared" si="7"/>
        <v>0</v>
      </c>
      <c r="J132" s="205"/>
      <c r="L132" s="83"/>
    </row>
    <row r="133" spans="2:67">
      <c r="B133" s="222"/>
      <c r="C133" s="206" t="s">
        <v>594</v>
      </c>
      <c r="D133" s="200" t="s">
        <v>595</v>
      </c>
      <c r="E133" s="201" t="s">
        <v>501</v>
      </c>
      <c r="F133" s="551">
        <v>2375</v>
      </c>
      <c r="G133" s="203">
        <f>+SUMIF('AUX-NIV1'!I:I,Recursos!C133,'AUX-NIV1'!Q:Q)+SUMIF('AUX-NIV2'!I:I,Recursos!C133,'AUX-NIV2'!Q:Q)+SUMIF('AUX-NIV3'!I:I,Recursos!C133,'AUX-NIV3'!Q:Q)</f>
        <v>0</v>
      </c>
      <c r="H133" s="204">
        <f t="shared" si="6"/>
        <v>0</v>
      </c>
      <c r="I133" s="366">
        <f t="shared" si="7"/>
        <v>0</v>
      </c>
      <c r="J133" s="205"/>
      <c r="L133" s="83"/>
    </row>
    <row r="134" spans="2:67">
      <c r="B134" s="222"/>
      <c r="C134" s="206" t="s">
        <v>1747</v>
      </c>
      <c r="D134" s="200" t="s">
        <v>1748</v>
      </c>
      <c r="E134" s="201" t="s">
        <v>1411</v>
      </c>
      <c r="F134" s="551">
        <v>26.35</v>
      </c>
      <c r="G134" s="203">
        <f>+SUMIF('AUX-NIV1'!I:I,Recursos!C134,'AUX-NIV1'!Q:Q)+SUMIF('AUX-NIV2'!I:I,Recursos!C134,'AUX-NIV2'!Q:Q)+SUMIF('AUX-NIV3'!I:I,Recursos!C134,'AUX-NIV3'!Q:Q)</f>
        <v>0</v>
      </c>
      <c r="H134" s="204">
        <f t="shared" si="6"/>
        <v>0</v>
      </c>
      <c r="I134" s="366">
        <f t="shared" si="7"/>
        <v>0</v>
      </c>
      <c r="J134" s="474"/>
      <c r="L134" s="83"/>
    </row>
    <row r="135" spans="2:67">
      <c r="B135" s="222"/>
      <c r="C135" s="206" t="s">
        <v>1749</v>
      </c>
      <c r="D135" s="200" t="s">
        <v>1750</v>
      </c>
      <c r="E135" s="201" t="s">
        <v>1411</v>
      </c>
      <c r="F135" s="551">
        <v>26.43</v>
      </c>
      <c r="G135" s="203">
        <f>+SUMIF('AUX-NIV1'!I:I,Recursos!C135,'AUX-NIV1'!Q:Q)+SUMIF('AUX-NIV2'!I:I,Recursos!C135,'AUX-NIV2'!Q:Q)+SUMIF('AUX-NIV3'!I:I,Recursos!C135,'AUX-NIV3'!Q:Q)</f>
        <v>0</v>
      </c>
      <c r="H135" s="204">
        <f t="shared" si="6"/>
        <v>0</v>
      </c>
      <c r="I135" s="366">
        <f t="shared" si="7"/>
        <v>0</v>
      </c>
      <c r="J135" s="474"/>
      <c r="L135" s="83"/>
    </row>
    <row r="136" spans="2:67" ht="12">
      <c r="B136" s="222"/>
      <c r="C136" s="1535" t="s">
        <v>1751</v>
      </c>
      <c r="D136" s="1539" t="s">
        <v>440</v>
      </c>
      <c r="E136" s="1537" t="s">
        <v>441</v>
      </c>
      <c r="F136" s="1538">
        <f>223900/1.21</f>
        <v>185041.32231404958</v>
      </c>
      <c r="G136" s="203">
        <f>+SUMIF('AUX-NIV1'!I:I,Recursos!C136,'AUX-NIV1'!Q:Q)+SUMIF('AUX-NIV2'!I:I,Recursos!C136,'AUX-NIV2'!Q:Q)+SUMIF('AUX-NIV3'!I:I,Recursos!C136,'AUX-NIV3'!Q:Q)</f>
        <v>0.24181776315789477</v>
      </c>
      <c r="H136" s="204">
        <f t="shared" si="6"/>
        <v>44746.278653762514</v>
      </c>
      <c r="I136" s="366">
        <f t="shared" si="7"/>
        <v>0.13792036858926368</v>
      </c>
      <c r="J136" s="474"/>
      <c r="L136" s="1610">
        <f>H136/$H$76</f>
        <v>0.59725193775390517</v>
      </c>
      <c r="BO136" s="912"/>
    </row>
    <row r="137" spans="2:67">
      <c r="B137" s="222"/>
      <c r="C137" s="206" t="s">
        <v>1752</v>
      </c>
      <c r="D137" s="200" t="s">
        <v>443</v>
      </c>
      <c r="E137" s="201" t="s">
        <v>444</v>
      </c>
      <c r="F137" s="551">
        <v>6.5</v>
      </c>
      <c r="G137" s="203">
        <f>+SUMIF('AUX-NIV1'!I:I,Recursos!C137,'AUX-NIV1'!Q:Q)+SUMIF('AUX-NIV2'!I:I,Recursos!C137,'AUX-NIV2'!Q:Q)+SUMIF('AUX-NIV3'!I:I,Recursos!C137,'AUX-NIV3'!Q:Q)</f>
        <v>0</v>
      </c>
      <c r="H137" s="204">
        <f t="shared" si="6"/>
        <v>0</v>
      </c>
      <c r="I137" s="366">
        <f t="shared" si="7"/>
        <v>0</v>
      </c>
      <c r="J137" s="474"/>
      <c r="L137" s="83"/>
    </row>
    <row r="138" spans="2:67" ht="12">
      <c r="B138" s="222"/>
      <c r="C138" s="1616" t="s">
        <v>1510</v>
      </c>
      <c r="D138" s="1617" t="s">
        <v>1519</v>
      </c>
      <c r="E138" s="1537" t="s">
        <v>484</v>
      </c>
      <c r="F138" s="1538">
        <f>VLOOKUP("X-AGT",'AUX-NIV3'!B:F,5,FALSE)*3.5*0+900</f>
        <v>900</v>
      </c>
      <c r="G138" s="203">
        <f>+SUMIF('AUX-NIV1'!I:I,Recursos!C138,'AUX-NIV1'!Q:Q)+SUMIF('AUX-NIV2'!I:I,Recursos!C138,'AUX-NIV2'!Q:Q)+SUMIF('AUX-NIV3'!I:I,Recursos!C138,'AUX-NIV3'!Q:Q)</f>
        <v>0</v>
      </c>
      <c r="H138" s="204">
        <f t="shared" si="6"/>
        <v>0</v>
      </c>
      <c r="I138" s="366">
        <f t="shared" si="7"/>
        <v>0</v>
      </c>
      <c r="J138" s="205"/>
      <c r="L138" s="1610">
        <f t="shared" ref="L138" si="8">H138/$H$76</f>
        <v>0</v>
      </c>
      <c r="BO138" s="912"/>
    </row>
    <row r="139" spans="2:67">
      <c r="B139" s="222"/>
      <c r="C139" s="206" t="s">
        <v>1753</v>
      </c>
      <c r="D139" s="200" t="s">
        <v>1754</v>
      </c>
      <c r="E139" s="201" t="s">
        <v>484</v>
      </c>
      <c r="F139" s="551">
        <v>10</v>
      </c>
      <c r="G139" s="203">
        <f>+SUMIF('AUX-NIV1'!I:I,Recursos!C139,'AUX-NIV1'!Q:Q)+SUMIF('AUX-NIV2'!I:I,Recursos!C139,'AUX-NIV2'!Q:Q)+SUMIF('AUX-NIV3'!I:I,Recursos!C139,'AUX-NIV3'!Q:Q)</f>
        <v>0</v>
      </c>
      <c r="H139" s="204">
        <f t="shared" si="6"/>
        <v>0</v>
      </c>
      <c r="I139" s="366">
        <f t="shared" si="7"/>
        <v>0</v>
      </c>
      <c r="J139" s="474"/>
      <c r="L139" s="83"/>
    </row>
    <row r="140" spans="2:67">
      <c r="B140" s="222"/>
      <c r="C140" s="206" t="s">
        <v>1755</v>
      </c>
      <c r="D140" s="200" t="s">
        <v>1756</v>
      </c>
      <c r="E140" s="201" t="s">
        <v>441</v>
      </c>
      <c r="F140" s="551">
        <v>12</v>
      </c>
      <c r="G140" s="203">
        <f>+SUMIF('AUX-NIV1'!I:I,Recursos!C140,'AUX-NIV1'!Q:Q)+SUMIF('AUX-NIV2'!I:I,Recursos!C140,'AUX-NIV2'!Q:Q)+SUMIF('AUX-NIV3'!I:I,Recursos!C140,'AUX-NIV3'!Q:Q)</f>
        <v>0</v>
      </c>
      <c r="H140" s="204">
        <f t="shared" si="6"/>
        <v>0</v>
      </c>
      <c r="I140" s="366">
        <f t="shared" si="7"/>
        <v>0</v>
      </c>
      <c r="J140" s="474"/>
      <c r="L140" s="83"/>
    </row>
    <row r="141" spans="2:67">
      <c r="B141" s="222"/>
      <c r="C141" s="472" t="s">
        <v>1511</v>
      </c>
      <c r="D141" s="473" t="s">
        <v>1520</v>
      </c>
      <c r="E141" s="201" t="s">
        <v>441</v>
      </c>
      <c r="F141" s="551">
        <f>VLOOKUP("X-AFT",'AUX-NIV3'!B:F,5,FALSE)</f>
        <v>346.12398419675657</v>
      </c>
      <c r="G141" s="203">
        <f>+SUMIF('AUX-NIV1'!I:I,Recursos!C141,'AUX-NIV1'!Q:Q)+SUMIF('AUX-NIV2'!I:I,Recursos!C141,'AUX-NIV2'!Q:Q)+SUMIF('AUX-NIV3'!I:I,Recursos!C141,'AUX-NIV3'!Q:Q)</f>
        <v>0</v>
      </c>
      <c r="H141" s="204">
        <f t="shared" si="6"/>
        <v>0</v>
      </c>
      <c r="I141" s="366">
        <f t="shared" si="7"/>
        <v>0</v>
      </c>
      <c r="J141" s="205"/>
      <c r="L141" s="83"/>
      <c r="BO141" s="912"/>
    </row>
    <row r="142" spans="2:67">
      <c r="B142" s="222"/>
      <c r="C142" s="206" t="s">
        <v>1757</v>
      </c>
      <c r="D142" s="200" t="s">
        <v>1758</v>
      </c>
      <c r="E142" s="201" t="s">
        <v>484</v>
      </c>
      <c r="F142" s="551">
        <v>23</v>
      </c>
      <c r="G142" s="203">
        <f>+SUMIF('AUX-NIV1'!I:I,Recursos!C142,'AUX-NIV1'!Q:Q)+SUMIF('AUX-NIV2'!I:I,Recursos!C142,'AUX-NIV2'!Q:Q)+SUMIF('AUX-NIV3'!I:I,Recursos!C142,'AUX-NIV3'!Q:Q)</f>
        <v>0</v>
      </c>
      <c r="H142" s="204">
        <f t="shared" ref="H142:H205" si="9">+F142*G142</f>
        <v>0</v>
      </c>
      <c r="I142" s="366">
        <f t="shared" ref="I142:I205" si="10">+H142/$I$3</f>
        <v>0</v>
      </c>
      <c r="J142" s="474"/>
      <c r="L142" s="83"/>
    </row>
    <row r="143" spans="2:67">
      <c r="B143" s="222"/>
      <c r="C143" s="206" t="s">
        <v>1918</v>
      </c>
      <c r="D143" s="200" t="s">
        <v>1919</v>
      </c>
      <c r="E143" s="201" t="s">
        <v>610</v>
      </c>
      <c r="F143" s="551">
        <v>10</v>
      </c>
      <c r="G143" s="203">
        <f>+SUMIF('AUX-NIV1'!I:I,Recursos!C143,'AUX-NIV1'!Q:Q)+SUMIF('AUX-NIV2'!I:I,Recursos!C143,'AUX-NIV2'!Q:Q)+SUMIF('AUX-NIV3'!I:I,Recursos!C143,'AUX-NIV3'!Q:Q)</f>
        <v>0</v>
      </c>
      <c r="H143" s="204">
        <f t="shared" si="9"/>
        <v>0</v>
      </c>
      <c r="I143" s="366">
        <f t="shared" si="10"/>
        <v>0</v>
      </c>
      <c r="J143" s="474"/>
      <c r="L143" s="83"/>
    </row>
    <row r="144" spans="2:67">
      <c r="B144" s="222"/>
      <c r="C144" s="206" t="s">
        <v>1920</v>
      </c>
      <c r="D144" s="200" t="s">
        <v>1921</v>
      </c>
      <c r="E144" s="201" t="s">
        <v>450</v>
      </c>
      <c r="F144" s="551">
        <v>8</v>
      </c>
      <c r="G144" s="203">
        <f>+SUMIF('AUX-NIV1'!I:I,Recursos!C144,'AUX-NIV1'!Q:Q)+SUMIF('AUX-NIV2'!I:I,Recursos!C144,'AUX-NIV2'!Q:Q)+SUMIF('AUX-NIV3'!I:I,Recursos!C144,'AUX-NIV3'!Q:Q)</f>
        <v>0</v>
      </c>
      <c r="H144" s="204">
        <f t="shared" si="9"/>
        <v>0</v>
      </c>
      <c r="I144" s="366">
        <f t="shared" si="10"/>
        <v>0</v>
      </c>
      <c r="J144" s="474"/>
      <c r="L144" s="83"/>
    </row>
    <row r="145" spans="2:67">
      <c r="B145" s="222"/>
      <c r="C145" s="206" t="s">
        <v>1922</v>
      </c>
      <c r="D145" s="200" t="s">
        <v>1923</v>
      </c>
      <c r="E145" s="201" t="s">
        <v>477</v>
      </c>
      <c r="F145" s="551">
        <v>55</v>
      </c>
      <c r="G145" s="203">
        <f>+SUMIF('AUX-NIV1'!I:I,Recursos!C145,'AUX-NIV1'!Q:Q)+SUMIF('AUX-NIV2'!I:I,Recursos!C145,'AUX-NIV2'!Q:Q)+SUMIF('AUX-NIV3'!I:I,Recursos!C145,'AUX-NIV3'!Q:Q)</f>
        <v>0</v>
      </c>
      <c r="H145" s="204">
        <f t="shared" si="9"/>
        <v>0</v>
      </c>
      <c r="I145" s="366">
        <f t="shared" si="10"/>
        <v>0</v>
      </c>
      <c r="J145" s="474"/>
      <c r="L145" s="83"/>
    </row>
    <row r="146" spans="2:67">
      <c r="B146" s="222"/>
      <c r="C146" s="206" t="s">
        <v>1924</v>
      </c>
      <c r="D146" s="207" t="s">
        <v>505</v>
      </c>
      <c r="E146" s="201" t="s">
        <v>450</v>
      </c>
      <c r="F146" s="551">
        <v>98.5</v>
      </c>
      <c r="G146" s="203">
        <f>+SUMIF('AUX-NIV1'!I:I,Recursos!C146,'AUX-NIV1'!Q:Q)+SUMIF('AUX-NIV2'!I:I,Recursos!C146,'AUX-NIV2'!Q:Q)+SUMIF('AUX-NIV3'!I:I,Recursos!C146,'AUX-NIV3'!Q:Q)</f>
        <v>0</v>
      </c>
      <c r="H146" s="204">
        <f t="shared" si="9"/>
        <v>0</v>
      </c>
      <c r="I146" s="366">
        <f t="shared" si="10"/>
        <v>0</v>
      </c>
      <c r="J146" s="474"/>
      <c r="L146" s="1610"/>
      <c r="BO146" s="912"/>
    </row>
    <row r="147" spans="2:67">
      <c r="B147" s="222"/>
      <c r="C147" s="206" t="s">
        <v>1925</v>
      </c>
      <c r="D147" s="200" t="s">
        <v>449</v>
      </c>
      <c r="E147" s="201" t="s">
        <v>450</v>
      </c>
      <c r="F147" s="1656">
        <v>300</v>
      </c>
      <c r="G147" s="203">
        <f>+SUMIF('AUX-NIV1'!I:I,Recursos!C147,'AUX-NIV1'!Q:Q)+SUMIF('AUX-NIV2'!I:I,Recursos!C147,'AUX-NIV2'!Q:Q)+SUMIF('AUX-NIV3'!I:I,Recursos!C147,'AUX-NIV3'!Q:Q)</f>
        <v>0</v>
      </c>
      <c r="H147" s="204">
        <f t="shared" si="9"/>
        <v>0</v>
      </c>
      <c r="I147" s="366">
        <f t="shared" si="10"/>
        <v>0</v>
      </c>
      <c r="J147" s="474"/>
      <c r="L147" s="83"/>
    </row>
    <row r="148" spans="2:67">
      <c r="B148" s="222"/>
      <c r="C148" s="206" t="s">
        <v>1926</v>
      </c>
      <c r="D148" s="207" t="s">
        <v>1927</v>
      </c>
      <c r="E148" s="201" t="s">
        <v>450</v>
      </c>
      <c r="F148" s="551">
        <v>175</v>
      </c>
      <c r="G148" s="203">
        <f>+SUMIF('AUX-NIV1'!I:I,Recursos!C148,'AUX-NIV1'!Q:Q)+SUMIF('AUX-NIV2'!I:I,Recursos!C148,'AUX-NIV2'!Q:Q)+SUMIF('AUX-NIV3'!I:I,Recursos!C148,'AUX-NIV3'!Q:Q)</f>
        <v>0</v>
      </c>
      <c r="H148" s="204">
        <f t="shared" si="9"/>
        <v>0</v>
      </c>
      <c r="I148" s="366">
        <f t="shared" si="10"/>
        <v>0</v>
      </c>
      <c r="J148" s="474"/>
      <c r="L148" s="1610"/>
      <c r="BO148" s="912"/>
    </row>
    <row r="149" spans="2:67">
      <c r="B149" s="222"/>
      <c r="C149" s="206" t="s">
        <v>1928</v>
      </c>
      <c r="D149" s="200" t="s">
        <v>1929</v>
      </c>
      <c r="E149" s="201" t="s">
        <v>450</v>
      </c>
      <c r="F149" s="551">
        <v>2.95</v>
      </c>
      <c r="G149" s="203">
        <f>+SUMIF('AUX-NIV1'!I:I,Recursos!C149,'AUX-NIV1'!Q:Q)+SUMIF('AUX-NIV2'!I:I,Recursos!C149,'AUX-NIV2'!Q:Q)+SUMIF('AUX-NIV3'!I:I,Recursos!C149,'AUX-NIV3'!Q:Q)</f>
        <v>0</v>
      </c>
      <c r="H149" s="204">
        <f t="shared" si="9"/>
        <v>0</v>
      </c>
      <c r="I149" s="366">
        <f t="shared" si="10"/>
        <v>0</v>
      </c>
      <c r="J149" s="474"/>
      <c r="L149" s="83"/>
    </row>
    <row r="150" spans="2:67">
      <c r="B150" s="222"/>
      <c r="C150" s="206" t="s">
        <v>1930</v>
      </c>
      <c r="D150" s="200" t="s">
        <v>1931</v>
      </c>
      <c r="E150" s="201" t="s">
        <v>450</v>
      </c>
      <c r="F150" s="551">
        <v>86.825000000000003</v>
      </c>
      <c r="G150" s="203">
        <f>+SUMIF('AUX-NIV1'!I:I,Recursos!C150,'AUX-NIV1'!Q:Q)+SUMIF('AUX-NIV2'!I:I,Recursos!C150,'AUX-NIV2'!Q:Q)+SUMIF('AUX-NIV3'!I:I,Recursos!C150,'AUX-NIV3'!Q:Q)</f>
        <v>0</v>
      </c>
      <c r="H150" s="204">
        <f t="shared" si="9"/>
        <v>0</v>
      </c>
      <c r="I150" s="366">
        <f t="shared" si="10"/>
        <v>0</v>
      </c>
      <c r="J150" s="474"/>
      <c r="L150" s="83"/>
    </row>
    <row r="151" spans="2:67">
      <c r="B151" s="222"/>
      <c r="C151" s="206" t="s">
        <v>1932</v>
      </c>
      <c r="D151" s="200" t="s">
        <v>1933</v>
      </c>
      <c r="E151" s="201" t="s">
        <v>501</v>
      </c>
      <c r="F151" s="551">
        <v>3.7949999999999999</v>
      </c>
      <c r="G151" s="203">
        <f>+SUMIF('AUX-NIV1'!I:I,Recursos!C151,'AUX-NIV1'!Q:Q)+SUMIF('AUX-NIV2'!I:I,Recursos!C151,'AUX-NIV2'!Q:Q)+SUMIF('AUX-NIV3'!I:I,Recursos!C151,'AUX-NIV3'!Q:Q)</f>
        <v>0</v>
      </c>
      <c r="H151" s="204">
        <f t="shared" si="9"/>
        <v>0</v>
      </c>
      <c r="I151" s="366">
        <f t="shared" si="10"/>
        <v>0</v>
      </c>
      <c r="J151" s="474"/>
      <c r="L151" s="83"/>
    </row>
    <row r="152" spans="2:67">
      <c r="B152" s="222"/>
      <c r="C152" s="206" t="s">
        <v>1934</v>
      </c>
      <c r="D152" s="200" t="s">
        <v>1935</v>
      </c>
      <c r="E152" s="201" t="s">
        <v>1160</v>
      </c>
      <c r="F152" s="551">
        <v>85</v>
      </c>
      <c r="G152" s="203">
        <f>+SUMIF('AUX-NIV1'!I:I,Recursos!C152,'AUX-NIV1'!Q:Q)+SUMIF('AUX-NIV2'!I:I,Recursos!C152,'AUX-NIV2'!Q:Q)+SUMIF('AUX-NIV3'!I:I,Recursos!C152,'AUX-NIV3'!Q:Q)</f>
        <v>0</v>
      </c>
      <c r="H152" s="204">
        <f t="shared" si="9"/>
        <v>0</v>
      </c>
      <c r="I152" s="366">
        <f t="shared" si="10"/>
        <v>0</v>
      </c>
      <c r="J152" s="474"/>
      <c r="L152" s="83"/>
    </row>
    <row r="153" spans="2:67">
      <c r="B153" s="222"/>
      <c r="C153" s="206" t="s">
        <v>1759</v>
      </c>
      <c r="D153" s="200" t="s">
        <v>1760</v>
      </c>
      <c r="E153" s="201" t="s">
        <v>1160</v>
      </c>
      <c r="F153" s="551">
        <v>30</v>
      </c>
      <c r="G153" s="203">
        <f>+SUMIF('AUX-NIV1'!I:I,Recursos!C153,'AUX-NIV1'!Q:Q)+SUMIF('AUX-NIV2'!I:I,Recursos!C153,'AUX-NIV2'!Q:Q)+SUMIF('AUX-NIV3'!I:I,Recursos!C153,'AUX-NIV3'!Q:Q)</f>
        <v>0</v>
      </c>
      <c r="H153" s="204">
        <f t="shared" si="9"/>
        <v>0</v>
      </c>
      <c r="I153" s="366">
        <f t="shared" si="10"/>
        <v>0</v>
      </c>
      <c r="J153" s="474"/>
      <c r="L153" s="83"/>
    </row>
    <row r="154" spans="2:67">
      <c r="B154" s="222"/>
      <c r="C154" s="206" t="s">
        <v>1936</v>
      </c>
      <c r="D154" s="200" t="s">
        <v>1937</v>
      </c>
      <c r="E154" s="201" t="s">
        <v>501</v>
      </c>
      <c r="F154" s="553">
        <v>630.51799999999992</v>
      </c>
      <c r="G154" s="203">
        <f>+SUMIF('AUX-NIV1'!I:I,Recursos!C154,'AUX-NIV1'!Q:Q)+SUMIF('AUX-NIV2'!I:I,Recursos!C154,'AUX-NIV2'!Q:Q)+SUMIF('AUX-NIV3'!I:I,Recursos!C154,'AUX-NIV3'!Q:Q)</f>
        <v>0</v>
      </c>
      <c r="H154" s="204">
        <f t="shared" si="9"/>
        <v>0</v>
      </c>
      <c r="I154" s="366">
        <f t="shared" si="10"/>
        <v>0</v>
      </c>
      <c r="J154" s="474"/>
      <c r="L154" s="83"/>
    </row>
    <row r="155" spans="2:67">
      <c r="B155" s="222"/>
      <c r="C155" s="206" t="s">
        <v>1938</v>
      </c>
      <c r="D155" s="200" t="s">
        <v>1939</v>
      </c>
      <c r="E155" s="201" t="s">
        <v>450</v>
      </c>
      <c r="F155" s="551">
        <v>6.5</v>
      </c>
      <c r="G155" s="203">
        <f>+SUMIF('AUX-NIV1'!I:I,Recursos!C155,'AUX-NIV1'!Q:Q)+SUMIF('AUX-NIV2'!I:I,Recursos!C155,'AUX-NIV2'!Q:Q)+SUMIF('AUX-NIV3'!I:I,Recursos!C155,'AUX-NIV3'!Q:Q)</f>
        <v>0</v>
      </c>
      <c r="H155" s="204">
        <f t="shared" si="9"/>
        <v>0</v>
      </c>
      <c r="I155" s="366">
        <f t="shared" si="10"/>
        <v>0</v>
      </c>
      <c r="J155" s="474"/>
      <c r="L155" s="83"/>
    </row>
    <row r="156" spans="2:67">
      <c r="B156" s="222"/>
      <c r="C156" s="206" t="s">
        <v>1940</v>
      </c>
      <c r="D156" s="200" t="s">
        <v>1941</v>
      </c>
      <c r="E156" s="201" t="s">
        <v>477</v>
      </c>
      <c r="F156" s="553">
        <v>1500</v>
      </c>
      <c r="G156" s="203">
        <f>+SUMIF('AUX-NIV1'!I:I,Recursos!C156,'AUX-NIV1'!Q:Q)+SUMIF('AUX-NIV2'!I:I,Recursos!C156,'AUX-NIV2'!Q:Q)+SUMIF('AUX-NIV3'!I:I,Recursos!C156,'AUX-NIV3'!Q:Q)</f>
        <v>0</v>
      </c>
      <c r="H156" s="204">
        <f t="shared" si="9"/>
        <v>0</v>
      </c>
      <c r="I156" s="366">
        <f t="shared" si="10"/>
        <v>0</v>
      </c>
      <c r="J156" s="474"/>
      <c r="L156" s="83"/>
    </row>
    <row r="157" spans="2:67">
      <c r="B157" s="222"/>
      <c r="C157" s="206" t="s">
        <v>1942</v>
      </c>
      <c r="D157" s="200" t="s">
        <v>1943</v>
      </c>
      <c r="E157" s="201" t="s">
        <v>477</v>
      </c>
      <c r="F157" s="551">
        <v>74.52</v>
      </c>
      <c r="G157" s="203">
        <f>+SUMIF('AUX-NIV1'!I:I,Recursos!C157,'AUX-NIV1'!Q:Q)+SUMIF('AUX-NIV2'!I:I,Recursos!C157,'AUX-NIV2'!Q:Q)+SUMIF('AUX-NIV3'!I:I,Recursos!C157,'AUX-NIV3'!Q:Q)</f>
        <v>0</v>
      </c>
      <c r="H157" s="204">
        <f t="shared" si="9"/>
        <v>0</v>
      </c>
      <c r="I157" s="366">
        <f t="shared" si="10"/>
        <v>0</v>
      </c>
      <c r="J157" s="474"/>
      <c r="L157" s="83"/>
    </row>
    <row r="158" spans="2:67">
      <c r="B158" s="222"/>
      <c r="C158" s="206" t="s">
        <v>1944</v>
      </c>
      <c r="D158" s="200" t="s">
        <v>1945</v>
      </c>
      <c r="E158" s="201" t="s">
        <v>610</v>
      </c>
      <c r="F158" s="551">
        <v>24.84</v>
      </c>
      <c r="G158" s="203">
        <f>+SUMIF('AUX-NIV1'!I:I,Recursos!C158,'AUX-NIV1'!Q:Q)+SUMIF('AUX-NIV2'!I:I,Recursos!C158,'AUX-NIV2'!Q:Q)+SUMIF('AUX-NIV3'!I:I,Recursos!C158,'AUX-NIV3'!Q:Q)</f>
        <v>0</v>
      </c>
      <c r="H158" s="204">
        <f t="shared" si="9"/>
        <v>0</v>
      </c>
      <c r="I158" s="366">
        <f t="shared" si="10"/>
        <v>0</v>
      </c>
      <c r="J158" s="474"/>
      <c r="L158" s="83"/>
    </row>
    <row r="159" spans="2:67">
      <c r="B159" s="222"/>
      <c r="C159" s="206" t="s">
        <v>1946</v>
      </c>
      <c r="D159" s="200" t="s">
        <v>1947</v>
      </c>
      <c r="E159" s="201" t="s">
        <v>610</v>
      </c>
      <c r="F159" s="551">
        <v>12.42</v>
      </c>
      <c r="G159" s="203">
        <f>+SUMIF('AUX-NIV1'!I:I,Recursos!C159,'AUX-NIV1'!Q:Q)+SUMIF('AUX-NIV2'!I:I,Recursos!C159,'AUX-NIV2'!Q:Q)+SUMIF('AUX-NIV3'!I:I,Recursos!C159,'AUX-NIV3'!Q:Q)</f>
        <v>0</v>
      </c>
      <c r="H159" s="204">
        <f t="shared" si="9"/>
        <v>0</v>
      </c>
      <c r="I159" s="366">
        <f t="shared" si="10"/>
        <v>0</v>
      </c>
      <c r="J159" s="474"/>
      <c r="L159" s="83"/>
    </row>
    <row r="160" spans="2:67">
      <c r="B160" s="222"/>
      <c r="C160" s="206" t="s">
        <v>1948</v>
      </c>
      <c r="D160" s="200" t="s">
        <v>1949</v>
      </c>
      <c r="E160" s="201" t="s">
        <v>450</v>
      </c>
      <c r="F160" s="553">
        <v>25</v>
      </c>
      <c r="G160" s="203">
        <f>+SUMIF('AUX-NIV1'!I:I,Recursos!C160,'AUX-NIV1'!Q:Q)+SUMIF('AUX-NIV2'!I:I,Recursos!C160,'AUX-NIV2'!Q:Q)+SUMIF('AUX-NIV3'!I:I,Recursos!C160,'AUX-NIV3'!Q:Q)</f>
        <v>0</v>
      </c>
      <c r="H160" s="204">
        <f t="shared" si="9"/>
        <v>0</v>
      </c>
      <c r="I160" s="366">
        <f t="shared" si="10"/>
        <v>0</v>
      </c>
      <c r="J160" s="474"/>
      <c r="L160" s="83"/>
    </row>
    <row r="161" spans="2:12">
      <c r="B161" s="222"/>
      <c r="C161" s="206" t="s">
        <v>1950</v>
      </c>
      <c r="D161" s="200" t="s">
        <v>1951</v>
      </c>
      <c r="E161" s="201" t="s">
        <v>610</v>
      </c>
      <c r="F161" s="551">
        <v>0.25</v>
      </c>
      <c r="G161" s="203">
        <f>+SUMIF('AUX-NIV1'!I:I,Recursos!C161,'AUX-NIV1'!Q:Q)+SUMIF('AUX-NIV2'!I:I,Recursos!C161,'AUX-NIV2'!Q:Q)+SUMIF('AUX-NIV3'!I:I,Recursos!C161,'AUX-NIV3'!Q:Q)</f>
        <v>0</v>
      </c>
      <c r="H161" s="204">
        <f t="shared" si="9"/>
        <v>0</v>
      </c>
      <c r="I161" s="366">
        <f t="shared" si="10"/>
        <v>0</v>
      </c>
      <c r="J161" s="474"/>
      <c r="L161" s="83"/>
    </row>
    <row r="162" spans="2:12">
      <c r="B162" s="222"/>
      <c r="C162" s="206" t="s">
        <v>1952</v>
      </c>
      <c r="D162" s="200" t="s">
        <v>1953</v>
      </c>
      <c r="E162" s="201" t="s">
        <v>501</v>
      </c>
      <c r="F162" s="553">
        <v>2500</v>
      </c>
      <c r="G162" s="203">
        <f>+SUMIF('AUX-NIV1'!I:I,Recursos!C162,'AUX-NIV1'!Q:Q)+SUMIF('AUX-NIV2'!I:I,Recursos!C162,'AUX-NIV2'!Q:Q)+SUMIF('AUX-NIV3'!I:I,Recursos!C162,'AUX-NIV3'!Q:Q)</f>
        <v>0</v>
      </c>
      <c r="H162" s="204">
        <f t="shared" si="9"/>
        <v>0</v>
      </c>
      <c r="I162" s="366">
        <f t="shared" si="10"/>
        <v>0</v>
      </c>
      <c r="J162" s="474"/>
      <c r="L162" s="83"/>
    </row>
    <row r="163" spans="2:12">
      <c r="B163" s="222"/>
      <c r="C163" s="206" t="s">
        <v>1954</v>
      </c>
      <c r="D163" s="200" t="s">
        <v>1955</v>
      </c>
      <c r="E163" s="201" t="s">
        <v>610</v>
      </c>
      <c r="F163" s="551">
        <v>496.8</v>
      </c>
      <c r="G163" s="203">
        <f>+SUMIF('AUX-NIV1'!I:I,Recursos!C163,'AUX-NIV1'!Q:Q)+SUMIF('AUX-NIV2'!I:I,Recursos!C163,'AUX-NIV2'!Q:Q)+SUMIF('AUX-NIV3'!I:I,Recursos!C163,'AUX-NIV3'!Q:Q)</f>
        <v>0</v>
      </c>
      <c r="H163" s="204">
        <f t="shared" si="9"/>
        <v>0</v>
      </c>
      <c r="I163" s="366">
        <f t="shared" si="10"/>
        <v>0</v>
      </c>
      <c r="J163" s="474"/>
      <c r="L163" s="83"/>
    </row>
    <row r="164" spans="2:12">
      <c r="B164" s="222"/>
      <c r="C164" s="206" t="s">
        <v>1761</v>
      </c>
      <c r="D164" s="200" t="s">
        <v>1762</v>
      </c>
      <c r="E164" s="201" t="s">
        <v>484</v>
      </c>
      <c r="F164" s="551">
        <v>23</v>
      </c>
      <c r="G164" s="203">
        <f>+SUMIF('AUX-NIV1'!I:I,Recursos!C164,'AUX-NIV1'!Q:Q)+SUMIF('AUX-NIV2'!I:I,Recursos!C164,'AUX-NIV2'!Q:Q)+SUMIF('AUX-NIV3'!I:I,Recursos!C164,'AUX-NIV3'!Q:Q)</f>
        <v>0</v>
      </c>
      <c r="H164" s="204">
        <f t="shared" si="9"/>
        <v>0</v>
      </c>
      <c r="I164" s="366">
        <f t="shared" si="10"/>
        <v>0</v>
      </c>
      <c r="J164" s="474"/>
      <c r="L164" s="83"/>
    </row>
    <row r="165" spans="2:12">
      <c r="B165" s="222"/>
      <c r="C165" s="206" t="s">
        <v>1956</v>
      </c>
      <c r="D165" s="200" t="s">
        <v>1957</v>
      </c>
      <c r="E165" s="201" t="s">
        <v>477</v>
      </c>
      <c r="F165" s="551">
        <v>45</v>
      </c>
      <c r="G165" s="203">
        <f>+SUMIF('AUX-NIV1'!I:I,Recursos!C165,'AUX-NIV1'!Q:Q)+SUMIF('AUX-NIV2'!I:I,Recursos!C165,'AUX-NIV2'!Q:Q)+SUMIF('AUX-NIV3'!I:I,Recursos!C165,'AUX-NIV3'!Q:Q)</f>
        <v>0</v>
      </c>
      <c r="H165" s="204">
        <f t="shared" si="9"/>
        <v>0</v>
      </c>
      <c r="I165" s="366">
        <f t="shared" si="10"/>
        <v>0</v>
      </c>
      <c r="J165" s="474"/>
      <c r="L165" s="83"/>
    </row>
    <row r="166" spans="2:12">
      <c r="B166" s="222"/>
      <c r="C166" s="206" t="s">
        <v>1958</v>
      </c>
      <c r="D166" s="200" t="s">
        <v>1959</v>
      </c>
      <c r="E166" s="201" t="s">
        <v>450</v>
      </c>
      <c r="F166" s="551">
        <v>8</v>
      </c>
      <c r="G166" s="203">
        <f>+SUMIF('AUX-NIV1'!I:I,Recursos!C166,'AUX-NIV1'!Q:Q)+SUMIF('AUX-NIV2'!I:I,Recursos!C166,'AUX-NIV2'!Q:Q)+SUMIF('AUX-NIV3'!I:I,Recursos!C166,'AUX-NIV3'!Q:Q)</f>
        <v>0</v>
      </c>
      <c r="H166" s="204">
        <f t="shared" si="9"/>
        <v>0</v>
      </c>
      <c r="I166" s="366">
        <f t="shared" si="10"/>
        <v>0</v>
      </c>
      <c r="J166" s="474"/>
      <c r="L166" s="83"/>
    </row>
    <row r="167" spans="2:12">
      <c r="B167" s="222"/>
      <c r="C167" s="206" t="s">
        <v>1960</v>
      </c>
      <c r="D167" s="200" t="s">
        <v>1961</v>
      </c>
      <c r="E167" s="201" t="s">
        <v>610</v>
      </c>
      <c r="F167" s="551">
        <v>6600</v>
      </c>
      <c r="G167" s="203">
        <f>+SUMIF('AUX-NIV1'!I:I,Recursos!C167,'AUX-NIV1'!Q:Q)+SUMIF('AUX-NIV2'!I:I,Recursos!C167,'AUX-NIV2'!Q:Q)+SUMIF('AUX-NIV3'!I:I,Recursos!C167,'AUX-NIV3'!Q:Q)</f>
        <v>0</v>
      </c>
      <c r="H167" s="204">
        <f t="shared" si="9"/>
        <v>0</v>
      </c>
      <c r="I167" s="366">
        <f t="shared" si="10"/>
        <v>0</v>
      </c>
      <c r="J167" s="474"/>
      <c r="L167" s="83"/>
    </row>
    <row r="168" spans="2:12">
      <c r="B168" s="222"/>
      <c r="C168" s="206" t="s">
        <v>1962</v>
      </c>
      <c r="D168" s="200" t="s">
        <v>1963</v>
      </c>
      <c r="E168" s="201" t="s">
        <v>484</v>
      </c>
      <c r="F168" s="551">
        <v>2850</v>
      </c>
      <c r="G168" s="203">
        <f>+SUMIF('AUX-NIV1'!I:I,Recursos!C168,'AUX-NIV1'!Q:Q)+SUMIF('AUX-NIV2'!I:I,Recursos!C168,'AUX-NIV2'!Q:Q)+SUMIF('AUX-NIV3'!I:I,Recursos!C168,'AUX-NIV3'!Q:Q)</f>
        <v>0</v>
      </c>
      <c r="H168" s="204">
        <f t="shared" si="9"/>
        <v>0</v>
      </c>
      <c r="I168" s="366">
        <f t="shared" si="10"/>
        <v>0</v>
      </c>
      <c r="J168" s="474"/>
      <c r="L168" s="83"/>
    </row>
    <row r="169" spans="2:12">
      <c r="B169" s="222"/>
      <c r="C169" s="206" t="s">
        <v>1964</v>
      </c>
      <c r="D169" s="200" t="s">
        <v>1965</v>
      </c>
      <c r="E169" s="201" t="s">
        <v>484</v>
      </c>
      <c r="F169" s="551">
        <v>2800</v>
      </c>
      <c r="G169" s="203">
        <f>+SUMIF('AUX-NIV1'!I:I,Recursos!C169,'AUX-NIV1'!Q:Q)+SUMIF('AUX-NIV2'!I:I,Recursos!C169,'AUX-NIV2'!Q:Q)+SUMIF('AUX-NIV3'!I:I,Recursos!C169,'AUX-NIV3'!Q:Q)</f>
        <v>0</v>
      </c>
      <c r="H169" s="204">
        <f t="shared" si="9"/>
        <v>0</v>
      </c>
      <c r="I169" s="366">
        <f t="shared" si="10"/>
        <v>0</v>
      </c>
      <c r="J169" s="474"/>
      <c r="L169" s="83"/>
    </row>
    <row r="170" spans="2:12">
      <c r="B170" s="222"/>
      <c r="C170" s="206" t="s">
        <v>1966</v>
      </c>
      <c r="D170" s="200" t="s">
        <v>1967</v>
      </c>
      <c r="E170" s="201" t="s">
        <v>484</v>
      </c>
      <c r="F170" s="551">
        <v>4600</v>
      </c>
      <c r="G170" s="203">
        <f>+SUMIF('AUX-NIV1'!I:I,Recursos!C170,'AUX-NIV1'!Q:Q)+SUMIF('AUX-NIV2'!I:I,Recursos!C170,'AUX-NIV2'!Q:Q)+SUMIF('AUX-NIV3'!I:I,Recursos!C170,'AUX-NIV3'!Q:Q)</f>
        <v>0</v>
      </c>
      <c r="H170" s="204">
        <f t="shared" si="9"/>
        <v>0</v>
      </c>
      <c r="I170" s="366">
        <f t="shared" si="10"/>
        <v>0</v>
      </c>
      <c r="J170" s="474"/>
      <c r="L170" s="83"/>
    </row>
    <row r="171" spans="2:12">
      <c r="B171" s="222"/>
      <c r="C171" s="206" t="s">
        <v>1968</v>
      </c>
      <c r="D171" s="200" t="s">
        <v>1969</v>
      </c>
      <c r="E171" s="201" t="s">
        <v>185</v>
      </c>
      <c r="F171" s="551">
        <v>80</v>
      </c>
      <c r="G171" s="203">
        <f>+SUMIF('AUX-NIV1'!I:I,Recursos!C171,'AUX-NIV1'!Q:Q)+SUMIF('AUX-NIV2'!I:I,Recursos!C171,'AUX-NIV2'!Q:Q)+SUMIF('AUX-NIV3'!I:I,Recursos!C171,'AUX-NIV3'!Q:Q)</f>
        <v>0</v>
      </c>
      <c r="H171" s="204">
        <f t="shared" si="9"/>
        <v>0</v>
      </c>
      <c r="I171" s="366">
        <f t="shared" si="10"/>
        <v>0</v>
      </c>
      <c r="J171" s="474"/>
      <c r="L171" s="83"/>
    </row>
    <row r="172" spans="2:12">
      <c r="B172" s="222"/>
      <c r="C172" s="206" t="s">
        <v>1970</v>
      </c>
      <c r="D172" s="200" t="s">
        <v>1971</v>
      </c>
      <c r="E172" s="201" t="s">
        <v>484</v>
      </c>
      <c r="F172" s="551">
        <v>2800</v>
      </c>
      <c r="G172" s="203">
        <f>+SUMIF('AUX-NIV1'!I:I,Recursos!C172,'AUX-NIV1'!Q:Q)+SUMIF('AUX-NIV2'!I:I,Recursos!C172,'AUX-NIV2'!Q:Q)+SUMIF('AUX-NIV3'!I:I,Recursos!C172,'AUX-NIV3'!Q:Q)</f>
        <v>0</v>
      </c>
      <c r="H172" s="204">
        <f t="shared" si="9"/>
        <v>0</v>
      </c>
      <c r="I172" s="366">
        <f t="shared" si="10"/>
        <v>0</v>
      </c>
      <c r="J172" s="474"/>
      <c r="L172" s="83"/>
    </row>
    <row r="173" spans="2:12">
      <c r="B173" s="222"/>
      <c r="C173" s="206" t="s">
        <v>1972</v>
      </c>
      <c r="D173" s="200" t="s">
        <v>1973</v>
      </c>
      <c r="E173" s="201" t="s">
        <v>484</v>
      </c>
      <c r="F173" s="551">
        <v>5880</v>
      </c>
      <c r="G173" s="203">
        <f>+SUMIF('AUX-NIV1'!I:I,Recursos!C173,'AUX-NIV1'!Q:Q)+SUMIF('AUX-NIV2'!I:I,Recursos!C173,'AUX-NIV2'!Q:Q)+SUMIF('AUX-NIV3'!I:I,Recursos!C173,'AUX-NIV3'!Q:Q)</f>
        <v>0</v>
      </c>
      <c r="H173" s="204">
        <f t="shared" si="9"/>
        <v>0</v>
      </c>
      <c r="I173" s="366">
        <f t="shared" si="10"/>
        <v>0</v>
      </c>
      <c r="J173" s="474"/>
      <c r="L173" s="83"/>
    </row>
    <row r="174" spans="2:12">
      <c r="B174" s="222"/>
      <c r="C174" s="206" t="s">
        <v>1974</v>
      </c>
      <c r="D174" s="200" t="s">
        <v>1975</v>
      </c>
      <c r="E174" s="201" t="s">
        <v>477</v>
      </c>
      <c r="F174" s="551">
        <v>1.194</v>
      </c>
      <c r="G174" s="203">
        <f>+SUMIF('AUX-NIV1'!I:I,Recursos!C174,'AUX-NIV1'!Q:Q)+SUMIF('AUX-NIV2'!I:I,Recursos!C174,'AUX-NIV2'!Q:Q)+SUMIF('AUX-NIV3'!I:I,Recursos!C174,'AUX-NIV3'!Q:Q)</f>
        <v>0</v>
      </c>
      <c r="H174" s="204">
        <f t="shared" si="9"/>
        <v>0</v>
      </c>
      <c r="I174" s="366">
        <f t="shared" si="10"/>
        <v>0</v>
      </c>
      <c r="J174" s="474"/>
      <c r="L174" s="83"/>
    </row>
    <row r="175" spans="2:12">
      <c r="B175" s="222"/>
      <c r="C175" s="206" t="s">
        <v>1763</v>
      </c>
      <c r="D175" s="200" t="s">
        <v>1764</v>
      </c>
      <c r="E175" s="201" t="s">
        <v>1160</v>
      </c>
      <c r="F175" s="551">
        <v>35</v>
      </c>
      <c r="G175" s="203">
        <f>+SUMIF('AUX-NIV1'!I:I,Recursos!C175,'AUX-NIV1'!Q:Q)+SUMIF('AUX-NIV2'!I:I,Recursos!C175,'AUX-NIV2'!Q:Q)+SUMIF('AUX-NIV3'!I:I,Recursos!C175,'AUX-NIV3'!Q:Q)</f>
        <v>0</v>
      </c>
      <c r="H175" s="204">
        <f t="shared" si="9"/>
        <v>0</v>
      </c>
      <c r="I175" s="366">
        <f t="shared" si="10"/>
        <v>0</v>
      </c>
      <c r="J175" s="474"/>
      <c r="L175" s="83"/>
    </row>
    <row r="176" spans="2:12">
      <c r="B176" s="222"/>
      <c r="C176" s="206" t="s">
        <v>1976</v>
      </c>
      <c r="D176" s="200" t="s">
        <v>1977</v>
      </c>
      <c r="E176" s="201" t="s">
        <v>477</v>
      </c>
      <c r="F176" s="551">
        <v>0.82799999999999996</v>
      </c>
      <c r="G176" s="203">
        <f>+SUMIF('AUX-NIV1'!I:I,Recursos!C176,'AUX-NIV1'!Q:Q)+SUMIF('AUX-NIV2'!I:I,Recursos!C176,'AUX-NIV2'!Q:Q)+SUMIF('AUX-NIV3'!I:I,Recursos!C176,'AUX-NIV3'!Q:Q)</f>
        <v>0</v>
      </c>
      <c r="H176" s="204">
        <f t="shared" si="9"/>
        <v>0</v>
      </c>
      <c r="I176" s="366">
        <f t="shared" si="10"/>
        <v>0</v>
      </c>
      <c r="J176" s="474"/>
      <c r="L176" s="83"/>
    </row>
    <row r="177" spans="2:67">
      <c r="B177" s="222"/>
      <c r="C177" s="206" t="s">
        <v>1978</v>
      </c>
      <c r="D177" s="200" t="s">
        <v>1979</v>
      </c>
      <c r="E177" s="201" t="s">
        <v>477</v>
      </c>
      <c r="F177" s="551">
        <v>1</v>
      </c>
      <c r="G177" s="203">
        <f>+SUMIF('AUX-NIV1'!I:I,Recursos!C177,'AUX-NIV1'!Q:Q)+SUMIF('AUX-NIV2'!I:I,Recursos!C177,'AUX-NIV2'!Q:Q)+SUMIF('AUX-NIV3'!I:I,Recursos!C177,'AUX-NIV3'!Q:Q)</f>
        <v>0</v>
      </c>
      <c r="H177" s="204">
        <f t="shared" si="9"/>
        <v>0</v>
      </c>
      <c r="I177" s="366">
        <f t="shared" si="10"/>
        <v>0</v>
      </c>
      <c r="J177" s="474"/>
      <c r="L177" s="83"/>
    </row>
    <row r="178" spans="2:67">
      <c r="B178" s="222"/>
      <c r="C178" s="206" t="s">
        <v>1980</v>
      </c>
      <c r="D178" s="200" t="s">
        <v>1981</v>
      </c>
      <c r="E178" s="201" t="s">
        <v>450</v>
      </c>
      <c r="F178" s="551">
        <v>2</v>
      </c>
      <c r="G178" s="203">
        <f>+SUMIF('AUX-NIV1'!I:I,Recursos!C178,'AUX-NIV1'!Q:Q)+SUMIF('AUX-NIV2'!I:I,Recursos!C178,'AUX-NIV2'!Q:Q)+SUMIF('AUX-NIV3'!I:I,Recursos!C178,'AUX-NIV3'!Q:Q)</f>
        <v>0</v>
      </c>
      <c r="H178" s="204">
        <f t="shared" si="9"/>
        <v>0</v>
      </c>
      <c r="I178" s="366">
        <f t="shared" si="10"/>
        <v>0</v>
      </c>
      <c r="J178" s="474"/>
      <c r="L178" s="83"/>
    </row>
    <row r="179" spans="2:67">
      <c r="B179" s="222"/>
      <c r="C179" s="206" t="s">
        <v>1982</v>
      </c>
      <c r="D179" s="200" t="s">
        <v>1983</v>
      </c>
      <c r="E179" s="201" t="s">
        <v>456</v>
      </c>
      <c r="F179" s="551">
        <v>8.625</v>
      </c>
      <c r="G179" s="203">
        <f>+SUMIF('AUX-NIV1'!I:I,Recursos!C179,'AUX-NIV1'!Q:Q)+SUMIF('AUX-NIV2'!I:I,Recursos!C179,'AUX-NIV2'!Q:Q)+SUMIF('AUX-NIV3'!I:I,Recursos!C179,'AUX-NIV3'!Q:Q)</f>
        <v>0</v>
      </c>
      <c r="H179" s="204">
        <f t="shared" si="9"/>
        <v>0</v>
      </c>
      <c r="I179" s="366">
        <f t="shared" si="10"/>
        <v>0</v>
      </c>
      <c r="J179" s="474"/>
      <c r="L179" s="83"/>
    </row>
    <row r="180" spans="2:67">
      <c r="B180" s="222"/>
      <c r="C180" s="206" t="s">
        <v>1984</v>
      </c>
      <c r="D180" s="200" t="s">
        <v>1985</v>
      </c>
      <c r="E180" s="201" t="s">
        <v>501</v>
      </c>
      <c r="F180" s="551">
        <v>79.349999999999994</v>
      </c>
      <c r="G180" s="203">
        <f>+SUMIF('AUX-NIV1'!I:I,Recursos!C180,'AUX-NIV1'!Q:Q)+SUMIF('AUX-NIV2'!I:I,Recursos!C180,'AUX-NIV2'!Q:Q)+SUMIF('AUX-NIV3'!I:I,Recursos!C180,'AUX-NIV3'!Q:Q)</f>
        <v>0</v>
      </c>
      <c r="H180" s="204">
        <f t="shared" si="9"/>
        <v>0</v>
      </c>
      <c r="I180" s="366">
        <f t="shared" si="10"/>
        <v>0</v>
      </c>
      <c r="J180" s="474"/>
      <c r="L180" s="83"/>
    </row>
    <row r="181" spans="2:67">
      <c r="B181" s="222"/>
      <c r="C181" s="206" t="s">
        <v>1986</v>
      </c>
      <c r="D181" s="200" t="s">
        <v>1987</v>
      </c>
      <c r="E181" s="201" t="s">
        <v>450</v>
      </c>
      <c r="F181" s="551">
        <v>6.25</v>
      </c>
      <c r="G181" s="203">
        <f>+SUMIF('AUX-NIV1'!I:I,Recursos!C181,'AUX-NIV1'!Q:Q)+SUMIF('AUX-NIV2'!I:I,Recursos!C181,'AUX-NIV2'!Q:Q)+SUMIF('AUX-NIV3'!I:I,Recursos!C181,'AUX-NIV3'!Q:Q)</f>
        <v>0</v>
      </c>
      <c r="H181" s="204">
        <f t="shared" si="9"/>
        <v>0</v>
      </c>
      <c r="I181" s="366">
        <f t="shared" si="10"/>
        <v>0</v>
      </c>
      <c r="J181" s="474"/>
      <c r="L181" s="83"/>
    </row>
    <row r="182" spans="2:67">
      <c r="B182" s="222"/>
      <c r="C182" s="206" t="s">
        <v>1988</v>
      </c>
      <c r="D182" s="200" t="s">
        <v>1989</v>
      </c>
      <c r="E182" s="201" t="s">
        <v>450</v>
      </c>
      <c r="F182" s="551">
        <v>6.25</v>
      </c>
      <c r="G182" s="203">
        <f>+SUMIF('AUX-NIV1'!I:I,Recursos!C182,'AUX-NIV1'!Q:Q)+SUMIF('AUX-NIV2'!I:I,Recursos!C182,'AUX-NIV2'!Q:Q)+SUMIF('AUX-NIV3'!I:I,Recursos!C182,'AUX-NIV3'!Q:Q)</f>
        <v>0</v>
      </c>
      <c r="H182" s="204">
        <f t="shared" si="9"/>
        <v>0</v>
      </c>
      <c r="I182" s="366">
        <f t="shared" si="10"/>
        <v>0</v>
      </c>
      <c r="J182" s="474"/>
      <c r="L182" s="83"/>
    </row>
    <row r="183" spans="2:67">
      <c r="B183" s="222"/>
      <c r="C183" s="206" t="s">
        <v>1990</v>
      </c>
      <c r="D183" s="200" t="s">
        <v>1991</v>
      </c>
      <c r="E183" s="201" t="s">
        <v>477</v>
      </c>
      <c r="F183" s="551">
        <v>8700</v>
      </c>
      <c r="G183" s="203">
        <f>+SUMIF('AUX-NIV1'!I:I,Recursos!C183,'AUX-NIV1'!Q:Q)+SUMIF('AUX-NIV2'!I:I,Recursos!C183,'AUX-NIV2'!Q:Q)+SUMIF('AUX-NIV3'!I:I,Recursos!C183,'AUX-NIV3'!Q:Q)</f>
        <v>0</v>
      </c>
      <c r="H183" s="204">
        <f t="shared" si="9"/>
        <v>0</v>
      </c>
      <c r="I183" s="366">
        <f t="shared" si="10"/>
        <v>0</v>
      </c>
      <c r="J183" s="474"/>
      <c r="L183" s="1610"/>
    </row>
    <row r="184" spans="2:67">
      <c r="B184" s="222"/>
      <c r="C184" s="206" t="s">
        <v>1992</v>
      </c>
      <c r="D184" s="200" t="s">
        <v>488</v>
      </c>
      <c r="E184" s="201" t="s">
        <v>484</v>
      </c>
      <c r="F184" s="551">
        <f>15/1.6+3</f>
        <v>12.375</v>
      </c>
      <c r="G184" s="203">
        <f>+SUMIF('AUX-NIV1'!I:I,Recursos!C184,'AUX-NIV1'!Q:Q)+SUMIF('AUX-NIV2'!I:I,Recursos!C184,'AUX-NIV2'!Q:Q)+SUMIF('AUX-NIV3'!I:I,Recursos!C184,'AUX-NIV3'!Q:Q)</f>
        <v>0</v>
      </c>
      <c r="H184" s="204">
        <f t="shared" si="9"/>
        <v>0</v>
      </c>
      <c r="I184" s="366">
        <f t="shared" si="10"/>
        <v>0</v>
      </c>
      <c r="J184" s="474"/>
      <c r="L184" s="83"/>
    </row>
    <row r="185" spans="2:67">
      <c r="B185" s="222"/>
      <c r="C185" s="206" t="s">
        <v>1993</v>
      </c>
      <c r="D185" s="200" t="s">
        <v>490</v>
      </c>
      <c r="E185" s="201" t="s">
        <v>484</v>
      </c>
      <c r="F185" s="551">
        <f>12+3</f>
        <v>15</v>
      </c>
      <c r="G185" s="203">
        <f>+SUMIF('AUX-NIV1'!I:I,Recursos!C185,'AUX-NIV1'!Q:Q)+SUMIF('AUX-NIV2'!I:I,Recursos!C185,'AUX-NIV2'!Q:Q)+SUMIF('AUX-NIV3'!I:I,Recursos!C185,'AUX-NIV3'!Q:Q)</f>
        <v>0</v>
      </c>
      <c r="H185" s="204">
        <f t="shared" si="9"/>
        <v>0</v>
      </c>
      <c r="I185" s="366">
        <f t="shared" si="10"/>
        <v>0</v>
      </c>
      <c r="J185" s="474"/>
      <c r="L185" s="83"/>
    </row>
    <row r="186" spans="2:67" ht="12">
      <c r="B186" s="222"/>
      <c r="C186" s="1616" t="s">
        <v>1512</v>
      </c>
      <c r="D186" s="1617" t="s">
        <v>1521</v>
      </c>
      <c r="E186" s="1537" t="s">
        <v>484</v>
      </c>
      <c r="F186" s="1538">
        <f>VLOOKUP("X-ARE",'AUX-NIV3'!B:F,5,FALSE)*4*0+900</f>
        <v>900</v>
      </c>
      <c r="G186" s="203">
        <f>+SUMIF('AUX-NIV1'!I:I,Recursos!C186,'AUX-NIV1'!Q:Q)+SUMIF('AUX-NIV2'!I:I,Recursos!C186,'AUX-NIV2'!Q:Q)+SUMIF('AUX-NIV3'!I:I,Recursos!C186,'AUX-NIV3'!Q:Q)</f>
        <v>0</v>
      </c>
      <c r="H186" s="204">
        <f t="shared" si="9"/>
        <v>0</v>
      </c>
      <c r="I186" s="366">
        <f t="shared" si="10"/>
        <v>0</v>
      </c>
      <c r="J186" s="205"/>
      <c r="L186" s="1610">
        <f t="shared" ref="L186" si="11">H186/$H$76</f>
        <v>0</v>
      </c>
      <c r="BO186" s="912"/>
    </row>
    <row r="187" spans="2:67">
      <c r="B187" s="222"/>
      <c r="C187" s="206" t="s">
        <v>1994</v>
      </c>
      <c r="D187" s="200" t="s">
        <v>492</v>
      </c>
      <c r="E187" s="201" t="s">
        <v>484</v>
      </c>
      <c r="F187" s="551">
        <f>15/1.6+3</f>
        <v>12.375</v>
      </c>
      <c r="G187" s="203">
        <f>+SUMIF('AUX-NIV1'!I:I,Recursos!C187,'AUX-NIV1'!Q:Q)+SUMIF('AUX-NIV2'!I:I,Recursos!C187,'AUX-NIV2'!Q:Q)+SUMIF('AUX-NIV3'!I:I,Recursos!C187,'AUX-NIV3'!Q:Q)</f>
        <v>0</v>
      </c>
      <c r="H187" s="204">
        <f t="shared" si="9"/>
        <v>0</v>
      </c>
      <c r="I187" s="366">
        <f t="shared" si="10"/>
        <v>0</v>
      </c>
      <c r="J187" s="474"/>
      <c r="L187" s="83"/>
    </row>
    <row r="188" spans="2:67">
      <c r="B188" s="222"/>
      <c r="C188" s="206" t="s">
        <v>1995</v>
      </c>
      <c r="D188" s="200" t="s">
        <v>494</v>
      </c>
      <c r="E188" s="201" t="s">
        <v>468</v>
      </c>
      <c r="F188" s="551">
        <f>0.42*50</f>
        <v>21</v>
      </c>
      <c r="G188" s="203">
        <f>+SUMIF('AUX-NIV1'!I:I,Recursos!C188,'AUX-NIV1'!Q:Q)+SUMIF('AUX-NIV2'!I:I,Recursos!C188,'AUX-NIV2'!Q:Q)+SUMIF('AUX-NIV3'!I:I,Recursos!C188,'AUX-NIV3'!Q:Q)</f>
        <v>0</v>
      </c>
      <c r="H188" s="204">
        <f t="shared" si="9"/>
        <v>0</v>
      </c>
      <c r="I188" s="366">
        <f t="shared" si="10"/>
        <v>0</v>
      </c>
      <c r="J188" s="474"/>
      <c r="L188" s="83"/>
    </row>
    <row r="189" spans="2:67">
      <c r="B189" s="222"/>
      <c r="C189" s="206" t="s">
        <v>1996</v>
      </c>
      <c r="D189" s="200" t="s">
        <v>458</v>
      </c>
      <c r="E189" s="201" t="s">
        <v>459</v>
      </c>
      <c r="F189" s="551">
        <v>280</v>
      </c>
      <c r="G189" s="203">
        <f>+SUMIF('AUX-NIV1'!I:I,Recursos!C189,'AUX-NIV1'!Q:Q)+SUMIF('AUX-NIV2'!I:I,Recursos!C189,'AUX-NIV2'!Q:Q)+SUMIF('AUX-NIV3'!I:I,Recursos!C189,'AUX-NIV3'!Q:Q)</f>
        <v>0</v>
      </c>
      <c r="H189" s="204">
        <f t="shared" si="9"/>
        <v>0</v>
      </c>
      <c r="I189" s="366">
        <f t="shared" si="10"/>
        <v>0</v>
      </c>
      <c r="J189" s="474"/>
      <c r="L189" s="83"/>
    </row>
    <row r="190" spans="2:67">
      <c r="B190" s="222"/>
      <c r="C190" s="206" t="s">
        <v>1997</v>
      </c>
      <c r="D190" s="200" t="s">
        <v>496</v>
      </c>
      <c r="E190" s="201" t="s">
        <v>450</v>
      </c>
      <c r="F190" s="551">
        <v>1</v>
      </c>
      <c r="G190" s="203">
        <f>+SUMIF('AUX-NIV1'!I:I,Recursos!C190,'AUX-NIV1'!Q:Q)+SUMIF('AUX-NIV2'!I:I,Recursos!C190,'AUX-NIV2'!Q:Q)+SUMIF('AUX-NIV3'!I:I,Recursos!C190,'AUX-NIV3'!Q:Q)</f>
        <v>0</v>
      </c>
      <c r="H190" s="204">
        <f t="shared" si="9"/>
        <v>0</v>
      </c>
      <c r="I190" s="366">
        <f t="shared" si="10"/>
        <v>0</v>
      </c>
      <c r="J190" s="474"/>
      <c r="L190" s="83"/>
    </row>
    <row r="191" spans="2:67">
      <c r="B191" s="222"/>
      <c r="C191" s="206" t="s">
        <v>1998</v>
      </c>
      <c r="D191" s="756" t="s">
        <v>1999</v>
      </c>
      <c r="E191" s="201" t="s">
        <v>484</v>
      </c>
      <c r="F191" s="553">
        <v>54100</v>
      </c>
      <c r="G191" s="203">
        <f>+SUMIF('AUX-NIV1'!I:I,Recursos!C191,'AUX-NIV1'!Q:Q)+SUMIF('AUX-NIV2'!I:I,Recursos!C191,'AUX-NIV2'!Q:Q)+SUMIF('AUX-NIV3'!I:I,Recursos!C191,'AUX-NIV3'!Q:Q)</f>
        <v>0</v>
      </c>
      <c r="H191" s="204">
        <f t="shared" si="9"/>
        <v>0</v>
      </c>
      <c r="I191" s="366">
        <f t="shared" si="10"/>
        <v>0</v>
      </c>
      <c r="J191" s="474"/>
      <c r="L191" s="83"/>
      <c r="BO191" s="912"/>
    </row>
    <row r="192" spans="2:67">
      <c r="B192" s="222"/>
      <c r="C192" s="206" t="s">
        <v>2000</v>
      </c>
      <c r="D192" s="200" t="s">
        <v>3438</v>
      </c>
      <c r="E192" s="201" t="s">
        <v>484</v>
      </c>
      <c r="F192" s="553">
        <v>54132</v>
      </c>
      <c r="G192" s="203">
        <f>+SUMIF('AUX-NIV1'!I:I,Recursos!C192,'AUX-NIV1'!Q:Q)+SUMIF('AUX-NIV2'!I:I,Recursos!C192,'AUX-NIV2'!Q:Q)+SUMIF('AUX-NIV3'!I:I,Recursos!C192,'AUX-NIV3'!Q:Q)</f>
        <v>0</v>
      </c>
      <c r="H192" s="204">
        <f t="shared" si="9"/>
        <v>0</v>
      </c>
      <c r="I192" s="366">
        <f t="shared" si="10"/>
        <v>0</v>
      </c>
      <c r="J192" s="474"/>
      <c r="L192" s="83"/>
    </row>
    <row r="193" spans="2:67">
      <c r="B193" s="222"/>
      <c r="C193" s="206" t="s">
        <v>2001</v>
      </c>
      <c r="D193" s="200" t="s">
        <v>3437</v>
      </c>
      <c r="E193" s="201" t="s">
        <v>484</v>
      </c>
      <c r="F193" s="553">
        <v>52122</v>
      </c>
      <c r="G193" s="203">
        <f>+SUMIF('AUX-NIV1'!I:I,Recursos!C193,'AUX-NIV1'!Q:Q)+SUMIF('AUX-NIV2'!I:I,Recursos!C193,'AUX-NIV2'!Q:Q)+SUMIF('AUX-NIV3'!I:I,Recursos!C193,'AUX-NIV3'!Q:Q)</f>
        <v>0</v>
      </c>
      <c r="H193" s="204">
        <f t="shared" si="9"/>
        <v>0</v>
      </c>
      <c r="I193" s="366">
        <f t="shared" si="10"/>
        <v>0</v>
      </c>
      <c r="J193" s="474"/>
      <c r="L193" s="83"/>
    </row>
    <row r="194" spans="2:67">
      <c r="B194" s="222"/>
      <c r="C194" s="206" t="s">
        <v>2002</v>
      </c>
      <c r="D194" s="200" t="s">
        <v>2003</v>
      </c>
      <c r="E194" s="201" t="s">
        <v>484</v>
      </c>
      <c r="F194" s="551">
        <v>1980</v>
      </c>
      <c r="G194" s="203">
        <f>+SUMIF('AUX-NIV1'!I:I,Recursos!C194,'AUX-NIV1'!Q:Q)+SUMIF('AUX-NIV2'!I:I,Recursos!C194,'AUX-NIV2'!Q:Q)+SUMIF('AUX-NIV3'!I:I,Recursos!C194,'AUX-NIV3'!Q:Q)</f>
        <v>0</v>
      </c>
      <c r="H194" s="204">
        <f t="shared" si="9"/>
        <v>0</v>
      </c>
      <c r="I194" s="366">
        <f t="shared" si="10"/>
        <v>0</v>
      </c>
      <c r="J194" s="474"/>
      <c r="L194" s="83"/>
    </row>
    <row r="195" spans="2:67">
      <c r="B195" s="222"/>
      <c r="C195" s="206" t="s">
        <v>2004</v>
      </c>
      <c r="D195" s="200" t="s">
        <v>2005</v>
      </c>
      <c r="E195" s="201" t="s">
        <v>484</v>
      </c>
      <c r="F195" s="551">
        <v>1980</v>
      </c>
      <c r="G195" s="203">
        <f>+SUMIF('AUX-NIV1'!I:I,Recursos!C195,'AUX-NIV1'!Q:Q)+SUMIF('AUX-NIV2'!I:I,Recursos!C195,'AUX-NIV2'!Q:Q)+SUMIF('AUX-NIV3'!I:I,Recursos!C195,'AUX-NIV3'!Q:Q)</f>
        <v>0</v>
      </c>
      <c r="H195" s="204">
        <f t="shared" si="9"/>
        <v>0</v>
      </c>
      <c r="I195" s="366">
        <f t="shared" si="10"/>
        <v>0</v>
      </c>
      <c r="J195" s="474"/>
      <c r="L195" s="83"/>
    </row>
    <row r="196" spans="2:67">
      <c r="B196" s="222"/>
      <c r="C196" s="206" t="s">
        <v>2006</v>
      </c>
      <c r="D196" s="200" t="s">
        <v>2007</v>
      </c>
      <c r="E196" s="201" t="s">
        <v>484</v>
      </c>
      <c r="F196" s="551">
        <v>1380</v>
      </c>
      <c r="G196" s="203">
        <f>+SUMIF('AUX-NIV1'!I:I,Recursos!C196,'AUX-NIV1'!Q:Q)+SUMIF('AUX-NIV2'!I:I,Recursos!C196,'AUX-NIV2'!Q:Q)+SUMIF('AUX-NIV3'!I:I,Recursos!C196,'AUX-NIV3'!Q:Q)</f>
        <v>0</v>
      </c>
      <c r="H196" s="204">
        <f t="shared" si="9"/>
        <v>0</v>
      </c>
      <c r="I196" s="366">
        <f t="shared" si="10"/>
        <v>0</v>
      </c>
      <c r="J196" s="474"/>
      <c r="L196" s="83"/>
    </row>
    <row r="197" spans="2:67">
      <c r="B197" s="222"/>
      <c r="C197" s="206" t="s">
        <v>1765</v>
      </c>
      <c r="D197" s="200" t="s">
        <v>1766</v>
      </c>
      <c r="E197" s="201" t="s">
        <v>484</v>
      </c>
      <c r="F197" s="551">
        <v>18.600000000000001</v>
      </c>
      <c r="G197" s="203">
        <f>+SUMIF('AUX-NIV1'!I:I,Recursos!C197,'AUX-NIV1'!Q:Q)+SUMIF('AUX-NIV2'!I:I,Recursos!C197,'AUX-NIV2'!Q:Q)+SUMIF('AUX-NIV3'!I:I,Recursos!C197,'AUX-NIV3'!Q:Q)</f>
        <v>0</v>
      </c>
      <c r="H197" s="204">
        <f t="shared" si="9"/>
        <v>0</v>
      </c>
      <c r="I197" s="366">
        <f t="shared" si="10"/>
        <v>0</v>
      </c>
      <c r="J197" s="474"/>
      <c r="L197" s="83"/>
    </row>
    <row r="198" spans="2:67">
      <c r="B198" s="222"/>
      <c r="C198" s="206" t="s">
        <v>2008</v>
      </c>
      <c r="D198" s="756" t="s">
        <v>2009</v>
      </c>
      <c r="E198" s="201" t="s">
        <v>450</v>
      </c>
      <c r="F198" s="553">
        <v>260</v>
      </c>
      <c r="G198" s="203">
        <f>+SUMIF('AUX-NIV1'!I:I,Recursos!C198,'AUX-NIV1'!Q:Q)+SUMIF('AUX-NIV2'!I:I,Recursos!C198,'AUX-NIV2'!Q:Q)+SUMIF('AUX-NIV3'!I:I,Recursos!C198,'AUX-NIV3'!Q:Q)</f>
        <v>0</v>
      </c>
      <c r="H198" s="204">
        <f t="shared" si="9"/>
        <v>0</v>
      </c>
      <c r="I198" s="366">
        <f t="shared" si="10"/>
        <v>0</v>
      </c>
      <c r="J198" s="474"/>
      <c r="L198" s="83"/>
      <c r="BO198" s="912"/>
    </row>
    <row r="199" spans="2:67">
      <c r="B199" s="222"/>
      <c r="C199" s="206" t="s">
        <v>2010</v>
      </c>
      <c r="D199" s="756" t="s">
        <v>2011</v>
      </c>
      <c r="E199" s="201" t="s">
        <v>484</v>
      </c>
      <c r="F199" s="553">
        <v>3350</v>
      </c>
      <c r="G199" s="203">
        <f>+SUMIF('AUX-NIV1'!I:I,Recursos!C199,'AUX-NIV1'!Q:Q)+SUMIF('AUX-NIV2'!I:I,Recursos!C199,'AUX-NIV2'!Q:Q)+SUMIF('AUX-NIV3'!I:I,Recursos!C199,'AUX-NIV3'!Q:Q)</f>
        <v>0</v>
      </c>
      <c r="H199" s="204">
        <f t="shared" si="9"/>
        <v>0</v>
      </c>
      <c r="I199" s="366">
        <f t="shared" si="10"/>
        <v>0</v>
      </c>
      <c r="J199" s="474"/>
      <c r="L199" s="83"/>
      <c r="BO199" s="912"/>
    </row>
    <row r="200" spans="2:67">
      <c r="B200" s="222"/>
      <c r="C200" s="206" t="s">
        <v>2012</v>
      </c>
      <c r="D200" s="200" t="s">
        <v>498</v>
      </c>
      <c r="E200" s="201" t="s">
        <v>477</v>
      </c>
      <c r="F200" s="551"/>
      <c r="G200" s="203">
        <f>+SUMIF('AUX-NIV1'!I:I,Recursos!C200,'AUX-NIV1'!Q:Q)+SUMIF('AUX-NIV2'!I:I,Recursos!C200,'AUX-NIV2'!Q:Q)+SUMIF('AUX-NIV3'!I:I,Recursos!C200,'AUX-NIV3'!Q:Q)</f>
        <v>0</v>
      </c>
      <c r="H200" s="204">
        <f t="shared" si="9"/>
        <v>0</v>
      </c>
      <c r="I200" s="366">
        <f t="shared" si="10"/>
        <v>0</v>
      </c>
      <c r="J200" s="474"/>
      <c r="L200" s="83"/>
    </row>
    <row r="201" spans="2:67">
      <c r="B201" s="222"/>
      <c r="C201" s="206" t="s">
        <v>2013</v>
      </c>
      <c r="D201" s="200" t="s">
        <v>3283</v>
      </c>
      <c r="E201" s="201" t="s">
        <v>186</v>
      </c>
      <c r="F201" s="551">
        <f>1160/1.21/300*1000</f>
        <v>3195.5922865013772</v>
      </c>
      <c r="G201" s="203">
        <f>+SUMIF('AUX-NIV1'!I:I,Recursos!C201,'AUX-NIV1'!Q:Q)+SUMIF('AUX-NIV2'!I:I,Recursos!C201,'AUX-NIV2'!Q:Q)+SUMIF('AUX-NIV3'!I:I,Recursos!C201,'AUX-NIV3'!Q:Q)</f>
        <v>0</v>
      </c>
      <c r="H201" s="204">
        <f t="shared" si="9"/>
        <v>0</v>
      </c>
      <c r="I201" s="366">
        <f t="shared" si="10"/>
        <v>0</v>
      </c>
      <c r="J201" s="474"/>
      <c r="L201" s="83"/>
    </row>
    <row r="202" spans="2:67">
      <c r="B202" s="222"/>
      <c r="C202" s="206" t="s">
        <v>2014</v>
      </c>
      <c r="D202" s="200" t="s">
        <v>2015</v>
      </c>
      <c r="E202" s="201" t="s">
        <v>501</v>
      </c>
      <c r="F202" s="551">
        <v>0.5</v>
      </c>
      <c r="G202" s="203">
        <f>+SUMIF('AUX-NIV1'!I:I,Recursos!C202,'AUX-NIV1'!Q:Q)+SUMIF('AUX-NIV2'!I:I,Recursos!C202,'AUX-NIV2'!Q:Q)+SUMIF('AUX-NIV3'!I:I,Recursos!C202,'AUX-NIV3'!Q:Q)</f>
        <v>0</v>
      </c>
      <c r="H202" s="204">
        <f t="shared" si="9"/>
        <v>0</v>
      </c>
      <c r="I202" s="366">
        <f t="shared" si="10"/>
        <v>0</v>
      </c>
      <c r="J202" s="474"/>
      <c r="L202" s="83"/>
    </row>
    <row r="203" spans="2:67">
      <c r="B203" s="222"/>
      <c r="C203" s="206" t="s">
        <v>2016</v>
      </c>
      <c r="D203" s="200" t="s">
        <v>2017</v>
      </c>
      <c r="E203" s="201" t="s">
        <v>501</v>
      </c>
      <c r="F203" s="551">
        <v>15.95</v>
      </c>
      <c r="G203" s="203">
        <f>+SUMIF('AUX-NIV1'!I:I,Recursos!C203,'AUX-NIV1'!Q:Q)+SUMIF('AUX-NIV2'!I:I,Recursos!C203,'AUX-NIV2'!Q:Q)+SUMIF('AUX-NIV3'!I:I,Recursos!C203,'AUX-NIV3'!Q:Q)</f>
        <v>0</v>
      </c>
      <c r="H203" s="204">
        <f t="shared" si="9"/>
        <v>0</v>
      </c>
      <c r="I203" s="366">
        <f t="shared" si="10"/>
        <v>0</v>
      </c>
      <c r="J203" s="474"/>
      <c r="L203" s="83"/>
    </row>
    <row r="204" spans="2:67">
      <c r="B204" s="222"/>
      <c r="C204" s="206" t="s">
        <v>2018</v>
      </c>
      <c r="D204" s="200" t="s">
        <v>2019</v>
      </c>
      <c r="E204" s="201" t="s">
        <v>501</v>
      </c>
      <c r="F204" s="551">
        <v>354</v>
      </c>
      <c r="G204" s="203">
        <f>+SUMIF('AUX-NIV1'!I:I,Recursos!C204,'AUX-NIV1'!Q:Q)+SUMIF('AUX-NIV2'!I:I,Recursos!C204,'AUX-NIV2'!Q:Q)+SUMIF('AUX-NIV3'!I:I,Recursos!C204,'AUX-NIV3'!Q:Q)</f>
        <v>0</v>
      </c>
      <c r="H204" s="204">
        <f t="shared" si="9"/>
        <v>0</v>
      </c>
      <c r="I204" s="366">
        <f t="shared" si="10"/>
        <v>0</v>
      </c>
      <c r="J204" s="474"/>
      <c r="L204" s="83"/>
    </row>
    <row r="205" spans="2:67">
      <c r="B205" s="222"/>
      <c r="C205" s="206" t="s">
        <v>2020</v>
      </c>
      <c r="D205" s="200" t="s">
        <v>3465</v>
      </c>
      <c r="E205" s="201" t="s">
        <v>501</v>
      </c>
      <c r="F205" s="551">
        <v>0.7</v>
      </c>
      <c r="G205" s="203">
        <f>+SUMIF('AUX-NIV1'!I:I,Recursos!C205,'AUX-NIV1'!Q:Q)+SUMIF('AUX-NIV2'!I:I,Recursos!C205,'AUX-NIV2'!Q:Q)+SUMIF('AUX-NIV3'!I:I,Recursos!C205,'AUX-NIV3'!Q:Q)</f>
        <v>0</v>
      </c>
      <c r="H205" s="204">
        <f t="shared" si="9"/>
        <v>0</v>
      </c>
      <c r="I205" s="366">
        <f t="shared" si="10"/>
        <v>0</v>
      </c>
      <c r="J205" s="474"/>
      <c r="L205" s="83"/>
    </row>
    <row r="206" spans="2:67">
      <c r="B206" s="222"/>
      <c r="C206" s="206" t="s">
        <v>2021</v>
      </c>
      <c r="D206" s="200" t="s">
        <v>2022</v>
      </c>
      <c r="E206" s="201" t="s">
        <v>501</v>
      </c>
      <c r="F206" s="551">
        <v>0.8</v>
      </c>
      <c r="G206" s="203">
        <f>+SUMIF('AUX-NIV1'!I:I,Recursos!C206,'AUX-NIV1'!Q:Q)+SUMIF('AUX-NIV2'!I:I,Recursos!C206,'AUX-NIV2'!Q:Q)+SUMIF('AUX-NIV3'!I:I,Recursos!C206,'AUX-NIV3'!Q:Q)</f>
        <v>0</v>
      </c>
      <c r="H206" s="204">
        <f t="shared" ref="H206:H269" si="12">+F206*G206</f>
        <v>0</v>
      </c>
      <c r="I206" s="366">
        <f t="shared" ref="I206:I269" si="13">+H206/$I$3</f>
        <v>0</v>
      </c>
      <c r="J206" s="474"/>
      <c r="L206" s="83"/>
    </row>
    <row r="207" spans="2:67">
      <c r="B207" s="222"/>
      <c r="C207" s="206" t="s">
        <v>2023</v>
      </c>
      <c r="D207" s="200" t="s">
        <v>2024</v>
      </c>
      <c r="E207" s="201" t="s">
        <v>477</v>
      </c>
      <c r="F207" s="551">
        <v>1.5</v>
      </c>
      <c r="G207" s="203">
        <f>+SUMIF('AUX-NIV1'!I:I,Recursos!C207,'AUX-NIV1'!Q:Q)+SUMIF('AUX-NIV2'!I:I,Recursos!C207,'AUX-NIV2'!Q:Q)+SUMIF('AUX-NIV3'!I:I,Recursos!C207,'AUX-NIV3'!Q:Q)</f>
        <v>0</v>
      </c>
      <c r="H207" s="204">
        <f t="shared" si="12"/>
        <v>0</v>
      </c>
      <c r="I207" s="366">
        <f t="shared" si="13"/>
        <v>0</v>
      </c>
      <c r="J207" s="474"/>
      <c r="L207" s="83"/>
    </row>
    <row r="208" spans="2:67">
      <c r="B208" s="222"/>
      <c r="C208" s="206" t="s">
        <v>1767</v>
      </c>
      <c r="D208" s="200" t="s">
        <v>446</v>
      </c>
      <c r="E208" s="201" t="s">
        <v>447</v>
      </c>
      <c r="F208" s="551">
        <v>12</v>
      </c>
      <c r="G208" s="203">
        <f>+SUMIF('AUX-NIV1'!I:I,Recursos!C208,'AUX-NIV1'!Q:Q)+SUMIF('AUX-NIV2'!I:I,Recursos!C208,'AUX-NIV2'!Q:Q)+SUMIF('AUX-NIV3'!I:I,Recursos!C208,'AUX-NIV3'!Q:Q)</f>
        <v>0</v>
      </c>
      <c r="H208" s="204">
        <f t="shared" si="12"/>
        <v>0</v>
      </c>
      <c r="I208" s="366">
        <f t="shared" si="13"/>
        <v>0</v>
      </c>
      <c r="J208" s="474"/>
      <c r="L208" s="83"/>
    </row>
    <row r="209" spans="2:67">
      <c r="B209" s="222"/>
      <c r="C209" s="206" t="s">
        <v>2025</v>
      </c>
      <c r="D209" s="200" t="s">
        <v>2026</v>
      </c>
      <c r="E209" s="201" t="s">
        <v>477</v>
      </c>
      <c r="F209" s="551">
        <v>4.4000000000000004</v>
      </c>
      <c r="G209" s="203">
        <f>+SUMIF('AUX-NIV1'!I:I,Recursos!C209,'AUX-NIV1'!Q:Q)+SUMIF('AUX-NIV2'!I:I,Recursos!C209,'AUX-NIV2'!Q:Q)+SUMIF('AUX-NIV3'!I:I,Recursos!C209,'AUX-NIV3'!Q:Q)</f>
        <v>0</v>
      </c>
      <c r="H209" s="204">
        <f t="shared" si="12"/>
        <v>0</v>
      </c>
      <c r="I209" s="366">
        <f t="shared" si="13"/>
        <v>0</v>
      </c>
      <c r="J209" s="474"/>
      <c r="L209" s="83"/>
    </row>
    <row r="210" spans="2:67">
      <c r="B210" s="222"/>
      <c r="C210" s="206" t="s">
        <v>2027</v>
      </c>
      <c r="D210" s="200" t="s">
        <v>3836</v>
      </c>
      <c r="E210" s="201" t="s">
        <v>501</v>
      </c>
      <c r="F210" s="551">
        <f>385/1.21</f>
        <v>318.18181818181819</v>
      </c>
      <c r="G210" s="203">
        <f>+SUMIF('AUX-NIV1'!I:I,Recursos!C210,'AUX-NIV1'!Q:Q)+SUMIF('AUX-NIV2'!I:I,Recursos!C210,'AUX-NIV2'!Q:Q)+SUMIF('AUX-NIV3'!I:I,Recursos!C210,'AUX-NIV3'!Q:Q)</f>
        <v>0</v>
      </c>
      <c r="H210" s="204">
        <f t="shared" si="12"/>
        <v>0</v>
      </c>
      <c r="I210" s="366">
        <f t="shared" si="13"/>
        <v>0</v>
      </c>
      <c r="J210" s="474"/>
      <c r="L210" s="1610"/>
    </row>
    <row r="211" spans="2:67">
      <c r="B211" s="222"/>
      <c r="C211" s="206" t="s">
        <v>2028</v>
      </c>
      <c r="D211" s="200" t="s">
        <v>2029</v>
      </c>
      <c r="E211" s="201" t="s">
        <v>477</v>
      </c>
      <c r="F211" s="551">
        <v>20</v>
      </c>
      <c r="G211" s="203">
        <f>+SUMIF('AUX-NIV1'!I:I,Recursos!C211,'AUX-NIV1'!Q:Q)+SUMIF('AUX-NIV2'!I:I,Recursos!C211,'AUX-NIV2'!Q:Q)+SUMIF('AUX-NIV3'!I:I,Recursos!C211,'AUX-NIV3'!Q:Q)</f>
        <v>0</v>
      </c>
      <c r="H211" s="204">
        <f t="shared" si="12"/>
        <v>0</v>
      </c>
      <c r="I211" s="366">
        <f t="shared" si="13"/>
        <v>0</v>
      </c>
      <c r="J211" s="474"/>
      <c r="L211" s="83"/>
    </row>
    <row r="212" spans="2:67">
      <c r="B212" s="222"/>
      <c r="C212" s="206" t="s">
        <v>2030</v>
      </c>
      <c r="D212" s="200" t="s">
        <v>2031</v>
      </c>
      <c r="E212" s="201" t="s">
        <v>185</v>
      </c>
      <c r="F212" s="551">
        <v>250</v>
      </c>
      <c r="G212" s="203">
        <f>+SUMIF('AUX-NIV1'!I:I,Recursos!C212,'AUX-NIV1'!Q:Q)+SUMIF('AUX-NIV2'!I:I,Recursos!C212,'AUX-NIV2'!Q:Q)+SUMIF('AUX-NIV3'!I:I,Recursos!C212,'AUX-NIV3'!Q:Q)</f>
        <v>0</v>
      </c>
      <c r="H212" s="204">
        <f t="shared" si="12"/>
        <v>0</v>
      </c>
      <c r="I212" s="366">
        <f t="shared" si="13"/>
        <v>0</v>
      </c>
      <c r="J212" s="474"/>
      <c r="L212" s="83"/>
    </row>
    <row r="213" spans="2:67">
      <c r="B213" s="222"/>
      <c r="C213" s="206" t="s">
        <v>2032</v>
      </c>
      <c r="D213" s="200" t="s">
        <v>2033</v>
      </c>
      <c r="E213" s="201" t="s">
        <v>185</v>
      </c>
      <c r="F213" s="551">
        <v>270</v>
      </c>
      <c r="G213" s="203">
        <f>+SUMIF('AUX-NIV1'!I:I,Recursos!C213,'AUX-NIV1'!Q:Q)+SUMIF('AUX-NIV2'!I:I,Recursos!C213,'AUX-NIV2'!Q:Q)+SUMIF('AUX-NIV3'!I:I,Recursos!C213,'AUX-NIV3'!Q:Q)</f>
        <v>0</v>
      </c>
      <c r="H213" s="204">
        <f t="shared" si="12"/>
        <v>0</v>
      </c>
      <c r="I213" s="366">
        <f t="shared" si="13"/>
        <v>0</v>
      </c>
      <c r="J213" s="474"/>
      <c r="L213" s="83"/>
    </row>
    <row r="214" spans="2:67">
      <c r="B214" s="222"/>
      <c r="C214" s="206" t="s">
        <v>2034</v>
      </c>
      <c r="D214" s="200" t="s">
        <v>2035</v>
      </c>
      <c r="E214" s="201" t="s">
        <v>477</v>
      </c>
      <c r="F214" s="551">
        <v>7.6559999999999997</v>
      </c>
      <c r="G214" s="203">
        <f>+SUMIF('AUX-NIV1'!I:I,Recursos!C214,'AUX-NIV1'!Q:Q)+SUMIF('AUX-NIV2'!I:I,Recursos!C214,'AUX-NIV2'!Q:Q)+SUMIF('AUX-NIV3'!I:I,Recursos!C214,'AUX-NIV3'!Q:Q)</f>
        <v>0</v>
      </c>
      <c r="H214" s="204">
        <f t="shared" si="12"/>
        <v>0</v>
      </c>
      <c r="I214" s="366">
        <f t="shared" si="13"/>
        <v>0</v>
      </c>
      <c r="J214" s="474"/>
      <c r="L214" s="83"/>
    </row>
    <row r="215" spans="2:67">
      <c r="B215" s="222"/>
      <c r="C215" s="206" t="s">
        <v>2036</v>
      </c>
      <c r="D215" s="200" t="s">
        <v>2037</v>
      </c>
      <c r="E215" s="201" t="s">
        <v>610</v>
      </c>
      <c r="F215" s="551">
        <v>250</v>
      </c>
      <c r="G215" s="203">
        <f>+SUMIF('AUX-NIV1'!I:I,Recursos!C215,'AUX-NIV1'!Q:Q)+SUMIF('AUX-NIV2'!I:I,Recursos!C215,'AUX-NIV2'!Q:Q)+SUMIF('AUX-NIV3'!I:I,Recursos!C215,'AUX-NIV3'!Q:Q)</f>
        <v>0</v>
      </c>
      <c r="H215" s="204">
        <f t="shared" si="12"/>
        <v>0</v>
      </c>
      <c r="I215" s="366">
        <f t="shared" si="13"/>
        <v>0</v>
      </c>
      <c r="J215" s="474"/>
      <c r="L215" s="83"/>
    </row>
    <row r="216" spans="2:67">
      <c r="B216" s="222"/>
      <c r="C216" s="206" t="s">
        <v>2038</v>
      </c>
      <c r="D216" s="200" t="s">
        <v>2039</v>
      </c>
      <c r="E216" s="201" t="s">
        <v>477</v>
      </c>
      <c r="F216" s="551">
        <v>18</v>
      </c>
      <c r="G216" s="203">
        <f>+SUMIF('AUX-NIV1'!I:I,Recursos!C216,'AUX-NIV1'!Q:Q)+SUMIF('AUX-NIV2'!I:I,Recursos!C216,'AUX-NIV2'!Q:Q)+SUMIF('AUX-NIV3'!I:I,Recursos!C216,'AUX-NIV3'!Q:Q)</f>
        <v>0</v>
      </c>
      <c r="H216" s="204">
        <f t="shared" si="12"/>
        <v>0</v>
      </c>
      <c r="I216" s="366">
        <f t="shared" si="13"/>
        <v>0</v>
      </c>
      <c r="J216" s="474"/>
      <c r="L216" s="83"/>
    </row>
    <row r="217" spans="2:67">
      <c r="B217" s="222"/>
      <c r="C217" s="206" t="s">
        <v>2040</v>
      </c>
      <c r="D217" s="200" t="s">
        <v>2041</v>
      </c>
      <c r="E217" s="201" t="s">
        <v>477</v>
      </c>
      <c r="F217" s="551">
        <v>13.653</v>
      </c>
      <c r="G217" s="203">
        <f>+SUMIF('AUX-NIV1'!I:I,Recursos!C217,'AUX-NIV1'!Q:Q)+SUMIF('AUX-NIV2'!I:I,Recursos!C217,'AUX-NIV2'!Q:Q)+SUMIF('AUX-NIV3'!I:I,Recursos!C217,'AUX-NIV3'!Q:Q)</f>
        <v>0</v>
      </c>
      <c r="H217" s="204">
        <f t="shared" si="12"/>
        <v>0</v>
      </c>
      <c r="I217" s="366">
        <f t="shared" si="13"/>
        <v>0</v>
      </c>
      <c r="J217" s="474"/>
      <c r="L217" s="83"/>
    </row>
    <row r="218" spans="2:67">
      <c r="B218" s="222"/>
      <c r="C218" s="206" t="s">
        <v>2042</v>
      </c>
      <c r="D218" s="200" t="s">
        <v>2043</v>
      </c>
      <c r="E218" s="201" t="s">
        <v>1233</v>
      </c>
      <c r="F218" s="551">
        <v>8700</v>
      </c>
      <c r="G218" s="203">
        <f>+SUMIF('AUX-NIV1'!I:I,Recursos!C218,'AUX-NIV1'!Q:Q)+SUMIF('AUX-NIV2'!I:I,Recursos!C218,'AUX-NIV2'!Q:Q)+SUMIF('AUX-NIV3'!I:I,Recursos!C218,'AUX-NIV3'!Q:Q)</f>
        <v>0</v>
      </c>
      <c r="H218" s="204">
        <f t="shared" si="12"/>
        <v>0</v>
      </c>
      <c r="I218" s="366">
        <f t="shared" si="13"/>
        <v>0</v>
      </c>
      <c r="J218" s="474"/>
      <c r="L218" s="83"/>
    </row>
    <row r="219" spans="2:67">
      <c r="B219" s="222"/>
      <c r="C219" s="472" t="s">
        <v>1768</v>
      </c>
      <c r="D219" s="473" t="s">
        <v>1769</v>
      </c>
      <c r="E219" s="201" t="s">
        <v>484</v>
      </c>
      <c r="F219" s="551">
        <f>'AUX-NIV1'!F371*2*0+700</f>
        <v>700</v>
      </c>
      <c r="G219" s="203">
        <f>+SUMIF('AUX-NIV1'!I:I,Recursos!C219,'AUX-NIV1'!Q:Q)+SUMIF('AUX-NIV2'!I:I,Recursos!C219,'AUX-NIV2'!Q:Q)+SUMIF('AUX-NIV3'!I:I,Recursos!C219,'AUX-NIV3'!Q:Q)</f>
        <v>0</v>
      </c>
      <c r="H219" s="204">
        <f t="shared" si="12"/>
        <v>0</v>
      </c>
      <c r="I219" s="366">
        <f t="shared" si="13"/>
        <v>0</v>
      </c>
      <c r="J219" s="474"/>
      <c r="L219" s="1610"/>
      <c r="BO219" s="912"/>
    </row>
    <row r="220" spans="2:67">
      <c r="B220" s="222"/>
      <c r="C220" s="206" t="s">
        <v>1770</v>
      </c>
      <c r="D220" s="200" t="s">
        <v>1771</v>
      </c>
      <c r="E220" s="201" t="s">
        <v>1160</v>
      </c>
      <c r="F220" s="551">
        <v>1</v>
      </c>
      <c r="G220" s="203">
        <f>+SUMIF('AUX-NIV1'!I:I,Recursos!C220,'AUX-NIV1'!Q:Q)+SUMIF('AUX-NIV2'!I:I,Recursos!C220,'AUX-NIV2'!Q:Q)+SUMIF('AUX-NIV3'!I:I,Recursos!C220,'AUX-NIV3'!Q:Q)</f>
        <v>0</v>
      </c>
      <c r="H220" s="204">
        <f t="shared" si="12"/>
        <v>0</v>
      </c>
      <c r="I220" s="366">
        <f t="shared" si="13"/>
        <v>0</v>
      </c>
      <c r="J220" s="474"/>
      <c r="L220" s="83"/>
    </row>
    <row r="221" spans="2:67">
      <c r="B221" s="222"/>
      <c r="C221" s="206" t="s">
        <v>2044</v>
      </c>
      <c r="D221" s="200" t="s">
        <v>2045</v>
      </c>
      <c r="E221" s="201" t="s">
        <v>1233</v>
      </c>
      <c r="F221" s="551">
        <v>3500</v>
      </c>
      <c r="G221" s="203">
        <f>+SUMIF('AUX-NIV1'!I:I,Recursos!C221,'AUX-NIV1'!Q:Q)+SUMIF('AUX-NIV2'!I:I,Recursos!C221,'AUX-NIV2'!Q:Q)+SUMIF('AUX-NIV3'!I:I,Recursos!C221,'AUX-NIV3'!Q:Q)</f>
        <v>0</v>
      </c>
      <c r="H221" s="204">
        <f t="shared" si="12"/>
        <v>0</v>
      </c>
      <c r="I221" s="366">
        <f t="shared" si="13"/>
        <v>0</v>
      </c>
      <c r="J221" s="474"/>
      <c r="L221" s="83"/>
    </row>
    <row r="222" spans="2:67">
      <c r="B222" s="222"/>
      <c r="C222" s="206" t="s">
        <v>2046</v>
      </c>
      <c r="D222" s="200" t="s">
        <v>2047</v>
      </c>
      <c r="E222" s="201" t="s">
        <v>610</v>
      </c>
      <c r="F222" s="551">
        <v>580</v>
      </c>
      <c r="G222" s="203">
        <f>+SUMIF('AUX-NIV1'!I:I,Recursos!C222,'AUX-NIV1'!Q:Q)+SUMIF('AUX-NIV2'!I:I,Recursos!C222,'AUX-NIV2'!Q:Q)+SUMIF('AUX-NIV3'!I:I,Recursos!C222,'AUX-NIV3'!Q:Q)</f>
        <v>0</v>
      </c>
      <c r="H222" s="204">
        <f t="shared" si="12"/>
        <v>0</v>
      </c>
      <c r="I222" s="366">
        <f t="shared" si="13"/>
        <v>0</v>
      </c>
      <c r="J222" s="474"/>
      <c r="L222" s="83"/>
    </row>
    <row r="223" spans="2:67">
      <c r="B223" s="222"/>
      <c r="C223" s="206" t="s">
        <v>2048</v>
      </c>
      <c r="D223" s="200" t="s">
        <v>2049</v>
      </c>
      <c r="E223" s="201" t="s">
        <v>477</v>
      </c>
      <c r="F223" s="551">
        <v>30</v>
      </c>
      <c r="G223" s="203">
        <f>+SUMIF('AUX-NIV1'!I:I,Recursos!C223,'AUX-NIV1'!Q:Q)+SUMIF('AUX-NIV2'!I:I,Recursos!C223,'AUX-NIV2'!Q:Q)+SUMIF('AUX-NIV3'!I:I,Recursos!C223,'AUX-NIV3'!Q:Q)</f>
        <v>0</v>
      </c>
      <c r="H223" s="204">
        <f t="shared" si="12"/>
        <v>0</v>
      </c>
      <c r="I223" s="366">
        <f t="shared" si="13"/>
        <v>0</v>
      </c>
      <c r="J223" s="474"/>
      <c r="L223" s="83"/>
    </row>
    <row r="224" spans="2:67">
      <c r="B224" s="222"/>
      <c r="C224" s="206" t="s">
        <v>2050</v>
      </c>
      <c r="D224" s="200" t="s">
        <v>2051</v>
      </c>
      <c r="E224" s="201" t="s">
        <v>477</v>
      </c>
      <c r="F224" s="551">
        <v>24</v>
      </c>
      <c r="G224" s="203">
        <f>+SUMIF('AUX-NIV1'!I:I,Recursos!C224,'AUX-NIV1'!Q:Q)+SUMIF('AUX-NIV2'!I:I,Recursos!C224,'AUX-NIV2'!Q:Q)+SUMIF('AUX-NIV3'!I:I,Recursos!C224,'AUX-NIV3'!Q:Q)</f>
        <v>0</v>
      </c>
      <c r="H224" s="204">
        <f t="shared" si="12"/>
        <v>0</v>
      </c>
      <c r="I224" s="366">
        <f t="shared" si="13"/>
        <v>0</v>
      </c>
      <c r="J224" s="474"/>
      <c r="L224" s="83"/>
    </row>
    <row r="225" spans="2:67">
      <c r="B225" s="222"/>
      <c r="C225" s="206" t="s">
        <v>2052</v>
      </c>
      <c r="D225" s="200" t="s">
        <v>2053</v>
      </c>
      <c r="E225" s="201" t="s">
        <v>477</v>
      </c>
      <c r="F225" s="551">
        <v>360</v>
      </c>
      <c r="G225" s="203">
        <f>+SUMIF('AUX-NIV1'!I:I,Recursos!C225,'AUX-NIV1'!Q:Q)+SUMIF('AUX-NIV2'!I:I,Recursos!C225,'AUX-NIV2'!Q:Q)+SUMIF('AUX-NIV3'!I:I,Recursos!C225,'AUX-NIV3'!Q:Q)</f>
        <v>0</v>
      </c>
      <c r="H225" s="204">
        <f t="shared" si="12"/>
        <v>0</v>
      </c>
      <c r="I225" s="366">
        <f t="shared" si="13"/>
        <v>0</v>
      </c>
      <c r="J225" s="474"/>
      <c r="L225" s="83"/>
    </row>
    <row r="226" spans="2:67">
      <c r="B226" s="222"/>
      <c r="C226" s="206" t="s">
        <v>2054</v>
      </c>
      <c r="D226" s="200" t="s">
        <v>2055</v>
      </c>
      <c r="E226" s="201" t="s">
        <v>610</v>
      </c>
      <c r="F226" s="551">
        <v>75</v>
      </c>
      <c r="G226" s="203">
        <f>+SUMIF('AUX-NIV1'!I:I,Recursos!C226,'AUX-NIV1'!Q:Q)+SUMIF('AUX-NIV2'!I:I,Recursos!C226,'AUX-NIV2'!Q:Q)+SUMIF('AUX-NIV3'!I:I,Recursos!C226,'AUX-NIV3'!Q:Q)</f>
        <v>0</v>
      </c>
      <c r="H226" s="204">
        <f t="shared" si="12"/>
        <v>0</v>
      </c>
      <c r="I226" s="366">
        <f t="shared" si="13"/>
        <v>0</v>
      </c>
      <c r="J226" s="474"/>
      <c r="L226" s="83"/>
    </row>
    <row r="227" spans="2:67">
      <c r="B227" s="222"/>
      <c r="C227" s="206" t="s">
        <v>2056</v>
      </c>
      <c r="D227" s="200" t="s">
        <v>2057</v>
      </c>
      <c r="E227" s="201" t="s">
        <v>610</v>
      </c>
      <c r="F227" s="551">
        <v>1000</v>
      </c>
      <c r="G227" s="203">
        <f>+SUMIF('AUX-NIV1'!I:I,Recursos!C227,'AUX-NIV1'!Q:Q)+SUMIF('AUX-NIV2'!I:I,Recursos!C227,'AUX-NIV2'!Q:Q)+SUMIF('AUX-NIV3'!I:I,Recursos!C227,'AUX-NIV3'!Q:Q)</f>
        <v>0</v>
      </c>
      <c r="H227" s="204">
        <f t="shared" si="12"/>
        <v>0</v>
      </c>
      <c r="I227" s="366">
        <f t="shared" si="13"/>
        <v>0</v>
      </c>
      <c r="J227" s="474"/>
      <c r="L227" s="83"/>
    </row>
    <row r="228" spans="2:67">
      <c r="B228" s="222"/>
      <c r="C228" s="206" t="s">
        <v>2058</v>
      </c>
      <c r="D228" s="756" t="s">
        <v>2059</v>
      </c>
      <c r="E228" s="201" t="s">
        <v>610</v>
      </c>
      <c r="F228" s="551">
        <v>6461.5384615384619</v>
      </c>
      <c r="G228" s="203">
        <f>+SUMIF('AUX-NIV1'!I:I,Recursos!C228,'AUX-NIV1'!Q:Q)+SUMIF('AUX-NIV2'!I:I,Recursos!C228,'AUX-NIV2'!Q:Q)+SUMIF('AUX-NIV3'!I:I,Recursos!C228,'AUX-NIV3'!Q:Q)</f>
        <v>0</v>
      </c>
      <c r="H228" s="204">
        <f t="shared" si="12"/>
        <v>0</v>
      </c>
      <c r="I228" s="366">
        <f t="shared" si="13"/>
        <v>0</v>
      </c>
      <c r="J228" s="474"/>
      <c r="L228" s="83"/>
      <c r="BO228" s="912"/>
    </row>
    <row r="229" spans="2:67">
      <c r="B229" s="222"/>
      <c r="C229" s="206" t="s">
        <v>2060</v>
      </c>
      <c r="D229" s="200" t="s">
        <v>2061</v>
      </c>
      <c r="E229" s="201" t="s">
        <v>610</v>
      </c>
      <c r="F229" s="551">
        <v>1350</v>
      </c>
      <c r="G229" s="203">
        <f>+SUMIF('AUX-NIV1'!I:I,Recursos!C229,'AUX-NIV1'!Q:Q)+SUMIF('AUX-NIV2'!I:I,Recursos!C229,'AUX-NIV2'!Q:Q)+SUMIF('AUX-NIV3'!I:I,Recursos!C229,'AUX-NIV3'!Q:Q)</f>
        <v>0</v>
      </c>
      <c r="H229" s="204">
        <f t="shared" si="12"/>
        <v>0</v>
      </c>
      <c r="I229" s="366">
        <f t="shared" si="13"/>
        <v>0</v>
      </c>
      <c r="J229" s="474"/>
      <c r="L229" s="83"/>
    </row>
    <row r="230" spans="2:67">
      <c r="B230" s="222"/>
      <c r="C230" s="206" t="s">
        <v>2062</v>
      </c>
      <c r="D230" s="200" t="s">
        <v>2063</v>
      </c>
      <c r="E230" s="201" t="s">
        <v>477</v>
      </c>
      <c r="F230" s="551">
        <v>155</v>
      </c>
      <c r="G230" s="203">
        <f>+SUMIF('AUX-NIV1'!I:I,Recursos!C230,'AUX-NIV1'!Q:Q)+SUMIF('AUX-NIV2'!I:I,Recursos!C230,'AUX-NIV2'!Q:Q)+SUMIF('AUX-NIV3'!I:I,Recursos!C230,'AUX-NIV3'!Q:Q)</f>
        <v>0</v>
      </c>
      <c r="H230" s="204">
        <f t="shared" si="12"/>
        <v>0</v>
      </c>
      <c r="I230" s="366">
        <f t="shared" si="13"/>
        <v>0</v>
      </c>
      <c r="J230" s="474"/>
      <c r="L230" s="83"/>
    </row>
    <row r="231" spans="2:67">
      <c r="B231" s="222"/>
      <c r="C231" s="206" t="s">
        <v>1772</v>
      </c>
      <c r="D231" s="200" t="s">
        <v>1773</v>
      </c>
      <c r="E231" s="201" t="s">
        <v>1160</v>
      </c>
      <c r="F231" s="551">
        <v>2</v>
      </c>
      <c r="G231" s="203">
        <f>+SUMIF('AUX-NIV1'!I:I,Recursos!C231,'AUX-NIV1'!Q:Q)+SUMIF('AUX-NIV2'!I:I,Recursos!C231,'AUX-NIV2'!Q:Q)+SUMIF('AUX-NIV3'!I:I,Recursos!C231,'AUX-NIV3'!Q:Q)</f>
        <v>0</v>
      </c>
      <c r="H231" s="204">
        <f t="shared" si="12"/>
        <v>0</v>
      </c>
      <c r="I231" s="366">
        <f t="shared" si="13"/>
        <v>0</v>
      </c>
      <c r="J231" s="474"/>
      <c r="L231" s="83"/>
    </row>
    <row r="232" spans="2:67">
      <c r="B232" s="222"/>
      <c r="C232" s="206" t="s">
        <v>2066</v>
      </c>
      <c r="D232" s="200" t="s">
        <v>2067</v>
      </c>
      <c r="E232" s="201" t="s">
        <v>477</v>
      </c>
      <c r="F232" s="551">
        <v>441.96</v>
      </c>
      <c r="G232" s="203">
        <f>+SUMIF('AUX-NIV1'!I:I,Recursos!C232,'AUX-NIV1'!Q:Q)+SUMIF('AUX-NIV2'!I:I,Recursos!C232,'AUX-NIV2'!Q:Q)+SUMIF('AUX-NIV3'!I:I,Recursos!C232,'AUX-NIV3'!Q:Q)</f>
        <v>0</v>
      </c>
      <c r="H232" s="204">
        <f t="shared" si="12"/>
        <v>0</v>
      </c>
      <c r="I232" s="366">
        <f t="shared" si="13"/>
        <v>0</v>
      </c>
      <c r="J232" s="474"/>
      <c r="L232" s="83"/>
    </row>
    <row r="233" spans="2:67">
      <c r="B233" s="222"/>
      <c r="C233" s="206" t="s">
        <v>2068</v>
      </c>
      <c r="D233" s="200" t="s">
        <v>2069</v>
      </c>
      <c r="E233" s="201" t="s">
        <v>477</v>
      </c>
      <c r="F233" s="551">
        <v>385</v>
      </c>
      <c r="G233" s="203">
        <f>+SUMIF('AUX-NIV1'!I:I,Recursos!C233,'AUX-NIV1'!Q:Q)+SUMIF('AUX-NIV2'!I:I,Recursos!C233,'AUX-NIV2'!Q:Q)+SUMIF('AUX-NIV3'!I:I,Recursos!C233,'AUX-NIV3'!Q:Q)</f>
        <v>0</v>
      </c>
      <c r="H233" s="204">
        <f t="shared" si="12"/>
        <v>0</v>
      </c>
      <c r="I233" s="366">
        <f t="shared" si="13"/>
        <v>0</v>
      </c>
      <c r="J233" s="474"/>
      <c r="L233" s="83"/>
    </row>
    <row r="234" spans="2:67">
      <c r="B234" s="222"/>
      <c r="C234" s="206" t="s">
        <v>2070</v>
      </c>
      <c r="D234" s="200" t="s">
        <v>2071</v>
      </c>
      <c r="E234" s="201" t="s">
        <v>185</v>
      </c>
      <c r="F234" s="551">
        <v>30</v>
      </c>
      <c r="G234" s="203">
        <f>+SUMIF('AUX-NIV1'!I:I,Recursos!C234,'AUX-NIV1'!Q:Q)+SUMIF('AUX-NIV2'!I:I,Recursos!C234,'AUX-NIV2'!Q:Q)+SUMIF('AUX-NIV3'!I:I,Recursos!C234,'AUX-NIV3'!Q:Q)</f>
        <v>0</v>
      </c>
      <c r="H234" s="204">
        <f t="shared" si="12"/>
        <v>0</v>
      </c>
      <c r="I234" s="366">
        <f t="shared" si="13"/>
        <v>0</v>
      </c>
      <c r="J234" s="474"/>
      <c r="L234" s="83"/>
    </row>
    <row r="235" spans="2:67">
      <c r="B235" s="222"/>
      <c r="C235" s="206" t="s">
        <v>2072</v>
      </c>
      <c r="D235" s="200" t="s">
        <v>2073</v>
      </c>
      <c r="E235" s="201" t="s">
        <v>1160</v>
      </c>
      <c r="F235" s="551">
        <v>126</v>
      </c>
      <c r="G235" s="203">
        <f>+SUMIF('AUX-NIV1'!I:I,Recursos!C235,'AUX-NIV1'!Q:Q)+SUMIF('AUX-NIV2'!I:I,Recursos!C235,'AUX-NIV2'!Q:Q)+SUMIF('AUX-NIV3'!I:I,Recursos!C235,'AUX-NIV3'!Q:Q)</f>
        <v>0</v>
      </c>
      <c r="H235" s="204">
        <f t="shared" si="12"/>
        <v>0</v>
      </c>
      <c r="I235" s="366">
        <f t="shared" si="13"/>
        <v>0</v>
      </c>
      <c r="J235" s="474"/>
      <c r="L235" s="83"/>
    </row>
    <row r="236" spans="2:67">
      <c r="B236" s="222"/>
      <c r="C236" s="206" t="s">
        <v>2074</v>
      </c>
      <c r="D236" s="200" t="s">
        <v>2075</v>
      </c>
      <c r="E236" s="201" t="s">
        <v>1160</v>
      </c>
      <c r="F236" s="551">
        <v>424</v>
      </c>
      <c r="G236" s="203">
        <f>+SUMIF('AUX-NIV1'!I:I,Recursos!C236,'AUX-NIV1'!Q:Q)+SUMIF('AUX-NIV2'!I:I,Recursos!C236,'AUX-NIV2'!Q:Q)+SUMIF('AUX-NIV3'!I:I,Recursos!C236,'AUX-NIV3'!Q:Q)</f>
        <v>0</v>
      </c>
      <c r="H236" s="204">
        <f t="shared" si="12"/>
        <v>0</v>
      </c>
      <c r="I236" s="366">
        <f t="shared" si="13"/>
        <v>0</v>
      </c>
      <c r="J236" s="474"/>
      <c r="L236" s="83"/>
    </row>
    <row r="237" spans="2:67">
      <c r="B237" s="222"/>
      <c r="C237" s="206" t="s">
        <v>2076</v>
      </c>
      <c r="D237" s="200" t="s">
        <v>2077</v>
      </c>
      <c r="E237" s="201" t="s">
        <v>1160</v>
      </c>
      <c r="F237" s="551">
        <v>126</v>
      </c>
      <c r="G237" s="203">
        <f>+SUMIF('AUX-NIV1'!I:I,Recursos!C237,'AUX-NIV1'!Q:Q)+SUMIF('AUX-NIV2'!I:I,Recursos!C237,'AUX-NIV2'!Q:Q)+SUMIF('AUX-NIV3'!I:I,Recursos!C237,'AUX-NIV3'!Q:Q)</f>
        <v>0</v>
      </c>
      <c r="H237" s="204">
        <f t="shared" si="12"/>
        <v>0</v>
      </c>
      <c r="I237" s="366">
        <f t="shared" si="13"/>
        <v>0</v>
      </c>
      <c r="J237" s="474"/>
      <c r="L237" s="83"/>
    </row>
    <row r="238" spans="2:67">
      <c r="B238" s="222"/>
      <c r="C238" s="206" t="s">
        <v>2078</v>
      </c>
      <c r="D238" s="200" t="s">
        <v>2079</v>
      </c>
      <c r="E238" s="201" t="s">
        <v>1160</v>
      </c>
      <c r="F238" s="551">
        <v>126</v>
      </c>
      <c r="G238" s="203">
        <f>+SUMIF('AUX-NIV1'!I:I,Recursos!C238,'AUX-NIV1'!Q:Q)+SUMIF('AUX-NIV2'!I:I,Recursos!C238,'AUX-NIV2'!Q:Q)+SUMIF('AUX-NIV3'!I:I,Recursos!C238,'AUX-NIV3'!Q:Q)</f>
        <v>0</v>
      </c>
      <c r="H238" s="204">
        <f t="shared" si="12"/>
        <v>0</v>
      </c>
      <c r="I238" s="366">
        <f t="shared" si="13"/>
        <v>0</v>
      </c>
      <c r="J238" s="474"/>
      <c r="L238" s="83"/>
    </row>
    <row r="239" spans="2:67">
      <c r="B239" s="222"/>
      <c r="C239" s="206" t="s">
        <v>2080</v>
      </c>
      <c r="D239" s="200" t="s">
        <v>2081</v>
      </c>
      <c r="E239" s="201" t="s">
        <v>1160</v>
      </c>
      <c r="F239" s="551">
        <v>126</v>
      </c>
      <c r="G239" s="203">
        <f>+SUMIF('AUX-NIV1'!I:I,Recursos!C239,'AUX-NIV1'!Q:Q)+SUMIF('AUX-NIV2'!I:I,Recursos!C239,'AUX-NIV2'!Q:Q)+SUMIF('AUX-NIV3'!I:I,Recursos!C239,'AUX-NIV3'!Q:Q)</f>
        <v>0</v>
      </c>
      <c r="H239" s="204">
        <f t="shared" si="12"/>
        <v>0</v>
      </c>
      <c r="I239" s="366">
        <f t="shared" si="13"/>
        <v>0</v>
      </c>
      <c r="J239" s="474"/>
      <c r="L239" s="83"/>
    </row>
    <row r="240" spans="2:67">
      <c r="B240" s="222"/>
      <c r="C240" s="206" t="s">
        <v>2082</v>
      </c>
      <c r="D240" s="200" t="s">
        <v>2083</v>
      </c>
      <c r="E240" s="201" t="s">
        <v>610</v>
      </c>
      <c r="F240" s="551">
        <v>92</v>
      </c>
      <c r="G240" s="203">
        <f>+SUMIF('AUX-NIV1'!I:I,Recursos!C240,'AUX-NIV1'!Q:Q)+SUMIF('AUX-NIV2'!I:I,Recursos!C240,'AUX-NIV2'!Q:Q)+SUMIF('AUX-NIV3'!I:I,Recursos!C240,'AUX-NIV3'!Q:Q)</f>
        <v>0</v>
      </c>
      <c r="H240" s="204">
        <f t="shared" si="12"/>
        <v>0</v>
      </c>
      <c r="I240" s="366">
        <f t="shared" si="13"/>
        <v>0</v>
      </c>
      <c r="J240" s="474"/>
      <c r="L240" s="83"/>
    </row>
    <row r="241" spans="2:12">
      <c r="B241" s="222"/>
      <c r="C241" s="206" t="s">
        <v>1774</v>
      </c>
      <c r="D241" s="200" t="s">
        <v>449</v>
      </c>
      <c r="E241" s="201" t="s">
        <v>450</v>
      </c>
      <c r="F241" s="551">
        <v>3</v>
      </c>
      <c r="G241" s="203">
        <f>+SUMIF('AUX-NIV1'!I:I,Recursos!C241,'AUX-NIV1'!Q:Q)+SUMIF('AUX-NIV2'!I:I,Recursos!C241,'AUX-NIV2'!Q:Q)+SUMIF('AUX-NIV3'!I:I,Recursos!C241,'AUX-NIV3'!Q:Q)</f>
        <v>0</v>
      </c>
      <c r="H241" s="204">
        <f t="shared" si="12"/>
        <v>0</v>
      </c>
      <c r="I241" s="366">
        <f t="shared" si="13"/>
        <v>0</v>
      </c>
      <c r="J241" s="474"/>
      <c r="L241" s="83"/>
    </row>
    <row r="242" spans="2:12">
      <c r="B242" s="222"/>
      <c r="C242" s="206" t="s">
        <v>2084</v>
      </c>
      <c r="D242" s="200" t="s">
        <v>2085</v>
      </c>
      <c r="E242" s="201" t="s">
        <v>1233</v>
      </c>
      <c r="F242" s="551">
        <v>13950</v>
      </c>
      <c r="G242" s="203">
        <f>+SUMIF('AUX-NIV1'!I:I,Recursos!C242,'AUX-NIV1'!Q:Q)+SUMIF('AUX-NIV2'!I:I,Recursos!C242,'AUX-NIV2'!Q:Q)+SUMIF('AUX-NIV3'!I:I,Recursos!C242,'AUX-NIV3'!Q:Q)</f>
        <v>0</v>
      </c>
      <c r="H242" s="204">
        <f t="shared" si="12"/>
        <v>0</v>
      </c>
      <c r="I242" s="366">
        <f t="shared" si="13"/>
        <v>0</v>
      </c>
      <c r="J242" s="474"/>
      <c r="L242" s="83"/>
    </row>
    <row r="243" spans="2:12">
      <c r="B243" s="222"/>
      <c r="C243" s="206" t="s">
        <v>2086</v>
      </c>
      <c r="D243" s="200" t="s">
        <v>2087</v>
      </c>
      <c r="E243" s="201" t="s">
        <v>200</v>
      </c>
      <c r="F243" s="551">
        <v>1</v>
      </c>
      <c r="G243" s="203">
        <f>+SUMIF('AUX-NIV1'!I:I,Recursos!C243,'AUX-NIV1'!Q:Q)+SUMIF('AUX-NIV2'!I:I,Recursos!C243,'AUX-NIV2'!Q:Q)+SUMIF('AUX-NIV3'!I:I,Recursos!C243,'AUX-NIV3'!Q:Q)</f>
        <v>0</v>
      </c>
      <c r="H243" s="204">
        <f t="shared" si="12"/>
        <v>0</v>
      </c>
      <c r="I243" s="366">
        <f t="shared" si="13"/>
        <v>0</v>
      </c>
      <c r="J243" s="474"/>
      <c r="L243" s="83"/>
    </row>
    <row r="244" spans="2:12">
      <c r="B244" s="222"/>
      <c r="C244" s="206" t="s">
        <v>2088</v>
      </c>
      <c r="D244" s="200" t="s">
        <v>2089</v>
      </c>
      <c r="E244" s="201" t="s">
        <v>185</v>
      </c>
      <c r="F244" s="551">
        <v>10</v>
      </c>
      <c r="G244" s="203">
        <f>+SUMIF('AUX-NIV1'!I:I,Recursos!C244,'AUX-NIV1'!Q:Q)+SUMIF('AUX-NIV2'!I:I,Recursos!C244,'AUX-NIV2'!Q:Q)+SUMIF('AUX-NIV3'!I:I,Recursos!C244,'AUX-NIV3'!Q:Q)</f>
        <v>0</v>
      </c>
      <c r="H244" s="204">
        <f t="shared" si="12"/>
        <v>0</v>
      </c>
      <c r="I244" s="366">
        <f t="shared" si="13"/>
        <v>0</v>
      </c>
      <c r="J244" s="474"/>
      <c r="L244" s="83"/>
    </row>
    <row r="245" spans="2:12">
      <c r="B245" s="222"/>
      <c r="C245" s="206" t="s">
        <v>2090</v>
      </c>
      <c r="D245" s="200" t="s">
        <v>2091</v>
      </c>
      <c r="E245" s="201" t="s">
        <v>610</v>
      </c>
      <c r="F245" s="551">
        <v>50</v>
      </c>
      <c r="G245" s="203">
        <f>+SUMIF('AUX-NIV1'!I:I,Recursos!C245,'AUX-NIV1'!Q:Q)+SUMIF('AUX-NIV2'!I:I,Recursos!C245,'AUX-NIV2'!Q:Q)+SUMIF('AUX-NIV3'!I:I,Recursos!C245,'AUX-NIV3'!Q:Q)</f>
        <v>0</v>
      </c>
      <c r="H245" s="204">
        <f t="shared" si="12"/>
        <v>0</v>
      </c>
      <c r="I245" s="366">
        <f t="shared" si="13"/>
        <v>0</v>
      </c>
      <c r="J245" s="474"/>
      <c r="L245" s="83"/>
    </row>
    <row r="246" spans="2:12">
      <c r="B246" s="222"/>
      <c r="C246" s="206" t="s">
        <v>2092</v>
      </c>
      <c r="D246" s="200" t="s">
        <v>2093</v>
      </c>
      <c r="E246" s="201" t="s">
        <v>610</v>
      </c>
      <c r="F246" s="551">
        <v>6</v>
      </c>
      <c r="G246" s="203">
        <f>+SUMIF('AUX-NIV1'!I:I,Recursos!C246,'AUX-NIV1'!Q:Q)+SUMIF('AUX-NIV2'!I:I,Recursos!C246,'AUX-NIV2'!Q:Q)+SUMIF('AUX-NIV3'!I:I,Recursos!C246,'AUX-NIV3'!Q:Q)</f>
        <v>0</v>
      </c>
      <c r="H246" s="204">
        <f t="shared" si="12"/>
        <v>0</v>
      </c>
      <c r="I246" s="366">
        <f t="shared" si="13"/>
        <v>0</v>
      </c>
      <c r="J246" s="474"/>
      <c r="L246" s="83"/>
    </row>
    <row r="247" spans="2:12">
      <c r="B247" s="222"/>
      <c r="C247" s="206" t="s">
        <v>2094</v>
      </c>
      <c r="D247" s="200" t="s">
        <v>2095</v>
      </c>
      <c r="E247" s="201" t="s">
        <v>185</v>
      </c>
      <c r="F247" s="551">
        <v>3000</v>
      </c>
      <c r="G247" s="203">
        <f>+SUMIF('AUX-NIV1'!I:I,Recursos!C247,'AUX-NIV1'!Q:Q)+SUMIF('AUX-NIV2'!I:I,Recursos!C247,'AUX-NIV2'!Q:Q)+SUMIF('AUX-NIV3'!I:I,Recursos!C247,'AUX-NIV3'!Q:Q)</f>
        <v>0</v>
      </c>
      <c r="H247" s="204">
        <f t="shared" si="12"/>
        <v>0</v>
      </c>
      <c r="I247" s="366">
        <f t="shared" si="13"/>
        <v>0</v>
      </c>
      <c r="J247" s="474"/>
      <c r="L247" s="83"/>
    </row>
    <row r="248" spans="2:12">
      <c r="B248" s="222"/>
      <c r="C248" s="206" t="s">
        <v>2096</v>
      </c>
      <c r="D248" s="200" t="s">
        <v>2097</v>
      </c>
      <c r="E248" s="201" t="s">
        <v>610</v>
      </c>
      <c r="F248" s="551">
        <v>1000</v>
      </c>
      <c r="G248" s="203">
        <f>+SUMIF('AUX-NIV1'!I:I,Recursos!C248,'AUX-NIV1'!Q:Q)+SUMIF('AUX-NIV2'!I:I,Recursos!C248,'AUX-NIV2'!Q:Q)+SUMIF('AUX-NIV3'!I:I,Recursos!C248,'AUX-NIV3'!Q:Q)</f>
        <v>0</v>
      </c>
      <c r="H248" s="204">
        <f t="shared" si="12"/>
        <v>0</v>
      </c>
      <c r="I248" s="366">
        <f t="shared" si="13"/>
        <v>0</v>
      </c>
      <c r="J248" s="474"/>
      <c r="L248" s="83"/>
    </row>
    <row r="249" spans="2:12">
      <c r="B249" s="222"/>
      <c r="C249" s="206" t="s">
        <v>2098</v>
      </c>
      <c r="D249" s="200" t="s">
        <v>2099</v>
      </c>
      <c r="E249" s="201" t="s">
        <v>610</v>
      </c>
      <c r="F249" s="551">
        <v>49.5</v>
      </c>
      <c r="G249" s="203">
        <f>+SUMIF('AUX-NIV1'!I:I,Recursos!C249,'AUX-NIV1'!Q:Q)+SUMIF('AUX-NIV2'!I:I,Recursos!C249,'AUX-NIV2'!Q:Q)+SUMIF('AUX-NIV3'!I:I,Recursos!C249,'AUX-NIV3'!Q:Q)</f>
        <v>0</v>
      </c>
      <c r="H249" s="204">
        <f t="shared" si="12"/>
        <v>0</v>
      </c>
      <c r="I249" s="366">
        <f t="shared" si="13"/>
        <v>0</v>
      </c>
      <c r="J249" s="474"/>
      <c r="L249" s="83"/>
    </row>
    <row r="250" spans="2:12">
      <c r="B250" s="222"/>
      <c r="C250" s="206" t="s">
        <v>2100</v>
      </c>
      <c r="D250" s="200" t="s">
        <v>2101</v>
      </c>
      <c r="E250" s="201" t="s">
        <v>610</v>
      </c>
      <c r="F250" s="551">
        <v>110</v>
      </c>
      <c r="G250" s="203">
        <f>+SUMIF('AUX-NIV1'!I:I,Recursos!C250,'AUX-NIV1'!Q:Q)+SUMIF('AUX-NIV2'!I:I,Recursos!C250,'AUX-NIV2'!Q:Q)+SUMIF('AUX-NIV3'!I:I,Recursos!C250,'AUX-NIV3'!Q:Q)</f>
        <v>0</v>
      </c>
      <c r="H250" s="204">
        <f t="shared" si="12"/>
        <v>0</v>
      </c>
      <c r="I250" s="366">
        <f t="shared" si="13"/>
        <v>0</v>
      </c>
      <c r="J250" s="474"/>
      <c r="L250" s="83"/>
    </row>
    <row r="251" spans="2:12">
      <c r="B251" s="222"/>
      <c r="C251" s="206" t="s">
        <v>2102</v>
      </c>
      <c r="D251" s="200" t="s">
        <v>2103</v>
      </c>
      <c r="E251" s="201" t="s">
        <v>610</v>
      </c>
      <c r="F251" s="551">
        <v>20</v>
      </c>
      <c r="G251" s="203">
        <f>+SUMIF('AUX-NIV1'!I:I,Recursos!C251,'AUX-NIV1'!Q:Q)+SUMIF('AUX-NIV2'!I:I,Recursos!C251,'AUX-NIV2'!Q:Q)+SUMIF('AUX-NIV3'!I:I,Recursos!C251,'AUX-NIV3'!Q:Q)</f>
        <v>0</v>
      </c>
      <c r="H251" s="204">
        <f t="shared" si="12"/>
        <v>0</v>
      </c>
      <c r="I251" s="366">
        <f t="shared" si="13"/>
        <v>0</v>
      </c>
      <c r="J251" s="474"/>
      <c r="L251" s="83"/>
    </row>
    <row r="252" spans="2:12">
      <c r="B252" s="222"/>
      <c r="C252" s="206" t="s">
        <v>1775</v>
      </c>
      <c r="D252" s="200" t="s">
        <v>1776</v>
      </c>
      <c r="E252" s="201" t="s">
        <v>1777</v>
      </c>
      <c r="F252" s="551">
        <v>86.825000000000003</v>
      </c>
      <c r="G252" s="203">
        <f>+SUMIF('AUX-NIV1'!I:I,Recursos!C252,'AUX-NIV1'!Q:Q)+SUMIF('AUX-NIV2'!I:I,Recursos!C252,'AUX-NIV2'!Q:Q)+SUMIF('AUX-NIV3'!I:I,Recursos!C252,'AUX-NIV3'!Q:Q)</f>
        <v>0</v>
      </c>
      <c r="H252" s="204">
        <f t="shared" si="12"/>
        <v>0</v>
      </c>
      <c r="I252" s="366">
        <f t="shared" si="13"/>
        <v>0</v>
      </c>
      <c r="J252" s="474"/>
      <c r="L252" s="83"/>
    </row>
    <row r="253" spans="2:12">
      <c r="B253" s="222"/>
      <c r="C253" s="206" t="s">
        <v>2104</v>
      </c>
      <c r="D253" s="200" t="s">
        <v>2105</v>
      </c>
      <c r="E253" s="201" t="s">
        <v>610</v>
      </c>
      <c r="F253" s="551">
        <v>66</v>
      </c>
      <c r="G253" s="203">
        <f>+SUMIF('AUX-NIV1'!I:I,Recursos!C253,'AUX-NIV1'!Q:Q)+SUMIF('AUX-NIV2'!I:I,Recursos!C253,'AUX-NIV2'!Q:Q)+SUMIF('AUX-NIV3'!I:I,Recursos!C253,'AUX-NIV3'!Q:Q)</f>
        <v>0</v>
      </c>
      <c r="H253" s="204">
        <f t="shared" si="12"/>
        <v>0</v>
      </c>
      <c r="I253" s="366">
        <f t="shared" si="13"/>
        <v>0</v>
      </c>
      <c r="J253" s="474"/>
      <c r="L253" s="83"/>
    </row>
    <row r="254" spans="2:12">
      <c r="B254" s="222"/>
      <c r="C254" s="206" t="s">
        <v>2106</v>
      </c>
      <c r="D254" s="200" t="s">
        <v>2107</v>
      </c>
      <c r="E254" s="201" t="s">
        <v>610</v>
      </c>
      <c r="F254" s="551">
        <v>495</v>
      </c>
      <c r="G254" s="203">
        <f>+SUMIF('AUX-NIV1'!I:I,Recursos!C254,'AUX-NIV1'!Q:Q)+SUMIF('AUX-NIV2'!I:I,Recursos!C254,'AUX-NIV2'!Q:Q)+SUMIF('AUX-NIV3'!I:I,Recursos!C254,'AUX-NIV3'!Q:Q)</f>
        <v>0</v>
      </c>
      <c r="H254" s="204">
        <f t="shared" si="12"/>
        <v>0</v>
      </c>
      <c r="I254" s="366">
        <f t="shared" si="13"/>
        <v>0</v>
      </c>
      <c r="J254" s="474"/>
      <c r="L254" s="83"/>
    </row>
    <row r="255" spans="2:12">
      <c r="B255" s="222"/>
      <c r="C255" s="206" t="s">
        <v>2108</v>
      </c>
      <c r="D255" s="200" t="s">
        <v>2109</v>
      </c>
      <c r="E255" s="201" t="s">
        <v>610</v>
      </c>
      <c r="F255" s="551">
        <v>3000</v>
      </c>
      <c r="G255" s="203">
        <f>+SUMIF('AUX-NIV1'!I:I,Recursos!C255,'AUX-NIV1'!Q:Q)+SUMIF('AUX-NIV2'!I:I,Recursos!C255,'AUX-NIV2'!Q:Q)+SUMIF('AUX-NIV3'!I:I,Recursos!C255,'AUX-NIV3'!Q:Q)</f>
        <v>0</v>
      </c>
      <c r="H255" s="204">
        <f t="shared" si="12"/>
        <v>0</v>
      </c>
      <c r="I255" s="366">
        <f t="shared" si="13"/>
        <v>0</v>
      </c>
      <c r="J255" s="474"/>
      <c r="L255" s="83"/>
    </row>
    <row r="256" spans="2:12">
      <c r="B256" s="222"/>
      <c r="C256" s="206" t="s">
        <v>2110</v>
      </c>
      <c r="D256" s="200" t="s">
        <v>2111</v>
      </c>
      <c r="E256" s="201" t="s">
        <v>610</v>
      </c>
      <c r="F256" s="551">
        <v>5280</v>
      </c>
      <c r="G256" s="203">
        <f>+SUMIF('AUX-NIV1'!I:I,Recursos!C256,'AUX-NIV1'!Q:Q)+SUMIF('AUX-NIV2'!I:I,Recursos!C256,'AUX-NIV2'!Q:Q)+SUMIF('AUX-NIV3'!I:I,Recursos!C256,'AUX-NIV3'!Q:Q)</f>
        <v>0</v>
      </c>
      <c r="H256" s="204">
        <f t="shared" si="12"/>
        <v>0</v>
      </c>
      <c r="I256" s="366">
        <f t="shared" si="13"/>
        <v>0</v>
      </c>
      <c r="J256" s="474"/>
      <c r="L256" s="83"/>
    </row>
    <row r="257" spans="2:12">
      <c r="B257" s="222"/>
      <c r="C257" s="206" t="s">
        <v>2112</v>
      </c>
      <c r="D257" s="200" t="s">
        <v>2113</v>
      </c>
      <c r="E257" s="201" t="s">
        <v>610</v>
      </c>
      <c r="F257" s="551">
        <v>1650</v>
      </c>
      <c r="G257" s="203">
        <f>+SUMIF('AUX-NIV1'!I:I,Recursos!C257,'AUX-NIV1'!Q:Q)+SUMIF('AUX-NIV2'!I:I,Recursos!C257,'AUX-NIV2'!Q:Q)+SUMIF('AUX-NIV3'!I:I,Recursos!C257,'AUX-NIV3'!Q:Q)</f>
        <v>0</v>
      </c>
      <c r="H257" s="204">
        <f t="shared" si="12"/>
        <v>0</v>
      </c>
      <c r="I257" s="366">
        <f t="shared" si="13"/>
        <v>0</v>
      </c>
      <c r="J257" s="474"/>
      <c r="L257" s="83"/>
    </row>
    <row r="258" spans="2:12">
      <c r="B258" s="222"/>
      <c r="C258" s="206" t="s">
        <v>2114</v>
      </c>
      <c r="D258" s="200" t="s">
        <v>2115</v>
      </c>
      <c r="E258" s="201" t="s">
        <v>610</v>
      </c>
      <c r="F258" s="551">
        <v>250</v>
      </c>
      <c r="G258" s="203">
        <f>+SUMIF('AUX-NIV1'!I:I,Recursos!C258,'AUX-NIV1'!Q:Q)+SUMIF('AUX-NIV2'!I:I,Recursos!C258,'AUX-NIV2'!Q:Q)+SUMIF('AUX-NIV3'!I:I,Recursos!C258,'AUX-NIV3'!Q:Q)</f>
        <v>0</v>
      </c>
      <c r="H258" s="204">
        <f t="shared" si="12"/>
        <v>0</v>
      </c>
      <c r="I258" s="366">
        <f t="shared" si="13"/>
        <v>0</v>
      </c>
      <c r="J258" s="474"/>
      <c r="L258" s="83"/>
    </row>
    <row r="259" spans="2:12">
      <c r="B259" s="222"/>
      <c r="C259" s="206" t="s">
        <v>2116</v>
      </c>
      <c r="D259" s="200" t="s">
        <v>503</v>
      </c>
      <c r="E259" s="201" t="s">
        <v>462</v>
      </c>
      <c r="F259" s="551">
        <v>15</v>
      </c>
      <c r="G259" s="203">
        <f>+SUMIF('AUX-NIV1'!I:I,Recursos!C259,'AUX-NIV1'!Q:Q)+SUMIF('AUX-NIV2'!I:I,Recursos!C259,'AUX-NIV2'!Q:Q)+SUMIF('AUX-NIV3'!I:I,Recursos!C259,'AUX-NIV3'!Q:Q)</f>
        <v>0</v>
      </c>
      <c r="H259" s="204">
        <f t="shared" si="12"/>
        <v>0</v>
      </c>
      <c r="I259" s="366">
        <f t="shared" si="13"/>
        <v>0</v>
      </c>
      <c r="J259" s="474"/>
      <c r="L259" s="83"/>
    </row>
    <row r="260" spans="2:12">
      <c r="B260" s="222"/>
      <c r="C260" s="206" t="s">
        <v>2117</v>
      </c>
      <c r="D260" s="200" t="s">
        <v>505</v>
      </c>
      <c r="E260" s="201" t="s">
        <v>450</v>
      </c>
      <c r="F260" s="551">
        <v>3</v>
      </c>
      <c r="G260" s="203">
        <f>+SUMIF('AUX-NIV1'!I:I,Recursos!C260,'AUX-NIV1'!Q:Q)+SUMIF('AUX-NIV2'!I:I,Recursos!C260,'AUX-NIV2'!Q:Q)+SUMIF('AUX-NIV3'!I:I,Recursos!C260,'AUX-NIV3'!Q:Q)</f>
        <v>0</v>
      </c>
      <c r="H260" s="204">
        <f t="shared" si="12"/>
        <v>0</v>
      </c>
      <c r="I260" s="366">
        <f t="shared" si="13"/>
        <v>0</v>
      </c>
      <c r="J260" s="474"/>
      <c r="L260" s="83"/>
    </row>
    <row r="261" spans="2:12">
      <c r="B261" s="222"/>
      <c r="C261" s="206" t="s">
        <v>2118</v>
      </c>
      <c r="D261" s="200" t="s">
        <v>507</v>
      </c>
      <c r="E261" s="201" t="s">
        <v>371</v>
      </c>
      <c r="F261" s="551">
        <v>25</v>
      </c>
      <c r="G261" s="203">
        <f>+SUMIF('AUX-NIV1'!I:I,Recursos!C261,'AUX-NIV1'!Q:Q)+SUMIF('AUX-NIV2'!I:I,Recursos!C261,'AUX-NIV2'!Q:Q)+SUMIF('AUX-NIV3'!I:I,Recursos!C261,'AUX-NIV3'!Q:Q)</f>
        <v>0</v>
      </c>
      <c r="H261" s="204">
        <f t="shared" si="12"/>
        <v>0</v>
      </c>
      <c r="I261" s="366">
        <f t="shared" si="13"/>
        <v>0</v>
      </c>
      <c r="J261" s="474"/>
      <c r="L261" s="83"/>
    </row>
    <row r="262" spans="2:12">
      <c r="B262" s="222"/>
      <c r="C262" s="206" t="s">
        <v>2119</v>
      </c>
      <c r="D262" s="200" t="s">
        <v>509</v>
      </c>
      <c r="E262" s="201" t="s">
        <v>462</v>
      </c>
      <c r="F262" s="551">
        <v>0</v>
      </c>
      <c r="G262" s="203">
        <f>+SUMIF('AUX-NIV1'!I:I,Recursos!C262,'AUX-NIV1'!Q:Q)+SUMIF('AUX-NIV2'!I:I,Recursos!C262,'AUX-NIV2'!Q:Q)+SUMIF('AUX-NIV3'!I:I,Recursos!C262,'AUX-NIV3'!Q:Q)</f>
        <v>0</v>
      </c>
      <c r="H262" s="204">
        <f t="shared" si="12"/>
        <v>0</v>
      </c>
      <c r="I262" s="366">
        <f t="shared" si="13"/>
        <v>0</v>
      </c>
      <c r="J262" s="474"/>
      <c r="L262" s="83"/>
    </row>
    <row r="263" spans="2:12">
      <c r="B263" s="222"/>
      <c r="C263" s="206" t="s">
        <v>1778</v>
      </c>
      <c r="D263" s="200" t="s">
        <v>1779</v>
      </c>
      <c r="E263" s="201" t="s">
        <v>477</v>
      </c>
      <c r="F263" s="551">
        <v>1.0900000000000001</v>
      </c>
      <c r="G263" s="203">
        <f>+SUMIF('AUX-NIV1'!I:I,Recursos!C263,'AUX-NIV1'!Q:Q)+SUMIF('AUX-NIV2'!I:I,Recursos!C263,'AUX-NIV2'!Q:Q)+SUMIF('AUX-NIV3'!I:I,Recursos!C263,'AUX-NIV3'!Q:Q)</f>
        <v>0</v>
      </c>
      <c r="H263" s="204">
        <f t="shared" si="12"/>
        <v>0</v>
      </c>
      <c r="I263" s="366">
        <f t="shared" si="13"/>
        <v>0</v>
      </c>
      <c r="J263" s="474"/>
      <c r="L263" s="83"/>
    </row>
    <row r="264" spans="2:12">
      <c r="B264" s="222"/>
      <c r="C264" s="206" t="s">
        <v>2120</v>
      </c>
      <c r="D264" s="200" t="s">
        <v>579</v>
      </c>
      <c r="E264" s="201" t="s">
        <v>465</v>
      </c>
      <c r="F264" s="551">
        <v>837</v>
      </c>
      <c r="G264" s="203">
        <f>+SUMIF('AUX-NIV1'!I:I,Recursos!C264,'AUX-NIV1'!Q:Q)+SUMIF('AUX-NIV2'!I:I,Recursos!C264,'AUX-NIV2'!Q:Q)+SUMIF('AUX-NIV3'!I:I,Recursos!C264,'AUX-NIV3'!Q:Q)</f>
        <v>0</v>
      </c>
      <c r="H264" s="204">
        <f t="shared" si="12"/>
        <v>0</v>
      </c>
      <c r="I264" s="366">
        <f t="shared" si="13"/>
        <v>0</v>
      </c>
      <c r="J264" s="474"/>
      <c r="L264" s="83"/>
    </row>
    <row r="265" spans="2:12">
      <c r="B265" s="222"/>
      <c r="C265" s="206" t="s">
        <v>2121</v>
      </c>
      <c r="D265" s="200" t="s">
        <v>581</v>
      </c>
      <c r="E265" s="201" t="s">
        <v>450</v>
      </c>
      <c r="F265" s="551">
        <v>12</v>
      </c>
      <c r="G265" s="203">
        <f>+SUMIF('AUX-NIV1'!I:I,Recursos!C265,'AUX-NIV1'!Q:Q)+SUMIF('AUX-NIV2'!I:I,Recursos!C265,'AUX-NIV2'!Q:Q)+SUMIF('AUX-NIV3'!I:I,Recursos!C265,'AUX-NIV3'!Q:Q)</f>
        <v>0</v>
      </c>
      <c r="H265" s="204">
        <f t="shared" si="12"/>
        <v>0</v>
      </c>
      <c r="I265" s="366">
        <f t="shared" si="13"/>
        <v>0</v>
      </c>
      <c r="J265" s="474"/>
      <c r="L265" s="83"/>
    </row>
    <row r="266" spans="2:12">
      <c r="B266" s="222"/>
      <c r="C266" s="206" t="s">
        <v>2122</v>
      </c>
      <c r="D266" s="200" t="s">
        <v>149</v>
      </c>
      <c r="E266" s="201" t="s">
        <v>501</v>
      </c>
      <c r="F266" s="551">
        <v>1000</v>
      </c>
      <c r="G266" s="203">
        <f>+SUMIF('AUX-NIV1'!I:I,Recursos!C266,'AUX-NIV1'!Q:Q)+SUMIF('AUX-NIV2'!I:I,Recursos!C266,'AUX-NIV2'!Q:Q)+SUMIF('AUX-NIV3'!I:I,Recursos!C266,'AUX-NIV3'!Q:Q)</f>
        <v>0</v>
      </c>
      <c r="H266" s="204">
        <f t="shared" si="12"/>
        <v>0</v>
      </c>
      <c r="I266" s="366">
        <f t="shared" si="13"/>
        <v>0</v>
      </c>
      <c r="J266" s="474"/>
      <c r="L266" s="83"/>
    </row>
    <row r="267" spans="2:12">
      <c r="B267" s="222"/>
      <c r="C267" s="206" t="s">
        <v>2123</v>
      </c>
      <c r="D267" s="200" t="s">
        <v>583</v>
      </c>
      <c r="E267" s="201" t="s">
        <v>501</v>
      </c>
      <c r="F267" s="551">
        <v>10</v>
      </c>
      <c r="G267" s="203">
        <f>+SUMIF('AUX-NIV1'!I:I,Recursos!C267,'AUX-NIV1'!Q:Q)+SUMIF('AUX-NIV2'!I:I,Recursos!C267,'AUX-NIV2'!Q:Q)+SUMIF('AUX-NIV3'!I:I,Recursos!C267,'AUX-NIV3'!Q:Q)</f>
        <v>0</v>
      </c>
      <c r="H267" s="204">
        <f t="shared" si="12"/>
        <v>0</v>
      </c>
      <c r="I267" s="366">
        <f t="shared" si="13"/>
        <v>0</v>
      </c>
      <c r="J267" s="474"/>
      <c r="L267" s="83"/>
    </row>
    <row r="268" spans="2:12">
      <c r="B268" s="222"/>
      <c r="C268" s="206" t="s">
        <v>2124</v>
      </c>
      <c r="D268" s="200" t="s">
        <v>270</v>
      </c>
      <c r="E268" s="201" t="s">
        <v>444</v>
      </c>
      <c r="F268" s="551">
        <v>4.3499999999999996</v>
      </c>
      <c r="G268" s="203">
        <f>+SUMIF('AUX-NIV1'!I:I,Recursos!C268,'AUX-NIV1'!Q:Q)+SUMIF('AUX-NIV2'!I:I,Recursos!C268,'AUX-NIV2'!Q:Q)+SUMIF('AUX-NIV3'!I:I,Recursos!C268,'AUX-NIV3'!Q:Q)</f>
        <v>0</v>
      </c>
      <c r="H268" s="204">
        <f t="shared" si="12"/>
        <v>0</v>
      </c>
      <c r="I268" s="366">
        <f t="shared" si="13"/>
        <v>0</v>
      </c>
      <c r="J268" s="474"/>
      <c r="L268" s="83"/>
    </row>
    <row r="269" spans="2:12">
      <c r="B269" s="222"/>
      <c r="C269" s="206" t="s">
        <v>2125</v>
      </c>
      <c r="D269" s="200" t="s">
        <v>271</v>
      </c>
      <c r="E269" s="201" t="s">
        <v>477</v>
      </c>
      <c r="F269" s="551">
        <v>0.75</v>
      </c>
      <c r="G269" s="203">
        <f>+SUMIF('AUX-NIV1'!I:I,Recursos!C269,'AUX-NIV1'!Q:Q)+SUMIF('AUX-NIV2'!I:I,Recursos!C269,'AUX-NIV2'!Q:Q)+SUMIF('AUX-NIV3'!I:I,Recursos!C269,'AUX-NIV3'!Q:Q)</f>
        <v>0</v>
      </c>
      <c r="H269" s="204">
        <f t="shared" si="12"/>
        <v>0</v>
      </c>
      <c r="I269" s="366">
        <f t="shared" si="13"/>
        <v>0</v>
      </c>
      <c r="J269" s="474"/>
      <c r="L269" s="83"/>
    </row>
    <row r="270" spans="2:12">
      <c r="B270" s="222"/>
      <c r="C270" s="206" t="s">
        <v>2126</v>
      </c>
      <c r="D270" s="200" t="s">
        <v>272</v>
      </c>
      <c r="E270" s="201" t="s">
        <v>185</v>
      </c>
      <c r="F270" s="551">
        <v>272.55</v>
      </c>
      <c r="G270" s="203">
        <f>+SUMIF('AUX-NIV1'!I:I,Recursos!C270,'AUX-NIV1'!Q:Q)+SUMIF('AUX-NIV2'!I:I,Recursos!C270,'AUX-NIV2'!Q:Q)+SUMIF('AUX-NIV3'!I:I,Recursos!C270,'AUX-NIV3'!Q:Q)</f>
        <v>0</v>
      </c>
      <c r="H270" s="204">
        <f t="shared" ref="H270:H333" si="14">+F270*G270</f>
        <v>0</v>
      </c>
      <c r="I270" s="366">
        <f t="shared" ref="I270:I333" si="15">+H270/$I$3</f>
        <v>0</v>
      </c>
      <c r="J270" s="474"/>
      <c r="L270" s="83"/>
    </row>
    <row r="271" spans="2:12">
      <c r="B271" s="222"/>
      <c r="C271" s="206" t="s">
        <v>2127</v>
      </c>
      <c r="D271" s="200" t="s">
        <v>273</v>
      </c>
      <c r="E271" s="201" t="s">
        <v>477</v>
      </c>
      <c r="F271" s="551">
        <v>28.75</v>
      </c>
      <c r="G271" s="203">
        <f>+SUMIF('AUX-NIV1'!I:I,Recursos!C271,'AUX-NIV1'!Q:Q)+SUMIF('AUX-NIV2'!I:I,Recursos!C271,'AUX-NIV2'!Q:Q)+SUMIF('AUX-NIV3'!I:I,Recursos!C271,'AUX-NIV3'!Q:Q)</f>
        <v>0</v>
      </c>
      <c r="H271" s="204">
        <f t="shared" si="14"/>
        <v>0</v>
      </c>
      <c r="I271" s="366">
        <f t="shared" si="15"/>
        <v>0</v>
      </c>
      <c r="J271" s="474"/>
      <c r="L271" s="83"/>
    </row>
    <row r="272" spans="2:12">
      <c r="B272" s="222"/>
      <c r="C272" s="206" t="s">
        <v>2128</v>
      </c>
      <c r="D272" s="200" t="s">
        <v>274</v>
      </c>
      <c r="E272" s="201" t="s">
        <v>444</v>
      </c>
      <c r="F272" s="551">
        <v>2</v>
      </c>
      <c r="G272" s="203">
        <f>+SUMIF('AUX-NIV1'!I:I,Recursos!C272,'AUX-NIV1'!Q:Q)+SUMIF('AUX-NIV2'!I:I,Recursos!C272,'AUX-NIV2'!Q:Q)+SUMIF('AUX-NIV3'!I:I,Recursos!C272,'AUX-NIV3'!Q:Q)</f>
        <v>0</v>
      </c>
      <c r="H272" s="204">
        <f t="shared" si="14"/>
        <v>0</v>
      </c>
      <c r="I272" s="366">
        <f t="shared" si="15"/>
        <v>0</v>
      </c>
      <c r="J272" s="474"/>
      <c r="L272" s="83"/>
    </row>
    <row r="273" spans="2:12">
      <c r="B273" s="222"/>
      <c r="C273" s="206" t="s">
        <v>2129</v>
      </c>
      <c r="D273" s="200" t="s">
        <v>275</v>
      </c>
      <c r="E273" s="201" t="s">
        <v>477</v>
      </c>
      <c r="F273" s="551">
        <v>1</v>
      </c>
      <c r="G273" s="203">
        <f>+SUMIF('AUX-NIV1'!I:I,Recursos!C273,'AUX-NIV1'!Q:Q)+SUMIF('AUX-NIV2'!I:I,Recursos!C273,'AUX-NIV2'!Q:Q)+SUMIF('AUX-NIV3'!I:I,Recursos!C273,'AUX-NIV3'!Q:Q)</f>
        <v>0</v>
      </c>
      <c r="H273" s="204">
        <f t="shared" si="14"/>
        <v>0</v>
      </c>
      <c r="I273" s="366">
        <f t="shared" si="15"/>
        <v>0</v>
      </c>
      <c r="J273" s="474"/>
      <c r="L273" s="83"/>
    </row>
    <row r="274" spans="2:12">
      <c r="B274" s="222"/>
      <c r="C274" s="206" t="s">
        <v>1780</v>
      </c>
      <c r="D274" s="200" t="s">
        <v>1781</v>
      </c>
      <c r="E274" s="201" t="s">
        <v>1782</v>
      </c>
      <c r="F274" s="551">
        <v>100</v>
      </c>
      <c r="G274" s="203">
        <f>+SUMIF('AUX-NIV1'!I:I,Recursos!C274,'AUX-NIV1'!Q:Q)+SUMIF('AUX-NIV2'!I:I,Recursos!C274,'AUX-NIV2'!Q:Q)+SUMIF('AUX-NIV3'!I:I,Recursos!C274,'AUX-NIV3'!Q:Q)</f>
        <v>0</v>
      </c>
      <c r="H274" s="204">
        <f t="shared" si="14"/>
        <v>0</v>
      </c>
      <c r="I274" s="366">
        <f t="shared" si="15"/>
        <v>0</v>
      </c>
      <c r="J274" s="474"/>
      <c r="L274" s="83"/>
    </row>
    <row r="275" spans="2:12">
      <c r="B275" s="222"/>
      <c r="C275" s="206" t="s">
        <v>2130</v>
      </c>
      <c r="D275" s="200" t="s">
        <v>276</v>
      </c>
      <c r="E275" s="201" t="s">
        <v>185</v>
      </c>
      <c r="F275" s="551">
        <v>23.574999999999999</v>
      </c>
      <c r="G275" s="203">
        <f>+SUMIF('AUX-NIV1'!I:I,Recursos!C275,'AUX-NIV1'!Q:Q)+SUMIF('AUX-NIV2'!I:I,Recursos!C275,'AUX-NIV2'!Q:Q)+SUMIF('AUX-NIV3'!I:I,Recursos!C275,'AUX-NIV3'!Q:Q)</f>
        <v>0</v>
      </c>
      <c r="H275" s="204">
        <f t="shared" si="14"/>
        <v>0</v>
      </c>
      <c r="I275" s="366">
        <f t="shared" si="15"/>
        <v>0</v>
      </c>
      <c r="J275" s="474"/>
      <c r="L275" s="83"/>
    </row>
    <row r="276" spans="2:12">
      <c r="B276" s="222"/>
      <c r="C276" s="206" t="s">
        <v>2131</v>
      </c>
      <c r="D276" s="200" t="s">
        <v>585</v>
      </c>
      <c r="E276" s="201" t="s">
        <v>586</v>
      </c>
      <c r="F276" s="551">
        <v>30</v>
      </c>
      <c r="G276" s="203">
        <f>+SUMIF('AUX-NIV1'!I:I,Recursos!C276,'AUX-NIV1'!Q:Q)+SUMIF('AUX-NIV2'!I:I,Recursos!C276,'AUX-NIV2'!Q:Q)+SUMIF('AUX-NIV3'!I:I,Recursos!C276,'AUX-NIV3'!Q:Q)</f>
        <v>0</v>
      </c>
      <c r="H276" s="204">
        <f t="shared" si="14"/>
        <v>0</v>
      </c>
      <c r="I276" s="366">
        <f t="shared" si="15"/>
        <v>0</v>
      </c>
      <c r="J276" s="474"/>
      <c r="L276" s="83"/>
    </row>
    <row r="277" spans="2:12">
      <c r="B277" s="222"/>
      <c r="C277" s="206" t="s">
        <v>1518</v>
      </c>
      <c r="D277" s="200" t="s">
        <v>119</v>
      </c>
      <c r="E277" s="201" t="s">
        <v>450</v>
      </c>
      <c r="F277" s="551">
        <f>1.7*usd</f>
        <v>173.48499999999999</v>
      </c>
      <c r="G277" s="203">
        <f>+SUMIF('AUX-NIV1'!I:I,Recursos!C277,'AUX-NIV1'!Q:Q)+SUMIF('AUX-NIV2'!I:I,Recursos!C277,'AUX-NIV2'!Q:Q)+SUMIF('AUX-NIV3'!I:I,Recursos!C277,'AUX-NIV3'!Q:Q)</f>
        <v>0</v>
      </c>
      <c r="H277" s="204">
        <f t="shared" si="14"/>
        <v>0</v>
      </c>
      <c r="I277" s="366">
        <f t="shared" si="15"/>
        <v>0</v>
      </c>
      <c r="J277" s="205"/>
      <c r="L277" s="83"/>
    </row>
    <row r="278" spans="2:12">
      <c r="B278" s="222"/>
      <c r="C278" s="206" t="s">
        <v>2132</v>
      </c>
      <c r="D278" s="200" t="s">
        <v>2133</v>
      </c>
      <c r="E278" s="201" t="s">
        <v>185</v>
      </c>
      <c r="F278" s="551">
        <v>500</v>
      </c>
      <c r="G278" s="203">
        <f>+SUMIF('AUX-NIV1'!I:I,Recursos!C278,'AUX-NIV1'!Q:Q)+SUMIF('AUX-NIV2'!I:I,Recursos!C278,'AUX-NIV2'!Q:Q)+SUMIF('AUX-NIV3'!I:I,Recursos!C278,'AUX-NIV3'!Q:Q)</f>
        <v>0</v>
      </c>
      <c r="H278" s="204">
        <f t="shared" si="14"/>
        <v>0</v>
      </c>
      <c r="I278" s="366">
        <f t="shared" si="15"/>
        <v>0</v>
      </c>
      <c r="J278" s="474"/>
      <c r="L278" s="83"/>
    </row>
    <row r="279" spans="2:12">
      <c r="B279" s="222"/>
      <c r="C279" s="206" t="s">
        <v>3405</v>
      </c>
      <c r="D279" s="200" t="s">
        <v>3414</v>
      </c>
      <c r="E279" s="201" t="s">
        <v>185</v>
      </c>
      <c r="F279" s="551">
        <v>550</v>
      </c>
      <c r="G279" s="203">
        <f>+SUMIF('AUX-NIV1'!I:I,Recursos!C279,'AUX-NIV1'!Q:Q)+SUMIF('AUX-NIV2'!I:I,Recursos!C279,'AUX-NIV2'!Q:Q)+SUMIF('AUX-NIV3'!I:I,Recursos!C279,'AUX-NIV3'!Q:Q)</f>
        <v>0</v>
      </c>
      <c r="H279" s="204">
        <f t="shared" si="14"/>
        <v>0</v>
      </c>
      <c r="I279" s="366">
        <f t="shared" si="15"/>
        <v>0</v>
      </c>
      <c r="J279" s="474"/>
      <c r="L279" s="83"/>
    </row>
    <row r="280" spans="2:12">
      <c r="B280" s="222"/>
      <c r="C280" s="206" t="s">
        <v>3406</v>
      </c>
      <c r="D280" s="200" t="s">
        <v>3415</v>
      </c>
      <c r="E280" s="201" t="s">
        <v>185</v>
      </c>
      <c r="F280" s="551">
        <v>650</v>
      </c>
      <c r="G280" s="203">
        <f>+SUMIF('AUX-NIV1'!I:I,Recursos!C280,'AUX-NIV1'!Q:Q)+SUMIF('AUX-NIV2'!I:I,Recursos!C280,'AUX-NIV2'!Q:Q)+SUMIF('AUX-NIV3'!I:I,Recursos!C280,'AUX-NIV3'!Q:Q)</f>
        <v>0</v>
      </c>
      <c r="H280" s="204">
        <f t="shared" si="14"/>
        <v>0</v>
      </c>
      <c r="I280" s="366">
        <f t="shared" si="15"/>
        <v>0</v>
      </c>
      <c r="J280" s="474"/>
      <c r="L280" s="83"/>
    </row>
    <row r="281" spans="2:12">
      <c r="B281" s="222"/>
      <c r="C281" s="206" t="s">
        <v>3407</v>
      </c>
      <c r="D281" s="200" t="s">
        <v>3416</v>
      </c>
      <c r="E281" s="201" t="s">
        <v>185</v>
      </c>
      <c r="F281" s="551">
        <v>700</v>
      </c>
      <c r="G281" s="203">
        <f>+SUMIF('AUX-NIV1'!I:I,Recursos!C281,'AUX-NIV1'!Q:Q)+SUMIF('AUX-NIV2'!I:I,Recursos!C281,'AUX-NIV2'!Q:Q)+SUMIF('AUX-NIV3'!I:I,Recursos!C281,'AUX-NIV3'!Q:Q)</f>
        <v>0</v>
      </c>
      <c r="H281" s="204">
        <f t="shared" si="14"/>
        <v>0</v>
      </c>
      <c r="I281" s="366">
        <f t="shared" si="15"/>
        <v>0</v>
      </c>
      <c r="J281" s="474"/>
      <c r="L281" s="83"/>
    </row>
    <row r="282" spans="2:12">
      <c r="B282" s="222"/>
      <c r="C282" s="206" t="s">
        <v>3408</v>
      </c>
      <c r="D282" s="200" t="s">
        <v>3417</v>
      </c>
      <c r="E282" s="201" t="s">
        <v>185</v>
      </c>
      <c r="F282" s="551">
        <v>2500</v>
      </c>
      <c r="G282" s="203">
        <f>+SUMIF('AUX-NIV1'!I:I,Recursos!C282,'AUX-NIV1'!Q:Q)+SUMIF('AUX-NIV2'!I:I,Recursos!C282,'AUX-NIV2'!Q:Q)+SUMIF('AUX-NIV3'!I:I,Recursos!C282,'AUX-NIV3'!Q:Q)</f>
        <v>0</v>
      </c>
      <c r="H282" s="204">
        <f t="shared" si="14"/>
        <v>0</v>
      </c>
      <c r="I282" s="366">
        <f t="shared" si="15"/>
        <v>0</v>
      </c>
      <c r="J282" s="474"/>
      <c r="L282" s="83"/>
    </row>
    <row r="283" spans="2:12">
      <c r="B283" s="222"/>
      <c r="C283" s="206" t="s">
        <v>3409</v>
      </c>
      <c r="D283" s="200" t="s">
        <v>3418</v>
      </c>
      <c r="E283" s="201" t="s">
        <v>185</v>
      </c>
      <c r="F283" s="551">
        <v>4500</v>
      </c>
      <c r="G283" s="203">
        <f>+SUMIF('AUX-NIV1'!I:I,Recursos!C283,'AUX-NIV1'!Q:Q)+SUMIF('AUX-NIV2'!I:I,Recursos!C283,'AUX-NIV2'!Q:Q)+SUMIF('AUX-NIV3'!I:I,Recursos!C283,'AUX-NIV3'!Q:Q)</f>
        <v>0</v>
      </c>
      <c r="H283" s="204">
        <f t="shared" si="14"/>
        <v>0</v>
      </c>
      <c r="I283" s="366">
        <f t="shared" si="15"/>
        <v>0</v>
      </c>
      <c r="J283" s="474"/>
      <c r="L283" s="83"/>
    </row>
    <row r="284" spans="2:12">
      <c r="B284" s="222"/>
      <c r="C284" s="206" t="s">
        <v>3410</v>
      </c>
      <c r="D284" s="200" t="s">
        <v>3419</v>
      </c>
      <c r="E284" s="201" t="s">
        <v>185</v>
      </c>
      <c r="F284" s="551">
        <v>2500</v>
      </c>
      <c r="G284" s="203">
        <f>+SUMIF('AUX-NIV1'!I:I,Recursos!C284,'AUX-NIV1'!Q:Q)+SUMIF('AUX-NIV2'!I:I,Recursos!C284,'AUX-NIV2'!Q:Q)+SUMIF('AUX-NIV3'!I:I,Recursos!C284,'AUX-NIV3'!Q:Q)</f>
        <v>0</v>
      </c>
      <c r="H284" s="204">
        <f t="shared" si="14"/>
        <v>0</v>
      </c>
      <c r="I284" s="366">
        <f t="shared" si="15"/>
        <v>0</v>
      </c>
      <c r="J284" s="474"/>
      <c r="L284" s="83"/>
    </row>
    <row r="285" spans="2:12">
      <c r="B285" s="222"/>
      <c r="C285" s="206" t="s">
        <v>3411</v>
      </c>
      <c r="D285" s="200" t="s">
        <v>3420</v>
      </c>
      <c r="E285" s="201" t="s">
        <v>185</v>
      </c>
      <c r="F285" s="551">
        <v>4500</v>
      </c>
      <c r="G285" s="203">
        <f>+SUMIF('AUX-NIV1'!I:I,Recursos!C285,'AUX-NIV1'!Q:Q)+SUMIF('AUX-NIV2'!I:I,Recursos!C285,'AUX-NIV2'!Q:Q)+SUMIF('AUX-NIV3'!I:I,Recursos!C285,'AUX-NIV3'!Q:Q)</f>
        <v>0</v>
      </c>
      <c r="H285" s="204">
        <f t="shared" si="14"/>
        <v>0</v>
      </c>
      <c r="I285" s="366">
        <f t="shared" si="15"/>
        <v>0</v>
      </c>
      <c r="J285" s="474"/>
      <c r="L285" s="83"/>
    </row>
    <row r="286" spans="2:12">
      <c r="B286" s="222"/>
      <c r="C286" s="206" t="s">
        <v>3412</v>
      </c>
      <c r="D286" s="200" t="s">
        <v>3421</v>
      </c>
      <c r="E286" s="201" t="s">
        <v>185</v>
      </c>
      <c r="F286" s="551">
        <v>2500</v>
      </c>
      <c r="G286" s="203">
        <f>+SUMIF('AUX-NIV1'!I:I,Recursos!C286,'AUX-NIV1'!Q:Q)+SUMIF('AUX-NIV2'!I:I,Recursos!C286,'AUX-NIV2'!Q:Q)+SUMIF('AUX-NIV3'!I:I,Recursos!C286,'AUX-NIV3'!Q:Q)</f>
        <v>0</v>
      </c>
      <c r="H286" s="204">
        <f t="shared" si="14"/>
        <v>0</v>
      </c>
      <c r="I286" s="366">
        <f t="shared" si="15"/>
        <v>0</v>
      </c>
      <c r="J286" s="474"/>
      <c r="L286" s="83"/>
    </row>
    <row r="287" spans="2:12">
      <c r="B287" s="222"/>
      <c r="C287" s="206" t="s">
        <v>3413</v>
      </c>
      <c r="D287" s="200" t="s">
        <v>3422</v>
      </c>
      <c r="E287" s="201" t="s">
        <v>185</v>
      </c>
      <c r="F287" s="551">
        <v>2900</v>
      </c>
      <c r="G287" s="203">
        <f>+SUMIF('AUX-NIV1'!I:I,Recursos!C287,'AUX-NIV1'!Q:Q)+SUMIF('AUX-NIV2'!I:I,Recursos!C287,'AUX-NIV2'!Q:Q)+SUMIF('AUX-NIV3'!I:I,Recursos!C287,'AUX-NIV3'!Q:Q)</f>
        <v>0</v>
      </c>
      <c r="H287" s="204">
        <f t="shared" si="14"/>
        <v>0</v>
      </c>
      <c r="I287" s="366">
        <f t="shared" si="15"/>
        <v>0</v>
      </c>
      <c r="J287" s="474"/>
      <c r="L287" s="83"/>
    </row>
    <row r="288" spans="2:12">
      <c r="B288" s="222"/>
      <c r="C288" s="206" t="s">
        <v>2134</v>
      </c>
      <c r="D288" s="200" t="s">
        <v>2135</v>
      </c>
      <c r="E288" s="201" t="s">
        <v>610</v>
      </c>
      <c r="F288" s="551">
        <v>15</v>
      </c>
      <c r="G288" s="203">
        <f>+SUMIF('AUX-NIV1'!I:I,Recursos!C288,'AUX-NIV1'!Q:Q)+SUMIF('AUX-NIV2'!I:I,Recursos!C288,'AUX-NIV2'!Q:Q)+SUMIF('AUX-NIV3'!I:I,Recursos!C288,'AUX-NIV3'!Q:Q)</f>
        <v>0</v>
      </c>
      <c r="H288" s="204">
        <f t="shared" si="14"/>
        <v>0</v>
      </c>
      <c r="I288" s="366">
        <f t="shared" si="15"/>
        <v>0</v>
      </c>
      <c r="J288" s="474"/>
      <c r="L288" s="83"/>
    </row>
    <row r="289" spans="2:67">
      <c r="B289" s="222"/>
      <c r="C289" s="206" t="s">
        <v>2136</v>
      </c>
      <c r="D289" s="200" t="s">
        <v>2137</v>
      </c>
      <c r="E289" s="201" t="s">
        <v>1232</v>
      </c>
      <c r="F289" s="551">
        <v>14</v>
      </c>
      <c r="G289" s="203">
        <f>+SUMIF('AUX-NIV1'!I:I,Recursos!C289,'AUX-NIV1'!Q:Q)+SUMIF('AUX-NIV2'!I:I,Recursos!C289,'AUX-NIV2'!Q:Q)+SUMIF('AUX-NIV3'!I:I,Recursos!C289,'AUX-NIV3'!Q:Q)</f>
        <v>0</v>
      </c>
      <c r="H289" s="204">
        <f t="shared" si="14"/>
        <v>0</v>
      </c>
      <c r="I289" s="366">
        <f t="shared" si="15"/>
        <v>0</v>
      </c>
      <c r="J289" s="474"/>
      <c r="L289" s="83"/>
    </row>
    <row r="290" spans="2:67">
      <c r="B290" s="222"/>
      <c r="C290" s="206" t="s">
        <v>2138</v>
      </c>
      <c r="D290" s="756" t="s">
        <v>2139</v>
      </c>
      <c r="E290" s="201" t="s">
        <v>484</v>
      </c>
      <c r="F290" s="553">
        <v>31013</v>
      </c>
      <c r="G290" s="203">
        <f>+SUMIF('AUX-NIV1'!I:I,Recursos!C290,'AUX-NIV1'!Q:Q)+SUMIF('AUX-NIV2'!I:I,Recursos!C290,'AUX-NIV2'!Q:Q)+SUMIF('AUX-NIV3'!I:I,Recursos!C290,'AUX-NIV3'!Q:Q)</f>
        <v>0</v>
      </c>
      <c r="H290" s="204">
        <f t="shared" si="14"/>
        <v>0</v>
      </c>
      <c r="I290" s="366">
        <f t="shared" si="15"/>
        <v>0</v>
      </c>
      <c r="J290" s="474"/>
      <c r="L290" s="83"/>
      <c r="BO290" s="912"/>
    </row>
    <row r="291" spans="2:67">
      <c r="B291" s="222"/>
      <c r="C291" s="206" t="s">
        <v>2140</v>
      </c>
      <c r="D291" s="200" t="s">
        <v>410</v>
      </c>
      <c r="E291" s="201" t="s">
        <v>185</v>
      </c>
      <c r="F291" s="551">
        <v>35</v>
      </c>
      <c r="G291" s="203">
        <f>+SUMIF('AUX-NIV1'!I:I,Recursos!C291,'AUX-NIV1'!Q:Q)+SUMIF('AUX-NIV2'!I:I,Recursos!C291,'AUX-NIV2'!Q:Q)+SUMIF('AUX-NIV3'!I:I,Recursos!C291,'AUX-NIV3'!Q:Q)</f>
        <v>0</v>
      </c>
      <c r="H291" s="204">
        <f t="shared" si="14"/>
        <v>0</v>
      </c>
      <c r="I291" s="366">
        <f t="shared" si="15"/>
        <v>0</v>
      </c>
      <c r="J291" s="474"/>
      <c r="L291" s="83"/>
    </row>
    <row r="292" spans="2:67">
      <c r="B292" s="222"/>
      <c r="C292" s="206" t="s">
        <v>2141</v>
      </c>
      <c r="D292" s="200" t="s">
        <v>174</v>
      </c>
      <c r="E292" s="201" t="s">
        <v>501</v>
      </c>
      <c r="F292" s="551">
        <v>10</v>
      </c>
      <c r="G292" s="203">
        <f>+SUMIF('AUX-NIV1'!I:I,Recursos!C292,'AUX-NIV1'!Q:Q)+SUMIF('AUX-NIV2'!I:I,Recursos!C292,'AUX-NIV2'!Q:Q)+SUMIF('AUX-NIV3'!I:I,Recursos!C292,'AUX-NIV3'!Q:Q)</f>
        <v>0</v>
      </c>
      <c r="H292" s="204">
        <f t="shared" si="14"/>
        <v>0</v>
      </c>
      <c r="I292" s="366">
        <f t="shared" si="15"/>
        <v>0</v>
      </c>
      <c r="J292" s="474"/>
      <c r="L292" s="83"/>
    </row>
    <row r="293" spans="2:67">
      <c r="B293" s="222"/>
      <c r="C293" s="206" t="s">
        <v>1783</v>
      </c>
      <c r="D293" s="200" t="s">
        <v>1784</v>
      </c>
      <c r="E293" s="201" t="s">
        <v>1777</v>
      </c>
      <c r="F293" s="553">
        <v>6700</v>
      </c>
      <c r="G293" s="203">
        <f>+SUMIF('AUX-NIV1'!I:I,Recursos!C293,'AUX-NIV1'!Q:Q)+SUMIF('AUX-NIV2'!I:I,Recursos!C293,'AUX-NIV2'!Q:Q)+SUMIF('AUX-NIV3'!I:I,Recursos!C293,'AUX-NIV3'!Q:Q)</f>
        <v>0</v>
      </c>
      <c r="H293" s="204">
        <f t="shared" si="14"/>
        <v>0</v>
      </c>
      <c r="I293" s="366">
        <f t="shared" si="15"/>
        <v>0</v>
      </c>
      <c r="J293" s="474"/>
      <c r="L293" s="83"/>
    </row>
    <row r="294" spans="2:67">
      <c r="B294" s="222"/>
      <c r="C294" s="206" t="s">
        <v>2142</v>
      </c>
      <c r="D294" s="207" t="s">
        <v>2143</v>
      </c>
      <c r="E294" s="201" t="s">
        <v>185</v>
      </c>
      <c r="F294" s="551">
        <v>1</v>
      </c>
      <c r="G294" s="203">
        <f>+SUMIF('AUX-NIV1'!I:I,Recursos!C294,'AUX-NIV1'!Q:Q)+SUMIF('AUX-NIV2'!I:I,Recursos!C294,'AUX-NIV2'!Q:Q)+SUMIF('AUX-NIV3'!I:I,Recursos!C294,'AUX-NIV3'!Q:Q)</f>
        <v>0.18100000000000002</v>
      </c>
      <c r="H294" s="204">
        <f t="shared" si="14"/>
        <v>0.18100000000000002</v>
      </c>
      <c r="I294" s="366">
        <f t="shared" si="15"/>
        <v>5.5789190667272739E-7</v>
      </c>
      <c r="J294" s="474"/>
      <c r="L294" s="1610"/>
      <c r="BO294" s="912"/>
    </row>
    <row r="295" spans="2:67">
      <c r="B295" s="222"/>
      <c r="C295" s="206" t="s">
        <v>2144</v>
      </c>
      <c r="D295" s="200" t="s">
        <v>2145</v>
      </c>
      <c r="E295" s="201" t="s">
        <v>200</v>
      </c>
      <c r="F295" s="551">
        <v>1</v>
      </c>
      <c r="G295" s="203">
        <f>+SUMIF('AUX-NIV1'!I:I,Recursos!C295,'AUX-NIV1'!Q:Q)+SUMIF('AUX-NIV2'!I:I,Recursos!C295,'AUX-NIV2'!Q:Q)+SUMIF('AUX-NIV3'!I:I,Recursos!C295,'AUX-NIV3'!Q:Q)</f>
        <v>0</v>
      </c>
      <c r="H295" s="204">
        <f t="shared" si="14"/>
        <v>0</v>
      </c>
      <c r="I295" s="366">
        <f t="shared" si="15"/>
        <v>0</v>
      </c>
      <c r="J295" s="474"/>
      <c r="L295" s="83"/>
    </row>
    <row r="296" spans="2:67">
      <c r="B296" s="222"/>
      <c r="C296" s="206" t="s">
        <v>2146</v>
      </c>
      <c r="D296" s="200" t="s">
        <v>588</v>
      </c>
      <c r="E296" s="201" t="s">
        <v>589</v>
      </c>
      <c r="F296" s="551">
        <v>0.6</v>
      </c>
      <c r="G296" s="203">
        <f>+SUMIF('AUX-NIV1'!I:I,Recursos!C296,'AUX-NIV1'!Q:Q)+SUMIF('AUX-NIV2'!I:I,Recursos!C296,'AUX-NIV2'!Q:Q)+SUMIF('AUX-NIV3'!I:I,Recursos!C296,'AUX-NIV3'!Q:Q)</f>
        <v>0</v>
      </c>
      <c r="H296" s="204">
        <f t="shared" si="14"/>
        <v>0</v>
      </c>
      <c r="I296" s="366">
        <f t="shared" si="15"/>
        <v>0</v>
      </c>
      <c r="J296" s="474"/>
      <c r="L296" s="83"/>
    </row>
    <row r="297" spans="2:67">
      <c r="B297" s="222"/>
      <c r="C297" s="206" t="s">
        <v>2147</v>
      </c>
      <c r="D297" s="200" t="s">
        <v>625</v>
      </c>
      <c r="E297" s="201" t="s">
        <v>456</v>
      </c>
      <c r="F297" s="551">
        <v>8.4</v>
      </c>
      <c r="G297" s="203">
        <f>+SUMIF('AUX-NIV1'!I:I,Recursos!C297,'AUX-NIV1'!Q:Q)+SUMIF('AUX-NIV2'!I:I,Recursos!C297,'AUX-NIV2'!Q:Q)+SUMIF('AUX-NIV3'!I:I,Recursos!C297,'AUX-NIV3'!Q:Q)</f>
        <v>0</v>
      </c>
      <c r="H297" s="204">
        <f t="shared" si="14"/>
        <v>0</v>
      </c>
      <c r="I297" s="366">
        <f t="shared" si="15"/>
        <v>0</v>
      </c>
      <c r="J297" s="474"/>
      <c r="L297" s="83"/>
    </row>
    <row r="298" spans="2:67">
      <c r="B298" s="222"/>
      <c r="C298" s="206" t="s">
        <v>2148</v>
      </c>
      <c r="D298" s="200" t="s">
        <v>2149</v>
      </c>
      <c r="E298" s="201" t="s">
        <v>477</v>
      </c>
      <c r="F298" s="551">
        <v>10.5</v>
      </c>
      <c r="G298" s="203">
        <f>+SUMIF('AUX-NIV1'!I:I,Recursos!C298,'AUX-NIV1'!Q:Q)+SUMIF('AUX-NIV2'!I:I,Recursos!C298,'AUX-NIV2'!Q:Q)+SUMIF('AUX-NIV3'!I:I,Recursos!C298,'AUX-NIV3'!Q:Q)</f>
        <v>0</v>
      </c>
      <c r="H298" s="204">
        <f t="shared" si="14"/>
        <v>0</v>
      </c>
      <c r="I298" s="366">
        <f t="shared" si="15"/>
        <v>0</v>
      </c>
      <c r="J298" s="474"/>
      <c r="L298" s="83"/>
    </row>
    <row r="299" spans="2:67">
      <c r="B299" s="222"/>
      <c r="C299" s="206" t="s">
        <v>2150</v>
      </c>
      <c r="D299" s="200" t="s">
        <v>2151</v>
      </c>
      <c r="E299" s="201" t="s">
        <v>477</v>
      </c>
      <c r="F299" s="551">
        <v>140</v>
      </c>
      <c r="G299" s="203">
        <f>+SUMIF('AUX-NIV1'!I:I,Recursos!C299,'AUX-NIV1'!Q:Q)+SUMIF('AUX-NIV2'!I:I,Recursos!C299,'AUX-NIV2'!Q:Q)+SUMIF('AUX-NIV3'!I:I,Recursos!C299,'AUX-NIV3'!Q:Q)</f>
        <v>0</v>
      </c>
      <c r="H299" s="204">
        <f t="shared" si="14"/>
        <v>0</v>
      </c>
      <c r="I299" s="366">
        <f t="shared" si="15"/>
        <v>0</v>
      </c>
      <c r="J299" s="474"/>
      <c r="L299" s="83"/>
    </row>
    <row r="300" spans="2:67">
      <c r="B300" s="222"/>
      <c r="C300" s="206" t="s">
        <v>2152</v>
      </c>
      <c r="D300" s="200" t="s">
        <v>2153</v>
      </c>
      <c r="E300" s="201" t="s">
        <v>477</v>
      </c>
      <c r="F300" s="551">
        <v>7.11</v>
      </c>
      <c r="G300" s="203">
        <f>+SUMIF('AUX-NIV1'!I:I,Recursos!C300,'AUX-NIV1'!Q:Q)+SUMIF('AUX-NIV2'!I:I,Recursos!C300,'AUX-NIV2'!Q:Q)+SUMIF('AUX-NIV3'!I:I,Recursos!C300,'AUX-NIV3'!Q:Q)</f>
        <v>0</v>
      </c>
      <c r="H300" s="204">
        <f t="shared" si="14"/>
        <v>0</v>
      </c>
      <c r="I300" s="366">
        <f t="shared" si="15"/>
        <v>0</v>
      </c>
      <c r="J300" s="474"/>
      <c r="L300" s="83"/>
    </row>
    <row r="301" spans="2:67">
      <c r="B301" s="222"/>
      <c r="C301" s="206" t="s">
        <v>2154</v>
      </c>
      <c r="D301" s="200" t="s">
        <v>2155</v>
      </c>
      <c r="E301" s="201" t="s">
        <v>477</v>
      </c>
      <c r="F301" s="551">
        <v>4.26</v>
      </c>
      <c r="G301" s="203">
        <f>+SUMIF('AUX-NIV1'!I:I,Recursos!C301,'AUX-NIV1'!Q:Q)+SUMIF('AUX-NIV2'!I:I,Recursos!C301,'AUX-NIV2'!Q:Q)+SUMIF('AUX-NIV3'!I:I,Recursos!C301,'AUX-NIV3'!Q:Q)</f>
        <v>0</v>
      </c>
      <c r="H301" s="204">
        <f t="shared" si="14"/>
        <v>0</v>
      </c>
      <c r="I301" s="366">
        <f t="shared" si="15"/>
        <v>0</v>
      </c>
      <c r="J301" s="474"/>
      <c r="L301" s="83"/>
    </row>
    <row r="302" spans="2:67">
      <c r="B302" s="222"/>
      <c r="C302" s="206" t="s">
        <v>2156</v>
      </c>
      <c r="D302" s="200" t="s">
        <v>2157</v>
      </c>
      <c r="E302" s="201" t="s">
        <v>477</v>
      </c>
      <c r="F302" s="551">
        <v>5.43</v>
      </c>
      <c r="G302" s="203">
        <f>+SUMIF('AUX-NIV1'!I:I,Recursos!C302,'AUX-NIV1'!Q:Q)+SUMIF('AUX-NIV2'!I:I,Recursos!C302,'AUX-NIV2'!Q:Q)+SUMIF('AUX-NIV3'!I:I,Recursos!C302,'AUX-NIV3'!Q:Q)</f>
        <v>0</v>
      </c>
      <c r="H302" s="204">
        <f t="shared" si="14"/>
        <v>0</v>
      </c>
      <c r="I302" s="366">
        <f t="shared" si="15"/>
        <v>0</v>
      </c>
      <c r="J302" s="474"/>
      <c r="L302" s="83"/>
    </row>
    <row r="303" spans="2:67">
      <c r="B303" s="222"/>
      <c r="C303" s="206" t="s">
        <v>1785</v>
      </c>
      <c r="D303" s="200" t="s">
        <v>1786</v>
      </c>
      <c r="E303" s="201" t="s">
        <v>185</v>
      </c>
      <c r="F303" s="553">
        <v>520</v>
      </c>
      <c r="G303" s="203">
        <f>+SUMIF('AUX-NIV1'!I:I,Recursos!C303,'AUX-NIV1'!Q:Q)+SUMIF('AUX-NIV2'!I:I,Recursos!C303,'AUX-NIV2'!Q:Q)+SUMIF('AUX-NIV3'!I:I,Recursos!C303,'AUX-NIV3'!Q:Q)</f>
        <v>0</v>
      </c>
      <c r="H303" s="204">
        <f t="shared" si="14"/>
        <v>0</v>
      </c>
      <c r="I303" s="366">
        <f t="shared" si="15"/>
        <v>0</v>
      </c>
      <c r="J303" s="474"/>
      <c r="L303" s="83"/>
    </row>
    <row r="304" spans="2:67">
      <c r="B304" s="222"/>
      <c r="C304" s="206" t="s">
        <v>2158</v>
      </c>
      <c r="D304" s="200" t="s">
        <v>2159</v>
      </c>
      <c r="E304" s="201" t="s">
        <v>477</v>
      </c>
      <c r="F304" s="551">
        <v>10.199999999999999</v>
      </c>
      <c r="G304" s="203">
        <f>+SUMIF('AUX-NIV1'!I:I,Recursos!C304,'AUX-NIV1'!Q:Q)+SUMIF('AUX-NIV2'!I:I,Recursos!C304,'AUX-NIV2'!Q:Q)+SUMIF('AUX-NIV3'!I:I,Recursos!C304,'AUX-NIV3'!Q:Q)</f>
        <v>0</v>
      </c>
      <c r="H304" s="204">
        <f t="shared" si="14"/>
        <v>0</v>
      </c>
      <c r="I304" s="366">
        <f t="shared" si="15"/>
        <v>0</v>
      </c>
      <c r="J304" s="474"/>
      <c r="L304" s="83"/>
    </row>
    <row r="305" spans="2:12">
      <c r="B305" s="222"/>
      <c r="C305" s="206" t="s">
        <v>2160</v>
      </c>
      <c r="D305" s="200" t="s">
        <v>2161</v>
      </c>
      <c r="E305" s="201" t="s">
        <v>1782</v>
      </c>
      <c r="F305" s="551">
        <v>420</v>
      </c>
      <c r="G305" s="203">
        <f>+SUMIF('AUX-NIV1'!I:I,Recursos!C305,'AUX-NIV1'!Q:Q)+SUMIF('AUX-NIV2'!I:I,Recursos!C305,'AUX-NIV2'!Q:Q)+SUMIF('AUX-NIV3'!I:I,Recursos!C305,'AUX-NIV3'!Q:Q)</f>
        <v>0</v>
      </c>
      <c r="H305" s="204">
        <f t="shared" si="14"/>
        <v>0</v>
      </c>
      <c r="I305" s="366">
        <f t="shared" si="15"/>
        <v>0</v>
      </c>
      <c r="J305" s="474"/>
      <c r="L305" s="83"/>
    </row>
    <row r="306" spans="2:12">
      <c r="B306" s="222"/>
      <c r="C306" s="206" t="s">
        <v>2162</v>
      </c>
      <c r="D306" s="200" t="s">
        <v>2163</v>
      </c>
      <c r="E306" s="201" t="s">
        <v>477</v>
      </c>
      <c r="F306" s="551">
        <v>7</v>
      </c>
      <c r="G306" s="203">
        <f>+SUMIF('AUX-NIV1'!I:I,Recursos!C306,'AUX-NIV1'!Q:Q)+SUMIF('AUX-NIV2'!I:I,Recursos!C306,'AUX-NIV2'!Q:Q)+SUMIF('AUX-NIV3'!I:I,Recursos!C306,'AUX-NIV3'!Q:Q)</f>
        <v>0</v>
      </c>
      <c r="H306" s="204">
        <f t="shared" si="14"/>
        <v>0</v>
      </c>
      <c r="I306" s="366">
        <f t="shared" si="15"/>
        <v>0</v>
      </c>
      <c r="J306" s="474"/>
      <c r="L306" s="83"/>
    </row>
    <row r="307" spans="2:12">
      <c r="B307" s="222"/>
      <c r="C307" s="206" t="s">
        <v>2164</v>
      </c>
      <c r="D307" s="200" t="s">
        <v>2165</v>
      </c>
      <c r="E307" s="201" t="s">
        <v>185</v>
      </c>
      <c r="F307" s="551">
        <v>350</v>
      </c>
      <c r="G307" s="203">
        <f>+SUMIF('AUX-NIV1'!I:I,Recursos!C307,'AUX-NIV1'!Q:Q)+SUMIF('AUX-NIV2'!I:I,Recursos!C307,'AUX-NIV2'!Q:Q)+SUMIF('AUX-NIV3'!I:I,Recursos!C307,'AUX-NIV3'!Q:Q)</f>
        <v>0</v>
      </c>
      <c r="H307" s="204">
        <f t="shared" si="14"/>
        <v>0</v>
      </c>
      <c r="I307" s="366">
        <f t="shared" si="15"/>
        <v>0</v>
      </c>
      <c r="J307" s="474"/>
      <c r="L307" s="83"/>
    </row>
    <row r="308" spans="2:12">
      <c r="B308" s="222"/>
      <c r="C308" s="206" t="s">
        <v>2166</v>
      </c>
      <c r="D308" s="200" t="s">
        <v>2167</v>
      </c>
      <c r="E308" s="201" t="s">
        <v>1782</v>
      </c>
      <c r="F308" s="551">
        <v>802</v>
      </c>
      <c r="G308" s="203">
        <f>+SUMIF('AUX-NIV1'!I:I,Recursos!C308,'AUX-NIV1'!Q:Q)+SUMIF('AUX-NIV2'!I:I,Recursos!C308,'AUX-NIV2'!Q:Q)+SUMIF('AUX-NIV3'!I:I,Recursos!C308,'AUX-NIV3'!Q:Q)</f>
        <v>0</v>
      </c>
      <c r="H308" s="204">
        <f t="shared" si="14"/>
        <v>0</v>
      </c>
      <c r="I308" s="366">
        <f t="shared" si="15"/>
        <v>0</v>
      </c>
      <c r="J308" s="474"/>
      <c r="L308" s="83"/>
    </row>
    <row r="309" spans="2:12">
      <c r="B309" s="222"/>
      <c r="C309" s="206" t="s">
        <v>2168</v>
      </c>
      <c r="D309" s="200" t="s">
        <v>2169</v>
      </c>
      <c r="E309" s="201" t="s">
        <v>1782</v>
      </c>
      <c r="F309" s="551">
        <v>886</v>
      </c>
      <c r="G309" s="203">
        <f>+SUMIF('AUX-NIV1'!I:I,Recursos!C309,'AUX-NIV1'!Q:Q)+SUMIF('AUX-NIV2'!I:I,Recursos!C309,'AUX-NIV2'!Q:Q)+SUMIF('AUX-NIV3'!I:I,Recursos!C309,'AUX-NIV3'!Q:Q)</f>
        <v>0</v>
      </c>
      <c r="H309" s="204">
        <f t="shared" si="14"/>
        <v>0</v>
      </c>
      <c r="I309" s="366">
        <f t="shared" si="15"/>
        <v>0</v>
      </c>
      <c r="J309" s="474"/>
      <c r="L309" s="83"/>
    </row>
    <row r="310" spans="2:12">
      <c r="B310" s="222"/>
      <c r="C310" s="206" t="s">
        <v>2170</v>
      </c>
      <c r="D310" s="200" t="s">
        <v>2171</v>
      </c>
      <c r="E310" s="201" t="s">
        <v>1782</v>
      </c>
      <c r="F310" s="551">
        <v>802</v>
      </c>
      <c r="G310" s="203">
        <f>+SUMIF('AUX-NIV1'!I:I,Recursos!C310,'AUX-NIV1'!Q:Q)+SUMIF('AUX-NIV2'!I:I,Recursos!C310,'AUX-NIV2'!Q:Q)+SUMIF('AUX-NIV3'!I:I,Recursos!C310,'AUX-NIV3'!Q:Q)</f>
        <v>0</v>
      </c>
      <c r="H310" s="204">
        <f t="shared" si="14"/>
        <v>0</v>
      </c>
      <c r="I310" s="366">
        <f t="shared" si="15"/>
        <v>0</v>
      </c>
      <c r="J310" s="474"/>
      <c r="L310" s="83"/>
    </row>
    <row r="311" spans="2:12">
      <c r="B311" s="222"/>
      <c r="C311" s="206" t="s">
        <v>2172</v>
      </c>
      <c r="D311" s="200" t="s">
        <v>2173</v>
      </c>
      <c r="E311" s="201" t="s">
        <v>1782</v>
      </c>
      <c r="F311" s="551">
        <v>759</v>
      </c>
      <c r="G311" s="203">
        <f>+SUMIF('AUX-NIV1'!I:I,Recursos!C311,'AUX-NIV1'!Q:Q)+SUMIF('AUX-NIV2'!I:I,Recursos!C311,'AUX-NIV2'!Q:Q)+SUMIF('AUX-NIV3'!I:I,Recursos!C311,'AUX-NIV3'!Q:Q)</f>
        <v>0</v>
      </c>
      <c r="H311" s="204">
        <f t="shared" si="14"/>
        <v>0</v>
      </c>
      <c r="I311" s="366">
        <f t="shared" si="15"/>
        <v>0</v>
      </c>
      <c r="J311" s="474"/>
      <c r="L311" s="83"/>
    </row>
    <row r="312" spans="2:12">
      <c r="B312" s="222"/>
      <c r="C312" s="206" t="s">
        <v>2174</v>
      </c>
      <c r="D312" s="200" t="s">
        <v>2175</v>
      </c>
      <c r="E312" s="201" t="s">
        <v>1782</v>
      </c>
      <c r="F312" s="551">
        <v>370</v>
      </c>
      <c r="G312" s="203">
        <f>+SUMIF('AUX-NIV1'!I:I,Recursos!C312,'AUX-NIV1'!Q:Q)+SUMIF('AUX-NIV2'!I:I,Recursos!C312,'AUX-NIV2'!Q:Q)+SUMIF('AUX-NIV3'!I:I,Recursos!C312,'AUX-NIV3'!Q:Q)</f>
        <v>0</v>
      </c>
      <c r="H312" s="204">
        <f t="shared" si="14"/>
        <v>0</v>
      </c>
      <c r="I312" s="366">
        <f t="shared" si="15"/>
        <v>0</v>
      </c>
      <c r="J312" s="474"/>
      <c r="L312" s="83"/>
    </row>
    <row r="313" spans="2:12">
      <c r="B313" s="222"/>
      <c r="C313" s="206" t="s">
        <v>2176</v>
      </c>
      <c r="D313" s="200" t="s">
        <v>591</v>
      </c>
      <c r="E313" s="201" t="s">
        <v>371</v>
      </c>
      <c r="F313" s="551">
        <v>0</v>
      </c>
      <c r="G313" s="203">
        <f>+SUMIF('AUX-NIV1'!I:I,Recursos!C313,'AUX-NIV1'!Q:Q)+SUMIF('AUX-NIV2'!I:I,Recursos!C313,'AUX-NIV2'!Q:Q)+SUMIF('AUX-NIV3'!I:I,Recursos!C313,'AUX-NIV3'!Q:Q)</f>
        <v>0</v>
      </c>
      <c r="H313" s="204">
        <f t="shared" si="14"/>
        <v>0</v>
      </c>
      <c r="I313" s="366">
        <f t="shared" si="15"/>
        <v>0</v>
      </c>
      <c r="J313" s="474"/>
      <c r="L313" s="83"/>
    </row>
    <row r="314" spans="2:12">
      <c r="B314" s="222"/>
      <c r="C314" s="206" t="s">
        <v>1787</v>
      </c>
      <c r="D314" s="200" t="s">
        <v>1788</v>
      </c>
      <c r="E314" s="201" t="s">
        <v>185</v>
      </c>
      <c r="F314" s="551">
        <v>1100</v>
      </c>
      <c r="G314" s="203">
        <f>+SUMIF('AUX-NIV1'!I:I,Recursos!C314,'AUX-NIV1'!Q:Q)+SUMIF('AUX-NIV2'!I:I,Recursos!C314,'AUX-NIV2'!Q:Q)+SUMIF('AUX-NIV3'!I:I,Recursos!C314,'AUX-NIV3'!Q:Q)</f>
        <v>0</v>
      </c>
      <c r="H314" s="204">
        <f t="shared" si="14"/>
        <v>0</v>
      </c>
      <c r="I314" s="366">
        <f t="shared" si="15"/>
        <v>0</v>
      </c>
      <c r="J314" s="474"/>
      <c r="L314" s="83"/>
    </row>
    <row r="315" spans="2:12">
      <c r="B315" s="222"/>
      <c r="C315" s="206" t="s">
        <v>2177</v>
      </c>
      <c r="D315" s="200" t="s">
        <v>158</v>
      </c>
      <c r="E315" s="201" t="s">
        <v>477</v>
      </c>
      <c r="F315" s="551">
        <v>5.15</v>
      </c>
      <c r="G315" s="203">
        <f>+SUMIF('AUX-NIV1'!I:I,Recursos!C315,'AUX-NIV1'!Q:Q)+SUMIF('AUX-NIV2'!I:I,Recursos!C315,'AUX-NIV2'!Q:Q)+SUMIF('AUX-NIV3'!I:I,Recursos!C315,'AUX-NIV3'!Q:Q)</f>
        <v>0</v>
      </c>
      <c r="H315" s="204">
        <f t="shared" si="14"/>
        <v>0</v>
      </c>
      <c r="I315" s="366">
        <f t="shared" si="15"/>
        <v>0</v>
      </c>
      <c r="J315" s="474"/>
      <c r="L315" s="83"/>
    </row>
    <row r="316" spans="2:12">
      <c r="B316" s="222"/>
      <c r="C316" s="206" t="s">
        <v>2178</v>
      </c>
      <c r="D316" s="200" t="s">
        <v>155</v>
      </c>
      <c r="E316" s="201" t="s">
        <v>477</v>
      </c>
      <c r="F316" s="551">
        <v>35</v>
      </c>
      <c r="G316" s="203">
        <f>+SUMIF('AUX-NIV1'!I:I,Recursos!C316,'AUX-NIV1'!Q:Q)+SUMIF('AUX-NIV2'!I:I,Recursos!C316,'AUX-NIV2'!Q:Q)+SUMIF('AUX-NIV3'!I:I,Recursos!C316,'AUX-NIV3'!Q:Q)</f>
        <v>0</v>
      </c>
      <c r="H316" s="204">
        <f t="shared" si="14"/>
        <v>0</v>
      </c>
      <c r="I316" s="366">
        <f t="shared" si="15"/>
        <v>0</v>
      </c>
      <c r="J316" s="474"/>
      <c r="L316" s="83"/>
    </row>
    <row r="317" spans="2:12">
      <c r="B317" s="222"/>
      <c r="C317" s="206" t="s">
        <v>2179</v>
      </c>
      <c r="D317" s="200" t="s">
        <v>153</v>
      </c>
      <c r="E317" s="201" t="s">
        <v>477</v>
      </c>
      <c r="F317" s="551">
        <v>12</v>
      </c>
      <c r="G317" s="203">
        <f>+SUMIF('AUX-NIV1'!I:I,Recursos!C317,'AUX-NIV1'!Q:Q)+SUMIF('AUX-NIV2'!I:I,Recursos!C317,'AUX-NIV2'!Q:Q)+SUMIF('AUX-NIV3'!I:I,Recursos!C317,'AUX-NIV3'!Q:Q)</f>
        <v>0</v>
      </c>
      <c r="H317" s="204">
        <f t="shared" si="14"/>
        <v>0</v>
      </c>
      <c r="I317" s="366">
        <f t="shared" si="15"/>
        <v>0</v>
      </c>
      <c r="J317" s="474"/>
      <c r="L317" s="83"/>
    </row>
    <row r="318" spans="2:12">
      <c r="B318" s="222"/>
      <c r="C318" s="206" t="s">
        <v>2180</v>
      </c>
      <c r="D318" s="200" t="s">
        <v>593</v>
      </c>
      <c r="E318" s="201" t="s">
        <v>371</v>
      </c>
      <c r="F318" s="551">
        <v>0.8</v>
      </c>
      <c r="G318" s="203">
        <f>+SUMIF('AUX-NIV1'!I:I,Recursos!C318,'AUX-NIV1'!Q:Q)+SUMIF('AUX-NIV2'!I:I,Recursos!C318,'AUX-NIV2'!Q:Q)+SUMIF('AUX-NIV3'!I:I,Recursos!C318,'AUX-NIV3'!Q:Q)</f>
        <v>0</v>
      </c>
      <c r="H318" s="204">
        <f t="shared" si="14"/>
        <v>0</v>
      </c>
      <c r="I318" s="366">
        <f t="shared" si="15"/>
        <v>0</v>
      </c>
      <c r="J318" s="474"/>
      <c r="L318" s="83"/>
    </row>
    <row r="319" spans="2:12">
      <c r="B319" s="222"/>
      <c r="C319" s="206" t="s">
        <v>2181</v>
      </c>
      <c r="D319" s="200" t="s">
        <v>894</v>
      </c>
      <c r="E319" s="201" t="s">
        <v>185</v>
      </c>
      <c r="F319" s="553">
        <v>800</v>
      </c>
      <c r="G319" s="203">
        <f>+SUMIF('AUX-NIV1'!I:I,Recursos!C319,'AUX-NIV1'!Q:Q)+SUMIF('AUX-NIV2'!I:I,Recursos!C319,'AUX-NIV2'!Q:Q)+SUMIF('AUX-NIV3'!I:I,Recursos!C319,'AUX-NIV3'!Q:Q)</f>
        <v>0</v>
      </c>
      <c r="H319" s="204">
        <f t="shared" si="14"/>
        <v>0</v>
      </c>
      <c r="I319" s="366">
        <f t="shared" si="15"/>
        <v>0</v>
      </c>
      <c r="J319" s="474"/>
      <c r="L319" s="83"/>
    </row>
    <row r="320" spans="2:12">
      <c r="B320" s="222"/>
      <c r="C320" s="206" t="s">
        <v>2182</v>
      </c>
      <c r="D320" s="200" t="s">
        <v>595</v>
      </c>
      <c r="E320" s="201" t="s">
        <v>501</v>
      </c>
      <c r="F320" s="551">
        <v>3</v>
      </c>
      <c r="G320" s="203">
        <f>+SUMIF('AUX-NIV1'!I:I,Recursos!C320,'AUX-NIV1'!Q:Q)+SUMIF('AUX-NIV2'!I:I,Recursos!C320,'AUX-NIV2'!Q:Q)+SUMIF('AUX-NIV3'!I:I,Recursos!C320,'AUX-NIV3'!Q:Q)</f>
        <v>0</v>
      </c>
      <c r="H320" s="204">
        <f t="shared" si="14"/>
        <v>0</v>
      </c>
      <c r="I320" s="366">
        <f t="shared" si="15"/>
        <v>0</v>
      </c>
      <c r="J320" s="474"/>
      <c r="L320" s="83"/>
    </row>
    <row r="321" spans="2:12">
      <c r="B321" s="222"/>
      <c r="C321" s="206" t="s">
        <v>2183</v>
      </c>
      <c r="D321" s="200" t="s">
        <v>597</v>
      </c>
      <c r="E321" s="201" t="s">
        <v>444</v>
      </c>
      <c r="F321" s="551">
        <f>58/1.21/(2.15*6)</f>
        <v>3.7158049843039276</v>
      </c>
      <c r="G321" s="203">
        <f>+SUMIF('AUX-NIV1'!I:I,Recursos!C321,'AUX-NIV1'!Q:Q)+SUMIF('AUX-NIV2'!I:I,Recursos!C321,'AUX-NIV2'!Q:Q)+SUMIF('AUX-NIV3'!I:I,Recursos!C321,'AUX-NIV3'!Q:Q)</f>
        <v>0</v>
      </c>
      <c r="H321" s="204">
        <f t="shared" si="14"/>
        <v>0</v>
      </c>
      <c r="I321" s="366">
        <f t="shared" si="15"/>
        <v>0</v>
      </c>
      <c r="J321" s="474"/>
      <c r="L321" s="83"/>
    </row>
    <row r="322" spans="2:12">
      <c r="B322" s="222"/>
      <c r="C322" s="206" t="s">
        <v>2184</v>
      </c>
      <c r="D322" s="200" t="s">
        <v>599</v>
      </c>
      <c r="E322" s="201" t="s">
        <v>586</v>
      </c>
      <c r="F322" s="551">
        <v>15</v>
      </c>
      <c r="G322" s="203">
        <f>+SUMIF('AUX-NIV1'!I:I,Recursos!C322,'AUX-NIV1'!Q:Q)+SUMIF('AUX-NIV2'!I:I,Recursos!C322,'AUX-NIV2'!Q:Q)+SUMIF('AUX-NIV3'!I:I,Recursos!C322,'AUX-NIV3'!Q:Q)</f>
        <v>0</v>
      </c>
      <c r="H322" s="204">
        <f t="shared" si="14"/>
        <v>0</v>
      </c>
      <c r="I322" s="366">
        <f t="shared" si="15"/>
        <v>0</v>
      </c>
      <c r="J322" s="474"/>
      <c r="L322" s="83"/>
    </row>
    <row r="323" spans="2:12">
      <c r="B323" s="222"/>
      <c r="C323" s="206" t="s">
        <v>2185</v>
      </c>
      <c r="D323" s="200" t="s">
        <v>883</v>
      </c>
      <c r="E323" s="201" t="s">
        <v>477</v>
      </c>
      <c r="F323" s="551">
        <v>70</v>
      </c>
      <c r="G323" s="203">
        <f>+SUMIF('AUX-NIV1'!I:I,Recursos!C323,'AUX-NIV1'!Q:Q)+SUMIF('AUX-NIV2'!I:I,Recursos!C323,'AUX-NIV2'!Q:Q)+SUMIF('AUX-NIV3'!I:I,Recursos!C323,'AUX-NIV3'!Q:Q)</f>
        <v>0</v>
      </c>
      <c r="H323" s="204">
        <f t="shared" si="14"/>
        <v>0</v>
      </c>
      <c r="I323" s="366">
        <f t="shared" si="15"/>
        <v>0</v>
      </c>
      <c r="J323" s="474"/>
      <c r="L323" s="83"/>
    </row>
    <row r="324" spans="2:12">
      <c r="B324" s="222"/>
      <c r="C324" s="206" t="s">
        <v>2186</v>
      </c>
      <c r="D324" s="200" t="s">
        <v>601</v>
      </c>
      <c r="E324" s="201" t="s">
        <v>447</v>
      </c>
      <c r="F324" s="551">
        <f>0.5*0.45*usd</f>
        <v>22.96125</v>
      </c>
      <c r="G324" s="203">
        <f>+SUMIF('AUX-NIV1'!I:I,Recursos!C324,'AUX-NIV1'!Q:Q)+SUMIF('AUX-NIV2'!I:I,Recursos!C324,'AUX-NIV2'!Q:Q)+SUMIF('AUX-NIV3'!I:I,Recursos!C324,'AUX-NIV3'!Q:Q)</f>
        <v>0</v>
      </c>
      <c r="H324" s="204">
        <f t="shared" si="14"/>
        <v>0</v>
      </c>
      <c r="I324" s="366">
        <f t="shared" si="15"/>
        <v>0</v>
      </c>
      <c r="J324" s="474"/>
      <c r="L324" s="83"/>
    </row>
    <row r="325" spans="2:12">
      <c r="B325" s="222"/>
      <c r="C325" s="206" t="s">
        <v>1789</v>
      </c>
      <c r="D325" s="200" t="s">
        <v>1790</v>
      </c>
      <c r="E325" s="201" t="s">
        <v>185</v>
      </c>
      <c r="F325" s="553">
        <v>520</v>
      </c>
      <c r="G325" s="203">
        <f>+SUMIF('AUX-NIV1'!I:I,Recursos!C325,'AUX-NIV1'!Q:Q)+SUMIF('AUX-NIV2'!I:I,Recursos!C325,'AUX-NIV2'!Q:Q)+SUMIF('AUX-NIV3'!I:I,Recursos!C325,'AUX-NIV3'!Q:Q)</f>
        <v>0</v>
      </c>
      <c r="H325" s="204">
        <f t="shared" si="14"/>
        <v>0</v>
      </c>
      <c r="I325" s="366">
        <f t="shared" si="15"/>
        <v>0</v>
      </c>
      <c r="J325" s="474"/>
      <c r="L325" s="83"/>
    </row>
    <row r="326" spans="2:12">
      <c r="B326" s="222"/>
      <c r="C326" s="206" t="s">
        <v>2187</v>
      </c>
      <c r="D326" s="200" t="s">
        <v>2188</v>
      </c>
      <c r="E326" s="201" t="s">
        <v>450</v>
      </c>
      <c r="F326" s="551">
        <v>300</v>
      </c>
      <c r="G326" s="203">
        <f>+SUMIF('AUX-NIV1'!I:I,Recursos!C326,'AUX-NIV1'!Q:Q)+SUMIF('AUX-NIV2'!I:I,Recursos!C326,'AUX-NIV2'!Q:Q)+SUMIF('AUX-NIV3'!I:I,Recursos!C326,'AUX-NIV3'!Q:Q)</f>
        <v>0</v>
      </c>
      <c r="H326" s="204">
        <f t="shared" si="14"/>
        <v>0</v>
      </c>
      <c r="I326" s="366">
        <f t="shared" si="15"/>
        <v>0</v>
      </c>
      <c r="J326" s="474"/>
      <c r="L326" s="83"/>
    </row>
    <row r="327" spans="2:12">
      <c r="B327" s="222"/>
      <c r="C327" s="206" t="s">
        <v>2189</v>
      </c>
      <c r="D327" s="200" t="s">
        <v>2190</v>
      </c>
      <c r="E327" s="201" t="s">
        <v>450</v>
      </c>
      <c r="F327" s="551">
        <v>320</v>
      </c>
      <c r="G327" s="203">
        <f>+SUMIF('AUX-NIV1'!I:I,Recursos!C327,'AUX-NIV1'!Q:Q)+SUMIF('AUX-NIV2'!I:I,Recursos!C327,'AUX-NIV2'!Q:Q)+SUMIF('AUX-NIV3'!I:I,Recursos!C327,'AUX-NIV3'!Q:Q)</f>
        <v>0</v>
      </c>
      <c r="H327" s="204">
        <f t="shared" si="14"/>
        <v>0</v>
      </c>
      <c r="I327" s="366">
        <f t="shared" si="15"/>
        <v>0</v>
      </c>
      <c r="J327" s="474"/>
      <c r="L327" s="83"/>
    </row>
    <row r="328" spans="2:12">
      <c r="B328" s="222"/>
      <c r="C328" s="206" t="s">
        <v>2191</v>
      </c>
      <c r="D328" s="200" t="s">
        <v>2192</v>
      </c>
      <c r="E328" s="201" t="s">
        <v>450</v>
      </c>
      <c r="F328" s="551">
        <v>1.25</v>
      </c>
      <c r="G328" s="203">
        <f>+SUMIF('AUX-NIV1'!I:I,Recursos!C328,'AUX-NIV1'!Q:Q)+SUMIF('AUX-NIV2'!I:I,Recursos!C328,'AUX-NIV2'!Q:Q)+SUMIF('AUX-NIV3'!I:I,Recursos!C328,'AUX-NIV3'!Q:Q)</f>
        <v>0</v>
      </c>
      <c r="H328" s="204">
        <f t="shared" si="14"/>
        <v>0</v>
      </c>
      <c r="I328" s="366">
        <f t="shared" si="15"/>
        <v>0</v>
      </c>
      <c r="J328" s="474"/>
      <c r="L328" s="83"/>
    </row>
    <row r="329" spans="2:12">
      <c r="B329" s="222"/>
      <c r="C329" s="206" t="s">
        <v>2193</v>
      </c>
      <c r="D329" s="200" t="s">
        <v>2194</v>
      </c>
      <c r="E329" s="201" t="s">
        <v>450</v>
      </c>
      <c r="F329" s="551">
        <v>1.6</v>
      </c>
      <c r="G329" s="203">
        <f>+SUMIF('AUX-NIV1'!I:I,Recursos!C329,'AUX-NIV1'!Q:Q)+SUMIF('AUX-NIV2'!I:I,Recursos!C329,'AUX-NIV2'!Q:Q)+SUMIF('AUX-NIV3'!I:I,Recursos!C329,'AUX-NIV3'!Q:Q)</f>
        <v>0</v>
      </c>
      <c r="H329" s="204">
        <f t="shared" si="14"/>
        <v>0</v>
      </c>
      <c r="I329" s="366">
        <f t="shared" si="15"/>
        <v>0</v>
      </c>
      <c r="J329" s="474"/>
      <c r="L329" s="83"/>
    </row>
    <row r="330" spans="2:12">
      <c r="B330" s="222"/>
      <c r="C330" s="206" t="s">
        <v>2195</v>
      </c>
      <c r="D330" s="200" t="s">
        <v>2196</v>
      </c>
      <c r="E330" s="201" t="s">
        <v>450</v>
      </c>
      <c r="F330" s="551">
        <v>3.6</v>
      </c>
      <c r="G330" s="203">
        <f>+SUMIF('AUX-NIV1'!I:I,Recursos!C330,'AUX-NIV1'!Q:Q)+SUMIF('AUX-NIV2'!I:I,Recursos!C330,'AUX-NIV2'!Q:Q)+SUMIF('AUX-NIV3'!I:I,Recursos!C330,'AUX-NIV3'!Q:Q)</f>
        <v>0</v>
      </c>
      <c r="H330" s="204">
        <f t="shared" si="14"/>
        <v>0</v>
      </c>
      <c r="I330" s="366">
        <f t="shared" si="15"/>
        <v>0</v>
      </c>
      <c r="J330" s="474"/>
      <c r="L330" s="83"/>
    </row>
    <row r="331" spans="2:12">
      <c r="B331" s="222"/>
      <c r="C331" s="206" t="s">
        <v>2197</v>
      </c>
      <c r="D331" s="200" t="s">
        <v>2198</v>
      </c>
      <c r="E331" s="201" t="s">
        <v>610</v>
      </c>
      <c r="F331" s="551">
        <v>5</v>
      </c>
      <c r="G331" s="203">
        <f>+SUMIF('AUX-NIV1'!I:I,Recursos!C331,'AUX-NIV1'!Q:Q)+SUMIF('AUX-NIV2'!I:I,Recursos!C331,'AUX-NIV2'!Q:Q)+SUMIF('AUX-NIV3'!I:I,Recursos!C331,'AUX-NIV3'!Q:Q)</f>
        <v>0</v>
      </c>
      <c r="H331" s="204">
        <f t="shared" si="14"/>
        <v>0</v>
      </c>
      <c r="I331" s="366">
        <f t="shared" si="15"/>
        <v>0</v>
      </c>
      <c r="J331" s="474"/>
      <c r="L331" s="83"/>
    </row>
    <row r="332" spans="2:12">
      <c r="B332" s="222"/>
      <c r="C332" s="206" t="s">
        <v>2199</v>
      </c>
      <c r="D332" s="200" t="s">
        <v>2200</v>
      </c>
      <c r="E332" s="201" t="s">
        <v>610</v>
      </c>
      <c r="F332" s="551">
        <v>30</v>
      </c>
      <c r="G332" s="203">
        <f>+SUMIF('AUX-NIV1'!I:I,Recursos!C332,'AUX-NIV1'!Q:Q)+SUMIF('AUX-NIV2'!I:I,Recursos!C332,'AUX-NIV2'!Q:Q)+SUMIF('AUX-NIV3'!I:I,Recursos!C332,'AUX-NIV3'!Q:Q)</f>
        <v>0</v>
      </c>
      <c r="H332" s="204">
        <f t="shared" si="14"/>
        <v>0</v>
      </c>
      <c r="I332" s="366">
        <f t="shared" si="15"/>
        <v>0</v>
      </c>
      <c r="J332" s="474"/>
      <c r="L332" s="83"/>
    </row>
    <row r="333" spans="2:12">
      <c r="B333" s="222"/>
      <c r="C333" s="206" t="s">
        <v>2201</v>
      </c>
      <c r="D333" s="200" t="s">
        <v>2202</v>
      </c>
      <c r="E333" s="201" t="s">
        <v>610</v>
      </c>
      <c r="F333" s="551">
        <v>80</v>
      </c>
      <c r="G333" s="203">
        <f>+SUMIF('AUX-NIV1'!I:I,Recursos!C333,'AUX-NIV1'!Q:Q)+SUMIF('AUX-NIV2'!I:I,Recursos!C333,'AUX-NIV2'!Q:Q)+SUMIF('AUX-NIV3'!I:I,Recursos!C333,'AUX-NIV3'!Q:Q)</f>
        <v>0</v>
      </c>
      <c r="H333" s="204">
        <f t="shared" si="14"/>
        <v>0</v>
      </c>
      <c r="I333" s="366">
        <f t="shared" si="15"/>
        <v>0</v>
      </c>
      <c r="J333" s="474"/>
      <c r="L333" s="83"/>
    </row>
    <row r="334" spans="2:12">
      <c r="B334" s="222"/>
      <c r="C334" s="206" t="s">
        <v>2203</v>
      </c>
      <c r="D334" s="200" t="s">
        <v>2204</v>
      </c>
      <c r="E334" s="201" t="s">
        <v>610</v>
      </c>
      <c r="F334" s="551">
        <v>15</v>
      </c>
      <c r="G334" s="203">
        <f>+SUMIF('AUX-NIV1'!I:I,Recursos!C334,'AUX-NIV1'!Q:Q)+SUMIF('AUX-NIV2'!I:I,Recursos!C334,'AUX-NIV2'!Q:Q)+SUMIF('AUX-NIV3'!I:I,Recursos!C334,'AUX-NIV3'!Q:Q)</f>
        <v>0</v>
      </c>
      <c r="H334" s="204">
        <f t="shared" ref="H334:H400" si="16">+F334*G334</f>
        <v>0</v>
      </c>
      <c r="I334" s="366">
        <f t="shared" ref="I334:I405" si="17">+H334/$I$3</f>
        <v>0</v>
      </c>
      <c r="J334" s="474"/>
      <c r="L334" s="83"/>
    </row>
    <row r="335" spans="2:12">
      <c r="B335" s="222"/>
      <c r="C335" s="206" t="s">
        <v>2205</v>
      </c>
      <c r="D335" s="200" t="s">
        <v>2206</v>
      </c>
      <c r="E335" s="201" t="s">
        <v>610</v>
      </c>
      <c r="F335" s="551">
        <v>55700</v>
      </c>
      <c r="G335" s="203">
        <f>+SUMIF('AUX-NIV1'!I:I,Recursos!C335,'AUX-NIV1'!Q:Q)+SUMIF('AUX-NIV2'!I:I,Recursos!C335,'AUX-NIV2'!Q:Q)+SUMIF('AUX-NIV3'!I:I,Recursos!C335,'AUX-NIV3'!Q:Q)</f>
        <v>0</v>
      </c>
      <c r="H335" s="204">
        <f t="shared" si="16"/>
        <v>0</v>
      </c>
      <c r="I335" s="366">
        <f t="shared" si="17"/>
        <v>0</v>
      </c>
      <c r="J335" s="474"/>
      <c r="L335" s="83"/>
    </row>
    <row r="336" spans="2:12">
      <c r="B336" s="222"/>
      <c r="C336" s="206" t="s">
        <v>1791</v>
      </c>
      <c r="D336" s="200" t="s">
        <v>1792</v>
      </c>
      <c r="E336" s="201" t="s">
        <v>185</v>
      </c>
      <c r="F336" s="553">
        <v>460</v>
      </c>
      <c r="G336" s="203">
        <f>+SUMIF('AUX-NIV1'!I:I,Recursos!C336,'AUX-NIV1'!Q:Q)+SUMIF('AUX-NIV2'!I:I,Recursos!C336,'AUX-NIV2'!Q:Q)+SUMIF('AUX-NIV3'!I:I,Recursos!C336,'AUX-NIV3'!Q:Q)</f>
        <v>0</v>
      </c>
      <c r="H336" s="204">
        <f t="shared" si="16"/>
        <v>0</v>
      </c>
      <c r="I336" s="366">
        <f t="shared" si="17"/>
        <v>0</v>
      </c>
      <c r="J336" s="474"/>
      <c r="L336" s="83"/>
    </row>
    <row r="337" spans="2:66">
      <c r="B337" s="222"/>
      <c r="C337" s="206" t="s">
        <v>2207</v>
      </c>
      <c r="D337" s="200" t="s">
        <v>2208</v>
      </c>
      <c r="E337" s="201" t="s">
        <v>610</v>
      </c>
      <c r="F337" s="551">
        <v>84000</v>
      </c>
      <c r="G337" s="203">
        <f>+SUMIF('AUX-NIV1'!I:I,Recursos!C337,'AUX-NIV1'!Q:Q)+SUMIF('AUX-NIV2'!I:I,Recursos!C337,'AUX-NIV2'!Q:Q)+SUMIF('AUX-NIV3'!I:I,Recursos!C337,'AUX-NIV3'!Q:Q)</f>
        <v>0</v>
      </c>
      <c r="H337" s="204">
        <f t="shared" si="16"/>
        <v>0</v>
      </c>
      <c r="I337" s="366">
        <f t="shared" si="17"/>
        <v>0</v>
      </c>
      <c r="J337" s="474"/>
      <c r="L337" s="83"/>
    </row>
    <row r="338" spans="2:66">
      <c r="B338" s="222"/>
      <c r="C338" s="206" t="s">
        <v>2209</v>
      </c>
      <c r="D338" s="200" t="s">
        <v>2210</v>
      </c>
      <c r="E338" s="201" t="s">
        <v>610</v>
      </c>
      <c r="F338" s="551">
        <v>2500</v>
      </c>
      <c r="G338" s="203">
        <f>+SUMIF('AUX-NIV1'!I:I,Recursos!C338,'AUX-NIV1'!Q:Q)+SUMIF('AUX-NIV2'!I:I,Recursos!C338,'AUX-NIV2'!Q:Q)+SUMIF('AUX-NIV3'!I:I,Recursos!C338,'AUX-NIV3'!Q:Q)</f>
        <v>0</v>
      </c>
      <c r="H338" s="204">
        <f t="shared" si="16"/>
        <v>0</v>
      </c>
      <c r="I338" s="366">
        <f t="shared" si="17"/>
        <v>0</v>
      </c>
      <c r="J338" s="474"/>
      <c r="L338" s="83"/>
    </row>
    <row r="339" spans="2:66">
      <c r="B339" s="222"/>
      <c r="C339" s="206" t="s">
        <v>2211</v>
      </c>
      <c r="D339" s="200" t="s">
        <v>2212</v>
      </c>
      <c r="E339" s="201" t="s">
        <v>1233</v>
      </c>
      <c r="F339" s="551">
        <v>12600</v>
      </c>
      <c r="G339" s="203">
        <f>+SUMIF('AUX-NIV1'!I:I,Recursos!C339,'AUX-NIV1'!Q:Q)+SUMIF('AUX-NIV2'!I:I,Recursos!C339,'AUX-NIV2'!Q:Q)+SUMIF('AUX-NIV3'!I:I,Recursos!C339,'AUX-NIV3'!Q:Q)</f>
        <v>0</v>
      </c>
      <c r="H339" s="204">
        <f t="shared" si="16"/>
        <v>0</v>
      </c>
      <c r="I339" s="366">
        <f t="shared" si="17"/>
        <v>0</v>
      </c>
      <c r="J339" s="474"/>
      <c r="L339" s="83"/>
    </row>
    <row r="340" spans="2:66">
      <c r="B340" s="222"/>
      <c r="C340" s="206" t="s">
        <v>2213</v>
      </c>
      <c r="D340" s="200" t="s">
        <v>2214</v>
      </c>
      <c r="E340" s="201" t="s">
        <v>610</v>
      </c>
      <c r="F340" s="551">
        <v>29500</v>
      </c>
      <c r="G340" s="203">
        <f>+SUMIF('AUX-NIV1'!I:I,Recursos!C340,'AUX-NIV1'!Q:Q)+SUMIF('AUX-NIV2'!I:I,Recursos!C340,'AUX-NIV2'!Q:Q)+SUMIF('AUX-NIV3'!I:I,Recursos!C340,'AUX-NIV3'!Q:Q)</f>
        <v>0</v>
      </c>
      <c r="H340" s="204">
        <f t="shared" si="16"/>
        <v>0</v>
      </c>
      <c r="I340" s="366">
        <f t="shared" si="17"/>
        <v>0</v>
      </c>
      <c r="J340" s="474"/>
      <c r="L340" s="83"/>
    </row>
    <row r="341" spans="2:66">
      <c r="B341" s="222"/>
      <c r="C341" s="206" t="s">
        <v>2215</v>
      </c>
      <c r="D341" s="200" t="s">
        <v>117</v>
      </c>
      <c r="E341" s="201" t="s">
        <v>450</v>
      </c>
      <c r="F341" s="551">
        <v>1.5</v>
      </c>
      <c r="G341" s="203">
        <f>+SUMIF('AUX-NIV1'!I:I,Recursos!C341,'AUX-NIV1'!Q:Q)+SUMIF('AUX-NIV2'!I:I,Recursos!C341,'AUX-NIV2'!Q:Q)+SUMIF('AUX-NIV3'!I:I,Recursos!C341,'AUX-NIV3'!Q:Q)</f>
        <v>0</v>
      </c>
      <c r="H341" s="204">
        <f t="shared" si="16"/>
        <v>0</v>
      </c>
      <c r="I341" s="366">
        <f t="shared" si="17"/>
        <v>0</v>
      </c>
      <c r="J341" s="474"/>
      <c r="L341" s="83"/>
    </row>
    <row r="342" spans="2:66">
      <c r="B342" s="222"/>
      <c r="C342" s="206" t="s">
        <v>2216</v>
      </c>
      <c r="D342" s="200" t="s">
        <v>603</v>
      </c>
      <c r="E342" s="201" t="s">
        <v>462</v>
      </c>
      <c r="F342" s="551">
        <v>5</v>
      </c>
      <c r="G342" s="203">
        <f>+SUMIF('AUX-NIV1'!I:I,Recursos!C342,'AUX-NIV1'!Q:Q)+SUMIF('AUX-NIV2'!I:I,Recursos!C342,'AUX-NIV2'!Q:Q)+SUMIF('AUX-NIV3'!I:I,Recursos!C342,'AUX-NIV3'!Q:Q)</f>
        <v>0</v>
      </c>
      <c r="H342" s="204">
        <f t="shared" si="16"/>
        <v>0</v>
      </c>
      <c r="I342" s="366">
        <f t="shared" si="17"/>
        <v>0</v>
      </c>
      <c r="J342" s="474"/>
      <c r="L342" s="83"/>
    </row>
    <row r="343" spans="2:66" ht="12">
      <c r="B343" s="222"/>
      <c r="C343" s="1535" t="s">
        <v>3487</v>
      </c>
      <c r="D343" s="1536" t="s">
        <v>3484</v>
      </c>
      <c r="E343" s="1537" t="s">
        <v>589</v>
      </c>
      <c r="F343" s="1657">
        <f>8000/1.21/20</f>
        <v>330.57851239669424</v>
      </c>
      <c r="G343" s="203">
        <f>+SUMIF('AUX-NIV1'!I:I,Recursos!C343,'AUX-NIV1'!Q:Q)+SUMIF('AUX-NIV2'!I:I,Recursos!C343,'AUX-NIV2'!Q:Q)+SUMIF('AUX-NIV3'!I:I,Recursos!C343,'AUX-NIV3'!Q:Q)</f>
        <v>0</v>
      </c>
      <c r="H343" s="204">
        <f t="shared" si="16"/>
        <v>0</v>
      </c>
      <c r="I343" s="366">
        <f t="shared" si="17"/>
        <v>0</v>
      </c>
      <c r="J343" s="474"/>
      <c r="L343" s="1610">
        <f t="shared" ref="L343:L350" si="18">H343/$H$76</f>
        <v>0</v>
      </c>
      <c r="BN343" s="83">
        <f>2540/10.66</f>
        <v>238.27392120075046</v>
      </c>
    </row>
    <row r="344" spans="2:66" ht="12">
      <c r="B344" s="222"/>
      <c r="C344" s="1535" t="s">
        <v>3488</v>
      </c>
      <c r="D344" s="1536" t="s">
        <v>3485</v>
      </c>
      <c r="E344" s="1537" t="s">
        <v>589</v>
      </c>
      <c r="F344" s="1538">
        <f>6500/1.21/20</f>
        <v>268.59504132231405</v>
      </c>
      <c r="G344" s="203">
        <f>+SUMIF('AUX-NIV1'!I:I,Recursos!C344,'AUX-NIV1'!Q:Q)+SUMIF('AUX-NIV2'!I:I,Recursos!C344,'AUX-NIV2'!Q:Q)+SUMIF('AUX-NIV3'!I:I,Recursos!C344,'AUX-NIV3'!Q:Q)</f>
        <v>0</v>
      </c>
      <c r="H344" s="204">
        <f t="shared" si="16"/>
        <v>0</v>
      </c>
      <c r="I344" s="366">
        <f t="shared" si="17"/>
        <v>0</v>
      </c>
      <c r="J344" s="474"/>
      <c r="L344" s="1610">
        <f t="shared" si="18"/>
        <v>0</v>
      </c>
    </row>
    <row r="345" spans="2:66" ht="12">
      <c r="B345" s="222"/>
      <c r="C345" s="1535" t="s">
        <v>3489</v>
      </c>
      <c r="D345" s="1536" t="s">
        <v>3490</v>
      </c>
      <c r="E345" s="1537" t="s">
        <v>589</v>
      </c>
      <c r="F345" s="1538">
        <f>4100/1.21/20</f>
        <v>169.42148760330579</v>
      </c>
      <c r="G345" s="203">
        <f>+SUMIF('AUX-NIV1'!I:I,Recursos!C345,'AUX-NIV1'!Q:Q)+SUMIF('AUX-NIV2'!I:I,Recursos!C345,'AUX-NIV2'!Q:Q)+SUMIF('AUX-NIV3'!I:I,Recursos!C345,'AUX-NIV3'!Q:Q)</f>
        <v>0</v>
      </c>
      <c r="H345" s="204">
        <f t="shared" si="16"/>
        <v>0</v>
      </c>
      <c r="I345" s="366">
        <f t="shared" si="17"/>
        <v>0</v>
      </c>
      <c r="J345" s="474"/>
      <c r="L345" s="1610">
        <f t="shared" si="18"/>
        <v>0</v>
      </c>
    </row>
    <row r="346" spans="2:66" ht="12">
      <c r="B346" s="222"/>
      <c r="C346" s="1535" t="s">
        <v>3854</v>
      </c>
      <c r="D346" s="1536" t="s">
        <v>3855</v>
      </c>
      <c r="E346" s="1537" t="s">
        <v>589</v>
      </c>
      <c r="F346" s="1538">
        <f>3573/20</f>
        <v>178.65</v>
      </c>
      <c r="G346" s="203">
        <f>+SUMIF('AUX-NIV1'!I:I,Recursos!C346,'AUX-NIV1'!Q:Q)+SUMIF('AUX-NIV2'!I:I,Recursos!C346,'AUX-NIV2'!Q:Q)+SUMIF('AUX-NIV3'!I:I,Recursos!C346,'AUX-NIV3'!Q:Q)</f>
        <v>0</v>
      </c>
      <c r="H346" s="204">
        <f t="shared" si="16"/>
        <v>0</v>
      </c>
      <c r="I346" s="366">
        <f t="shared" ref="I346" si="19">+H346/$I$3</f>
        <v>0</v>
      </c>
      <c r="J346" s="474"/>
      <c r="L346" s="1610">
        <f t="shared" si="18"/>
        <v>0</v>
      </c>
    </row>
    <row r="347" spans="2:66" ht="12">
      <c r="B347" s="222"/>
      <c r="C347" s="1535" t="s">
        <v>3858</v>
      </c>
      <c r="D347" s="1543" t="s">
        <v>3861</v>
      </c>
      <c r="E347" s="1544" t="s">
        <v>589</v>
      </c>
      <c r="F347" s="1602">
        <f>3200/1.21/4</f>
        <v>661.15702479338847</v>
      </c>
      <c r="G347" s="203">
        <f>+SUMIF('AUX-NIV1'!I:I,Recursos!C347,'AUX-NIV1'!Q:Q)+SUMIF('AUX-NIV2'!I:I,Recursos!C347,'AUX-NIV2'!Q:Q)+SUMIF('AUX-NIV3'!I:I,Recursos!C347,'AUX-NIV3'!Q:Q)</f>
        <v>0</v>
      </c>
      <c r="H347" s="204">
        <f t="shared" si="16"/>
        <v>0</v>
      </c>
      <c r="I347" s="366">
        <f t="shared" ref="I347:I352" si="20">+H347/$I$3</f>
        <v>0</v>
      </c>
      <c r="J347" s="1424"/>
      <c r="L347" s="1610">
        <f t="shared" si="18"/>
        <v>0</v>
      </c>
    </row>
    <row r="348" spans="2:66" ht="12">
      <c r="B348" s="222"/>
      <c r="C348" s="1535" t="s">
        <v>3859</v>
      </c>
      <c r="D348" s="1543" t="s">
        <v>3862</v>
      </c>
      <c r="E348" s="1544" t="s">
        <v>589</v>
      </c>
      <c r="F348" s="1602">
        <f>2650/1.21/4</f>
        <v>547.52066115702485</v>
      </c>
      <c r="G348" s="203">
        <f>+SUMIF('AUX-NIV1'!I:I,Recursos!C348,'AUX-NIV1'!Q:Q)+SUMIF('AUX-NIV2'!I:I,Recursos!C348,'AUX-NIV2'!Q:Q)+SUMIF('AUX-NIV3'!I:I,Recursos!C348,'AUX-NIV3'!Q:Q)</f>
        <v>0</v>
      </c>
      <c r="H348" s="204">
        <f t="shared" si="16"/>
        <v>0</v>
      </c>
      <c r="I348" s="366">
        <f t="shared" si="20"/>
        <v>0</v>
      </c>
      <c r="J348" s="1424"/>
      <c r="L348" s="1610">
        <f t="shared" si="18"/>
        <v>0</v>
      </c>
    </row>
    <row r="349" spans="2:66" ht="12">
      <c r="B349" s="222"/>
      <c r="C349" s="1535" t="s">
        <v>3860</v>
      </c>
      <c r="D349" s="1543" t="s">
        <v>3863</v>
      </c>
      <c r="E349" s="1544" t="s">
        <v>589</v>
      </c>
      <c r="F349" s="1602">
        <v>124.7</v>
      </c>
      <c r="G349" s="203">
        <f>+SUMIF('AUX-NIV1'!I:I,Recursos!C349,'AUX-NIV1'!Q:Q)+SUMIF('AUX-NIV2'!I:I,Recursos!C349,'AUX-NIV2'!Q:Q)+SUMIF('AUX-NIV3'!I:I,Recursos!C349,'AUX-NIV3'!Q:Q)</f>
        <v>0</v>
      </c>
      <c r="H349" s="204">
        <f t="shared" si="16"/>
        <v>0</v>
      </c>
      <c r="I349" s="366">
        <f t="shared" si="20"/>
        <v>0</v>
      </c>
      <c r="J349" s="1424"/>
      <c r="L349" s="1610">
        <f t="shared" si="18"/>
        <v>0</v>
      </c>
    </row>
    <row r="350" spans="2:66" ht="12">
      <c r="B350" s="222"/>
      <c r="C350" s="1535" t="s">
        <v>3866</v>
      </c>
      <c r="D350" s="1543" t="s">
        <v>3867</v>
      </c>
      <c r="E350" s="1544" t="s">
        <v>589</v>
      </c>
      <c r="F350" s="1602">
        <f>4785/5</f>
        <v>957</v>
      </c>
      <c r="G350" s="203">
        <f>+SUMIF('AUX-NIV1'!I:I,Recursos!C350,'AUX-NIV1'!Q:Q)+SUMIF('AUX-NIV2'!I:I,Recursos!C350,'AUX-NIV2'!Q:Q)+SUMIF('AUX-NIV3'!I:I,Recursos!C350,'AUX-NIV3'!Q:Q)</f>
        <v>0</v>
      </c>
      <c r="H350" s="204">
        <f t="shared" si="16"/>
        <v>0</v>
      </c>
      <c r="I350" s="366">
        <f t="shared" si="20"/>
        <v>0</v>
      </c>
      <c r="J350" s="1424"/>
      <c r="L350" s="1610">
        <f t="shared" si="18"/>
        <v>0</v>
      </c>
    </row>
    <row r="351" spans="2:66" ht="12">
      <c r="B351" s="222"/>
      <c r="C351" s="1535" t="s">
        <v>4677</v>
      </c>
      <c r="D351" s="1536" t="s">
        <v>3484</v>
      </c>
      <c r="E351" s="1537" t="s">
        <v>589</v>
      </c>
      <c r="F351" s="1657">
        <f t="shared" ref="F351" si="21">8000/1.21/20</f>
        <v>330.57851239669424</v>
      </c>
      <c r="G351" s="203">
        <f>+SUMIF('AUX-NIV1'!I:I,Recursos!C351,'AUX-NIV1'!Q:Q)+SUMIF('AUX-NIV2'!I:I,Recursos!C351,'AUX-NIV2'!Q:Q)+SUMIF('AUX-NIV3'!I:I,Recursos!C351,'AUX-NIV3'!Q:Q)</f>
        <v>0</v>
      </c>
      <c r="H351" s="204">
        <f t="shared" ref="H351:H352" si="22">+F351*G351</f>
        <v>0</v>
      </c>
      <c r="I351" s="366">
        <f t="shared" si="20"/>
        <v>0</v>
      </c>
      <c r="J351" s="474"/>
      <c r="L351" s="1610">
        <f t="shared" ref="L351:L352" si="23">H351/$H$76</f>
        <v>0</v>
      </c>
      <c r="BN351" s="83">
        <f t="shared" ref="BN351:BN353" si="24">2540/10.66</f>
        <v>238.27392120075046</v>
      </c>
    </row>
    <row r="352" spans="2:66" ht="12">
      <c r="B352" s="222"/>
      <c r="C352" s="1535" t="s">
        <v>4680</v>
      </c>
      <c r="D352" s="1536" t="s">
        <v>4678</v>
      </c>
      <c r="E352" s="1537" t="s">
        <v>589</v>
      </c>
      <c r="F352" s="1690">
        <f>4000/1.21/20</f>
        <v>165.28925619834712</v>
      </c>
      <c r="G352" s="203">
        <f>+SUMIF('AUX-NIV1'!I:I,Recursos!C352,'AUX-NIV1'!Q:Q)+SUMIF('AUX-NIV2'!I:I,Recursos!C352,'AUX-NIV2'!Q:Q)+SUMIF('AUX-NIV3'!I:I,Recursos!C352,'AUX-NIV3'!Q:Q)</f>
        <v>0</v>
      </c>
      <c r="H352" s="204">
        <f t="shared" si="22"/>
        <v>0</v>
      </c>
      <c r="I352" s="366">
        <f t="shared" si="20"/>
        <v>0</v>
      </c>
      <c r="J352" s="474"/>
      <c r="L352" s="1610">
        <f t="shared" si="23"/>
        <v>0</v>
      </c>
      <c r="BN352" s="83">
        <f t="shared" si="24"/>
        <v>238.27392120075046</v>
      </c>
    </row>
    <row r="353" spans="2:66" ht="12">
      <c r="B353" s="222"/>
      <c r="C353" s="1535" t="s">
        <v>4681</v>
      </c>
      <c r="D353" s="1536" t="s">
        <v>4679</v>
      </c>
      <c r="E353" s="1537" t="s">
        <v>589</v>
      </c>
      <c r="F353" s="1690">
        <f>1410/1.21/10</f>
        <v>116.52892561983472</v>
      </c>
      <c r="G353" s="203">
        <f>+SUMIF('AUX-NIV1'!I:I,Recursos!C353,'AUX-NIV1'!Q:Q)+SUMIF('AUX-NIV2'!I:I,Recursos!C353,'AUX-NIV2'!Q:Q)+SUMIF('AUX-NIV3'!I:I,Recursos!C353,'AUX-NIV3'!Q:Q)</f>
        <v>0</v>
      </c>
      <c r="H353" s="204">
        <f t="shared" ref="H353" si="25">+F353*G353</f>
        <v>0</v>
      </c>
      <c r="I353" s="366">
        <f t="shared" ref="I353" si="26">+H353/$I$3</f>
        <v>0</v>
      </c>
      <c r="J353" s="474"/>
      <c r="L353" s="1610">
        <f t="shared" ref="L353" si="27">H353/$H$76</f>
        <v>0</v>
      </c>
      <c r="BN353" s="83">
        <f t="shared" si="24"/>
        <v>238.27392120075046</v>
      </c>
    </row>
    <row r="354" spans="2:66">
      <c r="B354" s="222"/>
      <c r="C354" s="206" t="s">
        <v>3404</v>
      </c>
      <c r="D354" s="200" t="s">
        <v>3483</v>
      </c>
      <c r="E354" s="201" t="s">
        <v>589</v>
      </c>
      <c r="F354" s="551">
        <v>360</v>
      </c>
      <c r="G354" s="203">
        <f>+SUMIF('AUX-NIV1'!I:I,Recursos!C354,'AUX-NIV1'!Q:Q)+SUMIF('AUX-NIV2'!I:I,Recursos!C354,'AUX-NIV2'!Q:Q)+SUMIF('AUX-NIV3'!I:I,Recursos!C354,'AUX-NIV3'!Q:Q)</f>
        <v>0</v>
      </c>
      <c r="H354" s="204">
        <f t="shared" si="16"/>
        <v>0</v>
      </c>
      <c r="I354" s="366">
        <f t="shared" si="17"/>
        <v>0</v>
      </c>
      <c r="J354" s="474"/>
      <c r="L354" s="83"/>
    </row>
    <row r="355" spans="2:66">
      <c r="B355" s="222"/>
      <c r="C355" s="206" t="s">
        <v>2217</v>
      </c>
      <c r="D355" s="200" t="s">
        <v>607</v>
      </c>
      <c r="E355" s="201" t="s">
        <v>371</v>
      </c>
      <c r="F355" s="551">
        <v>20</v>
      </c>
      <c r="G355" s="203">
        <f>+SUMIF('AUX-NIV1'!I:I,Recursos!C355,'AUX-NIV1'!Q:Q)+SUMIF('AUX-NIV2'!I:I,Recursos!C355,'AUX-NIV2'!Q:Q)+SUMIF('AUX-NIV3'!I:I,Recursos!C355,'AUX-NIV3'!Q:Q)</f>
        <v>0</v>
      </c>
      <c r="H355" s="204">
        <f t="shared" si="16"/>
        <v>0</v>
      </c>
      <c r="I355" s="366">
        <f t="shared" si="17"/>
        <v>0</v>
      </c>
      <c r="J355" s="474"/>
      <c r="L355" s="83"/>
    </row>
    <row r="356" spans="2:66">
      <c r="B356" s="222"/>
      <c r="C356" s="206" t="s">
        <v>2218</v>
      </c>
      <c r="D356" s="200" t="s">
        <v>609</v>
      </c>
      <c r="E356" s="201" t="s">
        <v>462</v>
      </c>
      <c r="F356" s="551">
        <v>4</v>
      </c>
      <c r="G356" s="203">
        <f>+SUMIF('AUX-NIV1'!I:I,Recursos!C356,'AUX-NIV1'!Q:Q)+SUMIF('AUX-NIV2'!I:I,Recursos!C356,'AUX-NIV2'!Q:Q)+SUMIF('AUX-NIV3'!I:I,Recursos!C356,'AUX-NIV3'!Q:Q)</f>
        <v>0</v>
      </c>
      <c r="H356" s="204">
        <f t="shared" si="16"/>
        <v>0</v>
      </c>
      <c r="I356" s="366">
        <f t="shared" si="17"/>
        <v>0</v>
      </c>
      <c r="J356" s="474"/>
      <c r="L356" s="83"/>
    </row>
    <row r="357" spans="2:66">
      <c r="B357" s="222"/>
      <c r="C357" s="206" t="s">
        <v>1793</v>
      </c>
      <c r="D357" s="200" t="s">
        <v>1794</v>
      </c>
      <c r="E357" s="201" t="s">
        <v>185</v>
      </c>
      <c r="F357" s="553">
        <v>40</v>
      </c>
      <c r="G357" s="203">
        <f>+SUMIF('AUX-NIV1'!I:I,Recursos!C357,'AUX-NIV1'!Q:Q)+SUMIF('AUX-NIV2'!I:I,Recursos!C357,'AUX-NIV2'!Q:Q)+SUMIF('AUX-NIV3'!I:I,Recursos!C357,'AUX-NIV3'!Q:Q)</f>
        <v>0</v>
      </c>
      <c r="H357" s="204">
        <f t="shared" si="16"/>
        <v>0</v>
      </c>
      <c r="I357" s="366">
        <f t="shared" si="17"/>
        <v>0</v>
      </c>
      <c r="J357" s="474"/>
      <c r="L357" s="83"/>
    </row>
    <row r="358" spans="2:66">
      <c r="B358" s="222"/>
      <c r="C358" s="206" t="s">
        <v>2219</v>
      </c>
      <c r="D358" s="200" t="s">
        <v>111</v>
      </c>
      <c r="E358" s="201" t="s">
        <v>185</v>
      </c>
      <c r="F358" s="551">
        <v>10</v>
      </c>
      <c r="G358" s="203">
        <f>+SUMIF('AUX-NIV1'!I:I,Recursos!C358,'AUX-NIV1'!Q:Q)+SUMIF('AUX-NIV2'!I:I,Recursos!C358,'AUX-NIV2'!Q:Q)+SUMIF('AUX-NIV3'!I:I,Recursos!C358,'AUX-NIV3'!Q:Q)</f>
        <v>0</v>
      </c>
      <c r="H358" s="204">
        <f t="shared" si="16"/>
        <v>0</v>
      </c>
      <c r="I358" s="366">
        <f t="shared" si="17"/>
        <v>0</v>
      </c>
      <c r="J358" s="474"/>
      <c r="L358" s="83"/>
    </row>
    <row r="359" spans="2:66">
      <c r="B359" s="222"/>
      <c r="C359" s="206" t="s">
        <v>2220</v>
      </c>
      <c r="D359" s="200" t="s">
        <v>2221</v>
      </c>
      <c r="E359" s="201" t="s">
        <v>1233</v>
      </c>
      <c r="F359" s="551">
        <v>800</v>
      </c>
      <c r="G359" s="203">
        <f>+SUMIF('AUX-NIV1'!I:I,Recursos!C359,'AUX-NIV1'!Q:Q)+SUMIF('AUX-NIV2'!I:I,Recursos!C359,'AUX-NIV2'!Q:Q)+SUMIF('AUX-NIV3'!I:I,Recursos!C359,'AUX-NIV3'!Q:Q)</f>
        <v>0</v>
      </c>
      <c r="H359" s="204">
        <f t="shared" si="16"/>
        <v>0</v>
      </c>
      <c r="I359" s="366">
        <f t="shared" si="17"/>
        <v>0</v>
      </c>
      <c r="J359" s="474"/>
      <c r="L359" s="83"/>
    </row>
    <row r="360" spans="2:66">
      <c r="B360" s="222"/>
      <c r="C360" s="206" t="s">
        <v>2222</v>
      </c>
      <c r="D360" s="200" t="s">
        <v>2223</v>
      </c>
      <c r="E360" s="201" t="s">
        <v>1233</v>
      </c>
      <c r="F360" s="551">
        <v>2600</v>
      </c>
      <c r="G360" s="203">
        <f>+SUMIF('AUX-NIV1'!I:I,Recursos!C360,'AUX-NIV1'!Q:Q)+SUMIF('AUX-NIV2'!I:I,Recursos!C360,'AUX-NIV2'!Q:Q)+SUMIF('AUX-NIV3'!I:I,Recursos!C360,'AUX-NIV3'!Q:Q)</f>
        <v>0</v>
      </c>
      <c r="H360" s="204">
        <f t="shared" si="16"/>
        <v>0</v>
      </c>
      <c r="I360" s="366">
        <f t="shared" si="17"/>
        <v>0</v>
      </c>
      <c r="J360" s="474"/>
      <c r="L360" s="83"/>
    </row>
    <row r="361" spans="2:66">
      <c r="B361" s="222"/>
      <c r="C361" s="206" t="s">
        <v>2224</v>
      </c>
      <c r="D361" s="200" t="s">
        <v>944</v>
      </c>
      <c r="E361" s="201" t="s">
        <v>546</v>
      </c>
      <c r="F361" s="551">
        <v>54.34</v>
      </c>
      <c r="G361" s="203">
        <f>+SUMIF('AUX-NIV1'!I:I,Recursos!C361,'AUX-NIV1'!Q:Q)+SUMIF('AUX-NIV2'!I:I,Recursos!C361,'AUX-NIV2'!Q:Q)+SUMIF('AUX-NIV3'!I:I,Recursos!C361,'AUX-NIV3'!Q:Q)</f>
        <v>0</v>
      </c>
      <c r="H361" s="204">
        <f t="shared" si="16"/>
        <v>0</v>
      </c>
      <c r="I361" s="366">
        <f t="shared" si="17"/>
        <v>0</v>
      </c>
      <c r="J361" s="474"/>
      <c r="L361" s="83"/>
    </row>
    <row r="362" spans="2:66">
      <c r="B362" s="222"/>
      <c r="C362" s="206" t="s">
        <v>2225</v>
      </c>
      <c r="D362" s="200" t="s">
        <v>115</v>
      </c>
      <c r="E362" s="201" t="s">
        <v>450</v>
      </c>
      <c r="F362" s="551">
        <v>35.075000000000003</v>
      </c>
      <c r="G362" s="203">
        <f>+SUMIF('AUX-NIV1'!I:I,Recursos!C362,'AUX-NIV1'!Q:Q)+SUMIF('AUX-NIV2'!I:I,Recursos!C362,'AUX-NIV2'!Q:Q)+SUMIF('AUX-NIV3'!I:I,Recursos!C362,'AUX-NIV3'!Q:Q)</f>
        <v>0</v>
      </c>
      <c r="H362" s="204">
        <f t="shared" si="16"/>
        <v>0</v>
      </c>
      <c r="I362" s="366">
        <f t="shared" si="17"/>
        <v>0</v>
      </c>
      <c r="J362" s="474"/>
      <c r="L362" s="83"/>
    </row>
    <row r="363" spans="2:66">
      <c r="B363" s="222"/>
      <c r="C363" s="206" t="s">
        <v>2226</v>
      </c>
      <c r="D363" s="200" t="s">
        <v>946</v>
      </c>
      <c r="E363" s="201" t="s">
        <v>546</v>
      </c>
      <c r="F363" s="551">
        <v>19.5</v>
      </c>
      <c r="G363" s="203">
        <f>+SUMIF('AUX-NIV1'!I:I,Recursos!C363,'AUX-NIV1'!Q:Q)+SUMIF('AUX-NIV2'!I:I,Recursos!C363,'AUX-NIV2'!Q:Q)+SUMIF('AUX-NIV3'!I:I,Recursos!C363,'AUX-NIV3'!Q:Q)</f>
        <v>0</v>
      </c>
      <c r="H363" s="204">
        <f t="shared" si="16"/>
        <v>0</v>
      </c>
      <c r="I363" s="366">
        <f t="shared" si="17"/>
        <v>0</v>
      </c>
      <c r="J363" s="474"/>
      <c r="L363" s="83"/>
    </row>
    <row r="364" spans="2:66">
      <c r="B364" s="222"/>
      <c r="C364" s="206" t="s">
        <v>2227</v>
      </c>
      <c r="D364" s="200" t="s">
        <v>2228</v>
      </c>
      <c r="E364" s="201" t="s">
        <v>484</v>
      </c>
      <c r="F364" s="551">
        <v>16.25</v>
      </c>
      <c r="G364" s="203">
        <f>+SUMIF('AUX-NIV1'!I:I,Recursos!C364,'AUX-NIV1'!Q:Q)+SUMIF('AUX-NIV2'!I:I,Recursos!C364,'AUX-NIV2'!Q:Q)+SUMIF('AUX-NIV3'!I:I,Recursos!C364,'AUX-NIV3'!Q:Q)</f>
        <v>1</v>
      </c>
      <c r="H364" s="204">
        <f t="shared" si="16"/>
        <v>16.25</v>
      </c>
      <c r="I364" s="366">
        <f t="shared" si="17"/>
        <v>5.0086980571446511E-5</v>
      </c>
      <c r="J364" s="474"/>
      <c r="L364" s="83"/>
    </row>
    <row r="365" spans="2:66">
      <c r="B365" s="222"/>
      <c r="C365" s="206" t="s">
        <v>2229</v>
      </c>
      <c r="D365" s="200" t="s">
        <v>2230</v>
      </c>
      <c r="E365" s="201" t="s">
        <v>1160</v>
      </c>
      <c r="F365" s="551">
        <v>400</v>
      </c>
      <c r="G365" s="203">
        <f>+SUMIF('AUX-NIV1'!I:I,Recursos!C365,'AUX-NIV1'!Q:Q)+SUMIF('AUX-NIV2'!I:I,Recursos!C365,'AUX-NIV2'!Q:Q)+SUMIF('AUX-NIV3'!I:I,Recursos!C365,'AUX-NIV3'!Q:Q)</f>
        <v>0</v>
      </c>
      <c r="H365" s="204">
        <f t="shared" si="16"/>
        <v>0</v>
      </c>
      <c r="I365" s="366">
        <f t="shared" si="17"/>
        <v>0</v>
      </c>
      <c r="J365" s="474"/>
      <c r="L365" s="1610"/>
    </row>
    <row r="366" spans="2:66">
      <c r="B366" s="222"/>
      <c r="C366" s="206" t="s">
        <v>2231</v>
      </c>
      <c r="D366" s="200" t="s">
        <v>2232</v>
      </c>
      <c r="E366" s="201" t="s">
        <v>185</v>
      </c>
      <c r="F366" s="553">
        <v>242</v>
      </c>
      <c r="G366" s="203">
        <f>+SUMIF('AUX-NIV1'!I:I,Recursos!C366,'AUX-NIV1'!Q:Q)+SUMIF('AUX-NIV2'!I:I,Recursos!C366,'AUX-NIV2'!Q:Q)+SUMIF('AUX-NIV3'!I:I,Recursos!C366,'AUX-NIV3'!Q:Q)</f>
        <v>0</v>
      </c>
      <c r="H366" s="204">
        <f t="shared" si="16"/>
        <v>0</v>
      </c>
      <c r="I366" s="366">
        <f t="shared" si="17"/>
        <v>0</v>
      </c>
      <c r="J366" s="474"/>
      <c r="L366" s="83"/>
    </row>
    <row r="367" spans="2:66">
      <c r="B367" s="222"/>
      <c r="C367" s="206" t="s">
        <v>2233</v>
      </c>
      <c r="D367" s="200" t="s">
        <v>2234</v>
      </c>
      <c r="E367" s="201" t="s">
        <v>501</v>
      </c>
      <c r="F367" s="551">
        <v>153.13999999999999</v>
      </c>
      <c r="G367" s="203">
        <f>+SUMIF('AUX-NIV1'!I:I,Recursos!C367,'AUX-NIV1'!Q:Q)+SUMIF('AUX-NIV2'!I:I,Recursos!C367,'AUX-NIV2'!Q:Q)+SUMIF('AUX-NIV3'!I:I,Recursos!C367,'AUX-NIV3'!Q:Q)</f>
        <v>0</v>
      </c>
      <c r="H367" s="204">
        <f t="shared" si="16"/>
        <v>0</v>
      </c>
      <c r="I367" s="366">
        <f t="shared" si="17"/>
        <v>0</v>
      </c>
      <c r="J367" s="474"/>
      <c r="L367" s="83"/>
    </row>
    <row r="368" spans="2:66">
      <c r="B368" s="222"/>
      <c r="C368" s="206" t="s">
        <v>1795</v>
      </c>
      <c r="D368" s="200" t="s">
        <v>1796</v>
      </c>
      <c r="E368" s="201" t="s">
        <v>185</v>
      </c>
      <c r="F368" s="553">
        <v>50</v>
      </c>
      <c r="G368" s="203">
        <f>+SUMIF('AUX-NIV1'!I:I,Recursos!C368,'AUX-NIV1'!Q:Q)+SUMIF('AUX-NIV2'!I:I,Recursos!C368,'AUX-NIV2'!Q:Q)+SUMIF('AUX-NIV3'!I:I,Recursos!C368,'AUX-NIV3'!Q:Q)</f>
        <v>0</v>
      </c>
      <c r="H368" s="204">
        <f t="shared" si="16"/>
        <v>0</v>
      </c>
      <c r="I368" s="366">
        <f t="shared" si="17"/>
        <v>0</v>
      </c>
      <c r="J368" s="474"/>
      <c r="L368" s="83"/>
    </row>
    <row r="369" spans="2:12">
      <c r="B369" s="222"/>
      <c r="C369" s="206" t="s">
        <v>2235</v>
      </c>
      <c r="D369" s="200" t="s">
        <v>2236</v>
      </c>
      <c r="E369" s="201" t="s">
        <v>501</v>
      </c>
      <c r="F369" s="551">
        <v>56.04</v>
      </c>
      <c r="G369" s="203">
        <f>+SUMIF('AUX-NIV1'!I:I,Recursos!C369,'AUX-NIV1'!Q:Q)+SUMIF('AUX-NIV2'!I:I,Recursos!C369,'AUX-NIV2'!Q:Q)+SUMIF('AUX-NIV3'!I:I,Recursos!C369,'AUX-NIV3'!Q:Q)</f>
        <v>0</v>
      </c>
      <c r="H369" s="204">
        <f t="shared" si="16"/>
        <v>0</v>
      </c>
      <c r="I369" s="366">
        <f t="shared" si="17"/>
        <v>0</v>
      </c>
      <c r="J369" s="474"/>
      <c r="L369" s="83"/>
    </row>
    <row r="370" spans="2:12">
      <c r="B370" s="222"/>
      <c r="C370" s="206" t="s">
        <v>2237</v>
      </c>
      <c r="D370" s="200" t="s">
        <v>2238</v>
      </c>
      <c r="E370" s="201" t="s">
        <v>501</v>
      </c>
      <c r="F370" s="551">
        <v>72.900000000000006</v>
      </c>
      <c r="G370" s="203">
        <f>+SUMIF('AUX-NIV1'!I:I,Recursos!C370,'AUX-NIV1'!Q:Q)+SUMIF('AUX-NIV2'!I:I,Recursos!C370,'AUX-NIV2'!Q:Q)+SUMIF('AUX-NIV3'!I:I,Recursos!C370,'AUX-NIV3'!Q:Q)</f>
        <v>0</v>
      </c>
      <c r="H370" s="204">
        <f t="shared" si="16"/>
        <v>0</v>
      </c>
      <c r="I370" s="366">
        <f t="shared" si="17"/>
        <v>0</v>
      </c>
      <c r="J370" s="474"/>
      <c r="L370" s="83"/>
    </row>
    <row r="371" spans="2:12">
      <c r="B371" s="222"/>
      <c r="C371" s="206" t="s">
        <v>2239</v>
      </c>
      <c r="D371" s="200" t="s">
        <v>2240</v>
      </c>
      <c r="E371" s="201" t="s">
        <v>501</v>
      </c>
      <c r="F371" s="551">
        <v>167</v>
      </c>
      <c r="G371" s="203">
        <f>+SUMIF('AUX-NIV1'!I:I,Recursos!C371,'AUX-NIV1'!Q:Q)+SUMIF('AUX-NIV2'!I:I,Recursos!C371,'AUX-NIV2'!Q:Q)+SUMIF('AUX-NIV3'!I:I,Recursos!C371,'AUX-NIV3'!Q:Q)</f>
        <v>0</v>
      </c>
      <c r="H371" s="204">
        <f t="shared" si="16"/>
        <v>0</v>
      </c>
      <c r="I371" s="366">
        <f t="shared" si="17"/>
        <v>0</v>
      </c>
      <c r="J371" s="474"/>
      <c r="L371" s="83"/>
    </row>
    <row r="372" spans="2:12">
      <c r="B372" s="222"/>
      <c r="C372" s="206" t="s">
        <v>2241</v>
      </c>
      <c r="D372" s="200" t="s">
        <v>2242</v>
      </c>
      <c r="E372" s="201" t="s">
        <v>501</v>
      </c>
      <c r="F372" s="551">
        <v>58.26</v>
      </c>
      <c r="G372" s="203">
        <f>+SUMIF('AUX-NIV1'!I:I,Recursos!C372,'AUX-NIV1'!Q:Q)+SUMIF('AUX-NIV2'!I:I,Recursos!C372,'AUX-NIV2'!Q:Q)+SUMIF('AUX-NIV3'!I:I,Recursos!C372,'AUX-NIV3'!Q:Q)</f>
        <v>0</v>
      </c>
      <c r="H372" s="204">
        <f t="shared" si="16"/>
        <v>0</v>
      </c>
      <c r="I372" s="366">
        <f t="shared" si="17"/>
        <v>0</v>
      </c>
      <c r="J372" s="474"/>
      <c r="L372" s="83"/>
    </row>
    <row r="373" spans="2:12">
      <c r="B373" s="222"/>
      <c r="C373" s="206" t="s">
        <v>2243</v>
      </c>
      <c r="D373" s="200" t="s">
        <v>2244</v>
      </c>
      <c r="E373" s="201" t="s">
        <v>501</v>
      </c>
      <c r="F373" s="551">
        <v>59.1</v>
      </c>
      <c r="G373" s="203">
        <f>+SUMIF('AUX-NIV1'!I:I,Recursos!C373,'AUX-NIV1'!Q:Q)+SUMIF('AUX-NIV2'!I:I,Recursos!C373,'AUX-NIV2'!Q:Q)+SUMIF('AUX-NIV3'!I:I,Recursos!C373,'AUX-NIV3'!Q:Q)</f>
        <v>0</v>
      </c>
      <c r="H373" s="204">
        <f t="shared" si="16"/>
        <v>0</v>
      </c>
      <c r="I373" s="366">
        <f t="shared" si="17"/>
        <v>0</v>
      </c>
      <c r="J373" s="474"/>
      <c r="L373" s="83"/>
    </row>
    <row r="374" spans="2:12">
      <c r="B374" s="222"/>
      <c r="C374" s="206" t="s">
        <v>2245</v>
      </c>
      <c r="D374" s="200" t="s">
        <v>2246</v>
      </c>
      <c r="E374" s="201" t="s">
        <v>501</v>
      </c>
      <c r="F374" s="551">
        <v>54.44</v>
      </c>
      <c r="G374" s="203">
        <f>+SUMIF('AUX-NIV1'!I:I,Recursos!C374,'AUX-NIV1'!Q:Q)+SUMIF('AUX-NIV2'!I:I,Recursos!C374,'AUX-NIV2'!Q:Q)+SUMIF('AUX-NIV3'!I:I,Recursos!C374,'AUX-NIV3'!Q:Q)</f>
        <v>0</v>
      </c>
      <c r="H374" s="204">
        <f t="shared" si="16"/>
        <v>0</v>
      </c>
      <c r="I374" s="366">
        <f t="shared" si="17"/>
        <v>0</v>
      </c>
      <c r="J374" s="474"/>
      <c r="L374" s="83"/>
    </row>
    <row r="375" spans="2:12">
      <c r="B375" s="222"/>
      <c r="C375" s="206" t="s">
        <v>2247</v>
      </c>
      <c r="D375" s="200" t="s">
        <v>2248</v>
      </c>
      <c r="E375" s="201" t="s">
        <v>501</v>
      </c>
      <c r="F375" s="551">
        <v>62.83</v>
      </c>
      <c r="G375" s="203">
        <f>+SUMIF('AUX-NIV1'!I:I,Recursos!C375,'AUX-NIV1'!Q:Q)+SUMIF('AUX-NIV2'!I:I,Recursos!C375,'AUX-NIV2'!Q:Q)+SUMIF('AUX-NIV3'!I:I,Recursos!C375,'AUX-NIV3'!Q:Q)</f>
        <v>0</v>
      </c>
      <c r="H375" s="204">
        <f t="shared" si="16"/>
        <v>0</v>
      </c>
      <c r="I375" s="366">
        <f t="shared" si="17"/>
        <v>0</v>
      </c>
      <c r="J375" s="474"/>
      <c r="L375" s="83"/>
    </row>
    <row r="376" spans="2:12">
      <c r="B376" s="222"/>
      <c r="C376" s="206" t="s">
        <v>2249</v>
      </c>
      <c r="D376" s="200" t="s">
        <v>2250</v>
      </c>
      <c r="E376" s="201" t="s">
        <v>501</v>
      </c>
      <c r="F376" s="551">
        <v>55.43</v>
      </c>
      <c r="G376" s="203">
        <f>+SUMIF('AUX-NIV1'!I:I,Recursos!C376,'AUX-NIV1'!Q:Q)+SUMIF('AUX-NIV2'!I:I,Recursos!C376,'AUX-NIV2'!Q:Q)+SUMIF('AUX-NIV3'!I:I,Recursos!C376,'AUX-NIV3'!Q:Q)</f>
        <v>0</v>
      </c>
      <c r="H376" s="204">
        <f t="shared" si="16"/>
        <v>0</v>
      </c>
      <c r="I376" s="366">
        <f t="shared" si="17"/>
        <v>0</v>
      </c>
      <c r="J376" s="474"/>
      <c r="L376" s="83"/>
    </row>
    <row r="377" spans="2:12">
      <c r="B377" s="222"/>
      <c r="C377" s="206" t="s">
        <v>2251</v>
      </c>
      <c r="D377" s="200" t="s">
        <v>2252</v>
      </c>
      <c r="E377" s="201" t="s">
        <v>501</v>
      </c>
      <c r="F377" s="551">
        <v>57.13</v>
      </c>
      <c r="G377" s="203">
        <f>+SUMIF('AUX-NIV1'!I:I,Recursos!C377,'AUX-NIV1'!Q:Q)+SUMIF('AUX-NIV2'!I:I,Recursos!C377,'AUX-NIV2'!Q:Q)+SUMIF('AUX-NIV3'!I:I,Recursos!C377,'AUX-NIV3'!Q:Q)</f>
        <v>0</v>
      </c>
      <c r="H377" s="204">
        <f t="shared" si="16"/>
        <v>0</v>
      </c>
      <c r="I377" s="366">
        <f t="shared" si="17"/>
        <v>0</v>
      </c>
      <c r="J377" s="474"/>
      <c r="L377" s="83"/>
    </row>
    <row r="378" spans="2:12">
      <c r="B378" s="222"/>
      <c r="C378" s="206" t="s">
        <v>2253</v>
      </c>
      <c r="D378" s="200" t="s">
        <v>2254</v>
      </c>
      <c r="E378" s="201" t="s">
        <v>501</v>
      </c>
      <c r="F378" s="551">
        <v>75.349999999999994</v>
      </c>
      <c r="G378" s="203">
        <f>+SUMIF('AUX-NIV1'!I:I,Recursos!C378,'AUX-NIV1'!Q:Q)+SUMIF('AUX-NIV2'!I:I,Recursos!C378,'AUX-NIV2'!Q:Q)+SUMIF('AUX-NIV3'!I:I,Recursos!C378,'AUX-NIV3'!Q:Q)</f>
        <v>0</v>
      </c>
      <c r="H378" s="204">
        <f t="shared" si="16"/>
        <v>0</v>
      </c>
      <c r="I378" s="366">
        <f t="shared" si="17"/>
        <v>0</v>
      </c>
      <c r="J378" s="474"/>
      <c r="L378" s="83"/>
    </row>
    <row r="379" spans="2:12">
      <c r="B379" s="222"/>
      <c r="C379" s="206" t="s">
        <v>1797</v>
      </c>
      <c r="D379" s="200" t="s">
        <v>1798</v>
      </c>
      <c r="E379" s="201" t="s">
        <v>185</v>
      </c>
      <c r="F379" s="553">
        <v>90</v>
      </c>
      <c r="G379" s="203">
        <f>+SUMIF('AUX-NIV1'!I:I,Recursos!C379,'AUX-NIV1'!Q:Q)+SUMIF('AUX-NIV2'!I:I,Recursos!C379,'AUX-NIV2'!Q:Q)+SUMIF('AUX-NIV3'!I:I,Recursos!C379,'AUX-NIV3'!Q:Q)</f>
        <v>0</v>
      </c>
      <c r="H379" s="204">
        <f t="shared" si="16"/>
        <v>0</v>
      </c>
      <c r="I379" s="366">
        <f t="shared" si="17"/>
        <v>0</v>
      </c>
      <c r="J379" s="474"/>
      <c r="L379" s="83"/>
    </row>
    <row r="380" spans="2:12">
      <c r="B380" s="222"/>
      <c r="C380" s="206" t="s">
        <v>2255</v>
      </c>
      <c r="D380" s="200" t="s">
        <v>2256</v>
      </c>
      <c r="E380" s="201" t="s">
        <v>501</v>
      </c>
      <c r="F380" s="551">
        <v>111.15</v>
      </c>
      <c r="G380" s="203">
        <f>+SUMIF('AUX-NIV1'!I:I,Recursos!C380,'AUX-NIV1'!Q:Q)+SUMIF('AUX-NIV2'!I:I,Recursos!C380,'AUX-NIV2'!Q:Q)+SUMIF('AUX-NIV3'!I:I,Recursos!C380,'AUX-NIV3'!Q:Q)</f>
        <v>0</v>
      </c>
      <c r="H380" s="204">
        <f t="shared" si="16"/>
        <v>0</v>
      </c>
      <c r="I380" s="366">
        <f t="shared" si="17"/>
        <v>0</v>
      </c>
      <c r="J380" s="474"/>
      <c r="L380" s="83"/>
    </row>
    <row r="381" spans="2:12">
      <c r="B381" s="222"/>
      <c r="C381" s="206" t="s">
        <v>2257</v>
      </c>
      <c r="D381" s="200" t="s">
        <v>2258</v>
      </c>
      <c r="E381" s="201" t="s">
        <v>2259</v>
      </c>
      <c r="F381" s="551">
        <v>300</v>
      </c>
      <c r="G381" s="203">
        <f>+SUMIF('AUX-NIV1'!I:I,Recursos!C381,'AUX-NIV1'!Q:Q)+SUMIF('AUX-NIV2'!I:I,Recursos!C381,'AUX-NIV2'!Q:Q)+SUMIF('AUX-NIV3'!I:I,Recursos!C381,'AUX-NIV3'!Q:Q)</f>
        <v>0</v>
      </c>
      <c r="H381" s="204">
        <f t="shared" si="16"/>
        <v>0</v>
      </c>
      <c r="I381" s="366">
        <f t="shared" si="17"/>
        <v>0</v>
      </c>
      <c r="J381" s="474"/>
      <c r="L381" s="83"/>
    </row>
    <row r="382" spans="2:12">
      <c r="B382" s="222"/>
      <c r="C382" s="206" t="s">
        <v>2260</v>
      </c>
      <c r="D382" s="200" t="s">
        <v>612</v>
      </c>
      <c r="E382" s="201" t="s">
        <v>371</v>
      </c>
      <c r="F382" s="551">
        <v>450</v>
      </c>
      <c r="G382" s="203">
        <f>+SUMIF('AUX-NIV1'!I:I,Recursos!C382,'AUX-NIV1'!Q:Q)+SUMIF('AUX-NIV2'!I:I,Recursos!C382,'AUX-NIV2'!Q:Q)+SUMIF('AUX-NIV3'!I:I,Recursos!C382,'AUX-NIV3'!Q:Q)</f>
        <v>0</v>
      </c>
      <c r="H382" s="204">
        <f t="shared" si="16"/>
        <v>0</v>
      </c>
      <c r="I382" s="366">
        <f t="shared" si="17"/>
        <v>0</v>
      </c>
      <c r="J382" s="474"/>
      <c r="L382" s="83"/>
    </row>
    <row r="383" spans="2:12">
      <c r="B383" s="222"/>
      <c r="C383" s="206" t="s">
        <v>2261</v>
      </c>
      <c r="D383" s="200" t="s">
        <v>614</v>
      </c>
      <c r="E383" s="201" t="s">
        <v>371</v>
      </c>
      <c r="F383" s="551">
        <v>800</v>
      </c>
      <c r="G383" s="203">
        <f>+SUMIF('AUX-NIV1'!I:I,Recursos!C383,'AUX-NIV1'!Q:Q)+SUMIF('AUX-NIV2'!I:I,Recursos!C383,'AUX-NIV2'!Q:Q)+SUMIF('AUX-NIV3'!I:I,Recursos!C383,'AUX-NIV3'!Q:Q)</f>
        <v>0</v>
      </c>
      <c r="H383" s="204">
        <f t="shared" si="16"/>
        <v>0</v>
      </c>
      <c r="I383" s="366">
        <f t="shared" si="17"/>
        <v>0</v>
      </c>
      <c r="J383" s="474"/>
      <c r="L383" s="83"/>
    </row>
    <row r="384" spans="2:12">
      <c r="B384" s="222"/>
      <c r="C384" s="206" t="s">
        <v>2262</v>
      </c>
      <c r="D384" s="200" t="s">
        <v>616</v>
      </c>
      <c r="E384" s="201" t="s">
        <v>610</v>
      </c>
      <c r="F384" s="551">
        <v>0</v>
      </c>
      <c r="G384" s="203">
        <f>+SUMIF('AUX-NIV1'!I:I,Recursos!C384,'AUX-NIV1'!Q:Q)+SUMIF('AUX-NIV2'!I:I,Recursos!C384,'AUX-NIV2'!Q:Q)+SUMIF('AUX-NIV3'!I:I,Recursos!C384,'AUX-NIV3'!Q:Q)</f>
        <v>0</v>
      </c>
      <c r="H384" s="204">
        <f t="shared" si="16"/>
        <v>0</v>
      </c>
      <c r="I384" s="366">
        <f t="shared" si="17"/>
        <v>0</v>
      </c>
      <c r="J384" s="474"/>
      <c r="L384" s="83"/>
    </row>
    <row r="385" spans="2:67">
      <c r="B385" s="222"/>
      <c r="C385" s="206" t="s">
        <v>2263</v>
      </c>
      <c r="D385" s="200" t="s">
        <v>1445</v>
      </c>
      <c r="E385" s="201" t="s">
        <v>610</v>
      </c>
      <c r="F385" s="551">
        <v>62</v>
      </c>
      <c r="G385" s="203">
        <f>+SUMIF('AUX-NIV1'!I:I,Recursos!C385,'AUX-NIV1'!Q:Q)+SUMIF('AUX-NIV2'!I:I,Recursos!C385,'AUX-NIV2'!Q:Q)+SUMIF('AUX-NIV3'!I:I,Recursos!C385,'AUX-NIV3'!Q:Q)</f>
        <v>0</v>
      </c>
      <c r="H385" s="204">
        <f t="shared" si="16"/>
        <v>0</v>
      </c>
      <c r="I385" s="366">
        <f t="shared" si="17"/>
        <v>0</v>
      </c>
      <c r="J385" s="474"/>
      <c r="L385" s="83"/>
    </row>
    <row r="386" spans="2:67">
      <c r="B386" s="222"/>
      <c r="C386" s="206" t="s">
        <v>2264</v>
      </c>
      <c r="D386" s="200" t="s">
        <v>1446</v>
      </c>
      <c r="E386" s="201" t="s">
        <v>610</v>
      </c>
      <c r="F386" s="551">
        <v>80</v>
      </c>
      <c r="G386" s="203">
        <f>+SUMIF('AUX-NIV1'!I:I,Recursos!C386,'AUX-NIV1'!Q:Q)+SUMIF('AUX-NIV2'!I:I,Recursos!C386,'AUX-NIV2'!Q:Q)+SUMIF('AUX-NIV3'!I:I,Recursos!C386,'AUX-NIV3'!Q:Q)</f>
        <v>0</v>
      </c>
      <c r="H386" s="204">
        <f t="shared" si="16"/>
        <v>0</v>
      </c>
      <c r="I386" s="366">
        <f t="shared" si="17"/>
        <v>0</v>
      </c>
      <c r="J386" s="474"/>
      <c r="L386" s="83"/>
    </row>
    <row r="387" spans="2:67">
      <c r="B387" s="222"/>
      <c r="C387" s="206" t="s">
        <v>2265</v>
      </c>
      <c r="D387" s="200" t="s">
        <v>1447</v>
      </c>
      <c r="E387" s="201" t="s">
        <v>610</v>
      </c>
      <c r="F387" s="551">
        <v>92</v>
      </c>
      <c r="G387" s="203">
        <f>+SUMIF('AUX-NIV1'!I:I,Recursos!C387,'AUX-NIV1'!Q:Q)+SUMIF('AUX-NIV2'!I:I,Recursos!C387,'AUX-NIV2'!Q:Q)+SUMIF('AUX-NIV3'!I:I,Recursos!C387,'AUX-NIV3'!Q:Q)</f>
        <v>0</v>
      </c>
      <c r="H387" s="204">
        <f t="shared" si="16"/>
        <v>0</v>
      </c>
      <c r="I387" s="366">
        <f t="shared" si="17"/>
        <v>0</v>
      </c>
      <c r="J387" s="474"/>
      <c r="L387" s="83"/>
    </row>
    <row r="388" spans="2:67">
      <c r="B388" s="222"/>
      <c r="C388" s="206" t="s">
        <v>2266</v>
      </c>
      <c r="D388" s="200" t="s">
        <v>1448</v>
      </c>
      <c r="E388" s="201" t="s">
        <v>610</v>
      </c>
      <c r="F388" s="551">
        <v>105</v>
      </c>
      <c r="G388" s="203">
        <f>+SUMIF('AUX-NIV1'!I:I,Recursos!C388,'AUX-NIV1'!Q:Q)+SUMIF('AUX-NIV2'!I:I,Recursos!C388,'AUX-NIV2'!Q:Q)+SUMIF('AUX-NIV3'!I:I,Recursos!C388,'AUX-NIV3'!Q:Q)</f>
        <v>0</v>
      </c>
      <c r="H388" s="204">
        <f t="shared" si="16"/>
        <v>0</v>
      </c>
      <c r="I388" s="366">
        <f t="shared" si="17"/>
        <v>0</v>
      </c>
      <c r="J388" s="474"/>
      <c r="L388" s="83"/>
    </row>
    <row r="389" spans="2:67">
      <c r="B389" s="222"/>
      <c r="C389" s="206" t="s">
        <v>2267</v>
      </c>
      <c r="D389" s="200" t="s">
        <v>2268</v>
      </c>
      <c r="E389" s="201" t="s">
        <v>610</v>
      </c>
      <c r="F389" s="551">
        <v>75</v>
      </c>
      <c r="G389" s="203">
        <f>+SUMIF('AUX-NIV1'!I:I,Recursos!C389,'AUX-NIV1'!Q:Q)+SUMIF('AUX-NIV2'!I:I,Recursos!C389,'AUX-NIV2'!Q:Q)+SUMIF('AUX-NIV3'!I:I,Recursos!C389,'AUX-NIV3'!Q:Q)</f>
        <v>0</v>
      </c>
      <c r="H389" s="204">
        <f t="shared" si="16"/>
        <v>0</v>
      </c>
      <c r="I389" s="366">
        <f t="shared" si="17"/>
        <v>0</v>
      </c>
      <c r="J389" s="474"/>
      <c r="L389" s="83"/>
    </row>
    <row r="390" spans="2:67">
      <c r="B390" s="222"/>
      <c r="C390" s="206" t="s">
        <v>1799</v>
      </c>
      <c r="D390" s="207" t="s">
        <v>1800</v>
      </c>
      <c r="E390" s="201" t="s">
        <v>546</v>
      </c>
      <c r="F390" s="551">
        <f>890/1.21</f>
        <v>735.53719008264466</v>
      </c>
      <c r="G390" s="203">
        <f>+SUMIF('AUX-NIV1'!I:I,Recursos!C390,'AUX-NIV1'!Q:Q)+SUMIF('AUX-NIV2'!I:I,Recursos!C390,'AUX-NIV2'!Q:Q)+SUMIF('AUX-NIV3'!I:I,Recursos!C390,'AUX-NIV3'!Q:Q)</f>
        <v>0</v>
      </c>
      <c r="H390" s="204">
        <f t="shared" si="16"/>
        <v>0</v>
      </c>
      <c r="I390" s="366">
        <f t="shared" si="17"/>
        <v>0</v>
      </c>
      <c r="J390" s="474"/>
      <c r="L390" s="1610"/>
      <c r="BO390" s="912"/>
    </row>
    <row r="391" spans="2:67">
      <c r="B391" s="222"/>
      <c r="C391" s="206" t="s">
        <v>2269</v>
      </c>
      <c r="D391" s="200" t="s">
        <v>2270</v>
      </c>
      <c r="E391" s="201" t="s">
        <v>610</v>
      </c>
      <c r="F391" s="551">
        <v>75</v>
      </c>
      <c r="G391" s="203">
        <f>+SUMIF('AUX-NIV1'!I:I,Recursos!C391,'AUX-NIV1'!Q:Q)+SUMIF('AUX-NIV2'!I:I,Recursos!C391,'AUX-NIV2'!Q:Q)+SUMIF('AUX-NIV3'!I:I,Recursos!C391,'AUX-NIV3'!Q:Q)</f>
        <v>0</v>
      </c>
      <c r="H391" s="204">
        <f t="shared" si="16"/>
        <v>0</v>
      </c>
      <c r="I391" s="366">
        <f t="shared" si="17"/>
        <v>0</v>
      </c>
      <c r="J391" s="474"/>
      <c r="L391" s="83"/>
    </row>
    <row r="392" spans="2:67">
      <c r="B392" s="222"/>
      <c r="C392" s="206" t="s">
        <v>2271</v>
      </c>
      <c r="D392" s="200" t="s">
        <v>2272</v>
      </c>
      <c r="E392" s="201" t="s">
        <v>610</v>
      </c>
      <c r="F392" s="551">
        <v>110</v>
      </c>
      <c r="G392" s="203">
        <f>+SUMIF('AUX-NIV1'!I:I,Recursos!C392,'AUX-NIV1'!Q:Q)+SUMIF('AUX-NIV2'!I:I,Recursos!C392,'AUX-NIV2'!Q:Q)+SUMIF('AUX-NIV3'!I:I,Recursos!C392,'AUX-NIV3'!Q:Q)</f>
        <v>0</v>
      </c>
      <c r="H392" s="204">
        <f t="shared" si="16"/>
        <v>0</v>
      </c>
      <c r="I392" s="366">
        <f t="shared" si="17"/>
        <v>0</v>
      </c>
      <c r="J392" s="474"/>
      <c r="L392" s="83"/>
    </row>
    <row r="393" spans="2:67">
      <c r="B393" s="222"/>
      <c r="C393" s="206" t="s">
        <v>2273</v>
      </c>
      <c r="D393" s="200" t="s">
        <v>2274</v>
      </c>
      <c r="E393" s="201" t="s">
        <v>610</v>
      </c>
      <c r="F393" s="551">
        <v>150</v>
      </c>
      <c r="G393" s="203">
        <f>+SUMIF('AUX-NIV1'!I:I,Recursos!C393,'AUX-NIV1'!Q:Q)+SUMIF('AUX-NIV2'!I:I,Recursos!C393,'AUX-NIV2'!Q:Q)+SUMIF('AUX-NIV3'!I:I,Recursos!C393,'AUX-NIV3'!Q:Q)</f>
        <v>0</v>
      </c>
      <c r="H393" s="204">
        <f t="shared" si="16"/>
        <v>0</v>
      </c>
      <c r="I393" s="366">
        <f t="shared" si="17"/>
        <v>0</v>
      </c>
      <c r="J393" s="474"/>
      <c r="L393" s="83"/>
    </row>
    <row r="394" spans="2:67">
      <c r="B394" s="222"/>
      <c r="C394" s="206" t="s">
        <v>2275</v>
      </c>
      <c r="D394" s="200" t="s">
        <v>1441</v>
      </c>
      <c r="E394" s="201" t="s">
        <v>610</v>
      </c>
      <c r="F394" s="551">
        <v>165</v>
      </c>
      <c r="G394" s="203">
        <f>+SUMIF('AUX-NIV1'!I:I,Recursos!C394,'AUX-NIV1'!Q:Q)+SUMIF('AUX-NIV2'!I:I,Recursos!C394,'AUX-NIV2'!Q:Q)+SUMIF('AUX-NIV3'!I:I,Recursos!C394,'AUX-NIV3'!Q:Q)</f>
        <v>0</v>
      </c>
      <c r="H394" s="204">
        <f t="shared" si="16"/>
        <v>0</v>
      </c>
      <c r="I394" s="366">
        <f t="shared" si="17"/>
        <v>0</v>
      </c>
      <c r="J394" s="474"/>
      <c r="L394" s="83"/>
    </row>
    <row r="395" spans="2:67">
      <c r="B395" s="222"/>
      <c r="C395" s="206" t="s">
        <v>2276</v>
      </c>
      <c r="D395" s="200" t="s">
        <v>2277</v>
      </c>
      <c r="E395" s="201" t="s">
        <v>610</v>
      </c>
      <c r="F395" s="551">
        <v>186.3</v>
      </c>
      <c r="G395" s="203">
        <f>+SUMIF('AUX-NIV1'!I:I,Recursos!C395,'AUX-NIV1'!Q:Q)+SUMIF('AUX-NIV2'!I:I,Recursos!C395,'AUX-NIV2'!Q:Q)+SUMIF('AUX-NIV3'!I:I,Recursos!C395,'AUX-NIV3'!Q:Q)</f>
        <v>0</v>
      </c>
      <c r="H395" s="204">
        <f t="shared" si="16"/>
        <v>0</v>
      </c>
      <c r="I395" s="366">
        <f t="shared" si="17"/>
        <v>0</v>
      </c>
      <c r="J395" s="474"/>
      <c r="L395" s="83"/>
    </row>
    <row r="396" spans="2:67">
      <c r="B396" s="222"/>
      <c r="C396" s="206" t="s">
        <v>2278</v>
      </c>
      <c r="D396" s="200" t="s">
        <v>2279</v>
      </c>
      <c r="E396" s="201" t="s">
        <v>610</v>
      </c>
      <c r="F396" s="551">
        <v>270</v>
      </c>
      <c r="G396" s="203">
        <f>+SUMIF('AUX-NIV1'!I:I,Recursos!C396,'AUX-NIV1'!Q:Q)+SUMIF('AUX-NIV2'!I:I,Recursos!C396,'AUX-NIV2'!Q:Q)+SUMIF('AUX-NIV3'!I:I,Recursos!C396,'AUX-NIV3'!Q:Q)</f>
        <v>0</v>
      </c>
      <c r="H396" s="204">
        <f t="shared" si="16"/>
        <v>0</v>
      </c>
      <c r="I396" s="366">
        <f t="shared" si="17"/>
        <v>0</v>
      </c>
      <c r="J396" s="474"/>
      <c r="L396" s="83"/>
    </row>
    <row r="397" spans="2:67">
      <c r="B397" s="222"/>
      <c r="C397" s="206" t="s">
        <v>2280</v>
      </c>
      <c r="D397" s="200" t="s">
        <v>2281</v>
      </c>
      <c r="E397" s="201" t="s">
        <v>610</v>
      </c>
      <c r="F397" s="551">
        <v>200</v>
      </c>
      <c r="G397" s="203">
        <f>+SUMIF('AUX-NIV1'!I:I,Recursos!C397,'AUX-NIV1'!Q:Q)+SUMIF('AUX-NIV2'!I:I,Recursos!C397,'AUX-NIV2'!Q:Q)+SUMIF('AUX-NIV3'!I:I,Recursos!C397,'AUX-NIV3'!Q:Q)</f>
        <v>0</v>
      </c>
      <c r="H397" s="204">
        <f t="shared" si="16"/>
        <v>0</v>
      </c>
      <c r="I397" s="366">
        <f t="shared" si="17"/>
        <v>0</v>
      </c>
      <c r="J397" s="474"/>
      <c r="L397" s="83"/>
    </row>
    <row r="398" spans="2:67">
      <c r="B398" s="222"/>
      <c r="C398" s="206" t="s">
        <v>2282</v>
      </c>
      <c r="D398" s="200" t="s">
        <v>2283</v>
      </c>
      <c r="E398" s="201" t="s">
        <v>610</v>
      </c>
      <c r="F398" s="551">
        <v>400</v>
      </c>
      <c r="G398" s="203">
        <f>+SUMIF('AUX-NIV1'!I:I,Recursos!C398,'AUX-NIV1'!Q:Q)+SUMIF('AUX-NIV2'!I:I,Recursos!C398,'AUX-NIV2'!Q:Q)+SUMIF('AUX-NIV3'!I:I,Recursos!C398,'AUX-NIV3'!Q:Q)</f>
        <v>0</v>
      </c>
      <c r="H398" s="204">
        <f t="shared" si="16"/>
        <v>0</v>
      </c>
      <c r="I398" s="366">
        <f t="shared" si="17"/>
        <v>0</v>
      </c>
      <c r="J398" s="474"/>
      <c r="L398" s="83"/>
    </row>
    <row r="399" spans="2:67">
      <c r="B399" s="222"/>
      <c r="C399" s="206" t="s">
        <v>2284</v>
      </c>
      <c r="D399" s="200" t="s">
        <v>2285</v>
      </c>
      <c r="E399" s="201" t="s">
        <v>610</v>
      </c>
      <c r="F399" s="551">
        <v>342.79199999999997</v>
      </c>
      <c r="G399" s="203">
        <f>+SUMIF('AUX-NIV1'!I:I,Recursos!C399,'AUX-NIV1'!Q:Q)+SUMIF('AUX-NIV2'!I:I,Recursos!C399,'AUX-NIV2'!Q:Q)+SUMIF('AUX-NIV3'!I:I,Recursos!C399,'AUX-NIV3'!Q:Q)</f>
        <v>0</v>
      </c>
      <c r="H399" s="204">
        <f t="shared" si="16"/>
        <v>0</v>
      </c>
      <c r="I399" s="366">
        <f t="shared" si="17"/>
        <v>0</v>
      </c>
      <c r="J399" s="474"/>
      <c r="L399" s="83"/>
    </row>
    <row r="400" spans="2:67">
      <c r="B400" s="222"/>
      <c r="C400" s="206" t="s">
        <v>2286</v>
      </c>
      <c r="D400" s="200" t="s">
        <v>2287</v>
      </c>
      <c r="E400" s="201" t="s">
        <v>610</v>
      </c>
      <c r="F400" s="551">
        <v>285.66000000000003</v>
      </c>
      <c r="G400" s="203">
        <f>+SUMIF('AUX-NIV1'!I:I,Recursos!C400,'AUX-NIV1'!Q:Q)+SUMIF('AUX-NIV2'!I:I,Recursos!C400,'AUX-NIV2'!Q:Q)+SUMIF('AUX-NIV3'!I:I,Recursos!C400,'AUX-NIV3'!Q:Q)</f>
        <v>0</v>
      </c>
      <c r="H400" s="204">
        <f t="shared" si="16"/>
        <v>0</v>
      </c>
      <c r="I400" s="366">
        <f t="shared" si="17"/>
        <v>0</v>
      </c>
      <c r="J400" s="474"/>
      <c r="L400" s="83"/>
    </row>
    <row r="401" spans="2:12">
      <c r="B401" s="222"/>
      <c r="C401" s="206" t="s">
        <v>1801</v>
      </c>
      <c r="D401" s="200" t="s">
        <v>1802</v>
      </c>
      <c r="E401" s="201" t="s">
        <v>610</v>
      </c>
      <c r="F401" s="551">
        <v>67500</v>
      </c>
      <c r="G401" s="203">
        <f>+SUMIF('AUX-NIV1'!I:I,Recursos!C401,'AUX-NIV1'!Q:Q)+SUMIF('AUX-NIV2'!I:I,Recursos!C401,'AUX-NIV2'!Q:Q)+SUMIF('AUX-NIV3'!I:I,Recursos!C401,'AUX-NIV3'!Q:Q)</f>
        <v>0</v>
      </c>
      <c r="H401" s="204">
        <f t="shared" ref="H401:H464" si="28">+F401*G401</f>
        <v>0</v>
      </c>
      <c r="I401" s="366">
        <f t="shared" si="17"/>
        <v>0</v>
      </c>
      <c r="J401" s="474"/>
      <c r="L401" s="83"/>
    </row>
    <row r="402" spans="2:12">
      <c r="B402" s="222"/>
      <c r="C402" s="206" t="s">
        <v>2288</v>
      </c>
      <c r="D402" s="200" t="s">
        <v>1442</v>
      </c>
      <c r="E402" s="201" t="s">
        <v>610</v>
      </c>
      <c r="F402" s="551">
        <v>250</v>
      </c>
      <c r="G402" s="203">
        <f>+SUMIF('AUX-NIV1'!I:I,Recursos!C402,'AUX-NIV1'!Q:Q)+SUMIF('AUX-NIV2'!I:I,Recursos!C402,'AUX-NIV2'!Q:Q)+SUMIF('AUX-NIV3'!I:I,Recursos!C402,'AUX-NIV3'!Q:Q)</f>
        <v>0</v>
      </c>
      <c r="H402" s="204">
        <f t="shared" si="28"/>
        <v>0</v>
      </c>
      <c r="I402" s="366">
        <f t="shared" si="17"/>
        <v>0</v>
      </c>
      <c r="J402" s="474"/>
      <c r="L402" s="83"/>
    </row>
    <row r="403" spans="2:12">
      <c r="B403" s="222"/>
      <c r="C403" s="206" t="s">
        <v>2289</v>
      </c>
      <c r="D403" s="200" t="s">
        <v>2290</v>
      </c>
      <c r="E403" s="201" t="s">
        <v>610</v>
      </c>
      <c r="F403" s="551">
        <v>310.5</v>
      </c>
      <c r="G403" s="203">
        <f>+SUMIF('AUX-NIV1'!I:I,Recursos!C403,'AUX-NIV1'!Q:Q)+SUMIF('AUX-NIV2'!I:I,Recursos!C403,'AUX-NIV2'!Q:Q)+SUMIF('AUX-NIV3'!I:I,Recursos!C403,'AUX-NIV3'!Q:Q)</f>
        <v>0</v>
      </c>
      <c r="H403" s="204">
        <f t="shared" si="28"/>
        <v>0</v>
      </c>
      <c r="I403" s="366">
        <f t="shared" si="17"/>
        <v>0</v>
      </c>
      <c r="J403" s="474"/>
      <c r="L403" s="83"/>
    </row>
    <row r="404" spans="2:12">
      <c r="B404" s="222"/>
      <c r="C404" s="206" t="s">
        <v>2291</v>
      </c>
      <c r="D404" s="200" t="s">
        <v>2292</v>
      </c>
      <c r="E404" s="201" t="s">
        <v>610</v>
      </c>
      <c r="F404" s="551">
        <v>60</v>
      </c>
      <c r="G404" s="203">
        <f>+SUMIF('AUX-NIV1'!I:I,Recursos!C404,'AUX-NIV1'!Q:Q)+SUMIF('AUX-NIV2'!I:I,Recursos!C404,'AUX-NIV2'!Q:Q)+SUMIF('AUX-NIV3'!I:I,Recursos!C404,'AUX-NIV3'!Q:Q)</f>
        <v>0</v>
      </c>
      <c r="H404" s="204">
        <f t="shared" si="28"/>
        <v>0</v>
      </c>
      <c r="I404" s="366">
        <f t="shared" si="17"/>
        <v>0</v>
      </c>
      <c r="J404" s="474"/>
      <c r="L404" s="83"/>
    </row>
    <row r="405" spans="2:12">
      <c r="B405" s="222"/>
      <c r="C405" s="206" t="s">
        <v>2293</v>
      </c>
      <c r="D405" s="200" t="s">
        <v>1443</v>
      </c>
      <c r="E405" s="201" t="s">
        <v>610</v>
      </c>
      <c r="F405" s="551">
        <v>65</v>
      </c>
      <c r="G405" s="203">
        <f>+SUMIF('AUX-NIV1'!I:I,Recursos!C405,'AUX-NIV1'!Q:Q)+SUMIF('AUX-NIV2'!I:I,Recursos!C405,'AUX-NIV2'!Q:Q)+SUMIF('AUX-NIV3'!I:I,Recursos!C405,'AUX-NIV3'!Q:Q)</f>
        <v>0</v>
      </c>
      <c r="H405" s="204">
        <f t="shared" si="28"/>
        <v>0</v>
      </c>
      <c r="I405" s="366">
        <f t="shared" si="17"/>
        <v>0</v>
      </c>
      <c r="J405" s="474"/>
      <c r="L405" s="83"/>
    </row>
    <row r="406" spans="2:12">
      <c r="B406" s="222"/>
      <c r="C406" s="206" t="s">
        <v>2294</v>
      </c>
      <c r="D406" s="200" t="s">
        <v>2295</v>
      </c>
      <c r="E406" s="201" t="s">
        <v>610</v>
      </c>
      <c r="F406" s="551">
        <v>80</v>
      </c>
      <c r="G406" s="203">
        <f>+SUMIF('AUX-NIV1'!I:I,Recursos!C406,'AUX-NIV1'!Q:Q)+SUMIF('AUX-NIV2'!I:I,Recursos!C406,'AUX-NIV2'!Q:Q)+SUMIF('AUX-NIV3'!I:I,Recursos!C406,'AUX-NIV3'!Q:Q)</f>
        <v>0</v>
      </c>
      <c r="H406" s="204">
        <f t="shared" si="28"/>
        <v>0</v>
      </c>
      <c r="I406" s="366">
        <f t="shared" ref="I406:I469" si="29">+H406/$I$3</f>
        <v>0</v>
      </c>
      <c r="J406" s="474"/>
      <c r="L406" s="83"/>
    </row>
    <row r="407" spans="2:12">
      <c r="B407" s="222"/>
      <c r="C407" s="206" t="s">
        <v>2296</v>
      </c>
      <c r="D407" s="200" t="s">
        <v>2297</v>
      </c>
      <c r="E407" s="201" t="s">
        <v>610</v>
      </c>
      <c r="F407" s="551">
        <v>350</v>
      </c>
      <c r="G407" s="203">
        <f>+SUMIF('AUX-NIV1'!I:I,Recursos!C407,'AUX-NIV1'!Q:Q)+SUMIF('AUX-NIV2'!I:I,Recursos!C407,'AUX-NIV2'!Q:Q)+SUMIF('AUX-NIV3'!I:I,Recursos!C407,'AUX-NIV3'!Q:Q)</f>
        <v>0</v>
      </c>
      <c r="H407" s="204">
        <f t="shared" si="28"/>
        <v>0</v>
      </c>
      <c r="I407" s="366">
        <f t="shared" si="29"/>
        <v>0</v>
      </c>
      <c r="J407" s="474"/>
      <c r="L407" s="83"/>
    </row>
    <row r="408" spans="2:12">
      <c r="B408" s="222"/>
      <c r="C408" s="206" t="s">
        <v>2298</v>
      </c>
      <c r="D408" s="200" t="s">
        <v>2299</v>
      </c>
      <c r="E408" s="201" t="s">
        <v>610</v>
      </c>
      <c r="F408" s="551">
        <v>300</v>
      </c>
      <c r="G408" s="203">
        <f>+SUMIF('AUX-NIV1'!I:I,Recursos!C408,'AUX-NIV1'!Q:Q)+SUMIF('AUX-NIV2'!I:I,Recursos!C408,'AUX-NIV2'!Q:Q)+SUMIF('AUX-NIV3'!I:I,Recursos!C408,'AUX-NIV3'!Q:Q)</f>
        <v>0</v>
      </c>
      <c r="H408" s="204">
        <f t="shared" si="28"/>
        <v>0</v>
      </c>
      <c r="I408" s="366">
        <f t="shared" si="29"/>
        <v>0</v>
      </c>
      <c r="J408" s="474"/>
      <c r="L408" s="83"/>
    </row>
    <row r="409" spans="2:12">
      <c r="B409" s="222"/>
      <c r="C409" s="206" t="s">
        <v>2300</v>
      </c>
      <c r="D409" s="200" t="s">
        <v>1444</v>
      </c>
      <c r="E409" s="201" t="s">
        <v>610</v>
      </c>
      <c r="F409" s="551">
        <v>250</v>
      </c>
      <c r="G409" s="203">
        <f>+SUMIF('AUX-NIV1'!I:I,Recursos!C409,'AUX-NIV1'!Q:Q)+SUMIF('AUX-NIV2'!I:I,Recursos!C409,'AUX-NIV2'!Q:Q)+SUMIF('AUX-NIV3'!I:I,Recursos!C409,'AUX-NIV3'!Q:Q)</f>
        <v>0</v>
      </c>
      <c r="H409" s="204">
        <f t="shared" si="28"/>
        <v>0</v>
      </c>
      <c r="I409" s="366">
        <f t="shared" si="29"/>
        <v>0</v>
      </c>
      <c r="J409" s="474"/>
      <c r="L409" s="83"/>
    </row>
    <row r="410" spans="2:12">
      <c r="B410" s="222"/>
      <c r="C410" s="206" t="s">
        <v>2301</v>
      </c>
      <c r="D410" s="200" t="s">
        <v>2302</v>
      </c>
      <c r="E410" s="201" t="s">
        <v>610</v>
      </c>
      <c r="F410" s="551">
        <v>250</v>
      </c>
      <c r="G410" s="203">
        <f>+SUMIF('AUX-NIV1'!I:I,Recursos!C410,'AUX-NIV1'!Q:Q)+SUMIF('AUX-NIV2'!I:I,Recursos!C410,'AUX-NIV2'!Q:Q)+SUMIF('AUX-NIV3'!I:I,Recursos!C410,'AUX-NIV3'!Q:Q)</f>
        <v>0</v>
      </c>
      <c r="H410" s="204">
        <f t="shared" si="28"/>
        <v>0</v>
      </c>
      <c r="I410" s="366">
        <f t="shared" si="29"/>
        <v>0</v>
      </c>
      <c r="J410" s="474"/>
      <c r="L410" s="83"/>
    </row>
    <row r="411" spans="2:12">
      <c r="B411" s="222"/>
      <c r="C411" s="206" t="s">
        <v>2303</v>
      </c>
      <c r="D411" s="200" t="s">
        <v>2304</v>
      </c>
      <c r="E411" s="201" t="s">
        <v>610</v>
      </c>
      <c r="F411" s="551">
        <v>170</v>
      </c>
      <c r="G411" s="203">
        <f>+SUMIF('AUX-NIV1'!I:I,Recursos!C411,'AUX-NIV1'!Q:Q)+SUMIF('AUX-NIV2'!I:I,Recursos!C411,'AUX-NIV2'!Q:Q)+SUMIF('AUX-NIV3'!I:I,Recursos!C411,'AUX-NIV3'!Q:Q)</f>
        <v>0</v>
      </c>
      <c r="H411" s="204">
        <f t="shared" si="28"/>
        <v>0</v>
      </c>
      <c r="I411" s="366">
        <f t="shared" si="29"/>
        <v>0</v>
      </c>
      <c r="J411" s="474"/>
      <c r="L411" s="83"/>
    </row>
    <row r="412" spans="2:12">
      <c r="B412" s="222"/>
      <c r="C412" s="206" t="s">
        <v>1803</v>
      </c>
      <c r="D412" s="200" t="s">
        <v>1804</v>
      </c>
      <c r="E412" s="201" t="s">
        <v>1782</v>
      </c>
      <c r="F412" s="551">
        <v>30</v>
      </c>
      <c r="G412" s="203">
        <f>+SUMIF('AUX-NIV1'!I:I,Recursos!C412,'AUX-NIV1'!Q:Q)+SUMIF('AUX-NIV2'!I:I,Recursos!C412,'AUX-NIV2'!Q:Q)+SUMIF('AUX-NIV3'!I:I,Recursos!C412,'AUX-NIV3'!Q:Q)</f>
        <v>0</v>
      </c>
      <c r="H412" s="204">
        <f t="shared" si="28"/>
        <v>0</v>
      </c>
      <c r="I412" s="366">
        <f t="shared" si="29"/>
        <v>0</v>
      </c>
      <c r="J412" s="474"/>
      <c r="L412" s="83"/>
    </row>
    <row r="413" spans="2:12">
      <c r="B413" s="222"/>
      <c r="C413" s="206" t="s">
        <v>2305</v>
      </c>
      <c r="D413" s="200" t="s">
        <v>2306</v>
      </c>
      <c r="E413" s="201" t="s">
        <v>610</v>
      </c>
      <c r="F413" s="551">
        <v>160</v>
      </c>
      <c r="G413" s="203">
        <f>+SUMIF('AUX-NIV1'!I:I,Recursos!C413,'AUX-NIV1'!Q:Q)+SUMIF('AUX-NIV2'!I:I,Recursos!C413,'AUX-NIV2'!Q:Q)+SUMIF('AUX-NIV3'!I:I,Recursos!C413,'AUX-NIV3'!Q:Q)</f>
        <v>0</v>
      </c>
      <c r="H413" s="204">
        <f t="shared" si="28"/>
        <v>0</v>
      </c>
      <c r="I413" s="366">
        <f t="shared" si="29"/>
        <v>0</v>
      </c>
      <c r="J413" s="474"/>
      <c r="L413" s="83"/>
    </row>
    <row r="414" spans="2:12">
      <c r="B414" s="222"/>
      <c r="C414" s="206" t="s">
        <v>2307</v>
      </c>
      <c r="D414" s="200" t="s">
        <v>414</v>
      </c>
      <c r="E414" s="201" t="s">
        <v>477</v>
      </c>
      <c r="F414" s="551">
        <v>40</v>
      </c>
      <c r="G414" s="203">
        <f>+SUMIF('AUX-NIV1'!I:I,Recursos!C414,'AUX-NIV1'!Q:Q)+SUMIF('AUX-NIV2'!I:I,Recursos!C414,'AUX-NIV2'!Q:Q)+SUMIF('AUX-NIV3'!I:I,Recursos!C414,'AUX-NIV3'!Q:Q)</f>
        <v>0</v>
      </c>
      <c r="H414" s="204">
        <f t="shared" si="28"/>
        <v>0</v>
      </c>
      <c r="I414" s="366">
        <f t="shared" si="29"/>
        <v>0</v>
      </c>
      <c r="J414" s="474"/>
      <c r="L414" s="83"/>
    </row>
    <row r="415" spans="2:12">
      <c r="B415" s="222"/>
      <c r="C415" s="206" t="s">
        <v>2308</v>
      </c>
      <c r="D415" s="200" t="s">
        <v>618</v>
      </c>
      <c r="E415" s="201" t="s">
        <v>477</v>
      </c>
      <c r="F415" s="551">
        <f>86*usd</f>
        <v>8776.2999999999993</v>
      </c>
      <c r="G415" s="203">
        <f>+SUMIF('AUX-NIV1'!I:I,Recursos!C415,'AUX-NIV1'!Q:Q)+SUMIF('AUX-NIV2'!I:I,Recursos!C415,'AUX-NIV2'!Q:Q)+SUMIF('AUX-NIV3'!I:I,Recursos!C415,'AUX-NIV3'!Q:Q)</f>
        <v>0</v>
      </c>
      <c r="H415" s="204">
        <f t="shared" si="28"/>
        <v>0</v>
      </c>
      <c r="I415" s="366">
        <f t="shared" si="29"/>
        <v>0</v>
      </c>
      <c r="J415" s="474"/>
      <c r="L415" s="83"/>
    </row>
    <row r="416" spans="2:12">
      <c r="B416" s="222"/>
      <c r="C416" s="206" t="s">
        <v>2309</v>
      </c>
      <c r="D416" s="200" t="s">
        <v>2310</v>
      </c>
      <c r="E416" s="201" t="s">
        <v>450</v>
      </c>
      <c r="F416" s="551">
        <v>326.60000000000002</v>
      </c>
      <c r="G416" s="203">
        <f>+SUMIF('AUX-NIV1'!I:I,Recursos!C416,'AUX-NIV1'!Q:Q)+SUMIF('AUX-NIV2'!I:I,Recursos!C416,'AUX-NIV2'!Q:Q)+SUMIF('AUX-NIV3'!I:I,Recursos!C416,'AUX-NIV3'!Q:Q)</f>
        <v>0</v>
      </c>
      <c r="H416" s="204">
        <f t="shared" si="28"/>
        <v>0</v>
      </c>
      <c r="I416" s="366">
        <f t="shared" si="29"/>
        <v>0</v>
      </c>
      <c r="J416" s="474"/>
      <c r="L416" s="83"/>
    </row>
    <row r="417" spans="2:12">
      <c r="B417" s="222"/>
      <c r="C417" s="206" t="s">
        <v>2311</v>
      </c>
      <c r="D417" s="200" t="s">
        <v>2312</v>
      </c>
      <c r="E417" s="201" t="s">
        <v>450</v>
      </c>
      <c r="F417" s="551">
        <v>1.6</v>
      </c>
      <c r="G417" s="203">
        <f>+SUMIF('AUX-NIV1'!I:I,Recursos!C417,'AUX-NIV1'!Q:Q)+SUMIF('AUX-NIV2'!I:I,Recursos!C417,'AUX-NIV2'!Q:Q)+SUMIF('AUX-NIV3'!I:I,Recursos!C417,'AUX-NIV3'!Q:Q)</f>
        <v>0</v>
      </c>
      <c r="H417" s="204">
        <f t="shared" si="28"/>
        <v>0</v>
      </c>
      <c r="I417" s="366">
        <f t="shared" si="29"/>
        <v>0</v>
      </c>
      <c r="J417" s="474"/>
      <c r="L417" s="83"/>
    </row>
    <row r="418" spans="2:12">
      <c r="B418" s="222"/>
      <c r="C418" s="206" t="s">
        <v>2313</v>
      </c>
      <c r="D418" s="200" t="s">
        <v>1450</v>
      </c>
      <c r="E418" s="201" t="s">
        <v>450</v>
      </c>
      <c r="F418" s="551">
        <v>0.8</v>
      </c>
      <c r="G418" s="203">
        <f>+SUMIF('AUX-NIV1'!I:I,Recursos!C418,'AUX-NIV1'!Q:Q)+SUMIF('AUX-NIV2'!I:I,Recursos!C418,'AUX-NIV2'!Q:Q)+SUMIF('AUX-NIV3'!I:I,Recursos!C418,'AUX-NIV3'!Q:Q)</f>
        <v>0</v>
      </c>
      <c r="H418" s="204">
        <f t="shared" si="28"/>
        <v>0</v>
      </c>
      <c r="I418" s="366">
        <f t="shared" si="29"/>
        <v>0</v>
      </c>
      <c r="J418" s="474"/>
      <c r="L418" s="83"/>
    </row>
    <row r="419" spans="2:12">
      <c r="B419" s="222"/>
      <c r="C419" s="206" t="s">
        <v>2314</v>
      </c>
      <c r="D419" s="200" t="s">
        <v>2315</v>
      </c>
      <c r="E419" s="201" t="s">
        <v>450</v>
      </c>
      <c r="F419" s="551">
        <v>3.75</v>
      </c>
      <c r="G419" s="203">
        <f>+SUMIF('AUX-NIV1'!I:I,Recursos!C419,'AUX-NIV1'!Q:Q)+SUMIF('AUX-NIV2'!I:I,Recursos!C419,'AUX-NIV2'!Q:Q)+SUMIF('AUX-NIV3'!I:I,Recursos!C419,'AUX-NIV3'!Q:Q)</f>
        <v>0</v>
      </c>
      <c r="H419" s="204">
        <f t="shared" si="28"/>
        <v>0</v>
      </c>
      <c r="I419" s="366">
        <f t="shared" si="29"/>
        <v>0</v>
      </c>
      <c r="J419" s="474"/>
      <c r="L419" s="83"/>
    </row>
    <row r="420" spans="2:12">
      <c r="B420" s="222"/>
      <c r="C420" s="206" t="s">
        <v>2316</v>
      </c>
      <c r="D420" s="200" t="s">
        <v>1455</v>
      </c>
      <c r="E420" s="201" t="s">
        <v>450</v>
      </c>
      <c r="F420" s="551">
        <v>9</v>
      </c>
      <c r="G420" s="203">
        <f>+SUMIF('AUX-NIV1'!I:I,Recursos!C420,'AUX-NIV1'!Q:Q)+SUMIF('AUX-NIV2'!I:I,Recursos!C420,'AUX-NIV2'!Q:Q)+SUMIF('AUX-NIV3'!I:I,Recursos!C420,'AUX-NIV3'!Q:Q)</f>
        <v>0</v>
      </c>
      <c r="H420" s="204">
        <f t="shared" si="28"/>
        <v>0</v>
      </c>
      <c r="I420" s="366">
        <f t="shared" si="29"/>
        <v>0</v>
      </c>
      <c r="J420" s="474"/>
      <c r="L420" s="83"/>
    </row>
    <row r="421" spans="2:12">
      <c r="B421" s="222"/>
      <c r="C421" s="206" t="s">
        <v>2317</v>
      </c>
      <c r="D421" s="200" t="s">
        <v>2318</v>
      </c>
      <c r="E421" s="201" t="s">
        <v>477</v>
      </c>
      <c r="F421" s="551">
        <v>0.2</v>
      </c>
      <c r="G421" s="203">
        <f>+SUMIF('AUX-NIV1'!I:I,Recursos!C421,'AUX-NIV1'!Q:Q)+SUMIF('AUX-NIV2'!I:I,Recursos!C421,'AUX-NIV2'!Q:Q)+SUMIF('AUX-NIV3'!I:I,Recursos!C421,'AUX-NIV3'!Q:Q)</f>
        <v>0</v>
      </c>
      <c r="H421" s="204">
        <f t="shared" si="28"/>
        <v>0</v>
      </c>
      <c r="I421" s="366">
        <f t="shared" si="29"/>
        <v>0</v>
      </c>
      <c r="J421" s="474"/>
      <c r="L421" s="83"/>
    </row>
    <row r="422" spans="2:12">
      <c r="B422" s="222"/>
      <c r="C422" s="206" t="s">
        <v>2319</v>
      </c>
      <c r="D422" s="200" t="s">
        <v>1452</v>
      </c>
      <c r="E422" s="201" t="s">
        <v>477</v>
      </c>
      <c r="F422" s="551">
        <v>26.45</v>
      </c>
      <c r="G422" s="203">
        <f>+SUMIF('AUX-NIV1'!I:I,Recursos!C422,'AUX-NIV1'!Q:Q)+SUMIF('AUX-NIV2'!I:I,Recursos!C422,'AUX-NIV2'!Q:Q)+SUMIF('AUX-NIV3'!I:I,Recursos!C422,'AUX-NIV3'!Q:Q)</f>
        <v>0</v>
      </c>
      <c r="H422" s="204">
        <f t="shared" si="28"/>
        <v>0</v>
      </c>
      <c r="I422" s="366">
        <f t="shared" si="29"/>
        <v>0</v>
      </c>
      <c r="J422" s="474"/>
      <c r="L422" s="83"/>
    </row>
    <row r="423" spans="2:12">
      <c r="B423" s="222"/>
      <c r="C423" s="206" t="s">
        <v>1805</v>
      </c>
      <c r="D423" s="200" t="s">
        <v>1806</v>
      </c>
      <c r="E423" s="201" t="s">
        <v>1782</v>
      </c>
      <c r="F423" s="551">
        <v>8</v>
      </c>
      <c r="G423" s="203">
        <f>+SUMIF('AUX-NIV1'!I:I,Recursos!C423,'AUX-NIV1'!Q:Q)+SUMIF('AUX-NIV2'!I:I,Recursos!C423,'AUX-NIV2'!Q:Q)+SUMIF('AUX-NIV3'!I:I,Recursos!C423,'AUX-NIV3'!Q:Q)</f>
        <v>0</v>
      </c>
      <c r="H423" s="204">
        <f t="shared" si="28"/>
        <v>0</v>
      </c>
      <c r="I423" s="366">
        <f t="shared" si="29"/>
        <v>0</v>
      </c>
      <c r="J423" s="474"/>
      <c r="L423" s="83"/>
    </row>
    <row r="424" spans="2:12">
      <c r="B424" s="222"/>
      <c r="C424" s="206" t="s">
        <v>2320</v>
      </c>
      <c r="D424" s="200" t="s">
        <v>1453</v>
      </c>
      <c r="E424" s="201" t="s">
        <v>610</v>
      </c>
      <c r="F424" s="551">
        <v>0.3</v>
      </c>
      <c r="G424" s="203">
        <f>+SUMIF('AUX-NIV1'!I:I,Recursos!C424,'AUX-NIV1'!Q:Q)+SUMIF('AUX-NIV2'!I:I,Recursos!C424,'AUX-NIV2'!Q:Q)+SUMIF('AUX-NIV3'!I:I,Recursos!C424,'AUX-NIV3'!Q:Q)</f>
        <v>0</v>
      </c>
      <c r="H424" s="204">
        <f t="shared" si="28"/>
        <v>0</v>
      </c>
      <c r="I424" s="366">
        <f t="shared" si="29"/>
        <v>0</v>
      </c>
      <c r="J424" s="474"/>
      <c r="L424" s="83"/>
    </row>
    <row r="425" spans="2:12">
      <c r="B425" s="222"/>
      <c r="C425" s="206" t="s">
        <v>2321</v>
      </c>
      <c r="D425" s="200" t="s">
        <v>2322</v>
      </c>
      <c r="E425" s="201" t="s">
        <v>610</v>
      </c>
      <c r="F425" s="551">
        <v>1.5</v>
      </c>
      <c r="G425" s="203">
        <f>+SUMIF('AUX-NIV1'!I:I,Recursos!C425,'AUX-NIV1'!Q:Q)+SUMIF('AUX-NIV2'!I:I,Recursos!C425,'AUX-NIV2'!Q:Q)+SUMIF('AUX-NIV3'!I:I,Recursos!C425,'AUX-NIV3'!Q:Q)</f>
        <v>0</v>
      </c>
      <c r="H425" s="204">
        <f t="shared" si="28"/>
        <v>0</v>
      </c>
      <c r="I425" s="366">
        <f t="shared" si="29"/>
        <v>0</v>
      </c>
      <c r="J425" s="474"/>
      <c r="L425" s="83"/>
    </row>
    <row r="426" spans="2:12">
      <c r="B426" s="222"/>
      <c r="C426" s="206" t="s">
        <v>2323</v>
      </c>
      <c r="D426" s="200" t="s">
        <v>2324</v>
      </c>
      <c r="E426" s="201" t="s">
        <v>610</v>
      </c>
      <c r="F426" s="551">
        <v>2.68</v>
      </c>
      <c r="G426" s="203">
        <f>+SUMIF('AUX-NIV1'!I:I,Recursos!C426,'AUX-NIV1'!Q:Q)+SUMIF('AUX-NIV2'!I:I,Recursos!C426,'AUX-NIV2'!Q:Q)+SUMIF('AUX-NIV3'!I:I,Recursos!C426,'AUX-NIV3'!Q:Q)</f>
        <v>0</v>
      </c>
      <c r="H426" s="204">
        <f t="shared" si="28"/>
        <v>0</v>
      </c>
      <c r="I426" s="366">
        <f t="shared" si="29"/>
        <v>0</v>
      </c>
      <c r="J426" s="474"/>
      <c r="L426" s="83"/>
    </row>
    <row r="427" spans="2:12">
      <c r="B427" s="222"/>
      <c r="C427" s="206" t="s">
        <v>2325</v>
      </c>
      <c r="D427" s="200" t="s">
        <v>2326</v>
      </c>
      <c r="E427" s="201" t="s">
        <v>477</v>
      </c>
      <c r="F427" s="551">
        <v>0.25</v>
      </c>
      <c r="G427" s="203">
        <f>+SUMIF('AUX-NIV1'!I:I,Recursos!C427,'AUX-NIV1'!Q:Q)+SUMIF('AUX-NIV2'!I:I,Recursos!C427,'AUX-NIV2'!Q:Q)+SUMIF('AUX-NIV3'!I:I,Recursos!C427,'AUX-NIV3'!Q:Q)</f>
        <v>0</v>
      </c>
      <c r="H427" s="204">
        <f t="shared" si="28"/>
        <v>0</v>
      </c>
      <c r="I427" s="366">
        <f t="shared" si="29"/>
        <v>0</v>
      </c>
      <c r="J427" s="474"/>
      <c r="L427" s="83"/>
    </row>
    <row r="428" spans="2:12">
      <c r="B428" s="222"/>
      <c r="C428" s="206" t="s">
        <v>2327</v>
      </c>
      <c r="D428" s="200" t="s">
        <v>2328</v>
      </c>
      <c r="E428" s="201" t="s">
        <v>610</v>
      </c>
      <c r="F428" s="551">
        <v>2.722</v>
      </c>
      <c r="G428" s="203">
        <f>+SUMIF('AUX-NIV1'!I:I,Recursos!C428,'AUX-NIV1'!Q:Q)+SUMIF('AUX-NIV2'!I:I,Recursos!C428,'AUX-NIV2'!Q:Q)+SUMIF('AUX-NIV3'!I:I,Recursos!C428,'AUX-NIV3'!Q:Q)</f>
        <v>0</v>
      </c>
      <c r="H428" s="204">
        <f t="shared" si="28"/>
        <v>0</v>
      </c>
      <c r="I428" s="366">
        <f t="shared" si="29"/>
        <v>0</v>
      </c>
      <c r="J428" s="474"/>
      <c r="L428" s="83"/>
    </row>
    <row r="429" spans="2:12">
      <c r="B429" s="222"/>
      <c r="C429" s="206" t="s">
        <v>2329</v>
      </c>
      <c r="D429" s="200" t="s">
        <v>2330</v>
      </c>
      <c r="E429" s="201" t="s">
        <v>610</v>
      </c>
      <c r="F429" s="551">
        <v>2.722</v>
      </c>
      <c r="G429" s="203">
        <f>+SUMIF('AUX-NIV1'!I:I,Recursos!C429,'AUX-NIV1'!Q:Q)+SUMIF('AUX-NIV2'!I:I,Recursos!C429,'AUX-NIV2'!Q:Q)+SUMIF('AUX-NIV3'!I:I,Recursos!C429,'AUX-NIV3'!Q:Q)</f>
        <v>0</v>
      </c>
      <c r="H429" s="204">
        <f t="shared" si="28"/>
        <v>0</v>
      </c>
      <c r="I429" s="366">
        <f t="shared" si="29"/>
        <v>0</v>
      </c>
      <c r="J429" s="474"/>
      <c r="L429" s="83"/>
    </row>
    <row r="430" spans="2:12">
      <c r="B430" s="222"/>
      <c r="C430" s="206" t="s">
        <v>2331</v>
      </c>
      <c r="D430" s="200" t="s">
        <v>2332</v>
      </c>
      <c r="E430" s="201" t="s">
        <v>610</v>
      </c>
      <c r="F430" s="551">
        <v>2</v>
      </c>
      <c r="G430" s="203">
        <f>+SUMIF('AUX-NIV1'!I:I,Recursos!C430,'AUX-NIV1'!Q:Q)+SUMIF('AUX-NIV2'!I:I,Recursos!C430,'AUX-NIV2'!Q:Q)+SUMIF('AUX-NIV3'!I:I,Recursos!C430,'AUX-NIV3'!Q:Q)</f>
        <v>0</v>
      </c>
      <c r="H430" s="204">
        <f t="shared" si="28"/>
        <v>0</v>
      </c>
      <c r="I430" s="366">
        <f t="shared" si="29"/>
        <v>0</v>
      </c>
      <c r="J430" s="474"/>
      <c r="L430" s="83"/>
    </row>
    <row r="431" spans="2:12">
      <c r="B431" s="222"/>
      <c r="C431" s="206" t="s">
        <v>2333</v>
      </c>
      <c r="D431" s="200" t="s">
        <v>2334</v>
      </c>
      <c r="E431" s="201" t="s">
        <v>450</v>
      </c>
      <c r="F431" s="551">
        <v>2.5</v>
      </c>
      <c r="G431" s="203">
        <f>+SUMIF('AUX-NIV1'!I:I,Recursos!C431,'AUX-NIV1'!Q:Q)+SUMIF('AUX-NIV2'!I:I,Recursos!C431,'AUX-NIV2'!Q:Q)+SUMIF('AUX-NIV3'!I:I,Recursos!C431,'AUX-NIV3'!Q:Q)</f>
        <v>0</v>
      </c>
      <c r="H431" s="204">
        <f t="shared" si="28"/>
        <v>0</v>
      </c>
      <c r="I431" s="366">
        <f t="shared" si="29"/>
        <v>0</v>
      </c>
      <c r="J431" s="474"/>
      <c r="L431" s="83"/>
    </row>
    <row r="432" spans="2:12">
      <c r="B432" s="222"/>
      <c r="C432" s="206" t="s">
        <v>2335</v>
      </c>
      <c r="D432" s="200" t="s">
        <v>2336</v>
      </c>
      <c r="E432" s="201" t="s">
        <v>610</v>
      </c>
      <c r="F432" s="551">
        <v>300</v>
      </c>
      <c r="G432" s="203">
        <f>+SUMIF('AUX-NIV1'!I:I,Recursos!C432,'AUX-NIV1'!Q:Q)+SUMIF('AUX-NIV2'!I:I,Recursos!C432,'AUX-NIV2'!Q:Q)+SUMIF('AUX-NIV3'!I:I,Recursos!C432,'AUX-NIV3'!Q:Q)</f>
        <v>0</v>
      </c>
      <c r="H432" s="204">
        <f t="shared" si="28"/>
        <v>0</v>
      </c>
      <c r="I432" s="366">
        <f t="shared" si="29"/>
        <v>0</v>
      </c>
      <c r="J432" s="474"/>
      <c r="L432" s="83"/>
    </row>
    <row r="433" spans="2:12">
      <c r="B433" s="222"/>
      <c r="C433" s="206" t="s">
        <v>2337</v>
      </c>
      <c r="D433" s="200" t="s">
        <v>2338</v>
      </c>
      <c r="E433" s="201" t="s">
        <v>610</v>
      </c>
      <c r="F433" s="551">
        <v>6.6</v>
      </c>
      <c r="G433" s="203">
        <f>+SUMIF('AUX-NIV1'!I:I,Recursos!C433,'AUX-NIV1'!Q:Q)+SUMIF('AUX-NIV2'!I:I,Recursos!C433,'AUX-NIV2'!Q:Q)+SUMIF('AUX-NIV3'!I:I,Recursos!C433,'AUX-NIV3'!Q:Q)</f>
        <v>0</v>
      </c>
      <c r="H433" s="204">
        <f t="shared" si="28"/>
        <v>0</v>
      </c>
      <c r="I433" s="366">
        <f t="shared" si="29"/>
        <v>0</v>
      </c>
      <c r="J433" s="474"/>
      <c r="L433" s="83"/>
    </row>
    <row r="434" spans="2:12" ht="12">
      <c r="B434" s="222"/>
      <c r="C434" s="1535" t="s">
        <v>1807</v>
      </c>
      <c r="D434" s="1536" t="s">
        <v>4248</v>
      </c>
      <c r="E434" s="1537" t="s">
        <v>501</v>
      </c>
      <c r="F434" s="1538">
        <f>11000/2.4/6</f>
        <v>763.88888888888903</v>
      </c>
      <c r="G434" s="203">
        <f>+SUMIF('AUX-NIV1'!I:I,Recursos!C434,'AUX-NIV1'!Q:Q)+SUMIF('AUX-NIV2'!I:I,Recursos!C434,'AUX-NIV2'!Q:Q)+SUMIF('AUX-NIV3'!I:I,Recursos!C434,'AUX-NIV3'!Q:Q)</f>
        <v>0</v>
      </c>
      <c r="H434" s="204">
        <f t="shared" si="28"/>
        <v>0</v>
      </c>
      <c r="I434" s="366">
        <f t="shared" si="29"/>
        <v>0</v>
      </c>
      <c r="J434" s="474"/>
      <c r="L434" s="1610">
        <f>H434/$H$76</f>
        <v>0</v>
      </c>
    </row>
    <row r="435" spans="2:12">
      <c r="B435" s="222"/>
      <c r="C435" s="206" t="s">
        <v>2339</v>
      </c>
      <c r="D435" s="200" t="s">
        <v>2340</v>
      </c>
      <c r="E435" s="201" t="s">
        <v>477</v>
      </c>
      <c r="F435" s="551">
        <v>22</v>
      </c>
      <c r="G435" s="203">
        <f>+SUMIF('AUX-NIV1'!I:I,Recursos!C435,'AUX-NIV1'!Q:Q)+SUMIF('AUX-NIV2'!I:I,Recursos!C435,'AUX-NIV2'!Q:Q)+SUMIF('AUX-NIV3'!I:I,Recursos!C435,'AUX-NIV3'!Q:Q)</f>
        <v>0</v>
      </c>
      <c r="H435" s="204">
        <f t="shared" si="28"/>
        <v>0</v>
      </c>
      <c r="I435" s="366">
        <f t="shared" si="29"/>
        <v>0</v>
      </c>
      <c r="J435" s="474"/>
      <c r="L435" s="83"/>
    </row>
    <row r="436" spans="2:12">
      <c r="B436" s="222"/>
      <c r="C436" s="206" t="s">
        <v>2341</v>
      </c>
      <c r="D436" s="200" t="s">
        <v>2342</v>
      </c>
      <c r="E436" s="201" t="s">
        <v>477</v>
      </c>
      <c r="F436" s="551">
        <v>13.2</v>
      </c>
      <c r="G436" s="203">
        <f>+SUMIF('AUX-NIV1'!I:I,Recursos!C436,'AUX-NIV1'!Q:Q)+SUMIF('AUX-NIV2'!I:I,Recursos!C436,'AUX-NIV2'!Q:Q)+SUMIF('AUX-NIV3'!I:I,Recursos!C436,'AUX-NIV3'!Q:Q)</f>
        <v>0</v>
      </c>
      <c r="H436" s="204">
        <f t="shared" si="28"/>
        <v>0</v>
      </c>
      <c r="I436" s="366">
        <f t="shared" si="29"/>
        <v>0</v>
      </c>
      <c r="J436" s="474"/>
      <c r="L436" s="83"/>
    </row>
    <row r="437" spans="2:12">
      <c r="B437" s="222"/>
      <c r="C437" s="206" t="s">
        <v>2343</v>
      </c>
      <c r="D437" s="200" t="s">
        <v>2344</v>
      </c>
      <c r="E437" s="201" t="s">
        <v>477</v>
      </c>
      <c r="F437" s="551">
        <v>22</v>
      </c>
      <c r="G437" s="203">
        <f>+SUMIF('AUX-NIV1'!I:I,Recursos!C437,'AUX-NIV1'!Q:Q)+SUMIF('AUX-NIV2'!I:I,Recursos!C437,'AUX-NIV2'!Q:Q)+SUMIF('AUX-NIV3'!I:I,Recursos!C437,'AUX-NIV3'!Q:Q)</f>
        <v>0</v>
      </c>
      <c r="H437" s="204">
        <f t="shared" si="28"/>
        <v>0</v>
      </c>
      <c r="I437" s="366">
        <f t="shared" si="29"/>
        <v>0</v>
      </c>
      <c r="J437" s="474"/>
      <c r="L437" s="83"/>
    </row>
    <row r="438" spans="2:12">
      <c r="B438" s="222"/>
      <c r="C438" s="206" t="s">
        <v>2345</v>
      </c>
      <c r="D438" s="200" t="s">
        <v>2346</v>
      </c>
      <c r="E438" s="201" t="s">
        <v>450</v>
      </c>
      <c r="F438" s="551">
        <v>2.75</v>
      </c>
      <c r="G438" s="203">
        <f>+SUMIF('AUX-NIV1'!I:I,Recursos!C438,'AUX-NIV1'!Q:Q)+SUMIF('AUX-NIV2'!I:I,Recursos!C438,'AUX-NIV2'!Q:Q)+SUMIF('AUX-NIV3'!I:I,Recursos!C438,'AUX-NIV3'!Q:Q)</f>
        <v>0</v>
      </c>
      <c r="H438" s="204">
        <f t="shared" si="28"/>
        <v>0</v>
      </c>
      <c r="I438" s="366">
        <f t="shared" si="29"/>
        <v>0</v>
      </c>
      <c r="J438" s="474"/>
      <c r="L438" s="83"/>
    </row>
    <row r="439" spans="2:12">
      <c r="B439" s="222"/>
      <c r="C439" s="206" t="s">
        <v>2347</v>
      </c>
      <c r="D439" s="200" t="s">
        <v>2348</v>
      </c>
      <c r="E439" s="201" t="s">
        <v>610</v>
      </c>
      <c r="F439" s="551">
        <v>2.75</v>
      </c>
      <c r="G439" s="203">
        <f>+SUMIF('AUX-NIV1'!I:I,Recursos!C439,'AUX-NIV1'!Q:Q)+SUMIF('AUX-NIV2'!I:I,Recursos!C439,'AUX-NIV2'!Q:Q)+SUMIF('AUX-NIV3'!I:I,Recursos!C439,'AUX-NIV3'!Q:Q)</f>
        <v>0</v>
      </c>
      <c r="H439" s="204">
        <f t="shared" si="28"/>
        <v>0</v>
      </c>
      <c r="I439" s="366">
        <f t="shared" si="29"/>
        <v>0</v>
      </c>
      <c r="J439" s="474"/>
      <c r="L439" s="83"/>
    </row>
    <row r="440" spans="2:12">
      <c r="B440" s="222"/>
      <c r="C440" s="206" t="s">
        <v>2349</v>
      </c>
      <c r="D440" s="200" t="s">
        <v>2350</v>
      </c>
      <c r="E440" s="201" t="s">
        <v>1168</v>
      </c>
      <c r="F440" s="551">
        <v>5000</v>
      </c>
      <c r="G440" s="203">
        <f>+SUMIF('AUX-NIV1'!I:I,Recursos!C440,'AUX-NIV1'!Q:Q)+SUMIF('AUX-NIV2'!I:I,Recursos!C440,'AUX-NIV2'!Q:Q)+SUMIF('AUX-NIV3'!I:I,Recursos!C440,'AUX-NIV3'!Q:Q)</f>
        <v>0</v>
      </c>
      <c r="H440" s="204">
        <f t="shared" si="28"/>
        <v>0</v>
      </c>
      <c r="I440" s="366">
        <f t="shared" si="29"/>
        <v>0</v>
      </c>
      <c r="J440" s="474"/>
      <c r="L440" s="83"/>
    </row>
    <row r="441" spans="2:12">
      <c r="B441" s="222"/>
      <c r="C441" s="206" t="s">
        <v>2351</v>
      </c>
      <c r="D441" s="200" t="s">
        <v>2352</v>
      </c>
      <c r="E441" s="201" t="s">
        <v>610</v>
      </c>
      <c r="F441" s="551">
        <v>1.65</v>
      </c>
      <c r="G441" s="203">
        <f>+SUMIF('AUX-NIV1'!I:I,Recursos!C441,'AUX-NIV1'!Q:Q)+SUMIF('AUX-NIV2'!I:I,Recursos!C441,'AUX-NIV2'!Q:Q)+SUMIF('AUX-NIV3'!I:I,Recursos!C441,'AUX-NIV3'!Q:Q)</f>
        <v>0</v>
      </c>
      <c r="H441" s="204">
        <f t="shared" si="28"/>
        <v>0</v>
      </c>
      <c r="I441" s="366">
        <f t="shared" si="29"/>
        <v>0</v>
      </c>
      <c r="J441" s="474"/>
      <c r="L441" s="83"/>
    </row>
    <row r="442" spans="2:12">
      <c r="B442" s="222"/>
      <c r="C442" s="206" t="s">
        <v>2353</v>
      </c>
      <c r="D442" s="200" t="s">
        <v>2354</v>
      </c>
      <c r="E442" s="201" t="s">
        <v>610</v>
      </c>
      <c r="F442" s="553">
        <v>340</v>
      </c>
      <c r="G442" s="203">
        <f>+SUMIF('AUX-NIV1'!I:I,Recursos!C442,'AUX-NIV1'!Q:Q)+SUMIF('AUX-NIV2'!I:I,Recursos!C442,'AUX-NIV2'!Q:Q)+SUMIF('AUX-NIV3'!I:I,Recursos!C442,'AUX-NIV3'!Q:Q)</f>
        <v>0</v>
      </c>
      <c r="H442" s="204">
        <f t="shared" si="28"/>
        <v>0</v>
      </c>
      <c r="I442" s="366">
        <f t="shared" si="29"/>
        <v>0</v>
      </c>
      <c r="J442" s="474"/>
      <c r="L442" s="83"/>
    </row>
    <row r="443" spans="2:12">
      <c r="B443" s="222"/>
      <c r="C443" s="206" t="s">
        <v>2355</v>
      </c>
      <c r="D443" s="200" t="s">
        <v>2356</v>
      </c>
      <c r="E443" s="201" t="s">
        <v>610</v>
      </c>
      <c r="F443" s="551">
        <v>124.2</v>
      </c>
      <c r="G443" s="203">
        <f>+SUMIF('AUX-NIV1'!I:I,Recursos!C443,'AUX-NIV1'!Q:Q)+SUMIF('AUX-NIV2'!I:I,Recursos!C443,'AUX-NIV2'!Q:Q)+SUMIF('AUX-NIV3'!I:I,Recursos!C443,'AUX-NIV3'!Q:Q)</f>
        <v>0</v>
      </c>
      <c r="H443" s="204">
        <f t="shared" si="28"/>
        <v>0</v>
      </c>
      <c r="I443" s="366">
        <f t="shared" si="29"/>
        <v>0</v>
      </c>
      <c r="J443" s="474"/>
      <c r="L443" s="83"/>
    </row>
    <row r="444" spans="2:12">
      <c r="B444" s="222"/>
      <c r="C444" s="206" t="s">
        <v>2357</v>
      </c>
      <c r="D444" s="200" t="s">
        <v>2358</v>
      </c>
      <c r="E444" s="201" t="s">
        <v>477</v>
      </c>
      <c r="F444" s="551">
        <v>30</v>
      </c>
      <c r="G444" s="203">
        <f>+SUMIF('AUX-NIV1'!I:I,Recursos!C444,'AUX-NIV1'!Q:Q)+SUMIF('AUX-NIV2'!I:I,Recursos!C444,'AUX-NIV2'!Q:Q)+SUMIF('AUX-NIV3'!I:I,Recursos!C444,'AUX-NIV3'!Q:Q)</f>
        <v>0</v>
      </c>
      <c r="H444" s="204">
        <f t="shared" si="28"/>
        <v>0</v>
      </c>
      <c r="I444" s="366">
        <f t="shared" si="29"/>
        <v>0</v>
      </c>
      <c r="J444" s="474"/>
      <c r="L444" s="83"/>
    </row>
    <row r="445" spans="2:12">
      <c r="B445" s="222"/>
      <c r="C445" s="206" t="s">
        <v>1808</v>
      </c>
      <c r="D445" s="200" t="s">
        <v>1809</v>
      </c>
      <c r="E445" s="201" t="s">
        <v>546</v>
      </c>
      <c r="F445" s="551">
        <v>4</v>
      </c>
      <c r="G445" s="203">
        <f>+SUMIF('AUX-NIV1'!I:I,Recursos!C445,'AUX-NIV1'!Q:Q)+SUMIF('AUX-NIV2'!I:I,Recursos!C445,'AUX-NIV2'!Q:Q)+SUMIF('AUX-NIV3'!I:I,Recursos!C445,'AUX-NIV3'!Q:Q)</f>
        <v>0</v>
      </c>
      <c r="H445" s="204">
        <f t="shared" si="28"/>
        <v>0</v>
      </c>
      <c r="I445" s="366">
        <f t="shared" si="29"/>
        <v>0</v>
      </c>
      <c r="J445" s="474"/>
      <c r="L445" s="83"/>
    </row>
    <row r="446" spans="2:12">
      <c r="B446" s="222"/>
      <c r="C446" s="206" t="s">
        <v>2359</v>
      </c>
      <c r="D446" s="200" t="s">
        <v>2360</v>
      </c>
      <c r="E446" s="201" t="s">
        <v>610</v>
      </c>
      <c r="F446" s="551">
        <v>150</v>
      </c>
      <c r="G446" s="203">
        <f>+SUMIF('AUX-NIV1'!I:I,Recursos!C446,'AUX-NIV1'!Q:Q)+SUMIF('AUX-NIV2'!I:I,Recursos!C446,'AUX-NIV2'!Q:Q)+SUMIF('AUX-NIV3'!I:I,Recursos!C446,'AUX-NIV3'!Q:Q)</f>
        <v>0</v>
      </c>
      <c r="H446" s="204">
        <f t="shared" si="28"/>
        <v>0</v>
      </c>
      <c r="I446" s="366">
        <f t="shared" si="29"/>
        <v>0</v>
      </c>
      <c r="J446" s="474"/>
      <c r="L446" s="83"/>
    </row>
    <row r="447" spans="2:12">
      <c r="B447" s="222"/>
      <c r="C447" s="206" t="s">
        <v>2361</v>
      </c>
      <c r="D447" s="200" t="s">
        <v>2362</v>
      </c>
      <c r="E447" s="201" t="s">
        <v>450</v>
      </c>
      <c r="F447" s="551">
        <v>2.5</v>
      </c>
      <c r="G447" s="203">
        <f>+SUMIF('AUX-NIV1'!I:I,Recursos!C447,'AUX-NIV1'!Q:Q)+SUMIF('AUX-NIV2'!I:I,Recursos!C447,'AUX-NIV2'!Q:Q)+SUMIF('AUX-NIV3'!I:I,Recursos!C447,'AUX-NIV3'!Q:Q)</f>
        <v>0</v>
      </c>
      <c r="H447" s="204">
        <f t="shared" si="28"/>
        <v>0</v>
      </c>
      <c r="I447" s="366">
        <f t="shared" si="29"/>
        <v>0</v>
      </c>
      <c r="J447" s="474"/>
      <c r="L447" s="83"/>
    </row>
    <row r="448" spans="2:12">
      <c r="B448" s="222"/>
      <c r="C448" s="206" t="s">
        <v>2363</v>
      </c>
      <c r="D448" s="200" t="s">
        <v>2364</v>
      </c>
      <c r="E448" s="201" t="s">
        <v>450</v>
      </c>
      <c r="F448" s="551">
        <v>8.8000000000000007</v>
      </c>
      <c r="G448" s="203">
        <f>+SUMIF('AUX-NIV1'!I:I,Recursos!C448,'AUX-NIV1'!Q:Q)+SUMIF('AUX-NIV2'!I:I,Recursos!C448,'AUX-NIV2'!Q:Q)+SUMIF('AUX-NIV3'!I:I,Recursos!C448,'AUX-NIV3'!Q:Q)</f>
        <v>0</v>
      </c>
      <c r="H448" s="204">
        <f t="shared" si="28"/>
        <v>0</v>
      </c>
      <c r="I448" s="366">
        <f t="shared" si="29"/>
        <v>0</v>
      </c>
      <c r="J448" s="474"/>
      <c r="L448" s="83"/>
    </row>
    <row r="449" spans="2:12">
      <c r="B449" s="222"/>
      <c r="C449" s="206" t="s">
        <v>2365</v>
      </c>
      <c r="D449" s="200" t="s">
        <v>2366</v>
      </c>
      <c r="E449" s="201" t="s">
        <v>462</v>
      </c>
      <c r="F449" s="551">
        <v>36</v>
      </c>
      <c r="G449" s="203">
        <f>+SUMIF('AUX-NIV1'!I:I,Recursos!C449,'AUX-NIV1'!Q:Q)+SUMIF('AUX-NIV2'!I:I,Recursos!C449,'AUX-NIV2'!Q:Q)+SUMIF('AUX-NIV3'!I:I,Recursos!C449,'AUX-NIV3'!Q:Q)</f>
        <v>0</v>
      </c>
      <c r="H449" s="204">
        <f t="shared" si="28"/>
        <v>0</v>
      </c>
      <c r="I449" s="366">
        <f t="shared" si="29"/>
        <v>0</v>
      </c>
      <c r="J449" s="474"/>
      <c r="L449" s="83"/>
    </row>
    <row r="450" spans="2:12">
      <c r="B450" s="222"/>
      <c r="C450" s="206" t="s">
        <v>2367</v>
      </c>
      <c r="D450" s="200" t="s">
        <v>1152</v>
      </c>
      <c r="E450" s="201" t="s">
        <v>477</v>
      </c>
      <c r="F450" s="551">
        <v>450</v>
      </c>
      <c r="G450" s="203">
        <f>+SUMIF('AUX-NIV1'!I:I,Recursos!C450,'AUX-NIV1'!Q:Q)+SUMIF('AUX-NIV2'!I:I,Recursos!C450,'AUX-NIV2'!Q:Q)+SUMIF('AUX-NIV3'!I:I,Recursos!C450,'AUX-NIV3'!Q:Q)</f>
        <v>0</v>
      </c>
      <c r="H450" s="204">
        <f t="shared" si="28"/>
        <v>0</v>
      </c>
      <c r="I450" s="366">
        <f t="shared" si="29"/>
        <v>0</v>
      </c>
      <c r="J450" s="474"/>
      <c r="L450" s="83"/>
    </row>
    <row r="451" spans="2:12">
      <c r="B451" s="222"/>
      <c r="C451" s="206" t="s">
        <v>2368</v>
      </c>
      <c r="D451" s="200" t="s">
        <v>2369</v>
      </c>
      <c r="E451" s="201" t="s">
        <v>477</v>
      </c>
      <c r="F451" s="551">
        <v>60</v>
      </c>
      <c r="G451" s="203">
        <f>+SUMIF('AUX-NIV1'!I:I,Recursos!C451,'AUX-NIV1'!Q:Q)+SUMIF('AUX-NIV2'!I:I,Recursos!C451,'AUX-NIV2'!Q:Q)+SUMIF('AUX-NIV3'!I:I,Recursos!C451,'AUX-NIV3'!Q:Q)</f>
        <v>0</v>
      </c>
      <c r="H451" s="204">
        <f t="shared" si="28"/>
        <v>0</v>
      </c>
      <c r="I451" s="366">
        <f t="shared" si="29"/>
        <v>0</v>
      </c>
      <c r="J451" s="474"/>
      <c r="L451" s="83"/>
    </row>
    <row r="452" spans="2:12">
      <c r="B452" s="222"/>
      <c r="C452" s="206" t="s">
        <v>2370</v>
      </c>
      <c r="D452" s="200" t="s">
        <v>2371</v>
      </c>
      <c r="E452" s="201" t="s">
        <v>477</v>
      </c>
      <c r="F452" s="551">
        <v>1442.1</v>
      </c>
      <c r="G452" s="203">
        <f>+SUMIF('AUX-NIV1'!I:I,Recursos!C452,'AUX-NIV1'!Q:Q)+SUMIF('AUX-NIV2'!I:I,Recursos!C452,'AUX-NIV2'!Q:Q)+SUMIF('AUX-NIV3'!I:I,Recursos!C452,'AUX-NIV3'!Q:Q)</f>
        <v>0</v>
      </c>
      <c r="H452" s="204">
        <f t="shared" si="28"/>
        <v>0</v>
      </c>
      <c r="I452" s="366">
        <f t="shared" si="29"/>
        <v>0</v>
      </c>
      <c r="J452" s="474"/>
      <c r="L452" s="83"/>
    </row>
    <row r="453" spans="2:12">
      <c r="B453" s="222"/>
      <c r="C453" s="206" t="s">
        <v>2372</v>
      </c>
      <c r="D453" s="200" t="s">
        <v>2373</v>
      </c>
      <c r="E453" s="201" t="s">
        <v>477</v>
      </c>
      <c r="F453" s="551">
        <v>5.5</v>
      </c>
      <c r="G453" s="203">
        <f>+SUMIF('AUX-NIV1'!I:I,Recursos!C453,'AUX-NIV1'!Q:Q)+SUMIF('AUX-NIV2'!I:I,Recursos!C453,'AUX-NIV2'!Q:Q)+SUMIF('AUX-NIV3'!I:I,Recursos!C453,'AUX-NIV3'!Q:Q)</f>
        <v>0</v>
      </c>
      <c r="H453" s="204">
        <f t="shared" si="28"/>
        <v>0</v>
      </c>
      <c r="I453" s="366">
        <f t="shared" si="29"/>
        <v>0</v>
      </c>
      <c r="J453" s="474"/>
      <c r="L453" s="83"/>
    </row>
    <row r="454" spans="2:12">
      <c r="B454" s="222"/>
      <c r="C454" s="206" t="s">
        <v>2374</v>
      </c>
      <c r="D454" s="200" t="s">
        <v>2375</v>
      </c>
      <c r="E454" s="201" t="s">
        <v>477</v>
      </c>
      <c r="F454" s="551">
        <v>3.85</v>
      </c>
      <c r="G454" s="203">
        <f>+SUMIF('AUX-NIV1'!I:I,Recursos!C454,'AUX-NIV1'!Q:Q)+SUMIF('AUX-NIV2'!I:I,Recursos!C454,'AUX-NIV2'!Q:Q)+SUMIF('AUX-NIV3'!I:I,Recursos!C454,'AUX-NIV3'!Q:Q)</f>
        <v>0</v>
      </c>
      <c r="H454" s="204">
        <f t="shared" si="28"/>
        <v>0</v>
      </c>
      <c r="I454" s="366">
        <f t="shared" si="29"/>
        <v>0</v>
      </c>
      <c r="J454" s="474"/>
      <c r="L454" s="83"/>
    </row>
    <row r="455" spans="2:12">
      <c r="B455" s="222"/>
      <c r="C455" s="206" t="s">
        <v>2376</v>
      </c>
      <c r="D455" s="200" t="s">
        <v>2377</v>
      </c>
      <c r="E455" s="201" t="s">
        <v>477</v>
      </c>
      <c r="F455" s="551">
        <v>9.9359999999999999</v>
      </c>
      <c r="G455" s="203">
        <f>+SUMIF('AUX-NIV1'!I:I,Recursos!C455,'AUX-NIV1'!Q:Q)+SUMIF('AUX-NIV2'!I:I,Recursos!C455,'AUX-NIV2'!Q:Q)+SUMIF('AUX-NIV3'!I:I,Recursos!C455,'AUX-NIV3'!Q:Q)</f>
        <v>0</v>
      </c>
      <c r="H455" s="204">
        <f t="shared" si="28"/>
        <v>0</v>
      </c>
      <c r="I455" s="366">
        <f t="shared" si="29"/>
        <v>0</v>
      </c>
      <c r="J455" s="474"/>
      <c r="L455" s="83"/>
    </row>
    <row r="456" spans="2:12">
      <c r="B456" s="222"/>
      <c r="C456" s="206" t="s">
        <v>1810</v>
      </c>
      <c r="D456" s="200" t="s">
        <v>452</v>
      </c>
      <c r="E456" s="201" t="s">
        <v>453</v>
      </c>
      <c r="F456" s="551">
        <v>25000</v>
      </c>
      <c r="G456" s="203">
        <f>+SUMIF('AUX-NIV1'!I:I,Recursos!C456,'AUX-NIV1'!Q:Q)+SUMIF('AUX-NIV2'!I:I,Recursos!C456,'AUX-NIV2'!Q:Q)+SUMIF('AUX-NIV3'!I:I,Recursos!C456,'AUX-NIV3'!Q:Q)</f>
        <v>0</v>
      </c>
      <c r="H456" s="204">
        <f t="shared" si="28"/>
        <v>0</v>
      </c>
      <c r="I456" s="366">
        <f t="shared" si="29"/>
        <v>0</v>
      </c>
      <c r="J456" s="474"/>
      <c r="L456" s="83"/>
    </row>
    <row r="457" spans="2:12">
      <c r="B457" s="222"/>
      <c r="C457" s="206" t="s">
        <v>2378</v>
      </c>
      <c r="D457" s="200" t="s">
        <v>2379</v>
      </c>
      <c r="E457" s="201" t="s">
        <v>477</v>
      </c>
      <c r="F457" s="551">
        <v>15</v>
      </c>
      <c r="G457" s="203">
        <f>+SUMIF('AUX-NIV1'!I:I,Recursos!C457,'AUX-NIV1'!Q:Q)+SUMIF('AUX-NIV2'!I:I,Recursos!C457,'AUX-NIV2'!Q:Q)+SUMIF('AUX-NIV3'!I:I,Recursos!C457,'AUX-NIV3'!Q:Q)</f>
        <v>0</v>
      </c>
      <c r="H457" s="204">
        <f t="shared" si="28"/>
        <v>0</v>
      </c>
      <c r="I457" s="366">
        <f t="shared" si="29"/>
        <v>0</v>
      </c>
      <c r="J457" s="474"/>
      <c r="L457" s="83"/>
    </row>
    <row r="458" spans="2:12">
      <c r="B458" s="222"/>
      <c r="C458" s="206" t="s">
        <v>2380</v>
      </c>
      <c r="D458" s="200" t="s">
        <v>2381</v>
      </c>
      <c r="E458" s="201" t="s">
        <v>477</v>
      </c>
      <c r="F458" s="551">
        <f>1357.575*1.3</f>
        <v>1764.8475000000001</v>
      </c>
      <c r="G458" s="203">
        <f>+SUMIF('AUX-NIV1'!I:I,Recursos!C458,'AUX-NIV1'!Q:Q)+SUMIF('AUX-NIV2'!I:I,Recursos!C458,'AUX-NIV2'!Q:Q)+SUMIF('AUX-NIV3'!I:I,Recursos!C458,'AUX-NIV3'!Q:Q)</f>
        <v>0</v>
      </c>
      <c r="H458" s="204">
        <f t="shared" si="28"/>
        <v>0</v>
      </c>
      <c r="I458" s="366">
        <f t="shared" si="29"/>
        <v>0</v>
      </c>
      <c r="J458" s="474"/>
      <c r="L458" s="83"/>
    </row>
    <row r="459" spans="2:12">
      <c r="B459" s="222"/>
      <c r="C459" s="206" t="s">
        <v>2382</v>
      </c>
      <c r="D459" s="200" t="s">
        <v>2383</v>
      </c>
      <c r="E459" s="201" t="s">
        <v>477</v>
      </c>
      <c r="F459" s="551">
        <v>45</v>
      </c>
      <c r="G459" s="203">
        <f>+SUMIF('AUX-NIV1'!I:I,Recursos!C459,'AUX-NIV1'!Q:Q)+SUMIF('AUX-NIV2'!I:I,Recursos!C459,'AUX-NIV2'!Q:Q)+SUMIF('AUX-NIV3'!I:I,Recursos!C459,'AUX-NIV3'!Q:Q)</f>
        <v>0</v>
      </c>
      <c r="H459" s="204">
        <f t="shared" si="28"/>
        <v>0</v>
      </c>
      <c r="I459" s="366">
        <f t="shared" si="29"/>
        <v>0</v>
      </c>
      <c r="J459" s="474"/>
      <c r="L459" s="83"/>
    </row>
    <row r="460" spans="2:12">
      <c r="B460" s="222"/>
      <c r="C460" s="206" t="s">
        <v>2384</v>
      </c>
      <c r="D460" s="200" t="s">
        <v>2385</v>
      </c>
      <c r="E460" s="201" t="s">
        <v>477</v>
      </c>
      <c r="F460" s="551">
        <v>20</v>
      </c>
      <c r="G460" s="203">
        <f>+SUMIF('AUX-NIV1'!I:I,Recursos!C460,'AUX-NIV1'!Q:Q)+SUMIF('AUX-NIV2'!I:I,Recursos!C460,'AUX-NIV2'!Q:Q)+SUMIF('AUX-NIV3'!I:I,Recursos!C460,'AUX-NIV3'!Q:Q)</f>
        <v>0</v>
      </c>
      <c r="H460" s="204">
        <f t="shared" si="28"/>
        <v>0</v>
      </c>
      <c r="I460" s="366">
        <f t="shared" si="29"/>
        <v>0</v>
      </c>
      <c r="J460" s="474"/>
      <c r="L460" s="83"/>
    </row>
    <row r="461" spans="2:12">
      <c r="B461" s="222"/>
      <c r="C461" s="206" t="s">
        <v>2386</v>
      </c>
      <c r="D461" s="200" t="s">
        <v>2387</v>
      </c>
      <c r="E461" s="201" t="s">
        <v>477</v>
      </c>
      <c r="F461" s="551">
        <v>17</v>
      </c>
      <c r="G461" s="203">
        <f>+SUMIF('AUX-NIV1'!I:I,Recursos!C461,'AUX-NIV1'!Q:Q)+SUMIF('AUX-NIV2'!I:I,Recursos!C461,'AUX-NIV2'!Q:Q)+SUMIF('AUX-NIV3'!I:I,Recursos!C461,'AUX-NIV3'!Q:Q)</f>
        <v>0</v>
      </c>
      <c r="H461" s="204">
        <f t="shared" si="28"/>
        <v>0</v>
      </c>
      <c r="I461" s="366">
        <f t="shared" si="29"/>
        <v>0</v>
      </c>
      <c r="J461" s="474"/>
      <c r="L461" s="83"/>
    </row>
    <row r="462" spans="2:12">
      <c r="B462" s="222"/>
      <c r="C462" s="206" t="s">
        <v>2388</v>
      </c>
      <c r="D462" s="200" t="s">
        <v>2389</v>
      </c>
      <c r="E462" s="201" t="s">
        <v>477</v>
      </c>
      <c r="F462" s="551">
        <v>35</v>
      </c>
      <c r="G462" s="203">
        <f>+SUMIF('AUX-NIV1'!I:I,Recursos!C462,'AUX-NIV1'!Q:Q)+SUMIF('AUX-NIV2'!I:I,Recursos!C462,'AUX-NIV2'!Q:Q)+SUMIF('AUX-NIV3'!I:I,Recursos!C462,'AUX-NIV3'!Q:Q)</f>
        <v>0</v>
      </c>
      <c r="H462" s="204">
        <f t="shared" si="28"/>
        <v>0</v>
      </c>
      <c r="I462" s="366">
        <f t="shared" si="29"/>
        <v>0</v>
      </c>
      <c r="J462" s="474"/>
      <c r="L462" s="83"/>
    </row>
    <row r="463" spans="2:12">
      <c r="B463" s="222"/>
      <c r="C463" s="206" t="s">
        <v>2390</v>
      </c>
      <c r="D463" s="200" t="s">
        <v>2391</v>
      </c>
      <c r="E463" s="201" t="s">
        <v>477</v>
      </c>
      <c r="F463" s="551">
        <v>5</v>
      </c>
      <c r="G463" s="203">
        <f>+SUMIF('AUX-NIV1'!I:I,Recursos!C463,'AUX-NIV1'!Q:Q)+SUMIF('AUX-NIV2'!I:I,Recursos!C463,'AUX-NIV2'!Q:Q)+SUMIF('AUX-NIV3'!I:I,Recursos!C463,'AUX-NIV3'!Q:Q)</f>
        <v>0</v>
      </c>
      <c r="H463" s="204">
        <f t="shared" si="28"/>
        <v>0</v>
      </c>
      <c r="I463" s="366">
        <f t="shared" si="29"/>
        <v>0</v>
      </c>
      <c r="J463" s="474"/>
      <c r="L463" s="83"/>
    </row>
    <row r="464" spans="2:12">
      <c r="B464" s="222"/>
      <c r="C464" s="206" t="s">
        <v>2392</v>
      </c>
      <c r="D464" s="200" t="s">
        <v>2393</v>
      </c>
      <c r="E464" s="201" t="s">
        <v>610</v>
      </c>
      <c r="F464" s="551">
        <v>3105</v>
      </c>
      <c r="G464" s="203">
        <f>+SUMIF('AUX-NIV1'!I:I,Recursos!C464,'AUX-NIV1'!Q:Q)+SUMIF('AUX-NIV2'!I:I,Recursos!C464,'AUX-NIV2'!Q:Q)+SUMIF('AUX-NIV3'!I:I,Recursos!C464,'AUX-NIV3'!Q:Q)</f>
        <v>0</v>
      </c>
      <c r="H464" s="204">
        <f t="shared" si="28"/>
        <v>0</v>
      </c>
      <c r="I464" s="366">
        <f t="shared" si="29"/>
        <v>0</v>
      </c>
      <c r="J464" s="474"/>
      <c r="L464" s="83"/>
    </row>
    <row r="465" spans="2:12">
      <c r="B465" s="222"/>
      <c r="C465" s="206" t="s">
        <v>2394</v>
      </c>
      <c r="D465" s="200" t="s">
        <v>2395</v>
      </c>
      <c r="E465" s="201" t="s">
        <v>610</v>
      </c>
      <c r="F465" s="551">
        <v>1242</v>
      </c>
      <c r="G465" s="203">
        <f>+SUMIF('AUX-NIV1'!I:I,Recursos!C465,'AUX-NIV1'!Q:Q)+SUMIF('AUX-NIV2'!I:I,Recursos!C465,'AUX-NIV2'!Q:Q)+SUMIF('AUX-NIV3'!I:I,Recursos!C465,'AUX-NIV3'!Q:Q)</f>
        <v>0</v>
      </c>
      <c r="H465" s="204">
        <f t="shared" ref="H465:H528" si="30">+F465*G465</f>
        <v>0</v>
      </c>
      <c r="I465" s="366">
        <f t="shared" si="29"/>
        <v>0</v>
      </c>
      <c r="J465" s="474"/>
      <c r="L465" s="83"/>
    </row>
    <row r="466" spans="2:12">
      <c r="B466" s="222"/>
      <c r="C466" s="206" t="s">
        <v>2396</v>
      </c>
      <c r="D466" s="200" t="s">
        <v>2397</v>
      </c>
      <c r="E466" s="201" t="s">
        <v>610</v>
      </c>
      <c r="F466" s="551">
        <v>3105</v>
      </c>
      <c r="G466" s="203">
        <f>+SUMIF('AUX-NIV1'!I:I,Recursos!C466,'AUX-NIV1'!Q:Q)+SUMIF('AUX-NIV2'!I:I,Recursos!C466,'AUX-NIV2'!Q:Q)+SUMIF('AUX-NIV3'!I:I,Recursos!C466,'AUX-NIV3'!Q:Q)</f>
        <v>0</v>
      </c>
      <c r="H466" s="204">
        <f t="shared" si="30"/>
        <v>0</v>
      </c>
      <c r="I466" s="366">
        <f t="shared" si="29"/>
        <v>0</v>
      </c>
      <c r="J466" s="474"/>
      <c r="L466" s="83"/>
    </row>
    <row r="467" spans="2:12">
      <c r="B467" s="222"/>
      <c r="C467" s="206" t="s">
        <v>1811</v>
      </c>
      <c r="D467" s="200" t="s">
        <v>455</v>
      </c>
      <c r="E467" s="201" t="s">
        <v>456</v>
      </c>
      <c r="F467" s="551">
        <v>3.7</v>
      </c>
      <c r="G467" s="203">
        <f>+SUMIF('AUX-NIV1'!I:I,Recursos!C467,'AUX-NIV1'!Q:Q)+SUMIF('AUX-NIV2'!I:I,Recursos!C467,'AUX-NIV2'!Q:Q)+SUMIF('AUX-NIV3'!I:I,Recursos!C467,'AUX-NIV3'!Q:Q)</f>
        <v>0</v>
      </c>
      <c r="H467" s="204">
        <f t="shared" si="30"/>
        <v>0</v>
      </c>
      <c r="I467" s="366">
        <f t="shared" si="29"/>
        <v>0</v>
      </c>
      <c r="J467" s="474"/>
      <c r="L467" s="83"/>
    </row>
    <row r="468" spans="2:12">
      <c r="B468" s="222"/>
      <c r="C468" s="206" t="s">
        <v>2398</v>
      </c>
      <c r="D468" s="200" t="s">
        <v>2399</v>
      </c>
      <c r="E468" s="201" t="s">
        <v>610</v>
      </c>
      <c r="F468" s="551">
        <v>9936</v>
      </c>
      <c r="G468" s="203">
        <f>+SUMIF('AUX-NIV1'!I:I,Recursos!C468,'AUX-NIV1'!Q:Q)+SUMIF('AUX-NIV2'!I:I,Recursos!C468,'AUX-NIV2'!Q:Q)+SUMIF('AUX-NIV3'!I:I,Recursos!C468,'AUX-NIV3'!Q:Q)</f>
        <v>0</v>
      </c>
      <c r="H468" s="204">
        <f t="shared" si="30"/>
        <v>0</v>
      </c>
      <c r="I468" s="366">
        <f t="shared" si="29"/>
        <v>0</v>
      </c>
      <c r="J468" s="474"/>
      <c r="L468" s="83"/>
    </row>
    <row r="469" spans="2:12">
      <c r="B469" s="222"/>
      <c r="C469" s="206" t="s">
        <v>2400</v>
      </c>
      <c r="D469" s="200" t="s">
        <v>2401</v>
      </c>
      <c r="E469" s="201" t="s">
        <v>610</v>
      </c>
      <c r="F469" s="551">
        <v>11</v>
      </c>
      <c r="G469" s="203">
        <f>+SUMIF('AUX-NIV1'!I:I,Recursos!C469,'AUX-NIV1'!Q:Q)+SUMIF('AUX-NIV2'!I:I,Recursos!C469,'AUX-NIV2'!Q:Q)+SUMIF('AUX-NIV3'!I:I,Recursos!C469,'AUX-NIV3'!Q:Q)</f>
        <v>0</v>
      </c>
      <c r="H469" s="204">
        <f t="shared" si="30"/>
        <v>0</v>
      </c>
      <c r="I469" s="366">
        <f t="shared" si="29"/>
        <v>0</v>
      </c>
      <c r="J469" s="474"/>
      <c r="L469" s="83"/>
    </row>
    <row r="470" spans="2:12">
      <c r="B470" s="222"/>
      <c r="C470" s="206" t="s">
        <v>2402</v>
      </c>
      <c r="D470" s="200" t="s">
        <v>2403</v>
      </c>
      <c r="E470" s="201" t="s">
        <v>610</v>
      </c>
      <c r="F470" s="551">
        <v>1.65</v>
      </c>
      <c r="G470" s="203">
        <f>+SUMIF('AUX-NIV1'!I:I,Recursos!C470,'AUX-NIV1'!Q:Q)+SUMIF('AUX-NIV2'!I:I,Recursos!C470,'AUX-NIV2'!Q:Q)+SUMIF('AUX-NIV3'!I:I,Recursos!C470,'AUX-NIV3'!Q:Q)</f>
        <v>0</v>
      </c>
      <c r="H470" s="204">
        <f t="shared" si="30"/>
        <v>0</v>
      </c>
      <c r="I470" s="366">
        <f t="shared" ref="I470:I533" si="31">+H470/$I$3</f>
        <v>0</v>
      </c>
      <c r="J470" s="474"/>
      <c r="L470" s="83"/>
    </row>
    <row r="471" spans="2:12">
      <c r="B471" s="222"/>
      <c r="C471" s="206" t="s">
        <v>2404</v>
      </c>
      <c r="D471" s="200" t="s">
        <v>2405</v>
      </c>
      <c r="E471" s="201" t="s">
        <v>610</v>
      </c>
      <c r="F471" s="551">
        <v>14.3</v>
      </c>
      <c r="G471" s="203">
        <f>+SUMIF('AUX-NIV1'!I:I,Recursos!C471,'AUX-NIV1'!Q:Q)+SUMIF('AUX-NIV2'!I:I,Recursos!C471,'AUX-NIV2'!Q:Q)+SUMIF('AUX-NIV3'!I:I,Recursos!C471,'AUX-NIV3'!Q:Q)</f>
        <v>0</v>
      </c>
      <c r="H471" s="204">
        <f t="shared" si="30"/>
        <v>0</v>
      </c>
      <c r="I471" s="366">
        <f t="shared" si="31"/>
        <v>0</v>
      </c>
      <c r="J471" s="474"/>
      <c r="L471" s="83"/>
    </row>
    <row r="472" spans="2:12">
      <c r="B472" s="222"/>
      <c r="C472" s="206" t="s">
        <v>2406</v>
      </c>
      <c r="D472" s="200" t="s">
        <v>2407</v>
      </c>
      <c r="E472" s="201" t="s">
        <v>610</v>
      </c>
      <c r="F472" s="551">
        <v>4.95</v>
      </c>
      <c r="G472" s="203">
        <f>+SUMIF('AUX-NIV1'!I:I,Recursos!C472,'AUX-NIV1'!Q:Q)+SUMIF('AUX-NIV2'!I:I,Recursos!C472,'AUX-NIV2'!Q:Q)+SUMIF('AUX-NIV3'!I:I,Recursos!C472,'AUX-NIV3'!Q:Q)</f>
        <v>0</v>
      </c>
      <c r="H472" s="204">
        <f t="shared" si="30"/>
        <v>0</v>
      </c>
      <c r="I472" s="366">
        <f t="shared" si="31"/>
        <v>0</v>
      </c>
      <c r="J472" s="474"/>
      <c r="L472" s="83"/>
    </row>
    <row r="473" spans="2:12">
      <c r="B473" s="222"/>
      <c r="C473" s="206" t="s">
        <v>2408</v>
      </c>
      <c r="D473" s="200" t="s">
        <v>2409</v>
      </c>
      <c r="E473" s="201" t="s">
        <v>610</v>
      </c>
      <c r="F473" s="551">
        <v>93.15</v>
      </c>
      <c r="G473" s="203">
        <f>+SUMIF('AUX-NIV1'!I:I,Recursos!C473,'AUX-NIV1'!Q:Q)+SUMIF('AUX-NIV2'!I:I,Recursos!C473,'AUX-NIV2'!Q:Q)+SUMIF('AUX-NIV3'!I:I,Recursos!C473,'AUX-NIV3'!Q:Q)</f>
        <v>0</v>
      </c>
      <c r="H473" s="204">
        <f t="shared" si="30"/>
        <v>0</v>
      </c>
      <c r="I473" s="366">
        <f t="shared" si="31"/>
        <v>0</v>
      </c>
      <c r="J473" s="474"/>
      <c r="L473" s="83"/>
    </row>
    <row r="474" spans="2:12">
      <c r="B474" s="222"/>
      <c r="C474" s="206" t="s">
        <v>2410</v>
      </c>
      <c r="D474" s="200" t="s">
        <v>2411</v>
      </c>
      <c r="E474" s="201" t="s">
        <v>1233</v>
      </c>
      <c r="F474" s="551">
        <v>1</v>
      </c>
      <c r="G474" s="203">
        <f>+SUMIF('AUX-NIV1'!I:I,Recursos!C474,'AUX-NIV1'!Q:Q)+SUMIF('AUX-NIV2'!I:I,Recursos!C474,'AUX-NIV2'!Q:Q)+SUMIF('AUX-NIV3'!I:I,Recursos!C474,'AUX-NIV3'!Q:Q)</f>
        <v>0</v>
      </c>
      <c r="H474" s="204">
        <f t="shared" si="30"/>
        <v>0</v>
      </c>
      <c r="I474" s="366">
        <f t="shared" si="31"/>
        <v>0</v>
      </c>
      <c r="J474" s="474"/>
      <c r="L474" s="83"/>
    </row>
    <row r="475" spans="2:12">
      <c r="B475" s="222"/>
      <c r="C475" s="206" t="s">
        <v>2412</v>
      </c>
      <c r="D475" s="200" t="s">
        <v>2413</v>
      </c>
      <c r="E475" s="201" t="s">
        <v>1233</v>
      </c>
      <c r="F475" s="551">
        <v>110000</v>
      </c>
      <c r="G475" s="203">
        <f>+SUMIF('AUX-NIV1'!I:I,Recursos!C475,'AUX-NIV1'!Q:Q)+SUMIF('AUX-NIV2'!I:I,Recursos!C475,'AUX-NIV2'!Q:Q)+SUMIF('AUX-NIV3'!I:I,Recursos!C475,'AUX-NIV3'!Q:Q)</f>
        <v>0</v>
      </c>
      <c r="H475" s="204">
        <f t="shared" si="30"/>
        <v>0</v>
      </c>
      <c r="I475" s="366">
        <f t="shared" si="31"/>
        <v>0</v>
      </c>
      <c r="J475" s="474"/>
      <c r="L475" s="83"/>
    </row>
    <row r="476" spans="2:12">
      <c r="B476" s="222"/>
      <c r="C476" s="206" t="s">
        <v>2414</v>
      </c>
      <c r="D476" s="200" t="s">
        <v>2415</v>
      </c>
      <c r="E476" s="201" t="s">
        <v>1233</v>
      </c>
      <c r="F476" s="551">
        <v>66000</v>
      </c>
      <c r="G476" s="203">
        <f>+SUMIF('AUX-NIV1'!I:I,Recursos!C476,'AUX-NIV1'!Q:Q)+SUMIF('AUX-NIV2'!I:I,Recursos!C476,'AUX-NIV2'!Q:Q)+SUMIF('AUX-NIV3'!I:I,Recursos!C476,'AUX-NIV3'!Q:Q)</f>
        <v>0</v>
      </c>
      <c r="H476" s="204">
        <f t="shared" si="30"/>
        <v>0</v>
      </c>
      <c r="I476" s="366">
        <f t="shared" si="31"/>
        <v>0</v>
      </c>
      <c r="J476" s="474"/>
      <c r="L476" s="83"/>
    </row>
    <row r="477" spans="2:12">
      <c r="B477" s="222"/>
      <c r="C477" s="206" t="s">
        <v>2416</v>
      </c>
      <c r="D477" s="200" t="s">
        <v>2417</v>
      </c>
      <c r="E477" s="201" t="s">
        <v>610</v>
      </c>
      <c r="F477" s="551">
        <v>5000</v>
      </c>
      <c r="G477" s="203">
        <f>+SUMIF('AUX-NIV1'!I:I,Recursos!C477,'AUX-NIV1'!Q:Q)+SUMIF('AUX-NIV2'!I:I,Recursos!C477,'AUX-NIV2'!Q:Q)+SUMIF('AUX-NIV3'!I:I,Recursos!C477,'AUX-NIV3'!Q:Q)</f>
        <v>0</v>
      </c>
      <c r="H477" s="204">
        <f t="shared" si="30"/>
        <v>0</v>
      </c>
      <c r="I477" s="366">
        <f t="shared" si="31"/>
        <v>0</v>
      </c>
      <c r="J477" s="474"/>
      <c r="L477" s="83"/>
    </row>
    <row r="478" spans="2:12">
      <c r="B478" s="222"/>
      <c r="C478" s="206" t="s">
        <v>1812</v>
      </c>
      <c r="D478" s="200" t="s">
        <v>1813</v>
      </c>
      <c r="E478" s="201" t="s">
        <v>1814</v>
      </c>
      <c r="F478" s="551">
        <v>80</v>
      </c>
      <c r="G478" s="203">
        <f>+SUMIF('AUX-NIV1'!I:I,Recursos!C478,'AUX-NIV1'!Q:Q)+SUMIF('AUX-NIV2'!I:I,Recursos!C478,'AUX-NIV2'!Q:Q)+SUMIF('AUX-NIV3'!I:I,Recursos!C478,'AUX-NIV3'!Q:Q)</f>
        <v>0</v>
      </c>
      <c r="H478" s="204">
        <f t="shared" si="30"/>
        <v>0</v>
      </c>
      <c r="I478" s="366">
        <f t="shared" si="31"/>
        <v>0</v>
      </c>
      <c r="J478" s="474"/>
      <c r="L478" s="83"/>
    </row>
    <row r="479" spans="2:12">
      <c r="B479" s="222"/>
      <c r="C479" s="206" t="s">
        <v>2418</v>
      </c>
      <c r="D479" s="200" t="s">
        <v>2419</v>
      </c>
      <c r="E479" s="201" t="s">
        <v>610</v>
      </c>
      <c r="F479" s="551">
        <v>10000</v>
      </c>
      <c r="G479" s="203">
        <f>+SUMIF('AUX-NIV1'!I:I,Recursos!C479,'AUX-NIV1'!Q:Q)+SUMIF('AUX-NIV2'!I:I,Recursos!C479,'AUX-NIV2'!Q:Q)+SUMIF('AUX-NIV3'!I:I,Recursos!C479,'AUX-NIV3'!Q:Q)</f>
        <v>0</v>
      </c>
      <c r="H479" s="204">
        <f t="shared" si="30"/>
        <v>0</v>
      </c>
      <c r="I479" s="366">
        <f t="shared" si="31"/>
        <v>0</v>
      </c>
      <c r="J479" s="474"/>
      <c r="L479" s="83"/>
    </row>
    <row r="480" spans="2:12">
      <c r="B480" s="222"/>
      <c r="C480" s="206" t="s">
        <v>2420</v>
      </c>
      <c r="D480" s="200" t="s">
        <v>2421</v>
      </c>
      <c r="E480" s="201" t="s">
        <v>610</v>
      </c>
      <c r="F480" s="551">
        <v>24.84</v>
      </c>
      <c r="G480" s="203">
        <f>+SUMIF('AUX-NIV1'!I:I,Recursos!C480,'AUX-NIV1'!Q:Q)+SUMIF('AUX-NIV2'!I:I,Recursos!C480,'AUX-NIV2'!Q:Q)+SUMIF('AUX-NIV3'!I:I,Recursos!C480,'AUX-NIV3'!Q:Q)</f>
        <v>0</v>
      </c>
      <c r="H480" s="204">
        <f t="shared" si="30"/>
        <v>0</v>
      </c>
      <c r="I480" s="366">
        <f t="shared" si="31"/>
        <v>0</v>
      </c>
      <c r="J480" s="474"/>
      <c r="L480" s="83"/>
    </row>
    <row r="481" spans="2:12">
      <c r="B481" s="222"/>
      <c r="C481" s="206" t="s">
        <v>2422</v>
      </c>
      <c r="D481" s="200" t="s">
        <v>2423</v>
      </c>
      <c r="E481" s="201" t="s">
        <v>1233</v>
      </c>
      <c r="F481" s="551">
        <v>3300</v>
      </c>
      <c r="G481" s="203">
        <f>+SUMIF('AUX-NIV1'!I:I,Recursos!C481,'AUX-NIV1'!Q:Q)+SUMIF('AUX-NIV2'!I:I,Recursos!C481,'AUX-NIV2'!Q:Q)+SUMIF('AUX-NIV3'!I:I,Recursos!C481,'AUX-NIV3'!Q:Q)</f>
        <v>0</v>
      </c>
      <c r="H481" s="204">
        <f t="shared" si="30"/>
        <v>0</v>
      </c>
      <c r="I481" s="366">
        <f t="shared" si="31"/>
        <v>0</v>
      </c>
      <c r="J481" s="474"/>
      <c r="L481" s="83"/>
    </row>
    <row r="482" spans="2:12">
      <c r="B482" s="222"/>
      <c r="C482" s="206" t="s">
        <v>2424</v>
      </c>
      <c r="D482" s="200" t="s">
        <v>2425</v>
      </c>
      <c r="E482" s="201" t="s">
        <v>610</v>
      </c>
      <c r="F482" s="551">
        <v>55</v>
      </c>
      <c r="G482" s="203">
        <f>+SUMIF('AUX-NIV1'!I:I,Recursos!C482,'AUX-NIV1'!Q:Q)+SUMIF('AUX-NIV2'!I:I,Recursos!C482,'AUX-NIV2'!Q:Q)+SUMIF('AUX-NIV3'!I:I,Recursos!C482,'AUX-NIV3'!Q:Q)</f>
        <v>0</v>
      </c>
      <c r="H482" s="204">
        <f t="shared" si="30"/>
        <v>0</v>
      </c>
      <c r="I482" s="366">
        <f t="shared" si="31"/>
        <v>0</v>
      </c>
      <c r="J482" s="474"/>
      <c r="L482" s="83"/>
    </row>
    <row r="483" spans="2:12">
      <c r="B483" s="222"/>
      <c r="C483" s="206" t="s">
        <v>2426</v>
      </c>
      <c r="D483" s="200" t="s">
        <v>2427</v>
      </c>
      <c r="E483" s="201" t="s">
        <v>610</v>
      </c>
      <c r="F483" s="551">
        <v>1540</v>
      </c>
      <c r="G483" s="203">
        <f>+SUMIF('AUX-NIV1'!I:I,Recursos!C483,'AUX-NIV1'!Q:Q)+SUMIF('AUX-NIV2'!I:I,Recursos!C483,'AUX-NIV2'!Q:Q)+SUMIF('AUX-NIV3'!I:I,Recursos!C483,'AUX-NIV3'!Q:Q)</f>
        <v>0</v>
      </c>
      <c r="H483" s="204">
        <f t="shared" si="30"/>
        <v>0</v>
      </c>
      <c r="I483" s="366">
        <f t="shared" si="31"/>
        <v>0</v>
      </c>
      <c r="J483" s="474"/>
      <c r="L483" s="83"/>
    </row>
    <row r="484" spans="2:12">
      <c r="B484" s="222"/>
      <c r="C484" s="206" t="s">
        <v>2428</v>
      </c>
      <c r="D484" s="200" t="s">
        <v>2429</v>
      </c>
      <c r="E484" s="201" t="s">
        <v>610</v>
      </c>
      <c r="F484" s="551">
        <v>5980</v>
      </c>
      <c r="G484" s="203">
        <f>+SUMIF('AUX-NIV1'!I:I,Recursos!C484,'AUX-NIV1'!Q:Q)+SUMIF('AUX-NIV2'!I:I,Recursos!C484,'AUX-NIV2'!Q:Q)+SUMIF('AUX-NIV3'!I:I,Recursos!C484,'AUX-NIV3'!Q:Q)</f>
        <v>0</v>
      </c>
      <c r="H484" s="204">
        <f t="shared" si="30"/>
        <v>0</v>
      </c>
      <c r="I484" s="366">
        <f t="shared" si="31"/>
        <v>0</v>
      </c>
      <c r="J484" s="474"/>
      <c r="L484" s="83"/>
    </row>
    <row r="485" spans="2:12">
      <c r="B485" s="222"/>
      <c r="C485" s="206" t="s">
        <v>2430</v>
      </c>
      <c r="D485" s="200" t="s">
        <v>2431</v>
      </c>
      <c r="E485" s="201" t="s">
        <v>610</v>
      </c>
      <c r="F485" s="551">
        <v>10000</v>
      </c>
      <c r="G485" s="203">
        <f>+SUMIF('AUX-NIV1'!I:I,Recursos!C485,'AUX-NIV1'!Q:Q)+SUMIF('AUX-NIV2'!I:I,Recursos!C485,'AUX-NIV2'!Q:Q)+SUMIF('AUX-NIV3'!I:I,Recursos!C485,'AUX-NIV3'!Q:Q)</f>
        <v>0</v>
      </c>
      <c r="H485" s="204">
        <f t="shared" si="30"/>
        <v>0</v>
      </c>
      <c r="I485" s="366">
        <f t="shared" si="31"/>
        <v>0</v>
      </c>
      <c r="J485" s="474"/>
      <c r="L485" s="83"/>
    </row>
    <row r="486" spans="2:12">
      <c r="B486" s="222"/>
      <c r="C486" s="206" t="s">
        <v>2432</v>
      </c>
      <c r="D486" s="200" t="s">
        <v>2433</v>
      </c>
      <c r="E486" s="201" t="s">
        <v>610</v>
      </c>
      <c r="F486" s="551">
        <v>600</v>
      </c>
      <c r="G486" s="203">
        <f>+SUMIF('AUX-NIV1'!I:I,Recursos!C486,'AUX-NIV1'!Q:Q)+SUMIF('AUX-NIV2'!I:I,Recursos!C486,'AUX-NIV2'!Q:Q)+SUMIF('AUX-NIV3'!I:I,Recursos!C486,'AUX-NIV3'!Q:Q)</f>
        <v>0</v>
      </c>
      <c r="H486" s="204">
        <f t="shared" si="30"/>
        <v>0</v>
      </c>
      <c r="I486" s="366">
        <f t="shared" si="31"/>
        <v>0</v>
      </c>
      <c r="J486" s="474"/>
      <c r="L486" s="83"/>
    </row>
    <row r="487" spans="2:12">
      <c r="B487" s="222"/>
      <c r="C487" s="206" t="s">
        <v>2434</v>
      </c>
      <c r="D487" s="200" t="s">
        <v>620</v>
      </c>
      <c r="E487" s="201" t="s">
        <v>371</v>
      </c>
      <c r="F487" s="551">
        <v>6000</v>
      </c>
      <c r="G487" s="203">
        <f>+SUMIF('AUX-NIV1'!I:I,Recursos!C487,'AUX-NIV1'!Q:Q)+SUMIF('AUX-NIV2'!I:I,Recursos!C487,'AUX-NIV2'!Q:Q)+SUMIF('AUX-NIV3'!I:I,Recursos!C487,'AUX-NIV3'!Q:Q)</f>
        <v>0</v>
      </c>
      <c r="H487" s="204">
        <f t="shared" si="30"/>
        <v>0</v>
      </c>
      <c r="I487" s="366">
        <f t="shared" si="31"/>
        <v>0</v>
      </c>
      <c r="J487" s="474"/>
      <c r="L487" s="83"/>
    </row>
    <row r="488" spans="2:12">
      <c r="B488" s="222"/>
      <c r="C488" s="206" t="s">
        <v>2435</v>
      </c>
      <c r="D488" s="756" t="s">
        <v>622</v>
      </c>
      <c r="E488" s="201" t="s">
        <v>623</v>
      </c>
      <c r="F488" s="551">
        <v>1</v>
      </c>
      <c r="G488" s="203">
        <f>+SUMIF('AUX-NIV1'!I:I,Recursos!C488,'AUX-NIV1'!Q:Q)+SUMIF('AUX-NIV2'!I:I,Recursos!C488,'AUX-NIV2'!Q:Q)+SUMIF('AUX-NIV3'!I:I,Recursos!C488,'AUX-NIV3'!Q:Q)</f>
        <v>0</v>
      </c>
      <c r="H488" s="204">
        <f t="shared" si="30"/>
        <v>0</v>
      </c>
      <c r="I488" s="366">
        <f t="shared" si="31"/>
        <v>0</v>
      </c>
      <c r="J488" s="474"/>
      <c r="L488" s="83"/>
    </row>
    <row r="489" spans="2:12">
      <c r="B489" s="222"/>
      <c r="C489" s="206" t="s">
        <v>1815</v>
      </c>
      <c r="D489" s="200" t="s">
        <v>1816</v>
      </c>
      <c r="E489" s="201" t="s">
        <v>1411</v>
      </c>
      <c r="F489" s="551">
        <v>22.96</v>
      </c>
      <c r="G489" s="203">
        <f>+SUMIF('AUX-NIV1'!I:I,Recursos!C489,'AUX-NIV1'!Q:Q)+SUMIF('AUX-NIV2'!I:I,Recursos!C489,'AUX-NIV2'!Q:Q)+SUMIF('AUX-NIV3'!I:I,Recursos!C489,'AUX-NIV3'!Q:Q)</f>
        <v>0</v>
      </c>
      <c r="H489" s="204">
        <f t="shared" si="30"/>
        <v>0</v>
      </c>
      <c r="I489" s="366">
        <f t="shared" si="31"/>
        <v>0</v>
      </c>
      <c r="J489" s="474"/>
      <c r="L489" s="83"/>
    </row>
    <row r="490" spans="2:12">
      <c r="B490" s="222"/>
      <c r="C490" s="206" t="s">
        <v>2436</v>
      </c>
      <c r="D490" s="207" t="s">
        <v>2437</v>
      </c>
      <c r="E490" s="201" t="s">
        <v>453</v>
      </c>
      <c r="F490" s="551">
        <v>4000</v>
      </c>
      <c r="G490" s="203">
        <f>+SUMIF('AUX-NIV1'!I:I,Recursos!C490,'AUX-NIV1'!Q:Q)+SUMIF('AUX-NIV2'!I:I,Recursos!C490,'AUX-NIV2'!Q:Q)+SUMIF('AUX-NIV3'!I:I,Recursos!C490,'AUX-NIV3'!Q:Q)</f>
        <v>0</v>
      </c>
      <c r="H490" s="204">
        <f t="shared" si="30"/>
        <v>0</v>
      </c>
      <c r="I490" s="366">
        <f t="shared" si="31"/>
        <v>0</v>
      </c>
      <c r="J490" s="474"/>
      <c r="L490" s="83"/>
    </row>
    <row r="491" spans="2:12">
      <c r="B491" s="222"/>
      <c r="C491" s="206" t="s">
        <v>2436</v>
      </c>
      <c r="D491" s="207" t="s">
        <v>2438</v>
      </c>
      <c r="E491" s="201" t="s">
        <v>453</v>
      </c>
      <c r="F491" s="551">
        <v>2500</v>
      </c>
      <c r="G491" s="203">
        <f>+SUMIF('AUX-NIV1'!I:I,Recursos!C491,'AUX-NIV1'!Q:Q)+SUMIF('AUX-NIV2'!I:I,Recursos!C491,'AUX-NIV2'!Q:Q)+SUMIF('AUX-NIV3'!I:I,Recursos!C491,'AUX-NIV3'!Q:Q)</f>
        <v>0</v>
      </c>
      <c r="H491" s="204">
        <f t="shared" si="30"/>
        <v>0</v>
      </c>
      <c r="I491" s="366">
        <f t="shared" si="31"/>
        <v>0</v>
      </c>
      <c r="J491" s="474"/>
      <c r="L491" s="83"/>
    </row>
    <row r="492" spans="2:12">
      <c r="B492" s="222"/>
      <c r="C492" s="206" t="s">
        <v>2436</v>
      </c>
      <c r="D492" s="207" t="s">
        <v>2439</v>
      </c>
      <c r="E492" s="201" t="s">
        <v>2440</v>
      </c>
      <c r="F492" s="551">
        <v>0.26446280991735538</v>
      </c>
      <c r="G492" s="203">
        <f>+SUMIF('AUX-NIV1'!I:I,Recursos!C492,'AUX-NIV1'!Q:Q)+SUMIF('AUX-NIV2'!I:I,Recursos!C492,'AUX-NIV2'!Q:Q)+SUMIF('AUX-NIV3'!I:I,Recursos!C492,'AUX-NIV3'!Q:Q)</f>
        <v>0</v>
      </c>
      <c r="H492" s="204">
        <f t="shared" si="30"/>
        <v>0</v>
      </c>
      <c r="I492" s="366">
        <f t="shared" si="31"/>
        <v>0</v>
      </c>
      <c r="J492" s="474"/>
      <c r="L492" s="83"/>
    </row>
    <row r="493" spans="2:12">
      <c r="B493" s="222"/>
      <c r="C493" s="206" t="s">
        <v>2441</v>
      </c>
      <c r="D493" s="207" t="s">
        <v>2442</v>
      </c>
      <c r="E493" s="201" t="s">
        <v>2440</v>
      </c>
      <c r="F493" s="551">
        <v>7.9338842975206617E-2</v>
      </c>
      <c r="G493" s="203">
        <f>+SUMIF('AUX-NIV1'!I:I,Recursos!C493,'AUX-NIV1'!Q:Q)+SUMIF('AUX-NIV2'!I:I,Recursos!C493,'AUX-NIV2'!Q:Q)+SUMIF('AUX-NIV3'!I:I,Recursos!C493,'AUX-NIV3'!Q:Q)</f>
        <v>0</v>
      </c>
      <c r="H493" s="204">
        <f t="shared" si="30"/>
        <v>0</v>
      </c>
      <c r="I493" s="366">
        <f t="shared" si="31"/>
        <v>0</v>
      </c>
      <c r="J493" s="474"/>
      <c r="L493" s="83"/>
    </row>
    <row r="494" spans="2:12">
      <c r="B494" s="222"/>
      <c r="C494" s="206" t="s">
        <v>2441</v>
      </c>
      <c r="D494" s="207" t="s">
        <v>2443</v>
      </c>
      <c r="E494" s="201" t="s">
        <v>2440</v>
      </c>
      <c r="F494" s="551">
        <v>0.05</v>
      </c>
      <c r="G494" s="203">
        <f>+SUMIF('AUX-NIV1'!I:I,Recursos!C494,'AUX-NIV1'!Q:Q)+SUMIF('AUX-NIV2'!I:I,Recursos!C494,'AUX-NIV2'!Q:Q)+SUMIF('AUX-NIV3'!I:I,Recursos!C494,'AUX-NIV3'!Q:Q)</f>
        <v>0</v>
      </c>
      <c r="H494" s="204">
        <f t="shared" si="30"/>
        <v>0</v>
      </c>
      <c r="I494" s="366">
        <f t="shared" si="31"/>
        <v>0</v>
      </c>
      <c r="J494" s="474"/>
      <c r="L494" s="83"/>
    </row>
    <row r="495" spans="2:12">
      <c r="B495" s="222"/>
      <c r="C495" s="206" t="s">
        <v>2441</v>
      </c>
      <c r="D495" s="207" t="s">
        <v>2444</v>
      </c>
      <c r="E495" s="201" t="s">
        <v>2440</v>
      </c>
      <c r="F495" s="551">
        <v>0.128</v>
      </c>
      <c r="G495" s="203">
        <f>+SUMIF('AUX-NIV1'!I:I,Recursos!C495,'AUX-NIV1'!Q:Q)+SUMIF('AUX-NIV2'!I:I,Recursos!C495,'AUX-NIV2'!Q:Q)+SUMIF('AUX-NIV3'!I:I,Recursos!C495,'AUX-NIV3'!Q:Q)</f>
        <v>0</v>
      </c>
      <c r="H495" s="204">
        <f t="shared" si="30"/>
        <v>0</v>
      </c>
      <c r="I495" s="366">
        <f t="shared" si="31"/>
        <v>0</v>
      </c>
      <c r="J495" s="474"/>
      <c r="L495" s="83"/>
    </row>
    <row r="496" spans="2:12">
      <c r="B496" s="222"/>
      <c r="C496" s="206" t="s">
        <v>2445</v>
      </c>
      <c r="D496" s="200" t="s">
        <v>2446</v>
      </c>
      <c r="E496" s="201" t="s">
        <v>185</v>
      </c>
      <c r="F496" s="551">
        <v>7000</v>
      </c>
      <c r="G496" s="203">
        <f>+SUMIF('AUX-NIV1'!I:I,Recursos!C496,'AUX-NIV1'!Q:Q)+SUMIF('AUX-NIV2'!I:I,Recursos!C496,'AUX-NIV2'!Q:Q)+SUMIF('AUX-NIV3'!I:I,Recursos!C496,'AUX-NIV3'!Q:Q)</f>
        <v>0</v>
      </c>
      <c r="H496" s="204">
        <f t="shared" si="30"/>
        <v>0</v>
      </c>
      <c r="I496" s="366">
        <f t="shared" si="31"/>
        <v>0</v>
      </c>
      <c r="J496" s="474"/>
      <c r="L496" s="83"/>
    </row>
    <row r="497" spans="2:12">
      <c r="B497" s="222"/>
      <c r="C497" s="206" t="s">
        <v>2447</v>
      </c>
      <c r="D497" s="200" t="s">
        <v>2448</v>
      </c>
      <c r="E497" s="201" t="s">
        <v>185</v>
      </c>
      <c r="F497" s="551">
        <v>12000</v>
      </c>
      <c r="G497" s="203">
        <f>+SUMIF('AUX-NIV1'!I:I,Recursos!C497,'AUX-NIV1'!Q:Q)+SUMIF('AUX-NIV2'!I:I,Recursos!C497,'AUX-NIV2'!Q:Q)+SUMIF('AUX-NIV3'!I:I,Recursos!C497,'AUX-NIV3'!Q:Q)</f>
        <v>0</v>
      </c>
      <c r="H497" s="204">
        <f t="shared" si="30"/>
        <v>0</v>
      </c>
      <c r="I497" s="366">
        <f t="shared" si="31"/>
        <v>0</v>
      </c>
      <c r="J497" s="474"/>
      <c r="L497" s="83"/>
    </row>
    <row r="498" spans="2:12">
      <c r="B498" s="222"/>
      <c r="C498" s="206" t="s">
        <v>2449</v>
      </c>
      <c r="D498" s="200" t="s">
        <v>2450</v>
      </c>
      <c r="E498" s="201" t="s">
        <v>185</v>
      </c>
      <c r="F498" s="551">
        <v>14000</v>
      </c>
      <c r="G498" s="203">
        <f>+SUMIF('AUX-NIV1'!I:I,Recursos!C498,'AUX-NIV1'!Q:Q)+SUMIF('AUX-NIV2'!I:I,Recursos!C498,'AUX-NIV2'!Q:Q)+SUMIF('AUX-NIV3'!I:I,Recursos!C498,'AUX-NIV3'!Q:Q)</f>
        <v>0</v>
      </c>
      <c r="H498" s="204">
        <f t="shared" si="30"/>
        <v>0</v>
      </c>
      <c r="I498" s="366">
        <f t="shared" si="31"/>
        <v>0</v>
      </c>
      <c r="J498" s="474"/>
      <c r="L498" s="83"/>
    </row>
    <row r="499" spans="2:12">
      <c r="B499" s="222"/>
      <c r="C499" s="206" t="s">
        <v>1817</v>
      </c>
      <c r="D499" s="200" t="s">
        <v>1818</v>
      </c>
      <c r="E499" s="201" t="s">
        <v>1411</v>
      </c>
      <c r="F499" s="551">
        <v>27.55</v>
      </c>
      <c r="G499" s="203">
        <f>+SUMIF('AUX-NIV1'!I:I,Recursos!C499,'AUX-NIV1'!Q:Q)+SUMIF('AUX-NIV2'!I:I,Recursos!C499,'AUX-NIV2'!Q:Q)+SUMIF('AUX-NIV3'!I:I,Recursos!C499,'AUX-NIV3'!Q:Q)</f>
        <v>0</v>
      </c>
      <c r="H499" s="204">
        <f t="shared" si="30"/>
        <v>0</v>
      </c>
      <c r="I499" s="366">
        <f t="shared" si="31"/>
        <v>0</v>
      </c>
      <c r="J499" s="474"/>
      <c r="L499" s="83"/>
    </row>
    <row r="500" spans="2:12">
      <c r="B500" s="222"/>
      <c r="C500" s="206" t="s">
        <v>1819</v>
      </c>
      <c r="D500" s="200" t="s">
        <v>1820</v>
      </c>
      <c r="E500" s="201" t="s">
        <v>185</v>
      </c>
      <c r="F500" s="551">
        <v>13500</v>
      </c>
      <c r="G500" s="203">
        <f>+SUMIF('AUX-NIV1'!I:I,Recursos!C500,'AUX-NIV1'!Q:Q)+SUMIF('AUX-NIV2'!I:I,Recursos!C500,'AUX-NIV2'!Q:Q)+SUMIF('AUX-NIV3'!I:I,Recursos!C500,'AUX-NIV3'!Q:Q)</f>
        <v>0</v>
      </c>
      <c r="H500" s="204">
        <f t="shared" si="30"/>
        <v>0</v>
      </c>
      <c r="I500" s="366">
        <f t="shared" si="31"/>
        <v>0</v>
      </c>
      <c r="J500" s="474"/>
      <c r="L500" s="83"/>
    </row>
    <row r="501" spans="2:12">
      <c r="B501" s="222"/>
      <c r="C501" s="206" t="s">
        <v>1821</v>
      </c>
      <c r="D501" s="200" t="s">
        <v>1822</v>
      </c>
      <c r="E501" s="201" t="s">
        <v>185</v>
      </c>
      <c r="F501" s="553">
        <f>136*usd</f>
        <v>13878.8</v>
      </c>
      <c r="G501" s="203">
        <f>+SUMIF('AUX-NIV1'!I:I,Recursos!C501,'AUX-NIV1'!Q:Q)+SUMIF('AUX-NIV2'!I:I,Recursos!C501,'AUX-NIV2'!Q:Q)+SUMIF('AUX-NIV3'!I:I,Recursos!C501,'AUX-NIV3'!Q:Q)</f>
        <v>0</v>
      </c>
      <c r="H501" s="204">
        <f t="shared" si="30"/>
        <v>0</v>
      </c>
      <c r="I501" s="366">
        <f t="shared" si="31"/>
        <v>0</v>
      </c>
      <c r="J501" s="474"/>
      <c r="L501" s="83"/>
    </row>
    <row r="502" spans="2:12">
      <c r="B502" s="222"/>
      <c r="C502" s="206" t="s">
        <v>1823</v>
      </c>
      <c r="D502" s="200" t="s">
        <v>1824</v>
      </c>
      <c r="E502" s="201" t="s">
        <v>185</v>
      </c>
      <c r="F502" s="551">
        <v>230</v>
      </c>
      <c r="G502" s="203">
        <f>+SUMIF('AUX-NIV1'!I:I,Recursos!C502,'AUX-NIV1'!Q:Q)+SUMIF('AUX-NIV2'!I:I,Recursos!C502,'AUX-NIV2'!Q:Q)+SUMIF('AUX-NIV3'!I:I,Recursos!C502,'AUX-NIV3'!Q:Q)</f>
        <v>0</v>
      </c>
      <c r="H502" s="204">
        <f t="shared" si="30"/>
        <v>0</v>
      </c>
      <c r="I502" s="366">
        <f t="shared" si="31"/>
        <v>0</v>
      </c>
      <c r="J502" s="474"/>
      <c r="L502" s="83"/>
    </row>
    <row r="503" spans="2:12">
      <c r="B503" s="222"/>
      <c r="C503" s="206" t="s">
        <v>1825</v>
      </c>
      <c r="D503" s="200" t="s">
        <v>1826</v>
      </c>
      <c r="E503" s="201" t="s">
        <v>185</v>
      </c>
      <c r="F503" s="553">
        <f>32*usd</f>
        <v>3265.6</v>
      </c>
      <c r="G503" s="203">
        <f>+SUMIF('AUX-NIV1'!I:I,Recursos!C503,'AUX-NIV1'!Q:Q)+SUMIF('AUX-NIV2'!I:I,Recursos!C503,'AUX-NIV2'!Q:Q)+SUMIF('AUX-NIV3'!I:I,Recursos!C503,'AUX-NIV3'!Q:Q)</f>
        <v>0</v>
      </c>
      <c r="H503" s="204">
        <f t="shared" si="30"/>
        <v>0</v>
      </c>
      <c r="I503" s="366">
        <f t="shared" si="31"/>
        <v>0</v>
      </c>
      <c r="J503" s="474"/>
      <c r="L503" s="83"/>
    </row>
    <row r="504" spans="2:12">
      <c r="B504" s="222"/>
      <c r="C504" s="206" t="s">
        <v>1827</v>
      </c>
      <c r="D504" s="200" t="s">
        <v>1828</v>
      </c>
      <c r="E504" s="201" t="s">
        <v>185</v>
      </c>
      <c r="F504" s="551">
        <v>185</v>
      </c>
      <c r="G504" s="203">
        <f>+SUMIF('AUX-NIV1'!I:I,Recursos!C504,'AUX-NIV1'!Q:Q)+SUMIF('AUX-NIV2'!I:I,Recursos!C504,'AUX-NIV2'!Q:Q)+SUMIF('AUX-NIV3'!I:I,Recursos!C504,'AUX-NIV3'!Q:Q)</f>
        <v>0</v>
      </c>
      <c r="H504" s="204">
        <f t="shared" si="30"/>
        <v>0</v>
      </c>
      <c r="I504" s="366">
        <f t="shared" si="31"/>
        <v>0</v>
      </c>
      <c r="J504" s="474"/>
      <c r="L504" s="83"/>
    </row>
    <row r="505" spans="2:12">
      <c r="B505" s="222"/>
      <c r="C505" s="206" t="s">
        <v>1829</v>
      </c>
      <c r="D505" s="200" t="s">
        <v>1830</v>
      </c>
      <c r="E505" s="201" t="s">
        <v>185</v>
      </c>
      <c r="F505" s="553">
        <f>46.3*usd</f>
        <v>4724.915</v>
      </c>
      <c r="G505" s="203">
        <f>+SUMIF('AUX-NIV1'!I:I,Recursos!C505,'AUX-NIV1'!Q:Q)+SUMIF('AUX-NIV2'!I:I,Recursos!C505,'AUX-NIV2'!Q:Q)+SUMIF('AUX-NIV3'!I:I,Recursos!C505,'AUX-NIV3'!Q:Q)</f>
        <v>0</v>
      </c>
      <c r="H505" s="204">
        <f t="shared" si="30"/>
        <v>0</v>
      </c>
      <c r="I505" s="366">
        <f t="shared" si="31"/>
        <v>0</v>
      </c>
      <c r="J505" s="474"/>
      <c r="L505" s="83"/>
    </row>
    <row r="506" spans="2:12">
      <c r="B506" s="222"/>
      <c r="C506" s="206" t="s">
        <v>1831</v>
      </c>
      <c r="D506" s="200" t="s">
        <v>1832</v>
      </c>
      <c r="E506" s="201" t="s">
        <v>477</v>
      </c>
      <c r="F506" s="551">
        <v>125</v>
      </c>
      <c r="G506" s="203">
        <f>+SUMIF('AUX-NIV1'!I:I,Recursos!C506,'AUX-NIV1'!Q:Q)+SUMIF('AUX-NIV2'!I:I,Recursos!C506,'AUX-NIV2'!Q:Q)+SUMIF('AUX-NIV3'!I:I,Recursos!C506,'AUX-NIV3'!Q:Q)</f>
        <v>0</v>
      </c>
      <c r="H506" s="204">
        <f t="shared" si="30"/>
        <v>0</v>
      </c>
      <c r="I506" s="366">
        <f t="shared" si="31"/>
        <v>0</v>
      </c>
      <c r="J506" s="474"/>
      <c r="L506" s="83"/>
    </row>
    <row r="507" spans="2:12">
      <c r="B507" s="222"/>
      <c r="C507" s="206" t="s">
        <v>1833</v>
      </c>
      <c r="D507" s="200" t="s">
        <v>1118</v>
      </c>
      <c r="E507" s="201" t="s">
        <v>546</v>
      </c>
      <c r="F507" s="551">
        <v>0.1</v>
      </c>
      <c r="G507" s="203">
        <f>+SUMIF('AUX-NIV1'!I:I,Recursos!C507,'AUX-NIV1'!Q:Q)+SUMIF('AUX-NIV2'!I:I,Recursos!C507,'AUX-NIV2'!Q:Q)+SUMIF('AUX-NIV3'!I:I,Recursos!C507,'AUX-NIV3'!Q:Q)</f>
        <v>0</v>
      </c>
      <c r="H507" s="204">
        <f t="shared" si="30"/>
        <v>0</v>
      </c>
      <c r="I507" s="366">
        <f t="shared" si="31"/>
        <v>0</v>
      </c>
      <c r="J507" s="474"/>
      <c r="L507" s="83"/>
    </row>
    <row r="508" spans="2:12">
      <c r="B508" s="222"/>
      <c r="C508" s="206" t="s">
        <v>1834</v>
      </c>
      <c r="D508" s="200" t="s">
        <v>461</v>
      </c>
      <c r="E508" s="201" t="s">
        <v>462</v>
      </c>
      <c r="F508" s="551">
        <v>16.964717999999998</v>
      </c>
      <c r="G508" s="203">
        <f>+SUMIF('AUX-NIV1'!I:I,Recursos!C508,'AUX-NIV1'!Q:Q)+SUMIF('AUX-NIV2'!I:I,Recursos!C508,'AUX-NIV2'!Q:Q)+SUMIF('AUX-NIV3'!I:I,Recursos!C508,'AUX-NIV3'!Q:Q)</f>
        <v>0</v>
      </c>
      <c r="H508" s="204">
        <f t="shared" si="30"/>
        <v>0</v>
      </c>
      <c r="I508" s="366">
        <f t="shared" si="31"/>
        <v>0</v>
      </c>
      <c r="J508" s="474"/>
      <c r="L508" s="83"/>
    </row>
    <row r="509" spans="2:12">
      <c r="B509" s="222"/>
      <c r="C509" s="206" t="s">
        <v>1835</v>
      </c>
      <c r="D509" s="200" t="s">
        <v>464</v>
      </c>
      <c r="E509" s="201" t="s">
        <v>462</v>
      </c>
      <c r="F509" s="551">
        <v>18.902178899999999</v>
      </c>
      <c r="G509" s="203">
        <f>+SUMIF('AUX-NIV1'!I:I,Recursos!C509,'AUX-NIV1'!Q:Q)+SUMIF('AUX-NIV2'!I:I,Recursos!C509,'AUX-NIV2'!Q:Q)+SUMIF('AUX-NIV3'!I:I,Recursos!C509,'AUX-NIV3'!Q:Q)</f>
        <v>0</v>
      </c>
      <c r="H509" s="204">
        <f t="shared" si="30"/>
        <v>0</v>
      </c>
      <c r="I509" s="366">
        <f t="shared" si="31"/>
        <v>0</v>
      </c>
      <c r="J509" s="474"/>
      <c r="L509" s="83"/>
    </row>
    <row r="510" spans="2:12">
      <c r="B510" s="222"/>
      <c r="C510" s="206" t="s">
        <v>1836</v>
      </c>
      <c r="D510" s="200" t="s">
        <v>890</v>
      </c>
      <c r="E510" s="201" t="s">
        <v>477</v>
      </c>
      <c r="F510" s="551">
        <v>450</v>
      </c>
      <c r="G510" s="203">
        <f>+SUMIF('AUX-NIV1'!I:I,Recursos!C510,'AUX-NIV1'!Q:Q)+SUMIF('AUX-NIV2'!I:I,Recursos!C510,'AUX-NIV2'!Q:Q)+SUMIF('AUX-NIV3'!I:I,Recursos!C510,'AUX-NIV3'!Q:Q)</f>
        <v>0</v>
      </c>
      <c r="H510" s="204">
        <f t="shared" si="30"/>
        <v>0</v>
      </c>
      <c r="I510" s="366">
        <f t="shared" si="31"/>
        <v>0</v>
      </c>
      <c r="J510" s="474"/>
      <c r="L510" s="83"/>
    </row>
    <row r="511" spans="2:12">
      <c r="B511" s="222"/>
      <c r="C511" s="206" t="s">
        <v>1837</v>
      </c>
      <c r="D511" s="200" t="s">
        <v>892</v>
      </c>
      <c r="E511" s="201" t="s">
        <v>477</v>
      </c>
      <c r="F511" s="551">
        <v>10</v>
      </c>
      <c r="G511" s="203">
        <f>+SUMIF('AUX-NIV1'!I:I,Recursos!C511,'AUX-NIV1'!Q:Q)+SUMIF('AUX-NIV2'!I:I,Recursos!C511,'AUX-NIV2'!Q:Q)+SUMIF('AUX-NIV3'!I:I,Recursos!C511,'AUX-NIV3'!Q:Q)</f>
        <v>0</v>
      </c>
      <c r="H511" s="204">
        <f t="shared" si="30"/>
        <v>0</v>
      </c>
      <c r="I511" s="366">
        <f t="shared" si="31"/>
        <v>0</v>
      </c>
      <c r="J511" s="474"/>
      <c r="L511" s="83"/>
    </row>
    <row r="512" spans="2:12">
      <c r="B512" s="222"/>
      <c r="C512" s="206" t="s">
        <v>1838</v>
      </c>
      <c r="D512" s="200" t="s">
        <v>1839</v>
      </c>
      <c r="E512" s="201" t="s">
        <v>1840</v>
      </c>
      <c r="F512" s="551">
        <v>415.75</v>
      </c>
      <c r="G512" s="203">
        <f>+SUMIF('AUX-NIV1'!I:I,Recursos!C512,'AUX-NIV1'!Q:Q)+SUMIF('AUX-NIV2'!I:I,Recursos!C512,'AUX-NIV2'!Q:Q)+SUMIF('AUX-NIV3'!I:I,Recursos!C512,'AUX-NIV3'!Q:Q)</f>
        <v>0</v>
      </c>
      <c r="H512" s="204">
        <f t="shared" si="30"/>
        <v>0</v>
      </c>
      <c r="I512" s="366">
        <f t="shared" si="31"/>
        <v>0</v>
      </c>
      <c r="J512" s="474"/>
      <c r="L512" s="83"/>
    </row>
    <row r="513" spans="2:67">
      <c r="B513" s="222"/>
      <c r="C513" s="206" t="s">
        <v>1841</v>
      </c>
      <c r="D513" s="200" t="s">
        <v>1842</v>
      </c>
      <c r="E513" s="201" t="s">
        <v>1840</v>
      </c>
      <c r="F513" s="551">
        <v>230</v>
      </c>
      <c r="G513" s="203">
        <f>+SUMIF('AUX-NIV1'!I:I,Recursos!C513,'AUX-NIV1'!Q:Q)+SUMIF('AUX-NIV2'!I:I,Recursos!C513,'AUX-NIV2'!Q:Q)+SUMIF('AUX-NIV3'!I:I,Recursos!C513,'AUX-NIV3'!Q:Q)</f>
        <v>0</v>
      </c>
      <c r="H513" s="204">
        <f t="shared" si="30"/>
        <v>0</v>
      </c>
      <c r="I513" s="366">
        <f t="shared" si="31"/>
        <v>0</v>
      </c>
      <c r="J513" s="474"/>
      <c r="L513" s="83"/>
    </row>
    <row r="514" spans="2:67">
      <c r="B514" s="222"/>
      <c r="C514" s="206" t="s">
        <v>1843</v>
      </c>
      <c r="D514" s="200" t="s">
        <v>1844</v>
      </c>
      <c r="E514" s="201" t="s">
        <v>462</v>
      </c>
      <c r="F514" s="551">
        <v>520</v>
      </c>
      <c r="G514" s="203">
        <f>+SUMIF('AUX-NIV1'!I:I,Recursos!C514,'AUX-NIV1'!Q:Q)+SUMIF('AUX-NIV2'!I:I,Recursos!C514,'AUX-NIV2'!Q:Q)+SUMIF('AUX-NIV3'!I:I,Recursos!C514,'AUX-NIV3'!Q:Q)</f>
        <v>0</v>
      </c>
      <c r="H514" s="204">
        <f t="shared" si="30"/>
        <v>0</v>
      </c>
      <c r="I514" s="366">
        <f t="shared" si="31"/>
        <v>0</v>
      </c>
      <c r="J514" s="474"/>
      <c r="L514" s="83"/>
    </row>
    <row r="515" spans="2:67">
      <c r="B515" s="222"/>
      <c r="C515" s="206" t="s">
        <v>1845</v>
      </c>
      <c r="D515" s="200" t="s">
        <v>467</v>
      </c>
      <c r="E515" s="201" t="s">
        <v>468</v>
      </c>
      <c r="F515" s="551">
        <v>6</v>
      </c>
      <c r="G515" s="203">
        <f>+SUMIF('AUX-NIV1'!I:I,Recursos!C515,'AUX-NIV1'!Q:Q)+SUMIF('AUX-NIV2'!I:I,Recursos!C515,'AUX-NIV2'!Q:Q)+SUMIF('AUX-NIV3'!I:I,Recursos!C515,'AUX-NIV3'!Q:Q)</f>
        <v>0</v>
      </c>
      <c r="H515" s="204">
        <f t="shared" si="30"/>
        <v>0</v>
      </c>
      <c r="I515" s="366">
        <f t="shared" si="31"/>
        <v>0</v>
      </c>
      <c r="J515" s="474"/>
      <c r="L515" s="83"/>
    </row>
    <row r="516" spans="2:67">
      <c r="B516" s="222"/>
      <c r="C516" s="206" t="s">
        <v>1846</v>
      </c>
      <c r="D516" s="200" t="s">
        <v>470</v>
      </c>
      <c r="E516" s="201" t="s">
        <v>462</v>
      </c>
      <c r="F516" s="551">
        <v>65</v>
      </c>
      <c r="G516" s="203">
        <f>+SUMIF('AUX-NIV1'!I:I,Recursos!C516,'AUX-NIV1'!Q:Q)+SUMIF('AUX-NIV2'!I:I,Recursos!C516,'AUX-NIV2'!Q:Q)+SUMIF('AUX-NIV3'!I:I,Recursos!C516,'AUX-NIV3'!Q:Q)</f>
        <v>0</v>
      </c>
      <c r="H516" s="204">
        <f t="shared" si="30"/>
        <v>0</v>
      </c>
      <c r="I516" s="366">
        <f t="shared" si="31"/>
        <v>0</v>
      </c>
      <c r="J516" s="474"/>
      <c r="L516" s="83"/>
    </row>
    <row r="517" spans="2:67">
      <c r="B517" s="222"/>
      <c r="C517" s="206" t="s">
        <v>1847</v>
      </c>
      <c r="D517" s="200" t="s">
        <v>472</v>
      </c>
      <c r="E517" s="201" t="s">
        <v>462</v>
      </c>
      <c r="F517" s="551">
        <v>15</v>
      </c>
      <c r="G517" s="203">
        <f>+SUMIF('AUX-NIV1'!I:I,Recursos!C517,'AUX-NIV1'!Q:Q)+SUMIF('AUX-NIV2'!I:I,Recursos!C517,'AUX-NIV2'!Q:Q)+SUMIF('AUX-NIV3'!I:I,Recursos!C517,'AUX-NIV3'!Q:Q)</f>
        <v>0</v>
      </c>
      <c r="H517" s="204">
        <f t="shared" si="30"/>
        <v>0</v>
      </c>
      <c r="I517" s="366">
        <f t="shared" si="31"/>
        <v>0</v>
      </c>
      <c r="J517" s="474"/>
      <c r="L517" s="83"/>
    </row>
    <row r="518" spans="2:67">
      <c r="B518" s="222"/>
      <c r="C518" s="206" t="s">
        <v>1848</v>
      </c>
      <c r="D518" s="200" t="s">
        <v>474</v>
      </c>
      <c r="E518" s="201" t="s">
        <v>462</v>
      </c>
      <c r="F518" s="551">
        <v>12</v>
      </c>
      <c r="G518" s="203">
        <f>+SUMIF('AUX-NIV1'!I:I,Recursos!C518,'AUX-NIV1'!Q:Q)+SUMIF('AUX-NIV2'!I:I,Recursos!C518,'AUX-NIV2'!Q:Q)+SUMIF('AUX-NIV3'!I:I,Recursos!C518,'AUX-NIV3'!Q:Q)</f>
        <v>0</v>
      </c>
      <c r="H518" s="204">
        <f t="shared" si="30"/>
        <v>0</v>
      </c>
      <c r="I518" s="366">
        <f t="shared" si="31"/>
        <v>0</v>
      </c>
      <c r="J518" s="474"/>
      <c r="L518" s="83"/>
    </row>
    <row r="519" spans="2:67">
      <c r="B519" s="222"/>
      <c r="C519" s="206" t="s">
        <v>1849</v>
      </c>
      <c r="D519" s="200" t="s">
        <v>476</v>
      </c>
      <c r="E519" s="201" t="s">
        <v>477</v>
      </c>
      <c r="F519" s="551">
        <v>15</v>
      </c>
      <c r="G519" s="203">
        <f>+SUMIF('AUX-NIV1'!I:I,Recursos!C519,'AUX-NIV1'!Q:Q)+SUMIF('AUX-NIV2'!I:I,Recursos!C519,'AUX-NIV2'!Q:Q)+SUMIF('AUX-NIV3'!I:I,Recursos!C519,'AUX-NIV3'!Q:Q)</f>
        <v>0</v>
      </c>
      <c r="H519" s="204">
        <f t="shared" si="30"/>
        <v>0</v>
      </c>
      <c r="I519" s="366">
        <f t="shared" si="31"/>
        <v>0</v>
      </c>
      <c r="J519" s="474"/>
      <c r="L519" s="83"/>
    </row>
    <row r="520" spans="2:67">
      <c r="B520" s="222"/>
      <c r="C520" s="206" t="s">
        <v>1850</v>
      </c>
      <c r="D520" s="200" t="s">
        <v>1851</v>
      </c>
      <c r="E520" s="201" t="s">
        <v>501</v>
      </c>
      <c r="F520" s="553">
        <v>7200</v>
      </c>
      <c r="G520" s="203">
        <f>+SUMIF('AUX-NIV1'!I:I,Recursos!C520,'AUX-NIV1'!Q:Q)+SUMIF('AUX-NIV2'!I:I,Recursos!C520,'AUX-NIV2'!Q:Q)+SUMIF('AUX-NIV3'!I:I,Recursos!C520,'AUX-NIV3'!Q:Q)</f>
        <v>0</v>
      </c>
      <c r="H520" s="204">
        <f t="shared" si="30"/>
        <v>0</v>
      </c>
      <c r="I520" s="366">
        <f t="shared" si="31"/>
        <v>0</v>
      </c>
      <c r="J520" s="474"/>
      <c r="L520" s="83"/>
    </row>
    <row r="521" spans="2:67">
      <c r="B521" s="222"/>
      <c r="C521" s="206" t="s">
        <v>1852</v>
      </c>
      <c r="D521" s="200" t="s">
        <v>1853</v>
      </c>
      <c r="E521" s="201" t="s">
        <v>450</v>
      </c>
      <c r="F521" s="551">
        <v>2.2229999999999999</v>
      </c>
      <c r="G521" s="203">
        <f>+SUMIF('AUX-NIV1'!I:I,Recursos!C521,'AUX-NIV1'!Q:Q)+SUMIF('AUX-NIV2'!I:I,Recursos!C521,'AUX-NIV2'!Q:Q)+SUMIF('AUX-NIV3'!I:I,Recursos!C521,'AUX-NIV3'!Q:Q)</f>
        <v>0</v>
      </c>
      <c r="H521" s="204">
        <f t="shared" si="30"/>
        <v>0</v>
      </c>
      <c r="I521" s="366">
        <f t="shared" si="31"/>
        <v>0</v>
      </c>
      <c r="J521" s="474"/>
      <c r="L521" s="83"/>
    </row>
    <row r="522" spans="2:67">
      <c r="B522" s="222"/>
      <c r="C522" s="206" t="s">
        <v>1854</v>
      </c>
      <c r="D522" s="200" t="s">
        <v>481</v>
      </c>
      <c r="E522" s="201" t="s">
        <v>450</v>
      </c>
      <c r="F522" s="551">
        <v>5.8</v>
      </c>
      <c r="G522" s="203">
        <f>+SUMIF('AUX-NIV1'!I:I,Recursos!C522,'AUX-NIV1'!Q:Q)+SUMIF('AUX-NIV2'!I:I,Recursos!C522,'AUX-NIV2'!Q:Q)+SUMIF('AUX-NIV3'!I:I,Recursos!C522,'AUX-NIV3'!Q:Q)</f>
        <v>0</v>
      </c>
      <c r="H522" s="204">
        <f t="shared" si="30"/>
        <v>0</v>
      </c>
      <c r="I522" s="366">
        <f t="shared" si="31"/>
        <v>0</v>
      </c>
      <c r="J522" s="474"/>
      <c r="L522" s="83"/>
    </row>
    <row r="523" spans="2:67">
      <c r="B523" s="222"/>
      <c r="C523" s="206" t="s">
        <v>1855</v>
      </c>
      <c r="D523" s="207" t="s">
        <v>581</v>
      </c>
      <c r="E523" s="201" t="s">
        <v>450</v>
      </c>
      <c r="F523" s="551">
        <v>50.4</v>
      </c>
      <c r="G523" s="203">
        <f>+SUMIF('AUX-NIV1'!I:I,Recursos!C523,'AUX-NIV1'!Q:Q)+SUMIF('AUX-NIV2'!I:I,Recursos!C523,'AUX-NIV2'!Q:Q)+SUMIF('AUX-NIV3'!I:I,Recursos!C523,'AUX-NIV3'!Q:Q)</f>
        <v>0</v>
      </c>
      <c r="H523" s="204">
        <f t="shared" si="30"/>
        <v>0</v>
      </c>
      <c r="I523" s="366">
        <f t="shared" si="31"/>
        <v>0</v>
      </c>
      <c r="J523" s="474"/>
      <c r="L523" s="1610"/>
      <c r="BO523" s="912"/>
    </row>
    <row r="524" spans="2:67">
      <c r="B524" s="222"/>
      <c r="C524" s="206" t="s">
        <v>1856</v>
      </c>
      <c r="D524" s="756" t="s">
        <v>496</v>
      </c>
      <c r="E524" s="201" t="s">
        <v>450</v>
      </c>
      <c r="F524" s="551">
        <v>108</v>
      </c>
      <c r="G524" s="203">
        <f>+SUMIF('AUX-NIV1'!I:I,Recursos!C524,'AUX-NIV1'!Q:Q)+SUMIF('AUX-NIV2'!I:I,Recursos!C524,'AUX-NIV2'!Q:Q)+SUMIF('AUX-NIV3'!I:I,Recursos!C524,'AUX-NIV3'!Q:Q)</f>
        <v>0</v>
      </c>
      <c r="H524" s="204">
        <f t="shared" si="30"/>
        <v>0</v>
      </c>
      <c r="I524" s="366">
        <f t="shared" si="31"/>
        <v>0</v>
      </c>
      <c r="J524" s="474"/>
      <c r="L524" s="83"/>
    </row>
    <row r="525" spans="2:67">
      <c r="B525" s="222"/>
      <c r="C525" s="206" t="s">
        <v>1857</v>
      </c>
      <c r="D525" s="200" t="s">
        <v>1858</v>
      </c>
      <c r="E525" s="201" t="s">
        <v>450</v>
      </c>
      <c r="F525" s="551">
        <v>3.7509999999999999</v>
      </c>
      <c r="G525" s="203">
        <f>+SUMIF('AUX-NIV1'!I:I,Recursos!C525,'AUX-NIV1'!Q:Q)+SUMIF('AUX-NIV2'!I:I,Recursos!C525,'AUX-NIV2'!Q:Q)+SUMIF('AUX-NIV3'!I:I,Recursos!C525,'AUX-NIV3'!Q:Q)</f>
        <v>0</v>
      </c>
      <c r="H525" s="204">
        <f t="shared" si="30"/>
        <v>0</v>
      </c>
      <c r="I525" s="366">
        <f t="shared" si="31"/>
        <v>0</v>
      </c>
      <c r="J525" s="474"/>
      <c r="L525" s="83"/>
    </row>
    <row r="526" spans="2:67">
      <c r="B526" s="222"/>
      <c r="C526" s="206" t="s">
        <v>1859</v>
      </c>
      <c r="D526" s="200" t="s">
        <v>625</v>
      </c>
      <c r="E526" s="201" t="s">
        <v>450</v>
      </c>
      <c r="F526" s="551">
        <v>1.2649999999999999</v>
      </c>
      <c r="G526" s="203">
        <f>+SUMIF('AUX-NIV1'!I:I,Recursos!C526,'AUX-NIV1'!Q:Q)+SUMIF('AUX-NIV2'!I:I,Recursos!C526,'AUX-NIV2'!Q:Q)+SUMIF('AUX-NIV3'!I:I,Recursos!C526,'AUX-NIV3'!Q:Q)</f>
        <v>0</v>
      </c>
      <c r="H526" s="204">
        <f t="shared" si="30"/>
        <v>0</v>
      </c>
      <c r="I526" s="366">
        <f t="shared" si="31"/>
        <v>0</v>
      </c>
      <c r="J526" s="474"/>
      <c r="L526" s="83"/>
    </row>
    <row r="527" spans="2:67">
      <c r="B527" s="222"/>
      <c r="C527" s="206" t="s">
        <v>1860</v>
      </c>
      <c r="D527" s="200" t="s">
        <v>3738</v>
      </c>
      <c r="E527" s="201" t="s">
        <v>450</v>
      </c>
      <c r="F527" s="551">
        <v>2.387</v>
      </c>
      <c r="G527" s="203">
        <f>+SUMIF('AUX-NIV1'!I:I,Recursos!C527,'AUX-NIV1'!Q:Q)+SUMIF('AUX-NIV2'!I:I,Recursos!C527,'AUX-NIV2'!Q:Q)+SUMIF('AUX-NIV3'!I:I,Recursos!C527,'AUX-NIV3'!Q:Q)</f>
        <v>0</v>
      </c>
      <c r="H527" s="204">
        <f t="shared" si="30"/>
        <v>0</v>
      </c>
      <c r="I527" s="366">
        <f t="shared" si="31"/>
        <v>0</v>
      </c>
      <c r="J527" s="474"/>
      <c r="L527" s="83"/>
    </row>
    <row r="528" spans="2:67">
      <c r="B528" s="222"/>
      <c r="C528" s="206" t="s">
        <v>1861</v>
      </c>
      <c r="D528" s="200" t="s">
        <v>1862</v>
      </c>
      <c r="E528" s="201" t="s">
        <v>450</v>
      </c>
      <c r="F528" s="551">
        <v>3</v>
      </c>
      <c r="G528" s="203">
        <f>+SUMIF('AUX-NIV1'!I:I,Recursos!C528,'AUX-NIV1'!Q:Q)+SUMIF('AUX-NIV2'!I:I,Recursos!C528,'AUX-NIV2'!Q:Q)+SUMIF('AUX-NIV3'!I:I,Recursos!C528,'AUX-NIV3'!Q:Q)</f>
        <v>0</v>
      </c>
      <c r="H528" s="204">
        <f t="shared" si="30"/>
        <v>0</v>
      </c>
      <c r="I528" s="366">
        <f t="shared" si="31"/>
        <v>0</v>
      </c>
      <c r="J528" s="474"/>
      <c r="L528" s="83"/>
    </row>
    <row r="529" spans="2:12">
      <c r="B529" s="222"/>
      <c r="C529" s="206" t="s">
        <v>1863</v>
      </c>
      <c r="D529" s="200" t="s">
        <v>1864</v>
      </c>
      <c r="E529" s="201" t="s">
        <v>450</v>
      </c>
      <c r="F529" s="551">
        <v>13.143000000000001</v>
      </c>
      <c r="G529" s="203">
        <f>+SUMIF('AUX-NIV1'!I:I,Recursos!C529,'AUX-NIV1'!Q:Q)+SUMIF('AUX-NIV2'!I:I,Recursos!C529,'AUX-NIV2'!Q:Q)+SUMIF('AUX-NIV3'!I:I,Recursos!C529,'AUX-NIV3'!Q:Q)</f>
        <v>0</v>
      </c>
      <c r="H529" s="204">
        <f t="shared" ref="H529:H593" si="32">+F529*G529</f>
        <v>0</v>
      </c>
      <c r="I529" s="366">
        <f t="shared" si="31"/>
        <v>0</v>
      </c>
      <c r="J529" s="474"/>
      <c r="L529" s="83"/>
    </row>
    <row r="530" spans="2:12">
      <c r="B530" s="222"/>
      <c r="C530" s="206" t="s">
        <v>1865</v>
      </c>
      <c r="D530" s="200" t="s">
        <v>1866</v>
      </c>
      <c r="E530" s="201" t="s">
        <v>450</v>
      </c>
      <c r="F530" s="551">
        <v>6.5119999999999996</v>
      </c>
      <c r="G530" s="203">
        <f>+SUMIF('AUX-NIV1'!I:I,Recursos!C530,'AUX-NIV1'!Q:Q)+SUMIF('AUX-NIV2'!I:I,Recursos!C530,'AUX-NIV2'!Q:Q)+SUMIF('AUX-NIV3'!I:I,Recursos!C530,'AUX-NIV3'!Q:Q)</f>
        <v>0</v>
      </c>
      <c r="H530" s="204">
        <f t="shared" si="32"/>
        <v>0</v>
      </c>
      <c r="I530" s="366">
        <f t="shared" si="31"/>
        <v>0</v>
      </c>
      <c r="J530" s="474"/>
      <c r="L530" s="83"/>
    </row>
    <row r="531" spans="2:12">
      <c r="B531" s="222"/>
      <c r="C531" s="206" t="s">
        <v>1867</v>
      </c>
      <c r="D531" s="200" t="s">
        <v>1868</v>
      </c>
      <c r="E531" s="201" t="s">
        <v>450</v>
      </c>
      <c r="F531" s="551">
        <v>83.375</v>
      </c>
      <c r="G531" s="203">
        <f>+SUMIF('AUX-NIV1'!I:I,Recursos!C531,'AUX-NIV1'!Q:Q)+SUMIF('AUX-NIV2'!I:I,Recursos!C531,'AUX-NIV2'!Q:Q)+SUMIF('AUX-NIV3'!I:I,Recursos!C531,'AUX-NIV3'!Q:Q)</f>
        <v>0</v>
      </c>
      <c r="H531" s="204">
        <f t="shared" si="32"/>
        <v>0</v>
      </c>
      <c r="I531" s="366">
        <f t="shared" si="31"/>
        <v>0</v>
      </c>
      <c r="J531" s="474"/>
      <c r="L531" s="83"/>
    </row>
    <row r="532" spans="2:12">
      <c r="B532" s="222"/>
      <c r="C532" s="206" t="s">
        <v>1869</v>
      </c>
      <c r="D532" s="200" t="s">
        <v>1870</v>
      </c>
      <c r="E532" s="201" t="s">
        <v>450</v>
      </c>
      <c r="F532" s="551">
        <v>2.64</v>
      </c>
      <c r="G532" s="203">
        <f>+SUMIF('AUX-NIV1'!I:I,Recursos!C532,'AUX-NIV1'!Q:Q)+SUMIF('AUX-NIV2'!I:I,Recursos!C532,'AUX-NIV2'!Q:Q)+SUMIF('AUX-NIV3'!I:I,Recursos!C532,'AUX-NIV3'!Q:Q)</f>
        <v>0</v>
      </c>
      <c r="H532" s="204">
        <f t="shared" si="32"/>
        <v>0</v>
      </c>
      <c r="I532" s="366">
        <f t="shared" si="31"/>
        <v>0</v>
      </c>
      <c r="J532" s="474"/>
      <c r="L532" s="83"/>
    </row>
    <row r="533" spans="2:12">
      <c r="B533" s="222"/>
      <c r="C533" s="206" t="s">
        <v>1871</v>
      </c>
      <c r="D533" s="200" t="s">
        <v>1872</v>
      </c>
      <c r="E533" s="201" t="s">
        <v>450</v>
      </c>
      <c r="F533" s="551">
        <v>7.81</v>
      </c>
      <c r="G533" s="203">
        <f>+SUMIF('AUX-NIV1'!I:I,Recursos!C533,'AUX-NIV1'!Q:Q)+SUMIF('AUX-NIV2'!I:I,Recursos!C533,'AUX-NIV2'!Q:Q)+SUMIF('AUX-NIV3'!I:I,Recursos!C533,'AUX-NIV3'!Q:Q)</f>
        <v>0</v>
      </c>
      <c r="H533" s="204">
        <f t="shared" si="32"/>
        <v>0</v>
      </c>
      <c r="I533" s="366">
        <f t="shared" si="31"/>
        <v>0</v>
      </c>
      <c r="J533" s="474"/>
      <c r="L533" s="83"/>
    </row>
    <row r="534" spans="2:12">
      <c r="B534" s="222"/>
      <c r="C534" s="206" t="s">
        <v>1873</v>
      </c>
      <c r="D534" s="200" t="s">
        <v>1874</v>
      </c>
      <c r="E534" s="201" t="s">
        <v>450</v>
      </c>
      <c r="F534" s="551">
        <v>0.497</v>
      </c>
      <c r="G534" s="203">
        <f>+SUMIF('AUX-NIV1'!I:I,Recursos!C534,'AUX-NIV1'!Q:Q)+SUMIF('AUX-NIV2'!I:I,Recursos!C534,'AUX-NIV2'!Q:Q)+SUMIF('AUX-NIV3'!I:I,Recursos!C534,'AUX-NIV3'!Q:Q)</f>
        <v>0</v>
      </c>
      <c r="H534" s="204">
        <f t="shared" si="32"/>
        <v>0</v>
      </c>
      <c r="I534" s="366">
        <f t="shared" ref="I534:I601" si="33">+H534/$I$3</f>
        <v>0</v>
      </c>
      <c r="J534" s="474"/>
      <c r="L534" s="83"/>
    </row>
    <row r="535" spans="2:12">
      <c r="B535" s="222"/>
      <c r="C535" s="206" t="s">
        <v>1875</v>
      </c>
      <c r="D535" s="200" t="s">
        <v>1876</v>
      </c>
      <c r="E535" s="201" t="s">
        <v>450</v>
      </c>
      <c r="F535" s="551">
        <v>1.1180000000000001</v>
      </c>
      <c r="G535" s="203">
        <f>+SUMIF('AUX-NIV1'!I:I,Recursos!C535,'AUX-NIV1'!Q:Q)+SUMIF('AUX-NIV2'!I:I,Recursos!C535,'AUX-NIV2'!Q:Q)+SUMIF('AUX-NIV3'!I:I,Recursos!C535,'AUX-NIV3'!Q:Q)</f>
        <v>0</v>
      </c>
      <c r="H535" s="204">
        <f t="shared" si="32"/>
        <v>0</v>
      </c>
      <c r="I535" s="366">
        <f t="shared" si="33"/>
        <v>0</v>
      </c>
      <c r="J535" s="474"/>
      <c r="L535" s="83"/>
    </row>
    <row r="536" spans="2:12">
      <c r="B536" s="222"/>
      <c r="C536" s="206" t="s">
        <v>1877</v>
      </c>
      <c r="D536" s="200" t="s">
        <v>1878</v>
      </c>
      <c r="E536" s="201" t="s">
        <v>450</v>
      </c>
      <c r="F536" s="551">
        <v>3</v>
      </c>
      <c r="G536" s="203">
        <f>+SUMIF('AUX-NIV1'!I:I,Recursos!C536,'AUX-NIV1'!Q:Q)+SUMIF('AUX-NIV2'!I:I,Recursos!C536,'AUX-NIV2'!Q:Q)+SUMIF('AUX-NIV3'!I:I,Recursos!C536,'AUX-NIV3'!Q:Q)</f>
        <v>0</v>
      </c>
      <c r="H536" s="204">
        <f t="shared" si="32"/>
        <v>0</v>
      </c>
      <c r="I536" s="366">
        <f t="shared" si="33"/>
        <v>0</v>
      </c>
      <c r="J536" s="474"/>
      <c r="L536" s="83"/>
    </row>
    <row r="537" spans="2:12">
      <c r="B537" s="222"/>
      <c r="C537" s="206" t="s">
        <v>1879</v>
      </c>
      <c r="D537" s="200" t="s">
        <v>483</v>
      </c>
      <c r="E537" s="201" t="s">
        <v>484</v>
      </c>
      <c r="F537" s="551"/>
      <c r="G537" s="203">
        <f>+SUMIF('AUX-NIV1'!I:I,Recursos!C537,'AUX-NIV1'!Q:Q)+SUMIF('AUX-NIV2'!I:I,Recursos!C537,'AUX-NIV2'!Q:Q)+SUMIF('AUX-NIV3'!I:I,Recursos!C537,'AUX-NIV3'!Q:Q)</f>
        <v>0</v>
      </c>
      <c r="H537" s="204">
        <f t="shared" si="32"/>
        <v>0</v>
      </c>
      <c r="I537" s="366">
        <f t="shared" si="33"/>
        <v>0</v>
      </c>
      <c r="J537" s="474"/>
      <c r="L537" s="83"/>
    </row>
    <row r="538" spans="2:12">
      <c r="B538" s="222"/>
      <c r="C538" s="206" t="s">
        <v>1880</v>
      </c>
      <c r="D538" s="200" t="s">
        <v>486</v>
      </c>
      <c r="E538" s="201" t="s">
        <v>484</v>
      </c>
      <c r="F538" s="551"/>
      <c r="G538" s="203">
        <f>+SUMIF('AUX-NIV1'!I:I,Recursos!C538,'AUX-NIV1'!Q:Q)+SUMIF('AUX-NIV2'!I:I,Recursos!C538,'AUX-NIV2'!Q:Q)+SUMIF('AUX-NIV3'!I:I,Recursos!C538,'AUX-NIV3'!Q:Q)</f>
        <v>0</v>
      </c>
      <c r="H538" s="204">
        <f t="shared" si="32"/>
        <v>0</v>
      </c>
      <c r="I538" s="366">
        <f t="shared" si="33"/>
        <v>0</v>
      </c>
      <c r="J538" s="474"/>
      <c r="L538" s="83"/>
    </row>
    <row r="539" spans="2:12">
      <c r="B539" s="222"/>
      <c r="C539" s="206" t="s">
        <v>1881</v>
      </c>
      <c r="D539" s="200" t="s">
        <v>1882</v>
      </c>
      <c r="E539" s="201" t="s">
        <v>610</v>
      </c>
      <c r="F539" s="551">
        <v>497.2</v>
      </c>
      <c r="G539" s="203">
        <f>+SUMIF('AUX-NIV1'!I:I,Recursos!C539,'AUX-NIV1'!Q:Q)+SUMIF('AUX-NIV2'!I:I,Recursos!C539,'AUX-NIV2'!Q:Q)+SUMIF('AUX-NIV3'!I:I,Recursos!C539,'AUX-NIV3'!Q:Q)</f>
        <v>0</v>
      </c>
      <c r="H539" s="204">
        <f t="shared" si="32"/>
        <v>0</v>
      </c>
      <c r="I539" s="366">
        <f t="shared" si="33"/>
        <v>0</v>
      </c>
      <c r="J539" s="474"/>
      <c r="L539" s="83"/>
    </row>
    <row r="540" spans="2:12">
      <c r="B540" s="222"/>
      <c r="C540" s="206" t="s">
        <v>1883</v>
      </c>
      <c r="D540" s="200" t="s">
        <v>1884</v>
      </c>
      <c r="E540" s="201" t="s">
        <v>610</v>
      </c>
      <c r="F540" s="551">
        <v>1123.8699999999999</v>
      </c>
      <c r="G540" s="203">
        <f>+SUMIF('AUX-NIV1'!I:I,Recursos!C540,'AUX-NIV1'!Q:Q)+SUMIF('AUX-NIV2'!I:I,Recursos!C540,'AUX-NIV2'!Q:Q)+SUMIF('AUX-NIV3'!I:I,Recursos!C540,'AUX-NIV3'!Q:Q)</f>
        <v>0</v>
      </c>
      <c r="H540" s="204">
        <f t="shared" si="32"/>
        <v>0</v>
      </c>
      <c r="I540" s="366">
        <f t="shared" si="33"/>
        <v>0</v>
      </c>
      <c r="J540" s="474"/>
      <c r="L540" s="83"/>
    </row>
    <row r="541" spans="2:12">
      <c r="B541" s="222"/>
      <c r="C541" s="206" t="s">
        <v>4562</v>
      </c>
      <c r="D541" s="200" t="s">
        <v>4563</v>
      </c>
      <c r="E541" s="201" t="s">
        <v>586</v>
      </c>
      <c r="F541" s="551">
        <v>12000</v>
      </c>
      <c r="G541" s="203">
        <f>+SUMIF('AUX-NIV1'!I:I,Recursos!C541,'AUX-NIV1'!Q:Q)+SUMIF('AUX-NIV2'!I:I,Recursos!C541,'AUX-NIV2'!Q:Q)+SUMIF('AUX-NIV3'!I:I,Recursos!C541,'AUX-NIV3'!Q:Q)</f>
        <v>0</v>
      </c>
      <c r="H541" s="204">
        <f t="shared" si="32"/>
        <v>0</v>
      </c>
      <c r="I541" s="366">
        <f t="shared" ref="I541" si="34">+H541/$I$3</f>
        <v>0</v>
      </c>
      <c r="J541" s="474"/>
      <c r="L541" s="83"/>
    </row>
    <row r="542" spans="2:12">
      <c r="B542" s="222"/>
      <c r="C542" s="206" t="s">
        <v>4568</v>
      </c>
      <c r="D542" s="200" t="s">
        <v>4569</v>
      </c>
      <c r="E542" s="201" t="s">
        <v>586</v>
      </c>
      <c r="F542" s="551">
        <v>8000</v>
      </c>
      <c r="G542" s="203">
        <f>+SUMIF('AUX-NIV1'!I:I,Recursos!C542,'AUX-NIV1'!Q:Q)+SUMIF('AUX-NIV2'!I:I,Recursos!C542,'AUX-NIV2'!Q:Q)+SUMIF('AUX-NIV3'!I:I,Recursos!C542,'AUX-NIV3'!Q:Q)</f>
        <v>0</v>
      </c>
      <c r="H542" s="204">
        <f t="shared" si="32"/>
        <v>0</v>
      </c>
      <c r="I542" s="366">
        <f t="shared" ref="I542" si="35">+H542/$I$3</f>
        <v>0</v>
      </c>
      <c r="J542" s="474"/>
      <c r="L542" s="83"/>
    </row>
    <row r="543" spans="2:12">
      <c r="B543" s="222"/>
      <c r="C543" s="206" t="s">
        <v>1885</v>
      </c>
      <c r="D543" s="200" t="s">
        <v>1886</v>
      </c>
      <c r="E543" s="201" t="s">
        <v>501</v>
      </c>
      <c r="F543" s="551">
        <v>170.5</v>
      </c>
      <c r="G543" s="203">
        <f>+SUMIF('AUX-NIV1'!I:I,Recursos!C543,'AUX-NIV1'!Q:Q)+SUMIF('AUX-NIV2'!I:I,Recursos!C543,'AUX-NIV2'!Q:Q)+SUMIF('AUX-NIV3'!I:I,Recursos!C543,'AUX-NIV3'!Q:Q)</f>
        <v>0</v>
      </c>
      <c r="H543" s="204">
        <f t="shared" si="32"/>
        <v>0</v>
      </c>
      <c r="I543" s="366">
        <f t="shared" si="33"/>
        <v>0</v>
      </c>
      <c r="J543" s="474"/>
      <c r="L543" s="83"/>
    </row>
    <row r="544" spans="2:12">
      <c r="B544" s="222"/>
      <c r="C544" s="206" t="s">
        <v>1887</v>
      </c>
      <c r="D544" s="200" t="s">
        <v>1888</v>
      </c>
      <c r="E544" s="201" t="s">
        <v>185</v>
      </c>
      <c r="F544" s="551">
        <v>0.25</v>
      </c>
      <c r="G544" s="203">
        <f>+SUMIF('AUX-NIV1'!I:I,Recursos!C544,'AUX-NIV1'!Q:Q)+SUMIF('AUX-NIV2'!I:I,Recursos!C544,'AUX-NIV2'!Q:Q)+SUMIF('AUX-NIV3'!I:I,Recursos!C544,'AUX-NIV3'!Q:Q)</f>
        <v>0</v>
      </c>
      <c r="H544" s="204">
        <f t="shared" si="32"/>
        <v>0</v>
      </c>
      <c r="I544" s="366">
        <f t="shared" si="33"/>
        <v>0</v>
      </c>
      <c r="J544" s="474"/>
      <c r="L544" s="83"/>
    </row>
    <row r="545" spans="2:67" ht="12">
      <c r="B545" s="222"/>
      <c r="C545" s="1535" t="s">
        <v>1889</v>
      </c>
      <c r="D545" s="1536" t="s">
        <v>3766</v>
      </c>
      <c r="E545" s="1537" t="s">
        <v>610</v>
      </c>
      <c r="F545" s="1538">
        <f>800/1.21</f>
        <v>661.15702479338847</v>
      </c>
      <c r="G545" s="203">
        <f>+SUMIF('AUX-NIV1'!I:I,Recursos!C545,'AUX-NIV1'!Q:Q)+SUMIF('AUX-NIV2'!I:I,Recursos!C545,'AUX-NIV2'!Q:Q)+SUMIF('AUX-NIV3'!I:I,Recursos!C545,'AUX-NIV3'!Q:Q)</f>
        <v>40.859700000000004</v>
      </c>
      <c r="H545" s="204">
        <f t="shared" si="32"/>
        <v>27014.677685950417</v>
      </c>
      <c r="I545" s="366">
        <f t="shared" si="33"/>
        <v>8.3266685316928504E-2</v>
      </c>
      <c r="J545" s="474"/>
      <c r="L545" s="1610">
        <f>H545/$H$76</f>
        <v>0.36057900413522737</v>
      </c>
    </row>
    <row r="546" spans="2:67">
      <c r="B546" s="222"/>
      <c r="C546" s="1345" t="s">
        <v>3764</v>
      </c>
      <c r="D546" s="1346" t="s">
        <v>3765</v>
      </c>
      <c r="E546" s="201" t="s">
        <v>610</v>
      </c>
      <c r="F546" s="1348">
        <f>530/1.21</f>
        <v>438.01652892561987</v>
      </c>
      <c r="G546" s="203">
        <f>+SUMIF('AUX-NIV1'!I:I,Recursos!C546,'AUX-NIV1'!Q:Q)+SUMIF('AUX-NIV2'!I:I,Recursos!C546,'AUX-NIV2'!Q:Q)+SUMIF('AUX-NIV3'!I:I,Recursos!C546,'AUX-NIV3'!Q:Q)</f>
        <v>0</v>
      </c>
      <c r="H546" s="204">
        <f t="shared" si="32"/>
        <v>0</v>
      </c>
      <c r="I546" s="366">
        <f t="shared" ref="I546" si="36">+H546/$I$3</f>
        <v>0</v>
      </c>
      <c r="J546" s="474"/>
      <c r="L546" s="1610"/>
    </row>
    <row r="547" spans="2:67">
      <c r="B547" s="222"/>
      <c r="C547" s="206" t="s">
        <v>1890</v>
      </c>
      <c r="D547" s="756" t="s">
        <v>1891</v>
      </c>
      <c r="E547" s="201" t="s">
        <v>484</v>
      </c>
      <c r="F547" s="551">
        <v>5970</v>
      </c>
      <c r="G547" s="203">
        <f>+SUMIF('AUX-NIV1'!I:I,Recursos!C547,'AUX-NIV1'!Q:Q)+SUMIF('AUX-NIV2'!I:I,Recursos!C547,'AUX-NIV2'!Q:Q)+SUMIF('AUX-NIV3'!I:I,Recursos!C547,'AUX-NIV3'!Q:Q)</f>
        <v>0</v>
      </c>
      <c r="H547" s="204">
        <f t="shared" si="32"/>
        <v>0</v>
      </c>
      <c r="I547" s="366">
        <f t="shared" si="33"/>
        <v>0</v>
      </c>
      <c r="J547" s="474"/>
      <c r="L547" s="83"/>
    </row>
    <row r="548" spans="2:67">
      <c r="B548" s="222"/>
      <c r="C548" s="206" t="s">
        <v>1892</v>
      </c>
      <c r="D548" s="200" t="s">
        <v>1893</v>
      </c>
      <c r="E548" s="201" t="s">
        <v>610</v>
      </c>
      <c r="F548" s="551">
        <v>15</v>
      </c>
      <c r="G548" s="203">
        <f>+SUMIF('AUX-NIV1'!I:I,Recursos!C548,'AUX-NIV1'!Q:Q)+SUMIF('AUX-NIV2'!I:I,Recursos!C548,'AUX-NIV2'!Q:Q)+SUMIF('AUX-NIV3'!I:I,Recursos!C548,'AUX-NIV3'!Q:Q)</f>
        <v>0</v>
      </c>
      <c r="H548" s="204">
        <f t="shared" si="32"/>
        <v>0</v>
      </c>
      <c r="I548" s="366">
        <f t="shared" si="33"/>
        <v>0</v>
      </c>
      <c r="J548" s="474"/>
      <c r="L548" s="83"/>
    </row>
    <row r="549" spans="2:67">
      <c r="B549" s="222"/>
      <c r="C549" s="206" t="s">
        <v>1894</v>
      </c>
      <c r="D549" s="200" t="s">
        <v>1895</v>
      </c>
      <c r="E549" s="201" t="s">
        <v>484</v>
      </c>
      <c r="F549" s="551">
        <v>260</v>
      </c>
      <c r="G549" s="203">
        <f>+SUMIF('AUX-NIV1'!I:I,Recursos!C549,'AUX-NIV1'!Q:Q)+SUMIF('AUX-NIV2'!I:I,Recursos!C549,'AUX-NIV2'!Q:Q)+SUMIF('AUX-NIV3'!I:I,Recursos!C549,'AUX-NIV3'!Q:Q)</f>
        <v>0</v>
      </c>
      <c r="H549" s="204">
        <f t="shared" si="32"/>
        <v>0</v>
      </c>
      <c r="I549" s="366">
        <f t="shared" si="33"/>
        <v>0</v>
      </c>
      <c r="J549" s="474"/>
      <c r="L549" s="83"/>
    </row>
    <row r="550" spans="2:67">
      <c r="B550" s="222"/>
      <c r="C550" s="206" t="s">
        <v>1896</v>
      </c>
      <c r="D550" s="200" t="s">
        <v>1897</v>
      </c>
      <c r="E550" s="201" t="s">
        <v>610</v>
      </c>
      <c r="F550" s="551">
        <v>23</v>
      </c>
      <c r="G550" s="203">
        <f>+SUMIF('AUX-NIV1'!I:I,Recursos!C550,'AUX-NIV1'!Q:Q)+SUMIF('AUX-NIV2'!I:I,Recursos!C550,'AUX-NIV2'!Q:Q)+SUMIF('AUX-NIV3'!I:I,Recursos!C550,'AUX-NIV3'!Q:Q)</f>
        <v>0</v>
      </c>
      <c r="H550" s="204">
        <f t="shared" si="32"/>
        <v>0</v>
      </c>
      <c r="I550" s="366">
        <f t="shared" si="33"/>
        <v>0</v>
      </c>
      <c r="J550" s="474"/>
      <c r="L550" s="83"/>
    </row>
    <row r="551" spans="2:67">
      <c r="B551" s="222"/>
      <c r="C551" s="206" t="s">
        <v>1898</v>
      </c>
      <c r="D551" s="200" t="s">
        <v>1899</v>
      </c>
      <c r="E551" s="201" t="s">
        <v>484</v>
      </c>
      <c r="F551" s="551">
        <v>252.62</v>
      </c>
      <c r="G551" s="203">
        <f>+SUMIF('AUX-NIV1'!I:I,Recursos!C551,'AUX-NIV1'!Q:Q)+SUMIF('AUX-NIV2'!I:I,Recursos!C551,'AUX-NIV2'!Q:Q)+SUMIF('AUX-NIV3'!I:I,Recursos!C551,'AUX-NIV3'!Q:Q)</f>
        <v>0</v>
      </c>
      <c r="H551" s="204">
        <f t="shared" si="32"/>
        <v>0</v>
      </c>
      <c r="I551" s="366">
        <f t="shared" si="33"/>
        <v>0</v>
      </c>
      <c r="J551" s="474"/>
      <c r="L551" s="83"/>
    </row>
    <row r="552" spans="2:67" ht="12">
      <c r="B552" s="222"/>
      <c r="C552" s="1535" t="s">
        <v>1900</v>
      </c>
      <c r="D552" s="1536" t="s">
        <v>3767</v>
      </c>
      <c r="E552" s="1537" t="s">
        <v>610</v>
      </c>
      <c r="F552" s="1538">
        <v>247.18</v>
      </c>
      <c r="G552" s="203">
        <f>+SUMIF('AUX-NIV1'!I:I,Recursos!C552,'AUX-NIV1'!Q:Q)+SUMIF('AUX-NIV2'!I:I,Recursos!C552,'AUX-NIV2'!Q:Q)+SUMIF('AUX-NIV3'!I:I,Recursos!C552,'AUX-NIV3'!Q:Q)</f>
        <v>0</v>
      </c>
      <c r="H552" s="204">
        <f t="shared" si="32"/>
        <v>0</v>
      </c>
      <c r="I552" s="366">
        <f t="shared" si="33"/>
        <v>0</v>
      </c>
      <c r="J552" s="474"/>
      <c r="L552" s="1610">
        <f>H552/$H$76</f>
        <v>0</v>
      </c>
    </row>
    <row r="553" spans="2:67">
      <c r="B553" s="222"/>
      <c r="C553" s="206" t="s">
        <v>1901</v>
      </c>
      <c r="D553" s="200" t="s">
        <v>1902</v>
      </c>
      <c r="E553" s="201" t="s">
        <v>610</v>
      </c>
      <c r="F553" s="551">
        <v>500</v>
      </c>
      <c r="G553" s="203">
        <f>+SUMIF('AUX-NIV1'!I:I,Recursos!C553,'AUX-NIV1'!Q:Q)+SUMIF('AUX-NIV2'!I:I,Recursos!C553,'AUX-NIV2'!Q:Q)+SUMIF('AUX-NIV3'!I:I,Recursos!C553,'AUX-NIV3'!Q:Q)</f>
        <v>0</v>
      </c>
      <c r="H553" s="204">
        <f t="shared" si="32"/>
        <v>0</v>
      </c>
      <c r="I553" s="366">
        <f t="shared" si="33"/>
        <v>0</v>
      </c>
      <c r="J553" s="474"/>
      <c r="L553" s="83"/>
    </row>
    <row r="554" spans="2:67">
      <c r="B554" s="222"/>
      <c r="C554" s="206" t="s">
        <v>1903</v>
      </c>
      <c r="D554" s="200" t="s">
        <v>1904</v>
      </c>
      <c r="E554" s="201" t="s">
        <v>1160</v>
      </c>
      <c r="F554" s="551">
        <v>1100</v>
      </c>
      <c r="G554" s="203">
        <f>+SUMIF('AUX-NIV1'!I:I,Recursos!C554,'AUX-NIV1'!Q:Q)+SUMIF('AUX-NIV2'!I:I,Recursos!C554,'AUX-NIV2'!Q:Q)+SUMIF('AUX-NIV3'!I:I,Recursos!C554,'AUX-NIV3'!Q:Q)</f>
        <v>0</v>
      </c>
      <c r="H554" s="204">
        <f t="shared" si="32"/>
        <v>0</v>
      </c>
      <c r="I554" s="366">
        <f t="shared" si="33"/>
        <v>0</v>
      </c>
      <c r="J554" s="474"/>
      <c r="L554" s="83"/>
    </row>
    <row r="555" spans="2:67">
      <c r="B555" s="222"/>
      <c r="C555" s="206" t="s">
        <v>1905</v>
      </c>
      <c r="D555" s="200" t="s">
        <v>1906</v>
      </c>
      <c r="E555" s="201" t="s">
        <v>610</v>
      </c>
      <c r="F555" s="551">
        <v>42</v>
      </c>
      <c r="G555" s="203">
        <f>+SUMIF('AUX-NIV1'!I:I,Recursos!C555,'AUX-NIV1'!Q:Q)+SUMIF('AUX-NIV2'!I:I,Recursos!C555,'AUX-NIV2'!Q:Q)+SUMIF('AUX-NIV3'!I:I,Recursos!C555,'AUX-NIV3'!Q:Q)</f>
        <v>0</v>
      </c>
      <c r="H555" s="204">
        <f t="shared" si="32"/>
        <v>0</v>
      </c>
      <c r="I555" s="366">
        <f t="shared" si="33"/>
        <v>0</v>
      </c>
      <c r="J555" s="474"/>
      <c r="L555" s="83"/>
    </row>
    <row r="556" spans="2:67">
      <c r="B556" s="222"/>
      <c r="C556" s="206" t="s">
        <v>1907</v>
      </c>
      <c r="D556" s="200" t="s">
        <v>1908</v>
      </c>
      <c r="E556" s="201" t="s">
        <v>610</v>
      </c>
      <c r="F556" s="551">
        <v>1.32</v>
      </c>
      <c r="G556" s="203">
        <f>+SUMIF('AUX-NIV1'!I:I,Recursos!C556,'AUX-NIV1'!Q:Q)+SUMIF('AUX-NIV2'!I:I,Recursos!C556,'AUX-NIV2'!Q:Q)+SUMIF('AUX-NIV3'!I:I,Recursos!C556,'AUX-NIV3'!Q:Q)</f>
        <v>0</v>
      </c>
      <c r="H556" s="204">
        <f t="shared" si="32"/>
        <v>0</v>
      </c>
      <c r="I556" s="366">
        <f t="shared" si="33"/>
        <v>0</v>
      </c>
      <c r="J556" s="474"/>
      <c r="L556" s="83"/>
    </row>
    <row r="557" spans="2:67">
      <c r="B557" s="222"/>
      <c r="C557" s="206" t="s">
        <v>1909</v>
      </c>
      <c r="D557" s="200" t="s">
        <v>1910</v>
      </c>
      <c r="E557" s="201" t="s">
        <v>501</v>
      </c>
      <c r="F557" s="551">
        <v>15</v>
      </c>
      <c r="G557" s="203">
        <f>+SUMIF('AUX-NIV1'!I:I,Recursos!C557,'AUX-NIV1'!Q:Q)+SUMIF('AUX-NIV2'!I:I,Recursos!C557,'AUX-NIV2'!Q:Q)+SUMIF('AUX-NIV3'!I:I,Recursos!C557,'AUX-NIV3'!Q:Q)</f>
        <v>0</v>
      </c>
      <c r="H557" s="204">
        <f t="shared" si="32"/>
        <v>0</v>
      </c>
      <c r="I557" s="366">
        <f t="shared" si="33"/>
        <v>0</v>
      </c>
      <c r="J557" s="474"/>
      <c r="L557" s="83"/>
    </row>
    <row r="558" spans="2:67">
      <c r="B558" s="222"/>
      <c r="C558" s="206" t="s">
        <v>1911</v>
      </c>
      <c r="D558" s="207" t="s">
        <v>595</v>
      </c>
      <c r="E558" s="201" t="s">
        <v>477</v>
      </c>
      <c r="F558" s="551">
        <v>94.5</v>
      </c>
      <c r="G558" s="203">
        <f>+SUMIF('AUX-NIV1'!I:I,Recursos!C558,'AUX-NIV1'!Q:Q)+SUMIF('AUX-NIV2'!I:I,Recursos!C558,'AUX-NIV2'!Q:Q)+SUMIF('AUX-NIV3'!I:I,Recursos!C558,'AUX-NIV3'!Q:Q)</f>
        <v>0</v>
      </c>
      <c r="H558" s="204">
        <f t="shared" si="32"/>
        <v>0</v>
      </c>
      <c r="I558" s="366">
        <f t="shared" si="33"/>
        <v>0</v>
      </c>
      <c r="J558" s="474"/>
      <c r="L558" s="1610"/>
      <c r="BO558" s="912"/>
    </row>
    <row r="559" spans="2:67">
      <c r="B559" s="222"/>
      <c r="C559" s="206" t="s">
        <v>1912</v>
      </c>
      <c r="D559" s="207" t="s">
        <v>1913</v>
      </c>
      <c r="E559" s="201" t="s">
        <v>501</v>
      </c>
      <c r="F559" s="1656">
        <f>(3300/1.21)/(1.22*2.44)</f>
        <v>916.17600351811598</v>
      </c>
      <c r="G559" s="203">
        <f>+SUMIF('AUX-NIV1'!I:I,Recursos!C559,'AUX-NIV1'!Q:Q)+SUMIF('AUX-NIV2'!I:I,Recursos!C559,'AUX-NIV2'!Q:Q)+SUMIF('AUX-NIV3'!I:I,Recursos!C559,'AUX-NIV3'!Q:Q)</f>
        <v>0</v>
      </c>
      <c r="H559" s="204">
        <f t="shared" si="32"/>
        <v>0</v>
      </c>
      <c r="I559" s="366">
        <f t="shared" si="33"/>
        <v>0</v>
      </c>
      <c r="J559" s="474"/>
      <c r="L559" s="1610"/>
      <c r="BO559" s="912"/>
    </row>
    <row r="560" spans="2:67">
      <c r="B560" s="222"/>
      <c r="C560" s="206" t="s">
        <v>1914</v>
      </c>
      <c r="D560" s="207" t="s">
        <v>1915</v>
      </c>
      <c r="E560" s="201" t="s">
        <v>477</v>
      </c>
      <c r="F560" s="553">
        <v>200</v>
      </c>
      <c r="G560" s="203">
        <f>+SUMIF('AUX-NIV1'!I:I,Recursos!C560,'AUX-NIV1'!Q:Q)+SUMIF('AUX-NIV2'!I:I,Recursos!C560,'AUX-NIV2'!Q:Q)+SUMIF('AUX-NIV3'!I:I,Recursos!C560,'AUX-NIV3'!Q:Q)</f>
        <v>0</v>
      </c>
      <c r="H560" s="204">
        <f t="shared" si="32"/>
        <v>0</v>
      </c>
      <c r="I560" s="366">
        <f t="shared" si="33"/>
        <v>0</v>
      </c>
      <c r="J560" s="474"/>
      <c r="L560" s="1610"/>
      <c r="BO560" s="912"/>
    </row>
    <row r="561" spans="2:12">
      <c r="B561" s="222"/>
      <c r="C561" s="206" t="s">
        <v>1916</v>
      </c>
      <c r="D561" s="200" t="s">
        <v>1917</v>
      </c>
      <c r="E561" s="201" t="s">
        <v>185</v>
      </c>
      <c r="F561" s="551">
        <v>50</v>
      </c>
      <c r="G561" s="203">
        <f>+SUMIF('AUX-NIV1'!I:I,Recursos!C561,'AUX-NIV1'!Q:Q)+SUMIF('AUX-NIV2'!I:I,Recursos!C561,'AUX-NIV2'!Q:Q)+SUMIF('AUX-NIV3'!I:I,Recursos!C561,'AUX-NIV3'!Q:Q)</f>
        <v>0</v>
      </c>
      <c r="H561" s="204">
        <f t="shared" si="32"/>
        <v>0</v>
      </c>
      <c r="I561" s="366">
        <f t="shared" si="33"/>
        <v>0</v>
      </c>
      <c r="J561" s="474"/>
      <c r="L561" s="83"/>
    </row>
    <row r="562" spans="2:12">
      <c r="B562" s="222"/>
      <c r="C562" s="206" t="s">
        <v>596</v>
      </c>
      <c r="D562" s="200" t="s">
        <v>597</v>
      </c>
      <c r="E562" s="201" t="s">
        <v>501</v>
      </c>
      <c r="F562" s="551">
        <v>190</v>
      </c>
      <c r="G562" s="203">
        <f>+SUMIF('AUX-NIV1'!I:I,Recursos!C562,'AUX-NIV1'!Q:Q)+SUMIF('AUX-NIV2'!I:I,Recursos!C562,'AUX-NIV2'!Q:Q)+SUMIF('AUX-NIV3'!I:I,Recursos!C562,'AUX-NIV3'!Q:Q)</f>
        <v>0</v>
      </c>
      <c r="H562" s="204">
        <f t="shared" si="32"/>
        <v>0</v>
      </c>
      <c r="I562" s="366">
        <f t="shared" si="33"/>
        <v>0</v>
      </c>
      <c r="J562" s="205"/>
      <c r="L562" s="83"/>
    </row>
    <row r="563" spans="2:12">
      <c r="B563" s="222"/>
      <c r="C563" s="206" t="s">
        <v>598</v>
      </c>
      <c r="D563" s="200" t="s">
        <v>599</v>
      </c>
      <c r="E563" s="201" t="s">
        <v>586</v>
      </c>
      <c r="F563" s="551">
        <v>15</v>
      </c>
      <c r="G563" s="203">
        <f>+SUMIF('AUX-NIV1'!I:I,Recursos!C563,'AUX-NIV1'!Q:Q)+SUMIF('AUX-NIV2'!I:I,Recursos!C563,'AUX-NIV2'!Q:Q)+SUMIF('AUX-NIV3'!I:I,Recursos!C563,'AUX-NIV3'!Q:Q)</f>
        <v>0</v>
      </c>
      <c r="H563" s="204">
        <f t="shared" si="32"/>
        <v>0</v>
      </c>
      <c r="I563" s="366">
        <f t="shared" si="33"/>
        <v>0</v>
      </c>
      <c r="J563" s="205"/>
      <c r="L563" s="83"/>
    </row>
    <row r="564" spans="2:12">
      <c r="B564" s="222"/>
      <c r="C564" s="206" t="s">
        <v>882</v>
      </c>
      <c r="D564" s="200" t="s">
        <v>883</v>
      </c>
      <c r="E564" s="201" t="s">
        <v>477</v>
      </c>
      <c r="F564" s="551">
        <v>70</v>
      </c>
      <c r="G564" s="203">
        <f>+SUMIF('AUX-NIV1'!I:I,Recursos!C564,'AUX-NIV1'!Q:Q)+SUMIF('AUX-NIV2'!I:I,Recursos!C564,'AUX-NIV2'!Q:Q)+SUMIF('AUX-NIV3'!I:I,Recursos!C564,'AUX-NIV3'!Q:Q)</f>
        <v>0</v>
      </c>
      <c r="H564" s="204">
        <f t="shared" si="32"/>
        <v>0</v>
      </c>
      <c r="I564" s="366">
        <f t="shared" si="33"/>
        <v>0</v>
      </c>
      <c r="J564" s="205"/>
      <c r="L564" s="83"/>
    </row>
    <row r="565" spans="2:12">
      <c r="B565" s="222"/>
      <c r="C565" s="206" t="s">
        <v>600</v>
      </c>
      <c r="D565" s="200" t="s">
        <v>601</v>
      </c>
      <c r="E565" s="201" t="s">
        <v>447</v>
      </c>
      <c r="F565" s="551">
        <f>0.5*0.45*usd</f>
        <v>22.96125</v>
      </c>
      <c r="G565" s="203">
        <f>+SUMIF('AUX-NIV1'!I:I,Recursos!C565,'AUX-NIV1'!Q:Q)+SUMIF('AUX-NIV2'!I:I,Recursos!C565,'AUX-NIV2'!Q:Q)+SUMIF('AUX-NIV3'!I:I,Recursos!C565,'AUX-NIV3'!Q:Q)</f>
        <v>0</v>
      </c>
      <c r="H565" s="204">
        <f t="shared" si="32"/>
        <v>0</v>
      </c>
      <c r="I565" s="366">
        <f t="shared" si="33"/>
        <v>0</v>
      </c>
      <c r="J565" s="205"/>
      <c r="L565" s="83"/>
    </row>
    <row r="566" spans="2:12">
      <c r="B566" s="222"/>
      <c r="C566" s="206" t="s">
        <v>2064</v>
      </c>
      <c r="D566" s="200" t="s">
        <v>2065</v>
      </c>
      <c r="E566" s="201" t="s">
        <v>477</v>
      </c>
      <c r="F566" s="551">
        <f>267.15*usd</f>
        <v>27262.657499999998</v>
      </c>
      <c r="G566" s="203">
        <f>+SUMIF('AUX-NIV1'!I:I,Recursos!C566,'AUX-NIV1'!Q:Q)+SUMIF('AUX-NIV2'!I:I,Recursos!C566,'AUX-NIV2'!Q:Q)+SUMIF('AUX-NIV3'!I:I,Recursos!C566,'AUX-NIV3'!Q:Q)</f>
        <v>0</v>
      </c>
      <c r="H566" s="204">
        <f t="shared" si="32"/>
        <v>0</v>
      </c>
      <c r="I566" s="366">
        <f t="shared" si="33"/>
        <v>0</v>
      </c>
      <c r="J566" s="474"/>
      <c r="L566" s="83"/>
    </row>
    <row r="567" spans="2:12">
      <c r="B567" s="222"/>
      <c r="C567" s="206" t="s">
        <v>2451</v>
      </c>
      <c r="D567" s="200" t="s">
        <v>2452</v>
      </c>
      <c r="E567" s="201" t="s">
        <v>477</v>
      </c>
      <c r="F567" s="551">
        <f>330.76*usd</f>
        <v>33754.057999999997</v>
      </c>
      <c r="G567" s="203">
        <f>+SUMIF('AUX-NIV1'!I:I,Recursos!C567,'AUX-NIV1'!Q:Q)+SUMIF('AUX-NIV2'!I:I,Recursos!C567,'AUX-NIV2'!Q:Q)+SUMIF('AUX-NIV3'!I:I,Recursos!C567,'AUX-NIV3'!Q:Q)</f>
        <v>0</v>
      </c>
      <c r="H567" s="204">
        <f t="shared" si="32"/>
        <v>0</v>
      </c>
      <c r="I567" s="366">
        <f t="shared" si="33"/>
        <v>0</v>
      </c>
      <c r="J567" s="474"/>
      <c r="L567" s="83"/>
    </row>
    <row r="568" spans="2:12">
      <c r="B568" s="222"/>
      <c r="C568" s="206" t="s">
        <v>2453</v>
      </c>
      <c r="D568" s="200" t="s">
        <v>2454</v>
      </c>
      <c r="E568" s="201" t="s">
        <v>477</v>
      </c>
      <c r="F568" s="551">
        <f>309.55*usd</f>
        <v>31589.577499999999</v>
      </c>
      <c r="G568" s="203">
        <f>+SUMIF('AUX-NIV1'!I:I,Recursos!C568,'AUX-NIV1'!Q:Q)+SUMIF('AUX-NIV2'!I:I,Recursos!C568,'AUX-NIV2'!Q:Q)+SUMIF('AUX-NIV3'!I:I,Recursos!C568,'AUX-NIV3'!Q:Q)</f>
        <v>0</v>
      </c>
      <c r="H568" s="204">
        <f t="shared" si="32"/>
        <v>0</v>
      </c>
      <c r="I568" s="366">
        <f t="shared" si="33"/>
        <v>0</v>
      </c>
      <c r="J568" s="474"/>
      <c r="L568" s="83"/>
    </row>
    <row r="569" spans="2:12">
      <c r="B569" s="222"/>
      <c r="C569" s="206" t="s">
        <v>2455</v>
      </c>
      <c r="D569" s="200" t="s">
        <v>2456</v>
      </c>
      <c r="E569" s="201" t="s">
        <v>477</v>
      </c>
      <c r="F569" s="551">
        <f>394.38*usd</f>
        <v>40246.478999999999</v>
      </c>
      <c r="G569" s="203">
        <f>+SUMIF('AUX-NIV1'!I:I,Recursos!C569,'AUX-NIV1'!Q:Q)+SUMIF('AUX-NIV2'!I:I,Recursos!C569,'AUX-NIV2'!Q:Q)+SUMIF('AUX-NIV3'!I:I,Recursos!C569,'AUX-NIV3'!Q:Q)</f>
        <v>0</v>
      </c>
      <c r="H569" s="204">
        <f t="shared" si="32"/>
        <v>0</v>
      </c>
      <c r="I569" s="366">
        <f t="shared" si="33"/>
        <v>0</v>
      </c>
      <c r="J569" s="474"/>
      <c r="L569" s="83"/>
    </row>
    <row r="570" spans="2:12">
      <c r="B570" s="222"/>
      <c r="C570" s="206" t="s">
        <v>2457</v>
      </c>
      <c r="D570" s="200" t="s">
        <v>2458</v>
      </c>
      <c r="E570" s="201" t="s">
        <v>477</v>
      </c>
      <c r="F570" s="551">
        <f>424.06*usd</f>
        <v>43275.322999999997</v>
      </c>
      <c r="G570" s="203">
        <f>+SUMIF('AUX-NIV1'!I:I,Recursos!C570,'AUX-NIV1'!Q:Q)+SUMIF('AUX-NIV2'!I:I,Recursos!C570,'AUX-NIV2'!Q:Q)+SUMIF('AUX-NIV3'!I:I,Recursos!C570,'AUX-NIV3'!Q:Q)</f>
        <v>0</v>
      </c>
      <c r="H570" s="204">
        <f t="shared" si="32"/>
        <v>0</v>
      </c>
      <c r="I570" s="366">
        <f t="shared" si="33"/>
        <v>0</v>
      </c>
      <c r="J570" s="474"/>
      <c r="L570" s="83"/>
    </row>
    <row r="571" spans="2:12">
      <c r="B571" s="222"/>
      <c r="C571" s="206" t="s">
        <v>2459</v>
      </c>
      <c r="D571" s="200" t="s">
        <v>2460</v>
      </c>
      <c r="E571" s="201" t="s">
        <v>477</v>
      </c>
      <c r="F571" s="551">
        <f>937.2*usd</f>
        <v>95641.26</v>
      </c>
      <c r="G571" s="203">
        <f>+SUMIF('AUX-NIV1'!I:I,Recursos!C571,'AUX-NIV1'!Q:Q)+SUMIF('AUX-NIV2'!I:I,Recursos!C571,'AUX-NIV2'!Q:Q)+SUMIF('AUX-NIV3'!I:I,Recursos!C571,'AUX-NIV3'!Q:Q)</f>
        <v>0</v>
      </c>
      <c r="H571" s="204">
        <f t="shared" si="32"/>
        <v>0</v>
      </c>
      <c r="I571" s="366">
        <f t="shared" si="33"/>
        <v>0</v>
      </c>
      <c r="J571" s="474"/>
      <c r="L571" s="83"/>
    </row>
    <row r="572" spans="2:12">
      <c r="B572" s="222"/>
      <c r="C572" s="206" t="s">
        <v>2461</v>
      </c>
      <c r="D572" s="200" t="s">
        <v>2462</v>
      </c>
      <c r="E572" s="201" t="s">
        <v>477</v>
      </c>
      <c r="F572" s="551">
        <f>1042.8*usd</f>
        <v>106417.73999999999</v>
      </c>
      <c r="G572" s="203">
        <f>+SUMIF('AUX-NIV1'!I:I,Recursos!C572,'AUX-NIV1'!Q:Q)+SUMIF('AUX-NIV2'!I:I,Recursos!C572,'AUX-NIV2'!Q:Q)+SUMIF('AUX-NIV3'!I:I,Recursos!C572,'AUX-NIV3'!Q:Q)</f>
        <v>0</v>
      </c>
      <c r="H572" s="204">
        <f t="shared" si="32"/>
        <v>0</v>
      </c>
      <c r="I572" s="366">
        <f t="shared" si="33"/>
        <v>0</v>
      </c>
      <c r="J572" s="474"/>
      <c r="L572" s="83"/>
    </row>
    <row r="573" spans="2:12">
      <c r="B573" s="222"/>
      <c r="C573" s="206" t="s">
        <v>2463</v>
      </c>
      <c r="D573" s="200" t="s">
        <v>2464</v>
      </c>
      <c r="E573" s="201" t="s">
        <v>477</v>
      </c>
      <c r="F573" s="551">
        <f>1179.6*usd</f>
        <v>120378.18</v>
      </c>
      <c r="G573" s="203">
        <f>+SUMIF('AUX-NIV1'!I:I,Recursos!C573,'AUX-NIV1'!Q:Q)+SUMIF('AUX-NIV2'!I:I,Recursos!C573,'AUX-NIV2'!Q:Q)+SUMIF('AUX-NIV3'!I:I,Recursos!C573,'AUX-NIV3'!Q:Q)</f>
        <v>0</v>
      </c>
      <c r="H573" s="204">
        <f t="shared" si="32"/>
        <v>0</v>
      </c>
      <c r="I573" s="366">
        <f t="shared" si="33"/>
        <v>0</v>
      </c>
      <c r="J573" s="474"/>
      <c r="L573" s="83"/>
    </row>
    <row r="574" spans="2:12">
      <c r="B574" s="222"/>
      <c r="C574" s="206" t="s">
        <v>2465</v>
      </c>
      <c r="D574" s="200" t="s">
        <v>2464</v>
      </c>
      <c r="E574" s="201" t="s">
        <v>477</v>
      </c>
      <c r="F574" s="551">
        <f>1579.2*usd</f>
        <v>161157.35999999999</v>
      </c>
      <c r="G574" s="203">
        <f>+SUMIF('AUX-NIV1'!I:I,Recursos!C574,'AUX-NIV1'!Q:Q)+SUMIF('AUX-NIV2'!I:I,Recursos!C574,'AUX-NIV2'!Q:Q)+SUMIF('AUX-NIV3'!I:I,Recursos!C574,'AUX-NIV3'!Q:Q)</f>
        <v>0</v>
      </c>
      <c r="H574" s="204">
        <f t="shared" si="32"/>
        <v>0</v>
      </c>
      <c r="I574" s="366">
        <f t="shared" si="33"/>
        <v>0</v>
      </c>
      <c r="J574" s="474"/>
      <c r="L574" s="83"/>
    </row>
    <row r="575" spans="2:12">
      <c r="B575" s="222"/>
      <c r="C575" s="206" t="s">
        <v>2466</v>
      </c>
      <c r="D575" s="200" t="s">
        <v>2467</v>
      </c>
      <c r="E575" s="201" t="s">
        <v>477</v>
      </c>
      <c r="F575" s="551">
        <f>1578*usd</f>
        <v>161034.9</v>
      </c>
      <c r="G575" s="203">
        <f>+SUMIF('AUX-NIV1'!I:I,Recursos!C575,'AUX-NIV1'!Q:Q)+SUMIF('AUX-NIV2'!I:I,Recursos!C575,'AUX-NIV2'!Q:Q)+SUMIF('AUX-NIV3'!I:I,Recursos!C575,'AUX-NIV3'!Q:Q)</f>
        <v>0</v>
      </c>
      <c r="H575" s="204">
        <f t="shared" si="32"/>
        <v>0</v>
      </c>
      <c r="I575" s="366">
        <f t="shared" si="33"/>
        <v>0</v>
      </c>
      <c r="J575" s="474"/>
      <c r="L575" s="83"/>
    </row>
    <row r="576" spans="2:12">
      <c r="B576" s="222"/>
      <c r="C576" s="206" t="s">
        <v>2468</v>
      </c>
      <c r="D576" s="200" t="s">
        <v>2469</v>
      </c>
      <c r="E576" s="201" t="s">
        <v>477</v>
      </c>
      <c r="F576" s="551">
        <f>2510*usd</f>
        <v>256145.5</v>
      </c>
      <c r="G576" s="203">
        <f>+SUMIF('AUX-NIV1'!I:I,Recursos!C576,'AUX-NIV1'!Q:Q)+SUMIF('AUX-NIV2'!I:I,Recursos!C576,'AUX-NIV2'!Q:Q)+SUMIF('AUX-NIV3'!I:I,Recursos!C576,'AUX-NIV3'!Q:Q)</f>
        <v>0</v>
      </c>
      <c r="H576" s="204">
        <f t="shared" si="32"/>
        <v>0</v>
      </c>
      <c r="I576" s="366">
        <f t="shared" si="33"/>
        <v>0</v>
      </c>
      <c r="J576" s="474"/>
      <c r="L576" s="83"/>
    </row>
    <row r="577" spans="2:12">
      <c r="B577" s="222"/>
      <c r="C577" s="206" t="s">
        <v>2474</v>
      </c>
      <c r="D577" s="200" t="s">
        <v>2475</v>
      </c>
      <c r="E577" s="201" t="s">
        <v>546</v>
      </c>
      <c r="F577" s="551">
        <v>384.39500000000004</v>
      </c>
      <c r="G577" s="203">
        <f>+SUMIF('AUX-NIV1'!I:I,Recursos!C577,'AUX-NIV1'!Q:Q)+SUMIF('AUX-NIV2'!I:I,Recursos!C577,'AUX-NIV2'!Q:Q)+SUMIF('AUX-NIV3'!I:I,Recursos!C577,'AUX-NIV3'!Q:Q)</f>
        <v>0</v>
      </c>
      <c r="H577" s="204">
        <f t="shared" si="32"/>
        <v>0</v>
      </c>
      <c r="I577" s="366">
        <f t="shared" si="33"/>
        <v>0</v>
      </c>
      <c r="J577" s="474"/>
      <c r="L577" s="83"/>
    </row>
    <row r="578" spans="2:12">
      <c r="B578" s="222"/>
      <c r="C578" s="206" t="s">
        <v>2476</v>
      </c>
      <c r="D578" s="200" t="s">
        <v>2477</v>
      </c>
      <c r="E578" s="201" t="s">
        <v>450</v>
      </c>
      <c r="F578" s="551">
        <f>5*usd</f>
        <v>510.25</v>
      </c>
      <c r="G578" s="203">
        <f>+SUMIF('AUX-NIV1'!I:I,Recursos!C578,'AUX-NIV1'!Q:Q)+SUMIF('AUX-NIV2'!I:I,Recursos!C578,'AUX-NIV2'!Q:Q)+SUMIF('AUX-NIV3'!I:I,Recursos!C578,'AUX-NIV3'!Q:Q)</f>
        <v>0</v>
      </c>
      <c r="H578" s="204">
        <f t="shared" si="32"/>
        <v>0</v>
      </c>
      <c r="I578" s="366">
        <f t="shared" si="33"/>
        <v>0</v>
      </c>
      <c r="J578" s="474"/>
      <c r="L578" s="1610"/>
    </row>
    <row r="579" spans="2:12">
      <c r="B579" s="222"/>
      <c r="C579" s="206" t="s">
        <v>4692</v>
      </c>
      <c r="D579" s="200" t="s">
        <v>4693</v>
      </c>
      <c r="E579" s="201" t="s">
        <v>501</v>
      </c>
      <c r="F579" s="551">
        <f>4850/1.21/2</f>
        <v>2004.1322314049587</v>
      </c>
      <c r="G579" s="203">
        <f>+SUMIF('AUX-NIV1'!I:I,Recursos!C579,'AUX-NIV1'!Q:Q)+SUMIF('AUX-NIV2'!I:I,Recursos!C579,'AUX-NIV2'!Q:Q)+SUMIF('AUX-NIV3'!I:I,Recursos!C579,'AUX-NIV3'!Q:Q)</f>
        <v>0</v>
      </c>
      <c r="H579" s="204">
        <f t="shared" ref="H579" si="37">+F579*G579</f>
        <v>0</v>
      </c>
      <c r="I579" s="366">
        <f t="shared" ref="I579" si="38">+H579/$I$3</f>
        <v>0</v>
      </c>
      <c r="J579" s="474"/>
      <c r="L579" s="1610"/>
    </row>
    <row r="580" spans="2:12">
      <c r="B580" s="222"/>
      <c r="C580" s="206" t="s">
        <v>116</v>
      </c>
      <c r="D580" s="200" t="s">
        <v>117</v>
      </c>
      <c r="E580" s="201" t="s">
        <v>450</v>
      </c>
      <c r="F580" s="551">
        <v>1.5</v>
      </c>
      <c r="G580" s="203">
        <f>+SUMIF('AUX-NIV1'!I:I,Recursos!C580,'AUX-NIV1'!Q:Q)+SUMIF('AUX-NIV2'!I:I,Recursos!C580,'AUX-NIV2'!Q:Q)+SUMIF('AUX-NIV3'!I:I,Recursos!C580,'AUX-NIV3'!Q:Q)</f>
        <v>0</v>
      </c>
      <c r="H580" s="204">
        <f t="shared" si="32"/>
        <v>0</v>
      </c>
      <c r="I580" s="366">
        <f t="shared" si="33"/>
        <v>0</v>
      </c>
      <c r="J580" s="205"/>
      <c r="L580" s="83"/>
    </row>
    <row r="581" spans="2:12">
      <c r="B581" s="222"/>
      <c r="C581" s="206" t="s">
        <v>2470</v>
      </c>
      <c r="D581" s="200" t="s">
        <v>2471</v>
      </c>
      <c r="E581" s="201" t="s">
        <v>477</v>
      </c>
      <c r="F581" s="551">
        <v>30</v>
      </c>
      <c r="G581" s="203">
        <f>+SUMIF('AUX-NIV1'!I:I,Recursos!C581,'AUX-NIV1'!Q:Q)+SUMIF('AUX-NIV2'!I:I,Recursos!C581,'AUX-NIV2'!Q:Q)+SUMIF('AUX-NIV3'!I:I,Recursos!C581,'AUX-NIV3'!Q:Q)</f>
        <v>0</v>
      </c>
      <c r="H581" s="204">
        <f t="shared" si="32"/>
        <v>0</v>
      </c>
      <c r="I581" s="366">
        <f t="shared" si="33"/>
        <v>0</v>
      </c>
      <c r="J581" s="474"/>
      <c r="L581" s="83"/>
    </row>
    <row r="582" spans="2:12">
      <c r="B582" s="222"/>
      <c r="C582" s="206" t="s">
        <v>2472</v>
      </c>
      <c r="D582" s="200" t="s">
        <v>2473</v>
      </c>
      <c r="E582" s="201" t="s">
        <v>477</v>
      </c>
      <c r="F582" s="551">
        <v>10</v>
      </c>
      <c r="G582" s="203">
        <f>+SUMIF('AUX-NIV1'!I:I,Recursos!C582,'AUX-NIV1'!Q:Q)+SUMIF('AUX-NIV2'!I:I,Recursos!C582,'AUX-NIV2'!Q:Q)+SUMIF('AUX-NIV3'!I:I,Recursos!C582,'AUX-NIV3'!Q:Q)</f>
        <v>0</v>
      </c>
      <c r="H582" s="204">
        <f t="shared" si="32"/>
        <v>0</v>
      </c>
      <c r="I582" s="366">
        <f t="shared" si="33"/>
        <v>0</v>
      </c>
      <c r="J582" s="474"/>
      <c r="L582" s="83"/>
    </row>
    <row r="583" spans="2:12">
      <c r="B583" s="222"/>
      <c r="C583" s="206" t="s">
        <v>602</v>
      </c>
      <c r="D583" s="200" t="s">
        <v>603</v>
      </c>
      <c r="E583" s="201" t="s">
        <v>462</v>
      </c>
      <c r="F583" s="551">
        <v>5</v>
      </c>
      <c r="G583" s="203">
        <f>+SUMIF('AUX-NIV1'!I:I,Recursos!C583,'AUX-NIV1'!Q:Q)+SUMIF('AUX-NIV2'!I:I,Recursos!C583,'AUX-NIV2'!Q:Q)+SUMIF('AUX-NIV3'!I:I,Recursos!C583,'AUX-NIV3'!Q:Q)</f>
        <v>0</v>
      </c>
      <c r="H583" s="204">
        <f t="shared" si="32"/>
        <v>0</v>
      </c>
      <c r="I583" s="366">
        <f t="shared" si="33"/>
        <v>0</v>
      </c>
      <c r="J583" s="205"/>
      <c r="L583" s="83"/>
    </row>
    <row r="584" spans="2:12">
      <c r="B584" s="222"/>
      <c r="C584" s="206" t="s">
        <v>604</v>
      </c>
      <c r="D584" s="200" t="s">
        <v>605</v>
      </c>
      <c r="E584" s="201" t="s">
        <v>589</v>
      </c>
      <c r="F584" s="551">
        <v>5</v>
      </c>
      <c r="G584" s="203">
        <f>+SUMIF('AUX-NIV1'!I:I,Recursos!C584,'AUX-NIV1'!Q:Q)+SUMIF('AUX-NIV2'!I:I,Recursos!C584,'AUX-NIV2'!Q:Q)+SUMIF('AUX-NIV3'!I:I,Recursos!C584,'AUX-NIV3'!Q:Q)</f>
        <v>0</v>
      </c>
      <c r="H584" s="204">
        <f t="shared" si="32"/>
        <v>0</v>
      </c>
      <c r="I584" s="366">
        <f t="shared" si="33"/>
        <v>0</v>
      </c>
      <c r="J584" s="205"/>
      <c r="L584" s="83"/>
    </row>
    <row r="585" spans="2:12">
      <c r="B585" s="222"/>
      <c r="C585" s="206" t="s">
        <v>606</v>
      </c>
      <c r="D585" s="200" t="s">
        <v>607</v>
      </c>
      <c r="E585" s="201" t="s">
        <v>371</v>
      </c>
      <c r="F585" s="551">
        <v>20</v>
      </c>
      <c r="G585" s="203">
        <f>+SUMIF('AUX-NIV1'!I:I,Recursos!C585,'AUX-NIV1'!Q:Q)+SUMIF('AUX-NIV2'!I:I,Recursos!C585,'AUX-NIV2'!Q:Q)+SUMIF('AUX-NIV3'!I:I,Recursos!C585,'AUX-NIV3'!Q:Q)</f>
        <v>0</v>
      </c>
      <c r="H585" s="204">
        <f t="shared" si="32"/>
        <v>0</v>
      </c>
      <c r="I585" s="366">
        <f t="shared" si="33"/>
        <v>0</v>
      </c>
      <c r="J585" s="205"/>
      <c r="L585" s="83"/>
    </row>
    <row r="586" spans="2:12">
      <c r="B586" s="222"/>
      <c r="C586" s="206" t="s">
        <v>608</v>
      </c>
      <c r="D586" s="200" t="s">
        <v>609</v>
      </c>
      <c r="E586" s="201" t="s">
        <v>462</v>
      </c>
      <c r="F586" s="551">
        <v>200</v>
      </c>
      <c r="G586" s="203">
        <f>+SUMIF('AUX-NIV1'!I:I,Recursos!C586,'AUX-NIV1'!Q:Q)+SUMIF('AUX-NIV2'!I:I,Recursos!C586,'AUX-NIV2'!Q:Q)+SUMIF('AUX-NIV3'!I:I,Recursos!C586,'AUX-NIV3'!Q:Q)</f>
        <v>0</v>
      </c>
      <c r="H586" s="204">
        <f t="shared" si="32"/>
        <v>0</v>
      </c>
      <c r="I586" s="366">
        <f t="shared" si="33"/>
        <v>0</v>
      </c>
      <c r="J586" s="205"/>
      <c r="L586" s="83"/>
    </row>
    <row r="587" spans="2:12">
      <c r="B587" s="222"/>
      <c r="C587" s="206" t="s">
        <v>110</v>
      </c>
      <c r="D587" s="200" t="s">
        <v>111</v>
      </c>
      <c r="E587" s="201" t="s">
        <v>185</v>
      </c>
      <c r="F587" s="551">
        <v>10</v>
      </c>
      <c r="G587" s="203">
        <f>+SUMIF('AUX-NIV1'!I:I,Recursos!C587,'AUX-NIV1'!Q:Q)+SUMIF('AUX-NIV2'!I:I,Recursos!C587,'AUX-NIV2'!Q:Q)+SUMIF('AUX-NIV3'!I:I,Recursos!C587,'AUX-NIV3'!Q:Q)</f>
        <v>0</v>
      </c>
      <c r="H587" s="204">
        <f t="shared" si="32"/>
        <v>0</v>
      </c>
      <c r="I587" s="366">
        <f t="shared" si="33"/>
        <v>0</v>
      </c>
      <c r="J587" s="205"/>
      <c r="L587" s="83"/>
    </row>
    <row r="588" spans="2:12">
      <c r="B588" s="222"/>
      <c r="C588" s="206" t="s">
        <v>943</v>
      </c>
      <c r="D588" s="200" t="s">
        <v>944</v>
      </c>
      <c r="E588" s="201" t="s">
        <v>546</v>
      </c>
      <c r="F588" s="551"/>
      <c r="G588" s="203">
        <f>+SUMIF('AUX-NIV1'!I:I,Recursos!C588,'AUX-NIV1'!Q:Q)+SUMIF('AUX-NIV2'!I:I,Recursos!C588,'AUX-NIV2'!Q:Q)+SUMIF('AUX-NIV3'!I:I,Recursos!C588,'AUX-NIV3'!Q:Q)</f>
        <v>0</v>
      </c>
      <c r="H588" s="204">
        <f t="shared" si="32"/>
        <v>0</v>
      </c>
      <c r="I588" s="366">
        <f t="shared" si="33"/>
        <v>0</v>
      </c>
      <c r="J588" s="205"/>
      <c r="L588" s="83"/>
    </row>
    <row r="589" spans="2:12">
      <c r="B589" s="222"/>
      <c r="C589" s="206" t="s">
        <v>114</v>
      </c>
      <c r="D589" s="200" t="s">
        <v>115</v>
      </c>
      <c r="E589" s="201" t="s">
        <v>450</v>
      </c>
      <c r="F589" s="551">
        <v>35.075000000000003</v>
      </c>
      <c r="G589" s="203">
        <f>+SUMIF('AUX-NIV1'!I:I,Recursos!C589,'AUX-NIV1'!Q:Q)+SUMIF('AUX-NIV2'!I:I,Recursos!C589,'AUX-NIV2'!Q:Q)+SUMIF('AUX-NIV3'!I:I,Recursos!C589,'AUX-NIV3'!Q:Q)</f>
        <v>0</v>
      </c>
      <c r="H589" s="204">
        <f t="shared" si="32"/>
        <v>0</v>
      </c>
      <c r="I589" s="366">
        <f t="shared" si="33"/>
        <v>0</v>
      </c>
      <c r="J589" s="205"/>
      <c r="L589" s="83"/>
    </row>
    <row r="590" spans="2:12">
      <c r="B590" s="222"/>
      <c r="C590" s="206" t="s">
        <v>945</v>
      </c>
      <c r="D590" s="200" t="s">
        <v>946</v>
      </c>
      <c r="E590" s="201" t="s">
        <v>546</v>
      </c>
      <c r="F590" s="551"/>
      <c r="G590" s="203">
        <f>+SUMIF('AUX-NIV1'!I:I,Recursos!C590,'AUX-NIV1'!Q:Q)+SUMIF('AUX-NIV2'!I:I,Recursos!C590,'AUX-NIV2'!Q:Q)+SUMIF('AUX-NIV3'!I:I,Recursos!C590,'AUX-NIV3'!Q:Q)</f>
        <v>0</v>
      </c>
      <c r="H590" s="204">
        <f t="shared" si="32"/>
        <v>0</v>
      </c>
      <c r="I590" s="366">
        <f t="shared" si="33"/>
        <v>0</v>
      </c>
      <c r="J590" s="205"/>
      <c r="L590" s="83"/>
    </row>
    <row r="591" spans="2:12">
      <c r="B591" s="222"/>
      <c r="C591" s="206" t="s">
        <v>611</v>
      </c>
      <c r="D591" s="200" t="s">
        <v>612</v>
      </c>
      <c r="E591" s="201" t="s">
        <v>371</v>
      </c>
      <c r="F591" s="551">
        <v>450</v>
      </c>
      <c r="G591" s="203">
        <f>+SUMIF('AUX-NIV1'!I:I,Recursos!C591,'AUX-NIV1'!Q:Q)+SUMIF('AUX-NIV2'!I:I,Recursos!C591,'AUX-NIV2'!Q:Q)+SUMIF('AUX-NIV3'!I:I,Recursos!C591,'AUX-NIV3'!Q:Q)</f>
        <v>0</v>
      </c>
      <c r="H591" s="204">
        <f t="shared" si="32"/>
        <v>0</v>
      </c>
      <c r="I591" s="366">
        <f t="shared" si="33"/>
        <v>0</v>
      </c>
      <c r="J591" s="205"/>
      <c r="L591" s="83"/>
    </row>
    <row r="592" spans="2:12">
      <c r="B592" s="222"/>
      <c r="C592" s="206" t="s">
        <v>613</v>
      </c>
      <c r="D592" s="200" t="s">
        <v>614</v>
      </c>
      <c r="E592" s="201" t="s">
        <v>371</v>
      </c>
      <c r="F592" s="551">
        <v>800</v>
      </c>
      <c r="G592" s="203">
        <f>+SUMIF('AUX-NIV1'!I:I,Recursos!C592,'AUX-NIV1'!Q:Q)+SUMIF('AUX-NIV2'!I:I,Recursos!C592,'AUX-NIV2'!Q:Q)+SUMIF('AUX-NIV3'!I:I,Recursos!C592,'AUX-NIV3'!Q:Q)</f>
        <v>0</v>
      </c>
      <c r="H592" s="204">
        <f t="shared" si="32"/>
        <v>0</v>
      </c>
      <c r="I592" s="366">
        <f t="shared" si="33"/>
        <v>0</v>
      </c>
      <c r="J592" s="205"/>
      <c r="L592" s="83"/>
    </row>
    <row r="593" spans="2:12">
      <c r="B593" s="222"/>
      <c r="C593" s="206" t="s">
        <v>615</v>
      </c>
      <c r="D593" s="200" t="s">
        <v>616</v>
      </c>
      <c r="E593" s="201" t="s">
        <v>610</v>
      </c>
      <c r="F593" s="551">
        <v>0</v>
      </c>
      <c r="G593" s="203">
        <f>+SUMIF('AUX-NIV1'!I:I,Recursos!C593,'AUX-NIV1'!Q:Q)+SUMIF('AUX-NIV2'!I:I,Recursos!C593,'AUX-NIV2'!Q:Q)+SUMIF('AUX-NIV3'!I:I,Recursos!C593,'AUX-NIV3'!Q:Q)</f>
        <v>0</v>
      </c>
      <c r="H593" s="204">
        <f t="shared" si="32"/>
        <v>0</v>
      </c>
      <c r="I593" s="366">
        <f t="shared" si="33"/>
        <v>0</v>
      </c>
      <c r="J593" s="205"/>
      <c r="L593" s="83"/>
    </row>
    <row r="594" spans="2:12">
      <c r="B594" s="222"/>
      <c r="C594" s="475" t="s">
        <v>2478</v>
      </c>
      <c r="D594" s="200" t="s">
        <v>2479</v>
      </c>
      <c r="E594" s="201" t="s">
        <v>477</v>
      </c>
      <c r="F594" s="551">
        <v>2791.625</v>
      </c>
      <c r="G594" s="203">
        <f>+SUMIF('AUX-NIV1'!I:I,Recursos!C594,'AUX-NIV1'!Q:Q)+SUMIF('AUX-NIV2'!I:I,Recursos!C594,'AUX-NIV2'!Q:Q)+SUMIF('AUX-NIV3'!I:I,Recursos!C594,'AUX-NIV3'!Q:Q)</f>
        <v>0</v>
      </c>
      <c r="H594" s="204">
        <f t="shared" ref="H594:H657" si="39">+F594*G594</f>
        <v>0</v>
      </c>
      <c r="I594" s="366">
        <f t="shared" si="33"/>
        <v>0</v>
      </c>
      <c r="J594" s="474"/>
      <c r="L594" s="83"/>
    </row>
    <row r="595" spans="2:12">
      <c r="B595" s="222"/>
      <c r="C595" s="475" t="s">
        <v>2480</v>
      </c>
      <c r="D595" s="200" t="s">
        <v>2481</v>
      </c>
      <c r="E595" s="201" t="s">
        <v>610</v>
      </c>
      <c r="F595" s="551">
        <v>0</v>
      </c>
      <c r="G595" s="203">
        <f>+SUMIF('AUX-NIV1'!I:I,Recursos!C595,'AUX-NIV1'!Q:Q)+SUMIF('AUX-NIV2'!I:I,Recursos!C595,'AUX-NIV2'!Q:Q)+SUMIF('AUX-NIV3'!I:I,Recursos!C595,'AUX-NIV3'!Q:Q)</f>
        <v>0</v>
      </c>
      <c r="H595" s="204">
        <f t="shared" si="39"/>
        <v>0</v>
      </c>
      <c r="I595" s="366">
        <f t="shared" si="33"/>
        <v>0</v>
      </c>
      <c r="J595" s="474"/>
      <c r="L595" s="83"/>
    </row>
    <row r="596" spans="2:12">
      <c r="B596" s="222"/>
      <c r="C596" s="206" t="s">
        <v>1430</v>
      </c>
      <c r="D596" s="200" t="s">
        <v>1445</v>
      </c>
      <c r="E596" s="201" t="s">
        <v>610</v>
      </c>
      <c r="F596" s="551">
        <v>15480.000000000002</v>
      </c>
      <c r="G596" s="203">
        <f>+SUMIF('AUX-NIV1'!I:I,Recursos!C596,'AUX-NIV1'!Q:Q)+SUMIF('AUX-NIV2'!I:I,Recursos!C596,'AUX-NIV2'!Q:Q)+SUMIF('AUX-NIV3'!I:I,Recursos!C596,'AUX-NIV3'!Q:Q)</f>
        <v>0</v>
      </c>
      <c r="H596" s="204">
        <f t="shared" si="39"/>
        <v>0</v>
      </c>
      <c r="I596" s="366">
        <f t="shared" si="33"/>
        <v>0</v>
      </c>
      <c r="J596" s="205"/>
      <c r="L596" s="83"/>
    </row>
    <row r="597" spans="2:12">
      <c r="B597" s="222"/>
      <c r="C597" s="206" t="s">
        <v>1431</v>
      </c>
      <c r="D597" s="200" t="s">
        <v>1446</v>
      </c>
      <c r="E597" s="201" t="s">
        <v>610</v>
      </c>
      <c r="F597" s="551">
        <v>17810</v>
      </c>
      <c r="G597" s="203">
        <f>+SUMIF('AUX-NIV1'!I:I,Recursos!C597,'AUX-NIV1'!Q:Q)+SUMIF('AUX-NIV2'!I:I,Recursos!C597,'AUX-NIV2'!Q:Q)+SUMIF('AUX-NIV3'!I:I,Recursos!C597,'AUX-NIV3'!Q:Q)</f>
        <v>0</v>
      </c>
      <c r="H597" s="204">
        <f t="shared" si="39"/>
        <v>0</v>
      </c>
      <c r="I597" s="366">
        <f t="shared" si="33"/>
        <v>0</v>
      </c>
      <c r="J597" s="205"/>
      <c r="L597" s="83"/>
    </row>
    <row r="598" spans="2:12">
      <c r="B598" s="222"/>
      <c r="C598" s="206" t="s">
        <v>1432</v>
      </c>
      <c r="D598" s="200" t="s">
        <v>1447</v>
      </c>
      <c r="E598" s="201" t="s">
        <v>610</v>
      </c>
      <c r="F598" s="551">
        <v>20467.5</v>
      </c>
      <c r="G598" s="203">
        <f>+SUMIF('AUX-NIV1'!I:I,Recursos!C598,'AUX-NIV1'!Q:Q)+SUMIF('AUX-NIV2'!I:I,Recursos!C598,'AUX-NIV2'!Q:Q)+SUMIF('AUX-NIV3'!I:I,Recursos!C598,'AUX-NIV3'!Q:Q)</f>
        <v>0</v>
      </c>
      <c r="H598" s="204">
        <f t="shared" si="39"/>
        <v>0</v>
      </c>
      <c r="I598" s="366">
        <f t="shared" si="33"/>
        <v>0</v>
      </c>
      <c r="J598" s="205"/>
      <c r="L598" s="83"/>
    </row>
    <row r="599" spans="2:12">
      <c r="B599" s="222"/>
      <c r="C599" s="206" t="s">
        <v>1433</v>
      </c>
      <c r="D599" s="200" t="s">
        <v>1448</v>
      </c>
      <c r="E599" s="201" t="s">
        <v>610</v>
      </c>
      <c r="F599" s="551">
        <v>5462.5</v>
      </c>
      <c r="G599" s="203">
        <f>+SUMIF('AUX-NIV1'!I:I,Recursos!C599,'AUX-NIV1'!Q:Q)+SUMIF('AUX-NIV2'!I:I,Recursos!C599,'AUX-NIV2'!Q:Q)+SUMIF('AUX-NIV3'!I:I,Recursos!C599,'AUX-NIV3'!Q:Q)</f>
        <v>0</v>
      </c>
      <c r="H599" s="204">
        <f t="shared" si="39"/>
        <v>0</v>
      </c>
      <c r="I599" s="366">
        <f t="shared" si="33"/>
        <v>0</v>
      </c>
      <c r="J599" s="205"/>
      <c r="L599" s="83"/>
    </row>
    <row r="600" spans="2:12">
      <c r="B600" s="222"/>
      <c r="C600" s="206" t="s">
        <v>1426</v>
      </c>
      <c r="D600" s="200" t="s">
        <v>1441</v>
      </c>
      <c r="E600" s="201" t="s">
        <v>610</v>
      </c>
      <c r="F600" s="551">
        <v>2811.1750000000002</v>
      </c>
      <c r="G600" s="203">
        <f>+SUMIF('AUX-NIV1'!I:I,Recursos!C600,'AUX-NIV1'!Q:Q)+SUMIF('AUX-NIV2'!I:I,Recursos!C600,'AUX-NIV2'!Q:Q)+SUMIF('AUX-NIV3'!I:I,Recursos!C600,'AUX-NIV3'!Q:Q)</f>
        <v>0</v>
      </c>
      <c r="H600" s="204">
        <f t="shared" si="39"/>
        <v>0</v>
      </c>
      <c r="I600" s="366">
        <f t="shared" si="33"/>
        <v>0</v>
      </c>
      <c r="J600" s="205"/>
      <c r="L600" s="83"/>
    </row>
    <row r="601" spans="2:12">
      <c r="B601" s="222"/>
      <c r="C601" s="206" t="s">
        <v>1427</v>
      </c>
      <c r="D601" s="200" t="s">
        <v>1442</v>
      </c>
      <c r="E601" s="201" t="s">
        <v>610</v>
      </c>
      <c r="F601" s="551">
        <v>27539.625</v>
      </c>
      <c r="G601" s="203">
        <f>+SUMIF('AUX-NIV1'!I:I,Recursos!C601,'AUX-NIV1'!Q:Q)+SUMIF('AUX-NIV2'!I:I,Recursos!C601,'AUX-NIV2'!Q:Q)+SUMIF('AUX-NIV3'!I:I,Recursos!C601,'AUX-NIV3'!Q:Q)</f>
        <v>0</v>
      </c>
      <c r="H601" s="204">
        <f t="shared" si="39"/>
        <v>0</v>
      </c>
      <c r="I601" s="366">
        <f t="shared" si="33"/>
        <v>0</v>
      </c>
      <c r="J601" s="205"/>
      <c r="L601" s="83"/>
    </row>
    <row r="602" spans="2:12">
      <c r="B602" s="222"/>
      <c r="C602" s="206" t="s">
        <v>1428</v>
      </c>
      <c r="D602" s="200" t="s">
        <v>1443</v>
      </c>
      <c r="E602" s="201" t="s">
        <v>610</v>
      </c>
      <c r="F602" s="551">
        <v>5184.7749999999996</v>
      </c>
      <c r="G602" s="203">
        <f>+SUMIF('AUX-NIV1'!I:I,Recursos!C602,'AUX-NIV1'!Q:Q)+SUMIF('AUX-NIV2'!I:I,Recursos!C602,'AUX-NIV2'!Q:Q)+SUMIF('AUX-NIV3'!I:I,Recursos!C602,'AUX-NIV3'!Q:Q)</f>
        <v>0</v>
      </c>
      <c r="H602" s="204">
        <f t="shared" si="39"/>
        <v>0</v>
      </c>
      <c r="I602" s="366">
        <f t="shared" ref="I602:I665" si="40">+H602/$I$3</f>
        <v>0</v>
      </c>
      <c r="J602" s="205"/>
      <c r="L602" s="83"/>
    </row>
    <row r="603" spans="2:12">
      <c r="B603" s="222"/>
      <c r="C603" s="206" t="s">
        <v>1429</v>
      </c>
      <c r="D603" s="200" t="s">
        <v>1444</v>
      </c>
      <c r="E603" s="201" t="s">
        <v>610</v>
      </c>
      <c r="F603" s="551">
        <v>14950</v>
      </c>
      <c r="G603" s="203">
        <f>+SUMIF('AUX-NIV1'!I:I,Recursos!C603,'AUX-NIV1'!Q:Q)+SUMIF('AUX-NIV2'!I:I,Recursos!C603,'AUX-NIV2'!Q:Q)+SUMIF('AUX-NIV3'!I:I,Recursos!C603,'AUX-NIV3'!Q:Q)</f>
        <v>0</v>
      </c>
      <c r="H603" s="204">
        <f t="shared" si="39"/>
        <v>0</v>
      </c>
      <c r="I603" s="366">
        <f t="shared" si="40"/>
        <v>0</v>
      </c>
      <c r="J603" s="205"/>
      <c r="L603" s="83"/>
    </row>
    <row r="604" spans="2:12">
      <c r="B604" s="222"/>
      <c r="C604" s="206" t="s">
        <v>413</v>
      </c>
      <c r="D604" s="200" t="s">
        <v>414</v>
      </c>
      <c r="E604" s="201" t="s">
        <v>477</v>
      </c>
      <c r="F604" s="551">
        <v>40</v>
      </c>
      <c r="G604" s="203">
        <f>+SUMIF('AUX-NIV1'!I:I,Recursos!C604,'AUX-NIV1'!Q:Q)+SUMIF('AUX-NIV2'!I:I,Recursos!C604,'AUX-NIV2'!Q:Q)+SUMIF('AUX-NIV3'!I:I,Recursos!C604,'AUX-NIV3'!Q:Q)</f>
        <v>0</v>
      </c>
      <c r="H604" s="204">
        <f t="shared" si="39"/>
        <v>0</v>
      </c>
      <c r="I604" s="366">
        <f t="shared" si="40"/>
        <v>0</v>
      </c>
      <c r="J604" s="205"/>
      <c r="L604" s="83"/>
    </row>
    <row r="605" spans="2:12">
      <c r="B605" s="222"/>
      <c r="C605" s="206" t="s">
        <v>617</v>
      </c>
      <c r="D605" s="200" t="s">
        <v>618</v>
      </c>
      <c r="E605" s="201" t="s">
        <v>477</v>
      </c>
      <c r="F605" s="551"/>
      <c r="G605" s="203">
        <f>+SUMIF('AUX-NIV1'!I:I,Recursos!C605,'AUX-NIV1'!Q:Q)+SUMIF('AUX-NIV2'!I:I,Recursos!C605,'AUX-NIV2'!Q:Q)+SUMIF('AUX-NIV3'!I:I,Recursos!C605,'AUX-NIV3'!Q:Q)</f>
        <v>0</v>
      </c>
      <c r="H605" s="204">
        <f t="shared" si="39"/>
        <v>0</v>
      </c>
      <c r="I605" s="366">
        <f t="shared" si="40"/>
        <v>0</v>
      </c>
      <c r="J605" s="205"/>
      <c r="L605" s="83"/>
    </row>
    <row r="606" spans="2:12">
      <c r="B606" s="222"/>
      <c r="C606" s="206" t="s">
        <v>1434</v>
      </c>
      <c r="D606" s="200" t="s">
        <v>1449</v>
      </c>
      <c r="E606" s="201" t="s">
        <v>450</v>
      </c>
      <c r="F606" s="551">
        <v>326.60000000000002</v>
      </c>
      <c r="G606" s="203">
        <f>+SUMIF('AUX-NIV1'!I:I,Recursos!C606,'AUX-NIV1'!Q:Q)+SUMIF('AUX-NIV2'!I:I,Recursos!C606,'AUX-NIV2'!Q:Q)+SUMIF('AUX-NIV3'!I:I,Recursos!C606,'AUX-NIV3'!Q:Q)</f>
        <v>0</v>
      </c>
      <c r="H606" s="204">
        <f t="shared" si="39"/>
        <v>0</v>
      </c>
      <c r="I606" s="366">
        <f t="shared" si="40"/>
        <v>0</v>
      </c>
      <c r="J606" s="205"/>
      <c r="L606" s="83"/>
    </row>
    <row r="607" spans="2:12">
      <c r="B607" s="222"/>
      <c r="C607" s="206" t="s">
        <v>1435</v>
      </c>
      <c r="D607" s="200" t="s">
        <v>1450</v>
      </c>
      <c r="E607" s="201" t="s">
        <v>450</v>
      </c>
      <c r="F607" s="551">
        <v>219</v>
      </c>
      <c r="G607" s="203">
        <f>+SUMIF('AUX-NIV1'!I:I,Recursos!C607,'AUX-NIV1'!Q:Q)+SUMIF('AUX-NIV2'!I:I,Recursos!C607,'AUX-NIV2'!Q:Q)+SUMIF('AUX-NIV3'!I:I,Recursos!C607,'AUX-NIV3'!Q:Q)</f>
        <v>0</v>
      </c>
      <c r="H607" s="204">
        <f t="shared" si="39"/>
        <v>0</v>
      </c>
      <c r="I607" s="366">
        <f t="shared" si="40"/>
        <v>0</v>
      </c>
      <c r="J607" s="205"/>
      <c r="L607" s="83"/>
    </row>
    <row r="608" spans="2:12">
      <c r="B608" s="222"/>
      <c r="C608" s="206" t="s">
        <v>1440</v>
      </c>
      <c r="D608" s="200" t="s">
        <v>1455</v>
      </c>
      <c r="E608" s="201" t="s">
        <v>450</v>
      </c>
      <c r="F608" s="551">
        <v>460</v>
      </c>
      <c r="G608" s="203">
        <f>+SUMIF('AUX-NIV1'!I:I,Recursos!C608,'AUX-NIV1'!Q:Q)+SUMIF('AUX-NIV2'!I:I,Recursos!C608,'AUX-NIV2'!Q:Q)+SUMIF('AUX-NIV3'!I:I,Recursos!C608,'AUX-NIV3'!Q:Q)</f>
        <v>0</v>
      </c>
      <c r="H608" s="204">
        <f t="shared" si="39"/>
        <v>0</v>
      </c>
      <c r="I608" s="366">
        <f t="shared" si="40"/>
        <v>0</v>
      </c>
      <c r="J608" s="205"/>
      <c r="L608" s="83"/>
    </row>
    <row r="609" spans="2:67">
      <c r="B609" s="222"/>
      <c r="C609" s="206" t="s">
        <v>1436</v>
      </c>
      <c r="D609" s="200" t="s">
        <v>1451</v>
      </c>
      <c r="E609" s="201" t="s">
        <v>477</v>
      </c>
      <c r="F609" s="551">
        <v>28.75</v>
      </c>
      <c r="G609" s="203">
        <f>+SUMIF('AUX-NIV1'!I:I,Recursos!C609,'AUX-NIV1'!Q:Q)+SUMIF('AUX-NIV2'!I:I,Recursos!C609,'AUX-NIV2'!Q:Q)+SUMIF('AUX-NIV3'!I:I,Recursos!C609,'AUX-NIV3'!Q:Q)</f>
        <v>0</v>
      </c>
      <c r="H609" s="204">
        <f t="shared" si="39"/>
        <v>0</v>
      </c>
      <c r="I609" s="366">
        <f t="shared" si="40"/>
        <v>0</v>
      </c>
      <c r="J609" s="205"/>
      <c r="L609" s="83"/>
    </row>
    <row r="610" spans="2:67">
      <c r="B610" s="222"/>
      <c r="C610" s="206" t="s">
        <v>1437</v>
      </c>
      <c r="D610" s="200" t="s">
        <v>1452</v>
      </c>
      <c r="E610" s="201" t="s">
        <v>477</v>
      </c>
      <c r="F610" s="551">
        <v>26.45</v>
      </c>
      <c r="G610" s="203">
        <f>+SUMIF('AUX-NIV1'!I:I,Recursos!C610,'AUX-NIV1'!Q:Q)+SUMIF('AUX-NIV2'!I:I,Recursos!C610,'AUX-NIV2'!Q:Q)+SUMIF('AUX-NIV3'!I:I,Recursos!C610,'AUX-NIV3'!Q:Q)</f>
        <v>0</v>
      </c>
      <c r="H610" s="204">
        <f t="shared" si="39"/>
        <v>0</v>
      </c>
      <c r="I610" s="366">
        <f t="shared" si="40"/>
        <v>0</v>
      </c>
      <c r="J610" s="205"/>
      <c r="L610" s="83"/>
    </row>
    <row r="611" spans="2:67">
      <c r="B611" s="222"/>
      <c r="C611" s="206" t="s">
        <v>1438</v>
      </c>
      <c r="D611" s="200" t="s">
        <v>1453</v>
      </c>
      <c r="E611" s="201" t="s">
        <v>610</v>
      </c>
      <c r="F611" s="551">
        <v>23.574999999999999</v>
      </c>
      <c r="G611" s="203">
        <f>+SUMIF('AUX-NIV1'!I:I,Recursos!C611,'AUX-NIV1'!Q:Q)+SUMIF('AUX-NIV2'!I:I,Recursos!C611,'AUX-NIV2'!Q:Q)+SUMIF('AUX-NIV3'!I:I,Recursos!C611,'AUX-NIV3'!Q:Q)</f>
        <v>0</v>
      </c>
      <c r="H611" s="204">
        <f t="shared" si="39"/>
        <v>0</v>
      </c>
      <c r="I611" s="366">
        <f t="shared" si="40"/>
        <v>0</v>
      </c>
      <c r="J611" s="205"/>
      <c r="L611" s="83"/>
    </row>
    <row r="612" spans="2:67">
      <c r="B612" s="222"/>
      <c r="C612" s="206" t="s">
        <v>1439</v>
      </c>
      <c r="D612" s="200" t="s">
        <v>1454</v>
      </c>
      <c r="E612" s="201" t="s">
        <v>610</v>
      </c>
      <c r="F612" s="551">
        <v>272.55</v>
      </c>
      <c r="G612" s="203">
        <f>+SUMIF('AUX-NIV1'!I:I,Recursos!C612,'AUX-NIV1'!Q:Q)+SUMIF('AUX-NIV2'!I:I,Recursos!C612,'AUX-NIV2'!Q:Q)+SUMIF('AUX-NIV3'!I:I,Recursos!C612,'AUX-NIV3'!Q:Q)</f>
        <v>0</v>
      </c>
      <c r="H612" s="204">
        <f t="shared" si="39"/>
        <v>0</v>
      </c>
      <c r="I612" s="366">
        <f t="shared" si="40"/>
        <v>0</v>
      </c>
      <c r="J612" s="205"/>
      <c r="L612" s="83"/>
    </row>
    <row r="613" spans="2:67">
      <c r="B613" s="222"/>
      <c r="C613" s="206" t="s">
        <v>1151</v>
      </c>
      <c r="D613" s="200" t="s">
        <v>1152</v>
      </c>
      <c r="E613" s="201" t="s">
        <v>477</v>
      </c>
      <c r="F613" s="551">
        <v>450</v>
      </c>
      <c r="G613" s="203">
        <f>+SUMIF('AUX-NIV1'!I:I,Recursos!C613,'AUX-NIV1'!Q:Q)+SUMIF('AUX-NIV2'!I:I,Recursos!C613,'AUX-NIV2'!Q:Q)+SUMIF('AUX-NIV3'!I:I,Recursos!C613,'AUX-NIV3'!Q:Q)</f>
        <v>0</v>
      </c>
      <c r="H613" s="204">
        <f t="shared" si="39"/>
        <v>0</v>
      </c>
      <c r="I613" s="366">
        <f t="shared" si="40"/>
        <v>0</v>
      </c>
      <c r="J613" s="205"/>
      <c r="L613" s="83"/>
    </row>
    <row r="614" spans="2:67">
      <c r="B614" s="222"/>
      <c r="C614" s="206" t="s">
        <v>619</v>
      </c>
      <c r="D614" s="200" t="s">
        <v>620</v>
      </c>
      <c r="E614" s="201" t="s">
        <v>371</v>
      </c>
      <c r="F614" s="551">
        <v>1500</v>
      </c>
      <c r="G614" s="203">
        <f>+SUMIF('AUX-NIV1'!I:I,Recursos!C614,'AUX-NIV1'!Q:Q)+SUMIF('AUX-NIV2'!I:I,Recursos!C614,'AUX-NIV2'!Q:Q)+SUMIF('AUX-NIV3'!I:I,Recursos!C614,'AUX-NIV3'!Q:Q)</f>
        <v>0</v>
      </c>
      <c r="H614" s="204">
        <f t="shared" si="39"/>
        <v>0</v>
      </c>
      <c r="I614" s="366">
        <f t="shared" si="40"/>
        <v>0</v>
      </c>
      <c r="J614" s="205"/>
      <c r="L614" s="83"/>
    </row>
    <row r="615" spans="2:67">
      <c r="B615" s="222"/>
      <c r="C615" s="206" t="s">
        <v>621</v>
      </c>
      <c r="D615" s="200" t="s">
        <v>622</v>
      </c>
      <c r="E615" s="201" t="s">
        <v>623</v>
      </c>
      <c r="F615" s="1656">
        <v>0.5</v>
      </c>
      <c r="G615" s="203">
        <f>+SUMIF('AUX-NIV1'!I:I,Recursos!C615,'AUX-NIV1'!Q:Q)+SUMIF('AUX-NIV2'!I:I,Recursos!C615,'AUX-NIV2'!Q:Q)+SUMIF('AUX-NIV3'!I:I,Recursos!C615,'AUX-NIV3'!Q:Q)</f>
        <v>6285.7727519999999</v>
      </c>
      <c r="H615" s="204">
        <f t="shared" si="39"/>
        <v>3142.8863759999999</v>
      </c>
      <c r="I615" s="366">
        <f t="shared" si="40"/>
        <v>9.6872423909523647E-3</v>
      </c>
      <c r="J615" s="205"/>
      <c r="L615" s="1610"/>
      <c r="BO615" s="912"/>
    </row>
    <row r="616" spans="2:67">
      <c r="B616" s="222"/>
      <c r="C616" s="206" t="s">
        <v>800</v>
      </c>
      <c r="D616" s="200" t="s">
        <v>801</v>
      </c>
      <c r="E616" s="201" t="s">
        <v>200</v>
      </c>
      <c r="F616" s="551">
        <v>947.79199999999992</v>
      </c>
      <c r="G616" s="203">
        <f>+SUMIF('AUX-NIV1'!I:I,Recursos!C616,'AUX-NIV1'!Q:Q)+SUMIF('AUX-NIV2'!I:I,Recursos!C616,'AUX-NIV2'!Q:Q)+SUMIF('AUX-NIV3'!I:I,Recursos!C616,'AUX-NIV3'!Q:Q)</f>
        <v>0</v>
      </c>
      <c r="H616" s="204">
        <f t="shared" si="39"/>
        <v>0</v>
      </c>
      <c r="I616" s="366">
        <f t="shared" si="40"/>
        <v>0</v>
      </c>
      <c r="J616" s="205"/>
      <c r="L616" s="83"/>
    </row>
    <row r="617" spans="2:67" ht="96">
      <c r="B617" s="222"/>
      <c r="C617" s="206" t="s">
        <v>2996</v>
      </c>
      <c r="D617" s="207" t="s">
        <v>2993</v>
      </c>
      <c r="E617" s="201" t="s">
        <v>477</v>
      </c>
      <c r="F617" s="551">
        <v>28012.55</v>
      </c>
      <c r="G617" s="203">
        <f>+SUMIF('AUX-NIV1'!I:I,Recursos!C617,'AUX-NIV1'!Q:Q)+SUMIF('AUX-NIV2'!I:I,Recursos!C617,'AUX-NIV2'!Q:Q)+SUMIF('AUX-NIV3'!I:I,Recursos!C617,'AUX-NIV3'!Q:Q)</f>
        <v>0</v>
      </c>
      <c r="H617" s="204">
        <f t="shared" si="39"/>
        <v>0</v>
      </c>
      <c r="I617" s="366">
        <f t="shared" si="40"/>
        <v>0</v>
      </c>
      <c r="J617" s="205"/>
      <c r="L617" s="913" t="s">
        <v>930</v>
      </c>
      <c r="M617" s="909"/>
      <c r="N617" s="909"/>
      <c r="O617" s="909"/>
      <c r="P617" s="909"/>
      <c r="Q617" s="909"/>
      <c r="R617" s="909"/>
      <c r="S617" s="909"/>
      <c r="T617" s="909"/>
      <c r="U617" s="909"/>
      <c r="V617" s="909"/>
      <c r="W617" s="909"/>
      <c r="X617" s="909"/>
      <c r="Y617" s="909"/>
      <c r="Z617" s="909"/>
      <c r="AA617" s="909"/>
      <c r="AB617" s="909"/>
      <c r="AC617" s="909"/>
      <c r="AD617" s="909"/>
      <c r="AE617" s="909"/>
      <c r="AF617" s="909"/>
      <c r="AG617" s="909"/>
      <c r="AH617" s="909"/>
      <c r="AI617" s="909"/>
      <c r="AJ617" s="909"/>
      <c r="AK617" s="909"/>
      <c r="AL617" s="909"/>
      <c r="AM617" s="909"/>
      <c r="AN617" s="909"/>
      <c r="AO617" s="909"/>
      <c r="AP617" s="909"/>
      <c r="AQ617" s="909"/>
      <c r="AR617" s="909"/>
      <c r="AS617" s="909"/>
      <c r="AT617" s="909"/>
      <c r="AU617" s="909"/>
      <c r="AV617" s="909"/>
      <c r="AW617" s="909"/>
      <c r="AX617" s="909"/>
      <c r="AY617" s="909"/>
      <c r="AZ617" s="909"/>
      <c r="BA617" s="909"/>
      <c r="BB617" s="909"/>
      <c r="BC617" s="909"/>
      <c r="BD617" s="909"/>
      <c r="BE617" s="909"/>
      <c r="BF617" s="909"/>
      <c r="BG617" s="909"/>
      <c r="BH617" s="909"/>
      <c r="BI617" s="909"/>
      <c r="BJ617" s="909"/>
      <c r="BK617" s="909"/>
      <c r="BL617" s="909"/>
      <c r="BM617" s="909"/>
      <c r="BN617" s="915"/>
      <c r="BO617" s="912"/>
    </row>
    <row r="618" spans="2:67" ht="12">
      <c r="B618" s="222"/>
      <c r="C618" s="206" t="s">
        <v>2997</v>
      </c>
      <c r="D618" s="207" t="s">
        <v>2994</v>
      </c>
      <c r="E618" s="201" t="s">
        <v>477</v>
      </c>
      <c r="F618" s="551">
        <v>19229</v>
      </c>
      <c r="G618" s="203">
        <f>+SUMIF('AUX-NIV1'!I:I,Recursos!C618,'AUX-NIV1'!Q:Q)+SUMIF('AUX-NIV2'!I:I,Recursos!C618,'AUX-NIV2'!Q:Q)+SUMIF('AUX-NIV3'!I:I,Recursos!C618,'AUX-NIV3'!Q:Q)</f>
        <v>0</v>
      </c>
      <c r="H618" s="204">
        <f t="shared" si="39"/>
        <v>0</v>
      </c>
      <c r="I618" s="366">
        <f t="shared" si="40"/>
        <v>0</v>
      </c>
      <c r="J618" s="205"/>
      <c r="L618" s="914"/>
      <c r="M618" s="910"/>
      <c r="N618" s="910"/>
      <c r="O618" s="910"/>
      <c r="P618" s="910"/>
      <c r="Q618" s="910"/>
      <c r="R618" s="910"/>
      <c r="S618" s="910"/>
      <c r="T618" s="910"/>
      <c r="U618" s="910"/>
      <c r="V618" s="910"/>
      <c r="W618" s="910"/>
      <c r="X618" s="910"/>
      <c r="Y618" s="910"/>
      <c r="Z618" s="910"/>
      <c r="AA618" s="910"/>
      <c r="AB618" s="910"/>
      <c r="AC618" s="910"/>
      <c r="AD618" s="910"/>
      <c r="AE618" s="910"/>
      <c r="AF618" s="910"/>
      <c r="AG618" s="910"/>
      <c r="AH618" s="910"/>
      <c r="AI618" s="910"/>
      <c r="AJ618" s="910"/>
      <c r="AK618" s="910"/>
      <c r="AL618" s="910"/>
      <c r="AM618" s="910"/>
      <c r="AN618" s="910"/>
      <c r="AO618" s="910"/>
      <c r="AP618" s="910"/>
      <c r="AQ618" s="910"/>
      <c r="AR618" s="910"/>
      <c r="AS618" s="910"/>
      <c r="AT618" s="910"/>
      <c r="AU618" s="910"/>
      <c r="AV618" s="910"/>
      <c r="AW618" s="910"/>
      <c r="AX618" s="910"/>
      <c r="AY618" s="910"/>
      <c r="AZ618" s="910"/>
      <c r="BA618" s="910"/>
      <c r="BB618" s="910"/>
      <c r="BC618" s="910"/>
      <c r="BD618" s="910"/>
      <c r="BE618" s="910"/>
      <c r="BF618" s="910"/>
      <c r="BG618" s="910"/>
      <c r="BH618" s="910"/>
      <c r="BI618" s="910"/>
      <c r="BJ618" s="910"/>
      <c r="BK618" s="910"/>
      <c r="BL618" s="910"/>
      <c r="BM618" s="910"/>
      <c r="BN618" s="916"/>
      <c r="BO618" s="912"/>
    </row>
    <row r="619" spans="2:67">
      <c r="B619" s="222"/>
      <c r="C619" s="206" t="s">
        <v>2998</v>
      </c>
      <c r="D619" s="207" t="s">
        <v>2995</v>
      </c>
      <c r="E619" s="201" t="s">
        <v>477</v>
      </c>
      <c r="F619" s="551">
        <v>12529</v>
      </c>
      <c r="G619" s="203">
        <f>+SUMIF('AUX-NIV1'!I:I,Recursos!C619,'AUX-NIV1'!Q:Q)+SUMIF('AUX-NIV2'!I:I,Recursos!C619,'AUX-NIV2'!Q:Q)+SUMIF('AUX-NIV3'!I:I,Recursos!C619,'AUX-NIV3'!Q:Q)</f>
        <v>0</v>
      </c>
      <c r="H619" s="204">
        <f t="shared" si="39"/>
        <v>0</v>
      </c>
      <c r="I619" s="366">
        <f t="shared" si="40"/>
        <v>0</v>
      </c>
      <c r="J619" s="205"/>
      <c r="L619" s="83"/>
      <c r="M619" s="83"/>
      <c r="N619" s="83"/>
      <c r="O619" s="83"/>
      <c r="P619" s="83"/>
      <c r="Q619" s="83"/>
      <c r="R619" s="83"/>
      <c r="S619" s="83"/>
      <c r="T619" s="83"/>
      <c r="U619" s="83"/>
      <c r="V619" s="83"/>
      <c r="W619" s="83"/>
      <c r="BO619" s="912"/>
    </row>
    <row r="620" spans="2:67">
      <c r="B620" s="222"/>
      <c r="C620" s="206" t="s">
        <v>2999</v>
      </c>
      <c r="D620" s="207" t="s">
        <v>3167</v>
      </c>
      <c r="E620" s="201" t="s">
        <v>610</v>
      </c>
      <c r="F620" s="551">
        <f>(32000+13900+2700)*usd</f>
        <v>4959630</v>
      </c>
      <c r="G620" s="203">
        <f>+SUMIF('AUX-NIV1'!I:I,Recursos!C620,'AUX-NIV1'!Q:Q)+SUMIF('AUX-NIV2'!I:I,Recursos!C620,'AUX-NIV2'!Q:Q)+SUMIF('AUX-NIV3'!I:I,Recursos!C620,'AUX-NIV3'!Q:Q)</f>
        <v>0</v>
      </c>
      <c r="H620" s="204">
        <f t="shared" si="39"/>
        <v>0</v>
      </c>
      <c r="I620" s="366">
        <f t="shared" si="40"/>
        <v>0</v>
      </c>
      <c r="J620" s="205"/>
      <c r="L620" s="391"/>
      <c r="M620" s="83"/>
      <c r="N620" s="83"/>
      <c r="O620" s="83"/>
      <c r="P620" s="83"/>
      <c r="Q620" s="83"/>
      <c r="R620" s="83"/>
      <c r="S620" s="83"/>
      <c r="T620" s="83"/>
      <c r="U620" s="83"/>
      <c r="V620" s="83"/>
      <c r="W620" s="83"/>
      <c r="BO620" s="912"/>
    </row>
    <row r="621" spans="2:67">
      <c r="B621" s="222"/>
      <c r="C621" s="206" t="s">
        <v>3000</v>
      </c>
      <c r="D621" s="754" t="s">
        <v>3091</v>
      </c>
      <c r="E621" s="750" t="s">
        <v>371</v>
      </c>
      <c r="F621" s="751">
        <v>1300</v>
      </c>
      <c r="G621" s="203">
        <f>+SUMIF('AUX-NIV1'!I:I,Recursos!C621,'AUX-NIV1'!Q:Q)+SUMIF('AUX-NIV2'!I:I,Recursos!C621,'AUX-NIV2'!Q:Q)+SUMIF('AUX-NIV3'!I:I,Recursos!C621,'AUX-NIV3'!Q:Q)</f>
        <v>0</v>
      </c>
      <c r="H621" s="204">
        <f t="shared" si="39"/>
        <v>0</v>
      </c>
      <c r="I621" s="366">
        <f t="shared" si="40"/>
        <v>0</v>
      </c>
      <c r="J621" s="752"/>
      <c r="L621" s="391"/>
      <c r="M621" s="83"/>
      <c r="N621" s="83"/>
      <c r="O621" s="83"/>
      <c r="P621" s="83"/>
      <c r="Q621" s="83"/>
      <c r="R621" s="83"/>
      <c r="S621" s="83"/>
      <c r="T621" s="83"/>
      <c r="U621" s="83"/>
      <c r="V621" s="83"/>
      <c r="W621" s="83"/>
      <c r="BO621" s="912"/>
    </row>
    <row r="622" spans="2:67">
      <c r="B622" s="222"/>
      <c r="C622" s="206" t="s">
        <v>3001</v>
      </c>
      <c r="D622" s="754" t="s">
        <v>3092</v>
      </c>
      <c r="E622" s="750" t="s">
        <v>477</v>
      </c>
      <c r="F622" s="751">
        <v>2200</v>
      </c>
      <c r="G622" s="203">
        <f>+SUMIF('AUX-NIV1'!I:I,Recursos!C622,'AUX-NIV1'!Q:Q)+SUMIF('AUX-NIV2'!I:I,Recursos!C622,'AUX-NIV2'!Q:Q)+SUMIF('AUX-NIV3'!I:I,Recursos!C622,'AUX-NIV3'!Q:Q)</f>
        <v>0</v>
      </c>
      <c r="H622" s="204">
        <f t="shared" si="39"/>
        <v>0</v>
      </c>
      <c r="I622" s="366">
        <f t="shared" si="40"/>
        <v>0</v>
      </c>
      <c r="J622" s="752"/>
      <c r="L622" s="391"/>
      <c r="M622" s="83"/>
      <c r="N622" s="83"/>
      <c r="O622" s="83"/>
      <c r="P622" s="83"/>
      <c r="Q622" s="83"/>
      <c r="R622" s="83"/>
      <c r="S622" s="83"/>
      <c r="T622" s="83"/>
      <c r="U622" s="83"/>
      <c r="V622" s="83"/>
      <c r="W622" s="83"/>
      <c r="BO622" s="912"/>
    </row>
    <row r="623" spans="2:67">
      <c r="B623" s="222"/>
      <c r="C623" s="206" t="s">
        <v>3002</v>
      </c>
      <c r="D623" s="754" t="s">
        <v>3093</v>
      </c>
      <c r="E623" s="750" t="s">
        <v>371</v>
      </c>
      <c r="F623" s="751">
        <f>165*usd</f>
        <v>16838.25</v>
      </c>
      <c r="G623" s="203">
        <f>+SUMIF('AUX-NIV1'!I:I,Recursos!C623,'AUX-NIV1'!Q:Q)+SUMIF('AUX-NIV2'!I:I,Recursos!C623,'AUX-NIV2'!Q:Q)+SUMIF('AUX-NIV3'!I:I,Recursos!C623,'AUX-NIV3'!Q:Q)</f>
        <v>0</v>
      </c>
      <c r="H623" s="204">
        <f t="shared" si="39"/>
        <v>0</v>
      </c>
      <c r="I623" s="366">
        <f t="shared" si="40"/>
        <v>0</v>
      </c>
      <c r="J623" s="752"/>
      <c r="L623" s="391"/>
      <c r="M623" s="83"/>
      <c r="N623" s="83"/>
      <c r="O623" s="83"/>
      <c r="P623" s="83"/>
      <c r="Q623" s="83"/>
      <c r="R623" s="83"/>
      <c r="S623" s="83"/>
      <c r="T623" s="83"/>
      <c r="U623" s="83"/>
      <c r="V623" s="83"/>
      <c r="W623" s="83"/>
      <c r="BO623" s="912"/>
    </row>
    <row r="624" spans="2:67">
      <c r="B624" s="222"/>
      <c r="C624" s="206" t="s">
        <v>3003</v>
      </c>
      <c r="D624" s="754" t="s">
        <v>3094</v>
      </c>
      <c r="E624" s="750" t="s">
        <v>477</v>
      </c>
      <c r="F624" s="751">
        <v>2250</v>
      </c>
      <c r="G624" s="203">
        <f>+SUMIF('AUX-NIV1'!I:I,Recursos!C624,'AUX-NIV1'!Q:Q)+SUMIF('AUX-NIV2'!I:I,Recursos!C624,'AUX-NIV2'!Q:Q)+SUMIF('AUX-NIV3'!I:I,Recursos!C624,'AUX-NIV3'!Q:Q)</f>
        <v>0</v>
      </c>
      <c r="H624" s="204">
        <f t="shared" si="39"/>
        <v>0</v>
      </c>
      <c r="I624" s="366">
        <f t="shared" si="40"/>
        <v>0</v>
      </c>
      <c r="J624" s="752"/>
      <c r="L624" s="391"/>
      <c r="M624" s="83"/>
      <c r="N624" s="83"/>
      <c r="O624" s="83"/>
      <c r="P624" s="83"/>
      <c r="Q624" s="83"/>
      <c r="R624" s="83"/>
      <c r="S624" s="83"/>
      <c r="T624" s="83"/>
      <c r="U624" s="83"/>
      <c r="V624" s="83"/>
      <c r="W624" s="83"/>
      <c r="BO624" s="912"/>
    </row>
    <row r="625" spans="2:67">
      <c r="B625" s="222"/>
      <c r="C625" s="206" t="s">
        <v>3004</v>
      </c>
      <c r="D625" s="754" t="s">
        <v>3095</v>
      </c>
      <c r="E625" s="750" t="s">
        <v>371</v>
      </c>
      <c r="F625" s="551">
        <v>5588</v>
      </c>
      <c r="G625" s="203">
        <f>+SUMIF('AUX-NIV1'!I:I,Recursos!C625,'AUX-NIV1'!Q:Q)+SUMIF('AUX-NIV2'!I:I,Recursos!C625,'AUX-NIV2'!Q:Q)+SUMIF('AUX-NIV3'!I:I,Recursos!C625,'AUX-NIV3'!Q:Q)</f>
        <v>0</v>
      </c>
      <c r="H625" s="204">
        <f t="shared" si="39"/>
        <v>0</v>
      </c>
      <c r="I625" s="366">
        <f t="shared" si="40"/>
        <v>0</v>
      </c>
      <c r="J625" s="752"/>
      <c r="L625" s="391"/>
      <c r="M625" s="83"/>
      <c r="N625" s="83"/>
      <c r="O625" s="83"/>
      <c r="P625" s="83"/>
      <c r="Q625" s="83"/>
      <c r="R625" s="83"/>
      <c r="S625" s="83"/>
      <c r="T625" s="83"/>
      <c r="U625" s="83"/>
      <c r="V625" s="83"/>
      <c r="W625" s="83"/>
      <c r="BO625" s="912"/>
    </row>
    <row r="626" spans="2:67">
      <c r="B626" s="222"/>
      <c r="C626" s="206" t="s">
        <v>3005</v>
      </c>
      <c r="D626" s="754" t="s">
        <v>3096</v>
      </c>
      <c r="E626" s="750" t="s">
        <v>371</v>
      </c>
      <c r="F626" s="551">
        <v>12217</v>
      </c>
      <c r="G626" s="203">
        <f>+SUMIF('AUX-NIV1'!I:I,Recursos!C626,'AUX-NIV1'!Q:Q)+SUMIF('AUX-NIV2'!I:I,Recursos!C626,'AUX-NIV2'!Q:Q)+SUMIF('AUX-NIV3'!I:I,Recursos!C626,'AUX-NIV3'!Q:Q)</f>
        <v>0</v>
      </c>
      <c r="H626" s="204">
        <f t="shared" si="39"/>
        <v>0</v>
      </c>
      <c r="I626" s="366">
        <f t="shared" si="40"/>
        <v>0</v>
      </c>
      <c r="J626" s="752"/>
      <c r="L626" s="391"/>
      <c r="M626" s="83"/>
      <c r="N626" s="83"/>
      <c r="O626" s="83"/>
      <c r="P626" s="83"/>
      <c r="Q626" s="83"/>
      <c r="R626" s="83"/>
      <c r="S626" s="83"/>
      <c r="T626" s="83"/>
      <c r="U626" s="83"/>
      <c r="V626" s="83"/>
      <c r="W626" s="83"/>
      <c r="BO626" s="912"/>
    </row>
    <row r="627" spans="2:67">
      <c r="B627" s="222"/>
      <c r="C627" s="206" t="s">
        <v>3006</v>
      </c>
      <c r="D627" s="754" t="s">
        <v>3097</v>
      </c>
      <c r="E627" s="750" t="s">
        <v>371</v>
      </c>
      <c r="F627" s="551">
        <v>81489</v>
      </c>
      <c r="G627" s="203">
        <f>+SUMIF('AUX-NIV1'!I:I,Recursos!C627,'AUX-NIV1'!Q:Q)+SUMIF('AUX-NIV2'!I:I,Recursos!C627,'AUX-NIV2'!Q:Q)+SUMIF('AUX-NIV3'!I:I,Recursos!C627,'AUX-NIV3'!Q:Q)</f>
        <v>0</v>
      </c>
      <c r="H627" s="204">
        <f t="shared" si="39"/>
        <v>0</v>
      </c>
      <c r="I627" s="366">
        <f t="shared" si="40"/>
        <v>0</v>
      </c>
      <c r="J627" s="752"/>
      <c r="L627" s="391"/>
      <c r="M627" s="83"/>
      <c r="N627" s="83"/>
      <c r="O627" s="83"/>
      <c r="P627" s="83"/>
      <c r="Q627" s="83"/>
      <c r="R627" s="83"/>
      <c r="S627" s="83"/>
      <c r="T627" s="83"/>
      <c r="U627" s="83"/>
      <c r="V627" s="83"/>
      <c r="W627" s="83"/>
      <c r="BO627" s="912"/>
    </row>
    <row r="628" spans="2:67">
      <c r="B628" s="222"/>
      <c r="C628" s="206" t="s">
        <v>3007</v>
      </c>
      <c r="D628" s="754" t="s">
        <v>3098</v>
      </c>
      <c r="E628" s="750" t="s">
        <v>371</v>
      </c>
      <c r="F628" s="551">
        <v>88580</v>
      </c>
      <c r="G628" s="203">
        <f>+SUMIF('AUX-NIV1'!I:I,Recursos!C628,'AUX-NIV1'!Q:Q)+SUMIF('AUX-NIV2'!I:I,Recursos!C628,'AUX-NIV2'!Q:Q)+SUMIF('AUX-NIV3'!I:I,Recursos!C628,'AUX-NIV3'!Q:Q)</f>
        <v>0</v>
      </c>
      <c r="H628" s="204">
        <f t="shared" si="39"/>
        <v>0</v>
      </c>
      <c r="I628" s="366">
        <f t="shared" si="40"/>
        <v>0</v>
      </c>
      <c r="J628" s="752"/>
      <c r="L628" s="391"/>
      <c r="M628" s="83"/>
      <c r="N628" s="83"/>
      <c r="O628" s="83"/>
      <c r="P628" s="83"/>
      <c r="Q628" s="83"/>
      <c r="R628" s="83"/>
      <c r="S628" s="83"/>
      <c r="T628" s="83"/>
      <c r="U628" s="83"/>
      <c r="V628" s="83"/>
      <c r="W628" s="83"/>
      <c r="BO628" s="912"/>
    </row>
    <row r="629" spans="2:67">
      <c r="B629" s="222"/>
      <c r="C629" s="206" t="s">
        <v>3008</v>
      </c>
      <c r="D629" s="754" t="s">
        <v>3099</v>
      </c>
      <c r="E629" s="750" t="s">
        <v>371</v>
      </c>
      <c r="F629" s="551">
        <v>105800</v>
      </c>
      <c r="G629" s="203">
        <f>+SUMIF('AUX-NIV1'!I:I,Recursos!C629,'AUX-NIV1'!Q:Q)+SUMIF('AUX-NIV2'!I:I,Recursos!C629,'AUX-NIV2'!Q:Q)+SUMIF('AUX-NIV3'!I:I,Recursos!C629,'AUX-NIV3'!Q:Q)</f>
        <v>0</v>
      </c>
      <c r="H629" s="204">
        <f t="shared" si="39"/>
        <v>0</v>
      </c>
      <c r="I629" s="366">
        <f t="shared" si="40"/>
        <v>0</v>
      </c>
      <c r="J629" s="752"/>
      <c r="L629" s="391"/>
      <c r="M629" s="83"/>
      <c r="N629" s="83"/>
      <c r="O629" s="83"/>
      <c r="P629" s="83"/>
      <c r="Q629" s="83"/>
      <c r="R629" s="83"/>
      <c r="S629" s="83"/>
      <c r="T629" s="83"/>
      <c r="U629" s="83"/>
      <c r="V629" s="83"/>
      <c r="W629" s="83"/>
      <c r="BO629" s="912"/>
    </row>
    <row r="630" spans="2:67">
      <c r="B630" s="222"/>
      <c r="C630" s="206" t="s">
        <v>3023</v>
      </c>
      <c r="D630" s="754" t="s">
        <v>3100</v>
      </c>
      <c r="E630" s="750" t="s">
        <v>371</v>
      </c>
      <c r="F630" s="551">
        <v>89500</v>
      </c>
      <c r="G630" s="203">
        <f>+SUMIF('AUX-NIV1'!I:I,Recursos!C630,'AUX-NIV1'!Q:Q)+SUMIF('AUX-NIV2'!I:I,Recursos!C630,'AUX-NIV2'!Q:Q)+SUMIF('AUX-NIV3'!I:I,Recursos!C630,'AUX-NIV3'!Q:Q)</f>
        <v>0</v>
      </c>
      <c r="H630" s="204">
        <f t="shared" si="39"/>
        <v>0</v>
      </c>
      <c r="I630" s="366">
        <f t="shared" si="40"/>
        <v>0</v>
      </c>
      <c r="J630" s="752"/>
      <c r="L630" s="391"/>
      <c r="M630" s="83"/>
      <c r="N630" s="83"/>
      <c r="O630" s="83"/>
      <c r="P630" s="83"/>
      <c r="Q630" s="83"/>
      <c r="R630" s="83"/>
      <c r="S630" s="83"/>
      <c r="T630" s="83"/>
      <c r="U630" s="83"/>
      <c r="V630" s="83"/>
      <c r="W630" s="83"/>
      <c r="BO630" s="912"/>
    </row>
    <row r="631" spans="2:67">
      <c r="B631" s="222"/>
      <c r="C631" s="206" t="s">
        <v>3024</v>
      </c>
      <c r="D631" s="754" t="s">
        <v>3101</v>
      </c>
      <c r="E631" s="750" t="s">
        <v>371</v>
      </c>
      <c r="F631" s="551">
        <v>121634</v>
      </c>
      <c r="G631" s="203">
        <f>+SUMIF('AUX-NIV1'!I:I,Recursos!C631,'AUX-NIV1'!Q:Q)+SUMIF('AUX-NIV2'!I:I,Recursos!C631,'AUX-NIV2'!Q:Q)+SUMIF('AUX-NIV3'!I:I,Recursos!C631,'AUX-NIV3'!Q:Q)</f>
        <v>0</v>
      </c>
      <c r="H631" s="204">
        <f t="shared" si="39"/>
        <v>0</v>
      </c>
      <c r="I631" s="366">
        <f t="shared" si="40"/>
        <v>0</v>
      </c>
      <c r="J631" s="752"/>
      <c r="L631" s="391"/>
      <c r="M631" s="83"/>
      <c r="N631" s="83"/>
      <c r="O631" s="83"/>
      <c r="P631" s="83"/>
      <c r="Q631" s="83"/>
      <c r="R631" s="83"/>
      <c r="S631" s="83"/>
      <c r="T631" s="83"/>
      <c r="U631" s="83"/>
      <c r="V631" s="83"/>
      <c r="W631" s="83"/>
      <c r="BO631" s="912"/>
    </row>
    <row r="632" spans="2:67">
      <c r="B632" s="222"/>
      <c r="C632" s="206" t="s">
        <v>3025</v>
      </c>
      <c r="D632" s="754" t="s">
        <v>3102</v>
      </c>
      <c r="E632" s="750" t="s">
        <v>371</v>
      </c>
      <c r="F632" s="551">
        <v>133500</v>
      </c>
      <c r="G632" s="203">
        <f>+SUMIF('AUX-NIV1'!I:I,Recursos!C632,'AUX-NIV1'!Q:Q)+SUMIF('AUX-NIV2'!I:I,Recursos!C632,'AUX-NIV2'!Q:Q)+SUMIF('AUX-NIV3'!I:I,Recursos!C632,'AUX-NIV3'!Q:Q)</f>
        <v>0</v>
      </c>
      <c r="H632" s="204">
        <f t="shared" si="39"/>
        <v>0</v>
      </c>
      <c r="I632" s="366">
        <f t="shared" si="40"/>
        <v>0</v>
      </c>
      <c r="J632" s="752"/>
      <c r="L632" s="391"/>
      <c r="M632" s="83"/>
      <c r="N632" s="83"/>
      <c r="O632" s="83"/>
      <c r="P632" s="83"/>
      <c r="Q632" s="83"/>
      <c r="R632" s="83"/>
      <c r="S632" s="83"/>
      <c r="T632" s="83"/>
      <c r="U632" s="83"/>
      <c r="V632" s="83"/>
      <c r="W632" s="83"/>
      <c r="BO632" s="912"/>
    </row>
    <row r="633" spans="2:67">
      <c r="B633" s="222"/>
      <c r="C633" s="206" t="s">
        <v>3026</v>
      </c>
      <c r="D633" s="754" t="s">
        <v>3103</v>
      </c>
      <c r="E633" s="750" t="s">
        <v>371</v>
      </c>
      <c r="F633" s="551">
        <v>155800</v>
      </c>
      <c r="G633" s="203">
        <f>+SUMIF('AUX-NIV1'!I:I,Recursos!C633,'AUX-NIV1'!Q:Q)+SUMIF('AUX-NIV2'!I:I,Recursos!C633,'AUX-NIV2'!Q:Q)+SUMIF('AUX-NIV3'!I:I,Recursos!C633,'AUX-NIV3'!Q:Q)</f>
        <v>0</v>
      </c>
      <c r="H633" s="204">
        <f t="shared" si="39"/>
        <v>0</v>
      </c>
      <c r="I633" s="366">
        <f t="shared" si="40"/>
        <v>0</v>
      </c>
      <c r="J633" s="752"/>
      <c r="L633" s="391"/>
      <c r="M633" s="83"/>
      <c r="N633" s="83"/>
      <c r="O633" s="83"/>
      <c r="P633" s="83"/>
      <c r="Q633" s="83"/>
      <c r="R633" s="83"/>
      <c r="S633" s="83"/>
      <c r="T633" s="83"/>
      <c r="U633" s="83"/>
      <c r="V633" s="83"/>
      <c r="W633" s="83"/>
      <c r="BO633" s="912"/>
    </row>
    <row r="634" spans="2:67">
      <c r="B634" s="222"/>
      <c r="C634" s="206" t="s">
        <v>3027</v>
      </c>
      <c r="D634" s="754" t="s">
        <v>3104</v>
      </c>
      <c r="E634" s="750" t="s">
        <v>371</v>
      </c>
      <c r="F634" s="551">
        <v>162500</v>
      </c>
      <c r="G634" s="203">
        <f>+SUMIF('AUX-NIV1'!I:I,Recursos!C634,'AUX-NIV1'!Q:Q)+SUMIF('AUX-NIV2'!I:I,Recursos!C634,'AUX-NIV2'!Q:Q)+SUMIF('AUX-NIV3'!I:I,Recursos!C634,'AUX-NIV3'!Q:Q)</f>
        <v>0</v>
      </c>
      <c r="H634" s="204">
        <f t="shared" si="39"/>
        <v>0</v>
      </c>
      <c r="I634" s="366">
        <f t="shared" si="40"/>
        <v>0</v>
      </c>
      <c r="J634" s="752"/>
      <c r="L634" s="391"/>
      <c r="M634" s="83"/>
      <c r="N634" s="83"/>
      <c r="O634" s="83"/>
      <c r="P634" s="83"/>
      <c r="Q634" s="83"/>
      <c r="R634" s="83"/>
      <c r="S634" s="83"/>
      <c r="T634" s="83"/>
      <c r="U634" s="83"/>
      <c r="V634" s="83"/>
      <c r="W634" s="83"/>
      <c r="BO634" s="912"/>
    </row>
    <row r="635" spans="2:67">
      <c r="B635" s="222"/>
      <c r="C635" s="206" t="s">
        <v>3028</v>
      </c>
      <c r="D635" s="754" t="s">
        <v>3105</v>
      </c>
      <c r="E635" s="750" t="s">
        <v>371</v>
      </c>
      <c r="F635" s="551">
        <v>165200</v>
      </c>
      <c r="G635" s="203">
        <f>+SUMIF('AUX-NIV1'!I:I,Recursos!C635,'AUX-NIV1'!Q:Q)+SUMIF('AUX-NIV2'!I:I,Recursos!C635,'AUX-NIV2'!Q:Q)+SUMIF('AUX-NIV3'!I:I,Recursos!C635,'AUX-NIV3'!Q:Q)</f>
        <v>0</v>
      </c>
      <c r="H635" s="204">
        <f t="shared" si="39"/>
        <v>0</v>
      </c>
      <c r="I635" s="366">
        <f t="shared" si="40"/>
        <v>0</v>
      </c>
      <c r="J635" s="752"/>
      <c r="L635" s="391"/>
      <c r="M635" s="83"/>
      <c r="N635" s="83"/>
      <c r="O635" s="83"/>
      <c r="P635" s="83"/>
      <c r="Q635" s="83"/>
      <c r="R635" s="83"/>
      <c r="S635" s="83"/>
      <c r="T635" s="83"/>
      <c r="U635" s="83"/>
      <c r="V635" s="83"/>
      <c r="W635" s="83"/>
      <c r="BO635" s="912"/>
    </row>
    <row r="636" spans="2:67">
      <c r="B636" s="222"/>
      <c r="C636" s="206" t="s">
        <v>3029</v>
      </c>
      <c r="D636" s="754" t="s">
        <v>3106</v>
      </c>
      <c r="E636" s="750" t="s">
        <v>371</v>
      </c>
      <c r="F636" s="551">
        <v>171400</v>
      </c>
      <c r="G636" s="203">
        <f>+SUMIF('AUX-NIV1'!I:I,Recursos!C636,'AUX-NIV1'!Q:Q)+SUMIF('AUX-NIV2'!I:I,Recursos!C636,'AUX-NIV2'!Q:Q)+SUMIF('AUX-NIV3'!I:I,Recursos!C636,'AUX-NIV3'!Q:Q)</f>
        <v>0</v>
      </c>
      <c r="H636" s="204">
        <f t="shared" si="39"/>
        <v>0</v>
      </c>
      <c r="I636" s="366">
        <f t="shared" si="40"/>
        <v>0</v>
      </c>
      <c r="J636" s="752"/>
      <c r="L636" s="391"/>
      <c r="M636" s="83"/>
      <c r="N636" s="83"/>
      <c r="O636" s="83"/>
      <c r="P636" s="83"/>
      <c r="Q636" s="83"/>
      <c r="R636" s="83"/>
      <c r="S636" s="83"/>
      <c r="T636" s="83"/>
      <c r="U636" s="83"/>
      <c r="V636" s="83"/>
      <c r="W636" s="83"/>
      <c r="BO636" s="912"/>
    </row>
    <row r="637" spans="2:67">
      <c r="B637" s="222"/>
      <c r="C637" s="206" t="s">
        <v>3030</v>
      </c>
      <c r="D637" s="754" t="s">
        <v>3107</v>
      </c>
      <c r="E637" s="750" t="s">
        <v>371</v>
      </c>
      <c r="F637" s="551">
        <v>184500</v>
      </c>
      <c r="G637" s="203">
        <f>+SUMIF('AUX-NIV1'!I:I,Recursos!C637,'AUX-NIV1'!Q:Q)+SUMIF('AUX-NIV2'!I:I,Recursos!C637,'AUX-NIV2'!Q:Q)+SUMIF('AUX-NIV3'!I:I,Recursos!C637,'AUX-NIV3'!Q:Q)</f>
        <v>0</v>
      </c>
      <c r="H637" s="204">
        <f t="shared" si="39"/>
        <v>0</v>
      </c>
      <c r="I637" s="366">
        <f t="shared" si="40"/>
        <v>0</v>
      </c>
      <c r="J637" s="752"/>
      <c r="L637" s="391"/>
      <c r="M637" s="83"/>
      <c r="N637" s="83"/>
      <c r="O637" s="83"/>
      <c r="P637" s="83"/>
      <c r="Q637" s="83"/>
      <c r="R637" s="83"/>
      <c r="S637" s="83"/>
      <c r="T637" s="83"/>
      <c r="U637" s="83"/>
      <c r="V637" s="83"/>
      <c r="W637" s="83"/>
      <c r="BO637" s="912"/>
    </row>
    <row r="638" spans="2:67">
      <c r="B638" s="222"/>
      <c r="C638" s="206" t="s">
        <v>3031</v>
      </c>
      <c r="D638" s="754" t="s">
        <v>3108</v>
      </c>
      <c r="E638" s="750" t="s">
        <v>371</v>
      </c>
      <c r="F638" s="551">
        <v>195200</v>
      </c>
      <c r="G638" s="203">
        <f>+SUMIF('AUX-NIV1'!I:I,Recursos!C638,'AUX-NIV1'!Q:Q)+SUMIF('AUX-NIV2'!I:I,Recursos!C638,'AUX-NIV2'!Q:Q)+SUMIF('AUX-NIV3'!I:I,Recursos!C638,'AUX-NIV3'!Q:Q)</f>
        <v>0</v>
      </c>
      <c r="H638" s="204">
        <f t="shared" si="39"/>
        <v>0</v>
      </c>
      <c r="I638" s="366">
        <f t="shared" si="40"/>
        <v>0</v>
      </c>
      <c r="J638" s="752"/>
      <c r="L638" s="391"/>
      <c r="M638" s="83"/>
      <c r="N638" s="83"/>
      <c r="O638" s="83"/>
      <c r="P638" s="83"/>
      <c r="Q638" s="83"/>
      <c r="R638" s="83"/>
      <c r="S638" s="83"/>
      <c r="T638" s="83"/>
      <c r="U638" s="83"/>
      <c r="V638" s="83"/>
      <c r="W638" s="83"/>
      <c r="BO638" s="912"/>
    </row>
    <row r="639" spans="2:67">
      <c r="B639" s="222"/>
      <c r="C639" s="206" t="s">
        <v>3032</v>
      </c>
      <c r="D639" s="754" t="s">
        <v>3109</v>
      </c>
      <c r="E639" s="750" t="s">
        <v>371</v>
      </c>
      <c r="F639" s="551">
        <v>202800</v>
      </c>
      <c r="G639" s="203">
        <f>+SUMIF('AUX-NIV1'!I:I,Recursos!C639,'AUX-NIV1'!Q:Q)+SUMIF('AUX-NIV2'!I:I,Recursos!C639,'AUX-NIV2'!Q:Q)+SUMIF('AUX-NIV3'!I:I,Recursos!C639,'AUX-NIV3'!Q:Q)</f>
        <v>0</v>
      </c>
      <c r="H639" s="204">
        <f t="shared" si="39"/>
        <v>0</v>
      </c>
      <c r="I639" s="366">
        <f t="shared" si="40"/>
        <v>0</v>
      </c>
      <c r="J639" s="752"/>
      <c r="L639" s="391"/>
      <c r="M639" s="83"/>
      <c r="N639" s="83"/>
      <c r="O639" s="83"/>
      <c r="P639" s="83"/>
      <c r="Q639" s="83"/>
      <c r="R639" s="83"/>
      <c r="S639" s="83"/>
      <c r="T639" s="83"/>
      <c r="U639" s="83"/>
      <c r="V639" s="83"/>
      <c r="W639" s="83"/>
      <c r="BO639" s="912"/>
    </row>
    <row r="640" spans="2:67">
      <c r="B640" s="222"/>
      <c r="C640" s="206" t="s">
        <v>3033</v>
      </c>
      <c r="D640" s="754" t="s">
        <v>3110</v>
      </c>
      <c r="E640" s="750" t="s">
        <v>371</v>
      </c>
      <c r="F640" s="551">
        <v>210545</v>
      </c>
      <c r="G640" s="203">
        <f>+SUMIF('AUX-NIV1'!I:I,Recursos!C640,'AUX-NIV1'!Q:Q)+SUMIF('AUX-NIV2'!I:I,Recursos!C640,'AUX-NIV2'!Q:Q)+SUMIF('AUX-NIV3'!I:I,Recursos!C640,'AUX-NIV3'!Q:Q)</f>
        <v>0</v>
      </c>
      <c r="H640" s="204">
        <f t="shared" si="39"/>
        <v>0</v>
      </c>
      <c r="I640" s="366">
        <f t="shared" si="40"/>
        <v>0</v>
      </c>
      <c r="J640" s="752"/>
      <c r="L640" s="391"/>
      <c r="M640" s="83"/>
      <c r="N640" s="83"/>
      <c r="O640" s="83"/>
      <c r="P640" s="83"/>
      <c r="Q640" s="83"/>
      <c r="R640" s="83"/>
      <c r="S640" s="83"/>
      <c r="T640" s="83"/>
      <c r="U640" s="83"/>
      <c r="V640" s="83"/>
      <c r="W640" s="83"/>
      <c r="BO640" s="912"/>
    </row>
    <row r="641" spans="2:67">
      <c r="B641" s="222"/>
      <c r="C641" s="206" t="s">
        <v>3034</v>
      </c>
      <c r="D641" s="754" t="s">
        <v>3111</v>
      </c>
      <c r="E641" s="750" t="s">
        <v>371</v>
      </c>
      <c r="F641" s="551">
        <v>121634</v>
      </c>
      <c r="G641" s="203">
        <f>+SUMIF('AUX-NIV1'!I:I,Recursos!C641,'AUX-NIV1'!Q:Q)+SUMIF('AUX-NIV2'!I:I,Recursos!C641,'AUX-NIV2'!Q:Q)+SUMIF('AUX-NIV3'!I:I,Recursos!C641,'AUX-NIV3'!Q:Q)</f>
        <v>0</v>
      </c>
      <c r="H641" s="204">
        <f t="shared" si="39"/>
        <v>0</v>
      </c>
      <c r="I641" s="366">
        <f t="shared" si="40"/>
        <v>0</v>
      </c>
      <c r="J641" s="752"/>
      <c r="L641" s="391"/>
      <c r="M641" s="83"/>
      <c r="N641" s="83"/>
      <c r="O641" s="83"/>
      <c r="P641" s="83"/>
      <c r="Q641" s="83"/>
      <c r="R641" s="83"/>
      <c r="S641" s="83"/>
      <c r="T641" s="83"/>
      <c r="U641" s="83"/>
      <c r="V641" s="83"/>
      <c r="W641" s="83"/>
      <c r="BO641" s="912"/>
    </row>
    <row r="642" spans="2:67">
      <c r="B642" s="222"/>
      <c r="C642" s="206" t="s">
        <v>3035</v>
      </c>
      <c r="D642" s="754" t="s">
        <v>3112</v>
      </c>
      <c r="E642" s="750" t="s">
        <v>371</v>
      </c>
      <c r="F642" s="551">
        <v>152500</v>
      </c>
      <c r="G642" s="203">
        <f>+SUMIF('AUX-NIV1'!I:I,Recursos!C642,'AUX-NIV1'!Q:Q)+SUMIF('AUX-NIV2'!I:I,Recursos!C642,'AUX-NIV2'!Q:Q)+SUMIF('AUX-NIV3'!I:I,Recursos!C642,'AUX-NIV3'!Q:Q)</f>
        <v>0</v>
      </c>
      <c r="H642" s="204">
        <f t="shared" si="39"/>
        <v>0</v>
      </c>
      <c r="I642" s="366">
        <f t="shared" si="40"/>
        <v>0</v>
      </c>
      <c r="J642" s="752"/>
      <c r="L642" s="391"/>
      <c r="M642" s="83"/>
      <c r="N642" s="83"/>
      <c r="O642" s="83"/>
      <c r="P642" s="83"/>
      <c r="Q642" s="83"/>
      <c r="R642" s="83"/>
      <c r="S642" s="83"/>
      <c r="T642" s="83"/>
      <c r="U642" s="83"/>
      <c r="V642" s="83"/>
      <c r="W642" s="83"/>
      <c r="BO642" s="912"/>
    </row>
    <row r="643" spans="2:67">
      <c r="B643" s="222"/>
      <c r="C643" s="206" t="s">
        <v>3036</v>
      </c>
      <c r="D643" s="754" t="s">
        <v>3113</v>
      </c>
      <c r="E643" s="750" t="s">
        <v>371</v>
      </c>
      <c r="F643" s="551">
        <v>195500</v>
      </c>
      <c r="G643" s="203">
        <f>+SUMIF('AUX-NIV1'!I:I,Recursos!C643,'AUX-NIV1'!Q:Q)+SUMIF('AUX-NIV2'!I:I,Recursos!C643,'AUX-NIV2'!Q:Q)+SUMIF('AUX-NIV3'!I:I,Recursos!C643,'AUX-NIV3'!Q:Q)</f>
        <v>0</v>
      </c>
      <c r="H643" s="204">
        <f t="shared" si="39"/>
        <v>0</v>
      </c>
      <c r="I643" s="366">
        <f t="shared" si="40"/>
        <v>0</v>
      </c>
      <c r="J643" s="752"/>
      <c r="L643" s="391"/>
      <c r="M643" s="83"/>
      <c r="N643" s="83"/>
      <c r="O643" s="83"/>
      <c r="P643" s="83"/>
      <c r="Q643" s="83"/>
      <c r="R643" s="83"/>
      <c r="S643" s="83"/>
      <c r="T643" s="83"/>
      <c r="U643" s="83"/>
      <c r="V643" s="83"/>
      <c r="W643" s="83"/>
      <c r="BO643" s="912"/>
    </row>
    <row r="644" spans="2:67">
      <c r="B644" s="222"/>
      <c r="C644" s="206" t="s">
        <v>3037</v>
      </c>
      <c r="D644" s="754" t="s">
        <v>3114</v>
      </c>
      <c r="E644" s="750" t="s">
        <v>371</v>
      </c>
      <c r="F644" s="551">
        <v>58500</v>
      </c>
      <c r="G644" s="203">
        <f>+SUMIF('AUX-NIV1'!I:I,Recursos!C644,'AUX-NIV1'!Q:Q)+SUMIF('AUX-NIV2'!I:I,Recursos!C644,'AUX-NIV2'!Q:Q)+SUMIF('AUX-NIV3'!I:I,Recursos!C644,'AUX-NIV3'!Q:Q)</f>
        <v>0</v>
      </c>
      <c r="H644" s="204">
        <f t="shared" si="39"/>
        <v>0</v>
      </c>
      <c r="I644" s="366">
        <f t="shared" si="40"/>
        <v>0</v>
      </c>
      <c r="J644" s="752"/>
      <c r="L644" s="391"/>
      <c r="M644" s="83"/>
      <c r="N644" s="83"/>
      <c r="O644" s="83"/>
      <c r="P644" s="83"/>
      <c r="Q644" s="83"/>
      <c r="R644" s="83"/>
      <c r="S644" s="83"/>
      <c r="T644" s="83"/>
      <c r="U644" s="83"/>
      <c r="V644" s="83"/>
      <c r="W644" s="83"/>
      <c r="BO644" s="912"/>
    </row>
    <row r="645" spans="2:67">
      <c r="B645" s="222"/>
      <c r="C645" s="206" t="s">
        <v>3038</v>
      </c>
      <c r="D645" s="754" t="s">
        <v>3115</v>
      </c>
      <c r="E645" s="750" t="s">
        <v>371</v>
      </c>
      <c r="F645" s="551">
        <v>45200</v>
      </c>
      <c r="G645" s="203">
        <f>+SUMIF('AUX-NIV1'!I:I,Recursos!C645,'AUX-NIV1'!Q:Q)+SUMIF('AUX-NIV2'!I:I,Recursos!C645,'AUX-NIV2'!Q:Q)+SUMIF('AUX-NIV3'!I:I,Recursos!C645,'AUX-NIV3'!Q:Q)</f>
        <v>0</v>
      </c>
      <c r="H645" s="204">
        <f t="shared" si="39"/>
        <v>0</v>
      </c>
      <c r="I645" s="366">
        <f t="shared" si="40"/>
        <v>0</v>
      </c>
      <c r="J645" s="752"/>
      <c r="L645" s="391"/>
      <c r="M645" s="83"/>
      <c r="N645" s="83"/>
      <c r="O645" s="83"/>
      <c r="P645" s="83"/>
      <c r="Q645" s="83"/>
      <c r="R645" s="83"/>
      <c r="S645" s="83"/>
      <c r="T645" s="83"/>
      <c r="U645" s="83"/>
      <c r="V645" s="83"/>
      <c r="W645" s="83"/>
      <c r="BO645" s="912"/>
    </row>
    <row r="646" spans="2:67">
      <c r="B646" s="222"/>
      <c r="C646" s="206" t="s">
        <v>3039</v>
      </c>
      <c r="D646" s="754" t="s">
        <v>3116</v>
      </c>
      <c r="E646" s="750" t="s">
        <v>371</v>
      </c>
      <c r="F646" s="551">
        <v>48100</v>
      </c>
      <c r="G646" s="203">
        <f>+SUMIF('AUX-NIV1'!I:I,Recursos!C646,'AUX-NIV1'!Q:Q)+SUMIF('AUX-NIV2'!I:I,Recursos!C646,'AUX-NIV2'!Q:Q)+SUMIF('AUX-NIV3'!I:I,Recursos!C646,'AUX-NIV3'!Q:Q)</f>
        <v>0</v>
      </c>
      <c r="H646" s="204">
        <f t="shared" si="39"/>
        <v>0</v>
      </c>
      <c r="I646" s="366">
        <f t="shared" si="40"/>
        <v>0</v>
      </c>
      <c r="J646" s="752"/>
      <c r="L646" s="391"/>
      <c r="M646" s="83"/>
      <c r="N646" s="83"/>
      <c r="O646" s="83"/>
      <c r="P646" s="83"/>
      <c r="Q646" s="83"/>
      <c r="R646" s="83"/>
      <c r="S646" s="83"/>
      <c r="T646" s="83"/>
      <c r="U646" s="83"/>
      <c r="V646" s="83"/>
      <c r="W646" s="83"/>
      <c r="BO646" s="912"/>
    </row>
    <row r="647" spans="2:67">
      <c r="B647" s="222"/>
      <c r="C647" s="206" t="s">
        <v>3040</v>
      </c>
      <c r="D647" s="754" t="s">
        <v>3117</v>
      </c>
      <c r="E647" s="750" t="s">
        <v>371</v>
      </c>
      <c r="F647" s="551">
        <v>49380</v>
      </c>
      <c r="G647" s="203">
        <f>+SUMIF('AUX-NIV1'!I:I,Recursos!C647,'AUX-NIV1'!Q:Q)+SUMIF('AUX-NIV2'!I:I,Recursos!C647,'AUX-NIV2'!Q:Q)+SUMIF('AUX-NIV3'!I:I,Recursos!C647,'AUX-NIV3'!Q:Q)</f>
        <v>0</v>
      </c>
      <c r="H647" s="204">
        <f t="shared" si="39"/>
        <v>0</v>
      </c>
      <c r="I647" s="366">
        <f t="shared" si="40"/>
        <v>0</v>
      </c>
      <c r="J647" s="752"/>
      <c r="L647" s="391"/>
      <c r="M647" s="83"/>
      <c r="N647" s="83"/>
      <c r="O647" s="83"/>
      <c r="P647" s="83"/>
      <c r="Q647" s="83"/>
      <c r="R647" s="83"/>
      <c r="S647" s="83"/>
      <c r="T647" s="83"/>
      <c r="U647" s="83"/>
      <c r="V647" s="83"/>
      <c r="W647" s="83"/>
      <c r="BO647" s="912"/>
    </row>
    <row r="648" spans="2:67">
      <c r="B648" s="222"/>
      <c r="C648" s="206" t="s">
        <v>3041</v>
      </c>
      <c r="D648" s="754" t="s">
        <v>3118</v>
      </c>
      <c r="E648" s="750" t="s">
        <v>371</v>
      </c>
      <c r="F648" s="551">
        <v>58055</v>
      </c>
      <c r="G648" s="203">
        <f>+SUMIF('AUX-NIV1'!I:I,Recursos!C648,'AUX-NIV1'!Q:Q)+SUMIF('AUX-NIV2'!I:I,Recursos!C648,'AUX-NIV2'!Q:Q)+SUMIF('AUX-NIV3'!I:I,Recursos!C648,'AUX-NIV3'!Q:Q)</f>
        <v>0</v>
      </c>
      <c r="H648" s="204">
        <f t="shared" si="39"/>
        <v>0</v>
      </c>
      <c r="I648" s="366">
        <f t="shared" si="40"/>
        <v>0</v>
      </c>
      <c r="J648" s="752"/>
      <c r="L648" s="391"/>
      <c r="M648" s="83"/>
      <c r="N648" s="83"/>
      <c r="O648" s="83"/>
      <c r="P648" s="83"/>
      <c r="Q648" s="83"/>
      <c r="R648" s="83"/>
      <c r="S648" s="83"/>
      <c r="T648" s="83"/>
      <c r="U648" s="83"/>
      <c r="V648" s="83"/>
      <c r="W648" s="83"/>
      <c r="BO648" s="912"/>
    </row>
    <row r="649" spans="2:67">
      <c r="B649" s="222"/>
      <c r="C649" s="206" t="s">
        <v>3042</v>
      </c>
      <c r="D649" s="754" t="s">
        <v>3119</v>
      </c>
      <c r="E649" s="750" t="s">
        <v>371</v>
      </c>
      <c r="F649" s="551">
        <v>71200</v>
      </c>
      <c r="G649" s="203">
        <f>+SUMIF('AUX-NIV1'!I:I,Recursos!C649,'AUX-NIV1'!Q:Q)+SUMIF('AUX-NIV2'!I:I,Recursos!C649,'AUX-NIV2'!Q:Q)+SUMIF('AUX-NIV3'!I:I,Recursos!C649,'AUX-NIV3'!Q:Q)</f>
        <v>0</v>
      </c>
      <c r="H649" s="204">
        <f t="shared" si="39"/>
        <v>0</v>
      </c>
      <c r="I649" s="366">
        <f t="shared" si="40"/>
        <v>0</v>
      </c>
      <c r="J649" s="752"/>
      <c r="L649" s="391"/>
      <c r="M649" s="83"/>
      <c r="N649" s="83"/>
      <c r="O649" s="83"/>
      <c r="P649" s="83"/>
      <c r="Q649" s="83"/>
      <c r="R649" s="83"/>
      <c r="S649" s="83"/>
      <c r="T649" s="83"/>
      <c r="U649" s="83"/>
      <c r="V649" s="83"/>
      <c r="W649" s="83"/>
      <c r="BO649" s="912"/>
    </row>
    <row r="650" spans="2:67">
      <c r="B650" s="222"/>
      <c r="C650" s="206" t="s">
        <v>3043</v>
      </c>
      <c r="D650" s="754" t="s">
        <v>3120</v>
      </c>
      <c r="E650" s="750" t="s">
        <v>371</v>
      </c>
      <c r="F650" s="551">
        <v>88636</v>
      </c>
      <c r="G650" s="203">
        <f>+SUMIF('AUX-NIV1'!I:I,Recursos!C650,'AUX-NIV1'!Q:Q)+SUMIF('AUX-NIV2'!I:I,Recursos!C650,'AUX-NIV2'!Q:Q)+SUMIF('AUX-NIV3'!I:I,Recursos!C650,'AUX-NIV3'!Q:Q)</f>
        <v>0</v>
      </c>
      <c r="H650" s="204">
        <f t="shared" si="39"/>
        <v>0</v>
      </c>
      <c r="I650" s="366">
        <f t="shared" si="40"/>
        <v>0</v>
      </c>
      <c r="J650" s="752"/>
      <c r="L650" s="391"/>
      <c r="M650" s="83"/>
      <c r="N650" s="83"/>
      <c r="O650" s="83"/>
      <c r="P650" s="83"/>
      <c r="Q650" s="83"/>
      <c r="R650" s="83"/>
      <c r="S650" s="83"/>
      <c r="T650" s="83"/>
      <c r="U650" s="83"/>
      <c r="V650" s="83"/>
      <c r="W650" s="83"/>
      <c r="BO650" s="912"/>
    </row>
    <row r="651" spans="2:67">
      <c r="B651" s="222"/>
      <c r="C651" s="206" t="s">
        <v>3044</v>
      </c>
      <c r="D651" s="754" t="s">
        <v>3121</v>
      </c>
      <c r="E651" s="750" t="s">
        <v>371</v>
      </c>
      <c r="F651" s="551">
        <v>117261</v>
      </c>
      <c r="G651" s="203">
        <f>+SUMIF('AUX-NIV1'!I:I,Recursos!C651,'AUX-NIV1'!Q:Q)+SUMIF('AUX-NIV2'!I:I,Recursos!C651,'AUX-NIV2'!Q:Q)+SUMIF('AUX-NIV3'!I:I,Recursos!C651,'AUX-NIV3'!Q:Q)</f>
        <v>0</v>
      </c>
      <c r="H651" s="204">
        <f t="shared" si="39"/>
        <v>0</v>
      </c>
      <c r="I651" s="366">
        <f t="shared" si="40"/>
        <v>0</v>
      </c>
      <c r="J651" s="752"/>
      <c r="L651" s="391"/>
      <c r="M651" s="83"/>
      <c r="N651" s="83"/>
      <c r="O651" s="83"/>
      <c r="P651" s="83"/>
      <c r="Q651" s="83"/>
      <c r="R651" s="83"/>
      <c r="S651" s="83"/>
      <c r="T651" s="83"/>
      <c r="U651" s="83"/>
      <c r="V651" s="83"/>
      <c r="W651" s="83"/>
      <c r="BO651" s="912"/>
    </row>
    <row r="652" spans="2:67">
      <c r="B652" s="222"/>
      <c r="C652" s="206" t="s">
        <v>3045</v>
      </c>
      <c r="D652" s="754" t="s">
        <v>3122</v>
      </c>
      <c r="E652" s="750" t="s">
        <v>371</v>
      </c>
      <c r="F652" s="551">
        <v>138204</v>
      </c>
      <c r="G652" s="203">
        <f>+SUMIF('AUX-NIV1'!I:I,Recursos!C652,'AUX-NIV1'!Q:Q)+SUMIF('AUX-NIV2'!I:I,Recursos!C652,'AUX-NIV2'!Q:Q)+SUMIF('AUX-NIV3'!I:I,Recursos!C652,'AUX-NIV3'!Q:Q)</f>
        <v>0</v>
      </c>
      <c r="H652" s="204">
        <f t="shared" si="39"/>
        <v>0</v>
      </c>
      <c r="I652" s="366">
        <f t="shared" si="40"/>
        <v>0</v>
      </c>
      <c r="J652" s="752"/>
      <c r="L652" s="391"/>
      <c r="M652" s="83"/>
      <c r="N652" s="83"/>
      <c r="O652" s="83"/>
      <c r="P652" s="83"/>
      <c r="Q652" s="83"/>
      <c r="R652" s="83"/>
      <c r="S652" s="83"/>
      <c r="T652" s="83"/>
      <c r="U652" s="83"/>
      <c r="V652" s="83"/>
      <c r="W652" s="83"/>
      <c r="BO652" s="912"/>
    </row>
    <row r="653" spans="2:67">
      <c r="B653" s="222"/>
      <c r="C653" s="206" t="s">
        <v>3046</v>
      </c>
      <c r="D653" s="754" t="s">
        <v>3123</v>
      </c>
      <c r="E653" s="750" t="s">
        <v>371</v>
      </c>
      <c r="F653" s="751">
        <f>82*usd</f>
        <v>8368.1</v>
      </c>
      <c r="G653" s="203">
        <f>+SUMIF('AUX-NIV1'!I:I,Recursos!C653,'AUX-NIV1'!Q:Q)+SUMIF('AUX-NIV2'!I:I,Recursos!C653,'AUX-NIV2'!Q:Q)+SUMIF('AUX-NIV3'!I:I,Recursos!C653,'AUX-NIV3'!Q:Q)</f>
        <v>0</v>
      </c>
      <c r="H653" s="204">
        <f t="shared" si="39"/>
        <v>0</v>
      </c>
      <c r="I653" s="366">
        <f t="shared" si="40"/>
        <v>0</v>
      </c>
      <c r="J653" s="752"/>
      <c r="L653" s="391"/>
      <c r="M653" s="83"/>
      <c r="N653" s="83"/>
      <c r="O653" s="83"/>
      <c r="P653" s="83"/>
      <c r="Q653" s="83"/>
      <c r="R653" s="83"/>
      <c r="S653" s="83"/>
      <c r="T653" s="83"/>
      <c r="U653" s="83"/>
      <c r="V653" s="83"/>
      <c r="W653" s="83"/>
      <c r="BO653" s="912"/>
    </row>
    <row r="654" spans="2:67">
      <c r="B654" s="222"/>
      <c r="C654" s="206" t="s">
        <v>3047</v>
      </c>
      <c r="D654" s="754" t="s">
        <v>3124</v>
      </c>
      <c r="E654" s="750" t="s">
        <v>371</v>
      </c>
      <c r="F654" s="551">
        <v>2250</v>
      </c>
      <c r="G654" s="203">
        <f>+SUMIF('AUX-NIV1'!I:I,Recursos!C654,'AUX-NIV1'!Q:Q)+SUMIF('AUX-NIV2'!I:I,Recursos!C654,'AUX-NIV2'!Q:Q)+SUMIF('AUX-NIV3'!I:I,Recursos!C654,'AUX-NIV3'!Q:Q)</f>
        <v>0</v>
      </c>
      <c r="H654" s="204">
        <f t="shared" si="39"/>
        <v>0</v>
      </c>
      <c r="I654" s="366">
        <f t="shared" si="40"/>
        <v>0</v>
      </c>
      <c r="J654" s="752"/>
      <c r="L654" s="391"/>
      <c r="M654" s="83"/>
      <c r="N654" s="83"/>
      <c r="O654" s="83"/>
      <c r="P654" s="83"/>
      <c r="Q654" s="83"/>
      <c r="R654" s="83"/>
      <c r="S654" s="83"/>
      <c r="T654" s="83"/>
      <c r="U654" s="83"/>
      <c r="V654" s="83"/>
      <c r="W654" s="83"/>
      <c r="BO654" s="912"/>
    </row>
    <row r="655" spans="2:67">
      <c r="B655" s="222"/>
      <c r="C655" s="206" t="s">
        <v>3048</v>
      </c>
      <c r="D655" s="754" t="s">
        <v>3125</v>
      </c>
      <c r="E655" s="750" t="s">
        <v>371</v>
      </c>
      <c r="F655" s="551">
        <v>2930</v>
      </c>
      <c r="G655" s="203">
        <f>+SUMIF('AUX-NIV1'!I:I,Recursos!C655,'AUX-NIV1'!Q:Q)+SUMIF('AUX-NIV2'!I:I,Recursos!C655,'AUX-NIV2'!Q:Q)+SUMIF('AUX-NIV3'!I:I,Recursos!C655,'AUX-NIV3'!Q:Q)</f>
        <v>0</v>
      </c>
      <c r="H655" s="204">
        <f t="shared" si="39"/>
        <v>0</v>
      </c>
      <c r="I655" s="366">
        <f t="shared" si="40"/>
        <v>0</v>
      </c>
      <c r="J655" s="752"/>
      <c r="L655" s="391"/>
      <c r="M655" s="83"/>
      <c r="N655" s="83"/>
      <c r="O655" s="83"/>
      <c r="P655" s="83"/>
      <c r="Q655" s="83"/>
      <c r="R655" s="83"/>
      <c r="S655" s="83"/>
      <c r="T655" s="83"/>
      <c r="U655" s="83"/>
      <c r="V655" s="83"/>
      <c r="W655" s="83"/>
      <c r="BO655" s="912"/>
    </row>
    <row r="656" spans="2:67">
      <c r="B656" s="222"/>
      <c r="C656" s="206" t="s">
        <v>3049</v>
      </c>
      <c r="D656" s="754" t="s">
        <v>3126</v>
      </c>
      <c r="E656" s="750" t="s">
        <v>371</v>
      </c>
      <c r="F656" s="551">
        <v>2980</v>
      </c>
      <c r="G656" s="203">
        <f>+SUMIF('AUX-NIV1'!I:I,Recursos!C656,'AUX-NIV1'!Q:Q)+SUMIF('AUX-NIV2'!I:I,Recursos!C656,'AUX-NIV2'!Q:Q)+SUMIF('AUX-NIV3'!I:I,Recursos!C656,'AUX-NIV3'!Q:Q)</f>
        <v>0</v>
      </c>
      <c r="H656" s="204">
        <f t="shared" si="39"/>
        <v>0</v>
      </c>
      <c r="I656" s="366">
        <f t="shared" si="40"/>
        <v>0</v>
      </c>
      <c r="J656" s="752"/>
      <c r="L656" s="391"/>
      <c r="M656" s="83"/>
      <c r="N656" s="83"/>
      <c r="O656" s="83"/>
      <c r="P656" s="83"/>
      <c r="Q656" s="83"/>
      <c r="R656" s="83"/>
      <c r="S656" s="83"/>
      <c r="T656" s="83"/>
      <c r="U656" s="83"/>
      <c r="V656" s="83"/>
      <c r="W656" s="83"/>
      <c r="BO656" s="912"/>
    </row>
    <row r="657" spans="2:67">
      <c r="B657" s="222"/>
      <c r="C657" s="206" t="s">
        <v>3050</v>
      </c>
      <c r="D657" s="754" t="s">
        <v>3127</v>
      </c>
      <c r="E657" s="750" t="s">
        <v>371</v>
      </c>
      <c r="F657" s="551">
        <v>5850</v>
      </c>
      <c r="G657" s="203">
        <f>+SUMIF('AUX-NIV1'!I:I,Recursos!C657,'AUX-NIV1'!Q:Q)+SUMIF('AUX-NIV2'!I:I,Recursos!C657,'AUX-NIV2'!Q:Q)+SUMIF('AUX-NIV3'!I:I,Recursos!C657,'AUX-NIV3'!Q:Q)</f>
        <v>0</v>
      </c>
      <c r="H657" s="204">
        <f t="shared" si="39"/>
        <v>0</v>
      </c>
      <c r="I657" s="366">
        <f t="shared" si="40"/>
        <v>0</v>
      </c>
      <c r="J657" s="752"/>
      <c r="L657" s="391"/>
      <c r="M657" s="83"/>
      <c r="N657" s="83"/>
      <c r="O657" s="83"/>
      <c r="P657" s="83"/>
      <c r="Q657" s="83"/>
      <c r="R657" s="83"/>
      <c r="S657" s="83"/>
      <c r="T657" s="83"/>
      <c r="U657" s="83"/>
      <c r="V657" s="83"/>
      <c r="W657" s="83"/>
      <c r="BO657" s="912"/>
    </row>
    <row r="658" spans="2:67">
      <c r="B658" s="222"/>
      <c r="C658" s="206" t="s">
        <v>3051</v>
      </c>
      <c r="D658" s="754" t="s">
        <v>3128</v>
      </c>
      <c r="E658" s="750" t="s">
        <v>371</v>
      </c>
      <c r="F658" s="551">
        <v>5650</v>
      </c>
      <c r="G658" s="203">
        <f>+SUMIF('AUX-NIV1'!I:I,Recursos!C658,'AUX-NIV1'!Q:Q)+SUMIF('AUX-NIV2'!I:I,Recursos!C658,'AUX-NIV2'!Q:Q)+SUMIF('AUX-NIV3'!I:I,Recursos!C658,'AUX-NIV3'!Q:Q)</f>
        <v>0</v>
      </c>
      <c r="H658" s="204">
        <f t="shared" ref="H658:H721" si="41">+F658*G658</f>
        <v>0</v>
      </c>
      <c r="I658" s="366">
        <f t="shared" si="40"/>
        <v>0</v>
      </c>
      <c r="J658" s="752"/>
      <c r="L658" s="391"/>
      <c r="M658" s="83"/>
      <c r="N658" s="83"/>
      <c r="O658" s="83"/>
      <c r="P658" s="83"/>
      <c r="Q658" s="83"/>
      <c r="R658" s="83"/>
      <c r="S658" s="83"/>
      <c r="T658" s="83"/>
      <c r="U658" s="83"/>
      <c r="V658" s="83"/>
      <c r="W658" s="83"/>
      <c r="BO658" s="912"/>
    </row>
    <row r="659" spans="2:67">
      <c r="B659" s="222"/>
      <c r="C659" s="206" t="s">
        <v>3052</v>
      </c>
      <c r="D659" s="754" t="s">
        <v>3129</v>
      </c>
      <c r="E659" s="750" t="s">
        <v>371</v>
      </c>
      <c r="F659" s="551">
        <v>12280</v>
      </c>
      <c r="G659" s="203">
        <f>+SUMIF('AUX-NIV1'!I:I,Recursos!C659,'AUX-NIV1'!Q:Q)+SUMIF('AUX-NIV2'!I:I,Recursos!C659,'AUX-NIV2'!Q:Q)+SUMIF('AUX-NIV3'!I:I,Recursos!C659,'AUX-NIV3'!Q:Q)</f>
        <v>0</v>
      </c>
      <c r="H659" s="204">
        <f t="shared" si="41"/>
        <v>0</v>
      </c>
      <c r="I659" s="366">
        <f t="shared" si="40"/>
        <v>0</v>
      </c>
      <c r="J659" s="752"/>
      <c r="L659" s="391"/>
      <c r="M659" s="83"/>
      <c r="N659" s="83"/>
      <c r="O659" s="83"/>
      <c r="P659" s="83"/>
      <c r="Q659" s="83"/>
      <c r="R659" s="83"/>
      <c r="S659" s="83"/>
      <c r="T659" s="83"/>
      <c r="U659" s="83"/>
      <c r="V659" s="83"/>
      <c r="W659" s="83"/>
      <c r="BO659" s="912"/>
    </row>
    <row r="660" spans="2:67">
      <c r="B660" s="222"/>
      <c r="C660" s="206" t="s">
        <v>3053</v>
      </c>
      <c r="D660" s="207" t="s">
        <v>3130</v>
      </c>
      <c r="E660" s="201" t="s">
        <v>371</v>
      </c>
      <c r="F660" s="751">
        <v>1</v>
      </c>
      <c r="G660" s="203">
        <f>+SUMIF('AUX-NIV1'!I:I,Recursos!C660,'AUX-NIV1'!Q:Q)+SUMIF('AUX-NIV2'!I:I,Recursos!C660,'AUX-NIV2'!Q:Q)+SUMIF('AUX-NIV3'!I:I,Recursos!C660,'AUX-NIV3'!Q:Q)</f>
        <v>0</v>
      </c>
      <c r="H660" s="204">
        <f t="shared" si="41"/>
        <v>0</v>
      </c>
      <c r="I660" s="366">
        <f t="shared" si="40"/>
        <v>0</v>
      </c>
      <c r="J660" s="205"/>
      <c r="L660" s="83"/>
      <c r="M660" s="83"/>
      <c r="N660" s="83"/>
      <c r="O660" s="83"/>
      <c r="P660" s="83"/>
      <c r="Q660" s="83"/>
      <c r="R660" s="83"/>
      <c r="S660" s="83"/>
      <c r="T660" s="83"/>
      <c r="U660" s="83"/>
      <c r="V660" s="83"/>
      <c r="W660" s="83"/>
    </row>
    <row r="661" spans="2:67">
      <c r="B661" s="222"/>
      <c r="C661" s="206" t="s">
        <v>3054</v>
      </c>
      <c r="D661" s="207" t="s">
        <v>3131</v>
      </c>
      <c r="E661" s="201" t="s">
        <v>371</v>
      </c>
      <c r="F661" s="551">
        <v>5660</v>
      </c>
      <c r="G661" s="203">
        <f>+SUMIF('AUX-NIV1'!I:I,Recursos!C661,'AUX-NIV1'!Q:Q)+SUMIF('AUX-NIV2'!I:I,Recursos!C661,'AUX-NIV2'!Q:Q)+SUMIF('AUX-NIV3'!I:I,Recursos!C661,'AUX-NIV3'!Q:Q)</f>
        <v>0</v>
      </c>
      <c r="H661" s="204">
        <f t="shared" si="41"/>
        <v>0</v>
      </c>
      <c r="I661" s="366">
        <f t="shared" si="40"/>
        <v>0</v>
      </c>
      <c r="J661" s="205"/>
      <c r="L661" s="83"/>
      <c r="M661" s="83"/>
      <c r="N661" s="83"/>
      <c r="O661" s="83"/>
      <c r="P661" s="83"/>
      <c r="Q661" s="83"/>
      <c r="R661" s="83"/>
      <c r="S661" s="83"/>
      <c r="T661" s="83"/>
      <c r="U661" s="83"/>
      <c r="V661" s="83"/>
      <c r="W661" s="83"/>
      <c r="BO661" s="912"/>
    </row>
    <row r="662" spans="2:67">
      <c r="B662" s="222"/>
      <c r="C662" s="206" t="s">
        <v>3055</v>
      </c>
      <c r="D662" s="207" t="s">
        <v>3132</v>
      </c>
      <c r="E662" s="201" t="s">
        <v>371</v>
      </c>
      <c r="F662" s="551">
        <v>14650</v>
      </c>
      <c r="G662" s="203">
        <f>+SUMIF('AUX-NIV1'!I:I,Recursos!C662,'AUX-NIV1'!Q:Q)+SUMIF('AUX-NIV2'!I:I,Recursos!C662,'AUX-NIV2'!Q:Q)+SUMIF('AUX-NIV3'!I:I,Recursos!C662,'AUX-NIV3'!Q:Q)</f>
        <v>0</v>
      </c>
      <c r="H662" s="204">
        <f t="shared" si="41"/>
        <v>0</v>
      </c>
      <c r="I662" s="366">
        <f t="shared" si="40"/>
        <v>0</v>
      </c>
      <c r="J662" s="205"/>
      <c r="L662" s="83"/>
      <c r="M662" s="83"/>
      <c r="N662" s="83"/>
      <c r="O662" s="83"/>
      <c r="P662" s="83"/>
      <c r="Q662" s="83"/>
      <c r="R662" s="83"/>
      <c r="S662" s="83"/>
      <c r="T662" s="83"/>
      <c r="U662" s="83"/>
      <c r="V662" s="83"/>
      <c r="W662" s="83"/>
      <c r="BO662" s="912"/>
    </row>
    <row r="663" spans="2:67">
      <c r="B663" s="222"/>
      <c r="C663" s="206" t="s">
        <v>3056</v>
      </c>
      <c r="D663" s="207" t="s">
        <v>3133</v>
      </c>
      <c r="E663" s="201" t="s">
        <v>371</v>
      </c>
      <c r="F663" s="751">
        <v>1</v>
      </c>
      <c r="G663" s="203">
        <f>+SUMIF('AUX-NIV1'!I:I,Recursos!C663,'AUX-NIV1'!Q:Q)+SUMIF('AUX-NIV2'!I:I,Recursos!C663,'AUX-NIV2'!Q:Q)+SUMIF('AUX-NIV3'!I:I,Recursos!C663,'AUX-NIV3'!Q:Q)</f>
        <v>0</v>
      </c>
      <c r="H663" s="204">
        <f t="shared" si="41"/>
        <v>0</v>
      </c>
      <c r="I663" s="366">
        <f t="shared" si="40"/>
        <v>0</v>
      </c>
      <c r="J663" s="205"/>
      <c r="L663" s="83"/>
      <c r="M663" s="83"/>
      <c r="N663" s="83"/>
      <c r="O663" s="83"/>
      <c r="P663" s="83"/>
      <c r="Q663" s="83"/>
      <c r="R663" s="83"/>
      <c r="S663" s="83"/>
      <c r="T663" s="83"/>
      <c r="U663" s="83"/>
      <c r="V663" s="83"/>
      <c r="W663" s="83"/>
    </row>
    <row r="664" spans="2:67">
      <c r="B664" s="222"/>
      <c r="C664" s="206" t="s">
        <v>3057</v>
      </c>
      <c r="D664" s="207" t="s">
        <v>3134</v>
      </c>
      <c r="E664" s="201" t="s">
        <v>371</v>
      </c>
      <c r="F664" s="551">
        <v>8280</v>
      </c>
      <c r="G664" s="203">
        <f>+SUMIF('AUX-NIV1'!I:I,Recursos!C664,'AUX-NIV1'!Q:Q)+SUMIF('AUX-NIV2'!I:I,Recursos!C664,'AUX-NIV2'!Q:Q)+SUMIF('AUX-NIV3'!I:I,Recursos!C664,'AUX-NIV3'!Q:Q)</f>
        <v>0</v>
      </c>
      <c r="H664" s="204">
        <f t="shared" si="41"/>
        <v>0</v>
      </c>
      <c r="I664" s="366">
        <f t="shared" si="40"/>
        <v>0</v>
      </c>
      <c r="J664" s="205"/>
      <c r="L664" s="83"/>
      <c r="M664" s="83"/>
      <c r="N664" s="83"/>
      <c r="O664" s="83"/>
      <c r="P664" s="83"/>
      <c r="Q664" s="83"/>
      <c r="R664" s="83"/>
      <c r="S664" s="83"/>
      <c r="T664" s="83"/>
      <c r="U664" s="83"/>
      <c r="V664" s="83"/>
      <c r="W664" s="83"/>
      <c r="BO664" s="912"/>
    </row>
    <row r="665" spans="2:67">
      <c r="B665" s="222"/>
      <c r="C665" s="206" t="s">
        <v>3058</v>
      </c>
      <c r="D665" s="207" t="s">
        <v>3135</v>
      </c>
      <c r="E665" s="201" t="s">
        <v>371</v>
      </c>
      <c r="F665" s="551">
        <v>24250</v>
      </c>
      <c r="G665" s="203">
        <f>+SUMIF('AUX-NIV1'!I:I,Recursos!C665,'AUX-NIV1'!Q:Q)+SUMIF('AUX-NIV2'!I:I,Recursos!C665,'AUX-NIV2'!Q:Q)+SUMIF('AUX-NIV3'!I:I,Recursos!C665,'AUX-NIV3'!Q:Q)</f>
        <v>0</v>
      </c>
      <c r="H665" s="204">
        <f t="shared" si="41"/>
        <v>0</v>
      </c>
      <c r="I665" s="366">
        <f t="shared" si="40"/>
        <v>0</v>
      </c>
      <c r="J665" s="205"/>
      <c r="L665" s="83"/>
      <c r="M665" s="83"/>
      <c r="N665" s="83"/>
      <c r="O665" s="83"/>
      <c r="P665" s="83"/>
      <c r="Q665" s="83"/>
      <c r="R665" s="83"/>
      <c r="S665" s="83"/>
      <c r="T665" s="83"/>
      <c r="U665" s="83"/>
      <c r="V665" s="83"/>
      <c r="W665" s="83"/>
      <c r="BO665" s="912"/>
    </row>
    <row r="666" spans="2:67">
      <c r="B666" s="222"/>
      <c r="C666" s="206" t="s">
        <v>3059</v>
      </c>
      <c r="D666" s="207" t="s">
        <v>3136</v>
      </c>
      <c r="E666" s="201" t="s">
        <v>371</v>
      </c>
      <c r="F666" s="551">
        <v>9773</v>
      </c>
      <c r="G666" s="203">
        <f>+SUMIF('AUX-NIV1'!I:I,Recursos!C666,'AUX-NIV1'!Q:Q)+SUMIF('AUX-NIV2'!I:I,Recursos!C666,'AUX-NIV2'!Q:Q)+SUMIF('AUX-NIV3'!I:I,Recursos!C666,'AUX-NIV3'!Q:Q)</f>
        <v>0</v>
      </c>
      <c r="H666" s="204">
        <f t="shared" si="41"/>
        <v>0</v>
      </c>
      <c r="I666" s="366">
        <f t="shared" ref="I666:I730" si="42">+H666/$I$3</f>
        <v>0</v>
      </c>
      <c r="J666" s="205"/>
      <c r="L666" s="83"/>
      <c r="M666" s="83"/>
      <c r="N666" s="83"/>
      <c r="O666" s="83"/>
      <c r="P666" s="83"/>
      <c r="Q666" s="83"/>
      <c r="R666" s="83"/>
      <c r="S666" s="83"/>
      <c r="T666" s="83"/>
      <c r="U666" s="83"/>
      <c r="V666" s="83"/>
      <c r="W666" s="83"/>
      <c r="BO666" s="912"/>
    </row>
    <row r="667" spans="2:67">
      <c r="B667" s="222"/>
      <c r="C667" s="206" t="s">
        <v>3060</v>
      </c>
      <c r="D667" s="207" t="s">
        <v>3137</v>
      </c>
      <c r="E667" s="201" t="s">
        <v>371</v>
      </c>
      <c r="F667" s="551">
        <v>26062</v>
      </c>
      <c r="G667" s="203">
        <f>+SUMIF('AUX-NIV1'!I:I,Recursos!C667,'AUX-NIV1'!Q:Q)+SUMIF('AUX-NIV2'!I:I,Recursos!C667,'AUX-NIV2'!Q:Q)+SUMIF('AUX-NIV3'!I:I,Recursos!C667,'AUX-NIV3'!Q:Q)</f>
        <v>0</v>
      </c>
      <c r="H667" s="204">
        <f t="shared" si="41"/>
        <v>0</v>
      </c>
      <c r="I667" s="366">
        <f t="shared" si="42"/>
        <v>0</v>
      </c>
      <c r="J667" s="205"/>
      <c r="L667" s="83"/>
      <c r="M667" s="83"/>
      <c r="N667" s="83"/>
      <c r="O667" s="83"/>
      <c r="P667" s="83"/>
      <c r="Q667" s="83"/>
      <c r="R667" s="83"/>
      <c r="S667" s="83"/>
      <c r="T667" s="83"/>
      <c r="U667" s="83"/>
      <c r="V667" s="83"/>
      <c r="W667" s="83"/>
      <c r="BO667" s="912"/>
    </row>
    <row r="668" spans="2:67">
      <c r="B668" s="222"/>
      <c r="C668" s="206" t="s">
        <v>3061</v>
      </c>
      <c r="D668" s="207" t="s">
        <v>3137</v>
      </c>
      <c r="E668" s="201" t="s">
        <v>371</v>
      </c>
      <c r="F668" s="551">
        <v>26062</v>
      </c>
      <c r="G668" s="203">
        <f>+SUMIF('AUX-NIV1'!I:I,Recursos!C668,'AUX-NIV1'!Q:Q)+SUMIF('AUX-NIV2'!I:I,Recursos!C668,'AUX-NIV2'!Q:Q)+SUMIF('AUX-NIV3'!I:I,Recursos!C668,'AUX-NIV3'!Q:Q)</f>
        <v>0</v>
      </c>
      <c r="H668" s="204">
        <f t="shared" si="41"/>
        <v>0</v>
      </c>
      <c r="I668" s="366">
        <f t="shared" si="42"/>
        <v>0</v>
      </c>
      <c r="J668" s="205"/>
      <c r="L668" s="83"/>
      <c r="M668" s="83"/>
      <c r="N668" s="83"/>
      <c r="O668" s="83"/>
      <c r="P668" s="83"/>
      <c r="Q668" s="83"/>
      <c r="R668" s="83"/>
      <c r="S668" s="83"/>
      <c r="T668" s="83"/>
      <c r="U668" s="83"/>
      <c r="V668" s="83"/>
      <c r="W668" s="83"/>
      <c r="BO668" s="912"/>
    </row>
    <row r="669" spans="2:67">
      <c r="B669" s="222"/>
      <c r="C669" s="206" t="s">
        <v>3062</v>
      </c>
      <c r="D669" s="754" t="s">
        <v>3138</v>
      </c>
      <c r="E669" s="750" t="s">
        <v>371</v>
      </c>
      <c r="F669" s="551">
        <v>41663</v>
      </c>
      <c r="G669" s="203">
        <f>+SUMIF('AUX-NIV1'!I:I,Recursos!C669,'AUX-NIV1'!Q:Q)+SUMIF('AUX-NIV2'!I:I,Recursos!C669,'AUX-NIV2'!Q:Q)+SUMIF('AUX-NIV3'!I:I,Recursos!C669,'AUX-NIV3'!Q:Q)</f>
        <v>0</v>
      </c>
      <c r="H669" s="204">
        <f t="shared" si="41"/>
        <v>0</v>
      </c>
      <c r="I669" s="366">
        <f t="shared" si="42"/>
        <v>0</v>
      </c>
      <c r="J669" s="752"/>
      <c r="L669" s="83"/>
      <c r="M669" s="83"/>
      <c r="N669" s="83"/>
      <c r="O669" s="83"/>
      <c r="P669" s="83"/>
      <c r="Q669" s="83"/>
      <c r="R669" s="83"/>
      <c r="S669" s="83"/>
      <c r="T669" s="83"/>
      <c r="U669" s="83"/>
      <c r="V669" s="83"/>
      <c r="W669" s="83"/>
      <c r="BO669" s="912"/>
    </row>
    <row r="670" spans="2:67">
      <c r="B670" s="222"/>
      <c r="C670" s="206" t="s">
        <v>3063</v>
      </c>
      <c r="D670" s="754" t="s">
        <v>3139</v>
      </c>
      <c r="E670" s="750" t="s">
        <v>371</v>
      </c>
      <c r="F670" s="551">
        <v>111104</v>
      </c>
      <c r="G670" s="203">
        <f>+SUMIF('AUX-NIV1'!I:I,Recursos!C670,'AUX-NIV1'!Q:Q)+SUMIF('AUX-NIV2'!I:I,Recursos!C670,'AUX-NIV2'!Q:Q)+SUMIF('AUX-NIV3'!I:I,Recursos!C670,'AUX-NIV3'!Q:Q)</f>
        <v>0</v>
      </c>
      <c r="H670" s="204">
        <f t="shared" si="41"/>
        <v>0</v>
      </c>
      <c r="I670" s="366">
        <f t="shared" si="42"/>
        <v>0</v>
      </c>
      <c r="J670" s="752"/>
      <c r="L670" s="83"/>
      <c r="M670" s="83"/>
      <c r="N670" s="83"/>
      <c r="O670" s="83"/>
      <c r="P670" s="83"/>
      <c r="Q670" s="83"/>
      <c r="R670" s="83"/>
      <c r="S670" s="83"/>
      <c r="T670" s="83"/>
      <c r="U670" s="83"/>
      <c r="V670" s="83"/>
      <c r="W670" s="83"/>
      <c r="BO670" s="912"/>
    </row>
    <row r="671" spans="2:67">
      <c r="B671" s="222"/>
      <c r="C671" s="206" t="s">
        <v>3064</v>
      </c>
      <c r="D671" s="754" t="s">
        <v>3139</v>
      </c>
      <c r="E671" s="201" t="s">
        <v>371</v>
      </c>
      <c r="F671" s="551">
        <v>111104</v>
      </c>
      <c r="G671" s="203">
        <f>+SUMIF('AUX-NIV1'!I:I,Recursos!C671,'AUX-NIV1'!Q:Q)+SUMIF('AUX-NIV2'!I:I,Recursos!C671,'AUX-NIV2'!Q:Q)+SUMIF('AUX-NIV3'!I:I,Recursos!C671,'AUX-NIV3'!Q:Q)</f>
        <v>0</v>
      </c>
      <c r="H671" s="204">
        <f t="shared" si="41"/>
        <v>0</v>
      </c>
      <c r="I671" s="366">
        <f t="shared" si="42"/>
        <v>0</v>
      </c>
      <c r="J671" s="752"/>
      <c r="L671" s="83"/>
      <c r="M671" s="83"/>
      <c r="N671" s="83"/>
      <c r="O671" s="83"/>
      <c r="P671" s="83"/>
      <c r="Q671" s="83"/>
      <c r="R671" s="83"/>
      <c r="S671" s="83"/>
      <c r="T671" s="83"/>
      <c r="U671" s="83"/>
      <c r="V671" s="83"/>
      <c r="W671" s="83"/>
      <c r="BO671" s="912"/>
    </row>
    <row r="672" spans="2:67">
      <c r="B672" s="222"/>
      <c r="C672" s="206" t="s">
        <v>3065</v>
      </c>
      <c r="D672" s="754" t="s">
        <v>3140</v>
      </c>
      <c r="E672" s="750" t="s">
        <v>371</v>
      </c>
      <c r="F672" s="751">
        <v>1</v>
      </c>
      <c r="G672" s="203">
        <f>+SUMIF('AUX-NIV1'!I:I,Recursos!C672,'AUX-NIV1'!Q:Q)+SUMIF('AUX-NIV2'!I:I,Recursos!C672,'AUX-NIV2'!Q:Q)+SUMIF('AUX-NIV3'!I:I,Recursos!C672,'AUX-NIV3'!Q:Q)</f>
        <v>0</v>
      </c>
      <c r="H672" s="204">
        <f t="shared" si="41"/>
        <v>0</v>
      </c>
      <c r="I672" s="366">
        <f t="shared" si="42"/>
        <v>0</v>
      </c>
      <c r="J672" s="752"/>
      <c r="L672" s="83"/>
      <c r="M672" s="83"/>
      <c r="N672" s="83"/>
      <c r="O672" s="83"/>
      <c r="P672" s="83"/>
      <c r="Q672" s="83"/>
      <c r="R672" s="83"/>
      <c r="S672" s="83"/>
      <c r="T672" s="83"/>
      <c r="U672" s="83"/>
      <c r="V672" s="83"/>
      <c r="W672" s="83"/>
    </row>
    <row r="673" spans="2:67">
      <c r="B673" s="222"/>
      <c r="C673" s="206" t="s">
        <v>3066</v>
      </c>
      <c r="D673" s="754" t="s">
        <v>3165</v>
      </c>
      <c r="E673" s="750" t="s">
        <v>371</v>
      </c>
      <c r="F673" s="551">
        <v>21850</v>
      </c>
      <c r="G673" s="203">
        <f>+SUMIF('AUX-NIV1'!I:I,Recursos!C673,'AUX-NIV1'!Q:Q)+SUMIF('AUX-NIV2'!I:I,Recursos!C673,'AUX-NIV2'!Q:Q)+SUMIF('AUX-NIV3'!I:I,Recursos!C673,'AUX-NIV3'!Q:Q)</f>
        <v>0</v>
      </c>
      <c r="H673" s="204">
        <f t="shared" si="41"/>
        <v>0</v>
      </c>
      <c r="I673" s="366">
        <f t="shared" si="42"/>
        <v>0</v>
      </c>
      <c r="J673" s="752"/>
      <c r="L673" s="83"/>
      <c r="M673" s="83"/>
      <c r="N673" s="83"/>
      <c r="O673" s="83"/>
      <c r="P673" s="83"/>
      <c r="Q673" s="83"/>
      <c r="R673" s="83"/>
      <c r="S673" s="83"/>
      <c r="T673" s="83"/>
      <c r="U673" s="83"/>
      <c r="V673" s="83"/>
      <c r="W673" s="83"/>
      <c r="BO673" s="912"/>
    </row>
    <row r="674" spans="2:67">
      <c r="B674" s="222"/>
      <c r="C674" s="206" t="s">
        <v>3067</v>
      </c>
      <c r="D674" s="754" t="s">
        <v>3141</v>
      </c>
      <c r="E674" s="201" t="s">
        <v>371</v>
      </c>
      <c r="F674" s="751">
        <v>1</v>
      </c>
      <c r="G674" s="203">
        <f>+SUMIF('AUX-NIV1'!I:I,Recursos!C674,'AUX-NIV1'!Q:Q)+SUMIF('AUX-NIV2'!I:I,Recursos!C674,'AUX-NIV2'!Q:Q)+SUMIF('AUX-NIV3'!I:I,Recursos!C674,'AUX-NIV3'!Q:Q)</f>
        <v>0</v>
      </c>
      <c r="H674" s="204">
        <f t="shared" si="41"/>
        <v>0</v>
      </c>
      <c r="I674" s="366">
        <f t="shared" si="42"/>
        <v>0</v>
      </c>
      <c r="J674" s="752"/>
      <c r="L674" s="83"/>
      <c r="M674" s="83"/>
      <c r="N674" s="83"/>
      <c r="O674" s="83"/>
      <c r="P674" s="83"/>
      <c r="Q674" s="83"/>
      <c r="R674" s="83"/>
      <c r="S674" s="83"/>
      <c r="T674" s="83"/>
      <c r="U674" s="83"/>
      <c r="V674" s="83"/>
      <c r="W674" s="83"/>
    </row>
    <row r="675" spans="2:67">
      <c r="B675" s="222"/>
      <c r="C675" s="206" t="s">
        <v>3068</v>
      </c>
      <c r="D675" s="754" t="s">
        <v>3142</v>
      </c>
      <c r="E675" s="750" t="s">
        <v>371</v>
      </c>
      <c r="F675" s="751">
        <v>1400</v>
      </c>
      <c r="G675" s="203">
        <f>+SUMIF('AUX-NIV1'!I:I,Recursos!C675,'AUX-NIV1'!Q:Q)+SUMIF('AUX-NIV2'!I:I,Recursos!C675,'AUX-NIV2'!Q:Q)+SUMIF('AUX-NIV3'!I:I,Recursos!C675,'AUX-NIV3'!Q:Q)</f>
        <v>0</v>
      </c>
      <c r="H675" s="204">
        <f t="shared" si="41"/>
        <v>0</v>
      </c>
      <c r="I675" s="366">
        <f t="shared" si="42"/>
        <v>0</v>
      </c>
      <c r="J675" s="752"/>
      <c r="L675" s="83"/>
      <c r="M675" s="83"/>
      <c r="N675" s="83"/>
      <c r="O675" s="83"/>
      <c r="P675" s="83"/>
      <c r="Q675" s="83"/>
      <c r="R675" s="83"/>
      <c r="S675" s="83"/>
      <c r="T675" s="83"/>
      <c r="U675" s="83"/>
      <c r="V675" s="83"/>
      <c r="W675" s="83"/>
      <c r="BO675" s="912"/>
    </row>
    <row r="676" spans="2:67">
      <c r="B676" s="222"/>
      <c r="C676" s="206" t="s">
        <v>3069</v>
      </c>
      <c r="D676" s="754" t="s">
        <v>3143</v>
      </c>
      <c r="E676" s="750" t="s">
        <v>371</v>
      </c>
      <c r="F676" s="751">
        <v>12000</v>
      </c>
      <c r="G676" s="203">
        <f>+SUMIF('AUX-NIV1'!I:I,Recursos!C676,'AUX-NIV1'!Q:Q)+SUMIF('AUX-NIV2'!I:I,Recursos!C676,'AUX-NIV2'!Q:Q)+SUMIF('AUX-NIV3'!I:I,Recursos!C676,'AUX-NIV3'!Q:Q)</f>
        <v>0</v>
      </c>
      <c r="H676" s="204">
        <f t="shared" si="41"/>
        <v>0</v>
      </c>
      <c r="I676" s="366">
        <f t="shared" si="42"/>
        <v>0</v>
      </c>
      <c r="J676" s="752"/>
      <c r="L676" s="83"/>
      <c r="M676" s="83"/>
      <c r="N676" s="83"/>
      <c r="O676" s="83"/>
      <c r="P676" s="83"/>
      <c r="Q676" s="83"/>
      <c r="R676" s="83"/>
      <c r="S676" s="83"/>
      <c r="T676" s="83"/>
      <c r="U676" s="83"/>
      <c r="V676" s="83"/>
      <c r="W676" s="83"/>
      <c r="BO676" s="912"/>
    </row>
    <row r="677" spans="2:67">
      <c r="B677" s="222"/>
      <c r="C677" s="206" t="s">
        <v>3070</v>
      </c>
      <c r="D677" s="754" t="s">
        <v>3144</v>
      </c>
      <c r="E677" s="750" t="s">
        <v>371</v>
      </c>
      <c r="F677" s="751">
        <f>4300*usd</f>
        <v>438815</v>
      </c>
      <c r="G677" s="203">
        <f>+SUMIF('AUX-NIV1'!I:I,Recursos!C677,'AUX-NIV1'!Q:Q)+SUMIF('AUX-NIV2'!I:I,Recursos!C677,'AUX-NIV2'!Q:Q)+SUMIF('AUX-NIV3'!I:I,Recursos!C677,'AUX-NIV3'!Q:Q)</f>
        <v>0</v>
      </c>
      <c r="H677" s="204">
        <f t="shared" si="41"/>
        <v>0</v>
      </c>
      <c r="I677" s="366">
        <f t="shared" si="42"/>
        <v>0</v>
      </c>
      <c r="J677" s="752"/>
      <c r="L677" s="83"/>
      <c r="M677" s="83"/>
      <c r="N677" s="83"/>
      <c r="O677" s="83"/>
      <c r="P677" s="83"/>
      <c r="Q677" s="83"/>
      <c r="R677" s="83"/>
      <c r="S677" s="83"/>
      <c r="T677" s="83"/>
      <c r="U677" s="83"/>
      <c r="V677" s="83"/>
      <c r="W677" s="83"/>
      <c r="BO677" s="912"/>
    </row>
    <row r="678" spans="2:67">
      <c r="B678" s="222"/>
      <c r="C678" s="206" t="s">
        <v>3071</v>
      </c>
      <c r="D678" s="754" t="s">
        <v>3145</v>
      </c>
      <c r="E678" s="750" t="s">
        <v>371</v>
      </c>
      <c r="F678" s="551">
        <v>47755</v>
      </c>
      <c r="G678" s="203">
        <f>+SUMIF('AUX-NIV1'!I:I,Recursos!C678,'AUX-NIV1'!Q:Q)+SUMIF('AUX-NIV2'!I:I,Recursos!C678,'AUX-NIV2'!Q:Q)+SUMIF('AUX-NIV3'!I:I,Recursos!C678,'AUX-NIV3'!Q:Q)</f>
        <v>0</v>
      </c>
      <c r="H678" s="204">
        <f t="shared" si="41"/>
        <v>0</v>
      </c>
      <c r="I678" s="366">
        <f t="shared" si="42"/>
        <v>0</v>
      </c>
      <c r="J678" s="752"/>
      <c r="L678" s="83"/>
      <c r="M678" s="83"/>
      <c r="N678" s="83"/>
      <c r="O678" s="83"/>
      <c r="P678" s="83"/>
      <c r="Q678" s="83"/>
      <c r="R678" s="83"/>
      <c r="S678" s="83"/>
      <c r="T678" s="83"/>
      <c r="U678" s="83"/>
      <c r="V678" s="83"/>
      <c r="W678" s="83"/>
      <c r="BO678" s="912"/>
    </row>
    <row r="679" spans="2:67">
      <c r="B679" s="222"/>
      <c r="C679" s="206" t="s">
        <v>3072</v>
      </c>
      <c r="D679" s="754" t="s">
        <v>3146</v>
      </c>
      <c r="E679" s="750" t="s">
        <v>371</v>
      </c>
      <c r="F679" s="551">
        <v>81800</v>
      </c>
      <c r="G679" s="203">
        <f>+SUMIF('AUX-NIV1'!I:I,Recursos!C679,'AUX-NIV1'!Q:Q)+SUMIF('AUX-NIV2'!I:I,Recursos!C679,'AUX-NIV2'!Q:Q)+SUMIF('AUX-NIV3'!I:I,Recursos!C679,'AUX-NIV3'!Q:Q)</f>
        <v>0</v>
      </c>
      <c r="H679" s="204">
        <f t="shared" si="41"/>
        <v>0</v>
      </c>
      <c r="I679" s="366">
        <f t="shared" si="42"/>
        <v>0</v>
      </c>
      <c r="J679" s="752"/>
      <c r="L679" s="83"/>
      <c r="M679" s="83"/>
      <c r="N679" s="83"/>
      <c r="O679" s="83"/>
      <c r="P679" s="83"/>
      <c r="Q679" s="83"/>
      <c r="R679" s="83"/>
      <c r="S679" s="83"/>
      <c r="T679" s="83"/>
      <c r="U679" s="83"/>
      <c r="V679" s="83"/>
      <c r="W679" s="83"/>
      <c r="BO679" s="912"/>
    </row>
    <row r="680" spans="2:67">
      <c r="B680" s="222"/>
      <c r="C680" s="206" t="s">
        <v>3073</v>
      </c>
      <c r="D680" s="754" t="s">
        <v>3147</v>
      </c>
      <c r="E680" s="750" t="s">
        <v>371</v>
      </c>
      <c r="F680" s="751">
        <v>1</v>
      </c>
      <c r="G680" s="203">
        <f>+SUMIF('AUX-NIV1'!I:I,Recursos!C680,'AUX-NIV1'!Q:Q)+SUMIF('AUX-NIV2'!I:I,Recursos!C680,'AUX-NIV2'!Q:Q)+SUMIF('AUX-NIV3'!I:I,Recursos!C680,'AUX-NIV3'!Q:Q)</f>
        <v>0</v>
      </c>
      <c r="H680" s="204">
        <f t="shared" si="41"/>
        <v>0</v>
      </c>
      <c r="I680" s="366">
        <f t="shared" si="42"/>
        <v>0</v>
      </c>
      <c r="J680" s="752"/>
      <c r="L680" s="83"/>
      <c r="M680" s="83"/>
      <c r="N680" s="83"/>
      <c r="O680" s="83"/>
      <c r="P680" s="83"/>
      <c r="Q680" s="83"/>
      <c r="R680" s="83"/>
      <c r="S680" s="83"/>
      <c r="T680" s="83"/>
      <c r="U680" s="83"/>
      <c r="V680" s="83"/>
      <c r="W680" s="83"/>
    </row>
    <row r="681" spans="2:67">
      <c r="B681" s="222"/>
      <c r="C681" s="206" t="s">
        <v>3074</v>
      </c>
      <c r="D681" s="754" t="s">
        <v>3148</v>
      </c>
      <c r="E681" s="750" t="s">
        <v>371</v>
      </c>
      <c r="F681" s="751">
        <v>1</v>
      </c>
      <c r="G681" s="203">
        <f>+SUMIF('AUX-NIV1'!I:I,Recursos!C681,'AUX-NIV1'!Q:Q)+SUMIF('AUX-NIV2'!I:I,Recursos!C681,'AUX-NIV2'!Q:Q)+SUMIF('AUX-NIV3'!I:I,Recursos!C681,'AUX-NIV3'!Q:Q)</f>
        <v>0</v>
      </c>
      <c r="H681" s="204">
        <f t="shared" si="41"/>
        <v>0</v>
      </c>
      <c r="I681" s="366">
        <f t="shared" si="42"/>
        <v>0</v>
      </c>
      <c r="J681" s="752"/>
      <c r="L681" s="83"/>
      <c r="M681" s="83"/>
      <c r="N681" s="83"/>
      <c r="O681" s="83"/>
      <c r="P681" s="83"/>
      <c r="Q681" s="83"/>
      <c r="R681" s="83"/>
      <c r="S681" s="83"/>
      <c r="T681" s="83"/>
      <c r="U681" s="83"/>
      <c r="V681" s="83"/>
      <c r="W681" s="83"/>
    </row>
    <row r="682" spans="2:67">
      <c r="B682" s="222"/>
      <c r="C682" s="206" t="s">
        <v>3075</v>
      </c>
      <c r="D682" s="754" t="s">
        <v>3149</v>
      </c>
      <c r="E682" s="750" t="s">
        <v>371</v>
      </c>
      <c r="F682" s="751">
        <v>1</v>
      </c>
      <c r="G682" s="203">
        <f>+SUMIF('AUX-NIV1'!I:I,Recursos!C682,'AUX-NIV1'!Q:Q)+SUMIF('AUX-NIV2'!I:I,Recursos!C682,'AUX-NIV2'!Q:Q)+SUMIF('AUX-NIV3'!I:I,Recursos!C682,'AUX-NIV3'!Q:Q)</f>
        <v>0</v>
      </c>
      <c r="H682" s="204">
        <f t="shared" si="41"/>
        <v>0</v>
      </c>
      <c r="I682" s="366">
        <f t="shared" si="42"/>
        <v>0</v>
      </c>
      <c r="J682" s="752"/>
      <c r="L682" s="83"/>
      <c r="M682" s="83"/>
      <c r="N682" s="83"/>
      <c r="O682" s="83"/>
      <c r="P682" s="83"/>
      <c r="Q682" s="83"/>
      <c r="R682" s="83"/>
      <c r="S682" s="83"/>
      <c r="T682" s="83"/>
      <c r="U682" s="83"/>
      <c r="V682" s="83"/>
      <c r="W682" s="83"/>
    </row>
    <row r="683" spans="2:67">
      <c r="B683" s="222"/>
      <c r="C683" s="206" t="s">
        <v>3076</v>
      </c>
      <c r="D683" s="754" t="s">
        <v>3150</v>
      </c>
      <c r="E683" s="750" t="s">
        <v>371</v>
      </c>
      <c r="F683" s="751">
        <v>1</v>
      </c>
      <c r="G683" s="203">
        <f>+SUMIF('AUX-NIV1'!I:I,Recursos!C683,'AUX-NIV1'!Q:Q)+SUMIF('AUX-NIV2'!I:I,Recursos!C683,'AUX-NIV2'!Q:Q)+SUMIF('AUX-NIV3'!I:I,Recursos!C683,'AUX-NIV3'!Q:Q)</f>
        <v>0</v>
      </c>
      <c r="H683" s="204">
        <f t="shared" si="41"/>
        <v>0</v>
      </c>
      <c r="I683" s="366">
        <f t="shared" si="42"/>
        <v>0</v>
      </c>
      <c r="J683" s="752"/>
      <c r="L683" s="83"/>
      <c r="M683" s="83"/>
      <c r="N683" s="83"/>
      <c r="O683" s="83"/>
      <c r="P683" s="83"/>
      <c r="Q683" s="83"/>
      <c r="R683" s="83"/>
      <c r="S683" s="83"/>
      <c r="T683" s="83"/>
      <c r="U683" s="83"/>
      <c r="V683" s="83"/>
      <c r="W683" s="83"/>
    </row>
    <row r="684" spans="2:67">
      <c r="B684" s="222"/>
      <c r="C684" s="206" t="s">
        <v>3077</v>
      </c>
      <c r="D684" s="754" t="s">
        <v>3151</v>
      </c>
      <c r="E684" s="750" t="s">
        <v>371</v>
      </c>
      <c r="F684" s="751">
        <v>1</v>
      </c>
      <c r="G684" s="203">
        <f>+SUMIF('AUX-NIV1'!I:I,Recursos!C684,'AUX-NIV1'!Q:Q)+SUMIF('AUX-NIV2'!I:I,Recursos!C684,'AUX-NIV2'!Q:Q)+SUMIF('AUX-NIV3'!I:I,Recursos!C684,'AUX-NIV3'!Q:Q)</f>
        <v>0</v>
      </c>
      <c r="H684" s="204">
        <f t="shared" si="41"/>
        <v>0</v>
      </c>
      <c r="I684" s="366">
        <f t="shared" si="42"/>
        <v>0</v>
      </c>
      <c r="J684" s="752"/>
      <c r="L684" s="83"/>
      <c r="M684" s="83"/>
      <c r="N684" s="83"/>
      <c r="O684" s="83"/>
      <c r="P684" s="83"/>
      <c r="Q684" s="83"/>
      <c r="R684" s="83"/>
      <c r="S684" s="83"/>
      <c r="T684" s="83"/>
      <c r="U684" s="83"/>
      <c r="V684" s="83"/>
      <c r="W684" s="83"/>
    </row>
    <row r="685" spans="2:67">
      <c r="B685" s="222"/>
      <c r="C685" s="206" t="s">
        <v>3078</v>
      </c>
      <c r="D685" s="754" t="s">
        <v>3152</v>
      </c>
      <c r="E685" s="750" t="s">
        <v>371</v>
      </c>
      <c r="F685" s="551">
        <v>210800</v>
      </c>
      <c r="G685" s="203">
        <f>+SUMIF('AUX-NIV1'!I:I,Recursos!C685,'AUX-NIV1'!Q:Q)+SUMIF('AUX-NIV2'!I:I,Recursos!C685,'AUX-NIV2'!Q:Q)+SUMIF('AUX-NIV3'!I:I,Recursos!C685,'AUX-NIV3'!Q:Q)</f>
        <v>0</v>
      </c>
      <c r="H685" s="204">
        <f t="shared" si="41"/>
        <v>0</v>
      </c>
      <c r="I685" s="366">
        <f t="shared" si="42"/>
        <v>0</v>
      </c>
      <c r="J685" s="752"/>
      <c r="L685" s="83"/>
      <c r="M685" s="83"/>
      <c r="N685" s="83"/>
      <c r="O685" s="83"/>
      <c r="P685" s="83"/>
      <c r="Q685" s="83"/>
      <c r="R685" s="83"/>
      <c r="S685" s="83"/>
      <c r="T685" s="83"/>
      <c r="U685" s="83"/>
      <c r="V685" s="83"/>
      <c r="W685" s="83"/>
      <c r="BO685" s="912"/>
    </row>
    <row r="686" spans="2:67">
      <c r="B686" s="222"/>
      <c r="C686" s="206" t="s">
        <v>3079</v>
      </c>
      <c r="D686" s="754" t="s">
        <v>3153</v>
      </c>
      <c r="E686" s="750" t="s">
        <v>371</v>
      </c>
      <c r="F686" s="551">
        <v>344500</v>
      </c>
      <c r="G686" s="203">
        <f>+SUMIF('AUX-NIV1'!I:I,Recursos!C686,'AUX-NIV1'!Q:Q)+SUMIF('AUX-NIV2'!I:I,Recursos!C686,'AUX-NIV2'!Q:Q)+SUMIF('AUX-NIV3'!I:I,Recursos!C686,'AUX-NIV3'!Q:Q)</f>
        <v>0</v>
      </c>
      <c r="H686" s="204">
        <f t="shared" si="41"/>
        <v>0</v>
      </c>
      <c r="I686" s="366">
        <f t="shared" si="42"/>
        <v>0</v>
      </c>
      <c r="J686" s="752"/>
      <c r="L686" s="83"/>
      <c r="M686" s="83"/>
      <c r="N686" s="83"/>
      <c r="O686" s="83"/>
      <c r="P686" s="83"/>
      <c r="Q686" s="83"/>
      <c r="R686" s="83"/>
      <c r="S686" s="83"/>
      <c r="T686" s="83"/>
      <c r="U686" s="83"/>
      <c r="V686" s="83"/>
      <c r="W686" s="83"/>
      <c r="BO686" s="912"/>
    </row>
    <row r="687" spans="2:67">
      <c r="B687" s="222"/>
      <c r="C687" s="206" t="s">
        <v>3080</v>
      </c>
      <c r="D687" s="754" t="s">
        <v>3154</v>
      </c>
      <c r="E687" s="750" t="s">
        <v>371</v>
      </c>
      <c r="F687" s="551">
        <v>485800</v>
      </c>
      <c r="G687" s="203">
        <f>+SUMIF('AUX-NIV1'!I:I,Recursos!C687,'AUX-NIV1'!Q:Q)+SUMIF('AUX-NIV2'!I:I,Recursos!C687,'AUX-NIV2'!Q:Q)+SUMIF('AUX-NIV3'!I:I,Recursos!C687,'AUX-NIV3'!Q:Q)</f>
        <v>0</v>
      </c>
      <c r="H687" s="204">
        <f t="shared" si="41"/>
        <v>0</v>
      </c>
      <c r="I687" s="366">
        <f t="shared" si="42"/>
        <v>0</v>
      </c>
      <c r="J687" s="752"/>
      <c r="L687" s="83"/>
      <c r="M687" s="83"/>
      <c r="N687" s="83"/>
      <c r="O687" s="83"/>
      <c r="P687" s="83"/>
      <c r="Q687" s="83"/>
      <c r="R687" s="83"/>
      <c r="S687" s="83"/>
      <c r="T687" s="83"/>
      <c r="U687" s="83"/>
      <c r="V687" s="83"/>
      <c r="W687" s="83"/>
      <c r="BO687" s="912"/>
    </row>
    <row r="688" spans="2:67">
      <c r="B688" s="222"/>
      <c r="C688" s="206" t="s">
        <v>3081</v>
      </c>
      <c r="D688" s="754" t="s">
        <v>3155</v>
      </c>
      <c r="E688" s="750" t="s">
        <v>477</v>
      </c>
      <c r="F688" s="751">
        <v>392</v>
      </c>
      <c r="G688" s="203">
        <f>+SUMIF('AUX-NIV1'!I:I,Recursos!C688,'AUX-NIV1'!Q:Q)+SUMIF('AUX-NIV2'!I:I,Recursos!C688,'AUX-NIV2'!Q:Q)+SUMIF('AUX-NIV3'!I:I,Recursos!C688,'AUX-NIV3'!Q:Q)</f>
        <v>0</v>
      </c>
      <c r="H688" s="204">
        <f t="shared" si="41"/>
        <v>0</v>
      </c>
      <c r="I688" s="366">
        <f t="shared" si="42"/>
        <v>0</v>
      </c>
      <c r="J688" s="752"/>
      <c r="L688" s="83"/>
      <c r="M688" s="83"/>
      <c r="N688" s="83"/>
      <c r="O688" s="83"/>
      <c r="P688" s="83"/>
      <c r="Q688" s="83"/>
      <c r="R688" s="83"/>
      <c r="S688" s="83"/>
      <c r="T688" s="83"/>
      <c r="U688" s="83"/>
      <c r="V688" s="83"/>
      <c r="W688" s="83"/>
      <c r="BO688" s="912"/>
    </row>
    <row r="689" spans="2:67">
      <c r="B689" s="222"/>
      <c r="C689" s="206" t="s">
        <v>3082</v>
      </c>
      <c r="D689" s="754" t="s">
        <v>3156</v>
      </c>
      <c r="E689" s="750" t="s">
        <v>371</v>
      </c>
      <c r="F689" s="551">
        <v>3327650</v>
      </c>
      <c r="G689" s="203">
        <f>+SUMIF('AUX-NIV1'!I:I,Recursos!C689,'AUX-NIV1'!Q:Q)+SUMIF('AUX-NIV2'!I:I,Recursos!C689,'AUX-NIV2'!Q:Q)+SUMIF('AUX-NIV3'!I:I,Recursos!C689,'AUX-NIV3'!Q:Q)</f>
        <v>0</v>
      </c>
      <c r="H689" s="204">
        <f t="shared" si="41"/>
        <v>0</v>
      </c>
      <c r="I689" s="366">
        <f t="shared" si="42"/>
        <v>0</v>
      </c>
      <c r="J689" s="752"/>
      <c r="L689" s="83"/>
      <c r="M689" s="83"/>
      <c r="N689" s="83"/>
      <c r="O689" s="83"/>
      <c r="P689" s="83"/>
      <c r="Q689" s="83"/>
      <c r="R689" s="83"/>
      <c r="S689" s="83"/>
      <c r="T689" s="83"/>
      <c r="U689" s="83"/>
      <c r="V689" s="83"/>
      <c r="W689" s="83"/>
      <c r="BO689" s="912"/>
    </row>
    <row r="690" spans="2:67">
      <c r="B690" s="222"/>
      <c r="C690" s="206" t="s">
        <v>3083</v>
      </c>
      <c r="D690" s="754" t="s">
        <v>3157</v>
      </c>
      <c r="E690" s="750" t="s">
        <v>371</v>
      </c>
      <c r="F690" s="551">
        <v>171544</v>
      </c>
      <c r="G690" s="203">
        <f>+SUMIF('AUX-NIV1'!I:I,Recursos!C690,'AUX-NIV1'!Q:Q)+SUMIF('AUX-NIV2'!I:I,Recursos!C690,'AUX-NIV2'!Q:Q)+SUMIF('AUX-NIV3'!I:I,Recursos!C690,'AUX-NIV3'!Q:Q)</f>
        <v>0</v>
      </c>
      <c r="H690" s="204">
        <f t="shared" si="41"/>
        <v>0</v>
      </c>
      <c r="I690" s="366">
        <f t="shared" si="42"/>
        <v>0</v>
      </c>
      <c r="J690" s="752"/>
      <c r="L690" s="83"/>
      <c r="M690" s="83"/>
      <c r="N690" s="83"/>
      <c r="O690" s="83"/>
      <c r="P690" s="83"/>
      <c r="Q690" s="83"/>
      <c r="R690" s="83"/>
      <c r="S690" s="83"/>
      <c r="T690" s="83"/>
      <c r="U690" s="83"/>
      <c r="V690" s="83"/>
      <c r="W690" s="83"/>
      <c r="BO690" s="912"/>
    </row>
    <row r="691" spans="2:67">
      <c r="B691" s="222"/>
      <c r="C691" s="206" t="s">
        <v>3084</v>
      </c>
      <c r="D691" s="754" t="s">
        <v>3158</v>
      </c>
      <c r="E691" s="750" t="s">
        <v>371</v>
      </c>
      <c r="F691" s="551">
        <v>182450</v>
      </c>
      <c r="G691" s="203">
        <f>+SUMIF('AUX-NIV1'!I:I,Recursos!C691,'AUX-NIV1'!Q:Q)+SUMIF('AUX-NIV2'!I:I,Recursos!C691,'AUX-NIV2'!Q:Q)+SUMIF('AUX-NIV3'!I:I,Recursos!C691,'AUX-NIV3'!Q:Q)</f>
        <v>0</v>
      </c>
      <c r="H691" s="204">
        <f t="shared" si="41"/>
        <v>0</v>
      </c>
      <c r="I691" s="366">
        <f t="shared" si="42"/>
        <v>0</v>
      </c>
      <c r="J691" s="752"/>
      <c r="L691" s="83"/>
      <c r="M691" s="83"/>
      <c r="N691" s="83"/>
      <c r="O691" s="83"/>
      <c r="P691" s="83"/>
      <c r="Q691" s="83"/>
      <c r="R691" s="83"/>
      <c r="S691" s="83"/>
      <c r="T691" s="83"/>
      <c r="U691" s="83"/>
      <c r="V691" s="83"/>
      <c r="W691" s="83"/>
      <c r="BO691" s="912"/>
    </row>
    <row r="692" spans="2:67">
      <c r="B692" s="222"/>
      <c r="C692" s="206" t="s">
        <v>3085</v>
      </c>
      <c r="D692" s="754" t="s">
        <v>3159</v>
      </c>
      <c r="E692" s="750" t="s">
        <v>371</v>
      </c>
      <c r="F692" s="551">
        <v>190450</v>
      </c>
      <c r="G692" s="203">
        <f>+SUMIF('AUX-NIV1'!I:I,Recursos!C692,'AUX-NIV1'!Q:Q)+SUMIF('AUX-NIV2'!I:I,Recursos!C692,'AUX-NIV2'!Q:Q)+SUMIF('AUX-NIV3'!I:I,Recursos!C692,'AUX-NIV3'!Q:Q)</f>
        <v>0</v>
      </c>
      <c r="H692" s="204">
        <f t="shared" si="41"/>
        <v>0</v>
      </c>
      <c r="I692" s="366">
        <f t="shared" si="42"/>
        <v>0</v>
      </c>
      <c r="J692" s="752"/>
      <c r="L692" s="83"/>
      <c r="M692" s="83"/>
      <c r="N692" s="83"/>
      <c r="O692" s="83"/>
      <c r="P692" s="83"/>
      <c r="Q692" s="83"/>
      <c r="R692" s="83"/>
      <c r="S692" s="83"/>
      <c r="T692" s="83"/>
      <c r="U692" s="83"/>
      <c r="V692" s="83"/>
      <c r="W692" s="83"/>
      <c r="BO692" s="912"/>
    </row>
    <row r="693" spans="2:67">
      <c r="B693" s="222"/>
      <c r="C693" s="206" t="s">
        <v>3086</v>
      </c>
      <c r="D693" s="754" t="s">
        <v>3160</v>
      </c>
      <c r="E693" s="750" t="s">
        <v>371</v>
      </c>
      <c r="F693" s="551">
        <v>209671</v>
      </c>
      <c r="G693" s="203">
        <f>+SUMIF('AUX-NIV1'!I:I,Recursos!C693,'AUX-NIV1'!Q:Q)+SUMIF('AUX-NIV2'!I:I,Recursos!C693,'AUX-NIV2'!Q:Q)+SUMIF('AUX-NIV3'!I:I,Recursos!C693,'AUX-NIV3'!Q:Q)</f>
        <v>0</v>
      </c>
      <c r="H693" s="204">
        <f t="shared" si="41"/>
        <v>0</v>
      </c>
      <c r="I693" s="366">
        <f t="shared" si="42"/>
        <v>0</v>
      </c>
      <c r="J693" s="752"/>
      <c r="L693" s="83"/>
      <c r="M693" s="83"/>
      <c r="N693" s="83"/>
      <c r="O693" s="83"/>
      <c r="P693" s="83"/>
      <c r="Q693" s="83"/>
      <c r="R693" s="83"/>
      <c r="S693" s="83"/>
      <c r="T693" s="83"/>
      <c r="U693" s="83"/>
      <c r="V693" s="83"/>
      <c r="W693" s="83"/>
      <c r="BO693" s="912"/>
    </row>
    <row r="694" spans="2:67">
      <c r="B694" s="222"/>
      <c r="C694" s="206" t="s">
        <v>3087</v>
      </c>
      <c r="D694" s="754" t="s">
        <v>3161</v>
      </c>
      <c r="E694" s="750" t="s">
        <v>371</v>
      </c>
      <c r="F694" s="551">
        <v>294500</v>
      </c>
      <c r="G694" s="203">
        <f>+SUMIF('AUX-NIV1'!I:I,Recursos!C694,'AUX-NIV1'!Q:Q)+SUMIF('AUX-NIV2'!I:I,Recursos!C694,'AUX-NIV2'!Q:Q)+SUMIF('AUX-NIV3'!I:I,Recursos!C694,'AUX-NIV3'!Q:Q)</f>
        <v>0</v>
      </c>
      <c r="H694" s="204">
        <f t="shared" si="41"/>
        <v>0</v>
      </c>
      <c r="I694" s="366">
        <f t="shared" si="42"/>
        <v>0</v>
      </c>
      <c r="J694" s="752"/>
      <c r="L694" s="83"/>
      <c r="M694" s="83"/>
      <c r="N694" s="83"/>
      <c r="O694" s="83"/>
      <c r="P694" s="83"/>
      <c r="Q694" s="83"/>
      <c r="R694" s="83"/>
      <c r="S694" s="83"/>
      <c r="T694" s="83"/>
      <c r="U694" s="83"/>
      <c r="V694" s="83"/>
      <c r="W694" s="83"/>
      <c r="BO694" s="912"/>
    </row>
    <row r="695" spans="2:67">
      <c r="B695" s="222"/>
      <c r="C695" s="206" t="s">
        <v>3088</v>
      </c>
      <c r="D695" s="754" t="s">
        <v>3162</v>
      </c>
      <c r="E695" s="750" t="s">
        <v>371</v>
      </c>
      <c r="F695" s="551">
        <v>362400</v>
      </c>
      <c r="G695" s="203">
        <f>+SUMIF('AUX-NIV1'!I:I,Recursos!C695,'AUX-NIV1'!Q:Q)+SUMIF('AUX-NIV2'!I:I,Recursos!C695,'AUX-NIV2'!Q:Q)+SUMIF('AUX-NIV3'!I:I,Recursos!C695,'AUX-NIV3'!Q:Q)</f>
        <v>0</v>
      </c>
      <c r="H695" s="204">
        <f t="shared" si="41"/>
        <v>0</v>
      </c>
      <c r="I695" s="366">
        <f t="shared" si="42"/>
        <v>0</v>
      </c>
      <c r="J695" s="752"/>
      <c r="L695" s="83"/>
      <c r="M695" s="83"/>
      <c r="N695" s="83"/>
      <c r="O695" s="83"/>
      <c r="P695" s="83"/>
      <c r="Q695" s="83"/>
      <c r="R695" s="83"/>
      <c r="S695" s="83"/>
      <c r="T695" s="83"/>
      <c r="U695" s="83"/>
      <c r="V695" s="83"/>
      <c r="W695" s="83"/>
      <c r="BO695" s="912"/>
    </row>
    <row r="696" spans="2:67">
      <c r="B696" s="222"/>
      <c r="C696" s="206" t="s">
        <v>3089</v>
      </c>
      <c r="D696" s="749" t="s">
        <v>3163</v>
      </c>
      <c r="E696" s="750" t="s">
        <v>371</v>
      </c>
      <c r="F696" s="751">
        <v>1</v>
      </c>
      <c r="G696" s="203">
        <f>+SUMIF('AUX-NIV1'!I:I,Recursos!C696,'AUX-NIV1'!Q:Q)+SUMIF('AUX-NIV2'!I:I,Recursos!C696,'AUX-NIV2'!Q:Q)+SUMIF('AUX-NIV3'!I:I,Recursos!C696,'AUX-NIV3'!Q:Q)</f>
        <v>0</v>
      </c>
      <c r="H696" s="204">
        <f t="shared" si="41"/>
        <v>0</v>
      </c>
      <c r="I696" s="366">
        <f t="shared" si="42"/>
        <v>0</v>
      </c>
      <c r="J696" s="752"/>
      <c r="L696" s="83"/>
      <c r="M696" s="83"/>
      <c r="N696" s="83"/>
      <c r="O696" s="83"/>
      <c r="P696" s="83"/>
      <c r="Q696" s="83"/>
      <c r="R696" s="83"/>
      <c r="S696" s="83"/>
      <c r="T696" s="83"/>
      <c r="U696" s="83"/>
      <c r="V696" s="83"/>
      <c r="W696" s="83"/>
    </row>
    <row r="697" spans="2:67">
      <c r="B697" s="222"/>
      <c r="C697" s="206" t="s">
        <v>3090</v>
      </c>
      <c r="D697" s="749" t="s">
        <v>3164</v>
      </c>
      <c r="E697" s="750" t="s">
        <v>371</v>
      </c>
      <c r="F697" s="751">
        <v>1</v>
      </c>
      <c r="G697" s="203">
        <f>+SUMIF('AUX-NIV1'!I:I,Recursos!C697,'AUX-NIV1'!Q:Q)+SUMIF('AUX-NIV2'!I:I,Recursos!C697,'AUX-NIV2'!Q:Q)+SUMIF('AUX-NIV3'!I:I,Recursos!C697,'AUX-NIV3'!Q:Q)</f>
        <v>0</v>
      </c>
      <c r="H697" s="204">
        <f t="shared" si="41"/>
        <v>0</v>
      </c>
      <c r="I697" s="366">
        <f t="shared" si="42"/>
        <v>0</v>
      </c>
      <c r="J697" s="752"/>
      <c r="L697" s="83"/>
      <c r="M697" s="83"/>
      <c r="N697" s="83"/>
      <c r="O697" s="83"/>
      <c r="P697" s="83"/>
      <c r="Q697" s="83"/>
      <c r="R697" s="83"/>
      <c r="S697" s="83"/>
      <c r="T697" s="83"/>
      <c r="U697" s="83"/>
      <c r="V697" s="83"/>
      <c r="W697" s="83"/>
    </row>
    <row r="698" spans="2:67">
      <c r="B698" s="222"/>
      <c r="C698" s="206" t="s">
        <v>3219</v>
      </c>
      <c r="D698" s="756" t="s">
        <v>3229</v>
      </c>
      <c r="E698" s="201" t="s">
        <v>477</v>
      </c>
      <c r="F698" s="551">
        <v>39217.57</v>
      </c>
      <c r="G698" s="203">
        <f>+SUMIF('AUX-NIV1'!I:I,Recursos!C698,'AUX-NIV1'!Q:Q)+SUMIF('AUX-NIV2'!I:I,Recursos!C698,'AUX-NIV2'!Q:Q)+SUMIF('AUX-NIV3'!I:I,Recursos!C698,'AUX-NIV3'!Q:Q)</f>
        <v>0</v>
      </c>
      <c r="H698" s="204">
        <f t="shared" si="41"/>
        <v>0</v>
      </c>
      <c r="I698" s="366">
        <f t="shared" si="42"/>
        <v>0</v>
      </c>
      <c r="J698" s="205"/>
      <c r="L698" s="83"/>
      <c r="M698" s="83"/>
      <c r="N698" s="83"/>
      <c r="O698" s="83"/>
      <c r="P698" s="83"/>
      <c r="Q698" s="83"/>
      <c r="R698" s="83"/>
      <c r="S698" s="83"/>
      <c r="T698" s="83"/>
      <c r="U698" s="83"/>
      <c r="V698" s="83"/>
      <c r="W698" s="83"/>
    </row>
    <row r="699" spans="2:67">
      <c r="B699" s="222"/>
      <c r="C699" s="206" t="s">
        <v>3220</v>
      </c>
      <c r="D699" s="756" t="s">
        <v>3230</v>
      </c>
      <c r="E699" s="201" t="s">
        <v>477</v>
      </c>
      <c r="F699" s="551">
        <v>100000</v>
      </c>
      <c r="G699" s="203">
        <f>+SUMIF('AUX-NIV1'!I:I,Recursos!C699,'AUX-NIV1'!Q:Q)+SUMIF('AUX-NIV2'!I:I,Recursos!C699,'AUX-NIV2'!Q:Q)+SUMIF('AUX-NIV3'!I:I,Recursos!C699,'AUX-NIV3'!Q:Q)</f>
        <v>0</v>
      </c>
      <c r="H699" s="204">
        <f t="shared" si="41"/>
        <v>0</v>
      </c>
      <c r="I699" s="366">
        <f t="shared" si="42"/>
        <v>0</v>
      </c>
      <c r="J699" s="205"/>
      <c r="L699" s="83"/>
      <c r="M699" s="83"/>
      <c r="N699" s="83"/>
      <c r="O699" s="83"/>
      <c r="P699" s="83"/>
      <c r="Q699" s="83"/>
      <c r="R699" s="83"/>
      <c r="S699" s="83"/>
      <c r="T699" s="83"/>
      <c r="U699" s="83"/>
      <c r="V699" s="83"/>
      <c r="W699" s="83"/>
    </row>
    <row r="700" spans="2:67">
      <c r="B700" s="222"/>
      <c r="C700" s="206" t="s">
        <v>3221</v>
      </c>
      <c r="D700" s="200" t="s">
        <v>3233</v>
      </c>
      <c r="E700" s="201" t="s">
        <v>477</v>
      </c>
      <c r="F700" s="551">
        <v>175</v>
      </c>
      <c r="G700" s="203">
        <f>+SUMIF('AUX-NIV1'!I:I,Recursos!C700,'AUX-NIV1'!Q:Q)+SUMIF('AUX-NIV2'!I:I,Recursos!C700,'AUX-NIV2'!Q:Q)+SUMIF('AUX-NIV3'!I:I,Recursos!C700,'AUX-NIV3'!Q:Q)</f>
        <v>0</v>
      </c>
      <c r="H700" s="204">
        <f t="shared" si="41"/>
        <v>0</v>
      </c>
      <c r="I700" s="366">
        <f t="shared" si="42"/>
        <v>0</v>
      </c>
      <c r="J700" s="205"/>
      <c r="L700" s="83"/>
      <c r="M700" s="83"/>
      <c r="N700" s="83"/>
      <c r="O700" s="83"/>
      <c r="P700" s="83"/>
      <c r="Q700" s="83"/>
      <c r="R700" s="83"/>
      <c r="S700" s="83"/>
      <c r="T700" s="83"/>
      <c r="U700" s="83"/>
      <c r="V700" s="83"/>
      <c r="W700" s="83"/>
    </row>
    <row r="701" spans="2:67">
      <c r="B701" s="222"/>
      <c r="C701" s="206" t="s">
        <v>3222</v>
      </c>
      <c r="D701" s="948" t="s">
        <v>3264</v>
      </c>
      <c r="E701" s="201" t="s">
        <v>371</v>
      </c>
      <c r="F701" s="551">
        <v>181800</v>
      </c>
      <c r="G701" s="203">
        <f>+SUMIF('AUX-NIV1'!I:I,Recursos!C701,'AUX-NIV1'!Q:Q)+SUMIF('AUX-NIV2'!I:I,Recursos!C701,'AUX-NIV2'!Q:Q)+SUMIF('AUX-NIV3'!I:I,Recursos!C701,'AUX-NIV3'!Q:Q)</f>
        <v>0</v>
      </c>
      <c r="H701" s="204">
        <f t="shared" si="41"/>
        <v>0</v>
      </c>
      <c r="I701" s="366">
        <f t="shared" si="42"/>
        <v>0</v>
      </c>
      <c r="J701" s="205"/>
      <c r="L701" s="83"/>
      <c r="M701" s="83"/>
      <c r="N701" s="83"/>
      <c r="O701" s="83"/>
      <c r="P701" s="83"/>
      <c r="Q701" s="83"/>
      <c r="R701" s="83"/>
      <c r="S701" s="83"/>
      <c r="T701" s="83"/>
      <c r="U701" s="83"/>
      <c r="V701" s="83"/>
      <c r="W701" s="83"/>
    </row>
    <row r="702" spans="2:67">
      <c r="B702" s="222"/>
      <c r="C702" s="206" t="s">
        <v>3223</v>
      </c>
      <c r="D702" s="756" t="s">
        <v>3265</v>
      </c>
      <c r="E702" s="201" t="s">
        <v>371</v>
      </c>
      <c r="F702" s="551">
        <v>15127</v>
      </c>
      <c r="G702" s="203">
        <f>+SUMIF('AUX-NIV1'!I:I,Recursos!C702,'AUX-NIV1'!Q:Q)+SUMIF('AUX-NIV2'!I:I,Recursos!C702,'AUX-NIV2'!Q:Q)+SUMIF('AUX-NIV3'!I:I,Recursos!C702,'AUX-NIV3'!Q:Q)</f>
        <v>0</v>
      </c>
      <c r="H702" s="204">
        <f t="shared" si="41"/>
        <v>0</v>
      </c>
      <c r="I702" s="366">
        <f t="shared" si="42"/>
        <v>0</v>
      </c>
      <c r="J702" s="205"/>
      <c r="L702" s="83"/>
      <c r="M702" s="83"/>
      <c r="N702" s="83"/>
      <c r="O702" s="83"/>
      <c r="P702" s="83"/>
      <c r="Q702" s="83"/>
      <c r="R702" s="83"/>
      <c r="S702" s="83"/>
      <c r="T702" s="83"/>
      <c r="U702" s="83"/>
      <c r="V702" s="83"/>
      <c r="W702" s="83"/>
    </row>
    <row r="703" spans="2:67">
      <c r="B703" s="222"/>
      <c r="C703" s="206" t="s">
        <v>3224</v>
      </c>
      <c r="D703" s="756" t="s">
        <v>3266</v>
      </c>
      <c r="E703" s="201" t="s">
        <v>477</v>
      </c>
      <c r="F703" s="551">
        <v>2500</v>
      </c>
      <c r="G703" s="203">
        <f>+SUMIF('AUX-NIV1'!I:I,Recursos!C703,'AUX-NIV1'!Q:Q)+SUMIF('AUX-NIV2'!I:I,Recursos!C703,'AUX-NIV2'!Q:Q)+SUMIF('AUX-NIV3'!I:I,Recursos!C703,'AUX-NIV3'!Q:Q)</f>
        <v>0</v>
      </c>
      <c r="H703" s="204">
        <f t="shared" si="41"/>
        <v>0</v>
      </c>
      <c r="I703" s="366">
        <f t="shared" si="42"/>
        <v>0</v>
      </c>
      <c r="J703" s="205"/>
      <c r="L703" s="83"/>
      <c r="M703" s="83"/>
      <c r="N703" s="83"/>
      <c r="O703" s="83"/>
      <c r="P703" s="83"/>
      <c r="Q703" s="83"/>
      <c r="R703" s="83"/>
      <c r="S703" s="83"/>
      <c r="T703" s="83"/>
      <c r="U703" s="83"/>
      <c r="V703" s="83"/>
      <c r="W703" s="83"/>
    </row>
    <row r="704" spans="2:67">
      <c r="B704" s="222"/>
      <c r="C704" s="206" t="s">
        <v>3225</v>
      </c>
      <c r="D704" s="756" t="s">
        <v>3267</v>
      </c>
      <c r="E704" s="201" t="s">
        <v>371</v>
      </c>
      <c r="F704" s="551">
        <v>6700</v>
      </c>
      <c r="G704" s="203">
        <f>+SUMIF('AUX-NIV1'!I:I,Recursos!C704,'AUX-NIV1'!Q:Q)+SUMIF('AUX-NIV2'!I:I,Recursos!C704,'AUX-NIV2'!Q:Q)+SUMIF('AUX-NIV3'!I:I,Recursos!C704,'AUX-NIV3'!Q:Q)</f>
        <v>0</v>
      </c>
      <c r="H704" s="204">
        <f t="shared" si="41"/>
        <v>0</v>
      </c>
      <c r="I704" s="366">
        <f t="shared" si="42"/>
        <v>0</v>
      </c>
      <c r="J704" s="205"/>
      <c r="L704" s="83"/>
      <c r="M704" s="83"/>
      <c r="N704" s="83"/>
      <c r="O704" s="83"/>
      <c r="P704" s="83"/>
      <c r="Q704" s="83"/>
      <c r="R704" s="83"/>
      <c r="S704" s="83"/>
      <c r="T704" s="83"/>
      <c r="U704" s="83"/>
      <c r="V704" s="83"/>
      <c r="W704" s="83"/>
    </row>
    <row r="705" spans="2:67">
      <c r="B705" s="222"/>
      <c r="C705" s="206" t="s">
        <v>3226</v>
      </c>
      <c r="D705" s="756" t="s">
        <v>3271</v>
      </c>
      <c r="E705" s="201" t="s">
        <v>371</v>
      </c>
      <c r="F705" s="551">
        <v>89500</v>
      </c>
      <c r="G705" s="203">
        <f>+SUMIF('AUX-NIV1'!I:I,Recursos!C705,'AUX-NIV1'!Q:Q)+SUMIF('AUX-NIV2'!I:I,Recursos!C705,'AUX-NIV2'!Q:Q)+SUMIF('AUX-NIV3'!I:I,Recursos!C705,'AUX-NIV3'!Q:Q)</f>
        <v>0</v>
      </c>
      <c r="H705" s="204">
        <f t="shared" si="41"/>
        <v>0</v>
      </c>
      <c r="I705" s="366">
        <f t="shared" si="42"/>
        <v>0</v>
      </c>
      <c r="J705" s="205"/>
      <c r="L705" s="83"/>
      <c r="M705" s="83"/>
      <c r="N705" s="83"/>
      <c r="O705" s="83"/>
      <c r="P705" s="83"/>
      <c r="Q705" s="83"/>
      <c r="R705" s="83"/>
      <c r="S705" s="83"/>
      <c r="T705" s="83"/>
      <c r="U705" s="83"/>
      <c r="V705" s="83"/>
      <c r="W705" s="83"/>
    </row>
    <row r="706" spans="2:67">
      <c r="B706" s="222"/>
      <c r="C706" s="206" t="s">
        <v>3227</v>
      </c>
      <c r="D706" s="756" t="s">
        <v>3268</v>
      </c>
      <c r="E706" s="201" t="s">
        <v>371</v>
      </c>
      <c r="F706" s="551">
        <v>250000</v>
      </c>
      <c r="G706" s="203">
        <f>+SUMIF('AUX-NIV1'!I:I,Recursos!C706,'AUX-NIV1'!Q:Q)+SUMIF('AUX-NIV2'!I:I,Recursos!C706,'AUX-NIV2'!Q:Q)+SUMIF('AUX-NIV3'!I:I,Recursos!C706,'AUX-NIV3'!Q:Q)</f>
        <v>0</v>
      </c>
      <c r="H706" s="204">
        <f t="shared" si="41"/>
        <v>0</v>
      </c>
      <c r="I706" s="366">
        <f t="shared" si="42"/>
        <v>0</v>
      </c>
      <c r="J706" s="205"/>
      <c r="L706" s="83"/>
      <c r="M706" s="83"/>
      <c r="N706" s="83"/>
      <c r="O706" s="83"/>
      <c r="P706" s="83"/>
      <c r="Q706" s="83"/>
      <c r="R706" s="83"/>
      <c r="S706" s="83"/>
      <c r="T706" s="83"/>
      <c r="U706" s="83"/>
      <c r="V706" s="83"/>
      <c r="W706" s="83"/>
    </row>
    <row r="707" spans="2:67">
      <c r="B707" s="222"/>
      <c r="C707" s="206" t="s">
        <v>3228</v>
      </c>
      <c r="D707" s="756" t="s">
        <v>3269</v>
      </c>
      <c r="E707" s="201" t="s">
        <v>371</v>
      </c>
      <c r="F707" s="551">
        <v>85000</v>
      </c>
      <c r="G707" s="203">
        <f>+SUMIF('AUX-NIV1'!I:I,Recursos!C707,'AUX-NIV1'!Q:Q)+SUMIF('AUX-NIV2'!I:I,Recursos!C707,'AUX-NIV2'!Q:Q)+SUMIF('AUX-NIV3'!I:I,Recursos!C707,'AUX-NIV3'!Q:Q)</f>
        <v>0</v>
      </c>
      <c r="H707" s="204">
        <f t="shared" si="41"/>
        <v>0</v>
      </c>
      <c r="I707" s="366">
        <f t="shared" si="42"/>
        <v>0</v>
      </c>
      <c r="J707" s="205"/>
      <c r="L707" s="83"/>
      <c r="M707" s="83"/>
      <c r="N707" s="83"/>
      <c r="O707" s="83"/>
      <c r="P707" s="83"/>
      <c r="Q707" s="83"/>
      <c r="R707" s="83"/>
      <c r="S707" s="83"/>
      <c r="T707" s="83"/>
      <c r="U707" s="83"/>
      <c r="V707" s="83"/>
      <c r="W707" s="83"/>
    </row>
    <row r="708" spans="2:67">
      <c r="B708" s="222"/>
      <c r="C708" s="206" t="s">
        <v>3270</v>
      </c>
      <c r="D708" s="948" t="s">
        <v>3146</v>
      </c>
      <c r="E708" s="750" t="s">
        <v>371</v>
      </c>
      <c r="F708" s="751">
        <v>120000</v>
      </c>
      <c r="G708" s="203">
        <f>+SUMIF('AUX-NIV1'!I:I,Recursos!C708,'AUX-NIV1'!Q:Q)+SUMIF('AUX-NIV2'!I:I,Recursos!C708,'AUX-NIV2'!Q:Q)+SUMIF('AUX-NIV3'!I:I,Recursos!C708,'AUX-NIV3'!Q:Q)</f>
        <v>0</v>
      </c>
      <c r="H708" s="204">
        <f t="shared" si="41"/>
        <v>0</v>
      </c>
      <c r="I708" s="366">
        <f t="shared" si="42"/>
        <v>0</v>
      </c>
      <c r="J708" s="752"/>
      <c r="L708" s="83"/>
      <c r="M708" s="83"/>
      <c r="N708" s="83"/>
      <c r="O708" s="83"/>
      <c r="P708" s="83"/>
      <c r="Q708" s="83"/>
      <c r="R708" s="83"/>
      <c r="S708" s="83"/>
      <c r="T708" s="83"/>
      <c r="U708" s="83"/>
      <c r="V708" s="83"/>
      <c r="W708" s="83"/>
    </row>
    <row r="709" spans="2:67">
      <c r="B709" s="222"/>
      <c r="C709" s="206" t="s">
        <v>3272</v>
      </c>
      <c r="D709" s="756" t="s">
        <v>3273</v>
      </c>
      <c r="E709" s="750" t="s">
        <v>371</v>
      </c>
      <c r="F709" s="751">
        <v>250000</v>
      </c>
      <c r="G709" s="203">
        <f>+SUMIF('AUX-NIV1'!I:I,Recursos!C709,'AUX-NIV1'!Q:Q)+SUMIF('AUX-NIV2'!I:I,Recursos!C709,'AUX-NIV2'!Q:Q)+SUMIF('AUX-NIV3'!I:I,Recursos!C709,'AUX-NIV3'!Q:Q)</f>
        <v>0</v>
      </c>
      <c r="H709" s="204">
        <f t="shared" si="41"/>
        <v>0</v>
      </c>
      <c r="I709" s="366">
        <f t="shared" si="42"/>
        <v>0</v>
      </c>
      <c r="J709" s="752"/>
      <c r="L709" s="83"/>
      <c r="M709" s="83"/>
      <c r="N709" s="83"/>
      <c r="O709" s="83"/>
      <c r="P709" s="83"/>
      <c r="Q709" s="83"/>
      <c r="R709" s="83"/>
      <c r="S709" s="83"/>
      <c r="T709" s="83"/>
      <c r="U709" s="83"/>
      <c r="V709" s="83"/>
      <c r="W709" s="83"/>
    </row>
    <row r="710" spans="2:67">
      <c r="B710" s="222"/>
      <c r="C710" s="206" t="s">
        <v>3274</v>
      </c>
      <c r="D710" s="948" t="s">
        <v>3165</v>
      </c>
      <c r="E710" s="750" t="s">
        <v>371</v>
      </c>
      <c r="F710" s="751">
        <v>22000</v>
      </c>
      <c r="G710" s="203">
        <f>+SUMIF('AUX-NIV1'!I:I,Recursos!C710,'AUX-NIV1'!Q:Q)+SUMIF('AUX-NIV2'!I:I,Recursos!C710,'AUX-NIV2'!Q:Q)+SUMIF('AUX-NIV3'!I:I,Recursos!C710,'AUX-NIV3'!Q:Q)</f>
        <v>0</v>
      </c>
      <c r="H710" s="204">
        <f t="shared" si="41"/>
        <v>0</v>
      </c>
      <c r="I710" s="366">
        <f t="shared" si="42"/>
        <v>0</v>
      </c>
      <c r="J710" s="752"/>
      <c r="L710" s="83"/>
      <c r="M710" s="83"/>
      <c r="N710" s="83"/>
      <c r="O710" s="83"/>
      <c r="P710" s="83"/>
      <c r="Q710" s="83"/>
      <c r="R710" s="83"/>
      <c r="S710" s="83"/>
      <c r="T710" s="83"/>
      <c r="U710" s="83"/>
      <c r="V710" s="83"/>
      <c r="W710" s="83"/>
    </row>
    <row r="711" spans="2:67">
      <c r="B711" s="222"/>
      <c r="C711" s="952" t="s">
        <v>3275</v>
      </c>
      <c r="D711" s="948" t="s">
        <v>3276</v>
      </c>
      <c r="E711" s="750" t="s">
        <v>371</v>
      </c>
      <c r="F711" s="751">
        <v>138204</v>
      </c>
      <c r="G711" s="203">
        <f>+SUMIF('AUX-NIV1'!I:I,Recursos!C711,'AUX-NIV1'!Q:Q)+SUMIF('AUX-NIV2'!I:I,Recursos!C711,'AUX-NIV2'!Q:Q)+SUMIF('AUX-NIV3'!I:I,Recursos!C711,'AUX-NIV3'!Q:Q)</f>
        <v>0</v>
      </c>
      <c r="H711" s="204">
        <f t="shared" si="41"/>
        <v>0</v>
      </c>
      <c r="I711" s="366">
        <f t="shared" si="42"/>
        <v>0</v>
      </c>
      <c r="J711" s="752"/>
      <c r="L711" s="83"/>
      <c r="M711" s="83"/>
      <c r="N711" s="83"/>
      <c r="O711" s="83"/>
      <c r="P711" s="83"/>
      <c r="Q711" s="83"/>
      <c r="R711" s="83"/>
      <c r="S711" s="83"/>
      <c r="T711" s="83"/>
      <c r="U711" s="83"/>
      <c r="V711" s="83"/>
      <c r="W711" s="83"/>
    </row>
    <row r="712" spans="2:67">
      <c r="B712" s="222"/>
      <c r="C712" s="952" t="s">
        <v>3277</v>
      </c>
      <c r="D712" s="948" t="s">
        <v>3154</v>
      </c>
      <c r="E712" s="750" t="s">
        <v>371</v>
      </c>
      <c r="F712" s="751">
        <v>585800</v>
      </c>
      <c r="G712" s="203">
        <f>+SUMIF('AUX-NIV1'!I:I,Recursos!C712,'AUX-NIV1'!Q:Q)+SUMIF('AUX-NIV2'!I:I,Recursos!C712,'AUX-NIV2'!Q:Q)+SUMIF('AUX-NIV3'!I:I,Recursos!C712,'AUX-NIV3'!Q:Q)</f>
        <v>0</v>
      </c>
      <c r="H712" s="204">
        <f t="shared" si="41"/>
        <v>0</v>
      </c>
      <c r="I712" s="366">
        <f t="shared" si="42"/>
        <v>0</v>
      </c>
      <c r="J712" s="752"/>
      <c r="L712" s="83"/>
      <c r="M712" s="83"/>
      <c r="N712" s="83"/>
      <c r="O712" s="83"/>
      <c r="P712" s="83"/>
      <c r="Q712" s="83"/>
      <c r="R712" s="83"/>
      <c r="S712" s="83"/>
      <c r="T712" s="83"/>
      <c r="U712" s="83"/>
      <c r="V712" s="83"/>
      <c r="W712" s="83"/>
    </row>
    <row r="713" spans="2:67">
      <c r="B713" s="222"/>
      <c r="C713" s="952" t="s">
        <v>3278</v>
      </c>
      <c r="D713" s="948" t="s">
        <v>3279</v>
      </c>
      <c r="E713" s="750" t="s">
        <v>371</v>
      </c>
      <c r="F713" s="751">
        <v>28000</v>
      </c>
      <c r="G713" s="203">
        <f>+SUMIF('AUX-NIV1'!I:I,Recursos!C713,'AUX-NIV1'!Q:Q)+SUMIF('AUX-NIV2'!I:I,Recursos!C713,'AUX-NIV2'!Q:Q)+SUMIF('AUX-NIV3'!I:I,Recursos!C713,'AUX-NIV3'!Q:Q)</f>
        <v>0</v>
      </c>
      <c r="H713" s="204">
        <f t="shared" si="41"/>
        <v>0</v>
      </c>
      <c r="I713" s="366">
        <f t="shared" si="42"/>
        <v>0</v>
      </c>
      <c r="J713" s="752"/>
      <c r="L713" s="83"/>
      <c r="M713" s="83"/>
      <c r="N713" s="83"/>
      <c r="O713" s="83"/>
      <c r="P713" s="83"/>
      <c r="Q713" s="83"/>
      <c r="R713" s="83"/>
      <c r="S713" s="83"/>
      <c r="T713" s="83"/>
      <c r="U713" s="83"/>
      <c r="V713" s="83"/>
      <c r="W713" s="83"/>
    </row>
    <row r="714" spans="2:67">
      <c r="B714" s="222"/>
      <c r="C714" s="206" t="s">
        <v>3280</v>
      </c>
      <c r="D714" s="756" t="s">
        <v>3281</v>
      </c>
      <c r="E714" s="750" t="s">
        <v>371</v>
      </c>
      <c r="F714" s="751">
        <v>250000</v>
      </c>
      <c r="G714" s="203">
        <f>+SUMIF('AUX-NIV1'!I:I,Recursos!C714,'AUX-NIV1'!Q:Q)+SUMIF('AUX-NIV2'!I:I,Recursos!C714,'AUX-NIV2'!Q:Q)+SUMIF('AUX-NIV3'!I:I,Recursos!C714,'AUX-NIV3'!Q:Q)</f>
        <v>0</v>
      </c>
      <c r="H714" s="204">
        <f t="shared" si="41"/>
        <v>0</v>
      </c>
      <c r="I714" s="366">
        <f t="shared" si="42"/>
        <v>0</v>
      </c>
      <c r="J714" s="752"/>
      <c r="L714" s="83"/>
      <c r="M714" s="83"/>
      <c r="N714" s="83"/>
      <c r="O714" s="83"/>
      <c r="P714" s="83"/>
      <c r="Q714" s="83"/>
      <c r="R714" s="83"/>
      <c r="S714" s="83"/>
      <c r="T714" s="83"/>
      <c r="U714" s="83"/>
      <c r="V714" s="83"/>
      <c r="W714" s="83"/>
    </row>
    <row r="715" spans="2:67">
      <c r="B715" s="222"/>
      <c r="C715" s="206" t="s">
        <v>3337</v>
      </c>
      <c r="D715" s="200" t="s">
        <v>3338</v>
      </c>
      <c r="E715" s="201" t="s">
        <v>477</v>
      </c>
      <c r="F715" s="751">
        <v>650</v>
      </c>
      <c r="G715" s="203">
        <f>+SUMIF('AUX-NIV1'!I:I,Recursos!C715,'AUX-NIV1'!Q:Q)+SUMIF('AUX-NIV2'!I:I,Recursos!C715,'AUX-NIV2'!Q:Q)+SUMIF('AUX-NIV3'!I:I,Recursos!C715,'AUX-NIV3'!Q:Q)</f>
        <v>0</v>
      </c>
      <c r="H715" s="204">
        <f t="shared" si="41"/>
        <v>0</v>
      </c>
      <c r="I715" s="366">
        <f t="shared" si="42"/>
        <v>0</v>
      </c>
      <c r="J715" s="752"/>
      <c r="L715" s="83"/>
      <c r="M715" s="83"/>
      <c r="N715" s="83"/>
      <c r="O715" s="83"/>
      <c r="P715" s="83"/>
      <c r="Q715" s="83"/>
      <c r="R715" s="83"/>
      <c r="S715" s="83"/>
      <c r="T715" s="83"/>
      <c r="U715" s="83"/>
      <c r="V715" s="83"/>
      <c r="W715" s="83"/>
    </row>
    <row r="716" spans="2:67">
      <c r="B716" s="222"/>
      <c r="C716" s="206" t="s">
        <v>3500</v>
      </c>
      <c r="D716" s="948" t="s">
        <v>3501</v>
      </c>
      <c r="E716" s="750" t="s">
        <v>371</v>
      </c>
      <c r="F716" s="751">
        <v>50000</v>
      </c>
      <c r="G716" s="203">
        <f>+SUMIF('AUX-NIV1'!I:I,Recursos!C716,'AUX-NIV1'!Q:Q)+SUMIF('AUX-NIV2'!I:I,Recursos!C716,'AUX-NIV2'!Q:Q)+SUMIF('AUX-NIV3'!I:I,Recursos!C716,'AUX-NIV3'!Q:Q)</f>
        <v>0</v>
      </c>
      <c r="H716" s="204">
        <f t="shared" si="41"/>
        <v>0</v>
      </c>
      <c r="I716" s="366">
        <f t="shared" si="42"/>
        <v>0</v>
      </c>
      <c r="J716" s="752"/>
      <c r="L716" s="83"/>
      <c r="M716" s="83"/>
      <c r="N716" s="83"/>
      <c r="O716" s="83"/>
      <c r="P716" s="83"/>
      <c r="Q716" s="83"/>
      <c r="R716" s="83"/>
      <c r="S716" s="83"/>
      <c r="T716" s="83"/>
      <c r="U716" s="83"/>
      <c r="V716" s="83"/>
      <c r="W716" s="83"/>
    </row>
    <row r="717" spans="2:67">
      <c r="B717" s="222"/>
      <c r="C717" s="206" t="s">
        <v>3502</v>
      </c>
      <c r="D717" s="948" t="s">
        <v>3504</v>
      </c>
      <c r="E717" s="750" t="s">
        <v>371</v>
      </c>
      <c r="F717" s="751">
        <v>60000</v>
      </c>
      <c r="G717" s="203">
        <f>+SUMIF('AUX-NIV1'!I:I,Recursos!C717,'AUX-NIV1'!Q:Q)+SUMIF('AUX-NIV2'!I:I,Recursos!C717,'AUX-NIV2'!Q:Q)+SUMIF('AUX-NIV3'!I:I,Recursos!C717,'AUX-NIV3'!Q:Q)</f>
        <v>0</v>
      </c>
      <c r="H717" s="204">
        <f t="shared" si="41"/>
        <v>0</v>
      </c>
      <c r="I717" s="366">
        <f t="shared" si="42"/>
        <v>0</v>
      </c>
      <c r="J717" s="752"/>
      <c r="L717" s="83"/>
      <c r="M717" s="83"/>
      <c r="N717" s="83"/>
      <c r="O717" s="83"/>
      <c r="P717" s="83"/>
      <c r="Q717" s="83"/>
      <c r="R717" s="83"/>
      <c r="S717" s="83"/>
      <c r="T717" s="83"/>
      <c r="U717" s="83"/>
      <c r="V717" s="83"/>
      <c r="W717" s="83"/>
    </row>
    <row r="718" spans="2:67">
      <c r="B718" s="222"/>
      <c r="C718" s="206" t="s">
        <v>3503</v>
      </c>
      <c r="D718" s="948" t="s">
        <v>3505</v>
      </c>
      <c r="E718" s="750" t="s">
        <v>371</v>
      </c>
      <c r="F718" s="751">
        <v>20000</v>
      </c>
      <c r="G718" s="203">
        <f>+SUMIF('AUX-NIV1'!I:I,Recursos!C718,'AUX-NIV1'!Q:Q)+SUMIF('AUX-NIV2'!I:I,Recursos!C718,'AUX-NIV2'!Q:Q)+SUMIF('AUX-NIV3'!I:I,Recursos!C718,'AUX-NIV3'!Q:Q)</f>
        <v>0</v>
      </c>
      <c r="H718" s="204">
        <f t="shared" si="41"/>
        <v>0</v>
      </c>
      <c r="I718" s="366">
        <f t="shared" si="42"/>
        <v>0</v>
      </c>
      <c r="J718" s="752"/>
      <c r="L718" s="83"/>
      <c r="M718" s="83"/>
      <c r="N718" s="83"/>
      <c r="O718" s="83"/>
      <c r="P718" s="83"/>
      <c r="Q718" s="83"/>
      <c r="R718" s="83"/>
      <c r="S718" s="83"/>
      <c r="T718" s="83"/>
      <c r="U718" s="83"/>
      <c r="V718" s="83"/>
      <c r="W718" s="83"/>
    </row>
    <row r="719" spans="2:67">
      <c r="B719" s="222"/>
      <c r="C719" s="206" t="s">
        <v>3213</v>
      </c>
      <c r="D719" s="749" t="s">
        <v>3216</v>
      </c>
      <c r="E719" s="750" t="s">
        <v>1160</v>
      </c>
      <c r="F719" s="920">
        <v>6117.95</v>
      </c>
      <c r="G719" s="203">
        <f>+SUMIF('AUX-NIV1'!I:I,Recursos!C719,'AUX-NIV1'!Q:Q)+SUMIF('AUX-NIV2'!I:I,Recursos!C719,'AUX-NIV2'!Q:Q)+SUMIF('AUX-NIV3'!I:I,Recursos!C719,'AUX-NIV3'!Q:Q)</f>
        <v>0</v>
      </c>
      <c r="H719" s="204">
        <f t="shared" si="41"/>
        <v>0</v>
      </c>
      <c r="I719" s="366">
        <f t="shared" si="42"/>
        <v>0</v>
      </c>
      <c r="J719" s="752"/>
      <c r="L719" s="83"/>
      <c r="M719" s="83"/>
      <c r="N719" s="83"/>
      <c r="O719" s="83"/>
      <c r="P719" s="83"/>
      <c r="Q719" s="83"/>
      <c r="R719" s="83"/>
      <c r="S719" s="83"/>
      <c r="T719" s="83"/>
      <c r="U719" s="83"/>
      <c r="V719" s="83"/>
      <c r="W719" s="83"/>
      <c r="BO719" s="912"/>
    </row>
    <row r="720" spans="2:67" ht="12">
      <c r="B720" s="222"/>
      <c r="C720" s="1535" t="s">
        <v>3695</v>
      </c>
      <c r="D720" s="1614" t="s">
        <v>3696</v>
      </c>
      <c r="E720" s="1615" t="s">
        <v>1160</v>
      </c>
      <c r="F720" s="551">
        <f>('AUX-NIV2'!F858+'AUX-NIV2'!F535)*1.15*0+4400</f>
        <v>4400</v>
      </c>
      <c r="G720" s="203">
        <f>+SUMIF('AUX-NIV1'!I:I,Recursos!C720,'AUX-NIV1'!Q:Q)+SUMIF('AUX-NIV2'!I:I,Recursos!C720,'AUX-NIV2'!Q:Q)+SUMIF('AUX-NIV3'!I:I,Recursos!C720,'AUX-NIV3'!Q:Q)</f>
        <v>0</v>
      </c>
      <c r="H720" s="204">
        <f t="shared" si="41"/>
        <v>0</v>
      </c>
      <c r="I720" s="366">
        <f t="shared" ref="I720" si="43">+H720/$I$3</f>
        <v>0</v>
      </c>
      <c r="J720" s="752"/>
      <c r="L720" s="1610">
        <f t="shared" ref="L720" si="44">H720/$H$76</f>
        <v>0</v>
      </c>
      <c r="M720" s="83"/>
      <c r="N720" s="83"/>
      <c r="O720" s="83"/>
      <c r="P720" s="83"/>
      <c r="Q720" s="83"/>
      <c r="R720" s="83"/>
      <c r="S720" s="83"/>
      <c r="T720" s="83"/>
      <c r="U720" s="83"/>
      <c r="V720" s="83"/>
      <c r="W720" s="83"/>
      <c r="BO720" s="912"/>
    </row>
    <row r="721" spans="2:67">
      <c r="B721" s="222"/>
      <c r="C721" s="206" t="s">
        <v>3217</v>
      </c>
      <c r="D721" s="200" t="s">
        <v>3436</v>
      </c>
      <c r="E721" s="201" t="s">
        <v>484</v>
      </c>
      <c r="F721" s="551">
        <f>('AUX-NIV2'!F729+'AUX-NIV2'!F709/80)*1.3</f>
        <v>5507.5636091255037</v>
      </c>
      <c r="G721" s="203">
        <f>+SUMIF('AUX-NIV1'!I:I,Recursos!C721,'AUX-NIV1'!Q:Q)+SUMIF('AUX-NIV2'!I:I,Recursos!C721,'AUX-NIV2'!Q:Q)+SUMIF('AUX-NIV3'!I:I,Recursos!C721,'AUX-NIV3'!Q:Q)</f>
        <v>0</v>
      </c>
      <c r="H721" s="204">
        <f t="shared" si="41"/>
        <v>0</v>
      </c>
      <c r="I721" s="366">
        <f t="shared" si="42"/>
        <v>0</v>
      </c>
      <c r="J721" s="752"/>
      <c r="L721" s="83"/>
      <c r="M721" s="83"/>
      <c r="N721" s="83"/>
      <c r="O721" s="83"/>
      <c r="P721" s="83"/>
      <c r="Q721" s="83"/>
      <c r="R721" s="83"/>
      <c r="S721" s="83"/>
      <c r="T721" s="83"/>
      <c r="U721" s="83"/>
      <c r="V721" s="83"/>
      <c r="W721" s="83"/>
      <c r="BO721" s="912"/>
    </row>
    <row r="722" spans="2:67">
      <c r="B722" s="222"/>
      <c r="C722" s="206" t="s">
        <v>3234</v>
      </c>
      <c r="D722" s="200" t="s">
        <v>3245</v>
      </c>
      <c r="E722" s="201" t="s">
        <v>610</v>
      </c>
      <c r="F722" s="551">
        <f>2500*1.5*6.1</f>
        <v>22875</v>
      </c>
      <c r="G722" s="203">
        <f>+SUMIF('AUX-NIV1'!I:I,Recursos!C722,'AUX-NIV1'!Q:Q)+SUMIF('AUX-NIV2'!I:I,Recursos!C722,'AUX-NIV2'!Q:Q)+SUMIF('AUX-NIV3'!I:I,Recursos!C722,'AUX-NIV3'!Q:Q)</f>
        <v>0</v>
      </c>
      <c r="H722" s="204">
        <f t="shared" ref="H722:H785" si="45">+F722*G722</f>
        <v>0</v>
      </c>
      <c r="I722" s="366">
        <f t="shared" si="42"/>
        <v>0</v>
      </c>
      <c r="J722" s="205"/>
      <c r="L722" s="83"/>
      <c r="M722" s="83"/>
      <c r="N722" s="83"/>
      <c r="O722" s="83"/>
      <c r="P722" s="83"/>
      <c r="Q722" s="83"/>
      <c r="R722" s="83"/>
      <c r="S722" s="83"/>
      <c r="T722" s="83"/>
      <c r="U722" s="83"/>
      <c r="V722" s="83"/>
      <c r="W722" s="83"/>
      <c r="BO722" s="912"/>
    </row>
    <row r="723" spans="2:67">
      <c r="B723" s="222"/>
      <c r="C723" s="206" t="s">
        <v>3235</v>
      </c>
      <c r="D723" s="200" t="s">
        <v>3238</v>
      </c>
      <c r="E723" s="201" t="s">
        <v>610</v>
      </c>
      <c r="F723" s="551">
        <f>2500*1.5*6.2</f>
        <v>23250</v>
      </c>
      <c r="G723" s="203">
        <f>+SUMIF('AUX-NIV1'!I:I,Recursos!C723,'AUX-NIV1'!Q:Q)+SUMIF('AUX-NIV2'!I:I,Recursos!C723,'AUX-NIV2'!Q:Q)+SUMIF('AUX-NIV3'!I:I,Recursos!C723,'AUX-NIV3'!Q:Q)</f>
        <v>0</v>
      </c>
      <c r="H723" s="204">
        <f t="shared" si="45"/>
        <v>0</v>
      </c>
      <c r="I723" s="366">
        <f t="shared" si="42"/>
        <v>0</v>
      </c>
      <c r="J723" s="205"/>
      <c r="L723" s="83"/>
      <c r="M723" s="83"/>
      <c r="N723" s="83"/>
      <c r="O723" s="83"/>
      <c r="P723" s="83"/>
      <c r="Q723" s="83"/>
      <c r="R723" s="83"/>
      <c r="S723" s="83"/>
      <c r="T723" s="83"/>
      <c r="U723" s="83"/>
      <c r="V723" s="83"/>
      <c r="W723" s="83"/>
      <c r="BO723" s="912"/>
    </row>
    <row r="724" spans="2:67">
      <c r="B724" s="222"/>
      <c r="C724" s="206" t="s">
        <v>3236</v>
      </c>
      <c r="D724" s="200" t="s">
        <v>3249</v>
      </c>
      <c r="E724" s="201" t="s">
        <v>610</v>
      </c>
      <c r="F724" s="551">
        <f>2500*2*6.8</f>
        <v>34000</v>
      </c>
      <c r="G724" s="203">
        <f>+SUMIF('AUX-NIV1'!I:I,Recursos!C724,'AUX-NIV1'!Q:Q)+SUMIF('AUX-NIV2'!I:I,Recursos!C724,'AUX-NIV2'!Q:Q)+SUMIF('AUX-NIV3'!I:I,Recursos!C724,'AUX-NIV3'!Q:Q)</f>
        <v>0</v>
      </c>
      <c r="H724" s="204">
        <f t="shared" si="45"/>
        <v>0</v>
      </c>
      <c r="I724" s="366">
        <f t="shared" si="42"/>
        <v>0</v>
      </c>
      <c r="J724" s="205"/>
      <c r="L724" s="83"/>
      <c r="M724" s="83"/>
      <c r="N724" s="83"/>
      <c r="O724" s="83"/>
      <c r="P724" s="83"/>
      <c r="Q724" s="83"/>
      <c r="R724" s="83"/>
      <c r="S724" s="83"/>
      <c r="T724" s="83"/>
      <c r="U724" s="83"/>
      <c r="V724" s="83"/>
      <c r="W724" s="83"/>
      <c r="BO724" s="912"/>
    </row>
    <row r="725" spans="2:67">
      <c r="B725" s="222"/>
      <c r="C725" s="206" t="s">
        <v>3237</v>
      </c>
      <c r="D725" s="200" t="s">
        <v>3247</v>
      </c>
      <c r="E725" s="201" t="s">
        <v>610</v>
      </c>
      <c r="F725" s="551">
        <f>2500*2*7.2</f>
        <v>36000</v>
      </c>
      <c r="G725" s="203">
        <f>+SUMIF('AUX-NIV1'!I:I,Recursos!C725,'AUX-NIV1'!Q:Q)+SUMIF('AUX-NIV2'!I:I,Recursos!C725,'AUX-NIV2'!Q:Q)+SUMIF('AUX-NIV3'!I:I,Recursos!C725,'AUX-NIV3'!Q:Q)</f>
        <v>0</v>
      </c>
      <c r="H725" s="204">
        <f t="shared" si="45"/>
        <v>0</v>
      </c>
      <c r="I725" s="366">
        <f t="shared" si="42"/>
        <v>0</v>
      </c>
      <c r="J725" s="205"/>
      <c r="L725" s="83"/>
      <c r="M725" s="83"/>
      <c r="N725" s="83"/>
      <c r="O725" s="83"/>
      <c r="P725" s="83"/>
      <c r="Q725" s="83"/>
      <c r="R725" s="83"/>
      <c r="S725" s="83"/>
      <c r="T725" s="83"/>
      <c r="U725" s="83"/>
      <c r="V725" s="83"/>
      <c r="W725" s="83"/>
      <c r="BO725" s="912"/>
    </row>
    <row r="726" spans="2:67">
      <c r="B726" s="222"/>
      <c r="C726" s="206" t="s">
        <v>3239</v>
      </c>
      <c r="D726" s="200" t="s">
        <v>3246</v>
      </c>
      <c r="E726" s="201" t="s">
        <v>610</v>
      </c>
      <c r="F726" s="551">
        <f>2500*2*7.45</f>
        <v>37250</v>
      </c>
      <c r="G726" s="203">
        <f>+SUMIF('AUX-NIV1'!I:I,Recursos!C726,'AUX-NIV1'!Q:Q)+SUMIF('AUX-NIV2'!I:I,Recursos!C726,'AUX-NIV2'!Q:Q)+SUMIF('AUX-NIV3'!I:I,Recursos!C726,'AUX-NIV3'!Q:Q)</f>
        <v>0</v>
      </c>
      <c r="H726" s="204">
        <f t="shared" si="45"/>
        <v>0</v>
      </c>
      <c r="I726" s="366">
        <f t="shared" si="42"/>
        <v>0</v>
      </c>
      <c r="J726" s="205"/>
      <c r="L726" s="83"/>
      <c r="M726" s="83"/>
      <c r="N726" s="83"/>
      <c r="O726" s="83"/>
      <c r="P726" s="83"/>
      <c r="Q726" s="83"/>
      <c r="R726" s="83"/>
      <c r="S726" s="83"/>
      <c r="T726" s="83"/>
      <c r="U726" s="83"/>
      <c r="V726" s="83"/>
      <c r="W726" s="83"/>
      <c r="BO726" s="912"/>
    </row>
    <row r="727" spans="2:67">
      <c r="B727" s="222"/>
      <c r="C727" s="206" t="s">
        <v>3240</v>
      </c>
      <c r="D727" s="200" t="s">
        <v>3253</v>
      </c>
      <c r="E727" s="201" t="s">
        <v>610</v>
      </c>
      <c r="F727" s="551">
        <f>2500*2*7.5</f>
        <v>37500</v>
      </c>
      <c r="G727" s="203">
        <f>+SUMIF('AUX-NIV1'!I:I,Recursos!C727,'AUX-NIV1'!Q:Q)+SUMIF('AUX-NIV2'!I:I,Recursos!C727,'AUX-NIV2'!Q:Q)+SUMIF('AUX-NIV3'!I:I,Recursos!C727,'AUX-NIV3'!Q:Q)</f>
        <v>0</v>
      </c>
      <c r="H727" s="204">
        <f t="shared" si="45"/>
        <v>0</v>
      </c>
      <c r="I727" s="366">
        <f t="shared" si="42"/>
        <v>0</v>
      </c>
      <c r="J727" s="205"/>
      <c r="L727" s="83"/>
      <c r="M727" s="83"/>
      <c r="N727" s="83"/>
      <c r="O727" s="83"/>
      <c r="P727" s="83"/>
      <c r="Q727" s="83"/>
      <c r="R727" s="83"/>
      <c r="S727" s="83"/>
      <c r="T727" s="83"/>
      <c r="U727" s="83"/>
      <c r="V727" s="83"/>
      <c r="W727" s="83"/>
      <c r="BO727" s="912"/>
    </row>
    <row r="728" spans="2:67">
      <c r="B728" s="222"/>
      <c r="C728" s="206" t="s">
        <v>3241</v>
      </c>
      <c r="D728" s="200" t="s">
        <v>3248</v>
      </c>
      <c r="E728" s="201" t="s">
        <v>610</v>
      </c>
      <c r="F728" s="551">
        <f>2500*2*7.6</f>
        <v>38000</v>
      </c>
      <c r="G728" s="203">
        <f>+SUMIF('AUX-NIV1'!I:I,Recursos!C728,'AUX-NIV1'!Q:Q)+SUMIF('AUX-NIV2'!I:I,Recursos!C728,'AUX-NIV2'!Q:Q)+SUMIF('AUX-NIV3'!I:I,Recursos!C728,'AUX-NIV3'!Q:Q)</f>
        <v>0</v>
      </c>
      <c r="H728" s="204">
        <f t="shared" si="45"/>
        <v>0</v>
      </c>
      <c r="I728" s="366">
        <f t="shared" si="42"/>
        <v>0</v>
      </c>
      <c r="J728" s="205"/>
      <c r="L728" s="83"/>
      <c r="M728" s="83"/>
      <c r="N728" s="83"/>
      <c r="O728" s="83"/>
      <c r="P728" s="83"/>
      <c r="Q728" s="83"/>
      <c r="R728" s="83"/>
      <c r="S728" s="83"/>
      <c r="T728" s="83"/>
      <c r="U728" s="83"/>
      <c r="V728" s="83"/>
      <c r="W728" s="83"/>
      <c r="BO728" s="912"/>
    </row>
    <row r="729" spans="2:67">
      <c r="B729" s="222"/>
      <c r="C729" s="206" t="s">
        <v>3242</v>
      </c>
      <c r="D729" s="200" t="s">
        <v>3255</v>
      </c>
      <c r="E729" s="201" t="s">
        <v>610</v>
      </c>
      <c r="F729" s="551">
        <f>2500*2*6.45</f>
        <v>32250</v>
      </c>
      <c r="G729" s="203">
        <f>+SUMIF('AUX-NIV1'!I:I,Recursos!C729,'AUX-NIV1'!Q:Q)+SUMIF('AUX-NIV2'!I:I,Recursos!C729,'AUX-NIV2'!Q:Q)+SUMIF('AUX-NIV3'!I:I,Recursos!C729,'AUX-NIV3'!Q:Q)</f>
        <v>0</v>
      </c>
      <c r="H729" s="204">
        <f t="shared" si="45"/>
        <v>0</v>
      </c>
      <c r="I729" s="366">
        <f t="shared" si="42"/>
        <v>0</v>
      </c>
      <c r="J729" s="205"/>
      <c r="L729" s="83"/>
      <c r="M729" s="83"/>
      <c r="N729" s="83"/>
      <c r="O729" s="83"/>
      <c r="P729" s="83"/>
      <c r="Q729" s="83"/>
      <c r="R729" s="83"/>
      <c r="S729" s="83"/>
      <c r="T729" s="83"/>
      <c r="U729" s="83"/>
      <c r="V729" s="83"/>
      <c r="W729" s="83"/>
      <c r="BO729" s="912"/>
    </row>
    <row r="730" spans="2:67">
      <c r="B730" s="222"/>
      <c r="C730" s="206" t="s">
        <v>3243</v>
      </c>
      <c r="D730" s="200" t="s">
        <v>3250</v>
      </c>
      <c r="E730" s="201" t="s">
        <v>610</v>
      </c>
      <c r="F730" s="551">
        <f>2500*2.5*7.85</f>
        <v>49062.5</v>
      </c>
      <c r="G730" s="203">
        <f>+SUMIF('AUX-NIV1'!I:I,Recursos!C730,'AUX-NIV1'!Q:Q)+SUMIF('AUX-NIV2'!I:I,Recursos!C730,'AUX-NIV2'!Q:Q)+SUMIF('AUX-NIV3'!I:I,Recursos!C730,'AUX-NIV3'!Q:Q)</f>
        <v>0</v>
      </c>
      <c r="H730" s="204">
        <f t="shared" si="45"/>
        <v>0</v>
      </c>
      <c r="I730" s="366">
        <f t="shared" si="42"/>
        <v>0</v>
      </c>
      <c r="J730" s="205"/>
      <c r="L730" s="83"/>
      <c r="M730" s="83"/>
      <c r="N730" s="83"/>
      <c r="O730" s="83"/>
      <c r="P730" s="83"/>
      <c r="Q730" s="83"/>
      <c r="R730" s="83"/>
      <c r="S730" s="83"/>
      <c r="T730" s="83"/>
      <c r="U730" s="83"/>
      <c r="V730" s="83"/>
      <c r="W730" s="83"/>
      <c r="BO730" s="912"/>
    </row>
    <row r="731" spans="2:67">
      <c r="B731" s="222"/>
      <c r="C731" s="206" t="s">
        <v>3244</v>
      </c>
      <c r="D731" s="200" t="s">
        <v>3251</v>
      </c>
      <c r="E731" s="201" t="s">
        <v>610</v>
      </c>
      <c r="F731" s="551">
        <f>2500*2.5*8.55</f>
        <v>53437.500000000007</v>
      </c>
      <c r="G731" s="203">
        <f>+SUMIF('AUX-NIV1'!I:I,Recursos!C731,'AUX-NIV1'!Q:Q)+SUMIF('AUX-NIV2'!I:I,Recursos!C731,'AUX-NIV2'!Q:Q)+SUMIF('AUX-NIV3'!I:I,Recursos!C731,'AUX-NIV3'!Q:Q)</f>
        <v>0</v>
      </c>
      <c r="H731" s="204">
        <f t="shared" si="45"/>
        <v>0</v>
      </c>
      <c r="I731" s="366">
        <f t="shared" ref="I731:I801" si="46">+H731/$I$3</f>
        <v>0</v>
      </c>
      <c r="J731" s="205"/>
      <c r="L731" s="83"/>
      <c r="M731" s="83"/>
      <c r="N731" s="83"/>
      <c r="O731" s="83"/>
      <c r="P731" s="83"/>
      <c r="Q731" s="83"/>
      <c r="R731" s="83"/>
      <c r="S731" s="83"/>
      <c r="T731" s="83"/>
      <c r="U731" s="83"/>
      <c r="V731" s="83"/>
      <c r="W731" s="83"/>
      <c r="BO731" s="912"/>
    </row>
    <row r="732" spans="2:67">
      <c r="B732" s="222"/>
      <c r="C732" s="206" t="s">
        <v>3254</v>
      </c>
      <c r="D732" s="200" t="s">
        <v>3252</v>
      </c>
      <c r="E732" s="201" t="s">
        <v>610</v>
      </c>
      <c r="F732" s="551">
        <f>2500*3*9.45</f>
        <v>70875</v>
      </c>
      <c r="G732" s="203">
        <f>+SUMIF('AUX-NIV1'!I:I,Recursos!C732,'AUX-NIV1'!Q:Q)+SUMIF('AUX-NIV2'!I:I,Recursos!C732,'AUX-NIV2'!Q:Q)+SUMIF('AUX-NIV3'!I:I,Recursos!C732,'AUX-NIV3'!Q:Q)</f>
        <v>0</v>
      </c>
      <c r="H732" s="204">
        <f t="shared" si="45"/>
        <v>0</v>
      </c>
      <c r="I732" s="366">
        <f t="shared" si="46"/>
        <v>0</v>
      </c>
      <c r="J732" s="205"/>
      <c r="L732" s="83"/>
      <c r="M732" s="83"/>
      <c r="N732" s="83"/>
      <c r="O732" s="83"/>
      <c r="P732" s="83"/>
      <c r="Q732" s="83"/>
      <c r="R732" s="83"/>
      <c r="S732" s="83"/>
      <c r="T732" s="83"/>
      <c r="U732" s="83"/>
      <c r="V732" s="83"/>
      <c r="W732" s="83"/>
      <c r="BO732" s="912"/>
    </row>
    <row r="733" spans="2:67">
      <c r="B733" s="222"/>
      <c r="C733" s="206" t="s">
        <v>3447</v>
      </c>
      <c r="D733" s="200" t="s">
        <v>3448</v>
      </c>
      <c r="E733" s="201" t="s">
        <v>610</v>
      </c>
      <c r="F733" s="551">
        <f>2500*3*9.45</f>
        <v>70875</v>
      </c>
      <c r="G733" s="203">
        <f>+SUMIF('AUX-NIV1'!I:I,Recursos!C733,'AUX-NIV1'!Q:Q)+SUMIF('AUX-NIV2'!I:I,Recursos!C733,'AUX-NIV2'!Q:Q)+SUMIF('AUX-NIV3'!I:I,Recursos!C733,'AUX-NIV3'!Q:Q)</f>
        <v>0</v>
      </c>
      <c r="H733" s="204">
        <f t="shared" si="45"/>
        <v>0</v>
      </c>
      <c r="I733" s="366">
        <f t="shared" si="46"/>
        <v>0</v>
      </c>
      <c r="J733" s="205"/>
      <c r="L733" s="83"/>
      <c r="M733" s="83"/>
      <c r="N733" s="83"/>
      <c r="O733" s="83"/>
      <c r="P733" s="83"/>
      <c r="Q733" s="83"/>
      <c r="R733" s="83"/>
      <c r="S733" s="83"/>
      <c r="T733" s="83"/>
      <c r="U733" s="83"/>
      <c r="V733" s="83"/>
      <c r="W733" s="83"/>
      <c r="BO733" s="912"/>
    </row>
    <row r="734" spans="2:67">
      <c r="B734" s="222"/>
      <c r="C734" s="206" t="s">
        <v>3290</v>
      </c>
      <c r="D734" s="200" t="s">
        <v>3291</v>
      </c>
      <c r="E734" s="201" t="s">
        <v>3292</v>
      </c>
      <c r="F734" s="551">
        <v>500</v>
      </c>
      <c r="G734" s="203">
        <f>+SUMIF('AUX-NIV1'!I:I,Recursos!C734,'AUX-NIV1'!Q:Q)+SUMIF('AUX-NIV2'!I:I,Recursos!C734,'AUX-NIV2'!Q:Q)+SUMIF('AUX-NIV3'!I:I,Recursos!C734,'AUX-NIV3'!Q:Q)</f>
        <v>0</v>
      </c>
      <c r="H734" s="204">
        <f t="shared" si="45"/>
        <v>0</v>
      </c>
      <c r="I734" s="366">
        <f t="shared" si="46"/>
        <v>0</v>
      </c>
      <c r="J734" s="205"/>
      <c r="L734" s="83"/>
      <c r="M734" s="83"/>
      <c r="N734" s="83"/>
      <c r="O734" s="83"/>
      <c r="P734" s="83"/>
      <c r="Q734" s="83"/>
      <c r="R734" s="83"/>
      <c r="S734" s="83"/>
      <c r="T734" s="83"/>
      <c r="U734" s="83"/>
      <c r="V734" s="83"/>
      <c r="W734" s="83"/>
      <c r="BO734" s="912"/>
    </row>
    <row r="735" spans="2:67">
      <c r="B735" s="222"/>
      <c r="C735" s="206" t="s">
        <v>3293</v>
      </c>
      <c r="D735" s="200" t="s">
        <v>3294</v>
      </c>
      <c r="E735" s="201" t="s">
        <v>450</v>
      </c>
      <c r="F735" s="551">
        <v>60</v>
      </c>
      <c r="G735" s="203">
        <f>+SUMIF('AUX-NIV1'!I:I,Recursos!C735,'AUX-NIV1'!Q:Q)+SUMIF('AUX-NIV2'!I:I,Recursos!C735,'AUX-NIV2'!Q:Q)+SUMIF('AUX-NIV3'!I:I,Recursos!C735,'AUX-NIV3'!Q:Q)</f>
        <v>0</v>
      </c>
      <c r="H735" s="204">
        <f t="shared" si="45"/>
        <v>0</v>
      </c>
      <c r="I735" s="366">
        <f t="shared" si="46"/>
        <v>0</v>
      </c>
      <c r="J735" s="205"/>
      <c r="L735" s="83"/>
      <c r="M735" s="83"/>
      <c r="N735" s="83"/>
      <c r="O735" s="83"/>
      <c r="P735" s="83"/>
      <c r="Q735" s="83"/>
      <c r="R735" s="83"/>
      <c r="S735" s="83"/>
      <c r="T735" s="83"/>
      <c r="U735" s="83"/>
      <c r="V735" s="83"/>
      <c r="W735" s="83"/>
      <c r="BO735" s="912"/>
    </row>
    <row r="736" spans="2:67">
      <c r="B736" s="222"/>
      <c r="C736" s="206" t="s">
        <v>3295</v>
      </c>
      <c r="D736" s="200" t="s">
        <v>3297</v>
      </c>
      <c r="E736" s="201" t="s">
        <v>3296</v>
      </c>
      <c r="F736" s="551">
        <v>8000</v>
      </c>
      <c r="G736" s="203">
        <f>+SUMIF('AUX-NIV1'!I:I,Recursos!C736,'AUX-NIV1'!Q:Q)+SUMIF('AUX-NIV2'!I:I,Recursos!C736,'AUX-NIV2'!Q:Q)+SUMIF('AUX-NIV3'!I:I,Recursos!C736,'AUX-NIV3'!Q:Q)</f>
        <v>0</v>
      </c>
      <c r="H736" s="204">
        <f t="shared" si="45"/>
        <v>0</v>
      </c>
      <c r="I736" s="366">
        <f t="shared" si="46"/>
        <v>0</v>
      </c>
      <c r="J736" s="205"/>
      <c r="L736" s="83"/>
      <c r="M736" s="83"/>
      <c r="N736" s="83"/>
      <c r="O736" s="83"/>
      <c r="P736" s="83"/>
      <c r="Q736" s="83"/>
      <c r="R736" s="83"/>
      <c r="S736" s="83"/>
      <c r="T736" s="83"/>
      <c r="U736" s="83"/>
      <c r="V736" s="83"/>
      <c r="W736" s="83"/>
      <c r="BO736" s="912"/>
    </row>
    <row r="737" spans="2:67">
      <c r="B737" s="222"/>
      <c r="C737" s="952" t="s">
        <v>3343</v>
      </c>
      <c r="D737" s="200" t="s">
        <v>3344</v>
      </c>
      <c r="E737" s="201" t="s">
        <v>450</v>
      </c>
      <c r="F737" s="551">
        <v>280</v>
      </c>
      <c r="G737" s="203">
        <f>+SUMIF('AUX-NIV1'!I:I,Recursos!C737,'AUX-NIV1'!Q:Q)+SUMIF('AUX-NIV2'!I:I,Recursos!C737,'AUX-NIV2'!Q:Q)+SUMIF('AUX-NIV3'!I:I,Recursos!C737,'AUX-NIV3'!Q:Q)</f>
        <v>0</v>
      </c>
      <c r="H737" s="204">
        <f t="shared" si="45"/>
        <v>0</v>
      </c>
      <c r="I737" s="366">
        <f t="shared" si="46"/>
        <v>0</v>
      </c>
      <c r="J737" s="205"/>
      <c r="L737" s="1610"/>
      <c r="M737" s="83"/>
      <c r="N737" s="83"/>
      <c r="O737" s="83"/>
      <c r="P737" s="83"/>
      <c r="Q737" s="83"/>
      <c r="R737" s="83"/>
      <c r="S737" s="83"/>
      <c r="T737" s="83"/>
      <c r="U737" s="83"/>
      <c r="V737" s="83"/>
      <c r="W737" s="83"/>
      <c r="BO737" s="912"/>
    </row>
    <row r="738" spans="2:67">
      <c r="B738" s="222"/>
      <c r="C738" s="952" t="s">
        <v>3345</v>
      </c>
      <c r="D738" s="200" t="s">
        <v>3352</v>
      </c>
      <c r="E738" s="201" t="s">
        <v>610</v>
      </c>
      <c r="F738" s="551">
        <v>350</v>
      </c>
      <c r="G738" s="203">
        <f>+SUMIF('AUX-NIV1'!I:I,Recursos!C738,'AUX-NIV1'!Q:Q)+SUMIF('AUX-NIV2'!I:I,Recursos!C738,'AUX-NIV2'!Q:Q)+SUMIF('AUX-NIV3'!I:I,Recursos!C738,'AUX-NIV3'!Q:Q)</f>
        <v>0</v>
      </c>
      <c r="H738" s="204">
        <f t="shared" si="45"/>
        <v>0</v>
      </c>
      <c r="I738" s="366">
        <f t="shared" si="46"/>
        <v>0</v>
      </c>
      <c r="J738" s="205"/>
      <c r="L738" s="1610"/>
      <c r="M738" s="83"/>
      <c r="N738" s="83"/>
      <c r="O738" s="83"/>
      <c r="P738" s="83"/>
      <c r="Q738" s="83"/>
      <c r="R738" s="83"/>
      <c r="S738" s="83"/>
      <c r="T738" s="83"/>
      <c r="U738" s="83"/>
      <c r="V738" s="83"/>
      <c r="W738" s="83"/>
      <c r="BO738" s="912"/>
    </row>
    <row r="739" spans="2:67">
      <c r="B739" s="222"/>
      <c r="C739" s="952" t="s">
        <v>3346</v>
      </c>
      <c r="D739" s="200" t="s">
        <v>3353</v>
      </c>
      <c r="E739" s="201" t="s">
        <v>610</v>
      </c>
      <c r="F739" s="551">
        <v>250</v>
      </c>
      <c r="G739" s="203">
        <f>+SUMIF('AUX-NIV1'!I:I,Recursos!C739,'AUX-NIV1'!Q:Q)+SUMIF('AUX-NIV2'!I:I,Recursos!C739,'AUX-NIV2'!Q:Q)+SUMIF('AUX-NIV3'!I:I,Recursos!C739,'AUX-NIV3'!Q:Q)</f>
        <v>0</v>
      </c>
      <c r="H739" s="204">
        <f t="shared" si="45"/>
        <v>0</v>
      </c>
      <c r="I739" s="366">
        <f t="shared" si="46"/>
        <v>0</v>
      </c>
      <c r="J739" s="205"/>
      <c r="L739" s="1610"/>
      <c r="M739" s="83"/>
      <c r="N739" s="83"/>
      <c r="O739" s="83"/>
      <c r="P739" s="83"/>
      <c r="Q739" s="83"/>
      <c r="R739" s="83"/>
      <c r="S739" s="83"/>
      <c r="T739" s="83"/>
      <c r="U739" s="83"/>
      <c r="V739" s="83"/>
      <c r="W739" s="83"/>
      <c r="BO739" s="912"/>
    </row>
    <row r="740" spans="2:67">
      <c r="B740" s="222"/>
      <c r="C740" s="952" t="s">
        <v>3347</v>
      </c>
      <c r="D740" s="200" t="s">
        <v>3354</v>
      </c>
      <c r="E740" s="201" t="s">
        <v>610</v>
      </c>
      <c r="F740" s="551">
        <v>150</v>
      </c>
      <c r="G740" s="203">
        <f>+SUMIF('AUX-NIV1'!I:I,Recursos!C740,'AUX-NIV1'!Q:Q)+SUMIF('AUX-NIV2'!I:I,Recursos!C740,'AUX-NIV2'!Q:Q)+SUMIF('AUX-NIV3'!I:I,Recursos!C740,'AUX-NIV3'!Q:Q)</f>
        <v>0</v>
      </c>
      <c r="H740" s="204">
        <f t="shared" si="45"/>
        <v>0</v>
      </c>
      <c r="I740" s="366">
        <f t="shared" si="46"/>
        <v>0</v>
      </c>
      <c r="J740" s="205"/>
      <c r="L740" s="1610"/>
      <c r="M740" s="83"/>
      <c r="N740" s="83"/>
      <c r="O740" s="83"/>
      <c r="P740" s="83"/>
      <c r="Q740" s="83"/>
      <c r="R740" s="83"/>
      <c r="S740" s="83"/>
      <c r="T740" s="83"/>
      <c r="U740" s="83"/>
      <c r="V740" s="83"/>
      <c r="W740" s="83"/>
      <c r="BO740" s="912"/>
    </row>
    <row r="741" spans="2:67">
      <c r="B741" s="222"/>
      <c r="C741" s="952" t="s">
        <v>3348</v>
      </c>
      <c r="D741" s="200" t="s">
        <v>3355</v>
      </c>
      <c r="E741" s="201" t="s">
        <v>610</v>
      </c>
      <c r="F741" s="551">
        <v>300</v>
      </c>
      <c r="G741" s="203">
        <f>+SUMIF('AUX-NIV1'!I:I,Recursos!C741,'AUX-NIV1'!Q:Q)+SUMIF('AUX-NIV2'!I:I,Recursos!C741,'AUX-NIV2'!Q:Q)+SUMIF('AUX-NIV3'!I:I,Recursos!C741,'AUX-NIV3'!Q:Q)</f>
        <v>0</v>
      </c>
      <c r="H741" s="204">
        <f t="shared" si="45"/>
        <v>0</v>
      </c>
      <c r="I741" s="366">
        <f t="shared" si="46"/>
        <v>0</v>
      </c>
      <c r="J741" s="205"/>
      <c r="L741" s="1610"/>
      <c r="M741" s="83"/>
      <c r="N741" s="83"/>
      <c r="O741" s="83"/>
      <c r="P741" s="83"/>
      <c r="Q741" s="83"/>
      <c r="R741" s="83"/>
      <c r="S741" s="83"/>
      <c r="T741" s="83"/>
      <c r="U741" s="83"/>
      <c r="V741" s="83"/>
      <c r="W741" s="83"/>
      <c r="BO741" s="912"/>
    </row>
    <row r="742" spans="2:67">
      <c r="B742" s="222"/>
      <c r="C742" s="952" t="s">
        <v>3349</v>
      </c>
      <c r="D742" s="200" t="s">
        <v>3356</v>
      </c>
      <c r="E742" s="201" t="s">
        <v>610</v>
      </c>
      <c r="F742" s="551">
        <v>200</v>
      </c>
      <c r="G742" s="203">
        <f>+SUMIF('AUX-NIV1'!I:I,Recursos!C742,'AUX-NIV1'!Q:Q)+SUMIF('AUX-NIV2'!I:I,Recursos!C742,'AUX-NIV2'!Q:Q)+SUMIF('AUX-NIV3'!I:I,Recursos!C742,'AUX-NIV3'!Q:Q)</f>
        <v>0</v>
      </c>
      <c r="H742" s="204">
        <f t="shared" si="45"/>
        <v>0</v>
      </c>
      <c r="I742" s="366">
        <f t="shared" si="46"/>
        <v>0</v>
      </c>
      <c r="J742" s="205"/>
      <c r="L742" s="1610"/>
      <c r="M742" s="83"/>
      <c r="N742" s="83"/>
      <c r="O742" s="83"/>
      <c r="P742" s="83"/>
      <c r="Q742" s="83"/>
      <c r="R742" s="83"/>
      <c r="S742" s="83"/>
      <c r="T742" s="83"/>
      <c r="U742" s="83"/>
      <c r="V742" s="83"/>
      <c r="W742" s="83"/>
      <c r="BO742" s="912"/>
    </row>
    <row r="743" spans="2:67">
      <c r="B743" s="222"/>
      <c r="C743" s="952" t="s">
        <v>3350</v>
      </c>
      <c r="D743" s="200" t="s">
        <v>3357</v>
      </c>
      <c r="E743" s="201" t="s">
        <v>610</v>
      </c>
      <c r="F743" s="551">
        <v>400</v>
      </c>
      <c r="G743" s="203">
        <f>+SUMIF('AUX-NIV1'!I:I,Recursos!C743,'AUX-NIV1'!Q:Q)+SUMIF('AUX-NIV2'!I:I,Recursos!C743,'AUX-NIV2'!Q:Q)+SUMIF('AUX-NIV3'!I:I,Recursos!C743,'AUX-NIV3'!Q:Q)</f>
        <v>0</v>
      </c>
      <c r="H743" s="204">
        <f t="shared" si="45"/>
        <v>0</v>
      </c>
      <c r="I743" s="366">
        <f t="shared" si="46"/>
        <v>0</v>
      </c>
      <c r="J743" s="205"/>
      <c r="L743" s="1610"/>
      <c r="M743" s="83"/>
      <c r="N743" s="83"/>
      <c r="O743" s="83"/>
      <c r="P743" s="83"/>
      <c r="Q743" s="83"/>
      <c r="R743" s="83"/>
      <c r="S743" s="83"/>
      <c r="T743" s="83"/>
      <c r="U743" s="83"/>
      <c r="V743" s="83"/>
      <c r="W743" s="83"/>
      <c r="BO743" s="912"/>
    </row>
    <row r="744" spans="2:67">
      <c r="B744" s="222"/>
      <c r="C744" s="952" t="s">
        <v>3351</v>
      </c>
      <c r="D744" s="200" t="s">
        <v>3370</v>
      </c>
      <c r="E744" s="201" t="s">
        <v>610</v>
      </c>
      <c r="F744" s="551">
        <v>75000</v>
      </c>
      <c r="G744" s="203">
        <f>+SUMIF('AUX-NIV1'!I:I,Recursos!C744,'AUX-NIV1'!Q:Q)+SUMIF('AUX-NIV2'!I:I,Recursos!C744,'AUX-NIV2'!Q:Q)+SUMIF('AUX-NIV3'!I:I,Recursos!C744,'AUX-NIV3'!Q:Q)</f>
        <v>0</v>
      </c>
      <c r="H744" s="204">
        <f t="shared" si="45"/>
        <v>0</v>
      </c>
      <c r="I744" s="366">
        <f t="shared" si="46"/>
        <v>0</v>
      </c>
      <c r="J744" s="205"/>
      <c r="L744" s="83"/>
      <c r="M744" s="83"/>
      <c r="N744" s="83"/>
      <c r="O744" s="83"/>
      <c r="P744" s="83"/>
      <c r="Q744" s="83"/>
      <c r="R744" s="83"/>
      <c r="S744" s="83"/>
      <c r="T744" s="83"/>
      <c r="U744" s="83"/>
      <c r="V744" s="83"/>
      <c r="W744" s="83"/>
      <c r="BO744" s="912"/>
    </row>
    <row r="745" spans="2:67">
      <c r="B745" s="222"/>
      <c r="C745" s="952" t="s">
        <v>3360</v>
      </c>
      <c r="D745" s="200" t="s">
        <v>3369</v>
      </c>
      <c r="E745" s="201" t="s">
        <v>610</v>
      </c>
      <c r="F745" s="551">
        <v>27800</v>
      </c>
      <c r="G745" s="203">
        <f>+SUMIF('AUX-NIV1'!I:I,Recursos!C745,'AUX-NIV1'!Q:Q)+SUMIF('AUX-NIV2'!I:I,Recursos!C745,'AUX-NIV2'!Q:Q)+SUMIF('AUX-NIV3'!I:I,Recursos!C745,'AUX-NIV3'!Q:Q)</f>
        <v>0</v>
      </c>
      <c r="H745" s="204">
        <f t="shared" si="45"/>
        <v>0</v>
      </c>
      <c r="I745" s="366">
        <f t="shared" si="46"/>
        <v>0</v>
      </c>
      <c r="J745" s="205"/>
      <c r="L745" s="83"/>
      <c r="M745" s="83"/>
      <c r="N745" s="83"/>
      <c r="O745" s="83"/>
      <c r="P745" s="83"/>
      <c r="Q745" s="83"/>
      <c r="R745" s="83"/>
      <c r="S745" s="83"/>
      <c r="T745" s="83"/>
      <c r="U745" s="83"/>
      <c r="V745" s="83"/>
      <c r="W745" s="83"/>
      <c r="BO745" s="912"/>
    </row>
    <row r="746" spans="2:67">
      <c r="B746" s="222"/>
      <c r="C746" s="952" t="s">
        <v>3361</v>
      </c>
      <c r="D746" s="200" t="s">
        <v>3367</v>
      </c>
      <c r="E746" s="201" t="s">
        <v>477</v>
      </c>
      <c r="F746" s="551">
        <f>1850/1.21/100</f>
        <v>15.289256198347108</v>
      </c>
      <c r="G746" s="203">
        <f>+SUMIF('AUX-NIV1'!I:I,Recursos!C746,'AUX-NIV1'!Q:Q)+SUMIF('AUX-NIV2'!I:I,Recursos!C746,'AUX-NIV2'!Q:Q)+SUMIF('AUX-NIV3'!I:I,Recursos!C746,'AUX-NIV3'!Q:Q)</f>
        <v>0</v>
      </c>
      <c r="H746" s="204">
        <f t="shared" si="45"/>
        <v>0</v>
      </c>
      <c r="I746" s="366">
        <f t="shared" si="46"/>
        <v>0</v>
      </c>
      <c r="J746" s="205"/>
      <c r="L746" s="83"/>
      <c r="M746" s="83"/>
      <c r="N746" s="83"/>
      <c r="O746" s="83"/>
      <c r="P746" s="83"/>
      <c r="Q746" s="83"/>
      <c r="R746" s="83"/>
      <c r="S746" s="83"/>
      <c r="T746" s="83"/>
      <c r="U746" s="83"/>
      <c r="V746" s="83"/>
      <c r="W746" s="83"/>
      <c r="BO746" s="912"/>
    </row>
    <row r="747" spans="2:67">
      <c r="B747" s="222"/>
      <c r="C747" s="952" t="s">
        <v>3362</v>
      </c>
      <c r="D747" s="200" t="s">
        <v>3368</v>
      </c>
      <c r="E747" s="201" t="s">
        <v>477</v>
      </c>
      <c r="F747" s="551">
        <v>395</v>
      </c>
      <c r="G747" s="203">
        <f>+SUMIF('AUX-NIV1'!I:I,Recursos!C747,'AUX-NIV1'!Q:Q)+SUMIF('AUX-NIV2'!I:I,Recursos!C747,'AUX-NIV2'!Q:Q)+SUMIF('AUX-NIV3'!I:I,Recursos!C747,'AUX-NIV3'!Q:Q)</f>
        <v>0</v>
      </c>
      <c r="H747" s="204">
        <f t="shared" si="45"/>
        <v>0</v>
      </c>
      <c r="I747" s="366">
        <f t="shared" si="46"/>
        <v>0</v>
      </c>
      <c r="J747" s="205"/>
      <c r="L747" s="83"/>
      <c r="M747" s="83"/>
      <c r="N747" s="83"/>
      <c r="O747" s="83"/>
      <c r="P747" s="83"/>
      <c r="Q747" s="83"/>
      <c r="R747" s="83"/>
      <c r="S747" s="83"/>
      <c r="T747" s="83"/>
      <c r="U747" s="83"/>
      <c r="V747" s="83"/>
      <c r="W747" s="83"/>
      <c r="BO747" s="912"/>
    </row>
    <row r="748" spans="2:67">
      <c r="B748" s="222"/>
      <c r="C748" s="952" t="s">
        <v>3363</v>
      </c>
      <c r="D748" s="200" t="s">
        <v>3371</v>
      </c>
      <c r="E748" s="201" t="s">
        <v>610</v>
      </c>
      <c r="F748" s="551">
        <v>1100</v>
      </c>
      <c r="G748" s="203">
        <f>+SUMIF('AUX-NIV1'!I:I,Recursos!C748,'AUX-NIV1'!Q:Q)+SUMIF('AUX-NIV2'!I:I,Recursos!C748,'AUX-NIV2'!Q:Q)+SUMIF('AUX-NIV3'!I:I,Recursos!C748,'AUX-NIV3'!Q:Q)</f>
        <v>0</v>
      </c>
      <c r="H748" s="204">
        <f t="shared" si="45"/>
        <v>0</v>
      </c>
      <c r="I748" s="366">
        <f t="shared" si="46"/>
        <v>0</v>
      </c>
      <c r="J748" s="205"/>
      <c r="L748" s="83"/>
      <c r="M748" s="83"/>
      <c r="N748" s="83"/>
      <c r="O748" s="83"/>
      <c r="P748" s="83"/>
      <c r="Q748" s="83"/>
      <c r="R748" s="83"/>
      <c r="S748" s="83"/>
      <c r="T748" s="83"/>
      <c r="U748" s="83"/>
      <c r="V748" s="83"/>
      <c r="W748" s="83"/>
      <c r="BO748" s="912"/>
    </row>
    <row r="749" spans="2:67">
      <c r="B749" s="222"/>
      <c r="C749" s="952" t="s">
        <v>3364</v>
      </c>
      <c r="D749" s="200" t="s">
        <v>3372</v>
      </c>
      <c r="E749" s="201" t="s">
        <v>610</v>
      </c>
      <c r="F749" s="551">
        <v>6500</v>
      </c>
      <c r="G749" s="203">
        <f>+SUMIF('AUX-NIV1'!I:I,Recursos!C749,'AUX-NIV1'!Q:Q)+SUMIF('AUX-NIV2'!I:I,Recursos!C749,'AUX-NIV2'!Q:Q)+SUMIF('AUX-NIV3'!I:I,Recursos!C749,'AUX-NIV3'!Q:Q)</f>
        <v>0</v>
      </c>
      <c r="H749" s="204">
        <f t="shared" si="45"/>
        <v>0</v>
      </c>
      <c r="I749" s="366">
        <f t="shared" si="46"/>
        <v>0</v>
      </c>
      <c r="J749" s="205"/>
      <c r="L749" s="83"/>
      <c r="M749" s="83"/>
      <c r="N749" s="83"/>
      <c r="O749" s="83"/>
      <c r="P749" s="83"/>
      <c r="Q749" s="83"/>
      <c r="R749" s="83"/>
      <c r="S749" s="83"/>
      <c r="T749" s="83"/>
      <c r="U749" s="83"/>
      <c r="V749" s="83"/>
      <c r="W749" s="83"/>
      <c r="BO749" s="912"/>
    </row>
    <row r="750" spans="2:67">
      <c r="B750" s="222"/>
      <c r="C750" s="952" t="s">
        <v>3365</v>
      </c>
      <c r="D750" s="200" t="s">
        <v>3373</v>
      </c>
      <c r="E750" s="201" t="s">
        <v>610</v>
      </c>
      <c r="F750" s="551">
        <f>F747</f>
        <v>395</v>
      </c>
      <c r="G750" s="203">
        <f>+SUMIF('AUX-NIV1'!I:I,Recursos!C750,'AUX-NIV1'!Q:Q)+SUMIF('AUX-NIV2'!I:I,Recursos!C750,'AUX-NIV2'!Q:Q)+SUMIF('AUX-NIV3'!I:I,Recursos!C750,'AUX-NIV3'!Q:Q)</f>
        <v>0</v>
      </c>
      <c r="H750" s="204">
        <f t="shared" si="45"/>
        <v>0</v>
      </c>
      <c r="I750" s="366">
        <f t="shared" si="46"/>
        <v>0</v>
      </c>
      <c r="J750" s="205"/>
      <c r="L750" s="83"/>
      <c r="M750" s="83"/>
      <c r="N750" s="83"/>
      <c r="O750" s="83"/>
      <c r="P750" s="83"/>
      <c r="Q750" s="83"/>
      <c r="R750" s="83"/>
      <c r="S750" s="83"/>
      <c r="T750" s="83"/>
      <c r="U750" s="83"/>
      <c r="V750" s="83"/>
      <c r="W750" s="83"/>
      <c r="BO750" s="912"/>
    </row>
    <row r="751" spans="2:67">
      <c r="B751" s="222"/>
      <c r="C751" s="952" t="s">
        <v>3366</v>
      </c>
      <c r="D751" s="200" t="s">
        <v>3376</v>
      </c>
      <c r="E751" s="201" t="s">
        <v>610</v>
      </c>
      <c r="F751" s="551">
        <v>20000</v>
      </c>
      <c r="G751" s="203">
        <f>+SUMIF('AUX-NIV1'!I:I,Recursos!C751,'AUX-NIV1'!Q:Q)+SUMIF('AUX-NIV2'!I:I,Recursos!C751,'AUX-NIV2'!Q:Q)+SUMIF('AUX-NIV3'!I:I,Recursos!C751,'AUX-NIV3'!Q:Q)</f>
        <v>0</v>
      </c>
      <c r="H751" s="204">
        <f t="shared" si="45"/>
        <v>0</v>
      </c>
      <c r="I751" s="366">
        <f t="shared" si="46"/>
        <v>0</v>
      </c>
      <c r="J751" s="205"/>
      <c r="L751" s="83"/>
      <c r="M751" s="83"/>
      <c r="N751" s="83"/>
      <c r="O751" s="83"/>
      <c r="P751" s="83"/>
      <c r="Q751" s="83"/>
      <c r="R751" s="83"/>
      <c r="S751" s="83"/>
      <c r="T751" s="83"/>
      <c r="U751" s="83"/>
      <c r="V751" s="83"/>
      <c r="W751" s="83"/>
      <c r="BO751" s="912"/>
    </row>
    <row r="752" spans="2:67">
      <c r="B752" s="222"/>
      <c r="C752" s="952" t="s">
        <v>3377</v>
      </c>
      <c r="D752" s="756" t="s">
        <v>3393</v>
      </c>
      <c r="E752" s="201" t="s">
        <v>610</v>
      </c>
      <c r="F752" s="551">
        <v>100</v>
      </c>
      <c r="G752" s="203">
        <f>+SUMIF('AUX-NIV1'!I:I,Recursos!C752,'AUX-NIV1'!Q:Q)+SUMIF('AUX-NIV2'!I:I,Recursos!C752,'AUX-NIV2'!Q:Q)+SUMIF('AUX-NIV3'!I:I,Recursos!C752,'AUX-NIV3'!Q:Q)</f>
        <v>0</v>
      </c>
      <c r="H752" s="204">
        <f t="shared" si="45"/>
        <v>0</v>
      </c>
      <c r="I752" s="366">
        <f t="shared" si="46"/>
        <v>0</v>
      </c>
      <c r="J752" s="205"/>
      <c r="L752" s="83"/>
      <c r="M752" s="83"/>
      <c r="N752" s="83"/>
      <c r="O752" s="83"/>
      <c r="P752" s="83"/>
      <c r="Q752" s="83"/>
      <c r="R752" s="83"/>
      <c r="S752" s="83"/>
      <c r="T752" s="83"/>
      <c r="U752" s="83"/>
      <c r="V752" s="83"/>
      <c r="W752" s="83"/>
      <c r="BO752" s="912"/>
    </row>
    <row r="753" spans="2:67">
      <c r="B753" s="222"/>
      <c r="C753" s="952" t="s">
        <v>3378</v>
      </c>
      <c r="D753" s="756" t="s">
        <v>3394</v>
      </c>
      <c r="E753" s="201" t="s">
        <v>610</v>
      </c>
      <c r="F753" s="551">
        <v>100</v>
      </c>
      <c r="G753" s="203">
        <f>+SUMIF('AUX-NIV1'!I:I,Recursos!C753,'AUX-NIV1'!Q:Q)+SUMIF('AUX-NIV2'!I:I,Recursos!C753,'AUX-NIV2'!Q:Q)+SUMIF('AUX-NIV3'!I:I,Recursos!C753,'AUX-NIV3'!Q:Q)</f>
        <v>0</v>
      </c>
      <c r="H753" s="204">
        <f t="shared" si="45"/>
        <v>0</v>
      </c>
      <c r="I753" s="366">
        <f t="shared" si="46"/>
        <v>0</v>
      </c>
      <c r="J753" s="205"/>
      <c r="L753" s="83"/>
      <c r="M753" s="83"/>
      <c r="N753" s="83"/>
      <c r="O753" s="83"/>
      <c r="P753" s="83"/>
      <c r="Q753" s="83"/>
      <c r="R753" s="83"/>
      <c r="S753" s="83"/>
      <c r="T753" s="83"/>
      <c r="U753" s="83"/>
      <c r="V753" s="83"/>
      <c r="W753" s="83"/>
      <c r="BO753" s="912"/>
    </row>
    <row r="754" spans="2:67">
      <c r="B754" s="222"/>
      <c r="C754" s="952" t="s">
        <v>3379</v>
      </c>
      <c r="D754" s="756" t="s">
        <v>3395</v>
      </c>
      <c r="E754" s="201" t="s">
        <v>610</v>
      </c>
      <c r="F754" s="551">
        <v>100</v>
      </c>
      <c r="G754" s="203">
        <f>+SUMIF('AUX-NIV1'!I:I,Recursos!C754,'AUX-NIV1'!Q:Q)+SUMIF('AUX-NIV2'!I:I,Recursos!C754,'AUX-NIV2'!Q:Q)+SUMIF('AUX-NIV3'!I:I,Recursos!C754,'AUX-NIV3'!Q:Q)</f>
        <v>0</v>
      </c>
      <c r="H754" s="204">
        <f t="shared" si="45"/>
        <v>0</v>
      </c>
      <c r="I754" s="366">
        <f t="shared" si="46"/>
        <v>0</v>
      </c>
      <c r="J754" s="205"/>
      <c r="L754" s="83"/>
      <c r="M754" s="83"/>
      <c r="N754" s="83"/>
      <c r="O754" s="83"/>
      <c r="P754" s="83"/>
      <c r="Q754" s="83"/>
      <c r="R754" s="83"/>
      <c r="S754" s="83"/>
      <c r="T754" s="83"/>
      <c r="U754" s="83"/>
      <c r="V754" s="83"/>
      <c r="W754" s="83"/>
      <c r="BO754" s="912"/>
    </row>
    <row r="755" spans="2:67">
      <c r="B755" s="222"/>
      <c r="C755" s="952" t="s">
        <v>3380</v>
      </c>
      <c r="D755" s="756" t="s">
        <v>3396</v>
      </c>
      <c r="E755" s="201" t="s">
        <v>610</v>
      </c>
      <c r="F755" s="551">
        <v>100</v>
      </c>
      <c r="G755" s="203">
        <f>+SUMIF('AUX-NIV1'!I:I,Recursos!C755,'AUX-NIV1'!Q:Q)+SUMIF('AUX-NIV2'!I:I,Recursos!C755,'AUX-NIV2'!Q:Q)+SUMIF('AUX-NIV3'!I:I,Recursos!C755,'AUX-NIV3'!Q:Q)</f>
        <v>0</v>
      </c>
      <c r="H755" s="204">
        <f t="shared" si="45"/>
        <v>0</v>
      </c>
      <c r="I755" s="366">
        <f t="shared" si="46"/>
        <v>0</v>
      </c>
      <c r="J755" s="205"/>
      <c r="L755" s="83"/>
      <c r="M755" s="83"/>
      <c r="N755" s="83"/>
      <c r="O755" s="83"/>
      <c r="P755" s="83"/>
      <c r="Q755" s="83"/>
      <c r="R755" s="83"/>
      <c r="S755" s="83"/>
      <c r="T755" s="83"/>
      <c r="U755" s="83"/>
      <c r="V755" s="83"/>
      <c r="W755" s="83"/>
      <c r="BO755" s="912"/>
    </row>
    <row r="756" spans="2:67">
      <c r="B756" s="222"/>
      <c r="C756" s="952" t="s">
        <v>3381</v>
      </c>
      <c r="D756" s="756" t="s">
        <v>3397</v>
      </c>
      <c r="E756" s="201" t="s">
        <v>610</v>
      </c>
      <c r="F756" s="551">
        <v>100</v>
      </c>
      <c r="G756" s="203">
        <f>+SUMIF('AUX-NIV1'!I:I,Recursos!C756,'AUX-NIV1'!Q:Q)+SUMIF('AUX-NIV2'!I:I,Recursos!C756,'AUX-NIV2'!Q:Q)+SUMIF('AUX-NIV3'!I:I,Recursos!C756,'AUX-NIV3'!Q:Q)</f>
        <v>0</v>
      </c>
      <c r="H756" s="204">
        <f t="shared" si="45"/>
        <v>0</v>
      </c>
      <c r="I756" s="366">
        <f t="shared" si="46"/>
        <v>0</v>
      </c>
      <c r="J756" s="205"/>
      <c r="L756" s="83"/>
      <c r="M756" s="83"/>
      <c r="N756" s="83"/>
      <c r="O756" s="83"/>
      <c r="P756" s="83"/>
      <c r="Q756" s="83"/>
      <c r="R756" s="83"/>
      <c r="S756" s="83"/>
      <c r="T756" s="83"/>
      <c r="U756" s="83"/>
      <c r="V756" s="83"/>
      <c r="W756" s="83"/>
      <c r="BO756" s="912"/>
    </row>
    <row r="757" spans="2:67">
      <c r="B757" s="222"/>
      <c r="C757" s="952" t="s">
        <v>3382</v>
      </c>
      <c r="D757" s="200" t="s">
        <v>3398</v>
      </c>
      <c r="E757" s="201" t="s">
        <v>610</v>
      </c>
      <c r="F757" s="551">
        <v>100</v>
      </c>
      <c r="G757" s="203">
        <f>+SUMIF('AUX-NIV1'!I:I,Recursos!C757,'AUX-NIV1'!Q:Q)+SUMIF('AUX-NIV2'!I:I,Recursos!C757,'AUX-NIV2'!Q:Q)+SUMIF('AUX-NIV3'!I:I,Recursos!C757,'AUX-NIV3'!Q:Q)</f>
        <v>0</v>
      </c>
      <c r="H757" s="204">
        <f t="shared" si="45"/>
        <v>0</v>
      </c>
      <c r="I757" s="366">
        <f t="shared" si="46"/>
        <v>0</v>
      </c>
      <c r="J757" s="205"/>
      <c r="L757" s="83"/>
      <c r="M757" s="83"/>
      <c r="N757" s="83"/>
      <c r="O757" s="83"/>
      <c r="P757" s="83"/>
      <c r="Q757" s="83"/>
      <c r="R757" s="83"/>
      <c r="S757" s="83"/>
      <c r="T757" s="83"/>
      <c r="U757" s="83"/>
      <c r="V757" s="83"/>
      <c r="W757" s="83"/>
      <c r="BO757" s="912"/>
    </row>
    <row r="758" spans="2:67">
      <c r="B758" s="222"/>
      <c r="C758" s="952" t="s">
        <v>3383</v>
      </c>
      <c r="D758" s="200" t="s">
        <v>3399</v>
      </c>
      <c r="E758" s="201" t="s">
        <v>501</v>
      </c>
      <c r="F758" s="551">
        <f>1546/1.21</f>
        <v>1277.6859504132233</v>
      </c>
      <c r="G758" s="203">
        <f>+SUMIF('AUX-NIV1'!I:I,Recursos!C758,'AUX-NIV1'!Q:Q)+SUMIF('AUX-NIV2'!I:I,Recursos!C758,'AUX-NIV2'!Q:Q)+SUMIF('AUX-NIV3'!I:I,Recursos!C758,'AUX-NIV3'!Q:Q)</f>
        <v>0</v>
      </c>
      <c r="H758" s="204">
        <f t="shared" si="45"/>
        <v>0</v>
      </c>
      <c r="I758" s="366">
        <f t="shared" si="46"/>
        <v>0</v>
      </c>
      <c r="J758" s="205"/>
      <c r="L758" s="83"/>
      <c r="M758" s="83"/>
      <c r="N758" s="83"/>
      <c r="O758" s="83"/>
      <c r="P758" s="83"/>
      <c r="Q758" s="83"/>
      <c r="R758" s="83"/>
      <c r="S758" s="83"/>
      <c r="T758" s="83"/>
      <c r="U758" s="83"/>
      <c r="V758" s="83"/>
      <c r="W758" s="83"/>
      <c r="BO758" s="912"/>
    </row>
    <row r="759" spans="2:67">
      <c r="B759" s="222"/>
      <c r="C759" s="952" t="s">
        <v>3384</v>
      </c>
      <c r="D759" s="200" t="s">
        <v>3402</v>
      </c>
      <c r="E759" s="201" t="s">
        <v>450</v>
      </c>
      <c r="F759" s="551">
        <f>925/1.21/5</f>
        <v>152.89256198347107</v>
      </c>
      <c r="G759" s="203">
        <f>+SUMIF('AUX-NIV1'!I:I,Recursos!C759,'AUX-NIV1'!Q:Q)+SUMIF('AUX-NIV2'!I:I,Recursos!C759,'AUX-NIV2'!Q:Q)+SUMIF('AUX-NIV3'!I:I,Recursos!C759,'AUX-NIV3'!Q:Q)</f>
        <v>0</v>
      </c>
      <c r="H759" s="204">
        <f t="shared" si="45"/>
        <v>0</v>
      </c>
      <c r="I759" s="366">
        <f t="shared" si="46"/>
        <v>0</v>
      </c>
      <c r="J759" s="205"/>
      <c r="L759" s="1610"/>
      <c r="M759" s="83"/>
      <c r="N759" s="83"/>
      <c r="O759" s="83"/>
      <c r="P759" s="83"/>
      <c r="Q759" s="83"/>
      <c r="R759" s="83"/>
      <c r="S759" s="83"/>
      <c r="T759" s="83"/>
      <c r="U759" s="83"/>
      <c r="V759" s="83"/>
      <c r="W759" s="83"/>
      <c r="BO759" s="912"/>
    </row>
    <row r="760" spans="2:67" ht="12">
      <c r="B760" s="222"/>
      <c r="C760" s="1541" t="s">
        <v>3385</v>
      </c>
      <c r="D760" s="1539" t="s">
        <v>3403</v>
      </c>
      <c r="E760" s="1537" t="s">
        <v>501</v>
      </c>
      <c r="F760" s="1538">
        <v>3324.6874999999995</v>
      </c>
      <c r="G760" s="203">
        <f>+SUMIF('AUX-NIV1'!I:I,Recursos!C760,'AUX-NIV1'!Q:Q)+SUMIF('AUX-NIV2'!I:I,Recursos!C760,'AUX-NIV2'!Q:Q)+SUMIF('AUX-NIV3'!I:I,Recursos!C760,'AUX-NIV3'!Q:Q)</f>
        <v>0</v>
      </c>
      <c r="H760" s="204">
        <f t="shared" si="45"/>
        <v>0</v>
      </c>
      <c r="I760" s="366">
        <f t="shared" si="46"/>
        <v>0</v>
      </c>
      <c r="J760" s="205"/>
      <c r="L760" s="1610">
        <f>H760/$H$76</f>
        <v>0</v>
      </c>
      <c r="M760" s="83"/>
      <c r="N760" s="83"/>
      <c r="O760" s="83"/>
      <c r="P760" s="83"/>
      <c r="Q760" s="83"/>
      <c r="R760" s="83"/>
      <c r="S760" s="83"/>
      <c r="T760" s="83"/>
      <c r="U760" s="83"/>
      <c r="V760" s="83"/>
      <c r="W760" s="83"/>
      <c r="BO760" s="912"/>
    </row>
    <row r="761" spans="2:67">
      <c r="B761" s="222"/>
      <c r="C761" s="952" t="s">
        <v>3386</v>
      </c>
      <c r="D761" s="200" t="s">
        <v>3423</v>
      </c>
      <c r="E761" s="201" t="s">
        <v>610</v>
      </c>
      <c r="F761" s="551">
        <v>100</v>
      </c>
      <c r="G761" s="203">
        <f>+SUMIF('AUX-NIV1'!I:I,Recursos!C761,'AUX-NIV1'!Q:Q)+SUMIF('AUX-NIV2'!I:I,Recursos!C761,'AUX-NIV2'!Q:Q)+SUMIF('AUX-NIV3'!I:I,Recursos!C761,'AUX-NIV3'!Q:Q)</f>
        <v>0</v>
      </c>
      <c r="H761" s="204">
        <f t="shared" si="45"/>
        <v>0</v>
      </c>
      <c r="I761" s="366">
        <f t="shared" si="46"/>
        <v>0</v>
      </c>
      <c r="J761" s="205"/>
      <c r="L761" s="83"/>
      <c r="M761" s="83"/>
      <c r="N761" s="83"/>
      <c r="O761" s="83"/>
      <c r="P761" s="83"/>
      <c r="Q761" s="83"/>
      <c r="R761" s="83"/>
      <c r="S761" s="83"/>
      <c r="T761" s="83"/>
      <c r="U761" s="83"/>
      <c r="V761" s="83"/>
      <c r="W761" s="83"/>
      <c r="BO761" s="912"/>
    </row>
    <row r="762" spans="2:67">
      <c r="B762" s="222"/>
      <c r="C762" s="952" t="s">
        <v>3387</v>
      </c>
      <c r="D762" s="200" t="s">
        <v>3424</v>
      </c>
      <c r="E762" s="201" t="s">
        <v>610</v>
      </c>
      <c r="F762" s="551">
        <v>100</v>
      </c>
      <c r="G762" s="203">
        <f>+SUMIF('AUX-NIV1'!I:I,Recursos!C762,'AUX-NIV1'!Q:Q)+SUMIF('AUX-NIV2'!I:I,Recursos!C762,'AUX-NIV2'!Q:Q)+SUMIF('AUX-NIV3'!I:I,Recursos!C762,'AUX-NIV3'!Q:Q)</f>
        <v>0</v>
      </c>
      <c r="H762" s="204">
        <f t="shared" si="45"/>
        <v>0</v>
      </c>
      <c r="I762" s="366">
        <f t="shared" si="46"/>
        <v>0</v>
      </c>
      <c r="J762" s="205"/>
      <c r="L762" s="83"/>
      <c r="M762" s="83"/>
      <c r="N762" s="83"/>
      <c r="O762" s="83"/>
      <c r="P762" s="83"/>
      <c r="Q762" s="83"/>
      <c r="R762" s="83"/>
      <c r="S762" s="83"/>
      <c r="T762" s="83"/>
      <c r="U762" s="83"/>
      <c r="V762" s="83"/>
      <c r="W762" s="83"/>
      <c r="BO762" s="912"/>
    </row>
    <row r="763" spans="2:67">
      <c r="B763" s="222"/>
      <c r="C763" s="952" t="s">
        <v>3388</v>
      </c>
      <c r="D763" s="200" t="s">
        <v>3425</v>
      </c>
      <c r="E763" s="201" t="s">
        <v>610</v>
      </c>
      <c r="F763" s="551">
        <v>100</v>
      </c>
      <c r="G763" s="203">
        <f>+SUMIF('AUX-NIV1'!I:I,Recursos!C763,'AUX-NIV1'!Q:Q)+SUMIF('AUX-NIV2'!I:I,Recursos!C763,'AUX-NIV2'!Q:Q)+SUMIF('AUX-NIV3'!I:I,Recursos!C763,'AUX-NIV3'!Q:Q)</f>
        <v>0</v>
      </c>
      <c r="H763" s="204">
        <f t="shared" si="45"/>
        <v>0</v>
      </c>
      <c r="I763" s="366">
        <f t="shared" si="46"/>
        <v>0</v>
      </c>
      <c r="J763" s="205"/>
      <c r="L763" s="83"/>
      <c r="M763" s="83"/>
      <c r="N763" s="83"/>
      <c r="O763" s="83"/>
      <c r="P763" s="83"/>
      <c r="Q763" s="83"/>
      <c r="R763" s="83"/>
      <c r="S763" s="83"/>
      <c r="T763" s="83"/>
      <c r="U763" s="83"/>
      <c r="V763" s="83"/>
      <c r="W763" s="83"/>
      <c r="BO763" s="912"/>
    </row>
    <row r="764" spans="2:67">
      <c r="B764" s="222"/>
      <c r="C764" s="952" t="s">
        <v>3389</v>
      </c>
      <c r="D764" s="200" t="s">
        <v>3430</v>
      </c>
      <c r="E764" s="201" t="s">
        <v>610</v>
      </c>
      <c r="F764" s="551">
        <v>100</v>
      </c>
      <c r="G764" s="203">
        <f>+SUMIF('AUX-NIV1'!I:I,Recursos!C764,'AUX-NIV1'!Q:Q)+SUMIF('AUX-NIV2'!I:I,Recursos!C764,'AUX-NIV2'!Q:Q)+SUMIF('AUX-NIV3'!I:I,Recursos!C764,'AUX-NIV3'!Q:Q)</f>
        <v>0</v>
      </c>
      <c r="H764" s="204">
        <f t="shared" si="45"/>
        <v>0</v>
      </c>
      <c r="I764" s="366">
        <f t="shared" si="46"/>
        <v>0</v>
      </c>
      <c r="J764" s="205"/>
      <c r="L764" s="83"/>
      <c r="M764" s="83"/>
      <c r="N764" s="83"/>
      <c r="O764" s="83"/>
      <c r="P764" s="83"/>
      <c r="Q764" s="83"/>
      <c r="R764" s="83"/>
      <c r="S764" s="83"/>
      <c r="T764" s="83"/>
      <c r="U764" s="83"/>
      <c r="V764" s="83"/>
      <c r="W764" s="83"/>
      <c r="BO764" s="912"/>
    </row>
    <row r="765" spans="2:67">
      <c r="B765" s="222"/>
      <c r="C765" s="952" t="s">
        <v>3390</v>
      </c>
      <c r="D765" s="200" t="s">
        <v>3431</v>
      </c>
      <c r="E765" s="201" t="s">
        <v>610</v>
      </c>
      <c r="F765" s="551">
        <v>100</v>
      </c>
      <c r="G765" s="203">
        <f>+SUMIF('AUX-NIV1'!I:I,Recursos!C765,'AUX-NIV1'!Q:Q)+SUMIF('AUX-NIV2'!I:I,Recursos!C765,'AUX-NIV2'!Q:Q)+SUMIF('AUX-NIV3'!I:I,Recursos!C765,'AUX-NIV3'!Q:Q)</f>
        <v>0</v>
      </c>
      <c r="H765" s="204">
        <f t="shared" si="45"/>
        <v>0</v>
      </c>
      <c r="I765" s="366">
        <f t="shared" si="46"/>
        <v>0</v>
      </c>
      <c r="J765" s="205"/>
      <c r="L765" s="83"/>
      <c r="M765" s="83"/>
      <c r="N765" s="83"/>
      <c r="O765" s="83"/>
      <c r="P765" s="83"/>
      <c r="Q765" s="83"/>
      <c r="R765" s="83"/>
      <c r="S765" s="83"/>
      <c r="T765" s="83"/>
      <c r="U765" s="83"/>
      <c r="V765" s="83"/>
      <c r="W765" s="83"/>
      <c r="BO765" s="912"/>
    </row>
    <row r="766" spans="2:67">
      <c r="B766" s="222"/>
      <c r="C766" s="952" t="s">
        <v>3391</v>
      </c>
      <c r="D766" s="200" t="s">
        <v>3432</v>
      </c>
      <c r="E766" s="201" t="s">
        <v>610</v>
      </c>
      <c r="F766" s="551">
        <v>100</v>
      </c>
      <c r="G766" s="203">
        <f>+SUMIF('AUX-NIV1'!I:I,Recursos!C766,'AUX-NIV1'!Q:Q)+SUMIF('AUX-NIV2'!I:I,Recursos!C766,'AUX-NIV2'!Q:Q)+SUMIF('AUX-NIV3'!I:I,Recursos!C766,'AUX-NIV3'!Q:Q)</f>
        <v>0</v>
      </c>
      <c r="H766" s="204">
        <f t="shared" si="45"/>
        <v>0</v>
      </c>
      <c r="I766" s="366">
        <f t="shared" si="46"/>
        <v>0</v>
      </c>
      <c r="J766" s="205"/>
      <c r="L766" s="83"/>
      <c r="M766" s="83"/>
      <c r="N766" s="83"/>
      <c r="O766" s="83"/>
      <c r="P766" s="83"/>
      <c r="Q766" s="83"/>
      <c r="R766" s="83"/>
      <c r="S766" s="83"/>
      <c r="T766" s="83"/>
      <c r="U766" s="83"/>
      <c r="V766" s="83"/>
      <c r="W766" s="83"/>
      <c r="BO766" s="912"/>
    </row>
    <row r="767" spans="2:67">
      <c r="B767" s="222"/>
      <c r="C767" s="952" t="s">
        <v>3392</v>
      </c>
      <c r="D767" s="200" t="s">
        <v>3433</v>
      </c>
      <c r="E767" s="201" t="s">
        <v>610</v>
      </c>
      <c r="F767" s="551">
        <v>100</v>
      </c>
      <c r="G767" s="203">
        <f>+SUMIF('AUX-NIV1'!I:I,Recursos!C767,'AUX-NIV1'!Q:Q)+SUMIF('AUX-NIV2'!I:I,Recursos!C767,'AUX-NIV2'!Q:Q)+SUMIF('AUX-NIV3'!I:I,Recursos!C767,'AUX-NIV3'!Q:Q)</f>
        <v>0</v>
      </c>
      <c r="H767" s="204">
        <f t="shared" si="45"/>
        <v>0</v>
      </c>
      <c r="I767" s="366">
        <f t="shared" si="46"/>
        <v>0</v>
      </c>
      <c r="J767" s="205"/>
      <c r="L767" s="83"/>
      <c r="M767" s="83"/>
      <c r="N767" s="83"/>
      <c r="O767" s="83"/>
      <c r="P767" s="83"/>
      <c r="Q767" s="83"/>
      <c r="R767" s="83"/>
      <c r="S767" s="83"/>
      <c r="T767" s="83"/>
      <c r="U767" s="83"/>
      <c r="V767" s="83"/>
      <c r="W767" s="83"/>
      <c r="BO767" s="912"/>
    </row>
    <row r="768" spans="2:67">
      <c r="B768" s="222"/>
      <c r="C768" s="952" t="s">
        <v>3426</v>
      </c>
      <c r="D768" s="200" t="s">
        <v>3434</v>
      </c>
      <c r="E768" s="201" t="s">
        <v>610</v>
      </c>
      <c r="F768" s="551">
        <v>100</v>
      </c>
      <c r="G768" s="203">
        <f>+SUMIF('AUX-NIV1'!I:I,Recursos!C768,'AUX-NIV1'!Q:Q)+SUMIF('AUX-NIV2'!I:I,Recursos!C768,'AUX-NIV2'!Q:Q)+SUMIF('AUX-NIV3'!I:I,Recursos!C768,'AUX-NIV3'!Q:Q)</f>
        <v>0</v>
      </c>
      <c r="H768" s="204">
        <f t="shared" si="45"/>
        <v>0</v>
      </c>
      <c r="I768" s="366">
        <f t="shared" si="46"/>
        <v>0</v>
      </c>
      <c r="J768" s="205"/>
      <c r="L768" s="83"/>
      <c r="M768" s="83"/>
      <c r="N768" s="83"/>
      <c r="O768" s="83"/>
      <c r="P768" s="83"/>
      <c r="Q768" s="83"/>
      <c r="R768" s="83"/>
      <c r="S768" s="83"/>
      <c r="T768" s="83"/>
      <c r="U768" s="83"/>
      <c r="V768" s="83"/>
      <c r="W768" s="83"/>
      <c r="BO768" s="912"/>
    </row>
    <row r="769" spans="2:67">
      <c r="B769" s="222"/>
      <c r="C769" s="952" t="s">
        <v>3427</v>
      </c>
      <c r="D769" s="200" t="s">
        <v>3435</v>
      </c>
      <c r="E769" s="201" t="s">
        <v>610</v>
      </c>
      <c r="F769" s="551">
        <v>100</v>
      </c>
      <c r="G769" s="203">
        <f>+SUMIF('AUX-NIV1'!I:I,Recursos!C769,'AUX-NIV1'!Q:Q)+SUMIF('AUX-NIV2'!I:I,Recursos!C769,'AUX-NIV2'!Q:Q)+SUMIF('AUX-NIV3'!I:I,Recursos!C769,'AUX-NIV3'!Q:Q)</f>
        <v>0</v>
      </c>
      <c r="H769" s="204">
        <f t="shared" si="45"/>
        <v>0</v>
      </c>
      <c r="I769" s="366">
        <f t="shared" si="46"/>
        <v>0</v>
      </c>
      <c r="J769" s="205"/>
      <c r="L769" s="83"/>
      <c r="M769" s="83"/>
      <c r="N769" s="83"/>
      <c r="O769" s="83"/>
      <c r="P769" s="83"/>
      <c r="Q769" s="83"/>
      <c r="R769" s="83"/>
      <c r="S769" s="83"/>
      <c r="T769" s="83"/>
      <c r="U769" s="83"/>
      <c r="V769" s="83"/>
      <c r="W769" s="83"/>
      <c r="BO769" s="912"/>
    </row>
    <row r="770" spans="2:67">
      <c r="B770" s="222"/>
      <c r="C770" s="952" t="s">
        <v>3428</v>
      </c>
      <c r="D770" s="200" t="s">
        <v>3439</v>
      </c>
      <c r="E770" s="201" t="s">
        <v>501</v>
      </c>
      <c r="F770" s="551">
        <v>1150</v>
      </c>
      <c r="G770" s="203">
        <f>+SUMIF('AUX-NIV1'!I:I,Recursos!C770,'AUX-NIV1'!Q:Q)+SUMIF('AUX-NIV2'!I:I,Recursos!C770,'AUX-NIV2'!Q:Q)+SUMIF('AUX-NIV3'!I:I,Recursos!C770,'AUX-NIV3'!Q:Q)</f>
        <v>0</v>
      </c>
      <c r="H770" s="204">
        <f t="shared" si="45"/>
        <v>0</v>
      </c>
      <c r="I770" s="366">
        <f t="shared" si="46"/>
        <v>0</v>
      </c>
      <c r="J770" s="205"/>
      <c r="L770" s="83"/>
      <c r="M770" s="83"/>
      <c r="N770" s="83"/>
      <c r="O770" s="83"/>
      <c r="P770" s="83"/>
      <c r="Q770" s="83"/>
      <c r="R770" s="83"/>
      <c r="S770" s="83"/>
      <c r="T770" s="83"/>
      <c r="U770" s="83"/>
      <c r="V770" s="83"/>
      <c r="W770" s="83"/>
      <c r="BO770" s="912"/>
    </row>
    <row r="771" spans="2:67">
      <c r="B771" s="222"/>
      <c r="C771" s="952" t="s">
        <v>3429</v>
      </c>
      <c r="D771" s="200" t="s">
        <v>3440</v>
      </c>
      <c r="E771" s="201" t="s">
        <v>610</v>
      </c>
      <c r="F771" s="551">
        <v>6700</v>
      </c>
      <c r="G771" s="203">
        <f>+SUMIF('AUX-NIV1'!I:I,Recursos!C771,'AUX-NIV1'!Q:Q)+SUMIF('AUX-NIV2'!I:I,Recursos!C771,'AUX-NIV2'!Q:Q)+SUMIF('AUX-NIV3'!I:I,Recursos!C771,'AUX-NIV3'!Q:Q)</f>
        <v>0</v>
      </c>
      <c r="H771" s="204">
        <f t="shared" si="45"/>
        <v>0</v>
      </c>
      <c r="I771" s="366">
        <f t="shared" si="46"/>
        <v>0</v>
      </c>
      <c r="J771" s="205"/>
      <c r="L771" s="83"/>
      <c r="M771" s="83"/>
      <c r="N771" s="83"/>
      <c r="O771" s="83"/>
      <c r="P771" s="83"/>
      <c r="Q771" s="83"/>
      <c r="R771" s="83"/>
      <c r="S771" s="83"/>
      <c r="T771" s="83"/>
      <c r="U771" s="83"/>
      <c r="V771" s="83"/>
      <c r="W771" s="83"/>
      <c r="BO771" s="912"/>
    </row>
    <row r="772" spans="2:67">
      <c r="B772" s="222"/>
      <c r="C772" s="952" t="s">
        <v>3449</v>
      </c>
      <c r="D772" s="200" t="s">
        <v>3457</v>
      </c>
      <c r="E772" s="201" t="s">
        <v>610</v>
      </c>
      <c r="F772" s="551">
        <v>30900</v>
      </c>
      <c r="G772" s="203">
        <f>+SUMIF('AUX-NIV1'!I:I,Recursos!C772,'AUX-NIV1'!Q:Q)+SUMIF('AUX-NIV2'!I:I,Recursos!C772,'AUX-NIV2'!Q:Q)+SUMIF('AUX-NIV3'!I:I,Recursos!C772,'AUX-NIV3'!Q:Q)</f>
        <v>0</v>
      </c>
      <c r="H772" s="204">
        <f t="shared" si="45"/>
        <v>0</v>
      </c>
      <c r="I772" s="366">
        <f t="shared" si="46"/>
        <v>0</v>
      </c>
      <c r="J772" s="205"/>
      <c r="L772" s="83"/>
      <c r="M772" s="83"/>
      <c r="N772" s="83"/>
      <c r="O772" s="83"/>
      <c r="P772" s="83"/>
      <c r="Q772" s="83"/>
      <c r="R772" s="83"/>
      <c r="S772" s="83"/>
      <c r="T772" s="83"/>
      <c r="U772" s="83"/>
      <c r="V772" s="83"/>
      <c r="W772" s="83"/>
      <c r="BO772" s="912"/>
    </row>
    <row r="773" spans="2:67">
      <c r="B773" s="222"/>
      <c r="C773" s="952" t="s">
        <v>3450</v>
      </c>
      <c r="D773" s="200" t="s">
        <v>3458</v>
      </c>
      <c r="E773" s="201" t="s">
        <v>610</v>
      </c>
      <c r="F773" s="551">
        <v>31900</v>
      </c>
      <c r="G773" s="203">
        <f>+SUMIF('AUX-NIV1'!I:I,Recursos!C773,'AUX-NIV1'!Q:Q)+SUMIF('AUX-NIV2'!I:I,Recursos!C773,'AUX-NIV2'!Q:Q)+SUMIF('AUX-NIV3'!I:I,Recursos!C773,'AUX-NIV3'!Q:Q)</f>
        <v>0</v>
      </c>
      <c r="H773" s="204">
        <f t="shared" si="45"/>
        <v>0</v>
      </c>
      <c r="I773" s="366">
        <f t="shared" si="46"/>
        <v>0</v>
      </c>
      <c r="J773" s="205"/>
      <c r="L773" s="83"/>
      <c r="M773" s="83"/>
      <c r="N773" s="83"/>
      <c r="O773" s="83"/>
      <c r="P773" s="83"/>
      <c r="Q773" s="83"/>
      <c r="R773" s="83"/>
      <c r="S773" s="83"/>
      <c r="T773" s="83"/>
      <c r="U773" s="83"/>
      <c r="V773" s="83"/>
      <c r="W773" s="83"/>
      <c r="BO773" s="912"/>
    </row>
    <row r="774" spans="2:67">
      <c r="B774" s="222"/>
      <c r="C774" s="952" t="s">
        <v>3451</v>
      </c>
      <c r="D774" s="200" t="s">
        <v>3459</v>
      </c>
      <c r="E774" s="201" t="s">
        <v>610</v>
      </c>
      <c r="F774" s="551">
        <v>26400</v>
      </c>
      <c r="G774" s="203">
        <f>+SUMIF('AUX-NIV1'!I:I,Recursos!C774,'AUX-NIV1'!Q:Q)+SUMIF('AUX-NIV2'!I:I,Recursos!C774,'AUX-NIV2'!Q:Q)+SUMIF('AUX-NIV3'!I:I,Recursos!C774,'AUX-NIV3'!Q:Q)</f>
        <v>0</v>
      </c>
      <c r="H774" s="204">
        <f t="shared" si="45"/>
        <v>0</v>
      </c>
      <c r="I774" s="366">
        <f t="shared" si="46"/>
        <v>0</v>
      </c>
      <c r="J774" s="205"/>
      <c r="L774" s="83"/>
      <c r="M774" s="83"/>
      <c r="N774" s="83"/>
      <c r="O774" s="83"/>
      <c r="P774" s="83"/>
      <c r="Q774" s="83"/>
      <c r="R774" s="83"/>
      <c r="S774" s="83"/>
      <c r="T774" s="83"/>
      <c r="U774" s="83"/>
      <c r="V774" s="83"/>
      <c r="W774" s="83"/>
      <c r="BO774" s="912"/>
    </row>
    <row r="775" spans="2:67">
      <c r="B775" s="222"/>
      <c r="C775" s="952" t="s">
        <v>3452</v>
      </c>
      <c r="D775" s="200" t="s">
        <v>3460</v>
      </c>
      <c r="E775" s="201" t="s">
        <v>610</v>
      </c>
      <c r="F775" s="551">
        <v>8700</v>
      </c>
      <c r="G775" s="203">
        <f>+SUMIF('AUX-NIV1'!I:I,Recursos!C775,'AUX-NIV1'!Q:Q)+SUMIF('AUX-NIV2'!I:I,Recursos!C775,'AUX-NIV2'!Q:Q)+SUMIF('AUX-NIV3'!I:I,Recursos!C775,'AUX-NIV3'!Q:Q)</f>
        <v>0</v>
      </c>
      <c r="H775" s="204">
        <f t="shared" si="45"/>
        <v>0</v>
      </c>
      <c r="I775" s="366">
        <f t="shared" si="46"/>
        <v>0</v>
      </c>
      <c r="J775" s="205"/>
      <c r="L775" s="83"/>
      <c r="M775" s="83"/>
      <c r="N775" s="83"/>
      <c r="O775" s="83"/>
      <c r="P775" s="83"/>
      <c r="Q775" s="83"/>
      <c r="R775" s="83"/>
      <c r="S775" s="83"/>
      <c r="T775" s="83"/>
      <c r="U775" s="83"/>
      <c r="V775" s="83"/>
      <c r="W775" s="83"/>
      <c r="BO775" s="912"/>
    </row>
    <row r="776" spans="2:67">
      <c r="B776" s="222"/>
      <c r="C776" s="952" t="s">
        <v>3453</v>
      </c>
      <c r="D776" s="200" t="s">
        <v>3461</v>
      </c>
      <c r="E776" s="201" t="s">
        <v>477</v>
      </c>
      <c r="F776" s="551">
        <v>135</v>
      </c>
      <c r="G776" s="203">
        <f>+SUMIF('AUX-NIV1'!I:I,Recursos!C776,'AUX-NIV1'!Q:Q)+SUMIF('AUX-NIV2'!I:I,Recursos!C776,'AUX-NIV2'!Q:Q)+SUMIF('AUX-NIV3'!I:I,Recursos!C776,'AUX-NIV3'!Q:Q)</f>
        <v>0</v>
      </c>
      <c r="H776" s="204">
        <f t="shared" si="45"/>
        <v>0</v>
      </c>
      <c r="I776" s="366">
        <f t="shared" si="46"/>
        <v>0</v>
      </c>
      <c r="J776" s="205"/>
      <c r="L776" s="83"/>
      <c r="M776" s="83"/>
      <c r="N776" s="83"/>
      <c r="O776" s="83"/>
      <c r="P776" s="83"/>
      <c r="Q776" s="83"/>
      <c r="R776" s="83"/>
      <c r="S776" s="83"/>
      <c r="T776" s="83"/>
      <c r="U776" s="83"/>
      <c r="V776" s="83"/>
      <c r="W776" s="83"/>
      <c r="BO776" s="912"/>
    </row>
    <row r="777" spans="2:67">
      <c r="B777" s="222"/>
      <c r="C777" s="952" t="s">
        <v>3454</v>
      </c>
      <c r="D777" s="200" t="s">
        <v>3462</v>
      </c>
      <c r="E777" s="201" t="s">
        <v>610</v>
      </c>
      <c r="F777" s="551">
        <v>6000</v>
      </c>
      <c r="G777" s="203">
        <f>+SUMIF('AUX-NIV1'!I:I,Recursos!C777,'AUX-NIV1'!Q:Q)+SUMIF('AUX-NIV2'!I:I,Recursos!C777,'AUX-NIV2'!Q:Q)+SUMIF('AUX-NIV3'!I:I,Recursos!C777,'AUX-NIV3'!Q:Q)</f>
        <v>0</v>
      </c>
      <c r="H777" s="204">
        <f t="shared" si="45"/>
        <v>0</v>
      </c>
      <c r="I777" s="366">
        <f t="shared" si="46"/>
        <v>0</v>
      </c>
      <c r="J777" s="205"/>
      <c r="L777" s="83"/>
      <c r="M777" s="83"/>
      <c r="N777" s="83"/>
      <c r="O777" s="83"/>
      <c r="P777" s="83"/>
      <c r="Q777" s="83"/>
      <c r="R777" s="83"/>
      <c r="S777" s="83"/>
      <c r="T777" s="83"/>
      <c r="U777" s="83"/>
      <c r="V777" s="83"/>
      <c r="W777" s="83"/>
      <c r="BO777" s="912"/>
    </row>
    <row r="778" spans="2:67">
      <c r="B778" s="222"/>
      <c r="C778" s="952" t="s">
        <v>3455</v>
      </c>
      <c r="D778" s="200" t="s">
        <v>3463</v>
      </c>
      <c r="E778" s="201" t="s">
        <v>623</v>
      </c>
      <c r="F778" s="551">
        <v>100</v>
      </c>
      <c r="G778" s="203">
        <f>+SUMIF('AUX-NIV1'!I:I,Recursos!C778,'AUX-NIV1'!Q:Q)+SUMIF('AUX-NIV2'!I:I,Recursos!C778,'AUX-NIV2'!Q:Q)+SUMIF('AUX-NIV3'!I:I,Recursos!C778,'AUX-NIV3'!Q:Q)</f>
        <v>0</v>
      </c>
      <c r="H778" s="204">
        <f t="shared" si="45"/>
        <v>0</v>
      </c>
      <c r="I778" s="366">
        <f t="shared" si="46"/>
        <v>0</v>
      </c>
      <c r="J778" s="205"/>
      <c r="L778" s="83"/>
      <c r="M778" s="83"/>
      <c r="N778" s="83"/>
      <c r="O778" s="83"/>
      <c r="P778" s="83"/>
      <c r="Q778" s="83"/>
      <c r="R778" s="83"/>
      <c r="S778" s="83"/>
      <c r="T778" s="83"/>
      <c r="U778" s="83"/>
      <c r="V778" s="83"/>
      <c r="W778" s="83"/>
      <c r="BO778" s="912"/>
    </row>
    <row r="779" spans="2:67">
      <c r="B779" s="222"/>
      <c r="C779" s="952" t="s">
        <v>3456</v>
      </c>
      <c r="D779" s="200" t="s">
        <v>3464</v>
      </c>
      <c r="E779" s="201" t="s">
        <v>477</v>
      </c>
      <c r="F779" s="551">
        <v>15.5</v>
      </c>
      <c r="G779" s="203">
        <f>+SUMIF('AUX-NIV1'!I:I,Recursos!C779,'AUX-NIV1'!Q:Q)+SUMIF('AUX-NIV2'!I:I,Recursos!C779,'AUX-NIV2'!Q:Q)+SUMIF('AUX-NIV3'!I:I,Recursos!C779,'AUX-NIV3'!Q:Q)</f>
        <v>0</v>
      </c>
      <c r="H779" s="204">
        <f t="shared" si="45"/>
        <v>0</v>
      </c>
      <c r="I779" s="366">
        <f t="shared" si="46"/>
        <v>0</v>
      </c>
      <c r="J779" s="205"/>
      <c r="L779" s="83"/>
      <c r="M779" s="83"/>
      <c r="N779" s="83"/>
      <c r="O779" s="83"/>
      <c r="P779" s="83"/>
      <c r="Q779" s="83"/>
      <c r="R779" s="83"/>
      <c r="S779" s="83"/>
      <c r="T779" s="83"/>
      <c r="U779" s="83"/>
      <c r="V779" s="83"/>
      <c r="W779" s="83"/>
      <c r="BO779" s="912"/>
    </row>
    <row r="780" spans="2:67">
      <c r="B780" s="222"/>
      <c r="C780" s="952" t="s">
        <v>3526</v>
      </c>
      <c r="D780" s="207" t="s">
        <v>3531</v>
      </c>
      <c r="E780" s="201" t="s">
        <v>477</v>
      </c>
      <c r="F780" s="551">
        <v>545</v>
      </c>
      <c r="G780" s="203">
        <f>+SUMIF('AUX-NIV1'!I:I,Recursos!C780,'AUX-NIV1'!Q:Q)+SUMIF('AUX-NIV2'!I:I,Recursos!C780,'AUX-NIV2'!Q:Q)+SUMIF('AUX-NIV3'!I:I,Recursos!C780,'AUX-NIV3'!Q:Q)</f>
        <v>0</v>
      </c>
      <c r="H780" s="204">
        <f t="shared" si="45"/>
        <v>0</v>
      </c>
      <c r="I780" s="366">
        <f t="shared" ref="I780" si="47">+H780/$I$3</f>
        <v>0</v>
      </c>
      <c r="J780" s="205"/>
      <c r="L780" s="83"/>
      <c r="M780" s="83"/>
      <c r="N780" s="83"/>
      <c r="O780" s="83"/>
      <c r="P780" s="83"/>
      <c r="Q780" s="83"/>
      <c r="R780" s="83"/>
      <c r="S780" s="83"/>
      <c r="T780" s="83"/>
      <c r="U780" s="83"/>
      <c r="V780" s="83"/>
      <c r="W780" s="83"/>
      <c r="BO780" s="912"/>
    </row>
    <row r="781" spans="2:67">
      <c r="B781" s="222"/>
      <c r="C781" s="952" t="s">
        <v>3529</v>
      </c>
      <c r="D781" s="207" t="s">
        <v>3530</v>
      </c>
      <c r="E781" s="201" t="s">
        <v>371</v>
      </c>
      <c r="F781" s="551">
        <v>5950</v>
      </c>
      <c r="G781" s="203">
        <f>+SUMIF('AUX-NIV1'!I:I,Recursos!C781,'AUX-NIV1'!Q:Q)+SUMIF('AUX-NIV2'!I:I,Recursos!C781,'AUX-NIV2'!Q:Q)+SUMIF('AUX-NIV3'!I:I,Recursos!C781,'AUX-NIV3'!Q:Q)</f>
        <v>0</v>
      </c>
      <c r="H781" s="204">
        <f t="shared" si="45"/>
        <v>0</v>
      </c>
      <c r="I781" s="366">
        <f t="shared" ref="I781" si="48">+H781/$I$3</f>
        <v>0</v>
      </c>
      <c r="J781" s="205"/>
      <c r="L781" s="83"/>
      <c r="M781" s="83"/>
      <c r="N781" s="83"/>
      <c r="O781" s="83"/>
      <c r="P781" s="83"/>
      <c r="Q781" s="83"/>
      <c r="R781" s="83"/>
      <c r="S781" s="83"/>
      <c r="T781" s="83"/>
      <c r="U781" s="83"/>
      <c r="V781" s="83"/>
      <c r="W781" s="83"/>
      <c r="BO781" s="912"/>
    </row>
    <row r="782" spans="2:67">
      <c r="B782" s="222"/>
      <c r="C782" s="952" t="s">
        <v>3469</v>
      </c>
      <c r="D782" s="200" t="s">
        <v>3837</v>
      </c>
      <c r="E782" s="201" t="s">
        <v>501</v>
      </c>
      <c r="F782" s="551">
        <f>3500/1.21/10</f>
        <v>289.25619834710744</v>
      </c>
      <c r="G782" s="203">
        <f>+SUMIF('AUX-NIV1'!I:I,Recursos!C782,'AUX-NIV1'!Q:Q)+SUMIF('AUX-NIV2'!I:I,Recursos!C782,'AUX-NIV2'!Q:Q)+SUMIF('AUX-NIV3'!I:I,Recursos!C782,'AUX-NIV3'!Q:Q)</f>
        <v>0</v>
      </c>
      <c r="H782" s="204">
        <f t="shared" si="45"/>
        <v>0</v>
      </c>
      <c r="I782" s="366">
        <f t="shared" si="46"/>
        <v>0</v>
      </c>
      <c r="J782" s="205"/>
      <c r="L782" s="1610"/>
      <c r="M782" s="83"/>
      <c r="N782" s="83"/>
      <c r="O782" s="83"/>
      <c r="P782" s="83"/>
      <c r="Q782" s="83"/>
      <c r="R782" s="83"/>
      <c r="S782" s="83"/>
      <c r="T782" s="83"/>
      <c r="U782" s="83"/>
      <c r="V782" s="83"/>
      <c r="W782" s="83"/>
      <c r="BO782" s="912"/>
    </row>
    <row r="783" spans="2:67">
      <c r="B783" s="222"/>
      <c r="C783" s="952" t="s">
        <v>3470</v>
      </c>
      <c r="D783" s="200" t="s">
        <v>3475</v>
      </c>
      <c r="E783" s="201" t="s">
        <v>610</v>
      </c>
      <c r="F783" s="551">
        <v>25000</v>
      </c>
      <c r="G783" s="203">
        <f>+SUMIF('AUX-NIV1'!I:I,Recursos!C783,'AUX-NIV1'!Q:Q)+SUMIF('AUX-NIV2'!I:I,Recursos!C783,'AUX-NIV2'!Q:Q)+SUMIF('AUX-NIV3'!I:I,Recursos!C783,'AUX-NIV3'!Q:Q)</f>
        <v>0</v>
      </c>
      <c r="H783" s="204">
        <f t="shared" si="45"/>
        <v>0</v>
      </c>
      <c r="I783" s="366">
        <f t="shared" si="46"/>
        <v>0</v>
      </c>
      <c r="J783" s="205"/>
      <c r="L783" s="83"/>
      <c r="M783" s="83"/>
      <c r="N783" s="83"/>
      <c r="O783" s="83"/>
      <c r="P783" s="83"/>
      <c r="Q783" s="83"/>
      <c r="R783" s="83"/>
      <c r="S783" s="83"/>
      <c r="T783" s="83"/>
      <c r="U783" s="83"/>
      <c r="V783" s="83"/>
      <c r="W783" s="83"/>
      <c r="BO783" s="912"/>
    </row>
    <row r="784" spans="2:67">
      <c r="B784" s="222"/>
      <c r="C784" s="952" t="s">
        <v>3479</v>
      </c>
      <c r="D784" s="200" t="s">
        <v>3480</v>
      </c>
      <c r="E784" s="201" t="s">
        <v>610</v>
      </c>
      <c r="F784" s="551">
        <v>15000</v>
      </c>
      <c r="G784" s="203">
        <f>+SUMIF('AUX-NIV1'!I:I,Recursos!C784,'AUX-NIV1'!Q:Q)+SUMIF('AUX-NIV2'!I:I,Recursos!C784,'AUX-NIV2'!Q:Q)+SUMIF('AUX-NIV3'!I:I,Recursos!C784,'AUX-NIV3'!Q:Q)</f>
        <v>0</v>
      </c>
      <c r="H784" s="204">
        <f t="shared" si="45"/>
        <v>0</v>
      </c>
      <c r="I784" s="366">
        <f t="shared" si="46"/>
        <v>0</v>
      </c>
      <c r="J784" s="205"/>
      <c r="L784" s="83"/>
      <c r="M784" s="83"/>
      <c r="N784" s="83"/>
      <c r="O784" s="83"/>
      <c r="P784" s="83"/>
      <c r="Q784" s="83"/>
      <c r="R784" s="83"/>
      <c r="S784" s="83"/>
      <c r="T784" s="83"/>
      <c r="U784" s="83"/>
      <c r="V784" s="83"/>
      <c r="W784" s="83"/>
      <c r="BO784" s="912"/>
    </row>
    <row r="785" spans="2:70">
      <c r="B785" s="222"/>
      <c r="C785" s="952" t="s">
        <v>3494</v>
      </c>
      <c r="D785" s="200" t="s">
        <v>3495</v>
      </c>
      <c r="E785" s="201" t="s">
        <v>501</v>
      </c>
      <c r="F785" s="551">
        <v>950</v>
      </c>
      <c r="G785" s="203">
        <f>+SUMIF('AUX-NIV1'!I:I,Recursos!C785,'AUX-NIV1'!Q:Q)+SUMIF('AUX-NIV2'!I:I,Recursos!C785,'AUX-NIV2'!Q:Q)+SUMIF('AUX-NIV3'!I:I,Recursos!C785,'AUX-NIV3'!Q:Q)</f>
        <v>0</v>
      </c>
      <c r="H785" s="204">
        <f t="shared" si="45"/>
        <v>0</v>
      </c>
      <c r="I785" s="366">
        <f t="shared" si="46"/>
        <v>0</v>
      </c>
      <c r="J785" s="205"/>
      <c r="L785" s="83"/>
      <c r="M785" s="83"/>
      <c r="N785" s="83"/>
      <c r="O785" s="83"/>
      <c r="P785" s="83"/>
      <c r="Q785" s="83"/>
      <c r="R785" s="83"/>
      <c r="S785" s="83"/>
      <c r="T785" s="83"/>
      <c r="U785" s="83"/>
      <c r="V785" s="83"/>
      <c r="W785" s="83"/>
      <c r="BO785" s="912"/>
    </row>
    <row r="786" spans="2:70">
      <c r="B786" s="222"/>
      <c r="C786" s="952" t="s">
        <v>3496</v>
      </c>
      <c r="D786" s="200" t="s">
        <v>3497</v>
      </c>
      <c r="E786" s="201" t="s">
        <v>501</v>
      </c>
      <c r="F786" s="551">
        <v>1090</v>
      </c>
      <c r="G786" s="203">
        <f>+SUMIF('AUX-NIV1'!I:I,Recursos!C786,'AUX-NIV1'!Q:Q)+SUMIF('AUX-NIV2'!I:I,Recursos!C786,'AUX-NIV2'!Q:Q)+SUMIF('AUX-NIV3'!I:I,Recursos!C786,'AUX-NIV3'!Q:Q)</f>
        <v>0</v>
      </c>
      <c r="H786" s="204">
        <f t="shared" ref="H786:H854" si="49">+F786*G786</f>
        <v>0</v>
      </c>
      <c r="I786" s="366">
        <f t="shared" si="46"/>
        <v>0</v>
      </c>
      <c r="J786" s="205"/>
      <c r="L786" s="83"/>
      <c r="M786" s="83"/>
      <c r="N786" s="83"/>
      <c r="O786" s="83"/>
      <c r="P786" s="83"/>
      <c r="Q786" s="83"/>
      <c r="R786" s="83"/>
      <c r="S786" s="83"/>
      <c r="T786" s="83"/>
      <c r="U786" s="83"/>
      <c r="V786" s="83"/>
      <c r="W786" s="83"/>
      <c r="BO786" s="912"/>
    </row>
    <row r="787" spans="2:70" ht="12">
      <c r="B787" s="222"/>
      <c r="C787" s="1541" t="s">
        <v>3712</v>
      </c>
      <c r="D787" s="1603" t="s">
        <v>3713</v>
      </c>
      <c r="E787" s="1604" t="s">
        <v>3714</v>
      </c>
      <c r="F787" s="1605">
        <v>17000</v>
      </c>
      <c r="G787" s="203">
        <f>+SUMIF('AUX-NIV1'!I:I,Recursos!C787,'AUX-NIV1'!Q:Q)+SUMIF('AUX-NIV2'!I:I,Recursos!C787,'AUX-NIV2'!Q:Q)+SUMIF('AUX-NIV3'!I:I,Recursos!C787,'AUX-NIV3'!Q:Q)</f>
        <v>0</v>
      </c>
      <c r="H787" s="204">
        <f t="shared" si="49"/>
        <v>0</v>
      </c>
      <c r="I787" s="366">
        <f t="shared" ref="I787:I800" si="50">+H787/$I$3</f>
        <v>0</v>
      </c>
      <c r="J787" s="1349"/>
      <c r="L787" s="1610">
        <f>H787/$H$76</f>
        <v>0</v>
      </c>
      <c r="M787" s="83"/>
      <c r="N787" s="83"/>
      <c r="O787" s="83"/>
      <c r="P787" s="83"/>
      <c r="Q787" s="83"/>
      <c r="R787" s="83"/>
      <c r="S787" s="83"/>
      <c r="T787" s="83"/>
      <c r="U787" s="83"/>
      <c r="V787" s="83"/>
      <c r="W787" s="83"/>
      <c r="BO787" s="912"/>
    </row>
    <row r="788" spans="2:70" ht="12">
      <c r="B788" s="222"/>
      <c r="C788" s="1541" t="s">
        <v>4275</v>
      </c>
      <c r="D788" s="1607" t="s">
        <v>4278</v>
      </c>
      <c r="E788" s="1608" t="s">
        <v>3714</v>
      </c>
      <c r="F788" s="1609">
        <v>28000</v>
      </c>
      <c r="G788" s="203">
        <f>+SUMIF('AUX-NIV1'!I:I,Recursos!C788,'AUX-NIV1'!Q:Q)+SUMIF('AUX-NIV2'!I:I,Recursos!C788,'AUX-NIV2'!Q:Q)+SUMIF('AUX-NIV3'!I:I,Recursos!C788,'AUX-NIV3'!Q:Q)</f>
        <v>0</v>
      </c>
      <c r="H788" s="204">
        <f t="shared" si="49"/>
        <v>0</v>
      </c>
      <c r="I788" s="366">
        <f t="shared" ref="I788:I790" si="51">+H788/$I$3</f>
        <v>0</v>
      </c>
      <c r="J788" s="1606"/>
      <c r="L788" s="1610">
        <f>H788/$H$76</f>
        <v>0</v>
      </c>
      <c r="M788" s="83"/>
      <c r="N788" s="83"/>
      <c r="O788" s="83"/>
      <c r="P788" s="83"/>
      <c r="Q788" s="83"/>
      <c r="R788" s="83"/>
      <c r="S788" s="83"/>
      <c r="T788" s="83"/>
      <c r="U788" s="83"/>
      <c r="V788" s="83"/>
      <c r="W788" s="83"/>
      <c r="BO788" s="912"/>
    </row>
    <row r="789" spans="2:70" ht="12">
      <c r="B789" s="222"/>
      <c r="C789" s="1541" t="s">
        <v>4276</v>
      </c>
      <c r="D789" s="1607" t="s">
        <v>4277</v>
      </c>
      <c r="E789" s="1608" t="s">
        <v>3714</v>
      </c>
      <c r="F789" s="1609">
        <v>39500</v>
      </c>
      <c r="G789" s="203">
        <f>+SUMIF('AUX-NIV1'!I:I,Recursos!C789,'AUX-NIV1'!Q:Q)+SUMIF('AUX-NIV2'!I:I,Recursos!C789,'AUX-NIV2'!Q:Q)+SUMIF('AUX-NIV3'!I:I,Recursos!C789,'AUX-NIV3'!Q:Q)</f>
        <v>0</v>
      </c>
      <c r="H789" s="204">
        <f t="shared" si="49"/>
        <v>0</v>
      </c>
      <c r="I789" s="366">
        <f t="shared" si="51"/>
        <v>0</v>
      </c>
      <c r="J789" s="1606"/>
      <c r="L789" s="1610">
        <f>H789/$H$76</f>
        <v>0</v>
      </c>
      <c r="M789" s="83"/>
      <c r="N789" s="83"/>
      <c r="O789" s="83"/>
      <c r="P789" s="83"/>
      <c r="Q789" s="83"/>
      <c r="R789" s="83"/>
      <c r="S789" s="83"/>
      <c r="T789" s="83"/>
      <c r="U789" s="83"/>
      <c r="V789" s="83"/>
      <c r="W789" s="83"/>
      <c r="BO789" s="912"/>
    </row>
    <row r="790" spans="2:70" ht="12">
      <c r="B790" s="222"/>
      <c r="C790" s="1541" t="s">
        <v>3718</v>
      </c>
      <c r="D790" s="1603" t="s">
        <v>3723</v>
      </c>
      <c r="E790" s="1604" t="s">
        <v>501</v>
      </c>
      <c r="F790" s="1605">
        <f>868/1.21/2.4/1.2</f>
        <v>249.08172635445365</v>
      </c>
      <c r="G790" s="203">
        <f>+SUMIF('AUX-NIV1'!I:I,Recursos!C790,'AUX-NIV1'!Q:Q)+SUMIF('AUX-NIV2'!I:I,Recursos!C790,'AUX-NIV2'!Q:Q)+SUMIF('AUX-NIV3'!I:I,Recursos!C790,'AUX-NIV3'!Q:Q)</f>
        <v>0</v>
      </c>
      <c r="H790" s="204">
        <f t="shared" si="49"/>
        <v>0</v>
      </c>
      <c r="I790" s="366">
        <f t="shared" si="51"/>
        <v>0</v>
      </c>
      <c r="J790" s="1349"/>
      <c r="L790" s="1610">
        <f t="shared" ref="L790:L797" si="52">H790/$H$76</f>
        <v>0</v>
      </c>
      <c r="M790" s="83"/>
      <c r="N790" s="83"/>
      <c r="O790" s="83"/>
      <c r="P790" s="83"/>
      <c r="Q790" s="83"/>
      <c r="R790" s="83"/>
      <c r="S790" s="83"/>
      <c r="T790" s="83"/>
      <c r="U790" s="83"/>
      <c r="V790" s="83"/>
      <c r="W790" s="83"/>
      <c r="BO790" s="912"/>
    </row>
    <row r="791" spans="2:70" ht="12.6" thickBot="1">
      <c r="B791" s="222"/>
      <c r="C791" s="1541" t="s">
        <v>4657</v>
      </c>
      <c r="D791" s="1603" t="s">
        <v>4658</v>
      </c>
      <c r="E791" s="1604" t="s">
        <v>501</v>
      </c>
      <c r="F791" s="1605">
        <f>1380/1.21/2.4/1.2</f>
        <v>396.00550964187329</v>
      </c>
      <c r="G791" s="203">
        <f>+SUMIF('AUX-NIV1'!I:I,Recursos!C791,'AUX-NIV1'!Q:Q)+SUMIF('AUX-NIV2'!I:I,Recursos!C791,'AUX-NIV2'!Q:Q)+SUMIF('AUX-NIV3'!I:I,Recursos!C791,'AUX-NIV3'!Q:Q)</f>
        <v>0</v>
      </c>
      <c r="H791" s="204">
        <f t="shared" ref="H791" si="53">+F791*G791</f>
        <v>0</v>
      </c>
      <c r="I791" s="366">
        <f t="shared" ref="I791" si="54">+H791/$I$3</f>
        <v>0</v>
      </c>
      <c r="J791" s="1349"/>
      <c r="L791" s="1610">
        <f t="shared" ref="L791" si="55">H791/$H$76</f>
        <v>0</v>
      </c>
      <c r="M791" s="83"/>
      <c r="N791" s="83"/>
      <c r="O791" s="83"/>
      <c r="P791" s="83"/>
      <c r="Q791" s="83"/>
      <c r="R791" s="83"/>
      <c r="S791" s="83"/>
      <c r="T791" s="83"/>
      <c r="U791" s="83"/>
      <c r="V791" s="83"/>
      <c r="W791" s="83"/>
      <c r="BO791" s="912"/>
    </row>
    <row r="792" spans="2:70" ht="12.6" thickBot="1">
      <c r="B792" s="222"/>
      <c r="C792" s="1541" t="s">
        <v>4519</v>
      </c>
      <c r="D792" s="1603" t="s">
        <v>4520</v>
      </c>
      <c r="E792" s="1604" t="s">
        <v>501</v>
      </c>
      <c r="F792" s="1609">
        <f>995/1.2/2.4</f>
        <v>345.48611111111114</v>
      </c>
      <c r="G792" s="203">
        <f>+SUMIF('AUX-NIV1'!I:I,Recursos!C792,'AUX-NIV1'!Q:Q)+SUMIF('AUX-NIV2'!I:I,Recursos!C792,'AUX-NIV2'!Q:Q)+SUMIF('AUX-NIV3'!I:I,Recursos!C792,'AUX-NIV3'!Q:Q)</f>
        <v>0</v>
      </c>
      <c r="H792" s="204">
        <f t="shared" si="49"/>
        <v>0</v>
      </c>
      <c r="I792" s="366">
        <f t="shared" ref="I792" si="56">+H792/$I$3</f>
        <v>0</v>
      </c>
      <c r="J792" s="1349"/>
      <c r="L792" s="1610">
        <f t="shared" ref="L792" si="57">H792/$H$76</f>
        <v>0</v>
      </c>
      <c r="M792" s="83"/>
      <c r="N792" s="83"/>
      <c r="O792" s="83"/>
      <c r="P792" s="83"/>
      <c r="Q792" s="83"/>
      <c r="R792" s="83"/>
      <c r="S792" s="83"/>
      <c r="T792" s="83"/>
      <c r="U792" s="83"/>
      <c r="V792" s="83"/>
      <c r="W792" s="83"/>
      <c r="BN792" s="1658" t="s">
        <v>370</v>
      </c>
      <c r="BO792" s="1659" t="s">
        <v>4523</v>
      </c>
      <c r="BP792" s="1660" t="s">
        <v>1324</v>
      </c>
      <c r="BQ792" s="1661" t="s">
        <v>4524</v>
      </c>
      <c r="BR792" s="1661" t="s">
        <v>4525</v>
      </c>
    </row>
    <row r="793" spans="2:70" ht="12.6" thickBot="1">
      <c r="B793" s="222"/>
      <c r="C793" s="1541" t="s">
        <v>4521</v>
      </c>
      <c r="D793" s="1603" t="s">
        <v>4522</v>
      </c>
      <c r="E793" s="1604" t="s">
        <v>501</v>
      </c>
      <c r="F793" s="1609">
        <f>1800/1.2/2.4</f>
        <v>625</v>
      </c>
      <c r="G793" s="203">
        <f>+SUMIF('AUX-NIV1'!I:I,Recursos!C793,'AUX-NIV1'!Q:Q)+SUMIF('AUX-NIV2'!I:I,Recursos!C793,'AUX-NIV2'!Q:Q)+SUMIF('AUX-NIV3'!I:I,Recursos!C793,'AUX-NIV3'!Q:Q)</f>
        <v>0</v>
      </c>
      <c r="H793" s="204">
        <f t="shared" si="49"/>
        <v>0</v>
      </c>
      <c r="I793" s="366">
        <f t="shared" ref="I793" si="58">+H793/$I$3</f>
        <v>0</v>
      </c>
      <c r="J793" s="1349"/>
      <c r="L793" s="1610">
        <f t="shared" ref="L793" si="59">H793/$H$76</f>
        <v>0</v>
      </c>
      <c r="M793" s="83"/>
      <c r="N793" s="83"/>
      <c r="O793" s="83"/>
      <c r="P793" s="83"/>
      <c r="Q793" s="83"/>
      <c r="R793" s="83"/>
      <c r="S793" s="83"/>
      <c r="T793" s="83"/>
      <c r="U793" s="83"/>
      <c r="V793" s="83"/>
      <c r="W793" s="83"/>
      <c r="BN793" s="1662" t="s">
        <v>1913</v>
      </c>
      <c r="BO793" s="1663" t="s">
        <v>501</v>
      </c>
      <c r="BP793" s="1664">
        <v>359.1</v>
      </c>
      <c r="BQ793" s="1665" t="s">
        <v>4526</v>
      </c>
      <c r="BR793" s="1665" t="s">
        <v>4527</v>
      </c>
    </row>
    <row r="794" spans="2:70" ht="23.4" thickBot="1">
      <c r="B794" s="222"/>
      <c r="C794" s="1541" t="s">
        <v>3719</v>
      </c>
      <c r="D794" s="1603" t="s">
        <v>4388</v>
      </c>
      <c r="E794" s="1604" t="s">
        <v>477</v>
      </c>
      <c r="F794" s="1609">
        <f>450/2.6</f>
        <v>173.07692307692307</v>
      </c>
      <c r="G794" s="203">
        <f>+SUMIF('AUX-NIV1'!I:I,Recursos!C794,'AUX-NIV1'!Q:Q)+SUMIF('AUX-NIV2'!I:I,Recursos!C794,'AUX-NIV2'!Q:Q)+SUMIF('AUX-NIV3'!I:I,Recursos!C794,'AUX-NIV3'!Q:Q)</f>
        <v>0</v>
      </c>
      <c r="H794" s="204">
        <f t="shared" si="49"/>
        <v>0</v>
      </c>
      <c r="I794" s="366">
        <f t="shared" si="50"/>
        <v>0</v>
      </c>
      <c r="J794" s="1349"/>
      <c r="L794" s="1610">
        <f t="shared" si="52"/>
        <v>0</v>
      </c>
      <c r="M794" s="83"/>
      <c r="N794" s="83"/>
      <c r="O794" s="83"/>
      <c r="P794" s="83"/>
      <c r="Q794" s="83"/>
      <c r="R794" s="83"/>
      <c r="S794" s="83"/>
      <c r="T794" s="83"/>
      <c r="U794" s="83"/>
      <c r="V794" s="83"/>
      <c r="W794" s="83"/>
      <c r="BN794" s="1662" t="s">
        <v>3216</v>
      </c>
      <c r="BO794" s="1663" t="s">
        <v>1160</v>
      </c>
      <c r="BP794" s="1664">
        <v>28.18</v>
      </c>
      <c r="BQ794" s="1665" t="s">
        <v>4528</v>
      </c>
      <c r="BR794" s="1665" t="s">
        <v>4529</v>
      </c>
    </row>
    <row r="795" spans="2:70" ht="23.4" thickBot="1">
      <c r="B795" s="222"/>
      <c r="C795" s="1541" t="s">
        <v>3720</v>
      </c>
      <c r="D795" s="1603" t="s">
        <v>2089</v>
      </c>
      <c r="E795" s="1604" t="s">
        <v>371</v>
      </c>
      <c r="F795" s="1609">
        <v>5</v>
      </c>
      <c r="G795" s="203">
        <f>+SUMIF('AUX-NIV1'!I:I,Recursos!C795,'AUX-NIV1'!Q:Q)+SUMIF('AUX-NIV2'!I:I,Recursos!C795,'AUX-NIV2'!Q:Q)+SUMIF('AUX-NIV3'!I:I,Recursos!C795,'AUX-NIV3'!Q:Q)</f>
        <v>0</v>
      </c>
      <c r="H795" s="204">
        <f t="shared" si="49"/>
        <v>0</v>
      </c>
      <c r="I795" s="366">
        <f t="shared" si="50"/>
        <v>0</v>
      </c>
      <c r="J795" s="1349"/>
      <c r="L795" s="1610">
        <f t="shared" si="52"/>
        <v>0</v>
      </c>
      <c r="M795" s="83"/>
      <c r="N795" s="83"/>
      <c r="O795" s="83"/>
      <c r="P795" s="83"/>
      <c r="Q795" s="83"/>
      <c r="R795" s="83"/>
      <c r="S795" s="83"/>
      <c r="T795" s="83"/>
      <c r="U795" s="83"/>
      <c r="V795" s="83"/>
      <c r="W795" s="83"/>
      <c r="BN795" s="1662" t="s">
        <v>3723</v>
      </c>
      <c r="BO795" s="1663" t="s">
        <v>501</v>
      </c>
      <c r="BP795" s="1664">
        <v>2644</v>
      </c>
      <c r="BQ795" s="1665" t="s">
        <v>4530</v>
      </c>
      <c r="BR795" s="1665" t="s">
        <v>4531</v>
      </c>
    </row>
    <row r="796" spans="2:70" ht="34.799999999999997" thickBot="1">
      <c r="B796" s="222"/>
      <c r="C796" s="1541" t="s">
        <v>3721</v>
      </c>
      <c r="D796" s="1603" t="s">
        <v>3724</v>
      </c>
      <c r="E796" s="1604" t="s">
        <v>371</v>
      </c>
      <c r="F796" s="1609">
        <v>600</v>
      </c>
      <c r="G796" s="203">
        <f>+SUMIF('AUX-NIV1'!I:I,Recursos!C796,'AUX-NIV1'!Q:Q)+SUMIF('AUX-NIV2'!I:I,Recursos!C796,'AUX-NIV2'!Q:Q)+SUMIF('AUX-NIV3'!I:I,Recursos!C796,'AUX-NIV3'!Q:Q)</f>
        <v>0</v>
      </c>
      <c r="H796" s="204">
        <f t="shared" si="49"/>
        <v>0</v>
      </c>
      <c r="I796" s="366">
        <f t="shared" si="50"/>
        <v>0</v>
      </c>
      <c r="J796" s="1349"/>
      <c r="L796" s="1610">
        <f t="shared" si="52"/>
        <v>0</v>
      </c>
      <c r="M796" s="83"/>
      <c r="N796" s="83"/>
      <c r="O796" s="83"/>
      <c r="P796" s="83"/>
      <c r="Q796" s="83"/>
      <c r="R796" s="83"/>
      <c r="S796" s="83"/>
      <c r="T796" s="83"/>
      <c r="U796" s="83"/>
      <c r="V796" s="83"/>
      <c r="W796" s="83"/>
      <c r="BN796" s="1662" t="s">
        <v>4388</v>
      </c>
      <c r="BO796" s="1663" t="s">
        <v>477</v>
      </c>
      <c r="BP796" s="1664">
        <v>5289</v>
      </c>
      <c r="BQ796" s="1665" t="s">
        <v>4532</v>
      </c>
      <c r="BR796" s="1665" t="s">
        <v>4533</v>
      </c>
    </row>
    <row r="797" spans="2:70" ht="12.6" thickBot="1">
      <c r="B797" s="222"/>
      <c r="C797" s="1541" t="s">
        <v>3722</v>
      </c>
      <c r="D797" s="1603" t="s">
        <v>3729</v>
      </c>
      <c r="E797" s="1604" t="s">
        <v>501</v>
      </c>
      <c r="F797" s="1609">
        <v>260.33</v>
      </c>
      <c r="G797" s="203">
        <f>+SUMIF('AUX-NIV1'!I:I,Recursos!C797,'AUX-NIV1'!Q:Q)+SUMIF('AUX-NIV2'!I:I,Recursos!C797,'AUX-NIV2'!Q:Q)+SUMIF('AUX-NIV3'!I:I,Recursos!C797,'AUX-NIV3'!Q:Q)</f>
        <v>0</v>
      </c>
      <c r="H797" s="204">
        <f t="shared" si="49"/>
        <v>0</v>
      </c>
      <c r="I797" s="366">
        <f t="shared" si="50"/>
        <v>0</v>
      </c>
      <c r="J797" s="1349"/>
      <c r="L797" s="1610">
        <f t="shared" si="52"/>
        <v>0</v>
      </c>
      <c r="M797" s="83"/>
      <c r="N797" s="83"/>
      <c r="O797" s="83"/>
      <c r="P797" s="83"/>
      <c r="Q797" s="83"/>
      <c r="R797" s="83"/>
      <c r="S797" s="83"/>
      <c r="T797" s="83"/>
      <c r="U797" s="83"/>
      <c r="V797" s="83"/>
      <c r="W797" s="83"/>
      <c r="BN797" s="1662" t="s">
        <v>4534</v>
      </c>
      <c r="BO797" s="1663" t="s">
        <v>501</v>
      </c>
      <c r="BP797" s="1664">
        <v>1202</v>
      </c>
      <c r="BQ797" s="1665" t="s">
        <v>4535</v>
      </c>
      <c r="BR797" s="1665" t="s">
        <v>4536</v>
      </c>
    </row>
    <row r="798" spans="2:70" ht="23.4" thickBot="1">
      <c r="B798" s="222"/>
      <c r="C798" s="952" t="s">
        <v>3739</v>
      </c>
      <c r="D798" s="1346" t="s">
        <v>3740</v>
      </c>
      <c r="E798" s="1347" t="s">
        <v>3292</v>
      </c>
      <c r="F798" s="1609">
        <f>8677/1.21/200</f>
        <v>35.855371900826448</v>
      </c>
      <c r="G798" s="203">
        <f>+SUMIF('AUX-NIV1'!I:I,Recursos!C798,'AUX-NIV1'!Q:Q)+SUMIF('AUX-NIV2'!I:I,Recursos!C798,'AUX-NIV2'!Q:Q)+SUMIF('AUX-NIV3'!I:I,Recursos!C798,'AUX-NIV3'!Q:Q)</f>
        <v>0</v>
      </c>
      <c r="H798" s="204">
        <f t="shared" si="49"/>
        <v>0</v>
      </c>
      <c r="I798" s="366">
        <f t="shared" si="50"/>
        <v>0</v>
      </c>
      <c r="J798" s="1349"/>
      <c r="L798" s="1610"/>
      <c r="M798" s="83"/>
      <c r="N798" s="83"/>
      <c r="O798" s="83"/>
      <c r="P798" s="83"/>
      <c r="Q798" s="83"/>
      <c r="R798" s="83"/>
      <c r="S798" s="83"/>
      <c r="T798" s="83"/>
      <c r="U798" s="83"/>
      <c r="V798" s="83"/>
      <c r="W798" s="83"/>
      <c r="BN798" s="1662" t="s">
        <v>3780</v>
      </c>
      <c r="BO798" s="1663" t="s">
        <v>501</v>
      </c>
      <c r="BP798" s="1664">
        <v>784</v>
      </c>
      <c r="BQ798" s="1665" t="s">
        <v>4537</v>
      </c>
      <c r="BR798" s="1665" t="s">
        <v>4538</v>
      </c>
    </row>
    <row r="799" spans="2:70" ht="12" thickBot="1">
      <c r="B799" s="222"/>
      <c r="C799" s="952" t="s">
        <v>3756</v>
      </c>
      <c r="D799" s="1346" t="s">
        <v>3757</v>
      </c>
      <c r="E799" s="1347" t="s">
        <v>477</v>
      </c>
      <c r="F799" s="1348">
        <f>1245/1.21/2.05</f>
        <v>501.91493650473694</v>
      </c>
      <c r="G799" s="203">
        <f>+SUMIF('AUX-NIV1'!I:I,Recursos!C799,'AUX-NIV1'!Q:Q)+SUMIF('AUX-NIV2'!I:I,Recursos!C799,'AUX-NIV2'!Q:Q)+SUMIF('AUX-NIV3'!I:I,Recursos!C799,'AUX-NIV3'!Q:Q)</f>
        <v>0</v>
      </c>
      <c r="H799" s="204">
        <f t="shared" si="49"/>
        <v>0</v>
      </c>
      <c r="I799" s="366">
        <f t="shared" si="50"/>
        <v>0</v>
      </c>
      <c r="J799" s="1349"/>
      <c r="L799" s="1610"/>
      <c r="M799" s="83"/>
      <c r="N799" s="83"/>
      <c r="O799" s="83"/>
      <c r="P799" s="83"/>
      <c r="Q799" s="83"/>
      <c r="R799" s="83"/>
      <c r="S799" s="83"/>
      <c r="T799" s="83"/>
      <c r="U799" s="83"/>
      <c r="V799" s="83"/>
      <c r="W799" s="83"/>
      <c r="BN799" s="1662" t="s">
        <v>4301</v>
      </c>
      <c r="BO799" s="1663" t="s">
        <v>477</v>
      </c>
      <c r="BP799" s="1664">
        <v>587</v>
      </c>
      <c r="BQ799" s="1665" t="s">
        <v>4539</v>
      </c>
      <c r="BR799" s="1665" t="s">
        <v>4540</v>
      </c>
    </row>
    <row r="800" spans="2:70" ht="12" thickBot="1">
      <c r="B800" s="222"/>
      <c r="C800" s="952" t="s">
        <v>3774</v>
      </c>
      <c r="D800" s="1346" t="s">
        <v>3775</v>
      </c>
      <c r="E800" s="1347" t="s">
        <v>450</v>
      </c>
      <c r="F800" s="551">
        <v>57</v>
      </c>
      <c r="G800" s="203">
        <f>+SUMIF('AUX-NIV1'!I:I,Recursos!C800,'AUX-NIV1'!Q:Q)+SUMIF('AUX-NIV2'!I:I,Recursos!C800,'AUX-NIV2'!Q:Q)+SUMIF('AUX-NIV3'!I:I,Recursos!C800,'AUX-NIV3'!Q:Q)</f>
        <v>0</v>
      </c>
      <c r="H800" s="204">
        <f t="shared" si="49"/>
        <v>0</v>
      </c>
      <c r="I800" s="366">
        <f t="shared" si="50"/>
        <v>0</v>
      </c>
      <c r="J800" s="205"/>
      <c r="L800" s="1610"/>
      <c r="M800" s="83"/>
      <c r="N800" s="83"/>
      <c r="O800" s="83"/>
      <c r="P800" s="83"/>
      <c r="Q800" s="83"/>
      <c r="R800" s="83"/>
      <c r="S800" s="83"/>
      <c r="T800" s="83"/>
      <c r="U800" s="83"/>
      <c r="V800" s="83"/>
      <c r="W800" s="83"/>
      <c r="BN800" s="1662" t="s">
        <v>4541</v>
      </c>
      <c r="BO800" s="1663" t="s">
        <v>444</v>
      </c>
      <c r="BP800" s="1664">
        <v>460</v>
      </c>
      <c r="BQ800" s="1665" t="s">
        <v>4542</v>
      </c>
      <c r="BR800" s="1665" t="s">
        <v>4543</v>
      </c>
    </row>
    <row r="801" spans="2:69" ht="12">
      <c r="B801" s="222"/>
      <c r="C801" s="1541" t="s">
        <v>3776</v>
      </c>
      <c r="D801" s="1536" t="s">
        <v>3780</v>
      </c>
      <c r="E801" s="1537" t="s">
        <v>501</v>
      </c>
      <c r="F801" s="1538">
        <v>235.31</v>
      </c>
      <c r="G801" s="203">
        <f>+SUMIF('AUX-NIV1'!I:I,Recursos!C801,'AUX-NIV1'!Q:Q)+SUMIF('AUX-NIV2'!I:I,Recursos!C801,'AUX-NIV2'!Q:Q)+SUMIF('AUX-NIV3'!I:I,Recursos!C801,'AUX-NIV3'!Q:Q)</f>
        <v>0</v>
      </c>
      <c r="H801" s="204">
        <f t="shared" si="49"/>
        <v>0</v>
      </c>
      <c r="I801" s="366">
        <f t="shared" si="46"/>
        <v>0</v>
      </c>
      <c r="J801" s="205"/>
      <c r="L801" s="1610">
        <f t="shared" ref="L801:L808" si="60">H801/$H$76</f>
        <v>0</v>
      </c>
      <c r="M801" s="83"/>
      <c r="N801" s="83"/>
      <c r="O801" s="83"/>
      <c r="P801" s="83"/>
      <c r="Q801" s="83"/>
      <c r="R801" s="83"/>
      <c r="S801" s="83"/>
      <c r="T801" s="83"/>
      <c r="U801" s="83"/>
      <c r="V801" s="83"/>
      <c r="W801" s="83"/>
      <c r="BO801" s="912"/>
    </row>
    <row r="802" spans="2:69" ht="12">
      <c r="B802" s="222"/>
      <c r="C802" s="1541" t="s">
        <v>3778</v>
      </c>
      <c r="D802" s="1603" t="s">
        <v>3779</v>
      </c>
      <c r="E802" s="1604" t="s">
        <v>501</v>
      </c>
      <c r="F802" s="1605">
        <f>2300/1.2/2.4</f>
        <v>798.6111111111112</v>
      </c>
      <c r="G802" s="203">
        <f>+SUMIF('AUX-NIV1'!I:I,Recursos!C802,'AUX-NIV1'!Q:Q)+SUMIF('AUX-NIV2'!I:I,Recursos!C802,'AUX-NIV2'!Q:Q)+SUMIF('AUX-NIV3'!I:I,Recursos!C802,'AUX-NIV3'!Q:Q)</f>
        <v>0</v>
      </c>
      <c r="H802" s="204">
        <f t="shared" si="49"/>
        <v>0</v>
      </c>
      <c r="I802" s="366">
        <f t="shared" ref="I802:I817" si="61">+H802/$I$3</f>
        <v>0</v>
      </c>
      <c r="J802" s="1349"/>
      <c r="L802" s="1610">
        <f t="shared" si="60"/>
        <v>0</v>
      </c>
      <c r="M802" s="83"/>
      <c r="N802" s="83"/>
      <c r="O802" s="83"/>
      <c r="P802" s="83"/>
      <c r="Q802" s="83"/>
      <c r="R802" s="83"/>
      <c r="S802" s="83"/>
      <c r="T802" s="83"/>
      <c r="U802" s="83"/>
      <c r="V802" s="83"/>
      <c r="W802" s="83"/>
      <c r="BO802" s="912"/>
    </row>
    <row r="803" spans="2:69" ht="12">
      <c r="B803" s="222"/>
      <c r="C803" s="1541" t="s">
        <v>4660</v>
      </c>
      <c r="D803" s="1603" t="s">
        <v>4661</v>
      </c>
      <c r="E803" s="1604" t="s">
        <v>501</v>
      </c>
      <c r="F803" s="1691">
        <f>2656/1.2/2.4</f>
        <v>922.22222222222229</v>
      </c>
      <c r="G803" s="203">
        <f>+SUMIF('AUX-NIV1'!I:I,Recursos!C803,'AUX-NIV1'!Q:Q)+SUMIF('AUX-NIV2'!I:I,Recursos!C803,'AUX-NIV2'!Q:Q)+SUMIF('AUX-NIV3'!I:I,Recursos!C803,'AUX-NIV3'!Q:Q)</f>
        <v>0</v>
      </c>
      <c r="H803" s="204">
        <f t="shared" ref="H803" si="62">+F803*G803</f>
        <v>0</v>
      </c>
      <c r="I803" s="366">
        <f t="shared" ref="I803" si="63">+H803/$I$3</f>
        <v>0</v>
      </c>
      <c r="J803" s="1349"/>
      <c r="L803" s="1610">
        <f t="shared" ref="L803" si="64">H803/$H$76</f>
        <v>0</v>
      </c>
      <c r="M803" s="83"/>
      <c r="N803" s="83"/>
      <c r="O803" s="83"/>
      <c r="P803" s="83"/>
      <c r="Q803" s="83"/>
      <c r="R803" s="83"/>
      <c r="S803" s="83"/>
      <c r="T803" s="83"/>
      <c r="U803" s="83"/>
      <c r="V803" s="83"/>
      <c r="W803" s="83"/>
      <c r="BO803" s="912"/>
    </row>
    <row r="804" spans="2:69" ht="12">
      <c r="B804" s="222"/>
      <c r="C804" s="1541" t="s">
        <v>3781</v>
      </c>
      <c r="D804" s="1603" t="s">
        <v>3782</v>
      </c>
      <c r="E804" s="1604" t="s">
        <v>371</v>
      </c>
      <c r="F804" s="1605">
        <v>475</v>
      </c>
      <c r="G804" s="203">
        <f>+SUMIF('AUX-NIV1'!I:I,Recursos!C804,'AUX-NIV1'!Q:Q)+SUMIF('AUX-NIV2'!I:I,Recursos!C804,'AUX-NIV2'!Q:Q)+SUMIF('AUX-NIV3'!I:I,Recursos!C804,'AUX-NIV3'!Q:Q)</f>
        <v>0</v>
      </c>
      <c r="H804" s="204">
        <f t="shared" si="49"/>
        <v>0</v>
      </c>
      <c r="I804" s="366">
        <f t="shared" si="61"/>
        <v>0</v>
      </c>
      <c r="J804" s="1349"/>
      <c r="L804" s="1610">
        <f t="shared" si="60"/>
        <v>0</v>
      </c>
      <c r="M804" s="83"/>
      <c r="N804" s="83"/>
      <c r="O804" s="83"/>
      <c r="P804" s="83"/>
      <c r="Q804" s="83"/>
      <c r="R804" s="83"/>
      <c r="S804" s="83"/>
      <c r="T804" s="83"/>
      <c r="U804" s="83"/>
      <c r="V804" s="83"/>
      <c r="W804" s="83"/>
      <c r="BO804" s="912"/>
    </row>
    <row r="805" spans="2:69" ht="12">
      <c r="B805" s="222"/>
      <c r="C805" s="1541" t="s">
        <v>3784</v>
      </c>
      <c r="D805" s="1603" t="s">
        <v>4518</v>
      </c>
      <c r="E805" s="1604" t="s">
        <v>501</v>
      </c>
      <c r="F805" s="1605">
        <f>236/1.21/0.6/0.6</f>
        <v>541.78145087235998</v>
      </c>
      <c r="G805" s="203">
        <f>+SUMIF('AUX-NIV1'!I:I,Recursos!C805,'AUX-NIV1'!Q:Q)+SUMIF('AUX-NIV2'!I:I,Recursos!C805,'AUX-NIV2'!Q:Q)+SUMIF('AUX-NIV3'!I:I,Recursos!C805,'AUX-NIV3'!Q:Q)</f>
        <v>0</v>
      </c>
      <c r="H805" s="204">
        <f t="shared" si="49"/>
        <v>0</v>
      </c>
      <c r="I805" s="366">
        <f t="shared" si="61"/>
        <v>0</v>
      </c>
      <c r="J805" s="1349"/>
      <c r="L805" s="1610">
        <f t="shared" si="60"/>
        <v>0</v>
      </c>
      <c r="M805" s="83"/>
      <c r="N805" s="83"/>
      <c r="O805" s="83"/>
      <c r="P805" s="83"/>
      <c r="Q805" s="83"/>
      <c r="R805" s="83"/>
      <c r="S805" s="83"/>
      <c r="T805" s="83"/>
      <c r="U805" s="83"/>
      <c r="V805" s="83"/>
      <c r="W805" s="83"/>
      <c r="BO805" s="912"/>
    </row>
    <row r="806" spans="2:69" ht="12">
      <c r="B806" s="222"/>
      <c r="C806" s="1541" t="s">
        <v>3785</v>
      </c>
      <c r="D806" s="1603" t="s">
        <v>3787</v>
      </c>
      <c r="E806" s="1604" t="s">
        <v>477</v>
      </c>
      <c r="F806" s="1605">
        <f>439/3.66</f>
        <v>119.94535519125682</v>
      </c>
      <c r="G806" s="203">
        <f>+SUMIF('AUX-NIV1'!I:I,Recursos!C806,'AUX-NIV1'!Q:Q)+SUMIF('AUX-NIV2'!I:I,Recursos!C806,'AUX-NIV2'!Q:Q)+SUMIF('AUX-NIV3'!I:I,Recursos!C806,'AUX-NIV3'!Q:Q)</f>
        <v>0</v>
      </c>
      <c r="H806" s="204">
        <f t="shared" si="49"/>
        <v>0</v>
      </c>
      <c r="I806" s="366">
        <f t="shared" si="61"/>
        <v>0</v>
      </c>
      <c r="J806" s="1349"/>
      <c r="L806" s="1610">
        <f t="shared" si="60"/>
        <v>0</v>
      </c>
      <c r="M806" s="83"/>
      <c r="N806" s="83"/>
      <c r="O806" s="83"/>
      <c r="P806" s="83"/>
      <c r="Q806" s="83"/>
      <c r="R806" s="83"/>
      <c r="S806" s="83"/>
      <c r="T806" s="83"/>
      <c r="U806" s="83"/>
      <c r="V806" s="83"/>
      <c r="W806" s="83"/>
      <c r="BO806" s="912"/>
    </row>
    <row r="807" spans="2:69" ht="12">
      <c r="B807" s="222"/>
      <c r="C807" s="1541" t="s">
        <v>3786</v>
      </c>
      <c r="D807" s="1603" t="s">
        <v>3788</v>
      </c>
      <c r="E807" s="1604" t="s">
        <v>477</v>
      </c>
      <c r="F807" s="1605">
        <f>180/3</f>
        <v>60</v>
      </c>
      <c r="G807" s="203">
        <f>+SUMIF('AUX-NIV1'!I:I,Recursos!C807,'AUX-NIV1'!Q:Q)+SUMIF('AUX-NIV2'!I:I,Recursos!C807,'AUX-NIV2'!Q:Q)+SUMIF('AUX-NIV3'!I:I,Recursos!C807,'AUX-NIV3'!Q:Q)</f>
        <v>0</v>
      </c>
      <c r="H807" s="204">
        <f t="shared" si="49"/>
        <v>0</v>
      </c>
      <c r="I807" s="366">
        <f t="shared" si="61"/>
        <v>0</v>
      </c>
      <c r="J807" s="1349"/>
      <c r="L807" s="1610">
        <f t="shared" si="60"/>
        <v>0</v>
      </c>
      <c r="M807" s="83"/>
      <c r="N807" s="83"/>
      <c r="O807" s="83"/>
      <c r="P807" s="83"/>
      <c r="Q807" s="83"/>
      <c r="R807" s="83"/>
      <c r="S807" s="83"/>
      <c r="T807" s="83"/>
      <c r="U807" s="83"/>
      <c r="V807" s="83"/>
      <c r="W807" s="83"/>
      <c r="BO807" s="912"/>
      <c r="BQ807" s="83">
        <f>7000/1.21/16/1.25</f>
        <v>289.25619834710744</v>
      </c>
    </row>
    <row r="808" spans="2:69" ht="12">
      <c r="B808" s="222"/>
      <c r="C808" s="1541" t="s">
        <v>3789</v>
      </c>
      <c r="D808" s="1603" t="s">
        <v>3790</v>
      </c>
      <c r="E808" s="1604" t="s">
        <v>501</v>
      </c>
      <c r="F808" s="1605">
        <f>1410/1.21</f>
        <v>1165.2892561983472</v>
      </c>
      <c r="G808" s="203">
        <f>+SUMIF('AUX-NIV1'!I:I,Recursos!C808,'AUX-NIV1'!Q:Q)+SUMIF('AUX-NIV2'!I:I,Recursos!C808,'AUX-NIV2'!Q:Q)+SUMIF('AUX-NIV3'!I:I,Recursos!C808,'AUX-NIV3'!Q:Q)</f>
        <v>0</v>
      </c>
      <c r="H808" s="204">
        <f t="shared" si="49"/>
        <v>0</v>
      </c>
      <c r="I808" s="366">
        <f t="shared" si="61"/>
        <v>0</v>
      </c>
      <c r="J808" s="1349"/>
      <c r="L808" s="1610">
        <f t="shared" si="60"/>
        <v>0</v>
      </c>
      <c r="M808" s="83"/>
      <c r="N808" s="83"/>
      <c r="O808" s="83"/>
      <c r="P808" s="83"/>
      <c r="Q808" s="83"/>
      <c r="R808" s="83"/>
      <c r="S808" s="83"/>
      <c r="T808" s="83"/>
      <c r="U808" s="83"/>
      <c r="V808" s="83"/>
      <c r="W808" s="83"/>
      <c r="BO808" s="912"/>
    </row>
    <row r="809" spans="2:69" ht="12">
      <c r="B809" s="222"/>
      <c r="C809" s="1541" t="s">
        <v>3795</v>
      </c>
      <c r="D809" s="1603" t="s">
        <v>3804</v>
      </c>
      <c r="E809" s="1604" t="s">
        <v>501</v>
      </c>
      <c r="F809" s="1605">
        <f>1500</f>
        <v>1500</v>
      </c>
      <c r="G809" s="203">
        <f>+SUMIF('AUX-NIV1'!I:I,Recursos!C809,'AUX-NIV1'!Q:Q)+SUMIF('AUX-NIV2'!I:I,Recursos!C809,'AUX-NIV2'!Q:Q)+SUMIF('AUX-NIV3'!I:I,Recursos!C809,'AUX-NIV3'!Q:Q)</f>
        <v>0</v>
      </c>
      <c r="H809" s="204">
        <f t="shared" si="49"/>
        <v>0</v>
      </c>
      <c r="I809" s="366">
        <f t="shared" si="61"/>
        <v>0</v>
      </c>
      <c r="J809" s="1349"/>
      <c r="L809" s="1610">
        <f>H809/$H$76</f>
        <v>0</v>
      </c>
      <c r="M809" s="83"/>
      <c r="N809" s="83"/>
      <c r="O809" s="83"/>
      <c r="P809" s="83"/>
      <c r="Q809" s="83"/>
      <c r="R809" s="83"/>
      <c r="S809" s="83"/>
      <c r="T809" s="83"/>
      <c r="U809" s="83"/>
      <c r="V809" s="83"/>
      <c r="W809" s="83"/>
      <c r="BO809" s="912"/>
    </row>
    <row r="810" spans="2:69">
      <c r="B810" s="222"/>
      <c r="C810" s="952" t="s">
        <v>3796</v>
      </c>
      <c r="D810" s="1346" t="s">
        <v>3805</v>
      </c>
      <c r="E810" s="1347" t="s">
        <v>610</v>
      </c>
      <c r="F810" s="1348">
        <f>910/1.21</f>
        <v>752.06611570247935</v>
      </c>
      <c r="G810" s="203">
        <f>+SUMIF('AUX-NIV1'!I:I,Recursos!C810,'AUX-NIV1'!Q:Q)+SUMIF('AUX-NIV2'!I:I,Recursos!C810,'AUX-NIV2'!Q:Q)+SUMIF('AUX-NIV3'!I:I,Recursos!C810,'AUX-NIV3'!Q:Q)</f>
        <v>0</v>
      </c>
      <c r="H810" s="204">
        <f t="shared" si="49"/>
        <v>0</v>
      </c>
      <c r="I810" s="366">
        <f t="shared" si="61"/>
        <v>0</v>
      </c>
      <c r="J810" s="1349"/>
      <c r="L810" s="1610"/>
      <c r="M810" s="83"/>
      <c r="N810" s="83"/>
      <c r="O810" s="83"/>
      <c r="P810" s="83"/>
      <c r="Q810" s="83"/>
      <c r="R810" s="83"/>
      <c r="S810" s="83"/>
      <c r="T810" s="83"/>
      <c r="U810" s="83"/>
      <c r="V810" s="83"/>
      <c r="W810" s="83"/>
      <c r="BO810" s="912"/>
    </row>
    <row r="811" spans="2:69">
      <c r="B811" s="222"/>
      <c r="C811" s="952" t="s">
        <v>4686</v>
      </c>
      <c r="D811" s="1346" t="s">
        <v>4687</v>
      </c>
      <c r="E811" s="1347" t="s">
        <v>610</v>
      </c>
      <c r="F811" s="1348">
        <f>1560/1.21</f>
        <v>1289.2561983471076</v>
      </c>
      <c r="G811" s="203">
        <f>+SUMIF('AUX-NIV1'!I:I,Recursos!C811,'AUX-NIV1'!Q:Q)+SUMIF('AUX-NIV2'!I:I,Recursos!C811,'AUX-NIV2'!Q:Q)+SUMIF('AUX-NIV3'!I:I,Recursos!C811,'AUX-NIV3'!Q:Q)</f>
        <v>0</v>
      </c>
      <c r="H811" s="204">
        <f t="shared" ref="H811" si="65">+F811*G811</f>
        <v>0</v>
      </c>
      <c r="I811" s="366">
        <f t="shared" ref="I811" si="66">+H811/$I$3</f>
        <v>0</v>
      </c>
      <c r="J811" s="1349"/>
      <c r="L811" s="1610"/>
      <c r="M811" s="83"/>
      <c r="N811" s="83"/>
      <c r="O811" s="83"/>
      <c r="P811" s="83"/>
      <c r="Q811" s="83"/>
      <c r="R811" s="83"/>
      <c r="S811" s="83"/>
      <c r="T811" s="83"/>
      <c r="U811" s="83"/>
      <c r="V811" s="83"/>
      <c r="W811" s="83"/>
      <c r="BO811" s="912"/>
    </row>
    <row r="812" spans="2:69" ht="12">
      <c r="B812" s="222"/>
      <c r="C812" s="1541" t="s">
        <v>3797</v>
      </c>
      <c r="D812" s="1603" t="s">
        <v>3812</v>
      </c>
      <c r="E812" s="1604" t="s">
        <v>501</v>
      </c>
      <c r="F812" s="1691">
        <f>900/1.21</f>
        <v>743.80165289256206</v>
      </c>
      <c r="G812" s="203">
        <f>+SUMIF('AUX-NIV1'!I:I,Recursos!C812,'AUX-NIV1'!Q:Q)+SUMIF('AUX-NIV2'!I:I,Recursos!C812,'AUX-NIV2'!Q:Q)+SUMIF('AUX-NIV3'!I:I,Recursos!C812,'AUX-NIV3'!Q:Q)</f>
        <v>0</v>
      </c>
      <c r="H812" s="204">
        <f t="shared" si="49"/>
        <v>0</v>
      </c>
      <c r="I812" s="366">
        <f t="shared" si="61"/>
        <v>0</v>
      </c>
      <c r="J812" s="1349"/>
      <c r="L812" s="1610">
        <f>H812/$H$76</f>
        <v>0</v>
      </c>
      <c r="M812" s="83"/>
      <c r="N812" s="83"/>
      <c r="O812" s="83"/>
      <c r="P812" s="83"/>
      <c r="Q812" s="83"/>
      <c r="R812" s="83"/>
      <c r="S812" s="83"/>
      <c r="T812" s="83"/>
      <c r="U812" s="83"/>
      <c r="V812" s="83"/>
      <c r="W812" s="83"/>
      <c r="BO812" s="912"/>
    </row>
    <row r="813" spans="2:69">
      <c r="B813" s="222"/>
      <c r="C813" s="952" t="s">
        <v>3798</v>
      </c>
      <c r="D813" s="1346" t="s">
        <v>3813</v>
      </c>
      <c r="E813" s="1347" t="s">
        <v>477</v>
      </c>
      <c r="F813" s="1348">
        <f>946/1.21</f>
        <v>781.81818181818187</v>
      </c>
      <c r="G813" s="203">
        <f>+SUMIF('AUX-NIV1'!I:I,Recursos!C813,'AUX-NIV1'!Q:Q)+SUMIF('AUX-NIV2'!I:I,Recursos!C813,'AUX-NIV2'!Q:Q)+SUMIF('AUX-NIV3'!I:I,Recursos!C813,'AUX-NIV3'!Q:Q)</f>
        <v>0</v>
      </c>
      <c r="H813" s="204">
        <f t="shared" si="49"/>
        <v>0</v>
      </c>
      <c r="I813" s="366">
        <f t="shared" si="61"/>
        <v>0</v>
      </c>
      <c r="J813" s="1349"/>
      <c r="L813" s="1610"/>
      <c r="M813" s="83"/>
      <c r="N813" s="83"/>
      <c r="O813" s="83"/>
      <c r="P813" s="83"/>
      <c r="Q813" s="83"/>
      <c r="R813" s="83"/>
      <c r="S813" s="83"/>
      <c r="T813" s="83"/>
      <c r="U813" s="83"/>
      <c r="V813" s="83"/>
      <c r="W813" s="83"/>
      <c r="BO813" s="912"/>
    </row>
    <row r="814" spans="2:69">
      <c r="B814" s="222"/>
      <c r="C814" s="952" t="s">
        <v>3799</v>
      </c>
      <c r="D814" s="1346" t="s">
        <v>3818</v>
      </c>
      <c r="E814" s="1347" t="s">
        <v>450</v>
      </c>
      <c r="F814" s="1348">
        <f>4500/1.21/30</f>
        <v>123.96694214876034</v>
      </c>
      <c r="G814" s="203">
        <f>+SUMIF('AUX-NIV1'!I:I,Recursos!C814,'AUX-NIV1'!Q:Q)+SUMIF('AUX-NIV2'!I:I,Recursos!C814,'AUX-NIV2'!Q:Q)+SUMIF('AUX-NIV3'!I:I,Recursos!C814,'AUX-NIV3'!Q:Q)</f>
        <v>0</v>
      </c>
      <c r="H814" s="204">
        <f t="shared" si="49"/>
        <v>0</v>
      </c>
      <c r="I814" s="366">
        <f t="shared" si="61"/>
        <v>0</v>
      </c>
      <c r="J814" s="1349"/>
      <c r="L814" s="1610"/>
      <c r="M814" s="83"/>
      <c r="N814" s="83"/>
      <c r="O814" s="83"/>
      <c r="P814" s="83"/>
      <c r="Q814" s="83"/>
      <c r="R814" s="83"/>
      <c r="S814" s="83"/>
      <c r="T814" s="83"/>
      <c r="U814" s="83"/>
      <c r="V814" s="83"/>
      <c r="W814" s="83"/>
      <c r="BO814" s="912"/>
    </row>
    <row r="815" spans="2:69">
      <c r="B815" s="222"/>
      <c r="C815" s="952" t="s">
        <v>3800</v>
      </c>
      <c r="D815" s="1346" t="s">
        <v>3821</v>
      </c>
      <c r="E815" s="1347" t="s">
        <v>501</v>
      </c>
      <c r="F815" s="1348">
        <f>1700/1.21</f>
        <v>1404.9586776859505</v>
      </c>
      <c r="G815" s="203">
        <f>+SUMIF('AUX-NIV1'!I:I,Recursos!C815,'AUX-NIV1'!Q:Q)+SUMIF('AUX-NIV2'!I:I,Recursos!C815,'AUX-NIV2'!Q:Q)+SUMIF('AUX-NIV3'!I:I,Recursos!C815,'AUX-NIV3'!Q:Q)</f>
        <v>0</v>
      </c>
      <c r="H815" s="204">
        <f t="shared" si="49"/>
        <v>0</v>
      </c>
      <c r="I815" s="366">
        <f t="shared" si="61"/>
        <v>0</v>
      </c>
      <c r="J815" s="1349"/>
      <c r="L815" s="1610"/>
      <c r="M815" s="83"/>
      <c r="N815" s="83"/>
      <c r="O815" s="83"/>
      <c r="P815" s="83"/>
      <c r="Q815" s="83"/>
      <c r="R815" s="83"/>
      <c r="S815" s="83"/>
      <c r="T815" s="83"/>
      <c r="U815" s="83"/>
      <c r="V815" s="83"/>
      <c r="W815" s="83"/>
      <c r="BO815" s="912"/>
    </row>
    <row r="816" spans="2:69" ht="12">
      <c r="B816" s="222"/>
      <c r="C816" s="1541" t="s">
        <v>3801</v>
      </c>
      <c r="D816" s="1603" t="s">
        <v>3824</v>
      </c>
      <c r="E816" s="1604" t="s">
        <v>477</v>
      </c>
      <c r="F816" s="1605">
        <f>12650/0.3/1.2/1.21</f>
        <v>29040.40404040405</v>
      </c>
      <c r="G816" s="203">
        <f>+SUMIF('AUX-NIV1'!I:I,Recursos!C816,'AUX-NIV1'!Q:Q)+SUMIF('AUX-NIV2'!I:I,Recursos!C816,'AUX-NIV2'!Q:Q)+SUMIF('AUX-NIV3'!I:I,Recursos!C816,'AUX-NIV3'!Q:Q)</f>
        <v>0</v>
      </c>
      <c r="H816" s="204">
        <f t="shared" si="49"/>
        <v>0</v>
      </c>
      <c r="I816" s="366">
        <f t="shared" si="61"/>
        <v>0</v>
      </c>
      <c r="J816" s="1349"/>
      <c r="L816" s="1610">
        <f t="shared" ref="L816" si="67">H816/$H$76</f>
        <v>0</v>
      </c>
      <c r="M816" s="83"/>
      <c r="N816" s="83"/>
      <c r="O816" s="83"/>
      <c r="P816" s="83"/>
      <c r="Q816" s="83"/>
      <c r="R816" s="83"/>
      <c r="S816" s="83"/>
      <c r="T816" s="83"/>
      <c r="U816" s="83"/>
      <c r="V816" s="83"/>
      <c r="W816" s="83"/>
      <c r="BO816" s="912"/>
    </row>
    <row r="817" spans="2:67">
      <c r="B817" s="222"/>
      <c r="C817" s="952" t="s">
        <v>3802</v>
      </c>
      <c r="D817" s="200" t="s">
        <v>3827</v>
      </c>
      <c r="E817" s="201" t="s">
        <v>477</v>
      </c>
      <c r="F817" s="551">
        <f>2200/1.21</f>
        <v>1818.1818181818182</v>
      </c>
      <c r="G817" s="203">
        <f>+SUMIF('AUX-NIV1'!I:I,Recursos!C817,'AUX-NIV1'!Q:Q)+SUMIF('AUX-NIV2'!I:I,Recursos!C817,'AUX-NIV2'!Q:Q)+SUMIF('AUX-NIV3'!I:I,Recursos!C817,'AUX-NIV3'!Q:Q)</f>
        <v>0</v>
      </c>
      <c r="H817" s="204">
        <f t="shared" si="49"/>
        <v>0</v>
      </c>
      <c r="I817" s="366">
        <f t="shared" si="61"/>
        <v>0</v>
      </c>
      <c r="J817" s="205"/>
      <c r="L817" s="1610"/>
      <c r="M817" s="83"/>
      <c r="N817" s="83"/>
      <c r="O817" s="83"/>
      <c r="P817" s="83"/>
      <c r="Q817" s="83"/>
      <c r="R817" s="83"/>
      <c r="S817" s="83"/>
      <c r="T817" s="83"/>
      <c r="U817" s="83"/>
      <c r="V817" s="83"/>
      <c r="W817" s="83"/>
      <c r="BO817" s="912"/>
    </row>
    <row r="818" spans="2:67" ht="12">
      <c r="B818" s="222"/>
      <c r="C818" s="1541" t="s">
        <v>3803</v>
      </c>
      <c r="D818" s="1543" t="s">
        <v>3829</v>
      </c>
      <c r="E818" s="1544" t="s">
        <v>501</v>
      </c>
      <c r="F818" s="1602">
        <f>12650/1.21</f>
        <v>10454.545454545454</v>
      </c>
      <c r="G818" s="203">
        <f>+SUMIF('AUX-NIV1'!I:I,Recursos!C818,'AUX-NIV1'!Q:Q)+SUMIF('AUX-NIV2'!I:I,Recursos!C818,'AUX-NIV2'!Q:Q)+SUMIF('AUX-NIV3'!I:I,Recursos!C818,'AUX-NIV3'!Q:Q)</f>
        <v>0</v>
      </c>
      <c r="H818" s="204">
        <f t="shared" si="49"/>
        <v>0</v>
      </c>
      <c r="I818" s="366">
        <f t="shared" ref="I818:I850" si="68">+H818/$I$3</f>
        <v>0</v>
      </c>
      <c r="J818" s="1418"/>
      <c r="L818" s="1610">
        <f t="shared" ref="L818" si="69">H818/$H$76</f>
        <v>0</v>
      </c>
      <c r="M818" s="83"/>
      <c r="N818" s="83"/>
      <c r="O818" s="83"/>
      <c r="P818" s="83"/>
      <c r="Q818" s="83"/>
      <c r="R818" s="83"/>
      <c r="S818" s="83"/>
      <c r="T818" s="83"/>
      <c r="U818" s="83"/>
      <c r="V818" s="83"/>
      <c r="W818" s="83"/>
      <c r="BO818" s="912"/>
    </row>
    <row r="819" spans="2:67">
      <c r="B819" s="222"/>
      <c r="C819" s="952" t="s">
        <v>3828</v>
      </c>
      <c r="D819" s="1415" t="s">
        <v>3834</v>
      </c>
      <c r="E819" s="1416" t="s">
        <v>3292</v>
      </c>
      <c r="F819" s="1417">
        <f>3057/1.21/18</f>
        <v>140.35812672176309</v>
      </c>
      <c r="G819" s="203">
        <f>+SUMIF('AUX-NIV1'!I:I,Recursos!C819,'AUX-NIV1'!Q:Q)+SUMIF('AUX-NIV2'!I:I,Recursos!C819,'AUX-NIV2'!Q:Q)+SUMIF('AUX-NIV3'!I:I,Recursos!C819,'AUX-NIV3'!Q:Q)</f>
        <v>0</v>
      </c>
      <c r="H819" s="204">
        <f t="shared" si="49"/>
        <v>0</v>
      </c>
      <c r="I819" s="366">
        <f t="shared" si="68"/>
        <v>0</v>
      </c>
      <c r="J819" s="1418"/>
      <c r="L819" s="1610"/>
      <c r="M819" s="83"/>
      <c r="N819" s="83"/>
      <c r="O819" s="83"/>
      <c r="P819" s="83"/>
      <c r="Q819" s="83"/>
      <c r="R819" s="83"/>
      <c r="S819" s="83"/>
      <c r="T819" s="83"/>
      <c r="U819" s="83"/>
      <c r="V819" s="83"/>
      <c r="W819" s="83"/>
      <c r="BO819" s="912"/>
    </row>
    <row r="820" spans="2:67">
      <c r="B820" s="222"/>
      <c r="C820" s="952" t="s">
        <v>3835</v>
      </c>
      <c r="D820" s="1415" t="s">
        <v>3838</v>
      </c>
      <c r="E820" s="1416" t="s">
        <v>450</v>
      </c>
      <c r="F820" s="1417">
        <f>5000/1.21/20</f>
        <v>206.61157024793388</v>
      </c>
      <c r="G820" s="203">
        <f>+SUMIF('AUX-NIV1'!I:I,Recursos!C820,'AUX-NIV1'!Q:Q)+SUMIF('AUX-NIV2'!I:I,Recursos!C820,'AUX-NIV2'!Q:Q)+SUMIF('AUX-NIV3'!I:I,Recursos!C820,'AUX-NIV3'!Q:Q)</f>
        <v>0</v>
      </c>
      <c r="H820" s="204">
        <f t="shared" si="49"/>
        <v>0</v>
      </c>
      <c r="I820" s="366">
        <f t="shared" si="68"/>
        <v>0</v>
      </c>
      <c r="J820" s="1418"/>
      <c r="L820" s="1610"/>
      <c r="M820" s="83"/>
      <c r="N820" s="83"/>
      <c r="O820" s="83"/>
      <c r="P820" s="83"/>
      <c r="Q820" s="83"/>
      <c r="R820" s="83"/>
      <c r="S820" s="83"/>
      <c r="T820" s="83"/>
      <c r="U820" s="83"/>
      <c r="V820" s="83"/>
      <c r="W820" s="83"/>
      <c r="BO820" s="912"/>
    </row>
    <row r="821" spans="2:67">
      <c r="B821" s="222"/>
      <c r="C821" s="952" t="s">
        <v>3839</v>
      </c>
      <c r="D821" s="1415" t="s">
        <v>3840</v>
      </c>
      <c r="E821" s="1416" t="s">
        <v>501</v>
      </c>
      <c r="F821" s="1417">
        <f>13295/1.21/0.8/40</f>
        <v>343.36260330578511</v>
      </c>
      <c r="G821" s="203">
        <f>+SUMIF('AUX-NIV1'!I:I,Recursos!C821,'AUX-NIV1'!Q:Q)+SUMIF('AUX-NIV2'!I:I,Recursos!C821,'AUX-NIV2'!Q:Q)+SUMIF('AUX-NIV3'!I:I,Recursos!C821,'AUX-NIV3'!Q:Q)</f>
        <v>0</v>
      </c>
      <c r="H821" s="204">
        <f t="shared" si="49"/>
        <v>0</v>
      </c>
      <c r="I821" s="366">
        <f t="shared" si="68"/>
        <v>0</v>
      </c>
      <c r="J821" s="1418"/>
      <c r="L821" s="1610"/>
      <c r="M821" s="83"/>
      <c r="N821" s="83"/>
      <c r="O821" s="83"/>
      <c r="P821" s="83"/>
      <c r="Q821" s="83"/>
      <c r="R821" s="83"/>
      <c r="S821" s="83"/>
      <c r="T821" s="83"/>
      <c r="U821" s="83"/>
      <c r="V821" s="83"/>
      <c r="W821" s="83"/>
      <c r="BO821" s="912"/>
    </row>
    <row r="822" spans="2:67">
      <c r="B822" s="222"/>
      <c r="C822" s="952" t="s">
        <v>3843</v>
      </c>
      <c r="D822" s="1415" t="s">
        <v>3847</v>
      </c>
      <c r="E822" s="1416" t="s">
        <v>477</v>
      </c>
      <c r="F822" s="1417">
        <f>2826/1.21/4</f>
        <v>583.88429752066122</v>
      </c>
      <c r="G822" s="203">
        <f>+SUMIF('AUX-NIV1'!I:I,Recursos!C822,'AUX-NIV1'!Q:Q)+SUMIF('AUX-NIV2'!I:I,Recursos!C822,'AUX-NIV2'!Q:Q)+SUMIF('AUX-NIV3'!I:I,Recursos!C822,'AUX-NIV3'!Q:Q)</f>
        <v>0</v>
      </c>
      <c r="H822" s="204">
        <f t="shared" si="49"/>
        <v>0</v>
      </c>
      <c r="I822" s="366">
        <f t="shared" si="68"/>
        <v>0</v>
      </c>
      <c r="J822" s="1418"/>
      <c r="L822" s="1610"/>
      <c r="M822" s="83"/>
      <c r="N822" s="83"/>
      <c r="O822" s="83"/>
      <c r="P822" s="83"/>
      <c r="Q822" s="83"/>
      <c r="R822" s="83"/>
      <c r="S822" s="83"/>
      <c r="T822" s="83"/>
      <c r="U822" s="83"/>
      <c r="V822" s="83"/>
      <c r="W822" s="83"/>
      <c r="BO822" s="912"/>
    </row>
    <row r="823" spans="2:67">
      <c r="B823" s="222"/>
      <c r="C823" s="952" t="s">
        <v>3844</v>
      </c>
      <c r="D823" s="1415" t="s">
        <v>3848</v>
      </c>
      <c r="E823" s="1416" t="s">
        <v>610</v>
      </c>
      <c r="F823" s="1417">
        <f>183.51/1.21</f>
        <v>151.6611570247934</v>
      </c>
      <c r="G823" s="203">
        <f>+SUMIF('AUX-NIV1'!I:I,Recursos!C823,'AUX-NIV1'!Q:Q)+SUMIF('AUX-NIV2'!I:I,Recursos!C823,'AUX-NIV2'!Q:Q)+SUMIF('AUX-NIV3'!I:I,Recursos!C823,'AUX-NIV3'!Q:Q)</f>
        <v>0</v>
      </c>
      <c r="H823" s="204">
        <f t="shared" si="49"/>
        <v>0</v>
      </c>
      <c r="I823" s="366">
        <f t="shared" si="68"/>
        <v>0</v>
      </c>
      <c r="J823" s="1418"/>
      <c r="L823" s="1610"/>
      <c r="M823" s="83"/>
      <c r="N823" s="83"/>
      <c r="O823" s="83"/>
      <c r="P823" s="83"/>
      <c r="Q823" s="83"/>
      <c r="R823" s="83"/>
      <c r="S823" s="83"/>
      <c r="T823" s="83"/>
      <c r="U823" s="83"/>
      <c r="V823" s="83"/>
      <c r="W823" s="83"/>
      <c r="BO823" s="912"/>
    </row>
    <row r="824" spans="2:67">
      <c r="B824" s="222"/>
      <c r="C824" s="952" t="s">
        <v>3845</v>
      </c>
      <c r="D824" s="1415" t="s">
        <v>3849</v>
      </c>
      <c r="E824" s="1416" t="s">
        <v>610</v>
      </c>
      <c r="F824" s="1417">
        <f>1033/1.21</f>
        <v>853.71900826446279</v>
      </c>
      <c r="G824" s="203">
        <f>+SUMIF('AUX-NIV1'!I:I,Recursos!C824,'AUX-NIV1'!Q:Q)+SUMIF('AUX-NIV2'!I:I,Recursos!C824,'AUX-NIV2'!Q:Q)+SUMIF('AUX-NIV3'!I:I,Recursos!C824,'AUX-NIV3'!Q:Q)</f>
        <v>0</v>
      </c>
      <c r="H824" s="204">
        <f t="shared" si="49"/>
        <v>0</v>
      </c>
      <c r="I824" s="366">
        <f t="shared" si="68"/>
        <v>0</v>
      </c>
      <c r="J824" s="1418"/>
      <c r="L824" s="1610"/>
      <c r="M824" s="83"/>
      <c r="N824" s="83"/>
      <c r="O824" s="83"/>
      <c r="P824" s="83"/>
      <c r="Q824" s="83"/>
      <c r="R824" s="83"/>
      <c r="S824" s="83"/>
      <c r="T824" s="83"/>
      <c r="U824" s="83"/>
      <c r="V824" s="83"/>
      <c r="W824" s="83"/>
      <c r="BO824" s="912"/>
    </row>
    <row r="825" spans="2:67">
      <c r="B825" s="222"/>
      <c r="C825" s="952" t="s">
        <v>3846</v>
      </c>
      <c r="D825" s="1415" t="s">
        <v>3877</v>
      </c>
      <c r="E825" s="1416" t="s">
        <v>477</v>
      </c>
      <c r="F825" s="1417">
        <f>10000/1.21</f>
        <v>8264.4628099173551</v>
      </c>
      <c r="G825" s="203">
        <f>+SUMIF('AUX-NIV1'!I:I,Recursos!C825,'AUX-NIV1'!Q:Q)+SUMIF('AUX-NIV2'!I:I,Recursos!C825,'AUX-NIV2'!Q:Q)+SUMIF('AUX-NIV3'!I:I,Recursos!C825,'AUX-NIV3'!Q:Q)</f>
        <v>0</v>
      </c>
      <c r="H825" s="204">
        <f t="shared" si="49"/>
        <v>0</v>
      </c>
      <c r="I825" s="366">
        <f t="shared" si="68"/>
        <v>0</v>
      </c>
      <c r="J825" s="1418"/>
      <c r="L825" s="1610"/>
      <c r="M825" s="83"/>
      <c r="N825" s="83"/>
      <c r="O825" s="83"/>
      <c r="P825" s="83"/>
      <c r="Q825" s="83"/>
      <c r="R825" s="83"/>
      <c r="S825" s="83"/>
      <c r="T825" s="83"/>
      <c r="U825" s="83"/>
      <c r="V825" s="83"/>
      <c r="W825" s="83"/>
      <c r="BO825" s="912"/>
    </row>
    <row r="826" spans="2:67">
      <c r="B826" s="222"/>
      <c r="C826" s="952" t="s">
        <v>3880</v>
      </c>
      <c r="D826" s="1415" t="s">
        <v>3881</v>
      </c>
      <c r="E826" s="1416" t="s">
        <v>610</v>
      </c>
      <c r="F826" s="1417">
        <f>13000/1.21</f>
        <v>10743.801652892562</v>
      </c>
      <c r="G826" s="203">
        <f>+SUMIF('AUX-NIV1'!I:I,Recursos!C826,'AUX-NIV1'!Q:Q)+SUMIF('AUX-NIV2'!I:I,Recursos!C826,'AUX-NIV2'!Q:Q)+SUMIF('AUX-NIV3'!I:I,Recursos!C826,'AUX-NIV3'!Q:Q)</f>
        <v>0</v>
      </c>
      <c r="H826" s="204">
        <f t="shared" si="49"/>
        <v>0</v>
      </c>
      <c r="I826" s="366">
        <f t="shared" si="68"/>
        <v>0</v>
      </c>
      <c r="J826" s="1418"/>
      <c r="L826" s="1610"/>
      <c r="M826" s="83"/>
      <c r="N826" s="83"/>
      <c r="O826" s="83"/>
      <c r="P826" s="83"/>
      <c r="Q826" s="83"/>
      <c r="R826" s="83"/>
      <c r="S826" s="83"/>
      <c r="T826" s="83"/>
      <c r="U826" s="83"/>
      <c r="V826" s="83"/>
      <c r="W826" s="83"/>
      <c r="BO826" s="912"/>
    </row>
    <row r="827" spans="2:67">
      <c r="B827" s="222"/>
      <c r="C827" s="952" t="s">
        <v>3885</v>
      </c>
      <c r="D827" s="1415" t="s">
        <v>3886</v>
      </c>
      <c r="E827" s="1416" t="s">
        <v>610</v>
      </c>
      <c r="F827" s="1417">
        <f>586.15/1.21/10</f>
        <v>48.442148760330575</v>
      </c>
      <c r="G827" s="203">
        <f>+SUMIF('AUX-NIV1'!I:I,Recursos!C827,'AUX-NIV1'!Q:Q)+SUMIF('AUX-NIV2'!I:I,Recursos!C827,'AUX-NIV2'!Q:Q)+SUMIF('AUX-NIV3'!I:I,Recursos!C827,'AUX-NIV3'!Q:Q)</f>
        <v>0</v>
      </c>
      <c r="H827" s="204">
        <f t="shared" si="49"/>
        <v>0</v>
      </c>
      <c r="I827" s="366">
        <f t="shared" si="68"/>
        <v>0</v>
      </c>
      <c r="J827" s="1418"/>
      <c r="L827" s="1610"/>
      <c r="M827" s="83"/>
      <c r="N827" s="83"/>
      <c r="O827" s="83"/>
      <c r="P827" s="83"/>
      <c r="Q827" s="83"/>
      <c r="R827" s="83"/>
      <c r="S827" s="83"/>
      <c r="T827" s="83"/>
      <c r="U827" s="83"/>
      <c r="V827" s="83"/>
      <c r="W827" s="83"/>
      <c r="BO827" s="912"/>
    </row>
    <row r="828" spans="2:67">
      <c r="B828" s="222"/>
      <c r="C828" s="952" t="s">
        <v>3888</v>
      </c>
      <c r="D828" s="1415" t="s">
        <v>3889</v>
      </c>
      <c r="E828" s="1416" t="s">
        <v>610</v>
      </c>
      <c r="F828" s="1417">
        <f>3000/1.21</f>
        <v>2479.3388429752067</v>
      </c>
      <c r="G828" s="203">
        <f>+SUMIF('AUX-NIV1'!I:I,Recursos!C828,'AUX-NIV1'!Q:Q)+SUMIF('AUX-NIV2'!I:I,Recursos!C828,'AUX-NIV2'!Q:Q)+SUMIF('AUX-NIV3'!I:I,Recursos!C828,'AUX-NIV3'!Q:Q)</f>
        <v>0</v>
      </c>
      <c r="H828" s="204">
        <f t="shared" si="49"/>
        <v>0</v>
      </c>
      <c r="I828" s="366">
        <f t="shared" si="68"/>
        <v>0</v>
      </c>
      <c r="J828" s="1418"/>
      <c r="L828" s="1610"/>
      <c r="M828" s="83"/>
      <c r="N828" s="83"/>
      <c r="O828" s="83"/>
      <c r="P828" s="83"/>
      <c r="Q828" s="83"/>
      <c r="R828" s="83"/>
      <c r="S828" s="83"/>
      <c r="T828" s="83"/>
      <c r="U828" s="83"/>
      <c r="V828" s="83"/>
      <c r="W828" s="83"/>
      <c r="BO828" s="912"/>
    </row>
    <row r="829" spans="2:67">
      <c r="B829" s="222"/>
      <c r="C829" s="952" t="s">
        <v>3890</v>
      </c>
      <c r="D829" s="1415" t="s">
        <v>3891</v>
      </c>
      <c r="E829" s="1416" t="s">
        <v>610</v>
      </c>
      <c r="F829" s="1417">
        <f>747/1.21/5</f>
        <v>123.47107438016528</v>
      </c>
      <c r="G829" s="203">
        <f>+SUMIF('AUX-NIV1'!I:I,Recursos!C829,'AUX-NIV1'!Q:Q)+SUMIF('AUX-NIV2'!I:I,Recursos!C829,'AUX-NIV2'!Q:Q)+SUMIF('AUX-NIV3'!I:I,Recursos!C829,'AUX-NIV3'!Q:Q)</f>
        <v>0</v>
      </c>
      <c r="H829" s="204">
        <f t="shared" si="49"/>
        <v>0</v>
      </c>
      <c r="I829" s="366">
        <f t="shared" si="68"/>
        <v>0</v>
      </c>
      <c r="J829" s="1418"/>
      <c r="L829" s="1610"/>
      <c r="M829" s="83"/>
      <c r="N829" s="83"/>
      <c r="O829" s="83"/>
      <c r="P829" s="83"/>
      <c r="Q829" s="83"/>
      <c r="R829" s="83"/>
      <c r="S829" s="83"/>
      <c r="T829" s="83"/>
      <c r="U829" s="83"/>
      <c r="V829" s="83"/>
      <c r="W829" s="83"/>
      <c r="BO829" s="912"/>
    </row>
    <row r="830" spans="2:67">
      <c r="B830" s="222"/>
      <c r="C830" s="952" t="s">
        <v>3900</v>
      </c>
      <c r="D830" s="1415" t="s">
        <v>3902</v>
      </c>
      <c r="E830" s="1416" t="s">
        <v>610</v>
      </c>
      <c r="F830" s="1417">
        <f>3800/1.21</f>
        <v>3140.495867768595</v>
      </c>
      <c r="G830" s="203">
        <f>+SUMIF('AUX-NIV1'!I:I,Recursos!C830,'AUX-NIV1'!Q:Q)+SUMIF('AUX-NIV2'!I:I,Recursos!C830,'AUX-NIV2'!Q:Q)+SUMIF('AUX-NIV3'!I:I,Recursos!C830,'AUX-NIV3'!Q:Q)</f>
        <v>0</v>
      </c>
      <c r="H830" s="204">
        <f t="shared" si="49"/>
        <v>0</v>
      </c>
      <c r="I830" s="366">
        <f t="shared" si="68"/>
        <v>0</v>
      </c>
      <c r="J830" s="1418"/>
      <c r="L830" s="1610"/>
      <c r="M830" s="83"/>
      <c r="N830" s="83"/>
      <c r="O830" s="83"/>
      <c r="P830" s="83"/>
      <c r="Q830" s="83"/>
      <c r="R830" s="83"/>
      <c r="S830" s="83"/>
      <c r="T830" s="83"/>
      <c r="U830" s="83"/>
      <c r="V830" s="83"/>
      <c r="W830" s="83"/>
      <c r="BO830" s="912"/>
    </row>
    <row r="831" spans="2:67">
      <c r="B831" s="222"/>
      <c r="C831" s="952" t="s">
        <v>3901</v>
      </c>
      <c r="D831" s="1415" t="s">
        <v>3903</v>
      </c>
      <c r="E831" s="1416" t="s">
        <v>610</v>
      </c>
      <c r="F831" s="1417">
        <f>27000/1.21</f>
        <v>22314.049586776859</v>
      </c>
      <c r="G831" s="203">
        <f>+SUMIF('AUX-NIV1'!I:I,Recursos!C831,'AUX-NIV1'!Q:Q)+SUMIF('AUX-NIV2'!I:I,Recursos!C831,'AUX-NIV2'!Q:Q)+SUMIF('AUX-NIV3'!I:I,Recursos!C831,'AUX-NIV3'!Q:Q)</f>
        <v>0</v>
      </c>
      <c r="H831" s="204">
        <f t="shared" si="49"/>
        <v>0</v>
      </c>
      <c r="I831" s="366">
        <f t="shared" ref="I831:I848" si="70">+H831/$I$3</f>
        <v>0</v>
      </c>
      <c r="J831" s="1418"/>
      <c r="L831" s="1610"/>
      <c r="M831" s="83"/>
      <c r="N831" s="83"/>
      <c r="O831" s="83"/>
      <c r="P831" s="83"/>
      <c r="Q831" s="83"/>
      <c r="R831" s="83"/>
      <c r="S831" s="83"/>
      <c r="T831" s="83"/>
      <c r="U831" s="83"/>
      <c r="V831" s="83"/>
      <c r="W831" s="83"/>
      <c r="BO831" s="912"/>
    </row>
    <row r="832" spans="2:67">
      <c r="B832" s="222"/>
      <c r="C832" s="952" t="s">
        <v>3906</v>
      </c>
      <c r="D832" s="1415" t="s">
        <v>3907</v>
      </c>
      <c r="E832" s="1416" t="s">
        <v>610</v>
      </c>
      <c r="F832" s="1417">
        <f>26500/3/1.21</f>
        <v>7300.2754820936643</v>
      </c>
      <c r="G832" s="203">
        <f>+SUMIF('AUX-NIV1'!I:I,Recursos!C832,'AUX-NIV1'!Q:Q)+SUMIF('AUX-NIV2'!I:I,Recursos!C832,'AUX-NIV2'!Q:Q)+SUMIF('AUX-NIV3'!I:I,Recursos!C832,'AUX-NIV3'!Q:Q)</f>
        <v>0</v>
      </c>
      <c r="H832" s="204">
        <f t="shared" si="49"/>
        <v>0</v>
      </c>
      <c r="I832" s="366">
        <f t="shared" si="70"/>
        <v>0</v>
      </c>
      <c r="J832" s="1418"/>
      <c r="L832" s="1610"/>
      <c r="M832" s="83"/>
      <c r="N832" s="83"/>
      <c r="O832" s="83"/>
      <c r="P832" s="83"/>
      <c r="Q832" s="83"/>
      <c r="R832" s="83"/>
      <c r="S832" s="83"/>
      <c r="T832" s="83"/>
      <c r="U832" s="83"/>
      <c r="V832" s="83"/>
      <c r="W832" s="83"/>
      <c r="BO832" s="912"/>
    </row>
    <row r="833" spans="2:67">
      <c r="B833" s="222"/>
      <c r="C833" s="952" t="s">
        <v>3913</v>
      </c>
      <c r="D833" s="1415" t="s">
        <v>3914</v>
      </c>
      <c r="E833" s="1416" t="s">
        <v>477</v>
      </c>
      <c r="F833" s="1417">
        <v>200</v>
      </c>
      <c r="G833" s="203">
        <f>+SUMIF('AUX-NIV1'!I:I,Recursos!C833,'AUX-NIV1'!Q:Q)+SUMIF('AUX-NIV2'!I:I,Recursos!C833,'AUX-NIV2'!Q:Q)+SUMIF('AUX-NIV3'!I:I,Recursos!C833,'AUX-NIV3'!Q:Q)</f>
        <v>0</v>
      </c>
      <c r="H833" s="204">
        <f t="shared" si="49"/>
        <v>0</v>
      </c>
      <c r="I833" s="366">
        <f t="shared" si="70"/>
        <v>0</v>
      </c>
      <c r="J833" s="1418"/>
      <c r="L833" s="1610"/>
      <c r="M833" s="83"/>
      <c r="N833" s="83"/>
      <c r="O833" s="83"/>
      <c r="P833" s="83"/>
      <c r="Q833" s="83"/>
      <c r="R833" s="83"/>
      <c r="S833" s="83"/>
      <c r="T833" s="83"/>
      <c r="U833" s="83"/>
      <c r="V833" s="83"/>
      <c r="W833" s="83"/>
      <c r="BO833" s="912"/>
    </row>
    <row r="834" spans="2:67">
      <c r="B834" s="222"/>
      <c r="C834" s="952" t="s">
        <v>3915</v>
      </c>
      <c r="D834" s="1415" t="s">
        <v>3916</v>
      </c>
      <c r="E834" s="1416" t="s">
        <v>610</v>
      </c>
      <c r="F834" s="1417">
        <f>330/1.21</f>
        <v>272.72727272727275</v>
      </c>
      <c r="G834" s="203">
        <f>+SUMIF('AUX-NIV1'!I:I,Recursos!C834,'AUX-NIV1'!Q:Q)+SUMIF('AUX-NIV2'!I:I,Recursos!C834,'AUX-NIV2'!Q:Q)+SUMIF('AUX-NIV3'!I:I,Recursos!C834,'AUX-NIV3'!Q:Q)</f>
        <v>0</v>
      </c>
      <c r="H834" s="204">
        <f t="shared" si="49"/>
        <v>0</v>
      </c>
      <c r="I834" s="366">
        <f t="shared" si="70"/>
        <v>0</v>
      </c>
      <c r="J834" s="1418"/>
      <c r="L834" s="1610"/>
      <c r="M834" s="83"/>
      <c r="N834" s="83"/>
      <c r="O834" s="83"/>
      <c r="P834" s="83"/>
      <c r="Q834" s="83"/>
      <c r="R834" s="83"/>
      <c r="S834" s="83"/>
      <c r="T834" s="83"/>
      <c r="U834" s="83"/>
      <c r="V834" s="83"/>
      <c r="W834" s="83"/>
      <c r="BO834" s="912"/>
    </row>
    <row r="835" spans="2:67">
      <c r="B835" s="222"/>
      <c r="C835" s="206" t="s">
        <v>4292</v>
      </c>
      <c r="D835" s="207" t="s">
        <v>4293</v>
      </c>
      <c r="E835" s="201" t="s">
        <v>501</v>
      </c>
      <c r="F835" s="553">
        <f>580/1.21</f>
        <v>479.3388429752066</v>
      </c>
      <c r="G835" s="203">
        <f>+SUMIF('AUX-NIV1'!I:I,Recursos!C835,'AUX-NIV1'!Q:Q)+SUMIF('AUX-NIV2'!I:I,Recursos!C835,'AUX-NIV2'!Q:Q)+SUMIF('AUX-NIV3'!I:I,Recursos!C835,'AUX-NIV3'!Q:Q)</f>
        <v>0</v>
      </c>
      <c r="H835" s="204">
        <f t="shared" si="49"/>
        <v>0</v>
      </c>
      <c r="I835" s="366">
        <f t="shared" ref="I835" si="71">+H835/$I$3</f>
        <v>0</v>
      </c>
      <c r="J835" s="474"/>
      <c r="L835" s="1610"/>
      <c r="BO835" s="912"/>
    </row>
    <row r="836" spans="2:67">
      <c r="B836" s="222"/>
      <c r="C836" s="1414" t="s">
        <v>4295</v>
      </c>
      <c r="D836" s="1415" t="s">
        <v>4294</v>
      </c>
      <c r="E836" s="1416" t="s">
        <v>610</v>
      </c>
      <c r="F836" s="1417">
        <v>1000</v>
      </c>
      <c r="G836" s="203">
        <f>+SUMIF('AUX-NIV1'!I:I,Recursos!C836,'AUX-NIV1'!Q:Q)+SUMIF('AUX-NIV2'!I:I,Recursos!C836,'AUX-NIV2'!Q:Q)+SUMIF('AUX-NIV3'!I:I,Recursos!C836,'AUX-NIV3'!Q:Q)</f>
        <v>0</v>
      </c>
      <c r="H836" s="204">
        <f t="shared" si="49"/>
        <v>0</v>
      </c>
      <c r="I836" s="366">
        <f t="shared" si="70"/>
        <v>0</v>
      </c>
      <c r="J836" s="1418"/>
      <c r="L836" s="83"/>
      <c r="M836" s="83"/>
      <c r="N836" s="83"/>
      <c r="O836" s="83"/>
      <c r="P836" s="83"/>
      <c r="Q836" s="83"/>
      <c r="R836" s="83"/>
      <c r="S836" s="83"/>
      <c r="T836" s="83"/>
      <c r="U836" s="83"/>
      <c r="V836" s="83"/>
      <c r="W836" s="83"/>
      <c r="BO836" s="912"/>
    </row>
    <row r="837" spans="2:67">
      <c r="B837" s="222"/>
      <c r="C837" s="1414" t="s">
        <v>4296</v>
      </c>
      <c r="D837" s="1415" t="s">
        <v>4297</v>
      </c>
      <c r="E837" s="1416" t="s">
        <v>501</v>
      </c>
      <c r="F837" s="1417">
        <v>350</v>
      </c>
      <c r="G837" s="203">
        <f>+SUMIF('AUX-NIV1'!I:I,Recursos!C837,'AUX-NIV1'!Q:Q)+SUMIF('AUX-NIV2'!I:I,Recursos!C837,'AUX-NIV2'!Q:Q)+SUMIF('AUX-NIV3'!I:I,Recursos!C837,'AUX-NIV3'!Q:Q)</f>
        <v>0</v>
      </c>
      <c r="H837" s="204">
        <f t="shared" si="49"/>
        <v>0</v>
      </c>
      <c r="I837" s="366">
        <f t="shared" si="70"/>
        <v>0</v>
      </c>
      <c r="J837" s="1418"/>
      <c r="L837" s="83"/>
      <c r="M837" s="83"/>
      <c r="N837" s="83"/>
      <c r="O837" s="83"/>
      <c r="P837" s="83"/>
      <c r="Q837" s="83"/>
      <c r="R837" s="83"/>
      <c r="S837" s="83"/>
      <c r="T837" s="83"/>
      <c r="U837" s="83"/>
      <c r="V837" s="83"/>
      <c r="W837" s="83"/>
      <c r="BO837" s="912"/>
    </row>
    <row r="838" spans="2:67">
      <c r="B838" s="222"/>
      <c r="C838" s="1414" t="s">
        <v>4300</v>
      </c>
      <c r="D838" s="1415" t="s">
        <v>4301</v>
      </c>
      <c r="E838" s="1416" t="s">
        <v>477</v>
      </c>
      <c r="F838" s="1417">
        <v>494.21</v>
      </c>
      <c r="G838" s="203">
        <f>+SUMIF('AUX-NIV1'!I:I,Recursos!C838,'AUX-NIV1'!Q:Q)+SUMIF('AUX-NIV2'!I:I,Recursos!C838,'AUX-NIV2'!Q:Q)+SUMIF('AUX-NIV3'!I:I,Recursos!C838,'AUX-NIV3'!Q:Q)</f>
        <v>0</v>
      </c>
      <c r="H838" s="204">
        <f t="shared" si="49"/>
        <v>0</v>
      </c>
      <c r="I838" s="366">
        <f t="shared" si="70"/>
        <v>0</v>
      </c>
      <c r="J838" s="1418"/>
      <c r="L838" s="83"/>
      <c r="M838" s="83"/>
      <c r="N838" s="83"/>
      <c r="O838" s="83"/>
      <c r="P838" s="83"/>
      <c r="Q838" s="83"/>
      <c r="R838" s="83"/>
      <c r="S838" s="83"/>
      <c r="T838" s="83"/>
      <c r="U838" s="83"/>
      <c r="V838" s="83"/>
      <c r="W838" s="83"/>
      <c r="BO838" s="912"/>
    </row>
    <row r="839" spans="2:67">
      <c r="B839" s="222"/>
      <c r="C839" s="1414" t="s">
        <v>4304</v>
      </c>
      <c r="D839" s="1415" t="s">
        <v>4305</v>
      </c>
      <c r="E839" s="1416" t="s">
        <v>444</v>
      </c>
      <c r="F839" s="1417">
        <v>700</v>
      </c>
      <c r="G839" s="203">
        <f>+SUMIF('AUX-NIV1'!I:I,Recursos!C839,'AUX-NIV1'!Q:Q)+SUMIF('AUX-NIV2'!I:I,Recursos!C839,'AUX-NIV2'!Q:Q)+SUMIF('AUX-NIV3'!I:I,Recursos!C839,'AUX-NIV3'!Q:Q)</f>
        <v>0</v>
      </c>
      <c r="H839" s="204">
        <f t="shared" si="49"/>
        <v>0</v>
      </c>
      <c r="I839" s="366">
        <f t="shared" si="70"/>
        <v>0</v>
      </c>
      <c r="J839" s="1418"/>
      <c r="L839" s="83"/>
      <c r="M839" s="83"/>
      <c r="N839" s="83"/>
      <c r="O839" s="83"/>
      <c r="P839" s="83"/>
      <c r="Q839" s="83"/>
      <c r="R839" s="83"/>
      <c r="S839" s="83"/>
      <c r="T839" s="83"/>
      <c r="U839" s="83"/>
      <c r="V839" s="83"/>
      <c r="W839" s="83"/>
      <c r="BO839" s="912"/>
    </row>
    <row r="840" spans="2:67">
      <c r="B840" s="222"/>
      <c r="C840" s="1414" t="s">
        <v>4310</v>
      </c>
      <c r="D840" s="1415" t="s">
        <v>4311</v>
      </c>
      <c r="E840" s="1416" t="s">
        <v>501</v>
      </c>
      <c r="F840" s="1417">
        <v>100</v>
      </c>
      <c r="G840" s="203">
        <f>+SUMIF('AUX-NIV1'!I:I,Recursos!C840,'AUX-NIV1'!Q:Q)+SUMIF('AUX-NIV2'!I:I,Recursos!C840,'AUX-NIV2'!Q:Q)+SUMIF('AUX-NIV3'!I:I,Recursos!C840,'AUX-NIV3'!Q:Q)</f>
        <v>0</v>
      </c>
      <c r="H840" s="204">
        <f t="shared" si="49"/>
        <v>0</v>
      </c>
      <c r="I840" s="366">
        <f t="shared" si="70"/>
        <v>0</v>
      </c>
      <c r="J840" s="1418"/>
      <c r="L840" s="83"/>
      <c r="M840" s="83"/>
      <c r="N840" s="83"/>
      <c r="O840" s="83"/>
      <c r="P840" s="83"/>
      <c r="Q840" s="83"/>
      <c r="R840" s="83"/>
      <c r="S840" s="83"/>
      <c r="T840" s="83"/>
      <c r="U840" s="83"/>
      <c r="V840" s="83"/>
      <c r="W840" s="83"/>
      <c r="BO840" s="912"/>
    </row>
    <row r="841" spans="2:67">
      <c r="B841" s="222"/>
      <c r="C841" s="1414" t="s">
        <v>4308</v>
      </c>
      <c r="D841" s="1415" t="s">
        <v>4309</v>
      </c>
      <c r="E841" s="1416" t="s">
        <v>3292</v>
      </c>
      <c r="F841" s="1417">
        <f>450/1.21</f>
        <v>371.90082644628103</v>
      </c>
      <c r="G841" s="203">
        <f>+SUMIF('AUX-NIV1'!I:I,Recursos!C841,'AUX-NIV1'!Q:Q)+SUMIF('AUX-NIV2'!I:I,Recursos!C841,'AUX-NIV2'!Q:Q)+SUMIF('AUX-NIV3'!I:I,Recursos!C841,'AUX-NIV3'!Q:Q)</f>
        <v>0</v>
      </c>
      <c r="H841" s="204">
        <f t="shared" si="49"/>
        <v>0</v>
      </c>
      <c r="I841" s="366">
        <f t="shared" si="70"/>
        <v>0</v>
      </c>
      <c r="J841" s="1418"/>
      <c r="L841" s="83"/>
      <c r="M841" s="83"/>
      <c r="N841" s="83"/>
      <c r="O841" s="83"/>
      <c r="P841" s="83"/>
      <c r="Q841" s="83"/>
      <c r="R841" s="83"/>
      <c r="S841" s="83"/>
      <c r="T841" s="83"/>
      <c r="U841" s="83"/>
      <c r="V841" s="83"/>
      <c r="W841" s="83"/>
      <c r="BO841" s="912"/>
    </row>
    <row r="842" spans="2:67">
      <c r="B842" s="222"/>
      <c r="C842" s="1414" t="s">
        <v>4314</v>
      </c>
      <c r="D842" s="1415" t="s">
        <v>4315</v>
      </c>
      <c r="E842" s="1416" t="s">
        <v>477</v>
      </c>
      <c r="F842" s="1417">
        <f>450/4/1.21</f>
        <v>92.975206611570258</v>
      </c>
      <c r="G842" s="203">
        <f>+SUMIF('AUX-NIV1'!I:I,Recursos!C842,'AUX-NIV1'!Q:Q)+SUMIF('AUX-NIV2'!I:I,Recursos!C842,'AUX-NIV2'!Q:Q)+SUMIF('AUX-NIV3'!I:I,Recursos!C842,'AUX-NIV3'!Q:Q)</f>
        <v>0</v>
      </c>
      <c r="H842" s="204">
        <f t="shared" si="49"/>
        <v>0</v>
      </c>
      <c r="I842" s="366">
        <f t="shared" si="70"/>
        <v>0</v>
      </c>
      <c r="J842" s="1418"/>
      <c r="L842" s="83"/>
      <c r="M842" s="83"/>
      <c r="N842" s="83"/>
      <c r="O842" s="83"/>
      <c r="P842" s="83"/>
      <c r="Q842" s="83"/>
      <c r="R842" s="83"/>
      <c r="S842" s="83"/>
      <c r="T842" s="83"/>
      <c r="U842" s="83"/>
      <c r="V842" s="83"/>
      <c r="W842" s="83"/>
      <c r="BO842" s="912"/>
    </row>
    <row r="843" spans="2:67">
      <c r="B843" s="222"/>
      <c r="C843" s="1414" t="s">
        <v>4316</v>
      </c>
      <c r="D843" s="1415" t="s">
        <v>4317</v>
      </c>
      <c r="E843" s="1416" t="s">
        <v>501</v>
      </c>
      <c r="F843" s="1417">
        <f>13500/(6*2.4)/1.21</f>
        <v>774.79338842975221</v>
      </c>
      <c r="G843" s="203">
        <f>+SUMIF('AUX-NIV1'!I:I,Recursos!C843,'AUX-NIV1'!Q:Q)+SUMIF('AUX-NIV2'!I:I,Recursos!C843,'AUX-NIV2'!Q:Q)+SUMIF('AUX-NIV3'!I:I,Recursos!C843,'AUX-NIV3'!Q:Q)</f>
        <v>0</v>
      </c>
      <c r="H843" s="204">
        <f t="shared" si="49"/>
        <v>0</v>
      </c>
      <c r="I843" s="366">
        <f t="shared" si="70"/>
        <v>0</v>
      </c>
      <c r="J843" s="1418"/>
      <c r="L843" s="83"/>
      <c r="M843" s="83"/>
      <c r="N843" s="83"/>
      <c r="O843" s="83"/>
      <c r="P843" s="83"/>
      <c r="Q843" s="83"/>
      <c r="R843" s="83"/>
      <c r="S843" s="83"/>
      <c r="T843" s="83"/>
      <c r="U843" s="83"/>
      <c r="V843" s="83"/>
      <c r="W843" s="83"/>
      <c r="BO843" s="912"/>
    </row>
    <row r="844" spans="2:67">
      <c r="B844" s="222"/>
      <c r="C844" s="1414" t="s">
        <v>4558</v>
      </c>
      <c r="D844" s="1415" t="s">
        <v>4559</v>
      </c>
      <c r="E844" s="1416" t="s">
        <v>501</v>
      </c>
      <c r="F844" s="1417">
        <f>6255/1.21/5/2</f>
        <v>516.94214876033061</v>
      </c>
      <c r="G844" s="203">
        <f>+SUMIF('AUX-NIV1'!I:I,Recursos!C844,'AUX-NIV1'!Q:Q)+SUMIF('AUX-NIV2'!I:I,Recursos!C844,'AUX-NIV2'!Q:Q)+SUMIF('AUX-NIV3'!I:I,Recursos!C844,'AUX-NIV3'!Q:Q)</f>
        <v>0</v>
      </c>
      <c r="H844" s="204">
        <f t="shared" si="49"/>
        <v>0</v>
      </c>
      <c r="I844" s="366">
        <f t="shared" ref="I844" si="72">+H844/$I$3</f>
        <v>0</v>
      </c>
      <c r="J844" s="1418"/>
      <c r="L844" s="83"/>
      <c r="M844" s="83"/>
      <c r="N844" s="83"/>
      <c r="O844" s="83"/>
      <c r="P844" s="83"/>
      <c r="Q844" s="83"/>
      <c r="R844" s="83"/>
      <c r="S844" s="83"/>
      <c r="T844" s="83"/>
      <c r="U844" s="83"/>
      <c r="V844" s="83"/>
      <c r="W844" s="83"/>
      <c r="BO844" s="912"/>
    </row>
    <row r="845" spans="2:67">
      <c r="B845" s="222"/>
      <c r="C845" s="1414" t="s">
        <v>4319</v>
      </c>
      <c r="D845" s="1415" t="s">
        <v>4320</v>
      </c>
      <c r="E845" s="1416" t="s">
        <v>444</v>
      </c>
      <c r="F845" s="1417">
        <v>195</v>
      </c>
      <c r="G845" s="203">
        <f>+SUMIF('AUX-NIV1'!I:I,Recursos!C845,'AUX-NIV1'!Q:Q)+SUMIF('AUX-NIV2'!I:I,Recursos!C845,'AUX-NIV2'!Q:Q)+SUMIF('AUX-NIV3'!I:I,Recursos!C845,'AUX-NIV3'!Q:Q)</f>
        <v>0</v>
      </c>
      <c r="H845" s="204">
        <f t="shared" si="49"/>
        <v>0</v>
      </c>
      <c r="I845" s="366">
        <f t="shared" si="70"/>
        <v>0</v>
      </c>
      <c r="J845" s="1418"/>
      <c r="L845" s="83"/>
      <c r="M845" s="83"/>
      <c r="N845" s="83"/>
      <c r="O845" s="83"/>
      <c r="P845" s="83"/>
      <c r="Q845" s="83"/>
      <c r="R845" s="83"/>
      <c r="S845" s="83"/>
      <c r="T845" s="83"/>
      <c r="U845" s="83"/>
      <c r="V845" s="83"/>
      <c r="W845" s="83"/>
      <c r="BO845" s="912"/>
    </row>
    <row r="846" spans="2:67">
      <c r="B846" s="222"/>
      <c r="C846" s="1414" t="s">
        <v>4560</v>
      </c>
      <c r="D846" s="1415" t="s">
        <v>4561</v>
      </c>
      <c r="E846" s="1416" t="s">
        <v>477</v>
      </c>
      <c r="F846" s="1417">
        <f>15650/1.21/12</f>
        <v>1077.823691460055</v>
      </c>
      <c r="G846" s="203">
        <f>+SUMIF('AUX-NIV1'!I:I,Recursos!C846,'AUX-NIV1'!Q:Q)+SUMIF('AUX-NIV2'!I:I,Recursos!C846,'AUX-NIV2'!Q:Q)+SUMIF('AUX-NIV3'!I:I,Recursos!C846,'AUX-NIV3'!Q:Q)</f>
        <v>0</v>
      </c>
      <c r="H846" s="204">
        <f t="shared" si="49"/>
        <v>0</v>
      </c>
      <c r="I846" s="366">
        <f t="shared" ref="I846" si="73">+H846/$I$3</f>
        <v>0</v>
      </c>
      <c r="J846" s="1418"/>
      <c r="L846" s="83"/>
      <c r="M846" s="83"/>
      <c r="N846" s="83"/>
      <c r="O846" s="83"/>
      <c r="P846" s="83"/>
      <c r="Q846" s="83"/>
      <c r="R846" s="83"/>
      <c r="S846" s="83"/>
      <c r="T846" s="83"/>
      <c r="U846" s="83"/>
      <c r="V846" s="83"/>
      <c r="W846" s="83"/>
      <c r="BO846" s="912"/>
    </row>
    <row r="847" spans="2:67">
      <c r="B847" s="222"/>
      <c r="C847" s="1414" t="s">
        <v>4646</v>
      </c>
      <c r="D847" s="1415" t="s">
        <v>4647</v>
      </c>
      <c r="E847" s="1416" t="s">
        <v>477</v>
      </c>
      <c r="F847" s="1692">
        <f>5270/6/1.21</f>
        <v>725.8953168044078</v>
      </c>
      <c r="G847" s="203">
        <f>+SUMIF('AUX-NIV1'!I:I,Recursos!C847,'AUX-NIV1'!Q:Q)+SUMIF('AUX-NIV2'!I:I,Recursos!C847,'AUX-NIV2'!Q:Q)+SUMIF('AUX-NIV3'!I:I,Recursos!C847,'AUX-NIV3'!Q:Q)</f>
        <v>0</v>
      </c>
      <c r="H847" s="204">
        <f t="shared" ref="H847" si="74">+F847*G847</f>
        <v>0</v>
      </c>
      <c r="I847" s="366">
        <f t="shared" ref="I847" si="75">+H847/$I$3</f>
        <v>0</v>
      </c>
      <c r="J847" s="1418"/>
      <c r="L847" s="83"/>
      <c r="M847" s="83"/>
      <c r="N847" s="83"/>
      <c r="O847" s="83"/>
      <c r="P847" s="83"/>
      <c r="Q847" s="83"/>
      <c r="R847" s="83"/>
      <c r="S847" s="83"/>
      <c r="T847" s="83"/>
      <c r="U847" s="83"/>
      <c r="V847" s="83"/>
      <c r="W847" s="83"/>
      <c r="BO847" s="912"/>
    </row>
    <row r="848" spans="2:67">
      <c r="B848" s="222"/>
      <c r="C848" s="1414" t="s">
        <v>4322</v>
      </c>
      <c r="D848" s="1415" t="s">
        <v>4323</v>
      </c>
      <c r="E848" s="1416" t="s">
        <v>501</v>
      </c>
      <c r="F848" s="1417">
        <v>2200</v>
      </c>
      <c r="G848" s="203">
        <f>+SUMIF('AUX-NIV1'!I:I,Recursos!C848,'AUX-NIV1'!Q:Q)+SUMIF('AUX-NIV2'!I:I,Recursos!C848,'AUX-NIV2'!Q:Q)+SUMIF('AUX-NIV3'!I:I,Recursos!C848,'AUX-NIV3'!Q:Q)</f>
        <v>0</v>
      </c>
      <c r="H848" s="204">
        <f t="shared" si="49"/>
        <v>0</v>
      </c>
      <c r="I848" s="366">
        <f t="shared" si="70"/>
        <v>0</v>
      </c>
      <c r="J848" s="1418"/>
      <c r="L848" s="83"/>
      <c r="M848" s="83"/>
      <c r="N848" s="83"/>
      <c r="O848" s="83"/>
      <c r="P848" s="83"/>
      <c r="Q848" s="83"/>
      <c r="R848" s="83"/>
      <c r="S848" s="83"/>
      <c r="T848" s="83"/>
      <c r="U848" s="83"/>
      <c r="V848" s="83"/>
      <c r="W848" s="83"/>
      <c r="BO848" s="912"/>
    </row>
    <row r="849" spans="2:67">
      <c r="B849" s="222"/>
      <c r="C849" s="1414" t="s">
        <v>4651</v>
      </c>
      <c r="D849" s="1415" t="s">
        <v>4652</v>
      </c>
      <c r="E849" s="1416" t="s">
        <v>501</v>
      </c>
      <c r="F849" s="1417">
        <f>1430/1.21</f>
        <v>1181.8181818181818</v>
      </c>
      <c r="G849" s="203">
        <f>+SUMIF('AUX-NIV1'!I:I,Recursos!C849,'AUX-NIV1'!Q:Q)+SUMIF('AUX-NIV2'!I:I,Recursos!C849,'AUX-NIV2'!Q:Q)+SUMIF('AUX-NIV3'!I:I,Recursos!C849,'AUX-NIV3'!Q:Q)</f>
        <v>0</v>
      </c>
      <c r="H849" s="204">
        <f t="shared" ref="H849" si="76">+F849*G849</f>
        <v>0</v>
      </c>
      <c r="I849" s="366">
        <f t="shared" ref="I849" si="77">+H849/$I$3</f>
        <v>0</v>
      </c>
      <c r="J849" s="1418"/>
      <c r="L849" s="83"/>
      <c r="M849" s="83"/>
      <c r="N849" s="83"/>
      <c r="O849" s="83"/>
      <c r="P849" s="83"/>
      <c r="Q849" s="83"/>
      <c r="R849" s="83"/>
      <c r="S849" s="83"/>
      <c r="T849" s="83"/>
      <c r="U849" s="83"/>
      <c r="V849" s="83"/>
      <c r="W849" s="83"/>
      <c r="BO849" s="912"/>
    </row>
    <row r="850" spans="2:67">
      <c r="B850" s="222"/>
      <c r="C850" s="1414" t="s">
        <v>4324</v>
      </c>
      <c r="D850" s="1415" t="s">
        <v>4325</v>
      </c>
      <c r="E850" s="1416" t="s">
        <v>477</v>
      </c>
      <c r="F850" s="1417">
        <v>2600</v>
      </c>
      <c r="G850" s="203">
        <f>+SUMIF('AUX-NIV1'!I:I,Recursos!C850,'AUX-NIV1'!Q:Q)+SUMIF('AUX-NIV2'!I:I,Recursos!C850,'AUX-NIV2'!Q:Q)+SUMIF('AUX-NIV3'!I:I,Recursos!C850,'AUX-NIV3'!Q:Q)</f>
        <v>0</v>
      </c>
      <c r="H850" s="204">
        <f t="shared" si="49"/>
        <v>0</v>
      </c>
      <c r="I850" s="366">
        <f t="shared" si="68"/>
        <v>0</v>
      </c>
      <c r="J850" s="1418"/>
      <c r="L850" s="83"/>
      <c r="M850" s="83"/>
      <c r="N850" s="83"/>
      <c r="O850" s="83"/>
      <c r="P850" s="83"/>
      <c r="Q850" s="83"/>
      <c r="R850" s="83"/>
      <c r="S850" s="83"/>
      <c r="T850" s="83"/>
      <c r="U850" s="83"/>
      <c r="V850" s="83"/>
      <c r="W850" s="83"/>
      <c r="BO850" s="912"/>
    </row>
    <row r="851" spans="2:67">
      <c r="B851" s="222"/>
      <c r="C851" s="1414" t="s">
        <v>4331</v>
      </c>
      <c r="D851" s="1415" t="s">
        <v>4513</v>
      </c>
      <c r="E851" s="1416" t="s">
        <v>501</v>
      </c>
      <c r="F851" s="1417">
        <v>1950</v>
      </c>
      <c r="G851" s="203">
        <f>+SUMIF('AUX-NIV1'!I:I,Recursos!C851,'AUX-NIV1'!Q:Q)+SUMIF('AUX-NIV2'!I:I,Recursos!C851,'AUX-NIV2'!Q:Q)+SUMIF('AUX-NIV3'!I:I,Recursos!C851,'AUX-NIV3'!Q:Q)</f>
        <v>0</v>
      </c>
      <c r="H851" s="204">
        <f t="shared" si="49"/>
        <v>0</v>
      </c>
      <c r="I851" s="366">
        <f t="shared" ref="I851:I854" si="78">+H851/$I$3</f>
        <v>0</v>
      </c>
      <c r="J851" s="1418"/>
      <c r="L851" s="83"/>
      <c r="M851" s="83"/>
      <c r="N851" s="83"/>
      <c r="O851" s="83"/>
      <c r="P851" s="83"/>
      <c r="Q851" s="83"/>
      <c r="R851" s="83"/>
      <c r="S851" s="83"/>
      <c r="T851" s="83"/>
      <c r="U851" s="83"/>
      <c r="V851" s="83"/>
      <c r="W851" s="83"/>
      <c r="BO851" s="912"/>
    </row>
    <row r="852" spans="2:67">
      <c r="B852" s="222"/>
      <c r="C852" s="1414" t="s">
        <v>4349</v>
      </c>
      <c r="D852" s="1415" t="s">
        <v>4350</v>
      </c>
      <c r="E852" s="1416" t="s">
        <v>610</v>
      </c>
      <c r="F852" s="1417">
        <f>3000/60</f>
        <v>50</v>
      </c>
      <c r="G852" s="203">
        <f>+SUMIF('AUX-NIV1'!I:I,Recursos!C852,'AUX-NIV1'!Q:Q)+SUMIF('AUX-NIV2'!I:I,Recursos!C852,'AUX-NIV2'!Q:Q)+SUMIF('AUX-NIV3'!I:I,Recursos!C852,'AUX-NIV3'!Q:Q)</f>
        <v>0</v>
      </c>
      <c r="H852" s="204">
        <f t="shared" si="49"/>
        <v>0</v>
      </c>
      <c r="I852" s="366">
        <f t="shared" si="78"/>
        <v>0</v>
      </c>
      <c r="J852" s="1418"/>
      <c r="L852" s="83"/>
      <c r="M852" s="83"/>
      <c r="N852" s="83"/>
      <c r="O852" s="83"/>
      <c r="P852" s="83"/>
      <c r="Q852" s="83"/>
      <c r="R852" s="83"/>
      <c r="S852" s="83"/>
      <c r="T852" s="83"/>
      <c r="U852" s="83"/>
      <c r="V852" s="83"/>
      <c r="W852" s="83"/>
      <c r="BO852" s="912"/>
    </row>
    <row r="853" spans="2:67">
      <c r="B853" s="222"/>
      <c r="C853" s="1414" t="s">
        <v>4351</v>
      </c>
      <c r="D853" s="1415" t="s">
        <v>4352</v>
      </c>
      <c r="E853" s="1416" t="s">
        <v>610</v>
      </c>
      <c r="F853" s="1417">
        <f>3000/60</f>
        <v>50</v>
      </c>
      <c r="G853" s="203">
        <f>+SUMIF('AUX-NIV1'!I:I,Recursos!C853,'AUX-NIV1'!Q:Q)+SUMIF('AUX-NIV2'!I:I,Recursos!C853,'AUX-NIV2'!Q:Q)+SUMIF('AUX-NIV3'!I:I,Recursos!C853,'AUX-NIV3'!Q:Q)</f>
        <v>0</v>
      </c>
      <c r="H853" s="204">
        <f t="shared" si="49"/>
        <v>0</v>
      </c>
      <c r="I853" s="366">
        <f t="shared" si="78"/>
        <v>0</v>
      </c>
      <c r="J853" s="1418"/>
      <c r="L853" s="83"/>
      <c r="M853" s="83"/>
      <c r="N853" s="83"/>
      <c r="O853" s="83"/>
      <c r="P853" s="83"/>
      <c r="Q853" s="83"/>
      <c r="R853" s="83"/>
      <c r="S853" s="83"/>
      <c r="T853" s="83"/>
      <c r="U853" s="83"/>
      <c r="V853" s="83"/>
      <c r="W853" s="83"/>
      <c r="BO853" s="912"/>
    </row>
    <row r="854" spans="2:67">
      <c r="B854" s="222"/>
      <c r="C854" s="1414" t="s">
        <v>4353</v>
      </c>
      <c r="D854" s="1415" t="s">
        <v>4354</v>
      </c>
      <c r="E854" s="1416" t="s">
        <v>610</v>
      </c>
      <c r="F854" s="1417">
        <v>68</v>
      </c>
      <c r="G854" s="203">
        <f>+SUMIF('AUX-NIV1'!I:I,Recursos!C854,'AUX-NIV1'!Q:Q)+SUMIF('AUX-NIV2'!I:I,Recursos!C854,'AUX-NIV2'!Q:Q)+SUMIF('AUX-NIV3'!I:I,Recursos!C854,'AUX-NIV3'!Q:Q)</f>
        <v>0</v>
      </c>
      <c r="H854" s="204">
        <f t="shared" si="49"/>
        <v>0</v>
      </c>
      <c r="I854" s="366">
        <f t="shared" si="78"/>
        <v>0</v>
      </c>
      <c r="J854" s="1418"/>
      <c r="L854" s="83"/>
      <c r="M854" s="83"/>
      <c r="N854" s="83"/>
      <c r="O854" s="83"/>
      <c r="P854" s="83"/>
      <c r="Q854" s="83"/>
      <c r="R854" s="83"/>
      <c r="S854" s="83"/>
      <c r="T854" s="83"/>
      <c r="U854" s="83"/>
      <c r="V854" s="83"/>
      <c r="W854" s="83"/>
      <c r="BO854" s="912"/>
    </row>
    <row r="855" spans="2:67">
      <c r="B855" s="222"/>
      <c r="C855" s="1414" t="s">
        <v>4357</v>
      </c>
      <c r="D855" s="1415" t="s">
        <v>4355</v>
      </c>
      <c r="E855" s="1416" t="s">
        <v>477</v>
      </c>
      <c r="F855" s="1417">
        <v>40</v>
      </c>
      <c r="G855" s="203">
        <f>+SUMIF('AUX-NIV1'!I:I,Recursos!C855,'AUX-NIV1'!Q:Q)+SUMIF('AUX-NIV2'!I:I,Recursos!C855,'AUX-NIV2'!Q:Q)+SUMIF('AUX-NIV3'!I:I,Recursos!C855,'AUX-NIV3'!Q:Q)</f>
        <v>0</v>
      </c>
      <c r="H855" s="204">
        <f t="shared" ref="H855:H922" si="79">+F855*G855</f>
        <v>0</v>
      </c>
      <c r="I855" s="366">
        <f t="shared" ref="I855:I869" si="80">+H855/$I$3</f>
        <v>0</v>
      </c>
      <c r="J855" s="1418"/>
      <c r="L855" s="83"/>
      <c r="M855" s="83"/>
      <c r="N855" s="83"/>
      <c r="O855" s="83"/>
      <c r="P855" s="83"/>
      <c r="Q855" s="83"/>
      <c r="R855" s="83"/>
      <c r="S855" s="83"/>
      <c r="T855" s="83"/>
      <c r="U855" s="83"/>
      <c r="V855" s="83"/>
      <c r="W855" s="83"/>
      <c r="BO855" s="912"/>
    </row>
    <row r="856" spans="2:67">
      <c r="B856" s="222"/>
      <c r="C856" s="1414" t="s">
        <v>4358</v>
      </c>
      <c r="D856" s="1415" t="s">
        <v>4356</v>
      </c>
      <c r="E856" s="1416" t="s">
        <v>477</v>
      </c>
      <c r="F856" s="1417">
        <v>100</v>
      </c>
      <c r="G856" s="203">
        <f>+SUMIF('AUX-NIV1'!I:I,Recursos!C856,'AUX-NIV1'!Q:Q)+SUMIF('AUX-NIV2'!I:I,Recursos!C856,'AUX-NIV2'!Q:Q)+SUMIF('AUX-NIV3'!I:I,Recursos!C856,'AUX-NIV3'!Q:Q)</f>
        <v>0</v>
      </c>
      <c r="H856" s="204">
        <f t="shared" si="79"/>
        <v>0</v>
      </c>
      <c r="I856" s="366">
        <f t="shared" si="80"/>
        <v>0</v>
      </c>
      <c r="J856" s="1418"/>
      <c r="L856" s="83"/>
      <c r="M856" s="83"/>
      <c r="N856" s="83"/>
      <c r="O856" s="83"/>
      <c r="P856" s="83"/>
      <c r="Q856" s="83"/>
      <c r="R856" s="83"/>
      <c r="S856" s="83"/>
      <c r="T856" s="83"/>
      <c r="U856" s="83"/>
      <c r="V856" s="83"/>
      <c r="W856" s="83"/>
      <c r="BO856" s="912"/>
    </row>
    <row r="857" spans="2:67">
      <c r="B857" s="222"/>
      <c r="C857" s="1414" t="s">
        <v>4359</v>
      </c>
      <c r="D857" s="1415" t="s">
        <v>4360</v>
      </c>
      <c r="E857" s="1416" t="s">
        <v>477</v>
      </c>
      <c r="F857" s="1417">
        <f>950/3</f>
        <v>316.66666666666669</v>
      </c>
      <c r="G857" s="203">
        <f>+SUMIF('AUX-NIV1'!I:I,Recursos!C857,'AUX-NIV1'!Q:Q)+SUMIF('AUX-NIV2'!I:I,Recursos!C857,'AUX-NIV2'!Q:Q)+SUMIF('AUX-NIV3'!I:I,Recursos!C857,'AUX-NIV3'!Q:Q)</f>
        <v>0</v>
      </c>
      <c r="H857" s="204">
        <f t="shared" si="79"/>
        <v>0</v>
      </c>
      <c r="I857" s="366">
        <f t="shared" si="80"/>
        <v>0</v>
      </c>
      <c r="J857" s="1418"/>
      <c r="L857" s="83"/>
      <c r="M857" s="83"/>
      <c r="N857" s="83"/>
      <c r="O857" s="83"/>
      <c r="P857" s="83"/>
      <c r="Q857" s="83"/>
      <c r="R857" s="83"/>
      <c r="S857" s="83"/>
      <c r="T857" s="83"/>
      <c r="U857" s="83"/>
      <c r="V857" s="83"/>
      <c r="W857" s="83"/>
      <c r="BO857" s="912"/>
    </row>
    <row r="858" spans="2:67">
      <c r="B858" s="222"/>
      <c r="C858" s="1414" t="s">
        <v>4361</v>
      </c>
      <c r="D858" s="1415" t="s">
        <v>4363</v>
      </c>
      <c r="E858" s="1416" t="s">
        <v>610</v>
      </c>
      <c r="F858" s="1417">
        <f>400/1.21</f>
        <v>330.57851239669424</v>
      </c>
      <c r="G858" s="203">
        <f>+SUMIF('AUX-NIV1'!I:I,Recursos!C858,'AUX-NIV1'!Q:Q)+SUMIF('AUX-NIV2'!I:I,Recursos!C858,'AUX-NIV2'!Q:Q)+SUMIF('AUX-NIV3'!I:I,Recursos!C858,'AUX-NIV3'!Q:Q)</f>
        <v>0</v>
      </c>
      <c r="H858" s="204">
        <f t="shared" si="79"/>
        <v>0</v>
      </c>
      <c r="I858" s="366">
        <f t="shared" si="80"/>
        <v>0</v>
      </c>
      <c r="J858" s="1418"/>
      <c r="L858" s="83"/>
      <c r="M858" s="83"/>
      <c r="N858" s="83"/>
      <c r="O858" s="83"/>
      <c r="P858" s="83"/>
      <c r="Q858" s="83"/>
      <c r="R858" s="83"/>
      <c r="S858" s="83"/>
      <c r="T858" s="83"/>
      <c r="U858" s="83"/>
      <c r="V858" s="83"/>
      <c r="W858" s="83"/>
      <c r="BO858" s="912"/>
    </row>
    <row r="859" spans="2:67">
      <c r="B859" s="222"/>
      <c r="C859" s="1414" t="s">
        <v>4362</v>
      </c>
      <c r="D859" s="1415" t="s">
        <v>4364</v>
      </c>
      <c r="E859" s="1416" t="s">
        <v>610</v>
      </c>
      <c r="F859" s="1417">
        <f>400/1.21</f>
        <v>330.57851239669424</v>
      </c>
      <c r="G859" s="203">
        <f>+SUMIF('AUX-NIV1'!I:I,Recursos!C859,'AUX-NIV1'!Q:Q)+SUMIF('AUX-NIV2'!I:I,Recursos!C859,'AUX-NIV2'!Q:Q)+SUMIF('AUX-NIV3'!I:I,Recursos!C859,'AUX-NIV3'!Q:Q)</f>
        <v>0</v>
      </c>
      <c r="H859" s="204">
        <f t="shared" si="79"/>
        <v>0</v>
      </c>
      <c r="I859" s="366">
        <f t="shared" si="80"/>
        <v>0</v>
      </c>
      <c r="J859" s="1418"/>
      <c r="L859" s="83"/>
      <c r="M859" s="83"/>
      <c r="N859" s="83"/>
      <c r="O859" s="83"/>
      <c r="P859" s="83"/>
      <c r="Q859" s="83"/>
      <c r="R859" s="83"/>
      <c r="S859" s="83"/>
      <c r="T859" s="83"/>
      <c r="U859" s="83"/>
      <c r="V859" s="83"/>
      <c r="W859" s="83"/>
      <c r="BO859" s="912"/>
    </row>
    <row r="860" spans="2:67">
      <c r="B860" s="222"/>
      <c r="C860" s="1414" t="s">
        <v>4370</v>
      </c>
      <c r="D860" s="1415" t="s">
        <v>4368</v>
      </c>
      <c r="E860" s="1416" t="s">
        <v>610</v>
      </c>
      <c r="F860" s="1417">
        <v>6100</v>
      </c>
      <c r="G860" s="203">
        <f>+SUMIF('AUX-NIV1'!I:I,Recursos!C860,'AUX-NIV1'!Q:Q)+SUMIF('AUX-NIV2'!I:I,Recursos!C860,'AUX-NIV2'!Q:Q)+SUMIF('AUX-NIV3'!I:I,Recursos!C860,'AUX-NIV3'!Q:Q)</f>
        <v>0</v>
      </c>
      <c r="H860" s="204">
        <f t="shared" si="79"/>
        <v>0</v>
      </c>
      <c r="I860" s="366">
        <f t="shared" si="80"/>
        <v>0</v>
      </c>
      <c r="J860" s="1418"/>
      <c r="L860" s="83"/>
      <c r="M860" s="83"/>
      <c r="N860" s="83"/>
      <c r="O860" s="83"/>
      <c r="P860" s="83"/>
      <c r="Q860" s="83"/>
      <c r="R860" s="83"/>
      <c r="S860" s="83"/>
      <c r="T860" s="83"/>
      <c r="U860" s="83"/>
      <c r="V860" s="83"/>
      <c r="W860" s="83"/>
      <c r="BO860" s="912"/>
    </row>
    <row r="861" spans="2:67">
      <c r="B861" s="222"/>
      <c r="C861" s="1414" t="s">
        <v>4371</v>
      </c>
      <c r="D861" s="1415" t="s">
        <v>4369</v>
      </c>
      <c r="E861" s="1416" t="s">
        <v>610</v>
      </c>
      <c r="F861" s="1417">
        <v>3800</v>
      </c>
      <c r="G861" s="203">
        <f>+SUMIF('AUX-NIV1'!I:I,Recursos!C861,'AUX-NIV1'!Q:Q)+SUMIF('AUX-NIV2'!I:I,Recursos!C861,'AUX-NIV2'!Q:Q)+SUMIF('AUX-NIV3'!I:I,Recursos!C861,'AUX-NIV3'!Q:Q)</f>
        <v>0</v>
      </c>
      <c r="H861" s="204">
        <f t="shared" si="79"/>
        <v>0</v>
      </c>
      <c r="I861" s="366">
        <f t="shared" si="80"/>
        <v>0</v>
      </c>
      <c r="J861" s="1418"/>
      <c r="L861" s="83"/>
      <c r="M861" s="83"/>
      <c r="N861" s="83"/>
      <c r="O861" s="83"/>
      <c r="P861" s="83"/>
      <c r="Q861" s="83"/>
      <c r="R861" s="83"/>
      <c r="S861" s="83"/>
      <c r="T861" s="83"/>
      <c r="U861" s="83"/>
      <c r="V861" s="83"/>
      <c r="W861" s="83"/>
      <c r="BO861" s="912"/>
    </row>
    <row r="862" spans="2:67">
      <c r="B862" s="222"/>
      <c r="C862" s="1414" t="s">
        <v>4374</v>
      </c>
      <c r="D862" s="1415" t="s">
        <v>4375</v>
      </c>
      <c r="E862" s="1416" t="s">
        <v>610</v>
      </c>
      <c r="F862" s="1417">
        <v>1500</v>
      </c>
      <c r="G862" s="203">
        <f>+SUMIF('AUX-NIV1'!I:I,Recursos!C862,'AUX-NIV1'!Q:Q)+SUMIF('AUX-NIV2'!I:I,Recursos!C862,'AUX-NIV2'!Q:Q)+SUMIF('AUX-NIV3'!I:I,Recursos!C862,'AUX-NIV3'!Q:Q)</f>
        <v>0</v>
      </c>
      <c r="H862" s="204">
        <f t="shared" si="79"/>
        <v>0</v>
      </c>
      <c r="I862" s="366">
        <f t="shared" ref="I862" si="81">+H862/$I$3</f>
        <v>0</v>
      </c>
      <c r="J862" s="1418"/>
      <c r="L862" s="83"/>
      <c r="M862" s="83"/>
      <c r="N862" s="83"/>
      <c r="O862" s="83"/>
      <c r="P862" s="83"/>
      <c r="Q862" s="83"/>
      <c r="R862" s="83"/>
      <c r="S862" s="83"/>
      <c r="T862" s="83"/>
      <c r="U862" s="83"/>
      <c r="V862" s="83"/>
      <c r="W862" s="83"/>
      <c r="BO862" s="912"/>
    </row>
    <row r="863" spans="2:67">
      <c r="B863" s="222"/>
      <c r="C863" s="1414" t="s">
        <v>4372</v>
      </c>
      <c r="D863" s="1415" t="s">
        <v>4373</v>
      </c>
      <c r="E863" s="1416" t="s">
        <v>610</v>
      </c>
      <c r="F863" s="1417">
        <v>5000</v>
      </c>
      <c r="G863" s="203">
        <f>+SUMIF('AUX-NIV1'!I:I,Recursos!C863,'AUX-NIV1'!Q:Q)+SUMIF('AUX-NIV2'!I:I,Recursos!C863,'AUX-NIV2'!Q:Q)+SUMIF('AUX-NIV3'!I:I,Recursos!C863,'AUX-NIV3'!Q:Q)</f>
        <v>0</v>
      </c>
      <c r="H863" s="204">
        <f t="shared" si="79"/>
        <v>0</v>
      </c>
      <c r="I863" s="366">
        <f t="shared" si="80"/>
        <v>0</v>
      </c>
      <c r="J863" s="1418"/>
      <c r="L863" s="83"/>
      <c r="M863" s="83"/>
      <c r="N863" s="83"/>
      <c r="O863" s="83"/>
      <c r="P863" s="83"/>
      <c r="Q863" s="83"/>
      <c r="R863" s="83"/>
      <c r="S863" s="83"/>
      <c r="T863" s="83"/>
      <c r="U863" s="83"/>
      <c r="V863" s="83"/>
      <c r="W863" s="83"/>
      <c r="BO863" s="912"/>
    </row>
    <row r="864" spans="2:67">
      <c r="B864" s="222"/>
      <c r="C864" s="1414" t="s">
        <v>4376</v>
      </c>
      <c r="D864" s="1415" t="s">
        <v>4378</v>
      </c>
      <c r="E864" s="1416" t="s">
        <v>610</v>
      </c>
      <c r="F864" s="1417">
        <v>450</v>
      </c>
      <c r="G864" s="203">
        <f>+SUMIF('AUX-NIV1'!I:I,Recursos!C864,'AUX-NIV1'!Q:Q)+SUMIF('AUX-NIV2'!I:I,Recursos!C864,'AUX-NIV2'!Q:Q)+SUMIF('AUX-NIV3'!I:I,Recursos!C864,'AUX-NIV3'!Q:Q)</f>
        <v>0</v>
      </c>
      <c r="H864" s="204">
        <f t="shared" si="79"/>
        <v>0</v>
      </c>
      <c r="I864" s="366">
        <f t="shared" si="80"/>
        <v>0</v>
      </c>
      <c r="J864" s="1418"/>
      <c r="L864" s="83"/>
      <c r="M864" s="83"/>
      <c r="N864" s="83"/>
      <c r="O864" s="83"/>
      <c r="P864" s="83"/>
      <c r="Q864" s="83"/>
      <c r="R864" s="83"/>
      <c r="S864" s="83"/>
      <c r="T864" s="83"/>
      <c r="U864" s="83"/>
      <c r="V864" s="83"/>
      <c r="W864" s="83"/>
      <c r="BO864" s="912"/>
    </row>
    <row r="865" spans="2:67">
      <c r="B865" s="222"/>
      <c r="C865" s="1414" t="s">
        <v>4377</v>
      </c>
      <c r="D865" s="1415" t="s">
        <v>4379</v>
      </c>
      <c r="E865" s="1416" t="s">
        <v>610</v>
      </c>
      <c r="F865" s="1417">
        <v>1440</v>
      </c>
      <c r="G865" s="203">
        <f>+SUMIF('AUX-NIV1'!I:I,Recursos!C865,'AUX-NIV1'!Q:Q)+SUMIF('AUX-NIV2'!I:I,Recursos!C865,'AUX-NIV2'!Q:Q)+SUMIF('AUX-NIV3'!I:I,Recursos!C865,'AUX-NIV3'!Q:Q)</f>
        <v>0</v>
      </c>
      <c r="H865" s="204">
        <f t="shared" si="79"/>
        <v>0</v>
      </c>
      <c r="I865" s="366">
        <f t="shared" si="80"/>
        <v>0</v>
      </c>
      <c r="J865" s="1418"/>
      <c r="L865" s="83"/>
      <c r="M865" s="83"/>
      <c r="N865" s="83"/>
      <c r="O865" s="83"/>
      <c r="P865" s="83"/>
      <c r="Q865" s="83"/>
      <c r="R865" s="83"/>
      <c r="S865" s="83"/>
      <c r="T865" s="83"/>
      <c r="U865" s="83"/>
      <c r="V865" s="83"/>
      <c r="W865" s="83"/>
      <c r="BO865" s="912"/>
    </row>
    <row r="866" spans="2:67" ht="12.75" customHeight="1">
      <c r="B866" s="222"/>
      <c r="C866" s="1414" t="s">
        <v>4380</v>
      </c>
      <c r="D866" s="1415" t="s">
        <v>4381</v>
      </c>
      <c r="E866" s="1416" t="s">
        <v>610</v>
      </c>
      <c r="F866" s="1417">
        <v>5800</v>
      </c>
      <c r="G866" s="203">
        <f>+SUMIF('AUX-NIV1'!I:I,Recursos!C866,'AUX-NIV1'!Q:Q)+SUMIF('AUX-NIV2'!I:I,Recursos!C866,'AUX-NIV2'!Q:Q)+SUMIF('AUX-NIV3'!I:I,Recursos!C866,'AUX-NIV3'!Q:Q)</f>
        <v>0</v>
      </c>
      <c r="H866" s="204">
        <f t="shared" si="79"/>
        <v>0</v>
      </c>
      <c r="I866" s="366">
        <f t="shared" si="80"/>
        <v>0</v>
      </c>
      <c r="J866" s="1418"/>
      <c r="L866" s="83"/>
      <c r="M866" s="83"/>
      <c r="N866" s="83"/>
      <c r="O866" s="83"/>
      <c r="P866" s="83"/>
      <c r="Q866" s="83"/>
      <c r="R866" s="83"/>
      <c r="S866" s="83"/>
      <c r="T866" s="83"/>
      <c r="U866" s="83"/>
      <c r="V866" s="83"/>
      <c r="W866" s="83"/>
      <c r="BO866" s="912"/>
    </row>
    <row r="867" spans="2:67" ht="12.75" customHeight="1">
      <c r="B867" s="222"/>
      <c r="C867" s="1414" t="s">
        <v>4663</v>
      </c>
      <c r="D867" s="1415" t="s">
        <v>4664</v>
      </c>
      <c r="E867" s="1416" t="s">
        <v>610</v>
      </c>
      <c r="F867" s="1692">
        <v>1500</v>
      </c>
      <c r="G867" s="203">
        <f>+SUMIF('AUX-NIV1'!I:I,Recursos!C867,'AUX-NIV1'!Q:Q)+SUMIF('AUX-NIV2'!I:I,Recursos!C867,'AUX-NIV2'!Q:Q)+SUMIF('AUX-NIV3'!I:I,Recursos!C867,'AUX-NIV3'!Q:Q)</f>
        <v>0</v>
      </c>
      <c r="H867" s="204">
        <f t="shared" ref="H867" si="82">+F867*G867</f>
        <v>0</v>
      </c>
      <c r="I867" s="366">
        <f t="shared" ref="I867" si="83">+H867/$I$3</f>
        <v>0</v>
      </c>
      <c r="J867" s="1418"/>
      <c r="L867" s="83"/>
      <c r="M867" s="83"/>
      <c r="N867" s="83"/>
      <c r="O867" s="83"/>
      <c r="P867" s="83"/>
      <c r="Q867" s="83"/>
      <c r="R867" s="83"/>
      <c r="S867" s="83"/>
      <c r="T867" s="83"/>
      <c r="U867" s="83"/>
      <c r="V867" s="83"/>
      <c r="W867" s="83"/>
      <c r="BO867" s="912"/>
    </row>
    <row r="868" spans="2:67">
      <c r="B868" s="222"/>
      <c r="C868" s="1414" t="s">
        <v>4384</v>
      </c>
      <c r="D868" s="1415" t="s">
        <v>4386</v>
      </c>
      <c r="E868" s="1416" t="s">
        <v>610</v>
      </c>
      <c r="F868" s="1417">
        <v>27000</v>
      </c>
      <c r="G868" s="203">
        <f>+SUMIF('AUX-NIV1'!I:I,Recursos!C868,'AUX-NIV1'!Q:Q)+SUMIF('AUX-NIV2'!I:I,Recursos!C868,'AUX-NIV2'!Q:Q)+SUMIF('AUX-NIV3'!I:I,Recursos!C868,'AUX-NIV3'!Q:Q)</f>
        <v>0</v>
      </c>
      <c r="H868" s="204">
        <f t="shared" si="79"/>
        <v>0</v>
      </c>
      <c r="I868" s="366">
        <f t="shared" si="80"/>
        <v>0</v>
      </c>
      <c r="J868" s="1418"/>
      <c r="L868" s="83"/>
      <c r="M868" s="83"/>
      <c r="N868" s="83"/>
      <c r="O868" s="83"/>
      <c r="P868" s="83"/>
      <c r="Q868" s="83"/>
      <c r="R868" s="83"/>
      <c r="S868" s="83"/>
      <c r="T868" s="83"/>
      <c r="U868" s="83"/>
      <c r="V868" s="83"/>
      <c r="W868" s="83"/>
      <c r="BO868" s="912"/>
    </row>
    <row r="869" spans="2:67">
      <c r="B869" s="222"/>
      <c r="C869" s="1414" t="s">
        <v>4385</v>
      </c>
      <c r="D869" s="1415" t="s">
        <v>4387</v>
      </c>
      <c r="E869" s="1416" t="s">
        <v>610</v>
      </c>
      <c r="F869" s="1417">
        <v>2200</v>
      </c>
      <c r="G869" s="203">
        <f>+SUMIF('AUX-NIV1'!I:I,Recursos!C869,'AUX-NIV1'!Q:Q)+SUMIF('AUX-NIV2'!I:I,Recursos!C869,'AUX-NIV2'!Q:Q)+SUMIF('AUX-NIV3'!I:I,Recursos!C869,'AUX-NIV3'!Q:Q)</f>
        <v>0</v>
      </c>
      <c r="H869" s="204">
        <f t="shared" si="79"/>
        <v>0</v>
      </c>
      <c r="I869" s="366">
        <f t="shared" si="80"/>
        <v>0</v>
      </c>
      <c r="J869" s="1418"/>
      <c r="L869" s="83"/>
      <c r="M869" s="83"/>
      <c r="N869" s="83"/>
      <c r="O869" s="83"/>
      <c r="P869" s="83"/>
      <c r="Q869" s="83"/>
      <c r="R869" s="83"/>
      <c r="S869" s="83"/>
      <c r="T869" s="83"/>
      <c r="U869" s="83"/>
      <c r="V869" s="83"/>
      <c r="W869" s="83"/>
      <c r="BO869" s="912"/>
    </row>
    <row r="870" spans="2:67">
      <c r="B870" s="222"/>
      <c r="C870" s="1414" t="s">
        <v>4572</v>
      </c>
      <c r="D870" s="1415" t="s">
        <v>4573</v>
      </c>
      <c r="E870" s="1416" t="s">
        <v>610</v>
      </c>
      <c r="F870" s="1417">
        <v>6000</v>
      </c>
      <c r="G870" s="203">
        <f>+SUMIF('AUX-NIV1'!I:I,Recursos!C870,'AUX-NIV1'!Q:Q)+SUMIF('AUX-NIV2'!I:I,Recursos!C870,'AUX-NIV2'!Q:Q)+SUMIF('AUX-NIV3'!I:I,Recursos!C870,'AUX-NIV3'!Q:Q)</f>
        <v>0</v>
      </c>
      <c r="H870" s="204">
        <f t="shared" si="79"/>
        <v>0</v>
      </c>
      <c r="I870" s="366">
        <f t="shared" ref="I870" si="84">+H870/$I$3</f>
        <v>0</v>
      </c>
      <c r="J870" s="1418"/>
      <c r="L870" s="83"/>
      <c r="M870" s="83"/>
      <c r="N870" s="83"/>
      <c r="O870" s="83"/>
      <c r="P870" s="83"/>
      <c r="Q870" s="83"/>
      <c r="R870" s="83"/>
      <c r="S870" s="83"/>
      <c r="T870" s="83"/>
      <c r="U870" s="83"/>
      <c r="V870" s="83"/>
      <c r="W870" s="83"/>
      <c r="BO870" s="912"/>
    </row>
    <row r="871" spans="2:67">
      <c r="B871" s="222"/>
      <c r="C871" s="1414" t="s">
        <v>4390</v>
      </c>
      <c r="D871" s="1415" t="s">
        <v>4394</v>
      </c>
      <c r="E871" s="1416" t="s">
        <v>477</v>
      </c>
      <c r="F871" s="1417">
        <v>360</v>
      </c>
      <c r="G871" s="203">
        <f>+SUMIF('AUX-NIV1'!I:I,Recursos!C871,'AUX-NIV1'!Q:Q)+SUMIF('AUX-NIV2'!I:I,Recursos!C871,'AUX-NIV2'!Q:Q)+SUMIF('AUX-NIV3'!I:I,Recursos!C871,'AUX-NIV3'!Q:Q)</f>
        <v>0</v>
      </c>
      <c r="H871" s="204">
        <f t="shared" si="79"/>
        <v>0</v>
      </c>
      <c r="I871" s="366">
        <f t="shared" ref="I871:I875" si="85">+H871/$I$3</f>
        <v>0</v>
      </c>
      <c r="J871" s="1418"/>
      <c r="L871" s="83"/>
      <c r="M871" s="83"/>
      <c r="N871" s="83"/>
      <c r="O871" s="83"/>
      <c r="P871" s="83"/>
      <c r="Q871" s="83"/>
      <c r="R871" s="83"/>
      <c r="S871" s="83"/>
      <c r="T871" s="83"/>
      <c r="U871" s="83"/>
      <c r="V871" s="83"/>
      <c r="W871" s="83"/>
      <c r="BO871" s="912"/>
    </row>
    <row r="872" spans="2:67">
      <c r="B872" s="222"/>
      <c r="C872" s="1414" t="s">
        <v>4391</v>
      </c>
      <c r="D872" s="1415" t="s">
        <v>4395</v>
      </c>
      <c r="E872" s="1416" t="s">
        <v>477</v>
      </c>
      <c r="F872" s="1417">
        <f>1145/4</f>
        <v>286.25</v>
      </c>
      <c r="G872" s="203">
        <f>+SUMIF('AUX-NIV1'!I:I,Recursos!C872,'AUX-NIV1'!Q:Q)+SUMIF('AUX-NIV2'!I:I,Recursos!C872,'AUX-NIV2'!Q:Q)+SUMIF('AUX-NIV3'!I:I,Recursos!C872,'AUX-NIV3'!Q:Q)</f>
        <v>0</v>
      </c>
      <c r="H872" s="204">
        <f t="shared" si="79"/>
        <v>0</v>
      </c>
      <c r="I872" s="366">
        <f t="shared" si="85"/>
        <v>0</v>
      </c>
      <c r="J872" s="1418"/>
      <c r="L872" s="83"/>
      <c r="M872" s="83"/>
      <c r="N872" s="83"/>
      <c r="O872" s="83"/>
      <c r="P872" s="83"/>
      <c r="Q872" s="83"/>
      <c r="R872" s="83"/>
      <c r="S872" s="83"/>
      <c r="T872" s="83"/>
      <c r="U872" s="83"/>
      <c r="V872" s="83"/>
      <c r="W872" s="83"/>
      <c r="BO872" s="912"/>
    </row>
    <row r="873" spans="2:67">
      <c r="B873" s="222"/>
      <c r="C873" s="1414" t="s">
        <v>4392</v>
      </c>
      <c r="D873" s="1415" t="s">
        <v>4393</v>
      </c>
      <c r="E873" s="1416" t="s">
        <v>610</v>
      </c>
      <c r="F873" s="1417">
        <v>725</v>
      </c>
      <c r="G873" s="203">
        <f>+SUMIF('AUX-NIV1'!I:I,Recursos!C873,'AUX-NIV1'!Q:Q)+SUMIF('AUX-NIV2'!I:I,Recursos!C873,'AUX-NIV2'!Q:Q)+SUMIF('AUX-NIV3'!I:I,Recursos!C873,'AUX-NIV3'!Q:Q)</f>
        <v>0</v>
      </c>
      <c r="H873" s="204">
        <f t="shared" si="79"/>
        <v>0</v>
      </c>
      <c r="I873" s="366">
        <f t="shared" si="85"/>
        <v>0</v>
      </c>
      <c r="J873" s="1418"/>
      <c r="L873" s="83"/>
      <c r="M873" s="83"/>
      <c r="N873" s="83"/>
      <c r="O873" s="83"/>
      <c r="P873" s="83"/>
      <c r="Q873" s="83"/>
      <c r="R873" s="83"/>
      <c r="S873" s="83"/>
      <c r="T873" s="83"/>
      <c r="U873" s="83"/>
      <c r="V873" s="83"/>
      <c r="W873" s="83"/>
      <c r="BO873" s="912"/>
    </row>
    <row r="874" spans="2:67">
      <c r="B874" s="222"/>
      <c r="C874" s="1414" t="s">
        <v>4396</v>
      </c>
      <c r="D874" s="1415" t="s">
        <v>4397</v>
      </c>
      <c r="E874" s="1416" t="s">
        <v>610</v>
      </c>
      <c r="F874" s="1417">
        <v>7500</v>
      </c>
      <c r="G874" s="203">
        <f>+SUMIF('AUX-NIV1'!I:I,Recursos!C874,'AUX-NIV1'!Q:Q)+SUMIF('AUX-NIV2'!I:I,Recursos!C874,'AUX-NIV2'!Q:Q)+SUMIF('AUX-NIV3'!I:I,Recursos!C874,'AUX-NIV3'!Q:Q)</f>
        <v>0</v>
      </c>
      <c r="H874" s="204">
        <f t="shared" si="79"/>
        <v>0</v>
      </c>
      <c r="I874" s="366">
        <f t="shared" si="85"/>
        <v>0</v>
      </c>
      <c r="J874" s="1418"/>
      <c r="L874" s="83"/>
      <c r="M874" s="83"/>
      <c r="N874" s="83"/>
      <c r="O874" s="83"/>
      <c r="P874" s="83"/>
      <c r="Q874" s="83"/>
      <c r="R874" s="83"/>
      <c r="S874" s="83"/>
      <c r="T874" s="83"/>
      <c r="U874" s="83"/>
      <c r="V874" s="83"/>
      <c r="W874" s="83"/>
      <c r="BO874" s="912"/>
    </row>
    <row r="875" spans="2:67">
      <c r="B875" s="222"/>
      <c r="C875" s="1414" t="s">
        <v>4398</v>
      </c>
      <c r="D875" s="1415" t="s">
        <v>4399</v>
      </c>
      <c r="E875" s="1416" t="s">
        <v>610</v>
      </c>
      <c r="F875" s="1417">
        <v>670</v>
      </c>
      <c r="G875" s="203">
        <f>+SUMIF('AUX-NIV1'!I:I,Recursos!C875,'AUX-NIV1'!Q:Q)+SUMIF('AUX-NIV2'!I:I,Recursos!C875,'AUX-NIV2'!Q:Q)+SUMIF('AUX-NIV3'!I:I,Recursos!C875,'AUX-NIV3'!Q:Q)</f>
        <v>0</v>
      </c>
      <c r="H875" s="204">
        <f t="shared" si="79"/>
        <v>0</v>
      </c>
      <c r="I875" s="366">
        <f t="shared" si="85"/>
        <v>0</v>
      </c>
      <c r="J875" s="1418"/>
      <c r="L875" s="83"/>
      <c r="M875" s="83"/>
      <c r="N875" s="83"/>
      <c r="O875" s="83"/>
      <c r="P875" s="83"/>
      <c r="Q875" s="83"/>
      <c r="R875" s="83"/>
      <c r="S875" s="83"/>
      <c r="T875" s="83"/>
      <c r="U875" s="83"/>
      <c r="V875" s="83"/>
      <c r="W875" s="83"/>
      <c r="BO875" s="912"/>
    </row>
    <row r="876" spans="2:67">
      <c r="B876" s="222"/>
      <c r="C876" s="1414" t="s">
        <v>4418</v>
      </c>
      <c r="D876" s="1415" t="s">
        <v>4419</v>
      </c>
      <c r="E876" s="1416" t="s">
        <v>610</v>
      </c>
      <c r="F876" s="1417">
        <v>1000</v>
      </c>
      <c r="G876" s="203">
        <f>+SUMIF('AUX-NIV1'!I:I,Recursos!C876,'AUX-NIV1'!Q:Q)+SUMIF('AUX-NIV2'!I:I,Recursos!C876,'AUX-NIV2'!Q:Q)+SUMIF('AUX-NIV3'!I:I,Recursos!C876,'AUX-NIV3'!Q:Q)</f>
        <v>0</v>
      </c>
      <c r="H876" s="204">
        <f t="shared" si="79"/>
        <v>0</v>
      </c>
      <c r="I876" s="366">
        <f t="shared" ref="I876" si="86">+H876/$I$3</f>
        <v>0</v>
      </c>
      <c r="J876" s="1418"/>
      <c r="L876" s="83"/>
      <c r="M876" s="83"/>
      <c r="N876" s="83"/>
      <c r="O876" s="83"/>
      <c r="P876" s="83"/>
      <c r="Q876" s="83"/>
      <c r="R876" s="83"/>
      <c r="S876" s="83"/>
      <c r="T876" s="83"/>
      <c r="U876" s="83"/>
      <c r="V876" s="83"/>
      <c r="W876" s="83"/>
      <c r="BO876" s="912"/>
    </row>
    <row r="877" spans="2:67">
      <c r="B877" s="222"/>
      <c r="C877" s="1414" t="s">
        <v>4400</v>
      </c>
      <c r="D877" s="1415" t="s">
        <v>4403</v>
      </c>
      <c r="E877" s="1416" t="s">
        <v>477</v>
      </c>
      <c r="F877" s="1417"/>
      <c r="G877" s="203">
        <f>+SUMIF('AUX-NIV1'!I:I,Recursos!C877,'AUX-NIV1'!Q:Q)+SUMIF('AUX-NIV2'!I:I,Recursos!C877,'AUX-NIV2'!Q:Q)+SUMIF('AUX-NIV3'!I:I,Recursos!C877,'AUX-NIV3'!Q:Q)</f>
        <v>0</v>
      </c>
      <c r="H877" s="204">
        <f t="shared" si="79"/>
        <v>0</v>
      </c>
      <c r="I877" s="366">
        <f t="shared" ref="I877:I879" si="87">+H877/$I$3</f>
        <v>0</v>
      </c>
      <c r="J877" s="1418"/>
      <c r="L877" s="83"/>
      <c r="M877" s="83"/>
      <c r="N877" s="83"/>
      <c r="O877" s="83"/>
      <c r="P877" s="83"/>
      <c r="Q877" s="83"/>
      <c r="R877" s="83"/>
      <c r="S877" s="83"/>
      <c r="T877" s="83"/>
      <c r="U877" s="83"/>
      <c r="V877" s="83"/>
      <c r="W877" s="83"/>
      <c r="BO877" s="912"/>
    </row>
    <row r="878" spans="2:67">
      <c r="B878" s="222"/>
      <c r="C878" s="1414" t="s">
        <v>4401</v>
      </c>
      <c r="D878" s="1415" t="s">
        <v>4404</v>
      </c>
      <c r="E878" s="1416" t="s">
        <v>477</v>
      </c>
      <c r="F878" s="1417"/>
      <c r="G878" s="203">
        <f>+SUMIF('AUX-NIV1'!I:I,Recursos!C878,'AUX-NIV1'!Q:Q)+SUMIF('AUX-NIV2'!I:I,Recursos!C878,'AUX-NIV2'!Q:Q)+SUMIF('AUX-NIV3'!I:I,Recursos!C878,'AUX-NIV3'!Q:Q)</f>
        <v>0</v>
      </c>
      <c r="H878" s="204">
        <f t="shared" si="79"/>
        <v>0</v>
      </c>
      <c r="I878" s="366">
        <f t="shared" si="87"/>
        <v>0</v>
      </c>
      <c r="J878" s="1418"/>
      <c r="L878" s="83"/>
      <c r="M878" s="83"/>
      <c r="N878" s="83"/>
      <c r="O878" s="83"/>
      <c r="P878" s="83"/>
      <c r="Q878" s="83"/>
      <c r="R878" s="83"/>
      <c r="S878" s="83"/>
      <c r="T878" s="83"/>
      <c r="U878" s="83"/>
      <c r="V878" s="83"/>
      <c r="W878" s="83"/>
      <c r="BO878" s="912"/>
    </row>
    <row r="879" spans="2:67">
      <c r="B879" s="222"/>
      <c r="C879" s="1414" t="s">
        <v>4402</v>
      </c>
      <c r="D879" s="1415" t="s">
        <v>4405</v>
      </c>
      <c r="E879" s="1416" t="s">
        <v>477</v>
      </c>
      <c r="F879" s="1417"/>
      <c r="G879" s="203">
        <f>+SUMIF('AUX-NIV1'!I:I,Recursos!C879,'AUX-NIV1'!Q:Q)+SUMIF('AUX-NIV2'!I:I,Recursos!C879,'AUX-NIV2'!Q:Q)+SUMIF('AUX-NIV3'!I:I,Recursos!C879,'AUX-NIV3'!Q:Q)</f>
        <v>0</v>
      </c>
      <c r="H879" s="204">
        <f t="shared" si="79"/>
        <v>0</v>
      </c>
      <c r="I879" s="366">
        <f t="shared" si="87"/>
        <v>0</v>
      </c>
      <c r="J879" s="1418"/>
      <c r="L879" s="83"/>
      <c r="M879" s="83"/>
      <c r="N879" s="83"/>
      <c r="O879" s="83"/>
      <c r="P879" s="83"/>
      <c r="Q879" s="83"/>
      <c r="R879" s="83"/>
      <c r="S879" s="83"/>
      <c r="T879" s="83"/>
      <c r="U879" s="83"/>
      <c r="V879" s="83"/>
      <c r="W879" s="83"/>
      <c r="BO879" s="912"/>
    </row>
    <row r="880" spans="2:67">
      <c r="B880" s="222"/>
      <c r="C880" s="1414" t="s">
        <v>4406</v>
      </c>
      <c r="D880" s="1415" t="s">
        <v>4407</v>
      </c>
      <c r="E880" s="1416" t="s">
        <v>610</v>
      </c>
      <c r="F880" s="1417">
        <v>120000</v>
      </c>
      <c r="G880" s="203">
        <f>+SUMIF('AUX-NIV1'!I:I,Recursos!C880,'AUX-NIV1'!Q:Q)+SUMIF('AUX-NIV2'!I:I,Recursos!C880,'AUX-NIV2'!Q:Q)+SUMIF('AUX-NIV3'!I:I,Recursos!C880,'AUX-NIV3'!Q:Q)</f>
        <v>0</v>
      </c>
      <c r="H880" s="204">
        <f t="shared" si="79"/>
        <v>0</v>
      </c>
      <c r="I880" s="366">
        <f t="shared" ref="I880:I886" si="88">+H880/$I$3</f>
        <v>0</v>
      </c>
      <c r="J880" s="1418"/>
      <c r="L880" s="83"/>
      <c r="M880" s="83"/>
      <c r="N880" s="83"/>
      <c r="O880" s="83"/>
      <c r="P880" s="83"/>
      <c r="Q880" s="83"/>
      <c r="R880" s="83"/>
      <c r="S880" s="83"/>
      <c r="T880" s="83"/>
      <c r="U880" s="83"/>
      <c r="V880" s="83"/>
      <c r="W880" s="83"/>
      <c r="BO880" s="912"/>
    </row>
    <row r="881" spans="2:67">
      <c r="B881" s="222"/>
      <c r="C881" s="1414" t="s">
        <v>4424</v>
      </c>
      <c r="D881" s="1415" t="s">
        <v>4425</v>
      </c>
      <c r="E881" s="1416" t="s">
        <v>610</v>
      </c>
      <c r="F881" s="1417">
        <v>223000</v>
      </c>
      <c r="G881" s="203">
        <f>+SUMIF('AUX-NIV1'!I:I,Recursos!C881,'AUX-NIV1'!Q:Q)+SUMIF('AUX-NIV2'!I:I,Recursos!C881,'AUX-NIV2'!Q:Q)+SUMIF('AUX-NIV3'!I:I,Recursos!C881,'AUX-NIV3'!Q:Q)</f>
        <v>0</v>
      </c>
      <c r="H881" s="204">
        <f t="shared" si="79"/>
        <v>0</v>
      </c>
      <c r="I881" s="366">
        <f t="shared" si="88"/>
        <v>0</v>
      </c>
      <c r="J881" s="1418"/>
      <c r="L881" s="83"/>
      <c r="M881" s="83"/>
      <c r="N881" s="83"/>
      <c r="O881" s="83"/>
      <c r="P881" s="83"/>
      <c r="Q881" s="83"/>
      <c r="R881" s="83"/>
      <c r="S881" s="83"/>
      <c r="T881" s="83"/>
      <c r="U881" s="83"/>
      <c r="V881" s="83"/>
      <c r="W881" s="83"/>
      <c r="BO881" s="912"/>
    </row>
    <row r="882" spans="2:67">
      <c r="B882" s="222"/>
      <c r="C882" s="1414" t="s">
        <v>4426</v>
      </c>
      <c r="D882" s="1415" t="s">
        <v>4427</v>
      </c>
      <c r="E882" s="1416" t="s">
        <v>610</v>
      </c>
      <c r="F882" s="1417">
        <v>40219.008264462813</v>
      </c>
      <c r="G882" s="203">
        <f>+SUMIF('AUX-NIV1'!I:I,Recursos!C882,'AUX-NIV1'!Q:Q)+SUMIF('AUX-NIV2'!I:I,Recursos!C882,'AUX-NIV2'!Q:Q)+SUMIF('AUX-NIV3'!I:I,Recursos!C882,'AUX-NIV3'!Q:Q)</f>
        <v>0</v>
      </c>
      <c r="H882" s="204">
        <f t="shared" si="79"/>
        <v>0</v>
      </c>
      <c r="I882" s="366">
        <f t="shared" si="88"/>
        <v>0</v>
      </c>
      <c r="J882" s="1418"/>
      <c r="L882" s="83"/>
      <c r="M882" s="83"/>
      <c r="N882" s="83"/>
      <c r="O882" s="83"/>
      <c r="P882" s="83"/>
      <c r="Q882" s="83"/>
      <c r="R882" s="83"/>
      <c r="S882" s="83"/>
      <c r="T882" s="83"/>
      <c r="U882" s="83"/>
      <c r="V882" s="83"/>
      <c r="W882" s="83"/>
      <c r="BO882" s="912"/>
    </row>
    <row r="883" spans="2:67">
      <c r="B883" s="222"/>
      <c r="C883" s="1414" t="s">
        <v>4428</v>
      </c>
      <c r="D883" s="1415" t="s">
        <v>4688</v>
      </c>
      <c r="E883" s="1416" t="s">
        <v>610</v>
      </c>
      <c r="F883" s="1417">
        <f>12430/1.21</f>
        <v>10272.727272727274</v>
      </c>
      <c r="G883" s="203">
        <f>+SUMIF('AUX-NIV1'!I:I,Recursos!C883,'AUX-NIV1'!Q:Q)+SUMIF('AUX-NIV2'!I:I,Recursos!C883,'AUX-NIV2'!Q:Q)+SUMIF('AUX-NIV3'!I:I,Recursos!C883,'AUX-NIV3'!Q:Q)</f>
        <v>0</v>
      </c>
      <c r="H883" s="204">
        <f t="shared" si="79"/>
        <v>0</v>
      </c>
      <c r="I883" s="366">
        <f t="shared" si="88"/>
        <v>0</v>
      </c>
      <c r="J883" s="1418"/>
      <c r="L883" s="83"/>
      <c r="M883" s="83"/>
      <c r="N883" s="83"/>
      <c r="O883" s="83"/>
      <c r="P883" s="83"/>
      <c r="Q883" s="83"/>
      <c r="R883" s="83"/>
      <c r="S883" s="83"/>
      <c r="T883" s="83"/>
      <c r="U883" s="83"/>
      <c r="V883" s="83"/>
      <c r="W883" s="83"/>
      <c r="BO883" s="912"/>
    </row>
    <row r="884" spans="2:67">
      <c r="B884" s="222"/>
      <c r="C884" s="1414" t="s">
        <v>4429</v>
      </c>
      <c r="D884" s="1415" t="s">
        <v>4430</v>
      </c>
      <c r="E884" s="1416" t="s">
        <v>610</v>
      </c>
      <c r="F884" s="1417">
        <v>40563.636363636368</v>
      </c>
      <c r="G884" s="203">
        <f>+SUMIF('AUX-NIV1'!I:I,Recursos!C884,'AUX-NIV1'!Q:Q)+SUMIF('AUX-NIV2'!I:I,Recursos!C884,'AUX-NIV2'!Q:Q)+SUMIF('AUX-NIV3'!I:I,Recursos!C884,'AUX-NIV3'!Q:Q)</f>
        <v>0</v>
      </c>
      <c r="H884" s="204">
        <f t="shared" si="79"/>
        <v>0</v>
      </c>
      <c r="I884" s="366">
        <f t="shared" si="88"/>
        <v>0</v>
      </c>
      <c r="J884" s="1418"/>
      <c r="L884" s="83"/>
      <c r="M884" s="83"/>
      <c r="N884" s="83"/>
      <c r="O884" s="83"/>
      <c r="P884" s="83"/>
      <c r="Q884" s="83"/>
      <c r="R884" s="83"/>
      <c r="S884" s="83"/>
      <c r="T884" s="83"/>
      <c r="U884" s="83"/>
      <c r="V884" s="83"/>
      <c r="W884" s="83"/>
      <c r="BO884" s="912"/>
    </row>
    <row r="885" spans="2:67">
      <c r="B885" s="222"/>
      <c r="C885" s="1414" t="s">
        <v>4431</v>
      </c>
      <c r="D885" s="1415" t="s">
        <v>4432</v>
      </c>
      <c r="E885" s="1416" t="s">
        <v>610</v>
      </c>
      <c r="F885" s="1417">
        <v>2550</v>
      </c>
      <c r="G885" s="203">
        <f>+SUMIF('AUX-NIV1'!I:I,Recursos!C885,'AUX-NIV1'!Q:Q)+SUMIF('AUX-NIV2'!I:I,Recursos!C885,'AUX-NIV2'!Q:Q)+SUMIF('AUX-NIV3'!I:I,Recursos!C885,'AUX-NIV3'!Q:Q)</f>
        <v>0</v>
      </c>
      <c r="H885" s="204">
        <f t="shared" si="79"/>
        <v>0</v>
      </c>
      <c r="I885" s="366">
        <f t="shared" si="88"/>
        <v>0</v>
      </c>
      <c r="J885" s="1418"/>
      <c r="L885" s="83"/>
      <c r="M885" s="83"/>
      <c r="N885" s="83"/>
      <c r="O885" s="83"/>
      <c r="P885" s="83"/>
      <c r="Q885" s="83"/>
      <c r="R885" s="83"/>
      <c r="S885" s="83"/>
      <c r="T885" s="83"/>
      <c r="U885" s="83"/>
      <c r="V885" s="83"/>
      <c r="W885" s="83"/>
      <c r="BO885" s="912"/>
    </row>
    <row r="886" spans="2:67">
      <c r="B886" s="222"/>
      <c r="C886" s="1414" t="s">
        <v>4433</v>
      </c>
      <c r="D886" s="1415" t="s">
        <v>4434</v>
      </c>
      <c r="E886" s="1416" t="s">
        <v>610</v>
      </c>
      <c r="F886" s="1417">
        <v>1487.6033057851241</v>
      </c>
      <c r="G886" s="203">
        <f>+SUMIF('AUX-NIV1'!I:I,Recursos!C886,'AUX-NIV1'!Q:Q)+SUMIF('AUX-NIV2'!I:I,Recursos!C886,'AUX-NIV2'!Q:Q)+SUMIF('AUX-NIV3'!I:I,Recursos!C886,'AUX-NIV3'!Q:Q)</f>
        <v>0</v>
      </c>
      <c r="H886" s="204">
        <f t="shared" si="79"/>
        <v>0</v>
      </c>
      <c r="I886" s="366">
        <f t="shared" si="88"/>
        <v>0</v>
      </c>
      <c r="J886" s="1418"/>
      <c r="L886" s="83"/>
      <c r="M886" s="83"/>
      <c r="N886" s="83"/>
      <c r="O886" s="83"/>
      <c r="P886" s="83"/>
      <c r="Q886" s="83"/>
      <c r="R886" s="83"/>
      <c r="S886" s="83"/>
      <c r="T886" s="83"/>
      <c r="U886" s="83"/>
      <c r="V886" s="83"/>
      <c r="W886" s="83"/>
      <c r="BO886" s="912"/>
    </row>
    <row r="887" spans="2:67">
      <c r="B887" s="222"/>
      <c r="C887" s="1414" t="s">
        <v>4435</v>
      </c>
      <c r="D887" s="1415" t="s">
        <v>4436</v>
      </c>
      <c r="E887" s="1416" t="s">
        <v>610</v>
      </c>
      <c r="F887" s="1417">
        <v>2479.3388429752067</v>
      </c>
      <c r="G887" s="203">
        <f>+SUMIF('AUX-NIV1'!I:I,Recursos!C887,'AUX-NIV1'!Q:Q)+SUMIF('AUX-NIV2'!I:I,Recursos!C887,'AUX-NIV2'!Q:Q)+SUMIF('AUX-NIV3'!I:I,Recursos!C887,'AUX-NIV3'!Q:Q)</f>
        <v>0</v>
      </c>
      <c r="H887" s="204">
        <f t="shared" si="79"/>
        <v>0</v>
      </c>
      <c r="I887" s="366">
        <f t="shared" ref="I887:I900" si="89">+H887/$I$3</f>
        <v>0</v>
      </c>
      <c r="J887" s="1418"/>
      <c r="L887" s="83"/>
      <c r="M887" s="83"/>
      <c r="N887" s="83"/>
      <c r="O887" s="83"/>
      <c r="P887" s="83"/>
      <c r="Q887" s="83"/>
      <c r="R887" s="83"/>
      <c r="S887" s="83"/>
      <c r="T887" s="83"/>
      <c r="U887" s="83"/>
      <c r="V887" s="83"/>
      <c r="W887" s="83"/>
      <c r="BO887" s="912"/>
    </row>
    <row r="888" spans="2:67">
      <c r="B888" s="222"/>
      <c r="C888" s="1414" t="s">
        <v>4437</v>
      </c>
      <c r="D888" s="1415" t="s">
        <v>4438</v>
      </c>
      <c r="E888" s="1416" t="s">
        <v>610</v>
      </c>
      <c r="F888" s="1417">
        <v>1603.3057851239671</v>
      </c>
      <c r="G888" s="203">
        <f>+SUMIF('AUX-NIV1'!I:I,Recursos!C888,'AUX-NIV1'!Q:Q)+SUMIF('AUX-NIV2'!I:I,Recursos!C888,'AUX-NIV2'!Q:Q)+SUMIF('AUX-NIV3'!I:I,Recursos!C888,'AUX-NIV3'!Q:Q)</f>
        <v>0</v>
      </c>
      <c r="H888" s="204">
        <f t="shared" si="79"/>
        <v>0</v>
      </c>
      <c r="I888" s="366">
        <f t="shared" si="89"/>
        <v>0</v>
      </c>
      <c r="J888" s="1418"/>
      <c r="L888" s="83"/>
      <c r="M888" s="83"/>
      <c r="N888" s="83"/>
      <c r="O888" s="83"/>
      <c r="P888" s="83"/>
      <c r="Q888" s="83"/>
      <c r="R888" s="83"/>
      <c r="S888" s="83"/>
      <c r="T888" s="83"/>
      <c r="U888" s="83"/>
      <c r="V888" s="83"/>
      <c r="W888" s="83"/>
      <c r="BO888" s="912"/>
    </row>
    <row r="889" spans="2:67">
      <c r="B889" s="222"/>
      <c r="C889" s="1414" t="s">
        <v>4439</v>
      </c>
      <c r="D889" s="1415" t="s">
        <v>4440</v>
      </c>
      <c r="E889" s="1416" t="s">
        <v>610</v>
      </c>
      <c r="F889" s="1417">
        <v>51239.669421487604</v>
      </c>
      <c r="G889" s="203">
        <f>+SUMIF('AUX-NIV1'!I:I,Recursos!C889,'AUX-NIV1'!Q:Q)+SUMIF('AUX-NIV2'!I:I,Recursos!C889,'AUX-NIV2'!Q:Q)+SUMIF('AUX-NIV3'!I:I,Recursos!C889,'AUX-NIV3'!Q:Q)</f>
        <v>0</v>
      </c>
      <c r="H889" s="204">
        <f t="shared" si="79"/>
        <v>0</v>
      </c>
      <c r="I889" s="366">
        <f t="shared" si="89"/>
        <v>0</v>
      </c>
      <c r="J889" s="1418"/>
      <c r="L889" s="83"/>
      <c r="M889" s="83"/>
      <c r="N889" s="83"/>
      <c r="O889" s="83"/>
      <c r="P889" s="83"/>
      <c r="Q889" s="83"/>
      <c r="R889" s="83"/>
      <c r="S889" s="83"/>
      <c r="T889" s="83"/>
      <c r="U889" s="83"/>
      <c r="V889" s="83"/>
      <c r="W889" s="83"/>
      <c r="BO889" s="912"/>
    </row>
    <row r="890" spans="2:67">
      <c r="B890" s="222"/>
      <c r="C890" s="1414" t="s">
        <v>4441</v>
      </c>
      <c r="D890" s="1415" t="s">
        <v>4442</v>
      </c>
      <c r="E890" s="1416" t="s">
        <v>610</v>
      </c>
      <c r="F890" s="1417">
        <v>1900.8264462809918</v>
      </c>
      <c r="G890" s="203">
        <f>+SUMIF('AUX-NIV1'!I:I,Recursos!C890,'AUX-NIV1'!Q:Q)+SUMIF('AUX-NIV2'!I:I,Recursos!C890,'AUX-NIV2'!Q:Q)+SUMIF('AUX-NIV3'!I:I,Recursos!C890,'AUX-NIV3'!Q:Q)</f>
        <v>0</v>
      </c>
      <c r="H890" s="204">
        <f t="shared" si="79"/>
        <v>0</v>
      </c>
      <c r="I890" s="366">
        <f t="shared" si="89"/>
        <v>0</v>
      </c>
      <c r="J890" s="1418"/>
      <c r="L890" s="83"/>
      <c r="M890" s="83"/>
      <c r="N890" s="83"/>
      <c r="O890" s="83"/>
      <c r="P890" s="83"/>
      <c r="Q890" s="83"/>
      <c r="R890" s="83"/>
      <c r="S890" s="83"/>
      <c r="T890" s="83"/>
      <c r="U890" s="83"/>
      <c r="V890" s="83"/>
      <c r="W890" s="83"/>
      <c r="BO890" s="912"/>
    </row>
    <row r="891" spans="2:67">
      <c r="B891" s="222"/>
      <c r="C891" s="1414" t="s">
        <v>4443</v>
      </c>
      <c r="D891" s="1415" t="s">
        <v>4444</v>
      </c>
      <c r="E891" s="1416" t="s">
        <v>610</v>
      </c>
      <c r="F891" s="1417">
        <v>5371.9008264462809</v>
      </c>
      <c r="G891" s="203">
        <f>+SUMIF('AUX-NIV1'!I:I,Recursos!C891,'AUX-NIV1'!Q:Q)+SUMIF('AUX-NIV2'!I:I,Recursos!C891,'AUX-NIV2'!Q:Q)+SUMIF('AUX-NIV3'!I:I,Recursos!C891,'AUX-NIV3'!Q:Q)</f>
        <v>0</v>
      </c>
      <c r="H891" s="204">
        <f t="shared" si="79"/>
        <v>0</v>
      </c>
      <c r="I891" s="366">
        <f t="shared" si="89"/>
        <v>0</v>
      </c>
      <c r="J891" s="1418"/>
      <c r="L891" s="83"/>
      <c r="M891" s="83"/>
      <c r="N891" s="83"/>
      <c r="O891" s="83"/>
      <c r="P891" s="83"/>
      <c r="Q891" s="83"/>
      <c r="R891" s="83"/>
      <c r="S891" s="83"/>
      <c r="T891" s="83"/>
      <c r="U891" s="83"/>
      <c r="V891" s="83"/>
      <c r="W891" s="83"/>
      <c r="BO891" s="912"/>
    </row>
    <row r="892" spans="2:67">
      <c r="B892" s="222"/>
      <c r="C892" s="1414" t="s">
        <v>4445</v>
      </c>
      <c r="D892" s="1415" t="s">
        <v>4446</v>
      </c>
      <c r="E892" s="1416" t="s">
        <v>610</v>
      </c>
      <c r="F892" s="1417">
        <v>18831.404958677685</v>
      </c>
      <c r="G892" s="203">
        <f>+SUMIF('AUX-NIV1'!I:I,Recursos!C892,'AUX-NIV1'!Q:Q)+SUMIF('AUX-NIV2'!I:I,Recursos!C892,'AUX-NIV2'!Q:Q)+SUMIF('AUX-NIV3'!I:I,Recursos!C892,'AUX-NIV3'!Q:Q)</f>
        <v>0</v>
      </c>
      <c r="H892" s="204">
        <f t="shared" si="79"/>
        <v>0</v>
      </c>
      <c r="I892" s="366">
        <f t="shared" si="89"/>
        <v>0</v>
      </c>
      <c r="J892" s="1418"/>
      <c r="L892" s="83"/>
      <c r="M892" s="83"/>
      <c r="N892" s="83"/>
      <c r="O892" s="83"/>
      <c r="P892" s="83"/>
      <c r="Q892" s="83"/>
      <c r="R892" s="83"/>
      <c r="S892" s="83"/>
      <c r="T892" s="83"/>
      <c r="U892" s="83"/>
      <c r="V892" s="83"/>
      <c r="W892" s="83"/>
      <c r="BO892" s="912"/>
    </row>
    <row r="893" spans="2:67">
      <c r="B893" s="222"/>
      <c r="C893" s="1414" t="s">
        <v>4447</v>
      </c>
      <c r="D893" s="1415" t="s">
        <v>4448</v>
      </c>
      <c r="E893" s="1416" t="s">
        <v>610</v>
      </c>
      <c r="F893" s="1417">
        <v>3471.0743801652893</v>
      </c>
      <c r="G893" s="203">
        <f>+SUMIF('AUX-NIV1'!I:I,Recursos!C893,'AUX-NIV1'!Q:Q)+SUMIF('AUX-NIV2'!I:I,Recursos!C893,'AUX-NIV2'!Q:Q)+SUMIF('AUX-NIV3'!I:I,Recursos!C893,'AUX-NIV3'!Q:Q)</f>
        <v>0</v>
      </c>
      <c r="H893" s="204">
        <f t="shared" si="79"/>
        <v>0</v>
      </c>
      <c r="I893" s="366">
        <f t="shared" si="89"/>
        <v>0</v>
      </c>
      <c r="J893" s="1418"/>
      <c r="L893" s="83"/>
      <c r="M893" s="83"/>
      <c r="N893" s="83"/>
      <c r="O893" s="83"/>
      <c r="P893" s="83"/>
      <c r="Q893" s="83"/>
      <c r="R893" s="83"/>
      <c r="S893" s="83"/>
      <c r="T893" s="83"/>
      <c r="U893" s="83"/>
      <c r="V893" s="83"/>
      <c r="W893" s="83"/>
      <c r="BO893" s="912"/>
    </row>
    <row r="894" spans="2:67">
      <c r="B894" s="222"/>
      <c r="C894" s="1414" t="s">
        <v>4682</v>
      </c>
      <c r="D894" s="1415" t="s">
        <v>4683</v>
      </c>
      <c r="E894" s="1416" t="s">
        <v>610</v>
      </c>
      <c r="F894" s="1692">
        <v>2200</v>
      </c>
      <c r="G894" s="203">
        <f>+SUMIF('AUX-NIV1'!I:I,Recursos!C894,'AUX-NIV1'!Q:Q)+SUMIF('AUX-NIV2'!I:I,Recursos!C894,'AUX-NIV2'!Q:Q)+SUMIF('AUX-NIV3'!I:I,Recursos!C894,'AUX-NIV3'!Q:Q)</f>
        <v>0</v>
      </c>
      <c r="H894" s="204">
        <f t="shared" ref="H894" si="90">+F894*G894</f>
        <v>0</v>
      </c>
      <c r="I894" s="366">
        <f t="shared" ref="I894" si="91">+H894/$I$3</f>
        <v>0</v>
      </c>
      <c r="J894" s="1418"/>
      <c r="L894" s="83"/>
      <c r="M894" s="83"/>
      <c r="N894" s="83"/>
      <c r="O894" s="83"/>
      <c r="P894" s="83"/>
      <c r="Q894" s="83"/>
      <c r="R894" s="83"/>
      <c r="S894" s="83"/>
      <c r="T894" s="83"/>
      <c r="U894" s="83"/>
      <c r="V894" s="83"/>
      <c r="W894" s="83"/>
      <c r="BO894" s="912"/>
    </row>
    <row r="895" spans="2:67">
      <c r="B895" s="222"/>
      <c r="C895" s="1414" t="s">
        <v>4449</v>
      </c>
      <c r="D895" s="1415" t="s">
        <v>4450</v>
      </c>
      <c r="E895" s="1416" t="s">
        <v>610</v>
      </c>
      <c r="F895" s="1417">
        <v>15600</v>
      </c>
      <c r="G895" s="203">
        <f>+SUMIF('AUX-NIV1'!I:I,Recursos!C895,'AUX-NIV1'!Q:Q)+SUMIF('AUX-NIV2'!I:I,Recursos!C895,'AUX-NIV2'!Q:Q)+SUMIF('AUX-NIV3'!I:I,Recursos!C895,'AUX-NIV3'!Q:Q)</f>
        <v>0</v>
      </c>
      <c r="H895" s="204">
        <f t="shared" si="79"/>
        <v>0</v>
      </c>
      <c r="I895" s="366">
        <f t="shared" si="89"/>
        <v>0</v>
      </c>
      <c r="J895" s="1418"/>
      <c r="L895" s="83"/>
      <c r="M895" s="83"/>
      <c r="N895" s="83"/>
      <c r="O895" s="83"/>
      <c r="P895" s="83"/>
      <c r="Q895" s="83"/>
      <c r="R895" s="83"/>
      <c r="S895" s="83"/>
      <c r="T895" s="83"/>
      <c r="U895" s="83"/>
      <c r="V895" s="83"/>
      <c r="W895" s="83"/>
      <c r="BO895" s="912"/>
    </row>
    <row r="896" spans="2:67">
      <c r="B896" s="222"/>
      <c r="C896" s="1414" t="s">
        <v>4673</v>
      </c>
      <c r="D896" s="1415" t="s">
        <v>4674</v>
      </c>
      <c r="E896" s="1416" t="s">
        <v>610</v>
      </c>
      <c r="F896" s="1417">
        <f>2900/1.21</f>
        <v>2396.6942148760331</v>
      </c>
      <c r="G896" s="203">
        <f>+SUMIF('AUX-NIV1'!I:I,Recursos!C896,'AUX-NIV1'!Q:Q)+SUMIF('AUX-NIV2'!I:I,Recursos!C896,'AUX-NIV2'!Q:Q)+SUMIF('AUX-NIV3'!I:I,Recursos!C896,'AUX-NIV3'!Q:Q)</f>
        <v>0</v>
      </c>
      <c r="H896" s="204">
        <f t="shared" ref="H896" si="92">+F896*G896</f>
        <v>0</v>
      </c>
      <c r="I896" s="366">
        <f t="shared" ref="I896" si="93">+H896/$I$3</f>
        <v>0</v>
      </c>
      <c r="J896" s="1418"/>
      <c r="L896" s="83"/>
      <c r="M896" s="83"/>
      <c r="N896" s="83"/>
      <c r="O896" s="83"/>
      <c r="P896" s="83"/>
      <c r="Q896" s="83"/>
      <c r="R896" s="83"/>
      <c r="S896" s="83"/>
      <c r="T896" s="83"/>
      <c r="U896" s="83"/>
      <c r="V896" s="83"/>
      <c r="W896" s="83"/>
      <c r="BO896" s="912"/>
    </row>
    <row r="897" spans="2:67">
      <c r="B897" s="222"/>
      <c r="C897" s="1414" t="s">
        <v>4451</v>
      </c>
      <c r="D897" s="1415" t="s">
        <v>4452</v>
      </c>
      <c r="E897" s="1416" t="s">
        <v>610</v>
      </c>
      <c r="F897" s="1417">
        <v>12866.94214876033</v>
      </c>
      <c r="G897" s="203">
        <f>+SUMIF('AUX-NIV1'!I:I,Recursos!C897,'AUX-NIV1'!Q:Q)+SUMIF('AUX-NIV2'!I:I,Recursos!C897,'AUX-NIV2'!Q:Q)+SUMIF('AUX-NIV3'!I:I,Recursos!C897,'AUX-NIV3'!Q:Q)</f>
        <v>0</v>
      </c>
      <c r="H897" s="204">
        <f t="shared" si="79"/>
        <v>0</v>
      </c>
      <c r="I897" s="366">
        <f t="shared" si="89"/>
        <v>0</v>
      </c>
      <c r="J897" s="1418"/>
      <c r="L897" s="83"/>
      <c r="M897" s="83"/>
      <c r="N897" s="83"/>
      <c r="O897" s="83"/>
      <c r="P897" s="83"/>
      <c r="Q897" s="83"/>
      <c r="R897" s="83"/>
      <c r="S897" s="83"/>
      <c r="T897" s="83"/>
      <c r="U897" s="83"/>
      <c r="V897" s="83"/>
      <c r="W897" s="83"/>
      <c r="BO897" s="912"/>
    </row>
    <row r="898" spans="2:67">
      <c r="B898" s="222"/>
      <c r="C898" s="1414" t="s">
        <v>4676</v>
      </c>
      <c r="D898" s="1415" t="s">
        <v>4675</v>
      </c>
      <c r="E898" s="1416" t="s">
        <v>610</v>
      </c>
      <c r="F898" s="1417">
        <v>2200</v>
      </c>
      <c r="G898" s="203">
        <f>+SUMIF('AUX-NIV1'!I:I,Recursos!C898,'AUX-NIV1'!Q:Q)+SUMIF('AUX-NIV2'!I:I,Recursos!C898,'AUX-NIV2'!Q:Q)+SUMIF('AUX-NIV3'!I:I,Recursos!C898,'AUX-NIV3'!Q:Q)</f>
        <v>0</v>
      </c>
      <c r="H898" s="204">
        <f t="shared" ref="H898" si="94">+F898*G898</f>
        <v>0</v>
      </c>
      <c r="I898" s="366">
        <f t="shared" ref="I898" si="95">+H898/$I$3</f>
        <v>0</v>
      </c>
      <c r="J898" s="1418"/>
      <c r="L898" s="83"/>
      <c r="M898" s="83"/>
      <c r="N898" s="83"/>
      <c r="O898" s="83"/>
      <c r="P898" s="83"/>
      <c r="Q898" s="83"/>
      <c r="R898" s="83"/>
      <c r="S898" s="83"/>
      <c r="T898" s="83"/>
      <c r="U898" s="83"/>
      <c r="V898" s="83"/>
      <c r="W898" s="83"/>
      <c r="BO898" s="912"/>
    </row>
    <row r="899" spans="2:67">
      <c r="B899" s="222"/>
      <c r="C899" s="1414" t="s">
        <v>4453</v>
      </c>
      <c r="D899" s="1415" t="s">
        <v>4454</v>
      </c>
      <c r="E899" s="1416" t="s">
        <v>610</v>
      </c>
      <c r="F899" s="1417">
        <v>5950.4132231404965</v>
      </c>
      <c r="G899" s="203">
        <f>+SUMIF('AUX-NIV1'!I:I,Recursos!C899,'AUX-NIV1'!Q:Q)+SUMIF('AUX-NIV2'!I:I,Recursos!C899,'AUX-NIV2'!Q:Q)+SUMIF('AUX-NIV3'!I:I,Recursos!C899,'AUX-NIV3'!Q:Q)</f>
        <v>0</v>
      </c>
      <c r="H899" s="204">
        <f t="shared" si="79"/>
        <v>0</v>
      </c>
      <c r="I899" s="366">
        <f t="shared" si="89"/>
        <v>0</v>
      </c>
      <c r="J899" s="1418"/>
      <c r="L899" s="83"/>
      <c r="M899" s="83"/>
      <c r="N899" s="83"/>
      <c r="O899" s="83"/>
      <c r="P899" s="83"/>
      <c r="Q899" s="83"/>
      <c r="R899" s="83"/>
      <c r="S899" s="83"/>
      <c r="T899" s="83"/>
      <c r="U899" s="83"/>
      <c r="V899" s="83"/>
      <c r="W899" s="83"/>
      <c r="BO899" s="912"/>
    </row>
    <row r="900" spans="2:67">
      <c r="B900" s="222"/>
      <c r="C900" s="1414" t="s">
        <v>4455</v>
      </c>
      <c r="D900" s="1415" t="s">
        <v>4456</v>
      </c>
      <c r="E900" s="1416" t="s">
        <v>610</v>
      </c>
      <c r="F900" s="1417">
        <v>16842.14876033058</v>
      </c>
      <c r="G900" s="203">
        <f>+SUMIF('AUX-NIV1'!I:I,Recursos!C900,'AUX-NIV1'!Q:Q)+SUMIF('AUX-NIV2'!I:I,Recursos!C900,'AUX-NIV2'!Q:Q)+SUMIF('AUX-NIV3'!I:I,Recursos!C900,'AUX-NIV3'!Q:Q)</f>
        <v>0</v>
      </c>
      <c r="H900" s="204">
        <f t="shared" si="79"/>
        <v>0</v>
      </c>
      <c r="I900" s="366">
        <f t="shared" si="89"/>
        <v>0</v>
      </c>
      <c r="J900" s="1418"/>
      <c r="L900" s="83"/>
      <c r="M900" s="83"/>
      <c r="N900" s="83"/>
      <c r="O900" s="83"/>
      <c r="P900" s="83"/>
      <c r="Q900" s="83"/>
      <c r="R900" s="83"/>
      <c r="S900" s="83"/>
      <c r="T900" s="83"/>
      <c r="U900" s="83"/>
      <c r="V900" s="83"/>
      <c r="W900" s="83"/>
      <c r="BO900" s="912"/>
    </row>
    <row r="901" spans="2:67">
      <c r="B901" s="222"/>
      <c r="C901" s="1414" t="s">
        <v>4457</v>
      </c>
      <c r="D901" s="1415" t="s">
        <v>4458</v>
      </c>
      <c r="E901" s="1416" t="s">
        <v>610</v>
      </c>
      <c r="F901" s="1417">
        <v>28536.363636363636</v>
      </c>
      <c r="G901" s="203">
        <f>+SUMIF('AUX-NIV1'!I:I,Recursos!C901,'AUX-NIV1'!Q:Q)+SUMIF('AUX-NIV2'!I:I,Recursos!C901,'AUX-NIV2'!Q:Q)+SUMIF('AUX-NIV3'!I:I,Recursos!C901,'AUX-NIV3'!Q:Q)</f>
        <v>0</v>
      </c>
      <c r="H901" s="204">
        <f t="shared" si="79"/>
        <v>0</v>
      </c>
      <c r="I901" s="366">
        <f t="shared" ref="I901" si="96">+H901/$I$3</f>
        <v>0</v>
      </c>
      <c r="J901" s="1418"/>
      <c r="L901" s="83"/>
      <c r="M901" s="83"/>
      <c r="N901" s="83"/>
      <c r="O901" s="83"/>
      <c r="P901" s="83"/>
      <c r="Q901" s="83"/>
      <c r="R901" s="83"/>
      <c r="S901" s="83"/>
      <c r="T901" s="83"/>
      <c r="U901" s="83"/>
      <c r="V901" s="83"/>
      <c r="W901" s="83"/>
      <c r="BO901" s="912"/>
    </row>
    <row r="902" spans="2:67">
      <c r="B902" s="222"/>
      <c r="C902" s="1414" t="s">
        <v>4459</v>
      </c>
      <c r="D902" s="1415" t="s">
        <v>4460</v>
      </c>
      <c r="E902" s="1416" t="s">
        <v>610</v>
      </c>
      <c r="F902" s="1417">
        <v>7599.1735537190089</v>
      </c>
      <c r="G902" s="203">
        <f>+SUMIF('AUX-NIV1'!I:I,Recursos!C902,'AUX-NIV1'!Q:Q)+SUMIF('AUX-NIV2'!I:I,Recursos!C902,'AUX-NIV2'!Q:Q)+SUMIF('AUX-NIV3'!I:I,Recursos!C902,'AUX-NIV3'!Q:Q)</f>
        <v>0</v>
      </c>
      <c r="H902" s="204">
        <f t="shared" si="79"/>
        <v>0</v>
      </c>
      <c r="I902" s="366">
        <f t="shared" ref="I902:I909" si="97">+H902/$I$3</f>
        <v>0</v>
      </c>
      <c r="J902" s="1418"/>
      <c r="L902" s="83"/>
      <c r="M902" s="83"/>
      <c r="N902" s="83"/>
      <c r="O902" s="83"/>
      <c r="P902" s="83"/>
      <c r="Q902" s="83"/>
      <c r="R902" s="83"/>
      <c r="S902" s="83"/>
      <c r="T902" s="83"/>
      <c r="U902" s="83"/>
      <c r="V902" s="83"/>
      <c r="W902" s="83"/>
      <c r="BO902" s="912"/>
    </row>
    <row r="903" spans="2:67">
      <c r="B903" s="222"/>
      <c r="C903" s="1414" t="s">
        <v>4461</v>
      </c>
      <c r="D903" s="1415" t="s">
        <v>4462</v>
      </c>
      <c r="E903" s="1416" t="s">
        <v>610</v>
      </c>
      <c r="F903" s="1417">
        <v>0</v>
      </c>
      <c r="G903" s="203">
        <f>+SUMIF('AUX-NIV1'!I:I,Recursos!C903,'AUX-NIV1'!Q:Q)+SUMIF('AUX-NIV2'!I:I,Recursos!C903,'AUX-NIV2'!Q:Q)+SUMIF('AUX-NIV3'!I:I,Recursos!C903,'AUX-NIV3'!Q:Q)</f>
        <v>0</v>
      </c>
      <c r="H903" s="204">
        <f t="shared" si="79"/>
        <v>0</v>
      </c>
      <c r="I903" s="366">
        <f t="shared" si="97"/>
        <v>0</v>
      </c>
      <c r="J903" s="1418"/>
      <c r="L903" s="83"/>
      <c r="M903" s="83"/>
      <c r="N903" s="83"/>
      <c r="O903" s="83"/>
      <c r="P903" s="83"/>
      <c r="Q903" s="83"/>
      <c r="R903" s="83"/>
      <c r="S903" s="83"/>
      <c r="T903" s="83"/>
      <c r="U903" s="83"/>
      <c r="V903" s="83"/>
      <c r="W903" s="83"/>
      <c r="BO903" s="912"/>
    </row>
    <row r="904" spans="2:67">
      <c r="B904" s="222"/>
      <c r="C904" s="1414" t="s">
        <v>4463</v>
      </c>
      <c r="D904" s="1415" t="s">
        <v>4464</v>
      </c>
      <c r="E904" s="1416" t="s">
        <v>610</v>
      </c>
      <c r="F904" s="1417">
        <v>3200</v>
      </c>
      <c r="G904" s="203">
        <f>+SUMIF('AUX-NIV1'!I:I,Recursos!C904,'AUX-NIV1'!Q:Q)+SUMIF('AUX-NIV2'!I:I,Recursos!C904,'AUX-NIV2'!Q:Q)+SUMIF('AUX-NIV3'!I:I,Recursos!C904,'AUX-NIV3'!Q:Q)</f>
        <v>0</v>
      </c>
      <c r="H904" s="204">
        <f t="shared" si="79"/>
        <v>0</v>
      </c>
      <c r="I904" s="366">
        <f t="shared" si="97"/>
        <v>0</v>
      </c>
      <c r="J904" s="1418"/>
      <c r="L904" s="83"/>
      <c r="M904" s="83"/>
      <c r="N904" s="83"/>
      <c r="O904" s="83"/>
      <c r="P904" s="83"/>
      <c r="Q904" s="83"/>
      <c r="R904" s="83"/>
      <c r="S904" s="83"/>
      <c r="T904" s="83"/>
      <c r="U904" s="83"/>
      <c r="V904" s="83"/>
      <c r="W904" s="83"/>
      <c r="BO904" s="912"/>
    </row>
    <row r="905" spans="2:67">
      <c r="B905" s="222"/>
      <c r="C905" s="1414" t="s">
        <v>4465</v>
      </c>
      <c r="D905" s="1415" t="s">
        <v>4466</v>
      </c>
      <c r="E905" s="1416" t="s">
        <v>477</v>
      </c>
      <c r="F905" s="1417">
        <v>195.5</v>
      </c>
      <c r="G905" s="203">
        <f>+SUMIF('AUX-NIV1'!I:I,Recursos!C905,'AUX-NIV1'!Q:Q)+SUMIF('AUX-NIV2'!I:I,Recursos!C905,'AUX-NIV2'!Q:Q)+SUMIF('AUX-NIV3'!I:I,Recursos!C905,'AUX-NIV3'!Q:Q)</f>
        <v>0</v>
      </c>
      <c r="H905" s="204">
        <f t="shared" si="79"/>
        <v>0</v>
      </c>
      <c r="I905" s="366">
        <f t="shared" si="97"/>
        <v>0</v>
      </c>
      <c r="J905" s="1418"/>
      <c r="L905" s="83"/>
      <c r="M905" s="83"/>
      <c r="N905" s="83"/>
      <c r="O905" s="83"/>
      <c r="P905" s="83"/>
      <c r="Q905" s="83"/>
      <c r="R905" s="83"/>
      <c r="S905" s="83"/>
      <c r="T905" s="83"/>
      <c r="U905" s="83"/>
      <c r="V905" s="83"/>
      <c r="W905" s="83"/>
      <c r="BO905" s="912"/>
    </row>
    <row r="906" spans="2:67">
      <c r="B906" s="222"/>
      <c r="C906" s="1414" t="s">
        <v>4467</v>
      </c>
      <c r="D906" s="1415" t="s">
        <v>4468</v>
      </c>
      <c r="E906" s="1416" t="s">
        <v>477</v>
      </c>
      <c r="F906" s="1417">
        <f>836/4</f>
        <v>209</v>
      </c>
      <c r="G906" s="203">
        <f>+SUMIF('AUX-NIV1'!I:I,Recursos!C906,'AUX-NIV1'!Q:Q)+SUMIF('AUX-NIV2'!I:I,Recursos!C906,'AUX-NIV2'!Q:Q)+SUMIF('AUX-NIV3'!I:I,Recursos!C906,'AUX-NIV3'!Q:Q)</f>
        <v>0</v>
      </c>
      <c r="H906" s="204">
        <f t="shared" si="79"/>
        <v>0</v>
      </c>
      <c r="I906" s="366">
        <f t="shared" si="97"/>
        <v>0</v>
      </c>
      <c r="J906" s="1418"/>
      <c r="L906" s="83"/>
      <c r="M906" s="83"/>
      <c r="N906" s="83"/>
      <c r="O906" s="83"/>
      <c r="P906" s="83"/>
      <c r="Q906" s="83"/>
      <c r="R906" s="83"/>
      <c r="S906" s="83"/>
      <c r="T906" s="83"/>
      <c r="U906" s="83"/>
      <c r="V906" s="83"/>
      <c r="W906" s="83"/>
      <c r="BO906" s="912"/>
    </row>
    <row r="907" spans="2:67">
      <c r="B907" s="222"/>
      <c r="C907" s="1414" t="s">
        <v>4469</v>
      </c>
      <c r="D907" s="1415" t="s">
        <v>4470</v>
      </c>
      <c r="E907" s="1416" t="s">
        <v>477</v>
      </c>
      <c r="F907" s="1417">
        <v>137.5</v>
      </c>
      <c r="G907" s="203">
        <f>+SUMIF('AUX-NIV1'!I:I,Recursos!C907,'AUX-NIV1'!Q:Q)+SUMIF('AUX-NIV2'!I:I,Recursos!C907,'AUX-NIV2'!Q:Q)+SUMIF('AUX-NIV3'!I:I,Recursos!C907,'AUX-NIV3'!Q:Q)</f>
        <v>0</v>
      </c>
      <c r="H907" s="204">
        <f t="shared" si="79"/>
        <v>0</v>
      </c>
      <c r="I907" s="366">
        <f t="shared" si="97"/>
        <v>0</v>
      </c>
      <c r="J907" s="1418"/>
      <c r="L907" s="83"/>
      <c r="M907" s="83"/>
      <c r="N907" s="83"/>
      <c r="O907" s="83"/>
      <c r="P907" s="83"/>
      <c r="Q907" s="83"/>
      <c r="R907" s="83"/>
      <c r="S907" s="83"/>
      <c r="T907" s="83"/>
      <c r="U907" s="83"/>
      <c r="V907" s="83"/>
      <c r="W907" s="83"/>
      <c r="BO907" s="912"/>
    </row>
    <row r="908" spans="2:67">
      <c r="B908" s="222"/>
      <c r="C908" s="1414" t="s">
        <v>4471</v>
      </c>
      <c r="D908" s="1415" t="s">
        <v>4472</v>
      </c>
      <c r="E908" s="1416" t="s">
        <v>610</v>
      </c>
      <c r="F908" s="1417">
        <v>730</v>
      </c>
      <c r="G908" s="203">
        <f>+SUMIF('AUX-NIV1'!I:I,Recursos!C908,'AUX-NIV1'!Q:Q)+SUMIF('AUX-NIV2'!I:I,Recursos!C908,'AUX-NIV2'!Q:Q)+SUMIF('AUX-NIV3'!I:I,Recursos!C908,'AUX-NIV3'!Q:Q)</f>
        <v>0</v>
      </c>
      <c r="H908" s="204">
        <f t="shared" si="79"/>
        <v>0</v>
      </c>
      <c r="I908" s="366">
        <f t="shared" si="97"/>
        <v>0</v>
      </c>
      <c r="J908" s="1418"/>
      <c r="L908" s="83"/>
      <c r="M908" s="83"/>
      <c r="N908" s="83"/>
      <c r="O908" s="83"/>
      <c r="P908" s="83"/>
      <c r="Q908" s="83"/>
      <c r="R908" s="83"/>
      <c r="S908" s="83"/>
      <c r="T908" s="83"/>
      <c r="U908" s="83"/>
      <c r="V908" s="83"/>
      <c r="W908" s="83"/>
      <c r="BO908" s="912"/>
    </row>
    <row r="909" spans="2:67">
      <c r="B909" s="222"/>
      <c r="C909" s="1414" t="s">
        <v>4473</v>
      </c>
      <c r="D909" s="1415" t="s">
        <v>4474</v>
      </c>
      <c r="E909" s="1416" t="s">
        <v>610</v>
      </c>
      <c r="F909" s="1417">
        <v>100</v>
      </c>
      <c r="G909" s="203">
        <f>+SUMIF('AUX-NIV1'!I:I,Recursos!C909,'AUX-NIV1'!Q:Q)+SUMIF('AUX-NIV2'!I:I,Recursos!C909,'AUX-NIV2'!Q:Q)+SUMIF('AUX-NIV3'!I:I,Recursos!C909,'AUX-NIV3'!Q:Q)</f>
        <v>0</v>
      </c>
      <c r="H909" s="204">
        <f t="shared" si="79"/>
        <v>0</v>
      </c>
      <c r="I909" s="366">
        <f t="shared" si="97"/>
        <v>0</v>
      </c>
      <c r="J909" s="1418"/>
      <c r="L909" s="83"/>
      <c r="M909" s="83"/>
      <c r="N909" s="83"/>
      <c r="O909" s="83"/>
      <c r="P909" s="83"/>
      <c r="Q909" s="83"/>
      <c r="R909" s="83"/>
      <c r="S909" s="83"/>
      <c r="T909" s="83"/>
      <c r="U909" s="83"/>
      <c r="V909" s="83"/>
      <c r="W909" s="83"/>
      <c r="BO909" s="912"/>
    </row>
    <row r="910" spans="2:67">
      <c r="B910" s="222"/>
      <c r="C910" s="1414" t="s">
        <v>4475</v>
      </c>
      <c r="D910" s="1415" t="s">
        <v>4476</v>
      </c>
      <c r="E910" s="1416" t="s">
        <v>610</v>
      </c>
      <c r="F910" s="1417">
        <v>850</v>
      </c>
      <c r="G910" s="203">
        <f>+SUMIF('AUX-NIV1'!I:I,Recursos!C910,'AUX-NIV1'!Q:Q)+SUMIF('AUX-NIV2'!I:I,Recursos!C910,'AUX-NIV2'!Q:Q)+SUMIF('AUX-NIV3'!I:I,Recursos!C910,'AUX-NIV3'!Q:Q)</f>
        <v>0</v>
      </c>
      <c r="H910" s="204">
        <f t="shared" si="79"/>
        <v>0</v>
      </c>
      <c r="I910" s="366">
        <f t="shared" ref="I910:I919" si="98">+H910/$I$3</f>
        <v>0</v>
      </c>
      <c r="J910" s="1418"/>
      <c r="L910" s="83"/>
      <c r="M910" s="83"/>
      <c r="N910" s="83"/>
      <c r="O910" s="83"/>
      <c r="P910" s="83"/>
      <c r="Q910" s="83"/>
      <c r="R910" s="83"/>
      <c r="S910" s="83"/>
      <c r="T910" s="83"/>
      <c r="U910" s="83"/>
      <c r="V910" s="83"/>
      <c r="W910" s="83"/>
      <c r="BO910" s="912"/>
    </row>
    <row r="911" spans="2:67">
      <c r="B911" s="222"/>
      <c r="C911" s="1414" t="s">
        <v>4479</v>
      </c>
      <c r="D911" s="1415" t="s">
        <v>4480</v>
      </c>
      <c r="E911" s="1416" t="s">
        <v>477</v>
      </c>
      <c r="F911" s="1417">
        <v>1200</v>
      </c>
      <c r="G911" s="203">
        <f>+SUMIF('AUX-NIV1'!I:I,Recursos!C911,'AUX-NIV1'!Q:Q)+SUMIF('AUX-NIV2'!I:I,Recursos!C911,'AUX-NIV2'!Q:Q)+SUMIF('AUX-NIV3'!I:I,Recursos!C911,'AUX-NIV3'!Q:Q)</f>
        <v>0</v>
      </c>
      <c r="H911" s="204">
        <f t="shared" si="79"/>
        <v>0</v>
      </c>
      <c r="I911" s="366">
        <f t="shared" si="98"/>
        <v>0</v>
      </c>
      <c r="J911" s="1418"/>
      <c r="L911" s="83"/>
      <c r="M911" s="83"/>
      <c r="N911" s="83"/>
      <c r="O911" s="83"/>
      <c r="P911" s="83"/>
      <c r="Q911" s="83"/>
      <c r="R911" s="83"/>
      <c r="S911" s="83"/>
      <c r="T911" s="83"/>
      <c r="U911" s="83"/>
      <c r="V911" s="83"/>
      <c r="W911" s="83"/>
      <c r="BO911" s="912"/>
    </row>
    <row r="912" spans="2:67">
      <c r="B912" s="222"/>
      <c r="C912" s="1414" t="s">
        <v>4482</v>
      </c>
      <c r="D912" s="1415" t="s">
        <v>4481</v>
      </c>
      <c r="E912" s="1416" t="s">
        <v>610</v>
      </c>
      <c r="F912" s="1417">
        <v>2200</v>
      </c>
      <c r="G912" s="203">
        <f>+SUMIF('AUX-NIV1'!I:I,Recursos!C912,'AUX-NIV1'!Q:Q)+SUMIF('AUX-NIV2'!I:I,Recursos!C912,'AUX-NIV2'!Q:Q)+SUMIF('AUX-NIV3'!I:I,Recursos!C912,'AUX-NIV3'!Q:Q)</f>
        <v>0</v>
      </c>
      <c r="H912" s="204">
        <f t="shared" si="79"/>
        <v>0</v>
      </c>
      <c r="I912" s="366">
        <f t="shared" si="98"/>
        <v>0</v>
      </c>
      <c r="J912" s="1418"/>
      <c r="L912" s="83"/>
      <c r="M912" s="83"/>
      <c r="N912" s="83"/>
      <c r="O912" s="83"/>
      <c r="P912" s="83"/>
      <c r="Q912" s="83"/>
      <c r="R912" s="83"/>
      <c r="S912" s="83"/>
      <c r="T912" s="83"/>
      <c r="U912" s="83"/>
      <c r="V912" s="83"/>
      <c r="W912" s="83"/>
      <c r="BO912" s="912"/>
    </row>
    <row r="913" spans="2:71">
      <c r="B913" s="222"/>
      <c r="C913" s="1414" t="s">
        <v>4483</v>
      </c>
      <c r="D913" s="1415" t="s">
        <v>4485</v>
      </c>
      <c r="E913" s="1416" t="s">
        <v>477</v>
      </c>
      <c r="F913" s="1417">
        <v>450</v>
      </c>
      <c r="G913" s="203">
        <f>+SUMIF('AUX-NIV1'!I:I,Recursos!C913,'AUX-NIV1'!Q:Q)+SUMIF('AUX-NIV2'!I:I,Recursos!C913,'AUX-NIV2'!Q:Q)+SUMIF('AUX-NIV3'!I:I,Recursos!C913,'AUX-NIV3'!Q:Q)</f>
        <v>0</v>
      </c>
      <c r="H913" s="204">
        <f t="shared" si="79"/>
        <v>0</v>
      </c>
      <c r="I913" s="366">
        <f t="shared" ref="I913" si="99">+H913/$I$3</f>
        <v>0</v>
      </c>
      <c r="J913" s="1418"/>
      <c r="L913" s="83"/>
      <c r="M913" s="83"/>
      <c r="N913" s="83"/>
      <c r="O913" s="83"/>
      <c r="P913" s="83"/>
      <c r="Q913" s="83"/>
      <c r="R913" s="83"/>
      <c r="S913" s="83"/>
      <c r="T913" s="83"/>
      <c r="U913" s="83"/>
      <c r="V913" s="83"/>
      <c r="W913" s="83"/>
      <c r="BO913" s="912"/>
    </row>
    <row r="914" spans="2:71">
      <c r="B914" s="222"/>
      <c r="C914" s="1414" t="s">
        <v>4484</v>
      </c>
      <c r="D914" s="1415" t="s">
        <v>4486</v>
      </c>
      <c r="E914" s="1416" t="s">
        <v>610</v>
      </c>
      <c r="F914" s="1417">
        <v>5000</v>
      </c>
      <c r="G914" s="203">
        <f>+SUMIF('AUX-NIV1'!I:I,Recursos!C914,'AUX-NIV1'!Q:Q)+SUMIF('AUX-NIV2'!I:I,Recursos!C914,'AUX-NIV2'!Q:Q)+SUMIF('AUX-NIV3'!I:I,Recursos!C914,'AUX-NIV3'!Q:Q)</f>
        <v>0</v>
      </c>
      <c r="H914" s="204">
        <f t="shared" si="79"/>
        <v>0</v>
      </c>
      <c r="I914" s="366">
        <f t="shared" ref="I914:I918" si="100">+H914/$I$3</f>
        <v>0</v>
      </c>
      <c r="J914" s="1418"/>
      <c r="L914" s="83"/>
      <c r="M914" s="83"/>
      <c r="N914" s="83"/>
      <c r="O914" s="83"/>
      <c r="P914" s="83"/>
      <c r="Q914" s="83"/>
      <c r="R914" s="83"/>
      <c r="S914" s="83"/>
      <c r="T914" s="83"/>
      <c r="U914" s="83"/>
      <c r="V914" s="83"/>
      <c r="W914" s="83"/>
      <c r="BO914" s="912"/>
    </row>
    <row r="915" spans="2:71">
      <c r="B915" s="222"/>
      <c r="C915" s="1414" t="s">
        <v>4487</v>
      </c>
      <c r="D915" s="1415" t="s">
        <v>4488</v>
      </c>
      <c r="E915" s="1416" t="s">
        <v>610</v>
      </c>
      <c r="F915" s="1417">
        <v>1500</v>
      </c>
      <c r="G915" s="203">
        <f>+SUMIF('AUX-NIV1'!I:I,Recursos!C915,'AUX-NIV1'!Q:Q)+SUMIF('AUX-NIV2'!I:I,Recursos!C915,'AUX-NIV2'!Q:Q)+SUMIF('AUX-NIV3'!I:I,Recursos!C915,'AUX-NIV3'!Q:Q)</f>
        <v>0</v>
      </c>
      <c r="H915" s="204">
        <f t="shared" si="79"/>
        <v>0</v>
      </c>
      <c r="I915" s="366">
        <f t="shared" ref="I915:I916" si="101">+H915/$I$3</f>
        <v>0</v>
      </c>
      <c r="J915" s="1418"/>
      <c r="L915" s="83"/>
      <c r="M915" s="83"/>
      <c r="N915" s="83"/>
      <c r="O915" s="83"/>
      <c r="P915" s="83"/>
      <c r="Q915" s="83"/>
      <c r="R915" s="83"/>
      <c r="S915" s="83"/>
      <c r="T915" s="83"/>
      <c r="U915" s="83"/>
      <c r="V915" s="83"/>
      <c r="W915" s="83"/>
      <c r="BO915" s="912"/>
    </row>
    <row r="916" spans="2:71">
      <c r="B916" s="222"/>
      <c r="C916" s="1414" t="s">
        <v>4489</v>
      </c>
      <c r="D916" s="1415" t="s">
        <v>4490</v>
      </c>
      <c r="E916" s="1416" t="s">
        <v>477</v>
      </c>
      <c r="F916" s="1417">
        <v>360</v>
      </c>
      <c r="G916" s="203">
        <f>+SUMIF('AUX-NIV1'!I:I,Recursos!C916,'AUX-NIV1'!Q:Q)+SUMIF('AUX-NIV2'!I:I,Recursos!C916,'AUX-NIV2'!Q:Q)+SUMIF('AUX-NIV3'!I:I,Recursos!C916,'AUX-NIV3'!Q:Q)</f>
        <v>0</v>
      </c>
      <c r="H916" s="204">
        <f t="shared" si="79"/>
        <v>0</v>
      </c>
      <c r="I916" s="366">
        <f t="shared" si="101"/>
        <v>0</v>
      </c>
      <c r="J916" s="1418"/>
      <c r="L916" s="83"/>
      <c r="M916" s="83"/>
      <c r="N916" s="83"/>
      <c r="O916" s="83"/>
      <c r="P916" s="83"/>
      <c r="Q916" s="83"/>
      <c r="R916" s="83"/>
      <c r="S916" s="83"/>
      <c r="T916" s="83"/>
      <c r="U916" s="83"/>
      <c r="V916" s="83"/>
      <c r="W916" s="83"/>
      <c r="BO916" s="912"/>
    </row>
    <row r="917" spans="2:71">
      <c r="B917" s="222"/>
      <c r="C917" s="1414" t="s">
        <v>4496</v>
      </c>
      <c r="D917" s="1415" t="s">
        <v>4497</v>
      </c>
      <c r="E917" s="1416" t="s">
        <v>501</v>
      </c>
      <c r="F917" s="1417">
        <v>295</v>
      </c>
      <c r="G917" s="203">
        <f>+SUMIF('AUX-NIV1'!I:I,Recursos!C917,'AUX-NIV1'!Q:Q)+SUMIF('AUX-NIV2'!I:I,Recursos!C917,'AUX-NIV2'!Q:Q)+SUMIF('AUX-NIV3'!I:I,Recursos!C917,'AUX-NIV3'!Q:Q)</f>
        <v>0</v>
      </c>
      <c r="H917" s="204">
        <f t="shared" si="79"/>
        <v>0</v>
      </c>
      <c r="I917" s="366">
        <f t="shared" si="100"/>
        <v>0</v>
      </c>
      <c r="J917" s="1418"/>
      <c r="L917" s="83"/>
      <c r="M917" s="83"/>
      <c r="N917" s="83"/>
      <c r="O917" s="83"/>
      <c r="P917" s="83"/>
      <c r="Q917" s="83"/>
      <c r="R917" s="83"/>
      <c r="S917" s="83"/>
      <c r="T917" s="83"/>
      <c r="U917" s="83"/>
      <c r="V917" s="83"/>
      <c r="W917" s="83"/>
      <c r="BO917" s="912"/>
    </row>
    <row r="918" spans="2:71">
      <c r="B918" s="222"/>
      <c r="C918" s="1414" t="s">
        <v>4498</v>
      </c>
      <c r="D918" s="1415" t="s">
        <v>4500</v>
      </c>
      <c r="E918" s="1416" t="s">
        <v>477</v>
      </c>
      <c r="F918" s="1417">
        <v>90</v>
      </c>
      <c r="G918" s="203">
        <f>+SUMIF('AUX-NIV1'!I:I,Recursos!C918,'AUX-NIV1'!Q:Q)+SUMIF('AUX-NIV2'!I:I,Recursos!C918,'AUX-NIV2'!Q:Q)+SUMIF('AUX-NIV3'!I:I,Recursos!C918,'AUX-NIV3'!Q:Q)</f>
        <v>0</v>
      </c>
      <c r="H918" s="204">
        <f t="shared" si="79"/>
        <v>0</v>
      </c>
      <c r="I918" s="366">
        <f t="shared" si="100"/>
        <v>0</v>
      </c>
      <c r="J918" s="1418"/>
      <c r="L918" s="83"/>
      <c r="M918" s="83"/>
      <c r="N918" s="83"/>
      <c r="O918" s="83"/>
      <c r="P918" s="83"/>
      <c r="Q918" s="83"/>
      <c r="R918" s="83"/>
      <c r="S918" s="83"/>
      <c r="T918" s="83"/>
      <c r="U918" s="83"/>
      <c r="V918" s="83"/>
      <c r="W918" s="83"/>
      <c r="BO918" s="912"/>
    </row>
    <row r="919" spans="2:71">
      <c r="B919" s="222"/>
      <c r="C919" s="1414" t="s">
        <v>4499</v>
      </c>
      <c r="D919" s="1415" t="s">
        <v>4501</v>
      </c>
      <c r="E919" s="1416" t="s">
        <v>477</v>
      </c>
      <c r="F919" s="1417">
        <v>60</v>
      </c>
      <c r="G919" s="203">
        <f>+SUMIF('AUX-NIV1'!I:I,Recursos!C919,'AUX-NIV1'!Q:Q)+SUMIF('AUX-NIV2'!I:I,Recursos!C919,'AUX-NIV2'!Q:Q)+SUMIF('AUX-NIV3'!I:I,Recursos!C919,'AUX-NIV3'!Q:Q)</f>
        <v>0</v>
      </c>
      <c r="H919" s="204">
        <f t="shared" si="79"/>
        <v>0</v>
      </c>
      <c r="I919" s="366">
        <f t="shared" si="98"/>
        <v>0</v>
      </c>
      <c r="J919" s="1418"/>
      <c r="L919" s="83"/>
      <c r="M919" s="83"/>
      <c r="N919" s="83"/>
      <c r="O919" s="83"/>
      <c r="P919" s="83"/>
      <c r="Q919" s="83"/>
      <c r="R919" s="83"/>
      <c r="S919" s="83"/>
      <c r="T919" s="83"/>
      <c r="U919" s="83"/>
      <c r="V919" s="83"/>
      <c r="W919" s="83"/>
      <c r="BO919" s="912"/>
    </row>
    <row r="920" spans="2:71">
      <c r="B920" s="222"/>
      <c r="C920" s="1414" t="s">
        <v>4503</v>
      </c>
      <c r="D920" s="1415" t="s">
        <v>4502</v>
      </c>
      <c r="E920" s="1416" t="s">
        <v>1160</v>
      </c>
      <c r="F920" s="1417">
        <v>1500</v>
      </c>
      <c r="G920" s="203">
        <f>+SUMIF('AUX-NIV1'!I:I,Recursos!C920,'AUX-NIV1'!Q:Q)+SUMIF('AUX-NIV2'!I:I,Recursos!C920,'AUX-NIV2'!Q:Q)+SUMIF('AUX-NIV3'!I:I,Recursos!C920,'AUX-NIV3'!Q:Q)</f>
        <v>0</v>
      </c>
      <c r="H920" s="204">
        <f t="shared" si="79"/>
        <v>0</v>
      </c>
      <c r="I920" s="366">
        <f t="shared" ref="I920:I924" si="102">+H920/$I$3</f>
        <v>0</v>
      </c>
      <c r="J920" s="1418"/>
      <c r="L920" s="83"/>
      <c r="M920" s="83"/>
      <c r="N920" s="83"/>
      <c r="O920" s="83"/>
      <c r="P920" s="83"/>
      <c r="Q920" s="83"/>
      <c r="R920" s="83"/>
      <c r="S920" s="83"/>
      <c r="T920" s="83"/>
      <c r="U920" s="83"/>
      <c r="V920" s="83"/>
      <c r="W920" s="83"/>
      <c r="BO920" s="912"/>
    </row>
    <row r="921" spans="2:71">
      <c r="B921" s="222"/>
      <c r="C921" s="1414" t="s">
        <v>4504</v>
      </c>
      <c r="D921" s="1415" t="s">
        <v>4505</v>
      </c>
      <c r="E921" s="1416" t="s">
        <v>546</v>
      </c>
      <c r="F921" s="1417">
        <f>6100/20</f>
        <v>305</v>
      </c>
      <c r="G921" s="203">
        <f>+SUMIF('AUX-NIV1'!I:I,Recursos!C921,'AUX-NIV1'!Q:Q)+SUMIF('AUX-NIV2'!I:I,Recursos!C921,'AUX-NIV2'!Q:Q)+SUMIF('AUX-NIV3'!I:I,Recursos!C921,'AUX-NIV3'!Q:Q)</f>
        <v>0</v>
      </c>
      <c r="H921" s="204">
        <f t="shared" si="79"/>
        <v>0</v>
      </c>
      <c r="I921" s="366">
        <f t="shared" ref="I921" si="103">+H921/$I$3</f>
        <v>0</v>
      </c>
      <c r="J921" s="1418"/>
      <c r="L921" s="83"/>
      <c r="M921" s="83"/>
      <c r="N921" s="83"/>
      <c r="O921" s="83"/>
      <c r="P921" s="83"/>
      <c r="Q921" s="83"/>
      <c r="R921" s="83"/>
      <c r="S921" s="83"/>
      <c r="T921" s="83"/>
      <c r="U921" s="83"/>
      <c r="V921" s="83"/>
      <c r="W921" s="83"/>
      <c r="BO921" s="912"/>
    </row>
    <row r="922" spans="2:71">
      <c r="B922" s="222"/>
      <c r="C922" s="1414" t="s">
        <v>4509</v>
      </c>
      <c r="D922" s="1415" t="s">
        <v>4510</v>
      </c>
      <c r="E922" s="1416" t="s">
        <v>477</v>
      </c>
      <c r="F922" s="1417">
        <f>5500/5</f>
        <v>1100</v>
      </c>
      <c r="G922" s="203">
        <f>+SUMIF('AUX-NIV1'!I:I,Recursos!C922,'AUX-NIV1'!Q:Q)+SUMIF('AUX-NIV2'!I:I,Recursos!C922,'AUX-NIV2'!Q:Q)+SUMIF('AUX-NIV3'!I:I,Recursos!C922,'AUX-NIV3'!Q:Q)</f>
        <v>0</v>
      </c>
      <c r="H922" s="204">
        <f t="shared" si="79"/>
        <v>0</v>
      </c>
      <c r="I922" s="366">
        <f t="shared" si="102"/>
        <v>0</v>
      </c>
      <c r="J922" s="1418"/>
      <c r="L922" s="83"/>
      <c r="M922" s="83"/>
      <c r="N922" s="83"/>
      <c r="O922" s="83"/>
      <c r="P922" s="83"/>
      <c r="Q922" s="83"/>
      <c r="R922" s="83"/>
      <c r="S922" s="83"/>
      <c r="T922" s="83"/>
      <c r="U922" s="83"/>
      <c r="V922" s="83"/>
      <c r="W922" s="83"/>
      <c r="BO922" s="912"/>
      <c r="BP922" s="83" t="s">
        <v>4516</v>
      </c>
      <c r="BQ922" s="83">
        <v>11730</v>
      </c>
      <c r="BR922" s="83">
        <v>6.17</v>
      </c>
      <c r="BS922" s="83">
        <f>BQ922/BR922/6</f>
        <v>316.85575364667744</v>
      </c>
    </row>
    <row r="923" spans="2:71">
      <c r="B923" s="222"/>
      <c r="C923" s="1414" t="s">
        <v>4514</v>
      </c>
      <c r="D923" s="1415" t="s">
        <v>4515</v>
      </c>
      <c r="E923" s="1416" t="s">
        <v>546</v>
      </c>
      <c r="F923" s="1417">
        <f>330/1.21*1.1</f>
        <v>300.00000000000006</v>
      </c>
      <c r="G923" s="203">
        <f>+SUMIF('AUX-NIV1'!I:I,Recursos!C923,'AUX-NIV1'!Q:Q)+SUMIF('AUX-NIV2'!I:I,Recursos!C923,'AUX-NIV2'!Q:Q)+SUMIF('AUX-NIV3'!I:I,Recursos!C923,'AUX-NIV3'!Q:Q)</f>
        <v>0</v>
      </c>
      <c r="H923" s="204">
        <f t="shared" ref="H923:H948" si="104">+F923*G923</f>
        <v>0</v>
      </c>
      <c r="I923" s="366">
        <f t="shared" si="102"/>
        <v>0</v>
      </c>
      <c r="J923" s="1418"/>
      <c r="L923" s="83"/>
      <c r="M923" s="83"/>
      <c r="N923" s="83"/>
      <c r="O923" s="83"/>
      <c r="P923" s="83"/>
      <c r="Q923" s="83"/>
      <c r="R923" s="83"/>
      <c r="S923" s="83"/>
      <c r="T923" s="83"/>
      <c r="U923" s="83"/>
      <c r="V923" s="83"/>
      <c r="W923" s="83"/>
      <c r="BO923" s="912"/>
      <c r="BP923" s="83" t="s">
        <v>4517</v>
      </c>
      <c r="BQ923" s="83">
        <v>9790</v>
      </c>
      <c r="BR923" s="83">
        <v>4.95</v>
      </c>
      <c r="BS923" s="83">
        <f>BQ923/BR923/6</f>
        <v>329.62962962962962</v>
      </c>
    </row>
    <row r="924" spans="2:71">
      <c r="B924" s="222"/>
      <c r="C924" s="1414" t="s">
        <v>4694</v>
      </c>
      <c r="D924" s="1415" t="s">
        <v>4695</v>
      </c>
      <c r="E924" s="1416" t="s">
        <v>477</v>
      </c>
      <c r="F924" s="1417">
        <f>2500/1.21/6</f>
        <v>344.3526170798898</v>
      </c>
      <c r="G924" s="203">
        <f>+SUMIF('AUX-NIV1'!I:I,Recursos!C924,'AUX-NIV1'!Q:Q)+SUMIF('AUX-NIV2'!I:I,Recursos!C924,'AUX-NIV2'!Q:Q)+SUMIF('AUX-NIV3'!I:I,Recursos!C924,'AUX-NIV3'!Q:Q)</f>
        <v>0</v>
      </c>
      <c r="H924" s="204">
        <f t="shared" si="104"/>
        <v>0</v>
      </c>
      <c r="I924" s="366">
        <f t="shared" si="102"/>
        <v>0</v>
      </c>
      <c r="J924" s="1418"/>
      <c r="L924" s="83"/>
      <c r="M924" s="83"/>
      <c r="N924" s="83"/>
      <c r="O924" s="83"/>
      <c r="P924" s="83"/>
      <c r="Q924" s="83"/>
      <c r="R924" s="83"/>
      <c r="S924" s="83"/>
      <c r="T924" s="83"/>
      <c r="U924" s="83"/>
      <c r="V924" s="83"/>
      <c r="W924" s="83"/>
      <c r="BO924" s="912"/>
      <c r="BP924" s="83" t="s">
        <v>4517</v>
      </c>
      <c r="BQ924" s="83">
        <v>9790</v>
      </c>
      <c r="BR924" s="83">
        <v>4.95</v>
      </c>
      <c r="BS924" s="83">
        <f>BQ924/BR924/6</f>
        <v>329.62962962962962</v>
      </c>
    </row>
    <row r="925" spans="2:71">
      <c r="B925" s="222"/>
      <c r="C925" s="1414" t="s">
        <v>4689</v>
      </c>
      <c r="D925" s="1415" t="s">
        <v>4690</v>
      </c>
      <c r="E925" s="1416" t="s">
        <v>477</v>
      </c>
      <c r="F925" s="1417">
        <f>1000/1.21</f>
        <v>826.44628099173553</v>
      </c>
      <c r="G925" s="203">
        <f>+SUMIF('AUX-NIV1'!I:I,Recursos!C925,'AUX-NIV1'!Q:Q)+SUMIF('AUX-NIV2'!I:I,Recursos!C925,'AUX-NIV2'!Q:Q)+SUMIF('AUX-NIV3'!I:I,Recursos!C925,'AUX-NIV3'!Q:Q)</f>
        <v>0</v>
      </c>
      <c r="H925" s="204">
        <f t="shared" ref="H925" si="105">+F925*G925</f>
        <v>0</v>
      </c>
      <c r="I925" s="366">
        <f t="shared" ref="I925" si="106">+H925/$I$3</f>
        <v>0</v>
      </c>
      <c r="J925" s="1418"/>
      <c r="L925" s="83"/>
      <c r="M925" s="83"/>
      <c r="N925" s="83"/>
      <c r="O925" s="83"/>
      <c r="P925" s="83"/>
      <c r="Q925" s="83"/>
      <c r="R925" s="83"/>
      <c r="S925" s="83"/>
      <c r="T925" s="83"/>
      <c r="U925" s="83"/>
      <c r="V925" s="83"/>
      <c r="W925" s="83"/>
      <c r="BO925" s="912"/>
      <c r="BP925" s="83" t="s">
        <v>4517</v>
      </c>
      <c r="BQ925" s="83">
        <v>9790</v>
      </c>
      <c r="BR925" s="83">
        <v>4.95</v>
      </c>
      <c r="BS925" s="83">
        <f>BQ925/BR925/6</f>
        <v>329.62962962962962</v>
      </c>
    </row>
    <row r="926" spans="2:71">
      <c r="B926" s="222"/>
      <c r="C926" s="1414" t="s">
        <v>4554</v>
      </c>
      <c r="D926" s="1415" t="s">
        <v>4556</v>
      </c>
      <c r="E926" s="1416" t="s">
        <v>546</v>
      </c>
      <c r="F926" s="1417">
        <f>4550/1.21/5.4</f>
        <v>696.35751453933267</v>
      </c>
      <c r="G926" s="203">
        <f>+SUMIF('AUX-NIV1'!I:I,Recursos!C926,'AUX-NIV1'!Q:Q)+SUMIF('AUX-NIV2'!I:I,Recursos!C926,'AUX-NIV2'!Q:Q)+SUMIF('AUX-NIV3'!I:I,Recursos!C926,'AUX-NIV3'!Q:Q)</f>
        <v>0</v>
      </c>
      <c r="H926" s="204">
        <f t="shared" si="104"/>
        <v>0</v>
      </c>
      <c r="I926" s="366">
        <f t="shared" ref="I926:I947" si="107">+H926/$I$3</f>
        <v>0</v>
      </c>
      <c r="J926" s="1418"/>
      <c r="L926" s="83"/>
      <c r="M926" s="83"/>
      <c r="N926" s="83"/>
      <c r="O926" s="83"/>
      <c r="P926" s="83"/>
      <c r="Q926" s="83"/>
      <c r="R926" s="83"/>
      <c r="S926" s="83"/>
      <c r="T926" s="83"/>
      <c r="U926" s="83"/>
      <c r="V926" s="83"/>
      <c r="W926" s="83"/>
      <c r="BO926" s="912"/>
      <c r="BR926" s="83">
        <v>4.95</v>
      </c>
      <c r="BS926" s="83">
        <f t="shared" ref="BS926:BS948" si="108">BQ926/BR926/6</f>
        <v>0</v>
      </c>
    </row>
    <row r="927" spans="2:71">
      <c r="B927" s="222"/>
      <c r="C927" s="1414" t="s">
        <v>4555</v>
      </c>
      <c r="D927" s="1415" t="s">
        <v>4557</v>
      </c>
      <c r="E927" s="1416" t="s">
        <v>546</v>
      </c>
      <c r="F927" s="1417">
        <v>106</v>
      </c>
      <c r="G927" s="203">
        <f>+SUMIF('AUX-NIV1'!I:I,Recursos!C927,'AUX-NIV1'!Q:Q)+SUMIF('AUX-NIV2'!I:I,Recursos!C927,'AUX-NIV2'!Q:Q)+SUMIF('AUX-NIV3'!I:I,Recursos!C927,'AUX-NIV3'!Q:Q)</f>
        <v>0</v>
      </c>
      <c r="H927" s="204">
        <f t="shared" si="104"/>
        <v>0</v>
      </c>
      <c r="I927" s="366">
        <f t="shared" si="107"/>
        <v>0</v>
      </c>
      <c r="J927" s="1418"/>
      <c r="L927" s="83"/>
      <c r="M927" s="83"/>
      <c r="N927" s="83"/>
      <c r="O927" s="83"/>
      <c r="P927" s="83"/>
      <c r="Q927" s="83"/>
      <c r="R927" s="83"/>
      <c r="S927" s="83"/>
      <c r="T927" s="83"/>
      <c r="U927" s="83"/>
      <c r="V927" s="83"/>
      <c r="W927" s="83"/>
      <c r="BO927" s="912"/>
      <c r="BR927" s="83">
        <v>4.95</v>
      </c>
      <c r="BS927" s="83">
        <f t="shared" si="108"/>
        <v>0</v>
      </c>
    </row>
    <row r="928" spans="2:71" ht="12" customHeight="1">
      <c r="B928" s="222"/>
      <c r="C928" s="1680" t="s">
        <v>4575</v>
      </c>
      <c r="D928" s="1681" t="s">
        <v>4576</v>
      </c>
      <c r="E928" s="1682" t="s">
        <v>610</v>
      </c>
      <c r="F928" s="1683">
        <f>178000/1.21</f>
        <v>147107.43801652893</v>
      </c>
      <c r="G928" s="203">
        <f>+SUMIF('AUX-NIV1'!I:I,Recursos!C928,'AUX-NIV1'!Q:Q)+SUMIF('AUX-NIV2'!I:I,Recursos!C928,'AUX-NIV2'!Q:Q)+SUMIF('AUX-NIV3'!I:I,Recursos!C928,'AUX-NIV3'!Q:Q)</f>
        <v>0</v>
      </c>
      <c r="H928" s="204">
        <f t="shared" si="104"/>
        <v>0</v>
      </c>
      <c r="I928" s="1684">
        <f t="shared" si="107"/>
        <v>0</v>
      </c>
      <c r="J928" s="1685"/>
      <c r="L928" s="83"/>
      <c r="M928" s="83"/>
      <c r="N928" s="83"/>
      <c r="O928" s="83"/>
      <c r="P928" s="83"/>
      <c r="Q928" s="83"/>
      <c r="R928" s="83"/>
      <c r="S928" s="83"/>
      <c r="T928" s="83"/>
      <c r="U928" s="83"/>
      <c r="V928" s="83"/>
      <c r="W928" s="83"/>
      <c r="BO928" s="912"/>
    </row>
    <row r="929" spans="1:67" ht="12" customHeight="1">
      <c r="B929" s="222"/>
      <c r="C929" s="1680" t="s">
        <v>4577</v>
      </c>
      <c r="D929" s="1681" t="s">
        <v>4578</v>
      </c>
      <c r="E929" s="1682" t="s">
        <v>610</v>
      </c>
      <c r="F929" s="1683">
        <f>22932/1.21</f>
        <v>18952.066115702481</v>
      </c>
      <c r="G929" s="203">
        <f>+SUMIF('AUX-NIV1'!I:I,Recursos!C929,'AUX-NIV1'!Q:Q)+SUMIF('AUX-NIV2'!I:I,Recursos!C929,'AUX-NIV2'!Q:Q)+SUMIF('AUX-NIV3'!I:I,Recursos!C929,'AUX-NIV3'!Q:Q)</f>
        <v>0</v>
      </c>
      <c r="H929" s="204">
        <f t="shared" si="104"/>
        <v>0</v>
      </c>
      <c r="I929" s="1684">
        <f t="shared" si="107"/>
        <v>0</v>
      </c>
      <c r="J929" s="1685"/>
      <c r="L929" s="83"/>
      <c r="M929" s="83"/>
      <c r="N929" s="83"/>
      <c r="O929" s="83"/>
      <c r="P929" s="83"/>
      <c r="Q929" s="83"/>
      <c r="R929" s="83"/>
      <c r="S929" s="83"/>
      <c r="T929" s="83"/>
      <c r="U929" s="83"/>
      <c r="V929" s="83"/>
      <c r="W929" s="83"/>
      <c r="BO929" s="912"/>
    </row>
    <row r="930" spans="1:67" ht="12" customHeight="1">
      <c r="B930" s="222"/>
      <c r="C930" s="1680" t="s">
        <v>4579</v>
      </c>
      <c r="D930" s="1681" t="s">
        <v>4580</v>
      </c>
      <c r="E930" s="1682" t="s">
        <v>477</v>
      </c>
      <c r="F930" s="1683">
        <f>54720/6*2</f>
        <v>18240</v>
      </c>
      <c r="G930" s="203">
        <f>+SUMIF('AUX-NIV1'!I:I,Recursos!C930,'AUX-NIV1'!Q:Q)+SUMIF('AUX-NIV2'!I:I,Recursos!C930,'AUX-NIV2'!Q:Q)+SUMIF('AUX-NIV3'!I:I,Recursos!C930,'AUX-NIV3'!Q:Q)</f>
        <v>0</v>
      </c>
      <c r="H930" s="204">
        <f t="shared" si="104"/>
        <v>0</v>
      </c>
      <c r="I930" s="1684">
        <f t="shared" si="107"/>
        <v>0</v>
      </c>
      <c r="J930" s="1685"/>
      <c r="L930" s="83"/>
      <c r="M930" s="83"/>
      <c r="N930" s="83"/>
      <c r="O930" s="83"/>
      <c r="P930" s="83"/>
      <c r="Q930" s="83"/>
      <c r="R930" s="83"/>
      <c r="S930" s="83"/>
      <c r="T930" s="83"/>
      <c r="U930" s="83"/>
      <c r="V930" s="83"/>
      <c r="W930" s="83"/>
      <c r="BO930" s="912"/>
    </row>
    <row r="931" spans="1:67" ht="12" customHeight="1">
      <c r="B931" s="222"/>
      <c r="C931" s="1680" t="s">
        <v>4581</v>
      </c>
      <c r="D931" s="1681" t="s">
        <v>4582</v>
      </c>
      <c r="E931" s="1682" t="s">
        <v>477</v>
      </c>
      <c r="F931" s="1683">
        <f>23250/1.21/6.4</f>
        <v>3002.3243801652893</v>
      </c>
      <c r="G931" s="203">
        <f>+SUMIF('AUX-NIV1'!I:I,Recursos!C931,'AUX-NIV1'!Q:Q)+SUMIF('AUX-NIV2'!I:I,Recursos!C931,'AUX-NIV2'!Q:Q)+SUMIF('AUX-NIV3'!I:I,Recursos!C931,'AUX-NIV3'!Q:Q)</f>
        <v>0</v>
      </c>
      <c r="H931" s="204">
        <f t="shared" si="104"/>
        <v>0</v>
      </c>
      <c r="I931" s="1684">
        <f t="shared" si="107"/>
        <v>0</v>
      </c>
      <c r="J931" s="1685"/>
      <c r="L931" s="83"/>
      <c r="M931" s="83"/>
      <c r="N931" s="83"/>
      <c r="O931" s="83"/>
      <c r="P931" s="83"/>
      <c r="Q931" s="83"/>
      <c r="R931" s="83"/>
      <c r="S931" s="83"/>
      <c r="T931" s="83"/>
      <c r="U931" s="83"/>
      <c r="V931" s="83"/>
      <c r="W931" s="83"/>
      <c r="BO931" s="912"/>
    </row>
    <row r="932" spans="1:67" ht="12" customHeight="1">
      <c r="B932" s="222"/>
      <c r="C932" s="1680" t="s">
        <v>4583</v>
      </c>
      <c r="D932" s="1681" t="s">
        <v>4584</v>
      </c>
      <c r="E932" s="1682" t="s">
        <v>610</v>
      </c>
      <c r="F932" s="1683">
        <f>15000/1.21</f>
        <v>12396.694214876034</v>
      </c>
      <c r="G932" s="203">
        <f>+SUMIF('AUX-NIV1'!I:I,Recursos!C932,'AUX-NIV1'!Q:Q)+SUMIF('AUX-NIV2'!I:I,Recursos!C932,'AUX-NIV2'!Q:Q)+SUMIF('AUX-NIV3'!I:I,Recursos!C932,'AUX-NIV3'!Q:Q)</f>
        <v>0</v>
      </c>
      <c r="H932" s="204">
        <f t="shared" si="104"/>
        <v>0</v>
      </c>
      <c r="I932" s="1684">
        <f t="shared" si="107"/>
        <v>0</v>
      </c>
      <c r="J932" s="1685"/>
      <c r="L932" s="83"/>
      <c r="M932" s="83"/>
      <c r="N932" s="83"/>
      <c r="O932" s="83"/>
      <c r="P932" s="83"/>
      <c r="Q932" s="83"/>
      <c r="R932" s="83"/>
      <c r="S932" s="83"/>
      <c r="T932" s="83"/>
      <c r="U932" s="83"/>
      <c r="V932" s="83"/>
      <c r="W932" s="83"/>
      <c r="BO932" s="912"/>
    </row>
    <row r="933" spans="1:67" ht="12" customHeight="1">
      <c r="B933" s="222"/>
      <c r="C933" s="1680" t="s">
        <v>4585</v>
      </c>
      <c r="D933" s="1681" t="s">
        <v>4586</v>
      </c>
      <c r="E933" s="1682" t="s">
        <v>610</v>
      </c>
      <c r="F933" s="1683">
        <f>5500/1.21</f>
        <v>4545.454545454546</v>
      </c>
      <c r="G933" s="203">
        <f>+SUMIF('AUX-NIV1'!I:I,Recursos!C933,'AUX-NIV1'!Q:Q)+SUMIF('AUX-NIV2'!I:I,Recursos!C933,'AUX-NIV2'!Q:Q)+SUMIF('AUX-NIV3'!I:I,Recursos!C933,'AUX-NIV3'!Q:Q)</f>
        <v>0</v>
      </c>
      <c r="H933" s="204">
        <f t="shared" si="104"/>
        <v>0</v>
      </c>
      <c r="I933" s="1684">
        <f t="shared" si="107"/>
        <v>0</v>
      </c>
      <c r="J933" s="1685"/>
      <c r="L933" s="83"/>
      <c r="M933" s="83"/>
      <c r="N933" s="83"/>
      <c r="O933" s="83"/>
      <c r="P933" s="83"/>
      <c r="Q933" s="83"/>
      <c r="R933" s="83"/>
      <c r="S933" s="83"/>
      <c r="T933" s="83"/>
      <c r="U933" s="83"/>
      <c r="V933" s="83"/>
      <c r="W933" s="83"/>
      <c r="BO933" s="912"/>
    </row>
    <row r="934" spans="1:67" ht="12" customHeight="1">
      <c r="B934" s="222"/>
      <c r="C934" s="1680" t="s">
        <v>4587</v>
      </c>
      <c r="D934" s="1681" t="s">
        <v>4588</v>
      </c>
      <c r="E934" s="1682" t="s">
        <v>610</v>
      </c>
      <c r="F934" s="1683">
        <f>69000/1.21</f>
        <v>57024.793388429753</v>
      </c>
      <c r="G934" s="203">
        <f>+SUMIF('AUX-NIV1'!I:I,Recursos!C934,'AUX-NIV1'!Q:Q)+SUMIF('AUX-NIV2'!I:I,Recursos!C934,'AUX-NIV2'!Q:Q)+SUMIF('AUX-NIV3'!I:I,Recursos!C934,'AUX-NIV3'!Q:Q)</f>
        <v>0</v>
      </c>
      <c r="H934" s="204">
        <f t="shared" si="104"/>
        <v>0</v>
      </c>
      <c r="I934" s="1684">
        <f t="shared" si="107"/>
        <v>0</v>
      </c>
      <c r="J934" s="1685"/>
      <c r="L934" s="83"/>
      <c r="M934" s="83"/>
      <c r="N934" s="83"/>
      <c r="O934" s="83"/>
      <c r="P934" s="83"/>
      <c r="Q934" s="83"/>
      <c r="R934" s="83"/>
      <c r="S934" s="83"/>
      <c r="T934" s="83"/>
      <c r="U934" s="83"/>
      <c r="V934" s="83"/>
      <c r="W934" s="83"/>
      <c r="BO934" s="912"/>
    </row>
    <row r="935" spans="1:67" ht="12" customHeight="1">
      <c r="B935" s="222"/>
      <c r="C935" s="1680" t="s">
        <v>4589</v>
      </c>
      <c r="D935" s="1681" t="s">
        <v>4590</v>
      </c>
      <c r="E935" s="1682" t="s">
        <v>610</v>
      </c>
      <c r="F935" s="1683">
        <f>200</f>
        <v>200</v>
      </c>
      <c r="G935" s="203">
        <f>+SUMIF('AUX-NIV1'!I:I,Recursos!C935,'AUX-NIV1'!Q:Q)+SUMIF('AUX-NIV2'!I:I,Recursos!C935,'AUX-NIV2'!Q:Q)+SUMIF('AUX-NIV3'!I:I,Recursos!C935,'AUX-NIV3'!Q:Q)</f>
        <v>0</v>
      </c>
      <c r="H935" s="204">
        <f t="shared" si="104"/>
        <v>0</v>
      </c>
      <c r="I935" s="1684">
        <f t="shared" si="107"/>
        <v>0</v>
      </c>
      <c r="J935" s="1685"/>
      <c r="L935" s="83"/>
      <c r="M935" s="83"/>
      <c r="N935" s="83"/>
      <c r="O935" s="83"/>
      <c r="P935" s="83"/>
      <c r="Q935" s="83"/>
      <c r="R935" s="83"/>
      <c r="S935" s="83"/>
      <c r="T935" s="83"/>
      <c r="U935" s="83"/>
      <c r="V935" s="83"/>
      <c r="W935" s="83"/>
      <c r="BO935" s="912"/>
    </row>
    <row r="936" spans="1:67" ht="12" customHeight="1">
      <c r="A936" s="83" t="s">
        <v>4591</v>
      </c>
      <c r="B936" s="222"/>
      <c r="C936" s="1680" t="s">
        <v>4592</v>
      </c>
      <c r="D936" s="1681" t="s">
        <v>4593</v>
      </c>
      <c r="E936" s="1682" t="s">
        <v>610</v>
      </c>
      <c r="F936" s="1683">
        <f>160</f>
        <v>160</v>
      </c>
      <c r="G936" s="203">
        <f>+SUMIF('AUX-NIV1'!I:I,Recursos!C936,'AUX-NIV1'!Q:Q)+SUMIF('AUX-NIV2'!I:I,Recursos!C936,'AUX-NIV2'!Q:Q)+SUMIF('AUX-NIV3'!I:I,Recursos!C936,'AUX-NIV3'!Q:Q)</f>
        <v>0</v>
      </c>
      <c r="H936" s="204">
        <f t="shared" si="104"/>
        <v>0</v>
      </c>
      <c r="I936" s="1684">
        <f t="shared" si="107"/>
        <v>0</v>
      </c>
      <c r="J936" s="1685"/>
      <c r="L936" s="83"/>
      <c r="M936" s="83"/>
      <c r="N936" s="83"/>
      <c r="O936" s="83"/>
      <c r="P936" s="83"/>
      <c r="Q936" s="83"/>
      <c r="R936" s="83"/>
      <c r="S936" s="83"/>
      <c r="T936" s="83"/>
      <c r="U936" s="83"/>
      <c r="V936" s="83"/>
      <c r="W936" s="83"/>
      <c r="BO936" s="912"/>
    </row>
    <row r="937" spans="1:67" ht="12" customHeight="1">
      <c r="B937" s="222"/>
      <c r="C937" s="1680" t="s">
        <v>4594</v>
      </c>
      <c r="D937" s="1681" t="s">
        <v>4595</v>
      </c>
      <c r="E937" s="1682" t="s">
        <v>610</v>
      </c>
      <c r="F937" s="1683">
        <f>2560/1.21</f>
        <v>2115.7024793388432</v>
      </c>
      <c r="G937" s="203">
        <f>+SUMIF('AUX-NIV1'!I:I,Recursos!C937,'AUX-NIV1'!Q:Q)+SUMIF('AUX-NIV2'!I:I,Recursos!C937,'AUX-NIV2'!Q:Q)+SUMIF('AUX-NIV3'!I:I,Recursos!C937,'AUX-NIV3'!Q:Q)</f>
        <v>0</v>
      </c>
      <c r="H937" s="204">
        <f t="shared" si="104"/>
        <v>0</v>
      </c>
      <c r="I937" s="1684">
        <f t="shared" si="107"/>
        <v>0</v>
      </c>
      <c r="J937" s="1685"/>
      <c r="L937" s="83"/>
      <c r="M937" s="83"/>
      <c r="N937" s="83"/>
      <c r="O937" s="83"/>
      <c r="P937" s="83"/>
      <c r="Q937" s="83"/>
      <c r="R937" s="83"/>
      <c r="S937" s="83"/>
      <c r="T937" s="83"/>
      <c r="U937" s="83"/>
      <c r="V937" s="83"/>
      <c r="W937" s="83"/>
      <c r="BO937" s="912"/>
    </row>
    <row r="938" spans="1:67" ht="12" customHeight="1">
      <c r="B938" s="222"/>
      <c r="C938" s="1680" t="s">
        <v>4596</v>
      </c>
      <c r="D938" s="1681" t="s">
        <v>4597</v>
      </c>
      <c r="E938" s="1682" t="s">
        <v>610</v>
      </c>
      <c r="F938" s="1683">
        <f>6492/1.21</f>
        <v>5365.2892561983472</v>
      </c>
      <c r="G938" s="203">
        <f>+SUMIF('AUX-NIV1'!I:I,Recursos!C938,'AUX-NIV1'!Q:Q)+SUMIF('AUX-NIV2'!I:I,Recursos!C938,'AUX-NIV2'!Q:Q)+SUMIF('AUX-NIV3'!I:I,Recursos!C938,'AUX-NIV3'!Q:Q)</f>
        <v>0</v>
      </c>
      <c r="H938" s="204">
        <f t="shared" si="104"/>
        <v>0</v>
      </c>
      <c r="I938" s="1684">
        <f t="shared" si="107"/>
        <v>0</v>
      </c>
      <c r="J938" s="1685"/>
      <c r="L938" s="83"/>
      <c r="M938" s="83"/>
      <c r="N938" s="83"/>
      <c r="O938" s="83"/>
      <c r="P938" s="83"/>
      <c r="Q938" s="83"/>
      <c r="R938" s="83"/>
      <c r="S938" s="83"/>
      <c r="T938" s="83"/>
      <c r="U938" s="83"/>
      <c r="V938" s="83"/>
      <c r="W938" s="83"/>
      <c r="BO938" s="912"/>
    </row>
    <row r="939" spans="1:67" ht="12" customHeight="1">
      <c r="B939" s="222"/>
      <c r="C939" s="1680" t="s">
        <v>4598</v>
      </c>
      <c r="D939" s="1681" t="s">
        <v>4599</v>
      </c>
      <c r="E939" s="1682" t="s">
        <v>610</v>
      </c>
      <c r="F939" s="1683">
        <f>3100/1.21</f>
        <v>2561.9834710743803</v>
      </c>
      <c r="G939" s="203">
        <f>+SUMIF('AUX-NIV1'!I:I,Recursos!C939,'AUX-NIV1'!Q:Q)+SUMIF('AUX-NIV2'!I:I,Recursos!C939,'AUX-NIV2'!Q:Q)+SUMIF('AUX-NIV3'!I:I,Recursos!C939,'AUX-NIV3'!Q:Q)</f>
        <v>0</v>
      </c>
      <c r="H939" s="204">
        <f t="shared" si="104"/>
        <v>0</v>
      </c>
      <c r="I939" s="1684">
        <f t="shared" si="107"/>
        <v>0</v>
      </c>
      <c r="J939" s="1685"/>
      <c r="L939" s="83"/>
      <c r="M939" s="83"/>
      <c r="N939" s="83"/>
      <c r="O939" s="83"/>
      <c r="P939" s="83"/>
      <c r="Q939" s="83"/>
      <c r="R939" s="83"/>
      <c r="S939" s="83"/>
      <c r="T939" s="83"/>
      <c r="U939" s="83"/>
      <c r="V939" s="83"/>
      <c r="W939" s="83"/>
      <c r="BO939" s="912"/>
    </row>
    <row r="940" spans="1:67" ht="12" customHeight="1">
      <c r="B940" s="222"/>
      <c r="C940" s="1680" t="s">
        <v>4600</v>
      </c>
      <c r="D940" s="1681" t="s">
        <v>4601</v>
      </c>
      <c r="E940" s="1682" t="s">
        <v>610</v>
      </c>
      <c r="F940" s="1683">
        <f>11675/1.21</f>
        <v>9648.7603305785124</v>
      </c>
      <c r="G940" s="203">
        <f>+SUMIF('AUX-NIV1'!I:I,Recursos!C940,'AUX-NIV1'!Q:Q)+SUMIF('AUX-NIV2'!I:I,Recursos!C940,'AUX-NIV2'!Q:Q)+SUMIF('AUX-NIV3'!I:I,Recursos!C940,'AUX-NIV3'!Q:Q)</f>
        <v>0</v>
      </c>
      <c r="H940" s="204">
        <f t="shared" si="104"/>
        <v>0</v>
      </c>
      <c r="I940" s="1684">
        <f t="shared" si="107"/>
        <v>0</v>
      </c>
      <c r="J940" s="1685"/>
      <c r="L940" s="83"/>
      <c r="M940" s="83"/>
      <c r="N940" s="83"/>
      <c r="O940" s="83"/>
      <c r="P940" s="83"/>
      <c r="Q940" s="83"/>
      <c r="R940" s="83"/>
      <c r="S940" s="83"/>
      <c r="T940" s="83"/>
      <c r="U940" s="83"/>
      <c r="V940" s="83"/>
      <c r="W940" s="83"/>
      <c r="BO940" s="912"/>
    </row>
    <row r="941" spans="1:67" ht="12" customHeight="1">
      <c r="B941" s="222"/>
      <c r="C941" s="1680" t="s">
        <v>4602</v>
      </c>
      <c r="D941" s="1681" t="s">
        <v>4603</v>
      </c>
      <c r="E941" s="1682" t="s">
        <v>610</v>
      </c>
      <c r="F941" s="1683">
        <f>16821/1.21</f>
        <v>13901.652892561984</v>
      </c>
      <c r="G941" s="203">
        <f>+SUMIF('AUX-NIV1'!I:I,Recursos!C941,'AUX-NIV1'!Q:Q)+SUMIF('AUX-NIV2'!I:I,Recursos!C941,'AUX-NIV2'!Q:Q)+SUMIF('AUX-NIV3'!I:I,Recursos!C941,'AUX-NIV3'!Q:Q)</f>
        <v>0</v>
      </c>
      <c r="H941" s="204">
        <f t="shared" si="104"/>
        <v>0</v>
      </c>
      <c r="I941" s="1684">
        <f t="shared" si="107"/>
        <v>0</v>
      </c>
      <c r="J941" s="1685"/>
      <c r="L941" s="83"/>
      <c r="M941" s="83"/>
      <c r="N941" s="83"/>
      <c r="O941" s="83"/>
      <c r="P941" s="83"/>
      <c r="Q941" s="83"/>
      <c r="R941" s="83"/>
      <c r="S941" s="83"/>
      <c r="T941" s="83"/>
      <c r="U941" s="83"/>
      <c r="V941" s="83"/>
      <c r="W941" s="83"/>
      <c r="BO941" s="912"/>
    </row>
    <row r="942" spans="1:67" ht="12" customHeight="1">
      <c r="B942" s="222"/>
      <c r="C942" s="1680" t="s">
        <v>4604</v>
      </c>
      <c r="D942" s="1681" t="s">
        <v>4605</v>
      </c>
      <c r="E942" s="1682" t="s">
        <v>610</v>
      </c>
      <c r="F942" s="1683">
        <f>1670/1.21</f>
        <v>1380.1652892561983</v>
      </c>
      <c r="G942" s="203">
        <f>+SUMIF('AUX-NIV1'!I:I,Recursos!C942,'AUX-NIV1'!Q:Q)+SUMIF('AUX-NIV2'!I:I,Recursos!C942,'AUX-NIV2'!Q:Q)+SUMIF('AUX-NIV3'!I:I,Recursos!C942,'AUX-NIV3'!Q:Q)</f>
        <v>0</v>
      </c>
      <c r="H942" s="204">
        <f t="shared" si="104"/>
        <v>0</v>
      </c>
      <c r="I942" s="1684">
        <f t="shared" si="107"/>
        <v>0</v>
      </c>
      <c r="J942" s="1685"/>
      <c r="L942" s="83"/>
      <c r="M942" s="83"/>
      <c r="N942" s="83"/>
      <c r="O942" s="83"/>
      <c r="P942" s="83"/>
      <c r="Q942" s="83"/>
      <c r="R942" s="83"/>
      <c r="S942" s="83"/>
      <c r="T942" s="83"/>
      <c r="U942" s="83"/>
      <c r="V942" s="83"/>
      <c r="W942" s="83"/>
      <c r="BO942" s="912"/>
    </row>
    <row r="943" spans="1:67" ht="12" customHeight="1">
      <c r="B943" s="222"/>
      <c r="C943" s="1680" t="s">
        <v>4606</v>
      </c>
      <c r="D943" s="1681" t="s">
        <v>4607</v>
      </c>
      <c r="E943" s="1682" t="s">
        <v>610</v>
      </c>
      <c r="F943" s="1683">
        <v>7280</v>
      </c>
      <c r="G943" s="203">
        <f>+SUMIF('AUX-NIV1'!I:I,Recursos!C943,'AUX-NIV1'!Q:Q)+SUMIF('AUX-NIV2'!I:I,Recursos!C943,'AUX-NIV2'!Q:Q)+SUMIF('AUX-NIV3'!I:I,Recursos!C943,'AUX-NIV3'!Q:Q)</f>
        <v>0</v>
      </c>
      <c r="H943" s="204">
        <f t="shared" si="104"/>
        <v>0</v>
      </c>
      <c r="I943" s="1684">
        <f t="shared" si="107"/>
        <v>0</v>
      </c>
      <c r="J943" s="1685"/>
      <c r="L943" s="83"/>
      <c r="M943" s="83"/>
      <c r="N943" s="83"/>
      <c r="O943" s="83"/>
      <c r="P943" s="83"/>
      <c r="Q943" s="83"/>
      <c r="R943" s="83"/>
      <c r="S943" s="83"/>
      <c r="T943" s="83"/>
      <c r="U943" s="83"/>
      <c r="V943" s="83"/>
      <c r="W943" s="83"/>
      <c r="BO943" s="912"/>
    </row>
    <row r="944" spans="1:67" ht="12" customHeight="1">
      <c r="B944" s="222"/>
      <c r="C944" s="1680" t="s">
        <v>4608</v>
      </c>
      <c r="D944" s="1681" t="s">
        <v>4609</v>
      </c>
      <c r="E944" s="1682" t="s">
        <v>610</v>
      </c>
      <c r="F944" s="1683">
        <f>4394/1.21</f>
        <v>3631.404958677686</v>
      </c>
      <c r="G944" s="203">
        <f>+SUMIF('AUX-NIV1'!I:I,Recursos!C944,'AUX-NIV1'!Q:Q)+SUMIF('AUX-NIV2'!I:I,Recursos!C944,'AUX-NIV2'!Q:Q)+SUMIF('AUX-NIV3'!I:I,Recursos!C944,'AUX-NIV3'!Q:Q)</f>
        <v>0</v>
      </c>
      <c r="H944" s="204">
        <f t="shared" si="104"/>
        <v>0</v>
      </c>
      <c r="I944" s="1684">
        <f t="shared" si="107"/>
        <v>0</v>
      </c>
      <c r="J944" s="1685"/>
      <c r="L944" s="83"/>
      <c r="M944" s="83"/>
      <c r="N944" s="83"/>
      <c r="O944" s="83"/>
      <c r="P944" s="83"/>
      <c r="Q944" s="83"/>
      <c r="R944" s="83"/>
      <c r="S944" s="83"/>
      <c r="T944" s="83"/>
      <c r="U944" s="83"/>
      <c r="V944" s="83"/>
      <c r="W944" s="83"/>
      <c r="BO944" s="912"/>
    </row>
    <row r="945" spans="2:71" ht="12" customHeight="1">
      <c r="B945" s="222"/>
      <c r="C945" s="1680" t="s">
        <v>4610</v>
      </c>
      <c r="D945" s="1681" t="s">
        <v>4611</v>
      </c>
      <c r="E945" s="1682" t="s">
        <v>610</v>
      </c>
      <c r="F945" s="1683">
        <f>446</f>
        <v>446</v>
      </c>
      <c r="G945" s="203">
        <f>+SUMIF('AUX-NIV1'!I:I,Recursos!C945,'AUX-NIV1'!Q:Q)+SUMIF('AUX-NIV2'!I:I,Recursos!C945,'AUX-NIV2'!Q:Q)+SUMIF('AUX-NIV3'!I:I,Recursos!C945,'AUX-NIV3'!Q:Q)</f>
        <v>0</v>
      </c>
      <c r="H945" s="204">
        <f t="shared" si="104"/>
        <v>0</v>
      </c>
      <c r="I945" s="1684">
        <f t="shared" si="107"/>
        <v>0</v>
      </c>
      <c r="J945" s="1685"/>
      <c r="L945" s="83"/>
      <c r="M945" s="83"/>
      <c r="N945" s="83"/>
      <c r="O945" s="83"/>
      <c r="P945" s="83"/>
      <c r="Q945" s="83"/>
      <c r="R945" s="83"/>
      <c r="S945" s="83"/>
      <c r="T945" s="83"/>
      <c r="U945" s="83"/>
      <c r="V945" s="83"/>
      <c r="W945" s="83"/>
      <c r="BO945" s="912"/>
    </row>
    <row r="946" spans="2:71" ht="12" customHeight="1">
      <c r="B946" s="222"/>
      <c r="C946" s="1680" t="s">
        <v>4424</v>
      </c>
      <c r="D946" s="1681" t="s">
        <v>4425</v>
      </c>
      <c r="E946" s="1682" t="s">
        <v>610</v>
      </c>
      <c r="F946" s="1683">
        <f>223000</f>
        <v>223000</v>
      </c>
      <c r="G946" s="203">
        <f>+SUMIF('AUX-NIV1'!I:I,Recursos!C946,'AUX-NIV1'!Q:Q)+SUMIF('AUX-NIV2'!I:I,Recursos!C946,'AUX-NIV2'!Q:Q)+SUMIF('AUX-NIV3'!I:I,Recursos!C946,'AUX-NIV3'!Q:Q)</f>
        <v>0</v>
      </c>
      <c r="H946" s="204">
        <f t="shared" si="104"/>
        <v>0</v>
      </c>
      <c r="I946" s="1684">
        <f t="shared" si="107"/>
        <v>0</v>
      </c>
      <c r="J946" s="1685"/>
      <c r="L946" s="83"/>
      <c r="M946" s="83"/>
      <c r="N946" s="83"/>
      <c r="O946" s="83"/>
      <c r="P946" s="83"/>
      <c r="Q946" s="83"/>
      <c r="R946" s="83"/>
      <c r="S946" s="83"/>
      <c r="T946" s="83"/>
      <c r="U946" s="83"/>
      <c r="V946" s="83"/>
      <c r="W946" s="83"/>
      <c r="BO946" s="912"/>
    </row>
    <row r="947" spans="2:71" ht="12" customHeight="1">
      <c r="B947" s="222"/>
      <c r="C947" s="1680" t="s">
        <v>4613</v>
      </c>
      <c r="D947" s="1681" t="s">
        <v>4614</v>
      </c>
      <c r="E947" s="1682" t="s">
        <v>610</v>
      </c>
      <c r="F947" s="1686">
        <v>1650</v>
      </c>
      <c r="G947" s="203">
        <f>+SUMIF('AUX-NIV1'!I:I,Recursos!C947,'AUX-NIV1'!Q:Q)+SUMIF('AUX-NIV2'!I:I,Recursos!C947,'AUX-NIV2'!Q:Q)+SUMIF('AUX-NIV3'!I:I,Recursos!C947,'AUX-NIV3'!Q:Q)</f>
        <v>0</v>
      </c>
      <c r="H947" s="204">
        <f t="shared" si="104"/>
        <v>0</v>
      </c>
      <c r="I947" s="1684">
        <f t="shared" si="107"/>
        <v>0</v>
      </c>
      <c r="J947" s="1685"/>
      <c r="L947" s="83"/>
      <c r="M947" s="83"/>
      <c r="N947" s="83"/>
      <c r="O947" s="83"/>
      <c r="P947" s="83"/>
      <c r="Q947" s="83"/>
      <c r="R947" s="83"/>
      <c r="S947" s="83"/>
      <c r="T947" s="83"/>
      <c r="U947" s="83"/>
      <c r="V947" s="83"/>
      <c r="W947" s="83"/>
      <c r="BO947" s="912"/>
    </row>
    <row r="948" spans="2:71">
      <c r="B948" s="222"/>
      <c r="C948" s="1414"/>
      <c r="D948" s="1415"/>
      <c r="E948" s="1416"/>
      <c r="F948" s="1417"/>
      <c r="G948" s="203">
        <f>+SUMIF('AUX-NIV1'!I:I,Recursos!C948,'AUX-NIV1'!Q:Q)+SUMIF('AUX-NIV2'!I:I,Recursos!C948,'AUX-NIV2'!Q:Q)+SUMIF('AUX-NIV3'!I:I,Recursos!C948,'AUX-NIV3'!Q:Q)</f>
        <v>0</v>
      </c>
      <c r="H948" s="204">
        <f t="shared" si="104"/>
        <v>0</v>
      </c>
      <c r="I948" s="366">
        <f>+H948/$I$3</f>
        <v>0</v>
      </c>
      <c r="J948" s="1418"/>
      <c r="L948" s="83"/>
      <c r="M948" s="83"/>
      <c r="N948" s="83"/>
      <c r="O948" s="83"/>
      <c r="P948" s="83"/>
      <c r="Q948" s="83"/>
      <c r="R948" s="83"/>
      <c r="S948" s="83"/>
      <c r="T948" s="83"/>
      <c r="U948" s="83"/>
      <c r="V948" s="83"/>
      <c r="W948" s="83"/>
      <c r="BO948" s="912"/>
      <c r="BR948" s="83">
        <v>4.95</v>
      </c>
      <c r="BS948" s="83">
        <f t="shared" si="108"/>
        <v>0</v>
      </c>
    </row>
    <row r="949" spans="2:71">
      <c r="B949" s="222"/>
      <c r="C949" s="952"/>
      <c r="D949" s="200"/>
      <c r="E949" s="201"/>
      <c r="F949" s="551"/>
      <c r="G949" s="203"/>
      <c r="H949" s="204"/>
      <c r="I949" s="366"/>
      <c r="J949" s="205"/>
      <c r="L949" s="1610"/>
      <c r="M949" s="83"/>
      <c r="N949" s="83"/>
      <c r="O949" s="83"/>
      <c r="P949" s="83"/>
      <c r="Q949" s="83"/>
      <c r="R949" s="83"/>
      <c r="S949" s="83"/>
      <c r="T949" s="83"/>
      <c r="U949" s="83"/>
      <c r="V949" s="83"/>
      <c r="W949" s="83"/>
    </row>
    <row r="950" spans="2:71" ht="12">
      <c r="B950" s="305">
        <f>+COUNTA(C950:C1453)-2</f>
        <v>398</v>
      </c>
      <c r="C950" s="109" t="s">
        <v>626</v>
      </c>
      <c r="D950" s="110"/>
      <c r="E950" s="111"/>
      <c r="F950" s="111"/>
      <c r="G950" s="112"/>
      <c r="H950" s="112">
        <f>+SUBTOTAL(9,H951:H1452)</f>
        <v>0</v>
      </c>
      <c r="I950" s="365">
        <f>+H950/$I$3</f>
        <v>0</v>
      </c>
      <c r="J950" s="114"/>
      <c r="L950" s="83"/>
      <c r="M950" s="83"/>
      <c r="N950" s="83"/>
      <c r="O950" s="83"/>
      <c r="P950" s="83"/>
      <c r="Q950" s="83"/>
      <c r="R950" s="83"/>
      <c r="S950" s="83"/>
      <c r="T950" s="83"/>
      <c r="U950" s="83"/>
      <c r="V950" s="83"/>
      <c r="W950" s="83"/>
    </row>
    <row r="951" spans="2:71">
      <c r="B951" s="222"/>
      <c r="C951" s="206" t="s">
        <v>2686</v>
      </c>
      <c r="D951" s="200" t="s">
        <v>2715</v>
      </c>
      <c r="E951" s="201" t="s">
        <v>2714</v>
      </c>
      <c r="F951" s="360">
        <v>7600</v>
      </c>
      <c r="G951" s="203">
        <f>+SUMIF('AUX-NIV1'!I:I,Recursos!C951,'AUX-NIV1'!Q:Q)+SUMIF('AUX-NIV2'!I:I,Recursos!C951,'AUX-NIV2'!Q:Q)+SUMIF('AUX-NIV3'!I:I,Recursos!C951,'AUX-NIV3'!Q:Q)</f>
        <v>0</v>
      </c>
      <c r="H951" s="204">
        <f>+F951*G951</f>
        <v>0</v>
      </c>
      <c r="I951" s="366">
        <f>+H951/$I$3</f>
        <v>0</v>
      </c>
      <c r="J951" s="474"/>
      <c r="L951" s="83"/>
      <c r="M951" s="83"/>
      <c r="N951" s="83"/>
      <c r="O951" s="83"/>
      <c r="P951" s="83"/>
      <c r="Q951" s="83"/>
      <c r="R951" s="83"/>
      <c r="S951" s="83"/>
      <c r="T951" s="83"/>
      <c r="U951" s="83"/>
      <c r="V951" s="83"/>
      <c r="W951" s="83"/>
    </row>
    <row r="952" spans="2:71">
      <c r="B952" s="222"/>
      <c r="C952" s="199" t="s">
        <v>698</v>
      </c>
      <c r="D952" s="200" t="s">
        <v>699</v>
      </c>
      <c r="E952" s="201" t="s">
        <v>3208</v>
      </c>
      <c r="F952" s="360">
        <f>25*usd</f>
        <v>2551.25</v>
      </c>
      <c r="G952" s="203">
        <f>+SUMIF('AUX-NIV1'!I:I,Recursos!C952,'AUX-NIV1'!Q:Q)+SUMIF('AUX-NIV2'!I:I,Recursos!C952,'AUX-NIV2'!Q:Q)+SUMIF('AUX-NIV3'!I:I,Recursos!C952,'AUX-NIV3'!Q:Q)</f>
        <v>0</v>
      </c>
      <c r="H952" s="204">
        <f t="shared" ref="H952:H1015" si="109">+F952*G952</f>
        <v>0</v>
      </c>
      <c r="I952" s="366">
        <f t="shared" ref="I952:I1015" si="110">+H952/$I$3</f>
        <v>0</v>
      </c>
      <c r="J952" s="205"/>
      <c r="L952" s="83"/>
      <c r="M952" s="83"/>
      <c r="N952" s="83"/>
      <c r="O952" s="83"/>
      <c r="P952" s="83"/>
      <c r="Q952" s="83"/>
      <c r="R952" s="83"/>
      <c r="S952" s="83"/>
      <c r="T952" s="83"/>
      <c r="U952" s="83"/>
      <c r="V952" s="83"/>
      <c r="W952" s="83"/>
    </row>
    <row r="953" spans="2:71">
      <c r="B953" s="222"/>
      <c r="C953" s="206" t="s">
        <v>2488</v>
      </c>
      <c r="D953" s="200" t="s">
        <v>2489</v>
      </c>
      <c r="E953" s="201" t="s">
        <v>1321</v>
      </c>
      <c r="F953" s="360">
        <v>160</v>
      </c>
      <c r="G953" s="203">
        <f>+SUMIF('AUX-NIV1'!I:I,Recursos!C953,'AUX-NIV1'!Q:Q)+SUMIF('AUX-NIV2'!I:I,Recursos!C953,'AUX-NIV2'!Q:Q)+SUMIF('AUX-NIV3'!I:I,Recursos!C953,'AUX-NIV3'!Q:Q)</f>
        <v>0</v>
      </c>
      <c r="H953" s="204">
        <f t="shared" si="109"/>
        <v>0</v>
      </c>
      <c r="I953" s="366">
        <f t="shared" si="110"/>
        <v>0</v>
      </c>
      <c r="J953" s="474"/>
      <c r="L953" s="83"/>
      <c r="M953" s="83"/>
      <c r="N953" s="83"/>
      <c r="O953" s="83"/>
      <c r="P953" s="83"/>
      <c r="Q953" s="83"/>
      <c r="R953" s="83"/>
      <c r="S953" s="83"/>
      <c r="T953" s="83"/>
      <c r="U953" s="83"/>
      <c r="V953" s="83"/>
      <c r="W953" s="83"/>
    </row>
    <row r="954" spans="2:71">
      <c r="B954" s="222"/>
      <c r="C954" s="199" t="s">
        <v>666</v>
      </c>
      <c r="D954" s="200" t="s">
        <v>667</v>
      </c>
      <c r="E954" s="201" t="s">
        <v>477</v>
      </c>
      <c r="F954" s="360">
        <f>70.4166666666667+200/50*19.71+20+60</f>
        <v>229.25666666666672</v>
      </c>
      <c r="G954" s="203">
        <f>+SUMIF('AUX-NIV1'!I:I,Recursos!C954,'AUX-NIV1'!Q:Q)+SUMIF('AUX-NIV2'!I:I,Recursos!C954,'AUX-NIV2'!Q:Q)+SUMIF('AUX-NIV3'!I:I,Recursos!C954,'AUX-NIV3'!Q:Q)</f>
        <v>0</v>
      </c>
      <c r="H954" s="204">
        <f t="shared" si="109"/>
        <v>0</v>
      </c>
      <c r="I954" s="366">
        <f t="shared" si="110"/>
        <v>0</v>
      </c>
      <c r="J954" s="205"/>
      <c r="L954" s="83"/>
      <c r="M954" s="83"/>
      <c r="N954" s="83"/>
      <c r="O954" s="83"/>
      <c r="P954" s="83"/>
      <c r="Q954" s="83"/>
      <c r="R954" s="83"/>
      <c r="S954" s="83"/>
      <c r="T954" s="83"/>
      <c r="U954" s="83"/>
      <c r="V954" s="83"/>
      <c r="W954" s="83"/>
    </row>
    <row r="955" spans="2:71">
      <c r="B955" s="222"/>
      <c r="C955" s="199" t="s">
        <v>747</v>
      </c>
      <c r="D955" s="200" t="s">
        <v>748</v>
      </c>
      <c r="E955" s="201" t="s">
        <v>462</v>
      </c>
      <c r="F955" s="360">
        <v>10</v>
      </c>
      <c r="G955" s="203">
        <f>+SUMIF('AUX-NIV1'!I:I,Recursos!C955,'AUX-NIV1'!Q:Q)+SUMIF('AUX-NIV2'!I:I,Recursos!C955,'AUX-NIV2'!Q:Q)+SUMIF('AUX-NIV3'!I:I,Recursos!C955,'AUX-NIV3'!Q:Q)</f>
        <v>0</v>
      </c>
      <c r="H955" s="204">
        <f t="shared" si="109"/>
        <v>0</v>
      </c>
      <c r="I955" s="366">
        <f t="shared" si="110"/>
        <v>0</v>
      </c>
      <c r="J955" s="205"/>
      <c r="L955" s="83"/>
      <c r="M955" s="83"/>
      <c r="N955" s="83"/>
      <c r="O955" s="83"/>
      <c r="P955" s="83"/>
      <c r="Q955" s="83"/>
      <c r="R955" s="83"/>
      <c r="S955" s="83"/>
      <c r="T955" s="83"/>
      <c r="U955" s="83"/>
      <c r="V955" s="83"/>
      <c r="W955" s="83"/>
    </row>
    <row r="956" spans="2:71">
      <c r="B956" s="222"/>
      <c r="C956" s="206" t="s">
        <v>2490</v>
      </c>
      <c r="D956" s="200" t="s">
        <v>748</v>
      </c>
      <c r="E956" s="201" t="s">
        <v>462</v>
      </c>
      <c r="F956" s="360">
        <v>10</v>
      </c>
      <c r="G956" s="203">
        <f>+SUMIF('AUX-NIV1'!I:I,Recursos!C956,'AUX-NIV1'!Q:Q)+SUMIF('AUX-NIV2'!I:I,Recursos!C956,'AUX-NIV2'!Q:Q)+SUMIF('AUX-NIV3'!I:I,Recursos!C956,'AUX-NIV3'!Q:Q)</f>
        <v>0</v>
      </c>
      <c r="H956" s="204">
        <f t="shared" si="109"/>
        <v>0</v>
      </c>
      <c r="I956" s="366">
        <f t="shared" si="110"/>
        <v>0</v>
      </c>
      <c r="J956" s="474"/>
      <c r="L956" s="83"/>
      <c r="M956" s="83"/>
      <c r="N956" s="83"/>
      <c r="O956" s="83"/>
      <c r="P956" s="83"/>
      <c r="Q956" s="83"/>
      <c r="R956" s="83"/>
      <c r="S956" s="83"/>
      <c r="T956" s="83"/>
      <c r="U956" s="83"/>
      <c r="V956" s="83"/>
      <c r="W956" s="83"/>
    </row>
    <row r="957" spans="2:71">
      <c r="B957" s="222"/>
      <c r="C957" s="199" t="s">
        <v>749</v>
      </c>
      <c r="D957" s="200" t="s">
        <v>750</v>
      </c>
      <c r="E957" s="201" t="s">
        <v>623</v>
      </c>
      <c r="F957" s="360">
        <v>1</v>
      </c>
      <c r="G957" s="203">
        <f>+SUMIF('AUX-NIV1'!I:I,Recursos!C957,'AUX-NIV1'!Q:Q)+SUMIF('AUX-NIV2'!I:I,Recursos!C957,'AUX-NIV2'!Q:Q)+SUMIF('AUX-NIV3'!I:I,Recursos!C957,'AUX-NIV3'!Q:Q)</f>
        <v>0</v>
      </c>
      <c r="H957" s="204">
        <f t="shared" si="109"/>
        <v>0</v>
      </c>
      <c r="I957" s="366">
        <f t="shared" si="110"/>
        <v>0</v>
      </c>
      <c r="J957" s="205"/>
      <c r="L957" s="83"/>
      <c r="M957" s="83"/>
      <c r="N957" s="83"/>
      <c r="O957" s="83"/>
      <c r="P957" s="83"/>
      <c r="Q957" s="83"/>
      <c r="R957" s="83"/>
      <c r="S957" s="83"/>
      <c r="T957" s="83"/>
      <c r="U957" s="83"/>
      <c r="V957" s="83"/>
      <c r="W957" s="83"/>
    </row>
    <row r="958" spans="2:71">
      <c r="B958" s="222"/>
      <c r="C958" s="199" t="s">
        <v>690</v>
      </c>
      <c r="D958" s="200" t="s">
        <v>691</v>
      </c>
      <c r="E958" s="201" t="s">
        <v>453</v>
      </c>
      <c r="F958" s="360">
        <v>1000</v>
      </c>
      <c r="G958" s="203">
        <f>+SUMIF('AUX-NIV1'!I:I,Recursos!C958,'AUX-NIV1'!Q:Q)+SUMIF('AUX-NIV2'!I:I,Recursos!C958,'AUX-NIV2'!Q:Q)+SUMIF('AUX-NIV3'!I:I,Recursos!C958,'AUX-NIV3'!Q:Q)</f>
        <v>0</v>
      </c>
      <c r="H958" s="204">
        <f t="shared" si="109"/>
        <v>0</v>
      </c>
      <c r="I958" s="366">
        <f t="shared" si="110"/>
        <v>0</v>
      </c>
      <c r="J958" s="205"/>
      <c r="L958" s="83"/>
      <c r="M958" s="83"/>
      <c r="N958" s="83"/>
      <c r="O958" s="83"/>
      <c r="P958" s="83"/>
      <c r="Q958" s="83"/>
      <c r="R958" s="83"/>
      <c r="S958" s="83"/>
      <c r="T958" s="83"/>
      <c r="U958" s="83"/>
      <c r="V958" s="83"/>
      <c r="W958" s="83"/>
    </row>
    <row r="959" spans="2:71">
      <c r="B959" s="222"/>
      <c r="C959" s="199" t="s">
        <v>3</v>
      </c>
      <c r="D959" s="200" t="s">
        <v>4</v>
      </c>
      <c r="E959" s="201" t="s">
        <v>1172</v>
      </c>
      <c r="F959" s="360">
        <v>1</v>
      </c>
      <c r="G959" s="203">
        <f>+SUMIF('AUX-NIV1'!I:I,Recursos!C959,'AUX-NIV1'!Q:Q)+SUMIF('AUX-NIV2'!I:I,Recursos!C959,'AUX-NIV2'!Q:Q)+SUMIF('AUX-NIV3'!I:I,Recursos!C959,'AUX-NIV3'!Q:Q)</f>
        <v>0</v>
      </c>
      <c r="H959" s="204">
        <f t="shared" si="109"/>
        <v>0</v>
      </c>
      <c r="I959" s="366">
        <f t="shared" si="110"/>
        <v>0</v>
      </c>
      <c r="J959" s="205"/>
      <c r="L959" s="83"/>
      <c r="M959" s="83"/>
      <c r="N959" s="83"/>
      <c r="O959" s="83"/>
      <c r="P959" s="83"/>
      <c r="Q959" s="83"/>
      <c r="R959" s="83"/>
      <c r="S959" s="83"/>
      <c r="T959" s="83"/>
      <c r="U959" s="83"/>
      <c r="V959" s="83"/>
      <c r="W959" s="83"/>
    </row>
    <row r="960" spans="2:71">
      <c r="B960" s="222"/>
      <c r="C960" s="199" t="s">
        <v>1121</v>
      </c>
      <c r="D960" s="200" t="s">
        <v>1122</v>
      </c>
      <c r="E960" s="201" t="s">
        <v>1172</v>
      </c>
      <c r="F960" s="360">
        <v>1</v>
      </c>
      <c r="G960" s="203">
        <f>+SUMIF('AUX-NIV1'!I:I,Recursos!C960,'AUX-NIV1'!Q:Q)+SUMIF('AUX-NIV2'!I:I,Recursos!C960,'AUX-NIV2'!Q:Q)+SUMIF('AUX-NIV3'!I:I,Recursos!C960,'AUX-NIV3'!Q:Q)</f>
        <v>0</v>
      </c>
      <c r="H960" s="204">
        <f t="shared" si="109"/>
        <v>0</v>
      </c>
      <c r="I960" s="366">
        <f t="shared" si="110"/>
        <v>0</v>
      </c>
      <c r="J960" s="205"/>
      <c r="L960" s="83"/>
      <c r="M960" s="83"/>
      <c r="N960" s="83"/>
      <c r="O960" s="83"/>
      <c r="P960" s="83"/>
      <c r="Q960" s="83"/>
      <c r="R960" s="83"/>
      <c r="S960" s="83"/>
      <c r="T960" s="83"/>
      <c r="U960" s="83"/>
      <c r="V960" s="83"/>
      <c r="W960" s="83"/>
    </row>
    <row r="961" spans="2:23">
      <c r="B961" s="222"/>
      <c r="C961" s="206" t="s">
        <v>2493</v>
      </c>
      <c r="D961" s="200" t="s">
        <v>1122</v>
      </c>
      <c r="E961" s="201" t="s">
        <v>1172</v>
      </c>
      <c r="F961" s="360">
        <v>1</v>
      </c>
      <c r="G961" s="203">
        <f>+SUMIF('AUX-NIV1'!I:I,Recursos!C961,'AUX-NIV1'!Q:Q)+SUMIF('AUX-NIV2'!I:I,Recursos!C961,'AUX-NIV2'!Q:Q)+SUMIF('AUX-NIV3'!I:I,Recursos!C961,'AUX-NIV3'!Q:Q)</f>
        <v>0</v>
      </c>
      <c r="H961" s="204">
        <f t="shared" si="109"/>
        <v>0</v>
      </c>
      <c r="I961" s="366">
        <f t="shared" si="110"/>
        <v>0</v>
      </c>
      <c r="J961" s="474"/>
      <c r="L961" s="83"/>
      <c r="M961" s="83"/>
      <c r="N961" s="83"/>
      <c r="O961" s="83"/>
      <c r="P961" s="83"/>
      <c r="Q961" s="83"/>
      <c r="R961" s="83"/>
      <c r="S961" s="83"/>
      <c r="T961" s="83"/>
      <c r="U961" s="83"/>
      <c r="V961" s="83"/>
      <c r="W961" s="83"/>
    </row>
    <row r="962" spans="2:23">
      <c r="B962" s="222"/>
      <c r="C962" s="199" t="s">
        <v>3214</v>
      </c>
      <c r="D962" s="200" t="s">
        <v>3215</v>
      </c>
      <c r="E962" s="201" t="s">
        <v>1233</v>
      </c>
      <c r="F962" s="360">
        <v>585000</v>
      </c>
      <c r="G962" s="203">
        <f>+SUMIF('AUX-NIV1'!I:I,Recursos!C962,'AUX-NIV1'!Q:Q)+SUMIF('AUX-NIV2'!I:I,Recursos!C962,'AUX-NIV2'!Q:Q)+SUMIF('AUX-NIV3'!I:I,Recursos!C962,'AUX-NIV3'!Q:Q)</f>
        <v>0</v>
      </c>
      <c r="H962" s="204">
        <f t="shared" si="109"/>
        <v>0</v>
      </c>
      <c r="I962" s="366">
        <f t="shared" si="110"/>
        <v>0</v>
      </c>
      <c r="J962" s="205"/>
      <c r="L962" s="83"/>
      <c r="M962" s="83"/>
      <c r="N962" s="83"/>
      <c r="O962" s="83"/>
      <c r="P962" s="83"/>
      <c r="Q962" s="83"/>
      <c r="R962" s="83"/>
      <c r="S962" s="83"/>
      <c r="T962" s="83"/>
      <c r="U962" s="83"/>
      <c r="V962" s="83"/>
      <c r="W962" s="83"/>
    </row>
    <row r="963" spans="2:23">
      <c r="B963" s="222"/>
      <c r="C963" s="206" t="s">
        <v>2494</v>
      </c>
      <c r="D963" s="200" t="s">
        <v>2495</v>
      </c>
      <c r="E963" s="201" t="s">
        <v>371</v>
      </c>
      <c r="F963" s="360">
        <v>1923</v>
      </c>
      <c r="G963" s="203">
        <f>+SUMIF('AUX-NIV1'!I:I,Recursos!C963,'AUX-NIV1'!Q:Q)+SUMIF('AUX-NIV2'!I:I,Recursos!C963,'AUX-NIV2'!Q:Q)+SUMIF('AUX-NIV3'!I:I,Recursos!C963,'AUX-NIV3'!Q:Q)</f>
        <v>0</v>
      </c>
      <c r="H963" s="204">
        <f t="shared" si="109"/>
        <v>0</v>
      </c>
      <c r="I963" s="366">
        <f t="shared" si="110"/>
        <v>0</v>
      </c>
      <c r="J963" s="474"/>
      <c r="L963" s="83"/>
      <c r="M963" s="83"/>
      <c r="N963" s="83"/>
      <c r="O963" s="83"/>
      <c r="P963" s="83"/>
      <c r="Q963" s="83"/>
      <c r="R963" s="83"/>
      <c r="S963" s="83"/>
      <c r="T963" s="83"/>
      <c r="U963" s="83"/>
      <c r="V963" s="83"/>
      <c r="W963" s="83"/>
    </row>
    <row r="964" spans="2:23">
      <c r="B964" s="222"/>
      <c r="C964" s="199" t="s">
        <v>668</v>
      </c>
      <c r="D964" s="200" t="s">
        <v>669</v>
      </c>
      <c r="E964" s="201" t="s">
        <v>477</v>
      </c>
      <c r="F964" s="360">
        <f>70.4166666666667</f>
        <v>70.4166666666667</v>
      </c>
      <c r="G964" s="203">
        <f>+SUMIF('AUX-NIV1'!I:I,Recursos!C964,'AUX-NIV1'!Q:Q)+SUMIF('AUX-NIV2'!I:I,Recursos!C964,'AUX-NIV2'!Q:Q)+SUMIF('AUX-NIV3'!I:I,Recursos!C964,'AUX-NIV3'!Q:Q)</f>
        <v>0</v>
      </c>
      <c r="H964" s="204">
        <f t="shared" si="109"/>
        <v>0</v>
      </c>
      <c r="I964" s="366">
        <f t="shared" si="110"/>
        <v>0</v>
      </c>
      <c r="J964" s="205"/>
      <c r="L964" s="83"/>
      <c r="M964" s="83"/>
      <c r="N964" s="83"/>
      <c r="O964" s="83"/>
      <c r="P964" s="83"/>
      <c r="Q964" s="83"/>
      <c r="R964" s="83"/>
      <c r="S964" s="83"/>
      <c r="T964" s="83"/>
      <c r="U964" s="83"/>
      <c r="V964" s="83"/>
      <c r="W964" s="83"/>
    </row>
    <row r="965" spans="2:23">
      <c r="B965" s="222"/>
      <c r="C965" s="206" t="s">
        <v>2497</v>
      </c>
      <c r="D965" s="200" t="s">
        <v>2498</v>
      </c>
      <c r="E965" s="201" t="s">
        <v>371</v>
      </c>
      <c r="F965" s="360">
        <v>2547.7199999999998</v>
      </c>
      <c r="G965" s="203">
        <f>+SUMIF('AUX-NIV1'!I:I,Recursos!C965,'AUX-NIV1'!Q:Q)+SUMIF('AUX-NIV2'!I:I,Recursos!C965,'AUX-NIV2'!Q:Q)+SUMIF('AUX-NIV3'!I:I,Recursos!C965,'AUX-NIV3'!Q:Q)</f>
        <v>0</v>
      </c>
      <c r="H965" s="204">
        <f t="shared" si="109"/>
        <v>0</v>
      </c>
      <c r="I965" s="366">
        <f t="shared" si="110"/>
        <v>0</v>
      </c>
      <c r="J965" s="474"/>
      <c r="L965" s="83"/>
      <c r="M965" s="83"/>
      <c r="N965" s="83"/>
      <c r="O965" s="83"/>
      <c r="P965" s="83"/>
      <c r="Q965" s="83"/>
      <c r="R965" s="83"/>
      <c r="S965" s="83"/>
      <c r="T965" s="83"/>
      <c r="U965" s="83"/>
      <c r="V965" s="83"/>
      <c r="W965" s="83"/>
    </row>
    <row r="966" spans="2:23">
      <c r="B966" s="222"/>
      <c r="C966" s="206" t="s">
        <v>2589</v>
      </c>
      <c r="D966" s="200" t="s">
        <v>2590</v>
      </c>
      <c r="E966" s="201" t="s">
        <v>477</v>
      </c>
      <c r="F966" s="360">
        <v>15</v>
      </c>
      <c r="G966" s="203">
        <f>+SUMIF('AUX-NIV1'!I:I,Recursos!C966,'AUX-NIV1'!Q:Q)+SUMIF('AUX-NIV2'!I:I,Recursos!C966,'AUX-NIV2'!Q:Q)+SUMIF('AUX-NIV3'!I:I,Recursos!C966,'AUX-NIV3'!Q:Q)</f>
        <v>0</v>
      </c>
      <c r="H966" s="204">
        <f t="shared" si="109"/>
        <v>0</v>
      </c>
      <c r="I966" s="366">
        <f t="shared" si="110"/>
        <v>0</v>
      </c>
      <c r="J966" s="474"/>
      <c r="L966" s="83"/>
      <c r="M966" s="83"/>
      <c r="N966" s="83"/>
      <c r="O966" s="83"/>
      <c r="P966" s="83"/>
      <c r="Q966" s="83"/>
      <c r="R966" s="83"/>
      <c r="S966" s="83"/>
      <c r="T966" s="83"/>
      <c r="U966" s="83"/>
      <c r="V966" s="83"/>
      <c r="W966" s="83"/>
    </row>
    <row r="967" spans="2:23">
      <c r="B967" s="222"/>
      <c r="C967" s="206" t="s">
        <v>2565</v>
      </c>
      <c r="D967" s="200" t="s">
        <v>2566</v>
      </c>
      <c r="E967" s="201" t="s">
        <v>1782</v>
      </c>
      <c r="F967" s="360">
        <v>315.60399999999998</v>
      </c>
      <c r="G967" s="203">
        <f>+SUMIF('AUX-NIV1'!I:I,Recursos!C967,'AUX-NIV1'!Q:Q)+SUMIF('AUX-NIV2'!I:I,Recursos!C967,'AUX-NIV2'!Q:Q)+SUMIF('AUX-NIV3'!I:I,Recursos!C967,'AUX-NIV3'!Q:Q)</f>
        <v>0</v>
      </c>
      <c r="H967" s="204">
        <f t="shared" si="109"/>
        <v>0</v>
      </c>
      <c r="I967" s="366">
        <f t="shared" si="110"/>
        <v>0</v>
      </c>
      <c r="J967" s="474"/>
      <c r="L967" s="83"/>
      <c r="M967" s="83"/>
      <c r="N967" s="83"/>
      <c r="O967" s="83"/>
      <c r="P967" s="83"/>
      <c r="Q967" s="83"/>
      <c r="R967" s="83"/>
      <c r="S967" s="83"/>
      <c r="T967" s="83"/>
      <c r="U967" s="83"/>
      <c r="V967" s="83"/>
      <c r="W967" s="83"/>
    </row>
    <row r="968" spans="2:23">
      <c r="B968" s="222"/>
      <c r="C968" s="206" t="s">
        <v>2603</v>
      </c>
      <c r="D968" s="200" t="s">
        <v>2604</v>
      </c>
      <c r="E968" s="201" t="s">
        <v>453</v>
      </c>
      <c r="F968" s="360">
        <v>21000</v>
      </c>
      <c r="G968" s="203">
        <f>+SUMIF('AUX-NIV1'!I:I,Recursos!C968,'AUX-NIV1'!Q:Q)+SUMIF('AUX-NIV2'!I:I,Recursos!C968,'AUX-NIV2'!Q:Q)+SUMIF('AUX-NIV3'!I:I,Recursos!C968,'AUX-NIV3'!Q:Q)</f>
        <v>0</v>
      </c>
      <c r="H968" s="204">
        <f t="shared" si="109"/>
        <v>0</v>
      </c>
      <c r="I968" s="366">
        <f t="shared" si="110"/>
        <v>0</v>
      </c>
      <c r="J968" s="474"/>
      <c r="L968" s="83"/>
      <c r="M968" s="83"/>
      <c r="N968" s="83"/>
      <c r="O968" s="83"/>
      <c r="P968" s="83"/>
      <c r="Q968" s="83"/>
      <c r="R968" s="83"/>
      <c r="S968" s="83"/>
      <c r="T968" s="83"/>
      <c r="U968" s="83"/>
      <c r="V968" s="83"/>
      <c r="W968" s="83"/>
    </row>
    <row r="969" spans="2:23">
      <c r="B969" s="222"/>
      <c r="C969" s="206" t="s">
        <v>2676</v>
      </c>
      <c r="D969" s="200" t="s">
        <v>2677</v>
      </c>
      <c r="E969" s="201" t="s">
        <v>1168</v>
      </c>
      <c r="F969" s="360">
        <v>3200</v>
      </c>
      <c r="G969" s="203">
        <f>+SUMIF('AUX-NIV1'!I:I,Recursos!C969,'AUX-NIV1'!Q:Q)+SUMIF('AUX-NIV2'!I:I,Recursos!C969,'AUX-NIV2'!Q:Q)+SUMIF('AUX-NIV3'!I:I,Recursos!C969,'AUX-NIV3'!Q:Q)</f>
        <v>0</v>
      </c>
      <c r="H969" s="204">
        <f t="shared" si="109"/>
        <v>0</v>
      </c>
      <c r="I969" s="366">
        <f t="shared" si="110"/>
        <v>0</v>
      </c>
      <c r="J969" s="474"/>
      <c r="L969" s="83"/>
      <c r="M969" s="83"/>
      <c r="N969" s="83"/>
      <c r="O969" s="83"/>
      <c r="P969" s="83"/>
      <c r="Q969" s="83"/>
      <c r="R969" s="83"/>
      <c r="S969" s="83"/>
      <c r="T969" s="83"/>
      <c r="U969" s="83"/>
      <c r="V969" s="83"/>
      <c r="W969" s="83"/>
    </row>
    <row r="970" spans="2:23">
      <c r="B970" s="222"/>
      <c r="C970" s="199" t="s">
        <v>1501</v>
      </c>
      <c r="D970" s="200" t="s">
        <v>1522</v>
      </c>
      <c r="E970" s="201" t="s">
        <v>1160</v>
      </c>
      <c r="F970" s="360">
        <v>100</v>
      </c>
      <c r="G970" s="203">
        <f>+SUMIF('AUX-NIV1'!I:I,Recursos!C970,'AUX-NIV1'!Q:Q)+SUMIF('AUX-NIV2'!I:I,Recursos!C970,'AUX-NIV2'!Q:Q)+SUMIF('AUX-NIV3'!I:I,Recursos!C970,'AUX-NIV3'!Q:Q)</f>
        <v>0</v>
      </c>
      <c r="H970" s="204">
        <f t="shared" si="109"/>
        <v>0</v>
      </c>
      <c r="I970" s="366">
        <f t="shared" si="110"/>
        <v>0</v>
      </c>
      <c r="J970" s="205"/>
      <c r="L970" s="83"/>
      <c r="M970" s="83"/>
      <c r="N970" s="83"/>
      <c r="O970" s="83"/>
      <c r="P970" s="83"/>
      <c r="Q970" s="83"/>
      <c r="R970" s="83"/>
      <c r="S970" s="83"/>
      <c r="T970" s="83"/>
      <c r="U970" s="83"/>
      <c r="V970" s="83"/>
      <c r="W970" s="83"/>
    </row>
    <row r="971" spans="2:23">
      <c r="B971" s="222"/>
      <c r="C971" s="206" t="s">
        <v>2510</v>
      </c>
      <c r="D971" s="200" t="s">
        <v>2511</v>
      </c>
      <c r="E971" s="201" t="s">
        <v>1384</v>
      </c>
      <c r="F971" s="360">
        <v>1.5</v>
      </c>
      <c r="G971" s="203">
        <f>+SUMIF('AUX-NIV1'!I:I,Recursos!C971,'AUX-NIV1'!Q:Q)+SUMIF('AUX-NIV2'!I:I,Recursos!C971,'AUX-NIV2'!Q:Q)+SUMIF('AUX-NIV3'!I:I,Recursos!C971,'AUX-NIV3'!Q:Q)</f>
        <v>0</v>
      </c>
      <c r="H971" s="204">
        <f t="shared" si="109"/>
        <v>0</v>
      </c>
      <c r="I971" s="366">
        <f t="shared" si="110"/>
        <v>0</v>
      </c>
      <c r="J971" s="474"/>
      <c r="L971" s="83"/>
      <c r="M971" s="83"/>
      <c r="N971" s="83"/>
      <c r="O971" s="83"/>
      <c r="P971" s="83"/>
      <c r="Q971" s="83"/>
      <c r="R971" s="83"/>
      <c r="S971" s="83"/>
      <c r="T971" s="83"/>
      <c r="U971" s="83"/>
      <c r="V971" s="83"/>
      <c r="W971" s="83"/>
    </row>
    <row r="972" spans="2:23">
      <c r="B972" s="222"/>
      <c r="C972" s="206" t="s">
        <v>2508</v>
      </c>
      <c r="D972" s="200" t="s">
        <v>2509</v>
      </c>
      <c r="E972" s="201" t="s">
        <v>1384</v>
      </c>
      <c r="F972" s="360">
        <v>3</v>
      </c>
      <c r="G972" s="203">
        <f>+SUMIF('AUX-NIV1'!I:I,Recursos!C972,'AUX-NIV1'!Q:Q)+SUMIF('AUX-NIV2'!I:I,Recursos!C972,'AUX-NIV2'!Q:Q)+SUMIF('AUX-NIV3'!I:I,Recursos!C972,'AUX-NIV3'!Q:Q)</f>
        <v>0</v>
      </c>
      <c r="H972" s="204">
        <f t="shared" si="109"/>
        <v>0</v>
      </c>
      <c r="I972" s="366">
        <f t="shared" si="110"/>
        <v>0</v>
      </c>
      <c r="J972" s="474"/>
      <c r="L972" s="83"/>
      <c r="M972" s="83"/>
      <c r="N972" s="83"/>
      <c r="O972" s="83"/>
      <c r="P972" s="83"/>
      <c r="Q972" s="83"/>
      <c r="R972" s="83"/>
      <c r="S972" s="83"/>
      <c r="T972" s="83"/>
      <c r="U972" s="83"/>
      <c r="V972" s="83"/>
      <c r="W972" s="83"/>
    </row>
    <row r="973" spans="2:23">
      <c r="B973" s="222"/>
      <c r="C973" s="206" t="s">
        <v>2503</v>
      </c>
      <c r="D973" s="200" t="s">
        <v>2504</v>
      </c>
      <c r="E973" s="201" t="s">
        <v>2505</v>
      </c>
      <c r="F973" s="360">
        <v>8000</v>
      </c>
      <c r="G973" s="203">
        <f>+SUMIF('AUX-NIV1'!I:I,Recursos!C973,'AUX-NIV1'!Q:Q)+SUMIF('AUX-NIV2'!I:I,Recursos!C973,'AUX-NIV2'!Q:Q)+SUMIF('AUX-NIV3'!I:I,Recursos!C973,'AUX-NIV3'!Q:Q)</f>
        <v>0</v>
      </c>
      <c r="H973" s="204">
        <f t="shared" si="109"/>
        <v>0</v>
      </c>
      <c r="I973" s="366">
        <f t="shared" si="110"/>
        <v>0</v>
      </c>
      <c r="J973" s="474"/>
      <c r="L973" s="83"/>
      <c r="M973" s="83"/>
      <c r="N973" s="83"/>
      <c r="O973" s="83"/>
      <c r="P973" s="83"/>
      <c r="Q973" s="83"/>
      <c r="R973" s="83"/>
      <c r="S973" s="83"/>
      <c r="T973" s="83"/>
      <c r="U973" s="83"/>
      <c r="V973" s="83"/>
      <c r="W973" s="83"/>
    </row>
    <row r="974" spans="2:23">
      <c r="B974" s="222"/>
      <c r="C974" s="206" t="s">
        <v>2506</v>
      </c>
      <c r="D974" s="200" t="s">
        <v>2507</v>
      </c>
      <c r="E974" s="201" t="s">
        <v>2505</v>
      </c>
      <c r="F974" s="360">
        <v>3000</v>
      </c>
      <c r="G974" s="203">
        <f>+SUMIF('AUX-NIV1'!I:I,Recursos!C974,'AUX-NIV1'!Q:Q)+SUMIF('AUX-NIV2'!I:I,Recursos!C974,'AUX-NIV2'!Q:Q)+SUMIF('AUX-NIV3'!I:I,Recursos!C974,'AUX-NIV3'!Q:Q)</f>
        <v>0</v>
      </c>
      <c r="H974" s="204">
        <f t="shared" si="109"/>
        <v>0</v>
      </c>
      <c r="I974" s="366">
        <f t="shared" si="110"/>
        <v>0</v>
      </c>
      <c r="J974" s="474"/>
      <c r="L974" s="83"/>
      <c r="M974" s="83"/>
      <c r="N974" s="83"/>
      <c r="O974" s="83"/>
      <c r="P974" s="83"/>
      <c r="Q974" s="83"/>
      <c r="R974" s="83"/>
      <c r="S974" s="83"/>
      <c r="T974" s="83"/>
      <c r="U974" s="83"/>
      <c r="V974" s="83"/>
      <c r="W974" s="83"/>
    </row>
    <row r="975" spans="2:23">
      <c r="B975" s="222"/>
      <c r="C975" s="206" t="s">
        <v>2499</v>
      </c>
      <c r="D975" s="200" t="s">
        <v>2500</v>
      </c>
      <c r="E975" s="201" t="s">
        <v>1384</v>
      </c>
      <c r="F975" s="360">
        <v>100</v>
      </c>
      <c r="G975" s="203">
        <f>+SUMIF('AUX-NIV1'!I:I,Recursos!C975,'AUX-NIV1'!Q:Q)+SUMIF('AUX-NIV2'!I:I,Recursos!C975,'AUX-NIV2'!Q:Q)+SUMIF('AUX-NIV3'!I:I,Recursos!C975,'AUX-NIV3'!Q:Q)</f>
        <v>0</v>
      </c>
      <c r="H975" s="204">
        <f t="shared" si="109"/>
        <v>0</v>
      </c>
      <c r="I975" s="366">
        <f t="shared" si="110"/>
        <v>0</v>
      </c>
      <c r="J975" s="474"/>
      <c r="L975" s="83"/>
      <c r="M975" s="83"/>
      <c r="N975" s="83"/>
      <c r="O975" s="83"/>
      <c r="P975" s="83"/>
      <c r="Q975" s="83"/>
      <c r="R975" s="83"/>
      <c r="S975" s="83"/>
      <c r="T975" s="83"/>
      <c r="U975" s="83"/>
      <c r="V975" s="83"/>
      <c r="W975" s="83"/>
    </row>
    <row r="976" spans="2:23">
      <c r="B976" s="222"/>
      <c r="C976" s="199" t="s">
        <v>737</v>
      </c>
      <c r="D976" s="200" t="s">
        <v>738</v>
      </c>
      <c r="E976" s="201" t="s">
        <v>623</v>
      </c>
      <c r="F976" s="360">
        <v>10000</v>
      </c>
      <c r="G976" s="203">
        <f>+SUMIF('AUX-NIV1'!I:I,Recursos!C976,'AUX-NIV1'!Q:Q)+SUMIF('AUX-NIV2'!I:I,Recursos!C976,'AUX-NIV2'!Q:Q)+SUMIF('AUX-NIV3'!I:I,Recursos!C976,'AUX-NIV3'!Q:Q)</f>
        <v>0</v>
      </c>
      <c r="H976" s="204">
        <f t="shared" si="109"/>
        <v>0</v>
      </c>
      <c r="I976" s="366">
        <f t="shared" si="110"/>
        <v>0</v>
      </c>
      <c r="J976" s="205"/>
      <c r="L976" s="83"/>
      <c r="M976" s="83"/>
      <c r="N976" s="83"/>
      <c r="O976" s="83"/>
      <c r="P976" s="83"/>
      <c r="Q976" s="83"/>
      <c r="R976" s="83"/>
      <c r="S976" s="83"/>
      <c r="T976" s="83"/>
      <c r="U976" s="83"/>
      <c r="V976" s="83"/>
      <c r="W976" s="83"/>
    </row>
    <row r="977" spans="2:23">
      <c r="B977" s="222"/>
      <c r="C977" s="199" t="s">
        <v>676</v>
      </c>
      <c r="D977" s="200" t="s">
        <v>677</v>
      </c>
      <c r="E977" s="201" t="s">
        <v>586</v>
      </c>
      <c r="F977" s="360">
        <v>180</v>
      </c>
      <c r="G977" s="203">
        <f>+SUMIF('AUX-NIV1'!I:I,Recursos!C977,'AUX-NIV1'!Q:Q)+SUMIF('AUX-NIV2'!I:I,Recursos!C977,'AUX-NIV2'!Q:Q)+SUMIF('AUX-NIV3'!I:I,Recursos!C977,'AUX-NIV3'!Q:Q)</f>
        <v>0</v>
      </c>
      <c r="H977" s="204">
        <f t="shared" si="109"/>
        <v>0</v>
      </c>
      <c r="I977" s="366">
        <f t="shared" si="110"/>
        <v>0</v>
      </c>
      <c r="J977" s="205"/>
      <c r="L977" s="83"/>
      <c r="M977" s="83"/>
      <c r="N977" s="83"/>
      <c r="O977" s="83"/>
      <c r="P977" s="83"/>
      <c r="Q977" s="83"/>
      <c r="R977" s="83"/>
      <c r="S977" s="83"/>
      <c r="T977" s="83"/>
      <c r="U977" s="83"/>
      <c r="V977" s="83"/>
      <c r="W977" s="83"/>
    </row>
    <row r="978" spans="2:23" ht="22.8">
      <c r="B978" s="222"/>
      <c r="C978" s="199" t="s">
        <v>640</v>
      </c>
      <c r="D978" s="200" t="s">
        <v>641</v>
      </c>
      <c r="E978" s="201" t="s">
        <v>586</v>
      </c>
      <c r="F978" s="360">
        <v>150</v>
      </c>
      <c r="G978" s="203">
        <f>+SUMIF('AUX-NIV1'!I:I,Recursos!C978,'AUX-NIV1'!Q:Q)+SUMIF('AUX-NIV2'!I:I,Recursos!C978,'AUX-NIV2'!Q:Q)+SUMIF('AUX-NIV3'!I:I,Recursos!C978,'AUX-NIV3'!Q:Q)</f>
        <v>0</v>
      </c>
      <c r="H978" s="204">
        <f t="shared" si="109"/>
        <v>0</v>
      </c>
      <c r="I978" s="366">
        <f t="shared" si="110"/>
        <v>0</v>
      </c>
      <c r="J978" s="205"/>
      <c r="L978" s="83"/>
      <c r="M978" s="83"/>
      <c r="N978" s="83"/>
      <c r="O978" s="83"/>
      <c r="P978" s="83"/>
      <c r="Q978" s="83"/>
      <c r="R978" s="83"/>
      <c r="S978" s="83"/>
      <c r="T978" s="83"/>
      <c r="U978" s="83"/>
      <c r="V978" s="83"/>
      <c r="W978" s="83"/>
    </row>
    <row r="979" spans="2:23" ht="22.8">
      <c r="B979" s="222"/>
      <c r="C979" s="206" t="s">
        <v>2567</v>
      </c>
      <c r="D979" s="200" t="s">
        <v>2568</v>
      </c>
      <c r="E979" s="201" t="s">
        <v>1782</v>
      </c>
      <c r="F979" s="360">
        <v>2804.9</v>
      </c>
      <c r="G979" s="203">
        <f>+SUMIF('AUX-NIV1'!I:I,Recursos!C979,'AUX-NIV1'!Q:Q)+SUMIF('AUX-NIV2'!I:I,Recursos!C979,'AUX-NIV2'!Q:Q)+SUMIF('AUX-NIV3'!I:I,Recursos!C979,'AUX-NIV3'!Q:Q)</f>
        <v>0</v>
      </c>
      <c r="H979" s="204">
        <f t="shared" si="109"/>
        <v>0</v>
      </c>
      <c r="I979" s="366">
        <f t="shared" si="110"/>
        <v>0</v>
      </c>
      <c r="J979" s="474"/>
      <c r="L979" s="83"/>
      <c r="M979" s="83"/>
      <c r="N979" s="83"/>
      <c r="O979" s="83"/>
      <c r="P979" s="83"/>
      <c r="Q979" s="83"/>
      <c r="R979" s="83"/>
      <c r="S979" s="83"/>
      <c r="T979" s="83"/>
      <c r="U979" s="83"/>
      <c r="V979" s="83"/>
      <c r="W979" s="83"/>
    </row>
    <row r="980" spans="2:23" ht="22.8">
      <c r="B980" s="222"/>
      <c r="C980" s="206" t="s">
        <v>2702</v>
      </c>
      <c r="D980" s="200" t="s">
        <v>2703</v>
      </c>
      <c r="E980" s="201" t="s">
        <v>1233</v>
      </c>
      <c r="F980" s="360">
        <v>35000</v>
      </c>
      <c r="G980" s="203">
        <f>+SUMIF('AUX-NIV1'!I:I,Recursos!C980,'AUX-NIV1'!Q:Q)+SUMIF('AUX-NIV2'!I:I,Recursos!C980,'AUX-NIV2'!Q:Q)+SUMIF('AUX-NIV3'!I:I,Recursos!C980,'AUX-NIV3'!Q:Q)</f>
        <v>0</v>
      </c>
      <c r="H980" s="204">
        <f t="shared" si="109"/>
        <v>0</v>
      </c>
      <c r="I980" s="366">
        <f t="shared" si="110"/>
        <v>0</v>
      </c>
      <c r="J980" s="474"/>
      <c r="L980" s="83"/>
      <c r="M980" s="83"/>
      <c r="N980" s="83"/>
      <c r="O980" s="83"/>
      <c r="P980" s="83"/>
      <c r="Q980" s="83"/>
      <c r="R980" s="83"/>
      <c r="S980" s="83"/>
      <c r="T980" s="83"/>
      <c r="U980" s="83"/>
      <c r="V980" s="83"/>
      <c r="W980" s="83"/>
    </row>
    <row r="981" spans="2:23">
      <c r="B981" s="222"/>
      <c r="C981" s="206" t="s">
        <v>2525</v>
      </c>
      <c r="D981" s="200" t="s">
        <v>2526</v>
      </c>
      <c r="E981" s="201" t="s">
        <v>2527</v>
      </c>
      <c r="F981" s="360">
        <v>0</v>
      </c>
      <c r="G981" s="203">
        <f>+SUMIF('AUX-NIV1'!I:I,Recursos!C981,'AUX-NIV1'!Q:Q)+SUMIF('AUX-NIV2'!I:I,Recursos!C981,'AUX-NIV2'!Q:Q)+SUMIF('AUX-NIV3'!I:I,Recursos!C981,'AUX-NIV3'!Q:Q)</f>
        <v>0</v>
      </c>
      <c r="H981" s="204">
        <f t="shared" si="109"/>
        <v>0</v>
      </c>
      <c r="I981" s="366">
        <f t="shared" si="110"/>
        <v>0</v>
      </c>
      <c r="J981" s="474"/>
      <c r="L981" s="83"/>
      <c r="M981" s="83"/>
      <c r="N981" s="83"/>
      <c r="O981" s="83"/>
      <c r="P981" s="83"/>
      <c r="Q981" s="83"/>
      <c r="R981" s="83"/>
      <c r="S981" s="83"/>
      <c r="T981" s="83"/>
      <c r="U981" s="83"/>
      <c r="V981" s="83"/>
      <c r="W981" s="83"/>
    </row>
    <row r="982" spans="2:23">
      <c r="B982" s="222"/>
      <c r="C982" s="199" t="s">
        <v>672</v>
      </c>
      <c r="D982" s="200" t="s">
        <v>673</v>
      </c>
      <c r="E982" s="201" t="s">
        <v>462</v>
      </c>
      <c r="F982" s="360">
        <v>5</v>
      </c>
      <c r="G982" s="203">
        <f>+SUMIF('AUX-NIV1'!I:I,Recursos!C982,'AUX-NIV1'!Q:Q)+SUMIF('AUX-NIV2'!I:I,Recursos!C982,'AUX-NIV2'!Q:Q)+SUMIF('AUX-NIV3'!I:I,Recursos!C982,'AUX-NIV3'!Q:Q)</f>
        <v>0</v>
      </c>
      <c r="H982" s="204">
        <f t="shared" si="109"/>
        <v>0</v>
      </c>
      <c r="I982" s="366">
        <f t="shared" si="110"/>
        <v>0</v>
      </c>
      <c r="J982" s="205"/>
      <c r="L982" s="83"/>
      <c r="M982" s="83"/>
      <c r="N982" s="83"/>
      <c r="O982" s="83"/>
      <c r="P982" s="83"/>
      <c r="Q982" s="83"/>
      <c r="R982" s="83"/>
      <c r="S982" s="83"/>
      <c r="T982" s="83"/>
      <c r="U982" s="83"/>
      <c r="V982" s="83"/>
      <c r="W982" s="83"/>
    </row>
    <row r="983" spans="2:23">
      <c r="B983" s="222"/>
      <c r="C983" s="199" t="s">
        <v>650</v>
      </c>
      <c r="D983" s="200" t="s">
        <v>651</v>
      </c>
      <c r="E983" s="201" t="s">
        <v>462</v>
      </c>
      <c r="F983" s="360">
        <v>1500</v>
      </c>
      <c r="G983" s="203">
        <f>+SUMIF('AUX-NIV1'!I:I,Recursos!C983,'AUX-NIV1'!Q:Q)+SUMIF('AUX-NIV2'!I:I,Recursos!C983,'AUX-NIV2'!Q:Q)+SUMIF('AUX-NIV3'!I:I,Recursos!C983,'AUX-NIV3'!Q:Q)</f>
        <v>0</v>
      </c>
      <c r="H983" s="204">
        <f t="shared" si="109"/>
        <v>0</v>
      </c>
      <c r="I983" s="366">
        <f t="shared" si="110"/>
        <v>0</v>
      </c>
      <c r="J983" s="205"/>
      <c r="L983" s="83"/>
      <c r="M983" s="83"/>
      <c r="N983" s="83"/>
      <c r="O983" s="83"/>
      <c r="P983" s="83"/>
      <c r="Q983" s="83"/>
      <c r="R983" s="83"/>
      <c r="S983" s="83"/>
      <c r="T983" s="83"/>
      <c r="U983" s="83"/>
      <c r="V983" s="83"/>
      <c r="W983" s="83"/>
    </row>
    <row r="984" spans="2:23">
      <c r="B984" s="222"/>
      <c r="C984" s="199" t="s">
        <v>674</v>
      </c>
      <c r="D984" s="200" t="s">
        <v>675</v>
      </c>
      <c r="E984" s="201" t="s">
        <v>371</v>
      </c>
      <c r="F984" s="360">
        <v>200</v>
      </c>
      <c r="G984" s="203">
        <f>+SUMIF('AUX-NIV1'!I:I,Recursos!C984,'AUX-NIV1'!Q:Q)+SUMIF('AUX-NIV2'!I:I,Recursos!C984,'AUX-NIV2'!Q:Q)+SUMIF('AUX-NIV3'!I:I,Recursos!C984,'AUX-NIV3'!Q:Q)</f>
        <v>0</v>
      </c>
      <c r="H984" s="204">
        <f t="shared" si="109"/>
        <v>0</v>
      </c>
      <c r="I984" s="366">
        <f t="shared" si="110"/>
        <v>0</v>
      </c>
      <c r="J984" s="205"/>
      <c r="L984" s="83"/>
      <c r="M984" s="83"/>
      <c r="N984" s="83"/>
      <c r="O984" s="83"/>
      <c r="P984" s="83"/>
      <c r="Q984" s="83"/>
      <c r="R984" s="83"/>
      <c r="S984" s="83"/>
      <c r="T984" s="83"/>
      <c r="U984" s="83"/>
      <c r="V984" s="83"/>
      <c r="W984" s="83"/>
    </row>
    <row r="985" spans="2:23">
      <c r="B985" s="222"/>
      <c r="C985" s="199" t="s">
        <v>656</v>
      </c>
      <c r="D985" s="200" t="s">
        <v>657</v>
      </c>
      <c r="E985" s="201" t="s">
        <v>586</v>
      </c>
      <c r="F985" s="360">
        <v>900</v>
      </c>
      <c r="G985" s="203">
        <f>+SUMIF('AUX-NIV1'!I:I,Recursos!C985,'AUX-NIV1'!Q:Q)+SUMIF('AUX-NIV2'!I:I,Recursos!C985,'AUX-NIV2'!Q:Q)+SUMIF('AUX-NIV3'!I:I,Recursos!C985,'AUX-NIV3'!Q:Q)</f>
        <v>0</v>
      </c>
      <c r="H985" s="204">
        <f t="shared" si="109"/>
        <v>0</v>
      </c>
      <c r="I985" s="366">
        <f t="shared" si="110"/>
        <v>0</v>
      </c>
      <c r="J985" s="205"/>
      <c r="L985" s="83"/>
      <c r="M985" s="83"/>
      <c r="N985" s="83"/>
      <c r="O985" s="83"/>
      <c r="P985" s="83"/>
      <c r="Q985" s="83"/>
      <c r="R985" s="83"/>
      <c r="S985" s="83"/>
      <c r="T985" s="83"/>
      <c r="U985" s="83"/>
      <c r="V985" s="83"/>
      <c r="W985" s="83"/>
    </row>
    <row r="986" spans="2:23">
      <c r="B986" s="222"/>
      <c r="C986" s="206" t="s">
        <v>2535</v>
      </c>
      <c r="D986" s="200" t="s">
        <v>657</v>
      </c>
      <c r="E986" s="201" t="s">
        <v>586</v>
      </c>
      <c r="F986" s="360">
        <v>900</v>
      </c>
      <c r="G986" s="203">
        <f>+SUMIF('AUX-NIV1'!I:I,Recursos!C986,'AUX-NIV1'!Q:Q)+SUMIF('AUX-NIV2'!I:I,Recursos!C986,'AUX-NIV2'!Q:Q)+SUMIF('AUX-NIV3'!I:I,Recursos!C986,'AUX-NIV3'!Q:Q)</f>
        <v>0</v>
      </c>
      <c r="H986" s="204">
        <f t="shared" si="109"/>
        <v>0</v>
      </c>
      <c r="I986" s="366">
        <f t="shared" si="110"/>
        <v>0</v>
      </c>
      <c r="J986" s="474"/>
      <c r="L986" s="83"/>
      <c r="M986" s="83"/>
      <c r="N986" s="83"/>
      <c r="O986" s="83"/>
      <c r="P986" s="83"/>
      <c r="Q986" s="83"/>
      <c r="R986" s="83"/>
      <c r="S986" s="83"/>
      <c r="T986" s="83"/>
      <c r="U986" s="83"/>
      <c r="V986" s="83"/>
      <c r="W986" s="83"/>
    </row>
    <row r="987" spans="2:23">
      <c r="B987" s="222"/>
      <c r="C987" s="199" t="s">
        <v>692</v>
      </c>
      <c r="D987" s="200" t="s">
        <v>693</v>
      </c>
      <c r="E987" s="201" t="s">
        <v>586</v>
      </c>
      <c r="F987" s="360">
        <v>700</v>
      </c>
      <c r="G987" s="203">
        <f>+SUMIF('AUX-NIV1'!I:I,Recursos!C987,'AUX-NIV1'!Q:Q)+SUMIF('AUX-NIV2'!I:I,Recursos!C987,'AUX-NIV2'!Q:Q)+SUMIF('AUX-NIV3'!I:I,Recursos!C987,'AUX-NIV3'!Q:Q)</f>
        <v>0</v>
      </c>
      <c r="H987" s="204">
        <f t="shared" si="109"/>
        <v>0</v>
      </c>
      <c r="I987" s="366">
        <f t="shared" si="110"/>
        <v>0</v>
      </c>
      <c r="J987" s="205"/>
      <c r="L987" s="83"/>
      <c r="M987" s="83"/>
      <c r="N987" s="83"/>
      <c r="O987" s="83"/>
      <c r="P987" s="83"/>
      <c r="Q987" s="83"/>
      <c r="R987" s="83"/>
      <c r="S987" s="83"/>
      <c r="T987" s="83"/>
      <c r="U987" s="83"/>
      <c r="V987" s="83"/>
      <c r="W987" s="83"/>
    </row>
    <row r="988" spans="2:23">
      <c r="B988" s="222"/>
      <c r="C988" s="206" t="s">
        <v>2536</v>
      </c>
      <c r="D988" s="200" t="s">
        <v>693</v>
      </c>
      <c r="E988" s="201" t="s">
        <v>586</v>
      </c>
      <c r="F988" s="360">
        <v>700</v>
      </c>
      <c r="G988" s="203">
        <f>+SUMIF('AUX-NIV1'!I:I,Recursos!C988,'AUX-NIV1'!Q:Q)+SUMIF('AUX-NIV2'!I:I,Recursos!C988,'AUX-NIV2'!Q:Q)+SUMIF('AUX-NIV3'!I:I,Recursos!C988,'AUX-NIV3'!Q:Q)</f>
        <v>0</v>
      </c>
      <c r="H988" s="204">
        <f t="shared" si="109"/>
        <v>0</v>
      </c>
      <c r="I988" s="366">
        <f t="shared" si="110"/>
        <v>0</v>
      </c>
      <c r="J988" s="474"/>
      <c r="L988" s="83"/>
      <c r="M988" s="83"/>
      <c r="N988" s="83"/>
      <c r="O988" s="83"/>
      <c r="P988" s="83"/>
      <c r="Q988" s="83"/>
      <c r="R988" s="83"/>
      <c r="S988" s="83"/>
      <c r="T988" s="83"/>
      <c r="U988" s="83"/>
      <c r="V988" s="83"/>
      <c r="W988" s="83"/>
    </row>
    <row r="989" spans="2:23">
      <c r="B989" s="222"/>
      <c r="C989" s="199" t="s">
        <v>670</v>
      </c>
      <c r="D989" s="200" t="s">
        <v>671</v>
      </c>
      <c r="E989" s="201" t="s">
        <v>371</v>
      </c>
      <c r="F989" s="360">
        <v>500</v>
      </c>
      <c r="G989" s="203">
        <f>+SUMIF('AUX-NIV1'!I:I,Recursos!C989,'AUX-NIV1'!Q:Q)+SUMIF('AUX-NIV2'!I:I,Recursos!C989,'AUX-NIV2'!Q:Q)+SUMIF('AUX-NIV3'!I:I,Recursos!C989,'AUX-NIV3'!Q:Q)</f>
        <v>0</v>
      </c>
      <c r="H989" s="204">
        <f t="shared" si="109"/>
        <v>0</v>
      </c>
      <c r="I989" s="366">
        <f t="shared" si="110"/>
        <v>0</v>
      </c>
      <c r="J989" s="205"/>
      <c r="L989" s="83"/>
      <c r="M989" s="83"/>
      <c r="N989" s="83"/>
      <c r="O989" s="83"/>
      <c r="P989" s="83"/>
      <c r="Q989" s="83"/>
      <c r="R989" s="83"/>
      <c r="S989" s="83"/>
      <c r="T989" s="83"/>
      <c r="U989" s="83"/>
      <c r="V989" s="83"/>
      <c r="W989" s="83"/>
    </row>
    <row r="990" spans="2:23">
      <c r="B990" s="222"/>
      <c r="C990" s="206" t="s">
        <v>2516</v>
      </c>
      <c r="D990" s="200" t="s">
        <v>2517</v>
      </c>
      <c r="E990" s="201" t="s">
        <v>501</v>
      </c>
      <c r="F990" s="360">
        <v>750</v>
      </c>
      <c r="G990" s="203">
        <f>+SUMIF('AUX-NIV1'!I:I,Recursos!C990,'AUX-NIV1'!Q:Q)+SUMIF('AUX-NIV2'!I:I,Recursos!C990,'AUX-NIV2'!Q:Q)+SUMIF('AUX-NIV3'!I:I,Recursos!C990,'AUX-NIV3'!Q:Q)</f>
        <v>0</v>
      </c>
      <c r="H990" s="204">
        <f t="shared" si="109"/>
        <v>0</v>
      </c>
      <c r="I990" s="366">
        <f t="shared" si="110"/>
        <v>0</v>
      </c>
      <c r="J990" s="474"/>
      <c r="L990" s="83"/>
      <c r="M990" s="83"/>
      <c r="N990" s="83"/>
      <c r="O990" s="83"/>
      <c r="P990" s="83"/>
      <c r="Q990" s="83"/>
      <c r="R990" s="83"/>
      <c r="S990" s="83"/>
      <c r="T990" s="83"/>
      <c r="U990" s="83"/>
      <c r="V990" s="83"/>
      <c r="W990" s="83"/>
    </row>
    <row r="991" spans="2:23">
      <c r="B991" s="222"/>
      <c r="C991" s="206" t="s">
        <v>2674</v>
      </c>
      <c r="D991" s="200" t="s">
        <v>2675</v>
      </c>
      <c r="E991" s="201" t="s">
        <v>848</v>
      </c>
      <c r="F991" s="360">
        <v>0.6</v>
      </c>
      <c r="G991" s="203">
        <f>+SUMIF('AUX-NIV1'!I:I,Recursos!C991,'AUX-NIV1'!Q:Q)+SUMIF('AUX-NIV2'!I:I,Recursos!C991,'AUX-NIV2'!Q:Q)+SUMIF('AUX-NIV3'!I:I,Recursos!C991,'AUX-NIV3'!Q:Q)</f>
        <v>0</v>
      </c>
      <c r="H991" s="204">
        <f t="shared" si="109"/>
        <v>0</v>
      </c>
      <c r="I991" s="366">
        <f t="shared" si="110"/>
        <v>0</v>
      </c>
      <c r="J991" s="474"/>
      <c r="L991" s="83"/>
      <c r="M991" s="83"/>
      <c r="N991" s="83"/>
      <c r="O991" s="83"/>
      <c r="P991" s="83"/>
      <c r="Q991" s="83"/>
      <c r="R991" s="83"/>
      <c r="S991" s="83"/>
      <c r="T991" s="83"/>
      <c r="U991" s="83"/>
      <c r="V991" s="83"/>
      <c r="W991" s="83"/>
    </row>
    <row r="992" spans="2:23">
      <c r="B992" s="222"/>
      <c r="C992" s="199" t="s">
        <v>733</v>
      </c>
      <c r="D992" s="200" t="s">
        <v>734</v>
      </c>
      <c r="E992" s="201" t="s">
        <v>453</v>
      </c>
      <c r="F992" s="360">
        <v>1</v>
      </c>
      <c r="G992" s="203">
        <f>+SUMIF('AUX-NIV1'!I:I,Recursos!C992,'AUX-NIV1'!Q:Q)+SUMIF('AUX-NIV2'!I:I,Recursos!C992,'AUX-NIV2'!Q:Q)+SUMIF('AUX-NIV3'!I:I,Recursos!C992,'AUX-NIV3'!Q:Q)</f>
        <v>0</v>
      </c>
      <c r="H992" s="204">
        <f t="shared" si="109"/>
        <v>0</v>
      </c>
      <c r="I992" s="366">
        <f t="shared" si="110"/>
        <v>0</v>
      </c>
      <c r="J992" s="205"/>
      <c r="L992" s="83"/>
      <c r="M992" s="83"/>
      <c r="N992" s="83"/>
      <c r="O992" s="83"/>
      <c r="P992" s="83"/>
      <c r="Q992" s="83"/>
      <c r="R992" s="83"/>
      <c r="S992" s="83"/>
      <c r="T992" s="83"/>
      <c r="U992" s="83"/>
      <c r="V992" s="83"/>
      <c r="W992" s="83"/>
    </row>
    <row r="993" spans="2:23">
      <c r="B993" s="222"/>
      <c r="C993" s="199" t="s">
        <v>409</v>
      </c>
      <c r="D993" s="200" t="s">
        <v>576</v>
      </c>
      <c r="E993" s="201" t="s">
        <v>1172</v>
      </c>
      <c r="F993" s="360">
        <v>1</v>
      </c>
      <c r="G993" s="203">
        <f>+SUMIF('AUX-NIV1'!I:I,Recursos!C993,'AUX-NIV1'!Q:Q)+SUMIF('AUX-NIV2'!I:I,Recursos!C993,'AUX-NIV2'!Q:Q)+SUMIF('AUX-NIV3'!I:I,Recursos!C993,'AUX-NIV3'!Q:Q)</f>
        <v>0</v>
      </c>
      <c r="H993" s="204">
        <f t="shared" si="109"/>
        <v>0</v>
      </c>
      <c r="I993" s="366">
        <f t="shared" si="110"/>
        <v>0</v>
      </c>
      <c r="J993" s="205"/>
      <c r="L993" s="83"/>
      <c r="M993" s="83"/>
      <c r="N993" s="83"/>
      <c r="O993" s="83"/>
      <c r="P993" s="83"/>
      <c r="Q993" s="83"/>
      <c r="R993" s="83"/>
      <c r="S993" s="83"/>
      <c r="T993" s="83"/>
      <c r="U993" s="83"/>
      <c r="V993" s="83"/>
      <c r="W993" s="83"/>
    </row>
    <row r="994" spans="2:23">
      <c r="B994" s="222"/>
      <c r="C994" s="206" t="s">
        <v>2704</v>
      </c>
      <c r="D994" s="200" t="s">
        <v>2705</v>
      </c>
      <c r="E994" s="201" t="s">
        <v>1168</v>
      </c>
      <c r="F994" s="360">
        <v>3500</v>
      </c>
      <c r="G994" s="203">
        <f>+SUMIF('AUX-NIV1'!I:I,Recursos!C994,'AUX-NIV1'!Q:Q)+SUMIF('AUX-NIV2'!I:I,Recursos!C994,'AUX-NIV2'!Q:Q)+SUMIF('AUX-NIV3'!I:I,Recursos!C994,'AUX-NIV3'!Q:Q)</f>
        <v>0</v>
      </c>
      <c r="H994" s="204">
        <f t="shared" si="109"/>
        <v>0</v>
      </c>
      <c r="I994" s="366">
        <f t="shared" si="110"/>
        <v>0</v>
      </c>
      <c r="J994" s="474"/>
      <c r="L994" s="83"/>
      <c r="M994" s="83"/>
      <c r="N994" s="83"/>
      <c r="O994" s="83"/>
      <c r="P994" s="83"/>
      <c r="Q994" s="83"/>
      <c r="R994" s="83"/>
      <c r="S994" s="83"/>
      <c r="T994" s="83"/>
      <c r="U994" s="83"/>
      <c r="V994" s="83"/>
      <c r="W994" s="83"/>
    </row>
    <row r="995" spans="2:23">
      <c r="B995" s="222"/>
      <c r="C995" s="206" t="s">
        <v>2706</v>
      </c>
      <c r="D995" s="200" t="s">
        <v>2707</v>
      </c>
      <c r="E995" s="201" t="s">
        <v>1168</v>
      </c>
      <c r="F995" s="360">
        <v>4500</v>
      </c>
      <c r="G995" s="203">
        <f>+SUMIF('AUX-NIV1'!I:I,Recursos!C995,'AUX-NIV1'!Q:Q)+SUMIF('AUX-NIV2'!I:I,Recursos!C995,'AUX-NIV2'!Q:Q)+SUMIF('AUX-NIV3'!I:I,Recursos!C995,'AUX-NIV3'!Q:Q)</f>
        <v>0</v>
      </c>
      <c r="H995" s="204">
        <f t="shared" si="109"/>
        <v>0</v>
      </c>
      <c r="I995" s="366">
        <f t="shared" si="110"/>
        <v>0</v>
      </c>
      <c r="J995" s="474"/>
      <c r="L995" s="83"/>
      <c r="M995" s="83"/>
      <c r="N995" s="83"/>
      <c r="O995" s="83"/>
      <c r="P995" s="83"/>
      <c r="Q995" s="83"/>
      <c r="R995" s="83"/>
      <c r="S995" s="83"/>
      <c r="T995" s="83"/>
      <c r="U995" s="83"/>
      <c r="V995" s="83"/>
      <c r="W995" s="83"/>
    </row>
    <row r="996" spans="2:23">
      <c r="B996" s="222"/>
      <c r="C996" s="206" t="s">
        <v>2708</v>
      </c>
      <c r="D996" s="200" t="s">
        <v>2709</v>
      </c>
      <c r="E996" s="201" t="s">
        <v>1168</v>
      </c>
      <c r="F996" s="360">
        <v>4500</v>
      </c>
      <c r="G996" s="203">
        <f>+SUMIF('AUX-NIV1'!I:I,Recursos!C996,'AUX-NIV1'!Q:Q)+SUMIF('AUX-NIV2'!I:I,Recursos!C996,'AUX-NIV2'!Q:Q)+SUMIF('AUX-NIV3'!I:I,Recursos!C996,'AUX-NIV3'!Q:Q)</f>
        <v>0</v>
      </c>
      <c r="H996" s="204">
        <f t="shared" si="109"/>
        <v>0</v>
      </c>
      <c r="I996" s="366">
        <f t="shared" si="110"/>
        <v>0</v>
      </c>
      <c r="J996" s="474"/>
      <c r="L996" s="83"/>
      <c r="M996" s="83"/>
      <c r="N996" s="83"/>
      <c r="O996" s="83"/>
      <c r="P996" s="83"/>
      <c r="Q996" s="83"/>
      <c r="R996" s="83"/>
      <c r="S996" s="83"/>
      <c r="T996" s="83"/>
      <c r="U996" s="83"/>
      <c r="V996" s="83"/>
      <c r="W996" s="83"/>
    </row>
    <row r="997" spans="2:23">
      <c r="B997" s="222"/>
      <c r="C997" s="206" t="s">
        <v>2591</v>
      </c>
      <c r="D997" s="200" t="s">
        <v>2592</v>
      </c>
      <c r="E997" s="201" t="s">
        <v>185</v>
      </c>
      <c r="F997" s="360">
        <v>5000</v>
      </c>
      <c r="G997" s="203">
        <f>+SUMIF('AUX-NIV1'!I:I,Recursos!C997,'AUX-NIV1'!Q:Q)+SUMIF('AUX-NIV2'!I:I,Recursos!C997,'AUX-NIV2'!Q:Q)+SUMIF('AUX-NIV3'!I:I,Recursos!C997,'AUX-NIV3'!Q:Q)</f>
        <v>0</v>
      </c>
      <c r="H997" s="204">
        <f t="shared" si="109"/>
        <v>0</v>
      </c>
      <c r="I997" s="366">
        <f t="shared" si="110"/>
        <v>0</v>
      </c>
      <c r="J997" s="474"/>
      <c r="L997" s="83"/>
      <c r="M997" s="83"/>
      <c r="N997" s="83"/>
      <c r="O997" s="83"/>
      <c r="P997" s="83"/>
      <c r="Q997" s="83"/>
      <c r="R997" s="83"/>
      <c r="S997" s="83"/>
      <c r="T997" s="83"/>
      <c r="U997" s="83"/>
      <c r="V997" s="83"/>
      <c r="W997" s="83"/>
    </row>
    <row r="998" spans="2:23">
      <c r="B998" s="222"/>
      <c r="C998" s="199" t="s">
        <v>1467</v>
      </c>
      <c r="D998" s="200" t="s">
        <v>1470</v>
      </c>
      <c r="E998" s="201" t="s">
        <v>1384</v>
      </c>
      <c r="F998" s="360">
        <v>1</v>
      </c>
      <c r="G998" s="203">
        <f>+SUMIF('AUX-NIV1'!I:I,Recursos!C998,'AUX-NIV1'!Q:Q)+SUMIF('AUX-NIV2'!I:I,Recursos!C998,'AUX-NIV2'!Q:Q)+SUMIF('AUX-NIV3'!I:I,Recursos!C998,'AUX-NIV3'!Q:Q)</f>
        <v>0</v>
      </c>
      <c r="H998" s="204">
        <f t="shared" si="109"/>
        <v>0</v>
      </c>
      <c r="I998" s="366">
        <f t="shared" si="110"/>
        <v>0</v>
      </c>
      <c r="J998" s="205"/>
      <c r="L998" s="83"/>
      <c r="M998" s="83"/>
      <c r="N998" s="83"/>
      <c r="O998" s="83"/>
      <c r="P998" s="83"/>
      <c r="Q998" s="83"/>
      <c r="R998" s="83"/>
      <c r="S998" s="83"/>
      <c r="T998" s="83"/>
      <c r="U998" s="83"/>
      <c r="V998" s="83"/>
      <c r="W998" s="83"/>
    </row>
    <row r="999" spans="2:23">
      <c r="B999" s="222"/>
      <c r="C999" s="199" t="s">
        <v>634</v>
      </c>
      <c r="D999" s="200" t="s">
        <v>635</v>
      </c>
      <c r="E999" s="201" t="s">
        <v>633</v>
      </c>
      <c r="F999" s="360">
        <v>250</v>
      </c>
      <c r="G999" s="203">
        <f>+SUMIF('AUX-NIV1'!I:I,Recursos!C999,'AUX-NIV1'!Q:Q)+SUMIF('AUX-NIV2'!I:I,Recursos!C999,'AUX-NIV2'!Q:Q)+SUMIF('AUX-NIV3'!I:I,Recursos!C999,'AUX-NIV3'!Q:Q)</f>
        <v>0</v>
      </c>
      <c r="H999" s="204">
        <f t="shared" si="109"/>
        <v>0</v>
      </c>
      <c r="I999" s="366">
        <f t="shared" si="110"/>
        <v>0</v>
      </c>
      <c r="J999" s="205"/>
      <c r="L999" s="83"/>
      <c r="M999" s="83"/>
      <c r="N999" s="83"/>
      <c r="O999" s="83"/>
      <c r="P999" s="83"/>
      <c r="Q999" s="83"/>
      <c r="R999" s="83"/>
      <c r="S999" s="83"/>
      <c r="T999" s="83"/>
      <c r="U999" s="83"/>
      <c r="V999" s="83"/>
      <c r="W999" s="83"/>
    </row>
    <row r="1000" spans="2:23">
      <c r="B1000" s="222"/>
      <c r="C1000" s="206" t="s">
        <v>2518</v>
      </c>
      <c r="D1000" s="200" t="s">
        <v>635</v>
      </c>
      <c r="E1000" s="201" t="s">
        <v>633</v>
      </c>
      <c r="F1000" s="360">
        <v>250</v>
      </c>
      <c r="G1000" s="203">
        <f>+SUMIF('AUX-NIV1'!I:I,Recursos!C1000,'AUX-NIV1'!Q:Q)+SUMIF('AUX-NIV2'!I:I,Recursos!C1000,'AUX-NIV2'!Q:Q)+SUMIF('AUX-NIV3'!I:I,Recursos!C1000,'AUX-NIV3'!Q:Q)</f>
        <v>0</v>
      </c>
      <c r="H1000" s="204">
        <f t="shared" si="109"/>
        <v>0</v>
      </c>
      <c r="I1000" s="366">
        <f t="shared" si="110"/>
        <v>0</v>
      </c>
      <c r="J1000" s="474"/>
      <c r="L1000" s="83"/>
      <c r="M1000" s="83"/>
      <c r="N1000" s="83"/>
      <c r="O1000" s="83"/>
      <c r="P1000" s="83"/>
      <c r="Q1000" s="83"/>
      <c r="R1000" s="83"/>
      <c r="S1000" s="83"/>
      <c r="T1000" s="83"/>
      <c r="U1000" s="83"/>
      <c r="V1000" s="83"/>
      <c r="W1000" s="83"/>
    </row>
    <row r="1001" spans="2:23">
      <c r="B1001" s="222"/>
      <c r="C1001" s="199" t="s">
        <v>696</v>
      </c>
      <c r="D1001" s="200" t="s">
        <v>697</v>
      </c>
      <c r="E1001" s="201" t="s">
        <v>586</v>
      </c>
      <c r="F1001" s="360">
        <f>15*usd</f>
        <v>1530.75</v>
      </c>
      <c r="G1001" s="203">
        <f>+SUMIF('AUX-NIV1'!I:I,Recursos!C1001,'AUX-NIV1'!Q:Q)+SUMIF('AUX-NIV2'!I:I,Recursos!C1001,'AUX-NIV2'!Q:Q)+SUMIF('AUX-NIV3'!I:I,Recursos!C1001,'AUX-NIV3'!Q:Q)</f>
        <v>0</v>
      </c>
      <c r="H1001" s="204">
        <f t="shared" si="109"/>
        <v>0</v>
      </c>
      <c r="I1001" s="366">
        <f t="shared" si="110"/>
        <v>0</v>
      </c>
      <c r="J1001" s="205"/>
      <c r="L1001" s="83"/>
      <c r="M1001" s="83"/>
      <c r="N1001" s="83"/>
      <c r="O1001" s="83"/>
      <c r="P1001" s="83"/>
      <c r="Q1001" s="83"/>
      <c r="R1001" s="83"/>
      <c r="S1001" s="83"/>
      <c r="T1001" s="83"/>
      <c r="U1001" s="83"/>
      <c r="V1001" s="83"/>
      <c r="W1001" s="83"/>
    </row>
    <row r="1002" spans="2:23">
      <c r="B1002" s="222"/>
      <c r="C1002" s="206" t="s">
        <v>2512</v>
      </c>
      <c r="D1002" s="200" t="s">
        <v>697</v>
      </c>
      <c r="E1002" s="201" t="s">
        <v>586</v>
      </c>
      <c r="F1002" s="360">
        <v>600</v>
      </c>
      <c r="G1002" s="203">
        <f>+SUMIF('AUX-NIV1'!I:I,Recursos!C1002,'AUX-NIV1'!Q:Q)+SUMIF('AUX-NIV2'!I:I,Recursos!C1002,'AUX-NIV2'!Q:Q)+SUMIF('AUX-NIV3'!I:I,Recursos!C1002,'AUX-NIV3'!Q:Q)</f>
        <v>0</v>
      </c>
      <c r="H1002" s="204">
        <f t="shared" si="109"/>
        <v>0</v>
      </c>
      <c r="I1002" s="366">
        <f t="shared" si="110"/>
        <v>0</v>
      </c>
      <c r="J1002" s="474"/>
      <c r="L1002" s="83"/>
      <c r="M1002" s="83"/>
      <c r="N1002" s="83"/>
      <c r="O1002" s="83"/>
      <c r="P1002" s="83"/>
      <c r="Q1002" s="83"/>
      <c r="R1002" s="83"/>
      <c r="S1002" s="83"/>
      <c r="T1002" s="83"/>
      <c r="U1002" s="83"/>
      <c r="V1002" s="83"/>
      <c r="W1002" s="83"/>
    </row>
    <row r="1003" spans="2:23">
      <c r="B1003" s="222"/>
      <c r="C1003" s="199" t="s">
        <v>664</v>
      </c>
      <c r="D1003" s="200" t="s">
        <v>665</v>
      </c>
      <c r="E1003" s="201" t="s">
        <v>477</v>
      </c>
      <c r="F1003" s="360">
        <f>70.4166666666667+200/50*19.71+20+60</f>
        <v>229.25666666666672</v>
      </c>
      <c r="G1003" s="203">
        <f>+SUMIF('AUX-NIV1'!I:I,Recursos!C1003,'AUX-NIV1'!Q:Q)+SUMIF('AUX-NIV2'!I:I,Recursos!C1003,'AUX-NIV2'!Q:Q)+SUMIF('AUX-NIV3'!I:I,Recursos!C1003,'AUX-NIV3'!Q:Q)</f>
        <v>0</v>
      </c>
      <c r="H1003" s="204">
        <f t="shared" si="109"/>
        <v>0</v>
      </c>
      <c r="I1003" s="366">
        <f t="shared" si="110"/>
        <v>0</v>
      </c>
      <c r="J1003" s="205"/>
      <c r="L1003" s="83"/>
      <c r="M1003" s="83"/>
      <c r="N1003" s="83"/>
      <c r="O1003" s="83"/>
      <c r="P1003" s="83"/>
      <c r="Q1003" s="83"/>
      <c r="R1003" s="83"/>
      <c r="S1003" s="83"/>
      <c r="T1003" s="83"/>
      <c r="U1003" s="83"/>
      <c r="V1003" s="83"/>
      <c r="W1003" s="83"/>
    </row>
    <row r="1004" spans="2:23">
      <c r="B1004" s="222"/>
      <c r="C1004" s="206" t="s">
        <v>2605</v>
      </c>
      <c r="D1004" s="200" t="s">
        <v>665</v>
      </c>
      <c r="E1004" s="201" t="s">
        <v>477</v>
      </c>
      <c r="F1004" s="360">
        <f>70.4166666666667+200/50*19.71+20+60</f>
        <v>229.25666666666672</v>
      </c>
      <c r="G1004" s="203">
        <f>+SUMIF('AUX-NIV1'!I:I,Recursos!C1004,'AUX-NIV1'!Q:Q)+SUMIF('AUX-NIV2'!I:I,Recursos!C1004,'AUX-NIV2'!Q:Q)+SUMIF('AUX-NIV3'!I:I,Recursos!C1004,'AUX-NIV3'!Q:Q)</f>
        <v>0</v>
      </c>
      <c r="H1004" s="204">
        <f t="shared" si="109"/>
        <v>0</v>
      </c>
      <c r="I1004" s="366">
        <f t="shared" si="110"/>
        <v>0</v>
      </c>
      <c r="J1004" s="474"/>
      <c r="L1004" s="83"/>
      <c r="M1004" s="83"/>
      <c r="N1004" s="83"/>
      <c r="O1004" s="83"/>
      <c r="P1004" s="83"/>
      <c r="Q1004" s="83"/>
      <c r="R1004" s="83"/>
      <c r="S1004" s="83"/>
      <c r="T1004" s="83"/>
      <c r="U1004" s="83"/>
      <c r="V1004" s="83"/>
      <c r="W1004" s="83"/>
    </row>
    <row r="1005" spans="2:23">
      <c r="B1005" s="222"/>
      <c r="C1005" s="206" t="s">
        <v>2662</v>
      </c>
      <c r="D1005" s="200" t="s">
        <v>2663</v>
      </c>
      <c r="E1005" s="201" t="s">
        <v>484</v>
      </c>
      <c r="F1005" s="360">
        <v>1875</v>
      </c>
      <c r="G1005" s="203">
        <f>+SUMIF('AUX-NIV1'!I:I,Recursos!C1005,'AUX-NIV1'!Q:Q)+SUMIF('AUX-NIV2'!I:I,Recursos!C1005,'AUX-NIV2'!Q:Q)+SUMIF('AUX-NIV3'!I:I,Recursos!C1005,'AUX-NIV3'!Q:Q)</f>
        <v>0</v>
      </c>
      <c r="H1005" s="204">
        <f t="shared" si="109"/>
        <v>0</v>
      </c>
      <c r="I1005" s="366">
        <f t="shared" si="110"/>
        <v>0</v>
      </c>
      <c r="J1005" s="474"/>
      <c r="L1005" s="83"/>
      <c r="M1005" s="83"/>
      <c r="N1005" s="83"/>
      <c r="O1005" s="83"/>
      <c r="P1005" s="83"/>
      <c r="Q1005" s="83"/>
      <c r="R1005" s="83"/>
      <c r="S1005" s="83"/>
      <c r="T1005" s="83"/>
      <c r="U1005" s="83"/>
      <c r="V1005" s="83"/>
      <c r="W1005" s="83"/>
    </row>
    <row r="1006" spans="2:23">
      <c r="B1006" s="222"/>
      <c r="C1006" s="206" t="s">
        <v>2660</v>
      </c>
      <c r="D1006" s="200" t="s">
        <v>2661</v>
      </c>
      <c r="E1006" s="201" t="s">
        <v>484</v>
      </c>
      <c r="F1006" s="360">
        <v>220</v>
      </c>
      <c r="G1006" s="203">
        <f>+SUMIF('AUX-NIV1'!I:I,Recursos!C1006,'AUX-NIV1'!Q:Q)+SUMIF('AUX-NIV2'!I:I,Recursos!C1006,'AUX-NIV2'!Q:Q)+SUMIF('AUX-NIV3'!I:I,Recursos!C1006,'AUX-NIV3'!Q:Q)</f>
        <v>0</v>
      </c>
      <c r="H1006" s="204">
        <f t="shared" si="109"/>
        <v>0</v>
      </c>
      <c r="I1006" s="366">
        <f t="shared" si="110"/>
        <v>0</v>
      </c>
      <c r="J1006" s="474"/>
      <c r="L1006" s="83"/>
      <c r="M1006" s="83"/>
      <c r="N1006" s="83"/>
      <c r="O1006" s="83"/>
      <c r="P1006" s="83"/>
      <c r="Q1006" s="83"/>
      <c r="R1006" s="83"/>
      <c r="S1006" s="83"/>
      <c r="T1006" s="83"/>
      <c r="U1006" s="83"/>
      <c r="V1006" s="83"/>
      <c r="W1006" s="83"/>
    </row>
    <row r="1007" spans="2:23">
      <c r="B1007" s="222"/>
      <c r="C1007" s="206" t="s">
        <v>2658</v>
      </c>
      <c r="D1007" s="200" t="s">
        <v>2659</v>
      </c>
      <c r="E1007" s="201" t="s">
        <v>484</v>
      </c>
      <c r="F1007" s="360">
        <v>385</v>
      </c>
      <c r="G1007" s="203">
        <f>+SUMIF('AUX-NIV1'!I:I,Recursos!C1007,'AUX-NIV1'!Q:Q)+SUMIF('AUX-NIV2'!I:I,Recursos!C1007,'AUX-NIV2'!Q:Q)+SUMIF('AUX-NIV3'!I:I,Recursos!C1007,'AUX-NIV3'!Q:Q)</f>
        <v>0</v>
      </c>
      <c r="H1007" s="204">
        <f t="shared" si="109"/>
        <v>0</v>
      </c>
      <c r="I1007" s="366">
        <f t="shared" si="110"/>
        <v>0</v>
      </c>
      <c r="J1007" s="474"/>
      <c r="L1007" s="83"/>
      <c r="M1007" s="83"/>
      <c r="N1007" s="83"/>
      <c r="O1007" s="83"/>
      <c r="P1007" s="83"/>
      <c r="Q1007" s="83"/>
      <c r="R1007" s="83"/>
      <c r="S1007" s="83"/>
      <c r="T1007" s="83"/>
      <c r="U1007" s="83"/>
      <c r="V1007" s="83"/>
      <c r="W1007" s="83"/>
    </row>
    <row r="1008" spans="2:23">
      <c r="B1008" s="222"/>
      <c r="C1008" s="199" t="s">
        <v>549</v>
      </c>
      <c r="D1008" s="200" t="s">
        <v>550</v>
      </c>
      <c r="E1008" s="201" t="s">
        <v>1172</v>
      </c>
      <c r="F1008" s="360">
        <v>130000</v>
      </c>
      <c r="G1008" s="203">
        <f>+SUMIF('AUX-NIV1'!I:I,Recursos!C1008,'AUX-NIV1'!Q:Q)+SUMIF('AUX-NIV2'!I:I,Recursos!C1008,'AUX-NIV2'!Q:Q)+SUMIF('AUX-NIV3'!I:I,Recursos!C1008,'AUX-NIV3'!Q:Q)</f>
        <v>0</v>
      </c>
      <c r="H1008" s="204">
        <f t="shared" si="109"/>
        <v>0</v>
      </c>
      <c r="I1008" s="366">
        <f t="shared" si="110"/>
        <v>0</v>
      </c>
      <c r="J1008" s="205"/>
      <c r="L1008" s="83"/>
      <c r="M1008" s="83"/>
      <c r="N1008" s="83"/>
      <c r="O1008" s="83"/>
      <c r="P1008" s="83"/>
      <c r="Q1008" s="83"/>
      <c r="R1008" s="83"/>
      <c r="S1008" s="83"/>
      <c r="T1008" s="83"/>
      <c r="U1008" s="83"/>
      <c r="V1008" s="83"/>
      <c r="W1008" s="83"/>
    </row>
    <row r="1009" spans="2:23">
      <c r="B1009" s="222"/>
      <c r="C1009" s="206" t="s">
        <v>2534</v>
      </c>
      <c r="D1009" s="200" t="s">
        <v>550</v>
      </c>
      <c r="E1009" s="201" t="s">
        <v>1172</v>
      </c>
      <c r="F1009" s="360">
        <v>130000</v>
      </c>
      <c r="G1009" s="203">
        <f>+SUMIF('AUX-NIV1'!I:I,Recursos!C1009,'AUX-NIV1'!Q:Q)+SUMIF('AUX-NIV2'!I:I,Recursos!C1009,'AUX-NIV2'!Q:Q)+SUMIF('AUX-NIV3'!I:I,Recursos!C1009,'AUX-NIV3'!Q:Q)</f>
        <v>0</v>
      </c>
      <c r="H1009" s="204">
        <f t="shared" si="109"/>
        <v>0</v>
      </c>
      <c r="I1009" s="366">
        <f t="shared" si="110"/>
        <v>0</v>
      </c>
      <c r="J1009" s="474"/>
      <c r="L1009" s="83"/>
      <c r="M1009" s="83"/>
      <c r="N1009" s="83"/>
      <c r="O1009" s="83"/>
      <c r="P1009" s="83"/>
      <c r="Q1009" s="83"/>
      <c r="R1009" s="83"/>
      <c r="S1009" s="83"/>
      <c r="T1009" s="83"/>
      <c r="U1009" s="83"/>
      <c r="V1009" s="83"/>
      <c r="W1009" s="83"/>
    </row>
    <row r="1010" spans="2:23">
      <c r="B1010" s="222"/>
      <c r="C1010" s="206" t="s">
        <v>2538</v>
      </c>
      <c r="D1010" s="200" t="s">
        <v>2539</v>
      </c>
      <c r="E1010" s="201" t="s">
        <v>1160</v>
      </c>
      <c r="F1010" s="360">
        <v>34.18</v>
      </c>
      <c r="G1010" s="203">
        <f>+SUMIF('AUX-NIV1'!I:I,Recursos!C1010,'AUX-NIV1'!Q:Q)+SUMIF('AUX-NIV2'!I:I,Recursos!C1010,'AUX-NIV2'!Q:Q)+SUMIF('AUX-NIV3'!I:I,Recursos!C1010,'AUX-NIV3'!Q:Q)</f>
        <v>0</v>
      </c>
      <c r="H1010" s="204">
        <f t="shared" si="109"/>
        <v>0</v>
      </c>
      <c r="I1010" s="366">
        <f t="shared" si="110"/>
        <v>0</v>
      </c>
      <c r="J1010" s="474"/>
      <c r="L1010" s="83"/>
      <c r="M1010" s="83"/>
      <c r="N1010" s="83"/>
      <c r="O1010" s="83"/>
      <c r="P1010" s="83"/>
      <c r="Q1010" s="83"/>
      <c r="R1010" s="83"/>
      <c r="S1010" s="83"/>
      <c r="T1010" s="83"/>
      <c r="U1010" s="83"/>
      <c r="V1010" s="83"/>
      <c r="W1010" s="83"/>
    </row>
    <row r="1011" spans="2:23">
      <c r="B1011" s="222"/>
      <c r="C1011" s="199" t="s">
        <v>710</v>
      </c>
      <c r="D1011" s="200" t="s">
        <v>711</v>
      </c>
      <c r="E1011" s="201" t="s">
        <v>371</v>
      </c>
      <c r="F1011" s="360">
        <v>500</v>
      </c>
      <c r="G1011" s="203">
        <f>+SUMIF('AUX-NIV1'!I:I,Recursos!C1011,'AUX-NIV1'!Q:Q)+SUMIF('AUX-NIV2'!I:I,Recursos!C1011,'AUX-NIV2'!Q:Q)+SUMIF('AUX-NIV3'!I:I,Recursos!C1011,'AUX-NIV3'!Q:Q)</f>
        <v>0</v>
      </c>
      <c r="H1011" s="204">
        <f t="shared" si="109"/>
        <v>0</v>
      </c>
      <c r="I1011" s="366">
        <f t="shared" si="110"/>
        <v>0</v>
      </c>
      <c r="J1011" s="205"/>
      <c r="L1011" s="83"/>
      <c r="M1011" s="83"/>
      <c r="N1011" s="83"/>
      <c r="O1011" s="83"/>
      <c r="P1011" s="83"/>
      <c r="Q1011" s="83"/>
      <c r="R1011" s="83"/>
      <c r="S1011" s="83"/>
      <c r="T1011" s="83"/>
      <c r="U1011" s="83"/>
      <c r="V1011" s="83"/>
      <c r="W1011" s="83"/>
    </row>
    <row r="1012" spans="2:23">
      <c r="B1012" s="222"/>
      <c r="C1012" s="206" t="s">
        <v>2543</v>
      </c>
      <c r="D1012" s="200" t="s">
        <v>711</v>
      </c>
      <c r="E1012" s="201" t="s">
        <v>371</v>
      </c>
      <c r="F1012" s="360">
        <v>500</v>
      </c>
      <c r="G1012" s="203">
        <f>+SUMIF('AUX-NIV1'!I:I,Recursos!C1012,'AUX-NIV1'!Q:Q)+SUMIF('AUX-NIV2'!I:I,Recursos!C1012,'AUX-NIV2'!Q:Q)+SUMIF('AUX-NIV3'!I:I,Recursos!C1012,'AUX-NIV3'!Q:Q)</f>
        <v>0</v>
      </c>
      <c r="H1012" s="204">
        <f t="shared" si="109"/>
        <v>0</v>
      </c>
      <c r="I1012" s="366">
        <f t="shared" si="110"/>
        <v>0</v>
      </c>
      <c r="J1012" s="474"/>
      <c r="L1012" s="83"/>
      <c r="M1012" s="83"/>
      <c r="N1012" s="83"/>
      <c r="O1012" s="83"/>
      <c r="P1012" s="83"/>
      <c r="Q1012" s="83"/>
      <c r="R1012" s="83"/>
      <c r="S1012" s="83"/>
      <c r="T1012" s="83"/>
      <c r="U1012" s="83"/>
      <c r="V1012" s="83"/>
      <c r="W1012" s="83"/>
    </row>
    <row r="1013" spans="2:23">
      <c r="B1013" s="222"/>
      <c r="C1013" s="199" t="s">
        <v>708</v>
      </c>
      <c r="D1013" s="200" t="s">
        <v>709</v>
      </c>
      <c r="E1013" s="201" t="s">
        <v>371</v>
      </c>
      <c r="F1013" s="360">
        <v>10000</v>
      </c>
      <c r="G1013" s="203">
        <f>+SUMIF('AUX-NIV1'!I:I,Recursos!C1013,'AUX-NIV1'!Q:Q)+SUMIF('AUX-NIV2'!I:I,Recursos!C1013,'AUX-NIV2'!Q:Q)+SUMIF('AUX-NIV3'!I:I,Recursos!C1013,'AUX-NIV3'!Q:Q)</f>
        <v>0</v>
      </c>
      <c r="H1013" s="204">
        <f t="shared" si="109"/>
        <v>0</v>
      </c>
      <c r="I1013" s="366">
        <f t="shared" si="110"/>
        <v>0</v>
      </c>
      <c r="J1013" s="205"/>
      <c r="L1013" s="83"/>
      <c r="M1013" s="83"/>
      <c r="N1013" s="83"/>
      <c r="O1013" s="83"/>
      <c r="P1013" s="83"/>
      <c r="Q1013" s="83"/>
      <c r="R1013" s="83"/>
      <c r="S1013" s="83"/>
      <c r="T1013" s="83"/>
      <c r="U1013" s="83"/>
      <c r="V1013" s="83"/>
      <c r="W1013" s="83"/>
    </row>
    <row r="1014" spans="2:23">
      <c r="B1014" s="222"/>
      <c r="C1014" s="206" t="s">
        <v>2542</v>
      </c>
      <c r="D1014" s="200" t="s">
        <v>709</v>
      </c>
      <c r="E1014" s="201" t="s">
        <v>371</v>
      </c>
      <c r="F1014" s="360">
        <v>15000</v>
      </c>
      <c r="G1014" s="203">
        <f>+SUMIF('AUX-NIV1'!I:I,Recursos!C1014,'AUX-NIV1'!Q:Q)+SUMIF('AUX-NIV2'!I:I,Recursos!C1014,'AUX-NIV2'!Q:Q)+SUMIF('AUX-NIV3'!I:I,Recursos!C1014,'AUX-NIV3'!Q:Q)</f>
        <v>0</v>
      </c>
      <c r="H1014" s="204">
        <f t="shared" si="109"/>
        <v>0</v>
      </c>
      <c r="I1014" s="366">
        <f t="shared" si="110"/>
        <v>0</v>
      </c>
      <c r="J1014" s="474"/>
      <c r="L1014" s="83"/>
      <c r="M1014" s="83"/>
      <c r="N1014" s="83"/>
      <c r="O1014" s="83"/>
      <c r="P1014" s="83"/>
      <c r="Q1014" s="83"/>
      <c r="R1014" s="83"/>
      <c r="S1014" s="83"/>
      <c r="T1014" s="83"/>
      <c r="U1014" s="83"/>
      <c r="V1014" s="83"/>
      <c r="W1014" s="83"/>
    </row>
    <row r="1015" spans="2:23">
      <c r="B1015" s="222"/>
      <c r="C1015" s="199" t="s">
        <v>706</v>
      </c>
      <c r="D1015" s="200" t="s">
        <v>707</v>
      </c>
      <c r="E1015" s="201" t="s">
        <v>371</v>
      </c>
      <c r="F1015" s="360">
        <v>10000</v>
      </c>
      <c r="G1015" s="203">
        <f>+SUMIF('AUX-NIV1'!I:I,Recursos!C1015,'AUX-NIV1'!Q:Q)+SUMIF('AUX-NIV2'!I:I,Recursos!C1015,'AUX-NIV2'!Q:Q)+SUMIF('AUX-NIV3'!I:I,Recursos!C1015,'AUX-NIV3'!Q:Q)</f>
        <v>0</v>
      </c>
      <c r="H1015" s="204">
        <f t="shared" si="109"/>
        <v>0</v>
      </c>
      <c r="I1015" s="366">
        <f t="shared" si="110"/>
        <v>0</v>
      </c>
      <c r="J1015" s="205"/>
      <c r="L1015" s="83"/>
      <c r="M1015" s="83"/>
      <c r="N1015" s="83"/>
      <c r="O1015" s="83"/>
      <c r="P1015" s="83"/>
      <c r="Q1015" s="83"/>
      <c r="R1015" s="83"/>
      <c r="S1015" s="83"/>
      <c r="T1015" s="83"/>
      <c r="U1015" s="83"/>
      <c r="V1015" s="83"/>
      <c r="W1015" s="83"/>
    </row>
    <row r="1016" spans="2:23">
      <c r="B1016" s="222"/>
      <c r="C1016" s="206" t="s">
        <v>2541</v>
      </c>
      <c r="D1016" s="200" t="s">
        <v>707</v>
      </c>
      <c r="E1016" s="201" t="s">
        <v>371</v>
      </c>
      <c r="F1016" s="360">
        <v>3500</v>
      </c>
      <c r="G1016" s="203">
        <f>+SUMIF('AUX-NIV1'!I:I,Recursos!C1016,'AUX-NIV1'!Q:Q)+SUMIF('AUX-NIV2'!I:I,Recursos!C1016,'AUX-NIV2'!Q:Q)+SUMIF('AUX-NIV3'!I:I,Recursos!C1016,'AUX-NIV3'!Q:Q)</f>
        <v>0</v>
      </c>
      <c r="H1016" s="204">
        <f t="shared" ref="H1016:H1076" si="111">+F1016*G1016</f>
        <v>0</v>
      </c>
      <c r="I1016" s="366">
        <f t="shared" ref="I1016:I1076" si="112">+H1016/$I$3</f>
        <v>0</v>
      </c>
      <c r="J1016" s="474"/>
      <c r="L1016" s="83"/>
      <c r="M1016" s="83"/>
      <c r="N1016" s="83"/>
      <c r="O1016" s="83"/>
      <c r="P1016" s="83"/>
      <c r="Q1016" s="83"/>
      <c r="R1016" s="83"/>
      <c r="S1016" s="83"/>
      <c r="T1016" s="83"/>
      <c r="U1016" s="83"/>
      <c r="V1016" s="83"/>
      <c r="W1016" s="83"/>
    </row>
    <row r="1017" spans="2:23">
      <c r="B1017" s="222"/>
      <c r="C1017" s="199" t="s">
        <v>704</v>
      </c>
      <c r="D1017" s="200" t="s">
        <v>705</v>
      </c>
      <c r="E1017" s="201" t="s">
        <v>371</v>
      </c>
      <c r="F1017" s="360">
        <v>10000</v>
      </c>
      <c r="G1017" s="203">
        <f>+SUMIF('AUX-NIV1'!I:I,Recursos!C1017,'AUX-NIV1'!Q:Q)+SUMIF('AUX-NIV2'!I:I,Recursos!C1017,'AUX-NIV2'!Q:Q)+SUMIF('AUX-NIV3'!I:I,Recursos!C1017,'AUX-NIV3'!Q:Q)</f>
        <v>0</v>
      </c>
      <c r="H1017" s="204">
        <f t="shared" si="111"/>
        <v>0</v>
      </c>
      <c r="I1017" s="366">
        <f t="shared" si="112"/>
        <v>0</v>
      </c>
      <c r="J1017" s="205"/>
      <c r="L1017" s="83"/>
      <c r="M1017" s="83"/>
      <c r="N1017" s="83"/>
      <c r="O1017" s="83"/>
      <c r="P1017" s="83"/>
      <c r="Q1017" s="83"/>
      <c r="R1017" s="83"/>
      <c r="S1017" s="83"/>
      <c r="T1017" s="83"/>
      <c r="U1017" s="83"/>
      <c r="V1017" s="83"/>
      <c r="W1017" s="83"/>
    </row>
    <row r="1018" spans="2:23">
      <c r="B1018" s="222"/>
      <c r="C1018" s="199" t="s">
        <v>718</v>
      </c>
      <c r="D1018" s="200" t="s">
        <v>719</v>
      </c>
      <c r="E1018" s="201" t="s">
        <v>371</v>
      </c>
      <c r="F1018" s="360">
        <v>10000</v>
      </c>
      <c r="G1018" s="203">
        <f>+SUMIF('AUX-NIV1'!I:I,Recursos!C1018,'AUX-NIV1'!Q:Q)+SUMIF('AUX-NIV2'!I:I,Recursos!C1018,'AUX-NIV2'!Q:Q)+SUMIF('AUX-NIV3'!I:I,Recursos!C1018,'AUX-NIV3'!Q:Q)</f>
        <v>0</v>
      </c>
      <c r="H1018" s="204">
        <f t="shared" si="111"/>
        <v>0</v>
      </c>
      <c r="I1018" s="366">
        <f t="shared" si="112"/>
        <v>0</v>
      </c>
      <c r="J1018" s="205"/>
      <c r="L1018" s="83"/>
      <c r="M1018" s="83"/>
      <c r="N1018" s="83"/>
      <c r="O1018" s="83"/>
      <c r="P1018" s="83"/>
      <c r="Q1018" s="83"/>
      <c r="R1018" s="83"/>
      <c r="S1018" s="83"/>
      <c r="T1018" s="83"/>
      <c r="U1018" s="83"/>
      <c r="V1018" s="83"/>
      <c r="W1018" s="83"/>
    </row>
    <row r="1019" spans="2:23">
      <c r="B1019" s="222"/>
      <c r="C1019" s="206" t="s">
        <v>2547</v>
      </c>
      <c r="D1019" s="200" t="s">
        <v>719</v>
      </c>
      <c r="E1019" s="201" t="s">
        <v>371</v>
      </c>
      <c r="F1019" s="360">
        <v>17500</v>
      </c>
      <c r="G1019" s="203">
        <f>+SUMIF('AUX-NIV1'!I:I,Recursos!C1019,'AUX-NIV1'!Q:Q)+SUMIF('AUX-NIV2'!I:I,Recursos!C1019,'AUX-NIV2'!Q:Q)+SUMIF('AUX-NIV3'!I:I,Recursos!C1019,'AUX-NIV3'!Q:Q)</f>
        <v>0</v>
      </c>
      <c r="H1019" s="204">
        <f t="shared" si="111"/>
        <v>0</v>
      </c>
      <c r="I1019" s="366">
        <f t="shared" si="112"/>
        <v>0</v>
      </c>
      <c r="J1019" s="474"/>
      <c r="L1019" s="83"/>
      <c r="M1019" s="83"/>
      <c r="N1019" s="83"/>
      <c r="O1019" s="83"/>
      <c r="P1019" s="83"/>
      <c r="Q1019" s="83"/>
      <c r="R1019" s="83"/>
      <c r="S1019" s="83"/>
      <c r="T1019" s="83"/>
      <c r="U1019" s="83"/>
      <c r="V1019" s="83"/>
      <c r="W1019" s="83"/>
    </row>
    <row r="1020" spans="2:23">
      <c r="B1020" s="222"/>
      <c r="C1020" s="199" t="s">
        <v>714</v>
      </c>
      <c r="D1020" s="200" t="s">
        <v>715</v>
      </c>
      <c r="E1020" s="201" t="s">
        <v>371</v>
      </c>
      <c r="F1020" s="360">
        <v>10000</v>
      </c>
      <c r="G1020" s="203">
        <f>+SUMIF('AUX-NIV1'!I:I,Recursos!C1020,'AUX-NIV1'!Q:Q)+SUMIF('AUX-NIV2'!I:I,Recursos!C1020,'AUX-NIV2'!Q:Q)+SUMIF('AUX-NIV3'!I:I,Recursos!C1020,'AUX-NIV3'!Q:Q)</f>
        <v>0</v>
      </c>
      <c r="H1020" s="204">
        <f t="shared" si="111"/>
        <v>0</v>
      </c>
      <c r="I1020" s="366">
        <f t="shared" si="112"/>
        <v>0</v>
      </c>
      <c r="J1020" s="205"/>
      <c r="L1020" s="83"/>
      <c r="M1020" s="83"/>
      <c r="N1020" s="83"/>
      <c r="O1020" s="83"/>
      <c r="P1020" s="83"/>
      <c r="Q1020" s="83"/>
      <c r="R1020" s="83"/>
      <c r="S1020" s="83"/>
      <c r="T1020" s="83"/>
      <c r="U1020" s="83"/>
      <c r="V1020" s="83"/>
      <c r="W1020" s="83"/>
    </row>
    <row r="1021" spans="2:23">
      <c r="B1021" s="222"/>
      <c r="C1021" s="206" t="s">
        <v>2545</v>
      </c>
      <c r="D1021" s="200" t="s">
        <v>715</v>
      </c>
      <c r="E1021" s="201" t="s">
        <v>371</v>
      </c>
      <c r="F1021" s="360">
        <v>300</v>
      </c>
      <c r="G1021" s="203">
        <f>+SUMIF('AUX-NIV1'!I:I,Recursos!C1021,'AUX-NIV1'!Q:Q)+SUMIF('AUX-NIV2'!I:I,Recursos!C1021,'AUX-NIV2'!Q:Q)+SUMIF('AUX-NIV3'!I:I,Recursos!C1021,'AUX-NIV3'!Q:Q)</f>
        <v>0</v>
      </c>
      <c r="H1021" s="204">
        <f t="shared" si="111"/>
        <v>0</v>
      </c>
      <c r="I1021" s="366">
        <f t="shared" si="112"/>
        <v>0</v>
      </c>
      <c r="J1021" s="474"/>
      <c r="L1021" s="83"/>
      <c r="M1021" s="83"/>
      <c r="N1021" s="83"/>
      <c r="O1021" s="83"/>
      <c r="P1021" s="83"/>
      <c r="Q1021" s="83"/>
      <c r="R1021" s="83"/>
      <c r="S1021" s="83"/>
      <c r="T1021" s="83"/>
      <c r="U1021" s="83"/>
      <c r="V1021" s="83"/>
      <c r="W1021" s="83"/>
    </row>
    <row r="1022" spans="2:23">
      <c r="B1022" s="222"/>
      <c r="C1022" s="199" t="s">
        <v>720</v>
      </c>
      <c r="D1022" s="200" t="s">
        <v>721</v>
      </c>
      <c r="E1022" s="201" t="s">
        <v>371</v>
      </c>
      <c r="F1022" s="360">
        <v>10000</v>
      </c>
      <c r="G1022" s="203">
        <f>+SUMIF('AUX-NIV1'!I:I,Recursos!C1022,'AUX-NIV1'!Q:Q)+SUMIF('AUX-NIV2'!I:I,Recursos!C1022,'AUX-NIV2'!Q:Q)+SUMIF('AUX-NIV3'!I:I,Recursos!C1022,'AUX-NIV3'!Q:Q)</f>
        <v>0</v>
      </c>
      <c r="H1022" s="204">
        <f t="shared" si="111"/>
        <v>0</v>
      </c>
      <c r="I1022" s="366">
        <f t="shared" si="112"/>
        <v>0</v>
      </c>
      <c r="J1022" s="205"/>
      <c r="L1022" s="83"/>
      <c r="M1022" s="83"/>
      <c r="N1022" s="83"/>
      <c r="O1022" s="83"/>
      <c r="P1022" s="83"/>
      <c r="Q1022" s="83"/>
      <c r="R1022" s="83"/>
      <c r="S1022" s="83"/>
      <c r="T1022" s="83"/>
      <c r="U1022" s="83"/>
      <c r="V1022" s="83"/>
      <c r="W1022" s="83"/>
    </row>
    <row r="1023" spans="2:23">
      <c r="B1023" s="222"/>
      <c r="C1023" s="206" t="s">
        <v>2548</v>
      </c>
      <c r="D1023" s="200" t="s">
        <v>721</v>
      </c>
      <c r="E1023" s="201" t="s">
        <v>371</v>
      </c>
      <c r="F1023" s="360">
        <v>200</v>
      </c>
      <c r="G1023" s="203">
        <f>+SUMIF('AUX-NIV1'!I:I,Recursos!C1023,'AUX-NIV1'!Q:Q)+SUMIF('AUX-NIV2'!I:I,Recursos!C1023,'AUX-NIV2'!Q:Q)+SUMIF('AUX-NIV3'!I:I,Recursos!C1023,'AUX-NIV3'!Q:Q)</f>
        <v>0</v>
      </c>
      <c r="H1023" s="204">
        <f t="shared" si="111"/>
        <v>0</v>
      </c>
      <c r="I1023" s="366">
        <f t="shared" si="112"/>
        <v>0</v>
      </c>
      <c r="J1023" s="474"/>
      <c r="L1023" s="83"/>
      <c r="M1023" s="83"/>
      <c r="N1023" s="83"/>
      <c r="O1023" s="83"/>
      <c r="P1023" s="83"/>
      <c r="Q1023" s="83"/>
      <c r="R1023" s="83"/>
      <c r="S1023" s="83"/>
      <c r="T1023" s="83"/>
      <c r="U1023" s="83"/>
      <c r="V1023" s="83"/>
      <c r="W1023" s="83"/>
    </row>
    <row r="1024" spans="2:23">
      <c r="B1024" s="222"/>
      <c r="C1024" s="199" t="s">
        <v>722</v>
      </c>
      <c r="D1024" s="200" t="s">
        <v>723</v>
      </c>
      <c r="E1024" s="201" t="s">
        <v>371</v>
      </c>
      <c r="F1024" s="360">
        <v>10000</v>
      </c>
      <c r="G1024" s="203">
        <f>+SUMIF('AUX-NIV1'!I:I,Recursos!C1024,'AUX-NIV1'!Q:Q)+SUMIF('AUX-NIV2'!I:I,Recursos!C1024,'AUX-NIV2'!Q:Q)+SUMIF('AUX-NIV3'!I:I,Recursos!C1024,'AUX-NIV3'!Q:Q)</f>
        <v>0</v>
      </c>
      <c r="H1024" s="204">
        <f t="shared" si="111"/>
        <v>0</v>
      </c>
      <c r="I1024" s="366">
        <f t="shared" si="112"/>
        <v>0</v>
      </c>
      <c r="J1024" s="205"/>
      <c r="L1024" s="83"/>
      <c r="M1024" s="83"/>
      <c r="N1024" s="83"/>
      <c r="O1024" s="83"/>
      <c r="P1024" s="83"/>
      <c r="Q1024" s="83"/>
      <c r="R1024" s="83"/>
      <c r="S1024" s="83"/>
      <c r="T1024" s="83"/>
      <c r="U1024" s="83"/>
      <c r="V1024" s="83"/>
      <c r="W1024" s="83"/>
    </row>
    <row r="1025" spans="2:23">
      <c r="B1025" s="222"/>
      <c r="C1025" s="206" t="s">
        <v>2540</v>
      </c>
      <c r="D1025" s="200" t="s">
        <v>723</v>
      </c>
      <c r="E1025" s="201" t="s">
        <v>371</v>
      </c>
      <c r="F1025" s="360">
        <v>10000</v>
      </c>
      <c r="G1025" s="203">
        <f>+SUMIF('AUX-NIV1'!I:I,Recursos!C1025,'AUX-NIV1'!Q:Q)+SUMIF('AUX-NIV2'!I:I,Recursos!C1025,'AUX-NIV2'!Q:Q)+SUMIF('AUX-NIV3'!I:I,Recursos!C1025,'AUX-NIV3'!Q:Q)</f>
        <v>0</v>
      </c>
      <c r="H1025" s="204">
        <f t="shared" si="111"/>
        <v>0</v>
      </c>
      <c r="I1025" s="366">
        <f t="shared" si="112"/>
        <v>0</v>
      </c>
      <c r="J1025" s="474"/>
      <c r="L1025" s="83"/>
      <c r="M1025" s="83"/>
      <c r="N1025" s="83"/>
      <c r="O1025" s="83"/>
      <c r="P1025" s="83"/>
      <c r="Q1025" s="83"/>
      <c r="R1025" s="83"/>
      <c r="S1025" s="83"/>
      <c r="T1025" s="83"/>
      <c r="U1025" s="83"/>
      <c r="V1025" s="83"/>
      <c r="W1025" s="83"/>
    </row>
    <row r="1026" spans="2:23">
      <c r="B1026" s="222"/>
      <c r="C1026" s="199" t="s">
        <v>716</v>
      </c>
      <c r="D1026" s="200" t="s">
        <v>717</v>
      </c>
      <c r="E1026" s="201" t="s">
        <v>371</v>
      </c>
      <c r="F1026" s="360">
        <v>10000</v>
      </c>
      <c r="G1026" s="203">
        <f>+SUMIF('AUX-NIV1'!I:I,Recursos!C1026,'AUX-NIV1'!Q:Q)+SUMIF('AUX-NIV2'!I:I,Recursos!C1026,'AUX-NIV2'!Q:Q)+SUMIF('AUX-NIV3'!I:I,Recursos!C1026,'AUX-NIV3'!Q:Q)</f>
        <v>0</v>
      </c>
      <c r="H1026" s="204">
        <f t="shared" si="111"/>
        <v>0</v>
      </c>
      <c r="I1026" s="366">
        <f t="shared" si="112"/>
        <v>0</v>
      </c>
      <c r="J1026" s="205"/>
      <c r="L1026" s="83"/>
      <c r="M1026" s="83"/>
      <c r="N1026" s="83"/>
      <c r="O1026" s="83"/>
      <c r="P1026" s="83"/>
      <c r="Q1026" s="83"/>
      <c r="R1026" s="83"/>
      <c r="S1026" s="83"/>
      <c r="T1026" s="83"/>
      <c r="U1026" s="83"/>
      <c r="V1026" s="83"/>
      <c r="W1026" s="83"/>
    </row>
    <row r="1027" spans="2:23">
      <c r="B1027" s="222"/>
      <c r="C1027" s="206" t="s">
        <v>2546</v>
      </c>
      <c r="D1027" s="200" t="s">
        <v>717</v>
      </c>
      <c r="E1027" s="201" t="s">
        <v>371</v>
      </c>
      <c r="F1027" s="360">
        <v>25000</v>
      </c>
      <c r="G1027" s="203">
        <f>+SUMIF('AUX-NIV1'!I:I,Recursos!C1027,'AUX-NIV1'!Q:Q)+SUMIF('AUX-NIV2'!I:I,Recursos!C1027,'AUX-NIV2'!Q:Q)+SUMIF('AUX-NIV3'!I:I,Recursos!C1027,'AUX-NIV3'!Q:Q)</f>
        <v>0</v>
      </c>
      <c r="H1027" s="204">
        <f t="shared" si="111"/>
        <v>0</v>
      </c>
      <c r="I1027" s="366">
        <f t="shared" si="112"/>
        <v>0</v>
      </c>
      <c r="J1027" s="474"/>
      <c r="L1027" s="83"/>
      <c r="M1027" s="83"/>
      <c r="N1027" s="83"/>
      <c r="O1027" s="83"/>
      <c r="P1027" s="83"/>
      <c r="Q1027" s="83"/>
      <c r="R1027" s="83"/>
      <c r="S1027" s="83"/>
      <c r="T1027" s="83"/>
      <c r="U1027" s="83"/>
      <c r="V1027" s="83"/>
      <c r="W1027" s="83"/>
    </row>
    <row r="1028" spans="2:23">
      <c r="B1028" s="222"/>
      <c r="C1028" s="199" t="s">
        <v>712</v>
      </c>
      <c r="D1028" s="200" t="s">
        <v>713</v>
      </c>
      <c r="E1028" s="201" t="s">
        <v>371</v>
      </c>
      <c r="F1028" s="360">
        <v>100000</v>
      </c>
      <c r="G1028" s="203">
        <f>+SUMIF('AUX-NIV1'!I:I,Recursos!C1028,'AUX-NIV1'!Q:Q)+SUMIF('AUX-NIV2'!I:I,Recursos!C1028,'AUX-NIV2'!Q:Q)+SUMIF('AUX-NIV3'!I:I,Recursos!C1028,'AUX-NIV3'!Q:Q)</f>
        <v>0</v>
      </c>
      <c r="H1028" s="204">
        <f t="shared" si="111"/>
        <v>0</v>
      </c>
      <c r="I1028" s="366">
        <f t="shared" si="112"/>
        <v>0</v>
      </c>
      <c r="J1028" s="205"/>
      <c r="L1028" s="83"/>
      <c r="M1028" s="83"/>
      <c r="N1028" s="83"/>
      <c r="O1028" s="83"/>
      <c r="P1028" s="83"/>
      <c r="Q1028" s="83"/>
      <c r="R1028" s="83"/>
      <c r="S1028" s="83"/>
      <c r="T1028" s="83"/>
      <c r="U1028" s="83"/>
      <c r="V1028" s="83"/>
      <c r="W1028" s="83"/>
    </row>
    <row r="1029" spans="2:23">
      <c r="B1029" s="222"/>
      <c r="C1029" s="206" t="s">
        <v>2544</v>
      </c>
      <c r="D1029" s="200" t="s">
        <v>713</v>
      </c>
      <c r="E1029" s="201" t="s">
        <v>371</v>
      </c>
      <c r="F1029" s="360">
        <v>10000</v>
      </c>
      <c r="G1029" s="203">
        <f>+SUMIF('AUX-NIV1'!I:I,Recursos!C1029,'AUX-NIV1'!Q:Q)+SUMIF('AUX-NIV2'!I:I,Recursos!C1029,'AUX-NIV2'!Q:Q)+SUMIF('AUX-NIV3'!I:I,Recursos!C1029,'AUX-NIV3'!Q:Q)</f>
        <v>0</v>
      </c>
      <c r="H1029" s="204">
        <f t="shared" si="111"/>
        <v>0</v>
      </c>
      <c r="I1029" s="366">
        <f t="shared" si="112"/>
        <v>0</v>
      </c>
      <c r="J1029" s="474"/>
      <c r="L1029" s="83"/>
      <c r="M1029" s="83"/>
      <c r="N1029" s="83"/>
      <c r="O1029" s="83"/>
      <c r="P1029" s="83"/>
      <c r="Q1029" s="83"/>
      <c r="R1029" s="83"/>
      <c r="S1029" s="83"/>
      <c r="T1029" s="83"/>
      <c r="U1029" s="83"/>
      <c r="V1029" s="83"/>
      <c r="W1029" s="83"/>
    </row>
    <row r="1030" spans="2:23">
      <c r="B1030" s="222"/>
      <c r="C1030" s="199" t="s">
        <v>688</v>
      </c>
      <c r="D1030" s="200" t="s">
        <v>689</v>
      </c>
      <c r="E1030" s="201" t="s">
        <v>444</v>
      </c>
      <c r="F1030" s="360">
        <v>8</v>
      </c>
      <c r="G1030" s="203">
        <f>+SUMIF('AUX-NIV1'!I:I,Recursos!C1030,'AUX-NIV1'!Q:Q)+SUMIF('AUX-NIV2'!I:I,Recursos!C1030,'AUX-NIV2'!Q:Q)+SUMIF('AUX-NIV3'!I:I,Recursos!C1030,'AUX-NIV3'!Q:Q)</f>
        <v>0</v>
      </c>
      <c r="H1030" s="204">
        <f t="shared" si="111"/>
        <v>0</v>
      </c>
      <c r="I1030" s="366">
        <f t="shared" si="112"/>
        <v>0</v>
      </c>
      <c r="J1030" s="205"/>
      <c r="L1030" s="83"/>
      <c r="M1030" s="83"/>
      <c r="N1030" s="83"/>
      <c r="O1030" s="83"/>
      <c r="P1030" s="83"/>
      <c r="Q1030" s="83"/>
      <c r="R1030" s="83"/>
      <c r="S1030" s="83"/>
      <c r="T1030" s="83"/>
      <c r="U1030" s="83"/>
      <c r="V1030" s="83"/>
      <c r="W1030" s="83"/>
    </row>
    <row r="1031" spans="2:23">
      <c r="B1031" s="222"/>
      <c r="C1031" s="206" t="s">
        <v>2549</v>
      </c>
      <c r="D1031" s="200" t="s">
        <v>689</v>
      </c>
      <c r="E1031" s="201" t="s">
        <v>444</v>
      </c>
      <c r="F1031" s="360">
        <v>8</v>
      </c>
      <c r="G1031" s="203">
        <f>+SUMIF('AUX-NIV1'!I:I,Recursos!C1031,'AUX-NIV1'!Q:Q)+SUMIF('AUX-NIV2'!I:I,Recursos!C1031,'AUX-NIV2'!Q:Q)+SUMIF('AUX-NIV3'!I:I,Recursos!C1031,'AUX-NIV3'!Q:Q)</f>
        <v>0</v>
      </c>
      <c r="H1031" s="204">
        <f t="shared" si="111"/>
        <v>0</v>
      </c>
      <c r="I1031" s="366">
        <f t="shared" si="112"/>
        <v>0</v>
      </c>
      <c r="J1031" s="474"/>
      <c r="L1031" s="83"/>
      <c r="M1031" s="83"/>
      <c r="N1031" s="83"/>
      <c r="O1031" s="83"/>
      <c r="P1031" s="83"/>
      <c r="Q1031" s="83"/>
      <c r="R1031" s="83"/>
      <c r="S1031" s="83"/>
      <c r="T1031" s="83"/>
      <c r="U1031" s="83"/>
      <c r="V1031" s="83"/>
      <c r="W1031" s="83"/>
    </row>
    <row r="1032" spans="2:23">
      <c r="B1032" s="222"/>
      <c r="C1032" s="199" t="s">
        <v>686</v>
      </c>
      <c r="D1032" s="200" t="s">
        <v>687</v>
      </c>
      <c r="E1032" s="201" t="s">
        <v>623</v>
      </c>
      <c r="F1032" s="360">
        <v>15000</v>
      </c>
      <c r="G1032" s="203">
        <f>+SUMIF('AUX-NIV1'!I:I,Recursos!C1032,'AUX-NIV1'!Q:Q)+SUMIF('AUX-NIV2'!I:I,Recursos!C1032,'AUX-NIV2'!Q:Q)+SUMIF('AUX-NIV3'!I:I,Recursos!C1032,'AUX-NIV3'!Q:Q)</f>
        <v>0</v>
      </c>
      <c r="H1032" s="204">
        <f t="shared" si="111"/>
        <v>0</v>
      </c>
      <c r="I1032" s="366">
        <f t="shared" si="112"/>
        <v>0</v>
      </c>
      <c r="J1032" s="205"/>
      <c r="L1032" s="83"/>
      <c r="M1032" s="83"/>
      <c r="N1032" s="83"/>
      <c r="O1032" s="83"/>
      <c r="P1032" s="83"/>
      <c r="Q1032" s="83"/>
      <c r="R1032" s="83"/>
      <c r="S1032" s="83"/>
      <c r="T1032" s="83"/>
      <c r="U1032" s="83"/>
      <c r="V1032" s="83"/>
      <c r="W1032" s="83"/>
    </row>
    <row r="1033" spans="2:23">
      <c r="B1033" s="222"/>
      <c r="C1033" s="206" t="s">
        <v>2537</v>
      </c>
      <c r="D1033" s="200" t="s">
        <v>687</v>
      </c>
      <c r="E1033" s="201" t="s">
        <v>623</v>
      </c>
      <c r="F1033" s="360">
        <v>15000</v>
      </c>
      <c r="G1033" s="203">
        <f>+SUMIF('AUX-NIV1'!I:I,Recursos!C1033,'AUX-NIV1'!Q:Q)+SUMIF('AUX-NIV2'!I:I,Recursos!C1033,'AUX-NIV2'!Q:Q)+SUMIF('AUX-NIV3'!I:I,Recursos!C1033,'AUX-NIV3'!Q:Q)</f>
        <v>0</v>
      </c>
      <c r="H1033" s="204">
        <f t="shared" si="111"/>
        <v>0</v>
      </c>
      <c r="I1033" s="366">
        <f t="shared" si="112"/>
        <v>0</v>
      </c>
      <c r="J1033" s="474"/>
      <c r="L1033" s="83"/>
      <c r="M1033" s="83"/>
      <c r="N1033" s="83"/>
      <c r="O1033" s="83"/>
      <c r="P1033" s="83"/>
      <c r="Q1033" s="83"/>
      <c r="R1033" s="83"/>
      <c r="S1033" s="83"/>
      <c r="T1033" s="83"/>
      <c r="U1033" s="83"/>
      <c r="V1033" s="83"/>
      <c r="W1033" s="83"/>
    </row>
    <row r="1034" spans="2:23">
      <c r="B1034" s="222"/>
      <c r="C1034" s="199" t="s">
        <v>644</v>
      </c>
      <c r="D1034" s="200" t="s">
        <v>645</v>
      </c>
      <c r="E1034" s="201" t="s">
        <v>623</v>
      </c>
      <c r="F1034" s="360">
        <v>50000</v>
      </c>
      <c r="G1034" s="203">
        <f>+SUMIF('AUX-NIV1'!I:I,Recursos!C1034,'AUX-NIV1'!Q:Q)+SUMIF('AUX-NIV2'!I:I,Recursos!C1034,'AUX-NIV2'!Q:Q)+SUMIF('AUX-NIV3'!I:I,Recursos!C1034,'AUX-NIV3'!Q:Q)</f>
        <v>0</v>
      </c>
      <c r="H1034" s="204">
        <f t="shared" si="111"/>
        <v>0</v>
      </c>
      <c r="I1034" s="366">
        <f t="shared" si="112"/>
        <v>0</v>
      </c>
      <c r="J1034" s="205"/>
      <c r="L1034" s="83"/>
      <c r="M1034" s="83"/>
      <c r="N1034" s="83"/>
      <c r="O1034" s="83"/>
      <c r="P1034" s="83"/>
      <c r="Q1034" s="83"/>
      <c r="R1034" s="83"/>
      <c r="S1034" s="83"/>
      <c r="T1034" s="83"/>
      <c r="U1034" s="83"/>
      <c r="V1034" s="83"/>
      <c r="W1034" s="83"/>
    </row>
    <row r="1035" spans="2:23">
      <c r="B1035" s="222"/>
      <c r="C1035" s="206" t="s">
        <v>2652</v>
      </c>
      <c r="D1035" s="200" t="s">
        <v>645</v>
      </c>
      <c r="E1035" s="201" t="s">
        <v>623</v>
      </c>
      <c r="F1035" s="360">
        <v>35000</v>
      </c>
      <c r="G1035" s="203">
        <f>+SUMIF('AUX-NIV1'!I:I,Recursos!C1035,'AUX-NIV1'!Q:Q)+SUMIF('AUX-NIV2'!I:I,Recursos!C1035,'AUX-NIV2'!Q:Q)+SUMIF('AUX-NIV3'!I:I,Recursos!C1035,'AUX-NIV3'!Q:Q)</f>
        <v>0</v>
      </c>
      <c r="H1035" s="204">
        <f t="shared" si="111"/>
        <v>0</v>
      </c>
      <c r="I1035" s="366">
        <f t="shared" si="112"/>
        <v>0</v>
      </c>
      <c r="J1035" s="474"/>
      <c r="L1035" s="83"/>
      <c r="M1035" s="83"/>
      <c r="N1035" s="83"/>
      <c r="O1035" s="83"/>
      <c r="P1035" s="83"/>
      <c r="Q1035" s="83"/>
      <c r="R1035" s="83"/>
      <c r="S1035" s="83"/>
      <c r="T1035" s="83"/>
      <c r="U1035" s="83"/>
      <c r="V1035" s="83"/>
      <c r="W1035" s="83"/>
    </row>
    <row r="1036" spans="2:23">
      <c r="B1036" s="222"/>
      <c r="C1036" s="199" t="s">
        <v>1119</v>
      </c>
      <c r="D1036" s="200" t="s">
        <v>1117</v>
      </c>
      <c r="E1036" s="201" t="s">
        <v>501</v>
      </c>
      <c r="F1036" s="360">
        <v>240</v>
      </c>
      <c r="G1036" s="203">
        <f>+SUMIF('AUX-NIV1'!I:I,Recursos!C1036,'AUX-NIV1'!Q:Q)+SUMIF('AUX-NIV2'!I:I,Recursos!C1036,'AUX-NIV2'!Q:Q)+SUMIF('AUX-NIV3'!I:I,Recursos!C1036,'AUX-NIV3'!Q:Q)</f>
        <v>0</v>
      </c>
      <c r="H1036" s="204">
        <f t="shared" si="111"/>
        <v>0</v>
      </c>
      <c r="I1036" s="366">
        <f t="shared" si="112"/>
        <v>0</v>
      </c>
      <c r="J1036" s="205"/>
      <c r="L1036" s="83"/>
      <c r="M1036" s="83"/>
      <c r="N1036" s="83"/>
      <c r="O1036" s="83"/>
      <c r="P1036" s="83"/>
      <c r="Q1036" s="83"/>
      <c r="R1036" s="83"/>
      <c r="S1036" s="83"/>
      <c r="T1036" s="83"/>
      <c r="U1036" s="83"/>
      <c r="V1036" s="83"/>
      <c r="W1036" s="83"/>
    </row>
    <row r="1037" spans="2:23">
      <c r="B1037" s="222"/>
      <c r="C1037" s="206" t="s">
        <v>2601</v>
      </c>
      <c r="D1037" s="200" t="s">
        <v>1117</v>
      </c>
      <c r="E1037" s="201" t="s">
        <v>501</v>
      </c>
      <c r="F1037" s="360">
        <v>240</v>
      </c>
      <c r="G1037" s="203">
        <f>+SUMIF('AUX-NIV1'!I:I,Recursos!C1037,'AUX-NIV1'!Q:Q)+SUMIF('AUX-NIV2'!I:I,Recursos!C1037,'AUX-NIV2'!Q:Q)+SUMIF('AUX-NIV3'!I:I,Recursos!C1037,'AUX-NIV3'!Q:Q)</f>
        <v>0</v>
      </c>
      <c r="H1037" s="204">
        <f t="shared" si="111"/>
        <v>0</v>
      </c>
      <c r="I1037" s="366">
        <f t="shared" si="112"/>
        <v>0</v>
      </c>
      <c r="J1037" s="474"/>
      <c r="L1037" s="83"/>
      <c r="M1037" s="83"/>
      <c r="N1037" s="83"/>
      <c r="O1037" s="83"/>
      <c r="P1037" s="83"/>
      <c r="Q1037" s="83"/>
      <c r="R1037" s="83"/>
      <c r="S1037" s="83"/>
      <c r="T1037" s="83"/>
      <c r="U1037" s="83"/>
      <c r="V1037" s="83"/>
      <c r="W1037" s="83"/>
    </row>
    <row r="1038" spans="2:23">
      <c r="B1038" s="222"/>
      <c r="C1038" s="199" t="s">
        <v>638</v>
      </c>
      <c r="D1038" s="200" t="s">
        <v>639</v>
      </c>
      <c r="E1038" s="201" t="s">
        <v>447</v>
      </c>
      <c r="F1038" s="360">
        <v>380</v>
      </c>
      <c r="G1038" s="203">
        <f>+SUMIF('AUX-NIV1'!I:I,Recursos!C1038,'AUX-NIV1'!Q:Q)+SUMIF('AUX-NIV2'!I:I,Recursos!C1038,'AUX-NIV2'!Q:Q)+SUMIF('AUX-NIV3'!I:I,Recursos!C1038,'AUX-NIV3'!Q:Q)</f>
        <v>0</v>
      </c>
      <c r="H1038" s="204">
        <f t="shared" si="111"/>
        <v>0</v>
      </c>
      <c r="I1038" s="366">
        <f t="shared" si="112"/>
        <v>0</v>
      </c>
      <c r="J1038" s="205"/>
      <c r="L1038" s="83"/>
      <c r="M1038" s="83"/>
      <c r="N1038" s="83"/>
      <c r="O1038" s="83"/>
      <c r="P1038" s="83"/>
      <c r="Q1038" s="83"/>
      <c r="R1038" s="83"/>
      <c r="S1038" s="83"/>
      <c r="T1038" s="83"/>
      <c r="U1038" s="83"/>
      <c r="V1038" s="83"/>
      <c r="W1038" s="83"/>
    </row>
    <row r="1039" spans="2:23">
      <c r="B1039" s="222"/>
      <c r="C1039" s="206" t="s">
        <v>2550</v>
      </c>
      <c r="D1039" s="200" t="s">
        <v>639</v>
      </c>
      <c r="E1039" s="201" t="s">
        <v>447</v>
      </c>
      <c r="F1039" s="360">
        <v>380</v>
      </c>
      <c r="G1039" s="203">
        <f>+SUMIF('AUX-NIV1'!I:I,Recursos!C1039,'AUX-NIV1'!Q:Q)+SUMIF('AUX-NIV2'!I:I,Recursos!C1039,'AUX-NIV2'!Q:Q)+SUMIF('AUX-NIV3'!I:I,Recursos!C1039,'AUX-NIV3'!Q:Q)</f>
        <v>0</v>
      </c>
      <c r="H1039" s="204">
        <f t="shared" si="111"/>
        <v>0</v>
      </c>
      <c r="I1039" s="366">
        <f t="shared" si="112"/>
        <v>0</v>
      </c>
      <c r="J1039" s="474"/>
      <c r="L1039" s="83"/>
      <c r="M1039" s="83"/>
      <c r="N1039" s="83"/>
      <c r="O1039" s="83"/>
      <c r="P1039" s="83"/>
      <c r="Q1039" s="83"/>
      <c r="R1039" s="83"/>
      <c r="S1039" s="83"/>
      <c r="T1039" s="83"/>
      <c r="U1039" s="83"/>
      <c r="V1039" s="83"/>
      <c r="W1039" s="83"/>
    </row>
    <row r="1040" spans="2:23">
      <c r="B1040" s="222"/>
      <c r="C1040" s="199" t="s">
        <v>658</v>
      </c>
      <c r="D1040" s="200" t="s">
        <v>659</v>
      </c>
      <c r="E1040" s="201" t="s">
        <v>447</v>
      </c>
      <c r="F1040" s="360">
        <v>380</v>
      </c>
      <c r="G1040" s="203">
        <f>+SUMIF('AUX-NIV1'!I:I,Recursos!C1040,'AUX-NIV1'!Q:Q)+SUMIF('AUX-NIV2'!I:I,Recursos!C1040,'AUX-NIV2'!Q:Q)+SUMIF('AUX-NIV3'!I:I,Recursos!C1040,'AUX-NIV3'!Q:Q)</f>
        <v>0</v>
      </c>
      <c r="H1040" s="204">
        <f t="shared" si="111"/>
        <v>0</v>
      </c>
      <c r="I1040" s="366">
        <f t="shared" si="112"/>
        <v>0</v>
      </c>
      <c r="J1040" s="205"/>
      <c r="L1040" s="83"/>
      <c r="M1040" s="83"/>
      <c r="N1040" s="83"/>
      <c r="O1040" s="83"/>
      <c r="P1040" s="83"/>
      <c r="Q1040" s="83"/>
      <c r="R1040" s="83"/>
      <c r="S1040" s="83"/>
      <c r="T1040" s="83"/>
      <c r="U1040" s="83"/>
      <c r="V1040" s="83"/>
      <c r="W1040" s="83"/>
    </row>
    <row r="1041" spans="2:23">
      <c r="B1041" s="222"/>
      <c r="C1041" s="206" t="s">
        <v>2609</v>
      </c>
      <c r="D1041" s="200" t="s">
        <v>659</v>
      </c>
      <c r="E1041" s="201" t="s">
        <v>447</v>
      </c>
      <c r="F1041" s="360">
        <v>380</v>
      </c>
      <c r="G1041" s="203">
        <f>+SUMIF('AUX-NIV1'!I:I,Recursos!C1041,'AUX-NIV1'!Q:Q)+SUMIF('AUX-NIV2'!I:I,Recursos!C1041,'AUX-NIV2'!Q:Q)+SUMIF('AUX-NIV3'!I:I,Recursos!C1041,'AUX-NIV3'!Q:Q)</f>
        <v>0</v>
      </c>
      <c r="H1041" s="204">
        <f t="shared" si="111"/>
        <v>0</v>
      </c>
      <c r="I1041" s="366">
        <f t="shared" si="112"/>
        <v>0</v>
      </c>
      <c r="J1041" s="474"/>
      <c r="L1041" s="83"/>
      <c r="M1041" s="83"/>
      <c r="N1041" s="83"/>
      <c r="O1041" s="83"/>
      <c r="P1041" s="83"/>
      <c r="Q1041" s="83"/>
      <c r="R1041" s="83"/>
      <c r="S1041" s="83"/>
      <c r="T1041" s="83"/>
      <c r="U1041" s="83"/>
      <c r="V1041" s="83"/>
      <c r="W1041" s="83"/>
    </row>
    <row r="1042" spans="2:23">
      <c r="B1042" s="222"/>
      <c r="C1042" s="199" t="s">
        <v>660</v>
      </c>
      <c r="D1042" s="200" t="s">
        <v>661</v>
      </c>
      <c r="E1042" s="201" t="s">
        <v>447</v>
      </c>
      <c r="F1042" s="360">
        <v>380</v>
      </c>
      <c r="G1042" s="203">
        <f>+SUMIF('AUX-NIV1'!I:I,Recursos!C1042,'AUX-NIV1'!Q:Q)+SUMIF('AUX-NIV2'!I:I,Recursos!C1042,'AUX-NIV2'!Q:Q)+SUMIF('AUX-NIV3'!I:I,Recursos!C1042,'AUX-NIV3'!Q:Q)</f>
        <v>0</v>
      </c>
      <c r="H1042" s="204">
        <f t="shared" si="111"/>
        <v>0</v>
      </c>
      <c r="I1042" s="366">
        <f t="shared" si="112"/>
        <v>0</v>
      </c>
      <c r="J1042" s="205"/>
      <c r="L1042" s="83"/>
      <c r="M1042" s="83"/>
      <c r="N1042" s="83"/>
      <c r="O1042" s="83"/>
      <c r="P1042" s="83"/>
      <c r="Q1042" s="83"/>
      <c r="R1042" s="83"/>
      <c r="S1042" s="83"/>
      <c r="T1042" s="83"/>
      <c r="U1042" s="83"/>
      <c r="V1042" s="83"/>
      <c r="W1042" s="83"/>
    </row>
    <row r="1043" spans="2:23">
      <c r="B1043" s="222"/>
      <c r="C1043" s="206" t="s">
        <v>2610</v>
      </c>
      <c r="D1043" s="200" t="s">
        <v>661</v>
      </c>
      <c r="E1043" s="201" t="s">
        <v>447</v>
      </c>
      <c r="F1043" s="360">
        <v>380</v>
      </c>
      <c r="G1043" s="203">
        <f>+SUMIF('AUX-NIV1'!I:I,Recursos!C1043,'AUX-NIV1'!Q:Q)+SUMIF('AUX-NIV2'!I:I,Recursos!C1043,'AUX-NIV2'!Q:Q)+SUMIF('AUX-NIV3'!I:I,Recursos!C1043,'AUX-NIV3'!Q:Q)</f>
        <v>0</v>
      </c>
      <c r="H1043" s="204">
        <f t="shared" si="111"/>
        <v>0</v>
      </c>
      <c r="I1043" s="366">
        <f t="shared" si="112"/>
        <v>0</v>
      </c>
      <c r="J1043" s="474"/>
      <c r="L1043" s="83"/>
      <c r="M1043" s="83"/>
      <c r="N1043" s="83"/>
      <c r="O1043" s="83"/>
      <c r="P1043" s="83"/>
      <c r="Q1043" s="83"/>
      <c r="R1043" s="83"/>
      <c r="S1043" s="83"/>
      <c r="T1043" s="83"/>
      <c r="U1043" s="83"/>
      <c r="V1043" s="83"/>
      <c r="W1043" s="83"/>
    </row>
    <row r="1044" spans="2:23">
      <c r="B1044" s="222"/>
      <c r="C1044" s="199" t="s">
        <v>662</v>
      </c>
      <c r="D1044" s="200" t="s">
        <v>663</v>
      </c>
      <c r="E1044" s="201" t="s">
        <v>447</v>
      </c>
      <c r="F1044" s="360">
        <v>380</v>
      </c>
      <c r="G1044" s="203">
        <f>+SUMIF('AUX-NIV1'!I:I,Recursos!C1044,'AUX-NIV1'!Q:Q)+SUMIF('AUX-NIV2'!I:I,Recursos!C1044,'AUX-NIV2'!Q:Q)+SUMIF('AUX-NIV3'!I:I,Recursos!C1044,'AUX-NIV3'!Q:Q)</f>
        <v>0</v>
      </c>
      <c r="H1044" s="204">
        <f t="shared" si="111"/>
        <v>0</v>
      </c>
      <c r="I1044" s="366">
        <f t="shared" si="112"/>
        <v>0</v>
      </c>
      <c r="J1044" s="205"/>
      <c r="L1044" s="83"/>
      <c r="M1044" s="83"/>
      <c r="N1044" s="83"/>
      <c r="O1044" s="83"/>
      <c r="P1044" s="83"/>
      <c r="Q1044" s="83"/>
      <c r="R1044" s="83"/>
      <c r="S1044" s="83"/>
      <c r="T1044" s="83"/>
      <c r="U1044" s="83"/>
      <c r="V1044" s="83"/>
      <c r="W1044" s="83"/>
    </row>
    <row r="1045" spans="2:23">
      <c r="B1045" s="222"/>
      <c r="C1045" s="206" t="s">
        <v>2611</v>
      </c>
      <c r="D1045" s="200" t="s">
        <v>663</v>
      </c>
      <c r="E1045" s="201" t="s">
        <v>447</v>
      </c>
      <c r="F1045" s="360">
        <v>380</v>
      </c>
      <c r="G1045" s="203">
        <f>+SUMIF('AUX-NIV1'!I:I,Recursos!C1045,'AUX-NIV1'!Q:Q)+SUMIF('AUX-NIV2'!I:I,Recursos!C1045,'AUX-NIV2'!Q:Q)+SUMIF('AUX-NIV3'!I:I,Recursos!C1045,'AUX-NIV3'!Q:Q)</f>
        <v>0</v>
      </c>
      <c r="H1045" s="204">
        <f t="shared" si="111"/>
        <v>0</v>
      </c>
      <c r="I1045" s="366">
        <f t="shared" si="112"/>
        <v>0</v>
      </c>
      <c r="J1045" s="474"/>
      <c r="L1045" s="83"/>
      <c r="M1045" s="83"/>
      <c r="N1045" s="83"/>
      <c r="O1045" s="83"/>
      <c r="P1045" s="83"/>
      <c r="Q1045" s="83"/>
      <c r="R1045" s="83"/>
      <c r="S1045" s="83"/>
      <c r="T1045" s="83"/>
      <c r="U1045" s="83"/>
      <c r="V1045" s="83"/>
      <c r="W1045" s="83"/>
    </row>
    <row r="1046" spans="2:23">
      <c r="B1046" s="222"/>
      <c r="C1046" s="199" t="s">
        <v>648</v>
      </c>
      <c r="D1046" s="200" t="s">
        <v>649</v>
      </c>
      <c r="E1046" s="201" t="s">
        <v>447</v>
      </c>
      <c r="F1046" s="360">
        <v>30</v>
      </c>
      <c r="G1046" s="203">
        <f>+SUMIF('AUX-NIV1'!I:I,Recursos!C1046,'AUX-NIV1'!Q:Q)+SUMIF('AUX-NIV2'!I:I,Recursos!C1046,'AUX-NIV2'!Q:Q)+SUMIF('AUX-NIV3'!I:I,Recursos!C1046,'AUX-NIV3'!Q:Q)</f>
        <v>0</v>
      </c>
      <c r="H1046" s="204">
        <f t="shared" si="111"/>
        <v>0</v>
      </c>
      <c r="I1046" s="366">
        <f t="shared" si="112"/>
        <v>0</v>
      </c>
      <c r="J1046" s="205"/>
      <c r="L1046" s="83"/>
      <c r="M1046" s="83"/>
      <c r="N1046" s="83"/>
      <c r="O1046" s="83"/>
      <c r="P1046" s="83"/>
      <c r="Q1046" s="83"/>
      <c r="R1046" s="83"/>
      <c r="S1046" s="83"/>
      <c r="T1046" s="83"/>
      <c r="U1046" s="83"/>
      <c r="V1046" s="83"/>
      <c r="W1046" s="83"/>
    </row>
    <row r="1047" spans="2:23">
      <c r="B1047" s="222"/>
      <c r="C1047" s="206" t="s">
        <v>2634</v>
      </c>
      <c r="D1047" s="200" t="s">
        <v>649</v>
      </c>
      <c r="E1047" s="201" t="s">
        <v>447</v>
      </c>
      <c r="F1047" s="360">
        <v>30</v>
      </c>
      <c r="G1047" s="203">
        <f>+SUMIF('AUX-NIV1'!I:I,Recursos!C1047,'AUX-NIV1'!Q:Q)+SUMIF('AUX-NIV2'!I:I,Recursos!C1047,'AUX-NIV2'!Q:Q)+SUMIF('AUX-NIV3'!I:I,Recursos!C1047,'AUX-NIV3'!Q:Q)</f>
        <v>0</v>
      </c>
      <c r="H1047" s="204">
        <f t="shared" si="111"/>
        <v>0</v>
      </c>
      <c r="I1047" s="366">
        <f t="shared" si="112"/>
        <v>0</v>
      </c>
      <c r="J1047" s="474"/>
      <c r="L1047" s="83"/>
      <c r="M1047" s="83"/>
      <c r="N1047" s="83"/>
      <c r="O1047" s="83"/>
      <c r="P1047" s="83"/>
      <c r="Q1047" s="83"/>
      <c r="R1047" s="83"/>
      <c r="S1047" s="83"/>
      <c r="T1047" s="83"/>
      <c r="U1047" s="83"/>
      <c r="V1047" s="83"/>
      <c r="W1047" s="83"/>
    </row>
    <row r="1048" spans="2:23">
      <c r="B1048" s="222"/>
      <c r="C1048" s="206" t="s">
        <v>2698</v>
      </c>
      <c r="D1048" s="200" t="s">
        <v>2699</v>
      </c>
      <c r="E1048" s="201" t="s">
        <v>1233</v>
      </c>
      <c r="F1048" s="360">
        <v>25000</v>
      </c>
      <c r="G1048" s="203">
        <f>+SUMIF('AUX-NIV1'!I:I,Recursos!C1048,'AUX-NIV1'!Q:Q)+SUMIF('AUX-NIV2'!I:I,Recursos!C1048,'AUX-NIV2'!Q:Q)+SUMIF('AUX-NIV3'!I:I,Recursos!C1048,'AUX-NIV3'!Q:Q)</f>
        <v>0</v>
      </c>
      <c r="H1048" s="204">
        <f t="shared" si="111"/>
        <v>0</v>
      </c>
      <c r="I1048" s="366">
        <f t="shared" si="112"/>
        <v>0</v>
      </c>
      <c r="J1048" s="474"/>
      <c r="L1048" s="83"/>
      <c r="M1048" s="83"/>
      <c r="N1048" s="83"/>
      <c r="O1048" s="83"/>
      <c r="P1048" s="83"/>
      <c r="Q1048" s="83"/>
      <c r="R1048" s="83"/>
      <c r="S1048" s="83"/>
      <c r="T1048" s="83"/>
      <c r="U1048" s="83"/>
      <c r="V1048" s="83"/>
      <c r="W1048" s="83"/>
    </row>
    <row r="1049" spans="2:23">
      <c r="B1049" s="222"/>
      <c r="C1049" s="206" t="s">
        <v>2700</v>
      </c>
      <c r="D1049" s="200" t="s">
        <v>2701</v>
      </c>
      <c r="E1049" s="201" t="s">
        <v>1233</v>
      </c>
      <c r="F1049" s="360">
        <v>18500</v>
      </c>
      <c r="G1049" s="203">
        <f>+SUMIF('AUX-NIV1'!I:I,Recursos!C1049,'AUX-NIV1'!Q:Q)+SUMIF('AUX-NIV2'!I:I,Recursos!C1049,'AUX-NIV2'!Q:Q)+SUMIF('AUX-NIV3'!I:I,Recursos!C1049,'AUX-NIV3'!Q:Q)</f>
        <v>0</v>
      </c>
      <c r="H1049" s="204">
        <f t="shared" si="111"/>
        <v>0</v>
      </c>
      <c r="I1049" s="366">
        <f t="shared" si="112"/>
        <v>0</v>
      </c>
      <c r="J1049" s="474"/>
      <c r="L1049" s="83"/>
      <c r="M1049" s="83"/>
      <c r="N1049" s="83"/>
      <c r="O1049" s="83"/>
      <c r="P1049" s="83"/>
      <c r="Q1049" s="83"/>
      <c r="R1049" s="83"/>
      <c r="S1049" s="83"/>
      <c r="T1049" s="83"/>
      <c r="U1049" s="83"/>
      <c r="V1049" s="83"/>
      <c r="W1049" s="83"/>
    </row>
    <row r="1050" spans="2:23">
      <c r="B1050" s="222"/>
      <c r="C1050" s="199" t="s">
        <v>700</v>
      </c>
      <c r="D1050" s="200" t="s">
        <v>701</v>
      </c>
      <c r="E1050" s="201" t="s">
        <v>586</v>
      </c>
      <c r="F1050" s="360">
        <f>250*usd</f>
        <v>25512.5</v>
      </c>
      <c r="G1050" s="203">
        <f>+SUMIF('AUX-NIV1'!I:I,Recursos!C1050,'AUX-NIV1'!Q:Q)+SUMIF('AUX-NIV2'!I:I,Recursos!C1050,'AUX-NIV2'!Q:Q)+SUMIF('AUX-NIV3'!I:I,Recursos!C1050,'AUX-NIV3'!Q:Q)</f>
        <v>0</v>
      </c>
      <c r="H1050" s="204">
        <f t="shared" si="111"/>
        <v>0</v>
      </c>
      <c r="I1050" s="366">
        <f t="shared" si="112"/>
        <v>0</v>
      </c>
      <c r="J1050" s="205"/>
      <c r="L1050" s="83"/>
      <c r="M1050" s="83"/>
      <c r="N1050" s="83"/>
      <c r="O1050" s="83"/>
      <c r="P1050" s="83"/>
      <c r="Q1050" s="83"/>
      <c r="R1050" s="83"/>
      <c r="S1050" s="83"/>
      <c r="T1050" s="83"/>
      <c r="U1050" s="83"/>
      <c r="V1050" s="83"/>
      <c r="W1050" s="83"/>
    </row>
    <row r="1051" spans="2:23">
      <c r="B1051" s="222"/>
      <c r="C1051" s="206" t="s">
        <v>2551</v>
      </c>
      <c r="D1051" s="200" t="s">
        <v>701</v>
      </c>
      <c r="E1051" s="201" t="s">
        <v>586</v>
      </c>
      <c r="F1051" s="360">
        <v>270</v>
      </c>
      <c r="G1051" s="203">
        <f>+SUMIF('AUX-NIV1'!I:I,Recursos!C1051,'AUX-NIV1'!Q:Q)+SUMIF('AUX-NIV2'!I:I,Recursos!C1051,'AUX-NIV2'!Q:Q)+SUMIF('AUX-NIV3'!I:I,Recursos!C1051,'AUX-NIV3'!Q:Q)</f>
        <v>0</v>
      </c>
      <c r="H1051" s="204">
        <f t="shared" si="111"/>
        <v>0</v>
      </c>
      <c r="I1051" s="366">
        <f t="shared" si="112"/>
        <v>0</v>
      </c>
      <c r="J1051" s="474"/>
      <c r="L1051" s="83"/>
      <c r="M1051" s="83"/>
      <c r="N1051" s="83"/>
      <c r="O1051" s="83"/>
      <c r="P1051" s="83"/>
      <c r="Q1051" s="83"/>
      <c r="R1051" s="83"/>
      <c r="S1051" s="83"/>
      <c r="T1051" s="83"/>
      <c r="U1051" s="83"/>
      <c r="V1051" s="83"/>
      <c r="W1051" s="83"/>
    </row>
    <row r="1052" spans="2:23">
      <c r="B1052" s="222"/>
      <c r="C1052" s="206" t="s">
        <v>2711</v>
      </c>
      <c r="D1052" s="200" t="s">
        <v>1361</v>
      </c>
      <c r="E1052" s="201" t="s">
        <v>1168</v>
      </c>
      <c r="F1052" s="360">
        <v>4250</v>
      </c>
      <c r="G1052" s="203">
        <f>+SUMIF('AUX-NIV1'!I:I,Recursos!C1052,'AUX-NIV1'!Q:Q)+SUMIF('AUX-NIV2'!I:I,Recursos!C1052,'AUX-NIV2'!Q:Q)+SUMIF('AUX-NIV3'!I:I,Recursos!C1052,'AUX-NIV3'!Q:Q)</f>
        <v>0</v>
      </c>
      <c r="H1052" s="204">
        <f t="shared" si="111"/>
        <v>0</v>
      </c>
      <c r="I1052" s="366">
        <f t="shared" si="112"/>
        <v>0</v>
      </c>
      <c r="J1052" s="474"/>
      <c r="L1052" s="83"/>
      <c r="M1052" s="83"/>
      <c r="N1052" s="83"/>
      <c r="O1052" s="83"/>
      <c r="P1052" s="83"/>
      <c r="Q1052" s="83"/>
      <c r="R1052" s="83"/>
      <c r="S1052" s="83"/>
      <c r="T1052" s="83"/>
      <c r="U1052" s="83"/>
      <c r="V1052" s="83"/>
      <c r="W1052" s="83"/>
    </row>
    <row r="1053" spans="2:23">
      <c r="B1053" s="222"/>
      <c r="C1053" s="206" t="s">
        <v>2710</v>
      </c>
      <c r="D1053" s="200" t="s">
        <v>1360</v>
      </c>
      <c r="E1053" s="201" t="s">
        <v>1168</v>
      </c>
      <c r="F1053" s="360">
        <v>3850</v>
      </c>
      <c r="G1053" s="203">
        <f>+SUMIF('AUX-NIV1'!I:I,Recursos!C1053,'AUX-NIV1'!Q:Q)+SUMIF('AUX-NIV2'!I:I,Recursos!C1053,'AUX-NIV2'!Q:Q)+SUMIF('AUX-NIV3'!I:I,Recursos!C1053,'AUX-NIV3'!Q:Q)</f>
        <v>0</v>
      </c>
      <c r="H1053" s="204">
        <f t="shared" si="111"/>
        <v>0</v>
      </c>
      <c r="I1053" s="366">
        <f t="shared" si="112"/>
        <v>0</v>
      </c>
      <c r="J1053" s="474"/>
      <c r="L1053" s="83"/>
      <c r="M1053" s="83"/>
      <c r="N1053" s="83"/>
      <c r="O1053" s="83"/>
      <c r="P1053" s="83"/>
      <c r="Q1053" s="83"/>
      <c r="R1053" s="83"/>
      <c r="S1053" s="83"/>
      <c r="T1053" s="83"/>
      <c r="U1053" s="83"/>
      <c r="V1053" s="83"/>
      <c r="W1053" s="83"/>
    </row>
    <row r="1054" spans="2:23">
      <c r="B1054" s="222"/>
      <c r="C1054" s="206" t="s">
        <v>2553</v>
      </c>
      <c r="D1054" s="200" t="s">
        <v>2554</v>
      </c>
      <c r="E1054" s="201" t="s">
        <v>371</v>
      </c>
      <c r="F1054" s="360">
        <v>82120</v>
      </c>
      <c r="G1054" s="203">
        <f>+SUMIF('AUX-NIV1'!I:I,Recursos!C1054,'AUX-NIV1'!Q:Q)+SUMIF('AUX-NIV2'!I:I,Recursos!C1054,'AUX-NIV2'!Q:Q)+SUMIF('AUX-NIV3'!I:I,Recursos!C1054,'AUX-NIV3'!Q:Q)</f>
        <v>0</v>
      </c>
      <c r="H1054" s="204">
        <f t="shared" si="111"/>
        <v>0</v>
      </c>
      <c r="I1054" s="366">
        <f t="shared" si="112"/>
        <v>0</v>
      </c>
      <c r="J1054" s="474"/>
      <c r="L1054" s="83"/>
      <c r="M1054" s="83"/>
      <c r="N1054" s="83"/>
      <c r="O1054" s="83"/>
      <c r="P1054" s="83"/>
      <c r="Q1054" s="83"/>
      <c r="R1054" s="83"/>
      <c r="S1054" s="83"/>
      <c r="T1054" s="83"/>
      <c r="U1054" s="83"/>
      <c r="V1054" s="83"/>
      <c r="W1054" s="83"/>
    </row>
    <row r="1055" spans="2:23">
      <c r="B1055" s="222"/>
      <c r="C1055" s="199" t="s">
        <v>728</v>
      </c>
      <c r="D1055" s="200" t="s">
        <v>729</v>
      </c>
      <c r="E1055" s="201" t="s">
        <v>623</v>
      </c>
      <c r="F1055" s="360">
        <v>1</v>
      </c>
      <c r="G1055" s="203">
        <f>+SUMIF('AUX-NIV1'!I:I,Recursos!C1055,'AUX-NIV1'!Q:Q)+SUMIF('AUX-NIV2'!I:I,Recursos!C1055,'AUX-NIV2'!Q:Q)+SUMIF('AUX-NIV3'!I:I,Recursos!C1055,'AUX-NIV3'!Q:Q)</f>
        <v>0</v>
      </c>
      <c r="H1055" s="204">
        <f t="shared" si="111"/>
        <v>0</v>
      </c>
      <c r="I1055" s="366">
        <f t="shared" si="112"/>
        <v>0</v>
      </c>
      <c r="J1055" s="205"/>
      <c r="L1055" s="83"/>
      <c r="M1055" s="83"/>
      <c r="N1055" s="83"/>
      <c r="O1055" s="83"/>
      <c r="P1055" s="83"/>
      <c r="Q1055" s="83"/>
      <c r="R1055" s="83"/>
      <c r="S1055" s="83"/>
      <c r="T1055" s="83"/>
      <c r="U1055" s="83"/>
      <c r="V1055" s="83"/>
      <c r="W1055" s="83"/>
    </row>
    <row r="1056" spans="2:23">
      <c r="B1056" s="222"/>
      <c r="C1056" s="206" t="s">
        <v>2683</v>
      </c>
      <c r="D1056" s="200" t="s">
        <v>729</v>
      </c>
      <c r="E1056" s="201" t="s">
        <v>623</v>
      </c>
      <c r="F1056" s="360">
        <f>340*usd*20+400*usd*1+7000*usd*1</f>
        <v>1449110</v>
      </c>
      <c r="G1056" s="203">
        <f>+SUMIF('AUX-NIV1'!I:I,Recursos!C1056,'AUX-NIV1'!Q:Q)+SUMIF('AUX-NIV2'!I:I,Recursos!C1056,'AUX-NIV2'!Q:Q)+SUMIF('AUX-NIV3'!I:I,Recursos!C1056,'AUX-NIV3'!Q:Q)</f>
        <v>0</v>
      </c>
      <c r="H1056" s="204">
        <f t="shared" si="111"/>
        <v>0</v>
      </c>
      <c r="I1056" s="366">
        <f t="shared" si="112"/>
        <v>0</v>
      </c>
      <c r="J1056" s="474"/>
      <c r="L1056" s="83"/>
      <c r="M1056" s="83"/>
      <c r="N1056" s="83"/>
      <c r="O1056" s="83"/>
      <c r="P1056" s="83"/>
      <c r="Q1056" s="83"/>
      <c r="R1056" s="83"/>
      <c r="S1056" s="83"/>
      <c r="T1056" s="83"/>
      <c r="U1056" s="83"/>
      <c r="V1056" s="83"/>
      <c r="W1056" s="83"/>
    </row>
    <row r="1057" spans="2:23">
      <c r="B1057" s="222"/>
      <c r="C1057" s="206" t="s">
        <v>2556</v>
      </c>
      <c r="D1057" s="200" t="s">
        <v>2557</v>
      </c>
      <c r="E1057" s="201" t="s">
        <v>371</v>
      </c>
      <c r="F1057" s="360">
        <v>16212</v>
      </c>
      <c r="G1057" s="203">
        <f>+SUMIF('AUX-NIV1'!I:I,Recursos!C1057,'AUX-NIV1'!Q:Q)+SUMIF('AUX-NIV2'!I:I,Recursos!C1057,'AUX-NIV2'!Q:Q)+SUMIF('AUX-NIV3'!I:I,Recursos!C1057,'AUX-NIV3'!Q:Q)</f>
        <v>0</v>
      </c>
      <c r="H1057" s="204">
        <f t="shared" si="111"/>
        <v>0</v>
      </c>
      <c r="I1057" s="366">
        <f t="shared" si="112"/>
        <v>0</v>
      </c>
      <c r="J1057" s="474"/>
      <c r="L1057" s="83"/>
      <c r="M1057" s="83"/>
      <c r="N1057" s="83"/>
      <c r="O1057" s="83"/>
      <c r="P1057" s="83"/>
      <c r="Q1057" s="83"/>
      <c r="R1057" s="83"/>
      <c r="S1057" s="83"/>
      <c r="T1057" s="83"/>
      <c r="U1057" s="83"/>
      <c r="V1057" s="83"/>
      <c r="W1057" s="83"/>
    </row>
    <row r="1058" spans="2:23">
      <c r="B1058" s="222"/>
      <c r="C1058" s="206" t="s">
        <v>2689</v>
      </c>
      <c r="D1058" s="200" t="s">
        <v>2690</v>
      </c>
      <c r="E1058" s="201" t="s">
        <v>1168</v>
      </c>
      <c r="F1058" s="360">
        <v>4800</v>
      </c>
      <c r="G1058" s="203">
        <f>+SUMIF('AUX-NIV1'!I:I,Recursos!C1058,'AUX-NIV1'!Q:Q)+SUMIF('AUX-NIV2'!I:I,Recursos!C1058,'AUX-NIV2'!Q:Q)+SUMIF('AUX-NIV3'!I:I,Recursos!C1058,'AUX-NIV3'!Q:Q)</f>
        <v>0</v>
      </c>
      <c r="H1058" s="204">
        <f t="shared" si="111"/>
        <v>0</v>
      </c>
      <c r="I1058" s="366">
        <f t="shared" si="112"/>
        <v>0</v>
      </c>
      <c r="J1058" s="474"/>
      <c r="L1058" s="83"/>
      <c r="M1058" s="83"/>
      <c r="N1058" s="83"/>
      <c r="O1058" s="83"/>
      <c r="P1058" s="83"/>
      <c r="Q1058" s="83"/>
      <c r="R1058" s="83"/>
      <c r="S1058" s="83"/>
      <c r="T1058" s="83"/>
      <c r="U1058" s="83"/>
      <c r="V1058" s="83"/>
      <c r="W1058" s="83"/>
    </row>
    <row r="1059" spans="2:23">
      <c r="B1059" s="222"/>
      <c r="C1059" s="199" t="s">
        <v>684</v>
      </c>
      <c r="D1059" s="200" t="s">
        <v>685</v>
      </c>
      <c r="E1059" s="201" t="s">
        <v>623</v>
      </c>
      <c r="F1059" s="360">
        <v>150000</v>
      </c>
      <c r="G1059" s="203">
        <f>+SUMIF('AUX-NIV1'!I:I,Recursos!C1059,'AUX-NIV1'!Q:Q)+SUMIF('AUX-NIV2'!I:I,Recursos!C1059,'AUX-NIV2'!Q:Q)+SUMIF('AUX-NIV3'!I:I,Recursos!C1059,'AUX-NIV3'!Q:Q)</f>
        <v>0</v>
      </c>
      <c r="H1059" s="204">
        <f t="shared" si="111"/>
        <v>0</v>
      </c>
      <c r="I1059" s="366">
        <f t="shared" si="112"/>
        <v>0</v>
      </c>
      <c r="J1059" s="205"/>
      <c r="L1059" s="83"/>
      <c r="M1059" s="83"/>
      <c r="N1059" s="83"/>
      <c r="O1059" s="83"/>
      <c r="P1059" s="83"/>
      <c r="Q1059" s="83"/>
      <c r="R1059" s="83"/>
      <c r="S1059" s="83"/>
      <c r="T1059" s="83"/>
      <c r="U1059" s="83"/>
      <c r="V1059" s="83"/>
      <c r="W1059" s="83"/>
    </row>
    <row r="1060" spans="2:23">
      <c r="B1060" s="222"/>
      <c r="C1060" s="199" t="s">
        <v>1075</v>
      </c>
      <c r="D1060" s="200" t="s">
        <v>1076</v>
      </c>
      <c r="E1060" s="201" t="s">
        <v>1172</v>
      </c>
      <c r="F1060" s="360">
        <v>1000</v>
      </c>
      <c r="G1060" s="203">
        <f>+SUMIF('AUX-NIV1'!I:I,Recursos!C1060,'AUX-NIV1'!Q:Q)+SUMIF('AUX-NIV2'!I:I,Recursos!C1060,'AUX-NIV2'!Q:Q)+SUMIF('AUX-NIV3'!I:I,Recursos!C1060,'AUX-NIV3'!Q:Q)</f>
        <v>0</v>
      </c>
      <c r="H1060" s="204">
        <f t="shared" si="111"/>
        <v>0</v>
      </c>
      <c r="I1060" s="366">
        <f t="shared" si="112"/>
        <v>0</v>
      </c>
      <c r="J1060" s="205"/>
      <c r="L1060" s="83"/>
      <c r="M1060" s="83"/>
      <c r="N1060" s="83"/>
      <c r="O1060" s="83"/>
      <c r="P1060" s="83"/>
      <c r="Q1060" s="83"/>
      <c r="R1060" s="83"/>
      <c r="S1060" s="83"/>
      <c r="T1060" s="83"/>
      <c r="U1060" s="83"/>
      <c r="V1060" s="83"/>
      <c r="W1060" s="83"/>
    </row>
    <row r="1061" spans="2:23">
      <c r="B1061" s="222"/>
      <c r="C1061" s="206" t="s">
        <v>2595</v>
      </c>
      <c r="D1061" s="200" t="s">
        <v>1076</v>
      </c>
      <c r="E1061" s="201" t="s">
        <v>1172</v>
      </c>
      <c r="F1061" s="360">
        <v>1</v>
      </c>
      <c r="G1061" s="203">
        <f>+SUMIF('AUX-NIV1'!I:I,Recursos!C1061,'AUX-NIV1'!Q:Q)+SUMIF('AUX-NIV2'!I:I,Recursos!C1061,'AUX-NIV2'!Q:Q)+SUMIF('AUX-NIV3'!I:I,Recursos!C1061,'AUX-NIV3'!Q:Q)</f>
        <v>0</v>
      </c>
      <c r="H1061" s="204">
        <f t="shared" si="111"/>
        <v>0</v>
      </c>
      <c r="I1061" s="366">
        <f t="shared" si="112"/>
        <v>0</v>
      </c>
      <c r="J1061" s="474"/>
      <c r="L1061" s="83"/>
      <c r="M1061" s="83"/>
      <c r="N1061" s="83"/>
      <c r="O1061" s="83"/>
      <c r="P1061" s="83"/>
      <c r="Q1061" s="83"/>
      <c r="R1061" s="83"/>
      <c r="S1061" s="83"/>
      <c r="T1061" s="83"/>
      <c r="U1061" s="83"/>
      <c r="V1061" s="83"/>
      <c r="W1061" s="83"/>
    </row>
    <row r="1062" spans="2:23">
      <c r="B1062" s="222"/>
      <c r="C1062" s="206" t="s">
        <v>2563</v>
      </c>
      <c r="D1062" s="200" t="s">
        <v>2564</v>
      </c>
      <c r="E1062" s="201" t="s">
        <v>477</v>
      </c>
      <c r="F1062" s="360">
        <v>40.01</v>
      </c>
      <c r="G1062" s="203">
        <f>+SUMIF('AUX-NIV1'!I:I,Recursos!C1062,'AUX-NIV1'!Q:Q)+SUMIF('AUX-NIV2'!I:I,Recursos!C1062,'AUX-NIV2'!Q:Q)+SUMIF('AUX-NIV3'!I:I,Recursos!C1062,'AUX-NIV3'!Q:Q)</f>
        <v>0</v>
      </c>
      <c r="H1062" s="204">
        <f t="shared" si="111"/>
        <v>0</v>
      </c>
      <c r="I1062" s="366">
        <f t="shared" si="112"/>
        <v>0</v>
      </c>
      <c r="J1062" s="474"/>
      <c r="L1062" s="83"/>
      <c r="M1062" s="83"/>
      <c r="N1062" s="83"/>
      <c r="O1062" s="83"/>
      <c r="P1062" s="83"/>
      <c r="Q1062" s="83"/>
      <c r="R1062" s="83"/>
      <c r="S1062" s="83"/>
      <c r="T1062" s="83"/>
      <c r="U1062" s="83"/>
      <c r="V1062" s="83"/>
      <c r="W1062" s="83"/>
    </row>
    <row r="1063" spans="2:23">
      <c r="B1063" s="222"/>
      <c r="C1063" s="199" t="s">
        <v>724</v>
      </c>
      <c r="D1063" s="200" t="s">
        <v>725</v>
      </c>
      <c r="E1063" s="201" t="s">
        <v>623</v>
      </c>
      <c r="F1063" s="360">
        <f>1500*usd</f>
        <v>153075</v>
      </c>
      <c r="G1063" s="203">
        <f>+SUMIF('AUX-NIV1'!I:I,Recursos!C1063,'AUX-NIV1'!Q:Q)+SUMIF('AUX-NIV2'!I:I,Recursos!C1063,'AUX-NIV2'!Q:Q)+SUMIF('AUX-NIV3'!I:I,Recursos!C1063,'AUX-NIV3'!Q:Q)</f>
        <v>0</v>
      </c>
      <c r="H1063" s="204">
        <f t="shared" si="111"/>
        <v>0</v>
      </c>
      <c r="I1063" s="366">
        <f t="shared" si="112"/>
        <v>0</v>
      </c>
      <c r="J1063" s="205"/>
      <c r="L1063" s="83"/>
      <c r="M1063" s="83"/>
      <c r="N1063" s="83"/>
      <c r="O1063" s="83"/>
      <c r="P1063" s="83"/>
      <c r="Q1063" s="83"/>
      <c r="R1063" s="83"/>
      <c r="S1063" s="83"/>
      <c r="T1063" s="83"/>
      <c r="U1063" s="83"/>
      <c r="V1063" s="83"/>
      <c r="W1063" s="83"/>
    </row>
    <row r="1064" spans="2:23">
      <c r="B1064" s="222"/>
      <c r="C1064" s="206" t="s">
        <v>2597</v>
      </c>
      <c r="D1064" s="200" t="s">
        <v>725</v>
      </c>
      <c r="E1064" s="201" t="s">
        <v>623</v>
      </c>
      <c r="F1064" s="360">
        <f>1500*usd</f>
        <v>153075</v>
      </c>
      <c r="G1064" s="203">
        <f>+SUMIF('AUX-NIV1'!I:I,Recursos!C1064,'AUX-NIV1'!Q:Q)+SUMIF('AUX-NIV2'!I:I,Recursos!C1064,'AUX-NIV2'!Q:Q)+SUMIF('AUX-NIV3'!I:I,Recursos!C1064,'AUX-NIV3'!Q:Q)</f>
        <v>0</v>
      </c>
      <c r="H1064" s="204">
        <f t="shared" si="111"/>
        <v>0</v>
      </c>
      <c r="I1064" s="366">
        <f t="shared" si="112"/>
        <v>0</v>
      </c>
      <c r="J1064" s="474"/>
      <c r="L1064" s="83"/>
      <c r="M1064" s="83"/>
      <c r="N1064" s="83"/>
      <c r="O1064" s="83"/>
      <c r="P1064" s="83"/>
      <c r="Q1064" s="83"/>
      <c r="R1064" s="83"/>
      <c r="S1064" s="83"/>
      <c r="T1064" s="83"/>
      <c r="U1064" s="83"/>
      <c r="V1064" s="83"/>
      <c r="W1064" s="83"/>
    </row>
    <row r="1065" spans="2:23">
      <c r="B1065" s="222"/>
      <c r="C1065" s="199" t="s">
        <v>678</v>
      </c>
      <c r="D1065" s="200" t="s">
        <v>679</v>
      </c>
      <c r="E1065" s="201" t="s">
        <v>623</v>
      </c>
      <c r="F1065" s="360">
        <v>15000</v>
      </c>
      <c r="G1065" s="203">
        <f>+SUMIF('AUX-NIV1'!I:I,Recursos!C1065,'AUX-NIV1'!Q:Q)+SUMIF('AUX-NIV2'!I:I,Recursos!C1065,'AUX-NIV2'!Q:Q)+SUMIF('AUX-NIV3'!I:I,Recursos!C1065,'AUX-NIV3'!Q:Q)</f>
        <v>0</v>
      </c>
      <c r="H1065" s="204">
        <f t="shared" si="111"/>
        <v>0</v>
      </c>
      <c r="I1065" s="366">
        <f t="shared" si="112"/>
        <v>0</v>
      </c>
      <c r="J1065" s="205"/>
      <c r="L1065" s="83"/>
      <c r="M1065" s="83"/>
      <c r="N1065" s="83"/>
      <c r="O1065" s="83"/>
      <c r="P1065" s="83"/>
      <c r="Q1065" s="83"/>
      <c r="R1065" s="83"/>
      <c r="S1065" s="83"/>
      <c r="T1065" s="83"/>
      <c r="U1065" s="83"/>
      <c r="V1065" s="83"/>
      <c r="W1065" s="83"/>
    </row>
    <row r="1066" spans="2:23">
      <c r="B1066" s="222"/>
      <c r="C1066" s="206" t="s">
        <v>2558</v>
      </c>
      <c r="D1066" s="200" t="s">
        <v>679</v>
      </c>
      <c r="E1066" s="201" t="s">
        <v>623</v>
      </c>
      <c r="F1066" s="360">
        <v>15000</v>
      </c>
      <c r="G1066" s="203">
        <f>+SUMIF('AUX-NIV1'!I:I,Recursos!C1066,'AUX-NIV1'!Q:Q)+SUMIF('AUX-NIV2'!I:I,Recursos!C1066,'AUX-NIV2'!Q:Q)+SUMIF('AUX-NIV3'!I:I,Recursos!C1066,'AUX-NIV3'!Q:Q)</f>
        <v>0</v>
      </c>
      <c r="H1066" s="204">
        <f t="shared" si="111"/>
        <v>0</v>
      </c>
      <c r="I1066" s="366">
        <f t="shared" si="112"/>
        <v>0</v>
      </c>
      <c r="J1066" s="474"/>
      <c r="L1066" s="83"/>
      <c r="M1066" s="83"/>
      <c r="N1066" s="83"/>
      <c r="O1066" s="83"/>
      <c r="P1066" s="83"/>
      <c r="Q1066" s="83"/>
      <c r="R1066" s="83"/>
      <c r="S1066" s="83"/>
      <c r="T1066" s="83"/>
      <c r="U1066" s="83"/>
      <c r="V1066" s="83"/>
      <c r="W1066" s="83"/>
    </row>
    <row r="1067" spans="2:23">
      <c r="B1067" s="222"/>
      <c r="C1067" s="199" t="s">
        <v>680</v>
      </c>
      <c r="D1067" s="200" t="s">
        <v>681</v>
      </c>
      <c r="E1067" s="201" t="s">
        <v>623</v>
      </c>
      <c r="F1067" s="360">
        <v>15000</v>
      </c>
      <c r="G1067" s="203">
        <f>+SUMIF('AUX-NIV1'!I:I,Recursos!C1067,'AUX-NIV1'!Q:Q)+SUMIF('AUX-NIV2'!I:I,Recursos!C1067,'AUX-NIV2'!Q:Q)+SUMIF('AUX-NIV3'!I:I,Recursos!C1067,'AUX-NIV3'!Q:Q)</f>
        <v>0</v>
      </c>
      <c r="H1067" s="204">
        <f t="shared" si="111"/>
        <v>0</v>
      </c>
      <c r="I1067" s="366">
        <f t="shared" si="112"/>
        <v>0</v>
      </c>
      <c r="J1067" s="205"/>
      <c r="L1067" s="83"/>
      <c r="M1067" s="83"/>
      <c r="N1067" s="83"/>
      <c r="O1067" s="83"/>
      <c r="P1067" s="83"/>
      <c r="Q1067" s="83"/>
      <c r="R1067" s="83"/>
      <c r="S1067" s="83"/>
      <c r="T1067" s="83"/>
      <c r="U1067" s="83"/>
      <c r="V1067" s="83"/>
      <c r="W1067" s="83"/>
    </row>
    <row r="1068" spans="2:23">
      <c r="B1068" s="222"/>
      <c r="C1068" s="206" t="s">
        <v>2598</v>
      </c>
      <c r="D1068" s="200" t="s">
        <v>681</v>
      </c>
      <c r="E1068" s="201" t="s">
        <v>623</v>
      </c>
      <c r="F1068" s="360">
        <v>15000</v>
      </c>
      <c r="G1068" s="203">
        <f>+SUMIF('AUX-NIV1'!I:I,Recursos!C1068,'AUX-NIV1'!Q:Q)+SUMIF('AUX-NIV2'!I:I,Recursos!C1068,'AUX-NIV2'!Q:Q)+SUMIF('AUX-NIV3'!I:I,Recursos!C1068,'AUX-NIV3'!Q:Q)</f>
        <v>0</v>
      </c>
      <c r="H1068" s="204">
        <f t="shared" si="111"/>
        <v>0</v>
      </c>
      <c r="I1068" s="366">
        <f t="shared" si="112"/>
        <v>0</v>
      </c>
      <c r="J1068" s="474"/>
      <c r="L1068" s="83"/>
      <c r="M1068" s="83"/>
      <c r="N1068" s="83"/>
      <c r="O1068" s="83"/>
      <c r="P1068" s="83"/>
      <c r="Q1068" s="83"/>
      <c r="R1068" s="83"/>
      <c r="S1068" s="83"/>
      <c r="T1068" s="83"/>
      <c r="U1068" s="83"/>
      <c r="V1068" s="83"/>
      <c r="W1068" s="83"/>
    </row>
    <row r="1069" spans="2:23">
      <c r="B1069" s="222"/>
      <c r="C1069" s="199" t="s">
        <v>702</v>
      </c>
      <c r="D1069" s="200" t="s">
        <v>703</v>
      </c>
      <c r="E1069" s="201" t="s">
        <v>586</v>
      </c>
      <c r="F1069" s="360">
        <v>250</v>
      </c>
      <c r="G1069" s="203">
        <f>+SUMIF('AUX-NIV1'!I:I,Recursos!C1069,'AUX-NIV1'!Q:Q)+SUMIF('AUX-NIV2'!I:I,Recursos!C1069,'AUX-NIV2'!Q:Q)+SUMIF('AUX-NIV3'!I:I,Recursos!C1069,'AUX-NIV3'!Q:Q)</f>
        <v>0</v>
      </c>
      <c r="H1069" s="204">
        <f t="shared" si="111"/>
        <v>0</v>
      </c>
      <c r="I1069" s="366">
        <f t="shared" si="112"/>
        <v>0</v>
      </c>
      <c r="J1069" s="205"/>
      <c r="L1069" s="83"/>
      <c r="M1069" s="83"/>
      <c r="N1069" s="83"/>
      <c r="O1069" s="83"/>
      <c r="P1069" s="83"/>
      <c r="Q1069" s="83"/>
      <c r="R1069" s="83"/>
      <c r="S1069" s="83"/>
      <c r="T1069" s="83"/>
      <c r="U1069" s="83"/>
      <c r="V1069" s="83"/>
      <c r="W1069" s="83"/>
    </row>
    <row r="1070" spans="2:23">
      <c r="B1070" s="222"/>
      <c r="C1070" s="206" t="s">
        <v>2612</v>
      </c>
      <c r="D1070" s="200" t="s">
        <v>703</v>
      </c>
      <c r="E1070" s="201" t="s">
        <v>586</v>
      </c>
      <c r="F1070" s="360">
        <v>250</v>
      </c>
      <c r="G1070" s="203">
        <f>+SUMIF('AUX-NIV1'!I:I,Recursos!C1070,'AUX-NIV1'!Q:Q)+SUMIF('AUX-NIV2'!I:I,Recursos!C1070,'AUX-NIV2'!Q:Q)+SUMIF('AUX-NIV3'!I:I,Recursos!C1070,'AUX-NIV3'!Q:Q)</f>
        <v>0</v>
      </c>
      <c r="H1070" s="204">
        <f t="shared" si="111"/>
        <v>0</v>
      </c>
      <c r="I1070" s="366">
        <f t="shared" si="112"/>
        <v>0</v>
      </c>
      <c r="J1070" s="474"/>
      <c r="L1070" s="83"/>
      <c r="M1070" s="83"/>
      <c r="N1070" s="83"/>
      <c r="O1070" s="83"/>
      <c r="P1070" s="83"/>
      <c r="Q1070" s="83"/>
      <c r="R1070" s="83"/>
      <c r="S1070" s="83"/>
      <c r="T1070" s="83"/>
      <c r="U1070" s="83"/>
      <c r="V1070" s="83"/>
      <c r="W1070" s="83"/>
    </row>
    <row r="1071" spans="2:23">
      <c r="B1071" s="222"/>
      <c r="C1071" s="199" t="s">
        <v>694</v>
      </c>
      <c r="D1071" s="200" t="s">
        <v>695</v>
      </c>
      <c r="E1071" s="201" t="s">
        <v>586</v>
      </c>
      <c r="F1071" s="360">
        <v>150</v>
      </c>
      <c r="G1071" s="203">
        <f>+SUMIF('AUX-NIV1'!I:I,Recursos!C1071,'AUX-NIV1'!Q:Q)+SUMIF('AUX-NIV2'!I:I,Recursos!C1071,'AUX-NIV2'!Q:Q)+SUMIF('AUX-NIV3'!I:I,Recursos!C1071,'AUX-NIV3'!Q:Q)</f>
        <v>0</v>
      </c>
      <c r="H1071" s="204">
        <f t="shared" si="111"/>
        <v>0</v>
      </c>
      <c r="I1071" s="366">
        <f t="shared" si="112"/>
        <v>0</v>
      </c>
      <c r="J1071" s="205"/>
      <c r="L1071" s="83"/>
      <c r="M1071" s="83"/>
      <c r="N1071" s="83"/>
      <c r="O1071" s="83"/>
      <c r="P1071" s="83"/>
      <c r="Q1071" s="83"/>
      <c r="R1071" s="83"/>
      <c r="S1071" s="83"/>
      <c r="T1071" s="83"/>
      <c r="U1071" s="83"/>
      <c r="V1071" s="83"/>
      <c r="W1071" s="83"/>
    </row>
    <row r="1072" spans="2:23">
      <c r="B1072" s="222"/>
      <c r="C1072" s="206" t="s">
        <v>2596</v>
      </c>
      <c r="D1072" s="200" t="s">
        <v>695</v>
      </c>
      <c r="E1072" s="201" t="s">
        <v>586</v>
      </c>
      <c r="F1072" s="360">
        <v>150</v>
      </c>
      <c r="G1072" s="203">
        <f>+SUMIF('AUX-NIV1'!I:I,Recursos!C1072,'AUX-NIV1'!Q:Q)+SUMIF('AUX-NIV2'!I:I,Recursos!C1072,'AUX-NIV2'!Q:Q)+SUMIF('AUX-NIV3'!I:I,Recursos!C1072,'AUX-NIV3'!Q:Q)</f>
        <v>0</v>
      </c>
      <c r="H1072" s="204">
        <f t="shared" si="111"/>
        <v>0</v>
      </c>
      <c r="I1072" s="366">
        <f t="shared" si="112"/>
        <v>0</v>
      </c>
      <c r="J1072" s="474"/>
      <c r="L1072" s="83"/>
      <c r="M1072" s="83"/>
      <c r="N1072" s="83"/>
      <c r="O1072" s="83"/>
      <c r="P1072" s="83"/>
      <c r="Q1072" s="83"/>
      <c r="R1072" s="83"/>
      <c r="S1072" s="83"/>
      <c r="T1072" s="83"/>
      <c r="U1072" s="83"/>
      <c r="V1072" s="83"/>
      <c r="W1072" s="83"/>
    </row>
    <row r="1073" spans="2:23">
      <c r="B1073" s="222"/>
      <c r="C1073" s="206" t="s">
        <v>2599</v>
      </c>
      <c r="D1073" s="200" t="s">
        <v>2600</v>
      </c>
      <c r="E1073" s="201" t="s">
        <v>477</v>
      </c>
      <c r="F1073" s="360">
        <v>280</v>
      </c>
      <c r="G1073" s="203">
        <f>+SUMIF('AUX-NIV1'!I:I,Recursos!C1073,'AUX-NIV1'!Q:Q)+SUMIF('AUX-NIV2'!I:I,Recursos!C1073,'AUX-NIV2'!Q:Q)+SUMIF('AUX-NIV3'!I:I,Recursos!C1073,'AUX-NIV3'!Q:Q)</f>
        <v>0</v>
      </c>
      <c r="H1073" s="204">
        <f t="shared" si="111"/>
        <v>0</v>
      </c>
      <c r="I1073" s="366">
        <f t="shared" si="112"/>
        <v>0</v>
      </c>
      <c r="J1073" s="474"/>
      <c r="L1073" s="83"/>
      <c r="M1073" s="83"/>
      <c r="N1073" s="83"/>
      <c r="O1073" s="83"/>
      <c r="P1073" s="83"/>
      <c r="Q1073" s="83"/>
      <c r="R1073" s="83"/>
      <c r="S1073" s="83"/>
      <c r="T1073" s="83"/>
      <c r="U1073" s="83"/>
      <c r="V1073" s="83"/>
      <c r="W1073" s="83"/>
    </row>
    <row r="1074" spans="2:23">
      <c r="B1074" s="222"/>
      <c r="C1074" s="199" t="s">
        <v>743</v>
      </c>
      <c r="D1074" s="200" t="s">
        <v>744</v>
      </c>
      <c r="E1074" s="201" t="s">
        <v>623</v>
      </c>
      <c r="F1074" s="360">
        <v>1</v>
      </c>
      <c r="G1074" s="203">
        <f>+SUMIF('AUX-NIV1'!I:I,Recursos!C1074,'AUX-NIV1'!Q:Q)+SUMIF('AUX-NIV2'!I:I,Recursos!C1074,'AUX-NIV2'!Q:Q)+SUMIF('AUX-NIV3'!I:I,Recursos!C1074,'AUX-NIV3'!Q:Q)</f>
        <v>0</v>
      </c>
      <c r="H1074" s="204">
        <f t="shared" si="111"/>
        <v>0</v>
      </c>
      <c r="I1074" s="366">
        <f t="shared" si="112"/>
        <v>0</v>
      </c>
      <c r="J1074" s="205"/>
      <c r="L1074" s="83"/>
      <c r="M1074" s="83"/>
      <c r="N1074" s="83"/>
      <c r="O1074" s="83"/>
      <c r="P1074" s="83"/>
      <c r="Q1074" s="83"/>
      <c r="R1074" s="83"/>
      <c r="S1074" s="83"/>
      <c r="T1074" s="83"/>
      <c r="U1074" s="83"/>
      <c r="V1074" s="83"/>
      <c r="W1074" s="83"/>
    </row>
    <row r="1075" spans="2:23">
      <c r="B1075" s="222"/>
      <c r="C1075" s="206" t="s">
        <v>2583</v>
      </c>
      <c r="D1075" s="200" t="s">
        <v>2584</v>
      </c>
      <c r="E1075" s="201" t="s">
        <v>185</v>
      </c>
      <c r="F1075" s="360">
        <v>350</v>
      </c>
      <c r="G1075" s="203">
        <f>+SUMIF('AUX-NIV1'!I:I,Recursos!C1075,'AUX-NIV1'!Q:Q)+SUMIF('AUX-NIV2'!I:I,Recursos!C1075,'AUX-NIV2'!Q:Q)+SUMIF('AUX-NIV3'!I:I,Recursos!C1075,'AUX-NIV3'!Q:Q)</f>
        <v>0</v>
      </c>
      <c r="H1075" s="204">
        <f t="shared" si="111"/>
        <v>0</v>
      </c>
      <c r="I1075" s="366">
        <f t="shared" si="112"/>
        <v>0</v>
      </c>
      <c r="J1075" s="474"/>
      <c r="L1075" s="83"/>
      <c r="M1075" s="83"/>
      <c r="N1075" s="83"/>
      <c r="O1075" s="83"/>
      <c r="P1075" s="83"/>
      <c r="Q1075" s="83"/>
      <c r="R1075" s="83"/>
      <c r="S1075" s="83"/>
      <c r="T1075" s="83"/>
      <c r="U1075" s="83"/>
      <c r="V1075" s="83"/>
      <c r="W1075" s="83"/>
    </row>
    <row r="1076" spans="2:23">
      <c r="B1076" s="222"/>
      <c r="C1076" s="206" t="s">
        <v>2581</v>
      </c>
      <c r="D1076" s="200" t="s">
        <v>2582</v>
      </c>
      <c r="E1076" s="201" t="s">
        <v>185</v>
      </c>
      <c r="F1076" s="360">
        <v>400</v>
      </c>
      <c r="G1076" s="203">
        <f>+SUMIF('AUX-NIV1'!I:I,Recursos!C1076,'AUX-NIV1'!Q:Q)+SUMIF('AUX-NIV2'!I:I,Recursos!C1076,'AUX-NIV2'!Q:Q)+SUMIF('AUX-NIV3'!I:I,Recursos!C1076,'AUX-NIV3'!Q:Q)</f>
        <v>0</v>
      </c>
      <c r="H1076" s="204">
        <f t="shared" si="111"/>
        <v>0</v>
      </c>
      <c r="I1076" s="366">
        <f t="shared" si="112"/>
        <v>0</v>
      </c>
      <c r="J1076" s="474"/>
      <c r="L1076" s="83"/>
      <c r="M1076" s="83"/>
      <c r="N1076" s="83"/>
      <c r="O1076" s="83"/>
      <c r="P1076" s="83"/>
      <c r="Q1076" s="83"/>
      <c r="R1076" s="83"/>
      <c r="S1076" s="83"/>
      <c r="T1076" s="83"/>
      <c r="U1076" s="83"/>
      <c r="V1076" s="83"/>
      <c r="W1076" s="83"/>
    </row>
    <row r="1077" spans="2:23">
      <c r="B1077" s="222"/>
      <c r="C1077" s="199" t="s">
        <v>726</v>
      </c>
      <c r="D1077" s="200" t="s">
        <v>727</v>
      </c>
      <c r="E1077" s="201" t="s">
        <v>453</v>
      </c>
      <c r="F1077" s="360">
        <v>1</v>
      </c>
      <c r="G1077" s="203">
        <f>+SUMIF('AUX-NIV1'!I:I,Recursos!C1077,'AUX-NIV1'!Q:Q)+SUMIF('AUX-NIV2'!I:I,Recursos!C1077,'AUX-NIV2'!Q:Q)+SUMIF('AUX-NIV3'!I:I,Recursos!C1077,'AUX-NIV3'!Q:Q)</f>
        <v>0</v>
      </c>
      <c r="H1077" s="204">
        <f t="shared" ref="H1077:H1134" si="113">+F1077*G1077</f>
        <v>0</v>
      </c>
      <c r="I1077" s="366">
        <f t="shared" ref="I1077:I1134" si="114">+H1077/$I$3</f>
        <v>0</v>
      </c>
      <c r="J1077" s="205"/>
      <c r="L1077" s="83"/>
      <c r="M1077" s="83"/>
      <c r="N1077" s="83"/>
      <c r="O1077" s="83"/>
      <c r="P1077" s="83"/>
      <c r="Q1077" s="83"/>
      <c r="R1077" s="83"/>
      <c r="S1077" s="83"/>
      <c r="T1077" s="83"/>
      <c r="U1077" s="83"/>
      <c r="V1077" s="83"/>
      <c r="W1077" s="83"/>
    </row>
    <row r="1078" spans="2:23">
      <c r="B1078" s="222"/>
      <c r="C1078" s="206" t="s">
        <v>2718</v>
      </c>
      <c r="D1078" s="200" t="s">
        <v>2719</v>
      </c>
      <c r="E1078" s="201" t="s">
        <v>623</v>
      </c>
      <c r="F1078" s="360">
        <v>36000</v>
      </c>
      <c r="G1078" s="203">
        <f>+SUMIF('AUX-NIV1'!I:I,Recursos!C1078,'AUX-NIV1'!Q:Q)+SUMIF('AUX-NIV2'!I:I,Recursos!C1078,'AUX-NIV2'!Q:Q)+SUMIF('AUX-NIV3'!I:I,Recursos!C1078,'AUX-NIV3'!Q:Q)</f>
        <v>0</v>
      </c>
      <c r="H1078" s="204">
        <f t="shared" si="113"/>
        <v>0</v>
      </c>
      <c r="I1078" s="366">
        <f t="shared" si="114"/>
        <v>0</v>
      </c>
      <c r="J1078" s="474"/>
      <c r="L1078" s="83"/>
      <c r="M1078" s="83"/>
      <c r="N1078" s="83"/>
      <c r="O1078" s="83"/>
      <c r="P1078" s="83"/>
      <c r="Q1078" s="83"/>
      <c r="R1078" s="83"/>
      <c r="S1078" s="83"/>
      <c r="T1078" s="83"/>
      <c r="U1078" s="83"/>
      <c r="V1078" s="83"/>
      <c r="W1078" s="83"/>
    </row>
    <row r="1079" spans="2:23">
      <c r="B1079" s="222"/>
      <c r="C1079" s="206" t="s">
        <v>2642</v>
      </c>
      <c r="D1079" s="200" t="s">
        <v>2643</v>
      </c>
      <c r="E1079" s="201" t="s">
        <v>185</v>
      </c>
      <c r="F1079" s="360">
        <v>10000</v>
      </c>
      <c r="G1079" s="203">
        <f>+SUMIF('AUX-NIV1'!I:I,Recursos!C1079,'AUX-NIV1'!Q:Q)+SUMIF('AUX-NIV2'!I:I,Recursos!C1079,'AUX-NIV2'!Q:Q)+SUMIF('AUX-NIV3'!I:I,Recursos!C1079,'AUX-NIV3'!Q:Q)</f>
        <v>0</v>
      </c>
      <c r="H1079" s="204">
        <f t="shared" si="113"/>
        <v>0</v>
      </c>
      <c r="I1079" s="366">
        <f t="shared" si="114"/>
        <v>0</v>
      </c>
      <c r="J1079" s="474"/>
      <c r="L1079" s="83"/>
      <c r="M1079" s="83"/>
      <c r="N1079" s="83"/>
      <c r="O1079" s="83"/>
      <c r="P1079" s="83"/>
      <c r="Q1079" s="83"/>
      <c r="R1079" s="83"/>
      <c r="S1079" s="83"/>
      <c r="T1079" s="83"/>
      <c r="U1079" s="83"/>
      <c r="V1079" s="83"/>
      <c r="W1079" s="83"/>
    </row>
    <row r="1080" spans="2:23">
      <c r="B1080" s="222"/>
      <c r="C1080" s="206" t="s">
        <v>2640</v>
      </c>
      <c r="D1080" s="200" t="s">
        <v>2641</v>
      </c>
      <c r="E1080" s="201" t="s">
        <v>185</v>
      </c>
      <c r="F1080" s="360">
        <v>12000</v>
      </c>
      <c r="G1080" s="203">
        <f>+SUMIF('AUX-NIV1'!I:I,Recursos!C1080,'AUX-NIV1'!Q:Q)+SUMIF('AUX-NIV2'!I:I,Recursos!C1080,'AUX-NIV2'!Q:Q)+SUMIF('AUX-NIV3'!I:I,Recursos!C1080,'AUX-NIV3'!Q:Q)</f>
        <v>0</v>
      </c>
      <c r="H1080" s="204">
        <f t="shared" si="113"/>
        <v>0</v>
      </c>
      <c r="I1080" s="366">
        <f t="shared" si="114"/>
        <v>0</v>
      </c>
      <c r="J1080" s="474"/>
      <c r="L1080" s="83"/>
      <c r="M1080" s="83"/>
      <c r="N1080" s="83"/>
      <c r="O1080" s="83"/>
      <c r="P1080" s="83"/>
      <c r="Q1080" s="83"/>
      <c r="R1080" s="83"/>
      <c r="S1080" s="83"/>
      <c r="T1080" s="83"/>
      <c r="U1080" s="83"/>
      <c r="V1080" s="83"/>
      <c r="W1080" s="83"/>
    </row>
    <row r="1081" spans="2:23">
      <c r="B1081" s="222"/>
      <c r="C1081" s="206" t="s">
        <v>2521</v>
      </c>
      <c r="D1081" s="200" t="s">
        <v>2522</v>
      </c>
      <c r="E1081" s="201" t="s">
        <v>1172</v>
      </c>
      <c r="F1081" s="360">
        <v>70000</v>
      </c>
      <c r="G1081" s="203">
        <f>+SUMIF('AUX-NIV1'!I:I,Recursos!C1081,'AUX-NIV1'!Q:Q)+SUMIF('AUX-NIV2'!I:I,Recursos!C1081,'AUX-NIV2'!Q:Q)+SUMIF('AUX-NIV3'!I:I,Recursos!C1081,'AUX-NIV3'!Q:Q)</f>
        <v>0</v>
      </c>
      <c r="H1081" s="204">
        <f t="shared" si="113"/>
        <v>0</v>
      </c>
      <c r="I1081" s="366">
        <f t="shared" si="114"/>
        <v>0</v>
      </c>
      <c r="J1081" s="474"/>
      <c r="L1081" s="83"/>
      <c r="M1081" s="83"/>
      <c r="N1081" s="83"/>
      <c r="O1081" s="83"/>
      <c r="P1081" s="83"/>
      <c r="Q1081" s="83"/>
      <c r="R1081" s="83"/>
      <c r="S1081" s="83"/>
      <c r="T1081" s="83"/>
      <c r="U1081" s="83"/>
      <c r="V1081" s="83"/>
      <c r="W1081" s="83"/>
    </row>
    <row r="1082" spans="2:23">
      <c r="B1082" s="222"/>
      <c r="C1082" s="206" t="s">
        <v>2617</v>
      </c>
      <c r="D1082" s="200" t="s">
        <v>2618</v>
      </c>
      <c r="E1082" s="201" t="s">
        <v>200</v>
      </c>
      <c r="F1082" s="360">
        <v>1</v>
      </c>
      <c r="G1082" s="203">
        <f>+SUMIF('AUX-NIV1'!I:I,Recursos!C1082,'AUX-NIV1'!Q:Q)+SUMIF('AUX-NIV2'!I:I,Recursos!C1082,'AUX-NIV2'!Q:Q)+SUMIF('AUX-NIV3'!I:I,Recursos!C1082,'AUX-NIV3'!Q:Q)</f>
        <v>0</v>
      </c>
      <c r="H1082" s="204">
        <f t="shared" si="113"/>
        <v>0</v>
      </c>
      <c r="I1082" s="366">
        <f t="shared" si="114"/>
        <v>0</v>
      </c>
      <c r="J1082" s="474"/>
      <c r="L1082" s="83"/>
      <c r="M1082" s="83"/>
      <c r="N1082" s="83"/>
      <c r="O1082" s="83"/>
      <c r="P1082" s="83"/>
      <c r="Q1082" s="83"/>
      <c r="R1082" s="83"/>
      <c r="S1082" s="83"/>
      <c r="T1082" s="83"/>
      <c r="U1082" s="83"/>
      <c r="V1082" s="83"/>
      <c r="W1082" s="83"/>
    </row>
    <row r="1083" spans="2:23">
      <c r="B1083" s="222"/>
      <c r="C1083" s="199" t="s">
        <v>741</v>
      </c>
      <c r="D1083" s="200" t="s">
        <v>742</v>
      </c>
      <c r="E1083" s="201" t="s">
        <v>623</v>
      </c>
      <c r="F1083" s="360">
        <v>1</v>
      </c>
      <c r="G1083" s="203">
        <f>+SUMIF('AUX-NIV1'!I:I,Recursos!C1083,'AUX-NIV1'!Q:Q)+SUMIF('AUX-NIV2'!I:I,Recursos!C1083,'AUX-NIV2'!Q:Q)+SUMIF('AUX-NIV3'!I:I,Recursos!C1083,'AUX-NIV3'!Q:Q)</f>
        <v>0</v>
      </c>
      <c r="H1083" s="204">
        <f t="shared" si="113"/>
        <v>0</v>
      </c>
      <c r="I1083" s="366">
        <f t="shared" si="114"/>
        <v>0</v>
      </c>
      <c r="J1083" s="205"/>
      <c r="L1083" s="83"/>
      <c r="M1083" s="83"/>
      <c r="N1083" s="83"/>
      <c r="O1083" s="83"/>
      <c r="P1083" s="83"/>
      <c r="Q1083" s="83"/>
      <c r="R1083" s="83"/>
      <c r="S1083" s="83"/>
      <c r="T1083" s="83"/>
      <c r="U1083" s="83"/>
      <c r="V1083" s="83"/>
      <c r="W1083" s="83"/>
    </row>
    <row r="1084" spans="2:23">
      <c r="B1084" s="222"/>
      <c r="C1084" s="206" t="s">
        <v>2523</v>
      </c>
      <c r="D1084" s="200" t="s">
        <v>2524</v>
      </c>
      <c r="E1084" s="201" t="s">
        <v>477</v>
      </c>
      <c r="F1084" s="360">
        <v>480</v>
      </c>
      <c r="G1084" s="203">
        <f>+SUMIF('AUX-NIV1'!I:I,Recursos!C1084,'AUX-NIV1'!Q:Q)+SUMIF('AUX-NIV2'!I:I,Recursos!C1084,'AUX-NIV2'!Q:Q)+SUMIF('AUX-NIV3'!I:I,Recursos!C1084,'AUX-NIV3'!Q:Q)</f>
        <v>0</v>
      </c>
      <c r="H1084" s="204">
        <f t="shared" si="113"/>
        <v>0</v>
      </c>
      <c r="I1084" s="366">
        <f t="shared" si="114"/>
        <v>0</v>
      </c>
      <c r="J1084" s="474"/>
      <c r="L1084" s="83"/>
      <c r="M1084" s="83"/>
      <c r="N1084" s="83"/>
      <c r="O1084" s="83"/>
      <c r="P1084" s="83"/>
      <c r="Q1084" s="83"/>
      <c r="R1084" s="83"/>
      <c r="S1084" s="83"/>
      <c r="T1084" s="83"/>
      <c r="U1084" s="83"/>
      <c r="V1084" s="83"/>
      <c r="W1084" s="83"/>
    </row>
    <row r="1085" spans="2:23">
      <c r="B1085" s="222"/>
      <c r="C1085" s="206" t="s">
        <v>2712</v>
      </c>
      <c r="D1085" s="200" t="s">
        <v>2713</v>
      </c>
      <c r="E1085" s="201" t="s">
        <v>2714</v>
      </c>
      <c r="F1085" s="360">
        <v>16500</v>
      </c>
      <c r="G1085" s="203">
        <f>+SUMIF('AUX-NIV1'!I:I,Recursos!C1085,'AUX-NIV1'!Q:Q)+SUMIF('AUX-NIV2'!I:I,Recursos!C1085,'AUX-NIV2'!Q:Q)+SUMIF('AUX-NIV3'!I:I,Recursos!C1085,'AUX-NIV3'!Q:Q)</f>
        <v>0</v>
      </c>
      <c r="H1085" s="204">
        <f t="shared" si="113"/>
        <v>0</v>
      </c>
      <c r="I1085" s="366">
        <f t="shared" si="114"/>
        <v>0</v>
      </c>
      <c r="J1085" s="474"/>
      <c r="L1085" s="83"/>
      <c r="M1085" s="83"/>
      <c r="N1085" s="83"/>
      <c r="O1085" s="83"/>
      <c r="P1085" s="83"/>
      <c r="Q1085" s="83"/>
      <c r="R1085" s="83"/>
      <c r="S1085" s="83"/>
      <c r="T1085" s="83"/>
      <c r="U1085" s="83"/>
      <c r="V1085" s="83"/>
      <c r="W1085" s="83"/>
    </row>
    <row r="1086" spans="2:23">
      <c r="B1086" s="222"/>
      <c r="C1086" s="199" t="s">
        <v>642</v>
      </c>
      <c r="D1086" s="200" t="s">
        <v>643</v>
      </c>
      <c r="E1086" s="201" t="s">
        <v>586</v>
      </c>
      <c r="F1086" s="360">
        <v>20</v>
      </c>
      <c r="G1086" s="203">
        <f>+SUMIF('AUX-NIV1'!I:I,Recursos!C1086,'AUX-NIV1'!Q:Q)+SUMIF('AUX-NIV2'!I:I,Recursos!C1086,'AUX-NIV2'!Q:Q)+SUMIF('AUX-NIV3'!I:I,Recursos!C1086,'AUX-NIV3'!Q:Q)</f>
        <v>0</v>
      </c>
      <c r="H1086" s="204">
        <f t="shared" si="113"/>
        <v>0</v>
      </c>
      <c r="I1086" s="366">
        <f t="shared" si="114"/>
        <v>0</v>
      </c>
      <c r="J1086" s="205"/>
      <c r="L1086" s="83"/>
      <c r="M1086" s="83"/>
      <c r="N1086" s="83"/>
      <c r="O1086" s="83"/>
      <c r="P1086" s="83"/>
      <c r="Q1086" s="83"/>
      <c r="R1086" s="83"/>
      <c r="S1086" s="83"/>
      <c r="T1086" s="83"/>
      <c r="U1086" s="83"/>
      <c r="V1086" s="83"/>
      <c r="W1086" s="83"/>
    </row>
    <row r="1087" spans="2:23">
      <c r="B1087" s="222"/>
      <c r="C1087" s="199" t="s">
        <v>646</v>
      </c>
      <c r="D1087" s="200" t="s">
        <v>647</v>
      </c>
      <c r="E1087" s="201" t="s">
        <v>462</v>
      </c>
      <c r="F1087" s="360">
        <v>15</v>
      </c>
      <c r="G1087" s="203">
        <f>+SUMIF('AUX-NIV1'!I:I,Recursos!C1087,'AUX-NIV1'!Q:Q)+SUMIF('AUX-NIV2'!I:I,Recursos!C1087,'AUX-NIV2'!Q:Q)+SUMIF('AUX-NIV3'!I:I,Recursos!C1087,'AUX-NIV3'!Q:Q)</f>
        <v>0</v>
      </c>
      <c r="H1087" s="204">
        <f t="shared" si="113"/>
        <v>0</v>
      </c>
      <c r="I1087" s="366">
        <f t="shared" si="114"/>
        <v>0</v>
      </c>
      <c r="J1087" s="205"/>
      <c r="L1087" s="83"/>
      <c r="M1087" s="83"/>
      <c r="N1087" s="83"/>
      <c r="O1087" s="83"/>
      <c r="P1087" s="83"/>
      <c r="Q1087" s="83"/>
      <c r="R1087" s="83"/>
      <c r="S1087" s="83"/>
      <c r="T1087" s="83"/>
      <c r="U1087" s="83"/>
      <c r="V1087" s="83"/>
      <c r="W1087" s="83"/>
    </row>
    <row r="1088" spans="2:23">
      <c r="B1088" s="222"/>
      <c r="C1088" s="206" t="s">
        <v>2608</v>
      </c>
      <c r="D1088" s="200" t="s">
        <v>647</v>
      </c>
      <c r="E1088" s="201" t="s">
        <v>462</v>
      </c>
      <c r="F1088" s="360">
        <v>15</v>
      </c>
      <c r="G1088" s="203">
        <f>+SUMIF('AUX-NIV1'!I:I,Recursos!C1088,'AUX-NIV1'!Q:Q)+SUMIF('AUX-NIV2'!I:I,Recursos!C1088,'AUX-NIV2'!Q:Q)+SUMIF('AUX-NIV3'!I:I,Recursos!C1088,'AUX-NIV3'!Q:Q)</f>
        <v>0</v>
      </c>
      <c r="H1088" s="204">
        <f t="shared" si="113"/>
        <v>0</v>
      </c>
      <c r="I1088" s="366">
        <f t="shared" si="114"/>
        <v>0</v>
      </c>
      <c r="J1088" s="474"/>
      <c r="L1088" s="83"/>
      <c r="M1088" s="83"/>
      <c r="N1088" s="83"/>
      <c r="O1088" s="83"/>
      <c r="P1088" s="83"/>
      <c r="Q1088" s="83"/>
      <c r="R1088" s="83"/>
      <c r="S1088" s="83"/>
      <c r="T1088" s="83"/>
      <c r="U1088" s="83"/>
      <c r="V1088" s="83"/>
      <c r="W1088" s="83"/>
    </row>
    <row r="1089" spans="2:23">
      <c r="B1089" s="222"/>
      <c r="C1089" s="199" t="s">
        <v>3166</v>
      </c>
      <c r="D1089" s="200" t="s">
        <v>3176</v>
      </c>
      <c r="E1089" s="201" t="s">
        <v>477</v>
      </c>
      <c r="F1089" s="360">
        <f>800*usd</f>
        <v>81640</v>
      </c>
      <c r="G1089" s="203">
        <f>+SUMIF('AUX-NIV1'!I:I,Recursos!C1089,'AUX-NIV1'!Q:Q)+SUMIF('AUX-NIV2'!I:I,Recursos!C1089,'AUX-NIV2'!Q:Q)+SUMIF('AUX-NIV3'!I:I,Recursos!C1089,'AUX-NIV3'!Q:Q)</f>
        <v>0</v>
      </c>
      <c r="H1089" s="204">
        <f t="shared" si="113"/>
        <v>0</v>
      </c>
      <c r="I1089" s="366">
        <f t="shared" si="114"/>
        <v>0</v>
      </c>
      <c r="J1089" s="205"/>
      <c r="L1089" s="83"/>
      <c r="M1089" s="83"/>
      <c r="N1089" s="83"/>
      <c r="O1089" s="83"/>
      <c r="P1089" s="83"/>
      <c r="Q1089" s="83"/>
      <c r="R1089" s="83"/>
      <c r="S1089" s="83"/>
      <c r="T1089" s="83"/>
      <c r="U1089" s="83"/>
      <c r="V1089" s="83"/>
      <c r="W1089" s="83"/>
    </row>
    <row r="1090" spans="2:23">
      <c r="B1090" s="222"/>
      <c r="C1090" s="206" t="s">
        <v>2685</v>
      </c>
      <c r="D1090" s="200" t="s">
        <v>1359</v>
      </c>
      <c r="E1090" s="201" t="s">
        <v>1233</v>
      </c>
      <c r="F1090" s="360">
        <v>50000</v>
      </c>
      <c r="G1090" s="203">
        <f>+SUMIF('AUX-NIV1'!I:I,Recursos!C1090,'AUX-NIV1'!Q:Q)+SUMIF('AUX-NIV2'!I:I,Recursos!C1090,'AUX-NIV2'!Q:Q)+SUMIF('AUX-NIV3'!I:I,Recursos!C1090,'AUX-NIV3'!Q:Q)</f>
        <v>0</v>
      </c>
      <c r="H1090" s="204">
        <f t="shared" si="113"/>
        <v>0</v>
      </c>
      <c r="I1090" s="366">
        <f t="shared" si="114"/>
        <v>0</v>
      </c>
      <c r="J1090" s="474"/>
      <c r="L1090" s="83"/>
      <c r="M1090" s="83"/>
      <c r="N1090" s="83"/>
      <c r="O1090" s="83"/>
      <c r="P1090" s="83"/>
      <c r="Q1090" s="83"/>
      <c r="R1090" s="83"/>
      <c r="S1090" s="83"/>
      <c r="T1090" s="83"/>
      <c r="U1090" s="83"/>
      <c r="V1090" s="83"/>
      <c r="W1090" s="83"/>
    </row>
    <row r="1091" spans="2:23" ht="22.8">
      <c r="B1091" s="222"/>
      <c r="C1091" s="206" t="s">
        <v>2694</v>
      </c>
      <c r="D1091" s="200" t="s">
        <v>2695</v>
      </c>
      <c r="E1091" s="201" t="s">
        <v>1168</v>
      </c>
      <c r="F1091" s="360">
        <v>1800</v>
      </c>
      <c r="G1091" s="203">
        <f>+SUMIF('AUX-NIV1'!I:I,Recursos!C1091,'AUX-NIV1'!Q:Q)+SUMIF('AUX-NIV2'!I:I,Recursos!C1091,'AUX-NIV2'!Q:Q)+SUMIF('AUX-NIV3'!I:I,Recursos!C1091,'AUX-NIV3'!Q:Q)</f>
        <v>0</v>
      </c>
      <c r="H1091" s="204">
        <f t="shared" si="113"/>
        <v>0</v>
      </c>
      <c r="I1091" s="366">
        <f t="shared" si="114"/>
        <v>0</v>
      </c>
      <c r="J1091" s="474"/>
      <c r="L1091" s="83"/>
      <c r="M1091" s="83"/>
      <c r="N1091" s="83"/>
      <c r="O1091" s="83"/>
      <c r="P1091" s="83"/>
      <c r="Q1091" s="83"/>
      <c r="R1091" s="83"/>
      <c r="S1091" s="83"/>
      <c r="T1091" s="83"/>
      <c r="U1091" s="83"/>
      <c r="V1091" s="83"/>
      <c r="W1091" s="83"/>
    </row>
    <row r="1092" spans="2:23">
      <c r="B1092" s="222"/>
      <c r="C1092" s="199" t="s">
        <v>636</v>
      </c>
      <c r="D1092" s="200" t="s">
        <v>637</v>
      </c>
      <c r="E1092" s="201" t="s">
        <v>623</v>
      </c>
      <c r="F1092" s="360">
        <v>50000</v>
      </c>
      <c r="G1092" s="203">
        <f>+SUMIF('AUX-NIV1'!I:I,Recursos!C1092,'AUX-NIV1'!Q:Q)+SUMIF('AUX-NIV2'!I:I,Recursos!C1092,'AUX-NIV2'!Q:Q)+SUMIF('AUX-NIV3'!I:I,Recursos!C1092,'AUX-NIV3'!Q:Q)</f>
        <v>0</v>
      </c>
      <c r="H1092" s="204">
        <f t="shared" si="113"/>
        <v>0</v>
      </c>
      <c r="I1092" s="366">
        <f t="shared" si="114"/>
        <v>0</v>
      </c>
      <c r="J1092" s="205"/>
      <c r="L1092" s="83"/>
      <c r="M1092" s="83"/>
      <c r="N1092" s="83"/>
      <c r="O1092" s="83"/>
      <c r="P1092" s="83"/>
      <c r="Q1092" s="83"/>
      <c r="R1092" s="83"/>
      <c r="S1092" s="83"/>
      <c r="T1092" s="83"/>
      <c r="U1092" s="83"/>
      <c r="V1092" s="83"/>
      <c r="W1092" s="83"/>
    </row>
    <row r="1093" spans="2:23">
      <c r="B1093" s="222"/>
      <c r="C1093" s="206" t="s">
        <v>2613</v>
      </c>
      <c r="D1093" s="200" t="s">
        <v>637</v>
      </c>
      <c r="E1093" s="201" t="s">
        <v>623</v>
      </c>
      <c r="F1093" s="360">
        <v>50000</v>
      </c>
      <c r="G1093" s="203">
        <f>+SUMIF('AUX-NIV1'!I:I,Recursos!C1093,'AUX-NIV1'!Q:Q)+SUMIF('AUX-NIV2'!I:I,Recursos!C1093,'AUX-NIV2'!Q:Q)+SUMIF('AUX-NIV3'!I:I,Recursos!C1093,'AUX-NIV3'!Q:Q)</f>
        <v>0</v>
      </c>
      <c r="H1093" s="204">
        <f t="shared" si="113"/>
        <v>0</v>
      </c>
      <c r="I1093" s="366">
        <f t="shared" si="114"/>
        <v>0</v>
      </c>
      <c r="J1093" s="474"/>
      <c r="L1093" s="83"/>
      <c r="M1093" s="83"/>
      <c r="N1093" s="83"/>
      <c r="O1093" s="83"/>
      <c r="P1093" s="83"/>
      <c r="Q1093" s="83"/>
      <c r="R1093" s="83"/>
      <c r="S1093" s="83"/>
      <c r="T1093" s="83"/>
      <c r="U1093" s="83"/>
      <c r="V1093" s="83"/>
      <c r="W1093" s="83"/>
    </row>
    <row r="1094" spans="2:23">
      <c r="B1094" s="222"/>
      <c r="C1094" s="206" t="s">
        <v>2644</v>
      </c>
      <c r="D1094" s="200" t="s">
        <v>2645</v>
      </c>
      <c r="E1094" s="201" t="s">
        <v>185</v>
      </c>
      <c r="F1094" s="360">
        <v>30000</v>
      </c>
      <c r="G1094" s="203">
        <f>+SUMIF('AUX-NIV1'!I:I,Recursos!C1094,'AUX-NIV1'!Q:Q)+SUMIF('AUX-NIV2'!I:I,Recursos!C1094,'AUX-NIV2'!Q:Q)+SUMIF('AUX-NIV3'!I:I,Recursos!C1094,'AUX-NIV3'!Q:Q)</f>
        <v>0</v>
      </c>
      <c r="H1094" s="204">
        <f t="shared" si="113"/>
        <v>0</v>
      </c>
      <c r="I1094" s="366">
        <f t="shared" si="114"/>
        <v>0</v>
      </c>
      <c r="J1094" s="474"/>
      <c r="L1094" s="83"/>
      <c r="M1094" s="83"/>
      <c r="N1094" s="83"/>
      <c r="O1094" s="83"/>
      <c r="P1094" s="83"/>
      <c r="Q1094" s="83"/>
      <c r="R1094" s="83"/>
      <c r="S1094" s="83"/>
      <c r="T1094" s="83"/>
      <c r="U1094" s="83"/>
      <c r="V1094" s="83"/>
      <c r="W1094" s="83"/>
    </row>
    <row r="1095" spans="2:23">
      <c r="B1095" s="222"/>
      <c r="C1095" s="206" t="s">
        <v>2638</v>
      </c>
      <c r="D1095" s="200" t="s">
        <v>2639</v>
      </c>
      <c r="E1095" s="201" t="s">
        <v>185</v>
      </c>
      <c r="F1095" s="360">
        <v>32000</v>
      </c>
      <c r="G1095" s="203">
        <f>+SUMIF('AUX-NIV1'!I:I,Recursos!C1095,'AUX-NIV1'!Q:Q)+SUMIF('AUX-NIV2'!I:I,Recursos!C1095,'AUX-NIV2'!Q:Q)+SUMIF('AUX-NIV3'!I:I,Recursos!C1095,'AUX-NIV3'!Q:Q)</f>
        <v>0</v>
      </c>
      <c r="H1095" s="204">
        <f t="shared" si="113"/>
        <v>0</v>
      </c>
      <c r="I1095" s="366">
        <f t="shared" si="114"/>
        <v>0</v>
      </c>
      <c r="J1095" s="474"/>
      <c r="L1095" s="83"/>
      <c r="M1095" s="83"/>
      <c r="N1095" s="83"/>
      <c r="O1095" s="83"/>
      <c r="P1095" s="83"/>
      <c r="Q1095" s="83"/>
      <c r="R1095" s="83"/>
      <c r="S1095" s="83"/>
      <c r="T1095" s="83"/>
      <c r="U1095" s="83"/>
      <c r="V1095" s="83"/>
      <c r="W1095" s="83"/>
    </row>
    <row r="1096" spans="2:23">
      <c r="B1096" s="222"/>
      <c r="C1096" s="199" t="s">
        <v>654</v>
      </c>
      <c r="D1096" s="200" t="s">
        <v>655</v>
      </c>
      <c r="E1096" s="201" t="s">
        <v>371</v>
      </c>
      <c r="F1096" s="360">
        <v>2500</v>
      </c>
      <c r="G1096" s="203">
        <f>+SUMIF('AUX-NIV1'!I:I,Recursos!C1096,'AUX-NIV1'!Q:Q)+SUMIF('AUX-NIV2'!I:I,Recursos!C1096,'AUX-NIV2'!Q:Q)+SUMIF('AUX-NIV3'!I:I,Recursos!C1096,'AUX-NIV3'!Q:Q)</f>
        <v>0</v>
      </c>
      <c r="H1096" s="204">
        <f t="shared" si="113"/>
        <v>0</v>
      </c>
      <c r="I1096" s="366">
        <f t="shared" si="114"/>
        <v>0</v>
      </c>
      <c r="J1096" s="205"/>
      <c r="L1096" s="83"/>
      <c r="M1096" s="83"/>
      <c r="N1096" s="83"/>
      <c r="O1096" s="83"/>
      <c r="P1096" s="83"/>
      <c r="Q1096" s="83"/>
      <c r="R1096" s="83"/>
      <c r="S1096" s="83"/>
      <c r="T1096" s="83"/>
      <c r="U1096" s="83"/>
      <c r="V1096" s="83"/>
      <c r="W1096" s="83"/>
    </row>
    <row r="1097" spans="2:23">
      <c r="B1097" s="222"/>
      <c r="C1097" s="206" t="s">
        <v>2614</v>
      </c>
      <c r="D1097" s="200" t="s">
        <v>655</v>
      </c>
      <c r="E1097" s="201" t="s">
        <v>371</v>
      </c>
      <c r="F1097" s="360">
        <v>2500</v>
      </c>
      <c r="G1097" s="203">
        <f>+SUMIF('AUX-NIV1'!I:I,Recursos!C1097,'AUX-NIV1'!Q:Q)+SUMIF('AUX-NIV2'!I:I,Recursos!C1097,'AUX-NIV2'!Q:Q)+SUMIF('AUX-NIV3'!I:I,Recursos!C1097,'AUX-NIV3'!Q:Q)</f>
        <v>0</v>
      </c>
      <c r="H1097" s="204">
        <f t="shared" si="113"/>
        <v>0</v>
      </c>
      <c r="I1097" s="366">
        <f t="shared" si="114"/>
        <v>0</v>
      </c>
      <c r="J1097" s="474"/>
      <c r="L1097" s="83"/>
      <c r="M1097" s="83"/>
      <c r="N1097" s="83"/>
      <c r="O1097" s="83"/>
      <c r="P1097" s="83"/>
      <c r="Q1097" s="83"/>
      <c r="R1097" s="83"/>
      <c r="S1097" s="83"/>
      <c r="T1097" s="83"/>
      <c r="U1097" s="83"/>
      <c r="V1097" s="83"/>
      <c r="W1097" s="83"/>
    </row>
    <row r="1098" spans="2:23">
      <c r="B1098" s="222"/>
      <c r="C1098" s="199" t="s">
        <v>652</v>
      </c>
      <c r="D1098" s="200" t="s">
        <v>653</v>
      </c>
      <c r="E1098" s="201" t="s">
        <v>371</v>
      </c>
      <c r="F1098" s="360">
        <v>120</v>
      </c>
      <c r="G1098" s="203">
        <f>+SUMIF('AUX-NIV1'!I:I,Recursos!C1098,'AUX-NIV1'!Q:Q)+SUMIF('AUX-NIV2'!I:I,Recursos!C1098,'AUX-NIV2'!Q:Q)+SUMIF('AUX-NIV3'!I:I,Recursos!C1098,'AUX-NIV3'!Q:Q)</f>
        <v>0</v>
      </c>
      <c r="H1098" s="204">
        <f t="shared" si="113"/>
        <v>0</v>
      </c>
      <c r="I1098" s="366">
        <f t="shared" si="114"/>
        <v>0</v>
      </c>
      <c r="J1098" s="205"/>
      <c r="L1098" s="83"/>
      <c r="M1098" s="83"/>
      <c r="N1098" s="83"/>
      <c r="O1098" s="83"/>
      <c r="P1098" s="83"/>
      <c r="Q1098" s="83"/>
      <c r="R1098" s="83"/>
      <c r="S1098" s="83"/>
      <c r="T1098" s="83"/>
      <c r="U1098" s="83"/>
      <c r="V1098" s="83"/>
      <c r="W1098" s="83"/>
    </row>
    <row r="1099" spans="2:23">
      <c r="B1099" s="222"/>
      <c r="C1099" s="206" t="s">
        <v>2615</v>
      </c>
      <c r="D1099" s="200" t="s">
        <v>653</v>
      </c>
      <c r="E1099" s="201" t="s">
        <v>371</v>
      </c>
      <c r="F1099" s="360">
        <v>120</v>
      </c>
      <c r="G1099" s="203">
        <f>+SUMIF('AUX-NIV1'!I:I,Recursos!C1099,'AUX-NIV1'!Q:Q)+SUMIF('AUX-NIV2'!I:I,Recursos!C1099,'AUX-NIV2'!Q:Q)+SUMIF('AUX-NIV3'!I:I,Recursos!C1099,'AUX-NIV3'!Q:Q)</f>
        <v>0</v>
      </c>
      <c r="H1099" s="204">
        <f t="shared" si="113"/>
        <v>0</v>
      </c>
      <c r="I1099" s="366">
        <f t="shared" si="114"/>
        <v>0</v>
      </c>
      <c r="J1099" s="474"/>
      <c r="L1099" s="83"/>
      <c r="M1099" s="83"/>
      <c r="N1099" s="83"/>
      <c r="O1099" s="83"/>
      <c r="P1099" s="83"/>
      <c r="Q1099" s="83"/>
      <c r="R1099" s="83"/>
      <c r="S1099" s="83"/>
      <c r="T1099" s="83"/>
      <c r="U1099" s="83"/>
      <c r="V1099" s="83"/>
      <c r="W1099" s="83"/>
    </row>
    <row r="1100" spans="2:23">
      <c r="B1100" s="222"/>
      <c r="C1100" s="199" t="s">
        <v>745</v>
      </c>
      <c r="D1100" s="200" t="s">
        <v>746</v>
      </c>
      <c r="E1100" s="201" t="s">
        <v>453</v>
      </c>
      <c r="F1100" s="360">
        <v>25000</v>
      </c>
      <c r="G1100" s="203">
        <f>+SUMIF('AUX-NIV1'!I:I,Recursos!C1100,'AUX-NIV1'!Q:Q)+SUMIF('AUX-NIV2'!I:I,Recursos!C1100,'AUX-NIV2'!Q:Q)+SUMIF('AUX-NIV3'!I:I,Recursos!C1100,'AUX-NIV3'!Q:Q)</f>
        <v>0</v>
      </c>
      <c r="H1100" s="204">
        <f t="shared" si="113"/>
        <v>0</v>
      </c>
      <c r="I1100" s="366">
        <f t="shared" si="114"/>
        <v>0</v>
      </c>
      <c r="J1100" s="205"/>
      <c r="L1100" s="83"/>
      <c r="M1100" s="83"/>
      <c r="N1100" s="83"/>
      <c r="O1100" s="83"/>
      <c r="P1100" s="83"/>
      <c r="Q1100" s="83"/>
      <c r="R1100" s="83"/>
      <c r="S1100" s="83"/>
      <c r="T1100" s="83"/>
      <c r="U1100" s="83"/>
      <c r="V1100" s="83"/>
      <c r="W1100" s="83"/>
    </row>
    <row r="1101" spans="2:23">
      <c r="B1101" s="222"/>
      <c r="C1101" s="206" t="s">
        <v>2496</v>
      </c>
      <c r="D1101" s="200" t="s">
        <v>411</v>
      </c>
      <c r="E1101" s="201" t="s">
        <v>477</v>
      </c>
      <c r="F1101" s="360">
        <v>320</v>
      </c>
      <c r="G1101" s="203">
        <f>+SUMIF('AUX-NIV1'!I:I,Recursos!C1101,'AUX-NIV1'!Q:Q)+SUMIF('AUX-NIV2'!I:I,Recursos!C1101,'AUX-NIV2'!Q:Q)+SUMIF('AUX-NIV3'!I:I,Recursos!C1101,'AUX-NIV3'!Q:Q)</f>
        <v>0</v>
      </c>
      <c r="H1101" s="204">
        <f t="shared" si="113"/>
        <v>0</v>
      </c>
      <c r="I1101" s="366">
        <f t="shared" si="114"/>
        <v>0</v>
      </c>
      <c r="J1101" s="474"/>
      <c r="L1101" s="83"/>
      <c r="M1101" s="83"/>
      <c r="N1101" s="83"/>
      <c r="O1101" s="83"/>
      <c r="P1101" s="83"/>
      <c r="Q1101" s="83"/>
      <c r="R1101" s="83"/>
      <c r="S1101" s="83"/>
      <c r="T1101" s="83"/>
      <c r="U1101" s="83"/>
      <c r="V1101" s="83"/>
      <c r="W1101" s="83"/>
    </row>
    <row r="1102" spans="2:23">
      <c r="B1102" s="222"/>
      <c r="C1102" s="199" t="s">
        <v>1077</v>
      </c>
      <c r="D1102" s="200" t="s">
        <v>1078</v>
      </c>
      <c r="E1102" s="201" t="s">
        <v>1172</v>
      </c>
      <c r="F1102" s="360">
        <v>1</v>
      </c>
      <c r="G1102" s="203">
        <f>+SUMIF('AUX-NIV1'!I:I,Recursos!C1102,'AUX-NIV1'!Q:Q)+SUMIF('AUX-NIV2'!I:I,Recursos!C1102,'AUX-NIV2'!Q:Q)+SUMIF('AUX-NIV3'!I:I,Recursos!C1102,'AUX-NIV3'!Q:Q)</f>
        <v>0</v>
      </c>
      <c r="H1102" s="204">
        <f t="shared" si="113"/>
        <v>0</v>
      </c>
      <c r="I1102" s="366">
        <f t="shared" si="114"/>
        <v>0</v>
      </c>
      <c r="J1102" s="205"/>
      <c r="L1102" s="83"/>
      <c r="M1102" s="83"/>
      <c r="N1102" s="83"/>
      <c r="O1102" s="83"/>
      <c r="P1102" s="83"/>
      <c r="Q1102" s="83"/>
      <c r="R1102" s="83"/>
      <c r="S1102" s="83"/>
      <c r="T1102" s="83"/>
      <c r="U1102" s="83"/>
      <c r="V1102" s="83"/>
      <c r="W1102" s="83"/>
    </row>
    <row r="1103" spans="2:23">
      <c r="B1103" s="222"/>
      <c r="C1103" s="206" t="s">
        <v>2513</v>
      </c>
      <c r="D1103" s="200" t="s">
        <v>1078</v>
      </c>
      <c r="E1103" s="201" t="s">
        <v>1172</v>
      </c>
      <c r="F1103" s="360">
        <v>1</v>
      </c>
      <c r="G1103" s="203">
        <f>+SUMIF('AUX-NIV1'!I:I,Recursos!C1103,'AUX-NIV1'!Q:Q)+SUMIF('AUX-NIV2'!I:I,Recursos!C1103,'AUX-NIV2'!Q:Q)+SUMIF('AUX-NIV3'!I:I,Recursos!C1103,'AUX-NIV3'!Q:Q)</f>
        <v>0</v>
      </c>
      <c r="H1103" s="204">
        <f t="shared" si="113"/>
        <v>0</v>
      </c>
      <c r="I1103" s="366">
        <f t="shared" si="114"/>
        <v>0</v>
      </c>
      <c r="J1103" s="474"/>
      <c r="L1103" s="83"/>
      <c r="M1103" s="83"/>
      <c r="N1103" s="83"/>
      <c r="O1103" s="83"/>
      <c r="P1103" s="83"/>
      <c r="Q1103" s="83"/>
      <c r="R1103" s="83"/>
      <c r="S1103" s="83"/>
      <c r="T1103" s="83"/>
      <c r="U1103" s="83"/>
      <c r="V1103" s="83"/>
      <c r="W1103" s="83"/>
    </row>
    <row r="1104" spans="2:23">
      <c r="B1104" s="222"/>
      <c r="C1104" s="199" t="s">
        <v>629</v>
      </c>
      <c r="D1104" s="200" t="s">
        <v>630</v>
      </c>
      <c r="E1104" s="201" t="s">
        <v>447</v>
      </c>
      <c r="F1104" s="360"/>
      <c r="G1104" s="203">
        <f>+SUMIF('AUX-NIV1'!I:I,Recursos!C1104,'AUX-NIV1'!Q:Q)+SUMIF('AUX-NIV2'!I:I,Recursos!C1104,'AUX-NIV2'!Q:Q)+SUMIF('AUX-NIV3'!I:I,Recursos!C1104,'AUX-NIV3'!Q:Q)</f>
        <v>0</v>
      </c>
      <c r="H1104" s="204">
        <f t="shared" si="113"/>
        <v>0</v>
      </c>
      <c r="I1104" s="366">
        <f t="shared" si="114"/>
        <v>0</v>
      </c>
      <c r="J1104" s="205"/>
      <c r="L1104" s="83"/>
      <c r="M1104" s="83"/>
      <c r="N1104" s="83"/>
      <c r="O1104" s="83"/>
      <c r="P1104" s="83"/>
      <c r="Q1104" s="83"/>
      <c r="R1104" s="83"/>
      <c r="S1104" s="83"/>
      <c r="T1104" s="83"/>
      <c r="U1104" s="83"/>
      <c r="V1104" s="83"/>
      <c r="W1104" s="83"/>
    </row>
    <row r="1105" spans="2:23">
      <c r="B1105" s="222"/>
      <c r="C1105" s="206" t="s">
        <v>2555</v>
      </c>
      <c r="D1105" s="200" t="s">
        <v>630</v>
      </c>
      <c r="E1105" s="201" t="s">
        <v>447</v>
      </c>
      <c r="F1105" s="360">
        <v>200</v>
      </c>
      <c r="G1105" s="203">
        <f>+SUMIF('AUX-NIV1'!I:I,Recursos!C1105,'AUX-NIV1'!Q:Q)+SUMIF('AUX-NIV2'!I:I,Recursos!C1105,'AUX-NIV2'!Q:Q)+SUMIF('AUX-NIV3'!I:I,Recursos!C1105,'AUX-NIV3'!Q:Q)</f>
        <v>0</v>
      </c>
      <c r="H1105" s="204">
        <f t="shared" si="113"/>
        <v>0</v>
      </c>
      <c r="I1105" s="366">
        <f t="shared" si="114"/>
        <v>0</v>
      </c>
      <c r="J1105" s="474"/>
      <c r="L1105" s="83"/>
      <c r="M1105" s="83"/>
      <c r="N1105" s="83"/>
      <c r="O1105" s="83"/>
      <c r="P1105" s="83"/>
      <c r="Q1105" s="83"/>
      <c r="R1105" s="83"/>
      <c r="S1105" s="83"/>
      <c r="T1105" s="83"/>
      <c r="U1105" s="83"/>
      <c r="V1105" s="83"/>
      <c r="W1105" s="83"/>
    </row>
    <row r="1106" spans="2:23">
      <c r="B1106" s="222"/>
      <c r="C1106" s="199" t="s">
        <v>163</v>
      </c>
      <c r="D1106" s="200" t="s">
        <v>164</v>
      </c>
      <c r="E1106" s="201" t="s">
        <v>501</v>
      </c>
      <c r="F1106" s="360">
        <v>15.5</v>
      </c>
      <c r="G1106" s="203">
        <f>+SUMIF('AUX-NIV1'!I:I,Recursos!C1106,'AUX-NIV1'!Q:Q)+SUMIF('AUX-NIV2'!I:I,Recursos!C1106,'AUX-NIV2'!Q:Q)+SUMIF('AUX-NIV3'!I:I,Recursos!C1106,'AUX-NIV3'!Q:Q)</f>
        <v>0</v>
      </c>
      <c r="H1106" s="204">
        <f t="shared" si="113"/>
        <v>0</v>
      </c>
      <c r="I1106" s="366">
        <f t="shared" si="114"/>
        <v>0</v>
      </c>
      <c r="J1106" s="205"/>
      <c r="L1106" s="83"/>
      <c r="M1106" s="83"/>
      <c r="N1106" s="83"/>
      <c r="O1106" s="83"/>
      <c r="P1106" s="83"/>
      <c r="Q1106" s="83"/>
      <c r="R1106" s="83"/>
      <c r="S1106" s="83"/>
      <c r="T1106" s="83"/>
      <c r="U1106" s="83"/>
      <c r="V1106" s="83"/>
      <c r="W1106" s="83"/>
    </row>
    <row r="1107" spans="2:23">
      <c r="B1107" s="222"/>
      <c r="C1107" s="206" t="s">
        <v>2552</v>
      </c>
      <c r="D1107" s="200" t="s">
        <v>164</v>
      </c>
      <c r="E1107" s="201" t="s">
        <v>501</v>
      </c>
      <c r="F1107" s="360">
        <v>15.5</v>
      </c>
      <c r="G1107" s="203">
        <f>+SUMIF('AUX-NIV1'!I:I,Recursos!C1107,'AUX-NIV1'!Q:Q)+SUMIF('AUX-NIV2'!I:I,Recursos!C1107,'AUX-NIV2'!Q:Q)+SUMIF('AUX-NIV3'!I:I,Recursos!C1107,'AUX-NIV3'!Q:Q)</f>
        <v>0</v>
      </c>
      <c r="H1107" s="204">
        <f t="shared" si="113"/>
        <v>0</v>
      </c>
      <c r="I1107" s="366">
        <f t="shared" si="114"/>
        <v>0</v>
      </c>
      <c r="J1107" s="474"/>
      <c r="L1107" s="83"/>
      <c r="M1107" s="83"/>
      <c r="N1107" s="83"/>
      <c r="O1107" s="83"/>
      <c r="P1107" s="83"/>
      <c r="Q1107" s="83"/>
      <c r="R1107" s="83"/>
      <c r="S1107" s="83"/>
      <c r="T1107" s="83"/>
      <c r="U1107" s="83"/>
      <c r="V1107" s="83"/>
      <c r="W1107" s="83"/>
    </row>
    <row r="1108" spans="2:23">
      <c r="B1108" s="222"/>
      <c r="C1108" s="206" t="s">
        <v>2593</v>
      </c>
      <c r="D1108" s="200" t="s">
        <v>2594</v>
      </c>
      <c r="E1108" s="201" t="s">
        <v>185</v>
      </c>
      <c r="F1108" s="360">
        <v>18000</v>
      </c>
      <c r="G1108" s="203">
        <f>+SUMIF('AUX-NIV1'!I:I,Recursos!C1108,'AUX-NIV1'!Q:Q)+SUMIF('AUX-NIV2'!I:I,Recursos!C1108,'AUX-NIV2'!Q:Q)+SUMIF('AUX-NIV3'!I:I,Recursos!C1108,'AUX-NIV3'!Q:Q)</f>
        <v>0</v>
      </c>
      <c r="H1108" s="204">
        <f t="shared" si="113"/>
        <v>0</v>
      </c>
      <c r="I1108" s="366">
        <f t="shared" si="114"/>
        <v>0</v>
      </c>
      <c r="J1108" s="474"/>
      <c r="L1108" s="83"/>
      <c r="M1108" s="83"/>
      <c r="N1108" s="83"/>
      <c r="O1108" s="83"/>
      <c r="P1108" s="83"/>
      <c r="Q1108" s="83"/>
      <c r="R1108" s="83"/>
      <c r="S1108" s="83"/>
      <c r="T1108" s="83"/>
      <c r="U1108" s="83"/>
      <c r="V1108" s="83"/>
      <c r="W1108" s="83"/>
    </row>
    <row r="1109" spans="2:23">
      <c r="B1109" s="222"/>
      <c r="C1109" s="199" t="s">
        <v>159</v>
      </c>
      <c r="D1109" s="200" t="s">
        <v>160</v>
      </c>
      <c r="E1109" s="201" t="s">
        <v>477</v>
      </c>
      <c r="F1109" s="360">
        <v>375</v>
      </c>
      <c r="G1109" s="203">
        <f>+SUMIF('AUX-NIV1'!I:I,Recursos!C1109,'AUX-NIV1'!Q:Q)+SUMIF('AUX-NIV2'!I:I,Recursos!C1109,'AUX-NIV2'!Q:Q)+SUMIF('AUX-NIV3'!I:I,Recursos!C1109,'AUX-NIV3'!Q:Q)</f>
        <v>0</v>
      </c>
      <c r="H1109" s="204">
        <f t="shared" si="113"/>
        <v>0</v>
      </c>
      <c r="I1109" s="366">
        <f t="shared" si="114"/>
        <v>0</v>
      </c>
      <c r="J1109" s="205"/>
      <c r="L1109" s="83"/>
      <c r="M1109" s="83"/>
      <c r="N1109" s="83"/>
      <c r="O1109" s="83"/>
      <c r="P1109" s="83"/>
      <c r="Q1109" s="83"/>
      <c r="R1109" s="83"/>
      <c r="S1109" s="83"/>
      <c r="T1109" s="83"/>
      <c r="U1109" s="83"/>
      <c r="V1109" s="83"/>
      <c r="W1109" s="83"/>
    </row>
    <row r="1110" spans="2:23">
      <c r="B1110" s="222"/>
      <c r="C1110" s="206" t="s">
        <v>2487</v>
      </c>
      <c r="D1110" s="200" t="s">
        <v>160</v>
      </c>
      <c r="E1110" s="201" t="s">
        <v>477</v>
      </c>
      <c r="F1110" s="360">
        <v>375</v>
      </c>
      <c r="G1110" s="203">
        <f>+SUMIF('AUX-NIV1'!I:I,Recursos!C1110,'AUX-NIV1'!Q:Q)+SUMIF('AUX-NIV2'!I:I,Recursos!C1110,'AUX-NIV2'!Q:Q)+SUMIF('AUX-NIV3'!I:I,Recursos!C1110,'AUX-NIV3'!Q:Q)</f>
        <v>0</v>
      </c>
      <c r="H1110" s="204">
        <f t="shared" si="113"/>
        <v>0</v>
      </c>
      <c r="I1110" s="366">
        <f t="shared" si="114"/>
        <v>0</v>
      </c>
      <c r="J1110" s="474"/>
      <c r="L1110" s="83"/>
      <c r="M1110" s="83"/>
      <c r="N1110" s="83"/>
      <c r="O1110" s="83"/>
      <c r="P1110" s="83"/>
      <c r="Q1110" s="83"/>
      <c r="R1110" s="83"/>
      <c r="S1110" s="83"/>
      <c r="T1110" s="83"/>
      <c r="U1110" s="83"/>
      <c r="V1110" s="83"/>
      <c r="W1110" s="83"/>
    </row>
    <row r="1111" spans="2:23">
      <c r="B1111" s="222"/>
      <c r="C1111" s="199" t="s">
        <v>1070</v>
      </c>
      <c r="D1111" s="200" t="s">
        <v>1071</v>
      </c>
      <c r="E1111" s="201" t="s">
        <v>546</v>
      </c>
      <c r="F1111" s="360">
        <v>3.8</v>
      </c>
      <c r="G1111" s="203">
        <f>+SUMIF('AUX-NIV1'!I:I,Recursos!C1111,'AUX-NIV1'!Q:Q)+SUMIF('AUX-NIV2'!I:I,Recursos!C1111,'AUX-NIV2'!Q:Q)+SUMIF('AUX-NIV3'!I:I,Recursos!C1111,'AUX-NIV3'!Q:Q)</f>
        <v>0</v>
      </c>
      <c r="H1111" s="204">
        <f t="shared" si="113"/>
        <v>0</v>
      </c>
      <c r="I1111" s="366">
        <f t="shared" si="114"/>
        <v>0</v>
      </c>
      <c r="J1111" s="205"/>
      <c r="L1111" s="83"/>
      <c r="M1111" s="83"/>
      <c r="N1111" s="83"/>
      <c r="O1111" s="83"/>
      <c r="P1111" s="83"/>
      <c r="Q1111" s="83"/>
      <c r="R1111" s="83"/>
      <c r="S1111" s="83"/>
      <c r="T1111" s="83"/>
      <c r="U1111" s="83"/>
      <c r="V1111" s="83"/>
      <c r="W1111" s="83"/>
    </row>
    <row r="1112" spans="2:23">
      <c r="B1112" s="222"/>
      <c r="C1112" s="206" t="s">
        <v>2606</v>
      </c>
      <c r="D1112" s="200" t="s">
        <v>1071</v>
      </c>
      <c r="E1112" s="201" t="s">
        <v>546</v>
      </c>
      <c r="F1112" s="360">
        <v>3.8</v>
      </c>
      <c r="G1112" s="203">
        <f>+SUMIF('AUX-NIV1'!I:I,Recursos!C1112,'AUX-NIV1'!Q:Q)+SUMIF('AUX-NIV2'!I:I,Recursos!C1112,'AUX-NIV2'!Q:Q)+SUMIF('AUX-NIV3'!I:I,Recursos!C1112,'AUX-NIV3'!Q:Q)</f>
        <v>0</v>
      </c>
      <c r="H1112" s="204">
        <f t="shared" si="113"/>
        <v>0</v>
      </c>
      <c r="I1112" s="366">
        <f t="shared" si="114"/>
        <v>0</v>
      </c>
      <c r="J1112" s="474"/>
      <c r="L1112" s="83"/>
      <c r="M1112" s="83"/>
      <c r="N1112" s="83"/>
      <c r="O1112" s="83"/>
      <c r="P1112" s="83"/>
      <c r="Q1112" s="83"/>
      <c r="R1112" s="83"/>
      <c r="S1112" s="83"/>
      <c r="T1112" s="83"/>
      <c r="U1112" s="83"/>
      <c r="V1112" s="83"/>
      <c r="W1112" s="83"/>
    </row>
    <row r="1113" spans="2:23">
      <c r="B1113" s="222"/>
      <c r="C1113" s="199" t="s">
        <v>547</v>
      </c>
      <c r="D1113" s="200" t="s">
        <v>548</v>
      </c>
      <c r="E1113" s="201" t="s">
        <v>546</v>
      </c>
      <c r="F1113" s="360">
        <v>12</v>
      </c>
      <c r="G1113" s="203">
        <f>+SUMIF('AUX-NIV1'!I:I,Recursos!C1113,'AUX-NIV1'!Q:Q)+SUMIF('AUX-NIV2'!I:I,Recursos!C1113,'AUX-NIV2'!Q:Q)+SUMIF('AUX-NIV3'!I:I,Recursos!C1113,'AUX-NIV3'!Q:Q)</f>
        <v>0</v>
      </c>
      <c r="H1113" s="204">
        <f t="shared" si="113"/>
        <v>0</v>
      </c>
      <c r="I1113" s="366">
        <f t="shared" si="114"/>
        <v>0</v>
      </c>
      <c r="J1113" s="205"/>
      <c r="L1113" s="83"/>
      <c r="M1113" s="83"/>
      <c r="N1113" s="83"/>
      <c r="O1113" s="83"/>
      <c r="P1113" s="83"/>
      <c r="Q1113" s="83"/>
      <c r="R1113" s="83"/>
      <c r="S1113" s="83"/>
      <c r="T1113" s="83"/>
      <c r="U1113" s="83"/>
      <c r="V1113" s="83"/>
      <c r="W1113" s="83"/>
    </row>
    <row r="1114" spans="2:23">
      <c r="B1114" s="222"/>
      <c r="C1114" s="206" t="s">
        <v>2602</v>
      </c>
      <c r="D1114" s="200" t="s">
        <v>548</v>
      </c>
      <c r="E1114" s="201" t="s">
        <v>546</v>
      </c>
      <c r="F1114" s="360">
        <v>12</v>
      </c>
      <c r="G1114" s="203">
        <f>+SUMIF('AUX-NIV1'!I:I,Recursos!C1114,'AUX-NIV1'!Q:Q)+SUMIF('AUX-NIV2'!I:I,Recursos!C1114,'AUX-NIV2'!Q:Q)+SUMIF('AUX-NIV3'!I:I,Recursos!C1114,'AUX-NIV3'!Q:Q)</f>
        <v>0</v>
      </c>
      <c r="H1114" s="204">
        <f t="shared" si="113"/>
        <v>0</v>
      </c>
      <c r="I1114" s="366">
        <f t="shared" si="114"/>
        <v>0</v>
      </c>
      <c r="J1114" s="474"/>
      <c r="L1114" s="83"/>
      <c r="M1114" s="83"/>
      <c r="N1114" s="83"/>
      <c r="O1114" s="83"/>
      <c r="P1114" s="83"/>
      <c r="Q1114" s="83"/>
      <c r="R1114" s="83"/>
      <c r="S1114" s="83"/>
      <c r="T1114" s="83"/>
      <c r="U1114" s="83"/>
      <c r="V1114" s="83"/>
      <c r="W1114" s="83"/>
    </row>
    <row r="1115" spans="2:23">
      <c r="B1115" s="222"/>
      <c r="C1115" s="199" t="s">
        <v>682</v>
      </c>
      <c r="D1115" s="200" t="s">
        <v>683</v>
      </c>
      <c r="E1115" s="201" t="s">
        <v>623</v>
      </c>
      <c r="F1115" s="360">
        <v>300000</v>
      </c>
      <c r="G1115" s="203">
        <f>+SUMIF('AUX-NIV1'!I:I,Recursos!C1115,'AUX-NIV1'!Q:Q)+SUMIF('AUX-NIV2'!I:I,Recursos!C1115,'AUX-NIV2'!Q:Q)+SUMIF('AUX-NIV3'!I:I,Recursos!C1115,'AUX-NIV3'!Q:Q)</f>
        <v>0</v>
      </c>
      <c r="H1115" s="204">
        <f t="shared" si="113"/>
        <v>0</v>
      </c>
      <c r="I1115" s="366">
        <f t="shared" si="114"/>
        <v>0</v>
      </c>
      <c r="J1115" s="205"/>
      <c r="L1115" s="83"/>
      <c r="M1115" s="83"/>
      <c r="N1115" s="83"/>
      <c r="O1115" s="83"/>
      <c r="P1115" s="83"/>
      <c r="Q1115" s="83"/>
      <c r="R1115" s="83"/>
      <c r="S1115" s="83"/>
      <c r="T1115" s="83"/>
      <c r="U1115" s="83"/>
      <c r="V1115" s="83"/>
      <c r="W1115" s="83"/>
    </row>
    <row r="1116" spans="2:23">
      <c r="B1116" s="222"/>
      <c r="C1116" s="206" t="s">
        <v>2485</v>
      </c>
      <c r="D1116" s="200" t="s">
        <v>2486</v>
      </c>
      <c r="E1116" s="201" t="s">
        <v>2484</v>
      </c>
      <c r="F1116" s="360">
        <v>1</v>
      </c>
      <c r="G1116" s="203">
        <f>+SUMIF('AUX-NIV1'!I:I,Recursos!C1116,'AUX-NIV1'!Q:Q)+SUMIF('AUX-NIV2'!I:I,Recursos!C1116,'AUX-NIV2'!Q:Q)+SUMIF('AUX-NIV3'!I:I,Recursos!C1116,'AUX-NIV3'!Q:Q)</f>
        <v>0</v>
      </c>
      <c r="H1116" s="204">
        <f t="shared" si="113"/>
        <v>0</v>
      </c>
      <c r="I1116" s="366">
        <f t="shared" si="114"/>
        <v>0</v>
      </c>
      <c r="J1116" s="474"/>
      <c r="L1116" s="83"/>
      <c r="M1116" s="83"/>
      <c r="N1116" s="83"/>
      <c r="O1116" s="83"/>
      <c r="P1116" s="83"/>
      <c r="Q1116" s="83"/>
      <c r="R1116" s="83"/>
      <c r="S1116" s="83"/>
      <c r="T1116" s="83"/>
      <c r="U1116" s="83"/>
      <c r="V1116" s="83"/>
      <c r="W1116" s="83"/>
    </row>
    <row r="1117" spans="2:23">
      <c r="B1117" s="222"/>
      <c r="C1117" s="199" t="s">
        <v>631</v>
      </c>
      <c r="D1117" s="200" t="s">
        <v>632</v>
      </c>
      <c r="E1117" s="201" t="s">
        <v>633</v>
      </c>
      <c r="F1117" s="360">
        <v>100</v>
      </c>
      <c r="G1117" s="203">
        <f>+SUMIF('AUX-NIV1'!I:I,Recursos!C1117,'AUX-NIV1'!Q:Q)+SUMIF('AUX-NIV2'!I:I,Recursos!C1117,'AUX-NIV2'!Q:Q)+SUMIF('AUX-NIV3'!I:I,Recursos!C1117,'AUX-NIV3'!Q:Q)</f>
        <v>0</v>
      </c>
      <c r="H1117" s="204">
        <f t="shared" si="113"/>
        <v>0</v>
      </c>
      <c r="I1117" s="366">
        <f t="shared" si="114"/>
        <v>0</v>
      </c>
      <c r="J1117" s="205"/>
      <c r="L1117" s="83"/>
      <c r="M1117" s="83"/>
      <c r="N1117" s="83"/>
      <c r="O1117" s="83"/>
      <c r="P1117" s="83"/>
      <c r="Q1117" s="83"/>
      <c r="R1117" s="83"/>
      <c r="S1117" s="83"/>
      <c r="T1117" s="83"/>
      <c r="U1117" s="83"/>
      <c r="V1117" s="83"/>
      <c r="W1117" s="83"/>
    </row>
    <row r="1118" spans="2:23">
      <c r="B1118" s="222"/>
      <c r="C1118" s="206" t="s">
        <v>2607</v>
      </c>
      <c r="D1118" s="200" t="s">
        <v>632</v>
      </c>
      <c r="E1118" s="201" t="s">
        <v>633</v>
      </c>
      <c r="F1118" s="360">
        <v>100</v>
      </c>
      <c r="G1118" s="203">
        <f>+SUMIF('AUX-NIV1'!I:I,Recursos!C1118,'AUX-NIV1'!Q:Q)+SUMIF('AUX-NIV2'!I:I,Recursos!C1118,'AUX-NIV2'!Q:Q)+SUMIF('AUX-NIV3'!I:I,Recursos!C1118,'AUX-NIV3'!Q:Q)</f>
        <v>0</v>
      </c>
      <c r="H1118" s="204">
        <f t="shared" si="113"/>
        <v>0</v>
      </c>
      <c r="I1118" s="366">
        <f t="shared" si="114"/>
        <v>0</v>
      </c>
      <c r="J1118" s="474"/>
      <c r="L1118" s="83"/>
      <c r="M1118" s="83"/>
      <c r="N1118" s="83"/>
      <c r="O1118" s="83"/>
      <c r="P1118" s="83"/>
      <c r="Q1118" s="83"/>
      <c r="R1118" s="83"/>
      <c r="S1118" s="83"/>
      <c r="T1118" s="83"/>
      <c r="U1118" s="83"/>
      <c r="V1118" s="83"/>
      <c r="W1118" s="83"/>
    </row>
    <row r="1119" spans="2:23">
      <c r="B1119" s="222"/>
      <c r="C1119" s="199" t="s">
        <v>139</v>
      </c>
      <c r="D1119" s="200" t="s">
        <v>140</v>
      </c>
      <c r="E1119" s="201" t="s">
        <v>501</v>
      </c>
      <c r="F1119" s="360">
        <v>300</v>
      </c>
      <c r="G1119" s="203">
        <f>+SUMIF('AUX-NIV1'!I:I,Recursos!C1119,'AUX-NIV1'!Q:Q)+SUMIF('AUX-NIV2'!I:I,Recursos!C1119,'AUX-NIV2'!Q:Q)+SUMIF('AUX-NIV3'!I:I,Recursos!C1119,'AUX-NIV3'!Q:Q)</f>
        <v>0</v>
      </c>
      <c r="H1119" s="204">
        <f t="shared" si="113"/>
        <v>0</v>
      </c>
      <c r="I1119" s="366">
        <f t="shared" si="114"/>
        <v>0</v>
      </c>
      <c r="J1119" s="205"/>
      <c r="L1119" s="83"/>
      <c r="M1119" s="83"/>
      <c r="N1119" s="83"/>
      <c r="O1119" s="83"/>
      <c r="P1119" s="83"/>
      <c r="Q1119" s="83"/>
      <c r="R1119" s="83"/>
      <c r="S1119" s="83"/>
      <c r="T1119" s="83"/>
      <c r="U1119" s="83"/>
      <c r="V1119" s="83"/>
      <c r="W1119" s="83"/>
    </row>
    <row r="1120" spans="2:23">
      <c r="B1120" s="222"/>
      <c r="C1120" s="206" t="s">
        <v>2619</v>
      </c>
      <c r="D1120" s="200" t="s">
        <v>140</v>
      </c>
      <c r="E1120" s="201" t="s">
        <v>501</v>
      </c>
      <c r="F1120" s="360">
        <v>300</v>
      </c>
      <c r="G1120" s="203">
        <f>+SUMIF('AUX-NIV1'!I:I,Recursos!C1120,'AUX-NIV1'!Q:Q)+SUMIF('AUX-NIV2'!I:I,Recursos!C1120,'AUX-NIV2'!Q:Q)+SUMIF('AUX-NIV3'!I:I,Recursos!C1120,'AUX-NIV3'!Q:Q)</f>
        <v>0</v>
      </c>
      <c r="H1120" s="204">
        <f t="shared" si="113"/>
        <v>0</v>
      </c>
      <c r="I1120" s="366">
        <f t="shared" si="114"/>
        <v>0</v>
      </c>
      <c r="J1120" s="474"/>
      <c r="L1120" s="83"/>
      <c r="M1120" s="83"/>
      <c r="N1120" s="83"/>
      <c r="O1120" s="83"/>
      <c r="P1120" s="83"/>
      <c r="Q1120" s="83"/>
      <c r="R1120" s="83"/>
      <c r="S1120" s="83"/>
      <c r="T1120" s="83"/>
      <c r="U1120" s="83"/>
      <c r="V1120" s="83"/>
      <c r="W1120" s="83"/>
    </row>
    <row r="1121" spans="2:23">
      <c r="B1121" s="222"/>
      <c r="C1121" s="206" t="s">
        <v>2514</v>
      </c>
      <c r="D1121" s="200" t="s">
        <v>2515</v>
      </c>
      <c r="E1121" s="201" t="s">
        <v>501</v>
      </c>
      <c r="F1121" s="360">
        <v>500</v>
      </c>
      <c r="G1121" s="203">
        <f>+SUMIF('AUX-NIV1'!I:I,Recursos!C1121,'AUX-NIV1'!Q:Q)+SUMIF('AUX-NIV2'!I:I,Recursos!C1121,'AUX-NIV2'!Q:Q)+SUMIF('AUX-NIV3'!I:I,Recursos!C1121,'AUX-NIV3'!Q:Q)</f>
        <v>0</v>
      </c>
      <c r="H1121" s="204">
        <f t="shared" si="113"/>
        <v>0</v>
      </c>
      <c r="I1121" s="366">
        <f t="shared" si="114"/>
        <v>0</v>
      </c>
      <c r="J1121" s="474"/>
      <c r="L1121" s="83"/>
      <c r="M1121" s="83"/>
      <c r="N1121" s="83"/>
      <c r="O1121" s="83"/>
      <c r="P1121" s="83"/>
      <c r="Q1121" s="83"/>
      <c r="R1121" s="83"/>
      <c r="S1121" s="83"/>
      <c r="T1121" s="83"/>
      <c r="U1121" s="83"/>
      <c r="V1121" s="83"/>
      <c r="W1121" s="83"/>
    </row>
    <row r="1122" spans="2:23">
      <c r="B1122" s="222"/>
      <c r="C1122" s="206" t="s">
        <v>2579</v>
      </c>
      <c r="D1122" s="200" t="s">
        <v>2580</v>
      </c>
      <c r="E1122" s="201" t="s">
        <v>477</v>
      </c>
      <c r="F1122" s="360">
        <v>115</v>
      </c>
      <c r="G1122" s="203">
        <f>+SUMIF('AUX-NIV1'!I:I,Recursos!C1122,'AUX-NIV1'!Q:Q)+SUMIF('AUX-NIV2'!I:I,Recursos!C1122,'AUX-NIV2'!Q:Q)+SUMIF('AUX-NIV3'!I:I,Recursos!C1122,'AUX-NIV3'!Q:Q)</f>
        <v>0</v>
      </c>
      <c r="H1122" s="204">
        <f t="shared" si="113"/>
        <v>0</v>
      </c>
      <c r="I1122" s="366">
        <f t="shared" si="114"/>
        <v>0</v>
      </c>
      <c r="J1122" s="474"/>
      <c r="L1122" s="83"/>
      <c r="M1122" s="83"/>
      <c r="N1122" s="83"/>
      <c r="O1122" s="83"/>
      <c r="P1122" s="83"/>
      <c r="Q1122" s="83"/>
      <c r="R1122" s="83"/>
      <c r="S1122" s="83"/>
      <c r="T1122" s="83"/>
      <c r="U1122" s="83"/>
      <c r="V1122" s="83"/>
      <c r="W1122" s="83"/>
    </row>
    <row r="1123" spans="2:23">
      <c r="B1123" s="222"/>
      <c r="C1123" s="206" t="s">
        <v>2575</v>
      </c>
      <c r="D1123" s="200" t="s">
        <v>2576</v>
      </c>
      <c r="E1123" s="201" t="s">
        <v>477</v>
      </c>
      <c r="F1123" s="360">
        <v>129</v>
      </c>
      <c r="G1123" s="203">
        <f>+SUMIF('AUX-NIV1'!I:I,Recursos!C1123,'AUX-NIV1'!Q:Q)+SUMIF('AUX-NIV2'!I:I,Recursos!C1123,'AUX-NIV2'!Q:Q)+SUMIF('AUX-NIV3'!I:I,Recursos!C1123,'AUX-NIV3'!Q:Q)</f>
        <v>0</v>
      </c>
      <c r="H1123" s="204">
        <f t="shared" si="113"/>
        <v>0</v>
      </c>
      <c r="I1123" s="366">
        <f t="shared" si="114"/>
        <v>0</v>
      </c>
      <c r="J1123" s="474"/>
      <c r="L1123" s="83"/>
      <c r="M1123" s="83"/>
      <c r="N1123" s="83"/>
      <c r="O1123" s="83"/>
      <c r="P1123" s="83"/>
      <c r="Q1123" s="83"/>
      <c r="R1123" s="83"/>
      <c r="S1123" s="83"/>
      <c r="T1123" s="83"/>
      <c r="U1123" s="83"/>
      <c r="V1123" s="83"/>
      <c r="W1123" s="83"/>
    </row>
    <row r="1124" spans="2:23">
      <c r="B1124" s="222"/>
      <c r="C1124" s="206" t="s">
        <v>2577</v>
      </c>
      <c r="D1124" s="200" t="s">
        <v>2578</v>
      </c>
      <c r="E1124" s="201" t="s">
        <v>477</v>
      </c>
      <c r="F1124" s="360">
        <v>85</v>
      </c>
      <c r="G1124" s="203">
        <f>+SUMIF('AUX-NIV1'!I:I,Recursos!C1124,'AUX-NIV1'!Q:Q)+SUMIF('AUX-NIV2'!I:I,Recursos!C1124,'AUX-NIV2'!Q:Q)+SUMIF('AUX-NIV3'!I:I,Recursos!C1124,'AUX-NIV3'!Q:Q)</f>
        <v>0</v>
      </c>
      <c r="H1124" s="204">
        <f t="shared" si="113"/>
        <v>0</v>
      </c>
      <c r="I1124" s="366">
        <f t="shared" si="114"/>
        <v>0</v>
      </c>
      <c r="J1124" s="474"/>
      <c r="L1124" s="83"/>
      <c r="M1124" s="83"/>
      <c r="N1124" s="83"/>
      <c r="O1124" s="83"/>
      <c r="P1124" s="83"/>
      <c r="Q1124" s="83"/>
      <c r="R1124" s="83"/>
      <c r="S1124" s="83"/>
      <c r="T1124" s="83"/>
      <c r="U1124" s="83"/>
      <c r="V1124" s="83"/>
      <c r="W1124" s="83"/>
    </row>
    <row r="1125" spans="2:23">
      <c r="B1125" s="222"/>
      <c r="C1125" s="206" t="s">
        <v>2620</v>
      </c>
      <c r="D1125" s="200" t="s">
        <v>2621</v>
      </c>
      <c r="E1125" s="201" t="s">
        <v>371</v>
      </c>
      <c r="F1125" s="360">
        <v>2100</v>
      </c>
      <c r="G1125" s="203">
        <f>+SUMIF('AUX-NIV1'!I:I,Recursos!C1125,'AUX-NIV1'!Q:Q)+SUMIF('AUX-NIV2'!I:I,Recursos!C1125,'AUX-NIV2'!Q:Q)+SUMIF('AUX-NIV3'!I:I,Recursos!C1125,'AUX-NIV3'!Q:Q)</f>
        <v>0</v>
      </c>
      <c r="H1125" s="204">
        <f t="shared" si="113"/>
        <v>0</v>
      </c>
      <c r="I1125" s="366">
        <f t="shared" si="114"/>
        <v>0</v>
      </c>
      <c r="J1125" s="474"/>
      <c r="L1125" s="83"/>
      <c r="M1125" s="83"/>
      <c r="N1125" s="83"/>
      <c r="O1125" s="83"/>
      <c r="P1125" s="83"/>
      <c r="Q1125" s="83"/>
      <c r="R1125" s="83"/>
      <c r="S1125" s="83"/>
      <c r="T1125" s="83"/>
      <c r="U1125" s="83"/>
      <c r="V1125" s="83"/>
      <c r="W1125" s="83"/>
    </row>
    <row r="1126" spans="2:23">
      <c r="B1126" s="222"/>
      <c r="C1126" s="206" t="s">
        <v>2716</v>
      </c>
      <c r="D1126" s="200" t="s">
        <v>2717</v>
      </c>
      <c r="E1126" s="201" t="s">
        <v>623</v>
      </c>
      <c r="F1126" s="360">
        <v>36000</v>
      </c>
      <c r="G1126" s="203">
        <f>+SUMIF('AUX-NIV1'!I:I,Recursos!C1126,'AUX-NIV1'!Q:Q)+SUMIF('AUX-NIV2'!I:I,Recursos!C1126,'AUX-NIV2'!Q:Q)+SUMIF('AUX-NIV3'!I:I,Recursos!C1126,'AUX-NIV3'!Q:Q)</f>
        <v>0</v>
      </c>
      <c r="H1126" s="204">
        <f t="shared" si="113"/>
        <v>0</v>
      </c>
      <c r="I1126" s="366">
        <f t="shared" si="114"/>
        <v>0</v>
      </c>
      <c r="J1126" s="474"/>
      <c r="L1126" s="83"/>
      <c r="M1126" s="83"/>
      <c r="N1126" s="83"/>
      <c r="O1126" s="83"/>
      <c r="P1126" s="83"/>
      <c r="Q1126" s="83"/>
      <c r="R1126" s="83"/>
      <c r="S1126" s="83"/>
      <c r="T1126" s="83"/>
      <c r="U1126" s="83"/>
      <c r="V1126" s="83"/>
      <c r="W1126" s="83"/>
    </row>
    <row r="1127" spans="2:23" ht="22.8">
      <c r="B1127" s="222"/>
      <c r="C1127" s="206" t="s">
        <v>2687</v>
      </c>
      <c r="D1127" s="200" t="s">
        <v>2688</v>
      </c>
      <c r="E1127" s="201" t="s">
        <v>453</v>
      </c>
      <c r="F1127" s="360">
        <v>1800</v>
      </c>
      <c r="G1127" s="203">
        <f>+SUMIF('AUX-NIV1'!I:I,Recursos!C1127,'AUX-NIV1'!Q:Q)+SUMIF('AUX-NIV2'!I:I,Recursos!C1127,'AUX-NIV2'!Q:Q)+SUMIF('AUX-NIV3'!I:I,Recursos!C1127,'AUX-NIV3'!Q:Q)</f>
        <v>0</v>
      </c>
      <c r="H1127" s="204">
        <f t="shared" si="113"/>
        <v>0</v>
      </c>
      <c r="I1127" s="366">
        <f t="shared" si="114"/>
        <v>0</v>
      </c>
      <c r="J1127" s="474"/>
      <c r="L1127" s="83"/>
      <c r="M1127" s="83"/>
      <c r="N1127" s="83"/>
      <c r="O1127" s="83"/>
      <c r="P1127" s="83"/>
      <c r="Q1127" s="83"/>
      <c r="R1127" s="83"/>
      <c r="S1127" s="83"/>
      <c r="T1127" s="83"/>
      <c r="U1127" s="83"/>
      <c r="V1127" s="83"/>
      <c r="W1127" s="83"/>
    </row>
    <row r="1128" spans="2:23">
      <c r="B1128" s="222"/>
      <c r="C1128" s="206" t="s">
        <v>2626</v>
      </c>
      <c r="D1128" s="200" t="s">
        <v>2627</v>
      </c>
      <c r="E1128" s="201" t="s">
        <v>477</v>
      </c>
      <c r="F1128" s="360">
        <v>250</v>
      </c>
      <c r="G1128" s="203">
        <f>+SUMIF('AUX-NIV1'!I:I,Recursos!C1128,'AUX-NIV1'!Q:Q)+SUMIF('AUX-NIV2'!I:I,Recursos!C1128,'AUX-NIV2'!Q:Q)+SUMIF('AUX-NIV3'!I:I,Recursos!C1128,'AUX-NIV3'!Q:Q)</f>
        <v>0</v>
      </c>
      <c r="H1128" s="204">
        <f t="shared" si="113"/>
        <v>0</v>
      </c>
      <c r="I1128" s="366">
        <f t="shared" si="114"/>
        <v>0</v>
      </c>
      <c r="J1128" s="474"/>
      <c r="L1128" s="83"/>
      <c r="M1128" s="83"/>
      <c r="N1128" s="83"/>
      <c r="O1128" s="83"/>
      <c r="P1128" s="83"/>
      <c r="Q1128" s="83"/>
      <c r="R1128" s="83"/>
      <c r="S1128" s="83"/>
      <c r="T1128" s="83"/>
      <c r="U1128" s="83"/>
      <c r="V1128" s="83"/>
      <c r="W1128" s="83"/>
    </row>
    <row r="1129" spans="2:23">
      <c r="B1129" s="222"/>
      <c r="C1129" s="206" t="s">
        <v>2622</v>
      </c>
      <c r="D1129" s="200" t="s">
        <v>2623</v>
      </c>
      <c r="E1129" s="201" t="s">
        <v>477</v>
      </c>
      <c r="F1129" s="360">
        <v>500</v>
      </c>
      <c r="G1129" s="203">
        <f>+SUMIF('AUX-NIV1'!I:I,Recursos!C1129,'AUX-NIV1'!Q:Q)+SUMIF('AUX-NIV2'!I:I,Recursos!C1129,'AUX-NIV2'!Q:Q)+SUMIF('AUX-NIV3'!I:I,Recursos!C1129,'AUX-NIV3'!Q:Q)</f>
        <v>0</v>
      </c>
      <c r="H1129" s="204">
        <f t="shared" si="113"/>
        <v>0</v>
      </c>
      <c r="I1129" s="366">
        <f t="shared" si="114"/>
        <v>0</v>
      </c>
      <c r="J1129" s="474"/>
      <c r="L1129" s="83"/>
      <c r="M1129" s="83"/>
      <c r="N1129" s="83"/>
      <c r="O1129" s="83"/>
      <c r="P1129" s="83"/>
      <c r="Q1129" s="83"/>
      <c r="R1129" s="83"/>
      <c r="S1129" s="83"/>
      <c r="T1129" s="83"/>
      <c r="U1129" s="83"/>
      <c r="V1129" s="83"/>
      <c r="W1129" s="83"/>
    </row>
    <row r="1130" spans="2:23">
      <c r="B1130" s="222"/>
      <c r="C1130" s="206" t="s">
        <v>2624</v>
      </c>
      <c r="D1130" s="200" t="s">
        <v>2625</v>
      </c>
      <c r="E1130" s="201" t="s">
        <v>477</v>
      </c>
      <c r="F1130" s="360">
        <v>75</v>
      </c>
      <c r="G1130" s="203">
        <f>+SUMIF('AUX-NIV1'!I:I,Recursos!C1130,'AUX-NIV1'!Q:Q)+SUMIF('AUX-NIV2'!I:I,Recursos!C1130,'AUX-NIV2'!Q:Q)+SUMIF('AUX-NIV3'!I:I,Recursos!C1130,'AUX-NIV3'!Q:Q)</f>
        <v>0</v>
      </c>
      <c r="H1130" s="204">
        <f t="shared" si="113"/>
        <v>0</v>
      </c>
      <c r="I1130" s="366">
        <f t="shared" si="114"/>
        <v>0</v>
      </c>
      <c r="J1130" s="474"/>
      <c r="L1130" s="83"/>
      <c r="M1130" s="83"/>
      <c r="N1130" s="83"/>
      <c r="O1130" s="83"/>
      <c r="P1130" s="83"/>
      <c r="Q1130" s="83"/>
      <c r="R1130" s="83"/>
      <c r="S1130" s="83"/>
      <c r="T1130" s="83"/>
      <c r="U1130" s="83"/>
      <c r="V1130" s="83"/>
      <c r="W1130" s="83"/>
    </row>
    <row r="1131" spans="2:23">
      <c r="B1131" s="222"/>
      <c r="C1131" s="206" t="s">
        <v>2720</v>
      </c>
      <c r="D1131" s="200" t="s">
        <v>2721</v>
      </c>
      <c r="E1131" s="201" t="s">
        <v>484</v>
      </c>
      <c r="F1131" s="360">
        <v>1500</v>
      </c>
      <c r="G1131" s="203">
        <f>+SUMIF('AUX-NIV1'!I:I,Recursos!C1131,'AUX-NIV1'!Q:Q)+SUMIF('AUX-NIV2'!I:I,Recursos!C1131,'AUX-NIV2'!Q:Q)+SUMIF('AUX-NIV3'!I:I,Recursos!C1131,'AUX-NIV3'!Q:Q)</f>
        <v>0</v>
      </c>
      <c r="H1131" s="204">
        <f t="shared" si="113"/>
        <v>0</v>
      </c>
      <c r="I1131" s="366">
        <f t="shared" si="114"/>
        <v>0</v>
      </c>
      <c r="J1131" s="474"/>
      <c r="L1131" s="83"/>
      <c r="M1131" s="83"/>
      <c r="N1131" s="83"/>
      <c r="O1131" s="83"/>
      <c r="P1131" s="83"/>
      <c r="Q1131" s="83"/>
      <c r="R1131" s="83"/>
      <c r="S1131" s="83"/>
      <c r="T1131" s="83"/>
      <c r="U1131" s="83"/>
      <c r="V1131" s="83"/>
      <c r="W1131" s="83"/>
    </row>
    <row r="1132" spans="2:23">
      <c r="B1132" s="222"/>
      <c r="C1132" s="206" t="s">
        <v>2571</v>
      </c>
      <c r="D1132" s="200" t="s">
        <v>2572</v>
      </c>
      <c r="E1132" s="201" t="s">
        <v>1782</v>
      </c>
      <c r="F1132" s="360">
        <v>31528.881000000001</v>
      </c>
      <c r="G1132" s="203">
        <f>+SUMIF('AUX-NIV1'!I:I,Recursos!C1132,'AUX-NIV1'!Q:Q)+SUMIF('AUX-NIV2'!I:I,Recursos!C1132,'AUX-NIV2'!Q:Q)+SUMIF('AUX-NIV3'!I:I,Recursos!C1132,'AUX-NIV3'!Q:Q)</f>
        <v>0</v>
      </c>
      <c r="H1132" s="204">
        <f t="shared" si="113"/>
        <v>0</v>
      </c>
      <c r="I1132" s="366">
        <f t="shared" si="114"/>
        <v>0</v>
      </c>
      <c r="J1132" s="474"/>
      <c r="L1132" s="83"/>
      <c r="M1132" s="83"/>
      <c r="N1132" s="83"/>
      <c r="O1132" s="83"/>
      <c r="P1132" s="83"/>
      <c r="Q1132" s="83"/>
      <c r="R1132" s="83"/>
      <c r="S1132" s="83"/>
      <c r="T1132" s="83"/>
      <c r="U1132" s="83"/>
      <c r="V1132" s="83"/>
      <c r="W1132" s="83"/>
    </row>
    <row r="1133" spans="2:23">
      <c r="B1133" s="222"/>
      <c r="C1133" s="206" t="s">
        <v>2696</v>
      </c>
      <c r="D1133" s="200" t="s">
        <v>2697</v>
      </c>
      <c r="E1133" s="201" t="s">
        <v>1168</v>
      </c>
      <c r="F1133" s="360">
        <v>2500</v>
      </c>
      <c r="G1133" s="203">
        <f>+SUMIF('AUX-NIV1'!I:I,Recursos!C1133,'AUX-NIV1'!Q:Q)+SUMIF('AUX-NIV2'!I:I,Recursos!C1133,'AUX-NIV2'!Q:Q)+SUMIF('AUX-NIV3'!I:I,Recursos!C1133,'AUX-NIV3'!Q:Q)</f>
        <v>0</v>
      </c>
      <c r="H1133" s="204">
        <f t="shared" si="113"/>
        <v>0</v>
      </c>
      <c r="I1133" s="366">
        <f t="shared" si="114"/>
        <v>0</v>
      </c>
      <c r="J1133" s="474"/>
      <c r="L1133" s="83"/>
      <c r="M1133" s="83"/>
      <c r="N1133" s="83"/>
      <c r="O1133" s="83"/>
      <c r="P1133" s="83"/>
      <c r="Q1133" s="83"/>
      <c r="R1133" s="83"/>
      <c r="S1133" s="83"/>
      <c r="T1133" s="83"/>
      <c r="U1133" s="83"/>
      <c r="V1133" s="83"/>
      <c r="W1133" s="83"/>
    </row>
    <row r="1134" spans="2:23">
      <c r="B1134" s="222"/>
      <c r="C1134" s="199" t="s">
        <v>739</v>
      </c>
      <c r="D1134" s="200" t="s">
        <v>740</v>
      </c>
      <c r="E1134" s="201" t="s">
        <v>453</v>
      </c>
      <c r="F1134" s="360">
        <v>1</v>
      </c>
      <c r="G1134" s="203">
        <f>+SUMIF('AUX-NIV1'!I:I,Recursos!C1134,'AUX-NIV1'!Q:Q)+SUMIF('AUX-NIV2'!I:I,Recursos!C1134,'AUX-NIV2'!Q:Q)+SUMIF('AUX-NIV3'!I:I,Recursos!C1134,'AUX-NIV3'!Q:Q)</f>
        <v>0</v>
      </c>
      <c r="H1134" s="204">
        <f t="shared" si="113"/>
        <v>0</v>
      </c>
      <c r="I1134" s="366">
        <f t="shared" si="114"/>
        <v>0</v>
      </c>
      <c r="J1134" s="205"/>
      <c r="L1134" s="83"/>
      <c r="M1134" s="83"/>
      <c r="N1134" s="83"/>
      <c r="O1134" s="83"/>
      <c r="P1134" s="83"/>
      <c r="Q1134" s="83"/>
      <c r="R1134" s="83"/>
      <c r="S1134" s="83"/>
      <c r="T1134" s="83"/>
      <c r="U1134" s="83"/>
      <c r="V1134" s="83"/>
      <c r="W1134" s="83"/>
    </row>
    <row r="1135" spans="2:23">
      <c r="B1135" s="222"/>
      <c r="C1135" s="206" t="s">
        <v>2635</v>
      </c>
      <c r="D1135" s="200" t="s">
        <v>740</v>
      </c>
      <c r="E1135" s="201" t="s">
        <v>453</v>
      </c>
      <c r="F1135" s="360">
        <v>5000</v>
      </c>
      <c r="G1135" s="203">
        <f>+SUMIF('AUX-NIV1'!I:I,Recursos!C1135,'AUX-NIV1'!Q:Q)+SUMIF('AUX-NIV2'!I:I,Recursos!C1135,'AUX-NIV2'!Q:Q)+SUMIF('AUX-NIV3'!I:I,Recursos!C1135,'AUX-NIV3'!Q:Q)</f>
        <v>0</v>
      </c>
      <c r="H1135" s="204">
        <f t="shared" ref="H1135:H1183" si="115">+F1135*G1135</f>
        <v>0</v>
      </c>
      <c r="I1135" s="366">
        <f t="shared" ref="I1135:I1183" si="116">+H1135/$I$3</f>
        <v>0</v>
      </c>
      <c r="J1135" s="474"/>
      <c r="L1135" s="83"/>
      <c r="M1135" s="83"/>
      <c r="N1135" s="83"/>
      <c r="O1135" s="83"/>
      <c r="P1135" s="83"/>
      <c r="Q1135" s="83"/>
      <c r="R1135" s="83"/>
      <c r="S1135" s="83"/>
      <c r="T1135" s="83"/>
      <c r="U1135" s="83"/>
      <c r="V1135" s="83"/>
      <c r="W1135" s="83"/>
    </row>
    <row r="1136" spans="2:23">
      <c r="B1136" s="222"/>
      <c r="C1136" s="206" t="s">
        <v>2636</v>
      </c>
      <c r="D1136" s="200" t="s">
        <v>2637</v>
      </c>
      <c r="E1136" s="201" t="s">
        <v>501</v>
      </c>
      <c r="F1136" s="360">
        <v>490</v>
      </c>
      <c r="G1136" s="203">
        <f>+SUMIF('AUX-NIV1'!I:I,Recursos!C1136,'AUX-NIV1'!Q:Q)+SUMIF('AUX-NIV2'!I:I,Recursos!C1136,'AUX-NIV2'!Q:Q)+SUMIF('AUX-NIV3'!I:I,Recursos!C1136,'AUX-NIV3'!Q:Q)</f>
        <v>0</v>
      </c>
      <c r="H1136" s="204">
        <f t="shared" si="115"/>
        <v>0</v>
      </c>
      <c r="I1136" s="366">
        <f t="shared" si="116"/>
        <v>0</v>
      </c>
      <c r="J1136" s="474"/>
      <c r="L1136" s="83"/>
      <c r="M1136" s="83"/>
      <c r="N1136" s="83"/>
      <c r="O1136" s="83"/>
      <c r="P1136" s="83"/>
      <c r="Q1136" s="83"/>
      <c r="R1136" s="83"/>
      <c r="S1136" s="83"/>
      <c r="T1136" s="83"/>
      <c r="U1136" s="83"/>
      <c r="V1136" s="83"/>
      <c r="W1136" s="83"/>
    </row>
    <row r="1137" spans="2:23">
      <c r="B1137" s="222"/>
      <c r="C1137" s="206" t="s">
        <v>2646</v>
      </c>
      <c r="D1137" s="200" t="s">
        <v>2647</v>
      </c>
      <c r="E1137" s="201" t="s">
        <v>501</v>
      </c>
      <c r="F1137" s="360">
        <v>18</v>
      </c>
      <c r="G1137" s="203">
        <f>+SUMIF('AUX-NIV1'!I:I,Recursos!C1137,'AUX-NIV1'!Q:Q)+SUMIF('AUX-NIV2'!I:I,Recursos!C1137,'AUX-NIV2'!Q:Q)+SUMIF('AUX-NIV3'!I:I,Recursos!C1137,'AUX-NIV3'!Q:Q)</f>
        <v>0</v>
      </c>
      <c r="H1137" s="204">
        <f t="shared" si="115"/>
        <v>0</v>
      </c>
      <c r="I1137" s="366">
        <f t="shared" si="116"/>
        <v>0</v>
      </c>
      <c r="J1137" s="474"/>
      <c r="L1137" s="83"/>
      <c r="M1137" s="83"/>
      <c r="N1137" s="83"/>
      <c r="O1137" s="83"/>
      <c r="P1137" s="83"/>
      <c r="Q1137" s="83"/>
      <c r="R1137" s="83"/>
      <c r="S1137" s="83"/>
      <c r="T1137" s="83"/>
      <c r="U1137" s="83"/>
      <c r="V1137" s="83"/>
      <c r="W1137" s="83"/>
    </row>
    <row r="1138" spans="2:23">
      <c r="B1138" s="222"/>
      <c r="C1138" s="206" t="s">
        <v>2648</v>
      </c>
      <c r="D1138" s="200" t="s">
        <v>2649</v>
      </c>
      <c r="E1138" s="201" t="s">
        <v>501</v>
      </c>
      <c r="F1138" s="360">
        <v>2080</v>
      </c>
      <c r="G1138" s="203">
        <f>+SUMIF('AUX-NIV1'!I:I,Recursos!C1138,'AUX-NIV1'!Q:Q)+SUMIF('AUX-NIV2'!I:I,Recursos!C1138,'AUX-NIV2'!Q:Q)+SUMIF('AUX-NIV3'!I:I,Recursos!C1138,'AUX-NIV3'!Q:Q)</f>
        <v>0</v>
      </c>
      <c r="H1138" s="204">
        <f t="shared" si="115"/>
        <v>0</v>
      </c>
      <c r="I1138" s="366">
        <f t="shared" si="116"/>
        <v>0</v>
      </c>
      <c r="J1138" s="474"/>
      <c r="L1138" s="83"/>
      <c r="M1138" s="83"/>
      <c r="N1138" s="83"/>
      <c r="O1138" s="83"/>
      <c r="P1138" s="83"/>
      <c r="Q1138" s="83"/>
      <c r="R1138" s="83"/>
      <c r="S1138" s="83"/>
      <c r="T1138" s="83"/>
      <c r="U1138" s="83"/>
      <c r="V1138" s="83"/>
      <c r="W1138" s="83"/>
    </row>
    <row r="1139" spans="2:23">
      <c r="B1139" s="222"/>
      <c r="C1139" s="206" t="s">
        <v>2650</v>
      </c>
      <c r="D1139" s="200" t="s">
        <v>2651</v>
      </c>
      <c r="E1139" s="201" t="s">
        <v>501</v>
      </c>
      <c r="F1139" s="360">
        <v>945</v>
      </c>
      <c r="G1139" s="203">
        <f>+SUMIF('AUX-NIV1'!I:I,Recursos!C1139,'AUX-NIV1'!Q:Q)+SUMIF('AUX-NIV2'!I:I,Recursos!C1139,'AUX-NIV2'!Q:Q)+SUMIF('AUX-NIV3'!I:I,Recursos!C1139,'AUX-NIV3'!Q:Q)</f>
        <v>0</v>
      </c>
      <c r="H1139" s="204">
        <f t="shared" si="115"/>
        <v>0</v>
      </c>
      <c r="I1139" s="366">
        <f t="shared" si="116"/>
        <v>0</v>
      </c>
      <c r="J1139" s="474"/>
      <c r="L1139" s="83"/>
      <c r="M1139" s="83"/>
      <c r="N1139" s="83"/>
      <c r="O1139" s="83"/>
      <c r="P1139" s="83"/>
      <c r="Q1139" s="83"/>
      <c r="R1139" s="83"/>
      <c r="S1139" s="83"/>
      <c r="T1139" s="83"/>
      <c r="U1139" s="83"/>
      <c r="V1139" s="83"/>
      <c r="W1139" s="83"/>
    </row>
    <row r="1140" spans="2:23">
      <c r="B1140" s="222"/>
      <c r="C1140" s="206" t="s">
        <v>2693</v>
      </c>
      <c r="D1140" s="200" t="s">
        <v>1362</v>
      </c>
      <c r="E1140" s="201" t="s">
        <v>1168</v>
      </c>
      <c r="F1140" s="360">
        <v>3520</v>
      </c>
      <c r="G1140" s="203">
        <f>+SUMIF('AUX-NIV1'!I:I,Recursos!C1140,'AUX-NIV1'!Q:Q)+SUMIF('AUX-NIV2'!I:I,Recursos!C1140,'AUX-NIV2'!Q:Q)+SUMIF('AUX-NIV3'!I:I,Recursos!C1140,'AUX-NIV3'!Q:Q)</f>
        <v>0</v>
      </c>
      <c r="H1140" s="204">
        <f t="shared" si="115"/>
        <v>0</v>
      </c>
      <c r="I1140" s="366">
        <f t="shared" si="116"/>
        <v>0</v>
      </c>
      <c r="J1140" s="474"/>
      <c r="L1140" s="83"/>
      <c r="M1140" s="83"/>
      <c r="N1140" s="83"/>
      <c r="O1140" s="83"/>
      <c r="P1140" s="83"/>
      <c r="Q1140" s="83"/>
      <c r="R1140" s="83"/>
      <c r="S1140" s="83"/>
      <c r="T1140" s="83"/>
      <c r="U1140" s="83"/>
      <c r="V1140" s="83"/>
      <c r="W1140" s="83"/>
    </row>
    <row r="1141" spans="2:23">
      <c r="B1141" s="222"/>
      <c r="C1141" s="206" t="s">
        <v>2691</v>
      </c>
      <c r="D1141" s="200" t="s">
        <v>2692</v>
      </c>
      <c r="E1141" s="201" t="s">
        <v>1168</v>
      </c>
      <c r="F1141" s="360">
        <v>3850</v>
      </c>
      <c r="G1141" s="203">
        <f>+SUMIF('AUX-NIV1'!I:I,Recursos!C1141,'AUX-NIV1'!Q:Q)+SUMIF('AUX-NIV2'!I:I,Recursos!C1141,'AUX-NIV2'!Q:Q)+SUMIF('AUX-NIV3'!I:I,Recursos!C1141,'AUX-NIV3'!Q:Q)</f>
        <v>0</v>
      </c>
      <c r="H1141" s="204">
        <f t="shared" si="115"/>
        <v>0</v>
      </c>
      <c r="I1141" s="366">
        <f t="shared" si="116"/>
        <v>0</v>
      </c>
      <c r="J1141" s="474"/>
      <c r="L1141" s="83"/>
      <c r="M1141" s="83"/>
      <c r="N1141" s="83"/>
      <c r="O1141" s="83"/>
      <c r="P1141" s="83"/>
      <c r="Q1141" s="83"/>
      <c r="R1141" s="83"/>
      <c r="S1141" s="83"/>
      <c r="T1141" s="83"/>
      <c r="U1141" s="83"/>
      <c r="V1141" s="83"/>
      <c r="W1141" s="83"/>
    </row>
    <row r="1142" spans="2:23">
      <c r="B1142" s="222"/>
      <c r="C1142" s="199" t="s">
        <v>730</v>
      </c>
      <c r="D1142" s="200" t="s">
        <v>732</v>
      </c>
      <c r="E1142" s="201" t="s">
        <v>453</v>
      </c>
      <c r="F1142" s="360">
        <v>1</v>
      </c>
      <c r="G1142" s="203">
        <f>+SUMIF('AUX-NIV1'!I:I,Recursos!C1142,'AUX-NIV1'!Q:Q)+SUMIF('AUX-NIV2'!I:I,Recursos!C1142,'AUX-NIV2'!Q:Q)+SUMIF('AUX-NIV3'!I:I,Recursos!C1142,'AUX-NIV3'!Q:Q)</f>
        <v>0</v>
      </c>
      <c r="H1142" s="204">
        <f t="shared" si="115"/>
        <v>0</v>
      </c>
      <c r="I1142" s="366">
        <f t="shared" si="116"/>
        <v>0</v>
      </c>
      <c r="J1142" s="205"/>
      <c r="L1142" s="83"/>
      <c r="M1142" s="83"/>
      <c r="N1142" s="83"/>
      <c r="O1142" s="83"/>
      <c r="P1142" s="83"/>
      <c r="Q1142" s="83"/>
      <c r="R1142" s="83"/>
      <c r="S1142" s="83"/>
      <c r="T1142" s="83"/>
      <c r="U1142" s="83"/>
      <c r="V1142" s="83"/>
      <c r="W1142" s="83"/>
    </row>
    <row r="1143" spans="2:23">
      <c r="B1143" s="222"/>
      <c r="C1143" s="206" t="s">
        <v>4243</v>
      </c>
      <c r="D1143" s="200" t="s">
        <v>4242</v>
      </c>
      <c r="E1143" s="201" t="s">
        <v>453</v>
      </c>
      <c r="F1143" s="360">
        <v>1000</v>
      </c>
      <c r="G1143" s="203">
        <f>+SUMIF('AUX-NIV1'!I:I,Recursos!C1143,'AUX-NIV1'!Q:Q)+SUMIF('AUX-NIV2'!I:I,Recursos!C1143,'AUX-NIV2'!Q:Q)+SUMIF('AUX-NIV3'!I:I,Recursos!C1143,'AUX-NIV3'!Q:Q)</f>
        <v>0</v>
      </c>
      <c r="H1143" s="204">
        <f t="shared" si="115"/>
        <v>0</v>
      </c>
      <c r="I1143" s="366">
        <f t="shared" si="116"/>
        <v>0</v>
      </c>
      <c r="J1143" s="474"/>
      <c r="L1143" s="83"/>
      <c r="M1143" s="83"/>
      <c r="N1143" s="83"/>
      <c r="O1143" s="83"/>
      <c r="P1143" s="83"/>
      <c r="Q1143" s="83"/>
      <c r="R1143" s="83"/>
      <c r="S1143" s="83"/>
      <c r="T1143" s="83"/>
      <c r="U1143" s="83"/>
      <c r="V1143" s="83"/>
      <c r="W1143" s="83"/>
    </row>
    <row r="1144" spans="2:23">
      <c r="B1144" s="222"/>
      <c r="C1144" s="206" t="s">
        <v>2491</v>
      </c>
      <c r="D1144" s="200" t="s">
        <v>2492</v>
      </c>
      <c r="E1144" s="201" t="s">
        <v>1160</v>
      </c>
      <c r="F1144" s="360">
        <v>600</v>
      </c>
      <c r="G1144" s="203">
        <f>+SUMIF('AUX-NIV1'!I:I,Recursos!C1144,'AUX-NIV1'!Q:Q)+SUMIF('AUX-NIV2'!I:I,Recursos!C1144,'AUX-NIV2'!Q:Q)+SUMIF('AUX-NIV3'!I:I,Recursos!C1144,'AUX-NIV3'!Q:Q)</f>
        <v>0</v>
      </c>
      <c r="H1144" s="204">
        <f t="shared" si="115"/>
        <v>0</v>
      </c>
      <c r="I1144" s="366">
        <f t="shared" si="116"/>
        <v>0</v>
      </c>
      <c r="J1144" s="474"/>
      <c r="L1144" s="83"/>
      <c r="M1144" s="83"/>
      <c r="N1144" s="83"/>
      <c r="O1144" s="83"/>
      <c r="P1144" s="83"/>
      <c r="Q1144" s="83"/>
      <c r="R1144" s="83"/>
      <c r="S1144" s="83"/>
      <c r="T1144" s="83"/>
      <c r="U1144" s="83"/>
      <c r="V1144" s="83"/>
      <c r="W1144" s="83"/>
    </row>
    <row r="1145" spans="2:23">
      <c r="B1145" s="222"/>
      <c r="C1145" s="206" t="s">
        <v>2519</v>
      </c>
      <c r="D1145" s="200" t="s">
        <v>2520</v>
      </c>
      <c r="E1145" s="201" t="s">
        <v>477</v>
      </c>
      <c r="F1145" s="360">
        <v>370</v>
      </c>
      <c r="G1145" s="203">
        <f>+SUMIF('AUX-NIV1'!I:I,Recursos!C1145,'AUX-NIV1'!Q:Q)+SUMIF('AUX-NIV2'!I:I,Recursos!C1145,'AUX-NIV2'!Q:Q)+SUMIF('AUX-NIV3'!I:I,Recursos!C1145,'AUX-NIV3'!Q:Q)</f>
        <v>0</v>
      </c>
      <c r="H1145" s="204">
        <f t="shared" si="115"/>
        <v>0</v>
      </c>
      <c r="I1145" s="366">
        <f t="shared" si="116"/>
        <v>0</v>
      </c>
      <c r="J1145" s="474"/>
      <c r="L1145" s="83"/>
      <c r="M1145" s="83"/>
      <c r="N1145" s="83"/>
      <c r="O1145" s="83"/>
      <c r="P1145" s="83"/>
      <c r="Q1145" s="83"/>
      <c r="R1145" s="83"/>
      <c r="S1145" s="83"/>
      <c r="T1145" s="83"/>
      <c r="U1145" s="83"/>
      <c r="V1145" s="83"/>
      <c r="W1145" s="83"/>
    </row>
    <row r="1146" spans="2:23">
      <c r="B1146" s="222"/>
      <c r="C1146" s="206" t="s">
        <v>2679</v>
      </c>
      <c r="D1146" s="200" t="s">
        <v>2680</v>
      </c>
      <c r="E1146" s="201" t="s">
        <v>1385</v>
      </c>
      <c r="F1146" s="360">
        <v>0.24</v>
      </c>
      <c r="G1146" s="203">
        <f>+SUMIF('AUX-NIV1'!I:I,Recursos!C1146,'AUX-NIV1'!Q:Q)+SUMIF('AUX-NIV2'!I:I,Recursos!C1146,'AUX-NIV2'!Q:Q)+SUMIF('AUX-NIV3'!I:I,Recursos!C1146,'AUX-NIV3'!Q:Q)</f>
        <v>0</v>
      </c>
      <c r="H1146" s="204">
        <f t="shared" si="115"/>
        <v>0</v>
      </c>
      <c r="I1146" s="366">
        <f t="shared" si="116"/>
        <v>0</v>
      </c>
      <c r="J1146" s="474"/>
      <c r="L1146" s="83"/>
      <c r="M1146" s="83"/>
      <c r="N1146" s="83"/>
      <c r="O1146" s="83"/>
      <c r="P1146" s="83"/>
      <c r="Q1146" s="83"/>
      <c r="R1146" s="83"/>
      <c r="S1146" s="83"/>
      <c r="T1146" s="83"/>
      <c r="U1146" s="83"/>
      <c r="V1146" s="83"/>
      <c r="W1146" s="83"/>
    </row>
    <row r="1147" spans="2:23">
      <c r="B1147" s="222"/>
      <c r="C1147" s="206" t="s">
        <v>2681</v>
      </c>
      <c r="D1147" s="200" t="s">
        <v>2682</v>
      </c>
      <c r="E1147" s="201" t="s">
        <v>1385</v>
      </c>
      <c r="F1147" s="360">
        <v>0.35</v>
      </c>
      <c r="G1147" s="203">
        <f>+SUMIF('AUX-NIV1'!I:I,Recursos!C1147,'AUX-NIV1'!Q:Q)+SUMIF('AUX-NIV2'!I:I,Recursos!C1147,'AUX-NIV2'!Q:Q)+SUMIF('AUX-NIV3'!I:I,Recursos!C1147,'AUX-NIV3'!Q:Q)</f>
        <v>0</v>
      </c>
      <c r="H1147" s="204">
        <f t="shared" si="115"/>
        <v>0</v>
      </c>
      <c r="I1147" s="366">
        <f t="shared" si="116"/>
        <v>0</v>
      </c>
      <c r="J1147" s="474"/>
      <c r="L1147" s="83"/>
      <c r="M1147" s="83"/>
      <c r="N1147" s="83"/>
      <c r="O1147" s="83"/>
      <c r="P1147" s="83"/>
      <c r="Q1147" s="83"/>
      <c r="R1147" s="83"/>
      <c r="S1147" s="83"/>
      <c r="T1147" s="83"/>
      <c r="U1147" s="83"/>
      <c r="V1147" s="83"/>
      <c r="W1147" s="83"/>
    </row>
    <row r="1148" spans="2:23">
      <c r="B1148" s="222"/>
      <c r="C1148" s="206" t="s">
        <v>2666</v>
      </c>
      <c r="D1148" s="200" t="s">
        <v>2667</v>
      </c>
      <c r="E1148" s="201" t="s">
        <v>501</v>
      </c>
      <c r="F1148" s="360">
        <v>5</v>
      </c>
      <c r="G1148" s="203">
        <f>+SUMIF('AUX-NIV1'!I:I,Recursos!C1148,'AUX-NIV1'!Q:Q)+SUMIF('AUX-NIV2'!I:I,Recursos!C1148,'AUX-NIV2'!Q:Q)+SUMIF('AUX-NIV3'!I:I,Recursos!C1148,'AUX-NIV3'!Q:Q)</f>
        <v>0</v>
      </c>
      <c r="H1148" s="204">
        <f t="shared" si="115"/>
        <v>0</v>
      </c>
      <c r="I1148" s="366">
        <f t="shared" si="116"/>
        <v>0</v>
      </c>
      <c r="J1148" s="474"/>
      <c r="L1148" s="83"/>
      <c r="M1148" s="83"/>
      <c r="N1148" s="83"/>
      <c r="O1148" s="83"/>
      <c r="P1148" s="83"/>
      <c r="Q1148" s="83"/>
      <c r="R1148" s="83"/>
      <c r="S1148" s="83"/>
      <c r="T1148" s="83"/>
      <c r="U1148" s="83"/>
      <c r="V1148" s="83"/>
      <c r="W1148" s="83"/>
    </row>
    <row r="1149" spans="2:23">
      <c r="B1149" s="222"/>
      <c r="C1149" s="206" t="s">
        <v>2670</v>
      </c>
      <c r="D1149" s="200" t="s">
        <v>2671</v>
      </c>
      <c r="E1149" s="201" t="s">
        <v>185</v>
      </c>
      <c r="F1149" s="360">
        <v>185</v>
      </c>
      <c r="G1149" s="203">
        <f>+SUMIF('AUX-NIV1'!I:I,Recursos!C1149,'AUX-NIV1'!Q:Q)+SUMIF('AUX-NIV2'!I:I,Recursos!C1149,'AUX-NIV2'!Q:Q)+SUMIF('AUX-NIV3'!I:I,Recursos!C1149,'AUX-NIV3'!Q:Q)</f>
        <v>0</v>
      </c>
      <c r="H1149" s="204">
        <f t="shared" si="115"/>
        <v>0</v>
      </c>
      <c r="I1149" s="366">
        <f t="shared" si="116"/>
        <v>0</v>
      </c>
      <c r="J1149" s="474"/>
      <c r="L1149" s="83"/>
      <c r="M1149" s="83"/>
      <c r="N1149" s="83"/>
      <c r="O1149" s="83"/>
      <c r="P1149" s="83"/>
      <c r="Q1149" s="83"/>
      <c r="R1149" s="83"/>
      <c r="S1149" s="83"/>
      <c r="T1149" s="83"/>
      <c r="U1149" s="83"/>
      <c r="V1149" s="83"/>
      <c r="W1149" s="83"/>
    </row>
    <row r="1150" spans="2:23">
      <c r="B1150" s="222"/>
      <c r="C1150" s="206" t="s">
        <v>2530</v>
      </c>
      <c r="D1150" s="200" t="s">
        <v>2531</v>
      </c>
      <c r="E1150" s="201" t="s">
        <v>501</v>
      </c>
      <c r="F1150" s="360">
        <v>2.5</v>
      </c>
      <c r="G1150" s="203">
        <f>+SUMIF('AUX-NIV1'!I:I,Recursos!C1150,'AUX-NIV1'!Q:Q)+SUMIF('AUX-NIV2'!I:I,Recursos!C1150,'AUX-NIV2'!Q:Q)+SUMIF('AUX-NIV3'!I:I,Recursos!C1150,'AUX-NIV3'!Q:Q)</f>
        <v>0</v>
      </c>
      <c r="H1150" s="204">
        <f t="shared" si="115"/>
        <v>0</v>
      </c>
      <c r="I1150" s="366">
        <f t="shared" si="116"/>
        <v>0</v>
      </c>
      <c r="J1150" s="474"/>
      <c r="L1150" s="83"/>
      <c r="M1150" s="83"/>
      <c r="N1150" s="83"/>
      <c r="O1150" s="83"/>
      <c r="P1150" s="83"/>
      <c r="Q1150" s="83"/>
      <c r="R1150" s="83"/>
      <c r="S1150" s="83"/>
      <c r="T1150" s="83"/>
      <c r="U1150" s="83"/>
      <c r="V1150" s="83"/>
      <c r="W1150" s="83"/>
    </row>
    <row r="1151" spans="2:23">
      <c r="B1151" s="222"/>
      <c r="C1151" s="206" t="s">
        <v>2668</v>
      </c>
      <c r="D1151" s="200" t="s">
        <v>2669</v>
      </c>
      <c r="E1151" s="201" t="s">
        <v>501</v>
      </c>
      <c r="F1151" s="360">
        <v>18.75</v>
      </c>
      <c r="G1151" s="203">
        <f>+SUMIF('AUX-NIV1'!I:I,Recursos!C1151,'AUX-NIV1'!Q:Q)+SUMIF('AUX-NIV2'!I:I,Recursos!C1151,'AUX-NIV2'!Q:Q)+SUMIF('AUX-NIV3'!I:I,Recursos!C1151,'AUX-NIV3'!Q:Q)</f>
        <v>0</v>
      </c>
      <c r="H1151" s="204">
        <f t="shared" si="115"/>
        <v>0</v>
      </c>
      <c r="I1151" s="366">
        <f t="shared" si="116"/>
        <v>0</v>
      </c>
      <c r="J1151" s="474"/>
      <c r="L1151" s="83"/>
      <c r="M1151" s="83"/>
      <c r="N1151" s="83"/>
      <c r="O1151" s="83"/>
      <c r="P1151" s="83"/>
      <c r="Q1151" s="83"/>
      <c r="R1151" s="83"/>
      <c r="S1151" s="83"/>
      <c r="T1151" s="83"/>
      <c r="U1151" s="83"/>
      <c r="V1151" s="83"/>
      <c r="W1151" s="83"/>
    </row>
    <row r="1152" spans="2:23">
      <c r="B1152" s="222"/>
      <c r="C1152" s="206" t="s">
        <v>2664</v>
      </c>
      <c r="D1152" s="200" t="s">
        <v>2665</v>
      </c>
      <c r="E1152" s="201" t="s">
        <v>501</v>
      </c>
      <c r="F1152" s="360">
        <v>2</v>
      </c>
      <c r="G1152" s="203">
        <f>+SUMIF('AUX-NIV1'!I:I,Recursos!C1152,'AUX-NIV1'!Q:Q)+SUMIF('AUX-NIV2'!I:I,Recursos!C1152,'AUX-NIV2'!Q:Q)+SUMIF('AUX-NIV3'!I:I,Recursos!C1152,'AUX-NIV3'!Q:Q)</f>
        <v>0</v>
      </c>
      <c r="H1152" s="204">
        <f t="shared" si="115"/>
        <v>0</v>
      </c>
      <c r="I1152" s="366">
        <f t="shared" si="116"/>
        <v>0</v>
      </c>
      <c r="J1152" s="474"/>
      <c r="L1152" s="83"/>
      <c r="M1152" s="83"/>
      <c r="N1152" s="83"/>
      <c r="O1152" s="83"/>
      <c r="P1152" s="83"/>
      <c r="Q1152" s="83"/>
      <c r="R1152" s="83"/>
      <c r="S1152" s="83"/>
      <c r="T1152" s="83"/>
      <c r="U1152" s="83"/>
      <c r="V1152" s="83"/>
      <c r="W1152" s="83"/>
    </row>
    <row r="1153" spans="2:23">
      <c r="B1153" s="222"/>
      <c r="C1153" s="206" t="s">
        <v>2532</v>
      </c>
      <c r="D1153" s="200" t="s">
        <v>2533</v>
      </c>
      <c r="E1153" s="201" t="s">
        <v>1840</v>
      </c>
      <c r="F1153" s="360">
        <v>1.7</v>
      </c>
      <c r="G1153" s="203">
        <f>+SUMIF('AUX-NIV1'!I:I,Recursos!C1153,'AUX-NIV1'!Q:Q)+SUMIF('AUX-NIV2'!I:I,Recursos!C1153,'AUX-NIV2'!Q:Q)+SUMIF('AUX-NIV3'!I:I,Recursos!C1153,'AUX-NIV3'!Q:Q)</f>
        <v>0</v>
      </c>
      <c r="H1153" s="204">
        <f t="shared" si="115"/>
        <v>0</v>
      </c>
      <c r="I1153" s="366">
        <f t="shared" si="116"/>
        <v>0</v>
      </c>
      <c r="J1153" s="474"/>
      <c r="L1153" s="83"/>
      <c r="M1153" s="83"/>
      <c r="N1153" s="83"/>
      <c r="O1153" s="83"/>
      <c r="P1153" s="83"/>
      <c r="Q1153" s="83"/>
      <c r="R1153" s="83"/>
      <c r="S1153" s="83"/>
      <c r="T1153" s="83"/>
      <c r="U1153" s="83"/>
      <c r="V1153" s="83"/>
      <c r="W1153" s="83"/>
    </row>
    <row r="1154" spans="2:23">
      <c r="B1154" s="222"/>
      <c r="C1154" s="206" t="s">
        <v>2653</v>
      </c>
      <c r="D1154" s="200" t="s">
        <v>2654</v>
      </c>
      <c r="E1154" s="201" t="s">
        <v>2655</v>
      </c>
      <c r="F1154" s="360">
        <v>690</v>
      </c>
      <c r="G1154" s="203">
        <f>+SUMIF('AUX-NIV1'!I:I,Recursos!C1154,'AUX-NIV1'!Q:Q)+SUMIF('AUX-NIV2'!I:I,Recursos!C1154,'AUX-NIV2'!Q:Q)+SUMIF('AUX-NIV3'!I:I,Recursos!C1154,'AUX-NIV3'!Q:Q)</f>
        <v>0</v>
      </c>
      <c r="H1154" s="204">
        <f t="shared" si="115"/>
        <v>0</v>
      </c>
      <c r="I1154" s="366">
        <f t="shared" si="116"/>
        <v>0</v>
      </c>
      <c r="J1154" s="474"/>
      <c r="L1154" s="83"/>
      <c r="M1154" s="83"/>
      <c r="N1154" s="83"/>
      <c r="O1154" s="83"/>
      <c r="P1154" s="83"/>
      <c r="Q1154" s="83"/>
      <c r="R1154" s="83"/>
      <c r="S1154" s="83"/>
      <c r="T1154" s="83"/>
      <c r="U1154" s="83"/>
      <c r="V1154" s="83"/>
      <c r="W1154" s="83"/>
    </row>
    <row r="1155" spans="2:23">
      <c r="B1155" s="222"/>
      <c r="C1155" s="206" t="s">
        <v>2585</v>
      </c>
      <c r="D1155" s="200" t="s">
        <v>2586</v>
      </c>
      <c r="E1155" s="201" t="s">
        <v>185</v>
      </c>
      <c r="F1155" s="360">
        <v>5000</v>
      </c>
      <c r="G1155" s="203">
        <f>+SUMIF('AUX-NIV1'!I:I,Recursos!C1155,'AUX-NIV1'!Q:Q)+SUMIF('AUX-NIV2'!I:I,Recursos!C1155,'AUX-NIV2'!Q:Q)+SUMIF('AUX-NIV3'!I:I,Recursos!C1155,'AUX-NIV3'!Q:Q)</f>
        <v>0</v>
      </c>
      <c r="H1155" s="204">
        <f t="shared" si="115"/>
        <v>0</v>
      </c>
      <c r="I1155" s="366">
        <f t="shared" si="116"/>
        <v>0</v>
      </c>
      <c r="J1155" s="474"/>
      <c r="L1155" s="83"/>
      <c r="M1155" s="83"/>
      <c r="N1155" s="83"/>
      <c r="O1155" s="83"/>
      <c r="P1155" s="83"/>
      <c r="Q1155" s="83"/>
      <c r="R1155" s="83"/>
      <c r="S1155" s="83"/>
      <c r="T1155" s="83"/>
      <c r="U1155" s="83"/>
      <c r="V1155" s="83"/>
      <c r="W1155" s="83"/>
    </row>
    <row r="1156" spans="2:23">
      <c r="B1156" s="222"/>
      <c r="C1156" s="206" t="s">
        <v>2573</v>
      </c>
      <c r="D1156" s="200" t="s">
        <v>2574</v>
      </c>
      <c r="E1156" s="201" t="s">
        <v>1782</v>
      </c>
      <c r="F1156" s="360">
        <v>9444.2639999999992</v>
      </c>
      <c r="G1156" s="203">
        <f>+SUMIF('AUX-NIV1'!I:I,Recursos!C1156,'AUX-NIV1'!Q:Q)+SUMIF('AUX-NIV2'!I:I,Recursos!C1156,'AUX-NIV2'!Q:Q)+SUMIF('AUX-NIV3'!I:I,Recursos!C1156,'AUX-NIV3'!Q:Q)</f>
        <v>0</v>
      </c>
      <c r="H1156" s="204">
        <f t="shared" si="115"/>
        <v>0</v>
      </c>
      <c r="I1156" s="366">
        <f t="shared" si="116"/>
        <v>0</v>
      </c>
      <c r="J1156" s="474"/>
      <c r="L1156" s="83"/>
      <c r="M1156" s="83"/>
      <c r="N1156" s="83"/>
      <c r="O1156" s="83"/>
      <c r="P1156" s="83"/>
      <c r="Q1156" s="83"/>
      <c r="R1156" s="83"/>
      <c r="S1156" s="83"/>
      <c r="T1156" s="83"/>
      <c r="U1156" s="83"/>
      <c r="V1156" s="83"/>
      <c r="W1156" s="83"/>
    </row>
    <row r="1157" spans="2:23" ht="22.8">
      <c r="B1157" s="222"/>
      <c r="C1157" s="206" t="s">
        <v>2559</v>
      </c>
      <c r="D1157" s="200" t="s">
        <v>2560</v>
      </c>
      <c r="E1157" s="201" t="s">
        <v>477</v>
      </c>
      <c r="F1157" s="360">
        <v>34.774999999999999</v>
      </c>
      <c r="G1157" s="203">
        <f>+SUMIF('AUX-NIV1'!I:I,Recursos!C1157,'AUX-NIV1'!Q:Q)+SUMIF('AUX-NIV2'!I:I,Recursos!C1157,'AUX-NIV2'!Q:Q)+SUMIF('AUX-NIV3'!I:I,Recursos!C1157,'AUX-NIV3'!Q:Q)</f>
        <v>0</v>
      </c>
      <c r="H1157" s="204">
        <f t="shared" si="115"/>
        <v>0</v>
      </c>
      <c r="I1157" s="366">
        <f t="shared" si="116"/>
        <v>0</v>
      </c>
      <c r="J1157" s="474"/>
      <c r="L1157" s="83"/>
      <c r="M1157" s="83"/>
      <c r="N1157" s="83"/>
      <c r="O1157" s="83"/>
      <c r="P1157" s="83"/>
      <c r="Q1157" s="83"/>
      <c r="R1157" s="83"/>
      <c r="S1157" s="83"/>
      <c r="T1157" s="83"/>
      <c r="U1157" s="83"/>
      <c r="V1157" s="83"/>
      <c r="W1157" s="83"/>
    </row>
    <row r="1158" spans="2:23" ht="22.8">
      <c r="B1158" s="222"/>
      <c r="C1158" s="206" t="s">
        <v>2561</v>
      </c>
      <c r="D1158" s="200" t="s">
        <v>2562</v>
      </c>
      <c r="E1158" s="201" t="s">
        <v>477</v>
      </c>
      <c r="F1158" s="360">
        <v>113.88200000000001</v>
      </c>
      <c r="G1158" s="203">
        <f>+SUMIF('AUX-NIV1'!I:I,Recursos!C1158,'AUX-NIV1'!Q:Q)+SUMIF('AUX-NIV2'!I:I,Recursos!C1158,'AUX-NIV2'!Q:Q)+SUMIF('AUX-NIV3'!I:I,Recursos!C1158,'AUX-NIV3'!Q:Q)</f>
        <v>0</v>
      </c>
      <c r="H1158" s="204">
        <f t="shared" si="115"/>
        <v>0</v>
      </c>
      <c r="I1158" s="366">
        <f t="shared" si="116"/>
        <v>0</v>
      </c>
      <c r="J1158" s="474"/>
      <c r="L1158" s="83"/>
      <c r="M1158" s="83"/>
      <c r="N1158" s="83"/>
      <c r="O1158" s="83"/>
      <c r="P1158" s="83"/>
      <c r="Q1158" s="83"/>
      <c r="R1158" s="83"/>
      <c r="S1158" s="83"/>
      <c r="T1158" s="83"/>
      <c r="U1158" s="83"/>
      <c r="V1158" s="83"/>
      <c r="W1158" s="83"/>
    </row>
    <row r="1159" spans="2:23">
      <c r="B1159" s="222"/>
      <c r="C1159" s="206" t="s">
        <v>2482</v>
      </c>
      <c r="D1159" s="200" t="s">
        <v>2483</v>
      </c>
      <c r="E1159" s="201" t="s">
        <v>2484</v>
      </c>
      <c r="F1159" s="360">
        <v>1</v>
      </c>
      <c r="G1159" s="203">
        <f>+SUMIF('AUX-NIV1'!I:I,Recursos!C1159,'AUX-NIV1'!Q:Q)+SUMIF('AUX-NIV2'!I:I,Recursos!C1159,'AUX-NIV2'!Q:Q)+SUMIF('AUX-NIV3'!I:I,Recursos!C1159,'AUX-NIV3'!Q:Q)</f>
        <v>0</v>
      </c>
      <c r="H1159" s="204">
        <f t="shared" si="115"/>
        <v>0</v>
      </c>
      <c r="I1159" s="366">
        <f t="shared" si="116"/>
        <v>0</v>
      </c>
      <c r="J1159" s="474"/>
      <c r="L1159" s="83"/>
      <c r="M1159" s="83"/>
      <c r="N1159" s="83"/>
      <c r="O1159" s="83"/>
      <c r="P1159" s="83"/>
      <c r="Q1159" s="83"/>
      <c r="R1159" s="83"/>
      <c r="S1159" s="83"/>
      <c r="T1159" s="83"/>
      <c r="U1159" s="83"/>
      <c r="V1159" s="83"/>
      <c r="W1159" s="83"/>
    </row>
    <row r="1160" spans="2:23">
      <c r="B1160" s="222"/>
      <c r="C1160" s="199" t="s">
        <v>5</v>
      </c>
      <c r="D1160" s="200" t="s">
        <v>6</v>
      </c>
      <c r="E1160" s="201" t="s">
        <v>1172</v>
      </c>
      <c r="F1160" s="360">
        <v>1</v>
      </c>
      <c r="G1160" s="203">
        <f>+SUMIF('AUX-NIV1'!I:I,Recursos!C1160,'AUX-NIV1'!Q:Q)+SUMIF('AUX-NIV2'!I:I,Recursos!C1160,'AUX-NIV2'!Q:Q)+SUMIF('AUX-NIV3'!I:I,Recursos!C1160,'AUX-NIV3'!Q:Q)</f>
        <v>0</v>
      </c>
      <c r="H1160" s="204">
        <f t="shared" si="115"/>
        <v>0</v>
      </c>
      <c r="I1160" s="366">
        <f t="shared" si="116"/>
        <v>0</v>
      </c>
      <c r="J1160" s="205"/>
      <c r="L1160" s="83"/>
      <c r="M1160" s="83"/>
      <c r="N1160" s="83"/>
      <c r="O1160" s="83"/>
      <c r="P1160" s="83"/>
      <c r="Q1160" s="83"/>
      <c r="R1160" s="83"/>
      <c r="S1160" s="83"/>
      <c r="T1160" s="83"/>
      <c r="U1160" s="83"/>
      <c r="V1160" s="83"/>
      <c r="W1160" s="83"/>
    </row>
    <row r="1161" spans="2:23">
      <c r="B1161" s="222"/>
      <c r="C1161" s="206" t="s">
        <v>2678</v>
      </c>
      <c r="D1161" s="200" t="s">
        <v>6</v>
      </c>
      <c r="E1161" s="201" t="s">
        <v>1172</v>
      </c>
      <c r="F1161" s="360">
        <v>1</v>
      </c>
      <c r="G1161" s="203">
        <f>+SUMIF('AUX-NIV1'!I:I,Recursos!C1161,'AUX-NIV1'!Q:Q)+SUMIF('AUX-NIV2'!I:I,Recursos!C1161,'AUX-NIV2'!Q:Q)+SUMIF('AUX-NIV3'!I:I,Recursos!C1161,'AUX-NIV3'!Q:Q)</f>
        <v>0</v>
      </c>
      <c r="H1161" s="204">
        <f t="shared" si="115"/>
        <v>0</v>
      </c>
      <c r="I1161" s="366">
        <f t="shared" si="116"/>
        <v>0</v>
      </c>
      <c r="J1161" s="474"/>
      <c r="L1161" s="83"/>
      <c r="M1161" s="83"/>
      <c r="N1161" s="83"/>
      <c r="O1161" s="83"/>
      <c r="P1161" s="83"/>
      <c r="Q1161" s="83"/>
      <c r="R1161" s="83"/>
      <c r="S1161" s="83"/>
      <c r="T1161" s="83"/>
      <c r="U1161" s="83"/>
      <c r="V1161" s="83"/>
      <c r="W1161" s="83"/>
    </row>
    <row r="1162" spans="2:23">
      <c r="B1162" s="222"/>
      <c r="C1162" s="206" t="s">
        <v>2501</v>
      </c>
      <c r="D1162" s="200" t="s">
        <v>2502</v>
      </c>
      <c r="E1162" s="201" t="s">
        <v>501</v>
      </c>
      <c r="F1162" s="360">
        <v>100</v>
      </c>
      <c r="G1162" s="203">
        <f>+SUMIF('AUX-NIV1'!I:I,Recursos!C1162,'AUX-NIV1'!Q:Q)+SUMIF('AUX-NIV2'!I:I,Recursos!C1162,'AUX-NIV2'!Q:Q)+SUMIF('AUX-NIV3'!I:I,Recursos!C1162,'AUX-NIV3'!Q:Q)</f>
        <v>0</v>
      </c>
      <c r="H1162" s="204">
        <f t="shared" si="115"/>
        <v>0</v>
      </c>
      <c r="I1162" s="366">
        <f t="shared" si="116"/>
        <v>0</v>
      </c>
      <c r="J1162" s="474"/>
      <c r="L1162" s="83"/>
      <c r="M1162" s="83"/>
      <c r="N1162" s="83"/>
      <c r="O1162" s="83"/>
      <c r="P1162" s="83"/>
      <c r="Q1162" s="83"/>
      <c r="R1162" s="83"/>
      <c r="S1162" s="83"/>
      <c r="T1162" s="83"/>
      <c r="U1162" s="83"/>
      <c r="V1162" s="83"/>
      <c r="W1162" s="83"/>
    </row>
    <row r="1163" spans="2:23">
      <c r="B1163" s="222"/>
      <c r="C1163" s="206" t="s">
        <v>2587</v>
      </c>
      <c r="D1163" s="200" t="s">
        <v>2588</v>
      </c>
      <c r="E1163" s="201" t="s">
        <v>185</v>
      </c>
      <c r="F1163" s="360">
        <v>8000</v>
      </c>
      <c r="G1163" s="203">
        <f>+SUMIF('AUX-NIV1'!I:I,Recursos!C1163,'AUX-NIV1'!Q:Q)+SUMIF('AUX-NIV2'!I:I,Recursos!C1163,'AUX-NIV2'!Q:Q)+SUMIF('AUX-NIV3'!I:I,Recursos!C1163,'AUX-NIV3'!Q:Q)</f>
        <v>0</v>
      </c>
      <c r="H1163" s="204">
        <f t="shared" si="115"/>
        <v>0</v>
      </c>
      <c r="I1163" s="366">
        <f t="shared" si="116"/>
        <v>0</v>
      </c>
      <c r="J1163" s="474"/>
      <c r="L1163" s="83"/>
      <c r="M1163" s="83"/>
      <c r="N1163" s="83"/>
      <c r="O1163" s="83"/>
      <c r="P1163" s="83"/>
      <c r="Q1163" s="83"/>
      <c r="R1163" s="83"/>
      <c r="S1163" s="83"/>
      <c r="T1163" s="83"/>
      <c r="U1163" s="83"/>
      <c r="V1163" s="83"/>
      <c r="W1163" s="83"/>
    </row>
    <row r="1164" spans="2:23">
      <c r="B1164" s="222"/>
      <c r="C1164" s="206" t="s">
        <v>2569</v>
      </c>
      <c r="D1164" s="200" t="s">
        <v>2570</v>
      </c>
      <c r="E1164" s="201" t="s">
        <v>477</v>
      </c>
      <c r="F1164" s="360">
        <v>1</v>
      </c>
      <c r="G1164" s="203">
        <f>+SUMIF('AUX-NIV1'!I:I,Recursos!C1164,'AUX-NIV1'!Q:Q)+SUMIF('AUX-NIV2'!I:I,Recursos!C1164,'AUX-NIV2'!Q:Q)+SUMIF('AUX-NIV3'!I:I,Recursos!C1164,'AUX-NIV3'!Q:Q)</f>
        <v>0</v>
      </c>
      <c r="H1164" s="204">
        <f t="shared" si="115"/>
        <v>0</v>
      </c>
      <c r="I1164" s="366">
        <f t="shared" si="116"/>
        <v>0</v>
      </c>
      <c r="J1164" s="474"/>
      <c r="L1164" s="83"/>
      <c r="M1164" s="83"/>
      <c r="N1164" s="83"/>
      <c r="O1164" s="83"/>
      <c r="P1164" s="83"/>
      <c r="Q1164" s="83"/>
      <c r="R1164" s="83"/>
      <c r="S1164" s="83"/>
      <c r="T1164" s="83"/>
      <c r="U1164" s="83"/>
      <c r="V1164" s="83"/>
      <c r="W1164" s="83"/>
    </row>
    <row r="1165" spans="2:23">
      <c r="B1165" s="222"/>
      <c r="C1165" s="206" t="s">
        <v>2632</v>
      </c>
      <c r="D1165" s="200" t="s">
        <v>2633</v>
      </c>
      <c r="E1165" s="201" t="s">
        <v>477</v>
      </c>
      <c r="F1165" s="360">
        <v>238</v>
      </c>
      <c r="G1165" s="203">
        <f>+SUMIF('AUX-NIV1'!I:I,Recursos!C1165,'AUX-NIV1'!Q:Q)+SUMIF('AUX-NIV2'!I:I,Recursos!C1165,'AUX-NIV2'!Q:Q)+SUMIF('AUX-NIV3'!I:I,Recursos!C1165,'AUX-NIV3'!Q:Q)</f>
        <v>0</v>
      </c>
      <c r="H1165" s="204">
        <f t="shared" si="115"/>
        <v>0</v>
      </c>
      <c r="I1165" s="366">
        <f t="shared" si="116"/>
        <v>0</v>
      </c>
      <c r="J1165" s="474"/>
      <c r="L1165" s="83"/>
      <c r="M1165" s="83"/>
      <c r="N1165" s="83"/>
      <c r="O1165" s="83"/>
      <c r="P1165" s="83"/>
      <c r="Q1165" s="83"/>
      <c r="R1165" s="83"/>
      <c r="S1165" s="83"/>
      <c r="T1165" s="83"/>
      <c r="U1165" s="83"/>
      <c r="V1165" s="83"/>
      <c r="W1165" s="83"/>
    </row>
    <row r="1166" spans="2:23">
      <c r="B1166" s="222"/>
      <c r="C1166" s="206" t="s">
        <v>2630</v>
      </c>
      <c r="D1166" s="200" t="s">
        <v>2631</v>
      </c>
      <c r="E1166" s="201" t="s">
        <v>477</v>
      </c>
      <c r="F1166" s="360">
        <v>675</v>
      </c>
      <c r="G1166" s="203">
        <f>+SUMIF('AUX-NIV1'!I:I,Recursos!C1166,'AUX-NIV1'!Q:Q)+SUMIF('AUX-NIV2'!I:I,Recursos!C1166,'AUX-NIV2'!Q:Q)+SUMIF('AUX-NIV3'!I:I,Recursos!C1166,'AUX-NIV3'!Q:Q)</f>
        <v>0</v>
      </c>
      <c r="H1166" s="204">
        <f t="shared" si="115"/>
        <v>0</v>
      </c>
      <c r="I1166" s="366">
        <f t="shared" si="116"/>
        <v>0</v>
      </c>
      <c r="J1166" s="474"/>
      <c r="L1166" s="83"/>
      <c r="M1166" s="83"/>
      <c r="N1166" s="83"/>
      <c r="O1166" s="83"/>
      <c r="P1166" s="83"/>
      <c r="Q1166" s="83"/>
      <c r="R1166" s="83"/>
      <c r="S1166" s="83"/>
      <c r="T1166" s="83"/>
      <c r="U1166" s="83"/>
      <c r="V1166" s="83"/>
      <c r="W1166" s="83"/>
    </row>
    <row r="1167" spans="2:23">
      <c r="B1167" s="222"/>
      <c r="C1167" s="206" t="s">
        <v>2628</v>
      </c>
      <c r="D1167" s="200" t="s">
        <v>2629</v>
      </c>
      <c r="E1167" s="201" t="s">
        <v>1233</v>
      </c>
      <c r="F1167" s="360">
        <v>50000</v>
      </c>
      <c r="G1167" s="203">
        <f>+SUMIF('AUX-NIV1'!I:I,Recursos!C1167,'AUX-NIV1'!Q:Q)+SUMIF('AUX-NIV2'!I:I,Recursos!C1167,'AUX-NIV2'!Q:Q)+SUMIF('AUX-NIV3'!I:I,Recursos!C1167,'AUX-NIV3'!Q:Q)</f>
        <v>0</v>
      </c>
      <c r="H1167" s="204">
        <f t="shared" si="115"/>
        <v>0</v>
      </c>
      <c r="I1167" s="366">
        <f t="shared" si="116"/>
        <v>0</v>
      </c>
      <c r="J1167" s="474"/>
      <c r="L1167" s="83"/>
      <c r="M1167" s="83"/>
      <c r="N1167" s="83"/>
      <c r="O1167" s="83"/>
      <c r="P1167" s="83"/>
      <c r="Q1167" s="83"/>
      <c r="R1167" s="83"/>
      <c r="S1167" s="83"/>
      <c r="T1167" s="83"/>
      <c r="U1167" s="83"/>
      <c r="V1167" s="83"/>
      <c r="W1167" s="83"/>
    </row>
    <row r="1168" spans="2:23">
      <c r="B1168" s="222"/>
      <c r="C1168" s="206" t="s">
        <v>2528</v>
      </c>
      <c r="D1168" s="200" t="s">
        <v>2529</v>
      </c>
      <c r="E1168" s="201" t="s">
        <v>1172</v>
      </c>
      <c r="F1168" s="360">
        <v>7500</v>
      </c>
      <c r="G1168" s="203">
        <f>+SUMIF('AUX-NIV1'!I:I,Recursos!C1168,'AUX-NIV1'!Q:Q)+SUMIF('AUX-NIV2'!I:I,Recursos!C1168,'AUX-NIV2'!Q:Q)+SUMIF('AUX-NIV3'!I:I,Recursos!C1168,'AUX-NIV3'!Q:Q)</f>
        <v>0</v>
      </c>
      <c r="H1168" s="204">
        <f t="shared" si="115"/>
        <v>0</v>
      </c>
      <c r="I1168" s="366">
        <f t="shared" si="116"/>
        <v>0</v>
      </c>
      <c r="J1168" s="474"/>
      <c r="L1168" s="83"/>
      <c r="M1168" s="83"/>
      <c r="N1168" s="83"/>
      <c r="O1168" s="83"/>
      <c r="P1168" s="83"/>
      <c r="Q1168" s="83"/>
      <c r="R1168" s="83"/>
      <c r="S1168" s="83"/>
      <c r="T1168" s="83"/>
      <c r="U1168" s="83"/>
      <c r="V1168" s="83"/>
      <c r="W1168" s="83"/>
    </row>
    <row r="1169" spans="2:67">
      <c r="B1169" s="222"/>
      <c r="C1169" s="199" t="s">
        <v>627</v>
      </c>
      <c r="D1169" s="200" t="s">
        <v>628</v>
      </c>
      <c r="E1169" s="201" t="s">
        <v>462</v>
      </c>
      <c r="F1169" s="360">
        <v>20</v>
      </c>
      <c r="G1169" s="203">
        <f>+SUMIF('AUX-NIV1'!I:I,Recursos!C1169,'AUX-NIV1'!Q:Q)+SUMIF('AUX-NIV2'!I:I,Recursos!C1169,'AUX-NIV2'!Q:Q)+SUMIF('AUX-NIV3'!I:I,Recursos!C1169,'AUX-NIV3'!Q:Q)</f>
        <v>0</v>
      </c>
      <c r="H1169" s="204">
        <f t="shared" si="115"/>
        <v>0</v>
      </c>
      <c r="I1169" s="366">
        <f t="shared" si="116"/>
        <v>0</v>
      </c>
      <c r="J1169" s="205"/>
      <c r="L1169" s="83"/>
      <c r="M1169" s="83"/>
      <c r="N1169" s="83"/>
      <c r="O1169" s="83"/>
      <c r="P1169" s="83"/>
      <c r="Q1169" s="83"/>
      <c r="R1169" s="83"/>
      <c r="S1169" s="83"/>
      <c r="T1169" s="83"/>
      <c r="U1169" s="83"/>
      <c r="V1169" s="83"/>
      <c r="W1169" s="83"/>
    </row>
    <row r="1170" spans="2:67">
      <c r="B1170" s="222"/>
      <c r="C1170" s="206" t="s">
        <v>2616</v>
      </c>
      <c r="D1170" s="200" t="s">
        <v>628</v>
      </c>
      <c r="E1170" s="201" t="s">
        <v>462</v>
      </c>
      <c r="F1170" s="360">
        <v>20</v>
      </c>
      <c r="G1170" s="203">
        <f>+SUMIF('AUX-NIV1'!I:I,Recursos!C1170,'AUX-NIV1'!Q:Q)+SUMIF('AUX-NIV2'!I:I,Recursos!C1170,'AUX-NIV2'!Q:Q)+SUMIF('AUX-NIV3'!I:I,Recursos!C1170,'AUX-NIV3'!Q:Q)</f>
        <v>0</v>
      </c>
      <c r="H1170" s="204">
        <f t="shared" si="115"/>
        <v>0</v>
      </c>
      <c r="I1170" s="366">
        <f t="shared" si="116"/>
        <v>0</v>
      </c>
      <c r="J1170" s="474"/>
      <c r="L1170" s="83"/>
      <c r="M1170" s="83"/>
      <c r="N1170" s="83"/>
      <c r="O1170" s="83"/>
      <c r="P1170" s="83"/>
      <c r="Q1170" s="83"/>
      <c r="R1170" s="83"/>
      <c r="S1170" s="83"/>
      <c r="T1170" s="83"/>
      <c r="U1170" s="83"/>
      <c r="V1170" s="83"/>
      <c r="W1170" s="83"/>
    </row>
    <row r="1171" spans="2:67">
      <c r="B1171" s="222"/>
      <c r="C1171" s="206" t="s">
        <v>2656</v>
      </c>
      <c r="D1171" s="200" t="s">
        <v>2657</v>
      </c>
      <c r="E1171" s="201" t="s">
        <v>2655</v>
      </c>
      <c r="F1171" s="360">
        <v>450</v>
      </c>
      <c r="G1171" s="203">
        <f>+SUMIF('AUX-NIV1'!I:I,Recursos!C1171,'AUX-NIV1'!Q:Q)+SUMIF('AUX-NIV2'!I:I,Recursos!C1171,'AUX-NIV2'!Q:Q)+SUMIF('AUX-NIV3'!I:I,Recursos!C1171,'AUX-NIV3'!Q:Q)</f>
        <v>0</v>
      </c>
      <c r="H1171" s="204">
        <f t="shared" si="115"/>
        <v>0</v>
      </c>
      <c r="I1171" s="366">
        <f t="shared" si="116"/>
        <v>0</v>
      </c>
      <c r="J1171" s="474"/>
      <c r="L1171" s="83"/>
      <c r="M1171" s="83"/>
      <c r="N1171" s="83"/>
      <c r="O1171" s="83"/>
      <c r="P1171" s="83"/>
      <c r="Q1171" s="83"/>
      <c r="R1171" s="83"/>
      <c r="S1171" s="83"/>
      <c r="T1171" s="83"/>
      <c r="U1171" s="83"/>
      <c r="V1171" s="83"/>
      <c r="W1171" s="83"/>
    </row>
    <row r="1172" spans="2:67" ht="12">
      <c r="B1172" s="222"/>
      <c r="C1172" s="199" t="s">
        <v>735</v>
      </c>
      <c r="D1172" s="200" t="s">
        <v>736</v>
      </c>
      <c r="E1172" s="201" t="s">
        <v>453</v>
      </c>
      <c r="F1172" s="360">
        <v>1</v>
      </c>
      <c r="G1172" s="203">
        <f>+SUMIF('AUX-NIV1'!I:I,Recursos!C1172,'AUX-NIV1'!Q:Q)+SUMIF('AUX-NIV2'!I:I,Recursos!C1172,'AUX-NIV2'!Q:Q)+SUMIF('AUX-NIV3'!I:I,Recursos!C1172,'AUX-NIV3'!Q:Q)</f>
        <v>0</v>
      </c>
      <c r="H1172" s="204">
        <f t="shared" si="115"/>
        <v>0</v>
      </c>
      <c r="I1172" s="366">
        <f t="shared" si="116"/>
        <v>0</v>
      </c>
      <c r="J1172" s="205"/>
      <c r="L1172" s="139"/>
    </row>
    <row r="1173" spans="2:67">
      <c r="B1173" s="222"/>
      <c r="C1173" s="206" t="s">
        <v>2684</v>
      </c>
      <c r="D1173" s="200" t="s">
        <v>736</v>
      </c>
      <c r="E1173" s="201" t="s">
        <v>453</v>
      </c>
      <c r="F1173" s="360">
        <f>1500+1000+1000</f>
        <v>3500</v>
      </c>
      <c r="G1173" s="203">
        <f>+SUMIF('AUX-NIV1'!I:I,Recursos!C1173,'AUX-NIV1'!Q:Q)+SUMIF('AUX-NIV2'!I:I,Recursos!C1173,'AUX-NIV2'!Q:Q)+SUMIF('AUX-NIV3'!I:I,Recursos!C1173,'AUX-NIV3'!Q:Q)</f>
        <v>0</v>
      </c>
      <c r="H1173" s="204">
        <f t="shared" si="115"/>
        <v>0</v>
      </c>
      <c r="I1173" s="366">
        <f t="shared" si="116"/>
        <v>0</v>
      </c>
      <c r="J1173" s="474"/>
      <c r="L1173" s="84" t="s">
        <v>933</v>
      </c>
      <c r="BN1173" s="392" t="s">
        <v>918</v>
      </c>
    </row>
    <row r="1174" spans="2:67">
      <c r="B1174" s="222"/>
      <c r="C1174" s="206" t="s">
        <v>2672</v>
      </c>
      <c r="D1174" s="200" t="s">
        <v>2673</v>
      </c>
      <c r="E1174" s="201" t="s">
        <v>1168</v>
      </c>
      <c r="F1174" s="360">
        <v>3000</v>
      </c>
      <c r="G1174" s="203">
        <f>+SUMIF('AUX-NIV1'!I:I,Recursos!C1174,'AUX-NIV1'!Q:Q)+SUMIF('AUX-NIV2'!I:I,Recursos!C1174,'AUX-NIV2'!Q:Q)+SUMIF('AUX-NIV3'!I:I,Recursos!C1174,'AUX-NIV3'!Q:Q)</f>
        <v>0</v>
      </c>
      <c r="H1174" s="204">
        <f t="shared" si="115"/>
        <v>0</v>
      </c>
      <c r="I1174" s="366">
        <f t="shared" si="116"/>
        <v>0</v>
      </c>
      <c r="J1174" s="474"/>
      <c r="L1174" s="84" t="s">
        <v>988</v>
      </c>
      <c r="BN1174" s="392" t="s">
        <v>918</v>
      </c>
      <c r="BO1174" s="84"/>
    </row>
    <row r="1175" spans="2:67">
      <c r="B1175" s="222"/>
      <c r="C1175" s="199" t="s">
        <v>3320</v>
      </c>
      <c r="D1175" s="200" t="s">
        <v>3321</v>
      </c>
      <c r="E1175" s="201" t="s">
        <v>623</v>
      </c>
      <c r="F1175" s="360">
        <f>usd*2</f>
        <v>204.1</v>
      </c>
      <c r="G1175" s="203">
        <f>+SUMIF('AUX-NIV1'!I:I,Recursos!C1175,'AUX-NIV1'!Q:Q)+SUMIF('AUX-NIV2'!I:I,Recursos!C1175,'AUX-NIV2'!Q:Q)+SUMIF('AUX-NIV3'!I:I,Recursos!C1175,'AUX-NIV3'!Q:Q)</f>
        <v>0</v>
      </c>
      <c r="H1175" s="204">
        <f t="shared" si="115"/>
        <v>0</v>
      </c>
      <c r="I1175" s="366">
        <f t="shared" si="116"/>
        <v>0</v>
      </c>
      <c r="J1175" s="205"/>
    </row>
    <row r="1176" spans="2:67">
      <c r="B1176" s="222"/>
      <c r="C1176" s="199" t="s">
        <v>3322</v>
      </c>
      <c r="D1176" s="200" t="s">
        <v>3323</v>
      </c>
      <c r="E1176" s="201" t="s">
        <v>623</v>
      </c>
      <c r="F1176" s="360">
        <f>usd*3</f>
        <v>306.14999999999998</v>
      </c>
      <c r="G1176" s="203">
        <f>+SUMIF('AUX-NIV1'!I:I,Recursos!C1176,'AUX-NIV1'!Q:Q)+SUMIF('AUX-NIV2'!I:I,Recursos!C1176,'AUX-NIV2'!Q:Q)+SUMIF('AUX-NIV3'!I:I,Recursos!C1176,'AUX-NIV3'!Q:Q)</f>
        <v>0</v>
      </c>
      <c r="H1176" s="204">
        <f t="shared" si="115"/>
        <v>0</v>
      </c>
      <c r="I1176" s="366">
        <f t="shared" si="116"/>
        <v>0</v>
      </c>
      <c r="J1176" s="205"/>
    </row>
    <row r="1177" spans="2:67">
      <c r="B1177" s="222"/>
      <c r="C1177" s="199" t="s">
        <v>3324</v>
      </c>
      <c r="D1177" s="200" t="s">
        <v>3325</v>
      </c>
      <c r="E1177" s="201" t="s">
        <v>623</v>
      </c>
      <c r="F1177" s="360">
        <v>1000</v>
      </c>
      <c r="G1177" s="203">
        <f>+SUMIF('AUX-NIV1'!I:I,Recursos!C1177,'AUX-NIV1'!Q:Q)+SUMIF('AUX-NIV2'!I:I,Recursos!C1177,'AUX-NIV2'!Q:Q)+SUMIF('AUX-NIV3'!I:I,Recursos!C1177,'AUX-NIV3'!Q:Q)</f>
        <v>0</v>
      </c>
      <c r="H1177" s="204">
        <f t="shared" si="115"/>
        <v>0</v>
      </c>
      <c r="I1177" s="366">
        <f t="shared" si="116"/>
        <v>0</v>
      </c>
      <c r="J1177" s="205"/>
    </row>
    <row r="1178" spans="2:67">
      <c r="B1178" s="222"/>
      <c r="C1178" s="199" t="s">
        <v>3328</v>
      </c>
      <c r="D1178" s="200" t="s">
        <v>3329</v>
      </c>
      <c r="E1178" s="201" t="s">
        <v>623</v>
      </c>
      <c r="F1178" s="360">
        <v>1000</v>
      </c>
      <c r="G1178" s="203">
        <f>+SUMIF('AUX-NIV1'!I:I,Recursos!C1178,'AUX-NIV1'!Q:Q)+SUMIF('AUX-NIV2'!I:I,Recursos!C1178,'AUX-NIV2'!Q:Q)+SUMIF('AUX-NIV3'!I:I,Recursos!C1178,'AUX-NIV3'!Q:Q)</f>
        <v>0</v>
      </c>
      <c r="H1178" s="204">
        <f t="shared" si="115"/>
        <v>0</v>
      </c>
      <c r="I1178" s="366">
        <f t="shared" si="116"/>
        <v>0</v>
      </c>
      <c r="J1178" s="205"/>
    </row>
    <row r="1179" spans="2:67">
      <c r="B1179" s="222"/>
      <c r="C1179" s="199" t="s">
        <v>3330</v>
      </c>
      <c r="D1179" s="200" t="s">
        <v>3331</v>
      </c>
      <c r="E1179" s="201" t="s">
        <v>623</v>
      </c>
      <c r="F1179" s="360">
        <f>usd*5</f>
        <v>510.25</v>
      </c>
      <c r="G1179" s="203">
        <f>+SUMIF('AUX-NIV1'!I:I,Recursos!C1179,'AUX-NIV1'!Q:Q)+SUMIF('AUX-NIV2'!I:I,Recursos!C1179,'AUX-NIV2'!Q:Q)+SUMIF('AUX-NIV3'!I:I,Recursos!C1179,'AUX-NIV3'!Q:Q)</f>
        <v>0</v>
      </c>
      <c r="H1179" s="204">
        <f t="shared" si="115"/>
        <v>0</v>
      </c>
      <c r="I1179" s="366">
        <f t="shared" si="116"/>
        <v>0</v>
      </c>
      <c r="J1179" s="205"/>
    </row>
    <row r="1180" spans="2:67">
      <c r="B1180" s="222"/>
      <c r="C1180" s="199" t="s">
        <v>3332</v>
      </c>
      <c r="D1180" s="473" t="s">
        <v>3333</v>
      </c>
      <c r="E1180" s="201" t="s">
        <v>623</v>
      </c>
      <c r="F1180" s="360">
        <f>usd*5</f>
        <v>510.25</v>
      </c>
      <c r="G1180" s="203">
        <f>+SUMIF('AUX-NIV1'!I:I,Recursos!C1180,'AUX-NIV1'!Q:Q)+SUMIF('AUX-NIV2'!I:I,Recursos!C1180,'AUX-NIV2'!Q:Q)+SUMIF('AUX-NIV3'!I:I,Recursos!C1180,'AUX-NIV3'!Q:Q)</f>
        <v>0</v>
      </c>
      <c r="H1180" s="204">
        <f t="shared" si="115"/>
        <v>0</v>
      </c>
      <c r="I1180" s="366">
        <f t="shared" si="116"/>
        <v>0</v>
      </c>
      <c r="J1180" s="205"/>
    </row>
    <row r="1181" spans="2:67">
      <c r="B1181" s="222"/>
      <c r="C1181" s="199" t="s">
        <v>3442</v>
      </c>
      <c r="D1181" s="200" t="s">
        <v>3441</v>
      </c>
      <c r="E1181" s="201" t="s">
        <v>501</v>
      </c>
      <c r="F1181" s="360">
        <v>3750</v>
      </c>
      <c r="G1181" s="203">
        <f>+SUMIF('AUX-NIV1'!I:I,Recursos!C1181,'AUX-NIV1'!Q:Q)+SUMIF('AUX-NIV2'!I:I,Recursos!C1181,'AUX-NIV2'!Q:Q)+SUMIF('AUX-NIV3'!I:I,Recursos!C1181,'AUX-NIV3'!Q:Q)</f>
        <v>0</v>
      </c>
      <c r="H1181" s="204">
        <f t="shared" si="115"/>
        <v>0</v>
      </c>
      <c r="I1181" s="366">
        <f t="shared" si="116"/>
        <v>0</v>
      </c>
      <c r="J1181" s="205"/>
    </row>
    <row r="1182" spans="2:67">
      <c r="B1182" s="222"/>
      <c r="C1182" s="199" t="s">
        <v>3443</v>
      </c>
      <c r="D1182" s="473" t="s">
        <v>3444</v>
      </c>
      <c r="E1182" s="201" t="s">
        <v>623</v>
      </c>
      <c r="F1182" s="360">
        <f>usd*4</f>
        <v>408.2</v>
      </c>
      <c r="G1182" s="203">
        <f>+SUMIF('AUX-NIV1'!I:I,Recursos!C1182,'AUX-NIV1'!Q:Q)+SUMIF('AUX-NIV2'!I:I,Recursos!C1182,'AUX-NIV2'!Q:Q)+SUMIF('AUX-NIV3'!I:I,Recursos!C1182,'AUX-NIV3'!Q:Q)</f>
        <v>0</v>
      </c>
      <c r="H1182" s="204">
        <f t="shared" si="115"/>
        <v>0</v>
      </c>
      <c r="I1182" s="366">
        <f t="shared" si="116"/>
        <v>0</v>
      </c>
      <c r="J1182" s="205"/>
    </row>
    <row r="1183" spans="2:67">
      <c r="B1183" s="222"/>
      <c r="C1183" s="199" t="s">
        <v>3445</v>
      </c>
      <c r="D1183" s="473" t="s">
        <v>3446</v>
      </c>
      <c r="E1183" s="201" t="s">
        <v>477</v>
      </c>
      <c r="F1183" s="360">
        <f>usd*4</f>
        <v>408.2</v>
      </c>
      <c r="G1183" s="203">
        <f>+SUMIF('AUX-NIV1'!I:I,Recursos!C1183,'AUX-NIV1'!Q:Q)+SUMIF('AUX-NIV2'!I:I,Recursos!C1183,'AUX-NIV2'!Q:Q)+SUMIF('AUX-NIV3'!I:I,Recursos!C1183,'AUX-NIV3'!Q:Q)</f>
        <v>0</v>
      </c>
      <c r="H1183" s="204">
        <f t="shared" si="115"/>
        <v>0</v>
      </c>
      <c r="I1183" s="366">
        <f t="shared" si="116"/>
        <v>0</v>
      </c>
      <c r="J1183" s="205"/>
    </row>
    <row r="1184" spans="2:67">
      <c r="B1184" s="222"/>
      <c r="C1184" s="1079" t="s">
        <v>3676</v>
      </c>
      <c r="D1184" s="200" t="s">
        <v>3675</v>
      </c>
      <c r="E1184" s="201" t="s">
        <v>1168</v>
      </c>
      <c r="F1184" s="360">
        <v>1000</v>
      </c>
      <c r="G1184" s="203">
        <f>+SUMIF('AUX-NIV1'!I:I,Recursos!C1184,'AUX-NIV1'!Q:Q)+SUMIF('AUX-NIV2'!I:I,Recursos!C1184,'AUX-NIV2'!Q:Q)+SUMIF('AUX-NIV3'!I:I,Recursos!C1184,'AUX-NIV3'!Q:Q)</f>
        <v>0</v>
      </c>
      <c r="H1184" s="204">
        <f t="shared" ref="H1184:H1451" si="117">+F1184*G1184</f>
        <v>0</v>
      </c>
      <c r="I1184" s="366">
        <f t="shared" ref="I1184:I1451" si="118">+H1184/$I$3</f>
        <v>0</v>
      </c>
      <c r="J1184" s="205"/>
    </row>
    <row r="1185" spans="2:10">
      <c r="B1185" s="222"/>
      <c r="C1185" s="1079" t="s">
        <v>3677</v>
      </c>
      <c r="D1185" s="200" t="s">
        <v>3678</v>
      </c>
      <c r="E1185" s="201" t="s">
        <v>1168</v>
      </c>
      <c r="F1185" s="360">
        <v>800</v>
      </c>
      <c r="G1185" s="203">
        <f>+SUMIF('AUX-NIV1'!I:I,Recursos!C1185,'AUX-NIV1'!Q:Q)+SUMIF('AUX-NIV2'!I:I,Recursos!C1185,'AUX-NIV2'!Q:Q)+SUMIF('AUX-NIV3'!I:I,Recursos!C1185,'AUX-NIV3'!Q:Q)</f>
        <v>0</v>
      </c>
      <c r="H1185" s="204">
        <f t="shared" si="117"/>
        <v>0</v>
      </c>
      <c r="I1185" s="366">
        <f t="shared" si="118"/>
        <v>0</v>
      </c>
      <c r="J1185" s="205"/>
    </row>
    <row r="1186" spans="2:10">
      <c r="B1186" s="222"/>
      <c r="C1186" s="1079" t="s">
        <v>3681</v>
      </c>
      <c r="D1186" s="200" t="s">
        <v>3682</v>
      </c>
      <c r="E1186" s="201" t="s">
        <v>501</v>
      </c>
      <c r="F1186" s="360">
        <v>0.24</v>
      </c>
      <c r="G1186" s="203">
        <f>+SUMIF('AUX-NIV1'!I:I,Recursos!C1186,'AUX-NIV1'!Q:Q)+SUMIF('AUX-NIV2'!I:I,Recursos!C1186,'AUX-NIV2'!Q:Q)+SUMIF('AUX-NIV3'!I:I,Recursos!C1186,'AUX-NIV3'!Q:Q)</f>
        <v>0</v>
      </c>
      <c r="H1186" s="204">
        <f t="shared" si="117"/>
        <v>0</v>
      </c>
      <c r="I1186" s="366">
        <f t="shared" si="118"/>
        <v>0</v>
      </c>
      <c r="J1186" s="205"/>
    </row>
    <row r="1187" spans="2:10" ht="12">
      <c r="B1187" s="222"/>
      <c r="C1187" s="1541" t="s">
        <v>3808</v>
      </c>
      <c r="D1187" s="1539" t="s">
        <v>3809</v>
      </c>
      <c r="E1187" s="1612" t="s">
        <v>501</v>
      </c>
      <c r="F1187" s="1613">
        <f>95*usd</f>
        <v>9694.75</v>
      </c>
      <c r="G1187" s="1540">
        <f>+SUMIF('AUX-NIV1'!I:I,Recursos!C1187,'AUX-NIV1'!Q:Q)+SUMIF('AUX-NIV2'!I:I,Recursos!C1187,'AUX-NIV2'!Q:Q)+SUMIF('AUX-NIV3'!I:I,Recursos!C1187,'AUX-NIV3'!Q:Q)</f>
        <v>0</v>
      </c>
      <c r="H1187" s="204">
        <f t="shared" si="117"/>
        <v>0</v>
      </c>
      <c r="I1187" s="366">
        <f t="shared" si="118"/>
        <v>0</v>
      </c>
      <c r="J1187" s="205"/>
    </row>
    <row r="1188" spans="2:10">
      <c r="B1188" s="222"/>
      <c r="C1188" s="1079" t="s">
        <v>3870</v>
      </c>
      <c r="D1188" s="200" t="s">
        <v>3871</v>
      </c>
      <c r="E1188" s="201" t="s">
        <v>1233</v>
      </c>
      <c r="F1188" s="360">
        <v>1000</v>
      </c>
      <c r="G1188" s="203">
        <f>+SUMIF('AUX-NIV1'!I:I,Recursos!C1188,'AUX-NIV1'!Q:Q)+SUMIF('AUX-NIV2'!I:I,Recursos!C1188,'AUX-NIV2'!Q:Q)+SUMIF('AUX-NIV3'!I:I,Recursos!C1188,'AUX-NIV3'!Q:Q)</f>
        <v>0</v>
      </c>
      <c r="H1188" s="204">
        <f t="shared" si="117"/>
        <v>0</v>
      </c>
      <c r="I1188" s="366">
        <f t="shared" si="118"/>
        <v>0</v>
      </c>
      <c r="J1188" s="205"/>
    </row>
    <row r="1189" spans="2:10">
      <c r="B1189" s="222"/>
      <c r="C1189" s="1079" t="s">
        <v>3909</v>
      </c>
      <c r="D1189" s="200" t="s">
        <v>3910</v>
      </c>
      <c r="E1189" s="201" t="s">
        <v>1233</v>
      </c>
      <c r="F1189" s="360">
        <v>5000</v>
      </c>
      <c r="G1189" s="203">
        <f>+SUMIF('AUX-NIV1'!I:I,Recursos!C1189,'AUX-NIV1'!Q:Q)+SUMIF('AUX-NIV2'!I:I,Recursos!C1189,'AUX-NIV2'!Q:Q)+SUMIF('AUX-NIV3'!I:I,Recursos!C1189,'AUX-NIV3'!Q:Q)</f>
        <v>0</v>
      </c>
      <c r="H1189" s="204">
        <f t="shared" si="117"/>
        <v>0</v>
      </c>
      <c r="I1189" s="366">
        <f t="shared" si="118"/>
        <v>0</v>
      </c>
      <c r="J1189" s="205"/>
    </row>
    <row r="1190" spans="2:10">
      <c r="B1190" s="222"/>
      <c r="C1190" s="1079" t="s">
        <v>3924</v>
      </c>
      <c r="D1190" s="200" t="s">
        <v>3921</v>
      </c>
      <c r="E1190" s="201" t="s">
        <v>1233</v>
      </c>
      <c r="F1190" s="360">
        <v>1</v>
      </c>
      <c r="G1190" s="203">
        <f>+SUMIF('AUX-NIV1'!I:I,Recursos!C1190,'AUX-NIV1'!Q:Q)+SUMIF('AUX-NIV2'!I:I,Recursos!C1190,'AUX-NIV2'!Q:Q)+SUMIF('AUX-NIV3'!I:I,Recursos!C1190,'AUX-NIV3'!Q:Q)</f>
        <v>0</v>
      </c>
      <c r="H1190" s="204">
        <f t="shared" si="117"/>
        <v>0</v>
      </c>
      <c r="I1190" s="366">
        <f t="shared" si="118"/>
        <v>0</v>
      </c>
      <c r="J1190" s="205"/>
    </row>
    <row r="1191" spans="2:10">
      <c r="B1191" s="222"/>
      <c r="C1191" s="1079" t="s">
        <v>3925</v>
      </c>
      <c r="D1191" s="200" t="s">
        <v>3922</v>
      </c>
      <c r="E1191" s="201" t="s">
        <v>1233</v>
      </c>
      <c r="F1191" s="360">
        <v>1</v>
      </c>
      <c r="G1191" s="203">
        <f>+SUMIF('AUX-NIV1'!I:I,Recursos!C1191,'AUX-NIV1'!Q:Q)+SUMIF('AUX-NIV2'!I:I,Recursos!C1191,'AUX-NIV2'!Q:Q)+SUMIF('AUX-NIV3'!I:I,Recursos!C1191,'AUX-NIV3'!Q:Q)</f>
        <v>0</v>
      </c>
      <c r="H1191" s="204">
        <f t="shared" si="117"/>
        <v>0</v>
      </c>
      <c r="I1191" s="366">
        <f t="shared" si="118"/>
        <v>0</v>
      </c>
      <c r="J1191" s="205"/>
    </row>
    <row r="1192" spans="2:10">
      <c r="B1192" s="222"/>
      <c r="C1192" s="1079" t="s">
        <v>3926</v>
      </c>
      <c r="D1192" s="200" t="s">
        <v>3923</v>
      </c>
      <c r="E1192" s="201" t="s">
        <v>1233</v>
      </c>
      <c r="F1192" s="360">
        <v>1</v>
      </c>
      <c r="G1192" s="203">
        <f>+SUMIF('AUX-NIV1'!I:I,Recursos!C1192,'AUX-NIV1'!Q:Q)+SUMIF('AUX-NIV2'!I:I,Recursos!C1192,'AUX-NIV2'!Q:Q)+SUMIF('AUX-NIV3'!I:I,Recursos!C1192,'AUX-NIV3'!Q:Q)</f>
        <v>0</v>
      </c>
      <c r="H1192" s="204">
        <f t="shared" si="117"/>
        <v>0</v>
      </c>
      <c r="I1192" s="366">
        <f t="shared" si="118"/>
        <v>0</v>
      </c>
      <c r="J1192" s="205"/>
    </row>
    <row r="1193" spans="2:10">
      <c r="B1193" s="222"/>
      <c r="C1193" s="1079" t="s">
        <v>3927</v>
      </c>
      <c r="D1193" s="200" t="s">
        <v>3536</v>
      </c>
      <c r="E1193" s="201" t="s">
        <v>1233</v>
      </c>
      <c r="F1193" s="360">
        <v>1</v>
      </c>
      <c r="G1193" s="203">
        <f>+SUMIF('AUX-NIV1'!I:I,Recursos!C1193,'AUX-NIV1'!Q:Q)+SUMIF('AUX-NIV2'!I:I,Recursos!C1193,'AUX-NIV2'!Q:Q)+SUMIF('AUX-NIV3'!I:I,Recursos!C1193,'AUX-NIV3'!Q:Q)</f>
        <v>0</v>
      </c>
      <c r="H1193" s="204">
        <f t="shared" si="117"/>
        <v>0</v>
      </c>
      <c r="I1193" s="366">
        <f t="shared" si="118"/>
        <v>0</v>
      </c>
      <c r="J1193" s="205"/>
    </row>
    <row r="1194" spans="2:10">
      <c r="B1194" s="222"/>
      <c r="C1194" s="1460" t="s">
        <v>3932</v>
      </c>
      <c r="D1194" s="1415" t="s">
        <v>3928</v>
      </c>
      <c r="E1194" s="1416" t="s">
        <v>1233</v>
      </c>
      <c r="F1194" s="1461">
        <v>1</v>
      </c>
      <c r="G1194" s="203">
        <f>+SUMIF('AUX-NIV1'!I:I,Recursos!C1194,'AUX-NIV1'!Q:Q)+SUMIF('AUX-NIV2'!I:I,Recursos!C1194,'AUX-NIV2'!Q:Q)+SUMIF('AUX-NIV3'!I:I,Recursos!C1194,'AUX-NIV3'!Q:Q)</f>
        <v>0</v>
      </c>
      <c r="H1194" s="204">
        <f t="shared" si="117"/>
        <v>0</v>
      </c>
      <c r="I1194" s="366">
        <f t="shared" si="118"/>
        <v>0</v>
      </c>
      <c r="J1194" s="1418"/>
    </row>
    <row r="1195" spans="2:10">
      <c r="B1195" s="222"/>
      <c r="C1195" s="1460" t="s">
        <v>3933</v>
      </c>
      <c r="D1195" s="1415" t="s">
        <v>3538</v>
      </c>
      <c r="E1195" s="1416" t="s">
        <v>1233</v>
      </c>
      <c r="F1195" s="1461">
        <v>1</v>
      </c>
      <c r="G1195" s="203">
        <f>+SUMIF('AUX-NIV1'!I:I,Recursos!C1195,'AUX-NIV1'!Q:Q)+SUMIF('AUX-NIV2'!I:I,Recursos!C1195,'AUX-NIV2'!Q:Q)+SUMIF('AUX-NIV3'!I:I,Recursos!C1195,'AUX-NIV3'!Q:Q)</f>
        <v>0</v>
      </c>
      <c r="H1195" s="204">
        <f t="shared" si="117"/>
        <v>0</v>
      </c>
      <c r="I1195" s="366">
        <f t="shared" si="118"/>
        <v>0</v>
      </c>
      <c r="J1195" s="1418"/>
    </row>
    <row r="1196" spans="2:10">
      <c r="B1196" s="222"/>
      <c r="C1196" s="1460" t="s">
        <v>3954</v>
      </c>
      <c r="D1196" s="1415" t="s">
        <v>3950</v>
      </c>
      <c r="E1196" s="1416" t="s">
        <v>610</v>
      </c>
      <c r="F1196" s="1461">
        <v>1</v>
      </c>
      <c r="G1196" s="203">
        <f>+SUMIF('AUX-NIV1'!I:I,Recursos!C1196,'AUX-NIV1'!Q:Q)+SUMIF('AUX-NIV2'!I:I,Recursos!C1196,'AUX-NIV2'!Q:Q)+SUMIF('AUX-NIV3'!I:I,Recursos!C1196,'AUX-NIV3'!Q:Q)</f>
        <v>0</v>
      </c>
      <c r="H1196" s="204">
        <f t="shared" si="117"/>
        <v>0</v>
      </c>
      <c r="I1196" s="366">
        <f t="shared" si="118"/>
        <v>0</v>
      </c>
      <c r="J1196" s="1418"/>
    </row>
    <row r="1197" spans="2:10">
      <c r="B1197" s="222"/>
      <c r="C1197" s="1460" t="s">
        <v>3955</v>
      </c>
      <c r="D1197" s="1415" t="s">
        <v>3951</v>
      </c>
      <c r="E1197" s="1416" t="s">
        <v>610</v>
      </c>
      <c r="F1197" s="1461">
        <v>1</v>
      </c>
      <c r="G1197" s="203">
        <f>+SUMIF('AUX-NIV1'!I:I,Recursos!C1197,'AUX-NIV1'!Q:Q)+SUMIF('AUX-NIV2'!I:I,Recursos!C1197,'AUX-NIV2'!Q:Q)+SUMIF('AUX-NIV3'!I:I,Recursos!C1197,'AUX-NIV3'!Q:Q)</f>
        <v>0</v>
      </c>
      <c r="H1197" s="204">
        <f t="shared" si="117"/>
        <v>0</v>
      </c>
      <c r="I1197" s="366">
        <f t="shared" si="118"/>
        <v>0</v>
      </c>
      <c r="J1197" s="1418"/>
    </row>
    <row r="1198" spans="2:10">
      <c r="B1198" s="222"/>
      <c r="C1198" s="1460" t="s">
        <v>3956</v>
      </c>
      <c r="D1198" s="1415" t="s">
        <v>3952</v>
      </c>
      <c r="E1198" s="1416" t="s">
        <v>610</v>
      </c>
      <c r="F1198" s="1461">
        <v>1</v>
      </c>
      <c r="G1198" s="203">
        <f>+SUMIF('AUX-NIV1'!I:I,Recursos!C1198,'AUX-NIV1'!Q:Q)+SUMIF('AUX-NIV2'!I:I,Recursos!C1198,'AUX-NIV2'!Q:Q)+SUMIF('AUX-NIV3'!I:I,Recursos!C1198,'AUX-NIV3'!Q:Q)</f>
        <v>0</v>
      </c>
      <c r="H1198" s="204">
        <f t="shared" si="117"/>
        <v>0</v>
      </c>
      <c r="I1198" s="366">
        <f t="shared" si="118"/>
        <v>0</v>
      </c>
      <c r="J1198" s="1418"/>
    </row>
    <row r="1199" spans="2:10">
      <c r="B1199" s="222"/>
      <c r="C1199" s="1460" t="s">
        <v>3957</v>
      </c>
      <c r="D1199" s="1415" t="s">
        <v>3539</v>
      </c>
      <c r="E1199" s="1416" t="s">
        <v>610</v>
      </c>
      <c r="F1199" s="1461">
        <v>1</v>
      </c>
      <c r="G1199" s="203">
        <f>+SUMIF('AUX-NIV1'!I:I,Recursos!C1199,'AUX-NIV1'!Q:Q)+SUMIF('AUX-NIV2'!I:I,Recursos!C1199,'AUX-NIV2'!Q:Q)+SUMIF('AUX-NIV3'!I:I,Recursos!C1199,'AUX-NIV3'!Q:Q)</f>
        <v>0</v>
      </c>
      <c r="H1199" s="204">
        <f t="shared" si="117"/>
        <v>0</v>
      </c>
      <c r="I1199" s="366">
        <f t="shared" si="118"/>
        <v>0</v>
      </c>
      <c r="J1199" s="1418"/>
    </row>
    <row r="1200" spans="2:10">
      <c r="B1200" s="222"/>
      <c r="C1200" s="1460" t="s">
        <v>3958</v>
      </c>
      <c r="D1200" s="1415" t="s">
        <v>3540</v>
      </c>
      <c r="E1200" s="1416" t="s">
        <v>610</v>
      </c>
      <c r="F1200" s="1461">
        <v>1</v>
      </c>
      <c r="G1200" s="203">
        <f>+SUMIF('AUX-NIV1'!I:I,Recursos!C1200,'AUX-NIV1'!Q:Q)+SUMIF('AUX-NIV2'!I:I,Recursos!C1200,'AUX-NIV2'!Q:Q)+SUMIF('AUX-NIV3'!I:I,Recursos!C1200,'AUX-NIV3'!Q:Q)</f>
        <v>0</v>
      </c>
      <c r="H1200" s="204">
        <f t="shared" si="117"/>
        <v>0</v>
      </c>
      <c r="I1200" s="366">
        <f t="shared" si="118"/>
        <v>0</v>
      </c>
      <c r="J1200" s="1418"/>
    </row>
    <row r="1201" spans="2:10">
      <c r="B1201" s="222"/>
      <c r="C1201" s="1460" t="s">
        <v>3959</v>
      </c>
      <c r="D1201" s="1415" t="s">
        <v>3541</v>
      </c>
      <c r="E1201" s="1416" t="s">
        <v>610</v>
      </c>
      <c r="F1201" s="1461">
        <v>1</v>
      </c>
      <c r="G1201" s="203">
        <f>+SUMIF('AUX-NIV1'!I:I,Recursos!C1201,'AUX-NIV1'!Q:Q)+SUMIF('AUX-NIV2'!I:I,Recursos!C1201,'AUX-NIV2'!Q:Q)+SUMIF('AUX-NIV3'!I:I,Recursos!C1201,'AUX-NIV3'!Q:Q)</f>
        <v>0</v>
      </c>
      <c r="H1201" s="204">
        <f t="shared" si="117"/>
        <v>0</v>
      </c>
      <c r="I1201" s="366">
        <f t="shared" si="118"/>
        <v>0</v>
      </c>
      <c r="J1201" s="1418"/>
    </row>
    <row r="1202" spans="2:10">
      <c r="B1202" s="222"/>
      <c r="C1202" s="1460" t="s">
        <v>3960</v>
      </c>
      <c r="D1202" s="1415" t="s">
        <v>3953</v>
      </c>
      <c r="E1202" s="1416" t="s">
        <v>610</v>
      </c>
      <c r="F1202" s="1461">
        <v>1</v>
      </c>
      <c r="G1202" s="203">
        <f>+SUMIF('AUX-NIV1'!I:I,Recursos!C1202,'AUX-NIV1'!Q:Q)+SUMIF('AUX-NIV2'!I:I,Recursos!C1202,'AUX-NIV2'!Q:Q)+SUMIF('AUX-NIV3'!I:I,Recursos!C1202,'AUX-NIV3'!Q:Q)</f>
        <v>0</v>
      </c>
      <c r="H1202" s="204">
        <f t="shared" si="117"/>
        <v>0</v>
      </c>
      <c r="I1202" s="366">
        <f t="shared" si="118"/>
        <v>0</v>
      </c>
      <c r="J1202" s="1418"/>
    </row>
    <row r="1203" spans="2:10">
      <c r="B1203" s="222"/>
      <c r="C1203" s="1460" t="s">
        <v>3961</v>
      </c>
      <c r="D1203" s="1415" t="s">
        <v>3542</v>
      </c>
      <c r="E1203" s="1416" t="s">
        <v>610</v>
      </c>
      <c r="F1203" s="1461">
        <v>1</v>
      </c>
      <c r="G1203" s="203">
        <f>+SUMIF('AUX-NIV1'!I:I,Recursos!C1203,'AUX-NIV1'!Q:Q)+SUMIF('AUX-NIV2'!I:I,Recursos!C1203,'AUX-NIV2'!Q:Q)+SUMIF('AUX-NIV3'!I:I,Recursos!C1203,'AUX-NIV3'!Q:Q)</f>
        <v>0</v>
      </c>
      <c r="H1203" s="204">
        <f t="shared" si="117"/>
        <v>0</v>
      </c>
      <c r="I1203" s="366">
        <f t="shared" si="118"/>
        <v>0</v>
      </c>
      <c r="J1203" s="1418"/>
    </row>
    <row r="1204" spans="2:10">
      <c r="B1204" s="222"/>
      <c r="C1204" s="1460" t="s">
        <v>3962</v>
      </c>
      <c r="D1204" s="1415" t="s">
        <v>3543</v>
      </c>
      <c r="E1204" s="1416" t="s">
        <v>610</v>
      </c>
      <c r="F1204" s="1461">
        <v>1</v>
      </c>
      <c r="G1204" s="203">
        <f>+SUMIF('AUX-NIV1'!I:I,Recursos!C1204,'AUX-NIV1'!Q:Q)+SUMIF('AUX-NIV2'!I:I,Recursos!C1204,'AUX-NIV2'!Q:Q)+SUMIF('AUX-NIV3'!I:I,Recursos!C1204,'AUX-NIV3'!Q:Q)</f>
        <v>0</v>
      </c>
      <c r="H1204" s="204">
        <f t="shared" si="117"/>
        <v>0</v>
      </c>
      <c r="I1204" s="366">
        <f t="shared" si="118"/>
        <v>0</v>
      </c>
      <c r="J1204" s="1418"/>
    </row>
    <row r="1205" spans="2:10">
      <c r="B1205" s="222"/>
      <c r="C1205" s="1460" t="s">
        <v>3963</v>
      </c>
      <c r="D1205" s="1415" t="s">
        <v>3544</v>
      </c>
      <c r="E1205" s="1416" t="s">
        <v>610</v>
      </c>
      <c r="F1205" s="1461">
        <v>1</v>
      </c>
      <c r="G1205" s="203">
        <f>+SUMIF('AUX-NIV1'!I:I,Recursos!C1205,'AUX-NIV1'!Q:Q)+SUMIF('AUX-NIV2'!I:I,Recursos!C1205,'AUX-NIV2'!Q:Q)+SUMIF('AUX-NIV3'!I:I,Recursos!C1205,'AUX-NIV3'!Q:Q)</f>
        <v>0</v>
      </c>
      <c r="H1205" s="204">
        <f t="shared" si="117"/>
        <v>0</v>
      </c>
      <c r="I1205" s="366">
        <f t="shared" si="118"/>
        <v>0</v>
      </c>
      <c r="J1205" s="1418"/>
    </row>
    <row r="1206" spans="2:10">
      <c r="B1206" s="222"/>
      <c r="C1206" s="1460" t="s">
        <v>3964</v>
      </c>
      <c r="D1206" s="1415" t="s">
        <v>3545</v>
      </c>
      <c r="E1206" s="1416" t="s">
        <v>610</v>
      </c>
      <c r="F1206" s="1461">
        <v>1</v>
      </c>
      <c r="G1206" s="203">
        <f>+SUMIF('AUX-NIV1'!I:I,Recursos!C1206,'AUX-NIV1'!Q:Q)+SUMIF('AUX-NIV2'!I:I,Recursos!C1206,'AUX-NIV2'!Q:Q)+SUMIF('AUX-NIV3'!I:I,Recursos!C1206,'AUX-NIV3'!Q:Q)</f>
        <v>0</v>
      </c>
      <c r="H1206" s="204">
        <f t="shared" si="117"/>
        <v>0</v>
      </c>
      <c r="I1206" s="366">
        <f t="shared" si="118"/>
        <v>0</v>
      </c>
      <c r="J1206" s="1418"/>
    </row>
    <row r="1207" spans="2:10">
      <c r="B1207" s="222"/>
      <c r="C1207" s="1460" t="s">
        <v>3965</v>
      </c>
      <c r="D1207" s="1415" t="s">
        <v>3546</v>
      </c>
      <c r="E1207" s="1416" t="s">
        <v>610</v>
      </c>
      <c r="F1207" s="1461">
        <v>1</v>
      </c>
      <c r="G1207" s="203">
        <f>+SUMIF('AUX-NIV1'!I:I,Recursos!C1207,'AUX-NIV1'!Q:Q)+SUMIF('AUX-NIV2'!I:I,Recursos!C1207,'AUX-NIV2'!Q:Q)+SUMIF('AUX-NIV3'!I:I,Recursos!C1207,'AUX-NIV3'!Q:Q)</f>
        <v>0</v>
      </c>
      <c r="H1207" s="204">
        <f t="shared" si="117"/>
        <v>0</v>
      </c>
      <c r="I1207" s="366">
        <f t="shared" si="118"/>
        <v>0</v>
      </c>
      <c r="J1207" s="1418"/>
    </row>
    <row r="1208" spans="2:10">
      <c r="B1208" s="222"/>
      <c r="C1208" s="1460" t="s">
        <v>3966</v>
      </c>
      <c r="D1208" s="1415" t="s">
        <v>3547</v>
      </c>
      <c r="E1208" s="1416" t="s">
        <v>610</v>
      </c>
      <c r="F1208" s="1461">
        <v>1</v>
      </c>
      <c r="G1208" s="203">
        <f>+SUMIF('AUX-NIV1'!I:I,Recursos!C1208,'AUX-NIV1'!Q:Q)+SUMIF('AUX-NIV2'!I:I,Recursos!C1208,'AUX-NIV2'!Q:Q)+SUMIF('AUX-NIV3'!I:I,Recursos!C1208,'AUX-NIV3'!Q:Q)</f>
        <v>0</v>
      </c>
      <c r="H1208" s="204">
        <f t="shared" si="117"/>
        <v>0</v>
      </c>
      <c r="I1208" s="366">
        <f t="shared" si="118"/>
        <v>0</v>
      </c>
      <c r="J1208" s="1418"/>
    </row>
    <row r="1209" spans="2:10" ht="12">
      <c r="B1209" s="222"/>
      <c r="C1209" s="1542" t="s">
        <v>4249</v>
      </c>
      <c r="D1209" s="1543" t="s">
        <v>4258</v>
      </c>
      <c r="E1209" s="1544" t="s">
        <v>610</v>
      </c>
      <c r="F1209" s="1545">
        <f>7212*usd*1.07</f>
        <v>787503.522</v>
      </c>
      <c r="G1209" s="1540">
        <f>+SUMIF('AUX-NIV1'!I:I,Recursos!C1209,'AUX-NIV1'!Q:Q)+SUMIF('AUX-NIV2'!I:I,Recursos!C1209,'AUX-NIV2'!Q:Q)+SUMIF('AUX-NIV3'!I:I,Recursos!C1209,'AUX-NIV3'!Q:Q)</f>
        <v>0</v>
      </c>
      <c r="H1209" s="204">
        <f t="shared" si="117"/>
        <v>0</v>
      </c>
      <c r="I1209" s="366">
        <f t="shared" si="118"/>
        <v>0</v>
      </c>
      <c r="J1209" s="1418"/>
    </row>
    <row r="1210" spans="2:10" ht="12">
      <c r="B1210" s="222"/>
      <c r="C1210" s="1542" t="s">
        <v>4250</v>
      </c>
      <c r="D1210" s="1543" t="s">
        <v>4259</v>
      </c>
      <c r="E1210" s="1544" t="s">
        <v>610</v>
      </c>
      <c r="F1210" s="1545">
        <f>461*usd*1.07</f>
        <v>50338.203499999996</v>
      </c>
      <c r="G1210" s="1540">
        <f>+SUMIF('AUX-NIV1'!I:I,Recursos!C1210,'AUX-NIV1'!Q:Q)+SUMIF('AUX-NIV2'!I:I,Recursos!C1210,'AUX-NIV2'!Q:Q)+SUMIF('AUX-NIV3'!I:I,Recursos!C1210,'AUX-NIV3'!Q:Q)</f>
        <v>0</v>
      </c>
      <c r="H1210" s="204">
        <f t="shared" ref="H1210:H1216" si="119">+F1210*G1210</f>
        <v>0</v>
      </c>
      <c r="I1210" s="366">
        <f t="shared" ref="I1210:I1216" si="120">+H1210/$I$3</f>
        <v>0</v>
      </c>
      <c r="J1210" s="1418"/>
    </row>
    <row r="1211" spans="2:10" ht="12">
      <c r="B1211" s="222"/>
      <c r="C1211" s="1542" t="s">
        <v>4251</v>
      </c>
      <c r="D1211" s="1543" t="s">
        <v>4260</v>
      </c>
      <c r="E1211" s="1544" t="s">
        <v>610</v>
      </c>
      <c r="F1211" s="1545">
        <f>1352*usd*1.07</f>
        <v>147629.61200000002</v>
      </c>
      <c r="G1211" s="1540">
        <f>+SUMIF('AUX-NIV1'!I:I,Recursos!C1211,'AUX-NIV1'!Q:Q)+SUMIF('AUX-NIV2'!I:I,Recursos!C1211,'AUX-NIV2'!Q:Q)+SUMIF('AUX-NIV3'!I:I,Recursos!C1211,'AUX-NIV3'!Q:Q)</f>
        <v>0</v>
      </c>
      <c r="H1211" s="204">
        <f t="shared" si="119"/>
        <v>0</v>
      </c>
      <c r="I1211" s="366">
        <f t="shared" si="120"/>
        <v>0</v>
      </c>
      <c r="J1211" s="1418"/>
    </row>
    <row r="1212" spans="2:10" ht="12">
      <c r="B1212" s="222"/>
      <c r="C1212" s="1542" t="s">
        <v>4252</v>
      </c>
      <c r="D1212" s="1543" t="s">
        <v>4261</v>
      </c>
      <c r="E1212" s="1544" t="s">
        <v>610</v>
      </c>
      <c r="F1212" s="1545">
        <f>7068*usd*1.07</f>
        <v>771779.65800000005</v>
      </c>
      <c r="G1212" s="1540">
        <f>+SUMIF('AUX-NIV1'!I:I,Recursos!C1212,'AUX-NIV1'!Q:Q)+SUMIF('AUX-NIV2'!I:I,Recursos!C1212,'AUX-NIV2'!Q:Q)+SUMIF('AUX-NIV3'!I:I,Recursos!C1212,'AUX-NIV3'!Q:Q)</f>
        <v>0</v>
      </c>
      <c r="H1212" s="204">
        <f t="shared" si="119"/>
        <v>0</v>
      </c>
      <c r="I1212" s="366">
        <f t="shared" si="120"/>
        <v>0</v>
      </c>
      <c r="J1212" s="1418"/>
    </row>
    <row r="1213" spans="2:10" ht="12">
      <c r="B1213" s="222"/>
      <c r="C1213" s="1542" t="s">
        <v>4253</v>
      </c>
      <c r="D1213" s="1543" t="s">
        <v>4262</v>
      </c>
      <c r="E1213" s="1544" t="s">
        <v>610</v>
      </c>
      <c r="F1213" s="1545">
        <f>2718*usd*1.07</f>
        <v>296787.93299999996</v>
      </c>
      <c r="G1213" s="1540">
        <f>+SUMIF('AUX-NIV1'!I:I,Recursos!C1213,'AUX-NIV1'!Q:Q)+SUMIF('AUX-NIV2'!I:I,Recursos!C1213,'AUX-NIV2'!Q:Q)+SUMIF('AUX-NIV3'!I:I,Recursos!C1213,'AUX-NIV3'!Q:Q)</f>
        <v>0</v>
      </c>
      <c r="H1213" s="204">
        <f t="shared" si="119"/>
        <v>0</v>
      </c>
      <c r="I1213" s="366">
        <f t="shared" si="120"/>
        <v>0</v>
      </c>
      <c r="J1213" s="1418"/>
    </row>
    <row r="1214" spans="2:10" ht="12">
      <c r="B1214" s="222"/>
      <c r="C1214" s="1542" t="s">
        <v>4254</v>
      </c>
      <c r="D1214" s="1543" t="s">
        <v>4263</v>
      </c>
      <c r="E1214" s="1544" t="s">
        <v>610</v>
      </c>
      <c r="F1214" s="1545">
        <f>3614*usd*1.07</f>
        <v>394625.30900000001</v>
      </c>
      <c r="G1214" s="1540">
        <f>+SUMIF('AUX-NIV1'!I:I,Recursos!C1214,'AUX-NIV1'!Q:Q)+SUMIF('AUX-NIV2'!I:I,Recursos!C1214,'AUX-NIV2'!Q:Q)+SUMIF('AUX-NIV3'!I:I,Recursos!C1214,'AUX-NIV3'!Q:Q)</f>
        <v>0</v>
      </c>
      <c r="H1214" s="204">
        <f t="shared" si="119"/>
        <v>0</v>
      </c>
      <c r="I1214" s="366">
        <f t="shared" si="120"/>
        <v>0</v>
      </c>
      <c r="J1214" s="1418"/>
    </row>
    <row r="1215" spans="2:10" ht="12">
      <c r="B1215" s="222"/>
      <c r="C1215" s="1542" t="s">
        <v>4255</v>
      </c>
      <c r="D1215" s="1543" t="s">
        <v>4264</v>
      </c>
      <c r="E1215" s="1544" t="s">
        <v>610</v>
      </c>
      <c r="F1215" s="1545">
        <f>4094*usd*1.07</f>
        <v>447038.18900000001</v>
      </c>
      <c r="G1215" s="1540">
        <f>+SUMIF('AUX-NIV1'!I:I,Recursos!C1215,'AUX-NIV1'!Q:Q)+SUMIF('AUX-NIV2'!I:I,Recursos!C1215,'AUX-NIV2'!Q:Q)+SUMIF('AUX-NIV3'!I:I,Recursos!C1215,'AUX-NIV3'!Q:Q)</f>
        <v>0</v>
      </c>
      <c r="H1215" s="204">
        <f t="shared" si="119"/>
        <v>0</v>
      </c>
      <c r="I1215" s="366">
        <f t="shared" si="120"/>
        <v>0</v>
      </c>
      <c r="J1215" s="1418"/>
    </row>
    <row r="1216" spans="2:10" ht="12">
      <c r="B1216" s="222"/>
      <c r="C1216" s="1542" t="s">
        <v>4256</v>
      </c>
      <c r="D1216" s="1543" t="s">
        <v>4265</v>
      </c>
      <c r="E1216" s="1544" t="s">
        <v>610</v>
      </c>
      <c r="F1216" s="1545">
        <f>1210*usd*1.07</f>
        <v>132124.13500000001</v>
      </c>
      <c r="G1216" s="1540">
        <f>+SUMIF('AUX-NIV1'!I:I,Recursos!C1216,'AUX-NIV1'!Q:Q)+SUMIF('AUX-NIV2'!I:I,Recursos!C1216,'AUX-NIV2'!Q:Q)+SUMIF('AUX-NIV3'!I:I,Recursos!C1216,'AUX-NIV3'!Q:Q)</f>
        <v>0</v>
      </c>
      <c r="H1216" s="204">
        <f t="shared" si="119"/>
        <v>0</v>
      </c>
      <c r="I1216" s="366">
        <f t="shared" si="120"/>
        <v>0</v>
      </c>
      <c r="J1216" s="1418"/>
    </row>
    <row r="1217" spans="2:10" ht="12">
      <c r="B1217" s="222"/>
      <c r="C1217" s="1542" t="s">
        <v>4257</v>
      </c>
      <c r="D1217" s="1543" t="s">
        <v>4266</v>
      </c>
      <c r="E1217" s="1544" t="s">
        <v>610</v>
      </c>
      <c r="F1217" s="1545">
        <f>751*usd*1.07</f>
        <v>82004.318500000008</v>
      </c>
      <c r="G1217" s="1540">
        <f>+SUMIF('AUX-NIV1'!I:I,Recursos!C1217,'AUX-NIV1'!Q:Q)+SUMIF('AUX-NIV2'!I:I,Recursos!C1217,'AUX-NIV2'!Q:Q)+SUMIF('AUX-NIV3'!I:I,Recursos!C1217,'AUX-NIV3'!Q:Q)</f>
        <v>0</v>
      </c>
      <c r="H1217" s="204">
        <f t="shared" ref="H1217" si="121">+F1217*G1217</f>
        <v>0</v>
      </c>
      <c r="I1217" s="366">
        <f t="shared" ref="I1217" si="122">+H1217/$I$3</f>
        <v>0</v>
      </c>
      <c r="J1217" s="1418"/>
    </row>
    <row r="1218" spans="2:10" ht="12">
      <c r="B1218" s="222"/>
      <c r="C1218" s="1542" t="s">
        <v>3977</v>
      </c>
      <c r="D1218" s="1543" t="s">
        <v>3549</v>
      </c>
      <c r="E1218" s="1544" t="s">
        <v>1782</v>
      </c>
      <c r="F1218" s="1545">
        <f>317*usd*1.07</f>
        <v>34614.339500000002</v>
      </c>
      <c r="G1218" s="1540">
        <f>+SUMIF('AUX-NIV1'!I:I,Recursos!C1218,'AUX-NIV1'!Q:Q)+SUMIF('AUX-NIV2'!I:I,Recursos!C1218,'AUX-NIV2'!Q:Q)+SUMIF('AUX-NIV3'!I:I,Recursos!C1218,'AUX-NIV3'!Q:Q)</f>
        <v>0</v>
      </c>
      <c r="H1218" s="204">
        <f t="shared" ref="H1218:H1445" si="123">+F1218*G1218</f>
        <v>0</v>
      </c>
      <c r="I1218" s="366">
        <f t="shared" ref="I1218:I1445" si="124">+H1218/$I$3</f>
        <v>0</v>
      </c>
      <c r="J1218" s="1418"/>
    </row>
    <row r="1219" spans="2:10" ht="12">
      <c r="B1219" s="222"/>
      <c r="C1219" s="1542" t="s">
        <v>3978</v>
      </c>
      <c r="D1219" s="1543" t="s">
        <v>3550</v>
      </c>
      <c r="E1219" s="1544" t="s">
        <v>1782</v>
      </c>
      <c r="F1219" s="1545">
        <f>441*usd*1.07</f>
        <v>48154.333500000001</v>
      </c>
      <c r="G1219" s="1540">
        <f>+SUMIF('AUX-NIV1'!I:I,Recursos!C1219,'AUX-NIV1'!Q:Q)+SUMIF('AUX-NIV2'!I:I,Recursos!C1219,'AUX-NIV2'!Q:Q)+SUMIF('AUX-NIV3'!I:I,Recursos!C1219,'AUX-NIV3'!Q:Q)</f>
        <v>0</v>
      </c>
      <c r="H1219" s="204">
        <f t="shared" si="123"/>
        <v>0</v>
      </c>
      <c r="I1219" s="366">
        <f t="shared" si="124"/>
        <v>0</v>
      </c>
      <c r="J1219" s="1418"/>
    </row>
    <row r="1220" spans="2:10" ht="12">
      <c r="B1220" s="222"/>
      <c r="C1220" s="1542" t="s">
        <v>3979</v>
      </c>
      <c r="D1220" s="1543" t="s">
        <v>3551</v>
      </c>
      <c r="E1220" s="1544" t="s">
        <v>1782</v>
      </c>
      <c r="F1220" s="1545">
        <f>330*usd*1.07</f>
        <v>36033.855000000003</v>
      </c>
      <c r="G1220" s="1540">
        <f>+SUMIF('AUX-NIV1'!I:I,Recursos!C1220,'AUX-NIV1'!Q:Q)+SUMIF('AUX-NIV2'!I:I,Recursos!C1220,'AUX-NIV2'!Q:Q)+SUMIF('AUX-NIV3'!I:I,Recursos!C1220,'AUX-NIV3'!Q:Q)</f>
        <v>0</v>
      </c>
      <c r="H1220" s="204">
        <f t="shared" si="123"/>
        <v>0</v>
      </c>
      <c r="I1220" s="366">
        <f t="shared" si="124"/>
        <v>0</v>
      </c>
      <c r="J1220" s="1418"/>
    </row>
    <row r="1221" spans="2:10" ht="12">
      <c r="B1221" s="222"/>
      <c r="C1221" s="1542" t="s">
        <v>3980</v>
      </c>
      <c r="D1221" s="1543" t="s">
        <v>3552</v>
      </c>
      <c r="E1221" s="1544" t="s">
        <v>1782</v>
      </c>
      <c r="F1221" s="1545">
        <f>389*usd*1.07</f>
        <v>42476.271500000003</v>
      </c>
      <c r="G1221" s="1540">
        <f>+SUMIF('AUX-NIV1'!I:I,Recursos!C1221,'AUX-NIV1'!Q:Q)+SUMIF('AUX-NIV2'!I:I,Recursos!C1221,'AUX-NIV2'!Q:Q)+SUMIF('AUX-NIV3'!I:I,Recursos!C1221,'AUX-NIV3'!Q:Q)</f>
        <v>0</v>
      </c>
      <c r="H1221" s="204">
        <f t="shared" si="123"/>
        <v>0</v>
      </c>
      <c r="I1221" s="366">
        <f t="shared" si="124"/>
        <v>0</v>
      </c>
      <c r="J1221" s="1418"/>
    </row>
    <row r="1222" spans="2:10" ht="12">
      <c r="B1222" s="222"/>
      <c r="C1222" s="1542" t="s">
        <v>3981</v>
      </c>
      <c r="D1222" s="1543" t="s">
        <v>3553</v>
      </c>
      <c r="E1222" s="1544" t="s">
        <v>1782</v>
      </c>
      <c r="F1222" s="1545">
        <f>634*usd*1.07</f>
        <v>69228.679000000004</v>
      </c>
      <c r="G1222" s="1540">
        <f>+SUMIF('AUX-NIV1'!I:I,Recursos!C1222,'AUX-NIV1'!Q:Q)+SUMIF('AUX-NIV2'!I:I,Recursos!C1222,'AUX-NIV2'!Q:Q)+SUMIF('AUX-NIV3'!I:I,Recursos!C1222,'AUX-NIV3'!Q:Q)</f>
        <v>0</v>
      </c>
      <c r="H1222" s="204">
        <f t="shared" si="123"/>
        <v>0</v>
      </c>
      <c r="I1222" s="366">
        <f t="shared" si="124"/>
        <v>0</v>
      </c>
      <c r="J1222" s="1418"/>
    </row>
    <row r="1223" spans="2:10" ht="12">
      <c r="B1223" s="222"/>
      <c r="C1223" s="1542" t="s">
        <v>3982</v>
      </c>
      <c r="D1223" s="1543" t="s">
        <v>3554</v>
      </c>
      <c r="E1223" s="1544" t="s">
        <v>1782</v>
      </c>
      <c r="F1223" s="1545">
        <f>957*usd*1.07</f>
        <v>104498.1795</v>
      </c>
      <c r="G1223" s="1540">
        <f>+SUMIF('AUX-NIV1'!I:I,Recursos!C1223,'AUX-NIV1'!Q:Q)+SUMIF('AUX-NIV2'!I:I,Recursos!C1223,'AUX-NIV2'!Q:Q)+SUMIF('AUX-NIV3'!I:I,Recursos!C1223,'AUX-NIV3'!Q:Q)</f>
        <v>0</v>
      </c>
      <c r="H1223" s="204">
        <f t="shared" si="123"/>
        <v>0</v>
      </c>
      <c r="I1223" s="366">
        <f t="shared" si="124"/>
        <v>0</v>
      </c>
      <c r="J1223" s="1418"/>
    </row>
    <row r="1224" spans="2:10" ht="12">
      <c r="B1224" s="222"/>
      <c r="C1224" s="1542" t="s">
        <v>3983</v>
      </c>
      <c r="D1224" s="1543" t="s">
        <v>3555</v>
      </c>
      <c r="E1224" s="1544" t="s">
        <v>1782</v>
      </c>
      <c r="F1224" s="1545">
        <f>245*usd*1.07</f>
        <v>26752.407500000001</v>
      </c>
      <c r="G1224" s="1540">
        <f>+SUMIF('AUX-NIV1'!I:I,Recursos!C1224,'AUX-NIV1'!Q:Q)+SUMIF('AUX-NIV2'!I:I,Recursos!C1224,'AUX-NIV2'!Q:Q)+SUMIF('AUX-NIV3'!I:I,Recursos!C1224,'AUX-NIV3'!Q:Q)</f>
        <v>0</v>
      </c>
      <c r="H1224" s="204">
        <f t="shared" si="123"/>
        <v>0</v>
      </c>
      <c r="I1224" s="366">
        <f t="shared" si="124"/>
        <v>0</v>
      </c>
      <c r="J1224" s="1418"/>
    </row>
    <row r="1225" spans="2:10" ht="12">
      <c r="B1225" s="222"/>
      <c r="C1225" s="1542" t="s">
        <v>3984</v>
      </c>
      <c r="D1225" s="1543" t="s">
        <v>3556</v>
      </c>
      <c r="E1225" s="1544" t="s">
        <v>1782</v>
      </c>
      <c r="F1225" s="1545">
        <f>392*usd*1.07</f>
        <v>42803.851999999999</v>
      </c>
      <c r="G1225" s="1540">
        <f>+SUMIF('AUX-NIV1'!I:I,Recursos!C1225,'AUX-NIV1'!Q:Q)+SUMIF('AUX-NIV2'!I:I,Recursos!C1225,'AUX-NIV2'!Q:Q)+SUMIF('AUX-NIV3'!I:I,Recursos!C1225,'AUX-NIV3'!Q:Q)</f>
        <v>0</v>
      </c>
      <c r="H1225" s="204">
        <f t="shared" si="123"/>
        <v>0</v>
      </c>
      <c r="I1225" s="366">
        <f t="shared" si="124"/>
        <v>0</v>
      </c>
      <c r="J1225" s="1418"/>
    </row>
    <row r="1226" spans="2:10">
      <c r="B1226" s="222"/>
      <c r="C1226" s="1460" t="s">
        <v>3985</v>
      </c>
      <c r="D1226" s="1415" t="s">
        <v>3557</v>
      </c>
      <c r="E1226" s="1416" t="s">
        <v>1840</v>
      </c>
      <c r="F1226" s="1461">
        <v>1</v>
      </c>
      <c r="G1226" s="203">
        <f>+SUMIF('AUX-NIV1'!I:I,Recursos!C1226,'AUX-NIV1'!Q:Q)+SUMIF('AUX-NIV2'!I:I,Recursos!C1226,'AUX-NIV2'!Q:Q)+SUMIF('AUX-NIV3'!I:I,Recursos!C1226,'AUX-NIV3'!Q:Q)</f>
        <v>0</v>
      </c>
      <c r="H1226" s="204">
        <f t="shared" si="123"/>
        <v>0</v>
      </c>
      <c r="I1226" s="366">
        <f t="shared" si="124"/>
        <v>0</v>
      </c>
      <c r="J1226" s="1418"/>
    </row>
    <row r="1227" spans="2:10">
      <c r="B1227" s="222"/>
      <c r="C1227" s="1460" t="s">
        <v>3991</v>
      </c>
      <c r="D1227" s="1415" t="s">
        <v>3558</v>
      </c>
      <c r="E1227" s="1416" t="s">
        <v>1840</v>
      </c>
      <c r="F1227" s="1461">
        <v>1</v>
      </c>
      <c r="G1227" s="203">
        <f>+SUMIF('AUX-NIV1'!I:I,Recursos!C1227,'AUX-NIV1'!Q:Q)+SUMIF('AUX-NIV2'!I:I,Recursos!C1227,'AUX-NIV2'!Q:Q)+SUMIF('AUX-NIV3'!I:I,Recursos!C1227,'AUX-NIV3'!Q:Q)</f>
        <v>0</v>
      </c>
      <c r="H1227" s="204">
        <f t="shared" si="123"/>
        <v>0</v>
      </c>
      <c r="I1227" s="366">
        <f t="shared" si="124"/>
        <v>0</v>
      </c>
      <c r="J1227" s="1418"/>
    </row>
    <row r="1228" spans="2:10">
      <c r="B1228" s="222"/>
      <c r="C1228" s="1460" t="s">
        <v>3992</v>
      </c>
      <c r="D1228" s="1415" t="s">
        <v>3986</v>
      </c>
      <c r="E1228" s="1416" t="s">
        <v>1782</v>
      </c>
      <c r="F1228" s="1461">
        <v>1</v>
      </c>
      <c r="G1228" s="203">
        <f>+SUMIF('AUX-NIV1'!I:I,Recursos!C1228,'AUX-NIV1'!Q:Q)+SUMIF('AUX-NIV2'!I:I,Recursos!C1228,'AUX-NIV2'!Q:Q)+SUMIF('AUX-NIV3'!I:I,Recursos!C1228,'AUX-NIV3'!Q:Q)</f>
        <v>0</v>
      </c>
      <c r="H1228" s="204">
        <f t="shared" si="123"/>
        <v>0</v>
      </c>
      <c r="I1228" s="366">
        <f t="shared" si="124"/>
        <v>0</v>
      </c>
      <c r="J1228" s="1418"/>
    </row>
    <row r="1229" spans="2:10">
      <c r="B1229" s="222"/>
      <c r="C1229" s="1460" t="s">
        <v>3993</v>
      </c>
      <c r="D1229" s="1415" t="s">
        <v>3987</v>
      </c>
      <c r="E1229" s="1416" t="s">
        <v>1782</v>
      </c>
      <c r="F1229" s="1461">
        <v>1</v>
      </c>
      <c r="G1229" s="203">
        <f>+SUMIF('AUX-NIV1'!I:I,Recursos!C1229,'AUX-NIV1'!Q:Q)+SUMIF('AUX-NIV2'!I:I,Recursos!C1229,'AUX-NIV2'!Q:Q)+SUMIF('AUX-NIV3'!I:I,Recursos!C1229,'AUX-NIV3'!Q:Q)</f>
        <v>0</v>
      </c>
      <c r="H1229" s="204">
        <f t="shared" si="123"/>
        <v>0</v>
      </c>
      <c r="I1229" s="366">
        <f t="shared" si="124"/>
        <v>0</v>
      </c>
      <c r="J1229" s="1418"/>
    </row>
    <row r="1230" spans="2:10">
      <c r="B1230" s="222"/>
      <c r="C1230" s="1460" t="s">
        <v>4032</v>
      </c>
      <c r="D1230" s="1415" t="s">
        <v>3994</v>
      </c>
      <c r="E1230" s="1416" t="s">
        <v>1782</v>
      </c>
      <c r="F1230" s="1461">
        <v>1</v>
      </c>
      <c r="G1230" s="203">
        <f>+SUMIF('AUX-NIV1'!I:I,Recursos!C1230,'AUX-NIV1'!Q:Q)+SUMIF('AUX-NIV2'!I:I,Recursos!C1230,'AUX-NIV2'!Q:Q)+SUMIF('AUX-NIV3'!I:I,Recursos!C1230,'AUX-NIV3'!Q:Q)</f>
        <v>0</v>
      </c>
      <c r="H1230" s="204">
        <f t="shared" si="123"/>
        <v>0</v>
      </c>
      <c r="I1230" s="366">
        <f t="shared" si="124"/>
        <v>0</v>
      </c>
      <c r="J1230" s="1418"/>
    </row>
    <row r="1231" spans="2:10">
      <c r="B1231" s="222"/>
      <c r="C1231" s="1460" t="s">
        <v>4000</v>
      </c>
      <c r="D1231" s="1415" t="s">
        <v>3559</v>
      </c>
      <c r="E1231" s="1416" t="s">
        <v>501</v>
      </c>
      <c r="F1231" s="1461">
        <v>1</v>
      </c>
      <c r="G1231" s="203">
        <f>+SUMIF('AUX-NIV1'!I:I,Recursos!C1231,'AUX-NIV1'!Q:Q)+SUMIF('AUX-NIV2'!I:I,Recursos!C1231,'AUX-NIV2'!Q:Q)+SUMIF('AUX-NIV3'!I:I,Recursos!C1231,'AUX-NIV3'!Q:Q)</f>
        <v>0</v>
      </c>
      <c r="H1231" s="204">
        <f t="shared" si="123"/>
        <v>0</v>
      </c>
      <c r="I1231" s="366">
        <f t="shared" si="124"/>
        <v>0</v>
      </c>
      <c r="J1231" s="1418"/>
    </row>
    <row r="1232" spans="2:10">
      <c r="B1232" s="222"/>
      <c r="C1232" s="1460" t="s">
        <v>4001</v>
      </c>
      <c r="D1232" s="1415" t="s">
        <v>3999</v>
      </c>
      <c r="E1232" s="1416" t="s">
        <v>1782</v>
      </c>
      <c r="F1232" s="1461">
        <v>1</v>
      </c>
      <c r="G1232" s="203">
        <f>+SUMIF('AUX-NIV1'!I:I,Recursos!C1232,'AUX-NIV1'!Q:Q)+SUMIF('AUX-NIV2'!I:I,Recursos!C1232,'AUX-NIV2'!Q:Q)+SUMIF('AUX-NIV3'!I:I,Recursos!C1232,'AUX-NIV3'!Q:Q)</f>
        <v>0</v>
      </c>
      <c r="H1232" s="204">
        <f t="shared" si="123"/>
        <v>0</v>
      </c>
      <c r="I1232" s="366">
        <f t="shared" si="124"/>
        <v>0</v>
      </c>
      <c r="J1232" s="1418"/>
    </row>
    <row r="1233" spans="2:10">
      <c r="B1233" s="222"/>
      <c r="C1233" s="1460" t="s">
        <v>4014</v>
      </c>
      <c r="D1233" s="1415" t="s">
        <v>3561</v>
      </c>
      <c r="E1233" s="1416" t="s">
        <v>1782</v>
      </c>
      <c r="F1233" s="1461">
        <v>1</v>
      </c>
      <c r="G1233" s="203">
        <f>+SUMIF('AUX-NIV1'!I:I,Recursos!C1233,'AUX-NIV1'!Q:Q)+SUMIF('AUX-NIV2'!I:I,Recursos!C1233,'AUX-NIV2'!Q:Q)+SUMIF('AUX-NIV3'!I:I,Recursos!C1233,'AUX-NIV3'!Q:Q)</f>
        <v>0</v>
      </c>
      <c r="H1233" s="204">
        <f t="shared" si="123"/>
        <v>0</v>
      </c>
      <c r="I1233" s="366">
        <f t="shared" si="124"/>
        <v>0</v>
      </c>
      <c r="J1233" s="1418"/>
    </row>
    <row r="1234" spans="2:10">
      <c r="B1234" s="222"/>
      <c r="C1234" s="1460" t="s">
        <v>4015</v>
      </c>
      <c r="D1234" s="1415" t="s">
        <v>3562</v>
      </c>
      <c r="E1234" s="1416" t="s">
        <v>1782</v>
      </c>
      <c r="F1234" s="1461">
        <v>1</v>
      </c>
      <c r="G1234" s="203">
        <f>+SUMIF('AUX-NIV1'!I:I,Recursos!C1234,'AUX-NIV1'!Q:Q)+SUMIF('AUX-NIV2'!I:I,Recursos!C1234,'AUX-NIV2'!Q:Q)+SUMIF('AUX-NIV3'!I:I,Recursos!C1234,'AUX-NIV3'!Q:Q)</f>
        <v>0</v>
      </c>
      <c r="H1234" s="204">
        <f t="shared" si="123"/>
        <v>0</v>
      </c>
      <c r="I1234" s="366">
        <f t="shared" si="124"/>
        <v>0</v>
      </c>
      <c r="J1234" s="1418"/>
    </row>
    <row r="1235" spans="2:10">
      <c r="B1235" s="222"/>
      <c r="C1235" s="1460" t="s">
        <v>4016</v>
      </c>
      <c r="D1235" s="1415" t="s">
        <v>3563</v>
      </c>
      <c r="E1235" s="1416" t="s">
        <v>1782</v>
      </c>
      <c r="F1235" s="1461">
        <v>1</v>
      </c>
      <c r="G1235" s="203">
        <f>+SUMIF('AUX-NIV1'!I:I,Recursos!C1235,'AUX-NIV1'!Q:Q)+SUMIF('AUX-NIV2'!I:I,Recursos!C1235,'AUX-NIV2'!Q:Q)+SUMIF('AUX-NIV3'!I:I,Recursos!C1235,'AUX-NIV3'!Q:Q)</f>
        <v>0</v>
      </c>
      <c r="H1235" s="204">
        <f t="shared" si="123"/>
        <v>0</v>
      </c>
      <c r="I1235" s="366">
        <f t="shared" si="124"/>
        <v>0</v>
      </c>
      <c r="J1235" s="1418"/>
    </row>
    <row r="1236" spans="2:10">
      <c r="B1236" s="222"/>
      <c r="C1236" s="1460" t="s">
        <v>4017</v>
      </c>
      <c r="D1236" s="1415" t="s">
        <v>3564</v>
      </c>
      <c r="E1236" s="1416" t="s">
        <v>1172</v>
      </c>
      <c r="F1236" s="1461">
        <v>1</v>
      </c>
      <c r="G1236" s="203">
        <f>+SUMIF('AUX-NIV1'!I:I,Recursos!C1236,'AUX-NIV1'!Q:Q)+SUMIF('AUX-NIV2'!I:I,Recursos!C1236,'AUX-NIV2'!Q:Q)+SUMIF('AUX-NIV3'!I:I,Recursos!C1236,'AUX-NIV3'!Q:Q)</f>
        <v>0</v>
      </c>
      <c r="H1236" s="204">
        <f t="shared" si="123"/>
        <v>0</v>
      </c>
      <c r="I1236" s="366">
        <f t="shared" si="124"/>
        <v>0</v>
      </c>
      <c r="J1236" s="1418"/>
    </row>
    <row r="1237" spans="2:10">
      <c r="B1237" s="222"/>
      <c r="C1237" s="1460" t="s">
        <v>4018</v>
      </c>
      <c r="D1237" s="1415" t="s">
        <v>4245</v>
      </c>
      <c r="E1237" s="1416" t="s">
        <v>2938</v>
      </c>
      <c r="F1237" s="1461">
        <v>500</v>
      </c>
      <c r="G1237" s="203">
        <f>+SUMIF('AUX-NIV1'!I:I,Recursos!C1237,'AUX-NIV1'!Q:Q)+SUMIF('AUX-NIV2'!I:I,Recursos!C1237,'AUX-NIV2'!Q:Q)+SUMIF('AUX-NIV3'!I:I,Recursos!C1237,'AUX-NIV3'!Q:Q)</f>
        <v>0</v>
      </c>
      <c r="H1237" s="204">
        <f t="shared" si="123"/>
        <v>0</v>
      </c>
      <c r="I1237" s="366">
        <f t="shared" si="124"/>
        <v>0</v>
      </c>
      <c r="J1237" s="1418"/>
    </row>
    <row r="1238" spans="2:10">
      <c r="B1238" s="222"/>
      <c r="C1238" s="1460" t="s">
        <v>4019</v>
      </c>
      <c r="D1238" s="1415" t="s">
        <v>3566</v>
      </c>
      <c r="E1238" s="1416" t="s">
        <v>1782</v>
      </c>
      <c r="F1238" s="1461">
        <v>1</v>
      </c>
      <c r="G1238" s="203">
        <f>+SUMIF('AUX-NIV1'!I:I,Recursos!C1238,'AUX-NIV1'!Q:Q)+SUMIF('AUX-NIV2'!I:I,Recursos!C1238,'AUX-NIV2'!Q:Q)+SUMIF('AUX-NIV3'!I:I,Recursos!C1238,'AUX-NIV3'!Q:Q)</f>
        <v>0</v>
      </c>
      <c r="H1238" s="204">
        <f t="shared" si="123"/>
        <v>0</v>
      </c>
      <c r="I1238" s="366">
        <f t="shared" si="124"/>
        <v>0</v>
      </c>
      <c r="J1238" s="1418"/>
    </row>
    <row r="1239" spans="2:10" ht="22.8">
      <c r="B1239" s="222"/>
      <c r="C1239" s="1460" t="s">
        <v>4020</v>
      </c>
      <c r="D1239" s="1415" t="s">
        <v>3946</v>
      </c>
      <c r="E1239" s="1416" t="s">
        <v>3535</v>
      </c>
      <c r="F1239" s="1461">
        <v>1</v>
      </c>
      <c r="G1239" s="203">
        <f>+SUMIF('AUX-NIV1'!I:I,Recursos!C1239,'AUX-NIV1'!Q:Q)+SUMIF('AUX-NIV2'!I:I,Recursos!C1239,'AUX-NIV2'!Q:Q)+SUMIF('AUX-NIV3'!I:I,Recursos!C1239,'AUX-NIV3'!Q:Q)</f>
        <v>0</v>
      </c>
      <c r="H1239" s="204">
        <f t="shared" si="123"/>
        <v>0</v>
      </c>
      <c r="I1239" s="366">
        <f t="shared" si="124"/>
        <v>0</v>
      </c>
      <c r="J1239" s="1418"/>
    </row>
    <row r="1240" spans="2:10">
      <c r="B1240" s="222"/>
      <c r="C1240" s="1460" t="s">
        <v>4021</v>
      </c>
      <c r="D1240" s="1415" t="s">
        <v>3567</v>
      </c>
      <c r="E1240" s="1416" t="s">
        <v>1840</v>
      </c>
      <c r="F1240" s="1461">
        <v>1</v>
      </c>
      <c r="G1240" s="203">
        <f>+SUMIF('AUX-NIV1'!I:I,Recursos!C1240,'AUX-NIV1'!Q:Q)+SUMIF('AUX-NIV2'!I:I,Recursos!C1240,'AUX-NIV2'!Q:Q)+SUMIF('AUX-NIV3'!I:I,Recursos!C1240,'AUX-NIV3'!Q:Q)</f>
        <v>0</v>
      </c>
      <c r="H1240" s="204">
        <f t="shared" si="123"/>
        <v>0</v>
      </c>
      <c r="I1240" s="366">
        <f t="shared" si="124"/>
        <v>0</v>
      </c>
      <c r="J1240" s="1418"/>
    </row>
    <row r="1241" spans="2:10" ht="22.8">
      <c r="B1241" s="222"/>
      <c r="C1241" s="1460" t="s">
        <v>4022</v>
      </c>
      <c r="D1241" s="1415" t="s">
        <v>3568</v>
      </c>
      <c r="E1241" s="1416" t="s">
        <v>1840</v>
      </c>
      <c r="F1241" s="1461">
        <v>1</v>
      </c>
      <c r="G1241" s="203">
        <f>+SUMIF('AUX-NIV1'!I:I,Recursos!C1241,'AUX-NIV1'!Q:Q)+SUMIF('AUX-NIV2'!I:I,Recursos!C1241,'AUX-NIV2'!Q:Q)+SUMIF('AUX-NIV3'!I:I,Recursos!C1241,'AUX-NIV3'!Q:Q)</f>
        <v>0</v>
      </c>
      <c r="H1241" s="204">
        <f t="shared" si="123"/>
        <v>0</v>
      </c>
      <c r="I1241" s="366">
        <f t="shared" si="124"/>
        <v>0</v>
      </c>
      <c r="J1241" s="1418"/>
    </row>
    <row r="1242" spans="2:10">
      <c r="B1242" s="222"/>
      <c r="C1242" s="1460" t="s">
        <v>4023</v>
      </c>
      <c r="D1242" s="1415" t="s">
        <v>3569</v>
      </c>
      <c r="E1242" s="1416" t="s">
        <v>1782</v>
      </c>
      <c r="F1242" s="1461">
        <v>1</v>
      </c>
      <c r="G1242" s="203">
        <f>+SUMIF('AUX-NIV1'!I:I,Recursos!C1242,'AUX-NIV1'!Q:Q)+SUMIF('AUX-NIV2'!I:I,Recursos!C1242,'AUX-NIV2'!Q:Q)+SUMIF('AUX-NIV3'!I:I,Recursos!C1242,'AUX-NIV3'!Q:Q)</f>
        <v>0</v>
      </c>
      <c r="H1242" s="204">
        <f t="shared" si="123"/>
        <v>0</v>
      </c>
      <c r="I1242" s="366">
        <f t="shared" si="124"/>
        <v>0</v>
      </c>
      <c r="J1242" s="1418"/>
    </row>
    <row r="1243" spans="2:10">
      <c r="B1243" s="222"/>
      <c r="C1243" s="1460" t="s">
        <v>4024</v>
      </c>
      <c r="D1243" s="1415" t="s">
        <v>3570</v>
      </c>
      <c r="E1243" s="1416" t="s">
        <v>1782</v>
      </c>
      <c r="F1243" s="1461">
        <v>1</v>
      </c>
      <c r="G1243" s="203">
        <f>+SUMIF('AUX-NIV1'!I:I,Recursos!C1243,'AUX-NIV1'!Q:Q)+SUMIF('AUX-NIV2'!I:I,Recursos!C1243,'AUX-NIV2'!Q:Q)+SUMIF('AUX-NIV3'!I:I,Recursos!C1243,'AUX-NIV3'!Q:Q)</f>
        <v>0</v>
      </c>
      <c r="H1243" s="204">
        <f t="shared" si="123"/>
        <v>0</v>
      </c>
      <c r="I1243" s="366">
        <f t="shared" si="124"/>
        <v>0</v>
      </c>
      <c r="J1243" s="1418"/>
    </row>
    <row r="1244" spans="2:10">
      <c r="B1244" s="222"/>
      <c r="C1244" s="1460" t="s">
        <v>4025</v>
      </c>
      <c r="D1244" s="1415" t="s">
        <v>3571</v>
      </c>
      <c r="E1244" s="1416" t="s">
        <v>501</v>
      </c>
      <c r="F1244" s="1461">
        <v>1</v>
      </c>
      <c r="G1244" s="203">
        <f>+SUMIF('AUX-NIV1'!I:I,Recursos!C1244,'AUX-NIV1'!Q:Q)+SUMIF('AUX-NIV2'!I:I,Recursos!C1244,'AUX-NIV2'!Q:Q)+SUMIF('AUX-NIV3'!I:I,Recursos!C1244,'AUX-NIV3'!Q:Q)</f>
        <v>0</v>
      </c>
      <c r="H1244" s="204">
        <f t="shared" si="123"/>
        <v>0</v>
      </c>
      <c r="I1244" s="366">
        <f t="shared" si="124"/>
        <v>0</v>
      </c>
      <c r="J1244" s="1418"/>
    </row>
    <row r="1245" spans="2:10">
      <c r="B1245" s="222"/>
      <c r="C1245" s="1460" t="s">
        <v>4030</v>
      </c>
      <c r="D1245" s="1463" t="s">
        <v>3572</v>
      </c>
      <c r="E1245" s="1464" t="s">
        <v>1840</v>
      </c>
      <c r="F1245" s="1465">
        <v>1</v>
      </c>
      <c r="G1245" s="203">
        <f>+SUMIF('AUX-NIV1'!I:I,Recursos!C1245,'AUX-NIV1'!Q:Q)+SUMIF('AUX-NIV2'!I:I,Recursos!C1245,'AUX-NIV2'!Q:Q)+SUMIF('AUX-NIV3'!I:I,Recursos!C1245,'AUX-NIV3'!Q:Q)</f>
        <v>0</v>
      </c>
      <c r="H1245" s="204">
        <f t="shared" ref="H1245:H1247" si="125">+F1245*G1245</f>
        <v>0</v>
      </c>
      <c r="I1245" s="366">
        <f t="shared" ref="I1245:I1247" si="126">+H1245/$I$3</f>
        <v>0</v>
      </c>
      <c r="J1245" s="1466"/>
    </row>
    <row r="1246" spans="2:10">
      <c r="B1246" s="222"/>
      <c r="C1246" s="1460" t="s">
        <v>4031</v>
      </c>
      <c r="D1246" s="1463" t="s">
        <v>3573</v>
      </c>
      <c r="E1246" s="1464" t="s">
        <v>501</v>
      </c>
      <c r="F1246" s="1465">
        <v>1</v>
      </c>
      <c r="G1246" s="203">
        <f>+SUMIF('AUX-NIV1'!I:I,Recursos!C1246,'AUX-NIV1'!Q:Q)+SUMIF('AUX-NIV2'!I:I,Recursos!C1246,'AUX-NIV2'!Q:Q)+SUMIF('AUX-NIV3'!I:I,Recursos!C1246,'AUX-NIV3'!Q:Q)</f>
        <v>0</v>
      </c>
      <c r="H1246" s="204">
        <f t="shared" si="125"/>
        <v>0</v>
      </c>
      <c r="I1246" s="366">
        <f t="shared" si="126"/>
        <v>0</v>
      </c>
      <c r="J1246" s="1466"/>
    </row>
    <row r="1247" spans="2:10">
      <c r="B1247" s="222"/>
      <c r="C1247" s="1460" t="s">
        <v>4053</v>
      </c>
      <c r="D1247" s="1415" t="s">
        <v>4052</v>
      </c>
      <c r="E1247" s="1416" t="s">
        <v>1172</v>
      </c>
      <c r="F1247" s="1461">
        <v>1</v>
      </c>
      <c r="G1247" s="203">
        <f>+SUMIF('AUX-NIV1'!I:I,Recursos!C1247,'AUX-NIV1'!Q:Q)+SUMIF('AUX-NIV2'!I:I,Recursos!C1247,'AUX-NIV2'!Q:Q)+SUMIF('AUX-NIV3'!I:I,Recursos!C1247,'AUX-NIV3'!Q:Q)</f>
        <v>0</v>
      </c>
      <c r="H1247" s="204">
        <f t="shared" si="125"/>
        <v>0</v>
      </c>
      <c r="I1247" s="366">
        <f t="shared" si="126"/>
        <v>0</v>
      </c>
      <c r="J1247" s="1418"/>
    </row>
    <row r="1248" spans="2:10">
      <c r="B1248" s="222"/>
      <c r="C1248" s="1460" t="s">
        <v>4054</v>
      </c>
      <c r="D1248" s="1415" t="s">
        <v>4072</v>
      </c>
      <c r="E1248" s="1416" t="s">
        <v>1172</v>
      </c>
      <c r="F1248" s="1461">
        <v>1</v>
      </c>
      <c r="G1248" s="203">
        <f>+SUMIF('AUX-NIV1'!I:I,Recursos!C1248,'AUX-NIV1'!Q:Q)+SUMIF('AUX-NIV2'!I:I,Recursos!C1248,'AUX-NIV2'!Q:Q)+SUMIF('AUX-NIV3'!I:I,Recursos!C1248,'AUX-NIV3'!Q:Q)</f>
        <v>0</v>
      </c>
      <c r="H1248" s="204">
        <f t="shared" ref="H1248:H1444" si="127">+F1248*G1248</f>
        <v>0</v>
      </c>
      <c r="I1248" s="366">
        <f t="shared" ref="I1248:I1444" si="128">+H1248/$I$3</f>
        <v>0</v>
      </c>
      <c r="J1248" s="1418"/>
    </row>
    <row r="1249" spans="2:10" ht="22.8">
      <c r="B1249" s="222"/>
      <c r="C1249" s="1460" t="s">
        <v>4055</v>
      </c>
      <c r="D1249" s="1415" t="s">
        <v>4073</v>
      </c>
      <c r="E1249" s="1416" t="s">
        <v>185</v>
      </c>
      <c r="F1249" s="1461">
        <v>1</v>
      </c>
      <c r="G1249" s="203">
        <f>+SUMIF('AUX-NIV1'!I:I,Recursos!C1249,'AUX-NIV1'!Q:Q)+SUMIF('AUX-NIV2'!I:I,Recursos!C1249,'AUX-NIV2'!Q:Q)+SUMIF('AUX-NIV3'!I:I,Recursos!C1249,'AUX-NIV3'!Q:Q)</f>
        <v>0</v>
      </c>
      <c r="H1249" s="204">
        <f t="shared" si="127"/>
        <v>0</v>
      </c>
      <c r="I1249" s="366">
        <f t="shared" si="128"/>
        <v>0</v>
      </c>
      <c r="J1249" s="1418"/>
    </row>
    <row r="1250" spans="2:10" ht="22.8">
      <c r="B1250" s="222"/>
      <c r="C1250" s="1460" t="s">
        <v>4056</v>
      </c>
      <c r="D1250" s="1415" t="s">
        <v>4074</v>
      </c>
      <c r="E1250" s="1416" t="s">
        <v>185</v>
      </c>
      <c r="F1250" s="1461">
        <v>1</v>
      </c>
      <c r="G1250" s="203">
        <f>+SUMIF('AUX-NIV1'!I:I,Recursos!C1250,'AUX-NIV1'!Q:Q)+SUMIF('AUX-NIV2'!I:I,Recursos!C1250,'AUX-NIV2'!Q:Q)+SUMIF('AUX-NIV3'!I:I,Recursos!C1250,'AUX-NIV3'!Q:Q)</f>
        <v>0</v>
      </c>
      <c r="H1250" s="204">
        <f t="shared" si="127"/>
        <v>0</v>
      </c>
      <c r="I1250" s="366">
        <f t="shared" si="128"/>
        <v>0</v>
      </c>
      <c r="J1250" s="1418"/>
    </row>
    <row r="1251" spans="2:10" ht="22.8">
      <c r="B1251" s="222"/>
      <c r="C1251" s="1460" t="s">
        <v>4057</v>
      </c>
      <c r="D1251" s="1415" t="s">
        <v>4075</v>
      </c>
      <c r="E1251" s="1416" t="s">
        <v>185</v>
      </c>
      <c r="F1251" s="1461">
        <v>1</v>
      </c>
      <c r="G1251" s="203">
        <f>+SUMIF('AUX-NIV1'!I:I,Recursos!C1251,'AUX-NIV1'!Q:Q)+SUMIF('AUX-NIV2'!I:I,Recursos!C1251,'AUX-NIV2'!Q:Q)+SUMIF('AUX-NIV3'!I:I,Recursos!C1251,'AUX-NIV3'!Q:Q)</f>
        <v>0</v>
      </c>
      <c r="H1251" s="204">
        <f t="shared" si="127"/>
        <v>0</v>
      </c>
      <c r="I1251" s="366">
        <f t="shared" si="128"/>
        <v>0</v>
      </c>
      <c r="J1251" s="1418"/>
    </row>
    <row r="1252" spans="2:10" ht="22.8">
      <c r="B1252" s="222"/>
      <c r="C1252" s="1460" t="s">
        <v>4058</v>
      </c>
      <c r="D1252" s="1415" t="s">
        <v>4076</v>
      </c>
      <c r="E1252" s="1416" t="s">
        <v>185</v>
      </c>
      <c r="F1252" s="1461">
        <v>1</v>
      </c>
      <c r="G1252" s="203">
        <f>+SUMIF('AUX-NIV1'!I:I,Recursos!C1252,'AUX-NIV1'!Q:Q)+SUMIF('AUX-NIV2'!I:I,Recursos!C1252,'AUX-NIV2'!Q:Q)+SUMIF('AUX-NIV3'!I:I,Recursos!C1252,'AUX-NIV3'!Q:Q)</f>
        <v>0</v>
      </c>
      <c r="H1252" s="204">
        <f t="shared" si="127"/>
        <v>0</v>
      </c>
      <c r="I1252" s="366">
        <f t="shared" si="128"/>
        <v>0</v>
      </c>
      <c r="J1252" s="1418"/>
    </row>
    <row r="1253" spans="2:10" ht="22.8">
      <c r="B1253" s="222"/>
      <c r="C1253" s="1460" t="s">
        <v>4059</v>
      </c>
      <c r="D1253" s="1415" t="s">
        <v>4077</v>
      </c>
      <c r="E1253" s="1416" t="s">
        <v>185</v>
      </c>
      <c r="F1253" s="1461">
        <v>1</v>
      </c>
      <c r="G1253" s="203">
        <f>+SUMIF('AUX-NIV1'!I:I,Recursos!C1253,'AUX-NIV1'!Q:Q)+SUMIF('AUX-NIV2'!I:I,Recursos!C1253,'AUX-NIV2'!Q:Q)+SUMIF('AUX-NIV3'!I:I,Recursos!C1253,'AUX-NIV3'!Q:Q)</f>
        <v>0</v>
      </c>
      <c r="H1253" s="204">
        <f t="shared" si="127"/>
        <v>0</v>
      </c>
      <c r="I1253" s="366">
        <f t="shared" si="128"/>
        <v>0</v>
      </c>
      <c r="J1253" s="1418"/>
    </row>
    <row r="1254" spans="2:10" ht="22.8">
      <c r="B1254" s="222"/>
      <c r="C1254" s="1460" t="s">
        <v>4060</v>
      </c>
      <c r="D1254" s="1415" t="s">
        <v>4078</v>
      </c>
      <c r="E1254" s="1416" t="s">
        <v>185</v>
      </c>
      <c r="F1254" s="1461">
        <v>1</v>
      </c>
      <c r="G1254" s="203">
        <f>+SUMIF('AUX-NIV1'!I:I,Recursos!C1254,'AUX-NIV1'!Q:Q)+SUMIF('AUX-NIV2'!I:I,Recursos!C1254,'AUX-NIV2'!Q:Q)+SUMIF('AUX-NIV3'!I:I,Recursos!C1254,'AUX-NIV3'!Q:Q)</f>
        <v>0</v>
      </c>
      <c r="H1254" s="204">
        <f t="shared" si="127"/>
        <v>0</v>
      </c>
      <c r="I1254" s="366">
        <f t="shared" si="128"/>
        <v>0</v>
      </c>
      <c r="J1254" s="1418"/>
    </row>
    <row r="1255" spans="2:10" ht="22.8">
      <c r="B1255" s="222"/>
      <c r="C1255" s="1460" t="s">
        <v>4061</v>
      </c>
      <c r="D1255" s="1415" t="s">
        <v>4079</v>
      </c>
      <c r="E1255" s="1416" t="s">
        <v>185</v>
      </c>
      <c r="F1255" s="1461">
        <v>1</v>
      </c>
      <c r="G1255" s="203">
        <f>+SUMIF('AUX-NIV1'!I:I,Recursos!C1255,'AUX-NIV1'!Q:Q)+SUMIF('AUX-NIV2'!I:I,Recursos!C1255,'AUX-NIV2'!Q:Q)+SUMIF('AUX-NIV3'!I:I,Recursos!C1255,'AUX-NIV3'!Q:Q)</f>
        <v>0</v>
      </c>
      <c r="H1255" s="204">
        <f t="shared" si="127"/>
        <v>0</v>
      </c>
      <c r="I1255" s="366">
        <f t="shared" si="128"/>
        <v>0</v>
      </c>
      <c r="J1255" s="1418"/>
    </row>
    <row r="1256" spans="2:10" ht="22.8">
      <c r="B1256" s="222"/>
      <c r="C1256" s="1460" t="s">
        <v>4062</v>
      </c>
      <c r="D1256" s="1415" t="s">
        <v>4080</v>
      </c>
      <c r="E1256" s="1416" t="s">
        <v>185</v>
      </c>
      <c r="F1256" s="1461">
        <v>1</v>
      </c>
      <c r="G1256" s="203">
        <f>+SUMIF('AUX-NIV1'!I:I,Recursos!C1256,'AUX-NIV1'!Q:Q)+SUMIF('AUX-NIV2'!I:I,Recursos!C1256,'AUX-NIV2'!Q:Q)+SUMIF('AUX-NIV3'!I:I,Recursos!C1256,'AUX-NIV3'!Q:Q)</f>
        <v>0</v>
      </c>
      <c r="H1256" s="204">
        <f t="shared" si="127"/>
        <v>0</v>
      </c>
      <c r="I1256" s="366">
        <f t="shared" si="128"/>
        <v>0</v>
      </c>
      <c r="J1256" s="1418"/>
    </row>
    <row r="1257" spans="2:10" ht="22.8">
      <c r="B1257" s="222"/>
      <c r="C1257" s="1460" t="s">
        <v>4063</v>
      </c>
      <c r="D1257" s="1415" t="s">
        <v>4081</v>
      </c>
      <c r="E1257" s="1416" t="s">
        <v>185</v>
      </c>
      <c r="F1257" s="1461">
        <v>1</v>
      </c>
      <c r="G1257" s="203">
        <f>+SUMIF('AUX-NIV1'!I:I,Recursos!C1257,'AUX-NIV1'!Q:Q)+SUMIF('AUX-NIV2'!I:I,Recursos!C1257,'AUX-NIV2'!Q:Q)+SUMIF('AUX-NIV3'!I:I,Recursos!C1257,'AUX-NIV3'!Q:Q)</f>
        <v>0</v>
      </c>
      <c r="H1257" s="204">
        <f t="shared" si="127"/>
        <v>0</v>
      </c>
      <c r="I1257" s="366">
        <f t="shared" si="128"/>
        <v>0</v>
      </c>
      <c r="J1257" s="1418"/>
    </row>
    <row r="1258" spans="2:10" ht="22.8">
      <c r="B1258" s="222"/>
      <c r="C1258" s="1460" t="s">
        <v>4064</v>
      </c>
      <c r="D1258" s="1415" t="s">
        <v>4082</v>
      </c>
      <c r="E1258" s="1416" t="s">
        <v>1172</v>
      </c>
      <c r="F1258" s="1461">
        <v>1</v>
      </c>
      <c r="G1258" s="203">
        <f>+SUMIF('AUX-NIV1'!I:I,Recursos!C1258,'AUX-NIV1'!Q:Q)+SUMIF('AUX-NIV2'!I:I,Recursos!C1258,'AUX-NIV2'!Q:Q)+SUMIF('AUX-NIV3'!I:I,Recursos!C1258,'AUX-NIV3'!Q:Q)</f>
        <v>0</v>
      </c>
      <c r="H1258" s="204">
        <f t="shared" si="127"/>
        <v>0</v>
      </c>
      <c r="I1258" s="366">
        <f t="shared" si="128"/>
        <v>0</v>
      </c>
      <c r="J1258" s="1418"/>
    </row>
    <row r="1259" spans="2:10">
      <c r="B1259" s="222"/>
      <c r="C1259" s="1460" t="s">
        <v>4065</v>
      </c>
      <c r="D1259" s="1415" t="s">
        <v>4083</v>
      </c>
      <c r="E1259" s="1416" t="s">
        <v>450</v>
      </c>
      <c r="F1259" s="1461">
        <v>1</v>
      </c>
      <c r="G1259" s="203">
        <f>+SUMIF('AUX-NIV1'!I:I,Recursos!C1259,'AUX-NIV1'!Q:Q)+SUMIF('AUX-NIV2'!I:I,Recursos!C1259,'AUX-NIV2'!Q:Q)+SUMIF('AUX-NIV3'!I:I,Recursos!C1259,'AUX-NIV3'!Q:Q)</f>
        <v>0</v>
      </c>
      <c r="H1259" s="204">
        <f t="shared" si="127"/>
        <v>0</v>
      </c>
      <c r="I1259" s="366">
        <f t="shared" si="128"/>
        <v>0</v>
      </c>
      <c r="J1259" s="1418"/>
    </row>
    <row r="1260" spans="2:10" ht="22.8">
      <c r="B1260" s="222"/>
      <c r="C1260" s="1460" t="s">
        <v>4066</v>
      </c>
      <c r="D1260" s="1415" t="s">
        <v>3586</v>
      </c>
      <c r="E1260" s="1416" t="s">
        <v>1172</v>
      </c>
      <c r="F1260" s="1461">
        <v>1</v>
      </c>
      <c r="G1260" s="203">
        <f>+SUMIF('AUX-NIV1'!I:I,Recursos!C1260,'AUX-NIV1'!Q:Q)+SUMIF('AUX-NIV2'!I:I,Recursos!C1260,'AUX-NIV2'!Q:Q)+SUMIF('AUX-NIV3'!I:I,Recursos!C1260,'AUX-NIV3'!Q:Q)</f>
        <v>0</v>
      </c>
      <c r="H1260" s="204">
        <f t="shared" si="127"/>
        <v>0</v>
      </c>
      <c r="I1260" s="366">
        <f t="shared" si="128"/>
        <v>0</v>
      </c>
      <c r="J1260" s="1418"/>
    </row>
    <row r="1261" spans="2:10" ht="22.8">
      <c r="B1261" s="222"/>
      <c r="C1261" s="1460" t="s">
        <v>4067</v>
      </c>
      <c r="D1261" s="1415" t="s">
        <v>4084</v>
      </c>
      <c r="E1261" s="1416" t="s">
        <v>1172</v>
      </c>
      <c r="F1261" s="1461">
        <v>1</v>
      </c>
      <c r="G1261" s="203">
        <f>+SUMIF('AUX-NIV1'!I:I,Recursos!C1261,'AUX-NIV1'!Q:Q)+SUMIF('AUX-NIV2'!I:I,Recursos!C1261,'AUX-NIV2'!Q:Q)+SUMIF('AUX-NIV3'!I:I,Recursos!C1261,'AUX-NIV3'!Q:Q)</f>
        <v>0</v>
      </c>
      <c r="H1261" s="204">
        <f t="shared" si="127"/>
        <v>0</v>
      </c>
      <c r="I1261" s="366">
        <f t="shared" si="128"/>
        <v>0</v>
      </c>
      <c r="J1261" s="1418"/>
    </row>
    <row r="1262" spans="2:10">
      <c r="B1262" s="222"/>
      <c r="C1262" s="1460" t="s">
        <v>4068</v>
      </c>
      <c r="D1262" s="1415" t="s">
        <v>4085</v>
      </c>
      <c r="E1262" s="1416" t="s">
        <v>1840</v>
      </c>
      <c r="F1262" s="1461">
        <v>1</v>
      </c>
      <c r="G1262" s="203">
        <f>+SUMIF('AUX-NIV1'!I:I,Recursos!C1262,'AUX-NIV1'!Q:Q)+SUMIF('AUX-NIV2'!I:I,Recursos!C1262,'AUX-NIV2'!Q:Q)+SUMIF('AUX-NIV3'!I:I,Recursos!C1262,'AUX-NIV3'!Q:Q)</f>
        <v>0</v>
      </c>
      <c r="H1262" s="204">
        <f t="shared" si="127"/>
        <v>0</v>
      </c>
      <c r="I1262" s="366">
        <f t="shared" si="128"/>
        <v>0</v>
      </c>
      <c r="J1262" s="1418"/>
    </row>
    <row r="1263" spans="2:10">
      <c r="B1263" s="222"/>
      <c r="C1263" s="1460" t="s">
        <v>4069</v>
      </c>
      <c r="D1263" s="1415" t="s">
        <v>3589</v>
      </c>
      <c r="E1263" s="1416" t="s">
        <v>1840</v>
      </c>
      <c r="F1263" s="1461">
        <v>1</v>
      </c>
      <c r="G1263" s="203">
        <f>+SUMIF('AUX-NIV1'!I:I,Recursos!C1263,'AUX-NIV1'!Q:Q)+SUMIF('AUX-NIV2'!I:I,Recursos!C1263,'AUX-NIV2'!Q:Q)+SUMIF('AUX-NIV3'!I:I,Recursos!C1263,'AUX-NIV3'!Q:Q)</f>
        <v>0</v>
      </c>
      <c r="H1263" s="204">
        <f t="shared" si="127"/>
        <v>0</v>
      </c>
      <c r="I1263" s="366">
        <f t="shared" si="128"/>
        <v>0</v>
      </c>
      <c r="J1263" s="1418"/>
    </row>
    <row r="1264" spans="2:10">
      <c r="B1264" s="222"/>
      <c r="C1264" s="1460" t="s">
        <v>4070</v>
      </c>
      <c r="D1264" s="1415" t="s">
        <v>3590</v>
      </c>
      <c r="E1264" s="1416" t="s">
        <v>1172</v>
      </c>
      <c r="F1264" s="1461">
        <v>1</v>
      </c>
      <c r="G1264" s="203">
        <f>+SUMIF('AUX-NIV1'!I:I,Recursos!C1264,'AUX-NIV1'!Q:Q)+SUMIF('AUX-NIV2'!I:I,Recursos!C1264,'AUX-NIV2'!Q:Q)+SUMIF('AUX-NIV3'!I:I,Recursos!C1264,'AUX-NIV3'!Q:Q)</f>
        <v>0</v>
      </c>
      <c r="H1264" s="204">
        <f t="shared" si="127"/>
        <v>0</v>
      </c>
      <c r="I1264" s="366">
        <f t="shared" si="128"/>
        <v>0</v>
      </c>
      <c r="J1264" s="1418"/>
    </row>
    <row r="1265" spans="2:10">
      <c r="B1265" s="222"/>
      <c r="C1265" s="1460" t="s">
        <v>4071</v>
      </c>
      <c r="D1265" s="1415" t="s">
        <v>3591</v>
      </c>
      <c r="E1265" s="1416" t="s">
        <v>1232</v>
      </c>
      <c r="F1265" s="1461">
        <v>1</v>
      </c>
      <c r="G1265" s="203">
        <f>+SUMIF('AUX-NIV1'!I:I,Recursos!C1265,'AUX-NIV1'!Q:Q)+SUMIF('AUX-NIV2'!I:I,Recursos!C1265,'AUX-NIV2'!Q:Q)+SUMIF('AUX-NIV3'!I:I,Recursos!C1265,'AUX-NIV3'!Q:Q)</f>
        <v>0</v>
      </c>
      <c r="H1265" s="204">
        <f t="shared" si="127"/>
        <v>0</v>
      </c>
      <c r="I1265" s="366">
        <f t="shared" si="128"/>
        <v>0</v>
      </c>
      <c r="J1265" s="1418"/>
    </row>
    <row r="1266" spans="2:10">
      <c r="B1266" s="222"/>
      <c r="C1266" s="1460" t="s">
        <v>4110</v>
      </c>
      <c r="D1266" s="1415" t="s">
        <v>3592</v>
      </c>
      <c r="E1266" s="1416" t="s">
        <v>1172</v>
      </c>
      <c r="F1266" s="1461">
        <v>1</v>
      </c>
      <c r="G1266" s="203">
        <f>+SUMIF('AUX-NIV1'!I:I,Recursos!C1266,'AUX-NIV1'!Q:Q)+SUMIF('AUX-NIV2'!I:I,Recursos!C1266,'AUX-NIV2'!Q:Q)+SUMIF('AUX-NIV3'!I:I,Recursos!C1266,'AUX-NIV3'!Q:Q)</f>
        <v>0</v>
      </c>
      <c r="H1266" s="204">
        <f t="shared" si="127"/>
        <v>0</v>
      </c>
      <c r="I1266" s="366">
        <f t="shared" si="128"/>
        <v>0</v>
      </c>
      <c r="J1266" s="1418"/>
    </row>
    <row r="1267" spans="2:10">
      <c r="B1267" s="222"/>
      <c r="C1267" s="1460" t="s">
        <v>4111</v>
      </c>
      <c r="D1267" s="1415" t="s">
        <v>3593</v>
      </c>
      <c r="E1267" s="1416" t="s">
        <v>1172</v>
      </c>
      <c r="F1267" s="1461">
        <v>1</v>
      </c>
      <c r="G1267" s="203">
        <f>+SUMIF('AUX-NIV1'!I:I,Recursos!C1267,'AUX-NIV1'!Q:Q)+SUMIF('AUX-NIV2'!I:I,Recursos!C1267,'AUX-NIV2'!Q:Q)+SUMIF('AUX-NIV3'!I:I,Recursos!C1267,'AUX-NIV3'!Q:Q)</f>
        <v>0</v>
      </c>
      <c r="H1267" s="204">
        <f t="shared" si="127"/>
        <v>0</v>
      </c>
      <c r="I1267" s="366">
        <f t="shared" si="128"/>
        <v>0</v>
      </c>
      <c r="J1267" s="1418"/>
    </row>
    <row r="1268" spans="2:10">
      <c r="B1268" s="222"/>
      <c r="C1268" s="1460" t="s">
        <v>4112</v>
      </c>
      <c r="D1268" s="1415" t="s">
        <v>3594</v>
      </c>
      <c r="E1268" s="1416" t="s">
        <v>1172</v>
      </c>
      <c r="F1268" s="1461">
        <v>1</v>
      </c>
      <c r="G1268" s="203">
        <f>+SUMIF('AUX-NIV1'!I:I,Recursos!C1268,'AUX-NIV1'!Q:Q)+SUMIF('AUX-NIV2'!I:I,Recursos!C1268,'AUX-NIV2'!Q:Q)+SUMIF('AUX-NIV3'!I:I,Recursos!C1268,'AUX-NIV3'!Q:Q)</f>
        <v>0</v>
      </c>
      <c r="H1268" s="204">
        <f t="shared" si="127"/>
        <v>0</v>
      </c>
      <c r="I1268" s="366">
        <f t="shared" si="128"/>
        <v>0</v>
      </c>
      <c r="J1268" s="1418"/>
    </row>
    <row r="1269" spans="2:10">
      <c r="B1269" s="222"/>
      <c r="C1269" s="1460" t="s">
        <v>4113</v>
      </c>
      <c r="D1269" s="1415" t="s">
        <v>3595</v>
      </c>
      <c r="E1269" s="1416" t="s">
        <v>1172</v>
      </c>
      <c r="F1269" s="1461">
        <v>1</v>
      </c>
      <c r="G1269" s="203">
        <f>+SUMIF('AUX-NIV1'!I:I,Recursos!C1269,'AUX-NIV1'!Q:Q)+SUMIF('AUX-NIV2'!I:I,Recursos!C1269,'AUX-NIV2'!Q:Q)+SUMIF('AUX-NIV3'!I:I,Recursos!C1269,'AUX-NIV3'!Q:Q)</f>
        <v>0</v>
      </c>
      <c r="H1269" s="204">
        <f t="shared" si="127"/>
        <v>0</v>
      </c>
      <c r="I1269" s="366">
        <f t="shared" si="128"/>
        <v>0</v>
      </c>
      <c r="J1269" s="1418"/>
    </row>
    <row r="1270" spans="2:10">
      <c r="B1270" s="222"/>
      <c r="C1270" s="1460" t="s">
        <v>4114</v>
      </c>
      <c r="D1270" s="1415" t="s">
        <v>3596</v>
      </c>
      <c r="E1270" s="1416" t="s">
        <v>1172</v>
      </c>
      <c r="F1270" s="1461">
        <v>1</v>
      </c>
      <c r="G1270" s="203">
        <f>+SUMIF('AUX-NIV1'!I:I,Recursos!C1270,'AUX-NIV1'!Q:Q)+SUMIF('AUX-NIV2'!I:I,Recursos!C1270,'AUX-NIV2'!Q:Q)+SUMIF('AUX-NIV3'!I:I,Recursos!C1270,'AUX-NIV3'!Q:Q)</f>
        <v>0</v>
      </c>
      <c r="H1270" s="204">
        <f t="shared" si="127"/>
        <v>0</v>
      </c>
      <c r="I1270" s="366">
        <f t="shared" si="128"/>
        <v>0</v>
      </c>
      <c r="J1270" s="1418"/>
    </row>
    <row r="1271" spans="2:10">
      <c r="B1271" s="222"/>
      <c r="C1271" s="1460" t="s">
        <v>4115</v>
      </c>
      <c r="D1271" s="1415" t="s">
        <v>3597</v>
      </c>
      <c r="E1271" s="1416" t="s">
        <v>1172</v>
      </c>
      <c r="F1271" s="1461">
        <v>1</v>
      </c>
      <c r="G1271" s="203">
        <f>+SUMIF('AUX-NIV1'!I:I,Recursos!C1271,'AUX-NIV1'!Q:Q)+SUMIF('AUX-NIV2'!I:I,Recursos!C1271,'AUX-NIV2'!Q:Q)+SUMIF('AUX-NIV3'!I:I,Recursos!C1271,'AUX-NIV3'!Q:Q)</f>
        <v>0</v>
      </c>
      <c r="H1271" s="204">
        <f t="shared" si="127"/>
        <v>0</v>
      </c>
      <c r="I1271" s="366">
        <f t="shared" si="128"/>
        <v>0</v>
      </c>
      <c r="J1271" s="1418"/>
    </row>
    <row r="1272" spans="2:10" ht="22.8">
      <c r="B1272" s="222"/>
      <c r="C1272" s="1460" t="s">
        <v>4116</v>
      </c>
      <c r="D1272" s="1415" t="s">
        <v>3948</v>
      </c>
      <c r="E1272" s="1416" t="s">
        <v>1172</v>
      </c>
      <c r="F1272" s="1461">
        <v>1</v>
      </c>
      <c r="G1272" s="203">
        <f>+SUMIF('AUX-NIV1'!I:I,Recursos!C1272,'AUX-NIV1'!Q:Q)+SUMIF('AUX-NIV2'!I:I,Recursos!C1272,'AUX-NIV2'!Q:Q)+SUMIF('AUX-NIV3'!I:I,Recursos!C1272,'AUX-NIV3'!Q:Q)</f>
        <v>0</v>
      </c>
      <c r="H1272" s="204">
        <f t="shared" si="127"/>
        <v>0</v>
      </c>
      <c r="I1272" s="366">
        <f t="shared" si="128"/>
        <v>0</v>
      </c>
      <c r="J1272" s="1418"/>
    </row>
    <row r="1273" spans="2:10">
      <c r="B1273" s="222"/>
      <c r="C1273" s="1460" t="s">
        <v>4117</v>
      </c>
      <c r="D1273" s="1415" t="s">
        <v>3598</v>
      </c>
      <c r="E1273" s="1416" t="s">
        <v>1782</v>
      </c>
      <c r="F1273" s="1461">
        <v>1</v>
      </c>
      <c r="G1273" s="203">
        <f>+SUMIF('AUX-NIV1'!I:I,Recursos!C1273,'AUX-NIV1'!Q:Q)+SUMIF('AUX-NIV2'!I:I,Recursos!C1273,'AUX-NIV2'!Q:Q)+SUMIF('AUX-NIV3'!I:I,Recursos!C1273,'AUX-NIV3'!Q:Q)</f>
        <v>0</v>
      </c>
      <c r="H1273" s="204">
        <f t="shared" si="127"/>
        <v>0</v>
      </c>
      <c r="I1273" s="366">
        <f t="shared" si="128"/>
        <v>0</v>
      </c>
      <c r="J1273" s="1418"/>
    </row>
    <row r="1274" spans="2:10">
      <c r="B1274" s="222"/>
      <c r="C1274" s="1460" t="s">
        <v>4118</v>
      </c>
      <c r="D1274" s="1415" t="s">
        <v>3599</v>
      </c>
      <c r="E1274" s="1416" t="s">
        <v>1782</v>
      </c>
      <c r="F1274" s="1461">
        <v>1</v>
      </c>
      <c r="G1274" s="203">
        <f>+SUMIF('AUX-NIV1'!I:I,Recursos!C1274,'AUX-NIV1'!Q:Q)+SUMIF('AUX-NIV2'!I:I,Recursos!C1274,'AUX-NIV2'!Q:Q)+SUMIF('AUX-NIV3'!I:I,Recursos!C1274,'AUX-NIV3'!Q:Q)</f>
        <v>0</v>
      </c>
      <c r="H1274" s="204">
        <f t="shared" si="127"/>
        <v>0</v>
      </c>
      <c r="I1274" s="366">
        <f t="shared" si="128"/>
        <v>0</v>
      </c>
      <c r="J1274" s="1418"/>
    </row>
    <row r="1275" spans="2:10">
      <c r="B1275" s="222"/>
      <c r="C1275" s="1460" t="s">
        <v>4119</v>
      </c>
      <c r="D1275" s="1415" t="s">
        <v>3600</v>
      </c>
      <c r="E1275" s="1416" t="s">
        <v>1782</v>
      </c>
      <c r="F1275" s="1461">
        <v>1</v>
      </c>
      <c r="G1275" s="203">
        <f>+SUMIF('AUX-NIV1'!I:I,Recursos!C1275,'AUX-NIV1'!Q:Q)+SUMIF('AUX-NIV2'!I:I,Recursos!C1275,'AUX-NIV2'!Q:Q)+SUMIF('AUX-NIV3'!I:I,Recursos!C1275,'AUX-NIV3'!Q:Q)</f>
        <v>0</v>
      </c>
      <c r="H1275" s="204">
        <f t="shared" si="127"/>
        <v>0</v>
      </c>
      <c r="I1275" s="366">
        <f t="shared" si="128"/>
        <v>0</v>
      </c>
      <c r="J1275" s="1418"/>
    </row>
    <row r="1276" spans="2:10" ht="22.8">
      <c r="B1276" s="222"/>
      <c r="C1276" s="1460" t="s">
        <v>4120</v>
      </c>
      <c r="D1276" s="1415" t="s">
        <v>3949</v>
      </c>
      <c r="E1276" s="1416" t="s">
        <v>1782</v>
      </c>
      <c r="F1276" s="1461">
        <v>1</v>
      </c>
      <c r="G1276" s="203">
        <f>+SUMIF('AUX-NIV1'!I:I,Recursos!C1276,'AUX-NIV1'!Q:Q)+SUMIF('AUX-NIV2'!I:I,Recursos!C1276,'AUX-NIV2'!Q:Q)+SUMIF('AUX-NIV3'!I:I,Recursos!C1276,'AUX-NIV3'!Q:Q)</f>
        <v>0</v>
      </c>
      <c r="H1276" s="204">
        <f t="shared" si="127"/>
        <v>0</v>
      </c>
      <c r="I1276" s="366">
        <f t="shared" si="128"/>
        <v>0</v>
      </c>
      <c r="J1276" s="1418"/>
    </row>
    <row r="1277" spans="2:10">
      <c r="B1277" s="222"/>
      <c r="C1277" s="1460" t="s">
        <v>4121</v>
      </c>
      <c r="D1277" s="1415" t="s">
        <v>3601</v>
      </c>
      <c r="E1277" s="1416" t="s">
        <v>1782</v>
      </c>
      <c r="F1277" s="1461">
        <v>1</v>
      </c>
      <c r="G1277" s="203">
        <f>+SUMIF('AUX-NIV1'!I:I,Recursos!C1277,'AUX-NIV1'!Q:Q)+SUMIF('AUX-NIV2'!I:I,Recursos!C1277,'AUX-NIV2'!Q:Q)+SUMIF('AUX-NIV3'!I:I,Recursos!C1277,'AUX-NIV3'!Q:Q)</f>
        <v>0</v>
      </c>
      <c r="H1277" s="204">
        <f t="shared" si="127"/>
        <v>0</v>
      </c>
      <c r="I1277" s="366">
        <f t="shared" si="128"/>
        <v>0</v>
      </c>
      <c r="J1277" s="1418"/>
    </row>
    <row r="1278" spans="2:10">
      <c r="B1278" s="222"/>
      <c r="C1278" s="1460" t="s">
        <v>4122</v>
      </c>
      <c r="D1278" s="1415" t="s">
        <v>3602</v>
      </c>
      <c r="E1278" s="1416" t="s">
        <v>1782</v>
      </c>
      <c r="F1278" s="1461">
        <v>1</v>
      </c>
      <c r="G1278" s="203">
        <f>+SUMIF('AUX-NIV1'!I:I,Recursos!C1278,'AUX-NIV1'!Q:Q)+SUMIF('AUX-NIV2'!I:I,Recursos!C1278,'AUX-NIV2'!Q:Q)+SUMIF('AUX-NIV3'!I:I,Recursos!C1278,'AUX-NIV3'!Q:Q)</f>
        <v>0</v>
      </c>
      <c r="H1278" s="204">
        <f t="shared" si="127"/>
        <v>0</v>
      </c>
      <c r="I1278" s="366">
        <f t="shared" si="128"/>
        <v>0</v>
      </c>
      <c r="J1278" s="1418"/>
    </row>
    <row r="1279" spans="2:10">
      <c r="B1279" s="222"/>
      <c r="C1279" s="1460" t="s">
        <v>4123</v>
      </c>
      <c r="D1279" s="1415" t="s">
        <v>3603</v>
      </c>
      <c r="E1279" s="1416" t="s">
        <v>1782</v>
      </c>
      <c r="F1279" s="1461">
        <v>1</v>
      </c>
      <c r="G1279" s="203">
        <f>+SUMIF('AUX-NIV1'!I:I,Recursos!C1279,'AUX-NIV1'!Q:Q)+SUMIF('AUX-NIV2'!I:I,Recursos!C1279,'AUX-NIV2'!Q:Q)+SUMIF('AUX-NIV3'!I:I,Recursos!C1279,'AUX-NIV3'!Q:Q)</f>
        <v>0</v>
      </c>
      <c r="H1279" s="204">
        <f t="shared" si="127"/>
        <v>0</v>
      </c>
      <c r="I1279" s="366">
        <f t="shared" si="128"/>
        <v>0</v>
      </c>
      <c r="J1279" s="1418"/>
    </row>
    <row r="1280" spans="2:10">
      <c r="B1280" s="222"/>
      <c r="C1280" s="1460" t="s">
        <v>4124</v>
      </c>
      <c r="D1280" s="1415" t="s">
        <v>3604</v>
      </c>
      <c r="E1280" s="1416" t="s">
        <v>1782</v>
      </c>
      <c r="F1280" s="1461">
        <v>1</v>
      </c>
      <c r="G1280" s="203">
        <f>+SUMIF('AUX-NIV1'!I:I,Recursos!C1280,'AUX-NIV1'!Q:Q)+SUMIF('AUX-NIV2'!I:I,Recursos!C1280,'AUX-NIV2'!Q:Q)+SUMIF('AUX-NIV3'!I:I,Recursos!C1280,'AUX-NIV3'!Q:Q)</f>
        <v>0</v>
      </c>
      <c r="H1280" s="204">
        <f t="shared" si="127"/>
        <v>0</v>
      </c>
      <c r="I1280" s="366">
        <f t="shared" si="128"/>
        <v>0</v>
      </c>
      <c r="J1280" s="1418"/>
    </row>
    <row r="1281" spans="2:10">
      <c r="B1281" s="222"/>
      <c r="C1281" s="1460" t="s">
        <v>4125</v>
      </c>
      <c r="D1281" s="1415" t="s">
        <v>3605</v>
      </c>
      <c r="E1281" s="1416" t="s">
        <v>1782</v>
      </c>
      <c r="F1281" s="1461">
        <v>1</v>
      </c>
      <c r="G1281" s="203">
        <f>+SUMIF('AUX-NIV1'!I:I,Recursos!C1281,'AUX-NIV1'!Q:Q)+SUMIF('AUX-NIV2'!I:I,Recursos!C1281,'AUX-NIV2'!Q:Q)+SUMIF('AUX-NIV3'!I:I,Recursos!C1281,'AUX-NIV3'!Q:Q)</f>
        <v>0</v>
      </c>
      <c r="H1281" s="204">
        <f t="shared" si="127"/>
        <v>0</v>
      </c>
      <c r="I1281" s="366">
        <f t="shared" si="128"/>
        <v>0</v>
      </c>
      <c r="J1281" s="1418"/>
    </row>
    <row r="1282" spans="2:10">
      <c r="B1282" s="222"/>
      <c r="C1282" s="1460" t="s">
        <v>4126</v>
      </c>
      <c r="D1282" s="1415" t="s">
        <v>3606</v>
      </c>
      <c r="E1282" s="1416" t="s">
        <v>1782</v>
      </c>
      <c r="F1282" s="1461">
        <v>1</v>
      </c>
      <c r="G1282" s="203">
        <f>+SUMIF('AUX-NIV1'!I:I,Recursos!C1282,'AUX-NIV1'!Q:Q)+SUMIF('AUX-NIV2'!I:I,Recursos!C1282,'AUX-NIV2'!Q:Q)+SUMIF('AUX-NIV3'!I:I,Recursos!C1282,'AUX-NIV3'!Q:Q)</f>
        <v>0</v>
      </c>
      <c r="H1282" s="204">
        <f t="shared" si="127"/>
        <v>0</v>
      </c>
      <c r="I1282" s="366">
        <f t="shared" si="128"/>
        <v>0</v>
      </c>
      <c r="J1282" s="1418"/>
    </row>
    <row r="1283" spans="2:10">
      <c r="B1283" s="222"/>
      <c r="C1283" s="1460" t="s">
        <v>4127</v>
      </c>
      <c r="D1283" s="1415" t="s">
        <v>3607</v>
      </c>
      <c r="E1283" s="1416" t="s">
        <v>1782</v>
      </c>
      <c r="F1283" s="1461">
        <v>1</v>
      </c>
      <c r="G1283" s="203">
        <f>+SUMIF('AUX-NIV1'!I:I,Recursos!C1283,'AUX-NIV1'!Q:Q)+SUMIF('AUX-NIV2'!I:I,Recursos!C1283,'AUX-NIV2'!Q:Q)+SUMIF('AUX-NIV3'!I:I,Recursos!C1283,'AUX-NIV3'!Q:Q)</f>
        <v>0</v>
      </c>
      <c r="H1283" s="204">
        <f t="shared" si="127"/>
        <v>0</v>
      </c>
      <c r="I1283" s="366">
        <f t="shared" si="128"/>
        <v>0</v>
      </c>
      <c r="J1283" s="1418"/>
    </row>
    <row r="1284" spans="2:10">
      <c r="B1284" s="222"/>
      <c r="C1284" s="1460" t="s">
        <v>4128</v>
      </c>
      <c r="D1284" s="1415" t="s">
        <v>3608</v>
      </c>
      <c r="E1284" s="1416" t="s">
        <v>1782</v>
      </c>
      <c r="F1284" s="1461">
        <v>1</v>
      </c>
      <c r="G1284" s="203">
        <f>+SUMIF('AUX-NIV1'!I:I,Recursos!C1284,'AUX-NIV1'!Q:Q)+SUMIF('AUX-NIV2'!I:I,Recursos!C1284,'AUX-NIV2'!Q:Q)+SUMIF('AUX-NIV3'!I:I,Recursos!C1284,'AUX-NIV3'!Q:Q)</f>
        <v>0</v>
      </c>
      <c r="H1284" s="204">
        <f t="shared" si="127"/>
        <v>0</v>
      </c>
      <c r="I1284" s="366">
        <f t="shared" si="128"/>
        <v>0</v>
      </c>
      <c r="J1284" s="1418"/>
    </row>
    <row r="1285" spans="2:10">
      <c r="B1285" s="222"/>
      <c r="C1285" s="1460" t="s">
        <v>4129</v>
      </c>
      <c r="D1285" s="1415" t="s">
        <v>3609</v>
      </c>
      <c r="E1285" s="1416" t="s">
        <v>1782</v>
      </c>
      <c r="F1285" s="1461">
        <v>1</v>
      </c>
      <c r="G1285" s="203">
        <f>+SUMIF('AUX-NIV1'!I:I,Recursos!C1285,'AUX-NIV1'!Q:Q)+SUMIF('AUX-NIV2'!I:I,Recursos!C1285,'AUX-NIV2'!Q:Q)+SUMIF('AUX-NIV3'!I:I,Recursos!C1285,'AUX-NIV3'!Q:Q)</f>
        <v>0</v>
      </c>
      <c r="H1285" s="204">
        <f t="shared" si="127"/>
        <v>0</v>
      </c>
      <c r="I1285" s="366">
        <f t="shared" si="128"/>
        <v>0</v>
      </c>
      <c r="J1285" s="1418"/>
    </row>
    <row r="1286" spans="2:10">
      <c r="B1286" s="222"/>
      <c r="C1286" s="1460" t="s">
        <v>4130</v>
      </c>
      <c r="D1286" s="1415" t="s">
        <v>3610</v>
      </c>
      <c r="E1286" s="1416" t="s">
        <v>1782</v>
      </c>
      <c r="F1286" s="1461">
        <v>1</v>
      </c>
      <c r="G1286" s="203">
        <f>+SUMIF('AUX-NIV1'!I:I,Recursos!C1286,'AUX-NIV1'!Q:Q)+SUMIF('AUX-NIV2'!I:I,Recursos!C1286,'AUX-NIV2'!Q:Q)+SUMIF('AUX-NIV3'!I:I,Recursos!C1286,'AUX-NIV3'!Q:Q)</f>
        <v>0</v>
      </c>
      <c r="H1286" s="204">
        <f t="shared" si="127"/>
        <v>0</v>
      </c>
      <c r="I1286" s="366">
        <f t="shared" si="128"/>
        <v>0</v>
      </c>
      <c r="J1286" s="1418"/>
    </row>
    <row r="1287" spans="2:10">
      <c r="B1287" s="222"/>
      <c r="C1287" s="1460" t="s">
        <v>4131</v>
      </c>
      <c r="D1287" s="1415" t="s">
        <v>3611</v>
      </c>
      <c r="E1287" s="1416" t="s">
        <v>1782</v>
      </c>
      <c r="F1287" s="1461">
        <v>1</v>
      </c>
      <c r="G1287" s="203">
        <f>+SUMIF('AUX-NIV1'!I:I,Recursos!C1287,'AUX-NIV1'!Q:Q)+SUMIF('AUX-NIV2'!I:I,Recursos!C1287,'AUX-NIV2'!Q:Q)+SUMIF('AUX-NIV3'!I:I,Recursos!C1287,'AUX-NIV3'!Q:Q)</f>
        <v>0</v>
      </c>
      <c r="H1287" s="204">
        <f t="shared" si="127"/>
        <v>0</v>
      </c>
      <c r="I1287" s="366">
        <f t="shared" si="128"/>
        <v>0</v>
      </c>
      <c r="J1287" s="1418"/>
    </row>
    <row r="1288" spans="2:10">
      <c r="B1288" s="222"/>
      <c r="C1288" s="1460" t="s">
        <v>4132</v>
      </c>
      <c r="D1288" s="1415" t="s">
        <v>3612</v>
      </c>
      <c r="E1288" s="1416" t="s">
        <v>1782</v>
      </c>
      <c r="F1288" s="1461">
        <v>1</v>
      </c>
      <c r="G1288" s="203">
        <f>+SUMIF('AUX-NIV1'!I:I,Recursos!C1288,'AUX-NIV1'!Q:Q)+SUMIF('AUX-NIV2'!I:I,Recursos!C1288,'AUX-NIV2'!Q:Q)+SUMIF('AUX-NIV3'!I:I,Recursos!C1288,'AUX-NIV3'!Q:Q)</f>
        <v>0</v>
      </c>
      <c r="H1288" s="204">
        <f t="shared" si="127"/>
        <v>0</v>
      </c>
      <c r="I1288" s="366">
        <f t="shared" si="128"/>
        <v>0</v>
      </c>
      <c r="J1288" s="1418"/>
    </row>
    <row r="1289" spans="2:10">
      <c r="B1289" s="222"/>
      <c r="C1289" s="1460" t="s">
        <v>4133</v>
      </c>
      <c r="D1289" s="1415" t="s">
        <v>3613</v>
      </c>
      <c r="E1289" s="1416" t="s">
        <v>1172</v>
      </c>
      <c r="F1289" s="1461">
        <v>1</v>
      </c>
      <c r="G1289" s="203">
        <f>+SUMIF('AUX-NIV1'!I:I,Recursos!C1289,'AUX-NIV1'!Q:Q)+SUMIF('AUX-NIV2'!I:I,Recursos!C1289,'AUX-NIV2'!Q:Q)+SUMIF('AUX-NIV3'!I:I,Recursos!C1289,'AUX-NIV3'!Q:Q)</f>
        <v>0</v>
      </c>
      <c r="H1289" s="204">
        <f t="shared" si="127"/>
        <v>0</v>
      </c>
      <c r="I1289" s="366">
        <f t="shared" si="128"/>
        <v>0</v>
      </c>
      <c r="J1289" s="1418"/>
    </row>
    <row r="1290" spans="2:10">
      <c r="B1290" s="222"/>
      <c r="C1290" s="1460" t="s">
        <v>4170</v>
      </c>
      <c r="D1290" s="1415" t="s">
        <v>3614</v>
      </c>
      <c r="E1290" s="1416" t="s">
        <v>3615</v>
      </c>
      <c r="F1290" s="1461">
        <v>1</v>
      </c>
      <c r="G1290" s="203">
        <f>+SUMIF('AUX-NIV1'!I:I,Recursos!C1290,'AUX-NIV1'!Q:Q)+SUMIF('AUX-NIV2'!I:I,Recursos!C1290,'AUX-NIV2'!Q:Q)+SUMIF('AUX-NIV3'!I:I,Recursos!C1290,'AUX-NIV3'!Q:Q)</f>
        <v>0</v>
      </c>
      <c r="H1290" s="204">
        <f t="shared" si="127"/>
        <v>0</v>
      </c>
      <c r="I1290" s="366">
        <f t="shared" si="128"/>
        <v>0</v>
      </c>
      <c r="J1290" s="1418"/>
    </row>
    <row r="1291" spans="2:10">
      <c r="B1291" s="222"/>
      <c r="C1291" s="1460" t="s">
        <v>4171</v>
      </c>
      <c r="D1291" s="1415" t="s">
        <v>3616</v>
      </c>
      <c r="E1291" s="1416"/>
      <c r="F1291" s="1461">
        <v>1</v>
      </c>
      <c r="G1291" s="203">
        <f>+SUMIF('AUX-NIV1'!I:I,Recursos!C1291,'AUX-NIV1'!Q:Q)+SUMIF('AUX-NIV2'!I:I,Recursos!C1291,'AUX-NIV2'!Q:Q)+SUMIF('AUX-NIV3'!I:I,Recursos!C1291,'AUX-NIV3'!Q:Q)</f>
        <v>0</v>
      </c>
      <c r="H1291" s="204">
        <f t="shared" ref="H1291:H1354" si="129">+F1291*G1291</f>
        <v>0</v>
      </c>
      <c r="I1291" s="366">
        <f t="shared" ref="I1291:I1354" si="130">+H1291/$I$3</f>
        <v>0</v>
      </c>
      <c r="J1291" s="1418"/>
    </row>
    <row r="1292" spans="2:10">
      <c r="B1292" s="222"/>
      <c r="C1292" s="1460" t="s">
        <v>4172</v>
      </c>
      <c r="D1292" s="1415" t="s">
        <v>3617</v>
      </c>
      <c r="E1292" s="1416" t="s">
        <v>3615</v>
      </c>
      <c r="F1292" s="1461">
        <v>1</v>
      </c>
      <c r="G1292" s="203">
        <f>+SUMIF('AUX-NIV1'!I:I,Recursos!C1292,'AUX-NIV1'!Q:Q)+SUMIF('AUX-NIV2'!I:I,Recursos!C1292,'AUX-NIV2'!Q:Q)+SUMIF('AUX-NIV3'!I:I,Recursos!C1292,'AUX-NIV3'!Q:Q)</f>
        <v>0</v>
      </c>
      <c r="H1292" s="204">
        <f t="shared" si="129"/>
        <v>0</v>
      </c>
      <c r="I1292" s="366">
        <f t="shared" si="130"/>
        <v>0</v>
      </c>
      <c r="J1292" s="1418"/>
    </row>
    <row r="1293" spans="2:10">
      <c r="B1293" s="222"/>
      <c r="C1293" s="1460" t="s">
        <v>4173</v>
      </c>
      <c r="D1293" s="1415" t="s">
        <v>3618</v>
      </c>
      <c r="E1293" s="1416" t="s">
        <v>3615</v>
      </c>
      <c r="F1293" s="1461">
        <v>1</v>
      </c>
      <c r="G1293" s="203">
        <f>+SUMIF('AUX-NIV1'!I:I,Recursos!C1293,'AUX-NIV1'!Q:Q)+SUMIF('AUX-NIV2'!I:I,Recursos!C1293,'AUX-NIV2'!Q:Q)+SUMIF('AUX-NIV3'!I:I,Recursos!C1293,'AUX-NIV3'!Q:Q)</f>
        <v>0</v>
      </c>
      <c r="H1293" s="204">
        <f t="shared" si="129"/>
        <v>0</v>
      </c>
      <c r="I1293" s="366">
        <f t="shared" si="130"/>
        <v>0</v>
      </c>
      <c r="J1293" s="1418"/>
    </row>
    <row r="1294" spans="2:10">
      <c r="B1294" s="222"/>
      <c r="C1294" s="1460" t="s">
        <v>4174</v>
      </c>
      <c r="D1294" s="1415" t="s">
        <v>3619</v>
      </c>
      <c r="E1294" s="1416" t="s">
        <v>3615</v>
      </c>
      <c r="F1294" s="1461">
        <v>1</v>
      </c>
      <c r="G1294" s="203">
        <f>+SUMIF('AUX-NIV1'!I:I,Recursos!C1294,'AUX-NIV1'!Q:Q)+SUMIF('AUX-NIV2'!I:I,Recursos!C1294,'AUX-NIV2'!Q:Q)+SUMIF('AUX-NIV3'!I:I,Recursos!C1294,'AUX-NIV3'!Q:Q)</f>
        <v>0</v>
      </c>
      <c r="H1294" s="204">
        <f t="shared" si="129"/>
        <v>0</v>
      </c>
      <c r="I1294" s="366">
        <f t="shared" si="130"/>
        <v>0</v>
      </c>
      <c r="J1294" s="1418"/>
    </row>
    <row r="1295" spans="2:10">
      <c r="B1295" s="222"/>
      <c r="C1295" s="1460" t="s">
        <v>4175</v>
      </c>
      <c r="D1295" s="1415" t="s">
        <v>3620</v>
      </c>
      <c r="E1295" s="1416" t="s">
        <v>3615</v>
      </c>
      <c r="F1295" s="1461">
        <v>1</v>
      </c>
      <c r="G1295" s="203">
        <f>+SUMIF('AUX-NIV1'!I:I,Recursos!C1295,'AUX-NIV1'!Q:Q)+SUMIF('AUX-NIV2'!I:I,Recursos!C1295,'AUX-NIV2'!Q:Q)+SUMIF('AUX-NIV3'!I:I,Recursos!C1295,'AUX-NIV3'!Q:Q)</f>
        <v>0</v>
      </c>
      <c r="H1295" s="204">
        <f t="shared" si="129"/>
        <v>0</v>
      </c>
      <c r="I1295" s="366">
        <f t="shared" si="130"/>
        <v>0</v>
      </c>
      <c r="J1295" s="1418"/>
    </row>
    <row r="1296" spans="2:10">
      <c r="B1296" s="222"/>
      <c r="C1296" s="1460" t="s">
        <v>4176</v>
      </c>
      <c r="D1296" s="1415" t="s">
        <v>3621</v>
      </c>
      <c r="E1296" s="1416" t="s">
        <v>3615</v>
      </c>
      <c r="F1296" s="1461">
        <v>1</v>
      </c>
      <c r="G1296" s="203">
        <f>+SUMIF('AUX-NIV1'!I:I,Recursos!C1296,'AUX-NIV1'!Q:Q)+SUMIF('AUX-NIV2'!I:I,Recursos!C1296,'AUX-NIV2'!Q:Q)+SUMIF('AUX-NIV3'!I:I,Recursos!C1296,'AUX-NIV3'!Q:Q)</f>
        <v>0</v>
      </c>
      <c r="H1296" s="204">
        <f t="shared" si="129"/>
        <v>0</v>
      </c>
      <c r="I1296" s="366">
        <f t="shared" si="130"/>
        <v>0</v>
      </c>
      <c r="J1296" s="1418"/>
    </row>
    <row r="1297" spans="2:10">
      <c r="B1297" s="222"/>
      <c r="C1297" s="1460" t="s">
        <v>4177</v>
      </c>
      <c r="D1297" s="1415" t="s">
        <v>3622</v>
      </c>
      <c r="E1297" s="1416" t="s">
        <v>3615</v>
      </c>
      <c r="F1297" s="1461">
        <v>1</v>
      </c>
      <c r="G1297" s="203">
        <f>+SUMIF('AUX-NIV1'!I:I,Recursos!C1297,'AUX-NIV1'!Q:Q)+SUMIF('AUX-NIV2'!I:I,Recursos!C1297,'AUX-NIV2'!Q:Q)+SUMIF('AUX-NIV3'!I:I,Recursos!C1297,'AUX-NIV3'!Q:Q)</f>
        <v>0</v>
      </c>
      <c r="H1297" s="204">
        <f t="shared" si="129"/>
        <v>0</v>
      </c>
      <c r="I1297" s="366">
        <f t="shared" si="130"/>
        <v>0</v>
      </c>
      <c r="J1297" s="1418"/>
    </row>
    <row r="1298" spans="2:10">
      <c r="B1298" s="222"/>
      <c r="C1298" s="1460" t="s">
        <v>4178</v>
      </c>
      <c r="D1298" s="1415" t="s">
        <v>3623</v>
      </c>
      <c r="E1298" s="1416" t="s">
        <v>3615</v>
      </c>
      <c r="F1298" s="1461">
        <v>1</v>
      </c>
      <c r="G1298" s="203">
        <f>+SUMIF('AUX-NIV1'!I:I,Recursos!C1298,'AUX-NIV1'!Q:Q)+SUMIF('AUX-NIV2'!I:I,Recursos!C1298,'AUX-NIV2'!Q:Q)+SUMIF('AUX-NIV3'!I:I,Recursos!C1298,'AUX-NIV3'!Q:Q)</f>
        <v>0</v>
      </c>
      <c r="H1298" s="204">
        <f t="shared" si="129"/>
        <v>0</v>
      </c>
      <c r="I1298" s="366">
        <f t="shared" si="130"/>
        <v>0</v>
      </c>
      <c r="J1298" s="1418"/>
    </row>
    <row r="1299" spans="2:10">
      <c r="B1299" s="222"/>
      <c r="C1299" s="1460" t="s">
        <v>4179</v>
      </c>
      <c r="D1299" s="1415" t="s">
        <v>3624</v>
      </c>
      <c r="E1299" s="1416" t="s">
        <v>3615</v>
      </c>
      <c r="F1299" s="1461">
        <v>1</v>
      </c>
      <c r="G1299" s="203">
        <f>+SUMIF('AUX-NIV1'!I:I,Recursos!C1299,'AUX-NIV1'!Q:Q)+SUMIF('AUX-NIV2'!I:I,Recursos!C1299,'AUX-NIV2'!Q:Q)+SUMIF('AUX-NIV3'!I:I,Recursos!C1299,'AUX-NIV3'!Q:Q)</f>
        <v>0</v>
      </c>
      <c r="H1299" s="204">
        <f t="shared" si="129"/>
        <v>0</v>
      </c>
      <c r="I1299" s="366">
        <f t="shared" si="130"/>
        <v>0</v>
      </c>
      <c r="J1299" s="1418"/>
    </row>
    <row r="1300" spans="2:10">
      <c r="B1300" s="222"/>
      <c r="C1300" s="1460" t="s">
        <v>4180</v>
      </c>
      <c r="D1300" s="1415" t="s">
        <v>3625</v>
      </c>
      <c r="E1300" s="1416" t="s">
        <v>3615</v>
      </c>
      <c r="F1300" s="1461">
        <v>1</v>
      </c>
      <c r="G1300" s="203">
        <f>+SUMIF('AUX-NIV1'!I:I,Recursos!C1300,'AUX-NIV1'!Q:Q)+SUMIF('AUX-NIV2'!I:I,Recursos!C1300,'AUX-NIV2'!Q:Q)+SUMIF('AUX-NIV3'!I:I,Recursos!C1300,'AUX-NIV3'!Q:Q)</f>
        <v>0</v>
      </c>
      <c r="H1300" s="204">
        <f t="shared" si="129"/>
        <v>0</v>
      </c>
      <c r="I1300" s="366">
        <f t="shared" si="130"/>
        <v>0</v>
      </c>
      <c r="J1300" s="1418"/>
    </row>
    <row r="1301" spans="2:10">
      <c r="B1301" s="222"/>
      <c r="C1301" s="1460" t="s">
        <v>4181</v>
      </c>
      <c r="D1301" s="1415" t="s">
        <v>3626</v>
      </c>
      <c r="E1301" s="1416" t="s">
        <v>3615</v>
      </c>
      <c r="F1301" s="1461">
        <v>1</v>
      </c>
      <c r="G1301" s="203">
        <f>+SUMIF('AUX-NIV1'!I:I,Recursos!C1301,'AUX-NIV1'!Q:Q)+SUMIF('AUX-NIV2'!I:I,Recursos!C1301,'AUX-NIV2'!Q:Q)+SUMIF('AUX-NIV3'!I:I,Recursos!C1301,'AUX-NIV3'!Q:Q)</f>
        <v>0</v>
      </c>
      <c r="H1301" s="204">
        <f t="shared" si="129"/>
        <v>0</v>
      </c>
      <c r="I1301" s="366">
        <f t="shared" si="130"/>
        <v>0</v>
      </c>
      <c r="J1301" s="1418"/>
    </row>
    <row r="1302" spans="2:10">
      <c r="B1302" s="222"/>
      <c r="C1302" s="1460" t="s">
        <v>4182</v>
      </c>
      <c r="D1302" s="1415" t="s">
        <v>3627</v>
      </c>
      <c r="E1302" s="1416" t="s">
        <v>3615</v>
      </c>
      <c r="F1302" s="1461">
        <v>1</v>
      </c>
      <c r="G1302" s="203">
        <f>+SUMIF('AUX-NIV1'!I:I,Recursos!C1302,'AUX-NIV1'!Q:Q)+SUMIF('AUX-NIV2'!I:I,Recursos!C1302,'AUX-NIV2'!Q:Q)+SUMIF('AUX-NIV3'!I:I,Recursos!C1302,'AUX-NIV3'!Q:Q)</f>
        <v>0</v>
      </c>
      <c r="H1302" s="204">
        <f t="shared" si="129"/>
        <v>0</v>
      </c>
      <c r="I1302" s="366">
        <f t="shared" si="130"/>
        <v>0</v>
      </c>
      <c r="J1302" s="1418"/>
    </row>
    <row r="1303" spans="2:10">
      <c r="B1303" s="222"/>
      <c r="C1303" s="1460" t="s">
        <v>4183</v>
      </c>
      <c r="D1303" s="1415" t="s">
        <v>3628</v>
      </c>
      <c r="E1303" s="1416" t="s">
        <v>3615</v>
      </c>
      <c r="F1303" s="1461">
        <v>1</v>
      </c>
      <c r="G1303" s="203">
        <f>+SUMIF('AUX-NIV1'!I:I,Recursos!C1303,'AUX-NIV1'!Q:Q)+SUMIF('AUX-NIV2'!I:I,Recursos!C1303,'AUX-NIV2'!Q:Q)+SUMIF('AUX-NIV3'!I:I,Recursos!C1303,'AUX-NIV3'!Q:Q)</f>
        <v>0</v>
      </c>
      <c r="H1303" s="204">
        <f t="shared" si="129"/>
        <v>0</v>
      </c>
      <c r="I1303" s="366">
        <f t="shared" si="130"/>
        <v>0</v>
      </c>
      <c r="J1303" s="1418"/>
    </row>
    <row r="1304" spans="2:10">
      <c r="B1304" s="222"/>
      <c r="C1304" s="1460" t="s">
        <v>4184</v>
      </c>
      <c r="D1304" s="1415" t="s">
        <v>3629</v>
      </c>
      <c r="E1304" s="1416" t="s">
        <v>3615</v>
      </c>
      <c r="F1304" s="1461">
        <v>1</v>
      </c>
      <c r="G1304" s="203">
        <f>+SUMIF('AUX-NIV1'!I:I,Recursos!C1304,'AUX-NIV1'!Q:Q)+SUMIF('AUX-NIV2'!I:I,Recursos!C1304,'AUX-NIV2'!Q:Q)+SUMIF('AUX-NIV3'!I:I,Recursos!C1304,'AUX-NIV3'!Q:Q)</f>
        <v>0</v>
      </c>
      <c r="H1304" s="204">
        <f t="shared" si="129"/>
        <v>0</v>
      </c>
      <c r="I1304" s="366">
        <f t="shared" si="130"/>
        <v>0</v>
      </c>
      <c r="J1304" s="1418"/>
    </row>
    <row r="1305" spans="2:10">
      <c r="B1305" s="222"/>
      <c r="C1305" s="1460" t="s">
        <v>4185</v>
      </c>
      <c r="D1305" s="1415" t="s">
        <v>3630</v>
      </c>
      <c r="E1305" s="1416"/>
      <c r="F1305" s="1461">
        <v>1</v>
      </c>
      <c r="G1305" s="203">
        <f>+SUMIF('AUX-NIV1'!I:I,Recursos!C1305,'AUX-NIV1'!Q:Q)+SUMIF('AUX-NIV2'!I:I,Recursos!C1305,'AUX-NIV2'!Q:Q)+SUMIF('AUX-NIV3'!I:I,Recursos!C1305,'AUX-NIV3'!Q:Q)</f>
        <v>0</v>
      </c>
      <c r="H1305" s="204">
        <f t="shared" si="129"/>
        <v>0</v>
      </c>
      <c r="I1305" s="366">
        <f t="shared" si="130"/>
        <v>0</v>
      </c>
      <c r="J1305" s="1418"/>
    </row>
    <row r="1306" spans="2:10">
      <c r="B1306" s="222"/>
      <c r="C1306" s="1460" t="s">
        <v>4186</v>
      </c>
      <c r="D1306" s="1415" t="s">
        <v>3631</v>
      </c>
      <c r="E1306" s="1416" t="s">
        <v>1840</v>
      </c>
      <c r="F1306" s="1461">
        <v>1</v>
      </c>
      <c r="G1306" s="203">
        <f>+SUMIF('AUX-NIV1'!I:I,Recursos!C1306,'AUX-NIV1'!Q:Q)+SUMIF('AUX-NIV2'!I:I,Recursos!C1306,'AUX-NIV2'!Q:Q)+SUMIF('AUX-NIV3'!I:I,Recursos!C1306,'AUX-NIV3'!Q:Q)</f>
        <v>0</v>
      </c>
      <c r="H1306" s="204">
        <f t="shared" si="129"/>
        <v>0</v>
      </c>
      <c r="I1306" s="366">
        <f t="shared" si="130"/>
        <v>0</v>
      </c>
      <c r="J1306" s="1418"/>
    </row>
    <row r="1307" spans="2:10">
      <c r="B1307" s="222"/>
      <c r="C1307" s="1460" t="s">
        <v>4187</v>
      </c>
      <c r="D1307" s="1415" t="s">
        <v>3632</v>
      </c>
      <c r="E1307" s="1416" t="s">
        <v>3615</v>
      </c>
      <c r="F1307" s="1461">
        <v>1</v>
      </c>
      <c r="G1307" s="203">
        <f>+SUMIF('AUX-NIV1'!I:I,Recursos!C1307,'AUX-NIV1'!Q:Q)+SUMIF('AUX-NIV2'!I:I,Recursos!C1307,'AUX-NIV2'!Q:Q)+SUMIF('AUX-NIV3'!I:I,Recursos!C1307,'AUX-NIV3'!Q:Q)</f>
        <v>0</v>
      </c>
      <c r="H1307" s="204">
        <f t="shared" si="129"/>
        <v>0</v>
      </c>
      <c r="I1307" s="366">
        <f t="shared" si="130"/>
        <v>0</v>
      </c>
      <c r="J1307" s="1418"/>
    </row>
    <row r="1308" spans="2:10">
      <c r="B1308" s="222"/>
      <c r="C1308" s="1460" t="s">
        <v>4188</v>
      </c>
      <c r="D1308" s="1415" t="s">
        <v>3633</v>
      </c>
      <c r="E1308" s="1416" t="s">
        <v>3615</v>
      </c>
      <c r="F1308" s="1461">
        <v>1</v>
      </c>
      <c r="G1308" s="203">
        <f>+SUMIF('AUX-NIV1'!I:I,Recursos!C1308,'AUX-NIV1'!Q:Q)+SUMIF('AUX-NIV2'!I:I,Recursos!C1308,'AUX-NIV2'!Q:Q)+SUMIF('AUX-NIV3'!I:I,Recursos!C1308,'AUX-NIV3'!Q:Q)</f>
        <v>0</v>
      </c>
      <c r="H1308" s="204">
        <f t="shared" si="129"/>
        <v>0</v>
      </c>
      <c r="I1308" s="366">
        <f t="shared" si="130"/>
        <v>0</v>
      </c>
      <c r="J1308" s="1418"/>
    </row>
    <row r="1309" spans="2:10">
      <c r="B1309" s="222"/>
      <c r="C1309" s="1460" t="s">
        <v>4189</v>
      </c>
      <c r="D1309" s="1415" t="s">
        <v>3634</v>
      </c>
      <c r="E1309" s="1416" t="s">
        <v>3615</v>
      </c>
      <c r="F1309" s="1461">
        <v>1</v>
      </c>
      <c r="G1309" s="203">
        <f>+SUMIF('AUX-NIV1'!I:I,Recursos!C1309,'AUX-NIV1'!Q:Q)+SUMIF('AUX-NIV2'!I:I,Recursos!C1309,'AUX-NIV2'!Q:Q)+SUMIF('AUX-NIV3'!I:I,Recursos!C1309,'AUX-NIV3'!Q:Q)</f>
        <v>0</v>
      </c>
      <c r="H1309" s="204">
        <f t="shared" si="129"/>
        <v>0</v>
      </c>
      <c r="I1309" s="366">
        <f t="shared" si="130"/>
        <v>0</v>
      </c>
      <c r="J1309" s="1418"/>
    </row>
    <row r="1310" spans="2:10">
      <c r="B1310" s="222"/>
      <c r="C1310" s="1460" t="s">
        <v>4190</v>
      </c>
      <c r="D1310" s="1415" t="s">
        <v>3635</v>
      </c>
      <c r="E1310" s="1416" t="s">
        <v>3615</v>
      </c>
      <c r="F1310" s="1461">
        <v>1</v>
      </c>
      <c r="G1310" s="203">
        <f>+SUMIF('AUX-NIV1'!I:I,Recursos!C1310,'AUX-NIV1'!Q:Q)+SUMIF('AUX-NIV2'!I:I,Recursos!C1310,'AUX-NIV2'!Q:Q)+SUMIF('AUX-NIV3'!I:I,Recursos!C1310,'AUX-NIV3'!Q:Q)</f>
        <v>0</v>
      </c>
      <c r="H1310" s="204">
        <f t="shared" si="129"/>
        <v>0</v>
      </c>
      <c r="I1310" s="366">
        <f t="shared" si="130"/>
        <v>0</v>
      </c>
      <c r="J1310" s="1418"/>
    </row>
    <row r="1311" spans="2:10">
      <c r="B1311" s="222"/>
      <c r="C1311" s="1460" t="s">
        <v>4191</v>
      </c>
      <c r="D1311" s="1415" t="s">
        <v>3636</v>
      </c>
      <c r="E1311" s="1416"/>
      <c r="F1311" s="1461">
        <v>1</v>
      </c>
      <c r="G1311" s="203">
        <f>+SUMIF('AUX-NIV1'!I:I,Recursos!C1311,'AUX-NIV1'!Q:Q)+SUMIF('AUX-NIV2'!I:I,Recursos!C1311,'AUX-NIV2'!Q:Q)+SUMIF('AUX-NIV3'!I:I,Recursos!C1311,'AUX-NIV3'!Q:Q)</f>
        <v>0</v>
      </c>
      <c r="H1311" s="204">
        <f t="shared" si="129"/>
        <v>0</v>
      </c>
      <c r="I1311" s="366">
        <f t="shared" si="130"/>
        <v>0</v>
      </c>
      <c r="J1311" s="1418"/>
    </row>
    <row r="1312" spans="2:10">
      <c r="B1312" s="222"/>
      <c r="C1312" s="1460" t="s">
        <v>4192</v>
      </c>
      <c r="D1312" s="1415" t="s">
        <v>3637</v>
      </c>
      <c r="E1312" s="1416" t="s">
        <v>185</v>
      </c>
      <c r="F1312" s="1461">
        <v>1</v>
      </c>
      <c r="G1312" s="203">
        <f>+SUMIF('AUX-NIV1'!I:I,Recursos!C1312,'AUX-NIV1'!Q:Q)+SUMIF('AUX-NIV2'!I:I,Recursos!C1312,'AUX-NIV2'!Q:Q)+SUMIF('AUX-NIV3'!I:I,Recursos!C1312,'AUX-NIV3'!Q:Q)</f>
        <v>0</v>
      </c>
      <c r="H1312" s="204">
        <f t="shared" si="129"/>
        <v>0</v>
      </c>
      <c r="I1312" s="366">
        <f t="shared" si="130"/>
        <v>0</v>
      </c>
      <c r="J1312" s="1418"/>
    </row>
    <row r="1313" spans="2:10">
      <c r="B1313" s="222"/>
      <c r="C1313" s="1460" t="s">
        <v>4193</v>
      </c>
      <c r="D1313" s="1415" t="s">
        <v>3638</v>
      </c>
      <c r="E1313" s="1416" t="s">
        <v>185</v>
      </c>
      <c r="F1313" s="1461">
        <v>1</v>
      </c>
      <c r="G1313" s="203">
        <f>+SUMIF('AUX-NIV1'!I:I,Recursos!C1313,'AUX-NIV1'!Q:Q)+SUMIF('AUX-NIV2'!I:I,Recursos!C1313,'AUX-NIV2'!Q:Q)+SUMIF('AUX-NIV3'!I:I,Recursos!C1313,'AUX-NIV3'!Q:Q)</f>
        <v>0</v>
      </c>
      <c r="H1313" s="204">
        <f t="shared" si="129"/>
        <v>0</v>
      </c>
      <c r="I1313" s="366">
        <f t="shared" si="130"/>
        <v>0</v>
      </c>
      <c r="J1313" s="1418"/>
    </row>
    <row r="1314" spans="2:10">
      <c r="B1314" s="222"/>
      <c r="C1314" s="1460" t="s">
        <v>4194</v>
      </c>
      <c r="D1314" s="1415" t="s">
        <v>3639</v>
      </c>
      <c r="E1314" s="1416" t="s">
        <v>185</v>
      </c>
      <c r="F1314" s="1461">
        <v>1</v>
      </c>
      <c r="G1314" s="203">
        <f>+SUMIF('AUX-NIV1'!I:I,Recursos!C1314,'AUX-NIV1'!Q:Q)+SUMIF('AUX-NIV2'!I:I,Recursos!C1314,'AUX-NIV2'!Q:Q)+SUMIF('AUX-NIV3'!I:I,Recursos!C1314,'AUX-NIV3'!Q:Q)</f>
        <v>0</v>
      </c>
      <c r="H1314" s="204">
        <f t="shared" si="129"/>
        <v>0</v>
      </c>
      <c r="I1314" s="366">
        <f t="shared" si="130"/>
        <v>0</v>
      </c>
      <c r="J1314" s="1418"/>
    </row>
    <row r="1315" spans="2:10">
      <c r="B1315" s="222"/>
      <c r="C1315" s="1460" t="s">
        <v>4195</v>
      </c>
      <c r="D1315" s="1415" t="s">
        <v>3640</v>
      </c>
      <c r="E1315" s="1416" t="s">
        <v>185</v>
      </c>
      <c r="F1315" s="1461">
        <v>1</v>
      </c>
      <c r="G1315" s="203">
        <f>+SUMIF('AUX-NIV1'!I:I,Recursos!C1315,'AUX-NIV1'!Q:Q)+SUMIF('AUX-NIV2'!I:I,Recursos!C1315,'AUX-NIV2'!Q:Q)+SUMIF('AUX-NIV3'!I:I,Recursos!C1315,'AUX-NIV3'!Q:Q)</f>
        <v>0</v>
      </c>
      <c r="H1315" s="204">
        <f t="shared" si="129"/>
        <v>0</v>
      </c>
      <c r="I1315" s="366">
        <f t="shared" si="130"/>
        <v>0</v>
      </c>
      <c r="J1315" s="1418"/>
    </row>
    <row r="1316" spans="2:10">
      <c r="B1316" s="222"/>
      <c r="C1316" s="1460" t="s">
        <v>4196</v>
      </c>
      <c r="D1316" s="1415" t="s">
        <v>3641</v>
      </c>
      <c r="E1316" s="1416" t="s">
        <v>185</v>
      </c>
      <c r="F1316" s="1461">
        <v>1</v>
      </c>
      <c r="G1316" s="203">
        <f>+SUMIF('AUX-NIV1'!I:I,Recursos!C1316,'AUX-NIV1'!Q:Q)+SUMIF('AUX-NIV2'!I:I,Recursos!C1316,'AUX-NIV2'!Q:Q)+SUMIF('AUX-NIV3'!I:I,Recursos!C1316,'AUX-NIV3'!Q:Q)</f>
        <v>0</v>
      </c>
      <c r="H1316" s="204">
        <f t="shared" si="129"/>
        <v>0</v>
      </c>
      <c r="I1316" s="366">
        <f t="shared" si="130"/>
        <v>0</v>
      </c>
      <c r="J1316" s="1418"/>
    </row>
    <row r="1317" spans="2:10">
      <c r="B1317" s="222"/>
      <c r="C1317" s="1460" t="s">
        <v>4197</v>
      </c>
      <c r="D1317" s="1415" t="s">
        <v>3642</v>
      </c>
      <c r="E1317" s="1416" t="s">
        <v>185</v>
      </c>
      <c r="F1317" s="1461">
        <v>1</v>
      </c>
      <c r="G1317" s="203">
        <f>+SUMIF('AUX-NIV1'!I:I,Recursos!C1317,'AUX-NIV1'!Q:Q)+SUMIF('AUX-NIV2'!I:I,Recursos!C1317,'AUX-NIV2'!Q:Q)+SUMIF('AUX-NIV3'!I:I,Recursos!C1317,'AUX-NIV3'!Q:Q)</f>
        <v>0</v>
      </c>
      <c r="H1317" s="204">
        <f t="shared" si="129"/>
        <v>0</v>
      </c>
      <c r="I1317" s="366">
        <f t="shared" si="130"/>
        <v>0</v>
      </c>
      <c r="J1317" s="1418"/>
    </row>
    <row r="1318" spans="2:10">
      <c r="B1318" s="222"/>
      <c r="C1318" s="1460" t="s">
        <v>4198</v>
      </c>
      <c r="D1318" s="1415" t="s">
        <v>3643</v>
      </c>
      <c r="E1318" s="1416" t="s">
        <v>185</v>
      </c>
      <c r="F1318" s="1461">
        <v>1</v>
      </c>
      <c r="G1318" s="203">
        <f>+SUMIF('AUX-NIV1'!I:I,Recursos!C1318,'AUX-NIV1'!Q:Q)+SUMIF('AUX-NIV2'!I:I,Recursos!C1318,'AUX-NIV2'!Q:Q)+SUMIF('AUX-NIV3'!I:I,Recursos!C1318,'AUX-NIV3'!Q:Q)</f>
        <v>0</v>
      </c>
      <c r="H1318" s="204">
        <f t="shared" si="129"/>
        <v>0</v>
      </c>
      <c r="I1318" s="366">
        <f t="shared" si="130"/>
        <v>0</v>
      </c>
      <c r="J1318" s="1418"/>
    </row>
    <row r="1319" spans="2:10">
      <c r="B1319" s="222"/>
      <c r="C1319" s="1460" t="s">
        <v>4199</v>
      </c>
      <c r="D1319" s="1415" t="s">
        <v>3644</v>
      </c>
      <c r="E1319" s="1416" t="s">
        <v>185</v>
      </c>
      <c r="F1319" s="1461">
        <v>1</v>
      </c>
      <c r="G1319" s="203">
        <f>+SUMIF('AUX-NIV1'!I:I,Recursos!C1319,'AUX-NIV1'!Q:Q)+SUMIF('AUX-NIV2'!I:I,Recursos!C1319,'AUX-NIV2'!Q:Q)+SUMIF('AUX-NIV3'!I:I,Recursos!C1319,'AUX-NIV3'!Q:Q)</f>
        <v>0</v>
      </c>
      <c r="H1319" s="204">
        <f t="shared" si="129"/>
        <v>0</v>
      </c>
      <c r="I1319" s="366">
        <f t="shared" si="130"/>
        <v>0</v>
      </c>
      <c r="J1319" s="1418"/>
    </row>
    <row r="1320" spans="2:10">
      <c r="B1320" s="222"/>
      <c r="C1320" s="1460" t="s">
        <v>4200</v>
      </c>
      <c r="D1320" s="1415" t="s">
        <v>3645</v>
      </c>
      <c r="E1320" s="1416" t="s">
        <v>185</v>
      </c>
      <c r="F1320" s="1461">
        <v>1</v>
      </c>
      <c r="G1320" s="203">
        <f>+SUMIF('AUX-NIV1'!I:I,Recursos!C1320,'AUX-NIV1'!Q:Q)+SUMIF('AUX-NIV2'!I:I,Recursos!C1320,'AUX-NIV2'!Q:Q)+SUMIF('AUX-NIV3'!I:I,Recursos!C1320,'AUX-NIV3'!Q:Q)</f>
        <v>0</v>
      </c>
      <c r="H1320" s="204">
        <f t="shared" si="129"/>
        <v>0</v>
      </c>
      <c r="I1320" s="366">
        <f t="shared" si="130"/>
        <v>0</v>
      </c>
      <c r="J1320" s="1418"/>
    </row>
    <row r="1321" spans="2:10">
      <c r="B1321" s="222"/>
      <c r="C1321" s="1460" t="s">
        <v>4201</v>
      </c>
      <c r="D1321" s="1415" t="s">
        <v>3646</v>
      </c>
      <c r="E1321" s="1416" t="s">
        <v>185</v>
      </c>
      <c r="F1321" s="1461">
        <v>1</v>
      </c>
      <c r="G1321" s="203">
        <f>+SUMIF('AUX-NIV1'!I:I,Recursos!C1321,'AUX-NIV1'!Q:Q)+SUMIF('AUX-NIV2'!I:I,Recursos!C1321,'AUX-NIV2'!Q:Q)+SUMIF('AUX-NIV3'!I:I,Recursos!C1321,'AUX-NIV3'!Q:Q)</f>
        <v>0</v>
      </c>
      <c r="H1321" s="204">
        <f t="shared" si="129"/>
        <v>0</v>
      </c>
      <c r="I1321" s="366">
        <f t="shared" si="130"/>
        <v>0</v>
      </c>
      <c r="J1321" s="1418"/>
    </row>
    <row r="1322" spans="2:10">
      <c r="B1322" s="222"/>
      <c r="C1322" s="1460" t="s">
        <v>4202</v>
      </c>
      <c r="D1322" s="1415" t="s">
        <v>3647</v>
      </c>
      <c r="E1322" s="1416" t="s">
        <v>185</v>
      </c>
      <c r="F1322" s="1461">
        <v>1</v>
      </c>
      <c r="G1322" s="203">
        <f>+SUMIF('AUX-NIV1'!I:I,Recursos!C1322,'AUX-NIV1'!Q:Q)+SUMIF('AUX-NIV2'!I:I,Recursos!C1322,'AUX-NIV2'!Q:Q)+SUMIF('AUX-NIV3'!I:I,Recursos!C1322,'AUX-NIV3'!Q:Q)</f>
        <v>0</v>
      </c>
      <c r="H1322" s="204">
        <f t="shared" si="129"/>
        <v>0</v>
      </c>
      <c r="I1322" s="366">
        <f t="shared" si="130"/>
        <v>0</v>
      </c>
      <c r="J1322" s="1418"/>
    </row>
    <row r="1323" spans="2:10">
      <c r="B1323" s="222"/>
      <c r="C1323" s="1460" t="s">
        <v>4203</v>
      </c>
      <c r="D1323" s="1415" t="s">
        <v>3648</v>
      </c>
      <c r="E1323" s="1416" t="s">
        <v>185</v>
      </c>
      <c r="F1323" s="1461">
        <v>1</v>
      </c>
      <c r="G1323" s="203">
        <f>+SUMIF('AUX-NIV1'!I:I,Recursos!C1323,'AUX-NIV1'!Q:Q)+SUMIF('AUX-NIV2'!I:I,Recursos!C1323,'AUX-NIV2'!Q:Q)+SUMIF('AUX-NIV3'!I:I,Recursos!C1323,'AUX-NIV3'!Q:Q)</f>
        <v>0</v>
      </c>
      <c r="H1323" s="204">
        <f t="shared" si="129"/>
        <v>0</v>
      </c>
      <c r="I1323" s="366">
        <f t="shared" si="130"/>
        <v>0</v>
      </c>
      <c r="J1323" s="1418"/>
    </row>
    <row r="1324" spans="2:10">
      <c r="B1324" s="222"/>
      <c r="C1324" s="1460" t="s">
        <v>4204</v>
      </c>
      <c r="D1324" s="1415" t="s">
        <v>3649</v>
      </c>
      <c r="E1324" s="1416" t="s">
        <v>185</v>
      </c>
      <c r="F1324" s="1461">
        <v>1</v>
      </c>
      <c r="G1324" s="203">
        <f>+SUMIF('AUX-NIV1'!I:I,Recursos!C1324,'AUX-NIV1'!Q:Q)+SUMIF('AUX-NIV2'!I:I,Recursos!C1324,'AUX-NIV2'!Q:Q)+SUMIF('AUX-NIV3'!I:I,Recursos!C1324,'AUX-NIV3'!Q:Q)</f>
        <v>0</v>
      </c>
      <c r="H1324" s="204">
        <f t="shared" si="129"/>
        <v>0</v>
      </c>
      <c r="I1324" s="366">
        <f t="shared" si="130"/>
        <v>0</v>
      </c>
      <c r="J1324" s="1418"/>
    </row>
    <row r="1325" spans="2:10">
      <c r="B1325" s="222"/>
      <c r="C1325" s="1460" t="s">
        <v>4205</v>
      </c>
      <c r="D1325" s="1415" t="s">
        <v>3650</v>
      </c>
      <c r="E1325" s="1416" t="s">
        <v>185</v>
      </c>
      <c r="F1325" s="1461">
        <v>1</v>
      </c>
      <c r="G1325" s="203">
        <f>+SUMIF('AUX-NIV1'!I:I,Recursos!C1325,'AUX-NIV1'!Q:Q)+SUMIF('AUX-NIV2'!I:I,Recursos!C1325,'AUX-NIV2'!Q:Q)+SUMIF('AUX-NIV3'!I:I,Recursos!C1325,'AUX-NIV3'!Q:Q)</f>
        <v>0</v>
      </c>
      <c r="H1325" s="204">
        <f t="shared" si="129"/>
        <v>0</v>
      </c>
      <c r="I1325" s="366">
        <f t="shared" si="130"/>
        <v>0</v>
      </c>
      <c r="J1325" s="1418"/>
    </row>
    <row r="1326" spans="2:10">
      <c r="B1326" s="222"/>
      <c r="C1326" s="1460" t="s">
        <v>4224</v>
      </c>
      <c r="D1326" s="1415" t="s">
        <v>3651</v>
      </c>
      <c r="E1326" s="1416" t="s">
        <v>1233</v>
      </c>
      <c r="F1326" s="1461">
        <v>1</v>
      </c>
      <c r="G1326" s="203">
        <f>+SUMIF('AUX-NIV1'!I:I,Recursos!C1326,'AUX-NIV1'!Q:Q)+SUMIF('AUX-NIV2'!I:I,Recursos!C1326,'AUX-NIV2'!Q:Q)+SUMIF('AUX-NIV3'!I:I,Recursos!C1326,'AUX-NIV3'!Q:Q)</f>
        <v>0</v>
      </c>
      <c r="H1326" s="204">
        <f t="shared" si="129"/>
        <v>0</v>
      </c>
      <c r="I1326" s="366">
        <f t="shared" si="130"/>
        <v>0</v>
      </c>
      <c r="J1326" s="1418"/>
    </row>
    <row r="1327" spans="2:10">
      <c r="B1327" s="222"/>
      <c r="C1327" s="1460" t="s">
        <v>4225</v>
      </c>
      <c r="D1327" s="1415" t="s">
        <v>3652</v>
      </c>
      <c r="E1327" s="1416" t="s">
        <v>1233</v>
      </c>
      <c r="F1327" s="1461">
        <v>1</v>
      </c>
      <c r="G1327" s="203">
        <f>+SUMIF('AUX-NIV1'!I:I,Recursos!C1327,'AUX-NIV1'!Q:Q)+SUMIF('AUX-NIV2'!I:I,Recursos!C1327,'AUX-NIV2'!Q:Q)+SUMIF('AUX-NIV3'!I:I,Recursos!C1327,'AUX-NIV3'!Q:Q)</f>
        <v>0</v>
      </c>
      <c r="H1327" s="204">
        <f t="shared" si="129"/>
        <v>0</v>
      </c>
      <c r="I1327" s="366">
        <f t="shared" si="130"/>
        <v>0</v>
      </c>
      <c r="J1327" s="1418"/>
    </row>
    <row r="1328" spans="2:10">
      <c r="B1328" s="222"/>
      <c r="C1328" s="1460" t="s">
        <v>4226</v>
      </c>
      <c r="D1328" s="1415" t="s">
        <v>3653</v>
      </c>
      <c r="E1328" s="1416" t="s">
        <v>1233</v>
      </c>
      <c r="F1328" s="1461">
        <v>1</v>
      </c>
      <c r="G1328" s="203">
        <f>+SUMIF('AUX-NIV1'!I:I,Recursos!C1328,'AUX-NIV1'!Q:Q)+SUMIF('AUX-NIV2'!I:I,Recursos!C1328,'AUX-NIV2'!Q:Q)+SUMIF('AUX-NIV3'!I:I,Recursos!C1328,'AUX-NIV3'!Q:Q)</f>
        <v>0</v>
      </c>
      <c r="H1328" s="204">
        <f t="shared" si="129"/>
        <v>0</v>
      </c>
      <c r="I1328" s="366">
        <f t="shared" si="130"/>
        <v>0</v>
      </c>
      <c r="J1328" s="1418"/>
    </row>
    <row r="1329" spans="2:10">
      <c r="B1329" s="222"/>
      <c r="C1329" s="1460" t="s">
        <v>4227</v>
      </c>
      <c r="D1329" s="1415" t="s">
        <v>3654</v>
      </c>
      <c r="E1329" s="1416" t="s">
        <v>1233</v>
      </c>
      <c r="F1329" s="1461">
        <v>1</v>
      </c>
      <c r="G1329" s="203">
        <f>+SUMIF('AUX-NIV1'!I:I,Recursos!C1329,'AUX-NIV1'!Q:Q)+SUMIF('AUX-NIV2'!I:I,Recursos!C1329,'AUX-NIV2'!Q:Q)+SUMIF('AUX-NIV3'!I:I,Recursos!C1329,'AUX-NIV3'!Q:Q)</f>
        <v>0</v>
      </c>
      <c r="H1329" s="204">
        <f t="shared" si="129"/>
        <v>0</v>
      </c>
      <c r="I1329" s="366">
        <f t="shared" si="130"/>
        <v>0</v>
      </c>
      <c r="J1329" s="1418"/>
    </row>
    <row r="1330" spans="2:10">
      <c r="B1330" s="222"/>
      <c r="C1330" s="1460" t="s">
        <v>4228</v>
      </c>
      <c r="D1330" s="1415" t="s">
        <v>3655</v>
      </c>
      <c r="E1330" s="1416" t="s">
        <v>1233</v>
      </c>
      <c r="F1330" s="1461">
        <v>1</v>
      </c>
      <c r="G1330" s="203">
        <f>+SUMIF('AUX-NIV1'!I:I,Recursos!C1330,'AUX-NIV1'!Q:Q)+SUMIF('AUX-NIV2'!I:I,Recursos!C1330,'AUX-NIV2'!Q:Q)+SUMIF('AUX-NIV3'!I:I,Recursos!C1330,'AUX-NIV3'!Q:Q)</f>
        <v>0</v>
      </c>
      <c r="H1330" s="204">
        <f t="shared" si="129"/>
        <v>0</v>
      </c>
      <c r="I1330" s="366">
        <f t="shared" si="130"/>
        <v>0</v>
      </c>
      <c r="J1330" s="1418"/>
    </row>
    <row r="1331" spans="2:10" ht="22.8">
      <c r="B1331" s="222"/>
      <c r="C1331" s="1460" t="s">
        <v>4229</v>
      </c>
      <c r="D1331" s="1415" t="s">
        <v>3656</v>
      </c>
      <c r="E1331" s="1416" t="s">
        <v>1233</v>
      </c>
      <c r="F1331" s="1461">
        <v>1</v>
      </c>
      <c r="G1331" s="203">
        <f>+SUMIF('AUX-NIV1'!I:I,Recursos!C1331,'AUX-NIV1'!Q:Q)+SUMIF('AUX-NIV2'!I:I,Recursos!C1331,'AUX-NIV2'!Q:Q)+SUMIF('AUX-NIV3'!I:I,Recursos!C1331,'AUX-NIV3'!Q:Q)</f>
        <v>0</v>
      </c>
      <c r="H1331" s="204">
        <f t="shared" si="129"/>
        <v>0</v>
      </c>
      <c r="I1331" s="366">
        <f t="shared" si="130"/>
        <v>0</v>
      </c>
      <c r="J1331" s="1418"/>
    </row>
    <row r="1332" spans="2:10">
      <c r="B1332" s="222"/>
      <c r="C1332" s="1460" t="s">
        <v>4230</v>
      </c>
      <c r="D1332" s="1415" t="s">
        <v>3657</v>
      </c>
      <c r="E1332" s="1416" t="s">
        <v>1233</v>
      </c>
      <c r="F1332" s="1461">
        <v>1</v>
      </c>
      <c r="G1332" s="203">
        <f>+SUMIF('AUX-NIV1'!I:I,Recursos!C1332,'AUX-NIV1'!Q:Q)+SUMIF('AUX-NIV2'!I:I,Recursos!C1332,'AUX-NIV2'!Q:Q)+SUMIF('AUX-NIV3'!I:I,Recursos!C1332,'AUX-NIV3'!Q:Q)</f>
        <v>0</v>
      </c>
      <c r="H1332" s="204">
        <f t="shared" si="129"/>
        <v>0</v>
      </c>
      <c r="I1332" s="366">
        <f t="shared" si="130"/>
        <v>0</v>
      </c>
      <c r="J1332" s="1418"/>
    </row>
    <row r="1333" spans="2:10">
      <c r="B1333" s="222"/>
      <c r="C1333" s="1460" t="s">
        <v>4231</v>
      </c>
      <c r="D1333" s="1415" t="s">
        <v>3658</v>
      </c>
      <c r="E1333" s="1416" t="s">
        <v>1233</v>
      </c>
      <c r="F1333" s="1461">
        <v>1</v>
      </c>
      <c r="G1333" s="203">
        <f>+SUMIF('AUX-NIV1'!I:I,Recursos!C1333,'AUX-NIV1'!Q:Q)+SUMIF('AUX-NIV2'!I:I,Recursos!C1333,'AUX-NIV2'!Q:Q)+SUMIF('AUX-NIV3'!I:I,Recursos!C1333,'AUX-NIV3'!Q:Q)</f>
        <v>0</v>
      </c>
      <c r="H1333" s="204">
        <f t="shared" si="129"/>
        <v>0</v>
      </c>
      <c r="I1333" s="366">
        <f t="shared" si="130"/>
        <v>0</v>
      </c>
      <c r="J1333" s="1418"/>
    </row>
    <row r="1334" spans="2:10">
      <c r="B1334" s="222"/>
      <c r="C1334" s="1460" t="s">
        <v>4232</v>
      </c>
      <c r="D1334" s="1415" t="s">
        <v>3659</v>
      </c>
      <c r="E1334" s="1416" t="s">
        <v>1233</v>
      </c>
      <c r="F1334" s="1461">
        <v>1</v>
      </c>
      <c r="G1334" s="203">
        <f>+SUMIF('AUX-NIV1'!I:I,Recursos!C1334,'AUX-NIV1'!Q:Q)+SUMIF('AUX-NIV2'!I:I,Recursos!C1334,'AUX-NIV2'!Q:Q)+SUMIF('AUX-NIV3'!I:I,Recursos!C1334,'AUX-NIV3'!Q:Q)</f>
        <v>0</v>
      </c>
      <c r="H1334" s="204">
        <f t="shared" si="129"/>
        <v>0</v>
      </c>
      <c r="I1334" s="366">
        <f t="shared" si="130"/>
        <v>0</v>
      </c>
      <c r="J1334" s="1418"/>
    </row>
    <row r="1335" spans="2:10">
      <c r="B1335" s="222"/>
      <c r="C1335" s="1460" t="s">
        <v>4233</v>
      </c>
      <c r="D1335" s="1415" t="s">
        <v>3655</v>
      </c>
      <c r="E1335" s="1416" t="s">
        <v>1233</v>
      </c>
      <c r="F1335" s="1461">
        <v>1</v>
      </c>
      <c r="G1335" s="203">
        <f>+SUMIF('AUX-NIV1'!I:I,Recursos!C1335,'AUX-NIV1'!Q:Q)+SUMIF('AUX-NIV2'!I:I,Recursos!C1335,'AUX-NIV2'!Q:Q)+SUMIF('AUX-NIV3'!I:I,Recursos!C1335,'AUX-NIV3'!Q:Q)</f>
        <v>0</v>
      </c>
      <c r="H1335" s="204">
        <f t="shared" si="129"/>
        <v>0</v>
      </c>
      <c r="I1335" s="366">
        <f t="shared" si="130"/>
        <v>0</v>
      </c>
      <c r="J1335" s="1418"/>
    </row>
    <row r="1336" spans="2:10">
      <c r="B1336" s="222"/>
      <c r="C1336" s="1460" t="s">
        <v>4234</v>
      </c>
      <c r="D1336" s="1415" t="s">
        <v>3660</v>
      </c>
      <c r="E1336" s="1416" t="s">
        <v>1233</v>
      </c>
      <c r="F1336" s="1461">
        <v>1</v>
      </c>
      <c r="G1336" s="203">
        <f>+SUMIF('AUX-NIV1'!I:I,Recursos!C1336,'AUX-NIV1'!Q:Q)+SUMIF('AUX-NIV2'!I:I,Recursos!C1336,'AUX-NIV2'!Q:Q)+SUMIF('AUX-NIV3'!I:I,Recursos!C1336,'AUX-NIV3'!Q:Q)</f>
        <v>0</v>
      </c>
      <c r="H1336" s="204">
        <f t="shared" si="129"/>
        <v>0</v>
      </c>
      <c r="I1336" s="366">
        <f t="shared" si="130"/>
        <v>0</v>
      </c>
      <c r="J1336" s="1418"/>
    </row>
    <row r="1337" spans="2:10">
      <c r="B1337" s="222"/>
      <c r="C1337" s="1460" t="s">
        <v>4235</v>
      </c>
      <c r="D1337" s="1415" t="s">
        <v>3661</v>
      </c>
      <c r="E1337" s="1416" t="s">
        <v>1233</v>
      </c>
      <c r="F1337" s="1461">
        <v>1</v>
      </c>
      <c r="G1337" s="203">
        <f>+SUMIF('AUX-NIV1'!I:I,Recursos!C1337,'AUX-NIV1'!Q:Q)+SUMIF('AUX-NIV2'!I:I,Recursos!C1337,'AUX-NIV2'!Q:Q)+SUMIF('AUX-NIV3'!I:I,Recursos!C1337,'AUX-NIV3'!Q:Q)</f>
        <v>0</v>
      </c>
      <c r="H1337" s="204">
        <f t="shared" si="129"/>
        <v>0</v>
      </c>
      <c r="I1337" s="366">
        <f t="shared" si="130"/>
        <v>0</v>
      </c>
      <c r="J1337" s="1418"/>
    </row>
    <row r="1338" spans="2:10">
      <c r="B1338" s="222"/>
      <c r="C1338" s="1460" t="s">
        <v>4236</v>
      </c>
      <c r="D1338" s="1415" t="s">
        <v>3662</v>
      </c>
      <c r="E1338" s="1416" t="s">
        <v>1233</v>
      </c>
      <c r="F1338" s="1461">
        <v>1</v>
      </c>
      <c r="G1338" s="203">
        <f>+SUMIF('AUX-NIV1'!I:I,Recursos!C1338,'AUX-NIV1'!Q:Q)+SUMIF('AUX-NIV2'!I:I,Recursos!C1338,'AUX-NIV2'!Q:Q)+SUMIF('AUX-NIV3'!I:I,Recursos!C1338,'AUX-NIV3'!Q:Q)</f>
        <v>0</v>
      </c>
      <c r="H1338" s="204">
        <f t="shared" si="129"/>
        <v>0</v>
      </c>
      <c r="I1338" s="366">
        <f t="shared" si="130"/>
        <v>0</v>
      </c>
      <c r="J1338" s="1418"/>
    </row>
    <row r="1339" spans="2:10">
      <c r="B1339" s="222"/>
      <c r="C1339" s="1460" t="s">
        <v>4237</v>
      </c>
      <c r="D1339" s="1415" t="s">
        <v>3663</v>
      </c>
      <c r="E1339" s="1416" t="s">
        <v>1233</v>
      </c>
      <c r="F1339" s="1461">
        <v>1</v>
      </c>
      <c r="G1339" s="203">
        <f>+SUMIF('AUX-NIV1'!I:I,Recursos!C1339,'AUX-NIV1'!Q:Q)+SUMIF('AUX-NIV2'!I:I,Recursos!C1339,'AUX-NIV2'!Q:Q)+SUMIF('AUX-NIV3'!I:I,Recursos!C1339,'AUX-NIV3'!Q:Q)</f>
        <v>0</v>
      </c>
      <c r="H1339" s="204">
        <f t="shared" si="129"/>
        <v>0</v>
      </c>
      <c r="I1339" s="366">
        <f t="shared" si="130"/>
        <v>0</v>
      </c>
      <c r="J1339" s="1418"/>
    </row>
    <row r="1340" spans="2:10">
      <c r="B1340" s="222"/>
      <c r="C1340" s="1460" t="s">
        <v>4238</v>
      </c>
      <c r="D1340" s="1415" t="s">
        <v>3664</v>
      </c>
      <c r="E1340" s="1416" t="s">
        <v>1233</v>
      </c>
      <c r="F1340" s="1461">
        <v>1</v>
      </c>
      <c r="G1340" s="203">
        <f>+SUMIF('AUX-NIV1'!I:I,Recursos!C1340,'AUX-NIV1'!Q:Q)+SUMIF('AUX-NIV2'!I:I,Recursos!C1340,'AUX-NIV2'!Q:Q)+SUMIF('AUX-NIV3'!I:I,Recursos!C1340,'AUX-NIV3'!Q:Q)</f>
        <v>0</v>
      </c>
      <c r="H1340" s="204">
        <f t="shared" si="129"/>
        <v>0</v>
      </c>
      <c r="I1340" s="366">
        <f t="shared" si="130"/>
        <v>0</v>
      </c>
      <c r="J1340" s="1418"/>
    </row>
    <row r="1341" spans="2:10">
      <c r="B1341" s="222"/>
      <c r="C1341" s="1460" t="s">
        <v>4239</v>
      </c>
      <c r="D1341" s="1415" t="s">
        <v>3665</v>
      </c>
      <c r="E1341" s="1416" t="s">
        <v>1233</v>
      </c>
      <c r="F1341" s="1461">
        <v>1</v>
      </c>
      <c r="G1341" s="203">
        <f>+SUMIF('AUX-NIV1'!I:I,Recursos!C1341,'AUX-NIV1'!Q:Q)+SUMIF('AUX-NIV2'!I:I,Recursos!C1341,'AUX-NIV2'!Q:Q)+SUMIF('AUX-NIV3'!I:I,Recursos!C1341,'AUX-NIV3'!Q:Q)</f>
        <v>0</v>
      </c>
      <c r="H1341" s="204">
        <f t="shared" si="129"/>
        <v>0</v>
      </c>
      <c r="I1341" s="366">
        <f t="shared" si="130"/>
        <v>0</v>
      </c>
      <c r="J1341" s="1418"/>
    </row>
    <row r="1342" spans="2:10">
      <c r="B1342" s="222"/>
      <c r="C1342" s="1460" t="s">
        <v>4240</v>
      </c>
      <c r="D1342" s="1415" t="s">
        <v>3666</v>
      </c>
      <c r="E1342" s="1416" t="s">
        <v>1233</v>
      </c>
      <c r="F1342" s="1461">
        <v>1</v>
      </c>
      <c r="G1342" s="203">
        <f>+SUMIF('AUX-NIV1'!I:I,Recursos!C1342,'AUX-NIV1'!Q:Q)+SUMIF('AUX-NIV2'!I:I,Recursos!C1342,'AUX-NIV2'!Q:Q)+SUMIF('AUX-NIV3'!I:I,Recursos!C1342,'AUX-NIV3'!Q:Q)</f>
        <v>0</v>
      </c>
      <c r="H1342" s="204">
        <f t="shared" si="129"/>
        <v>0</v>
      </c>
      <c r="I1342" s="366">
        <f t="shared" si="130"/>
        <v>0</v>
      </c>
      <c r="J1342" s="1418"/>
    </row>
    <row r="1343" spans="2:10">
      <c r="B1343" s="222"/>
      <c r="C1343" s="1460" t="s">
        <v>4241</v>
      </c>
      <c r="D1343" s="1415" t="s">
        <v>3655</v>
      </c>
      <c r="E1343" s="1416" t="s">
        <v>1233</v>
      </c>
      <c r="F1343" s="1461">
        <v>1</v>
      </c>
      <c r="G1343" s="203">
        <f>+SUMIF('AUX-NIV1'!I:I,Recursos!C1343,'AUX-NIV1'!Q:Q)+SUMIF('AUX-NIV2'!I:I,Recursos!C1343,'AUX-NIV2'!Q:Q)+SUMIF('AUX-NIV3'!I:I,Recursos!C1343,'AUX-NIV3'!Q:Q)</f>
        <v>0</v>
      </c>
      <c r="H1343" s="204">
        <f t="shared" si="129"/>
        <v>0</v>
      </c>
      <c r="I1343" s="366">
        <f t="shared" si="130"/>
        <v>0</v>
      </c>
      <c r="J1343" s="1418"/>
    </row>
    <row r="1344" spans="2:10">
      <c r="B1344" s="222"/>
      <c r="C1344" s="1460" t="s">
        <v>4334</v>
      </c>
      <c r="D1344" s="1415" t="s">
        <v>4335</v>
      </c>
      <c r="E1344" s="1416" t="s">
        <v>501</v>
      </c>
      <c r="F1344" s="1461">
        <v>1000</v>
      </c>
      <c r="G1344" s="203">
        <f>+SUMIF('AUX-NIV1'!I:I,Recursos!C1344,'AUX-NIV1'!Q:Q)+SUMIF('AUX-NIV2'!I:I,Recursos!C1344,'AUX-NIV2'!Q:Q)+SUMIF('AUX-NIV3'!I:I,Recursos!C1344,'AUX-NIV3'!Q:Q)</f>
        <v>0</v>
      </c>
      <c r="H1344" s="204">
        <f t="shared" si="129"/>
        <v>0</v>
      </c>
      <c r="I1344" s="366">
        <f t="shared" si="130"/>
        <v>0</v>
      </c>
      <c r="J1344" s="1418"/>
    </row>
    <row r="1345" spans="2:10">
      <c r="B1345" s="222"/>
      <c r="C1345" s="1460" t="s">
        <v>4367</v>
      </c>
      <c r="D1345" s="1415" t="s">
        <v>4340</v>
      </c>
      <c r="E1345" s="1416" t="s">
        <v>4341</v>
      </c>
      <c r="F1345" s="1461">
        <v>15000</v>
      </c>
      <c r="G1345" s="203">
        <f>+SUMIF('AUX-NIV1'!I:I,Recursos!C1345,'AUX-NIV1'!Q:Q)+SUMIF('AUX-NIV2'!I:I,Recursos!C1345,'AUX-NIV2'!Q:Q)+SUMIF('AUX-NIV3'!I:I,Recursos!C1345,'AUX-NIV3'!Q:Q)</f>
        <v>0</v>
      </c>
      <c r="H1345" s="204">
        <f t="shared" si="129"/>
        <v>0</v>
      </c>
      <c r="I1345" s="366">
        <f t="shared" si="130"/>
        <v>0</v>
      </c>
      <c r="J1345" s="1418"/>
    </row>
    <row r="1346" spans="2:10">
      <c r="B1346" s="222"/>
      <c r="C1346" s="1460" t="s">
        <v>4382</v>
      </c>
      <c r="D1346" s="1415" t="s">
        <v>4383</v>
      </c>
      <c r="E1346" s="1416" t="s">
        <v>1233</v>
      </c>
      <c r="F1346" s="1461">
        <v>50000</v>
      </c>
      <c r="G1346" s="203">
        <f>+SUMIF('AUX-NIV1'!I:I,Recursos!C1346,'AUX-NIV1'!Q:Q)+SUMIF('AUX-NIV2'!I:I,Recursos!C1346,'AUX-NIV2'!Q:Q)+SUMIF('AUX-NIV3'!I:I,Recursos!C1346,'AUX-NIV3'!Q:Q)</f>
        <v>0</v>
      </c>
      <c r="H1346" s="204">
        <f t="shared" si="129"/>
        <v>0</v>
      </c>
      <c r="I1346" s="366">
        <f t="shared" si="130"/>
        <v>0</v>
      </c>
      <c r="J1346" s="1418"/>
    </row>
    <row r="1347" spans="2:10">
      <c r="B1347" s="222"/>
      <c r="C1347" s="1460" t="s">
        <v>4506</v>
      </c>
      <c r="D1347" s="1415" t="s">
        <v>4507</v>
      </c>
      <c r="E1347" s="1416" t="s">
        <v>185</v>
      </c>
      <c r="F1347" s="1461">
        <v>3500</v>
      </c>
      <c r="G1347" s="203">
        <f>+SUMIF('AUX-NIV1'!I:I,Recursos!C1347,'AUX-NIV1'!Q:Q)+SUMIF('AUX-NIV2'!I:I,Recursos!C1347,'AUX-NIV2'!Q:Q)+SUMIF('AUX-NIV3'!I:I,Recursos!C1347,'AUX-NIV3'!Q:Q)</f>
        <v>0</v>
      </c>
      <c r="H1347" s="204">
        <f t="shared" si="129"/>
        <v>0</v>
      </c>
      <c r="I1347" s="366">
        <f t="shared" si="130"/>
        <v>0</v>
      </c>
      <c r="J1347" s="1418"/>
    </row>
    <row r="1348" spans="2:10">
      <c r="B1348" s="222"/>
      <c r="C1348" s="1460" t="s">
        <v>4546</v>
      </c>
      <c r="D1348" s="1415" t="s">
        <v>4547</v>
      </c>
      <c r="E1348" s="1416" t="s">
        <v>501</v>
      </c>
      <c r="F1348" s="1461">
        <v>100</v>
      </c>
      <c r="G1348" s="203">
        <f>+SUMIF('AUX-NIV1'!I:I,Recursos!C1348,'AUX-NIV1'!Q:Q)+SUMIF('AUX-NIV2'!I:I,Recursos!C1348,'AUX-NIV2'!Q:Q)+SUMIF('AUX-NIV3'!I:I,Recursos!C1348,'AUX-NIV3'!Q:Q)</f>
        <v>0</v>
      </c>
      <c r="H1348" s="204">
        <f t="shared" si="129"/>
        <v>0</v>
      </c>
      <c r="I1348" s="366">
        <f t="shared" si="130"/>
        <v>0</v>
      </c>
      <c r="J1348" s="1418"/>
    </row>
    <row r="1349" spans="2:10">
      <c r="B1349" s="222"/>
      <c r="C1349" s="1460"/>
      <c r="D1349" s="1415"/>
      <c r="E1349" s="1416"/>
      <c r="F1349" s="1461"/>
      <c r="G1349" s="203">
        <f>+SUMIF('AUX-NIV1'!I:I,Recursos!C1349,'AUX-NIV1'!Q:Q)+SUMIF('AUX-NIV2'!I:I,Recursos!C1349,'AUX-NIV2'!Q:Q)+SUMIF('AUX-NIV3'!I:I,Recursos!C1349,'AUX-NIV3'!Q:Q)</f>
        <v>0</v>
      </c>
      <c r="H1349" s="204">
        <f t="shared" si="129"/>
        <v>0</v>
      </c>
      <c r="I1349" s="366">
        <f t="shared" si="130"/>
        <v>0</v>
      </c>
      <c r="J1349" s="1418"/>
    </row>
    <row r="1350" spans="2:10">
      <c r="B1350" s="222"/>
      <c r="C1350" s="1460"/>
      <c r="D1350" s="1415"/>
      <c r="E1350" s="1416"/>
      <c r="F1350" s="1461"/>
      <c r="G1350" s="203">
        <f>+SUMIF('AUX-NIV1'!I:I,Recursos!C1350,'AUX-NIV1'!Q:Q)+SUMIF('AUX-NIV2'!I:I,Recursos!C1350,'AUX-NIV2'!Q:Q)+SUMIF('AUX-NIV3'!I:I,Recursos!C1350,'AUX-NIV3'!Q:Q)</f>
        <v>0</v>
      </c>
      <c r="H1350" s="204">
        <f t="shared" si="129"/>
        <v>0</v>
      </c>
      <c r="I1350" s="366">
        <f t="shared" si="130"/>
        <v>0</v>
      </c>
      <c r="J1350" s="1418"/>
    </row>
    <row r="1351" spans="2:10">
      <c r="B1351" s="222"/>
      <c r="C1351" s="1460"/>
      <c r="D1351" s="1415"/>
      <c r="E1351" s="1416"/>
      <c r="F1351" s="1461"/>
      <c r="G1351" s="203">
        <f>+SUMIF('AUX-NIV1'!I:I,Recursos!C1351,'AUX-NIV1'!Q:Q)+SUMIF('AUX-NIV2'!I:I,Recursos!C1351,'AUX-NIV2'!Q:Q)+SUMIF('AUX-NIV3'!I:I,Recursos!C1351,'AUX-NIV3'!Q:Q)</f>
        <v>0</v>
      </c>
      <c r="H1351" s="204">
        <f t="shared" si="129"/>
        <v>0</v>
      </c>
      <c r="I1351" s="366">
        <f t="shared" si="130"/>
        <v>0</v>
      </c>
      <c r="J1351" s="1418"/>
    </row>
    <row r="1352" spans="2:10">
      <c r="B1352" s="222"/>
      <c r="C1352" s="1460"/>
      <c r="D1352" s="1415"/>
      <c r="E1352" s="1416"/>
      <c r="F1352" s="1461"/>
      <c r="G1352" s="203">
        <f>+SUMIF('AUX-NIV1'!I:I,Recursos!C1352,'AUX-NIV1'!Q:Q)+SUMIF('AUX-NIV2'!I:I,Recursos!C1352,'AUX-NIV2'!Q:Q)+SUMIF('AUX-NIV3'!I:I,Recursos!C1352,'AUX-NIV3'!Q:Q)</f>
        <v>0</v>
      </c>
      <c r="H1352" s="204">
        <f t="shared" si="129"/>
        <v>0</v>
      </c>
      <c r="I1352" s="366">
        <f t="shared" si="130"/>
        <v>0</v>
      </c>
      <c r="J1352" s="1418"/>
    </row>
    <row r="1353" spans="2:10">
      <c r="B1353" s="222"/>
      <c r="C1353" s="1460"/>
      <c r="D1353" s="1415"/>
      <c r="E1353" s="1416"/>
      <c r="F1353" s="1461"/>
      <c r="G1353" s="203">
        <f>+SUMIF('AUX-NIV1'!I:I,Recursos!C1353,'AUX-NIV1'!Q:Q)+SUMIF('AUX-NIV2'!I:I,Recursos!C1353,'AUX-NIV2'!Q:Q)+SUMIF('AUX-NIV3'!I:I,Recursos!C1353,'AUX-NIV3'!Q:Q)</f>
        <v>0</v>
      </c>
      <c r="H1353" s="204">
        <f t="shared" si="129"/>
        <v>0</v>
      </c>
      <c r="I1353" s="366">
        <f t="shared" si="130"/>
        <v>0</v>
      </c>
      <c r="J1353" s="1418"/>
    </row>
    <row r="1354" spans="2:10">
      <c r="B1354" s="222"/>
      <c r="C1354" s="1460"/>
      <c r="D1354" s="1415"/>
      <c r="E1354" s="1416"/>
      <c r="F1354" s="1461"/>
      <c r="G1354" s="203">
        <f>+SUMIF('AUX-NIV1'!I:I,Recursos!C1354,'AUX-NIV1'!Q:Q)+SUMIF('AUX-NIV2'!I:I,Recursos!C1354,'AUX-NIV2'!Q:Q)+SUMIF('AUX-NIV3'!I:I,Recursos!C1354,'AUX-NIV3'!Q:Q)</f>
        <v>0</v>
      </c>
      <c r="H1354" s="204">
        <f t="shared" si="129"/>
        <v>0</v>
      </c>
      <c r="I1354" s="366">
        <f t="shared" si="130"/>
        <v>0</v>
      </c>
      <c r="J1354" s="1418"/>
    </row>
    <row r="1355" spans="2:10">
      <c r="B1355" s="222"/>
      <c r="C1355" s="1460"/>
      <c r="D1355" s="1415"/>
      <c r="E1355" s="1416"/>
      <c r="F1355" s="1461"/>
      <c r="G1355" s="203">
        <f>+SUMIF('AUX-NIV1'!I:I,Recursos!C1355,'AUX-NIV1'!Q:Q)+SUMIF('AUX-NIV2'!I:I,Recursos!C1355,'AUX-NIV2'!Q:Q)+SUMIF('AUX-NIV3'!I:I,Recursos!C1355,'AUX-NIV3'!Q:Q)</f>
        <v>0</v>
      </c>
      <c r="H1355" s="204">
        <f t="shared" ref="H1355:H1418" si="131">+F1355*G1355</f>
        <v>0</v>
      </c>
      <c r="I1355" s="366">
        <f t="shared" ref="I1355:I1418" si="132">+H1355/$I$3</f>
        <v>0</v>
      </c>
      <c r="J1355" s="1418"/>
    </row>
    <row r="1356" spans="2:10">
      <c r="B1356" s="222"/>
      <c r="C1356" s="1460"/>
      <c r="D1356" s="1415"/>
      <c r="E1356" s="1416"/>
      <c r="F1356" s="1461"/>
      <c r="G1356" s="203">
        <f>+SUMIF('AUX-NIV1'!I:I,Recursos!C1356,'AUX-NIV1'!Q:Q)+SUMIF('AUX-NIV2'!I:I,Recursos!C1356,'AUX-NIV2'!Q:Q)+SUMIF('AUX-NIV3'!I:I,Recursos!C1356,'AUX-NIV3'!Q:Q)</f>
        <v>0</v>
      </c>
      <c r="H1356" s="204">
        <f t="shared" si="131"/>
        <v>0</v>
      </c>
      <c r="I1356" s="366">
        <f t="shared" si="132"/>
        <v>0</v>
      </c>
      <c r="J1356" s="1418"/>
    </row>
    <row r="1357" spans="2:10">
      <c r="B1357" s="222"/>
      <c r="C1357" s="1460"/>
      <c r="D1357" s="1415"/>
      <c r="E1357" s="1416"/>
      <c r="F1357" s="1461"/>
      <c r="G1357" s="203">
        <f>+SUMIF('AUX-NIV1'!I:I,Recursos!C1357,'AUX-NIV1'!Q:Q)+SUMIF('AUX-NIV2'!I:I,Recursos!C1357,'AUX-NIV2'!Q:Q)+SUMIF('AUX-NIV3'!I:I,Recursos!C1357,'AUX-NIV3'!Q:Q)</f>
        <v>0</v>
      </c>
      <c r="H1357" s="204">
        <f t="shared" si="131"/>
        <v>0</v>
      </c>
      <c r="I1357" s="366">
        <f t="shared" si="132"/>
        <v>0</v>
      </c>
      <c r="J1357" s="1418"/>
    </row>
    <row r="1358" spans="2:10">
      <c r="B1358" s="222"/>
      <c r="C1358" s="1460"/>
      <c r="D1358" s="1415"/>
      <c r="E1358" s="1416"/>
      <c r="F1358" s="1461"/>
      <c r="G1358" s="203">
        <f>+SUMIF('AUX-NIV1'!I:I,Recursos!C1358,'AUX-NIV1'!Q:Q)+SUMIF('AUX-NIV2'!I:I,Recursos!C1358,'AUX-NIV2'!Q:Q)+SUMIF('AUX-NIV3'!I:I,Recursos!C1358,'AUX-NIV3'!Q:Q)</f>
        <v>0</v>
      </c>
      <c r="H1358" s="204">
        <f t="shared" si="131"/>
        <v>0</v>
      </c>
      <c r="I1358" s="366">
        <f t="shared" si="132"/>
        <v>0</v>
      </c>
      <c r="J1358" s="1418"/>
    </row>
    <row r="1359" spans="2:10">
      <c r="B1359" s="222"/>
      <c r="C1359" s="1460"/>
      <c r="D1359" s="1415"/>
      <c r="E1359" s="1416"/>
      <c r="F1359" s="1461"/>
      <c r="G1359" s="203">
        <f>+SUMIF('AUX-NIV1'!I:I,Recursos!C1359,'AUX-NIV1'!Q:Q)+SUMIF('AUX-NIV2'!I:I,Recursos!C1359,'AUX-NIV2'!Q:Q)+SUMIF('AUX-NIV3'!I:I,Recursos!C1359,'AUX-NIV3'!Q:Q)</f>
        <v>0</v>
      </c>
      <c r="H1359" s="204">
        <f t="shared" si="131"/>
        <v>0</v>
      </c>
      <c r="I1359" s="366">
        <f t="shared" si="132"/>
        <v>0</v>
      </c>
      <c r="J1359" s="1418"/>
    </row>
    <row r="1360" spans="2:10">
      <c r="B1360" s="222"/>
      <c r="C1360" s="1460"/>
      <c r="D1360" s="1415"/>
      <c r="E1360" s="1416"/>
      <c r="F1360" s="1461"/>
      <c r="G1360" s="203">
        <f>+SUMIF('AUX-NIV1'!I:I,Recursos!C1360,'AUX-NIV1'!Q:Q)+SUMIF('AUX-NIV2'!I:I,Recursos!C1360,'AUX-NIV2'!Q:Q)+SUMIF('AUX-NIV3'!I:I,Recursos!C1360,'AUX-NIV3'!Q:Q)</f>
        <v>0</v>
      </c>
      <c r="H1360" s="204">
        <f t="shared" si="131"/>
        <v>0</v>
      </c>
      <c r="I1360" s="366">
        <f t="shared" si="132"/>
        <v>0</v>
      </c>
      <c r="J1360" s="1418"/>
    </row>
    <row r="1361" spans="2:10">
      <c r="B1361" s="222"/>
      <c r="C1361" s="1460"/>
      <c r="D1361" s="1415"/>
      <c r="E1361" s="1416"/>
      <c r="F1361" s="1461"/>
      <c r="G1361" s="203">
        <f>+SUMIF('AUX-NIV1'!I:I,Recursos!C1361,'AUX-NIV1'!Q:Q)+SUMIF('AUX-NIV2'!I:I,Recursos!C1361,'AUX-NIV2'!Q:Q)+SUMIF('AUX-NIV3'!I:I,Recursos!C1361,'AUX-NIV3'!Q:Q)</f>
        <v>0</v>
      </c>
      <c r="H1361" s="204">
        <f t="shared" si="131"/>
        <v>0</v>
      </c>
      <c r="I1361" s="366">
        <f t="shared" si="132"/>
        <v>0</v>
      </c>
      <c r="J1361" s="1418"/>
    </row>
    <row r="1362" spans="2:10">
      <c r="B1362" s="222"/>
      <c r="C1362" s="1460"/>
      <c r="D1362" s="1415"/>
      <c r="E1362" s="1416"/>
      <c r="F1362" s="1461"/>
      <c r="G1362" s="203">
        <f>+SUMIF('AUX-NIV1'!I:I,Recursos!C1362,'AUX-NIV1'!Q:Q)+SUMIF('AUX-NIV2'!I:I,Recursos!C1362,'AUX-NIV2'!Q:Q)+SUMIF('AUX-NIV3'!I:I,Recursos!C1362,'AUX-NIV3'!Q:Q)</f>
        <v>0</v>
      </c>
      <c r="H1362" s="204">
        <f t="shared" si="131"/>
        <v>0</v>
      </c>
      <c r="I1362" s="366">
        <f t="shared" si="132"/>
        <v>0</v>
      </c>
      <c r="J1362" s="1418"/>
    </row>
    <row r="1363" spans="2:10">
      <c r="B1363" s="222"/>
      <c r="C1363" s="1460"/>
      <c r="D1363" s="1415"/>
      <c r="E1363" s="1416"/>
      <c r="F1363" s="1461"/>
      <c r="G1363" s="203">
        <f>+SUMIF('AUX-NIV1'!I:I,Recursos!C1363,'AUX-NIV1'!Q:Q)+SUMIF('AUX-NIV2'!I:I,Recursos!C1363,'AUX-NIV2'!Q:Q)+SUMIF('AUX-NIV3'!I:I,Recursos!C1363,'AUX-NIV3'!Q:Q)</f>
        <v>0</v>
      </c>
      <c r="H1363" s="204">
        <f t="shared" si="131"/>
        <v>0</v>
      </c>
      <c r="I1363" s="366">
        <f t="shared" si="132"/>
        <v>0</v>
      </c>
      <c r="J1363" s="1418"/>
    </row>
    <row r="1364" spans="2:10">
      <c r="B1364" s="222"/>
      <c r="C1364" s="1460"/>
      <c r="D1364" s="1415"/>
      <c r="E1364" s="1416"/>
      <c r="F1364" s="1461"/>
      <c r="G1364" s="203">
        <f>+SUMIF('AUX-NIV1'!I:I,Recursos!C1364,'AUX-NIV1'!Q:Q)+SUMIF('AUX-NIV2'!I:I,Recursos!C1364,'AUX-NIV2'!Q:Q)+SUMIF('AUX-NIV3'!I:I,Recursos!C1364,'AUX-NIV3'!Q:Q)</f>
        <v>0</v>
      </c>
      <c r="H1364" s="204">
        <f t="shared" si="131"/>
        <v>0</v>
      </c>
      <c r="I1364" s="366">
        <f t="shared" si="132"/>
        <v>0</v>
      </c>
      <c r="J1364" s="1418"/>
    </row>
    <row r="1365" spans="2:10">
      <c r="B1365" s="222"/>
      <c r="C1365" s="1460"/>
      <c r="D1365" s="1415"/>
      <c r="E1365" s="1416"/>
      <c r="F1365" s="1461"/>
      <c r="G1365" s="203">
        <f>+SUMIF('AUX-NIV1'!I:I,Recursos!C1365,'AUX-NIV1'!Q:Q)+SUMIF('AUX-NIV2'!I:I,Recursos!C1365,'AUX-NIV2'!Q:Q)+SUMIF('AUX-NIV3'!I:I,Recursos!C1365,'AUX-NIV3'!Q:Q)</f>
        <v>0</v>
      </c>
      <c r="H1365" s="204">
        <f t="shared" si="131"/>
        <v>0</v>
      </c>
      <c r="I1365" s="366">
        <f t="shared" si="132"/>
        <v>0</v>
      </c>
      <c r="J1365" s="1418"/>
    </row>
    <row r="1366" spans="2:10">
      <c r="B1366" s="222"/>
      <c r="C1366" s="1460"/>
      <c r="D1366" s="1415"/>
      <c r="E1366" s="1416"/>
      <c r="F1366" s="1461"/>
      <c r="G1366" s="203">
        <f>+SUMIF('AUX-NIV1'!I:I,Recursos!C1366,'AUX-NIV1'!Q:Q)+SUMIF('AUX-NIV2'!I:I,Recursos!C1366,'AUX-NIV2'!Q:Q)+SUMIF('AUX-NIV3'!I:I,Recursos!C1366,'AUX-NIV3'!Q:Q)</f>
        <v>0</v>
      </c>
      <c r="H1366" s="204">
        <f t="shared" si="131"/>
        <v>0</v>
      </c>
      <c r="I1366" s="366">
        <f t="shared" si="132"/>
        <v>0</v>
      </c>
      <c r="J1366" s="1418"/>
    </row>
    <row r="1367" spans="2:10">
      <c r="B1367" s="222"/>
      <c r="C1367" s="1460"/>
      <c r="D1367" s="1415"/>
      <c r="E1367" s="1416"/>
      <c r="F1367" s="1461"/>
      <c r="G1367" s="203">
        <f>+SUMIF('AUX-NIV1'!I:I,Recursos!C1367,'AUX-NIV1'!Q:Q)+SUMIF('AUX-NIV2'!I:I,Recursos!C1367,'AUX-NIV2'!Q:Q)+SUMIF('AUX-NIV3'!I:I,Recursos!C1367,'AUX-NIV3'!Q:Q)</f>
        <v>0</v>
      </c>
      <c r="H1367" s="204">
        <f t="shared" si="131"/>
        <v>0</v>
      </c>
      <c r="I1367" s="366">
        <f t="shared" si="132"/>
        <v>0</v>
      </c>
      <c r="J1367" s="1418"/>
    </row>
    <row r="1368" spans="2:10">
      <c r="B1368" s="222"/>
      <c r="C1368" s="1460"/>
      <c r="D1368" s="1415"/>
      <c r="E1368" s="1416"/>
      <c r="F1368" s="1461"/>
      <c r="G1368" s="203">
        <f>+SUMIF('AUX-NIV1'!I:I,Recursos!C1368,'AUX-NIV1'!Q:Q)+SUMIF('AUX-NIV2'!I:I,Recursos!C1368,'AUX-NIV2'!Q:Q)+SUMIF('AUX-NIV3'!I:I,Recursos!C1368,'AUX-NIV3'!Q:Q)</f>
        <v>0</v>
      </c>
      <c r="H1368" s="204">
        <f t="shared" si="131"/>
        <v>0</v>
      </c>
      <c r="I1368" s="366">
        <f t="shared" si="132"/>
        <v>0</v>
      </c>
      <c r="J1368" s="1418"/>
    </row>
    <row r="1369" spans="2:10">
      <c r="B1369" s="222"/>
      <c r="C1369" s="1460"/>
      <c r="D1369" s="1415"/>
      <c r="E1369" s="1416"/>
      <c r="F1369" s="1461"/>
      <c r="G1369" s="203">
        <f>+SUMIF('AUX-NIV1'!I:I,Recursos!C1369,'AUX-NIV1'!Q:Q)+SUMIF('AUX-NIV2'!I:I,Recursos!C1369,'AUX-NIV2'!Q:Q)+SUMIF('AUX-NIV3'!I:I,Recursos!C1369,'AUX-NIV3'!Q:Q)</f>
        <v>0</v>
      </c>
      <c r="H1369" s="204">
        <f t="shared" si="131"/>
        <v>0</v>
      </c>
      <c r="I1369" s="366">
        <f t="shared" si="132"/>
        <v>0</v>
      </c>
      <c r="J1369" s="1418"/>
    </row>
    <row r="1370" spans="2:10">
      <c r="B1370" s="222"/>
      <c r="C1370" s="1460"/>
      <c r="D1370" s="1415"/>
      <c r="E1370" s="1416"/>
      <c r="F1370" s="1461"/>
      <c r="G1370" s="203">
        <f>+SUMIF('AUX-NIV1'!I:I,Recursos!C1370,'AUX-NIV1'!Q:Q)+SUMIF('AUX-NIV2'!I:I,Recursos!C1370,'AUX-NIV2'!Q:Q)+SUMIF('AUX-NIV3'!I:I,Recursos!C1370,'AUX-NIV3'!Q:Q)</f>
        <v>0</v>
      </c>
      <c r="H1370" s="204">
        <f t="shared" si="131"/>
        <v>0</v>
      </c>
      <c r="I1370" s="366">
        <f t="shared" si="132"/>
        <v>0</v>
      </c>
      <c r="J1370" s="1418"/>
    </row>
    <row r="1371" spans="2:10">
      <c r="B1371" s="222"/>
      <c r="C1371" s="1460"/>
      <c r="D1371" s="1415"/>
      <c r="E1371" s="1416"/>
      <c r="F1371" s="1461"/>
      <c r="G1371" s="203">
        <f>+SUMIF('AUX-NIV1'!I:I,Recursos!C1371,'AUX-NIV1'!Q:Q)+SUMIF('AUX-NIV2'!I:I,Recursos!C1371,'AUX-NIV2'!Q:Q)+SUMIF('AUX-NIV3'!I:I,Recursos!C1371,'AUX-NIV3'!Q:Q)</f>
        <v>0</v>
      </c>
      <c r="H1371" s="204">
        <f t="shared" si="131"/>
        <v>0</v>
      </c>
      <c r="I1371" s="366">
        <f t="shared" si="132"/>
        <v>0</v>
      </c>
      <c r="J1371" s="1418"/>
    </row>
    <row r="1372" spans="2:10">
      <c r="B1372" s="222"/>
      <c r="C1372" s="1460"/>
      <c r="D1372" s="1415"/>
      <c r="E1372" s="1416"/>
      <c r="F1372" s="1461"/>
      <c r="G1372" s="203">
        <f>+SUMIF('AUX-NIV1'!I:I,Recursos!C1372,'AUX-NIV1'!Q:Q)+SUMIF('AUX-NIV2'!I:I,Recursos!C1372,'AUX-NIV2'!Q:Q)+SUMIF('AUX-NIV3'!I:I,Recursos!C1372,'AUX-NIV3'!Q:Q)</f>
        <v>0</v>
      </c>
      <c r="H1372" s="204">
        <f t="shared" si="131"/>
        <v>0</v>
      </c>
      <c r="I1372" s="366">
        <f t="shared" si="132"/>
        <v>0</v>
      </c>
      <c r="J1372" s="1418"/>
    </row>
    <row r="1373" spans="2:10">
      <c r="B1373" s="222"/>
      <c r="C1373" s="1460"/>
      <c r="D1373" s="1415"/>
      <c r="E1373" s="1416"/>
      <c r="F1373" s="1461"/>
      <c r="G1373" s="203">
        <f>+SUMIF('AUX-NIV1'!I:I,Recursos!C1373,'AUX-NIV1'!Q:Q)+SUMIF('AUX-NIV2'!I:I,Recursos!C1373,'AUX-NIV2'!Q:Q)+SUMIF('AUX-NIV3'!I:I,Recursos!C1373,'AUX-NIV3'!Q:Q)</f>
        <v>0</v>
      </c>
      <c r="H1373" s="204">
        <f t="shared" si="131"/>
        <v>0</v>
      </c>
      <c r="I1373" s="366">
        <f t="shared" si="132"/>
        <v>0</v>
      </c>
      <c r="J1373" s="1418"/>
    </row>
    <row r="1374" spans="2:10">
      <c r="B1374" s="222"/>
      <c r="C1374" s="1460"/>
      <c r="D1374" s="1415"/>
      <c r="E1374" s="1416"/>
      <c r="F1374" s="1461"/>
      <c r="G1374" s="203">
        <f>+SUMIF('AUX-NIV1'!I:I,Recursos!C1374,'AUX-NIV1'!Q:Q)+SUMIF('AUX-NIV2'!I:I,Recursos!C1374,'AUX-NIV2'!Q:Q)+SUMIF('AUX-NIV3'!I:I,Recursos!C1374,'AUX-NIV3'!Q:Q)</f>
        <v>0</v>
      </c>
      <c r="H1374" s="204">
        <f t="shared" si="131"/>
        <v>0</v>
      </c>
      <c r="I1374" s="366">
        <f t="shared" si="132"/>
        <v>0</v>
      </c>
      <c r="J1374" s="1418"/>
    </row>
    <row r="1375" spans="2:10">
      <c r="B1375" s="222"/>
      <c r="C1375" s="1460"/>
      <c r="D1375" s="1415"/>
      <c r="E1375" s="1416"/>
      <c r="F1375" s="1461"/>
      <c r="G1375" s="203">
        <f>+SUMIF('AUX-NIV1'!I:I,Recursos!C1375,'AUX-NIV1'!Q:Q)+SUMIF('AUX-NIV2'!I:I,Recursos!C1375,'AUX-NIV2'!Q:Q)+SUMIF('AUX-NIV3'!I:I,Recursos!C1375,'AUX-NIV3'!Q:Q)</f>
        <v>0</v>
      </c>
      <c r="H1375" s="204">
        <f t="shared" si="131"/>
        <v>0</v>
      </c>
      <c r="I1375" s="366">
        <f t="shared" si="132"/>
        <v>0</v>
      </c>
      <c r="J1375" s="1418"/>
    </row>
    <row r="1376" spans="2:10">
      <c r="B1376" s="222"/>
      <c r="C1376" s="1460"/>
      <c r="D1376" s="1415"/>
      <c r="E1376" s="1416"/>
      <c r="F1376" s="1461"/>
      <c r="G1376" s="203">
        <f>+SUMIF('AUX-NIV1'!I:I,Recursos!C1376,'AUX-NIV1'!Q:Q)+SUMIF('AUX-NIV2'!I:I,Recursos!C1376,'AUX-NIV2'!Q:Q)+SUMIF('AUX-NIV3'!I:I,Recursos!C1376,'AUX-NIV3'!Q:Q)</f>
        <v>0</v>
      </c>
      <c r="H1376" s="204">
        <f t="shared" si="131"/>
        <v>0</v>
      </c>
      <c r="I1376" s="366">
        <f t="shared" si="132"/>
        <v>0</v>
      </c>
      <c r="J1376" s="1418"/>
    </row>
    <row r="1377" spans="2:10">
      <c r="B1377" s="222"/>
      <c r="C1377" s="1460"/>
      <c r="D1377" s="1415"/>
      <c r="E1377" s="1416"/>
      <c r="F1377" s="1461"/>
      <c r="G1377" s="203">
        <f>+SUMIF('AUX-NIV1'!I:I,Recursos!C1377,'AUX-NIV1'!Q:Q)+SUMIF('AUX-NIV2'!I:I,Recursos!C1377,'AUX-NIV2'!Q:Q)+SUMIF('AUX-NIV3'!I:I,Recursos!C1377,'AUX-NIV3'!Q:Q)</f>
        <v>0</v>
      </c>
      <c r="H1377" s="204">
        <f t="shared" si="131"/>
        <v>0</v>
      </c>
      <c r="I1377" s="366">
        <f t="shared" si="132"/>
        <v>0</v>
      </c>
      <c r="J1377" s="1418"/>
    </row>
    <row r="1378" spans="2:10">
      <c r="B1378" s="222"/>
      <c r="C1378" s="1460"/>
      <c r="D1378" s="1415"/>
      <c r="E1378" s="1416"/>
      <c r="F1378" s="1461"/>
      <c r="G1378" s="203">
        <f>+SUMIF('AUX-NIV1'!I:I,Recursos!C1378,'AUX-NIV1'!Q:Q)+SUMIF('AUX-NIV2'!I:I,Recursos!C1378,'AUX-NIV2'!Q:Q)+SUMIF('AUX-NIV3'!I:I,Recursos!C1378,'AUX-NIV3'!Q:Q)</f>
        <v>0</v>
      </c>
      <c r="H1378" s="204">
        <f t="shared" si="131"/>
        <v>0</v>
      </c>
      <c r="I1378" s="366">
        <f t="shared" si="132"/>
        <v>0</v>
      </c>
      <c r="J1378" s="1418"/>
    </row>
    <row r="1379" spans="2:10">
      <c r="B1379" s="222"/>
      <c r="C1379" s="1460"/>
      <c r="D1379" s="1415"/>
      <c r="E1379" s="1416"/>
      <c r="F1379" s="1461"/>
      <c r="G1379" s="203">
        <f>+SUMIF('AUX-NIV1'!I:I,Recursos!C1379,'AUX-NIV1'!Q:Q)+SUMIF('AUX-NIV2'!I:I,Recursos!C1379,'AUX-NIV2'!Q:Q)+SUMIF('AUX-NIV3'!I:I,Recursos!C1379,'AUX-NIV3'!Q:Q)</f>
        <v>0</v>
      </c>
      <c r="H1379" s="204">
        <f t="shared" si="131"/>
        <v>0</v>
      </c>
      <c r="I1379" s="366">
        <f t="shared" si="132"/>
        <v>0</v>
      </c>
      <c r="J1379" s="1418"/>
    </row>
    <row r="1380" spans="2:10">
      <c r="B1380" s="222"/>
      <c r="C1380" s="1460"/>
      <c r="D1380" s="1415"/>
      <c r="E1380" s="1416"/>
      <c r="F1380" s="1461"/>
      <c r="G1380" s="203">
        <f>+SUMIF('AUX-NIV1'!I:I,Recursos!C1380,'AUX-NIV1'!Q:Q)+SUMIF('AUX-NIV2'!I:I,Recursos!C1380,'AUX-NIV2'!Q:Q)+SUMIF('AUX-NIV3'!I:I,Recursos!C1380,'AUX-NIV3'!Q:Q)</f>
        <v>0</v>
      </c>
      <c r="H1380" s="204">
        <f t="shared" si="131"/>
        <v>0</v>
      </c>
      <c r="I1380" s="366">
        <f t="shared" si="132"/>
        <v>0</v>
      </c>
      <c r="J1380" s="1418"/>
    </row>
    <row r="1381" spans="2:10">
      <c r="B1381" s="222"/>
      <c r="C1381" s="1460"/>
      <c r="D1381" s="1415"/>
      <c r="E1381" s="1416"/>
      <c r="F1381" s="1461"/>
      <c r="G1381" s="203">
        <f>+SUMIF('AUX-NIV1'!I:I,Recursos!C1381,'AUX-NIV1'!Q:Q)+SUMIF('AUX-NIV2'!I:I,Recursos!C1381,'AUX-NIV2'!Q:Q)+SUMIF('AUX-NIV3'!I:I,Recursos!C1381,'AUX-NIV3'!Q:Q)</f>
        <v>0</v>
      </c>
      <c r="H1381" s="204">
        <f t="shared" si="131"/>
        <v>0</v>
      </c>
      <c r="I1381" s="366">
        <f t="shared" si="132"/>
        <v>0</v>
      </c>
      <c r="J1381" s="1418"/>
    </row>
    <row r="1382" spans="2:10">
      <c r="B1382" s="222"/>
      <c r="C1382" s="1460"/>
      <c r="D1382" s="1415"/>
      <c r="E1382" s="1416"/>
      <c r="F1382" s="1461"/>
      <c r="G1382" s="203">
        <f>+SUMIF('AUX-NIV1'!I:I,Recursos!C1382,'AUX-NIV1'!Q:Q)+SUMIF('AUX-NIV2'!I:I,Recursos!C1382,'AUX-NIV2'!Q:Q)+SUMIF('AUX-NIV3'!I:I,Recursos!C1382,'AUX-NIV3'!Q:Q)</f>
        <v>0</v>
      </c>
      <c r="H1382" s="204">
        <f t="shared" si="131"/>
        <v>0</v>
      </c>
      <c r="I1382" s="366">
        <f t="shared" si="132"/>
        <v>0</v>
      </c>
      <c r="J1382" s="1418"/>
    </row>
    <row r="1383" spans="2:10">
      <c r="B1383" s="222"/>
      <c r="C1383" s="1460"/>
      <c r="D1383" s="1415"/>
      <c r="E1383" s="1416"/>
      <c r="F1383" s="1461"/>
      <c r="G1383" s="203">
        <f>+SUMIF('AUX-NIV1'!I:I,Recursos!C1383,'AUX-NIV1'!Q:Q)+SUMIF('AUX-NIV2'!I:I,Recursos!C1383,'AUX-NIV2'!Q:Q)+SUMIF('AUX-NIV3'!I:I,Recursos!C1383,'AUX-NIV3'!Q:Q)</f>
        <v>0</v>
      </c>
      <c r="H1383" s="204">
        <f t="shared" si="131"/>
        <v>0</v>
      </c>
      <c r="I1383" s="366">
        <f t="shared" si="132"/>
        <v>0</v>
      </c>
      <c r="J1383" s="1418"/>
    </row>
    <row r="1384" spans="2:10">
      <c r="B1384" s="222"/>
      <c r="C1384" s="1460"/>
      <c r="D1384" s="1415"/>
      <c r="E1384" s="1416"/>
      <c r="F1384" s="1461"/>
      <c r="G1384" s="203">
        <f>+SUMIF('AUX-NIV1'!I:I,Recursos!C1384,'AUX-NIV1'!Q:Q)+SUMIF('AUX-NIV2'!I:I,Recursos!C1384,'AUX-NIV2'!Q:Q)+SUMIF('AUX-NIV3'!I:I,Recursos!C1384,'AUX-NIV3'!Q:Q)</f>
        <v>0</v>
      </c>
      <c r="H1384" s="204">
        <f t="shared" si="131"/>
        <v>0</v>
      </c>
      <c r="I1384" s="366">
        <f t="shared" si="132"/>
        <v>0</v>
      </c>
      <c r="J1384" s="1418"/>
    </row>
    <row r="1385" spans="2:10">
      <c r="B1385" s="222"/>
      <c r="C1385" s="1460"/>
      <c r="D1385" s="1415"/>
      <c r="E1385" s="1416"/>
      <c r="F1385" s="1461"/>
      <c r="G1385" s="203">
        <f>+SUMIF('AUX-NIV1'!I:I,Recursos!C1385,'AUX-NIV1'!Q:Q)+SUMIF('AUX-NIV2'!I:I,Recursos!C1385,'AUX-NIV2'!Q:Q)+SUMIF('AUX-NIV3'!I:I,Recursos!C1385,'AUX-NIV3'!Q:Q)</f>
        <v>0</v>
      </c>
      <c r="H1385" s="204">
        <f t="shared" si="131"/>
        <v>0</v>
      </c>
      <c r="I1385" s="366">
        <f t="shared" si="132"/>
        <v>0</v>
      </c>
      <c r="J1385" s="1418"/>
    </row>
    <row r="1386" spans="2:10">
      <c r="B1386" s="222"/>
      <c r="C1386" s="1460"/>
      <c r="D1386" s="1415"/>
      <c r="E1386" s="1416"/>
      <c r="F1386" s="1461"/>
      <c r="G1386" s="203">
        <f>+SUMIF('AUX-NIV1'!I:I,Recursos!C1386,'AUX-NIV1'!Q:Q)+SUMIF('AUX-NIV2'!I:I,Recursos!C1386,'AUX-NIV2'!Q:Q)+SUMIF('AUX-NIV3'!I:I,Recursos!C1386,'AUX-NIV3'!Q:Q)</f>
        <v>0</v>
      </c>
      <c r="H1386" s="204">
        <f t="shared" si="131"/>
        <v>0</v>
      </c>
      <c r="I1386" s="366">
        <f t="shared" si="132"/>
        <v>0</v>
      </c>
      <c r="J1386" s="1418"/>
    </row>
    <row r="1387" spans="2:10">
      <c r="B1387" s="222"/>
      <c r="C1387" s="1460"/>
      <c r="D1387" s="1415"/>
      <c r="E1387" s="1416"/>
      <c r="F1387" s="1461"/>
      <c r="G1387" s="203">
        <f>+SUMIF('AUX-NIV1'!I:I,Recursos!C1387,'AUX-NIV1'!Q:Q)+SUMIF('AUX-NIV2'!I:I,Recursos!C1387,'AUX-NIV2'!Q:Q)+SUMIF('AUX-NIV3'!I:I,Recursos!C1387,'AUX-NIV3'!Q:Q)</f>
        <v>0</v>
      </c>
      <c r="H1387" s="204">
        <f t="shared" si="131"/>
        <v>0</v>
      </c>
      <c r="I1387" s="366">
        <f t="shared" si="132"/>
        <v>0</v>
      </c>
      <c r="J1387" s="1418"/>
    </row>
    <row r="1388" spans="2:10">
      <c r="B1388" s="222"/>
      <c r="C1388" s="1460"/>
      <c r="D1388" s="1415"/>
      <c r="E1388" s="1416"/>
      <c r="F1388" s="1461"/>
      <c r="G1388" s="203">
        <f>+SUMIF('AUX-NIV1'!I:I,Recursos!C1388,'AUX-NIV1'!Q:Q)+SUMIF('AUX-NIV2'!I:I,Recursos!C1388,'AUX-NIV2'!Q:Q)+SUMIF('AUX-NIV3'!I:I,Recursos!C1388,'AUX-NIV3'!Q:Q)</f>
        <v>0</v>
      </c>
      <c r="H1388" s="204">
        <f t="shared" si="131"/>
        <v>0</v>
      </c>
      <c r="I1388" s="366">
        <f t="shared" si="132"/>
        <v>0</v>
      </c>
      <c r="J1388" s="1418"/>
    </row>
    <row r="1389" spans="2:10">
      <c r="B1389" s="222"/>
      <c r="C1389" s="1460"/>
      <c r="D1389" s="1415"/>
      <c r="E1389" s="1416"/>
      <c r="F1389" s="1461"/>
      <c r="G1389" s="203">
        <f>+SUMIF('AUX-NIV1'!I:I,Recursos!C1389,'AUX-NIV1'!Q:Q)+SUMIF('AUX-NIV2'!I:I,Recursos!C1389,'AUX-NIV2'!Q:Q)+SUMIF('AUX-NIV3'!I:I,Recursos!C1389,'AUX-NIV3'!Q:Q)</f>
        <v>0</v>
      </c>
      <c r="H1389" s="204">
        <f t="shared" si="131"/>
        <v>0</v>
      </c>
      <c r="I1389" s="366">
        <f t="shared" si="132"/>
        <v>0</v>
      </c>
      <c r="J1389" s="1418"/>
    </row>
    <row r="1390" spans="2:10">
      <c r="B1390" s="222"/>
      <c r="C1390" s="1460"/>
      <c r="D1390" s="1415"/>
      <c r="E1390" s="1416"/>
      <c r="F1390" s="1461"/>
      <c r="G1390" s="203">
        <f>+SUMIF('AUX-NIV1'!I:I,Recursos!C1390,'AUX-NIV1'!Q:Q)+SUMIF('AUX-NIV2'!I:I,Recursos!C1390,'AUX-NIV2'!Q:Q)+SUMIF('AUX-NIV3'!I:I,Recursos!C1390,'AUX-NIV3'!Q:Q)</f>
        <v>0</v>
      </c>
      <c r="H1390" s="204">
        <f t="shared" si="131"/>
        <v>0</v>
      </c>
      <c r="I1390" s="366">
        <f t="shared" si="132"/>
        <v>0</v>
      </c>
      <c r="J1390" s="1418"/>
    </row>
    <row r="1391" spans="2:10">
      <c r="B1391" s="222"/>
      <c r="C1391" s="1460"/>
      <c r="D1391" s="1415"/>
      <c r="E1391" s="1416"/>
      <c r="F1391" s="1461"/>
      <c r="G1391" s="203">
        <f>+SUMIF('AUX-NIV1'!I:I,Recursos!C1391,'AUX-NIV1'!Q:Q)+SUMIF('AUX-NIV2'!I:I,Recursos!C1391,'AUX-NIV2'!Q:Q)+SUMIF('AUX-NIV3'!I:I,Recursos!C1391,'AUX-NIV3'!Q:Q)</f>
        <v>0</v>
      </c>
      <c r="H1391" s="204">
        <f t="shared" si="131"/>
        <v>0</v>
      </c>
      <c r="I1391" s="366">
        <f t="shared" si="132"/>
        <v>0</v>
      </c>
      <c r="J1391" s="1418"/>
    </row>
    <row r="1392" spans="2:10">
      <c r="B1392" s="222"/>
      <c r="C1392" s="1460"/>
      <c r="D1392" s="1415"/>
      <c r="E1392" s="1416"/>
      <c r="F1392" s="1461"/>
      <c r="G1392" s="203">
        <f>+SUMIF('AUX-NIV1'!I:I,Recursos!C1392,'AUX-NIV1'!Q:Q)+SUMIF('AUX-NIV2'!I:I,Recursos!C1392,'AUX-NIV2'!Q:Q)+SUMIF('AUX-NIV3'!I:I,Recursos!C1392,'AUX-NIV3'!Q:Q)</f>
        <v>0</v>
      </c>
      <c r="H1392" s="204">
        <f t="shared" si="131"/>
        <v>0</v>
      </c>
      <c r="I1392" s="366">
        <f t="shared" si="132"/>
        <v>0</v>
      </c>
      <c r="J1392" s="1418"/>
    </row>
    <row r="1393" spans="2:10">
      <c r="B1393" s="222"/>
      <c r="C1393" s="1460"/>
      <c r="D1393" s="1415"/>
      <c r="E1393" s="1416"/>
      <c r="F1393" s="1461"/>
      <c r="G1393" s="203">
        <f>+SUMIF('AUX-NIV1'!I:I,Recursos!C1393,'AUX-NIV1'!Q:Q)+SUMIF('AUX-NIV2'!I:I,Recursos!C1393,'AUX-NIV2'!Q:Q)+SUMIF('AUX-NIV3'!I:I,Recursos!C1393,'AUX-NIV3'!Q:Q)</f>
        <v>0</v>
      </c>
      <c r="H1393" s="204">
        <f t="shared" si="131"/>
        <v>0</v>
      </c>
      <c r="I1393" s="366">
        <f t="shared" si="132"/>
        <v>0</v>
      </c>
      <c r="J1393" s="1418"/>
    </row>
    <row r="1394" spans="2:10">
      <c r="B1394" s="222"/>
      <c r="C1394" s="1460"/>
      <c r="D1394" s="1415"/>
      <c r="E1394" s="1416"/>
      <c r="F1394" s="1461"/>
      <c r="G1394" s="203">
        <f>+SUMIF('AUX-NIV1'!I:I,Recursos!C1394,'AUX-NIV1'!Q:Q)+SUMIF('AUX-NIV2'!I:I,Recursos!C1394,'AUX-NIV2'!Q:Q)+SUMIF('AUX-NIV3'!I:I,Recursos!C1394,'AUX-NIV3'!Q:Q)</f>
        <v>0</v>
      </c>
      <c r="H1394" s="204">
        <f t="shared" si="131"/>
        <v>0</v>
      </c>
      <c r="I1394" s="366">
        <f t="shared" si="132"/>
        <v>0</v>
      </c>
      <c r="J1394" s="1418"/>
    </row>
    <row r="1395" spans="2:10">
      <c r="B1395" s="222"/>
      <c r="C1395" s="1460"/>
      <c r="D1395" s="1415"/>
      <c r="E1395" s="1416"/>
      <c r="F1395" s="1461"/>
      <c r="G1395" s="203">
        <f>+SUMIF('AUX-NIV1'!I:I,Recursos!C1395,'AUX-NIV1'!Q:Q)+SUMIF('AUX-NIV2'!I:I,Recursos!C1395,'AUX-NIV2'!Q:Q)+SUMIF('AUX-NIV3'!I:I,Recursos!C1395,'AUX-NIV3'!Q:Q)</f>
        <v>0</v>
      </c>
      <c r="H1395" s="204">
        <f t="shared" si="131"/>
        <v>0</v>
      </c>
      <c r="I1395" s="366">
        <f t="shared" si="132"/>
        <v>0</v>
      </c>
      <c r="J1395" s="1418"/>
    </row>
    <row r="1396" spans="2:10">
      <c r="B1396" s="222"/>
      <c r="C1396" s="1460"/>
      <c r="D1396" s="1415"/>
      <c r="E1396" s="1416"/>
      <c r="F1396" s="1461"/>
      <c r="G1396" s="203">
        <f>+SUMIF('AUX-NIV1'!I:I,Recursos!C1396,'AUX-NIV1'!Q:Q)+SUMIF('AUX-NIV2'!I:I,Recursos!C1396,'AUX-NIV2'!Q:Q)+SUMIF('AUX-NIV3'!I:I,Recursos!C1396,'AUX-NIV3'!Q:Q)</f>
        <v>0</v>
      </c>
      <c r="H1396" s="204">
        <f t="shared" si="131"/>
        <v>0</v>
      </c>
      <c r="I1396" s="366">
        <f t="shared" si="132"/>
        <v>0</v>
      </c>
      <c r="J1396" s="1418"/>
    </row>
    <row r="1397" spans="2:10">
      <c r="B1397" s="222"/>
      <c r="C1397" s="1460"/>
      <c r="D1397" s="1415"/>
      <c r="E1397" s="1416"/>
      <c r="F1397" s="1461"/>
      <c r="G1397" s="203">
        <f>+SUMIF('AUX-NIV1'!I:I,Recursos!C1397,'AUX-NIV1'!Q:Q)+SUMIF('AUX-NIV2'!I:I,Recursos!C1397,'AUX-NIV2'!Q:Q)+SUMIF('AUX-NIV3'!I:I,Recursos!C1397,'AUX-NIV3'!Q:Q)</f>
        <v>0</v>
      </c>
      <c r="H1397" s="204">
        <f t="shared" si="131"/>
        <v>0</v>
      </c>
      <c r="I1397" s="366">
        <f t="shared" si="132"/>
        <v>0</v>
      </c>
      <c r="J1397" s="1418"/>
    </row>
    <row r="1398" spans="2:10">
      <c r="B1398" s="222"/>
      <c r="C1398" s="1460"/>
      <c r="D1398" s="1415"/>
      <c r="E1398" s="1416"/>
      <c r="F1398" s="1461"/>
      <c r="G1398" s="203">
        <f>+SUMIF('AUX-NIV1'!I:I,Recursos!C1398,'AUX-NIV1'!Q:Q)+SUMIF('AUX-NIV2'!I:I,Recursos!C1398,'AUX-NIV2'!Q:Q)+SUMIF('AUX-NIV3'!I:I,Recursos!C1398,'AUX-NIV3'!Q:Q)</f>
        <v>0</v>
      </c>
      <c r="H1398" s="204">
        <f t="shared" si="131"/>
        <v>0</v>
      </c>
      <c r="I1398" s="366">
        <f t="shared" si="132"/>
        <v>0</v>
      </c>
      <c r="J1398" s="1418"/>
    </row>
    <row r="1399" spans="2:10">
      <c r="B1399" s="222"/>
      <c r="C1399" s="1460"/>
      <c r="D1399" s="1415"/>
      <c r="E1399" s="1416"/>
      <c r="F1399" s="1461"/>
      <c r="G1399" s="203">
        <f>+SUMIF('AUX-NIV1'!I:I,Recursos!C1399,'AUX-NIV1'!Q:Q)+SUMIF('AUX-NIV2'!I:I,Recursos!C1399,'AUX-NIV2'!Q:Q)+SUMIF('AUX-NIV3'!I:I,Recursos!C1399,'AUX-NIV3'!Q:Q)</f>
        <v>0</v>
      </c>
      <c r="H1399" s="204">
        <f t="shared" si="131"/>
        <v>0</v>
      </c>
      <c r="I1399" s="366">
        <f t="shared" si="132"/>
        <v>0</v>
      </c>
      <c r="J1399" s="1418"/>
    </row>
    <row r="1400" spans="2:10">
      <c r="B1400" s="222"/>
      <c r="C1400" s="1460"/>
      <c r="D1400" s="1415"/>
      <c r="E1400" s="1416"/>
      <c r="F1400" s="1461"/>
      <c r="G1400" s="203">
        <f>+SUMIF('AUX-NIV1'!I:I,Recursos!C1400,'AUX-NIV1'!Q:Q)+SUMIF('AUX-NIV2'!I:I,Recursos!C1400,'AUX-NIV2'!Q:Q)+SUMIF('AUX-NIV3'!I:I,Recursos!C1400,'AUX-NIV3'!Q:Q)</f>
        <v>0</v>
      </c>
      <c r="H1400" s="204">
        <f t="shared" si="131"/>
        <v>0</v>
      </c>
      <c r="I1400" s="366">
        <f t="shared" si="132"/>
        <v>0</v>
      </c>
      <c r="J1400" s="1418"/>
    </row>
    <row r="1401" spans="2:10">
      <c r="B1401" s="222"/>
      <c r="C1401" s="1460"/>
      <c r="D1401" s="1415"/>
      <c r="E1401" s="1416"/>
      <c r="F1401" s="1461"/>
      <c r="G1401" s="203">
        <f>+SUMIF('AUX-NIV1'!I:I,Recursos!C1401,'AUX-NIV1'!Q:Q)+SUMIF('AUX-NIV2'!I:I,Recursos!C1401,'AUX-NIV2'!Q:Q)+SUMIF('AUX-NIV3'!I:I,Recursos!C1401,'AUX-NIV3'!Q:Q)</f>
        <v>0</v>
      </c>
      <c r="H1401" s="204">
        <f t="shared" si="131"/>
        <v>0</v>
      </c>
      <c r="I1401" s="366">
        <f t="shared" si="132"/>
        <v>0</v>
      </c>
      <c r="J1401" s="1418"/>
    </row>
    <row r="1402" spans="2:10">
      <c r="B1402" s="222"/>
      <c r="C1402" s="1460"/>
      <c r="D1402" s="1415"/>
      <c r="E1402" s="1416"/>
      <c r="F1402" s="1461"/>
      <c r="G1402" s="203">
        <f>+SUMIF('AUX-NIV1'!I:I,Recursos!C1402,'AUX-NIV1'!Q:Q)+SUMIF('AUX-NIV2'!I:I,Recursos!C1402,'AUX-NIV2'!Q:Q)+SUMIF('AUX-NIV3'!I:I,Recursos!C1402,'AUX-NIV3'!Q:Q)</f>
        <v>0</v>
      </c>
      <c r="H1402" s="204">
        <f t="shared" si="131"/>
        <v>0</v>
      </c>
      <c r="I1402" s="366">
        <f t="shared" si="132"/>
        <v>0</v>
      </c>
      <c r="J1402" s="1418"/>
    </row>
    <row r="1403" spans="2:10">
      <c r="B1403" s="222"/>
      <c r="C1403" s="1460"/>
      <c r="D1403" s="1415"/>
      <c r="E1403" s="1416"/>
      <c r="F1403" s="1461"/>
      <c r="G1403" s="203">
        <f>+SUMIF('AUX-NIV1'!I:I,Recursos!C1403,'AUX-NIV1'!Q:Q)+SUMIF('AUX-NIV2'!I:I,Recursos!C1403,'AUX-NIV2'!Q:Q)+SUMIF('AUX-NIV3'!I:I,Recursos!C1403,'AUX-NIV3'!Q:Q)</f>
        <v>0</v>
      </c>
      <c r="H1403" s="204">
        <f t="shared" si="131"/>
        <v>0</v>
      </c>
      <c r="I1403" s="366">
        <f t="shared" si="132"/>
        <v>0</v>
      </c>
      <c r="J1403" s="1418"/>
    </row>
    <row r="1404" spans="2:10">
      <c r="B1404" s="222"/>
      <c r="C1404" s="1460"/>
      <c r="D1404" s="1415"/>
      <c r="E1404" s="1416"/>
      <c r="F1404" s="1461"/>
      <c r="G1404" s="203">
        <f>+SUMIF('AUX-NIV1'!I:I,Recursos!C1404,'AUX-NIV1'!Q:Q)+SUMIF('AUX-NIV2'!I:I,Recursos!C1404,'AUX-NIV2'!Q:Q)+SUMIF('AUX-NIV3'!I:I,Recursos!C1404,'AUX-NIV3'!Q:Q)</f>
        <v>0</v>
      </c>
      <c r="H1404" s="204">
        <f t="shared" si="131"/>
        <v>0</v>
      </c>
      <c r="I1404" s="366">
        <f t="shared" si="132"/>
        <v>0</v>
      </c>
      <c r="J1404" s="1418"/>
    </row>
    <row r="1405" spans="2:10">
      <c r="B1405" s="222"/>
      <c r="C1405" s="1460"/>
      <c r="D1405" s="1415"/>
      <c r="E1405" s="1416"/>
      <c r="F1405" s="1461"/>
      <c r="G1405" s="203">
        <f>+SUMIF('AUX-NIV1'!I:I,Recursos!C1405,'AUX-NIV1'!Q:Q)+SUMIF('AUX-NIV2'!I:I,Recursos!C1405,'AUX-NIV2'!Q:Q)+SUMIF('AUX-NIV3'!I:I,Recursos!C1405,'AUX-NIV3'!Q:Q)</f>
        <v>0</v>
      </c>
      <c r="H1405" s="204">
        <f t="shared" si="131"/>
        <v>0</v>
      </c>
      <c r="I1405" s="366">
        <f t="shared" si="132"/>
        <v>0</v>
      </c>
      <c r="J1405" s="1418"/>
    </row>
    <row r="1406" spans="2:10">
      <c r="B1406" s="222"/>
      <c r="C1406" s="1460"/>
      <c r="D1406" s="1415"/>
      <c r="E1406" s="1416"/>
      <c r="F1406" s="1461"/>
      <c r="G1406" s="203">
        <f>+SUMIF('AUX-NIV1'!I:I,Recursos!C1406,'AUX-NIV1'!Q:Q)+SUMIF('AUX-NIV2'!I:I,Recursos!C1406,'AUX-NIV2'!Q:Q)+SUMIF('AUX-NIV3'!I:I,Recursos!C1406,'AUX-NIV3'!Q:Q)</f>
        <v>0</v>
      </c>
      <c r="H1406" s="204">
        <f t="shared" si="131"/>
        <v>0</v>
      </c>
      <c r="I1406" s="366">
        <f t="shared" si="132"/>
        <v>0</v>
      </c>
      <c r="J1406" s="1418"/>
    </row>
    <row r="1407" spans="2:10">
      <c r="B1407" s="222"/>
      <c r="C1407" s="1460"/>
      <c r="D1407" s="1415"/>
      <c r="E1407" s="1416"/>
      <c r="F1407" s="1461"/>
      <c r="G1407" s="203">
        <f>+SUMIF('AUX-NIV1'!I:I,Recursos!C1407,'AUX-NIV1'!Q:Q)+SUMIF('AUX-NIV2'!I:I,Recursos!C1407,'AUX-NIV2'!Q:Q)+SUMIF('AUX-NIV3'!I:I,Recursos!C1407,'AUX-NIV3'!Q:Q)</f>
        <v>0</v>
      </c>
      <c r="H1407" s="204">
        <f t="shared" si="131"/>
        <v>0</v>
      </c>
      <c r="I1407" s="366">
        <f t="shared" si="132"/>
        <v>0</v>
      </c>
      <c r="J1407" s="1418"/>
    </row>
    <row r="1408" spans="2:10">
      <c r="B1408" s="222"/>
      <c r="C1408" s="1460"/>
      <c r="D1408" s="1415"/>
      <c r="E1408" s="1416"/>
      <c r="F1408" s="1461"/>
      <c r="G1408" s="203">
        <f>+SUMIF('AUX-NIV1'!I:I,Recursos!C1408,'AUX-NIV1'!Q:Q)+SUMIF('AUX-NIV2'!I:I,Recursos!C1408,'AUX-NIV2'!Q:Q)+SUMIF('AUX-NIV3'!I:I,Recursos!C1408,'AUX-NIV3'!Q:Q)</f>
        <v>0</v>
      </c>
      <c r="H1408" s="204">
        <f t="shared" si="131"/>
        <v>0</v>
      </c>
      <c r="I1408" s="366">
        <f t="shared" si="132"/>
        <v>0</v>
      </c>
      <c r="J1408" s="1418"/>
    </row>
    <row r="1409" spans="2:10">
      <c r="B1409" s="222"/>
      <c r="C1409" s="1460"/>
      <c r="D1409" s="1415"/>
      <c r="E1409" s="1416"/>
      <c r="F1409" s="1461"/>
      <c r="G1409" s="203">
        <f>+SUMIF('AUX-NIV1'!I:I,Recursos!C1409,'AUX-NIV1'!Q:Q)+SUMIF('AUX-NIV2'!I:I,Recursos!C1409,'AUX-NIV2'!Q:Q)+SUMIF('AUX-NIV3'!I:I,Recursos!C1409,'AUX-NIV3'!Q:Q)</f>
        <v>0</v>
      </c>
      <c r="H1409" s="204">
        <f t="shared" si="131"/>
        <v>0</v>
      </c>
      <c r="I1409" s="366">
        <f t="shared" si="132"/>
        <v>0</v>
      </c>
      <c r="J1409" s="1418"/>
    </row>
    <row r="1410" spans="2:10">
      <c r="B1410" s="222"/>
      <c r="C1410" s="1460"/>
      <c r="D1410" s="1415"/>
      <c r="E1410" s="1416"/>
      <c r="F1410" s="1461"/>
      <c r="G1410" s="203">
        <f>+SUMIF('AUX-NIV1'!I:I,Recursos!C1410,'AUX-NIV1'!Q:Q)+SUMIF('AUX-NIV2'!I:I,Recursos!C1410,'AUX-NIV2'!Q:Q)+SUMIF('AUX-NIV3'!I:I,Recursos!C1410,'AUX-NIV3'!Q:Q)</f>
        <v>0</v>
      </c>
      <c r="H1410" s="204">
        <f t="shared" si="131"/>
        <v>0</v>
      </c>
      <c r="I1410" s="366">
        <f t="shared" si="132"/>
        <v>0</v>
      </c>
      <c r="J1410" s="1418"/>
    </row>
    <row r="1411" spans="2:10">
      <c r="B1411" s="222"/>
      <c r="C1411" s="1460"/>
      <c r="D1411" s="1415"/>
      <c r="E1411" s="1416"/>
      <c r="F1411" s="1461"/>
      <c r="G1411" s="203">
        <f>+SUMIF('AUX-NIV1'!I:I,Recursos!C1411,'AUX-NIV1'!Q:Q)+SUMIF('AUX-NIV2'!I:I,Recursos!C1411,'AUX-NIV2'!Q:Q)+SUMIF('AUX-NIV3'!I:I,Recursos!C1411,'AUX-NIV3'!Q:Q)</f>
        <v>0</v>
      </c>
      <c r="H1411" s="204">
        <f t="shared" si="131"/>
        <v>0</v>
      </c>
      <c r="I1411" s="366">
        <f t="shared" si="132"/>
        <v>0</v>
      </c>
      <c r="J1411" s="1418"/>
    </row>
    <row r="1412" spans="2:10">
      <c r="B1412" s="222"/>
      <c r="C1412" s="1460"/>
      <c r="D1412" s="1415"/>
      <c r="E1412" s="1416"/>
      <c r="F1412" s="1461"/>
      <c r="G1412" s="203">
        <f>+SUMIF('AUX-NIV1'!I:I,Recursos!C1412,'AUX-NIV1'!Q:Q)+SUMIF('AUX-NIV2'!I:I,Recursos!C1412,'AUX-NIV2'!Q:Q)+SUMIF('AUX-NIV3'!I:I,Recursos!C1412,'AUX-NIV3'!Q:Q)</f>
        <v>0</v>
      </c>
      <c r="H1412" s="204">
        <f t="shared" si="131"/>
        <v>0</v>
      </c>
      <c r="I1412" s="366">
        <f t="shared" si="132"/>
        <v>0</v>
      </c>
      <c r="J1412" s="1418"/>
    </row>
    <row r="1413" spans="2:10">
      <c r="B1413" s="222"/>
      <c r="C1413" s="1460"/>
      <c r="D1413" s="1415"/>
      <c r="E1413" s="1416"/>
      <c r="F1413" s="1461"/>
      <c r="G1413" s="203">
        <f>+SUMIF('AUX-NIV1'!I:I,Recursos!C1413,'AUX-NIV1'!Q:Q)+SUMIF('AUX-NIV2'!I:I,Recursos!C1413,'AUX-NIV2'!Q:Q)+SUMIF('AUX-NIV3'!I:I,Recursos!C1413,'AUX-NIV3'!Q:Q)</f>
        <v>0</v>
      </c>
      <c r="H1413" s="204">
        <f t="shared" si="131"/>
        <v>0</v>
      </c>
      <c r="I1413" s="366">
        <f t="shared" si="132"/>
        <v>0</v>
      </c>
      <c r="J1413" s="1418"/>
    </row>
    <row r="1414" spans="2:10">
      <c r="B1414" s="222"/>
      <c r="C1414" s="1460"/>
      <c r="D1414" s="1415"/>
      <c r="E1414" s="1416"/>
      <c r="F1414" s="1461"/>
      <c r="G1414" s="203">
        <f>+SUMIF('AUX-NIV1'!I:I,Recursos!C1414,'AUX-NIV1'!Q:Q)+SUMIF('AUX-NIV2'!I:I,Recursos!C1414,'AUX-NIV2'!Q:Q)+SUMIF('AUX-NIV3'!I:I,Recursos!C1414,'AUX-NIV3'!Q:Q)</f>
        <v>0</v>
      </c>
      <c r="H1414" s="204">
        <f t="shared" si="131"/>
        <v>0</v>
      </c>
      <c r="I1414" s="366">
        <f t="shared" si="132"/>
        <v>0</v>
      </c>
      <c r="J1414" s="1418"/>
    </row>
    <row r="1415" spans="2:10">
      <c r="B1415" s="222"/>
      <c r="C1415" s="1460"/>
      <c r="D1415" s="1415"/>
      <c r="E1415" s="1416"/>
      <c r="F1415" s="1461"/>
      <c r="G1415" s="203">
        <f>+SUMIF('AUX-NIV1'!I:I,Recursos!C1415,'AUX-NIV1'!Q:Q)+SUMIF('AUX-NIV2'!I:I,Recursos!C1415,'AUX-NIV2'!Q:Q)+SUMIF('AUX-NIV3'!I:I,Recursos!C1415,'AUX-NIV3'!Q:Q)</f>
        <v>0</v>
      </c>
      <c r="H1415" s="204">
        <f t="shared" si="131"/>
        <v>0</v>
      </c>
      <c r="I1415" s="366">
        <f t="shared" si="132"/>
        <v>0</v>
      </c>
      <c r="J1415" s="1418"/>
    </row>
    <row r="1416" spans="2:10">
      <c r="B1416" s="222"/>
      <c r="C1416" s="1460"/>
      <c r="D1416" s="1415"/>
      <c r="E1416" s="1416"/>
      <c r="F1416" s="1461"/>
      <c r="G1416" s="203">
        <f>+SUMIF('AUX-NIV1'!I:I,Recursos!C1416,'AUX-NIV1'!Q:Q)+SUMIF('AUX-NIV2'!I:I,Recursos!C1416,'AUX-NIV2'!Q:Q)+SUMIF('AUX-NIV3'!I:I,Recursos!C1416,'AUX-NIV3'!Q:Q)</f>
        <v>0</v>
      </c>
      <c r="H1416" s="204">
        <f t="shared" si="131"/>
        <v>0</v>
      </c>
      <c r="I1416" s="366">
        <f t="shared" si="132"/>
        <v>0</v>
      </c>
      <c r="J1416" s="1418"/>
    </row>
    <row r="1417" spans="2:10">
      <c r="B1417" s="222"/>
      <c r="C1417" s="1460"/>
      <c r="D1417" s="1415"/>
      <c r="E1417" s="1416"/>
      <c r="F1417" s="1461"/>
      <c r="G1417" s="203">
        <f>+SUMIF('AUX-NIV1'!I:I,Recursos!C1417,'AUX-NIV1'!Q:Q)+SUMIF('AUX-NIV2'!I:I,Recursos!C1417,'AUX-NIV2'!Q:Q)+SUMIF('AUX-NIV3'!I:I,Recursos!C1417,'AUX-NIV3'!Q:Q)</f>
        <v>0</v>
      </c>
      <c r="H1417" s="204">
        <f t="shared" si="131"/>
        <v>0</v>
      </c>
      <c r="I1417" s="366">
        <f t="shared" si="132"/>
        <v>0</v>
      </c>
      <c r="J1417" s="1418"/>
    </row>
    <row r="1418" spans="2:10">
      <c r="B1418" s="222"/>
      <c r="C1418" s="1460"/>
      <c r="D1418" s="1415"/>
      <c r="E1418" s="1416"/>
      <c r="F1418" s="1461"/>
      <c r="G1418" s="203">
        <f>+SUMIF('AUX-NIV1'!I:I,Recursos!C1418,'AUX-NIV1'!Q:Q)+SUMIF('AUX-NIV2'!I:I,Recursos!C1418,'AUX-NIV2'!Q:Q)+SUMIF('AUX-NIV3'!I:I,Recursos!C1418,'AUX-NIV3'!Q:Q)</f>
        <v>0</v>
      </c>
      <c r="H1418" s="204">
        <f t="shared" si="131"/>
        <v>0</v>
      </c>
      <c r="I1418" s="366">
        <f t="shared" si="132"/>
        <v>0</v>
      </c>
      <c r="J1418" s="1418"/>
    </row>
    <row r="1419" spans="2:10">
      <c r="B1419" s="222"/>
      <c r="C1419" s="1460"/>
      <c r="D1419" s="1415"/>
      <c r="E1419" s="1416"/>
      <c r="F1419" s="1461"/>
      <c r="G1419" s="203">
        <f>+SUMIF('AUX-NIV1'!I:I,Recursos!C1419,'AUX-NIV1'!Q:Q)+SUMIF('AUX-NIV2'!I:I,Recursos!C1419,'AUX-NIV2'!Q:Q)+SUMIF('AUX-NIV3'!I:I,Recursos!C1419,'AUX-NIV3'!Q:Q)</f>
        <v>0</v>
      </c>
      <c r="H1419" s="204">
        <f t="shared" ref="H1419:H1440" si="133">+F1419*G1419</f>
        <v>0</v>
      </c>
      <c r="I1419" s="366">
        <f t="shared" ref="I1419:I1440" si="134">+H1419/$I$3</f>
        <v>0</v>
      </c>
      <c r="J1419" s="1418"/>
    </row>
    <row r="1420" spans="2:10">
      <c r="B1420" s="222"/>
      <c r="C1420" s="1460"/>
      <c r="D1420" s="1415"/>
      <c r="E1420" s="1416"/>
      <c r="F1420" s="1461"/>
      <c r="G1420" s="203">
        <f>+SUMIF('AUX-NIV1'!I:I,Recursos!C1420,'AUX-NIV1'!Q:Q)+SUMIF('AUX-NIV2'!I:I,Recursos!C1420,'AUX-NIV2'!Q:Q)+SUMIF('AUX-NIV3'!I:I,Recursos!C1420,'AUX-NIV3'!Q:Q)</f>
        <v>0</v>
      </c>
      <c r="H1420" s="204">
        <f t="shared" si="133"/>
        <v>0</v>
      </c>
      <c r="I1420" s="366">
        <f t="shared" si="134"/>
        <v>0</v>
      </c>
      <c r="J1420" s="1418"/>
    </row>
    <row r="1421" spans="2:10">
      <c r="B1421" s="222"/>
      <c r="C1421" s="1460"/>
      <c r="D1421" s="1415"/>
      <c r="E1421" s="1416"/>
      <c r="F1421" s="1461"/>
      <c r="G1421" s="203">
        <f>+SUMIF('AUX-NIV1'!I:I,Recursos!C1421,'AUX-NIV1'!Q:Q)+SUMIF('AUX-NIV2'!I:I,Recursos!C1421,'AUX-NIV2'!Q:Q)+SUMIF('AUX-NIV3'!I:I,Recursos!C1421,'AUX-NIV3'!Q:Q)</f>
        <v>0</v>
      </c>
      <c r="H1421" s="204">
        <f t="shared" si="133"/>
        <v>0</v>
      </c>
      <c r="I1421" s="366">
        <f t="shared" si="134"/>
        <v>0</v>
      </c>
      <c r="J1421" s="1418"/>
    </row>
    <row r="1422" spans="2:10">
      <c r="B1422" s="222"/>
      <c r="C1422" s="1460"/>
      <c r="D1422" s="1415"/>
      <c r="E1422" s="1416"/>
      <c r="F1422" s="1461"/>
      <c r="G1422" s="203">
        <f>+SUMIF('AUX-NIV1'!I:I,Recursos!C1422,'AUX-NIV1'!Q:Q)+SUMIF('AUX-NIV2'!I:I,Recursos!C1422,'AUX-NIV2'!Q:Q)+SUMIF('AUX-NIV3'!I:I,Recursos!C1422,'AUX-NIV3'!Q:Q)</f>
        <v>0</v>
      </c>
      <c r="H1422" s="204">
        <f t="shared" si="133"/>
        <v>0</v>
      </c>
      <c r="I1422" s="366">
        <f t="shared" si="134"/>
        <v>0</v>
      </c>
      <c r="J1422" s="1418"/>
    </row>
    <row r="1423" spans="2:10">
      <c r="B1423" s="222"/>
      <c r="C1423" s="1460"/>
      <c r="D1423" s="1415"/>
      <c r="E1423" s="1416"/>
      <c r="F1423" s="1461"/>
      <c r="G1423" s="203">
        <f>+SUMIF('AUX-NIV1'!I:I,Recursos!C1423,'AUX-NIV1'!Q:Q)+SUMIF('AUX-NIV2'!I:I,Recursos!C1423,'AUX-NIV2'!Q:Q)+SUMIF('AUX-NIV3'!I:I,Recursos!C1423,'AUX-NIV3'!Q:Q)</f>
        <v>0</v>
      </c>
      <c r="H1423" s="204">
        <f t="shared" si="133"/>
        <v>0</v>
      </c>
      <c r="I1423" s="366">
        <f t="shared" si="134"/>
        <v>0</v>
      </c>
      <c r="J1423" s="1418"/>
    </row>
    <row r="1424" spans="2:10">
      <c r="B1424" s="222"/>
      <c r="C1424" s="1460"/>
      <c r="D1424" s="1415"/>
      <c r="E1424" s="1416"/>
      <c r="F1424" s="1461"/>
      <c r="G1424" s="203">
        <f>+SUMIF('AUX-NIV1'!I:I,Recursos!C1424,'AUX-NIV1'!Q:Q)+SUMIF('AUX-NIV2'!I:I,Recursos!C1424,'AUX-NIV2'!Q:Q)+SUMIF('AUX-NIV3'!I:I,Recursos!C1424,'AUX-NIV3'!Q:Q)</f>
        <v>0</v>
      </c>
      <c r="H1424" s="204">
        <f t="shared" si="133"/>
        <v>0</v>
      </c>
      <c r="I1424" s="366">
        <f t="shared" si="134"/>
        <v>0</v>
      </c>
      <c r="J1424" s="1418"/>
    </row>
    <row r="1425" spans="2:10">
      <c r="B1425" s="222"/>
      <c r="C1425" s="1460"/>
      <c r="D1425" s="1415"/>
      <c r="E1425" s="1416"/>
      <c r="F1425" s="1461"/>
      <c r="G1425" s="203">
        <f>+SUMIF('AUX-NIV1'!I:I,Recursos!C1425,'AUX-NIV1'!Q:Q)+SUMIF('AUX-NIV2'!I:I,Recursos!C1425,'AUX-NIV2'!Q:Q)+SUMIF('AUX-NIV3'!I:I,Recursos!C1425,'AUX-NIV3'!Q:Q)</f>
        <v>0</v>
      </c>
      <c r="H1425" s="204">
        <f t="shared" si="133"/>
        <v>0</v>
      </c>
      <c r="I1425" s="366">
        <f t="shared" si="134"/>
        <v>0</v>
      </c>
      <c r="J1425" s="1418"/>
    </row>
    <row r="1426" spans="2:10">
      <c r="B1426" s="222"/>
      <c r="C1426" s="1460"/>
      <c r="D1426" s="1415"/>
      <c r="E1426" s="1416"/>
      <c r="F1426" s="1461"/>
      <c r="G1426" s="203">
        <f>+SUMIF('AUX-NIV1'!I:I,Recursos!C1426,'AUX-NIV1'!Q:Q)+SUMIF('AUX-NIV2'!I:I,Recursos!C1426,'AUX-NIV2'!Q:Q)+SUMIF('AUX-NIV3'!I:I,Recursos!C1426,'AUX-NIV3'!Q:Q)</f>
        <v>0</v>
      </c>
      <c r="H1426" s="204">
        <f t="shared" si="133"/>
        <v>0</v>
      </c>
      <c r="I1426" s="366">
        <f t="shared" si="134"/>
        <v>0</v>
      </c>
      <c r="J1426" s="1418"/>
    </row>
    <row r="1427" spans="2:10">
      <c r="B1427" s="222"/>
      <c r="C1427" s="1460"/>
      <c r="D1427" s="1415"/>
      <c r="E1427" s="1416"/>
      <c r="F1427" s="1461"/>
      <c r="G1427" s="203">
        <f>+SUMIF('AUX-NIV1'!I:I,Recursos!C1427,'AUX-NIV1'!Q:Q)+SUMIF('AUX-NIV2'!I:I,Recursos!C1427,'AUX-NIV2'!Q:Q)+SUMIF('AUX-NIV3'!I:I,Recursos!C1427,'AUX-NIV3'!Q:Q)</f>
        <v>0</v>
      </c>
      <c r="H1427" s="204">
        <f t="shared" si="133"/>
        <v>0</v>
      </c>
      <c r="I1427" s="366">
        <f t="shared" si="134"/>
        <v>0</v>
      </c>
      <c r="J1427" s="1418"/>
    </row>
    <row r="1428" spans="2:10">
      <c r="B1428" s="222"/>
      <c r="C1428" s="1460"/>
      <c r="D1428" s="1415"/>
      <c r="E1428" s="1416"/>
      <c r="F1428" s="1461"/>
      <c r="G1428" s="203">
        <f>+SUMIF('AUX-NIV1'!I:I,Recursos!C1428,'AUX-NIV1'!Q:Q)+SUMIF('AUX-NIV2'!I:I,Recursos!C1428,'AUX-NIV2'!Q:Q)+SUMIF('AUX-NIV3'!I:I,Recursos!C1428,'AUX-NIV3'!Q:Q)</f>
        <v>0</v>
      </c>
      <c r="H1428" s="204">
        <f t="shared" si="133"/>
        <v>0</v>
      </c>
      <c r="I1428" s="366">
        <f t="shared" si="134"/>
        <v>0</v>
      </c>
      <c r="J1428" s="1418"/>
    </row>
    <row r="1429" spans="2:10">
      <c r="B1429" s="222"/>
      <c r="C1429" s="1460"/>
      <c r="D1429" s="1415"/>
      <c r="E1429" s="1416"/>
      <c r="F1429" s="1461"/>
      <c r="G1429" s="203">
        <f>+SUMIF('AUX-NIV1'!I:I,Recursos!C1429,'AUX-NIV1'!Q:Q)+SUMIF('AUX-NIV2'!I:I,Recursos!C1429,'AUX-NIV2'!Q:Q)+SUMIF('AUX-NIV3'!I:I,Recursos!C1429,'AUX-NIV3'!Q:Q)</f>
        <v>0</v>
      </c>
      <c r="H1429" s="204">
        <f t="shared" si="133"/>
        <v>0</v>
      </c>
      <c r="I1429" s="366">
        <f t="shared" si="134"/>
        <v>0</v>
      </c>
      <c r="J1429" s="1418"/>
    </row>
    <row r="1430" spans="2:10">
      <c r="B1430" s="222"/>
      <c r="C1430" s="1460"/>
      <c r="D1430" s="1415"/>
      <c r="E1430" s="1416"/>
      <c r="F1430" s="1461"/>
      <c r="G1430" s="203">
        <f>+SUMIF('AUX-NIV1'!I:I,Recursos!C1430,'AUX-NIV1'!Q:Q)+SUMIF('AUX-NIV2'!I:I,Recursos!C1430,'AUX-NIV2'!Q:Q)+SUMIF('AUX-NIV3'!I:I,Recursos!C1430,'AUX-NIV3'!Q:Q)</f>
        <v>0</v>
      </c>
      <c r="H1430" s="204">
        <f t="shared" si="133"/>
        <v>0</v>
      </c>
      <c r="I1430" s="366">
        <f t="shared" si="134"/>
        <v>0</v>
      </c>
      <c r="J1430" s="1418"/>
    </row>
    <row r="1431" spans="2:10">
      <c r="B1431" s="222"/>
      <c r="C1431" s="1460"/>
      <c r="D1431" s="1415"/>
      <c r="E1431" s="1416"/>
      <c r="F1431" s="1461"/>
      <c r="G1431" s="203">
        <f>+SUMIF('AUX-NIV1'!I:I,Recursos!C1431,'AUX-NIV1'!Q:Q)+SUMIF('AUX-NIV2'!I:I,Recursos!C1431,'AUX-NIV2'!Q:Q)+SUMIF('AUX-NIV3'!I:I,Recursos!C1431,'AUX-NIV3'!Q:Q)</f>
        <v>0</v>
      </c>
      <c r="H1431" s="204">
        <f t="shared" si="133"/>
        <v>0</v>
      </c>
      <c r="I1431" s="366">
        <f t="shared" si="134"/>
        <v>0</v>
      </c>
      <c r="J1431" s="1418"/>
    </row>
    <row r="1432" spans="2:10">
      <c r="B1432" s="222"/>
      <c r="C1432" s="1460"/>
      <c r="D1432" s="1415"/>
      <c r="E1432" s="1416"/>
      <c r="F1432" s="1461"/>
      <c r="G1432" s="203">
        <f>+SUMIF('AUX-NIV1'!I:I,Recursos!C1432,'AUX-NIV1'!Q:Q)+SUMIF('AUX-NIV2'!I:I,Recursos!C1432,'AUX-NIV2'!Q:Q)+SUMIF('AUX-NIV3'!I:I,Recursos!C1432,'AUX-NIV3'!Q:Q)</f>
        <v>0</v>
      </c>
      <c r="H1432" s="204">
        <f t="shared" si="133"/>
        <v>0</v>
      </c>
      <c r="I1432" s="366">
        <f t="shared" si="134"/>
        <v>0</v>
      </c>
      <c r="J1432" s="1418"/>
    </row>
    <row r="1433" spans="2:10">
      <c r="B1433" s="222"/>
      <c r="C1433" s="1460"/>
      <c r="D1433" s="1415"/>
      <c r="E1433" s="1416"/>
      <c r="F1433" s="1461"/>
      <c r="G1433" s="203">
        <f>+SUMIF('AUX-NIV1'!I:I,Recursos!C1433,'AUX-NIV1'!Q:Q)+SUMIF('AUX-NIV2'!I:I,Recursos!C1433,'AUX-NIV2'!Q:Q)+SUMIF('AUX-NIV3'!I:I,Recursos!C1433,'AUX-NIV3'!Q:Q)</f>
        <v>0</v>
      </c>
      <c r="H1433" s="204">
        <f t="shared" si="133"/>
        <v>0</v>
      </c>
      <c r="I1433" s="366">
        <f t="shared" si="134"/>
        <v>0</v>
      </c>
      <c r="J1433" s="1418"/>
    </row>
    <row r="1434" spans="2:10">
      <c r="B1434" s="222"/>
      <c r="C1434" s="1460"/>
      <c r="D1434" s="1415"/>
      <c r="E1434" s="1416"/>
      <c r="F1434" s="1461"/>
      <c r="G1434" s="203">
        <f>+SUMIF('AUX-NIV1'!I:I,Recursos!C1434,'AUX-NIV1'!Q:Q)+SUMIF('AUX-NIV2'!I:I,Recursos!C1434,'AUX-NIV2'!Q:Q)+SUMIF('AUX-NIV3'!I:I,Recursos!C1434,'AUX-NIV3'!Q:Q)</f>
        <v>0</v>
      </c>
      <c r="H1434" s="204">
        <f t="shared" si="133"/>
        <v>0</v>
      </c>
      <c r="I1434" s="366">
        <f t="shared" si="134"/>
        <v>0</v>
      </c>
      <c r="J1434" s="1418"/>
    </row>
    <row r="1435" spans="2:10">
      <c r="B1435" s="222"/>
      <c r="C1435" s="1460"/>
      <c r="D1435" s="1415"/>
      <c r="E1435" s="1416"/>
      <c r="F1435" s="1461"/>
      <c r="G1435" s="203">
        <f>+SUMIF('AUX-NIV1'!I:I,Recursos!C1435,'AUX-NIV1'!Q:Q)+SUMIF('AUX-NIV2'!I:I,Recursos!C1435,'AUX-NIV2'!Q:Q)+SUMIF('AUX-NIV3'!I:I,Recursos!C1435,'AUX-NIV3'!Q:Q)</f>
        <v>0</v>
      </c>
      <c r="H1435" s="204">
        <f t="shared" si="133"/>
        <v>0</v>
      </c>
      <c r="I1435" s="366">
        <f t="shared" si="134"/>
        <v>0</v>
      </c>
      <c r="J1435" s="1418"/>
    </row>
    <row r="1436" spans="2:10">
      <c r="B1436" s="222"/>
      <c r="C1436" s="1460"/>
      <c r="D1436" s="1415"/>
      <c r="E1436" s="1416"/>
      <c r="F1436" s="1461"/>
      <c r="G1436" s="203">
        <f>+SUMIF('AUX-NIV1'!I:I,Recursos!C1436,'AUX-NIV1'!Q:Q)+SUMIF('AUX-NIV2'!I:I,Recursos!C1436,'AUX-NIV2'!Q:Q)+SUMIF('AUX-NIV3'!I:I,Recursos!C1436,'AUX-NIV3'!Q:Q)</f>
        <v>0</v>
      </c>
      <c r="H1436" s="204">
        <f t="shared" si="133"/>
        <v>0</v>
      </c>
      <c r="I1436" s="366">
        <f t="shared" si="134"/>
        <v>0</v>
      </c>
      <c r="J1436" s="1418"/>
    </row>
    <row r="1437" spans="2:10">
      <c r="B1437" s="222"/>
      <c r="C1437" s="1460"/>
      <c r="D1437" s="1415"/>
      <c r="E1437" s="1416"/>
      <c r="F1437" s="1461"/>
      <c r="G1437" s="203">
        <f>+SUMIF('AUX-NIV1'!I:I,Recursos!C1437,'AUX-NIV1'!Q:Q)+SUMIF('AUX-NIV2'!I:I,Recursos!C1437,'AUX-NIV2'!Q:Q)+SUMIF('AUX-NIV3'!I:I,Recursos!C1437,'AUX-NIV3'!Q:Q)</f>
        <v>0</v>
      </c>
      <c r="H1437" s="204">
        <f t="shared" si="133"/>
        <v>0</v>
      </c>
      <c r="I1437" s="366">
        <f t="shared" si="134"/>
        <v>0</v>
      </c>
      <c r="J1437" s="1418"/>
    </row>
    <row r="1438" spans="2:10">
      <c r="B1438" s="222"/>
      <c r="C1438" s="1460"/>
      <c r="D1438" s="1415"/>
      <c r="E1438" s="1416"/>
      <c r="F1438" s="1461"/>
      <c r="G1438" s="203">
        <f>+SUMIF('AUX-NIV1'!I:I,Recursos!C1438,'AUX-NIV1'!Q:Q)+SUMIF('AUX-NIV2'!I:I,Recursos!C1438,'AUX-NIV2'!Q:Q)+SUMIF('AUX-NIV3'!I:I,Recursos!C1438,'AUX-NIV3'!Q:Q)</f>
        <v>0</v>
      </c>
      <c r="H1438" s="204">
        <f t="shared" si="133"/>
        <v>0</v>
      </c>
      <c r="I1438" s="366">
        <f t="shared" si="134"/>
        <v>0</v>
      </c>
      <c r="J1438" s="1418"/>
    </row>
    <row r="1439" spans="2:10">
      <c r="B1439" s="222"/>
      <c r="C1439" s="1460"/>
      <c r="D1439" s="1415"/>
      <c r="E1439" s="1416"/>
      <c r="F1439" s="1461"/>
      <c r="G1439" s="203">
        <f>+SUMIF('AUX-NIV1'!I:I,Recursos!C1439,'AUX-NIV1'!Q:Q)+SUMIF('AUX-NIV2'!I:I,Recursos!C1439,'AUX-NIV2'!Q:Q)+SUMIF('AUX-NIV3'!I:I,Recursos!C1439,'AUX-NIV3'!Q:Q)</f>
        <v>0</v>
      </c>
      <c r="H1439" s="204">
        <f t="shared" si="133"/>
        <v>0</v>
      </c>
      <c r="I1439" s="366">
        <f t="shared" si="134"/>
        <v>0</v>
      </c>
      <c r="J1439" s="1418"/>
    </row>
    <row r="1440" spans="2:10">
      <c r="B1440" s="222"/>
      <c r="C1440" s="1460"/>
      <c r="D1440" s="1415"/>
      <c r="E1440" s="1416"/>
      <c r="F1440" s="1461"/>
      <c r="G1440" s="203">
        <f>+SUMIF('AUX-NIV1'!I:I,Recursos!C1440,'AUX-NIV1'!Q:Q)+SUMIF('AUX-NIV2'!I:I,Recursos!C1440,'AUX-NIV2'!Q:Q)+SUMIF('AUX-NIV3'!I:I,Recursos!C1440,'AUX-NIV3'!Q:Q)</f>
        <v>0</v>
      </c>
      <c r="H1440" s="204">
        <f t="shared" si="133"/>
        <v>0</v>
      </c>
      <c r="I1440" s="366">
        <f t="shared" si="134"/>
        <v>0</v>
      </c>
      <c r="J1440" s="1418"/>
    </row>
    <row r="1441" spans="2:10">
      <c r="B1441" s="222"/>
      <c r="C1441" s="1460"/>
      <c r="D1441" s="1415"/>
      <c r="E1441" s="1416"/>
      <c r="F1441" s="1461"/>
      <c r="G1441" s="203">
        <f>+SUMIF('AUX-NIV1'!I:I,Recursos!C1441,'AUX-NIV1'!Q:Q)+SUMIF('AUX-NIV2'!I:I,Recursos!C1441,'AUX-NIV2'!Q:Q)+SUMIF('AUX-NIV3'!I:I,Recursos!C1441,'AUX-NIV3'!Q:Q)</f>
        <v>0</v>
      </c>
      <c r="H1441" s="204">
        <f t="shared" si="127"/>
        <v>0</v>
      </c>
      <c r="I1441" s="366">
        <f t="shared" si="128"/>
        <v>0</v>
      </c>
      <c r="J1441" s="1418"/>
    </row>
    <row r="1442" spans="2:10">
      <c r="B1442" s="222"/>
      <c r="C1442" s="1460"/>
      <c r="D1442" s="1415"/>
      <c r="E1442" s="1416"/>
      <c r="F1442" s="1461"/>
      <c r="G1442" s="203">
        <f>+SUMIF('AUX-NIV1'!I:I,Recursos!C1442,'AUX-NIV1'!Q:Q)+SUMIF('AUX-NIV2'!I:I,Recursos!C1442,'AUX-NIV2'!Q:Q)+SUMIF('AUX-NIV3'!I:I,Recursos!C1442,'AUX-NIV3'!Q:Q)</f>
        <v>0</v>
      </c>
      <c r="H1442" s="204">
        <f t="shared" si="127"/>
        <v>0</v>
      </c>
      <c r="I1442" s="366">
        <f t="shared" si="128"/>
        <v>0</v>
      </c>
      <c r="J1442" s="1418"/>
    </row>
    <row r="1443" spans="2:10">
      <c r="B1443" s="222"/>
      <c r="C1443" s="1460"/>
      <c r="D1443" s="1415"/>
      <c r="E1443" s="1416"/>
      <c r="F1443" s="1461"/>
      <c r="G1443" s="203">
        <f>+SUMIF('AUX-NIV1'!I:I,Recursos!C1443,'AUX-NIV1'!Q:Q)+SUMIF('AUX-NIV2'!I:I,Recursos!C1443,'AUX-NIV2'!Q:Q)+SUMIF('AUX-NIV3'!I:I,Recursos!C1443,'AUX-NIV3'!Q:Q)</f>
        <v>0</v>
      </c>
      <c r="H1443" s="204">
        <f t="shared" si="127"/>
        <v>0</v>
      </c>
      <c r="I1443" s="366">
        <f t="shared" si="128"/>
        <v>0</v>
      </c>
      <c r="J1443" s="1418"/>
    </row>
    <row r="1444" spans="2:10">
      <c r="B1444" s="222"/>
      <c r="C1444" s="1460"/>
      <c r="D1444" s="1415"/>
      <c r="E1444" s="1416"/>
      <c r="F1444" s="1461"/>
      <c r="G1444" s="203">
        <f>+SUMIF('AUX-NIV1'!I:I,Recursos!C1444,'AUX-NIV1'!Q:Q)+SUMIF('AUX-NIV2'!I:I,Recursos!C1444,'AUX-NIV2'!Q:Q)+SUMIF('AUX-NIV3'!I:I,Recursos!C1444,'AUX-NIV3'!Q:Q)</f>
        <v>0</v>
      </c>
      <c r="H1444" s="204">
        <f t="shared" si="127"/>
        <v>0</v>
      </c>
      <c r="I1444" s="366">
        <f t="shared" si="128"/>
        <v>0</v>
      </c>
      <c r="J1444" s="1418"/>
    </row>
    <row r="1445" spans="2:10">
      <c r="B1445" s="222"/>
      <c r="C1445" s="1460"/>
      <c r="D1445" s="1415"/>
      <c r="E1445" s="1416"/>
      <c r="F1445" s="1461"/>
      <c r="G1445" s="203">
        <f>+SUMIF('AUX-NIV1'!I:I,Recursos!C1445,'AUX-NIV1'!Q:Q)+SUMIF('AUX-NIV2'!I:I,Recursos!C1445,'AUX-NIV2'!Q:Q)+SUMIF('AUX-NIV3'!I:I,Recursos!C1445,'AUX-NIV3'!Q:Q)</f>
        <v>0</v>
      </c>
      <c r="H1445" s="204">
        <f t="shared" si="123"/>
        <v>0</v>
      </c>
      <c r="I1445" s="366">
        <f t="shared" si="124"/>
        <v>0</v>
      </c>
      <c r="J1445" s="1418"/>
    </row>
    <row r="1446" spans="2:10">
      <c r="B1446" s="222"/>
      <c r="C1446" s="1460"/>
      <c r="D1446" s="1415"/>
      <c r="E1446" s="1416"/>
      <c r="F1446" s="1461"/>
      <c r="G1446" s="203">
        <f>+SUMIF('AUX-NIV1'!I:I,Recursos!C1446,'AUX-NIV1'!Q:Q)+SUMIF('AUX-NIV2'!I:I,Recursos!C1446,'AUX-NIV2'!Q:Q)+SUMIF('AUX-NIV3'!I:I,Recursos!C1446,'AUX-NIV3'!Q:Q)</f>
        <v>0</v>
      </c>
      <c r="H1446" s="204">
        <f t="shared" si="117"/>
        <v>0</v>
      </c>
      <c r="I1446" s="366">
        <f t="shared" si="118"/>
        <v>0</v>
      </c>
      <c r="J1446" s="1418"/>
    </row>
    <row r="1447" spans="2:10">
      <c r="B1447" s="222"/>
      <c r="C1447" s="1460"/>
      <c r="D1447" s="1415"/>
      <c r="E1447" s="1416"/>
      <c r="F1447" s="1461"/>
      <c r="G1447" s="203">
        <f>+SUMIF('AUX-NIV1'!I:I,Recursos!C1447,'AUX-NIV1'!Q:Q)+SUMIF('AUX-NIV2'!I:I,Recursos!C1447,'AUX-NIV2'!Q:Q)+SUMIF('AUX-NIV3'!I:I,Recursos!C1447,'AUX-NIV3'!Q:Q)</f>
        <v>0</v>
      </c>
      <c r="H1447" s="204">
        <f t="shared" si="117"/>
        <v>0</v>
      </c>
      <c r="I1447" s="366">
        <f t="shared" si="118"/>
        <v>0</v>
      </c>
      <c r="J1447" s="1418"/>
    </row>
    <row r="1448" spans="2:10">
      <c r="B1448" s="222"/>
      <c r="C1448" s="1460"/>
      <c r="D1448" s="1415"/>
      <c r="E1448" s="1416"/>
      <c r="F1448" s="1461"/>
      <c r="G1448" s="203">
        <f>+SUMIF('AUX-NIV1'!I:I,Recursos!C1448,'AUX-NIV1'!Q:Q)+SUMIF('AUX-NIV2'!I:I,Recursos!C1448,'AUX-NIV2'!Q:Q)+SUMIF('AUX-NIV3'!I:I,Recursos!C1448,'AUX-NIV3'!Q:Q)</f>
        <v>0</v>
      </c>
      <c r="H1448" s="204">
        <f t="shared" si="117"/>
        <v>0</v>
      </c>
      <c r="I1448" s="366">
        <f t="shared" si="118"/>
        <v>0</v>
      </c>
      <c r="J1448" s="1418"/>
    </row>
    <row r="1449" spans="2:10">
      <c r="B1449" s="222"/>
      <c r="C1449" s="1079"/>
      <c r="D1449" s="200"/>
      <c r="E1449" s="201"/>
      <c r="F1449" s="360"/>
      <c r="G1449" s="203">
        <f>+SUMIF('AUX-NIV1'!I:I,Recursos!C1449,'AUX-NIV1'!Q:Q)+SUMIF('AUX-NIV2'!I:I,Recursos!C1449,'AUX-NIV2'!Q:Q)+SUMIF('AUX-NIV3'!I:I,Recursos!C1449,'AUX-NIV3'!Q:Q)</f>
        <v>0</v>
      </c>
      <c r="H1449" s="204">
        <f t="shared" si="117"/>
        <v>0</v>
      </c>
      <c r="I1449" s="366">
        <f t="shared" si="118"/>
        <v>0</v>
      </c>
      <c r="J1449" s="205"/>
    </row>
    <row r="1450" spans="2:10">
      <c r="B1450" s="222"/>
      <c r="C1450" s="1079"/>
      <c r="D1450" s="200"/>
      <c r="E1450" s="201"/>
      <c r="F1450" s="360"/>
      <c r="G1450" s="203">
        <f>+SUMIF('AUX-NIV1'!I:I,Recursos!C1450,'AUX-NIV1'!Q:Q)+SUMIF('AUX-NIV2'!I:I,Recursos!C1450,'AUX-NIV2'!Q:Q)+SUMIF('AUX-NIV3'!I:I,Recursos!C1450,'AUX-NIV3'!Q:Q)</f>
        <v>0</v>
      </c>
      <c r="H1450" s="204">
        <f t="shared" si="117"/>
        <v>0</v>
      </c>
      <c r="I1450" s="366">
        <f t="shared" si="118"/>
        <v>0</v>
      </c>
      <c r="J1450" s="205"/>
    </row>
    <row r="1451" spans="2:10">
      <c r="B1451" s="222"/>
      <c r="C1451" s="1079"/>
      <c r="D1451" s="200"/>
      <c r="E1451" s="201"/>
      <c r="F1451" s="360"/>
      <c r="G1451" s="203">
        <f>+SUMIF('AUX-NIV1'!I:I,Recursos!C1451,'AUX-NIV1'!Q:Q)+SUMIF('AUX-NIV2'!I:I,Recursos!C1451,'AUX-NIV2'!Q:Q)+SUMIF('AUX-NIV3'!I:I,Recursos!C1451,'AUX-NIV3'!Q:Q)</f>
        <v>0</v>
      </c>
      <c r="H1451" s="204">
        <f t="shared" si="117"/>
        <v>0</v>
      </c>
      <c r="I1451" s="366">
        <f t="shared" si="118"/>
        <v>0</v>
      </c>
      <c r="J1451" s="205"/>
    </row>
    <row r="1452" spans="2:10">
      <c r="B1452" s="222"/>
      <c r="C1452" s="199"/>
      <c r="D1452" s="200"/>
      <c r="E1452" s="201"/>
      <c r="F1452" s="360"/>
      <c r="G1452" s="203"/>
      <c r="H1452" s="204"/>
      <c r="I1452" s="366">
        <f t="shared" ref="I1452:I1458" si="135">+H1452/$I$3</f>
        <v>0</v>
      </c>
      <c r="J1452" s="205"/>
    </row>
    <row r="1453" spans="2:10" ht="12">
      <c r="B1453" s="222"/>
      <c r="C1453" s="109" t="s">
        <v>751</v>
      </c>
      <c r="D1453" s="110"/>
      <c r="E1453" s="111"/>
      <c r="F1453" s="111"/>
      <c r="G1453" s="112"/>
      <c r="H1453" s="112">
        <f>+SUBTOTAL(9,H1454:H1457)</f>
        <v>0</v>
      </c>
      <c r="I1453" s="365">
        <f t="shared" si="135"/>
        <v>0</v>
      </c>
      <c r="J1453" s="114"/>
    </row>
    <row r="1454" spans="2:10">
      <c r="B1454" s="222"/>
      <c r="C1454" s="199" t="s">
        <v>752</v>
      </c>
      <c r="D1454" s="200" t="s">
        <v>753</v>
      </c>
      <c r="E1454" s="201" t="s">
        <v>754</v>
      </c>
      <c r="F1454" s="360">
        <v>0.1</v>
      </c>
      <c r="G1454" s="203">
        <f>+SUMIF('AUX-NIV1'!I:I,Recursos!C1454,'AUX-NIV1'!Q:Q)+SUMIF('AUX-NIV2'!I:I,Recursos!C1454,'AUX-NIV2'!Q:Q)+SUMIF('AUX-NIV3'!I:I,Recursos!C1454,'AUX-NIV3'!Q:Q)</f>
        <v>0</v>
      </c>
      <c r="H1454" s="204">
        <f>+F1454*G1454</f>
        <v>0</v>
      </c>
      <c r="I1454" s="366">
        <f t="shared" si="135"/>
        <v>0</v>
      </c>
      <c r="J1454" s="205"/>
    </row>
    <row r="1455" spans="2:10">
      <c r="B1455" s="222"/>
      <c r="C1455" s="199" t="s">
        <v>1079</v>
      </c>
      <c r="D1455" s="200" t="s">
        <v>1080</v>
      </c>
      <c r="E1455" s="201" t="s">
        <v>848</v>
      </c>
      <c r="F1455" s="360">
        <v>1</v>
      </c>
      <c r="G1455" s="203">
        <f>+SUMIF('AUX-NIV1'!I:I,Recursos!C1455,'AUX-NIV1'!Q:Q)+SUMIF('AUX-NIV2'!I:I,Recursos!C1455,'AUX-NIV2'!Q:Q)+SUMIF('AUX-NIV3'!I:I,Recursos!C1455,'AUX-NIV3'!Q:Q)</f>
        <v>0</v>
      </c>
      <c r="H1455" s="204">
        <f>+F1455*G1455</f>
        <v>0</v>
      </c>
      <c r="I1455" s="366">
        <f t="shared" si="135"/>
        <v>0</v>
      </c>
      <c r="J1455" s="205"/>
    </row>
    <row r="1456" spans="2:10">
      <c r="B1456" s="222"/>
      <c r="C1456" s="206" t="s">
        <v>2722</v>
      </c>
      <c r="D1456" s="200" t="s">
        <v>2723</v>
      </c>
      <c r="E1456" s="201" t="s">
        <v>1233</v>
      </c>
      <c r="F1456" s="360">
        <v>1</v>
      </c>
      <c r="G1456" s="203">
        <f>+SUMIF('AUX-NIV1'!I:I,Recursos!C1021,'AUX-NIV1'!Q:Q)+SUMIF('AUX-NIV2'!I:I,Recursos!C1021,'AUX-NIV2'!Q:Q)+SUMIF('AUX-NIV3'!I:I,Recursos!C1021,'AUX-NIV3'!Q:Q)</f>
        <v>0</v>
      </c>
      <c r="H1456" s="204">
        <f>+F1456*G1456</f>
        <v>0</v>
      </c>
      <c r="I1456" s="366">
        <f t="shared" si="135"/>
        <v>0</v>
      </c>
      <c r="J1456" s="474"/>
    </row>
    <row r="1457" spans="2:66">
      <c r="B1457" s="222"/>
      <c r="C1457" s="199"/>
      <c r="D1457" s="200"/>
      <c r="E1457" s="201"/>
      <c r="F1457" s="360"/>
      <c r="G1457" s="204"/>
      <c r="H1457" s="204"/>
      <c r="I1457" s="366">
        <f t="shared" si="135"/>
        <v>0</v>
      </c>
      <c r="J1457" s="205"/>
    </row>
    <row r="1458" spans="2:66" ht="12">
      <c r="B1458" s="305"/>
      <c r="C1458" s="109" t="s">
        <v>755</v>
      </c>
      <c r="D1458" s="110"/>
      <c r="E1458" s="111"/>
      <c r="F1458" s="111"/>
      <c r="G1458" s="112"/>
      <c r="H1458" s="112">
        <f>+SUBTOTAL(9,H1459:H1646)</f>
        <v>8919.6743123516044</v>
      </c>
      <c r="I1458" s="365">
        <f t="shared" si="135"/>
        <v>2.7492895629931405E-2</v>
      </c>
      <c r="J1458" s="114" t="s">
        <v>932</v>
      </c>
      <c r="L1458" s="84" t="s">
        <v>989</v>
      </c>
      <c r="BN1458" s="392" t="s">
        <v>985</v>
      </c>
    </row>
    <row r="1459" spans="2:66">
      <c r="B1459" s="222"/>
      <c r="C1459" s="206" t="s">
        <v>1564</v>
      </c>
      <c r="D1459" s="207" t="s">
        <v>855</v>
      </c>
      <c r="E1459" s="201" t="s">
        <v>769</v>
      </c>
      <c r="F1459" s="202">
        <f>+SUMIF(EQ_CE!B:B,Recursos!C1459,EQ_CE!D:D)</f>
        <v>200.018</v>
      </c>
      <c r="G1459" s="203">
        <f>+SUMIF('AUX-NIV1'!I:I,Recursos!C1459,'AUX-NIV1'!Q:Q)+SUMIF('AUX-NIV2'!I:I,Recursos!C1459,'AUX-NIV2'!Q:Q)+SUMIF('AUX-NIV3'!I:I,Recursos!C1459,'AUX-NIV3'!Q:Q)</f>
        <v>0</v>
      </c>
      <c r="H1459" s="204">
        <f>+F1459*G1459</f>
        <v>0</v>
      </c>
      <c r="I1459" s="366">
        <f>+H1459/$I$3</f>
        <v>0</v>
      </c>
      <c r="J1459" s="390">
        <f>+IF(A1459=1,SUMIF(EQ_CE!B:B,Recursos!C1459,EQ_CE!T:T),0)</f>
        <v>0</v>
      </c>
    </row>
    <row r="1460" spans="2:66">
      <c r="B1460" s="222"/>
      <c r="C1460" s="206" t="s">
        <v>1738</v>
      </c>
      <c r="D1460" s="207" t="s">
        <v>1739</v>
      </c>
      <c r="E1460" s="201" t="s">
        <v>769</v>
      </c>
      <c r="F1460" s="202">
        <f>+SUMIF(EQ_CE!B:B,Recursos!C1460,EQ_CE!D:D)</f>
        <v>159.89194000000001</v>
      </c>
      <c r="G1460" s="203">
        <f>+SUMIF('AUX-NIV1'!I:I,Recursos!C1460,'AUX-NIV1'!Q:Q)+SUMIF('AUX-NIV2'!I:I,Recursos!C1460,'AUX-NIV2'!Q:Q)+SUMIF('AUX-NIV3'!I:I,Recursos!C1460,'AUX-NIV3'!Q:Q)</f>
        <v>0</v>
      </c>
      <c r="H1460" s="204">
        <f t="shared" ref="H1460:H1523" si="136">+F1460*G1460</f>
        <v>0</v>
      </c>
      <c r="I1460" s="366">
        <f t="shared" ref="I1460:I1523" si="137">+H1460/$I$3</f>
        <v>0</v>
      </c>
      <c r="J1460" s="390">
        <f>+IF(A1460=1,SUMIF(EQ_CE!B:B,Recursos!C1460,EQ_CE!T:T),0)</f>
        <v>0</v>
      </c>
    </row>
    <row r="1461" spans="2:66">
      <c r="B1461" s="222"/>
      <c r="C1461" s="199" t="s">
        <v>1638</v>
      </c>
      <c r="D1461" s="207" t="s">
        <v>1006</v>
      </c>
      <c r="E1461" s="201" t="s">
        <v>769</v>
      </c>
      <c r="F1461" s="202">
        <f>+SUMIF(EQ_CE!B:B,Recursos!C1461,EQ_CE!D:D)</f>
        <v>68.577600000000004</v>
      </c>
      <c r="G1461" s="203">
        <f>+SUMIF('AUX-NIV1'!I:I,Recursos!C1461,'AUX-NIV1'!Q:Q)+SUMIF('AUX-NIV2'!I:I,Recursos!C1461,'AUX-NIV2'!Q:Q)+SUMIF('AUX-NIV3'!I:I,Recursos!C1461,'AUX-NIV3'!Q:Q)</f>
        <v>0</v>
      </c>
      <c r="H1461" s="204">
        <f t="shared" si="136"/>
        <v>0</v>
      </c>
      <c r="I1461" s="366">
        <f t="shared" si="137"/>
        <v>0</v>
      </c>
      <c r="J1461" s="390">
        <f>+IF(A1461=1,SUMIF(EQ_CE!B:B,Recursos!C1461,EQ_CE!T:T),0)</f>
        <v>0</v>
      </c>
    </row>
    <row r="1462" spans="2:66">
      <c r="B1462" s="222"/>
      <c r="C1462" s="206" t="s">
        <v>1706</v>
      </c>
      <c r="D1462" s="207" t="s">
        <v>2732</v>
      </c>
      <c r="E1462" s="201" t="s">
        <v>769</v>
      </c>
      <c r="F1462" s="202">
        <f>+SUMIF(EQ_CE!B:B,Recursos!C1462,EQ_CE!D:D)</f>
        <v>62.454599999999992</v>
      </c>
      <c r="G1462" s="203">
        <f>+SUMIF('AUX-NIV1'!I:I,Recursos!C1462,'AUX-NIV1'!Q:Q)+SUMIF('AUX-NIV2'!I:I,Recursos!C1462,'AUX-NIV2'!Q:Q)+SUMIF('AUX-NIV3'!I:I,Recursos!C1462,'AUX-NIV3'!Q:Q)</f>
        <v>0</v>
      </c>
      <c r="H1462" s="204">
        <f t="shared" si="136"/>
        <v>0</v>
      </c>
      <c r="I1462" s="366">
        <f t="shared" si="137"/>
        <v>0</v>
      </c>
      <c r="J1462" s="390">
        <f>+IF(A1462=1,SUMIF(EQ_CE!B:B,Recursos!C1462,EQ_CE!T:T),0)</f>
        <v>0</v>
      </c>
    </row>
    <row r="1463" spans="2:66">
      <c r="B1463" s="222"/>
      <c r="C1463" s="206" t="s">
        <v>1607</v>
      </c>
      <c r="D1463" s="207" t="s">
        <v>969</v>
      </c>
      <c r="E1463" s="201" t="s">
        <v>769</v>
      </c>
      <c r="F1463" s="202">
        <f>+SUMIF(EQ_CE!B:B,Recursos!C1463,EQ_CE!D:D)</f>
        <v>163.27999999999997</v>
      </c>
      <c r="G1463" s="203">
        <f>+SUMIF('AUX-NIV1'!I:I,Recursos!C1463,'AUX-NIV1'!Q:Q)+SUMIF('AUX-NIV2'!I:I,Recursos!C1463,'AUX-NIV2'!Q:Q)+SUMIF('AUX-NIV3'!I:I,Recursos!C1463,'AUX-NIV3'!Q:Q)</f>
        <v>0.15825599999999998</v>
      </c>
      <c r="H1463" s="204">
        <f t="shared" si="136"/>
        <v>25.840039679999993</v>
      </c>
      <c r="I1463" s="366">
        <f t="shared" si="137"/>
        <v>7.9646127102619488E-5</v>
      </c>
      <c r="J1463" s="390">
        <f>+IF(A1463=1,SUMIF(EQ_CE!B:B,Recursos!C1463,EQ_CE!T:T),0)</f>
        <v>0</v>
      </c>
    </row>
    <row r="1464" spans="2:66">
      <c r="B1464" s="222"/>
      <c r="C1464" s="206" t="s">
        <v>1742</v>
      </c>
      <c r="D1464" s="207" t="s">
        <v>1721</v>
      </c>
      <c r="E1464" s="201" t="s">
        <v>769</v>
      </c>
      <c r="F1464" s="202">
        <f>+SUMIF(EQ_CE!B:B,Recursos!C1464,EQ_CE!D:D)</f>
        <v>126.37200000000001</v>
      </c>
      <c r="G1464" s="203">
        <f>+SUMIF('AUX-NIV1'!I:I,Recursos!C1464,'AUX-NIV1'!Q:Q)+SUMIF('AUX-NIV2'!I:I,Recursos!C1464,'AUX-NIV2'!Q:Q)+SUMIF('AUX-NIV3'!I:I,Recursos!C1464,'AUX-NIV3'!Q:Q)</f>
        <v>0</v>
      </c>
      <c r="H1464" s="204">
        <f t="shared" si="136"/>
        <v>0</v>
      </c>
      <c r="I1464" s="366">
        <f t="shared" si="137"/>
        <v>0</v>
      </c>
      <c r="J1464" s="390">
        <f>+IF(A1464=1,SUMIF(EQ_CE!B:B,Recursos!C1464,EQ_CE!T:T),0)</f>
        <v>0</v>
      </c>
    </row>
    <row r="1465" spans="2:66">
      <c r="B1465" s="222"/>
      <c r="C1465" s="206" t="s">
        <v>1720</v>
      </c>
      <c r="D1465" s="207" t="s">
        <v>1721</v>
      </c>
      <c r="E1465" s="201" t="s">
        <v>769</v>
      </c>
      <c r="F1465" s="202">
        <f>+SUMIF(EQ_CE!B:B,Recursos!C1465,EQ_CE!D:D)</f>
        <v>628.72367999999994</v>
      </c>
      <c r="G1465" s="203">
        <f>+SUMIF('AUX-NIV1'!I:I,Recursos!C1465,'AUX-NIV1'!Q:Q)+SUMIF('AUX-NIV2'!I:I,Recursos!C1465,'AUX-NIV2'!Q:Q)+SUMIF('AUX-NIV3'!I:I,Recursos!C1465,'AUX-NIV3'!Q:Q)</f>
        <v>0</v>
      </c>
      <c r="H1465" s="204">
        <f t="shared" si="136"/>
        <v>0</v>
      </c>
      <c r="I1465" s="366">
        <f t="shared" si="137"/>
        <v>0</v>
      </c>
      <c r="J1465" s="390">
        <f>+IF(A1465=1,SUMIF(EQ_CE!B:B,Recursos!C1465,EQ_CE!T:T),0)</f>
        <v>0</v>
      </c>
    </row>
    <row r="1466" spans="2:66">
      <c r="B1466" s="222"/>
      <c r="C1466" s="206" t="s">
        <v>1716</v>
      </c>
      <c r="D1466" s="207" t="s">
        <v>1717</v>
      </c>
      <c r="E1466" s="201" t="s">
        <v>769</v>
      </c>
      <c r="F1466" s="202">
        <f>+SUMIF(EQ_CE!B:B,Recursos!C1466,EQ_CE!D:D)</f>
        <v>1052.3264999999999</v>
      </c>
      <c r="G1466" s="203">
        <f>+SUMIF('AUX-NIV1'!I:I,Recursos!C1466,'AUX-NIV1'!Q:Q)+SUMIF('AUX-NIV2'!I:I,Recursos!C1466,'AUX-NIV2'!Q:Q)+SUMIF('AUX-NIV3'!I:I,Recursos!C1466,'AUX-NIV3'!Q:Q)</f>
        <v>0</v>
      </c>
      <c r="H1466" s="204">
        <f t="shared" si="136"/>
        <v>0</v>
      </c>
      <c r="I1466" s="366">
        <f t="shared" si="137"/>
        <v>0</v>
      </c>
      <c r="J1466" s="390">
        <f>+IF(A1466=1,SUMIF(EQ_CE!B:B,Recursos!C1466,EQ_CE!T:T),0)</f>
        <v>0</v>
      </c>
    </row>
    <row r="1467" spans="2:66">
      <c r="B1467" s="222"/>
      <c r="C1467" s="206" t="s">
        <v>1621</v>
      </c>
      <c r="D1467" s="207" t="s">
        <v>982</v>
      </c>
      <c r="E1467" s="201" t="s">
        <v>769</v>
      </c>
      <c r="F1467" s="202">
        <f>+SUMIF(EQ_CE!B:B,Recursos!C1467,EQ_CE!D:D)</f>
        <v>2096.4647999999997</v>
      </c>
      <c r="G1467" s="203">
        <f>+SUMIF('AUX-NIV1'!I:I,Recursos!C1467,'AUX-NIV1'!Q:Q)+SUMIF('AUX-NIV2'!I:I,Recursos!C1467,'AUX-NIV2'!Q:Q)+SUMIF('AUX-NIV3'!I:I,Recursos!C1467,'AUX-NIV3'!Q:Q)</f>
        <v>0</v>
      </c>
      <c r="H1467" s="204">
        <f t="shared" si="136"/>
        <v>0</v>
      </c>
      <c r="I1467" s="366">
        <f t="shared" si="137"/>
        <v>0</v>
      </c>
      <c r="J1467" s="390">
        <f>+IF(A1467=1,SUMIF(EQ_CE!B:B,Recursos!C1467,EQ_CE!T:T),0)</f>
        <v>0</v>
      </c>
    </row>
    <row r="1468" spans="2:66">
      <c r="B1468" s="222"/>
      <c r="C1468" s="206" t="s">
        <v>1620</v>
      </c>
      <c r="D1468" s="207" t="s">
        <v>981</v>
      </c>
      <c r="E1468" s="201" t="s">
        <v>769</v>
      </c>
      <c r="F1468" s="202">
        <f>+SUMIF(EQ_CE!B:B,Recursos!C1468,EQ_CE!D:D)</f>
        <v>1116.8352</v>
      </c>
      <c r="G1468" s="203">
        <f>+SUMIF('AUX-NIV1'!I:I,Recursos!C1468,'AUX-NIV1'!Q:Q)+SUMIF('AUX-NIV2'!I:I,Recursos!C1468,'AUX-NIV2'!Q:Q)+SUMIF('AUX-NIV3'!I:I,Recursos!C1468,'AUX-NIV3'!Q:Q)</f>
        <v>0</v>
      </c>
      <c r="H1468" s="204">
        <f t="shared" si="136"/>
        <v>0</v>
      </c>
      <c r="I1468" s="366">
        <f t="shared" si="137"/>
        <v>0</v>
      </c>
      <c r="J1468" s="390">
        <f>+IF(A1468=1,SUMIF(EQ_CE!B:B,Recursos!C1468,EQ_CE!T:T),0)</f>
        <v>0</v>
      </c>
    </row>
    <row r="1469" spans="2:66">
      <c r="B1469" s="222"/>
      <c r="C1469" s="206" t="s">
        <v>1722</v>
      </c>
      <c r="D1469" s="207" t="s">
        <v>1723</v>
      </c>
      <c r="E1469" s="201" t="s">
        <v>769</v>
      </c>
      <c r="F1469" s="202">
        <f>+SUMIF(EQ_CE!B:B,Recursos!C1469,EQ_CE!D:D)</f>
        <v>2276.5457400000005</v>
      </c>
      <c r="G1469" s="203">
        <f>+SUMIF('AUX-NIV1'!I:I,Recursos!C1469,'AUX-NIV1'!Q:Q)+SUMIF('AUX-NIV2'!I:I,Recursos!C1469,'AUX-NIV2'!Q:Q)+SUMIF('AUX-NIV3'!I:I,Recursos!C1469,'AUX-NIV3'!Q:Q)</f>
        <v>0</v>
      </c>
      <c r="H1469" s="204">
        <f t="shared" si="136"/>
        <v>0</v>
      </c>
      <c r="I1469" s="366">
        <f t="shared" si="137"/>
        <v>0</v>
      </c>
      <c r="J1469" s="390">
        <f>+IF(A1469=1,SUMIF(EQ_CE!B:B,Recursos!C1469,EQ_CE!T:T),0)</f>
        <v>0</v>
      </c>
    </row>
    <row r="1470" spans="2:66">
      <c r="B1470" s="222"/>
      <c r="C1470" s="206" t="s">
        <v>3009</v>
      </c>
      <c r="D1470" s="207" t="s">
        <v>3010</v>
      </c>
      <c r="E1470" s="201" t="s">
        <v>769</v>
      </c>
      <c r="F1470" s="202">
        <f>+SUMIF(EQ_CE!B:B,Recursos!C1470,EQ_CE!D:D)</f>
        <v>1135.7488000000001</v>
      </c>
      <c r="G1470" s="203">
        <f>+SUMIF('AUX-NIV1'!I:I,Recursos!C1470,'AUX-NIV1'!Q:Q)+SUMIF('AUX-NIV2'!I:I,Recursos!C1470,'AUX-NIV2'!Q:Q)+SUMIF('AUX-NIV3'!I:I,Recursos!C1470,'AUX-NIV3'!Q:Q)</f>
        <v>0</v>
      </c>
      <c r="H1470" s="204">
        <f t="shared" si="136"/>
        <v>0</v>
      </c>
      <c r="I1470" s="366">
        <f t="shared" si="137"/>
        <v>0</v>
      </c>
      <c r="J1470" s="390">
        <f>+IF(A1470=1,SUMIF(EQ_CE!B:B,Recursos!C1470,EQ_CE!T:T),0)</f>
        <v>0</v>
      </c>
    </row>
    <row r="1471" spans="2:66">
      <c r="B1471" s="222"/>
      <c r="C1471" s="206" t="s">
        <v>1635</v>
      </c>
      <c r="D1471" s="207" t="s">
        <v>1003</v>
      </c>
      <c r="E1471" s="201" t="s">
        <v>769</v>
      </c>
      <c r="F1471" s="202">
        <f>+SUMIF(EQ_CE!B:B,Recursos!C1471,EQ_CE!D:D)</f>
        <v>195.93599999999998</v>
      </c>
      <c r="G1471" s="203">
        <f>+SUMIF('AUX-NIV1'!I:I,Recursos!C1471,'AUX-NIV1'!Q:Q)+SUMIF('AUX-NIV2'!I:I,Recursos!C1471,'AUX-NIV2'!Q:Q)+SUMIF('AUX-NIV3'!I:I,Recursos!C1471,'AUX-NIV3'!Q:Q)</f>
        <v>0</v>
      </c>
      <c r="H1471" s="204">
        <f t="shared" si="136"/>
        <v>0</v>
      </c>
      <c r="I1471" s="366">
        <f t="shared" si="137"/>
        <v>0</v>
      </c>
      <c r="J1471" s="390">
        <f>+IF(A1471=1,SUMIF(EQ_CE!B:B,Recursos!C1471,EQ_CE!T:T),0)</f>
        <v>0</v>
      </c>
    </row>
    <row r="1472" spans="2:66">
      <c r="B1472" s="222"/>
      <c r="C1472" s="206" t="s">
        <v>1604</v>
      </c>
      <c r="D1472" s="207" t="s">
        <v>966</v>
      </c>
      <c r="E1472" s="201" t="s">
        <v>769</v>
      </c>
      <c r="F1472" s="202">
        <f>+SUMIF(EQ_CE!B:B,Recursos!C1472,EQ_CE!D:D)</f>
        <v>76.537499999999994</v>
      </c>
      <c r="G1472" s="203">
        <f>+SUMIF('AUX-NIV1'!I:I,Recursos!C1472,'AUX-NIV1'!Q:Q)+SUMIF('AUX-NIV2'!I:I,Recursos!C1472,'AUX-NIV2'!Q:Q)+SUMIF('AUX-NIV3'!I:I,Recursos!C1472,'AUX-NIV3'!Q:Q)</f>
        <v>0</v>
      </c>
      <c r="H1472" s="204">
        <f t="shared" si="136"/>
        <v>0</v>
      </c>
      <c r="I1472" s="366">
        <f t="shared" si="137"/>
        <v>0</v>
      </c>
      <c r="J1472" s="390">
        <f>+IF(A1472=1,SUMIF(EQ_CE!B:B,Recursos!C1472,EQ_CE!T:T),0)</f>
        <v>0</v>
      </c>
    </row>
    <row r="1473" spans="1:10">
      <c r="B1473" s="222"/>
      <c r="C1473" s="206" t="s">
        <v>1700</v>
      </c>
      <c r="D1473" s="207" t="s">
        <v>1701</v>
      </c>
      <c r="E1473" s="201" t="s">
        <v>769</v>
      </c>
      <c r="F1473" s="202">
        <f>+SUMIF(EQ_CE!B:B,Recursos!C1473,EQ_CE!D:D)</f>
        <v>18.61392</v>
      </c>
      <c r="G1473" s="203">
        <f>+SUMIF('AUX-NIV1'!I:I,Recursos!C1473,'AUX-NIV1'!Q:Q)+SUMIF('AUX-NIV2'!I:I,Recursos!C1473,'AUX-NIV2'!Q:Q)+SUMIF('AUX-NIV3'!I:I,Recursos!C1473,'AUX-NIV3'!Q:Q)</f>
        <v>0</v>
      </c>
      <c r="H1473" s="204">
        <f t="shared" si="136"/>
        <v>0</v>
      </c>
      <c r="I1473" s="366">
        <f t="shared" si="137"/>
        <v>0</v>
      </c>
      <c r="J1473" s="390">
        <f>+IF(A1473=1,SUMIF(EQ_CE!B:B,Recursos!C1473,EQ_CE!T:T),0)</f>
        <v>0</v>
      </c>
    </row>
    <row r="1474" spans="1:10">
      <c r="B1474" s="222"/>
      <c r="C1474" s="206" t="s">
        <v>1622</v>
      </c>
      <c r="D1474" s="207" t="s">
        <v>983</v>
      </c>
      <c r="E1474" s="201" t="s">
        <v>769</v>
      </c>
      <c r="F1474" s="202">
        <f>+SUMIF(EQ_CE!B:B,Recursos!C1474,EQ_CE!D:D)</f>
        <v>1837.2239999999999</v>
      </c>
      <c r="G1474" s="203">
        <f>+SUMIF('AUX-NIV1'!I:I,Recursos!C1474,'AUX-NIV1'!Q:Q)+SUMIF('AUX-NIV2'!I:I,Recursos!C1474,'AUX-NIV2'!Q:Q)+SUMIF('AUX-NIV3'!I:I,Recursos!C1474,'AUX-NIV3'!Q:Q)</f>
        <v>0</v>
      </c>
      <c r="H1474" s="204">
        <f t="shared" si="136"/>
        <v>0</v>
      </c>
      <c r="I1474" s="366">
        <f t="shared" si="137"/>
        <v>0</v>
      </c>
      <c r="J1474" s="390">
        <f>+IF(A1474=1,SUMIF(EQ_CE!B:B,Recursos!C1474,EQ_CE!T:T),0)</f>
        <v>0</v>
      </c>
    </row>
    <row r="1475" spans="1:10">
      <c r="B1475" s="222"/>
      <c r="C1475" s="771" t="s">
        <v>1613</v>
      </c>
      <c r="D1475" s="209" t="s">
        <v>974</v>
      </c>
      <c r="E1475" s="201" t="s">
        <v>769</v>
      </c>
      <c r="F1475" s="202">
        <f>+SUMIF(EQ_CE!B:B,Recursos!C1475,EQ_CE!D:D)</f>
        <v>2020.59</v>
      </c>
      <c r="G1475" s="203">
        <f>+SUMIF('AUX-NIV1'!I:I,Recursos!C1475,'AUX-NIV1'!Q:Q)+SUMIF('AUX-NIV2'!I:I,Recursos!C1475,'AUX-NIV2'!Q:Q)+SUMIF('AUX-NIV3'!I:I,Recursos!C1475,'AUX-NIV3'!Q:Q)</f>
        <v>0</v>
      </c>
      <c r="H1475" s="204">
        <f t="shared" si="136"/>
        <v>0</v>
      </c>
      <c r="I1475" s="366">
        <f t="shared" si="137"/>
        <v>0</v>
      </c>
      <c r="J1475" s="390">
        <f>+IF(A1475=1,SUMIF(EQ_CE!B:B,Recursos!C1475,EQ_CE!T:T),0)</f>
        <v>0</v>
      </c>
    </row>
    <row r="1476" spans="1:10">
      <c r="B1476" s="222"/>
      <c r="C1476" s="206" t="s">
        <v>1560</v>
      </c>
      <c r="D1476" s="207" t="s">
        <v>816</v>
      </c>
      <c r="E1476" s="201" t="s">
        <v>769</v>
      </c>
      <c r="F1476" s="202">
        <f>+SUMIF(EQ_CE!B:B,Recursos!C1476,EQ_CE!D:D)</f>
        <v>3614.2194285714286</v>
      </c>
      <c r="G1476" s="203">
        <f>+SUMIF('AUX-NIV1'!I:I,Recursos!C1476,'AUX-NIV1'!Q:Q)+SUMIF('AUX-NIV2'!I:I,Recursos!C1476,'AUX-NIV2'!Q:Q)+SUMIF('AUX-NIV3'!I:I,Recursos!C1476,'AUX-NIV3'!Q:Q)</f>
        <v>0</v>
      </c>
      <c r="H1476" s="204">
        <f t="shared" si="136"/>
        <v>0</v>
      </c>
      <c r="I1476" s="366">
        <f t="shared" si="137"/>
        <v>0</v>
      </c>
      <c r="J1476" s="390">
        <f>+IF(A1476=1,SUMIF(EQ_CE!B:B,Recursos!C1476,EQ_CE!T:T),0)</f>
        <v>0</v>
      </c>
    </row>
    <row r="1477" spans="1:10">
      <c r="B1477" s="222"/>
      <c r="C1477" s="206" t="s">
        <v>1730</v>
      </c>
      <c r="D1477" s="207" t="s">
        <v>1731</v>
      </c>
      <c r="E1477" s="201" t="s">
        <v>769</v>
      </c>
      <c r="F1477" s="202">
        <f>+SUMIF(EQ_CE!B:B,Recursos!C1477,EQ_CE!D:D)</f>
        <v>2771.7474999999999</v>
      </c>
      <c r="G1477" s="203">
        <f>+SUMIF('AUX-NIV1'!I:I,Recursos!C1477,'AUX-NIV1'!Q:Q)+SUMIF('AUX-NIV2'!I:I,Recursos!C1477,'AUX-NIV2'!Q:Q)+SUMIF('AUX-NIV3'!I:I,Recursos!C1477,'AUX-NIV3'!Q:Q)</f>
        <v>0</v>
      </c>
      <c r="H1477" s="204">
        <f t="shared" si="136"/>
        <v>0</v>
      </c>
      <c r="I1477" s="366">
        <f t="shared" si="137"/>
        <v>0</v>
      </c>
      <c r="J1477" s="390">
        <f>+IF(A1477=1,SUMIF(EQ_CE!B:B,Recursos!C1477,EQ_CE!T:T),0)</f>
        <v>0</v>
      </c>
    </row>
    <row r="1478" spans="1:10">
      <c r="B1478" s="222"/>
      <c r="C1478" s="771" t="s">
        <v>1565</v>
      </c>
      <c r="D1478" s="209" t="s">
        <v>856</v>
      </c>
      <c r="E1478" s="201" t="s">
        <v>769</v>
      </c>
      <c r="F1478" s="202">
        <f>+SUMIF(EQ_CE!B:B,Recursos!C1478,EQ_CE!D:D)</f>
        <v>6202.252114285714</v>
      </c>
      <c r="G1478" s="203">
        <f>+SUMIF('AUX-NIV1'!I:I,Recursos!C1478,'AUX-NIV1'!Q:Q)+SUMIF('AUX-NIV2'!I:I,Recursos!C1478,'AUX-NIV2'!Q:Q)+SUMIF('AUX-NIV3'!I:I,Recursos!C1478,'AUX-NIV3'!Q:Q)</f>
        <v>0</v>
      </c>
      <c r="H1478" s="204">
        <f t="shared" si="136"/>
        <v>0</v>
      </c>
      <c r="I1478" s="366">
        <f t="shared" si="137"/>
        <v>0</v>
      </c>
      <c r="J1478" s="390">
        <f>+IF(A1478=1,SUMIF(EQ_CE!B:B,Recursos!C1478,EQ_CE!T:T),0)</f>
        <v>0</v>
      </c>
    </row>
    <row r="1479" spans="1:10">
      <c r="B1479" s="222"/>
      <c r="C1479" s="771" t="s">
        <v>1566</v>
      </c>
      <c r="D1479" s="209" t="s">
        <v>857</v>
      </c>
      <c r="E1479" s="201" t="s">
        <v>769</v>
      </c>
      <c r="F1479" s="202">
        <f>+SUMIF(EQ_CE!B:B,Recursos!C1479,EQ_CE!D:D)</f>
        <v>8320.7725714285716</v>
      </c>
      <c r="G1479" s="203">
        <f>+SUMIF('AUX-NIV1'!I:I,Recursos!C1479,'AUX-NIV1'!Q:Q)+SUMIF('AUX-NIV2'!I:I,Recursos!C1479,'AUX-NIV2'!Q:Q)+SUMIF('AUX-NIV3'!I:I,Recursos!C1479,'AUX-NIV3'!Q:Q)</f>
        <v>0</v>
      </c>
      <c r="H1479" s="204">
        <f t="shared" si="136"/>
        <v>0</v>
      </c>
      <c r="I1479" s="366">
        <f t="shared" si="137"/>
        <v>0</v>
      </c>
      <c r="J1479" s="390">
        <f>+IF(A1479=1,SUMIF(EQ_CE!B:B,Recursos!C1479,EQ_CE!T:T),0)</f>
        <v>0</v>
      </c>
    </row>
    <row r="1480" spans="1:10">
      <c r="B1480" s="222"/>
      <c r="C1480" s="771" t="s">
        <v>1559</v>
      </c>
      <c r="D1480" s="209" t="s">
        <v>815</v>
      </c>
      <c r="E1480" s="201" t="s">
        <v>769</v>
      </c>
      <c r="F1480" s="202">
        <f>+SUMIF(EQ_CE!B:B,Recursos!C1480,EQ_CE!D:D)</f>
        <v>1707.2485714285713</v>
      </c>
      <c r="G1480" s="203">
        <f>+SUMIF('AUX-NIV1'!I:I,Recursos!C1480,'AUX-NIV1'!Q:Q)+SUMIF('AUX-NIV2'!I:I,Recursos!C1480,'AUX-NIV2'!Q:Q)+SUMIF('AUX-NIV3'!I:I,Recursos!C1480,'AUX-NIV3'!Q:Q)</f>
        <v>0</v>
      </c>
      <c r="H1480" s="204">
        <f t="shared" si="136"/>
        <v>0</v>
      </c>
      <c r="I1480" s="366">
        <f t="shared" si="137"/>
        <v>0</v>
      </c>
      <c r="J1480" s="390">
        <f>+IF(A1480=1,SUMIF(EQ_CE!B:B,Recursos!C1480,EQ_CE!T:T),0)</f>
        <v>0</v>
      </c>
    </row>
    <row r="1481" spans="1:10">
      <c r="B1481" s="222"/>
      <c r="C1481" s="771" t="s">
        <v>1615</v>
      </c>
      <c r="D1481" s="209" t="s">
        <v>976</v>
      </c>
      <c r="E1481" s="201" t="s">
        <v>769</v>
      </c>
      <c r="F1481" s="202">
        <f>+SUMIF(EQ_CE!B:B,Recursos!C1481,EQ_CE!D:D)</f>
        <v>2415.7289999999998</v>
      </c>
      <c r="G1481" s="203">
        <f>+SUMIF('AUX-NIV1'!I:I,Recursos!C1481,'AUX-NIV1'!Q:Q)+SUMIF('AUX-NIV2'!I:I,Recursos!C1481,'AUX-NIV2'!Q:Q)+SUMIF('AUX-NIV3'!I:I,Recursos!C1481,'AUX-NIV3'!Q:Q)</f>
        <v>0</v>
      </c>
      <c r="H1481" s="204">
        <f t="shared" si="136"/>
        <v>0</v>
      </c>
      <c r="I1481" s="366">
        <f t="shared" si="137"/>
        <v>0</v>
      </c>
      <c r="J1481" s="390">
        <f>+IF(A1481=1,SUMIF(EQ_CE!B:B,Recursos!C1481,EQ_CE!T:T),0)</f>
        <v>0</v>
      </c>
    </row>
    <row r="1482" spans="1:10">
      <c r="A1482" s="83">
        <v>1</v>
      </c>
      <c r="B1482" s="222"/>
      <c r="C1482" s="771" t="s">
        <v>1718</v>
      </c>
      <c r="D1482" s="209" t="s">
        <v>3707</v>
      </c>
      <c r="E1482" s="201" t="s">
        <v>769</v>
      </c>
      <c r="F1482" s="202">
        <f>+SUMIF(EQ_CE!B:B,Recursos!C1482,EQ_CE!D:D)</f>
        <v>4447.1589777777781</v>
      </c>
      <c r="G1482" s="203">
        <f>+SUMIF('AUX-NIV1'!I:I,Recursos!C1482,'AUX-NIV1'!Q:Q)+SUMIF('AUX-NIV2'!I:I,Recursos!C1482,'AUX-NIV2'!Q:Q)+SUMIF('AUX-NIV3'!I:I,Recursos!C1482,'AUX-NIV3'!Q:Q)</f>
        <v>0</v>
      </c>
      <c r="H1482" s="204">
        <f t="shared" si="136"/>
        <v>0</v>
      </c>
      <c r="I1482" s="366">
        <f t="shared" si="137"/>
        <v>0</v>
      </c>
      <c r="J1482" s="390">
        <f>+IF(A1482=1,SUMIF(EQ_CE!B:B,Recursos!C1482,EQ_CE!T:T),0)</f>
        <v>1218.39536</v>
      </c>
    </row>
    <row r="1483" spans="1:10">
      <c r="B1483" s="222"/>
      <c r="C1483" s="771" t="s">
        <v>1563</v>
      </c>
      <c r="D1483" s="209" t="s">
        <v>854</v>
      </c>
      <c r="E1483" s="201" t="s">
        <v>769</v>
      </c>
      <c r="F1483" s="202">
        <f>+SUMIF(EQ_CE!B:B,Recursos!C1483,EQ_CE!D:D)</f>
        <v>2430.5830389610392</v>
      </c>
      <c r="G1483" s="203">
        <f>+SUMIF('AUX-NIV1'!I:I,Recursos!C1483,'AUX-NIV1'!Q:Q)+SUMIF('AUX-NIV2'!I:I,Recursos!C1483,'AUX-NIV2'!Q:Q)+SUMIF('AUX-NIV3'!I:I,Recursos!C1483,'AUX-NIV3'!Q:Q)</f>
        <v>0</v>
      </c>
      <c r="H1483" s="204">
        <f t="shared" si="136"/>
        <v>0</v>
      </c>
      <c r="I1483" s="366">
        <f t="shared" si="137"/>
        <v>0</v>
      </c>
      <c r="J1483" s="390">
        <f>+IF(A1483=1,SUMIF(EQ_CE!B:B,Recursos!C1483,EQ_CE!T:T),0)</f>
        <v>0</v>
      </c>
    </row>
    <row r="1484" spans="1:10">
      <c r="B1484" s="222"/>
      <c r="C1484" s="771" t="s">
        <v>1562</v>
      </c>
      <c r="D1484" s="209" t="s">
        <v>853</v>
      </c>
      <c r="E1484" s="201" t="s">
        <v>769</v>
      </c>
      <c r="F1484" s="202">
        <f>+SUMIF(EQ_CE!B:B,Recursos!C1484,EQ_CE!D:D)</f>
        <v>1747.7965714285715</v>
      </c>
      <c r="G1484" s="203">
        <f>+SUMIF('AUX-NIV1'!I:I,Recursos!C1484,'AUX-NIV1'!Q:Q)+SUMIF('AUX-NIV2'!I:I,Recursos!C1484,'AUX-NIV2'!Q:Q)+SUMIF('AUX-NIV3'!I:I,Recursos!C1484,'AUX-NIV3'!Q:Q)</f>
        <v>0</v>
      </c>
      <c r="H1484" s="204">
        <f t="shared" si="136"/>
        <v>0</v>
      </c>
      <c r="I1484" s="366">
        <f t="shared" si="137"/>
        <v>0</v>
      </c>
      <c r="J1484" s="390">
        <f>+IF(A1484=1,SUMIF(EQ_CE!B:B,Recursos!C1484,EQ_CE!T:T),0)</f>
        <v>0</v>
      </c>
    </row>
    <row r="1485" spans="1:10">
      <c r="B1485" s="222"/>
      <c r="C1485" s="771" t="s">
        <v>1676</v>
      </c>
      <c r="D1485" s="209" t="s">
        <v>1677</v>
      </c>
      <c r="E1485" s="201" t="s">
        <v>769</v>
      </c>
      <c r="F1485" s="202">
        <f>+SUMIF(EQ_CE!B:B,Recursos!C1485,EQ_CE!D:D)</f>
        <v>2281.2949000000003</v>
      </c>
      <c r="G1485" s="203">
        <f>+SUMIF('AUX-NIV1'!I:I,Recursos!C1485,'AUX-NIV1'!Q:Q)+SUMIF('AUX-NIV2'!I:I,Recursos!C1485,'AUX-NIV2'!Q:Q)+SUMIF('AUX-NIV3'!I:I,Recursos!C1485,'AUX-NIV3'!Q:Q)</f>
        <v>0</v>
      </c>
      <c r="H1485" s="204">
        <f t="shared" si="136"/>
        <v>0</v>
      </c>
      <c r="I1485" s="366">
        <f t="shared" si="137"/>
        <v>0</v>
      </c>
      <c r="J1485" s="390">
        <f>+IF(A1485=1,SUMIF(EQ_CE!B:B,Recursos!C1485,EQ_CE!T:T),0)</f>
        <v>0</v>
      </c>
    </row>
    <row r="1486" spans="1:10">
      <c r="B1486" s="222"/>
      <c r="C1486" s="771" t="s">
        <v>1557</v>
      </c>
      <c r="D1486" s="209" t="s">
        <v>813</v>
      </c>
      <c r="E1486" s="201" t="s">
        <v>769</v>
      </c>
      <c r="F1486" s="202">
        <f>+SUMIF(EQ_CE!B:B,Recursos!C1486,EQ_CE!D:D)</f>
        <v>3156.8051111111108</v>
      </c>
      <c r="G1486" s="203">
        <f>+SUMIF('AUX-NIV1'!I:I,Recursos!C1486,'AUX-NIV1'!Q:Q)+SUMIF('AUX-NIV2'!I:I,Recursos!C1486,'AUX-NIV2'!Q:Q)+SUMIF('AUX-NIV3'!I:I,Recursos!C1486,'AUX-NIV3'!Q:Q)</f>
        <v>0</v>
      </c>
      <c r="H1486" s="204">
        <f t="shared" si="136"/>
        <v>0</v>
      </c>
      <c r="I1486" s="366">
        <f t="shared" si="137"/>
        <v>0</v>
      </c>
      <c r="J1486" s="390">
        <f>+IF(A1486=1,SUMIF(EQ_CE!B:B,Recursos!C1486,EQ_CE!T:T),0)</f>
        <v>0</v>
      </c>
    </row>
    <row r="1487" spans="1:10">
      <c r="B1487" s="222"/>
      <c r="C1487" s="771" t="s">
        <v>1678</v>
      </c>
      <c r="D1487" s="209" t="s">
        <v>1679</v>
      </c>
      <c r="E1487" s="201" t="s">
        <v>769</v>
      </c>
      <c r="F1487" s="202">
        <f>+SUMIF(EQ_CE!B:B,Recursos!C1487,EQ_CE!D:D)</f>
        <v>5017.3932999999997</v>
      </c>
      <c r="G1487" s="203">
        <f>+SUMIF('AUX-NIV1'!I:I,Recursos!C1487,'AUX-NIV1'!Q:Q)+SUMIF('AUX-NIV2'!I:I,Recursos!C1487,'AUX-NIV2'!Q:Q)+SUMIF('AUX-NIV3'!I:I,Recursos!C1487,'AUX-NIV3'!Q:Q)</f>
        <v>0</v>
      </c>
      <c r="H1487" s="204">
        <f t="shared" si="136"/>
        <v>0</v>
      </c>
      <c r="I1487" s="366">
        <f t="shared" si="137"/>
        <v>0</v>
      </c>
      <c r="J1487" s="390">
        <f>+IF(A1487=1,SUMIF(EQ_CE!B:B,Recursos!C1487,EQ_CE!T:T),0)</f>
        <v>0</v>
      </c>
    </row>
    <row r="1488" spans="1:10">
      <c r="B1488" s="222"/>
      <c r="C1488" s="771" t="s">
        <v>1558</v>
      </c>
      <c r="D1488" s="209" t="s">
        <v>814</v>
      </c>
      <c r="E1488" s="201" t="s">
        <v>769</v>
      </c>
      <c r="F1488" s="202">
        <f>+SUMIF(EQ_CE!B:B,Recursos!C1488,EQ_CE!D:D)</f>
        <v>1646.0185714285717</v>
      </c>
      <c r="G1488" s="203">
        <f>+SUMIF('AUX-NIV1'!I:I,Recursos!C1488,'AUX-NIV1'!Q:Q)+SUMIF('AUX-NIV2'!I:I,Recursos!C1488,'AUX-NIV2'!Q:Q)+SUMIF('AUX-NIV3'!I:I,Recursos!C1488,'AUX-NIV3'!Q:Q)</f>
        <v>0</v>
      </c>
      <c r="H1488" s="204">
        <f t="shared" si="136"/>
        <v>0</v>
      </c>
      <c r="I1488" s="366">
        <f t="shared" si="137"/>
        <v>0</v>
      </c>
      <c r="J1488" s="390">
        <f>+IF(A1488=1,SUMIF(EQ_CE!B:B,Recursos!C1488,EQ_CE!T:T),0)</f>
        <v>0</v>
      </c>
    </row>
    <row r="1489" spans="1:10">
      <c r="B1489" s="222"/>
      <c r="C1489" s="771" t="s">
        <v>1674</v>
      </c>
      <c r="D1489" s="209" t="s">
        <v>1675</v>
      </c>
      <c r="E1489" s="201" t="s">
        <v>769</v>
      </c>
      <c r="F1489" s="202">
        <f>+SUMIF(EQ_CE!B:B,Recursos!C1489,EQ_CE!D:D)</f>
        <v>4632.3922000000002</v>
      </c>
      <c r="G1489" s="203">
        <f>+SUMIF('AUX-NIV1'!I:I,Recursos!C1489,'AUX-NIV1'!Q:Q)+SUMIF('AUX-NIV2'!I:I,Recursos!C1489,'AUX-NIV2'!Q:Q)+SUMIF('AUX-NIV3'!I:I,Recursos!C1489,'AUX-NIV3'!Q:Q)</f>
        <v>0</v>
      </c>
      <c r="H1489" s="204">
        <f t="shared" si="136"/>
        <v>0</v>
      </c>
      <c r="I1489" s="366">
        <f t="shared" si="137"/>
        <v>0</v>
      </c>
      <c r="J1489" s="390">
        <f>+IF(A1489=1,SUMIF(EQ_CE!B:B,Recursos!C1489,EQ_CE!T:T),0)</f>
        <v>0</v>
      </c>
    </row>
    <row r="1490" spans="1:10">
      <c r="B1490" s="222"/>
      <c r="C1490" s="771" t="s">
        <v>1591</v>
      </c>
      <c r="D1490" s="209" t="s">
        <v>953</v>
      </c>
      <c r="E1490" s="201" t="s">
        <v>769</v>
      </c>
      <c r="F1490" s="202">
        <f>+SUMIF(EQ_CE!B:B,Recursos!C1490,EQ_CE!D:D)</f>
        <v>1299.2185714285715</v>
      </c>
      <c r="G1490" s="203">
        <f>+SUMIF('AUX-NIV1'!I:I,Recursos!C1490,'AUX-NIV1'!Q:Q)+SUMIF('AUX-NIV2'!I:I,Recursos!C1490,'AUX-NIV2'!Q:Q)+SUMIF('AUX-NIV3'!I:I,Recursos!C1490,'AUX-NIV3'!Q:Q)</f>
        <v>0</v>
      </c>
      <c r="H1490" s="204">
        <f t="shared" si="136"/>
        <v>0</v>
      </c>
      <c r="I1490" s="366">
        <f t="shared" si="137"/>
        <v>0</v>
      </c>
      <c r="J1490" s="390">
        <f>+IF(A1490=1,SUMIF(EQ_CE!B:B,Recursos!C1490,EQ_CE!T:T),0)</f>
        <v>0</v>
      </c>
    </row>
    <row r="1491" spans="1:10">
      <c r="B1491" s="222"/>
      <c r="C1491" s="771" t="s">
        <v>1555</v>
      </c>
      <c r="D1491" s="209" t="s">
        <v>811</v>
      </c>
      <c r="E1491" s="201" t="s">
        <v>769</v>
      </c>
      <c r="F1491" s="202">
        <f>+SUMIF(EQ_CE!B:B,Recursos!C1491,EQ_CE!D:D)</f>
        <v>3333.261</v>
      </c>
      <c r="G1491" s="203">
        <f>+SUMIF('AUX-NIV1'!I:I,Recursos!C1491,'AUX-NIV1'!Q:Q)+SUMIF('AUX-NIV2'!I:I,Recursos!C1491,'AUX-NIV2'!Q:Q)+SUMIF('AUX-NIV3'!I:I,Recursos!C1491,'AUX-NIV3'!Q:Q)</f>
        <v>0.86764086167800447</v>
      </c>
      <c r="H1491" s="204">
        <f t="shared" si="136"/>
        <v>2892.0734462376868</v>
      </c>
      <c r="I1491" s="366">
        <f t="shared" si="137"/>
        <v>8.9141677854094378E-3</v>
      </c>
      <c r="J1491" s="390">
        <f>+IF(A1491=1,SUMIF(EQ_CE!B:B,Recursos!C1491,EQ_CE!T:T),0)</f>
        <v>0</v>
      </c>
    </row>
    <row r="1492" spans="1:10">
      <c r="A1492" s="83">
        <v>1</v>
      </c>
      <c r="B1492" s="222">
        <v>21</v>
      </c>
      <c r="C1492" s="771" t="s">
        <v>1556</v>
      </c>
      <c r="D1492" s="209" t="s">
        <v>812</v>
      </c>
      <c r="E1492" s="201" t="s">
        <v>769</v>
      </c>
      <c r="F1492" s="202">
        <f>+SUMIF(EQ_CE!B:B,Recursos!C1492,EQ_CE!D:D)</f>
        <v>2547.7823376623378</v>
      </c>
      <c r="G1492" s="203">
        <f>+SUMIF('AUX-NIV1'!I:I,Recursos!C1492,'AUX-NIV1'!Q:Q)+SUMIF('AUX-NIV2'!I:I,Recursos!C1492,'AUX-NIV2'!Q:Q)+SUMIF('AUX-NIV3'!I:I,Recursos!C1492,'AUX-NIV3'!Q:Q)</f>
        <v>0</v>
      </c>
      <c r="H1492" s="204">
        <f t="shared" si="136"/>
        <v>0</v>
      </c>
      <c r="I1492" s="366">
        <f t="shared" si="137"/>
        <v>0</v>
      </c>
      <c r="J1492" s="390">
        <f>+IF(A1492=1,SUMIF(EQ_CE!B:B,Recursos!C1492,EQ_CE!T:T),0)</f>
        <v>363.66909090909087</v>
      </c>
    </row>
    <row r="1493" spans="1:10">
      <c r="B1493" s="222"/>
      <c r="C1493" s="771" t="s">
        <v>1672</v>
      </c>
      <c r="D1493" s="209" t="s">
        <v>1673</v>
      </c>
      <c r="E1493" s="201" t="s">
        <v>769</v>
      </c>
      <c r="F1493" s="202">
        <f>+SUMIF(EQ_CE!B:B,Recursos!C1493,EQ_CE!D:D)</f>
        <v>4262.8895600000005</v>
      </c>
      <c r="G1493" s="203">
        <f>+SUMIF('AUX-NIV1'!I:I,Recursos!C1493,'AUX-NIV1'!Q:Q)+SUMIF('AUX-NIV2'!I:I,Recursos!C1493,'AUX-NIV2'!Q:Q)+SUMIF('AUX-NIV3'!I:I,Recursos!C1493,'AUX-NIV3'!Q:Q)</f>
        <v>0</v>
      </c>
      <c r="H1493" s="204">
        <f t="shared" si="136"/>
        <v>0</v>
      </c>
      <c r="I1493" s="366">
        <f t="shared" si="137"/>
        <v>0</v>
      </c>
      <c r="J1493" s="390">
        <f>+IF(A1493=1,SUMIF(EQ_CE!B:B,Recursos!C1493,EQ_CE!T:T),0)</f>
        <v>0</v>
      </c>
    </row>
    <row r="1494" spans="1:10">
      <c r="B1494" s="222">
        <v>20</v>
      </c>
      <c r="C1494" s="771" t="s">
        <v>1582</v>
      </c>
      <c r="D1494" s="209" t="s">
        <v>873</v>
      </c>
      <c r="E1494" s="201" t="s">
        <v>769</v>
      </c>
      <c r="F1494" s="202">
        <f>+SUMIF(EQ_CE!B:B,Recursos!C1494,EQ_CE!D:D)</f>
        <v>924.5053333333334</v>
      </c>
      <c r="G1494" s="203">
        <f>+SUMIF('AUX-NIV1'!I:I,Recursos!C1494,'AUX-NIV1'!Q:Q)+SUMIF('AUX-NIV2'!I:I,Recursos!C1494,'AUX-NIV2'!Q:Q)+SUMIF('AUX-NIV3'!I:I,Recursos!C1494,'AUX-NIV3'!Q:Q)</f>
        <v>0</v>
      </c>
      <c r="H1494" s="204">
        <f t="shared" si="136"/>
        <v>0</v>
      </c>
      <c r="I1494" s="366">
        <f t="shared" si="137"/>
        <v>0</v>
      </c>
      <c r="J1494" s="390">
        <f>+IF(A1494=1,SUMIF(EQ_CE!B:B,Recursos!C1494,EQ_CE!T:T),0)</f>
        <v>0</v>
      </c>
    </row>
    <row r="1495" spans="1:10">
      <c r="B1495" s="222"/>
      <c r="C1495" s="206" t="s">
        <v>1541</v>
      </c>
      <c r="D1495" s="207" t="s">
        <v>774</v>
      </c>
      <c r="E1495" s="201" t="s">
        <v>769</v>
      </c>
      <c r="F1495" s="202">
        <f>+SUMIF(EQ_CE!B:B,Recursos!C1495,EQ_CE!D:D)</f>
        <v>2143.5611666666664</v>
      </c>
      <c r="G1495" s="203">
        <f>+SUMIF('AUX-NIV1'!I:I,Recursos!C1495,'AUX-NIV1'!Q:Q)+SUMIF('AUX-NIV2'!I:I,Recursos!C1495,'AUX-NIV2'!Q:Q)+SUMIF('AUX-NIV3'!I:I,Recursos!C1495,'AUX-NIV3'!Q:Q)</f>
        <v>0</v>
      </c>
      <c r="H1495" s="204">
        <f t="shared" si="136"/>
        <v>0</v>
      </c>
      <c r="I1495" s="366">
        <f t="shared" si="137"/>
        <v>0</v>
      </c>
      <c r="J1495" s="390">
        <f>+IF(A1495=1,SUMIF(EQ_CE!B:B,Recursos!C1495,EQ_CE!T:T),0)</f>
        <v>0</v>
      </c>
    </row>
    <row r="1496" spans="1:10">
      <c r="B1496" s="222"/>
      <c r="C1496" s="206" t="s">
        <v>1542</v>
      </c>
      <c r="D1496" s="207" t="s">
        <v>775</v>
      </c>
      <c r="E1496" s="201" t="s">
        <v>769</v>
      </c>
      <c r="F1496" s="202">
        <f>+SUMIF(EQ_CE!B:B,Recursos!C1496,EQ_CE!D:D)</f>
        <v>3152.8359999999998</v>
      </c>
      <c r="G1496" s="203">
        <f>+SUMIF('AUX-NIV1'!I:I,Recursos!C1496,'AUX-NIV1'!Q:Q)+SUMIF('AUX-NIV2'!I:I,Recursos!C1496,'AUX-NIV2'!Q:Q)+SUMIF('AUX-NIV3'!I:I,Recursos!C1496,'AUX-NIV3'!Q:Q)</f>
        <v>0.39563999999999994</v>
      </c>
      <c r="H1496" s="204">
        <f t="shared" si="136"/>
        <v>1247.3880350399997</v>
      </c>
      <c r="I1496" s="366">
        <f t="shared" si="137"/>
        <v>3.8447938631448191E-3</v>
      </c>
      <c r="J1496" s="390">
        <f>+IF(A1496=1,SUMIF(EQ_CE!B:B,Recursos!C1496,EQ_CE!T:T),0)</f>
        <v>0</v>
      </c>
    </row>
    <row r="1497" spans="1:10">
      <c r="B1497" s="222"/>
      <c r="C1497" s="206" t="s">
        <v>1543</v>
      </c>
      <c r="D1497" s="207" t="s">
        <v>776</v>
      </c>
      <c r="E1497" s="201" t="s">
        <v>769</v>
      </c>
      <c r="F1497" s="202">
        <f>+SUMIF(EQ_CE!B:B,Recursos!C1497,EQ_CE!D:D)</f>
        <v>4370.2094545454547</v>
      </c>
      <c r="G1497" s="203">
        <f>+SUMIF('AUX-NIV1'!I:I,Recursos!C1497,'AUX-NIV1'!Q:Q)+SUMIF('AUX-NIV2'!I:I,Recursos!C1497,'AUX-NIV2'!Q:Q)+SUMIF('AUX-NIV3'!I:I,Recursos!C1497,'AUX-NIV3'!Q:Q)</f>
        <v>2.5200000000000001E-3</v>
      </c>
      <c r="H1497" s="204">
        <f t="shared" si="136"/>
        <v>11.012927825454547</v>
      </c>
      <c r="I1497" s="366">
        <f t="shared" si="137"/>
        <v>3.3944880124817514E-5</v>
      </c>
      <c r="J1497" s="390">
        <f>+IF(A1497=1,SUMIF(EQ_CE!B:B,Recursos!C1497,EQ_CE!T:T),0)</f>
        <v>0</v>
      </c>
    </row>
    <row r="1498" spans="1:10">
      <c r="B1498" s="222"/>
      <c r="C1498" s="206" t="s">
        <v>1632</v>
      </c>
      <c r="D1498" s="207" t="s">
        <v>1000</v>
      </c>
      <c r="E1498" s="201" t="s">
        <v>769</v>
      </c>
      <c r="F1498" s="202">
        <f>+SUMIF(EQ_CE!B:B,Recursos!C1498,EQ_CE!D:D)</f>
        <v>5816.7703999999994</v>
      </c>
      <c r="G1498" s="203">
        <f>+SUMIF('AUX-NIV1'!I:I,Recursos!C1498,'AUX-NIV1'!Q:Q)+SUMIF('AUX-NIV2'!I:I,Recursos!C1498,'AUX-NIV2'!Q:Q)+SUMIF('AUX-NIV3'!I:I,Recursos!C1498,'AUX-NIV3'!Q:Q)</f>
        <v>0</v>
      </c>
      <c r="H1498" s="204">
        <f t="shared" si="136"/>
        <v>0</v>
      </c>
      <c r="I1498" s="366">
        <f t="shared" si="137"/>
        <v>0</v>
      </c>
      <c r="J1498" s="390">
        <f>+IF(A1498=1,SUMIF(EQ_CE!B:B,Recursos!C1498,EQ_CE!T:T),0)</f>
        <v>0</v>
      </c>
    </row>
    <row r="1499" spans="1:10">
      <c r="B1499" s="222"/>
      <c r="C1499" s="206" t="s">
        <v>1657</v>
      </c>
      <c r="D1499" s="207" t="s">
        <v>1658</v>
      </c>
      <c r="E1499" s="201" t="s">
        <v>769</v>
      </c>
      <c r="F1499" s="202">
        <f>+SUMIF(EQ_CE!B:B,Recursos!C1499,EQ_CE!D:D)</f>
        <v>2232.6505999999999</v>
      </c>
      <c r="G1499" s="203">
        <f>+SUMIF('AUX-NIV1'!I:I,Recursos!C1499,'AUX-NIV1'!Q:Q)+SUMIF('AUX-NIV2'!I:I,Recursos!C1499,'AUX-NIV2'!Q:Q)+SUMIF('AUX-NIV3'!I:I,Recursos!C1499,'AUX-NIV3'!Q:Q)</f>
        <v>0</v>
      </c>
      <c r="H1499" s="204">
        <f t="shared" si="136"/>
        <v>0</v>
      </c>
      <c r="I1499" s="366">
        <f t="shared" si="137"/>
        <v>0</v>
      </c>
      <c r="J1499" s="390">
        <f>+IF(A1499=1,SUMIF(EQ_CE!B:B,Recursos!C1499,EQ_CE!T:T),0)</f>
        <v>0</v>
      </c>
    </row>
    <row r="1500" spans="1:10">
      <c r="B1500" s="222"/>
      <c r="C1500" s="206" t="s">
        <v>1659</v>
      </c>
      <c r="D1500" s="207" t="s">
        <v>1660</v>
      </c>
      <c r="E1500" s="201" t="s">
        <v>769</v>
      </c>
      <c r="F1500" s="202">
        <f>+SUMIF(EQ_CE!B:B,Recursos!C1500,EQ_CE!D:D)</f>
        <v>3724.9622000000004</v>
      </c>
      <c r="G1500" s="203">
        <f>+SUMIF('AUX-NIV1'!I:I,Recursos!C1500,'AUX-NIV1'!Q:Q)+SUMIF('AUX-NIV2'!I:I,Recursos!C1500,'AUX-NIV2'!Q:Q)+SUMIF('AUX-NIV3'!I:I,Recursos!C1500,'AUX-NIV3'!Q:Q)</f>
        <v>0</v>
      </c>
      <c r="H1500" s="204">
        <f t="shared" si="136"/>
        <v>0</v>
      </c>
      <c r="I1500" s="366">
        <f t="shared" si="137"/>
        <v>0</v>
      </c>
      <c r="J1500" s="390">
        <f>+IF(A1500=1,SUMIF(EQ_CE!B:B,Recursos!C1500,EQ_CE!T:T),0)</f>
        <v>0</v>
      </c>
    </row>
    <row r="1501" spans="1:10">
      <c r="B1501" s="222"/>
      <c r="C1501" s="206" t="s">
        <v>1661</v>
      </c>
      <c r="D1501" s="207" t="s">
        <v>1662</v>
      </c>
      <c r="E1501" s="201" t="s">
        <v>769</v>
      </c>
      <c r="F1501" s="202">
        <f>+SUMIF(EQ_CE!B:B,Recursos!C1501,EQ_CE!D:D)</f>
        <v>3988.8908000000001</v>
      </c>
      <c r="G1501" s="203">
        <f>+SUMIF('AUX-NIV1'!I:I,Recursos!C1501,'AUX-NIV1'!Q:Q)+SUMIF('AUX-NIV2'!I:I,Recursos!C1501,'AUX-NIV2'!Q:Q)+SUMIF('AUX-NIV3'!I:I,Recursos!C1501,'AUX-NIV3'!Q:Q)</f>
        <v>0</v>
      </c>
      <c r="H1501" s="204">
        <f t="shared" si="136"/>
        <v>0</v>
      </c>
      <c r="I1501" s="366">
        <f t="shared" si="137"/>
        <v>0</v>
      </c>
      <c r="J1501" s="390">
        <f>+IF(A1501=1,SUMIF(EQ_CE!B:B,Recursos!C1501,EQ_CE!T:T),0)</f>
        <v>0</v>
      </c>
    </row>
    <row r="1502" spans="1:10">
      <c r="B1502" s="222"/>
      <c r="C1502" s="206" t="s">
        <v>1663</v>
      </c>
      <c r="D1502" s="207" t="s">
        <v>1662</v>
      </c>
      <c r="E1502" s="201" t="s">
        <v>769</v>
      </c>
      <c r="F1502" s="202">
        <f>+SUMIF(EQ_CE!B:B,Recursos!C1502,EQ_CE!D:D)</f>
        <v>3676.0463</v>
      </c>
      <c r="G1502" s="203">
        <f>+SUMIF('AUX-NIV1'!I:I,Recursos!C1502,'AUX-NIV1'!Q:Q)+SUMIF('AUX-NIV2'!I:I,Recursos!C1502,'AUX-NIV2'!Q:Q)+SUMIF('AUX-NIV3'!I:I,Recursos!C1502,'AUX-NIV3'!Q:Q)</f>
        <v>0</v>
      </c>
      <c r="H1502" s="204">
        <f t="shared" si="136"/>
        <v>0</v>
      </c>
      <c r="I1502" s="366">
        <f t="shared" si="137"/>
        <v>0</v>
      </c>
      <c r="J1502" s="390">
        <f>+IF(A1502=1,SUMIF(EQ_CE!B:B,Recursos!C1502,EQ_CE!T:T),0)</f>
        <v>0</v>
      </c>
    </row>
    <row r="1503" spans="1:10">
      <c r="B1503" s="222"/>
      <c r="C1503" s="206" t="s">
        <v>1544</v>
      </c>
      <c r="D1503" s="207" t="s">
        <v>777</v>
      </c>
      <c r="E1503" s="201" t="s">
        <v>769</v>
      </c>
      <c r="F1503" s="202">
        <f>+SUMIF(EQ_CE!B:B,Recursos!C1503,EQ_CE!D:D)</f>
        <v>3982.1633333333334</v>
      </c>
      <c r="G1503" s="203">
        <f>+SUMIF('AUX-NIV1'!I:I,Recursos!C1503,'AUX-NIV1'!Q:Q)+SUMIF('AUX-NIV2'!I:I,Recursos!C1503,'AUX-NIV2'!Q:Q)+SUMIF('AUX-NIV3'!I:I,Recursos!C1503,'AUX-NIV3'!Q:Q)</f>
        <v>0</v>
      </c>
      <c r="H1503" s="204">
        <f t="shared" si="136"/>
        <v>0</v>
      </c>
      <c r="I1503" s="366">
        <f t="shared" si="137"/>
        <v>0</v>
      </c>
      <c r="J1503" s="390">
        <f>+IF(A1503=1,SUMIF(EQ_CE!B:B,Recursos!C1503,EQ_CE!T:T),0)</f>
        <v>0</v>
      </c>
    </row>
    <row r="1504" spans="1:10">
      <c r="B1504" s="222"/>
      <c r="C1504" s="206" t="s">
        <v>1618</v>
      </c>
      <c r="D1504" s="207" t="s">
        <v>979</v>
      </c>
      <c r="E1504" s="201" t="s">
        <v>769</v>
      </c>
      <c r="F1504" s="202">
        <f>+SUMIF(EQ_CE!B:B,Recursos!C1504,EQ_CE!D:D)</f>
        <v>367.38</v>
      </c>
      <c r="G1504" s="203">
        <f>+SUMIF('AUX-NIV1'!I:I,Recursos!C1504,'AUX-NIV1'!Q:Q)+SUMIF('AUX-NIV2'!I:I,Recursos!C1504,'AUX-NIV2'!Q:Q)+SUMIF('AUX-NIV3'!I:I,Recursos!C1504,'AUX-NIV3'!Q:Q)</f>
        <v>0</v>
      </c>
      <c r="H1504" s="204">
        <f t="shared" si="136"/>
        <v>0</v>
      </c>
      <c r="I1504" s="366">
        <f t="shared" si="137"/>
        <v>0</v>
      </c>
      <c r="J1504" s="390">
        <f>+IF(A1504=1,SUMIF(EQ_CE!B:B,Recursos!C1504,EQ_CE!T:T),0)</f>
        <v>0</v>
      </c>
    </row>
    <row r="1505" spans="2:10">
      <c r="B1505" s="222"/>
      <c r="C1505" s="206" t="s">
        <v>1609</v>
      </c>
      <c r="D1505" s="207" t="s">
        <v>971</v>
      </c>
      <c r="E1505" s="201" t="s">
        <v>769</v>
      </c>
      <c r="F1505" s="202">
        <f>+SUMIF(EQ_CE!B:B,Recursos!C1505,EQ_CE!D:D)</f>
        <v>118.78619999999999</v>
      </c>
      <c r="G1505" s="203">
        <f>+SUMIF('AUX-NIV1'!I:I,Recursos!C1505,'AUX-NIV1'!Q:Q)+SUMIF('AUX-NIV2'!I:I,Recursos!C1505,'AUX-NIV2'!Q:Q)+SUMIF('AUX-NIV3'!I:I,Recursos!C1505,'AUX-NIV3'!Q:Q)</f>
        <v>0</v>
      </c>
      <c r="H1505" s="204">
        <f t="shared" si="136"/>
        <v>0</v>
      </c>
      <c r="I1505" s="366">
        <f t="shared" si="137"/>
        <v>0</v>
      </c>
      <c r="J1505" s="390">
        <f>+IF(A1505=1,SUMIF(EQ_CE!B:B,Recursos!C1505,EQ_CE!T:T),0)</f>
        <v>0</v>
      </c>
    </row>
    <row r="1506" spans="2:10">
      <c r="B1506" s="222"/>
      <c r="C1506" s="206" t="s">
        <v>1528</v>
      </c>
      <c r="D1506" s="207" t="s">
        <v>1534</v>
      </c>
      <c r="E1506" s="201" t="s">
        <v>769</v>
      </c>
      <c r="F1506" s="202">
        <f>+SUMIF(EQ_CE!B:B,Recursos!C1506,EQ_CE!D:D)</f>
        <v>140.95146</v>
      </c>
      <c r="G1506" s="203">
        <f>+SUMIF('AUX-NIV1'!I:I,Recursos!C1506,'AUX-NIV1'!Q:Q)+SUMIF('AUX-NIV2'!I:I,Recursos!C1506,'AUX-NIV2'!Q:Q)+SUMIF('AUX-NIV3'!I:I,Recursos!C1506,'AUX-NIV3'!Q:Q)</f>
        <v>0</v>
      </c>
      <c r="H1506" s="204">
        <f t="shared" si="136"/>
        <v>0</v>
      </c>
      <c r="I1506" s="366">
        <f t="shared" si="137"/>
        <v>0</v>
      </c>
      <c r="J1506" s="390">
        <f>+IF(A1506=1,SUMIF(EQ_CE!B:B,Recursos!C1506,EQ_CE!T:T),0)</f>
        <v>0</v>
      </c>
    </row>
    <row r="1507" spans="2:10">
      <c r="B1507" s="222"/>
      <c r="C1507" s="206" t="s">
        <v>1651</v>
      </c>
      <c r="D1507" s="207" t="s">
        <v>1015</v>
      </c>
      <c r="E1507" s="201" t="s">
        <v>769</v>
      </c>
      <c r="F1507" s="202">
        <f>+SUMIF(EQ_CE!B:B,Recursos!C1507,EQ_CE!D:D)</f>
        <v>310.85999999999996</v>
      </c>
      <c r="G1507" s="203">
        <f>+SUMIF('AUX-NIV1'!I:I,Recursos!C1507,'AUX-NIV1'!Q:Q)+SUMIF('AUX-NIV2'!I:I,Recursos!C1507,'AUX-NIV2'!Q:Q)+SUMIF('AUX-NIV3'!I:I,Recursos!C1507,'AUX-NIV3'!Q:Q)</f>
        <v>3.1651199999999995</v>
      </c>
      <c r="H1507" s="204">
        <f t="shared" si="136"/>
        <v>983.90920319999975</v>
      </c>
      <c r="I1507" s="366">
        <f t="shared" si="137"/>
        <v>3.0326794550612803E-3</v>
      </c>
      <c r="J1507" s="390">
        <f>+IF(A1507=1,SUMIF(EQ_CE!B:B,Recursos!C1507,EQ_CE!T:T),0)</f>
        <v>0</v>
      </c>
    </row>
    <row r="1508" spans="2:10">
      <c r="B1508" s="222"/>
      <c r="C1508" s="206" t="s">
        <v>1686</v>
      </c>
      <c r="D1508" s="207" t="s">
        <v>1687</v>
      </c>
      <c r="E1508" s="201" t="s">
        <v>769</v>
      </c>
      <c r="F1508" s="202">
        <f>+SUMIF(EQ_CE!B:B,Recursos!C1508,EQ_CE!D:D)</f>
        <v>2056.3764000000001</v>
      </c>
      <c r="G1508" s="203">
        <f>+SUMIF('AUX-NIV1'!I:I,Recursos!C1508,'AUX-NIV1'!Q:Q)+SUMIF('AUX-NIV2'!I:I,Recursos!C1508,'AUX-NIV2'!Q:Q)+SUMIF('AUX-NIV3'!I:I,Recursos!C1508,'AUX-NIV3'!Q:Q)</f>
        <v>0</v>
      </c>
      <c r="H1508" s="204">
        <f t="shared" si="136"/>
        <v>0</v>
      </c>
      <c r="I1508" s="366">
        <f t="shared" si="137"/>
        <v>0</v>
      </c>
      <c r="J1508" s="390">
        <f>+IF(A1508=1,SUMIF(EQ_CE!B:B,Recursos!C1508,EQ_CE!T:T),0)</f>
        <v>0</v>
      </c>
    </row>
    <row r="1509" spans="2:10">
      <c r="B1509" s="222"/>
      <c r="C1509" s="206" t="s">
        <v>1684</v>
      </c>
      <c r="D1509" s="207" t="s">
        <v>1685</v>
      </c>
      <c r="E1509" s="201" t="s">
        <v>769</v>
      </c>
      <c r="F1509" s="202">
        <f>+SUMIF(EQ_CE!B:B,Recursos!C1509,EQ_CE!D:D)</f>
        <v>2080.6506600000002</v>
      </c>
      <c r="G1509" s="203">
        <f>+SUMIF('AUX-NIV1'!I:I,Recursos!C1509,'AUX-NIV1'!Q:Q)+SUMIF('AUX-NIV2'!I:I,Recursos!C1509,'AUX-NIV2'!Q:Q)+SUMIF('AUX-NIV3'!I:I,Recursos!C1509,'AUX-NIV3'!Q:Q)</f>
        <v>0</v>
      </c>
      <c r="H1509" s="204">
        <f t="shared" si="136"/>
        <v>0</v>
      </c>
      <c r="I1509" s="366">
        <f t="shared" si="137"/>
        <v>0</v>
      </c>
      <c r="J1509" s="390">
        <f>+IF(A1509=1,SUMIF(EQ_CE!B:B,Recursos!C1509,EQ_CE!T:T),0)</f>
        <v>0</v>
      </c>
    </row>
    <row r="1510" spans="2:10">
      <c r="B1510" s="222"/>
      <c r="C1510" s="206" t="s">
        <v>1682</v>
      </c>
      <c r="D1510" s="207" t="s">
        <v>1683</v>
      </c>
      <c r="E1510" s="201" t="s">
        <v>769</v>
      </c>
      <c r="F1510" s="202">
        <f>+SUMIF(EQ_CE!B:B,Recursos!C1510,EQ_CE!D:D)</f>
        <v>2026.0471399999999</v>
      </c>
      <c r="G1510" s="203">
        <f>+SUMIF('AUX-NIV1'!I:I,Recursos!C1510,'AUX-NIV1'!Q:Q)+SUMIF('AUX-NIV2'!I:I,Recursos!C1510,'AUX-NIV2'!Q:Q)+SUMIF('AUX-NIV3'!I:I,Recursos!C1510,'AUX-NIV3'!Q:Q)</f>
        <v>0</v>
      </c>
      <c r="H1510" s="204">
        <f t="shared" si="136"/>
        <v>0</v>
      </c>
      <c r="I1510" s="366">
        <f t="shared" si="137"/>
        <v>0</v>
      </c>
      <c r="J1510" s="390">
        <f>+IF(A1510=1,SUMIF(EQ_CE!B:B,Recursos!C1510,EQ_CE!T:T),0)</f>
        <v>0</v>
      </c>
    </row>
    <row r="1511" spans="2:10">
      <c r="B1511" s="222"/>
      <c r="C1511" s="206" t="s">
        <v>1567</v>
      </c>
      <c r="D1511" s="207" t="s">
        <v>858</v>
      </c>
      <c r="E1511" s="201" t="s">
        <v>769</v>
      </c>
      <c r="F1511" s="202">
        <f>+SUMIF(EQ_CE!B:B,Recursos!C1511,EQ_CE!D:D)</f>
        <v>2197.9879999999998</v>
      </c>
      <c r="G1511" s="203">
        <f>+SUMIF('AUX-NIV1'!I:I,Recursos!C1511,'AUX-NIV1'!Q:Q)+SUMIF('AUX-NIV2'!I:I,Recursos!C1511,'AUX-NIV2'!Q:Q)+SUMIF('AUX-NIV3'!I:I,Recursos!C1511,'AUX-NIV3'!Q:Q)</f>
        <v>0</v>
      </c>
      <c r="H1511" s="204">
        <f t="shared" si="136"/>
        <v>0</v>
      </c>
      <c r="I1511" s="366">
        <f t="shared" si="137"/>
        <v>0</v>
      </c>
      <c r="J1511" s="390">
        <f>+IF(A1511=1,SUMIF(EQ_CE!B:B,Recursos!C1511,EQ_CE!T:T),0)</f>
        <v>0</v>
      </c>
    </row>
    <row r="1512" spans="2:10">
      <c r="B1512" s="222"/>
      <c r="C1512" s="206" t="s">
        <v>1568</v>
      </c>
      <c r="D1512" s="207" t="s">
        <v>859</v>
      </c>
      <c r="E1512" s="201" t="s">
        <v>769</v>
      </c>
      <c r="F1512" s="202">
        <f>+SUMIF(EQ_CE!B:B,Recursos!C1512,EQ_CE!D:D)</f>
        <v>2766.4917500000001</v>
      </c>
      <c r="G1512" s="203">
        <f>+SUMIF('AUX-NIV1'!I:I,Recursos!C1512,'AUX-NIV1'!Q:Q)+SUMIF('AUX-NIV2'!I:I,Recursos!C1512,'AUX-NIV2'!Q:Q)+SUMIF('AUX-NIV3'!I:I,Recursos!C1512,'AUX-NIV3'!Q:Q)</f>
        <v>0</v>
      </c>
      <c r="H1512" s="204">
        <f t="shared" si="136"/>
        <v>0</v>
      </c>
      <c r="I1512" s="366">
        <f t="shared" si="137"/>
        <v>0</v>
      </c>
      <c r="J1512" s="390">
        <f>+IF(A1512=1,SUMIF(EQ_CE!B:B,Recursos!C1512,EQ_CE!T:T),0)</f>
        <v>0</v>
      </c>
    </row>
    <row r="1513" spans="2:10">
      <c r="B1513" s="222"/>
      <c r="C1513" s="206" t="s">
        <v>1569</v>
      </c>
      <c r="D1513" s="207" t="s">
        <v>860</v>
      </c>
      <c r="E1513" s="201" t="s">
        <v>769</v>
      </c>
      <c r="F1513" s="202">
        <f>+SUMIF(EQ_CE!B:B,Recursos!C1513,EQ_CE!D:D)</f>
        <v>1797.6897833333335</v>
      </c>
      <c r="G1513" s="203">
        <f>+SUMIF('AUX-NIV1'!I:I,Recursos!C1513,'AUX-NIV1'!Q:Q)+SUMIF('AUX-NIV2'!I:I,Recursos!C1513,'AUX-NIV2'!Q:Q)+SUMIF('AUX-NIV3'!I:I,Recursos!C1513,'AUX-NIV3'!Q:Q)</f>
        <v>0</v>
      </c>
      <c r="H1513" s="204">
        <f t="shared" si="136"/>
        <v>0</v>
      </c>
      <c r="I1513" s="366">
        <f t="shared" si="137"/>
        <v>0</v>
      </c>
      <c r="J1513" s="390">
        <f>+IF(A1513=1,SUMIF(EQ_CE!B:B,Recursos!C1513,EQ_CE!T:T),0)</f>
        <v>0</v>
      </c>
    </row>
    <row r="1514" spans="2:10">
      <c r="B1514" s="222"/>
      <c r="C1514" s="206" t="s">
        <v>1616</v>
      </c>
      <c r="D1514" s="207" t="s">
        <v>977</v>
      </c>
      <c r="E1514" s="201" t="s">
        <v>769</v>
      </c>
      <c r="F1514" s="202">
        <f>+SUMIF(EQ_CE!B:B,Recursos!C1514,EQ_CE!D:D)</f>
        <v>336.76500000000004</v>
      </c>
      <c r="G1514" s="203">
        <f>+SUMIF('AUX-NIV1'!I:I,Recursos!C1514,'AUX-NIV1'!Q:Q)+SUMIF('AUX-NIV2'!I:I,Recursos!C1514,'AUX-NIV2'!Q:Q)+SUMIF('AUX-NIV3'!I:I,Recursos!C1514,'AUX-NIV3'!Q:Q)</f>
        <v>0</v>
      </c>
      <c r="H1514" s="204">
        <f t="shared" si="136"/>
        <v>0</v>
      </c>
      <c r="I1514" s="366">
        <f t="shared" si="137"/>
        <v>0</v>
      </c>
      <c r="J1514" s="390">
        <f>+IF(A1514=1,SUMIF(EQ_CE!B:B,Recursos!C1514,EQ_CE!T:T),0)</f>
        <v>0</v>
      </c>
    </row>
    <row r="1515" spans="2:10">
      <c r="B1515" s="222"/>
      <c r="C1515" s="206" t="s">
        <v>1740</v>
      </c>
      <c r="D1515" s="207" t="s">
        <v>1741</v>
      </c>
      <c r="E1515" s="201" t="s">
        <v>769</v>
      </c>
      <c r="F1515" s="202">
        <f>+SUMIF(EQ_CE!B:B,Recursos!C1515,EQ_CE!D:D)</f>
        <v>340.19387999999998</v>
      </c>
      <c r="G1515" s="203">
        <f>+SUMIF('AUX-NIV1'!I:I,Recursos!C1515,'AUX-NIV1'!Q:Q)+SUMIF('AUX-NIV2'!I:I,Recursos!C1515,'AUX-NIV2'!Q:Q)+SUMIF('AUX-NIV3'!I:I,Recursos!C1515,'AUX-NIV3'!Q:Q)</f>
        <v>0.27636315789473681</v>
      </c>
      <c r="H1515" s="204">
        <f t="shared" si="136"/>
        <v>94.017054973263143</v>
      </c>
      <c r="I1515" s="366">
        <f t="shared" si="137"/>
        <v>2.8978648651264305E-4</v>
      </c>
      <c r="J1515" s="390">
        <f>+IF(A1515=1,SUMIF(EQ_CE!B:B,Recursos!C1515,EQ_CE!T:T),0)</f>
        <v>0</v>
      </c>
    </row>
    <row r="1516" spans="2:10">
      <c r="B1516" s="222"/>
      <c r="C1516" s="206" t="s">
        <v>1640</v>
      </c>
      <c r="D1516" s="207" t="s">
        <v>1008</v>
      </c>
      <c r="E1516" s="201" t="s">
        <v>769</v>
      </c>
      <c r="F1516" s="202">
        <f>+SUMIF(EQ_CE!B:B,Recursos!C1516,EQ_CE!D:D)</f>
        <v>898.04</v>
      </c>
      <c r="G1516" s="203">
        <f>+SUMIF('AUX-NIV1'!I:I,Recursos!C1516,'AUX-NIV1'!Q:Q)+SUMIF('AUX-NIV2'!I:I,Recursos!C1516,'AUX-NIV2'!Q:Q)+SUMIF('AUX-NIV3'!I:I,Recursos!C1516,'AUX-NIV3'!Q:Q)</f>
        <v>0</v>
      </c>
      <c r="H1516" s="204">
        <f t="shared" si="136"/>
        <v>0</v>
      </c>
      <c r="I1516" s="366">
        <f t="shared" si="137"/>
        <v>0</v>
      </c>
      <c r="J1516" s="390">
        <f>+IF(A1516=1,SUMIF(EQ_CE!B:B,Recursos!C1516,EQ_CE!T:T),0)</f>
        <v>0</v>
      </c>
    </row>
    <row r="1517" spans="2:10">
      <c r="B1517" s="222"/>
      <c r="C1517" s="206" t="s">
        <v>1710</v>
      </c>
      <c r="D1517" s="207" t="s">
        <v>1711</v>
      </c>
      <c r="E1517" s="201" t="s">
        <v>769</v>
      </c>
      <c r="F1517" s="202">
        <f>+SUMIF(EQ_CE!B:B,Recursos!C1517,EQ_CE!D:D)</f>
        <v>2167.6518599999999</v>
      </c>
      <c r="G1517" s="203">
        <f>+SUMIF('AUX-NIV1'!I:I,Recursos!C1517,'AUX-NIV1'!Q:Q)+SUMIF('AUX-NIV2'!I:I,Recursos!C1517,'AUX-NIV2'!Q:Q)+SUMIF('AUX-NIV3'!I:I,Recursos!C1517,'AUX-NIV3'!Q:Q)</f>
        <v>0</v>
      </c>
      <c r="H1517" s="204">
        <f t="shared" si="136"/>
        <v>0</v>
      </c>
      <c r="I1517" s="366">
        <f t="shared" si="137"/>
        <v>0</v>
      </c>
      <c r="J1517" s="390">
        <f>+IF(A1517=1,SUMIF(EQ_CE!B:B,Recursos!C1517,EQ_CE!T:T),0)</f>
        <v>0</v>
      </c>
    </row>
    <row r="1518" spans="2:10">
      <c r="B1518" s="222"/>
      <c r="C1518" s="206" t="s">
        <v>1601</v>
      </c>
      <c r="D1518" s="207" t="s">
        <v>963</v>
      </c>
      <c r="E1518" s="201" t="s">
        <v>769</v>
      </c>
      <c r="F1518" s="202">
        <f>+SUMIF(EQ_CE!B:B,Recursos!C1518,EQ_CE!D:D)</f>
        <v>132.66499999999999</v>
      </c>
      <c r="G1518" s="203">
        <f>+SUMIF('AUX-NIV1'!I:I,Recursos!C1518,'AUX-NIV1'!Q:Q)+SUMIF('AUX-NIV2'!I:I,Recursos!C1518,'AUX-NIV2'!Q:Q)+SUMIF('AUX-NIV3'!I:I,Recursos!C1518,'AUX-NIV3'!Q:Q)</f>
        <v>0</v>
      </c>
      <c r="H1518" s="204">
        <f t="shared" si="136"/>
        <v>0</v>
      </c>
      <c r="I1518" s="366">
        <f t="shared" si="137"/>
        <v>0</v>
      </c>
      <c r="J1518" s="390">
        <f>+IF(A1518=1,SUMIF(EQ_CE!B:B,Recursos!C1518,EQ_CE!T:T),0)</f>
        <v>0</v>
      </c>
    </row>
    <row r="1519" spans="2:10">
      <c r="B1519" s="222"/>
      <c r="C1519" s="206" t="s">
        <v>1599</v>
      </c>
      <c r="D1519" s="207" t="s">
        <v>961</v>
      </c>
      <c r="E1519" s="201" t="s">
        <v>769</v>
      </c>
      <c r="F1519" s="202">
        <f>+SUMIF(EQ_CE!B:B,Recursos!C1519,EQ_CE!D:D)</f>
        <v>76.537499999999994</v>
      </c>
      <c r="G1519" s="203">
        <f>+SUMIF('AUX-NIV1'!I:I,Recursos!C1519,'AUX-NIV1'!Q:Q)+SUMIF('AUX-NIV2'!I:I,Recursos!C1519,'AUX-NIV2'!Q:Q)+SUMIF('AUX-NIV3'!I:I,Recursos!C1519,'AUX-NIV3'!Q:Q)</f>
        <v>0</v>
      </c>
      <c r="H1519" s="204">
        <f t="shared" si="136"/>
        <v>0</v>
      </c>
      <c r="I1519" s="366">
        <f t="shared" si="137"/>
        <v>0</v>
      </c>
      <c r="J1519" s="390">
        <f>+IF(A1519=1,SUMIF(EQ_CE!B:B,Recursos!C1519,EQ_CE!T:T),0)</f>
        <v>0</v>
      </c>
    </row>
    <row r="1520" spans="2:10">
      <c r="B1520" s="222"/>
      <c r="C1520" s="206" t="s">
        <v>1600</v>
      </c>
      <c r="D1520" s="207" t="s">
        <v>962</v>
      </c>
      <c r="E1520" s="201" t="s">
        <v>769</v>
      </c>
      <c r="F1520" s="202">
        <f>+SUMIF(EQ_CE!B:B,Recursos!C1520,EQ_CE!D:D)</f>
        <v>85.722000000000008</v>
      </c>
      <c r="G1520" s="203">
        <f>+SUMIF('AUX-NIV1'!I:I,Recursos!C1520,'AUX-NIV1'!Q:Q)+SUMIF('AUX-NIV2'!I:I,Recursos!C1520,'AUX-NIV2'!Q:Q)+SUMIF('AUX-NIV3'!I:I,Recursos!C1520,'AUX-NIV3'!Q:Q)</f>
        <v>0</v>
      </c>
      <c r="H1520" s="204">
        <f t="shared" si="136"/>
        <v>0</v>
      </c>
      <c r="I1520" s="366">
        <f t="shared" si="137"/>
        <v>0</v>
      </c>
      <c r="J1520" s="390">
        <f>+IF(A1520=1,SUMIF(EQ_CE!B:B,Recursos!C1520,EQ_CE!T:T),0)</f>
        <v>0</v>
      </c>
    </row>
    <row r="1521" spans="2:10">
      <c r="B1521" s="222"/>
      <c r="C1521" s="206" t="s">
        <v>1637</v>
      </c>
      <c r="D1521" s="207" t="s">
        <v>1005</v>
      </c>
      <c r="E1521" s="201" t="s">
        <v>769</v>
      </c>
      <c r="F1521" s="202">
        <f>+SUMIF(EQ_CE!B:B,Recursos!C1521,EQ_CE!D:D)</f>
        <v>85.722000000000008</v>
      </c>
      <c r="G1521" s="203">
        <f>+SUMIF('AUX-NIV1'!I:I,Recursos!C1521,'AUX-NIV1'!Q:Q)+SUMIF('AUX-NIV2'!I:I,Recursos!C1521,'AUX-NIV2'!Q:Q)+SUMIF('AUX-NIV3'!I:I,Recursos!C1521,'AUX-NIV3'!Q:Q)</f>
        <v>0</v>
      </c>
      <c r="H1521" s="204">
        <f t="shared" si="136"/>
        <v>0</v>
      </c>
      <c r="I1521" s="366">
        <f t="shared" si="137"/>
        <v>0</v>
      </c>
      <c r="J1521" s="390">
        <f>+IF(A1521=1,SUMIF(EQ_CE!B:B,Recursos!C1521,EQ_CE!T:T),0)</f>
        <v>0</v>
      </c>
    </row>
    <row r="1522" spans="2:10">
      <c r="B1522" s="222"/>
      <c r="C1522" s="206" t="s">
        <v>1584</v>
      </c>
      <c r="D1522" s="207" t="s">
        <v>875</v>
      </c>
      <c r="E1522" s="201" t="s">
        <v>769</v>
      </c>
      <c r="F1522" s="202">
        <f>+SUMIF(EQ_CE!B:B,Recursos!C1522,EQ_CE!D:D)</f>
        <v>391.87199999999996</v>
      </c>
      <c r="G1522" s="203">
        <f>+SUMIF('AUX-NIV1'!I:I,Recursos!C1522,'AUX-NIV1'!Q:Q)+SUMIF('AUX-NIV2'!I:I,Recursos!C1522,'AUX-NIV2'!Q:Q)+SUMIF('AUX-NIV3'!I:I,Recursos!C1522,'AUX-NIV3'!Q:Q)</f>
        <v>0</v>
      </c>
      <c r="H1522" s="204">
        <f t="shared" si="136"/>
        <v>0</v>
      </c>
      <c r="I1522" s="366">
        <f t="shared" si="137"/>
        <v>0</v>
      </c>
      <c r="J1522" s="390">
        <f>+IF(A1522=1,SUMIF(EQ_CE!B:B,Recursos!C1522,EQ_CE!T:T),0)</f>
        <v>0</v>
      </c>
    </row>
    <row r="1523" spans="2:10">
      <c r="B1523" s="222"/>
      <c r="C1523" s="206" t="s">
        <v>1629</v>
      </c>
      <c r="D1523" s="207" t="s">
        <v>997</v>
      </c>
      <c r="E1523" s="201" t="s">
        <v>769</v>
      </c>
      <c r="F1523" s="202">
        <f>+SUMIF(EQ_CE!B:B,Recursos!C1523,EQ_CE!D:D)</f>
        <v>122.46000000000001</v>
      </c>
      <c r="G1523" s="203">
        <f>+SUMIF('AUX-NIV1'!I:I,Recursos!C1523,'AUX-NIV1'!Q:Q)+SUMIF('AUX-NIV2'!I:I,Recursos!C1523,'AUX-NIV2'!Q:Q)+SUMIF('AUX-NIV3'!I:I,Recursos!C1523,'AUX-NIV3'!Q:Q)</f>
        <v>0</v>
      </c>
      <c r="H1523" s="204">
        <f t="shared" si="136"/>
        <v>0</v>
      </c>
      <c r="I1523" s="366">
        <f t="shared" si="137"/>
        <v>0</v>
      </c>
      <c r="J1523" s="390">
        <f>+IF(A1523=1,SUMIF(EQ_CE!B:B,Recursos!C1523,EQ_CE!T:T),0)</f>
        <v>0</v>
      </c>
    </row>
    <row r="1524" spans="2:10">
      <c r="B1524" s="222"/>
      <c r="C1524" s="206" t="s">
        <v>1639</v>
      </c>
      <c r="D1524" s="207" t="s">
        <v>1007</v>
      </c>
      <c r="E1524" s="201" t="s">
        <v>769</v>
      </c>
      <c r="F1524" s="202">
        <f>+SUMIF(EQ_CE!B:B,Recursos!C1524,EQ_CE!D:D)</f>
        <v>489.84000000000003</v>
      </c>
      <c r="G1524" s="203">
        <f>+SUMIF('AUX-NIV1'!I:I,Recursos!C1524,'AUX-NIV1'!Q:Q)+SUMIF('AUX-NIV2'!I:I,Recursos!C1524,'AUX-NIV2'!Q:Q)+SUMIF('AUX-NIV3'!I:I,Recursos!C1524,'AUX-NIV3'!Q:Q)</f>
        <v>0</v>
      </c>
      <c r="H1524" s="204">
        <f t="shared" ref="H1524:H1587" si="138">+F1524*G1524</f>
        <v>0</v>
      </c>
      <c r="I1524" s="366">
        <f t="shared" ref="I1524:I1587" si="139">+H1524/$I$3</f>
        <v>0</v>
      </c>
      <c r="J1524" s="390">
        <f>+IF(A1524=1,SUMIF(EQ_CE!B:B,Recursos!C1524,EQ_CE!T:T),0)</f>
        <v>0</v>
      </c>
    </row>
    <row r="1525" spans="2:10" ht="22.8">
      <c r="B1525" s="222"/>
      <c r="C1525" s="206" t="s">
        <v>1580</v>
      </c>
      <c r="D1525" s="207" t="s">
        <v>871</v>
      </c>
      <c r="E1525" s="201" t="s">
        <v>769</v>
      </c>
      <c r="F1525" s="202">
        <f>+SUMIF(EQ_CE!B:B,Recursos!C1525,EQ_CE!D:D)</f>
        <v>23922.935999999994</v>
      </c>
      <c r="G1525" s="203">
        <f>+SUMIF('AUX-NIV1'!I:I,Recursos!C1525,'AUX-NIV1'!Q:Q)+SUMIF('AUX-NIV2'!I:I,Recursos!C1525,'AUX-NIV2'!Q:Q)+SUMIF('AUX-NIV3'!I:I,Recursos!C1525,'AUX-NIV3'!Q:Q)</f>
        <v>0</v>
      </c>
      <c r="H1525" s="204">
        <f t="shared" si="138"/>
        <v>0</v>
      </c>
      <c r="I1525" s="366">
        <f t="shared" si="139"/>
        <v>0</v>
      </c>
      <c r="J1525" s="390">
        <f>+IF(A1525=1,SUMIF(EQ_CE!B:B,Recursos!C1525,EQ_CE!T:T),0)</f>
        <v>0</v>
      </c>
    </row>
    <row r="1526" spans="2:10">
      <c r="B1526" s="222"/>
      <c r="C1526" s="206" t="s">
        <v>1619</v>
      </c>
      <c r="D1526" s="207" t="s">
        <v>980</v>
      </c>
      <c r="E1526" s="201" t="s">
        <v>769</v>
      </c>
      <c r="F1526" s="202">
        <f>+SUMIF(EQ_CE!B:B,Recursos!C1526,EQ_CE!D:D)</f>
        <v>1767.4726666666668</v>
      </c>
      <c r="G1526" s="203">
        <f>+SUMIF('AUX-NIV1'!I:I,Recursos!C1526,'AUX-NIV1'!Q:Q)+SUMIF('AUX-NIV2'!I:I,Recursos!C1526,'AUX-NIV2'!Q:Q)+SUMIF('AUX-NIV3'!I:I,Recursos!C1526,'AUX-NIV3'!Q:Q)</f>
        <v>0</v>
      </c>
      <c r="H1526" s="204">
        <f t="shared" si="138"/>
        <v>0</v>
      </c>
      <c r="I1526" s="366">
        <f t="shared" si="139"/>
        <v>0</v>
      </c>
      <c r="J1526" s="390">
        <f>+IF(A1526=1,SUMIF(EQ_CE!B:B,Recursos!C1526,EQ_CE!T:T),0)</f>
        <v>0</v>
      </c>
    </row>
    <row r="1527" spans="2:10">
      <c r="B1527" s="222"/>
      <c r="C1527" s="206" t="s">
        <v>1627</v>
      </c>
      <c r="D1527" s="207" t="s">
        <v>995</v>
      </c>
      <c r="E1527" s="201" t="s">
        <v>769</v>
      </c>
      <c r="F1527" s="202">
        <f>+SUMIF(EQ_CE!B:B,Recursos!C1527,EQ_CE!D:D)</f>
        <v>40.819999999999993</v>
      </c>
      <c r="G1527" s="203">
        <f>+SUMIF('AUX-NIV1'!I:I,Recursos!C1527,'AUX-NIV1'!Q:Q)+SUMIF('AUX-NIV2'!I:I,Recursos!C1527,'AUX-NIV2'!Q:Q)+SUMIF('AUX-NIV3'!I:I,Recursos!C1527,'AUX-NIV3'!Q:Q)</f>
        <v>0</v>
      </c>
      <c r="H1527" s="204">
        <f t="shared" si="138"/>
        <v>0</v>
      </c>
      <c r="I1527" s="366">
        <f t="shared" si="139"/>
        <v>0</v>
      </c>
      <c r="J1527" s="390">
        <f>+IF(A1527=1,SUMIF(EQ_CE!B:B,Recursos!C1527,EQ_CE!T:T),0)</f>
        <v>0</v>
      </c>
    </row>
    <row r="1528" spans="2:10">
      <c r="B1528" s="222"/>
      <c r="C1528" s="206" t="s">
        <v>1743</v>
      </c>
      <c r="D1528" s="207" t="s">
        <v>1744</v>
      </c>
      <c r="E1528" s="201" t="s">
        <v>769</v>
      </c>
      <c r="F1528" s="202">
        <f>+SUMIF(EQ_CE!B:B,Recursos!C1528,EQ_CE!D:D)</f>
        <v>3743.8990199999994</v>
      </c>
      <c r="G1528" s="203">
        <f>+SUMIF('AUX-NIV1'!I:I,Recursos!C1528,'AUX-NIV1'!Q:Q)+SUMIF('AUX-NIV2'!I:I,Recursos!C1528,'AUX-NIV2'!Q:Q)+SUMIF('AUX-NIV3'!I:I,Recursos!C1528,'AUX-NIV3'!Q:Q)</f>
        <v>0</v>
      </c>
      <c r="H1528" s="204">
        <f t="shared" si="138"/>
        <v>0</v>
      </c>
      <c r="I1528" s="366">
        <f t="shared" si="139"/>
        <v>0</v>
      </c>
      <c r="J1528" s="390">
        <f>+IF(A1528=1,SUMIF(EQ_CE!B:B,Recursos!C1528,EQ_CE!T:T),0)</f>
        <v>0</v>
      </c>
    </row>
    <row r="1529" spans="2:10">
      <c r="B1529" s="222"/>
      <c r="C1529" s="206" t="s">
        <v>1732</v>
      </c>
      <c r="D1529" s="207" t="s">
        <v>1733</v>
      </c>
      <c r="E1529" s="201" t="s">
        <v>769</v>
      </c>
      <c r="F1529" s="202">
        <f>+SUMIF(EQ_CE!B:B,Recursos!C1529,EQ_CE!D:D)</f>
        <v>176.80506</v>
      </c>
      <c r="G1529" s="203">
        <f>+SUMIF('AUX-NIV1'!I:I,Recursos!C1529,'AUX-NIV1'!Q:Q)+SUMIF('AUX-NIV2'!I:I,Recursos!C1529,'AUX-NIV2'!Q:Q)+SUMIF('AUX-NIV3'!I:I,Recursos!C1529,'AUX-NIV3'!Q:Q)</f>
        <v>0</v>
      </c>
      <c r="H1529" s="204">
        <f t="shared" si="138"/>
        <v>0</v>
      </c>
      <c r="I1529" s="366">
        <f t="shared" si="139"/>
        <v>0</v>
      </c>
      <c r="J1529" s="390">
        <f>+IF(A1529=1,SUMIF(EQ_CE!B:B,Recursos!C1529,EQ_CE!T:T),0)</f>
        <v>0</v>
      </c>
    </row>
    <row r="1530" spans="2:10">
      <c r="B1530" s="222"/>
      <c r="C1530" s="206" t="s">
        <v>1605</v>
      </c>
      <c r="D1530" s="207" t="s">
        <v>967</v>
      </c>
      <c r="E1530" s="201" t="s">
        <v>769</v>
      </c>
      <c r="F1530" s="202">
        <f>+SUMIF(EQ_CE!B:B,Recursos!C1530,EQ_CE!D:D)</f>
        <v>346.38685714285714</v>
      </c>
      <c r="G1530" s="203">
        <f>+SUMIF('AUX-NIV1'!I:I,Recursos!C1530,'AUX-NIV1'!Q:Q)+SUMIF('AUX-NIV2'!I:I,Recursos!C1530,'AUX-NIV2'!Q:Q)+SUMIF('AUX-NIV3'!I:I,Recursos!C1530,'AUX-NIV3'!Q:Q)</f>
        <v>0</v>
      </c>
      <c r="H1530" s="204">
        <f t="shared" si="138"/>
        <v>0</v>
      </c>
      <c r="I1530" s="366">
        <f t="shared" si="139"/>
        <v>0</v>
      </c>
      <c r="J1530" s="390">
        <f>+IF(A1530=1,SUMIF(EQ_CE!B:B,Recursos!C1530,EQ_CE!T:T),0)</f>
        <v>0</v>
      </c>
    </row>
    <row r="1531" spans="2:10">
      <c r="B1531" s="222"/>
      <c r="C1531" s="206" t="s">
        <v>1577</v>
      </c>
      <c r="D1531" s="207" t="s">
        <v>868</v>
      </c>
      <c r="E1531" s="201" t="s">
        <v>769</v>
      </c>
      <c r="F1531" s="202">
        <f>+SUMIF(EQ_CE!B:B,Recursos!C1531,EQ_CE!D:D)</f>
        <v>7959.9</v>
      </c>
      <c r="G1531" s="203">
        <f>+SUMIF('AUX-NIV1'!I:I,Recursos!C1531,'AUX-NIV1'!Q:Q)+SUMIF('AUX-NIV2'!I:I,Recursos!C1531,'AUX-NIV2'!Q:Q)+SUMIF('AUX-NIV3'!I:I,Recursos!C1531,'AUX-NIV3'!Q:Q)</f>
        <v>0</v>
      </c>
      <c r="H1531" s="204">
        <f t="shared" si="138"/>
        <v>0</v>
      </c>
      <c r="I1531" s="366">
        <f t="shared" si="139"/>
        <v>0</v>
      </c>
      <c r="J1531" s="390">
        <f>+IF(A1531=1,SUMIF(EQ_CE!B:B,Recursos!C1531,EQ_CE!T:T),0)</f>
        <v>0</v>
      </c>
    </row>
    <row r="1532" spans="2:10">
      <c r="B1532" s="222"/>
      <c r="C1532" s="206" t="s">
        <v>1596</v>
      </c>
      <c r="D1532" s="207" t="s">
        <v>958</v>
      </c>
      <c r="E1532" s="201" t="s">
        <v>769</v>
      </c>
      <c r="F1532" s="202">
        <f>+SUMIF(EQ_CE!B:B,Recursos!C1532,EQ_CE!D:D)</f>
        <v>4411.9357999999993</v>
      </c>
      <c r="G1532" s="203">
        <f>+SUMIF('AUX-NIV1'!I:I,Recursos!C1532,'AUX-NIV1'!Q:Q)+SUMIF('AUX-NIV2'!I:I,Recursos!C1532,'AUX-NIV2'!Q:Q)+SUMIF('AUX-NIV3'!I:I,Recursos!C1532,'AUX-NIV3'!Q:Q)</f>
        <v>0</v>
      </c>
      <c r="H1532" s="204">
        <f t="shared" si="138"/>
        <v>0</v>
      </c>
      <c r="I1532" s="366">
        <f t="shared" si="139"/>
        <v>0</v>
      </c>
      <c r="J1532" s="390">
        <f>+IF(A1532=1,SUMIF(EQ_CE!B:B,Recursos!C1532,EQ_CE!T:T),0)</f>
        <v>0</v>
      </c>
    </row>
    <row r="1533" spans="2:10">
      <c r="B1533" s="222"/>
      <c r="C1533" s="206" t="s">
        <v>1589</v>
      </c>
      <c r="D1533" s="207" t="s">
        <v>880</v>
      </c>
      <c r="E1533" s="201" t="s">
        <v>769</v>
      </c>
      <c r="F1533" s="202">
        <f>+SUMIF(EQ_CE!B:B,Recursos!C1533,EQ_CE!D:D)</f>
        <v>3407.0012000000002</v>
      </c>
      <c r="G1533" s="203">
        <f>+SUMIF('AUX-NIV1'!I:I,Recursos!C1533,'AUX-NIV1'!Q:Q)+SUMIF('AUX-NIV2'!I:I,Recursos!C1533,'AUX-NIV2'!Q:Q)+SUMIF('AUX-NIV3'!I:I,Recursos!C1533,'AUX-NIV3'!Q:Q)</f>
        <v>0</v>
      </c>
      <c r="H1533" s="204">
        <f t="shared" si="138"/>
        <v>0</v>
      </c>
      <c r="I1533" s="366">
        <f t="shared" si="139"/>
        <v>0</v>
      </c>
      <c r="J1533" s="390">
        <f>+IF(A1533=1,SUMIF(EQ_CE!B:B,Recursos!C1533,EQ_CE!T:T),0)</f>
        <v>0</v>
      </c>
    </row>
    <row r="1534" spans="2:10">
      <c r="B1534" s="222"/>
      <c r="C1534" s="206" t="s">
        <v>1696</v>
      </c>
      <c r="D1534" s="207" t="s">
        <v>1697</v>
      </c>
      <c r="E1534" s="201" t="s">
        <v>769</v>
      </c>
      <c r="F1534" s="202">
        <f>+SUMIF(EQ_CE!B:B,Recursos!C1534,EQ_CE!D:D)</f>
        <v>5430.5444599999992</v>
      </c>
      <c r="G1534" s="203">
        <f>+SUMIF('AUX-NIV1'!I:I,Recursos!C1534,'AUX-NIV1'!Q:Q)+SUMIF('AUX-NIV2'!I:I,Recursos!C1534,'AUX-NIV2'!Q:Q)+SUMIF('AUX-NIV3'!I:I,Recursos!C1534,'AUX-NIV3'!Q:Q)</f>
        <v>0</v>
      </c>
      <c r="H1534" s="204">
        <f t="shared" si="138"/>
        <v>0</v>
      </c>
      <c r="I1534" s="366">
        <f t="shared" si="139"/>
        <v>0</v>
      </c>
      <c r="J1534" s="390">
        <f>+IF(A1534=1,SUMIF(EQ_CE!B:B,Recursos!C1534,EQ_CE!T:T),0)</f>
        <v>0</v>
      </c>
    </row>
    <row r="1535" spans="2:10">
      <c r="B1535" s="222"/>
      <c r="C1535" s="206" t="s">
        <v>1698</v>
      </c>
      <c r="D1535" s="207" t="s">
        <v>1699</v>
      </c>
      <c r="E1535" s="201" t="s">
        <v>769</v>
      </c>
      <c r="F1535" s="202">
        <f>+SUMIF(EQ_CE!B:B,Recursos!C1535,EQ_CE!D:D)</f>
        <v>6558.6190999999999</v>
      </c>
      <c r="G1535" s="203">
        <f>+SUMIF('AUX-NIV1'!I:I,Recursos!C1535,'AUX-NIV1'!Q:Q)+SUMIF('AUX-NIV2'!I:I,Recursos!C1535,'AUX-NIV2'!Q:Q)+SUMIF('AUX-NIV3'!I:I,Recursos!C1535,'AUX-NIV3'!Q:Q)</f>
        <v>0</v>
      </c>
      <c r="H1535" s="204">
        <f t="shared" si="138"/>
        <v>0</v>
      </c>
      <c r="I1535" s="366">
        <f t="shared" si="139"/>
        <v>0</v>
      </c>
      <c r="J1535" s="390">
        <f>+IF(A1535=1,SUMIF(EQ_CE!B:B,Recursos!C1535,EQ_CE!T:T),0)</f>
        <v>0</v>
      </c>
    </row>
    <row r="1536" spans="2:10">
      <c r="B1536" s="222"/>
      <c r="C1536" s="206" t="s">
        <v>1594</v>
      </c>
      <c r="D1536" s="207" t="s">
        <v>956</v>
      </c>
      <c r="E1536" s="201" t="s">
        <v>769</v>
      </c>
      <c r="F1536" s="202">
        <f>+SUMIF(EQ_CE!B:B,Recursos!C1536,EQ_CE!D:D)</f>
        <v>4310.5920000000006</v>
      </c>
      <c r="G1536" s="203">
        <f>+SUMIF('AUX-NIV1'!I:I,Recursos!C1536,'AUX-NIV1'!Q:Q)+SUMIF('AUX-NIV2'!I:I,Recursos!C1536,'AUX-NIV2'!Q:Q)+SUMIF('AUX-NIV3'!I:I,Recursos!C1536,'AUX-NIV3'!Q:Q)</f>
        <v>0</v>
      </c>
      <c r="H1536" s="204">
        <f t="shared" si="138"/>
        <v>0</v>
      </c>
      <c r="I1536" s="366">
        <f t="shared" si="139"/>
        <v>0</v>
      </c>
      <c r="J1536" s="390">
        <f>+IF(A1536=1,SUMIF(EQ_CE!B:B,Recursos!C1536,EQ_CE!T:T),0)</f>
        <v>0</v>
      </c>
    </row>
    <row r="1537" spans="2:10">
      <c r="B1537" s="222"/>
      <c r="C1537" s="206" t="s">
        <v>1595</v>
      </c>
      <c r="D1537" s="207" t="s">
        <v>957</v>
      </c>
      <c r="E1537" s="201" t="s">
        <v>769</v>
      </c>
      <c r="F1537" s="202">
        <f>+SUMIF(EQ_CE!B:B,Recursos!C1537,EQ_CE!D:D)</f>
        <v>4082</v>
      </c>
      <c r="G1537" s="203">
        <f>+SUMIF('AUX-NIV1'!I:I,Recursos!C1537,'AUX-NIV1'!Q:Q)+SUMIF('AUX-NIV2'!I:I,Recursos!C1537,'AUX-NIV2'!Q:Q)+SUMIF('AUX-NIV3'!I:I,Recursos!C1537,'AUX-NIV3'!Q:Q)</f>
        <v>0</v>
      </c>
      <c r="H1537" s="204">
        <f t="shared" si="138"/>
        <v>0</v>
      </c>
      <c r="I1537" s="366">
        <f t="shared" si="139"/>
        <v>0</v>
      </c>
      <c r="J1537" s="390">
        <f>+IF(A1537=1,SUMIF(EQ_CE!B:B,Recursos!C1537,EQ_CE!T:T),0)</f>
        <v>0</v>
      </c>
    </row>
    <row r="1538" spans="2:10">
      <c r="B1538" s="222"/>
      <c r="C1538" s="206" t="s">
        <v>1642</v>
      </c>
      <c r="D1538" s="207" t="s">
        <v>1010</v>
      </c>
      <c r="E1538" s="201" t="s">
        <v>769</v>
      </c>
      <c r="F1538" s="202">
        <f>+SUMIF(EQ_CE!B:B,Recursos!C1538,EQ_CE!D:D)</f>
        <v>1322.568</v>
      </c>
      <c r="G1538" s="203">
        <f>+SUMIF('AUX-NIV1'!I:I,Recursos!C1538,'AUX-NIV1'!Q:Q)+SUMIF('AUX-NIV2'!I:I,Recursos!C1538,'AUX-NIV2'!Q:Q)+SUMIF('AUX-NIV3'!I:I,Recursos!C1538,'AUX-NIV3'!Q:Q)</f>
        <v>0</v>
      </c>
      <c r="H1538" s="204">
        <f t="shared" si="138"/>
        <v>0</v>
      </c>
      <c r="I1538" s="366">
        <f t="shared" si="139"/>
        <v>0</v>
      </c>
      <c r="J1538" s="390">
        <f>+IF(A1538=1,SUMIF(EQ_CE!B:B,Recursos!C1538,EQ_CE!T:T),0)</f>
        <v>0</v>
      </c>
    </row>
    <row r="1539" spans="2:10">
      <c r="B1539" s="222"/>
      <c r="C1539" s="206" t="s">
        <v>1585</v>
      </c>
      <c r="D1539" s="207" t="s">
        <v>876</v>
      </c>
      <c r="E1539" s="201" t="s">
        <v>769</v>
      </c>
      <c r="F1539" s="202">
        <f>+SUMIF(EQ_CE!B:B,Recursos!C1539,EQ_CE!D:D)</f>
        <v>1785.366</v>
      </c>
      <c r="G1539" s="203">
        <f>+SUMIF('AUX-NIV1'!I:I,Recursos!C1539,'AUX-NIV1'!Q:Q)+SUMIF('AUX-NIV2'!I:I,Recursos!C1539,'AUX-NIV2'!Q:Q)+SUMIF('AUX-NIV3'!I:I,Recursos!C1539,'AUX-NIV3'!Q:Q)</f>
        <v>0</v>
      </c>
      <c r="H1539" s="204">
        <f t="shared" si="138"/>
        <v>0</v>
      </c>
      <c r="I1539" s="366">
        <f t="shared" si="139"/>
        <v>0</v>
      </c>
      <c r="J1539" s="390">
        <f>+IF(A1539=1,SUMIF(EQ_CE!B:B,Recursos!C1539,EQ_CE!T:T),0)</f>
        <v>0</v>
      </c>
    </row>
    <row r="1540" spans="2:10">
      <c r="B1540" s="222"/>
      <c r="C1540" s="206" t="s">
        <v>1694</v>
      </c>
      <c r="D1540" s="207" t="s">
        <v>1695</v>
      </c>
      <c r="E1540" s="201" t="s">
        <v>769</v>
      </c>
      <c r="F1540" s="202">
        <f>+SUMIF(EQ_CE!B:B,Recursos!C1540,EQ_CE!D:D)</f>
        <v>2018.8905000000002</v>
      </c>
      <c r="G1540" s="203">
        <f>+SUMIF('AUX-NIV1'!I:I,Recursos!C1540,'AUX-NIV1'!Q:Q)+SUMIF('AUX-NIV2'!I:I,Recursos!C1540,'AUX-NIV2'!Q:Q)+SUMIF('AUX-NIV3'!I:I,Recursos!C1540,'AUX-NIV3'!Q:Q)</f>
        <v>0</v>
      </c>
      <c r="H1540" s="204">
        <f t="shared" si="138"/>
        <v>0</v>
      </c>
      <c r="I1540" s="366">
        <f t="shared" si="139"/>
        <v>0</v>
      </c>
      <c r="J1540" s="390">
        <f>+IF(A1540=1,SUMIF(EQ_CE!B:B,Recursos!C1540,EQ_CE!T:T),0)</f>
        <v>0</v>
      </c>
    </row>
    <row r="1541" spans="2:10">
      <c r="B1541" s="222"/>
      <c r="C1541" s="206" t="s">
        <v>1587</v>
      </c>
      <c r="D1541" s="207" t="s">
        <v>878</v>
      </c>
      <c r="E1541" s="201" t="s">
        <v>769</v>
      </c>
      <c r="F1541" s="202">
        <f>+SUMIF(EQ_CE!B:B,Recursos!C1541,EQ_CE!D:D)</f>
        <v>489.22799999999995</v>
      </c>
      <c r="G1541" s="203">
        <f>+SUMIF('AUX-NIV1'!I:I,Recursos!C1541,'AUX-NIV1'!Q:Q)+SUMIF('AUX-NIV2'!I:I,Recursos!C1541,'AUX-NIV2'!Q:Q)+SUMIF('AUX-NIV3'!I:I,Recursos!C1541,'AUX-NIV3'!Q:Q)</f>
        <v>0</v>
      </c>
      <c r="H1541" s="204">
        <f t="shared" si="138"/>
        <v>0</v>
      </c>
      <c r="I1541" s="366">
        <f t="shared" si="139"/>
        <v>0</v>
      </c>
      <c r="J1541" s="390">
        <f>+IF(A1541=1,SUMIF(EQ_CE!B:B,Recursos!C1541,EQ_CE!T:T),0)</f>
        <v>0</v>
      </c>
    </row>
    <row r="1542" spans="2:10">
      <c r="B1542" s="222"/>
      <c r="C1542" s="206" t="s">
        <v>1586</v>
      </c>
      <c r="D1542" s="207" t="s">
        <v>877</v>
      </c>
      <c r="E1542" s="201" t="s">
        <v>769</v>
      </c>
      <c r="F1542" s="202">
        <f>+SUMIF(EQ_CE!B:B,Recursos!C1542,EQ_CE!D:D)</f>
        <v>2848.5638181818185</v>
      </c>
      <c r="G1542" s="203">
        <f>+SUMIF('AUX-NIV1'!I:I,Recursos!C1542,'AUX-NIV1'!Q:Q)+SUMIF('AUX-NIV2'!I:I,Recursos!C1542,'AUX-NIV2'!Q:Q)+SUMIF('AUX-NIV3'!I:I,Recursos!C1542,'AUX-NIV3'!Q:Q)</f>
        <v>0</v>
      </c>
      <c r="H1542" s="204">
        <f t="shared" si="138"/>
        <v>0</v>
      </c>
      <c r="I1542" s="366">
        <f t="shared" si="139"/>
        <v>0</v>
      </c>
      <c r="J1542" s="390">
        <f>+IF(A1542=1,SUMIF(EQ_CE!B:B,Recursos!C1542,EQ_CE!T:T),0)</f>
        <v>0</v>
      </c>
    </row>
    <row r="1543" spans="2:10">
      <c r="B1543" s="222"/>
      <c r="C1543" s="206" t="s">
        <v>1527</v>
      </c>
      <c r="D1543" s="207" t="s">
        <v>1533</v>
      </c>
      <c r="E1543" s="201" t="s">
        <v>769</v>
      </c>
      <c r="F1543" s="202">
        <f>+SUMIF(EQ_CE!B:B,Recursos!C1543,EQ_CE!D:D)</f>
        <v>5499.5053800000005</v>
      </c>
      <c r="G1543" s="203">
        <f>+SUMIF('AUX-NIV1'!I:I,Recursos!C1543,'AUX-NIV1'!Q:Q)+SUMIF('AUX-NIV2'!I:I,Recursos!C1543,'AUX-NIV2'!Q:Q)+SUMIF('AUX-NIV3'!I:I,Recursos!C1543,'AUX-NIV3'!Q:Q)</f>
        <v>0</v>
      </c>
      <c r="H1543" s="204">
        <f t="shared" si="138"/>
        <v>0</v>
      </c>
      <c r="I1543" s="366">
        <f t="shared" si="139"/>
        <v>0</v>
      </c>
      <c r="J1543" s="390">
        <f>+IF(A1543=1,SUMIF(EQ_CE!B:B,Recursos!C1543,EQ_CE!T:T),0)</f>
        <v>0</v>
      </c>
    </row>
    <row r="1544" spans="2:10">
      <c r="B1544" s="222"/>
      <c r="C1544" s="206" t="s">
        <v>1588</v>
      </c>
      <c r="D1544" s="207" t="s">
        <v>879</v>
      </c>
      <c r="E1544" s="201" t="s">
        <v>769</v>
      </c>
      <c r="F1544" s="202">
        <f>+SUMIF(EQ_CE!B:B,Recursos!C1544,EQ_CE!D:D)</f>
        <v>1214.3448000000001</v>
      </c>
      <c r="G1544" s="203">
        <f>+SUMIF('AUX-NIV1'!I:I,Recursos!C1544,'AUX-NIV1'!Q:Q)+SUMIF('AUX-NIV2'!I:I,Recursos!C1544,'AUX-NIV2'!Q:Q)+SUMIF('AUX-NIV3'!I:I,Recursos!C1544,'AUX-NIV3'!Q:Q)</f>
        <v>0</v>
      </c>
      <c r="H1544" s="204">
        <f t="shared" si="138"/>
        <v>0</v>
      </c>
      <c r="I1544" s="366">
        <f t="shared" si="139"/>
        <v>0</v>
      </c>
      <c r="J1544" s="390">
        <f>+IF(A1544=1,SUMIF(EQ_CE!B:B,Recursos!C1544,EQ_CE!T:T),0)</f>
        <v>0</v>
      </c>
    </row>
    <row r="1545" spans="2:10">
      <c r="B1545" s="222"/>
      <c r="C1545" s="206" t="s">
        <v>1598</v>
      </c>
      <c r="D1545" s="207" t="s">
        <v>960</v>
      </c>
      <c r="E1545" s="201" t="s">
        <v>769</v>
      </c>
      <c r="F1545" s="202">
        <f>+SUMIF(EQ_CE!B:B,Recursos!C1545,EQ_CE!D:D)</f>
        <v>783.74399999999991</v>
      </c>
      <c r="G1545" s="203">
        <f>+SUMIF('AUX-NIV1'!I:I,Recursos!C1545,'AUX-NIV1'!Q:Q)+SUMIF('AUX-NIV2'!I:I,Recursos!C1545,'AUX-NIV2'!Q:Q)+SUMIF('AUX-NIV3'!I:I,Recursos!C1545,'AUX-NIV3'!Q:Q)</f>
        <v>0</v>
      </c>
      <c r="H1545" s="204">
        <f t="shared" si="138"/>
        <v>0</v>
      </c>
      <c r="I1545" s="366">
        <f t="shared" si="139"/>
        <v>0</v>
      </c>
      <c r="J1545" s="390">
        <f>+IF(A1545=1,SUMIF(EQ_CE!B:B,Recursos!C1545,EQ_CE!T:T),0)</f>
        <v>0</v>
      </c>
    </row>
    <row r="1546" spans="2:10">
      <c r="B1546" s="222"/>
      <c r="C1546" s="206" t="s">
        <v>1597</v>
      </c>
      <c r="D1546" s="207" t="s">
        <v>959</v>
      </c>
      <c r="E1546" s="201" t="s">
        <v>769</v>
      </c>
      <c r="F1546" s="202">
        <f>+SUMIF(EQ_CE!B:B,Recursos!C1546,EQ_CE!D:D)</f>
        <v>2378.0722500000002</v>
      </c>
      <c r="G1546" s="203">
        <f>+SUMIF('AUX-NIV1'!I:I,Recursos!C1546,'AUX-NIV1'!Q:Q)+SUMIF('AUX-NIV2'!I:I,Recursos!C1546,'AUX-NIV2'!Q:Q)+SUMIF('AUX-NIV3'!I:I,Recursos!C1546,'AUX-NIV3'!Q:Q)</f>
        <v>0</v>
      </c>
      <c r="H1546" s="204">
        <f t="shared" si="138"/>
        <v>0</v>
      </c>
      <c r="I1546" s="366">
        <f t="shared" si="139"/>
        <v>0</v>
      </c>
      <c r="J1546" s="390">
        <f>+IF(A1546=1,SUMIF(EQ_CE!B:B,Recursos!C1546,EQ_CE!T:T),0)</f>
        <v>0</v>
      </c>
    </row>
    <row r="1547" spans="2:10">
      <c r="B1547" s="222"/>
      <c r="C1547" s="206" t="s">
        <v>1628</v>
      </c>
      <c r="D1547" s="207" t="s">
        <v>996</v>
      </c>
      <c r="E1547" s="201" t="s">
        <v>769</v>
      </c>
      <c r="F1547" s="202">
        <f>+SUMIF(EQ_CE!B:B,Recursos!C1547,EQ_CE!D:D)</f>
        <v>426.32419999999996</v>
      </c>
      <c r="G1547" s="203">
        <f>+SUMIF('AUX-NIV1'!I:I,Recursos!C1547,'AUX-NIV1'!Q:Q)+SUMIF('AUX-NIV2'!I:I,Recursos!C1547,'AUX-NIV2'!Q:Q)+SUMIF('AUX-NIV3'!I:I,Recursos!C1547,'AUX-NIV3'!Q:Q)</f>
        <v>3.9953760000000003</v>
      </c>
      <c r="H1547" s="204">
        <f t="shared" si="138"/>
        <v>1703.3254768991999</v>
      </c>
      <c r="I1547" s="366">
        <f t="shared" si="139"/>
        <v>5.2501187734338515E-3</v>
      </c>
      <c r="J1547" s="390">
        <f>+IF(A1547=1,SUMIF(EQ_CE!B:B,Recursos!C1547,EQ_CE!T:T),0)</f>
        <v>0</v>
      </c>
    </row>
    <row r="1548" spans="2:10">
      <c r="B1548" s="222"/>
      <c r="C1548" s="206" t="s">
        <v>1647</v>
      </c>
      <c r="D1548" s="207" t="s">
        <v>2729</v>
      </c>
      <c r="E1548" s="201" t="s">
        <v>769</v>
      </c>
      <c r="F1548" s="202">
        <f>+SUMIF(EQ_CE!B:B,Recursos!C1548,EQ_CE!D:D)</f>
        <v>6803.333333333333</v>
      </c>
      <c r="G1548" s="203">
        <f>+SUMIF('AUX-NIV1'!I:I,Recursos!C1548,'AUX-NIV1'!Q:Q)+SUMIF('AUX-NIV2'!I:I,Recursos!C1548,'AUX-NIV2'!Q:Q)+SUMIF('AUX-NIV3'!I:I,Recursos!C1548,'AUX-NIV3'!Q:Q)</f>
        <v>0</v>
      </c>
      <c r="H1548" s="204">
        <f t="shared" si="138"/>
        <v>0</v>
      </c>
      <c r="I1548" s="366">
        <f t="shared" si="139"/>
        <v>0</v>
      </c>
      <c r="J1548" s="390">
        <f>+IF(A1548=1,SUMIF(EQ_CE!B:B,Recursos!C1548,EQ_CE!T:T),0)</f>
        <v>0</v>
      </c>
    </row>
    <row r="1549" spans="2:10">
      <c r="B1549" s="222"/>
      <c r="C1549" s="206" t="s">
        <v>1652</v>
      </c>
      <c r="D1549" s="207" t="s">
        <v>2730</v>
      </c>
      <c r="E1549" s="201" t="s">
        <v>769</v>
      </c>
      <c r="F1549" s="202">
        <f>+SUMIF(EQ_CE!B:B,Recursos!C1549,EQ_CE!D:D)</f>
        <v>3262.8800000000006</v>
      </c>
      <c r="G1549" s="203">
        <f>+SUMIF('AUX-NIV1'!I:I,Recursos!C1549,'AUX-NIV1'!Q:Q)+SUMIF('AUX-NIV2'!I:I,Recursos!C1549,'AUX-NIV2'!Q:Q)+SUMIF('AUX-NIV3'!I:I,Recursos!C1549,'AUX-NIV3'!Q:Q)</f>
        <v>0</v>
      </c>
      <c r="H1549" s="204">
        <f t="shared" si="138"/>
        <v>0</v>
      </c>
      <c r="I1549" s="366">
        <f t="shared" si="139"/>
        <v>0</v>
      </c>
      <c r="J1549" s="390">
        <f>+IF(A1549=1,SUMIF(EQ_CE!B:B,Recursos!C1549,EQ_CE!T:T),0)</f>
        <v>0</v>
      </c>
    </row>
    <row r="1550" spans="2:10">
      <c r="B1550" s="222"/>
      <c r="C1550" s="206" t="s">
        <v>1634</v>
      </c>
      <c r="D1550" s="207" t="s">
        <v>1002</v>
      </c>
      <c r="E1550" s="201" t="s">
        <v>769</v>
      </c>
      <c r="F1550" s="202">
        <f>+SUMIF(EQ_CE!B:B,Recursos!C1550,EQ_CE!D:D)</f>
        <v>440.85599999999999</v>
      </c>
      <c r="G1550" s="203">
        <f>+SUMIF('AUX-NIV1'!I:I,Recursos!C1550,'AUX-NIV1'!Q:Q)+SUMIF('AUX-NIV2'!I:I,Recursos!C1550,'AUX-NIV2'!Q:Q)+SUMIF('AUX-NIV3'!I:I,Recursos!C1550,'AUX-NIV3'!Q:Q)</f>
        <v>0</v>
      </c>
      <c r="H1550" s="204">
        <f t="shared" si="138"/>
        <v>0</v>
      </c>
      <c r="I1550" s="366">
        <f t="shared" si="139"/>
        <v>0</v>
      </c>
      <c r="J1550" s="390">
        <f>+IF(A1550=1,SUMIF(EQ_CE!B:B,Recursos!C1550,EQ_CE!T:T),0)</f>
        <v>0</v>
      </c>
    </row>
    <row r="1551" spans="2:10">
      <c r="B1551" s="222"/>
      <c r="C1551" s="206" t="s">
        <v>1574</v>
      </c>
      <c r="D1551" s="207" t="s">
        <v>865</v>
      </c>
      <c r="E1551" s="201" t="s">
        <v>769</v>
      </c>
      <c r="F1551" s="202">
        <f>+SUMIF(EQ_CE!B:B,Recursos!C1551,EQ_CE!D:D)</f>
        <v>183.69</v>
      </c>
      <c r="G1551" s="203">
        <f>+SUMIF('AUX-NIV1'!I:I,Recursos!C1551,'AUX-NIV1'!Q:Q)+SUMIF('AUX-NIV2'!I:I,Recursos!C1551,'AUX-NIV2'!Q:Q)+SUMIF('AUX-NIV3'!I:I,Recursos!C1551,'AUX-NIV3'!Q:Q)</f>
        <v>0</v>
      </c>
      <c r="H1551" s="204">
        <f t="shared" si="138"/>
        <v>0</v>
      </c>
      <c r="I1551" s="366">
        <f t="shared" si="139"/>
        <v>0</v>
      </c>
      <c r="J1551" s="390">
        <f>+IF(A1551=1,SUMIF(EQ_CE!B:B,Recursos!C1551,EQ_CE!T:T),0)</f>
        <v>0</v>
      </c>
    </row>
    <row r="1552" spans="2:10">
      <c r="B1552" s="222">
        <v>22</v>
      </c>
      <c r="C1552" s="206" t="s">
        <v>1690</v>
      </c>
      <c r="D1552" s="207" t="s">
        <v>1691</v>
      </c>
      <c r="E1552" s="201" t="s">
        <v>769</v>
      </c>
      <c r="F1552" s="202">
        <f>+SUMIF(EQ_CE!B:B,Recursos!C1552,EQ_CE!D:D)</f>
        <v>17.266859999999998</v>
      </c>
      <c r="G1552" s="203">
        <f>+SUMIF('AUX-NIV1'!I:I,Recursos!C1552,'AUX-NIV1'!Q:Q)+SUMIF('AUX-NIV2'!I:I,Recursos!C1552,'AUX-NIV2'!Q:Q)+SUMIF('AUX-NIV3'!I:I,Recursos!C1552,'AUX-NIV3'!Q:Q)</f>
        <v>0</v>
      </c>
      <c r="H1552" s="204">
        <f t="shared" si="138"/>
        <v>0</v>
      </c>
      <c r="I1552" s="366">
        <f t="shared" si="139"/>
        <v>0</v>
      </c>
      <c r="J1552" s="390">
        <f>+IF(A1552=1,SUMIF(EQ_CE!B:B,Recursos!C1552,EQ_CE!T:T),0)</f>
        <v>0</v>
      </c>
    </row>
    <row r="1553" spans="2:10">
      <c r="B1553" s="222"/>
      <c r="C1553" s="206" t="s">
        <v>1575</v>
      </c>
      <c r="D1553" s="207" t="s">
        <v>866</v>
      </c>
      <c r="E1553" s="201" t="s">
        <v>769</v>
      </c>
      <c r="F1553" s="202">
        <f>+SUMIF(EQ_CE!B:B,Recursos!C1553,EQ_CE!D:D)</f>
        <v>117.5616</v>
      </c>
      <c r="G1553" s="203">
        <f>+SUMIF('AUX-NIV1'!I:I,Recursos!C1553,'AUX-NIV1'!Q:Q)+SUMIF('AUX-NIV2'!I:I,Recursos!C1553,'AUX-NIV2'!Q:Q)+SUMIF('AUX-NIV3'!I:I,Recursos!C1553,'AUX-NIV3'!Q:Q)</f>
        <v>0</v>
      </c>
      <c r="H1553" s="204">
        <f t="shared" si="138"/>
        <v>0</v>
      </c>
      <c r="I1553" s="366">
        <f t="shared" si="139"/>
        <v>0</v>
      </c>
      <c r="J1553" s="390">
        <f>+IF(A1553=1,SUMIF(EQ_CE!B:B,Recursos!C1553,EQ_CE!T:T),0)</f>
        <v>0</v>
      </c>
    </row>
    <row r="1554" spans="2:10">
      <c r="B1554" s="222"/>
      <c r="C1554" s="206" t="s">
        <v>1576</v>
      </c>
      <c r="D1554" s="207" t="s">
        <v>867</v>
      </c>
      <c r="E1554" s="201" t="s">
        <v>769</v>
      </c>
      <c r="F1554" s="202">
        <f>+SUMIF(EQ_CE!B:B,Recursos!C1554,EQ_CE!D:D)</f>
        <v>734.76</v>
      </c>
      <c r="G1554" s="203">
        <f>+SUMIF('AUX-NIV1'!I:I,Recursos!C1554,'AUX-NIV1'!Q:Q)+SUMIF('AUX-NIV2'!I:I,Recursos!C1554,'AUX-NIV2'!Q:Q)+SUMIF('AUX-NIV3'!I:I,Recursos!C1554,'AUX-NIV3'!Q:Q)</f>
        <v>0</v>
      </c>
      <c r="H1554" s="204">
        <f t="shared" si="138"/>
        <v>0</v>
      </c>
      <c r="I1554" s="366">
        <f t="shared" si="139"/>
        <v>0</v>
      </c>
      <c r="J1554" s="390">
        <f>+IF(A1554=1,SUMIF(EQ_CE!B:B,Recursos!C1554,EQ_CE!T:T),0)</f>
        <v>0</v>
      </c>
    </row>
    <row r="1555" spans="2:10">
      <c r="B1555" s="222"/>
      <c r="C1555" s="206" t="s">
        <v>1561</v>
      </c>
      <c r="D1555" s="207" t="s">
        <v>817</v>
      </c>
      <c r="E1555" s="201" t="s">
        <v>769</v>
      </c>
      <c r="F1555" s="202">
        <f>+SUMIF(EQ_CE!B:B,Recursos!C1555,EQ_CE!D:D)</f>
        <v>1482.9085714285716</v>
      </c>
      <c r="G1555" s="203">
        <f>+SUMIF('AUX-NIV1'!I:I,Recursos!C1555,'AUX-NIV1'!Q:Q)+SUMIF('AUX-NIV2'!I:I,Recursos!C1555,'AUX-NIV2'!Q:Q)+SUMIF('AUX-NIV3'!I:I,Recursos!C1555,'AUX-NIV3'!Q:Q)</f>
        <v>0</v>
      </c>
      <c r="H1555" s="204">
        <f t="shared" si="138"/>
        <v>0</v>
      </c>
      <c r="I1555" s="366">
        <f t="shared" si="139"/>
        <v>0</v>
      </c>
      <c r="J1555" s="390">
        <f>+IF(A1555=1,SUMIF(EQ_CE!B:B,Recursos!C1555,EQ_CE!T:T),0)</f>
        <v>0</v>
      </c>
    </row>
    <row r="1556" spans="2:10">
      <c r="B1556" s="222"/>
      <c r="C1556" s="206" t="s">
        <v>1636</v>
      </c>
      <c r="D1556" s="207" t="s">
        <v>1004</v>
      </c>
      <c r="E1556" s="201" t="s">
        <v>769</v>
      </c>
      <c r="F1556" s="202">
        <f>+SUMIF(EQ_CE!B:B,Recursos!C1556,EQ_CE!D:D)</f>
        <v>85.722000000000008</v>
      </c>
      <c r="G1556" s="203">
        <f>+SUMIF('AUX-NIV1'!I:I,Recursos!C1556,'AUX-NIV1'!Q:Q)+SUMIF('AUX-NIV2'!I:I,Recursos!C1556,'AUX-NIV2'!Q:Q)+SUMIF('AUX-NIV3'!I:I,Recursos!C1556,'AUX-NIV3'!Q:Q)</f>
        <v>0</v>
      </c>
      <c r="H1556" s="204">
        <f t="shared" si="138"/>
        <v>0</v>
      </c>
      <c r="I1556" s="366">
        <f t="shared" si="139"/>
        <v>0</v>
      </c>
      <c r="J1556" s="390">
        <f>+IF(A1556=1,SUMIF(EQ_CE!B:B,Recursos!C1556,EQ_CE!T:T),0)</f>
        <v>0</v>
      </c>
    </row>
    <row r="1557" spans="2:10">
      <c r="B1557" s="222"/>
      <c r="C1557" s="206" t="s">
        <v>1593</v>
      </c>
      <c r="D1557" s="207" t="s">
        <v>955</v>
      </c>
      <c r="E1557" s="201" t="s">
        <v>769</v>
      </c>
      <c r="F1557" s="202">
        <f>+SUMIF(EQ_CE!B:B,Recursos!C1557,EQ_CE!D:D)</f>
        <v>1000.6346666666667</v>
      </c>
      <c r="G1557" s="203">
        <f>+SUMIF('AUX-NIV1'!I:I,Recursos!C1557,'AUX-NIV1'!Q:Q)+SUMIF('AUX-NIV2'!I:I,Recursos!C1557,'AUX-NIV2'!Q:Q)+SUMIF('AUX-NIV3'!I:I,Recursos!C1557,'AUX-NIV3'!Q:Q)</f>
        <v>0</v>
      </c>
      <c r="H1557" s="204">
        <f t="shared" si="138"/>
        <v>0</v>
      </c>
      <c r="I1557" s="366">
        <f t="shared" si="139"/>
        <v>0</v>
      </c>
      <c r="J1557" s="390">
        <f>+IF(A1557=1,SUMIF(EQ_CE!B:B,Recursos!C1557,EQ_CE!T:T),0)</f>
        <v>0</v>
      </c>
    </row>
    <row r="1558" spans="2:10">
      <c r="B1558" s="222">
        <v>23</v>
      </c>
      <c r="C1558" s="206" t="s">
        <v>1540</v>
      </c>
      <c r="D1558" s="207" t="s">
        <v>773</v>
      </c>
      <c r="E1558" s="201" t="s">
        <v>769</v>
      </c>
      <c r="F1558" s="202">
        <f>+SUMIF(EQ_CE!B:B,Recursos!C1558,EQ_CE!D:D)</f>
        <v>1346.0740000000001</v>
      </c>
      <c r="G1558" s="203">
        <f>+SUMIF('AUX-NIV1'!I:I,Recursos!C1558,'AUX-NIV1'!Q:Q)+SUMIF('AUX-NIV2'!I:I,Recursos!C1558,'AUX-NIV2'!Q:Q)+SUMIF('AUX-NIV3'!I:I,Recursos!C1558,'AUX-NIV3'!Q:Q)</f>
        <v>0</v>
      </c>
      <c r="H1558" s="204">
        <f t="shared" si="138"/>
        <v>0</v>
      </c>
      <c r="I1558" s="366">
        <f t="shared" si="139"/>
        <v>0</v>
      </c>
      <c r="J1558" s="390">
        <f>+IF(A1558=1,SUMIF(EQ_CE!B:B,Recursos!C1558,EQ_CE!T:T),0)</f>
        <v>0</v>
      </c>
    </row>
    <row r="1559" spans="2:10">
      <c r="B1559" s="222"/>
      <c r="C1559" s="206" t="s">
        <v>1602</v>
      </c>
      <c r="D1559" s="207" t="s">
        <v>964</v>
      </c>
      <c r="E1559" s="201" t="s">
        <v>769</v>
      </c>
      <c r="F1559" s="202">
        <f>+SUMIF(EQ_CE!B:B,Recursos!C1559,EQ_CE!D:D)</f>
        <v>195.732</v>
      </c>
      <c r="G1559" s="203">
        <f>+SUMIF('AUX-NIV1'!I:I,Recursos!C1559,'AUX-NIV1'!Q:Q)+SUMIF('AUX-NIV2'!I:I,Recursos!C1559,'AUX-NIV2'!Q:Q)+SUMIF('AUX-NIV3'!I:I,Recursos!C1559,'AUX-NIV3'!Q:Q)</f>
        <v>0</v>
      </c>
      <c r="H1559" s="204">
        <f t="shared" si="138"/>
        <v>0</v>
      </c>
      <c r="I1559" s="366">
        <f t="shared" si="139"/>
        <v>0</v>
      </c>
      <c r="J1559" s="390">
        <f>+IF(A1559=1,SUMIF(EQ_CE!B:B,Recursos!C1559,EQ_CE!T:T),0)</f>
        <v>0</v>
      </c>
    </row>
    <row r="1560" spans="2:10">
      <c r="B1560" s="222"/>
      <c r="C1560" s="206" t="s">
        <v>1590</v>
      </c>
      <c r="D1560" s="207" t="s">
        <v>952</v>
      </c>
      <c r="E1560" s="201" t="s">
        <v>769</v>
      </c>
      <c r="F1560" s="202">
        <f>+SUMIF(EQ_CE!B:B,Recursos!C1560,EQ_CE!D:D)</f>
        <v>122.358</v>
      </c>
      <c r="G1560" s="203">
        <f>+SUMIF('AUX-NIV1'!I:I,Recursos!C1560,'AUX-NIV1'!Q:Q)+SUMIF('AUX-NIV2'!I:I,Recursos!C1560,'AUX-NIV2'!Q:Q)+SUMIF('AUX-NIV3'!I:I,Recursos!C1560,'AUX-NIV3'!Q:Q)</f>
        <v>0</v>
      </c>
      <c r="H1560" s="204">
        <f t="shared" si="138"/>
        <v>0</v>
      </c>
      <c r="I1560" s="366">
        <f t="shared" si="139"/>
        <v>0</v>
      </c>
      <c r="J1560" s="390">
        <f>+IF(A1560=1,SUMIF(EQ_CE!B:B,Recursos!C1560,EQ_CE!T:T),0)</f>
        <v>0</v>
      </c>
    </row>
    <row r="1561" spans="2:10">
      <c r="B1561" s="222"/>
      <c r="C1561" s="206" t="s">
        <v>1583</v>
      </c>
      <c r="D1561" s="207" t="s">
        <v>874</v>
      </c>
      <c r="E1561" s="201" t="s">
        <v>769</v>
      </c>
      <c r="F1561" s="202">
        <f>+SUMIF(EQ_CE!B:B,Recursos!C1561,EQ_CE!D:D)</f>
        <v>3148.9333999999999</v>
      </c>
      <c r="G1561" s="203">
        <f>+SUMIF('AUX-NIV1'!I:I,Recursos!C1561,'AUX-NIV1'!Q:Q)+SUMIF('AUX-NIV2'!I:I,Recursos!C1561,'AUX-NIV2'!Q:Q)+SUMIF('AUX-NIV3'!I:I,Recursos!C1561,'AUX-NIV3'!Q:Q)</f>
        <v>0</v>
      </c>
      <c r="H1561" s="204">
        <f t="shared" si="138"/>
        <v>0</v>
      </c>
      <c r="I1561" s="366">
        <f t="shared" si="139"/>
        <v>0</v>
      </c>
      <c r="J1561" s="390">
        <f>+IF(A1561=1,SUMIF(EQ_CE!B:B,Recursos!C1561,EQ_CE!T:T),0)</f>
        <v>0</v>
      </c>
    </row>
    <row r="1562" spans="2:10">
      <c r="B1562" s="222"/>
      <c r="C1562" s="206" t="s">
        <v>1581</v>
      </c>
      <c r="D1562" s="207" t="s">
        <v>872</v>
      </c>
      <c r="E1562" s="201" t="s">
        <v>769</v>
      </c>
      <c r="F1562" s="202">
        <f>+SUMIF(EQ_CE!B:B,Recursos!C1562,EQ_CE!D:D)</f>
        <v>1186.33205</v>
      </c>
      <c r="G1562" s="203">
        <f>+SUMIF('AUX-NIV1'!I:I,Recursos!C1562,'AUX-NIV1'!Q:Q)+SUMIF('AUX-NIV2'!I:I,Recursos!C1562,'AUX-NIV2'!Q:Q)+SUMIF('AUX-NIV3'!I:I,Recursos!C1562,'AUX-NIV3'!Q:Q)</f>
        <v>0</v>
      </c>
      <c r="H1562" s="204">
        <f t="shared" si="138"/>
        <v>0</v>
      </c>
      <c r="I1562" s="366">
        <f t="shared" si="139"/>
        <v>0</v>
      </c>
      <c r="J1562" s="390">
        <f>+IF(A1562=1,SUMIF(EQ_CE!B:B,Recursos!C1562,EQ_CE!T:T),0)</f>
        <v>0</v>
      </c>
    </row>
    <row r="1563" spans="2:10">
      <c r="B1563" s="222">
        <v>24</v>
      </c>
      <c r="C1563" s="206" t="s">
        <v>1692</v>
      </c>
      <c r="D1563" s="207" t="s">
        <v>1693</v>
      </c>
      <c r="E1563" s="201" t="s">
        <v>769</v>
      </c>
      <c r="F1563" s="202">
        <f>+SUMIF(EQ_CE!B:B,Recursos!C1563,EQ_CE!D:D)</f>
        <v>942.82014000000004</v>
      </c>
      <c r="G1563" s="203">
        <f>+SUMIF('AUX-NIV1'!I:I,Recursos!C1563,'AUX-NIV1'!Q:Q)+SUMIF('AUX-NIV2'!I:I,Recursos!C1563,'AUX-NIV2'!Q:Q)+SUMIF('AUX-NIV3'!I:I,Recursos!C1563,'AUX-NIV3'!Q:Q)</f>
        <v>0</v>
      </c>
      <c r="H1563" s="204">
        <f t="shared" si="138"/>
        <v>0</v>
      </c>
      <c r="I1563" s="366">
        <f t="shared" si="139"/>
        <v>0</v>
      </c>
      <c r="J1563" s="390">
        <f>+IF(A1563=1,SUMIF(EQ_CE!B:B,Recursos!C1563,EQ_CE!T:T),0)</f>
        <v>0</v>
      </c>
    </row>
    <row r="1564" spans="2:10">
      <c r="B1564" s="222"/>
      <c r="C1564" s="206" t="s">
        <v>1546</v>
      </c>
      <c r="D1564" s="207" t="s">
        <v>779</v>
      </c>
      <c r="E1564" s="201" t="s">
        <v>769</v>
      </c>
      <c r="F1564" s="202">
        <f>+SUMIF(EQ_CE!B:B,Recursos!C1564,EQ_CE!D:D)</f>
        <v>3750.4623636363635</v>
      </c>
      <c r="G1564" s="203">
        <f>+SUMIF('AUX-NIV1'!I:I,Recursos!C1564,'AUX-NIV1'!Q:Q)+SUMIF('AUX-NIV2'!I:I,Recursos!C1564,'AUX-NIV2'!Q:Q)+SUMIF('AUX-NIV3'!I:I,Recursos!C1564,'AUX-NIV3'!Q:Q)</f>
        <v>0</v>
      </c>
      <c r="H1564" s="204">
        <f t="shared" si="138"/>
        <v>0</v>
      </c>
      <c r="I1564" s="366">
        <f t="shared" si="139"/>
        <v>0</v>
      </c>
      <c r="J1564" s="390">
        <f>+IF(A1564=1,SUMIF(EQ_CE!B:B,Recursos!C1564,EQ_CE!T:T),0)</f>
        <v>0</v>
      </c>
    </row>
    <row r="1565" spans="2:10">
      <c r="B1565" s="222"/>
      <c r="C1565" s="206" t="s">
        <v>1548</v>
      </c>
      <c r="D1565" s="207" t="s">
        <v>781</v>
      </c>
      <c r="E1565" s="201" t="s">
        <v>769</v>
      </c>
      <c r="F1565" s="202">
        <f>+SUMIF(EQ_CE!B:B,Recursos!C1565,EQ_CE!D:D)</f>
        <v>4519.4560000000001</v>
      </c>
      <c r="G1565" s="203">
        <f>+SUMIF('AUX-NIV1'!I:I,Recursos!C1565,'AUX-NIV1'!Q:Q)+SUMIF('AUX-NIV2'!I:I,Recursos!C1565,'AUX-NIV2'!Q:Q)+SUMIF('AUX-NIV3'!I:I,Recursos!C1565,'AUX-NIV3'!Q:Q)</f>
        <v>0</v>
      </c>
      <c r="H1565" s="204">
        <f t="shared" si="138"/>
        <v>0</v>
      </c>
      <c r="I1565" s="366">
        <f t="shared" si="139"/>
        <v>0</v>
      </c>
      <c r="J1565" s="390">
        <f>+IF(A1565=1,SUMIF(EQ_CE!B:B,Recursos!C1565,EQ_CE!T:T),0)</f>
        <v>0</v>
      </c>
    </row>
    <row r="1566" spans="2:10">
      <c r="B1566" s="222"/>
      <c r="C1566" s="206" t="s">
        <v>1547</v>
      </c>
      <c r="D1566" s="207" t="s">
        <v>780</v>
      </c>
      <c r="E1566" s="201" t="s">
        <v>769</v>
      </c>
      <c r="F1566" s="202">
        <f>+SUMIF(EQ_CE!B:B,Recursos!C1566,EQ_CE!D:D)</f>
        <v>6194.8620000000001</v>
      </c>
      <c r="G1566" s="203">
        <f>+SUMIF('AUX-NIV1'!I:I,Recursos!C1566,'AUX-NIV1'!Q:Q)+SUMIF('AUX-NIV2'!I:I,Recursos!C1566,'AUX-NIV2'!Q:Q)+SUMIF('AUX-NIV3'!I:I,Recursos!C1566,'AUX-NIV3'!Q:Q)</f>
        <v>0</v>
      </c>
      <c r="H1566" s="204">
        <f t="shared" si="138"/>
        <v>0</v>
      </c>
      <c r="I1566" s="366">
        <f t="shared" si="139"/>
        <v>0</v>
      </c>
      <c r="J1566" s="390">
        <f>+IF(A1566=1,SUMIF(EQ_CE!B:B,Recursos!C1566,EQ_CE!T:T),0)</f>
        <v>0</v>
      </c>
    </row>
    <row r="1567" spans="2:10">
      <c r="B1567" s="222"/>
      <c r="C1567" s="206" t="s">
        <v>1664</v>
      </c>
      <c r="D1567" s="207" t="s">
        <v>1665</v>
      </c>
      <c r="E1567" s="201" t="s">
        <v>769</v>
      </c>
      <c r="F1567" s="202">
        <f>+SUMIF(EQ_CE!B:B,Recursos!C1567,EQ_CE!D:D)</f>
        <v>4111.9767199999997</v>
      </c>
      <c r="G1567" s="203">
        <f>+SUMIF('AUX-NIV1'!I:I,Recursos!C1567,'AUX-NIV1'!Q:Q)+SUMIF('AUX-NIV2'!I:I,Recursos!C1567,'AUX-NIV2'!Q:Q)+SUMIF('AUX-NIV3'!I:I,Recursos!C1567,'AUX-NIV3'!Q:Q)</f>
        <v>0</v>
      </c>
      <c r="H1567" s="204">
        <f t="shared" si="138"/>
        <v>0</v>
      </c>
      <c r="I1567" s="366">
        <f t="shared" si="139"/>
        <v>0</v>
      </c>
      <c r="J1567" s="390">
        <f>+IF(A1567=1,SUMIF(EQ_CE!B:B,Recursos!C1567,EQ_CE!T:T),0)</f>
        <v>0</v>
      </c>
    </row>
    <row r="1568" spans="2:10">
      <c r="B1568" s="222"/>
      <c r="C1568" s="206" t="s">
        <v>1626</v>
      </c>
      <c r="D1568" s="207" t="s">
        <v>994</v>
      </c>
      <c r="E1568" s="201" t="s">
        <v>769</v>
      </c>
      <c r="F1568" s="202">
        <f>+SUMIF(EQ_CE!B:B,Recursos!C1568,EQ_CE!D:D)</f>
        <v>147.89599999999999</v>
      </c>
      <c r="G1568" s="203">
        <f>+SUMIF('AUX-NIV1'!I:I,Recursos!C1568,'AUX-NIV1'!Q:Q)+SUMIF('AUX-NIV2'!I:I,Recursos!C1568,'AUX-NIV2'!Q:Q)+SUMIF('AUX-NIV3'!I:I,Recursos!C1568,'AUX-NIV3'!Q:Q)</f>
        <v>0</v>
      </c>
      <c r="H1568" s="204">
        <f t="shared" si="138"/>
        <v>0</v>
      </c>
      <c r="I1568" s="366">
        <f t="shared" si="139"/>
        <v>0</v>
      </c>
      <c r="J1568" s="390">
        <f>+IF(A1568=1,SUMIF(EQ_CE!B:B,Recursos!C1568,EQ_CE!T:T),0)</f>
        <v>0</v>
      </c>
    </row>
    <row r="1569" spans="2:10">
      <c r="B1569" s="222"/>
      <c r="C1569" s="206" t="s">
        <v>1666</v>
      </c>
      <c r="D1569" s="207" t="s">
        <v>1667</v>
      </c>
      <c r="E1569" s="201" t="s">
        <v>769</v>
      </c>
      <c r="F1569" s="202">
        <f>+SUMIF(EQ_CE!B:B,Recursos!C1569,EQ_CE!D:D)</f>
        <v>15928.336080000001</v>
      </c>
      <c r="G1569" s="203">
        <f>+SUMIF('AUX-NIV1'!I:I,Recursos!C1569,'AUX-NIV1'!Q:Q)+SUMIF('AUX-NIV2'!I:I,Recursos!C1569,'AUX-NIV2'!Q:Q)+SUMIF('AUX-NIV3'!I:I,Recursos!C1569,'AUX-NIV3'!Q:Q)</f>
        <v>0</v>
      </c>
      <c r="H1569" s="204">
        <f t="shared" si="138"/>
        <v>0</v>
      </c>
      <c r="I1569" s="366">
        <f t="shared" si="139"/>
        <v>0</v>
      </c>
      <c r="J1569" s="390">
        <f>+IF(A1569=1,SUMIF(EQ_CE!B:B,Recursos!C1569,EQ_CE!T:T),0)</f>
        <v>0</v>
      </c>
    </row>
    <row r="1570" spans="2:10">
      <c r="B1570" s="222"/>
      <c r="C1570" s="206" t="s">
        <v>1592</v>
      </c>
      <c r="D1570" s="207" t="s">
        <v>954</v>
      </c>
      <c r="E1570" s="201" t="s">
        <v>769</v>
      </c>
      <c r="F1570" s="202">
        <f>+SUMIF(EQ_CE!B:B,Recursos!C1570,EQ_CE!D:D)</f>
        <v>1845.7450000000003</v>
      </c>
      <c r="G1570" s="203">
        <f>+SUMIF('AUX-NIV1'!I:I,Recursos!C1570,'AUX-NIV1'!Q:Q)+SUMIF('AUX-NIV2'!I:I,Recursos!C1570,'AUX-NIV2'!Q:Q)+SUMIF('AUX-NIV3'!I:I,Recursos!C1570,'AUX-NIV3'!Q:Q)</f>
        <v>0</v>
      </c>
      <c r="H1570" s="204">
        <f t="shared" si="138"/>
        <v>0</v>
      </c>
      <c r="I1570" s="366">
        <f t="shared" si="139"/>
        <v>0</v>
      </c>
      <c r="J1570" s="390">
        <f>+IF(A1570=1,SUMIF(EQ_CE!B:B,Recursos!C1570,EQ_CE!T:T),0)</f>
        <v>0</v>
      </c>
    </row>
    <row r="1571" spans="2:10">
      <c r="B1571" s="222"/>
      <c r="C1571" s="206" t="s">
        <v>1726</v>
      </c>
      <c r="D1571" s="207" t="s">
        <v>1727</v>
      </c>
      <c r="E1571" s="201" t="s">
        <v>769</v>
      </c>
      <c r="F1571" s="202">
        <f>+SUMIF(EQ_CE!B:B,Recursos!C1571,EQ_CE!D:D)</f>
        <v>8473.1039999999994</v>
      </c>
      <c r="G1571" s="203">
        <f>+SUMIF('AUX-NIV1'!I:I,Recursos!C1571,'AUX-NIV1'!Q:Q)+SUMIF('AUX-NIV2'!I:I,Recursos!C1571,'AUX-NIV2'!Q:Q)+SUMIF('AUX-NIV3'!I:I,Recursos!C1571,'AUX-NIV3'!Q:Q)</f>
        <v>0</v>
      </c>
      <c r="H1571" s="204">
        <f t="shared" si="138"/>
        <v>0</v>
      </c>
      <c r="I1571" s="366">
        <f t="shared" si="139"/>
        <v>0</v>
      </c>
      <c r="J1571" s="390">
        <f>+IF(A1571=1,SUMIF(EQ_CE!B:B,Recursos!C1571,EQ_CE!T:T),0)</f>
        <v>0</v>
      </c>
    </row>
    <row r="1572" spans="2:10">
      <c r="B1572" s="222"/>
      <c r="C1572" s="206" t="s">
        <v>3300</v>
      </c>
      <c r="D1572" s="207" t="s">
        <v>869</v>
      </c>
      <c r="E1572" s="201" t="s">
        <v>769</v>
      </c>
      <c r="F1572" s="202">
        <f>+SUMIF(EQ_CE!B:B,Recursos!C1572,EQ_CE!D:D)</f>
        <v>1224.5999999999999</v>
      </c>
      <c r="G1572" s="203">
        <f>+SUMIF('AUX-NIV1'!I:I,Recursos!C1572,'AUX-NIV1'!Q:Q)+SUMIF('AUX-NIV2'!I:I,Recursos!C1572,'AUX-NIV2'!Q:Q)+SUMIF('AUX-NIV3'!I:I,Recursos!C1572,'AUX-NIV3'!Q:Q)</f>
        <v>0</v>
      </c>
      <c r="H1572" s="204">
        <f t="shared" si="138"/>
        <v>0</v>
      </c>
      <c r="I1572" s="366">
        <f t="shared" si="139"/>
        <v>0</v>
      </c>
      <c r="J1572" s="390">
        <f>+IF(A1572=1,SUMIF(EQ_CE!B:B,Recursos!C1572,EQ_CE!T:T),0)</f>
        <v>0</v>
      </c>
    </row>
    <row r="1573" spans="2:10">
      <c r="B1573" s="222"/>
      <c r="C1573" s="206" t="s">
        <v>1578</v>
      </c>
      <c r="D1573" s="207" t="s">
        <v>869</v>
      </c>
      <c r="E1573" s="201" t="s">
        <v>769</v>
      </c>
      <c r="F1573" s="202">
        <f>+SUMIF(EQ_CE!B:B,Recursos!C1573,EQ_CE!D:D)</f>
        <v>1224.5999999999999</v>
      </c>
      <c r="G1573" s="203">
        <f>+SUMIF('AUX-NIV1'!I:I,Recursos!C1573,'AUX-NIV1'!Q:Q)+SUMIF('AUX-NIV2'!I:I,Recursos!C1573,'AUX-NIV2'!Q:Q)+SUMIF('AUX-NIV3'!I:I,Recursos!C1573,'AUX-NIV3'!Q:Q)</f>
        <v>0</v>
      </c>
      <c r="H1573" s="204">
        <f t="shared" si="138"/>
        <v>0</v>
      </c>
      <c r="I1573" s="366">
        <f t="shared" si="139"/>
        <v>0</v>
      </c>
      <c r="J1573" s="390">
        <f>+IF(A1573=1,SUMIF(EQ_CE!B:B,Recursos!C1573,EQ_CE!T:T),0)</f>
        <v>0</v>
      </c>
    </row>
    <row r="1574" spans="2:10">
      <c r="B1574" s="222"/>
      <c r="C1574" s="206" t="s">
        <v>1633</v>
      </c>
      <c r="D1574" s="207" t="s">
        <v>1001</v>
      </c>
      <c r="E1574" s="201" t="s">
        <v>769</v>
      </c>
      <c r="F1574" s="202">
        <f>+SUMIF(EQ_CE!B:B,Recursos!C1574,EQ_CE!D:D)</f>
        <v>5550.84</v>
      </c>
      <c r="G1574" s="203">
        <f>+SUMIF('AUX-NIV1'!I:I,Recursos!C1574,'AUX-NIV1'!Q:Q)+SUMIF('AUX-NIV2'!I:I,Recursos!C1574,'AUX-NIV2'!Q:Q)+SUMIF('AUX-NIV3'!I:I,Recursos!C1574,'AUX-NIV3'!Q:Q)</f>
        <v>0</v>
      </c>
      <c r="H1574" s="204">
        <f t="shared" si="138"/>
        <v>0</v>
      </c>
      <c r="I1574" s="366">
        <f t="shared" si="139"/>
        <v>0</v>
      </c>
      <c r="J1574" s="390">
        <f>+IF(A1574=1,SUMIF(EQ_CE!B:B,Recursos!C1574,EQ_CE!T:T),0)</f>
        <v>0</v>
      </c>
    </row>
    <row r="1575" spans="2:10">
      <c r="B1575" s="222"/>
      <c r="C1575" s="206" t="s">
        <v>1570</v>
      </c>
      <c r="D1575" s="207" t="s">
        <v>861</v>
      </c>
      <c r="E1575" s="201" t="s">
        <v>769</v>
      </c>
      <c r="F1575" s="202">
        <f>+SUMIF(EQ_CE!B:B,Recursos!C1575,EQ_CE!D:D)</f>
        <v>125.63040000000001</v>
      </c>
      <c r="G1575" s="203">
        <f>+SUMIF('AUX-NIV1'!I:I,Recursos!C1575,'AUX-NIV1'!Q:Q)+SUMIF('AUX-NIV2'!I:I,Recursos!C1575,'AUX-NIV2'!Q:Q)+SUMIF('AUX-NIV3'!I:I,Recursos!C1575,'AUX-NIV3'!Q:Q)</f>
        <v>0</v>
      </c>
      <c r="H1575" s="204">
        <f t="shared" si="138"/>
        <v>0</v>
      </c>
      <c r="I1575" s="366">
        <f t="shared" si="139"/>
        <v>0</v>
      </c>
      <c r="J1575" s="390">
        <f>+IF(A1575=1,SUMIF(EQ_CE!B:B,Recursos!C1575,EQ_CE!T:T),0)</f>
        <v>0</v>
      </c>
    </row>
    <row r="1576" spans="2:10">
      <c r="B1576" s="222">
        <v>25</v>
      </c>
      <c r="C1576" s="206" t="s">
        <v>1571</v>
      </c>
      <c r="D1576" s="207" t="s">
        <v>862</v>
      </c>
      <c r="E1576" s="201" t="s">
        <v>769</v>
      </c>
      <c r="F1576" s="202">
        <f>+SUMIF(EQ_CE!B:B,Recursos!C1576,EQ_CE!D:D)</f>
        <v>624.11760000000004</v>
      </c>
      <c r="G1576" s="203">
        <f>+SUMIF('AUX-NIV1'!I:I,Recursos!C1576,'AUX-NIV1'!Q:Q)+SUMIF('AUX-NIV2'!I:I,Recursos!C1576,'AUX-NIV2'!Q:Q)+SUMIF('AUX-NIV3'!I:I,Recursos!C1576,'AUX-NIV3'!Q:Q)</f>
        <v>2</v>
      </c>
      <c r="H1576" s="204">
        <f t="shared" si="138"/>
        <v>1248.2352000000001</v>
      </c>
      <c r="I1576" s="366">
        <f t="shared" si="139"/>
        <v>3.8474050591381943E-3</v>
      </c>
      <c r="J1576" s="390">
        <f>+IF(A1576=1,SUMIF(EQ_CE!B:B,Recursos!C1576,EQ_CE!T:T),0)</f>
        <v>0</v>
      </c>
    </row>
    <row r="1577" spans="2:10">
      <c r="B1577" s="222"/>
      <c r="C1577" s="206" t="s">
        <v>1728</v>
      </c>
      <c r="D1577" s="207" t="s">
        <v>1729</v>
      </c>
      <c r="E1577" s="201" t="s">
        <v>769</v>
      </c>
      <c r="F1577" s="202">
        <f>+SUMIF(EQ_CE!B:B,Recursos!C1577,EQ_CE!D:D)</f>
        <v>10757.6232</v>
      </c>
      <c r="G1577" s="203">
        <f>+SUMIF('AUX-NIV1'!I:I,Recursos!C1577,'AUX-NIV1'!Q:Q)+SUMIF('AUX-NIV2'!I:I,Recursos!C1577,'AUX-NIV2'!Q:Q)+SUMIF('AUX-NIV3'!I:I,Recursos!C1577,'AUX-NIV3'!Q:Q)</f>
        <v>0</v>
      </c>
      <c r="H1577" s="204">
        <f t="shared" si="138"/>
        <v>0</v>
      </c>
      <c r="I1577" s="366">
        <f t="shared" si="139"/>
        <v>0</v>
      </c>
      <c r="J1577" s="390">
        <f>+IF(A1577=1,SUMIF(EQ_CE!B:B,Recursos!C1577,EQ_CE!T:T),0)</f>
        <v>0</v>
      </c>
    </row>
    <row r="1578" spans="2:10">
      <c r="B1578" s="222"/>
      <c r="C1578" s="206" t="s">
        <v>1631</v>
      </c>
      <c r="D1578" s="207" t="s">
        <v>999</v>
      </c>
      <c r="E1578" s="201" t="s">
        <v>769</v>
      </c>
      <c r="F1578" s="202">
        <f>+SUMIF(EQ_CE!B:B,Recursos!C1578,EQ_CE!D:D)</f>
        <v>9184.5</v>
      </c>
      <c r="G1578" s="203">
        <f>+SUMIF('AUX-NIV1'!I:I,Recursos!C1578,'AUX-NIV1'!Q:Q)+SUMIF('AUX-NIV2'!I:I,Recursos!C1578,'AUX-NIV2'!Q:Q)+SUMIF('AUX-NIV3'!I:I,Recursos!C1578,'AUX-NIV3'!Q:Q)</f>
        <v>0</v>
      </c>
      <c r="H1578" s="204">
        <f t="shared" si="138"/>
        <v>0</v>
      </c>
      <c r="I1578" s="366">
        <f t="shared" si="139"/>
        <v>0</v>
      </c>
      <c r="J1578" s="390">
        <f>+IF(A1578=1,SUMIF(EQ_CE!B:B,Recursos!C1578,EQ_CE!T:T),0)</f>
        <v>0</v>
      </c>
    </row>
    <row r="1579" spans="2:10">
      <c r="B1579" s="222"/>
      <c r="C1579" s="771" t="s">
        <v>1614</v>
      </c>
      <c r="D1579" s="209" t="s">
        <v>975</v>
      </c>
      <c r="E1579" s="201" t="s">
        <v>769</v>
      </c>
      <c r="F1579" s="202">
        <f>+SUMIF(EQ_CE!B:B,Recursos!C1579,EQ_CE!D:D)</f>
        <v>3673.7999999999997</v>
      </c>
      <c r="G1579" s="203">
        <f>+SUMIF('AUX-NIV1'!I:I,Recursos!C1579,'AUX-NIV1'!Q:Q)+SUMIF('AUX-NIV2'!I:I,Recursos!C1579,'AUX-NIV2'!Q:Q)+SUMIF('AUX-NIV3'!I:I,Recursos!C1579,'AUX-NIV3'!Q:Q)</f>
        <v>0</v>
      </c>
      <c r="H1579" s="204">
        <f t="shared" si="138"/>
        <v>0</v>
      </c>
      <c r="I1579" s="366">
        <f t="shared" si="139"/>
        <v>0</v>
      </c>
      <c r="J1579" s="390">
        <f>+IF(A1579=1,SUMIF(EQ_CE!B:B,Recursos!C1579,EQ_CE!T:T),0)</f>
        <v>0</v>
      </c>
    </row>
    <row r="1580" spans="2:10">
      <c r="B1580" s="222"/>
      <c r="C1580" s="771" t="s">
        <v>1606</v>
      </c>
      <c r="D1580" s="209" t="s">
        <v>968</v>
      </c>
      <c r="E1580" s="201" t="s">
        <v>769</v>
      </c>
      <c r="F1580" s="202">
        <f>+SUMIF(EQ_CE!B:B,Recursos!C1580,EQ_CE!D:D)</f>
        <v>793.94899999999996</v>
      </c>
      <c r="G1580" s="203">
        <f>+SUMIF('AUX-NIV1'!I:I,Recursos!C1580,'AUX-NIV1'!Q:Q)+SUMIF('AUX-NIV2'!I:I,Recursos!C1580,'AUX-NIV2'!Q:Q)+SUMIF('AUX-NIV3'!I:I,Recursos!C1580,'AUX-NIV3'!Q:Q)</f>
        <v>0.31651199999999996</v>
      </c>
      <c r="H1580" s="204">
        <f t="shared" si="138"/>
        <v>251.29438588799997</v>
      </c>
      <c r="I1580" s="366">
        <f t="shared" si="139"/>
        <v>7.7455858607297461E-4</v>
      </c>
      <c r="J1580" s="390">
        <f>+IF(A1580=1,SUMIF(EQ_CE!B:B,Recursos!C1580,EQ_CE!T:T),0)</f>
        <v>0</v>
      </c>
    </row>
    <row r="1581" spans="2:10">
      <c r="B1581" s="222"/>
      <c r="C1581" s="771" t="s">
        <v>1704</v>
      </c>
      <c r="D1581" s="209" t="s">
        <v>2731</v>
      </c>
      <c r="E1581" s="201" t="s">
        <v>769</v>
      </c>
      <c r="F1581" s="202">
        <f>+SUMIF(EQ_CE!B:B,Recursos!C1581,EQ_CE!D:D)</f>
        <v>1561.4874599999998</v>
      </c>
      <c r="G1581" s="203">
        <f>+SUMIF('AUX-NIV1'!I:I,Recursos!C1581,'AUX-NIV1'!Q:Q)+SUMIF('AUX-NIV2'!I:I,Recursos!C1581,'AUX-NIV2'!Q:Q)+SUMIF('AUX-NIV3'!I:I,Recursos!C1581,'AUX-NIV3'!Q:Q)</f>
        <v>0</v>
      </c>
      <c r="H1581" s="204">
        <f t="shared" si="138"/>
        <v>0</v>
      </c>
      <c r="I1581" s="366">
        <f t="shared" si="139"/>
        <v>0</v>
      </c>
      <c r="J1581" s="390">
        <f>+IF(A1581=1,SUMIF(EQ_CE!B:B,Recursos!C1581,EQ_CE!T:T),0)</f>
        <v>0</v>
      </c>
    </row>
    <row r="1582" spans="2:10">
      <c r="B1582" s="222"/>
      <c r="C1582" s="771" t="s">
        <v>1611</v>
      </c>
      <c r="D1582" s="209" t="s">
        <v>973</v>
      </c>
      <c r="E1582" s="201" t="s">
        <v>769</v>
      </c>
      <c r="F1582" s="202">
        <f>+SUMIF(EQ_CE!B:B,Recursos!C1582,EQ_CE!D:D)</f>
        <v>1836.8999999999999</v>
      </c>
      <c r="G1582" s="203">
        <f>+SUMIF('AUX-NIV1'!I:I,Recursos!C1582,'AUX-NIV1'!Q:Q)+SUMIF('AUX-NIV2'!I:I,Recursos!C1582,'AUX-NIV2'!Q:Q)+SUMIF('AUX-NIV3'!I:I,Recursos!C1582,'AUX-NIV3'!Q:Q)</f>
        <v>0</v>
      </c>
      <c r="H1582" s="204">
        <f t="shared" si="138"/>
        <v>0</v>
      </c>
      <c r="I1582" s="366">
        <f t="shared" si="139"/>
        <v>0</v>
      </c>
      <c r="J1582" s="390">
        <f>+IF(A1582=1,SUMIF(EQ_CE!B:B,Recursos!C1582,EQ_CE!T:T),0)</f>
        <v>0</v>
      </c>
    </row>
    <row r="1583" spans="2:10">
      <c r="B1583" s="222"/>
      <c r="C1583" s="206" t="s">
        <v>1612</v>
      </c>
      <c r="D1583" s="207" t="s">
        <v>973</v>
      </c>
      <c r="E1583" s="201" t="s">
        <v>769</v>
      </c>
      <c r="F1583" s="202">
        <f>+SUMIF(EQ_CE!B:B,Recursos!C1583,EQ_CE!D:D)</f>
        <v>4041.18</v>
      </c>
      <c r="G1583" s="203">
        <f>+SUMIF('AUX-NIV1'!I:I,Recursos!C1583,'AUX-NIV1'!Q:Q)+SUMIF('AUX-NIV2'!I:I,Recursos!C1583,'AUX-NIV2'!Q:Q)+SUMIF('AUX-NIV3'!I:I,Recursos!C1583,'AUX-NIV3'!Q:Q)</f>
        <v>0</v>
      </c>
      <c r="H1583" s="204">
        <f t="shared" si="138"/>
        <v>0</v>
      </c>
      <c r="I1583" s="366">
        <f t="shared" si="139"/>
        <v>0</v>
      </c>
      <c r="J1583" s="390">
        <f>+IF(A1583=1,SUMIF(EQ_CE!B:B,Recursos!C1583,EQ_CE!T:T),0)</f>
        <v>0</v>
      </c>
    </row>
    <row r="1584" spans="2:10">
      <c r="B1584" s="222"/>
      <c r="C1584" s="206" t="s">
        <v>1610</v>
      </c>
      <c r="D1584" s="207" t="s">
        <v>972</v>
      </c>
      <c r="E1584" s="201" t="s">
        <v>769</v>
      </c>
      <c r="F1584" s="202">
        <f>+SUMIF(EQ_CE!B:B,Recursos!C1584,EQ_CE!D:D)</f>
        <v>2469.6099999999997</v>
      </c>
      <c r="G1584" s="203">
        <f>+SUMIF('AUX-NIV1'!I:I,Recursos!C1584,'AUX-NIV1'!Q:Q)+SUMIF('AUX-NIV2'!I:I,Recursos!C1584,'AUX-NIV2'!Q:Q)+SUMIF('AUX-NIV3'!I:I,Recursos!C1584,'AUX-NIV3'!Q:Q)</f>
        <v>0</v>
      </c>
      <c r="H1584" s="204">
        <f t="shared" si="138"/>
        <v>0</v>
      </c>
      <c r="I1584" s="366">
        <f t="shared" si="139"/>
        <v>0</v>
      </c>
      <c r="J1584" s="390">
        <f>+IF(A1584=1,SUMIF(EQ_CE!B:B,Recursos!C1584,EQ_CE!T:T),0)</f>
        <v>0</v>
      </c>
    </row>
    <row r="1585" spans="2:10">
      <c r="B1585" s="222"/>
      <c r="C1585" s="771" t="s">
        <v>1630</v>
      </c>
      <c r="D1585" s="209" t="s">
        <v>998</v>
      </c>
      <c r="E1585" s="201" t="s">
        <v>769</v>
      </c>
      <c r="F1585" s="202">
        <f>+SUMIF(EQ_CE!B:B,Recursos!C1585,EQ_CE!D:D)</f>
        <v>3918.7200000000003</v>
      </c>
      <c r="G1585" s="203">
        <f>+SUMIF('AUX-NIV1'!I:I,Recursos!C1585,'AUX-NIV1'!Q:Q)+SUMIF('AUX-NIV2'!I:I,Recursos!C1585,'AUX-NIV2'!Q:Q)+SUMIF('AUX-NIV3'!I:I,Recursos!C1585,'AUX-NIV3'!Q:Q)</f>
        <v>0</v>
      </c>
      <c r="H1585" s="204">
        <f t="shared" si="138"/>
        <v>0</v>
      </c>
      <c r="I1585" s="366">
        <f t="shared" si="139"/>
        <v>0</v>
      </c>
      <c r="J1585" s="390">
        <f>+IF(A1585=1,SUMIF(EQ_CE!B:B,Recursos!C1585,EQ_CE!T:T),0)</f>
        <v>0</v>
      </c>
    </row>
    <row r="1586" spans="2:10">
      <c r="B1586" s="222"/>
      <c r="C1586" s="771" t="s">
        <v>1708</v>
      </c>
      <c r="D1586" s="209" t="s">
        <v>1709</v>
      </c>
      <c r="E1586" s="201" t="s">
        <v>769</v>
      </c>
      <c r="F1586" s="202">
        <f>+SUMIF(EQ_CE!B:B,Recursos!C1586,EQ_CE!D:D)</f>
        <v>1511.52378</v>
      </c>
      <c r="G1586" s="203">
        <f>+SUMIF('AUX-NIV1'!I:I,Recursos!C1586,'AUX-NIV1'!Q:Q)+SUMIF('AUX-NIV2'!I:I,Recursos!C1586,'AUX-NIV2'!Q:Q)+SUMIF('AUX-NIV3'!I:I,Recursos!C1586,'AUX-NIV3'!Q:Q)</f>
        <v>0</v>
      </c>
      <c r="H1586" s="204">
        <f t="shared" si="138"/>
        <v>0</v>
      </c>
      <c r="I1586" s="366">
        <f t="shared" si="139"/>
        <v>0</v>
      </c>
      <c r="J1586" s="390">
        <f>+IF(A1586=1,SUMIF(EQ_CE!B:B,Recursos!C1586,EQ_CE!T:T),0)</f>
        <v>0</v>
      </c>
    </row>
    <row r="1587" spans="2:10">
      <c r="B1587" s="222"/>
      <c r="C1587" s="771" t="s">
        <v>1724</v>
      </c>
      <c r="D1587" s="209" t="s">
        <v>1725</v>
      </c>
      <c r="E1587" s="201" t="s">
        <v>769</v>
      </c>
      <c r="F1587" s="202">
        <f>+SUMIF(EQ_CE!B:B,Recursos!C1587,EQ_CE!D:D)</f>
        <v>407.09796000000006</v>
      </c>
      <c r="G1587" s="203">
        <f>+SUMIF('AUX-NIV1'!I:I,Recursos!C1587,'AUX-NIV1'!Q:Q)+SUMIF('AUX-NIV2'!I:I,Recursos!C1587,'AUX-NIV2'!Q:Q)+SUMIF('AUX-NIV3'!I:I,Recursos!C1587,'AUX-NIV3'!Q:Q)</f>
        <v>0</v>
      </c>
      <c r="H1587" s="204">
        <f t="shared" si="138"/>
        <v>0</v>
      </c>
      <c r="I1587" s="366">
        <f t="shared" si="139"/>
        <v>0</v>
      </c>
      <c r="J1587" s="390">
        <f>+IF(A1587=1,SUMIF(EQ_CE!B:B,Recursos!C1587,EQ_CE!T:T),0)</f>
        <v>0</v>
      </c>
    </row>
    <row r="1588" spans="2:10">
      <c r="B1588" s="222"/>
      <c r="C1588" s="771" t="s">
        <v>1650</v>
      </c>
      <c r="D1588" s="209" t="s">
        <v>3282</v>
      </c>
      <c r="E1588" s="201" t="s">
        <v>769</v>
      </c>
      <c r="F1588" s="202">
        <f>+SUMIF(EQ_CE!B:B,Recursos!C1588,EQ_CE!D:D)</f>
        <v>122.46000000000001</v>
      </c>
      <c r="G1588" s="203">
        <f>+SUMIF('AUX-NIV1'!I:I,Recursos!C1588,'AUX-NIV1'!Q:Q)+SUMIF('AUX-NIV2'!I:I,Recursos!C1588,'AUX-NIV2'!Q:Q)+SUMIF('AUX-NIV3'!I:I,Recursos!C1588,'AUX-NIV3'!Q:Q)</f>
        <v>0</v>
      </c>
      <c r="H1588" s="204">
        <f t="shared" ref="H1588:H1633" si="140">+F1588*G1588</f>
        <v>0</v>
      </c>
      <c r="I1588" s="366">
        <f t="shared" ref="I1588:I1633" si="141">+H1588/$I$3</f>
        <v>0</v>
      </c>
      <c r="J1588" s="390">
        <f>+IF(A1588=1,SUMIF(EQ_CE!B:B,Recursos!C1588,EQ_CE!T:T),0)</f>
        <v>0</v>
      </c>
    </row>
    <row r="1589" spans="2:10">
      <c r="B1589" s="222"/>
      <c r="C1589" s="771" t="s">
        <v>1714</v>
      </c>
      <c r="D1589" s="209" t="s">
        <v>1715</v>
      </c>
      <c r="E1589" s="201" t="s">
        <v>769</v>
      </c>
      <c r="F1589" s="202">
        <f>+SUMIF(EQ_CE!B:B,Recursos!C1589,EQ_CE!D:D)</f>
        <v>123.6846</v>
      </c>
      <c r="G1589" s="203">
        <f>+SUMIF('AUX-NIV1'!I:I,Recursos!C1589,'AUX-NIV1'!Q:Q)+SUMIF('AUX-NIV2'!I:I,Recursos!C1589,'AUX-NIV2'!Q:Q)+SUMIF('AUX-NIV3'!I:I,Recursos!C1589,'AUX-NIV3'!Q:Q)</f>
        <v>0</v>
      </c>
      <c r="H1589" s="204">
        <f t="shared" si="140"/>
        <v>0</v>
      </c>
      <c r="I1589" s="366">
        <f t="shared" si="141"/>
        <v>0</v>
      </c>
      <c r="J1589" s="390">
        <f>+IF(A1589=1,SUMIF(EQ_CE!B:B,Recursos!C1589,EQ_CE!T:T),0)</f>
        <v>0</v>
      </c>
    </row>
    <row r="1590" spans="2:10">
      <c r="B1590" s="222"/>
      <c r="C1590" s="771" t="s">
        <v>1736</v>
      </c>
      <c r="D1590" s="209" t="s">
        <v>1737</v>
      </c>
      <c r="E1590" s="201" t="s">
        <v>769</v>
      </c>
      <c r="F1590" s="202">
        <f>+SUMIF(EQ_CE!B:B,Recursos!C1590,EQ_CE!D:D)</f>
        <v>8683.1646000000001</v>
      </c>
      <c r="G1590" s="203">
        <f>+SUMIF('AUX-NIV1'!I:I,Recursos!C1590,'AUX-NIV1'!Q:Q)+SUMIF('AUX-NIV2'!I:I,Recursos!C1590,'AUX-NIV2'!Q:Q)+SUMIF('AUX-NIV3'!I:I,Recursos!C1590,'AUX-NIV3'!Q:Q)</f>
        <v>0</v>
      </c>
      <c r="H1590" s="204">
        <f t="shared" si="140"/>
        <v>0</v>
      </c>
      <c r="I1590" s="366">
        <f t="shared" si="141"/>
        <v>0</v>
      </c>
      <c r="J1590" s="390">
        <f>+IF(A1590=1,SUMIF(EQ_CE!B:B,Recursos!C1590,EQ_CE!T:T),0)</f>
        <v>0</v>
      </c>
    </row>
    <row r="1591" spans="2:10">
      <c r="B1591" s="222"/>
      <c r="C1591" s="771" t="s">
        <v>1623</v>
      </c>
      <c r="D1591" s="209" t="s">
        <v>984</v>
      </c>
      <c r="E1591" s="201" t="s">
        <v>769</v>
      </c>
      <c r="F1591" s="202">
        <f>+SUMIF(EQ_CE!B:B,Recursos!C1591,EQ_CE!D:D)</f>
        <v>163.27999999999997</v>
      </c>
      <c r="G1591" s="203">
        <f>+SUMIF('AUX-NIV1'!I:I,Recursos!C1591,'AUX-NIV1'!Q:Q)+SUMIF('AUX-NIV2'!I:I,Recursos!C1591,'AUX-NIV2'!Q:Q)+SUMIF('AUX-NIV3'!I:I,Recursos!C1591,'AUX-NIV3'!Q:Q)</f>
        <v>0</v>
      </c>
      <c r="H1591" s="204">
        <f t="shared" si="140"/>
        <v>0</v>
      </c>
      <c r="I1591" s="366">
        <f t="shared" si="141"/>
        <v>0</v>
      </c>
      <c r="J1591" s="390">
        <f>+IF(A1591=1,SUMIF(EQ_CE!B:B,Recursos!C1591,EQ_CE!T:T),0)</f>
        <v>0</v>
      </c>
    </row>
    <row r="1592" spans="2:10">
      <c r="B1592" s="222"/>
      <c r="C1592" s="771" t="s">
        <v>1624</v>
      </c>
      <c r="D1592" s="209" t="s">
        <v>992</v>
      </c>
      <c r="E1592" s="201" t="s">
        <v>769</v>
      </c>
      <c r="F1592" s="202">
        <f>+SUMIF(EQ_CE!B:B,Recursos!C1592,EQ_CE!D:D)</f>
        <v>199.93639999999999</v>
      </c>
      <c r="G1592" s="203">
        <f>+SUMIF('AUX-NIV1'!I:I,Recursos!C1592,'AUX-NIV1'!Q:Q)+SUMIF('AUX-NIV2'!I:I,Recursos!C1592,'AUX-NIV2'!Q:Q)+SUMIF('AUX-NIV3'!I:I,Recursos!C1592,'AUX-NIV3'!Q:Q)</f>
        <v>0</v>
      </c>
      <c r="H1592" s="204">
        <f t="shared" si="140"/>
        <v>0</v>
      </c>
      <c r="I1592" s="366">
        <f t="shared" si="141"/>
        <v>0</v>
      </c>
      <c r="J1592" s="390">
        <f>+IF(A1592=1,SUMIF(EQ_CE!B:B,Recursos!C1592,EQ_CE!T:T),0)</f>
        <v>0</v>
      </c>
    </row>
    <row r="1593" spans="2:10">
      <c r="B1593" s="222">
        <v>23</v>
      </c>
      <c r="C1593" s="771" t="s">
        <v>1549</v>
      </c>
      <c r="D1593" s="209" t="s">
        <v>782</v>
      </c>
      <c r="E1593" s="201" t="s">
        <v>769</v>
      </c>
      <c r="F1593" s="202">
        <f>+SUMIF(EQ_CE!B:B,Recursos!C1593,EQ_CE!D:D)</f>
        <v>1761.0672000000002</v>
      </c>
      <c r="G1593" s="203">
        <f>+SUMIF('AUX-NIV1'!I:I,Recursos!C1593,'AUX-NIV1'!Q:Q)+SUMIF('AUX-NIV2'!I:I,Recursos!C1593,'AUX-NIV2'!Q:Q)+SUMIF('AUX-NIV3'!I:I,Recursos!C1593,'AUX-NIV3'!Q:Q)</f>
        <v>0</v>
      </c>
      <c r="H1593" s="204">
        <f t="shared" si="140"/>
        <v>0</v>
      </c>
      <c r="I1593" s="366">
        <f t="shared" si="141"/>
        <v>0</v>
      </c>
      <c r="J1593" s="390">
        <f>+IF(A1593=1,SUMIF(EQ_CE!B:B,Recursos!C1593,EQ_CE!T:T),0)</f>
        <v>0</v>
      </c>
    </row>
    <row r="1594" spans="2:10">
      <c r="B1594" s="222"/>
      <c r="C1594" s="771" t="s">
        <v>1551</v>
      </c>
      <c r="D1594" s="209" t="s">
        <v>807</v>
      </c>
      <c r="E1594" s="201" t="s">
        <v>769</v>
      </c>
      <c r="F1594" s="202">
        <f>+SUMIF(EQ_CE!B:B,Recursos!C1594,EQ_CE!D:D)</f>
        <v>1774.752</v>
      </c>
      <c r="G1594" s="203">
        <f>+SUMIF('AUX-NIV1'!I:I,Recursos!C1594,'AUX-NIV1'!Q:Q)+SUMIF('AUX-NIV2'!I:I,Recursos!C1594,'AUX-NIV2'!Q:Q)+SUMIF('AUX-NIV3'!I:I,Recursos!C1594,'AUX-NIV3'!Q:Q)</f>
        <v>0</v>
      </c>
      <c r="H1594" s="204">
        <f t="shared" si="140"/>
        <v>0</v>
      </c>
      <c r="I1594" s="366">
        <f t="shared" si="141"/>
        <v>0</v>
      </c>
      <c r="J1594" s="390">
        <f>+IF(A1594=1,SUMIF(EQ_CE!B:B,Recursos!C1594,EQ_CE!T:T),0)</f>
        <v>0</v>
      </c>
    </row>
    <row r="1595" spans="2:10">
      <c r="B1595" s="222"/>
      <c r="C1595" s="771" t="s">
        <v>1552</v>
      </c>
      <c r="D1595" s="209" t="s">
        <v>808</v>
      </c>
      <c r="E1595" s="201" t="s">
        <v>769</v>
      </c>
      <c r="F1595" s="202">
        <f>+SUMIF(EQ_CE!B:B,Recursos!C1595,EQ_CE!D:D)</f>
        <v>2743.02</v>
      </c>
      <c r="G1595" s="203">
        <f>+SUMIF('AUX-NIV1'!I:I,Recursos!C1595,'AUX-NIV1'!Q:Q)+SUMIF('AUX-NIV2'!I:I,Recursos!C1595,'AUX-NIV2'!Q:Q)+SUMIF('AUX-NIV3'!I:I,Recursos!C1595,'AUX-NIV3'!Q:Q)</f>
        <v>0</v>
      </c>
      <c r="H1595" s="204">
        <f t="shared" si="140"/>
        <v>0</v>
      </c>
      <c r="I1595" s="366">
        <f t="shared" si="141"/>
        <v>0</v>
      </c>
      <c r="J1595" s="390">
        <f>+IF(A1595=1,SUMIF(EQ_CE!B:B,Recursos!C1595,EQ_CE!T:T),0)</f>
        <v>0</v>
      </c>
    </row>
    <row r="1596" spans="2:10">
      <c r="B1596" s="222"/>
      <c r="C1596" s="771" t="s">
        <v>1553</v>
      </c>
      <c r="D1596" s="209" t="s">
        <v>809</v>
      </c>
      <c r="E1596" s="201" t="s">
        <v>769</v>
      </c>
      <c r="F1596" s="202">
        <f>+SUMIF(EQ_CE!B:B,Recursos!C1596,EQ_CE!D:D)</f>
        <v>3248.7120000000004</v>
      </c>
      <c r="G1596" s="203">
        <f>+SUMIF('AUX-NIV1'!I:I,Recursos!C1596,'AUX-NIV1'!Q:Q)+SUMIF('AUX-NIV2'!I:I,Recursos!C1596,'AUX-NIV2'!Q:Q)+SUMIF('AUX-NIV3'!I:I,Recursos!C1596,'AUX-NIV3'!Q:Q)</f>
        <v>0</v>
      </c>
      <c r="H1596" s="204">
        <f t="shared" si="140"/>
        <v>0</v>
      </c>
      <c r="I1596" s="366">
        <f t="shared" si="141"/>
        <v>0</v>
      </c>
      <c r="J1596" s="390">
        <f>+IF(A1596=1,SUMIF(EQ_CE!B:B,Recursos!C1596,EQ_CE!T:T),0)</f>
        <v>0</v>
      </c>
    </row>
    <row r="1597" spans="2:10">
      <c r="B1597" s="222"/>
      <c r="C1597" s="771" t="s">
        <v>1554</v>
      </c>
      <c r="D1597" s="209" t="s">
        <v>810</v>
      </c>
      <c r="E1597" s="201" t="s">
        <v>769</v>
      </c>
      <c r="F1597" s="202">
        <f>+SUMIF(EQ_CE!B:B,Recursos!C1597,EQ_CE!D:D)</f>
        <v>4360.8076000000001</v>
      </c>
      <c r="G1597" s="203">
        <f>+SUMIF('AUX-NIV1'!I:I,Recursos!C1597,'AUX-NIV1'!Q:Q)+SUMIF('AUX-NIV2'!I:I,Recursos!C1597,'AUX-NIV2'!Q:Q)+SUMIF('AUX-NIV3'!I:I,Recursos!C1597,'AUX-NIV3'!Q:Q)</f>
        <v>0</v>
      </c>
      <c r="H1597" s="204">
        <f t="shared" si="140"/>
        <v>0</v>
      </c>
      <c r="I1597" s="366">
        <f t="shared" si="141"/>
        <v>0</v>
      </c>
      <c r="J1597" s="390">
        <f>+IF(A1597=1,SUMIF(EQ_CE!B:B,Recursos!C1597,EQ_CE!T:T),0)</f>
        <v>0</v>
      </c>
    </row>
    <row r="1598" spans="2:10">
      <c r="B1598" s="222"/>
      <c r="C1598" s="771" t="s">
        <v>1641</v>
      </c>
      <c r="D1598" s="209" t="s">
        <v>1009</v>
      </c>
      <c r="E1598" s="201" t="s">
        <v>769</v>
      </c>
      <c r="F1598" s="202">
        <f>+SUMIF(EQ_CE!B:B,Recursos!C1598,EQ_CE!D:D)</f>
        <v>6372.6</v>
      </c>
      <c r="G1598" s="203">
        <f>+SUMIF('AUX-NIV1'!I:I,Recursos!C1598,'AUX-NIV1'!Q:Q)+SUMIF('AUX-NIV2'!I:I,Recursos!C1598,'AUX-NIV2'!Q:Q)+SUMIF('AUX-NIV3'!I:I,Recursos!C1598,'AUX-NIV3'!Q:Q)</f>
        <v>5.4949999999999992E-2</v>
      </c>
      <c r="H1598" s="204">
        <f t="shared" si="140"/>
        <v>350.17436999999995</v>
      </c>
      <c r="I1598" s="366">
        <f t="shared" si="141"/>
        <v>1.0793339610343704E-3</v>
      </c>
      <c r="J1598" s="390">
        <f>+IF(A1598=1,SUMIF(EQ_CE!B:B,Recursos!C1598,EQ_CE!T:T),0)</f>
        <v>0</v>
      </c>
    </row>
    <row r="1599" spans="2:10">
      <c r="B1599" s="222"/>
      <c r="C1599" s="771" t="s">
        <v>1550</v>
      </c>
      <c r="D1599" s="209" t="s">
        <v>806</v>
      </c>
      <c r="E1599" s="201" t="s">
        <v>769</v>
      </c>
      <c r="F1599" s="202">
        <f>+SUMIF(EQ_CE!B:B,Recursos!C1599,EQ_CE!D:D)</f>
        <v>13376.107200000002</v>
      </c>
      <c r="G1599" s="203">
        <f>+SUMIF('AUX-NIV1'!I:I,Recursos!C1599,'AUX-NIV1'!Q:Q)+SUMIF('AUX-NIV2'!I:I,Recursos!C1599,'AUX-NIV2'!Q:Q)+SUMIF('AUX-NIV3'!I:I,Recursos!C1599,'AUX-NIV3'!Q:Q)</f>
        <v>0</v>
      </c>
      <c r="H1599" s="204">
        <f t="shared" si="140"/>
        <v>0</v>
      </c>
      <c r="I1599" s="366">
        <f t="shared" si="141"/>
        <v>0</v>
      </c>
      <c r="J1599" s="390">
        <f>+IF(A1599=1,SUMIF(EQ_CE!B:B,Recursos!C1599,EQ_CE!T:T),0)</f>
        <v>0</v>
      </c>
    </row>
    <row r="1600" spans="2:10">
      <c r="B1600" s="222"/>
      <c r="C1600" s="771" t="s">
        <v>1670</v>
      </c>
      <c r="D1600" s="209" t="s">
        <v>1671</v>
      </c>
      <c r="E1600" s="201" t="s">
        <v>769</v>
      </c>
      <c r="F1600" s="202">
        <f>+SUMIF(EQ_CE!B:B,Recursos!C1600,EQ_CE!D:D)</f>
        <v>5311.11906</v>
      </c>
      <c r="G1600" s="203">
        <f>+SUMIF('AUX-NIV1'!I:I,Recursos!C1600,'AUX-NIV1'!Q:Q)+SUMIF('AUX-NIV2'!I:I,Recursos!C1600,'AUX-NIV2'!Q:Q)+SUMIF('AUX-NIV3'!I:I,Recursos!C1600,'AUX-NIV3'!Q:Q)</f>
        <v>0</v>
      </c>
      <c r="H1600" s="204">
        <f t="shared" si="140"/>
        <v>0</v>
      </c>
      <c r="I1600" s="366">
        <f t="shared" si="141"/>
        <v>0</v>
      </c>
      <c r="J1600" s="390">
        <f>+IF(A1600=1,SUMIF(EQ_CE!B:B,Recursos!C1600,EQ_CE!T:T),0)</f>
        <v>0</v>
      </c>
    </row>
    <row r="1601" spans="2:10">
      <c r="B1601" s="222"/>
      <c r="C1601" s="771" t="s">
        <v>1648</v>
      </c>
      <c r="D1601" s="209" t="s">
        <v>0</v>
      </c>
      <c r="E1601" s="201" t="s">
        <v>769</v>
      </c>
      <c r="F1601" s="202">
        <f>+SUMIF(EQ_CE!B:B,Recursos!C1601,EQ_CE!D:D)</f>
        <v>2505.5493333333334</v>
      </c>
      <c r="G1601" s="203">
        <f>+SUMIF('AUX-NIV1'!I:I,Recursos!C1601,'AUX-NIV1'!Q:Q)+SUMIF('AUX-NIV2'!I:I,Recursos!C1601,'AUX-NIV2'!Q:Q)+SUMIF('AUX-NIV3'!I:I,Recursos!C1601,'AUX-NIV3'!Q:Q)</f>
        <v>0</v>
      </c>
      <c r="H1601" s="204">
        <f t="shared" si="140"/>
        <v>0</v>
      </c>
      <c r="I1601" s="366">
        <f t="shared" si="141"/>
        <v>0</v>
      </c>
      <c r="J1601" s="390">
        <f>+IF(A1601=1,SUMIF(EQ_CE!B:B,Recursos!C1601,EQ_CE!T:T),0)</f>
        <v>0</v>
      </c>
    </row>
    <row r="1602" spans="2:10">
      <c r="B1602" s="222"/>
      <c r="C1602" s="208" t="s">
        <v>3019</v>
      </c>
      <c r="D1602" s="209" t="s">
        <v>3020</v>
      </c>
      <c r="E1602" s="201" t="s">
        <v>769</v>
      </c>
      <c r="F1602" s="202">
        <f>+SUMIF(EQ_CE!B:B,Recursos!C1602,EQ_CE!D:D)</f>
        <v>844.60000000000014</v>
      </c>
      <c r="G1602" s="203">
        <f>+SUMIF('AUX-NIV1'!I:I,Recursos!C1602,'AUX-NIV1'!Q:Q)+SUMIF('AUX-NIV2'!I:I,Recursos!C1602,'AUX-NIV2'!Q:Q)+SUMIF('AUX-NIV3'!I:I,Recursos!C1602,'AUX-NIV3'!Q:Q)</f>
        <v>0</v>
      </c>
      <c r="H1602" s="204">
        <f t="shared" si="140"/>
        <v>0</v>
      </c>
      <c r="I1602" s="366">
        <f t="shared" si="141"/>
        <v>0</v>
      </c>
      <c r="J1602" s="390">
        <f>+IF(A1602=1,SUMIF(EQ_CE!B:B,Recursos!C1602,EQ_CE!T:T),0)</f>
        <v>0</v>
      </c>
    </row>
    <row r="1603" spans="2:10">
      <c r="B1603" s="222"/>
      <c r="C1603" s="771" t="s">
        <v>1608</v>
      </c>
      <c r="D1603" s="209" t="s">
        <v>970</v>
      </c>
      <c r="E1603" s="201" t="s">
        <v>769</v>
      </c>
      <c r="F1603" s="202">
        <f>+SUMIF(EQ_CE!B:B,Recursos!C1603,EQ_CE!D:D)</f>
        <v>173.48500000000001</v>
      </c>
      <c r="G1603" s="203">
        <f>+SUMIF('AUX-NIV1'!I:I,Recursos!C1603,'AUX-NIV1'!Q:Q)+SUMIF('AUX-NIV2'!I:I,Recursos!C1603,'AUX-NIV2'!Q:Q)+SUMIF('AUX-NIV3'!I:I,Recursos!C1603,'AUX-NIV3'!Q:Q)</f>
        <v>0</v>
      </c>
      <c r="H1603" s="204">
        <f t="shared" si="140"/>
        <v>0</v>
      </c>
      <c r="I1603" s="366">
        <f t="shared" si="141"/>
        <v>0</v>
      </c>
      <c r="J1603" s="390">
        <f>+IF(A1603=1,SUMIF(EQ_CE!B:B,Recursos!C1603,EQ_CE!T:T),0)</f>
        <v>0</v>
      </c>
    </row>
    <row r="1604" spans="2:10">
      <c r="B1604" s="222"/>
      <c r="C1604" s="208" t="s">
        <v>3302</v>
      </c>
      <c r="D1604" s="209" t="s">
        <v>1524</v>
      </c>
      <c r="E1604" s="201" t="s">
        <v>769</v>
      </c>
      <c r="F1604" s="202">
        <f>+SUMIF(EQ_CE!B:B,Recursos!C1604,EQ_CE!D:D)</f>
        <v>9560.2435161290305</v>
      </c>
      <c r="G1604" s="203">
        <f>+SUMIF('AUX-NIV1'!I:I,Recursos!C1604,'AUX-NIV1'!Q:Q)+SUMIF('AUX-NIV2'!I:I,Recursos!C1604,'AUX-NIV2'!Q:Q)+SUMIF('AUX-NIV3'!I:I,Recursos!C1604,'AUX-NIV3'!Q:Q)</f>
        <v>0</v>
      </c>
      <c r="H1604" s="204">
        <f t="shared" si="140"/>
        <v>0</v>
      </c>
      <c r="I1604" s="366">
        <f t="shared" si="141"/>
        <v>0</v>
      </c>
      <c r="J1604" s="390">
        <f>+IF(A1604=1,SUMIF(EQ_CE!B:B,Recursos!C1604,EQ_CE!T:T),0)</f>
        <v>0</v>
      </c>
    </row>
    <row r="1605" spans="2:10">
      <c r="B1605" s="222"/>
      <c r="C1605" s="771" t="s">
        <v>1603</v>
      </c>
      <c r="D1605" s="209" t="s">
        <v>965</v>
      </c>
      <c r="E1605" s="201" t="s">
        <v>769</v>
      </c>
      <c r="F1605" s="202">
        <f>+SUMIF(EQ_CE!B:B,Recursos!C1605,EQ_CE!D:D)</f>
        <v>660.95743999999991</v>
      </c>
      <c r="G1605" s="203">
        <f>+SUMIF('AUX-NIV1'!I:I,Recursos!C1605,'AUX-NIV1'!Q:Q)+SUMIF('AUX-NIV2'!I:I,Recursos!C1605,'AUX-NIV2'!Q:Q)+SUMIF('AUX-NIV3'!I:I,Recursos!C1605,'AUX-NIV3'!Q:Q)</f>
        <v>0</v>
      </c>
      <c r="H1605" s="204">
        <f t="shared" si="140"/>
        <v>0</v>
      </c>
      <c r="I1605" s="366">
        <f t="shared" si="141"/>
        <v>0</v>
      </c>
      <c r="J1605" s="390">
        <f>+IF(A1605=1,SUMIF(EQ_CE!B:B,Recursos!C1605,EQ_CE!T:T),0)</f>
        <v>0</v>
      </c>
    </row>
    <row r="1606" spans="2:10">
      <c r="B1606" s="222"/>
      <c r="C1606" s="771" t="s">
        <v>1734</v>
      </c>
      <c r="D1606" s="209" t="s">
        <v>1735</v>
      </c>
      <c r="E1606" s="201" t="s">
        <v>769</v>
      </c>
      <c r="F1606" s="202">
        <f>+SUMIF(EQ_CE!B:B,Recursos!C1606,EQ_CE!D:D)</f>
        <v>4816.5842400000001</v>
      </c>
      <c r="G1606" s="203">
        <f>+SUMIF('AUX-NIV1'!I:I,Recursos!C1606,'AUX-NIV1'!Q:Q)+SUMIF('AUX-NIV2'!I:I,Recursos!C1606,'AUX-NIV2'!Q:Q)+SUMIF('AUX-NIV3'!I:I,Recursos!C1606,'AUX-NIV3'!Q:Q)</f>
        <v>0</v>
      </c>
      <c r="H1606" s="204">
        <f t="shared" si="140"/>
        <v>0</v>
      </c>
      <c r="I1606" s="366">
        <f t="shared" si="141"/>
        <v>0</v>
      </c>
      <c r="J1606" s="390">
        <f>+IF(A1606=1,SUMIF(EQ_CE!B:B,Recursos!C1606,EQ_CE!T:T),0)</f>
        <v>0</v>
      </c>
    </row>
    <row r="1607" spans="2:10">
      <c r="B1607" s="222"/>
      <c r="C1607" s="771" t="s">
        <v>1712</v>
      </c>
      <c r="D1607" s="209" t="s">
        <v>1713</v>
      </c>
      <c r="E1607" s="201" t="s">
        <v>769</v>
      </c>
      <c r="F1607" s="202">
        <f>+SUMIF(EQ_CE!B:B,Recursos!C1607,EQ_CE!D:D)</f>
        <v>1311.95526</v>
      </c>
      <c r="G1607" s="203">
        <f>+SUMIF('AUX-NIV1'!I:I,Recursos!C1607,'AUX-NIV1'!Q:Q)+SUMIF('AUX-NIV2'!I:I,Recursos!C1607,'AUX-NIV2'!Q:Q)+SUMIF('AUX-NIV3'!I:I,Recursos!C1607,'AUX-NIV3'!Q:Q)</f>
        <v>0</v>
      </c>
      <c r="H1607" s="204">
        <f t="shared" si="140"/>
        <v>0</v>
      </c>
      <c r="I1607" s="366">
        <f t="shared" si="141"/>
        <v>0</v>
      </c>
      <c r="J1607" s="390">
        <f>+IF(A1607=1,SUMIF(EQ_CE!B:B,Recursos!C1607,EQ_CE!T:T),0)</f>
        <v>0</v>
      </c>
    </row>
    <row r="1608" spans="2:10">
      <c r="B1608" s="222"/>
      <c r="C1608" s="771" t="s">
        <v>1538</v>
      </c>
      <c r="D1608" s="209" t="s">
        <v>2727</v>
      </c>
      <c r="E1608" s="201" t="s">
        <v>769</v>
      </c>
      <c r="F1608" s="202">
        <f>+SUMIF(EQ_CE!B:B,Recursos!C1608,EQ_CE!D:D)</f>
        <v>7320.3390000000009</v>
      </c>
      <c r="G1608" s="203">
        <f>+SUMIF('AUX-NIV1'!I:I,Recursos!C1608,'AUX-NIV1'!Q:Q)+SUMIF('AUX-NIV2'!I:I,Recursos!C1608,'AUX-NIV2'!Q:Q)+SUMIF('AUX-NIV3'!I:I,Recursos!C1608,'AUX-NIV3'!Q:Q)</f>
        <v>0</v>
      </c>
      <c r="H1608" s="204">
        <f t="shared" si="140"/>
        <v>0</v>
      </c>
      <c r="I1608" s="366">
        <f t="shared" si="141"/>
        <v>0</v>
      </c>
      <c r="J1608" s="390">
        <f>+IF(A1608=1,SUMIF(EQ_CE!B:B,Recursos!C1608,EQ_CE!T:T),0)</f>
        <v>0</v>
      </c>
    </row>
    <row r="1609" spans="2:10">
      <c r="B1609" s="222"/>
      <c r="C1609" s="771" t="s">
        <v>3301</v>
      </c>
      <c r="D1609" s="209" t="s">
        <v>771</v>
      </c>
      <c r="E1609" s="201" t="s">
        <v>769</v>
      </c>
      <c r="F1609" s="202">
        <f>+SUMIF(EQ_CE!B:B,Recursos!C1609,EQ_CE!D:D)</f>
        <v>7320.3390000000009</v>
      </c>
      <c r="G1609" s="203">
        <f>+SUMIF('AUX-NIV1'!I:I,Recursos!C1609,'AUX-NIV1'!Q:Q)+SUMIF('AUX-NIV2'!I:I,Recursos!C1609,'AUX-NIV2'!Q:Q)+SUMIF('AUX-NIV3'!I:I,Recursos!C1609,'AUX-NIV3'!Q:Q)</f>
        <v>0</v>
      </c>
      <c r="H1609" s="204">
        <f t="shared" si="140"/>
        <v>0</v>
      </c>
      <c r="I1609" s="366">
        <f t="shared" si="141"/>
        <v>0</v>
      </c>
      <c r="J1609" s="390">
        <f>+IF(A1609=1,SUMIF(EQ_CE!B:B,Recursos!C1609,EQ_CE!T:T),0)</f>
        <v>0</v>
      </c>
    </row>
    <row r="1610" spans="2:10">
      <c r="B1610" s="222"/>
      <c r="C1610" s="771" t="s">
        <v>1535</v>
      </c>
      <c r="D1610" s="209" t="s">
        <v>2724</v>
      </c>
      <c r="E1610" s="201" t="s">
        <v>769</v>
      </c>
      <c r="F1610" s="202">
        <f>+SUMIF(EQ_CE!B:B,Recursos!C1610,EQ_CE!D:D)</f>
        <v>9723.94</v>
      </c>
      <c r="G1610" s="203">
        <f>+SUMIF('AUX-NIV1'!I:I,Recursos!C1610,'AUX-NIV1'!Q:Q)+SUMIF('AUX-NIV2'!I:I,Recursos!C1610,'AUX-NIV2'!Q:Q)+SUMIF('AUX-NIV3'!I:I,Recursos!C1610,'AUX-NIV3'!Q:Q)</f>
        <v>0</v>
      </c>
      <c r="H1610" s="204">
        <f t="shared" si="140"/>
        <v>0</v>
      </c>
      <c r="I1610" s="366">
        <f t="shared" si="141"/>
        <v>0</v>
      </c>
      <c r="J1610" s="390">
        <f>+IF(A1610=1,SUMIF(EQ_CE!B:B,Recursos!C1610,EQ_CE!T:T),0)</f>
        <v>0</v>
      </c>
    </row>
    <row r="1611" spans="2:10">
      <c r="B1611" s="222"/>
      <c r="C1611" s="771" t="s">
        <v>1536</v>
      </c>
      <c r="D1611" s="209" t="s">
        <v>2725</v>
      </c>
      <c r="E1611" s="201" t="s">
        <v>769</v>
      </c>
      <c r="F1611" s="202">
        <f>+SUMIF(EQ_CE!B:B,Recursos!C1611,EQ_CE!D:D)</f>
        <v>3980.3256000000001</v>
      </c>
      <c r="G1611" s="203">
        <f>+SUMIF('AUX-NIV1'!I:I,Recursos!C1611,'AUX-NIV1'!Q:Q)+SUMIF('AUX-NIV2'!I:I,Recursos!C1611,'AUX-NIV2'!Q:Q)+SUMIF('AUX-NIV3'!I:I,Recursos!C1611,'AUX-NIV3'!Q:Q)</f>
        <v>0</v>
      </c>
      <c r="H1611" s="204">
        <f t="shared" si="140"/>
        <v>0</v>
      </c>
      <c r="I1611" s="366">
        <f t="shared" si="141"/>
        <v>0</v>
      </c>
      <c r="J1611" s="390">
        <f>+IF(A1611=1,SUMIF(EQ_CE!B:B,Recursos!C1611,EQ_CE!T:T),0)</f>
        <v>0</v>
      </c>
    </row>
    <row r="1612" spans="2:10">
      <c r="B1612" s="222"/>
      <c r="C1612" s="771" t="s">
        <v>1537</v>
      </c>
      <c r="D1612" s="209" t="s">
        <v>2726</v>
      </c>
      <c r="E1612" s="201" t="s">
        <v>769</v>
      </c>
      <c r="F1612" s="202">
        <f>+SUMIF(EQ_CE!B:B,Recursos!C1612,EQ_CE!D:D)</f>
        <v>6615.2070000000003</v>
      </c>
      <c r="G1612" s="203">
        <f>+SUMIF('AUX-NIV1'!I:I,Recursos!C1612,'AUX-NIV1'!Q:Q)+SUMIF('AUX-NIV2'!I:I,Recursos!C1612,'AUX-NIV2'!Q:Q)+SUMIF('AUX-NIV3'!I:I,Recursos!C1612,'AUX-NIV3'!Q:Q)</f>
        <v>0</v>
      </c>
      <c r="H1612" s="204">
        <f t="shared" si="140"/>
        <v>0</v>
      </c>
      <c r="I1612" s="366">
        <f t="shared" si="141"/>
        <v>0</v>
      </c>
      <c r="J1612" s="390">
        <f>+IF(A1612=1,SUMIF(EQ_CE!B:B,Recursos!C1612,EQ_CE!T:T),0)</f>
        <v>0</v>
      </c>
    </row>
    <row r="1613" spans="2:10">
      <c r="B1613" s="222"/>
      <c r="C1613" s="771" t="s">
        <v>1539</v>
      </c>
      <c r="D1613" s="209" t="s">
        <v>772</v>
      </c>
      <c r="E1613" s="201" t="s">
        <v>769</v>
      </c>
      <c r="F1613" s="202">
        <f>+SUMIF(EQ_CE!B:B,Recursos!C1613,EQ_CE!D:D)</f>
        <v>12449.991111111111</v>
      </c>
      <c r="G1613" s="203">
        <f>+SUMIF('AUX-NIV1'!I:I,Recursos!C1613,'AUX-NIV1'!Q:Q)+SUMIF('AUX-NIV2'!I:I,Recursos!C1613,'AUX-NIV2'!Q:Q)+SUMIF('AUX-NIV3'!I:I,Recursos!C1613,'AUX-NIV3'!Q:Q)</f>
        <v>0</v>
      </c>
      <c r="H1613" s="204">
        <f t="shared" si="140"/>
        <v>0</v>
      </c>
      <c r="I1613" s="366">
        <f t="shared" si="141"/>
        <v>0</v>
      </c>
      <c r="J1613" s="390">
        <f>+IF(A1613=1,SUMIF(EQ_CE!B:B,Recursos!C1613,EQ_CE!T:T),0)</f>
        <v>0</v>
      </c>
    </row>
    <row r="1614" spans="2:10">
      <c r="B1614" s="222"/>
      <c r="C1614" s="771" t="s">
        <v>1545</v>
      </c>
      <c r="D1614" s="209" t="s">
        <v>778</v>
      </c>
      <c r="E1614" s="201" t="s">
        <v>769</v>
      </c>
      <c r="F1614" s="202">
        <f>+SUMIF(EQ_CE!B:B,Recursos!C1614,EQ_CE!D:D)</f>
        <v>323.2944</v>
      </c>
      <c r="G1614" s="203">
        <f>+SUMIF('AUX-NIV1'!I:I,Recursos!C1614,'AUX-NIV1'!Q:Q)+SUMIF('AUX-NIV2'!I:I,Recursos!C1614,'AUX-NIV2'!Q:Q)+SUMIF('AUX-NIV3'!I:I,Recursos!C1614,'AUX-NIV3'!Q:Q)</f>
        <v>0.19781999999999997</v>
      </c>
      <c r="H1614" s="204">
        <f t="shared" si="140"/>
        <v>63.954098207999991</v>
      </c>
      <c r="I1614" s="366">
        <f t="shared" si="141"/>
        <v>1.9712416457898325E-4</v>
      </c>
      <c r="J1614" s="390">
        <f>+IF(A1614=1,SUMIF(EQ_CE!B:B,Recursos!C1614,EQ_CE!T:T),0)</f>
        <v>0</v>
      </c>
    </row>
    <row r="1615" spans="2:10">
      <c r="B1615" s="222"/>
      <c r="C1615" s="771" t="s">
        <v>1573</v>
      </c>
      <c r="D1615" s="209" t="s">
        <v>864</v>
      </c>
      <c r="E1615" s="201" t="s">
        <v>769</v>
      </c>
      <c r="F1615" s="202">
        <f>+SUMIF(EQ_CE!B:B,Recursos!C1615,EQ_CE!D:D)</f>
        <v>4532.7802909090915</v>
      </c>
      <c r="G1615" s="203">
        <f>+SUMIF('AUX-NIV1'!I:I,Recursos!C1615,'AUX-NIV1'!Q:Q)+SUMIF('AUX-NIV2'!I:I,Recursos!C1615,'AUX-NIV2'!Q:Q)+SUMIF('AUX-NIV3'!I:I,Recursos!C1615,'AUX-NIV3'!Q:Q)</f>
        <v>0</v>
      </c>
      <c r="H1615" s="204">
        <f t="shared" si="140"/>
        <v>0</v>
      </c>
      <c r="I1615" s="366">
        <f t="shared" si="141"/>
        <v>0</v>
      </c>
      <c r="J1615" s="390">
        <f>+IF(A1615=1,SUMIF(EQ_CE!B:B,Recursos!C1615,EQ_CE!T:T),0)</f>
        <v>0</v>
      </c>
    </row>
    <row r="1616" spans="2:10">
      <c r="B1616" s="222"/>
      <c r="C1616" s="771" t="s">
        <v>1572</v>
      </c>
      <c r="D1616" s="209" t="s">
        <v>863</v>
      </c>
      <c r="E1616" s="201" t="s">
        <v>769</v>
      </c>
      <c r="F1616" s="202">
        <f>+SUMIF(EQ_CE!B:B,Recursos!C1616,EQ_CE!D:D)</f>
        <v>1116.8352</v>
      </c>
      <c r="G1616" s="203">
        <f>+SUMIF('AUX-NIV1'!I:I,Recursos!C1616,'AUX-NIV1'!Q:Q)+SUMIF('AUX-NIV2'!I:I,Recursos!C1616,'AUX-NIV2'!Q:Q)+SUMIF('AUX-NIV3'!I:I,Recursos!C1616,'AUX-NIV3'!Q:Q)</f>
        <v>0</v>
      </c>
      <c r="H1616" s="204">
        <f t="shared" si="140"/>
        <v>0</v>
      </c>
      <c r="I1616" s="366">
        <f t="shared" si="141"/>
        <v>0</v>
      </c>
      <c r="J1616" s="390">
        <f>+IF(A1616=1,SUMIF(EQ_CE!B:B,Recursos!C1616,EQ_CE!T:T),0)</f>
        <v>0</v>
      </c>
    </row>
    <row r="1617" spans="2:10">
      <c r="B1617" s="222"/>
      <c r="C1617" s="771" t="s">
        <v>1649</v>
      </c>
      <c r="D1617" s="209" t="s">
        <v>2733</v>
      </c>
      <c r="E1617" s="201" t="s">
        <v>769</v>
      </c>
      <c r="F1617" s="202">
        <f>+SUMIF(EQ_CE!B:B,Recursos!C1617,EQ_CE!D:D)</f>
        <v>2128.7640000000001</v>
      </c>
      <c r="G1617" s="203">
        <f>+SUMIF('AUX-NIV1'!I:I,Recursos!C1617,'AUX-NIV1'!Q:Q)+SUMIF('AUX-NIV2'!I:I,Recursos!C1617,'AUX-NIV2'!Q:Q)+SUMIF('AUX-NIV3'!I:I,Recursos!C1617,'AUX-NIV3'!Q:Q)</f>
        <v>0</v>
      </c>
      <c r="H1617" s="204">
        <f t="shared" si="140"/>
        <v>0</v>
      </c>
      <c r="I1617" s="366">
        <f t="shared" si="141"/>
        <v>0</v>
      </c>
      <c r="J1617" s="390">
        <f>+IF(A1617=1,SUMIF(EQ_CE!B:B,Recursos!C1617,EQ_CE!T:T),0)</f>
        <v>0</v>
      </c>
    </row>
    <row r="1618" spans="2:10">
      <c r="B1618" s="222"/>
      <c r="C1618" s="771" t="s">
        <v>1579</v>
      </c>
      <c r="D1618" s="209" t="s">
        <v>870</v>
      </c>
      <c r="E1618" s="201" t="s">
        <v>769</v>
      </c>
      <c r="F1618" s="202">
        <f>+SUMIF(EQ_CE!B:B,Recursos!C1618,EQ_CE!D:D)</f>
        <v>3411.4653333333331</v>
      </c>
      <c r="G1618" s="203">
        <f>+SUMIF('AUX-NIV1'!I:I,Recursos!C1618,'AUX-NIV1'!Q:Q)+SUMIF('AUX-NIV2'!I:I,Recursos!C1618,'AUX-NIV2'!Q:Q)+SUMIF('AUX-NIV3'!I:I,Recursos!C1618,'AUX-NIV3'!Q:Q)</f>
        <v>0</v>
      </c>
      <c r="H1618" s="204">
        <f t="shared" si="140"/>
        <v>0</v>
      </c>
      <c r="I1618" s="366">
        <f t="shared" si="141"/>
        <v>0</v>
      </c>
      <c r="J1618" s="390">
        <f>+IF(A1618=1,SUMIF(EQ_CE!B:B,Recursos!C1618,EQ_CE!T:T),0)</f>
        <v>0</v>
      </c>
    </row>
    <row r="1619" spans="2:10">
      <c r="B1619" s="222"/>
      <c r="C1619" s="771" t="s">
        <v>1680</v>
      </c>
      <c r="D1619" s="209" t="s">
        <v>2728</v>
      </c>
      <c r="E1619" s="201" t="s">
        <v>769</v>
      </c>
      <c r="F1619" s="202">
        <f>+SUMIF(EQ_CE!B:B,Recursos!C1619,EQ_CE!D:D)</f>
        <v>1968.2054000000001</v>
      </c>
      <c r="G1619" s="203">
        <f>+SUMIF('AUX-NIV1'!I:I,Recursos!C1619,'AUX-NIV1'!Q:Q)+SUMIF('AUX-NIV2'!I:I,Recursos!C1619,'AUX-NIV2'!Q:Q)+SUMIF('AUX-NIV3'!I:I,Recursos!C1619,'AUX-NIV3'!Q:Q)</f>
        <v>0</v>
      </c>
      <c r="H1619" s="204">
        <f t="shared" si="140"/>
        <v>0</v>
      </c>
      <c r="I1619" s="366">
        <f t="shared" si="141"/>
        <v>0</v>
      </c>
      <c r="J1619" s="390">
        <f>+IF(A1619=1,SUMIF(EQ_CE!B:B,Recursos!C1619,EQ_CE!T:T),0)</f>
        <v>0</v>
      </c>
    </row>
    <row r="1620" spans="2:10">
      <c r="B1620" s="222"/>
      <c r="C1620" s="771" t="s">
        <v>1668</v>
      </c>
      <c r="D1620" s="209" t="s">
        <v>1669</v>
      </c>
      <c r="E1620" s="201" t="s">
        <v>769</v>
      </c>
      <c r="F1620" s="202">
        <f>+SUMIF(EQ_CE!B:B,Recursos!C1620,EQ_CE!D:D)</f>
        <v>194.83386000000002</v>
      </c>
      <c r="G1620" s="203">
        <f>+SUMIF('AUX-NIV1'!I:I,Recursos!C1620,'AUX-NIV1'!Q:Q)+SUMIF('AUX-NIV2'!I:I,Recursos!C1620,'AUX-NIV2'!Q:Q)+SUMIF('AUX-NIV3'!I:I,Recursos!C1620,'AUX-NIV3'!Q:Q)</f>
        <v>0</v>
      </c>
      <c r="H1620" s="204">
        <f t="shared" si="140"/>
        <v>0</v>
      </c>
      <c r="I1620" s="366">
        <f t="shared" si="141"/>
        <v>0</v>
      </c>
      <c r="J1620" s="390">
        <f>+IF(A1620=1,SUMIF(EQ_CE!B:B,Recursos!C1620,EQ_CE!T:T),0)</f>
        <v>0</v>
      </c>
    </row>
    <row r="1621" spans="2:10">
      <c r="B1621" s="222"/>
      <c r="C1621" s="771" t="s">
        <v>1643</v>
      </c>
      <c r="D1621" s="209" t="s">
        <v>1011</v>
      </c>
      <c r="E1621" s="201" t="s">
        <v>769</v>
      </c>
      <c r="F1621" s="202">
        <f>+SUMIF(EQ_CE!B:B,Recursos!C1621,EQ_CE!D:D)</f>
        <v>2204.2799999999997</v>
      </c>
      <c r="G1621" s="203">
        <f>+SUMIF('AUX-NIV1'!I:I,Recursos!C1621,'AUX-NIV1'!Q:Q)+SUMIF('AUX-NIV2'!I:I,Recursos!C1621,'AUX-NIV2'!Q:Q)+SUMIF('AUX-NIV3'!I:I,Recursos!C1621,'AUX-NIV3'!Q:Q)</f>
        <v>0</v>
      </c>
      <c r="H1621" s="204">
        <f t="shared" si="140"/>
        <v>0</v>
      </c>
      <c r="I1621" s="366">
        <f t="shared" si="141"/>
        <v>0</v>
      </c>
      <c r="J1621" s="390">
        <f>+IF(A1621=1,SUMIF(EQ_CE!B:B,Recursos!C1621,EQ_CE!T:T),0)</f>
        <v>0</v>
      </c>
    </row>
    <row r="1622" spans="2:10">
      <c r="B1622" s="222"/>
      <c r="C1622" s="771" t="s">
        <v>1702</v>
      </c>
      <c r="D1622" s="209" t="s">
        <v>1703</v>
      </c>
      <c r="E1622" s="201" t="s">
        <v>769</v>
      </c>
      <c r="F1622" s="202">
        <f>+SUMIF(EQ_CE!B:B,Recursos!C1622,EQ_CE!D:D)</f>
        <v>3916.2707999999993</v>
      </c>
      <c r="G1622" s="203">
        <f>+SUMIF('AUX-NIV1'!I:I,Recursos!C1622,'AUX-NIV1'!Q:Q)+SUMIF('AUX-NIV2'!I:I,Recursos!C1622,'AUX-NIV2'!Q:Q)+SUMIF('AUX-NIV3'!I:I,Recursos!C1622,'AUX-NIV3'!Q:Q)</f>
        <v>0</v>
      </c>
      <c r="H1622" s="204">
        <f t="shared" si="140"/>
        <v>0</v>
      </c>
      <c r="I1622" s="366">
        <f t="shared" si="141"/>
        <v>0</v>
      </c>
      <c r="J1622" s="390">
        <f>+IF(A1622=1,SUMIF(EQ_CE!B:B,Recursos!C1622,EQ_CE!T:T),0)</f>
        <v>0</v>
      </c>
    </row>
    <row r="1623" spans="2:10">
      <c r="B1623" s="222"/>
      <c r="C1623" s="771" t="s">
        <v>1644</v>
      </c>
      <c r="D1623" s="209" t="s">
        <v>1012</v>
      </c>
      <c r="E1623" s="201" t="s">
        <v>769</v>
      </c>
      <c r="F1623" s="202">
        <f>+SUMIF(EQ_CE!B:B,Recursos!C1623,EQ_CE!D:D)</f>
        <v>1714.4399999999996</v>
      </c>
      <c r="G1623" s="203">
        <f>+SUMIF('AUX-NIV1'!I:I,Recursos!C1623,'AUX-NIV1'!Q:Q)+SUMIF('AUX-NIV2'!I:I,Recursos!C1623,'AUX-NIV2'!Q:Q)+SUMIF('AUX-NIV3'!I:I,Recursos!C1623,'AUX-NIV3'!Q:Q)</f>
        <v>0</v>
      </c>
      <c r="H1623" s="204">
        <f t="shared" si="140"/>
        <v>0</v>
      </c>
      <c r="I1623" s="366">
        <f t="shared" si="141"/>
        <v>0</v>
      </c>
      <c r="J1623" s="390">
        <f>+IF(A1623=1,SUMIF(EQ_CE!B:B,Recursos!C1623,EQ_CE!T:T),0)</f>
        <v>0</v>
      </c>
    </row>
    <row r="1624" spans="2:10">
      <c r="B1624" s="222"/>
      <c r="C1624" s="771" t="s">
        <v>1645</v>
      </c>
      <c r="D1624" s="209" t="s">
        <v>1013</v>
      </c>
      <c r="E1624" s="201" t="s">
        <v>769</v>
      </c>
      <c r="F1624" s="202">
        <f>+SUMIF(EQ_CE!B:B,Recursos!C1624,EQ_CE!D:D)</f>
        <v>1714.4399999999996</v>
      </c>
      <c r="G1624" s="203">
        <f>+SUMIF('AUX-NIV1'!I:I,Recursos!C1624,'AUX-NIV1'!Q:Q)+SUMIF('AUX-NIV2'!I:I,Recursos!C1624,'AUX-NIV2'!Q:Q)+SUMIF('AUX-NIV3'!I:I,Recursos!C1624,'AUX-NIV3'!Q:Q)</f>
        <v>0</v>
      </c>
      <c r="H1624" s="204">
        <f t="shared" si="140"/>
        <v>0</v>
      </c>
      <c r="I1624" s="366">
        <f t="shared" si="141"/>
        <v>0</v>
      </c>
      <c r="J1624" s="390">
        <f>+IF(A1624=1,SUMIF(EQ_CE!B:B,Recursos!C1624,EQ_CE!T:T),0)</f>
        <v>0</v>
      </c>
    </row>
    <row r="1625" spans="2:10">
      <c r="B1625" s="222"/>
      <c r="C1625" s="771" t="s">
        <v>1656</v>
      </c>
      <c r="D1625" s="209" t="s">
        <v>2734</v>
      </c>
      <c r="E1625" s="201" t="s">
        <v>769</v>
      </c>
      <c r="F1625" s="202">
        <f>+SUMIF(EQ_CE!B:B,Recursos!C1625,EQ_CE!D:D)</f>
        <v>40817.279999999999</v>
      </c>
      <c r="G1625" s="203">
        <f>+SUMIF('AUX-NIV1'!I:I,Recursos!C1625,'AUX-NIV1'!Q:Q)+SUMIF('AUX-NIV2'!I:I,Recursos!C1625,'AUX-NIV2'!Q:Q)+SUMIF('AUX-NIV3'!I:I,Recursos!C1625,'AUX-NIV3'!Q:Q)</f>
        <v>0</v>
      </c>
      <c r="H1625" s="204">
        <f t="shared" si="140"/>
        <v>0</v>
      </c>
      <c r="I1625" s="366">
        <f t="shared" si="141"/>
        <v>0</v>
      </c>
      <c r="J1625" s="390">
        <f>+IF(A1625=1,SUMIF(EQ_CE!B:B,Recursos!C1625,EQ_CE!T:T),0)</f>
        <v>0</v>
      </c>
    </row>
    <row r="1626" spans="2:10">
      <c r="B1626" s="222"/>
      <c r="C1626" s="771" t="s">
        <v>1654</v>
      </c>
      <c r="D1626" s="209" t="s">
        <v>2735</v>
      </c>
      <c r="E1626" s="201" t="s">
        <v>769</v>
      </c>
      <c r="F1626" s="202">
        <f>+SUMIF(EQ_CE!B:B,Recursos!C1626,EQ_CE!D:D)</f>
        <v>367.38</v>
      </c>
      <c r="G1626" s="203">
        <f>+SUMIF('AUX-NIV1'!I:I,Recursos!C1626,'AUX-NIV1'!Q:Q)+SUMIF('AUX-NIV2'!I:I,Recursos!C1626,'AUX-NIV2'!Q:Q)+SUMIF('AUX-NIV3'!I:I,Recursos!C1626,'AUX-NIV3'!Q:Q)</f>
        <v>0</v>
      </c>
      <c r="H1626" s="204">
        <f t="shared" si="140"/>
        <v>0</v>
      </c>
      <c r="I1626" s="366">
        <f t="shared" si="141"/>
        <v>0</v>
      </c>
      <c r="J1626" s="390">
        <f>+IF(A1626=1,SUMIF(EQ_CE!B:B,Recursos!C1626,EQ_CE!T:T),0)</f>
        <v>0</v>
      </c>
    </row>
    <row r="1627" spans="2:10">
      <c r="B1627" s="222"/>
      <c r="C1627" s="771" t="s">
        <v>1655</v>
      </c>
      <c r="D1627" s="209" t="s">
        <v>2736</v>
      </c>
      <c r="E1627" s="201" t="s">
        <v>769</v>
      </c>
      <c r="F1627" s="202">
        <f>+SUMIF(EQ_CE!B:B,Recursos!C1627,EQ_CE!D:D)</f>
        <v>551.06999999999994</v>
      </c>
      <c r="G1627" s="203">
        <f>+SUMIF('AUX-NIV1'!I:I,Recursos!C1627,'AUX-NIV1'!Q:Q)+SUMIF('AUX-NIV2'!I:I,Recursos!C1627,'AUX-NIV2'!Q:Q)+SUMIF('AUX-NIV3'!I:I,Recursos!C1627,'AUX-NIV3'!Q:Q)</f>
        <v>0</v>
      </c>
      <c r="H1627" s="204">
        <f t="shared" si="140"/>
        <v>0</v>
      </c>
      <c r="I1627" s="366">
        <f t="shared" si="141"/>
        <v>0</v>
      </c>
      <c r="J1627" s="390">
        <f>+IF(A1627=1,SUMIF(EQ_CE!B:B,Recursos!C1627,EQ_CE!T:T),0)</f>
        <v>0</v>
      </c>
    </row>
    <row r="1628" spans="2:10">
      <c r="B1628" s="222"/>
      <c r="C1628" s="771" t="s">
        <v>1653</v>
      </c>
      <c r="D1628" s="209" t="s">
        <v>2737</v>
      </c>
      <c r="E1628" s="201" t="s">
        <v>769</v>
      </c>
      <c r="F1628" s="202">
        <f>+SUMIF(EQ_CE!B:B,Recursos!C1628,EQ_CE!D:D)</f>
        <v>183.69</v>
      </c>
      <c r="G1628" s="203">
        <f>+SUMIF('AUX-NIV1'!I:I,Recursos!C1628,'AUX-NIV1'!Q:Q)+SUMIF('AUX-NIV2'!I:I,Recursos!C1628,'AUX-NIV2'!Q:Q)+SUMIF('AUX-NIV3'!I:I,Recursos!C1628,'AUX-NIV3'!Q:Q)</f>
        <v>0</v>
      </c>
      <c r="H1628" s="204">
        <f t="shared" si="140"/>
        <v>0</v>
      </c>
      <c r="I1628" s="366">
        <f t="shared" si="141"/>
        <v>0</v>
      </c>
      <c r="J1628" s="390">
        <f>+IF(A1628=1,SUMIF(EQ_CE!B:B,Recursos!C1628,EQ_CE!T:T),0)</f>
        <v>0</v>
      </c>
    </row>
    <row r="1629" spans="2:10">
      <c r="B1629" s="222">
        <v>26</v>
      </c>
      <c r="C1629" s="771" t="s">
        <v>1625</v>
      </c>
      <c r="D1629" s="209" t="s">
        <v>993</v>
      </c>
      <c r="E1629" s="201" t="s">
        <v>769</v>
      </c>
      <c r="F1629" s="202">
        <f>+SUMIF(EQ_CE!B:B,Recursos!C1629,EQ_CE!D:D)</f>
        <v>79.599000000000004</v>
      </c>
      <c r="G1629" s="203">
        <f>+SUMIF('AUX-NIV1'!I:I,Recursos!C1629,'AUX-NIV1'!Q:Q)+SUMIF('AUX-NIV2'!I:I,Recursos!C1629,'AUX-NIV2'!Q:Q)+SUMIF('AUX-NIV3'!I:I,Recursos!C1629,'AUX-NIV3'!Q:Q)</f>
        <v>0</v>
      </c>
      <c r="H1629" s="204">
        <f t="shared" si="140"/>
        <v>0</v>
      </c>
      <c r="I1629" s="366">
        <f t="shared" si="141"/>
        <v>0</v>
      </c>
      <c r="J1629" s="390">
        <f>+IF(A1629=1,SUMIF(EQ_CE!B:B,Recursos!C1629,EQ_CE!T:T),0)</f>
        <v>0</v>
      </c>
    </row>
    <row r="1630" spans="2:10">
      <c r="B1630" s="222"/>
      <c r="C1630" s="771" t="s">
        <v>1688</v>
      </c>
      <c r="D1630" s="209" t="s">
        <v>1689</v>
      </c>
      <c r="E1630" s="201" t="s">
        <v>769</v>
      </c>
      <c r="F1630" s="202">
        <f>+SUMIF(EQ_CE!B:B,Recursos!C1630,EQ_CE!D:D)</f>
        <v>63.583980000000004</v>
      </c>
      <c r="G1630" s="203">
        <f>+SUMIF('AUX-NIV1'!I:I,Recursos!C1630,'AUX-NIV1'!Q:Q)+SUMIF('AUX-NIV2'!I:I,Recursos!C1630,'AUX-NIV2'!Q:Q)+SUMIF('AUX-NIV3'!I:I,Recursos!C1630,'AUX-NIV3'!Q:Q)</f>
        <v>0</v>
      </c>
      <c r="H1630" s="204">
        <f t="shared" si="140"/>
        <v>0</v>
      </c>
      <c r="I1630" s="366">
        <f t="shared" si="141"/>
        <v>0</v>
      </c>
      <c r="J1630" s="390">
        <f>+IF(A1630=1,SUMIF(EQ_CE!B:B,Recursos!C1630,EQ_CE!T:T),0)</f>
        <v>0</v>
      </c>
    </row>
    <row r="1631" spans="2:10">
      <c r="B1631" s="222"/>
      <c r="C1631" s="771" t="s">
        <v>1617</v>
      </c>
      <c r="D1631" s="209" t="s">
        <v>978</v>
      </c>
      <c r="E1631" s="201" t="s">
        <v>769</v>
      </c>
      <c r="F1631" s="202">
        <f>+SUMIF(EQ_CE!B:B,Recursos!C1631,EQ_CE!D:D)</f>
        <v>390.65260000000001</v>
      </c>
      <c r="G1631" s="203">
        <f>+SUMIF('AUX-NIV1'!I:I,Recursos!C1631,'AUX-NIV1'!Q:Q)+SUMIF('AUX-NIV2'!I:I,Recursos!C1631,'AUX-NIV2'!Q:Q)+SUMIF('AUX-NIV3'!I:I,Recursos!C1631,'AUX-NIV3'!Q:Q)</f>
        <v>0</v>
      </c>
      <c r="H1631" s="204">
        <f t="shared" si="140"/>
        <v>0</v>
      </c>
      <c r="I1631" s="366">
        <f t="shared" si="141"/>
        <v>0</v>
      </c>
      <c r="J1631" s="390">
        <f>+IF(A1631=1,SUMIF(EQ_CE!B:B,Recursos!C1631,EQ_CE!T:T),0)</f>
        <v>0</v>
      </c>
    </row>
    <row r="1632" spans="2:10">
      <c r="B1632" s="222"/>
      <c r="C1632" s="771" t="s">
        <v>1646</v>
      </c>
      <c r="D1632" s="209" t="s">
        <v>1014</v>
      </c>
      <c r="E1632" s="201" t="s">
        <v>769</v>
      </c>
      <c r="F1632" s="202">
        <f>+SUMIF(EQ_CE!B:B,Recursos!C1632,EQ_CE!D:D)</f>
        <v>306.14999999999998</v>
      </c>
      <c r="G1632" s="203">
        <f>+SUMIF('AUX-NIV1'!I:I,Recursos!C1632,'AUX-NIV1'!Q:Q)+SUMIF('AUX-NIV2'!I:I,Recursos!C1632,'AUX-NIV2'!Q:Q)+SUMIF('AUX-NIV3'!I:I,Recursos!C1632,'AUX-NIV3'!Q:Q)</f>
        <v>0.15825599999999998</v>
      </c>
      <c r="H1632" s="204">
        <f t="shared" si="140"/>
        <v>48.450074399999991</v>
      </c>
      <c r="I1632" s="366">
        <f t="shared" si="141"/>
        <v>1.4933648831741154E-4</v>
      </c>
      <c r="J1632" s="390">
        <f>+IF(A1632=1,SUMIF(EQ_CE!B:B,Recursos!C1632,EQ_CE!T:T),0)</f>
        <v>0</v>
      </c>
    </row>
    <row r="1633" spans="2:10">
      <c r="B1633" s="222"/>
      <c r="C1633" s="208" t="s">
        <v>3303</v>
      </c>
      <c r="D1633" s="209" t="s">
        <v>3466</v>
      </c>
      <c r="E1633" s="201" t="s">
        <v>769</v>
      </c>
      <c r="F1633" s="202">
        <f>+SUMIF(EQ_CE!B:B,Recursos!C1633,EQ_CE!D:D)</f>
        <v>45.922499999999999</v>
      </c>
      <c r="G1633" s="203">
        <f>+SUMIF('AUX-NIV1'!I:I,Recursos!C1633,'AUX-NIV1'!Q:Q)+SUMIF('AUX-NIV2'!I:I,Recursos!C1633,'AUX-NIV2'!Q:Q)+SUMIF('AUX-NIV3'!I:I,Recursos!C1633,'AUX-NIV3'!Q:Q)</f>
        <v>0</v>
      </c>
      <c r="H1633" s="204">
        <f t="shared" si="140"/>
        <v>0</v>
      </c>
      <c r="I1633" s="366">
        <f t="shared" si="141"/>
        <v>0</v>
      </c>
      <c r="J1633" s="390">
        <f>+IF(A1633=1,SUMIF(EQ_CE!B:B,Recursos!C1633,EQ_CE!T:T),0)</f>
        <v>0</v>
      </c>
    </row>
    <row r="1634" spans="2:10">
      <c r="B1634" s="222">
        <v>27</v>
      </c>
      <c r="C1634" s="208" t="s">
        <v>3304</v>
      </c>
      <c r="D1634" s="209" t="s">
        <v>4244</v>
      </c>
      <c r="E1634" s="201" t="s">
        <v>769</v>
      </c>
      <c r="F1634" s="202">
        <f>+SUMIF(EQ_CE!B:B,Recursos!C1634,EQ_CE!D:D)</f>
        <v>1369.2906000000003</v>
      </c>
      <c r="G1634" s="203">
        <f>+SUMIF('AUX-NIV1'!I:I,Recursos!C1634,'AUX-NIV1'!Q:Q)+SUMIF('AUX-NIV2'!I:I,Recursos!C1634,'AUX-NIV2'!Q:Q)+SUMIF('AUX-NIV3'!I:I,Recursos!C1634,'AUX-NIV3'!Q:Q)</f>
        <v>0</v>
      </c>
      <c r="H1634" s="204">
        <f t="shared" ref="H1634" si="142">+F1634*G1634</f>
        <v>0</v>
      </c>
      <c r="I1634" s="366">
        <f t="shared" ref="I1634" si="143">+H1634/$I$3</f>
        <v>0</v>
      </c>
      <c r="J1634" s="390">
        <f>+IF(A1634=1,SUMIF(EQ_CE!B:B,Recursos!C1634,EQ_CE!T:T),0)</f>
        <v>0</v>
      </c>
    </row>
    <row r="1635" spans="2:10">
      <c r="B1635" s="222"/>
      <c r="C1635" s="208" t="s">
        <v>3305</v>
      </c>
      <c r="D1635" s="209"/>
      <c r="E1635" s="210"/>
      <c r="F1635" s="212"/>
      <c r="G1635" s="467"/>
      <c r="H1635" s="213"/>
      <c r="I1635" s="367"/>
      <c r="J1635" s="390">
        <f>+IF(A1635=1,SUMIF(EQ_CE!B:B,Recursos!C1635,EQ_CE!T:T),0)</f>
        <v>0</v>
      </c>
    </row>
    <row r="1636" spans="2:10">
      <c r="B1636" s="222"/>
      <c r="C1636" s="208" t="s">
        <v>3306</v>
      </c>
      <c r="D1636" s="209"/>
      <c r="E1636" s="210"/>
      <c r="F1636" s="212"/>
      <c r="G1636" s="467"/>
      <c r="H1636" s="213"/>
      <c r="I1636" s="367"/>
      <c r="J1636" s="390">
        <f>+IF(A1636=1,SUMIF(EQ_CE!B:B,Recursos!C1636,EQ_CE!T:T),0)</f>
        <v>0</v>
      </c>
    </row>
    <row r="1637" spans="2:10">
      <c r="B1637" s="222"/>
      <c r="C1637" s="208" t="s">
        <v>3307</v>
      </c>
      <c r="D1637" s="209"/>
      <c r="E1637" s="210"/>
      <c r="F1637" s="212"/>
      <c r="G1637" s="467"/>
      <c r="H1637" s="213"/>
      <c r="I1637" s="367"/>
      <c r="J1637" s="390">
        <f>+IF(A1637=1,SUMIF(EQ_CE!B:B,Recursos!C1637,EQ_CE!T:T),0)</f>
        <v>0</v>
      </c>
    </row>
    <row r="1638" spans="2:10">
      <c r="B1638" s="222"/>
      <c r="C1638" s="208" t="s">
        <v>3308</v>
      </c>
      <c r="D1638" s="209"/>
      <c r="E1638" s="210"/>
      <c r="F1638" s="212"/>
      <c r="G1638" s="467"/>
      <c r="H1638" s="213"/>
      <c r="I1638" s="367"/>
      <c r="J1638" s="390">
        <f>+IF(A1638=1,SUMIF(EQ_CE!B:B,Recursos!C1638,EQ_CE!T:T),0)</f>
        <v>0</v>
      </c>
    </row>
    <row r="1639" spans="2:10">
      <c r="B1639" s="222"/>
      <c r="C1639" s="208"/>
      <c r="D1639" s="209"/>
      <c r="E1639" s="210"/>
      <c r="F1639" s="212"/>
      <c r="G1639" s="467"/>
      <c r="H1639" s="213"/>
      <c r="I1639" s="367"/>
      <c r="J1639" s="390">
        <f>+IF(A1639=1,SUMIF(EQ_CE!B:B,Recursos!C1639,EQ_CE!T:T),0)</f>
        <v>0</v>
      </c>
    </row>
    <row r="1640" spans="2:10">
      <c r="C1640" s="208"/>
      <c r="D1640" s="209"/>
      <c r="E1640" s="210"/>
      <c r="F1640" s="212"/>
      <c r="G1640" s="467"/>
      <c r="H1640" s="213"/>
      <c r="I1640" s="367"/>
      <c r="J1640" s="390">
        <f>+IF(A1640=1,SUMIF(EQ_CE!B:B,Recursos!C1640,EQ_CE!T:T),0)</f>
        <v>0</v>
      </c>
    </row>
    <row r="1641" spans="2:10">
      <c r="C1641" s="208"/>
      <c r="D1641" s="209"/>
      <c r="E1641" s="210"/>
      <c r="F1641" s="212"/>
      <c r="G1641" s="467"/>
      <c r="H1641" s="213"/>
      <c r="I1641" s="367"/>
      <c r="J1641" s="390">
        <f>+IF(A1641=1,SUMIF(EQ_CE!B:B,Recursos!C1641,EQ_CE!T:T),0)</f>
        <v>0</v>
      </c>
    </row>
    <row r="1642" spans="2:10">
      <c r="C1642" s="208"/>
      <c r="D1642" s="211"/>
      <c r="E1642" s="210"/>
      <c r="F1642" s="212"/>
      <c r="G1642" s="213"/>
      <c r="H1642" s="213"/>
      <c r="I1642" s="367"/>
      <c r="J1642" s="390">
        <f>+IF(A1642=1,SUMIF(EQ_CE!B:B,Recursos!C1642,EQ_CE!T:T),0)</f>
        <v>0</v>
      </c>
    </row>
    <row r="1643" spans="2:10" ht="12" thickBot="1">
      <c r="C1643" s="214"/>
      <c r="D1643" s="215" t="s">
        <v>986</v>
      </c>
      <c r="E1643" s="216"/>
      <c r="F1643" s="217"/>
      <c r="G1643" s="377">
        <f>+SUBTOTAL(9,G1459:G1487)*0.35</f>
        <v>5.538959999999999E-2</v>
      </c>
      <c r="H1643" s="218"/>
      <c r="I1643" s="368"/>
      <c r="J1643" s="219"/>
    </row>
    <row r="1644" spans="2:10" ht="12" thickBot="1">
      <c r="C1644" s="214"/>
      <c r="D1644" s="215" t="s">
        <v>926</v>
      </c>
      <c r="E1644" s="216"/>
      <c r="F1644" s="217"/>
      <c r="G1644" s="377"/>
      <c r="H1644" s="218">
        <f>+SUM(EQ_CE!S6:S8)*Datos!F18*(BN1173="SI")</f>
        <v>0</v>
      </c>
      <c r="I1644" s="368">
        <f>+H1644/$I$3</f>
        <v>0</v>
      </c>
      <c r="J1644" s="219"/>
    </row>
    <row r="1645" spans="2:10" ht="12" thickBot="1">
      <c r="C1645" s="214"/>
      <c r="D1645" s="215" t="s">
        <v>987</v>
      </c>
      <c r="E1645" s="216"/>
      <c r="F1645" s="217"/>
      <c r="G1645" s="217"/>
      <c r="H1645" s="218"/>
      <c r="I1645" s="368">
        <f>+H1645/$I$3</f>
        <v>0</v>
      </c>
      <c r="J1645" s="219"/>
    </row>
    <row r="1646" spans="2:10" ht="12" thickBot="1">
      <c r="C1646" s="214"/>
      <c r="D1646" s="215" t="s">
        <v>556</v>
      </c>
      <c r="E1646" s="216"/>
      <c r="F1646" s="217"/>
      <c r="G1646" s="217"/>
      <c r="H1646" s="218">
        <f>SUMPRODUCT(J1459:J1642,G1459:G1642)*(BN1458="SI")</f>
        <v>0</v>
      </c>
      <c r="I1646" s="368">
        <f>+H1646/$I$3</f>
        <v>0</v>
      </c>
      <c r="J1646" s="219"/>
    </row>
    <row r="1647" spans="2:10" ht="12">
      <c r="B1647" s="305">
        <f>+COUNTA(C1647:C1902)-1</f>
        <v>255</v>
      </c>
      <c r="C1647" s="109" t="s">
        <v>1108</v>
      </c>
      <c r="D1647" s="110"/>
      <c r="E1647" s="111"/>
      <c r="F1647" s="111"/>
      <c r="G1647" s="112"/>
      <c r="H1647" s="112" t="e">
        <f>+SUBTOTAL(9,H1648:H1945)</f>
        <v>#N/A</v>
      </c>
      <c r="I1647" s="365" t="e">
        <f>+H1647/$I$3</f>
        <v>#N/A</v>
      </c>
      <c r="J1647" s="114"/>
    </row>
    <row r="1648" spans="2:10">
      <c r="C1648" s="411" t="s">
        <v>1207</v>
      </c>
      <c r="D1648" s="412" t="s">
        <v>1208</v>
      </c>
      <c r="E1648" s="413" t="str">
        <f>+VLOOKUP(C1648,'AUX-NIV3'!B:F,3,FALSE)</f>
        <v>M3</v>
      </c>
      <c r="F1648" s="412">
        <f>+VLOOKUP(C1648,'AUX-NIV3'!B:F,5,FALSE)</f>
        <v>633.60122708131803</v>
      </c>
      <c r="G1648" s="203">
        <f>+SUMIF('AUX-NIV1'!I:I,Recursos!C1648,'AUX-NIV1'!Q:Q)+SUMIF('AUX-NIV2'!I:I,Recursos!C1648,'AUX-NIV2'!Q:Q)+SUMIF('AUX-NIV3'!I:I,Recursos!C1648,'AUX-NIV3'!Q:Q)</f>
        <v>9.8909999999999982</v>
      </c>
      <c r="H1648" s="204">
        <f>+F1648*G1648</f>
        <v>6266.9497370613153</v>
      </c>
      <c r="I1648" s="366">
        <f>+H1648/$I$3</f>
        <v>1.9316467059841348E-2</v>
      </c>
      <c r="J1648" s="205"/>
    </row>
    <row r="1649" spans="3:10">
      <c r="C1649" s="199" t="s">
        <v>1253</v>
      </c>
      <c r="D1649" s="220" t="s">
        <v>1298</v>
      </c>
      <c r="E1649" s="221" t="str">
        <f>+VLOOKUP(C1649,'AUX-NIV2'!B:F,3,FALSE)</f>
        <v>m3</v>
      </c>
      <c r="F1649" s="220">
        <f>+VLOOKUP(C1649,'AUX-NIV2'!B:F,5,FALSE)</f>
        <v>352.16492140392978</v>
      </c>
      <c r="G1649" s="203">
        <f>+SUMIF('AUX-NIV1'!I:I,Recursos!C1649,'AUX-NIV1'!Q:Q)+SUMIF('AUX-NIV2'!I:I,Recursos!C1649,'AUX-NIV2'!Q:Q)+SUMIF('AUX-NIV3'!I:I,Recursos!C1649,'AUX-NIV3'!Q:Q)</f>
        <v>0</v>
      </c>
      <c r="H1649" s="204">
        <f t="shared" ref="H1649:H1712" si="144">+F1649*G1649</f>
        <v>0</v>
      </c>
      <c r="I1649" s="366">
        <f t="shared" ref="I1649:I1712" si="145">+H1649/$I$3</f>
        <v>0</v>
      </c>
      <c r="J1649" s="205"/>
    </row>
    <row r="1650" spans="3:10">
      <c r="C1650" s="199" t="s">
        <v>1254</v>
      </c>
      <c r="D1650" s="220" t="s">
        <v>1299</v>
      </c>
      <c r="E1650" s="221" t="str">
        <f>+VLOOKUP(C1650,'AUX-NIV2'!B:F,3,FALSE)</f>
        <v>m3</v>
      </c>
      <c r="F1650" s="220">
        <f>+VLOOKUP(C1650,'AUX-NIV2'!B:F,5,FALSE)</f>
        <v>1555.538909786103</v>
      </c>
      <c r="G1650" s="203">
        <f>+SUMIF('AUX-NIV1'!I:I,Recursos!C1650,'AUX-NIV1'!Q:Q)+SUMIF('AUX-NIV2'!I:I,Recursos!C1650,'AUX-NIV2'!Q:Q)+SUMIF('AUX-NIV3'!I:I,Recursos!C1650,'AUX-NIV3'!Q:Q)</f>
        <v>7.9907520000000005</v>
      </c>
      <c r="H1650" s="204">
        <f t="shared" si="144"/>
        <v>12429.925654451123</v>
      </c>
      <c r="I1650" s="366">
        <f t="shared" si="145"/>
        <v>3.8312458139016486E-2</v>
      </c>
      <c r="J1650" s="205"/>
    </row>
    <row r="1651" spans="3:10">
      <c r="C1651" s="199" t="s">
        <v>1251</v>
      </c>
      <c r="D1651" s="220" t="s">
        <v>1252</v>
      </c>
      <c r="E1651" s="221" t="str">
        <f>+VLOOKUP(C1651,'AUX-NIV2'!B:F,3,FALSE)</f>
        <v>M3</v>
      </c>
      <c r="F1651" s="220">
        <f>+VLOOKUP(C1651,'AUX-NIV2'!B:F,5,FALSE)</f>
        <v>716.31423187834969</v>
      </c>
      <c r="G1651" s="203">
        <f>+SUMIF('AUX-NIV1'!I:I,Recursos!C1651,'AUX-NIV1'!Q:Q)+SUMIF('AUX-NIV2'!I:I,Recursos!C1651,'AUX-NIV2'!Q:Q)+SUMIF('AUX-NIV3'!I:I,Recursos!C1651,'AUX-NIV3'!Q:Q)</f>
        <v>0</v>
      </c>
      <c r="H1651" s="204">
        <f t="shared" si="144"/>
        <v>0</v>
      </c>
      <c r="I1651" s="366">
        <f t="shared" si="145"/>
        <v>0</v>
      </c>
      <c r="J1651" s="205"/>
    </row>
    <row r="1652" spans="3:10">
      <c r="C1652" s="199" t="s">
        <v>1255</v>
      </c>
      <c r="D1652" s="220" t="s">
        <v>1300</v>
      </c>
      <c r="E1652" s="221" t="str">
        <f>+VLOOKUP(C1652,'AUX-NIV2'!B:F,3,FALSE)</f>
        <v>m3</v>
      </c>
      <c r="F1652" s="220">
        <f>+VLOOKUP(C1652,'AUX-NIV2'!B:F,5,FALSE)</f>
        <v>699.62883343063208</v>
      </c>
      <c r="G1652" s="203">
        <f>+SUMIF('AUX-NIV1'!I:I,Recursos!C1652,'AUX-NIV1'!Q:Q)+SUMIF('AUX-NIV2'!I:I,Recursos!C1652,'AUX-NIV2'!Q:Q)+SUMIF('AUX-NIV3'!I:I,Recursos!C1652,'AUX-NIV3'!Q:Q)</f>
        <v>0</v>
      </c>
      <c r="H1652" s="204">
        <f t="shared" si="144"/>
        <v>0</v>
      </c>
      <c r="I1652" s="366">
        <f t="shared" si="145"/>
        <v>0</v>
      </c>
      <c r="J1652" s="205"/>
    </row>
    <row r="1653" spans="3:10">
      <c r="C1653" s="199" t="s">
        <v>1256</v>
      </c>
      <c r="D1653" s="220" t="s">
        <v>1301</v>
      </c>
      <c r="E1653" s="221" t="str">
        <f>+VLOOKUP(C1653,'AUX-NIV2'!B:F,3,FALSE)</f>
        <v>m2</v>
      </c>
      <c r="F1653" s="220">
        <f>+VLOOKUP(C1653,'AUX-NIV2'!B:F,5,FALSE)</f>
        <v>5261.6988424670626</v>
      </c>
      <c r="G1653" s="203">
        <f>+SUMIF('AUX-NIV1'!I:I,Recursos!C1653,'AUX-NIV1'!Q:Q)+SUMIF('AUX-NIV2'!I:I,Recursos!C1653,'AUX-NIV2'!Q:Q)+SUMIF('AUX-NIV3'!I:I,Recursos!C1653,'AUX-NIV3'!Q:Q)</f>
        <v>0</v>
      </c>
      <c r="H1653" s="204">
        <f t="shared" si="144"/>
        <v>0</v>
      </c>
      <c r="I1653" s="366">
        <f t="shared" si="145"/>
        <v>0</v>
      </c>
      <c r="J1653" s="205"/>
    </row>
    <row r="1654" spans="3:10">
      <c r="C1654" s="199" t="s">
        <v>1257</v>
      </c>
      <c r="D1654" s="220" t="s">
        <v>1302</v>
      </c>
      <c r="E1654" s="221" t="str">
        <f>+VLOOKUP(C1654,'AUX-NIV2'!B:F,3,FALSE)</f>
        <v>tn</v>
      </c>
      <c r="F1654" s="220">
        <f>+VLOOKUP(C1654,'AUX-NIV2'!B:F,5,FALSE)</f>
        <v>196905.98153277466</v>
      </c>
      <c r="G1654" s="203">
        <f>+SUMIF('AUX-NIV1'!I:I,Recursos!C1654,'AUX-NIV1'!Q:Q)+SUMIF('AUX-NIV2'!I:I,Recursos!C1654,'AUX-NIV2'!Q:Q)+SUMIF('AUX-NIV3'!I:I,Recursos!C1654,'AUX-NIV3'!Q:Q)</f>
        <v>0</v>
      </c>
      <c r="H1654" s="204">
        <f t="shared" si="144"/>
        <v>0</v>
      </c>
      <c r="I1654" s="366">
        <f t="shared" si="145"/>
        <v>0</v>
      </c>
      <c r="J1654" s="205"/>
    </row>
    <row r="1655" spans="3:10">
      <c r="C1655" s="199" t="s">
        <v>1258</v>
      </c>
      <c r="D1655" s="220" t="s">
        <v>1303</v>
      </c>
      <c r="E1655" s="221" t="str">
        <f>+VLOOKUP(C1655,'AUX-NIV2'!B:F,3,FALSE)</f>
        <v>tn</v>
      </c>
      <c r="F1655" s="220">
        <f>+VLOOKUP(C1655,'AUX-NIV2'!B:F,5,FALSE)</f>
        <v>5738.4992568333619</v>
      </c>
      <c r="G1655" s="203">
        <f>+SUMIF('AUX-NIV1'!I:I,Recursos!C1655,'AUX-NIV1'!Q:Q)+SUMIF('AUX-NIV2'!I:I,Recursos!C1655,'AUX-NIV2'!Q:Q)+SUMIF('AUX-NIV3'!I:I,Recursos!C1655,'AUX-NIV3'!Q:Q)</f>
        <v>0</v>
      </c>
      <c r="H1655" s="204">
        <f t="shared" si="144"/>
        <v>0</v>
      </c>
      <c r="I1655" s="366">
        <f t="shared" si="145"/>
        <v>0</v>
      </c>
      <c r="J1655" s="205"/>
    </row>
    <row r="1656" spans="3:10">
      <c r="C1656" s="199" t="s">
        <v>1259</v>
      </c>
      <c r="D1656" s="220" t="s">
        <v>1304</v>
      </c>
      <c r="E1656" s="221" t="str">
        <f>+VLOOKUP(C1656,'AUX-NIV2'!B:F,3,FALSE)</f>
        <v>tn</v>
      </c>
      <c r="F1656" s="220">
        <f>+VLOOKUP(C1656,'AUX-NIV2'!B:F,5,FALSE)</f>
        <v>1468.5768159616337</v>
      </c>
      <c r="G1656" s="203">
        <f>+SUMIF('AUX-NIV1'!I:I,Recursos!C1656,'AUX-NIV1'!Q:Q)+SUMIF('AUX-NIV2'!I:I,Recursos!C1656,'AUX-NIV2'!Q:Q)+SUMIF('AUX-NIV3'!I:I,Recursos!C1656,'AUX-NIV3'!Q:Q)</f>
        <v>0</v>
      </c>
      <c r="H1656" s="204">
        <f t="shared" si="144"/>
        <v>0</v>
      </c>
      <c r="I1656" s="366">
        <f t="shared" si="145"/>
        <v>0</v>
      </c>
      <c r="J1656" s="205"/>
    </row>
    <row r="1657" spans="3:10">
      <c r="C1657" s="199" t="s">
        <v>1260</v>
      </c>
      <c r="D1657" s="220" t="s">
        <v>9</v>
      </c>
      <c r="E1657" s="221" t="str">
        <f>+VLOOKUP(C1657,'AUX-NIV2'!B:F,3,FALSE)</f>
        <v>tn</v>
      </c>
      <c r="F1657" s="220">
        <f>+VLOOKUP(C1657,'AUX-NIV2'!B:F,5,FALSE)</f>
        <v>57070.536358063975</v>
      </c>
      <c r="G1657" s="203">
        <f>+SUMIF('AUX-NIV1'!I:I,Recursos!C1657,'AUX-NIV1'!Q:Q)+SUMIF('AUX-NIV2'!I:I,Recursos!C1657,'AUX-NIV2'!Q:Q)+SUMIF('AUX-NIV3'!I:I,Recursos!C1657,'AUX-NIV3'!Q:Q)</f>
        <v>0</v>
      </c>
      <c r="H1657" s="204">
        <f t="shared" si="144"/>
        <v>0</v>
      </c>
      <c r="I1657" s="366">
        <f t="shared" si="145"/>
        <v>0</v>
      </c>
      <c r="J1657" s="205"/>
    </row>
    <row r="1658" spans="3:10">
      <c r="C1658" s="199" t="s">
        <v>1261</v>
      </c>
      <c r="D1658" s="220" t="s">
        <v>10</v>
      </c>
      <c r="E1658" s="221" t="str">
        <f>+VLOOKUP(C1658,'AUX-NIV2'!B:F,3,FALSE)</f>
        <v>tn</v>
      </c>
      <c r="F1658" s="220">
        <f>+VLOOKUP(C1658,'AUX-NIV2'!B:F,5,FALSE)</f>
        <v>54186.239776046117</v>
      </c>
      <c r="G1658" s="203">
        <f>+SUMIF('AUX-NIV1'!I:I,Recursos!C1658,'AUX-NIV1'!Q:Q)+SUMIF('AUX-NIV2'!I:I,Recursos!C1658,'AUX-NIV2'!Q:Q)+SUMIF('AUX-NIV3'!I:I,Recursos!C1658,'AUX-NIV3'!Q:Q)</f>
        <v>0</v>
      </c>
      <c r="H1658" s="204">
        <f t="shared" si="144"/>
        <v>0</v>
      </c>
      <c r="I1658" s="366">
        <f t="shared" si="145"/>
        <v>0</v>
      </c>
      <c r="J1658" s="205"/>
    </row>
    <row r="1659" spans="3:10">
      <c r="C1659" s="199" t="s">
        <v>1262</v>
      </c>
      <c r="D1659" s="220" t="s">
        <v>11</v>
      </c>
      <c r="E1659" s="221" t="str">
        <f>+VLOOKUP(C1659,'AUX-NIV2'!B:F,3,FALSE)</f>
        <v>m3</v>
      </c>
      <c r="F1659" s="220">
        <f>+VLOOKUP(C1659,'AUX-NIV2'!B:F,5,FALSE)</f>
        <v>5756.0283072512138</v>
      </c>
      <c r="G1659" s="203">
        <f>+SUMIF('AUX-NIV1'!I:I,Recursos!C1659,'AUX-NIV1'!Q:Q)+SUMIF('AUX-NIV2'!I:I,Recursos!C1659,'AUX-NIV2'!Q:Q)+SUMIF('AUX-NIV3'!I:I,Recursos!C1659,'AUX-NIV3'!Q:Q)</f>
        <v>7.9905000000000008</v>
      </c>
      <c r="H1659" s="204">
        <f t="shared" si="144"/>
        <v>45993.544189090826</v>
      </c>
      <c r="I1659" s="366">
        <f t="shared" si="145"/>
        <v>0.14176478487452054</v>
      </c>
      <c r="J1659" s="205"/>
    </row>
    <row r="1660" spans="3:10">
      <c r="C1660" s="199" t="s">
        <v>1263</v>
      </c>
      <c r="D1660" s="220" t="s">
        <v>12</v>
      </c>
      <c r="E1660" s="221" t="str">
        <f>+VLOOKUP(C1660,'AUX-NIV2'!B:F,3,FALSE)</f>
        <v>m3</v>
      </c>
      <c r="F1660" s="220">
        <f>+VLOOKUP(C1660,'AUX-NIV2'!B:F,5,FALSE)</f>
        <v>3470.6907694011379</v>
      </c>
      <c r="G1660" s="203">
        <f>+SUMIF('AUX-NIV1'!I:I,Recursos!C1660,'AUX-NIV1'!Q:Q)+SUMIF('AUX-NIV2'!I:I,Recursos!C1660,'AUX-NIV2'!Q:Q)+SUMIF('AUX-NIV3'!I:I,Recursos!C1660,'AUX-NIV3'!Q:Q)</f>
        <v>0.252</v>
      </c>
      <c r="H1660" s="204">
        <f t="shared" si="144"/>
        <v>874.61407388908674</v>
      </c>
      <c r="I1660" s="366">
        <f t="shared" si="145"/>
        <v>2.6958017308551614E-3</v>
      </c>
      <c r="J1660" s="205"/>
    </row>
    <row r="1661" spans="3:10">
      <c r="C1661" s="199" t="s">
        <v>1264</v>
      </c>
      <c r="D1661" s="220" t="s">
        <v>13</v>
      </c>
      <c r="E1661" s="221" t="str">
        <f>+VLOOKUP(C1661,'AUX-NIV2'!B:F,3,FALSE)</f>
        <v>m2</v>
      </c>
      <c r="F1661" s="220">
        <f>+VLOOKUP(C1661,'AUX-NIV2'!B:F,5,FALSE)</f>
        <v>134.41940461611205</v>
      </c>
      <c r="G1661" s="203">
        <f>+SUMIF('AUX-NIV1'!I:I,Recursos!C1661,'AUX-NIV1'!Q:Q)+SUMIF('AUX-NIV2'!I:I,Recursos!C1661,'AUX-NIV2'!Q:Q)+SUMIF('AUX-NIV3'!I:I,Recursos!C1661,'AUX-NIV3'!Q:Q)</f>
        <v>0</v>
      </c>
      <c r="H1661" s="204">
        <f t="shared" si="144"/>
        <v>0</v>
      </c>
      <c r="I1661" s="366">
        <f t="shared" si="145"/>
        <v>0</v>
      </c>
      <c r="J1661" s="205"/>
    </row>
    <row r="1662" spans="3:10">
      <c r="C1662" s="199" t="s">
        <v>1265</v>
      </c>
      <c r="D1662" s="220" t="s">
        <v>14</v>
      </c>
      <c r="E1662" s="221" t="str">
        <f>+VLOOKUP(C1662,'AUX-NIV2'!B:F,3,FALSE)</f>
        <v>m3</v>
      </c>
      <c r="F1662" s="220">
        <f>+VLOOKUP(C1662,'AUX-NIV2'!B:F,5,FALSE)</f>
        <v>533.25466069647678</v>
      </c>
      <c r="G1662" s="203">
        <f>+SUMIF('AUX-NIV1'!I:I,Recursos!C1662,'AUX-NIV1'!Q:Q)+SUMIF('AUX-NIV2'!I:I,Recursos!C1662,'AUX-NIV2'!Q:Q)+SUMIF('AUX-NIV3'!I:I,Recursos!C1662,'AUX-NIV3'!Q:Q)</f>
        <v>6</v>
      </c>
      <c r="H1662" s="204">
        <f t="shared" si="144"/>
        <v>3199.5279641788607</v>
      </c>
      <c r="I1662" s="366">
        <f t="shared" si="145"/>
        <v>9.8618273833616255E-3</v>
      </c>
      <c r="J1662" s="205"/>
    </row>
    <row r="1663" spans="3:10">
      <c r="C1663" s="199" t="s">
        <v>1266</v>
      </c>
      <c r="D1663" s="220" t="s">
        <v>15</v>
      </c>
      <c r="E1663" s="221" t="str">
        <f>+VLOOKUP(C1663,'AUX-NIV2'!B:F,3,FALSE)</f>
        <v>m2</v>
      </c>
      <c r="F1663" s="220">
        <f>+VLOOKUP(C1663,'AUX-NIV2'!B:F,5,FALSE)</f>
        <v>390.39586911319242</v>
      </c>
      <c r="G1663" s="203">
        <f>+SUMIF('AUX-NIV1'!I:I,Recursos!C1663,'AUX-NIV1'!Q:Q)+SUMIF('AUX-NIV2'!I:I,Recursos!C1663,'AUX-NIV2'!Q:Q)+SUMIF('AUX-NIV3'!I:I,Recursos!C1663,'AUX-NIV3'!Q:Q)</f>
        <v>0</v>
      </c>
      <c r="H1663" s="204">
        <f t="shared" si="144"/>
        <v>0</v>
      </c>
      <c r="I1663" s="366">
        <f t="shared" si="145"/>
        <v>0</v>
      </c>
      <c r="J1663" s="205"/>
    </row>
    <row r="1664" spans="3:10">
      <c r="C1664" s="199" t="s">
        <v>1267</v>
      </c>
      <c r="D1664" s="220" t="s">
        <v>16</v>
      </c>
      <c r="E1664" s="221" t="str">
        <f>+VLOOKUP(C1664,'AUX-NIV2'!B:F,3,FALSE)</f>
        <v>m3</v>
      </c>
      <c r="F1664" s="220">
        <f>+VLOOKUP(C1664,'AUX-NIV2'!B:F,5,FALSE)</f>
        <v>1090.5254801449394</v>
      </c>
      <c r="G1664" s="203">
        <f>+SUMIF('AUX-NIV1'!I:I,Recursos!C1664,'AUX-NIV1'!Q:Q)+SUMIF('AUX-NIV2'!I:I,Recursos!C1664,'AUX-NIV2'!Q:Q)+SUMIF('AUX-NIV3'!I:I,Recursos!C1664,'AUX-NIV3'!Q:Q)</f>
        <v>0</v>
      </c>
      <c r="H1664" s="204">
        <f t="shared" si="144"/>
        <v>0</v>
      </c>
      <c r="I1664" s="366">
        <f t="shared" si="145"/>
        <v>0</v>
      </c>
      <c r="J1664" s="205"/>
    </row>
    <row r="1665" spans="3:10">
      <c r="C1665" s="199" t="s">
        <v>1268</v>
      </c>
      <c r="D1665" s="220" t="s">
        <v>17</v>
      </c>
      <c r="E1665" s="221" t="str">
        <f>+VLOOKUP(C1665,'AUX-NIV2'!B:F,3,FALSE)</f>
        <v>m2</v>
      </c>
      <c r="F1665" s="220">
        <f>+VLOOKUP(C1665,'AUX-NIV2'!B:F,5,FALSE)</f>
        <v>931.92217141099604</v>
      </c>
      <c r="G1665" s="203">
        <f>+SUMIF('AUX-NIV1'!I:I,Recursos!C1665,'AUX-NIV1'!Q:Q)+SUMIF('AUX-NIV2'!I:I,Recursos!C1665,'AUX-NIV2'!Q:Q)+SUMIF('AUX-NIV3'!I:I,Recursos!C1665,'AUX-NIV3'!Q:Q)</f>
        <v>0</v>
      </c>
      <c r="H1665" s="204">
        <f t="shared" si="144"/>
        <v>0</v>
      </c>
      <c r="I1665" s="366">
        <f t="shared" si="145"/>
        <v>0</v>
      </c>
      <c r="J1665" s="205"/>
    </row>
    <row r="1666" spans="3:10">
      <c r="C1666" s="199" t="s">
        <v>1269</v>
      </c>
      <c r="D1666" s="220" t="s">
        <v>18</v>
      </c>
      <c r="E1666" s="221" t="str">
        <f>+VLOOKUP(C1666,'AUX-NIV2'!B:F,3,FALSE)</f>
        <v>m3</v>
      </c>
      <c r="F1666" s="220">
        <f>+VLOOKUP(C1666,'AUX-NIV2'!B:F,5,FALSE)</f>
        <v>1090.5254801449394</v>
      </c>
      <c r="G1666" s="203">
        <f>+SUMIF('AUX-NIV1'!I:I,Recursos!C1666,'AUX-NIV1'!Q:Q)+SUMIF('AUX-NIV2'!I:I,Recursos!C1666,'AUX-NIV2'!Q:Q)+SUMIF('AUX-NIV3'!I:I,Recursos!C1666,'AUX-NIV3'!Q:Q)</f>
        <v>0</v>
      </c>
      <c r="H1666" s="204">
        <f t="shared" si="144"/>
        <v>0</v>
      </c>
      <c r="I1666" s="366">
        <f t="shared" si="145"/>
        <v>0</v>
      </c>
      <c r="J1666" s="205"/>
    </row>
    <row r="1667" spans="3:10">
      <c r="C1667" s="199" t="s">
        <v>1270</v>
      </c>
      <c r="D1667" s="220" t="s">
        <v>19</v>
      </c>
      <c r="E1667" s="221" t="str">
        <f>+VLOOKUP(C1667,'AUX-NIV2'!B:F,3,FALSE)</f>
        <v>m2</v>
      </c>
      <c r="F1667" s="220">
        <f>+VLOOKUP(C1667,'AUX-NIV2'!B:F,5,FALSE)</f>
        <v>222.90554285274902</v>
      </c>
      <c r="G1667" s="203">
        <f>+SUMIF('AUX-NIV1'!I:I,Recursos!C1667,'AUX-NIV1'!Q:Q)+SUMIF('AUX-NIV2'!I:I,Recursos!C1667,'AUX-NIV2'!Q:Q)+SUMIF('AUX-NIV3'!I:I,Recursos!C1667,'AUX-NIV3'!Q:Q)</f>
        <v>0</v>
      </c>
      <c r="H1667" s="204">
        <f t="shared" si="144"/>
        <v>0</v>
      </c>
      <c r="I1667" s="366">
        <f t="shared" si="145"/>
        <v>0</v>
      </c>
      <c r="J1667" s="205"/>
    </row>
    <row r="1668" spans="3:10">
      <c r="C1668" s="199" t="s">
        <v>1271</v>
      </c>
      <c r="D1668" s="220" t="s">
        <v>20</v>
      </c>
      <c r="E1668" s="221" t="str">
        <f>+VLOOKUP(C1668,'AUX-NIV2'!B:F,3,FALSE)</f>
        <v>m2</v>
      </c>
      <c r="F1668" s="220">
        <f>+VLOOKUP(C1668,'AUX-NIV2'!B:F,5,FALSE)</f>
        <v>8099.6748205158301</v>
      </c>
      <c r="G1668" s="203">
        <f>+SUMIF('AUX-NIV1'!I:I,Recursos!C1668,'AUX-NIV1'!Q:Q)+SUMIF('AUX-NIV2'!I:I,Recursos!C1668,'AUX-NIV2'!Q:Q)+SUMIF('AUX-NIV3'!I:I,Recursos!C1668,'AUX-NIV3'!Q:Q)</f>
        <v>0</v>
      </c>
      <c r="H1668" s="204">
        <f t="shared" si="144"/>
        <v>0</v>
      </c>
      <c r="I1668" s="366">
        <f t="shared" si="145"/>
        <v>0</v>
      </c>
      <c r="J1668" s="205"/>
    </row>
    <row r="1669" spans="3:10">
      <c r="C1669" s="199" t="s">
        <v>1272</v>
      </c>
      <c r="D1669" s="220" t="s">
        <v>21</v>
      </c>
      <c r="E1669" s="221" t="str">
        <f>+VLOOKUP(C1669,'AUX-NIV2'!B:F,3,FALSE)</f>
        <v>m3</v>
      </c>
      <c r="F1669" s="220">
        <f>+VLOOKUP(C1669,'AUX-NIV2'!B:F,5,FALSE)</f>
        <v>228.08238748864056</v>
      </c>
      <c r="G1669" s="203">
        <f>+SUMIF('AUX-NIV1'!I:I,Recursos!C1669,'AUX-NIV1'!Q:Q)+SUMIF('AUX-NIV2'!I:I,Recursos!C1669,'AUX-NIV2'!Q:Q)+SUMIF('AUX-NIV3'!I:I,Recursos!C1669,'AUX-NIV3'!Q:Q)</f>
        <v>0</v>
      </c>
      <c r="H1669" s="204">
        <f t="shared" si="144"/>
        <v>0</v>
      </c>
      <c r="I1669" s="366">
        <f t="shared" si="145"/>
        <v>0</v>
      </c>
      <c r="J1669" s="205"/>
    </row>
    <row r="1670" spans="3:10">
      <c r="C1670" s="199" t="s">
        <v>1273</v>
      </c>
      <c r="D1670" s="220" t="s">
        <v>22</v>
      </c>
      <c r="E1670" s="221" t="str">
        <f>+VLOOKUP(C1670,'AUX-NIV2'!B:F,3,FALSE)</f>
        <v>m3</v>
      </c>
      <c r="F1670" s="220">
        <f>+VLOOKUP(C1670,'AUX-NIV2'!B:F,5,FALSE)</f>
        <v>12.228290546263128</v>
      </c>
      <c r="G1670" s="203">
        <f>+SUMIF('AUX-NIV1'!I:I,Recursos!C1670,'AUX-NIV1'!Q:Q)+SUMIF('AUX-NIV2'!I:I,Recursos!C1670,'AUX-NIV2'!Q:Q)+SUMIF('AUX-NIV3'!I:I,Recursos!C1670,'AUX-NIV3'!Q:Q)</f>
        <v>0</v>
      </c>
      <c r="H1670" s="204">
        <f t="shared" si="144"/>
        <v>0</v>
      </c>
      <c r="I1670" s="366">
        <f t="shared" si="145"/>
        <v>0</v>
      </c>
      <c r="J1670" s="205"/>
    </row>
    <row r="1671" spans="3:10">
      <c r="C1671" s="199" t="s">
        <v>1274</v>
      </c>
      <c r="D1671" s="220" t="s">
        <v>25</v>
      </c>
      <c r="E1671" s="221" t="str">
        <f>+VLOOKUP(C1671,'AUX-NIV2'!B:F,3,FALSE)</f>
        <v>m3</v>
      </c>
      <c r="F1671" s="220">
        <f>+VLOOKUP(C1671,'AUX-NIV2'!B:F,5,FALSE)</f>
        <v>641.04677092632528</v>
      </c>
      <c r="G1671" s="203">
        <f>+SUMIF('AUX-NIV1'!I:I,Recursos!C1671,'AUX-NIV1'!Q:Q)+SUMIF('AUX-NIV2'!I:I,Recursos!C1671,'AUX-NIV2'!Q:Q)+SUMIF('AUX-NIV3'!I:I,Recursos!C1671,'AUX-NIV3'!Q:Q)</f>
        <v>0</v>
      </c>
      <c r="H1671" s="204">
        <f t="shared" si="144"/>
        <v>0</v>
      </c>
      <c r="I1671" s="366">
        <f t="shared" si="145"/>
        <v>0</v>
      </c>
      <c r="J1671" s="205"/>
    </row>
    <row r="1672" spans="3:10">
      <c r="C1672" s="199" t="s">
        <v>1275</v>
      </c>
      <c r="D1672" s="220" t="s">
        <v>26</v>
      </c>
      <c r="E1672" s="221" t="str">
        <f>+VLOOKUP(C1672,'AUX-NIV2'!B:F,3,FALSE)</f>
        <v>m3</v>
      </c>
      <c r="F1672" s="220">
        <f>+VLOOKUP(C1672,'AUX-NIV2'!B:F,5,FALSE)</f>
        <v>138.30187804135289</v>
      </c>
      <c r="G1672" s="203">
        <f>+SUMIF('AUX-NIV1'!I:I,Recursos!C1672,'AUX-NIV1'!Q:Q)+SUMIF('AUX-NIV2'!I:I,Recursos!C1672,'AUX-NIV2'!Q:Q)+SUMIF('AUX-NIV3'!I:I,Recursos!C1672,'AUX-NIV3'!Q:Q)</f>
        <v>0</v>
      </c>
      <c r="H1672" s="204">
        <f t="shared" si="144"/>
        <v>0</v>
      </c>
      <c r="I1672" s="366">
        <f t="shared" si="145"/>
        <v>0</v>
      </c>
      <c r="J1672" s="205"/>
    </row>
    <row r="1673" spans="3:10">
      <c r="C1673" s="199" t="s">
        <v>1276</v>
      </c>
      <c r="D1673" s="220" t="s">
        <v>27</v>
      </c>
      <c r="E1673" s="221" t="str">
        <f>+VLOOKUP(C1673,'AUX-NIV2'!B:F,3,FALSE)</f>
        <v>m2</v>
      </c>
      <c r="F1673" s="220">
        <f>+VLOOKUP(C1673,'AUX-NIV2'!B:F,5,FALSE)</f>
        <v>86.775057999157838</v>
      </c>
      <c r="G1673" s="203">
        <f>+SUMIF('AUX-NIV1'!I:I,Recursos!C1673,'AUX-NIV1'!Q:Q)+SUMIF('AUX-NIV2'!I:I,Recursos!C1673,'AUX-NIV2'!Q:Q)+SUMIF('AUX-NIV3'!I:I,Recursos!C1673,'AUX-NIV3'!Q:Q)</f>
        <v>0</v>
      </c>
      <c r="H1673" s="204">
        <f t="shared" si="144"/>
        <v>0</v>
      </c>
      <c r="I1673" s="366">
        <f t="shared" si="145"/>
        <v>0</v>
      </c>
      <c r="J1673" s="205"/>
    </row>
    <row r="1674" spans="3:10">
      <c r="C1674" s="199" t="s">
        <v>1277</v>
      </c>
      <c r="D1674" s="220" t="s">
        <v>28</v>
      </c>
      <c r="E1674" s="221" t="str">
        <f>+VLOOKUP(C1674,'AUX-NIV2'!B:F,3,FALSE)</f>
        <v>m3</v>
      </c>
      <c r="F1674" s="220">
        <f>+VLOOKUP(C1674,'AUX-NIV2'!B:F,5,FALSE)</f>
        <v>126.4460542641684</v>
      </c>
      <c r="G1674" s="203">
        <f>+SUMIF('AUX-NIV1'!I:I,Recursos!C1674,'AUX-NIV1'!Q:Q)+SUMIF('AUX-NIV2'!I:I,Recursos!C1674,'AUX-NIV2'!Q:Q)+SUMIF('AUX-NIV3'!I:I,Recursos!C1674,'AUX-NIV3'!Q:Q)</f>
        <v>0</v>
      </c>
      <c r="H1674" s="204">
        <f t="shared" si="144"/>
        <v>0</v>
      </c>
      <c r="I1674" s="366">
        <f t="shared" si="145"/>
        <v>0</v>
      </c>
      <c r="J1674" s="205"/>
    </row>
    <row r="1675" spans="3:10">
      <c r="C1675" s="199" t="s">
        <v>1278</v>
      </c>
      <c r="D1675" s="220" t="s">
        <v>29</v>
      </c>
      <c r="E1675" s="221" t="str">
        <f>+VLOOKUP(C1675,'AUX-NIV2'!B:F,3,FALSE)</f>
        <v>m2</v>
      </c>
      <c r="F1675" s="220">
        <f>+VLOOKUP(C1675,'AUX-NIV2'!B:F,5,FALSE)</f>
        <v>314.36775999384861</v>
      </c>
      <c r="G1675" s="203">
        <f>+SUMIF('AUX-NIV1'!I:I,Recursos!C1675,'AUX-NIV1'!Q:Q)+SUMIF('AUX-NIV2'!I:I,Recursos!C1675,'AUX-NIV2'!Q:Q)+SUMIF('AUX-NIV3'!I:I,Recursos!C1675,'AUX-NIV3'!Q:Q)</f>
        <v>0</v>
      </c>
      <c r="H1675" s="204">
        <f t="shared" si="144"/>
        <v>0</v>
      </c>
      <c r="I1675" s="366">
        <f t="shared" si="145"/>
        <v>0</v>
      </c>
      <c r="J1675" s="205"/>
    </row>
    <row r="1676" spans="3:10">
      <c r="C1676" s="199" t="s">
        <v>1279</v>
      </c>
      <c r="D1676" s="220" t="s">
        <v>27</v>
      </c>
      <c r="E1676" s="221" t="str">
        <f>+VLOOKUP(C1676,'AUX-NIV2'!B:F,3,FALSE)</f>
        <v>m2</v>
      </c>
      <c r="F1676" s="220">
        <f>+VLOOKUP(C1676,'AUX-NIV2'!B:F,5,FALSE)</f>
        <v>13.463209713627634</v>
      </c>
      <c r="G1676" s="203">
        <f>+SUMIF('AUX-NIV1'!I:I,Recursos!C1676,'AUX-NIV1'!Q:Q)+SUMIF('AUX-NIV2'!I:I,Recursos!C1676,'AUX-NIV2'!Q:Q)+SUMIF('AUX-NIV3'!I:I,Recursos!C1676,'AUX-NIV3'!Q:Q)</f>
        <v>0</v>
      </c>
      <c r="H1676" s="204">
        <f t="shared" si="144"/>
        <v>0</v>
      </c>
      <c r="I1676" s="366">
        <f t="shared" si="145"/>
        <v>0</v>
      </c>
      <c r="J1676" s="205"/>
    </row>
    <row r="1677" spans="3:10">
      <c r="C1677" s="199" t="s">
        <v>1280</v>
      </c>
      <c r="D1677" s="220" t="s">
        <v>30</v>
      </c>
      <c r="E1677" s="221" t="str">
        <f>+VLOOKUP(C1677,'AUX-NIV2'!B:F,3,FALSE)</f>
        <v>m3</v>
      </c>
      <c r="F1677" s="220">
        <f>+VLOOKUP(C1677,'AUX-NIV2'!B:F,5,FALSE)</f>
        <v>151.85969328137662</v>
      </c>
      <c r="G1677" s="203">
        <f>+SUMIF('AUX-NIV1'!I:I,Recursos!C1677,'AUX-NIV1'!Q:Q)+SUMIF('AUX-NIV2'!I:I,Recursos!C1677,'AUX-NIV2'!Q:Q)+SUMIF('AUX-NIV3'!I:I,Recursos!C1677,'AUX-NIV3'!Q:Q)</f>
        <v>0</v>
      </c>
      <c r="H1677" s="204">
        <f t="shared" si="144"/>
        <v>0</v>
      </c>
      <c r="I1677" s="366">
        <f t="shared" si="145"/>
        <v>0</v>
      </c>
      <c r="J1677" s="205"/>
    </row>
    <row r="1678" spans="3:10">
      <c r="C1678" s="199" t="s">
        <v>1281</v>
      </c>
      <c r="D1678" s="220" t="s">
        <v>31</v>
      </c>
      <c r="E1678" s="221" t="str">
        <f>+VLOOKUP(C1678,'AUX-NIV2'!B:F,3,FALSE)</f>
        <v>m3</v>
      </c>
      <c r="F1678" s="220">
        <f>+VLOOKUP(C1678,'AUX-NIV2'!B:F,5,FALSE)</f>
        <v>314.91031268746093</v>
      </c>
      <c r="G1678" s="203">
        <f>+SUMIF('AUX-NIV1'!I:I,Recursos!C1678,'AUX-NIV1'!Q:Q)+SUMIF('AUX-NIV2'!I:I,Recursos!C1678,'AUX-NIV2'!Q:Q)+SUMIF('AUX-NIV3'!I:I,Recursos!C1678,'AUX-NIV3'!Q:Q)</f>
        <v>0</v>
      </c>
      <c r="H1678" s="204">
        <f t="shared" si="144"/>
        <v>0</v>
      </c>
      <c r="I1678" s="366">
        <f t="shared" si="145"/>
        <v>0</v>
      </c>
      <c r="J1678" s="205"/>
    </row>
    <row r="1679" spans="3:10">
      <c r="C1679" s="199" t="s">
        <v>1282</v>
      </c>
      <c r="D1679" s="220" t="s">
        <v>32</v>
      </c>
      <c r="E1679" s="221" t="str">
        <f>+VLOOKUP(C1679,'AUX-NIV2'!B:F,3,FALSE)</f>
        <v>m3</v>
      </c>
      <c r="F1679" s="220">
        <f>+VLOOKUP(C1679,'AUX-NIV2'!B:F,5,FALSE)</f>
        <v>469.10105830219629</v>
      </c>
      <c r="G1679" s="203">
        <f>+SUMIF('AUX-NIV1'!I:I,Recursos!C1679,'AUX-NIV1'!Q:Q)+SUMIF('AUX-NIV2'!I:I,Recursos!C1679,'AUX-NIV2'!Q:Q)+SUMIF('AUX-NIV3'!I:I,Recursos!C1679,'AUX-NIV3'!Q:Q)</f>
        <v>0</v>
      </c>
      <c r="H1679" s="204">
        <f t="shared" si="144"/>
        <v>0</v>
      </c>
      <c r="I1679" s="366">
        <f t="shared" si="145"/>
        <v>0</v>
      </c>
      <c r="J1679" s="205"/>
    </row>
    <row r="1680" spans="3:10">
      <c r="C1680" s="199" t="s">
        <v>1283</v>
      </c>
      <c r="D1680" s="220" t="s">
        <v>33</v>
      </c>
      <c r="E1680" s="221" t="str">
        <f>+VLOOKUP(C1680,'AUX-NIV2'!B:F,3,FALSE)</f>
        <v>m3</v>
      </c>
      <c r="F1680" s="220">
        <f>+VLOOKUP(C1680,'AUX-NIV2'!B:F,5,FALSE)</f>
        <v>125.70553823996164</v>
      </c>
      <c r="G1680" s="203">
        <f>+SUMIF('AUX-NIV1'!I:I,Recursos!C1680,'AUX-NIV1'!Q:Q)+SUMIF('AUX-NIV2'!I:I,Recursos!C1680,'AUX-NIV2'!Q:Q)+SUMIF('AUX-NIV3'!I:I,Recursos!C1680,'AUX-NIV3'!Q:Q)</f>
        <v>0</v>
      </c>
      <c r="H1680" s="204">
        <f t="shared" si="144"/>
        <v>0</v>
      </c>
      <c r="I1680" s="366">
        <f t="shared" si="145"/>
        <v>0</v>
      </c>
      <c r="J1680" s="205"/>
    </row>
    <row r="1681" spans="3:10">
      <c r="C1681" s="199" t="s">
        <v>1284</v>
      </c>
      <c r="D1681" s="220" t="s">
        <v>34</v>
      </c>
      <c r="E1681" s="221" t="str">
        <f>+VLOOKUP(C1681,'AUX-NIV2'!B:F,3,FALSE)</f>
        <v>m3</v>
      </c>
      <c r="F1681" s="220">
        <f>+VLOOKUP(C1681,'AUX-NIV2'!B:F,5,FALSE)</f>
        <v>101.66101693166991</v>
      </c>
      <c r="G1681" s="203">
        <f>+SUMIF('AUX-NIV1'!I:I,Recursos!C1681,'AUX-NIV1'!Q:Q)+SUMIF('AUX-NIV2'!I:I,Recursos!C1681,'AUX-NIV2'!Q:Q)+SUMIF('AUX-NIV3'!I:I,Recursos!C1681,'AUX-NIV3'!Q:Q)</f>
        <v>0</v>
      </c>
      <c r="H1681" s="204">
        <f t="shared" si="144"/>
        <v>0</v>
      </c>
      <c r="I1681" s="366">
        <f t="shared" si="145"/>
        <v>0</v>
      </c>
      <c r="J1681" s="205"/>
    </row>
    <row r="1682" spans="3:10">
      <c r="C1682" s="199" t="s">
        <v>1285</v>
      </c>
      <c r="D1682" s="220" t="s">
        <v>35</v>
      </c>
      <c r="E1682" s="221" t="str">
        <f>+VLOOKUP(C1682,'AUX-NIV2'!B:F,3,FALSE)</f>
        <v>m3</v>
      </c>
      <c r="F1682" s="220">
        <f>+VLOOKUP(C1682,'AUX-NIV2'!B:F,5,FALSE)</f>
        <v>206.36682596349667</v>
      </c>
      <c r="G1682" s="203">
        <f>+SUMIF('AUX-NIV1'!I:I,Recursos!C1682,'AUX-NIV1'!Q:Q)+SUMIF('AUX-NIV2'!I:I,Recursos!C1682,'AUX-NIV2'!Q:Q)+SUMIF('AUX-NIV3'!I:I,Recursos!C1682,'AUX-NIV3'!Q:Q)</f>
        <v>0</v>
      </c>
      <c r="H1682" s="204">
        <f t="shared" si="144"/>
        <v>0</v>
      </c>
      <c r="I1682" s="366">
        <f t="shared" si="145"/>
        <v>0</v>
      </c>
      <c r="J1682" s="205"/>
    </row>
    <row r="1683" spans="3:10">
      <c r="C1683" s="199" t="s">
        <v>1286</v>
      </c>
      <c r="D1683" s="220" t="s">
        <v>36</v>
      </c>
      <c r="E1683" s="221" t="str">
        <f>+VLOOKUP(C1683,'AUX-NIV2'!B:F,3,FALSE)</f>
        <v>m3</v>
      </c>
      <c r="F1683" s="220">
        <f>+VLOOKUP(C1683,'AUX-NIV2'!B:F,5,FALSE)</f>
        <v>4802.3886495012812</v>
      </c>
      <c r="G1683" s="203">
        <f>+SUMIF('AUX-NIV1'!I:I,Recursos!C1683,'AUX-NIV1'!Q:Q)+SUMIF('AUX-NIV2'!I:I,Recursos!C1683,'AUX-NIV2'!Q:Q)+SUMIF('AUX-NIV3'!I:I,Recursos!C1683,'AUX-NIV3'!Q:Q)</f>
        <v>0</v>
      </c>
      <c r="H1683" s="204">
        <f t="shared" si="144"/>
        <v>0</v>
      </c>
      <c r="I1683" s="366">
        <f t="shared" si="145"/>
        <v>0</v>
      </c>
      <c r="J1683" s="205"/>
    </row>
    <row r="1684" spans="3:10">
      <c r="C1684" s="199" t="s">
        <v>1287</v>
      </c>
      <c r="D1684" s="220" t="s">
        <v>37</v>
      </c>
      <c r="E1684" s="221" t="str">
        <f>+VLOOKUP(C1684,'AUX-NIV2'!B:F,3,FALSE)</f>
        <v>m3</v>
      </c>
      <c r="F1684" s="220">
        <f>+VLOOKUP(C1684,'AUX-NIV2'!B:F,5,FALSE)</f>
        <v>419.65958991896258</v>
      </c>
      <c r="G1684" s="203">
        <f>+SUMIF('AUX-NIV1'!I:I,Recursos!C1684,'AUX-NIV1'!Q:Q)+SUMIF('AUX-NIV2'!I:I,Recursos!C1684,'AUX-NIV2'!Q:Q)+SUMIF('AUX-NIV3'!I:I,Recursos!C1684,'AUX-NIV3'!Q:Q)</f>
        <v>0</v>
      </c>
      <c r="H1684" s="204">
        <f t="shared" si="144"/>
        <v>0</v>
      </c>
      <c r="I1684" s="366">
        <f t="shared" si="145"/>
        <v>0</v>
      </c>
      <c r="J1684" s="205"/>
    </row>
    <row r="1685" spans="3:10">
      <c r="C1685" s="199" t="s">
        <v>1288</v>
      </c>
      <c r="D1685" s="220" t="s">
        <v>38</v>
      </c>
      <c r="E1685" s="221" t="str">
        <f>+VLOOKUP(C1685,'AUX-NIV2'!B:F,3,FALSE)</f>
        <v>m3</v>
      </c>
      <c r="F1685" s="220">
        <f>+VLOOKUP(C1685,'AUX-NIV2'!B:F,5,FALSE)</f>
        <v>318.88919874376688</v>
      </c>
      <c r="G1685" s="203">
        <f>+SUMIF('AUX-NIV1'!I:I,Recursos!C1685,'AUX-NIV1'!Q:Q)+SUMIF('AUX-NIV2'!I:I,Recursos!C1685,'AUX-NIV2'!Q:Q)+SUMIF('AUX-NIV3'!I:I,Recursos!C1685,'AUX-NIV3'!Q:Q)</f>
        <v>0</v>
      </c>
      <c r="H1685" s="204">
        <f t="shared" si="144"/>
        <v>0</v>
      </c>
      <c r="I1685" s="366">
        <f t="shared" si="145"/>
        <v>0</v>
      </c>
      <c r="J1685" s="205"/>
    </row>
    <row r="1686" spans="3:10">
      <c r="C1686" s="199" t="s">
        <v>1289</v>
      </c>
      <c r="D1686" s="220" t="s">
        <v>39</v>
      </c>
      <c r="E1686" s="221" t="str">
        <f>+VLOOKUP(C1686,'AUX-NIV2'!B:F,3,FALSE)</f>
        <v>m2</v>
      </c>
      <c r="F1686" s="220">
        <f>+VLOOKUP(C1686,'AUX-NIV2'!B:F,5,FALSE)</f>
        <v>6407.5202864083949</v>
      </c>
      <c r="G1686" s="203">
        <f>+SUMIF('AUX-NIV1'!I:I,Recursos!C1686,'AUX-NIV1'!Q:Q)+SUMIF('AUX-NIV2'!I:I,Recursos!C1686,'AUX-NIV2'!Q:Q)+SUMIF('AUX-NIV3'!I:I,Recursos!C1686,'AUX-NIV3'!Q:Q)</f>
        <v>0</v>
      </c>
      <c r="H1686" s="204">
        <f t="shared" si="144"/>
        <v>0</v>
      </c>
      <c r="I1686" s="366">
        <f t="shared" si="145"/>
        <v>0</v>
      </c>
      <c r="J1686" s="205"/>
    </row>
    <row r="1687" spans="3:10">
      <c r="C1687" s="199" t="s">
        <v>1290</v>
      </c>
      <c r="D1687" s="220" t="s">
        <v>40</v>
      </c>
      <c r="E1687" s="221" t="str">
        <f>+VLOOKUP(C1687,'AUX-NIV2'!B:F,3,FALSE)</f>
        <v>m3</v>
      </c>
      <c r="F1687" s="220">
        <f>+VLOOKUP(C1687,'AUX-NIV2'!B:F,5,FALSE)</f>
        <v>417.77610810672763</v>
      </c>
      <c r="G1687" s="203">
        <f>+SUMIF('AUX-NIV1'!I:I,Recursos!C1687,'AUX-NIV1'!Q:Q)+SUMIF('AUX-NIV2'!I:I,Recursos!C1687,'AUX-NIV2'!Q:Q)+SUMIF('AUX-NIV3'!I:I,Recursos!C1687,'AUX-NIV3'!Q:Q)</f>
        <v>0</v>
      </c>
      <c r="H1687" s="204">
        <f t="shared" si="144"/>
        <v>0</v>
      </c>
      <c r="I1687" s="366">
        <f t="shared" si="145"/>
        <v>0</v>
      </c>
      <c r="J1687" s="205"/>
    </row>
    <row r="1688" spans="3:10">
      <c r="C1688" s="199" t="s">
        <v>1291</v>
      </c>
      <c r="D1688" s="220" t="s">
        <v>41</v>
      </c>
      <c r="E1688" s="221" t="str">
        <f>+VLOOKUP(C1688,'AUX-NIV2'!B:F,3,FALSE)</f>
        <v>m3</v>
      </c>
      <c r="F1688" s="220">
        <f>+VLOOKUP(C1688,'AUX-NIV2'!B:F,5,FALSE)</f>
        <v>134.33154331302296</v>
      </c>
      <c r="G1688" s="203">
        <f>+SUMIF('AUX-NIV1'!I:I,Recursos!C1688,'AUX-NIV1'!Q:Q)+SUMIF('AUX-NIV2'!I:I,Recursos!C1688,'AUX-NIV2'!Q:Q)+SUMIF('AUX-NIV3'!I:I,Recursos!C1688,'AUX-NIV3'!Q:Q)</f>
        <v>0</v>
      </c>
      <c r="H1688" s="204">
        <f t="shared" si="144"/>
        <v>0</v>
      </c>
      <c r="I1688" s="366">
        <f t="shared" si="145"/>
        <v>0</v>
      </c>
      <c r="J1688" s="205"/>
    </row>
    <row r="1689" spans="3:10">
      <c r="C1689" s="199" t="s">
        <v>1292</v>
      </c>
      <c r="D1689" s="220" t="s">
        <v>42</v>
      </c>
      <c r="E1689" s="221" t="str">
        <f>+VLOOKUP(C1689,'AUX-NIV2'!B:F,3,FALSE)</f>
        <v>m3</v>
      </c>
      <c r="F1689" s="220">
        <f>+VLOOKUP(C1689,'AUX-NIV2'!B:F,5,FALSE)</f>
        <v>192.68134784762265</v>
      </c>
      <c r="G1689" s="203">
        <f>+SUMIF('AUX-NIV1'!I:I,Recursos!C1689,'AUX-NIV1'!Q:Q)+SUMIF('AUX-NIV2'!I:I,Recursos!C1689,'AUX-NIV2'!Q:Q)+SUMIF('AUX-NIV3'!I:I,Recursos!C1689,'AUX-NIV3'!Q:Q)</f>
        <v>0</v>
      </c>
      <c r="H1689" s="204">
        <f t="shared" si="144"/>
        <v>0</v>
      </c>
      <c r="I1689" s="366">
        <f t="shared" si="145"/>
        <v>0</v>
      </c>
      <c r="J1689" s="205"/>
    </row>
    <row r="1690" spans="3:10">
      <c r="C1690" s="199" t="s">
        <v>1293</v>
      </c>
      <c r="D1690" s="220" t="s">
        <v>43</v>
      </c>
      <c r="E1690" s="221" t="str">
        <f>+VLOOKUP(C1690,'AUX-NIV2'!B:F,3,FALSE)</f>
        <v>m3</v>
      </c>
      <c r="F1690" s="220">
        <f>+VLOOKUP(C1690,'AUX-NIV2'!B:F,5,FALSE)</f>
        <v>2816.3656007845702</v>
      </c>
      <c r="G1690" s="203">
        <f>+SUMIF('AUX-NIV1'!I:I,Recursos!C1690,'AUX-NIV1'!Q:Q)+SUMIF('AUX-NIV2'!I:I,Recursos!C1690,'AUX-NIV2'!Q:Q)+SUMIF('AUX-NIV3'!I:I,Recursos!C1690,'AUX-NIV3'!Q:Q)</f>
        <v>0</v>
      </c>
      <c r="H1690" s="204">
        <f t="shared" si="144"/>
        <v>0</v>
      </c>
      <c r="I1690" s="366">
        <f t="shared" si="145"/>
        <v>0</v>
      </c>
      <c r="J1690" s="205"/>
    </row>
    <row r="1691" spans="3:10">
      <c r="C1691" s="199" t="s">
        <v>1294</v>
      </c>
      <c r="D1691" s="220" t="s">
        <v>44</v>
      </c>
      <c r="E1691" s="221" t="str">
        <f>+VLOOKUP(C1691,'AUX-NIV2'!B:F,3,FALSE)</f>
        <v>m3</v>
      </c>
      <c r="F1691" s="220">
        <f>+VLOOKUP(C1691,'AUX-NIV2'!B:F,5,FALSE)</f>
        <v>272.07313983093479</v>
      </c>
      <c r="G1691" s="203">
        <f>+SUMIF('AUX-NIV1'!I:I,Recursos!C1691,'AUX-NIV1'!Q:Q)+SUMIF('AUX-NIV2'!I:I,Recursos!C1691,'AUX-NIV2'!Q:Q)+SUMIF('AUX-NIV3'!I:I,Recursos!C1691,'AUX-NIV3'!Q:Q)</f>
        <v>0</v>
      </c>
      <c r="H1691" s="204">
        <f t="shared" si="144"/>
        <v>0</v>
      </c>
      <c r="I1691" s="366">
        <f t="shared" si="145"/>
        <v>0</v>
      </c>
      <c r="J1691" s="205"/>
    </row>
    <row r="1692" spans="3:10">
      <c r="C1692" s="199" t="s">
        <v>1295</v>
      </c>
      <c r="D1692" s="220" t="s">
        <v>45</v>
      </c>
      <c r="E1692" s="221" t="str">
        <f>+VLOOKUP(C1692,'AUX-NIV2'!B:F,3,FALSE)</f>
        <v>m3</v>
      </c>
      <c r="F1692" s="220">
        <f>+VLOOKUP(C1692,'AUX-NIV2'!B:F,5,FALSE)</f>
        <v>879.7126542864878</v>
      </c>
      <c r="G1692" s="203">
        <f>+SUMIF('AUX-NIV1'!I:I,Recursos!C1692,'AUX-NIV1'!Q:Q)+SUMIF('AUX-NIV2'!I:I,Recursos!C1692,'AUX-NIV2'!Q:Q)+SUMIF('AUX-NIV3'!I:I,Recursos!C1692,'AUX-NIV3'!Q:Q)</f>
        <v>0</v>
      </c>
      <c r="H1692" s="204">
        <f t="shared" si="144"/>
        <v>0</v>
      </c>
      <c r="I1692" s="366">
        <f t="shared" si="145"/>
        <v>0</v>
      </c>
      <c r="J1692" s="205"/>
    </row>
    <row r="1693" spans="3:10">
      <c r="C1693" s="199" t="s">
        <v>1296</v>
      </c>
      <c r="D1693" s="220" t="s">
        <v>46</v>
      </c>
      <c r="E1693" s="221" t="str">
        <f>+VLOOKUP(C1693,'AUX-NIV2'!B:F,3,FALSE)</f>
        <v>m3</v>
      </c>
      <c r="F1693" s="220">
        <f>+VLOOKUP(C1693,'AUX-NIV2'!B:F,5,FALSE)</f>
        <v>513.77665766080293</v>
      </c>
      <c r="G1693" s="203">
        <f>+SUMIF('AUX-NIV1'!I:I,Recursos!C1693,'AUX-NIV1'!Q:Q)+SUMIF('AUX-NIV2'!I:I,Recursos!C1693,'AUX-NIV2'!Q:Q)+SUMIF('AUX-NIV3'!I:I,Recursos!C1693,'AUX-NIV3'!Q:Q)</f>
        <v>0</v>
      </c>
      <c r="H1693" s="204">
        <f t="shared" si="144"/>
        <v>0</v>
      </c>
      <c r="I1693" s="366">
        <f t="shared" si="145"/>
        <v>0</v>
      </c>
      <c r="J1693" s="205"/>
    </row>
    <row r="1694" spans="3:10">
      <c r="C1694" s="199" t="s">
        <v>1297</v>
      </c>
      <c r="D1694" s="220" t="s">
        <v>47</v>
      </c>
      <c r="E1694" s="221" t="str">
        <f>+VLOOKUP(C1694,'AUX-NIV2'!B:F,3,FALSE)</f>
        <v>m3</v>
      </c>
      <c r="F1694" s="220">
        <f>+VLOOKUP(C1694,'AUX-NIV2'!B:F,5,FALSE)</f>
        <v>1043.6770949403528</v>
      </c>
      <c r="G1694" s="203">
        <f>+SUMIF('AUX-NIV1'!I:I,Recursos!C1694,'AUX-NIV1'!Q:Q)+SUMIF('AUX-NIV2'!I:I,Recursos!C1694,'AUX-NIV2'!Q:Q)+SUMIF('AUX-NIV3'!I:I,Recursos!C1694,'AUX-NIV3'!Q:Q)</f>
        <v>0</v>
      </c>
      <c r="H1694" s="204">
        <f t="shared" si="144"/>
        <v>0</v>
      </c>
      <c r="I1694" s="366">
        <f t="shared" si="145"/>
        <v>0</v>
      </c>
      <c r="J1694" s="205"/>
    </row>
    <row r="1695" spans="3:10">
      <c r="C1695" s="199" t="s">
        <v>840</v>
      </c>
      <c r="D1695" s="220" t="s">
        <v>842</v>
      </c>
      <c r="E1695" s="221" t="str">
        <f>+VLOOKUP(C1695,'AUX-NIV2'!B:F,3,FALSE)</f>
        <v>m3</v>
      </c>
      <c r="F1695" s="220">
        <f>+VLOOKUP(C1695,'AUX-NIV2'!B:F,5,FALSE)</f>
        <v>77.09911141492276</v>
      </c>
      <c r="G1695" s="203">
        <f>+SUMIF('AUX-NIV1'!I:I,Recursos!C1695,'AUX-NIV1'!Q:Q)+SUMIF('AUX-NIV2'!I:I,Recursos!C1695,'AUX-NIV2'!Q:Q)+SUMIF('AUX-NIV3'!I:I,Recursos!C1695,'AUX-NIV3'!Q:Q)</f>
        <v>0</v>
      </c>
      <c r="H1695" s="204">
        <f t="shared" si="144"/>
        <v>0</v>
      </c>
      <c r="I1695" s="366">
        <f t="shared" si="145"/>
        <v>0</v>
      </c>
      <c r="J1695" s="205"/>
    </row>
    <row r="1696" spans="3:10">
      <c r="C1696" s="199" t="s">
        <v>845</v>
      </c>
      <c r="D1696" s="220" t="s">
        <v>847</v>
      </c>
      <c r="E1696" s="221" t="str">
        <f>+VLOOKUP(C1696,'AUX-NIV2'!B:F,3,FALSE)</f>
        <v>m3</v>
      </c>
      <c r="F1696" s="220">
        <f>+VLOOKUP(C1696,'AUX-NIV2'!B:F,5,FALSE)</f>
        <v>74.566791548670125</v>
      </c>
      <c r="G1696" s="203">
        <f>+SUMIF('AUX-NIV1'!I:I,Recursos!C1696,'AUX-NIV1'!Q:Q)+SUMIF('AUX-NIV2'!I:I,Recursos!C1696,'AUX-NIV2'!Q:Q)+SUMIF('AUX-NIV3'!I:I,Recursos!C1696,'AUX-NIV3'!Q:Q)</f>
        <v>0</v>
      </c>
      <c r="H1696" s="204">
        <f t="shared" si="144"/>
        <v>0</v>
      </c>
      <c r="I1696" s="366">
        <f t="shared" si="145"/>
        <v>0</v>
      </c>
      <c r="J1696" s="205"/>
    </row>
    <row r="1697" spans="3:10">
      <c r="C1697" s="199" t="s">
        <v>783</v>
      </c>
      <c r="D1697" s="220" t="s">
        <v>786</v>
      </c>
      <c r="E1697" s="221" t="str">
        <f>+VLOOKUP(C1697,'AUX-NIV2'!B:F,3,FALSE)</f>
        <v>m3</v>
      </c>
      <c r="F1697" s="220">
        <f>+VLOOKUP(C1697,'AUX-NIV2'!B:F,5,FALSE)</f>
        <v>25.141870487134625</v>
      </c>
      <c r="G1697" s="203">
        <f>+SUMIF('AUX-NIV1'!I:I,Recursos!C1697,'AUX-NIV1'!Q:Q)+SUMIF('AUX-NIV2'!I:I,Recursos!C1697,'AUX-NIV2'!Q:Q)+SUMIF('AUX-NIV3'!I:I,Recursos!C1697,'AUX-NIV3'!Q:Q)</f>
        <v>0</v>
      </c>
      <c r="H1697" s="204">
        <f t="shared" si="144"/>
        <v>0</v>
      </c>
      <c r="I1697" s="366">
        <f t="shared" si="145"/>
        <v>0</v>
      </c>
      <c r="J1697" s="205"/>
    </row>
    <row r="1698" spans="3:10">
      <c r="C1698" s="199" t="s">
        <v>787</v>
      </c>
      <c r="D1698" s="220" t="s">
        <v>789</v>
      </c>
      <c r="E1698" s="221" t="str">
        <f>+VLOOKUP(C1698,'AUX-NIV2'!B:F,3,FALSE)</f>
        <v>m</v>
      </c>
      <c r="F1698" s="220" t="e">
        <f>+VLOOKUP(C1698,'AUX-NIV2'!B:F,5,FALSE)</f>
        <v>#N/A</v>
      </c>
      <c r="G1698" s="203">
        <f>+SUMIF('AUX-NIV1'!I:I,Recursos!C1698,'AUX-NIV1'!Q:Q)+SUMIF('AUX-NIV2'!I:I,Recursos!C1698,'AUX-NIV2'!Q:Q)+SUMIF('AUX-NIV3'!I:I,Recursos!C1698,'AUX-NIV3'!Q:Q)</f>
        <v>0</v>
      </c>
      <c r="H1698" s="204" t="e">
        <f t="shared" si="144"/>
        <v>#N/A</v>
      </c>
      <c r="I1698" s="366" t="e">
        <f t="shared" si="145"/>
        <v>#N/A</v>
      </c>
      <c r="J1698" s="205"/>
    </row>
    <row r="1699" spans="3:10">
      <c r="C1699" s="199" t="s">
        <v>790</v>
      </c>
      <c r="D1699" s="220" t="s">
        <v>791</v>
      </c>
      <c r="E1699" s="221" t="str">
        <f>+VLOOKUP(C1699,'AUX-NIV2'!B:F,3,FALSE)</f>
        <v>hh</v>
      </c>
      <c r="F1699" s="220" t="e">
        <f>+VLOOKUP(C1699,'AUX-NIV2'!B:F,5,FALSE)</f>
        <v>#N/A</v>
      </c>
      <c r="G1699" s="203">
        <f>+SUMIF('AUX-NIV1'!I:I,Recursos!C1699,'AUX-NIV1'!Q:Q)+SUMIF('AUX-NIV2'!I:I,Recursos!C1699,'AUX-NIV2'!Q:Q)+SUMIF('AUX-NIV3'!I:I,Recursos!C1699,'AUX-NIV3'!Q:Q)</f>
        <v>0</v>
      </c>
      <c r="H1699" s="204" t="e">
        <f t="shared" si="144"/>
        <v>#N/A</v>
      </c>
      <c r="I1699" s="366" t="e">
        <f t="shared" si="145"/>
        <v>#N/A</v>
      </c>
      <c r="J1699" s="205"/>
    </row>
    <row r="1700" spans="3:10">
      <c r="C1700" s="199" t="s">
        <v>211</v>
      </c>
      <c r="D1700" s="220" t="s">
        <v>794</v>
      </c>
      <c r="E1700" s="221" t="str">
        <f>+VLOOKUP(C1700,'AUX-NIV2'!B:F,3,FALSE)</f>
        <v>m3</v>
      </c>
      <c r="F1700" s="220">
        <f>+VLOOKUP(C1700,'AUX-NIV2'!B:F,5,FALSE)</f>
        <v>70.190433007266222</v>
      </c>
      <c r="G1700" s="203">
        <f>+SUMIF('AUX-NIV1'!I:I,Recursos!C1700,'AUX-NIV1'!Q:Q)+SUMIF('AUX-NIV2'!I:I,Recursos!C1700,'AUX-NIV2'!Q:Q)+SUMIF('AUX-NIV3'!I:I,Recursos!C1700,'AUX-NIV3'!Q:Q)</f>
        <v>0</v>
      </c>
      <c r="H1700" s="204">
        <f t="shared" si="144"/>
        <v>0</v>
      </c>
      <c r="I1700" s="366">
        <f t="shared" si="145"/>
        <v>0</v>
      </c>
      <c r="J1700" s="205"/>
    </row>
    <row r="1701" spans="3:10">
      <c r="C1701" s="199" t="s">
        <v>212</v>
      </c>
      <c r="D1701" s="220" t="s">
        <v>214</v>
      </c>
      <c r="E1701" s="221" t="str">
        <f>+VLOOKUP(C1701,'AUX-NIV2'!B:F,3,FALSE)</f>
        <v>m3</v>
      </c>
      <c r="F1701" s="220">
        <f>+VLOOKUP(C1701,'AUX-NIV2'!B:F,5,FALSE)</f>
        <v>159.89788162325189</v>
      </c>
      <c r="G1701" s="203">
        <f>+SUMIF('AUX-NIV1'!I:I,Recursos!C1701,'AUX-NIV1'!Q:Q)+SUMIF('AUX-NIV2'!I:I,Recursos!C1701,'AUX-NIV2'!Q:Q)+SUMIF('AUX-NIV3'!I:I,Recursos!C1701,'AUX-NIV3'!Q:Q)</f>
        <v>0</v>
      </c>
      <c r="H1701" s="204">
        <f t="shared" si="144"/>
        <v>0</v>
      </c>
      <c r="I1701" s="366">
        <f t="shared" si="145"/>
        <v>0</v>
      </c>
      <c r="J1701" s="205"/>
    </row>
    <row r="1702" spans="3:10">
      <c r="C1702" s="199" t="s">
        <v>215</v>
      </c>
      <c r="D1702" s="220" t="s">
        <v>223</v>
      </c>
      <c r="E1702" s="221" t="str">
        <f>+VLOOKUP(C1702,'AUX-NIV2'!B:F,3,FALSE)</f>
        <v>m3</v>
      </c>
      <c r="F1702" s="220">
        <f>+VLOOKUP(C1702,'AUX-NIV2'!B:F,5,FALSE)</f>
        <v>105.11793415473907</v>
      </c>
      <c r="G1702" s="203">
        <f>+SUMIF('AUX-NIV1'!I:I,Recursos!C1702,'AUX-NIV1'!Q:Q)+SUMIF('AUX-NIV2'!I:I,Recursos!C1702,'AUX-NIV2'!Q:Q)+SUMIF('AUX-NIV3'!I:I,Recursos!C1702,'AUX-NIV3'!Q:Q)</f>
        <v>0</v>
      </c>
      <c r="H1702" s="204">
        <f t="shared" si="144"/>
        <v>0</v>
      </c>
      <c r="I1702" s="364">
        <f t="shared" si="145"/>
        <v>0</v>
      </c>
      <c r="J1702" s="205"/>
    </row>
    <row r="1703" spans="3:10">
      <c r="C1703" s="199" t="s">
        <v>131</v>
      </c>
      <c r="D1703" s="220" t="s">
        <v>133</v>
      </c>
      <c r="E1703" s="221" t="str">
        <f>+VLOOKUP(C1703,'AUX-NIV2'!B:F,3,FALSE)</f>
        <v>m</v>
      </c>
      <c r="F1703" s="220">
        <f>+VLOOKUP(C1703,'AUX-NIV2'!B:F,5,FALSE)</f>
        <v>1300.89646496404</v>
      </c>
      <c r="G1703" s="203">
        <f>+SUMIF('AUX-NIV1'!I:I,Recursos!C1703,'AUX-NIV1'!Q:Q)+SUMIF('AUX-NIV2'!I:I,Recursos!C1703,'AUX-NIV2'!Q:Q)+SUMIF('AUX-NIV3'!I:I,Recursos!C1703,'AUX-NIV3'!Q:Q)</f>
        <v>0</v>
      </c>
      <c r="H1703" s="204">
        <f t="shared" si="144"/>
        <v>0</v>
      </c>
      <c r="I1703" s="364">
        <f t="shared" si="145"/>
        <v>0</v>
      </c>
      <c r="J1703" s="205"/>
    </row>
    <row r="1704" spans="3:10">
      <c r="C1704" s="199" t="s">
        <v>1306</v>
      </c>
      <c r="D1704" s="220" t="s">
        <v>1307</v>
      </c>
      <c r="E1704" s="221" t="str">
        <f>+VLOOKUP(C1704,'AUX-NIV2'!B:F,3,FALSE)</f>
        <v>m2</v>
      </c>
      <c r="F1704" s="220">
        <f>+VLOOKUP(C1704,'AUX-NIV2'!B:F,5,FALSE)</f>
        <v>230.34909552235763</v>
      </c>
      <c r="G1704" s="203">
        <f>+SUMIF('AUX-NIV1'!I:I,Recursos!C1704,'AUX-NIV1'!Q:Q)+SUMIF('AUX-NIV2'!I:I,Recursos!C1704,'AUX-NIV2'!Q:Q)+SUMIF('AUX-NIV3'!I:I,Recursos!C1704,'AUX-NIV3'!Q:Q)</f>
        <v>0</v>
      </c>
      <c r="H1704" s="204">
        <f t="shared" si="144"/>
        <v>0</v>
      </c>
      <c r="I1704" s="364">
        <f t="shared" si="145"/>
        <v>0</v>
      </c>
      <c r="J1704" s="205"/>
    </row>
    <row r="1705" spans="3:10">
      <c r="C1705" s="199" t="s">
        <v>1311</v>
      </c>
      <c r="D1705" s="220" t="s">
        <v>1312</v>
      </c>
      <c r="E1705" s="221" t="str">
        <f>+VLOOKUP(C1705,'AUX-NIV2'!B:F,3,FALSE)</f>
        <v>m2</v>
      </c>
      <c r="F1705" s="220">
        <f>+VLOOKUP(C1705,'AUX-NIV2'!B:F,5,FALSE)</f>
        <v>7994.388765289179</v>
      </c>
      <c r="G1705" s="203">
        <f>+SUMIF('AUX-NIV1'!I:I,Recursos!C1705,'AUX-NIV1'!Q:Q)+SUMIF('AUX-NIV2'!I:I,Recursos!C1705,'AUX-NIV2'!Q:Q)+SUMIF('AUX-NIV3'!I:I,Recursos!C1705,'AUX-NIV3'!Q:Q)</f>
        <v>0</v>
      </c>
      <c r="H1705" s="204">
        <f t="shared" si="144"/>
        <v>0</v>
      </c>
      <c r="I1705" s="364">
        <f t="shared" si="145"/>
        <v>0</v>
      </c>
      <c r="J1705" s="205"/>
    </row>
    <row r="1706" spans="3:10">
      <c r="C1706" s="199" t="s">
        <v>1314</v>
      </c>
      <c r="D1706" s="220" t="s">
        <v>1315</v>
      </c>
      <c r="E1706" s="221" t="str">
        <f>+VLOOKUP(C1706,'AUX-NIV2'!B:F,3,FALSE)</f>
        <v>m</v>
      </c>
      <c r="F1706" s="220">
        <f>+VLOOKUP(C1706,'AUX-NIV2'!B:F,5,FALSE)</f>
        <v>730.01647284775049</v>
      </c>
      <c r="G1706" s="203">
        <f>+SUMIF('AUX-NIV1'!I:I,Recursos!C1706,'AUX-NIV1'!Q:Q)+SUMIF('AUX-NIV2'!I:I,Recursos!C1706,'AUX-NIV2'!Q:Q)+SUMIF('AUX-NIV3'!I:I,Recursos!C1706,'AUX-NIV3'!Q:Q)</f>
        <v>0</v>
      </c>
      <c r="H1706" s="204">
        <f t="shared" si="144"/>
        <v>0</v>
      </c>
      <c r="I1706" s="364">
        <f t="shared" si="145"/>
        <v>0</v>
      </c>
      <c r="J1706" s="205"/>
    </row>
    <row r="1707" spans="3:10">
      <c r="C1707" s="199" t="s">
        <v>1316</v>
      </c>
      <c r="D1707" s="220" t="s">
        <v>1317</v>
      </c>
      <c r="E1707" s="221" t="str">
        <f>+VLOOKUP(C1707,'AUX-NIV2'!B:F,3,FALSE)</f>
        <v>m</v>
      </c>
      <c r="F1707" s="220" t="e">
        <f>+VLOOKUP(C1707,'AUX-NIV2'!B:F,5,FALSE)</f>
        <v>#N/A</v>
      </c>
      <c r="G1707" s="203">
        <f>+SUMIF('AUX-NIV1'!I:I,Recursos!C1707,'AUX-NIV1'!Q:Q)+SUMIF('AUX-NIV2'!I:I,Recursos!C1707,'AUX-NIV2'!Q:Q)+SUMIF('AUX-NIV3'!I:I,Recursos!C1707,'AUX-NIV3'!Q:Q)</f>
        <v>0</v>
      </c>
      <c r="H1707" s="204" t="e">
        <f t="shared" si="144"/>
        <v>#N/A</v>
      </c>
      <c r="I1707" s="364" t="e">
        <f t="shared" si="145"/>
        <v>#N/A</v>
      </c>
      <c r="J1707" s="205"/>
    </row>
    <row r="1708" spans="3:10">
      <c r="C1708" s="199" t="s">
        <v>1318</v>
      </c>
      <c r="D1708" s="220" t="s">
        <v>257</v>
      </c>
      <c r="E1708" s="221" t="e">
        <f>+VLOOKUP(C1708,'AUX-NIV2'!B:F,3,FALSE)</f>
        <v>#N/A</v>
      </c>
      <c r="F1708" s="220" t="e">
        <f>+VLOOKUP(C1708,'AUX-NIV2'!B:F,5,FALSE)</f>
        <v>#N/A</v>
      </c>
      <c r="G1708" s="203">
        <f>+SUMIF('AUX-NIV1'!I:I,Recursos!C1708,'AUX-NIV1'!Q:Q)+SUMIF('AUX-NIV2'!I:I,Recursos!C1708,'AUX-NIV2'!Q:Q)+SUMIF('AUX-NIV3'!I:I,Recursos!C1708,'AUX-NIV3'!Q:Q)</f>
        <v>0</v>
      </c>
      <c r="H1708" s="204" t="e">
        <f t="shared" si="144"/>
        <v>#N/A</v>
      </c>
      <c r="I1708" s="364" t="e">
        <f t="shared" si="145"/>
        <v>#N/A</v>
      </c>
      <c r="J1708" s="205"/>
    </row>
    <row r="1709" spans="3:10">
      <c r="C1709" s="199" t="s">
        <v>1346</v>
      </c>
      <c r="D1709" s="220" t="s">
        <v>1347</v>
      </c>
      <c r="E1709" s="221" t="str">
        <f>+VLOOKUP(C1709,'AUX-NIV2'!B:F,3,FALSE)</f>
        <v>m</v>
      </c>
      <c r="F1709" s="220" t="e">
        <f>+VLOOKUP(C1709,'AUX-NIV2'!B:F,5,FALSE)</f>
        <v>#N/A</v>
      </c>
      <c r="G1709" s="203">
        <f>+SUMIF('AUX-NIV1'!I:I,Recursos!C1709,'AUX-NIV1'!Q:Q)+SUMIF('AUX-NIV2'!I:I,Recursos!C1709,'AUX-NIV2'!Q:Q)+SUMIF('AUX-NIV3'!I:I,Recursos!C1709,'AUX-NIV3'!Q:Q)</f>
        <v>0</v>
      </c>
      <c r="H1709" s="204" t="e">
        <f t="shared" si="144"/>
        <v>#N/A</v>
      </c>
      <c r="I1709" s="364" t="e">
        <f t="shared" si="145"/>
        <v>#N/A</v>
      </c>
      <c r="J1709" s="205"/>
    </row>
    <row r="1710" spans="3:10">
      <c r="C1710" s="199" t="s">
        <v>1348</v>
      </c>
      <c r="D1710" s="220" t="s">
        <v>1349</v>
      </c>
      <c r="E1710" s="221" t="str">
        <f>+VLOOKUP(C1710,'AUX-NIV2'!B:F,3,FALSE)</f>
        <v>m3</v>
      </c>
      <c r="F1710" s="220">
        <f>+VLOOKUP(C1710,'AUX-NIV2'!B:F,5,FALSE)</f>
        <v>36.353240081162596</v>
      </c>
      <c r="G1710" s="203">
        <f>+SUMIF('AUX-NIV1'!I:I,Recursos!C1710,'AUX-NIV1'!Q:Q)+SUMIF('AUX-NIV2'!I:I,Recursos!C1710,'AUX-NIV2'!Q:Q)+SUMIF('AUX-NIV3'!I:I,Recursos!C1710,'AUX-NIV3'!Q:Q)</f>
        <v>0</v>
      </c>
      <c r="H1710" s="204">
        <f t="shared" si="144"/>
        <v>0</v>
      </c>
      <c r="I1710" s="364">
        <f t="shared" si="145"/>
        <v>0</v>
      </c>
      <c r="J1710" s="205"/>
    </row>
    <row r="1711" spans="3:10">
      <c r="C1711" s="199" t="s">
        <v>1350</v>
      </c>
      <c r="D1711" s="220" t="s">
        <v>1351</v>
      </c>
      <c r="E1711" s="221" t="str">
        <f>+VLOOKUP(C1711,'AUX-NIV2'!B:F,3,FALSE)</f>
        <v>m3</v>
      </c>
      <c r="F1711" s="220">
        <f>+VLOOKUP(C1711,'AUX-NIV2'!B:F,5,FALSE)</f>
        <v>303.25522042185719</v>
      </c>
      <c r="G1711" s="203">
        <f>+SUMIF('AUX-NIV1'!I:I,Recursos!C1711,'AUX-NIV1'!Q:Q)+SUMIF('AUX-NIV2'!I:I,Recursos!C1711,'AUX-NIV2'!Q:Q)+SUMIF('AUX-NIV3'!I:I,Recursos!C1711,'AUX-NIV3'!Q:Q)</f>
        <v>0</v>
      </c>
      <c r="H1711" s="204">
        <f t="shared" si="144"/>
        <v>0</v>
      </c>
      <c r="I1711" s="364">
        <f t="shared" si="145"/>
        <v>0</v>
      </c>
      <c r="J1711" s="205"/>
    </row>
    <row r="1712" spans="3:10">
      <c r="C1712" s="199" t="s">
        <v>1352</v>
      </c>
      <c r="D1712" s="220" t="s">
        <v>1353</v>
      </c>
      <c r="E1712" s="221" t="str">
        <f>+VLOOKUP(C1712,'AUX-NIV2'!B:F,3,FALSE)</f>
        <v>m3</v>
      </c>
      <c r="F1712" s="220">
        <f>+VLOOKUP(C1712,'AUX-NIV2'!B:F,5,FALSE)</f>
        <v>633.60122708131803</v>
      </c>
      <c r="G1712" s="203">
        <f>+SUMIF('AUX-NIV1'!I:I,Recursos!C1712,'AUX-NIV1'!Q:Q)+SUMIF('AUX-NIV2'!I:I,Recursos!C1712,'AUX-NIV2'!Q:Q)+SUMIF('AUX-NIV3'!I:I,Recursos!C1712,'AUX-NIV3'!Q:Q)</f>
        <v>0</v>
      </c>
      <c r="H1712" s="204">
        <f t="shared" si="144"/>
        <v>0</v>
      </c>
      <c r="I1712" s="364">
        <f t="shared" si="145"/>
        <v>0</v>
      </c>
      <c r="J1712" s="205"/>
    </row>
    <row r="1713" spans="3:10">
      <c r="C1713" s="199" t="s">
        <v>299</v>
      </c>
      <c r="D1713" s="220" t="s">
        <v>301</v>
      </c>
      <c r="E1713" s="221" t="str">
        <f>+VLOOKUP(C1713,'AUX-NIV2'!B:F,3,FALSE)</f>
        <v>hr</v>
      </c>
      <c r="F1713" s="220" t="e">
        <f>+VLOOKUP(C1713,'AUX-NIV2'!B:F,5,FALSE)</f>
        <v>#N/A</v>
      </c>
      <c r="G1713" s="203">
        <f>+SUMIF('AUX-NIV1'!I:I,Recursos!C1713,'AUX-NIV1'!Q:Q)+SUMIF('AUX-NIV2'!I:I,Recursos!C1713,'AUX-NIV2'!Q:Q)+SUMIF('AUX-NIV3'!I:I,Recursos!C1713,'AUX-NIV3'!Q:Q)</f>
        <v>0</v>
      </c>
      <c r="H1713" s="204" t="e">
        <f t="shared" ref="H1713:H1776" si="146">+F1713*G1713</f>
        <v>#N/A</v>
      </c>
      <c r="I1713" s="364" t="e">
        <f t="shared" ref="I1713:I1776" si="147">+H1713/$I$3</f>
        <v>#N/A</v>
      </c>
      <c r="J1713" s="205"/>
    </row>
    <row r="1714" spans="3:10">
      <c r="C1714" s="199" t="s">
        <v>302</v>
      </c>
      <c r="D1714" s="220" t="s">
        <v>303</v>
      </c>
      <c r="E1714" s="221" t="str">
        <f>+VLOOKUP(C1714,'AUX-NIV2'!B:F,3,FALSE)</f>
        <v>m3</v>
      </c>
      <c r="F1714" s="220" t="e">
        <f>+VLOOKUP(C1714,'AUX-NIV2'!B:F,5,FALSE)</f>
        <v>#N/A</v>
      </c>
      <c r="G1714" s="203">
        <f>+SUMIF('AUX-NIV1'!I:I,Recursos!C1714,'AUX-NIV1'!Q:Q)+SUMIF('AUX-NIV2'!I:I,Recursos!C1714,'AUX-NIV2'!Q:Q)+SUMIF('AUX-NIV3'!I:I,Recursos!C1714,'AUX-NIV3'!Q:Q)</f>
        <v>0</v>
      </c>
      <c r="H1714" s="204" t="e">
        <f t="shared" si="146"/>
        <v>#N/A</v>
      </c>
      <c r="I1714" s="364" t="e">
        <f t="shared" si="147"/>
        <v>#N/A</v>
      </c>
      <c r="J1714" s="205"/>
    </row>
    <row r="1715" spans="3:10">
      <c r="C1715" s="199" t="s">
        <v>1363</v>
      </c>
      <c r="D1715" s="220" t="s">
        <v>1375</v>
      </c>
      <c r="E1715" s="221" t="s">
        <v>501</v>
      </c>
      <c r="F1715" s="220">
        <f>+VLOOKUP(C1715,'AUX-NIV2'!B:F,5,FALSE)</f>
        <v>31.159858790926549</v>
      </c>
      <c r="G1715" s="203">
        <f>+SUMIF('AUX-NIV1'!I:I,Recursos!C1715,'AUX-NIV1'!Q:Q)+SUMIF('AUX-NIV2'!I:I,Recursos!C1715,'AUX-NIV2'!Q:Q)+SUMIF('AUX-NIV3'!I:I,Recursos!C1715,'AUX-NIV3'!Q:Q)</f>
        <v>0</v>
      </c>
      <c r="H1715" s="204">
        <f t="shared" si="146"/>
        <v>0</v>
      </c>
      <c r="I1715" s="364">
        <f t="shared" si="147"/>
        <v>0</v>
      </c>
      <c r="J1715" s="205"/>
    </row>
    <row r="1716" spans="3:10">
      <c r="C1716" s="199" t="s">
        <v>1364</v>
      </c>
      <c r="D1716" s="220" t="s">
        <v>1376</v>
      </c>
      <c r="E1716" s="221" t="s">
        <v>1384</v>
      </c>
      <c r="F1716" s="220">
        <f>+VLOOKUP(C1716,'AUX-NIV2'!B:F,5,FALSE)</f>
        <v>267.52134462852808</v>
      </c>
      <c r="G1716" s="203">
        <f>+SUMIF('AUX-NIV1'!I:I,Recursos!C1716,'AUX-NIV1'!Q:Q)+SUMIF('AUX-NIV2'!I:I,Recursos!C1716,'AUX-NIV2'!Q:Q)+SUMIF('AUX-NIV3'!I:I,Recursos!C1716,'AUX-NIV3'!Q:Q)</f>
        <v>0</v>
      </c>
      <c r="H1716" s="204">
        <f t="shared" si="146"/>
        <v>0</v>
      </c>
      <c r="I1716" s="364">
        <f t="shared" si="147"/>
        <v>0</v>
      </c>
      <c r="J1716" s="205"/>
    </row>
    <row r="1717" spans="3:10">
      <c r="C1717" s="411" t="s">
        <v>1365</v>
      </c>
      <c r="D1717" s="412" t="s">
        <v>1377</v>
      </c>
      <c r="E1717" s="413" t="s">
        <v>1385</v>
      </c>
      <c r="F1717" s="412">
        <f>+VLOOKUP(C1717,'AUX-NIV3'!B:F,5,FALSE)</f>
        <v>38.301769543927584</v>
      </c>
      <c r="G1717" s="203">
        <f>+SUMIF('AUX-NIV1'!I:I,Recursos!C1717,'AUX-NIV1'!Q:Q)+SUMIF('AUX-NIV2'!I:I,Recursos!C1717,'AUX-NIV2'!Q:Q)+SUMIF('AUX-NIV3'!I:I,Recursos!C1717,'AUX-NIV3'!Q:Q)</f>
        <v>0</v>
      </c>
      <c r="H1717" s="204">
        <f t="shared" si="146"/>
        <v>0</v>
      </c>
      <c r="I1717" s="364">
        <f t="shared" si="147"/>
        <v>0</v>
      </c>
      <c r="J1717" s="205"/>
    </row>
    <row r="1718" spans="3:10">
      <c r="C1718" s="411" t="s">
        <v>1366</v>
      </c>
      <c r="D1718" s="412" t="s">
        <v>1378</v>
      </c>
      <c r="E1718" s="413" t="s">
        <v>1385</v>
      </c>
      <c r="F1718" s="412">
        <f>+VLOOKUP(C1718,'AUX-NIV3'!B:F,5,FALSE)</f>
        <v>47.877211929909478</v>
      </c>
      <c r="G1718" s="203">
        <f>+SUMIF('AUX-NIV1'!I:I,Recursos!C1718,'AUX-NIV1'!Q:Q)+SUMIF('AUX-NIV2'!I:I,Recursos!C1718,'AUX-NIV2'!Q:Q)+SUMIF('AUX-NIV3'!I:I,Recursos!C1718,'AUX-NIV3'!Q:Q)</f>
        <v>0</v>
      </c>
      <c r="H1718" s="204">
        <f t="shared" si="146"/>
        <v>0</v>
      </c>
      <c r="I1718" s="364">
        <f t="shared" si="147"/>
        <v>0</v>
      </c>
      <c r="J1718" s="205"/>
    </row>
    <row r="1719" spans="3:10">
      <c r="C1719" s="411" t="s">
        <v>1367</v>
      </c>
      <c r="D1719" s="412" t="s">
        <v>1379</v>
      </c>
      <c r="E1719" s="413" t="s">
        <v>501</v>
      </c>
      <c r="F1719" s="412">
        <f>+VLOOKUP(C1719,'AUX-NIV3'!B:F,5,FALSE)</f>
        <v>90.372286926557678</v>
      </c>
      <c r="G1719" s="203">
        <f>+SUMIF('AUX-NIV1'!I:I,Recursos!C1719,'AUX-NIV1'!Q:Q)+SUMIF('AUX-NIV2'!I:I,Recursos!C1719,'AUX-NIV2'!Q:Q)+SUMIF('AUX-NIV3'!I:I,Recursos!C1719,'AUX-NIV3'!Q:Q)</f>
        <v>0</v>
      </c>
      <c r="H1719" s="204">
        <f t="shared" si="146"/>
        <v>0</v>
      </c>
      <c r="I1719" s="364">
        <f t="shared" si="147"/>
        <v>0</v>
      </c>
      <c r="J1719" s="205"/>
    </row>
    <row r="1720" spans="3:10">
      <c r="C1720" s="199" t="s">
        <v>1368</v>
      </c>
      <c r="D1720" s="220" t="s">
        <v>1380</v>
      </c>
      <c r="E1720" s="221" t="s">
        <v>1386</v>
      </c>
      <c r="F1720" s="220">
        <f>+VLOOKUP(C1720,'AUX-NIV2'!B:F,5,FALSE)</f>
        <v>203.0540022866785</v>
      </c>
      <c r="G1720" s="203">
        <f>+SUMIF('AUX-NIV1'!I:I,Recursos!C1720,'AUX-NIV1'!Q:Q)+SUMIF('AUX-NIV2'!I:I,Recursos!C1720,'AUX-NIV2'!Q:Q)+SUMIF('AUX-NIV3'!I:I,Recursos!C1720,'AUX-NIV3'!Q:Q)</f>
        <v>0</v>
      </c>
      <c r="H1720" s="204">
        <f t="shared" si="146"/>
        <v>0</v>
      </c>
      <c r="I1720" s="364">
        <f t="shared" si="147"/>
        <v>0</v>
      </c>
      <c r="J1720" s="205"/>
    </row>
    <row r="1721" spans="3:10">
      <c r="C1721" s="199" t="s">
        <v>1369</v>
      </c>
      <c r="D1721" s="220" t="s">
        <v>1381</v>
      </c>
      <c r="E1721" s="221" t="s">
        <v>1384</v>
      </c>
      <c r="F1721" s="220" t="e">
        <f>+VLOOKUP(C1721,'AUX-NIV2'!B:F,5,FALSE)</f>
        <v>#N/A</v>
      </c>
      <c r="G1721" s="203">
        <f>+SUMIF('AUX-NIV1'!I:I,Recursos!C1721,'AUX-NIV1'!Q:Q)+SUMIF('AUX-NIV2'!I:I,Recursos!C1721,'AUX-NIV2'!Q:Q)+SUMIF('AUX-NIV3'!I:I,Recursos!C1721,'AUX-NIV3'!Q:Q)</f>
        <v>0</v>
      </c>
      <c r="H1721" s="204" t="e">
        <f t="shared" si="146"/>
        <v>#N/A</v>
      </c>
      <c r="I1721" s="364" t="e">
        <f t="shared" si="147"/>
        <v>#N/A</v>
      </c>
      <c r="J1721" s="205"/>
    </row>
    <row r="1722" spans="3:10">
      <c r="C1722" s="199" t="s">
        <v>1370</v>
      </c>
      <c r="D1722" s="220" t="s">
        <v>1382</v>
      </c>
      <c r="E1722" s="221" t="s">
        <v>1386</v>
      </c>
      <c r="F1722" s="220">
        <f>+VLOOKUP(C1722,'AUX-NIV2'!B:F,5,FALSE)</f>
        <v>182.38296583013897</v>
      </c>
      <c r="G1722" s="203">
        <f>+SUMIF('AUX-NIV1'!I:I,Recursos!C1722,'AUX-NIV1'!Q:Q)+SUMIF('AUX-NIV2'!I:I,Recursos!C1722,'AUX-NIV2'!Q:Q)+SUMIF('AUX-NIV3'!I:I,Recursos!C1722,'AUX-NIV3'!Q:Q)</f>
        <v>0</v>
      </c>
      <c r="H1722" s="204">
        <f t="shared" si="146"/>
        <v>0</v>
      </c>
      <c r="I1722" s="364">
        <f t="shared" si="147"/>
        <v>0</v>
      </c>
      <c r="J1722" s="205"/>
    </row>
    <row r="1723" spans="3:10">
      <c r="C1723" s="199" t="s">
        <v>1371</v>
      </c>
      <c r="D1723" s="220" t="s">
        <v>1383</v>
      </c>
      <c r="E1723" s="221" t="s">
        <v>477</v>
      </c>
      <c r="F1723" s="220">
        <f>+VLOOKUP(C1723,'AUX-NIV2'!B:F,5,FALSE)</f>
        <v>1079.440230715255</v>
      </c>
      <c r="G1723" s="203">
        <f>+SUMIF('AUX-NIV1'!I:I,Recursos!C1723,'AUX-NIV1'!Q:Q)+SUMIF('AUX-NIV2'!I:I,Recursos!C1723,'AUX-NIV2'!Q:Q)+SUMIF('AUX-NIV3'!I:I,Recursos!C1723,'AUX-NIV3'!Q:Q)</f>
        <v>0</v>
      </c>
      <c r="H1723" s="204">
        <f t="shared" si="146"/>
        <v>0</v>
      </c>
      <c r="I1723" s="364">
        <f t="shared" si="147"/>
        <v>0</v>
      </c>
      <c r="J1723" s="205"/>
    </row>
    <row r="1724" spans="3:10">
      <c r="C1724" s="411" t="s">
        <v>1387</v>
      </c>
      <c r="D1724" s="412" t="s">
        <v>1393</v>
      </c>
      <c r="E1724" s="413" t="s">
        <v>501</v>
      </c>
      <c r="F1724" s="412">
        <f>+VLOOKUP(C1724,'AUX-NIV3'!B:F,5,FALSE)</f>
        <v>11.99733938744173</v>
      </c>
      <c r="G1724" s="203">
        <f>+SUMIF('AUX-NIV1'!I:I,Recursos!C1724,'AUX-NIV1'!Q:Q)+SUMIF('AUX-NIV2'!I:I,Recursos!C1724,'AUX-NIV2'!Q:Q)+SUMIF('AUX-NIV3'!I:I,Recursos!C1724,'AUX-NIV3'!Q:Q)</f>
        <v>0</v>
      </c>
      <c r="H1724" s="204">
        <f t="shared" si="146"/>
        <v>0</v>
      </c>
      <c r="I1724" s="364">
        <f t="shared" si="147"/>
        <v>0</v>
      </c>
      <c r="J1724" s="205"/>
    </row>
    <row r="1725" spans="3:10">
      <c r="C1725" s="411" t="s">
        <v>1388</v>
      </c>
      <c r="D1725" s="412" t="s">
        <v>1394</v>
      </c>
      <c r="E1725" s="413" t="s">
        <v>1160</v>
      </c>
      <c r="F1725" s="412">
        <f>+VLOOKUP(C1725,'AUX-NIV3'!B:F,5,FALSE)</f>
        <v>43.481296096028451</v>
      </c>
      <c r="G1725" s="203">
        <f>+SUMIF('AUX-NIV1'!I:I,Recursos!C1725,'AUX-NIV1'!Q:Q)+SUMIF('AUX-NIV2'!I:I,Recursos!C1725,'AUX-NIV2'!Q:Q)+SUMIF('AUX-NIV3'!I:I,Recursos!C1725,'AUX-NIV3'!Q:Q)</f>
        <v>0</v>
      </c>
      <c r="H1725" s="204">
        <f t="shared" si="146"/>
        <v>0</v>
      </c>
      <c r="I1725" s="364">
        <f t="shared" si="147"/>
        <v>0</v>
      </c>
      <c r="J1725" s="205"/>
    </row>
    <row r="1726" spans="3:10">
      <c r="C1726" s="411" t="s">
        <v>1389</v>
      </c>
      <c r="D1726" s="412" t="s">
        <v>1395</v>
      </c>
      <c r="E1726" s="413" t="s">
        <v>1160</v>
      </c>
      <c r="F1726" s="412">
        <f>+VLOOKUP(C1726,'AUX-NIV3'!B:F,5,FALSE)</f>
        <v>120.18495973415189</v>
      </c>
      <c r="G1726" s="203">
        <f>+SUMIF('AUX-NIV1'!I:I,Recursos!C1726,'AUX-NIV1'!Q:Q)+SUMIF('AUX-NIV2'!I:I,Recursos!C1726,'AUX-NIV2'!Q:Q)+SUMIF('AUX-NIV3'!I:I,Recursos!C1726,'AUX-NIV3'!Q:Q)</f>
        <v>0</v>
      </c>
      <c r="H1726" s="204">
        <f t="shared" si="146"/>
        <v>0</v>
      </c>
      <c r="I1726" s="364">
        <f t="shared" si="147"/>
        <v>0</v>
      </c>
      <c r="J1726" s="205"/>
    </row>
    <row r="1727" spans="3:10">
      <c r="C1727" s="411" t="s">
        <v>1390</v>
      </c>
      <c r="D1727" s="412" t="s">
        <v>1396</v>
      </c>
      <c r="E1727" s="413" t="s">
        <v>1160</v>
      </c>
      <c r="F1727" s="412">
        <f>+VLOOKUP(C1727,'AUX-NIV3'!B:F,5,FALSE)</f>
        <v>39.234240090026674</v>
      </c>
      <c r="G1727" s="203">
        <f>+SUMIF('AUX-NIV1'!I:I,Recursos!C1727,'AUX-NIV1'!Q:Q)+SUMIF('AUX-NIV2'!I:I,Recursos!C1727,'AUX-NIV2'!Q:Q)+SUMIF('AUX-NIV3'!I:I,Recursos!C1727,'AUX-NIV3'!Q:Q)</f>
        <v>0</v>
      </c>
      <c r="H1727" s="204">
        <f t="shared" si="146"/>
        <v>0</v>
      </c>
      <c r="I1727" s="364">
        <f t="shared" si="147"/>
        <v>0</v>
      </c>
      <c r="J1727" s="205"/>
    </row>
    <row r="1728" spans="3:10">
      <c r="C1728" s="411" t="s">
        <v>1391</v>
      </c>
      <c r="D1728" s="412" t="s">
        <v>1397</v>
      </c>
      <c r="E1728" s="413" t="s">
        <v>501</v>
      </c>
      <c r="F1728" s="412">
        <f>+VLOOKUP(C1728,'AUX-NIV3'!B:F,5,FALSE)</f>
        <v>11.07446712686929</v>
      </c>
      <c r="G1728" s="203">
        <f>+SUMIF('AUX-NIV1'!I:I,Recursos!C1728,'AUX-NIV1'!Q:Q)+SUMIF('AUX-NIV2'!I:I,Recursos!C1728,'AUX-NIV2'!Q:Q)+SUMIF('AUX-NIV3'!I:I,Recursos!C1728,'AUX-NIV3'!Q:Q)</f>
        <v>0</v>
      </c>
      <c r="H1728" s="204">
        <f t="shared" si="146"/>
        <v>0</v>
      </c>
      <c r="I1728" s="364">
        <f t="shared" si="147"/>
        <v>0</v>
      </c>
      <c r="J1728" s="205"/>
    </row>
    <row r="1729" spans="3:10">
      <c r="C1729" s="411" t="s">
        <v>1392</v>
      </c>
      <c r="D1729" s="412" t="s">
        <v>1398</v>
      </c>
      <c r="E1729" s="413" t="s">
        <v>501</v>
      </c>
      <c r="F1729" s="412">
        <f>+VLOOKUP(C1729,'AUX-NIV3'!B:F,5,FALSE)</f>
        <v>5.9805788372334039</v>
      </c>
      <c r="G1729" s="203">
        <f>+SUMIF('AUX-NIV1'!I:I,Recursos!C1729,'AUX-NIV1'!Q:Q)+SUMIF('AUX-NIV2'!I:I,Recursos!C1729,'AUX-NIV2'!Q:Q)+SUMIF('AUX-NIV3'!I:I,Recursos!C1729,'AUX-NIV3'!Q:Q)</f>
        <v>0</v>
      </c>
      <c r="H1729" s="204">
        <f t="shared" si="146"/>
        <v>0</v>
      </c>
      <c r="I1729" s="364">
        <f t="shared" si="147"/>
        <v>0</v>
      </c>
      <c r="J1729" s="205"/>
    </row>
    <row r="1730" spans="3:10">
      <c r="C1730" s="411" t="s">
        <v>1399</v>
      </c>
      <c r="D1730" s="412" t="s">
        <v>1406</v>
      </c>
      <c r="E1730" s="413" t="s">
        <v>1160</v>
      </c>
      <c r="F1730" s="412">
        <f>+VLOOKUP(C1730,'AUX-NIV3'!B:F,5,FALSE)</f>
        <v>161.64053674466808</v>
      </c>
      <c r="G1730" s="203">
        <f>+SUMIF('AUX-NIV1'!I:I,Recursos!C1730,'AUX-NIV1'!Q:Q)+SUMIF('AUX-NIV2'!I:I,Recursos!C1730,'AUX-NIV2'!Q:Q)+SUMIF('AUX-NIV3'!I:I,Recursos!C1730,'AUX-NIV3'!Q:Q)</f>
        <v>0</v>
      </c>
      <c r="H1730" s="204">
        <f t="shared" si="146"/>
        <v>0</v>
      </c>
      <c r="I1730" s="364">
        <f t="shared" si="147"/>
        <v>0</v>
      </c>
      <c r="J1730" s="205"/>
    </row>
    <row r="1731" spans="3:10">
      <c r="C1731" s="411" t="s">
        <v>1400</v>
      </c>
      <c r="D1731" s="412" t="s">
        <v>1407</v>
      </c>
      <c r="E1731" s="413" t="s">
        <v>1408</v>
      </c>
      <c r="F1731" s="412">
        <f>+VLOOKUP(C1731,'AUX-NIV3'!B:F,5,FALSE)</f>
        <v>76187.486324650381</v>
      </c>
      <c r="G1731" s="203">
        <f>+SUMIF('AUX-NIV1'!I:I,Recursos!C1731,'AUX-NIV1'!Q:Q)+SUMIF('AUX-NIV2'!I:I,Recursos!C1731,'AUX-NIV2'!Q:Q)+SUMIF('AUX-NIV3'!I:I,Recursos!C1731,'AUX-NIV3'!Q:Q)</f>
        <v>0</v>
      </c>
      <c r="H1731" s="204">
        <f t="shared" si="146"/>
        <v>0</v>
      </c>
      <c r="I1731" s="364">
        <f t="shared" si="147"/>
        <v>0</v>
      </c>
      <c r="J1731" s="205"/>
    </row>
    <row r="1732" spans="3:10">
      <c r="C1732" s="411" t="s">
        <v>1401</v>
      </c>
      <c r="D1732" s="412" t="s">
        <v>1409</v>
      </c>
      <c r="E1732" s="413" t="s">
        <v>1160</v>
      </c>
      <c r="F1732" s="412">
        <f>+VLOOKUP(C1732,'AUX-NIV3'!B:F,5,FALSE)</f>
        <v>67.350223643611713</v>
      </c>
      <c r="G1732" s="203">
        <f>+SUMIF('AUX-NIV1'!I:I,Recursos!C1732,'AUX-NIV1'!Q:Q)+SUMIF('AUX-NIV2'!I:I,Recursos!C1732,'AUX-NIV2'!Q:Q)+SUMIF('AUX-NIV3'!I:I,Recursos!C1732,'AUX-NIV3'!Q:Q)</f>
        <v>0</v>
      </c>
      <c r="H1732" s="204">
        <f t="shared" si="146"/>
        <v>0</v>
      </c>
      <c r="I1732" s="364">
        <f t="shared" si="147"/>
        <v>0</v>
      </c>
      <c r="J1732" s="205"/>
    </row>
    <row r="1733" spans="3:10">
      <c r="C1733" s="411" t="s">
        <v>1402</v>
      </c>
      <c r="D1733" s="412" t="s">
        <v>1410</v>
      </c>
      <c r="E1733" s="413" t="s">
        <v>1411</v>
      </c>
      <c r="F1733" s="412">
        <f>+VLOOKUP(C1733,'AUX-NIV3'!B:F,5,FALSE)</f>
        <v>157.1824058108524</v>
      </c>
      <c r="G1733" s="203">
        <f>+SUMIF('AUX-NIV1'!I:I,Recursos!C1733,'AUX-NIV1'!Q:Q)+SUMIF('AUX-NIV2'!I:I,Recursos!C1733,'AUX-NIV2'!Q:Q)+SUMIF('AUX-NIV3'!I:I,Recursos!C1733,'AUX-NIV3'!Q:Q)</f>
        <v>0</v>
      </c>
      <c r="H1733" s="204">
        <f t="shared" si="146"/>
        <v>0</v>
      </c>
      <c r="I1733" s="364">
        <f t="shared" si="147"/>
        <v>0</v>
      </c>
      <c r="J1733" s="205"/>
    </row>
    <row r="1734" spans="3:10">
      <c r="C1734" s="411" t="s">
        <v>1403</v>
      </c>
      <c r="D1734" s="412" t="s">
        <v>1412</v>
      </c>
      <c r="E1734" s="413" t="s">
        <v>1160</v>
      </c>
      <c r="F1734" s="412">
        <f>+VLOOKUP(C1734,'AUX-NIV3'!B:F,5,FALSE)</f>
        <v>57.570145638146933</v>
      </c>
      <c r="G1734" s="203">
        <f>+SUMIF('AUX-NIV1'!I:I,Recursos!C1734,'AUX-NIV1'!Q:Q)+SUMIF('AUX-NIV2'!I:I,Recursos!C1734,'AUX-NIV2'!Q:Q)+SUMIF('AUX-NIV3'!I:I,Recursos!C1734,'AUX-NIV3'!Q:Q)</f>
        <v>0</v>
      </c>
      <c r="H1734" s="204">
        <f t="shared" si="146"/>
        <v>0</v>
      </c>
      <c r="I1734" s="364">
        <f t="shared" si="147"/>
        <v>0</v>
      </c>
      <c r="J1734" s="205"/>
    </row>
    <row r="1735" spans="3:10">
      <c r="C1735" s="411" t="s">
        <v>1404</v>
      </c>
      <c r="D1735" s="412" t="s">
        <v>1413</v>
      </c>
      <c r="E1735" s="413" t="s">
        <v>1411</v>
      </c>
      <c r="F1735" s="412">
        <f>+VLOOKUP(C1735,'AUX-NIV3'!B:F,5,FALSE)</f>
        <v>56.971255567769411</v>
      </c>
      <c r="G1735" s="203">
        <f>+SUMIF('AUX-NIV1'!I:I,Recursos!C1735,'AUX-NIV1'!Q:Q)+SUMIF('AUX-NIV2'!I:I,Recursos!C1735,'AUX-NIV2'!Q:Q)+SUMIF('AUX-NIV3'!I:I,Recursos!C1735,'AUX-NIV3'!Q:Q)</f>
        <v>0</v>
      </c>
      <c r="H1735" s="204">
        <f t="shared" si="146"/>
        <v>0</v>
      </c>
      <c r="I1735" s="364">
        <f t="shared" si="147"/>
        <v>0</v>
      </c>
      <c r="J1735" s="205"/>
    </row>
    <row r="1736" spans="3:10">
      <c r="C1736" s="411" t="s">
        <v>1405</v>
      </c>
      <c r="D1736" s="412" t="s">
        <v>1414</v>
      </c>
      <c r="E1736" s="413" t="s">
        <v>1384</v>
      </c>
      <c r="F1736" s="412">
        <f>+VLOOKUP(C1736,'AUX-NIV3'!B:F,5,FALSE)</f>
        <v>123.4584736436117</v>
      </c>
      <c r="G1736" s="203">
        <f>+SUMIF('AUX-NIV1'!I:I,Recursos!C1736,'AUX-NIV1'!Q:Q)+SUMIF('AUX-NIV2'!I:I,Recursos!C1736,'AUX-NIV2'!Q:Q)+SUMIF('AUX-NIV3'!I:I,Recursos!C1736,'AUX-NIV3'!Q:Q)</f>
        <v>0</v>
      </c>
      <c r="H1736" s="204">
        <f t="shared" si="146"/>
        <v>0</v>
      </c>
      <c r="I1736" s="364">
        <f t="shared" si="147"/>
        <v>0</v>
      </c>
      <c r="J1736" s="205"/>
    </row>
    <row r="1737" spans="3:10">
      <c r="C1737" s="411" t="s">
        <v>1415</v>
      </c>
      <c r="D1737" s="412" t="s">
        <v>1418</v>
      </c>
      <c r="E1737" s="413" t="s">
        <v>1411</v>
      </c>
      <c r="F1737" s="412">
        <f>+VLOOKUP(C1737,'AUX-NIV3'!B:F,5,FALSE)</f>
        <v>23.290544728722342</v>
      </c>
      <c r="G1737" s="203">
        <f>+SUMIF('AUX-NIV1'!I:I,Recursos!C1737,'AUX-NIV1'!Q:Q)+SUMIF('AUX-NIV2'!I:I,Recursos!C1737,'AUX-NIV2'!Q:Q)+SUMIF('AUX-NIV3'!I:I,Recursos!C1737,'AUX-NIV3'!Q:Q)</f>
        <v>0</v>
      </c>
      <c r="H1737" s="204">
        <f t="shared" si="146"/>
        <v>0</v>
      </c>
      <c r="I1737" s="364">
        <f t="shared" si="147"/>
        <v>0</v>
      </c>
      <c r="J1737" s="205"/>
    </row>
    <row r="1738" spans="3:10">
      <c r="C1738" s="411" t="s">
        <v>1416</v>
      </c>
      <c r="D1738" s="412" t="s">
        <v>1419</v>
      </c>
      <c r="E1738" s="413" t="s">
        <v>1411</v>
      </c>
      <c r="F1738" s="412">
        <f>+VLOOKUP(C1738,'AUX-NIV3'!B:F,5,FALSE)</f>
        <v>57.95891082256712</v>
      </c>
      <c r="G1738" s="203">
        <f>+SUMIF('AUX-NIV1'!I:I,Recursos!C1738,'AUX-NIV1'!Q:Q)+SUMIF('AUX-NIV2'!I:I,Recursos!C1738,'AUX-NIV2'!Q:Q)+SUMIF('AUX-NIV3'!I:I,Recursos!C1738,'AUX-NIV3'!Q:Q)</f>
        <v>0</v>
      </c>
      <c r="H1738" s="204">
        <f t="shared" si="146"/>
        <v>0</v>
      </c>
      <c r="I1738" s="364">
        <f t="shared" si="147"/>
        <v>0</v>
      </c>
      <c r="J1738" s="205"/>
    </row>
    <row r="1739" spans="3:10">
      <c r="C1739" s="411" t="s">
        <v>1417</v>
      </c>
      <c r="D1739" s="412" t="s">
        <v>1420</v>
      </c>
      <c r="E1739" s="413" t="s">
        <v>1386</v>
      </c>
      <c r="F1739" s="412">
        <f>+VLOOKUP(C1739,'AUX-NIV3'!B:F,5,FALSE)</f>
        <v>40.604182634863236</v>
      </c>
      <c r="G1739" s="203">
        <f>+SUMIF('AUX-NIV1'!I:I,Recursos!C1739,'AUX-NIV1'!Q:Q)+SUMIF('AUX-NIV2'!I:I,Recursos!C1739,'AUX-NIV2'!Q:Q)+SUMIF('AUX-NIV3'!I:I,Recursos!C1739,'AUX-NIV3'!Q:Q)</f>
        <v>0</v>
      </c>
      <c r="H1739" s="204">
        <f t="shared" si="146"/>
        <v>0</v>
      </c>
      <c r="I1739" s="364">
        <f t="shared" si="147"/>
        <v>0</v>
      </c>
      <c r="J1739" s="205"/>
    </row>
    <row r="1740" spans="3:10">
      <c r="C1740" s="411" t="s">
        <v>1421</v>
      </c>
      <c r="D1740" s="412" t="s">
        <v>1425</v>
      </c>
      <c r="E1740" s="413" t="s">
        <v>1160</v>
      </c>
      <c r="F1740" s="412" t="e">
        <f>+VLOOKUP(C1740,'AUX-NIV3'!B:F,5,FALSE)</f>
        <v>#N/A</v>
      </c>
      <c r="G1740" s="203">
        <f>+SUMIF('AUX-NIV1'!I:I,Recursos!C1740,'AUX-NIV1'!Q:Q)+SUMIF('AUX-NIV2'!I:I,Recursos!C1740,'AUX-NIV2'!Q:Q)+SUMIF('AUX-NIV3'!I:I,Recursos!C1740,'AUX-NIV3'!Q:Q)</f>
        <v>0</v>
      </c>
      <c r="H1740" s="204" t="e">
        <f t="shared" si="146"/>
        <v>#N/A</v>
      </c>
      <c r="I1740" s="364" t="e">
        <f t="shared" si="147"/>
        <v>#N/A</v>
      </c>
      <c r="J1740" s="205"/>
    </row>
    <row r="1741" spans="3:10">
      <c r="C1741" s="411" t="s">
        <v>1422</v>
      </c>
      <c r="D1741" s="412" t="s">
        <v>1456</v>
      </c>
      <c r="E1741" s="413" t="s">
        <v>1384</v>
      </c>
      <c r="F1741" s="412" t="e">
        <f>+VLOOKUP(C1741,'AUX-NIV3'!B:F,5,FALSE)</f>
        <v>#N/A</v>
      </c>
      <c r="G1741" s="203">
        <f>+SUMIF('AUX-NIV1'!I:I,Recursos!C1741,'AUX-NIV1'!Q:Q)+SUMIF('AUX-NIV2'!I:I,Recursos!C1741,'AUX-NIV2'!Q:Q)+SUMIF('AUX-NIV3'!I:I,Recursos!C1741,'AUX-NIV3'!Q:Q)</f>
        <v>0</v>
      </c>
      <c r="H1741" s="204" t="e">
        <f t="shared" si="146"/>
        <v>#N/A</v>
      </c>
      <c r="I1741" s="364" t="e">
        <f t="shared" si="147"/>
        <v>#N/A</v>
      </c>
      <c r="J1741" s="205"/>
    </row>
    <row r="1742" spans="3:10">
      <c r="C1742" s="411" t="s">
        <v>1423</v>
      </c>
      <c r="D1742" s="412" t="s">
        <v>1457</v>
      </c>
      <c r="E1742" s="413" t="s">
        <v>1411</v>
      </c>
      <c r="F1742" s="412">
        <f>+VLOOKUP(C1742,'AUX-NIV3'!B:F,5,FALSE)</f>
        <v>45.577004454215526</v>
      </c>
      <c r="G1742" s="203">
        <f>+SUMIF('AUX-NIV1'!I:I,Recursos!C1742,'AUX-NIV1'!Q:Q)+SUMIF('AUX-NIV2'!I:I,Recursos!C1742,'AUX-NIV2'!Q:Q)+SUMIF('AUX-NIV3'!I:I,Recursos!C1742,'AUX-NIV3'!Q:Q)</f>
        <v>0</v>
      </c>
      <c r="H1742" s="204">
        <f t="shared" si="146"/>
        <v>0</v>
      </c>
      <c r="I1742" s="364">
        <f t="shared" si="147"/>
        <v>0</v>
      </c>
      <c r="J1742" s="205"/>
    </row>
    <row r="1743" spans="3:10">
      <c r="C1743" s="411" t="s">
        <v>1424</v>
      </c>
      <c r="D1743" s="412" t="s">
        <v>1458</v>
      </c>
      <c r="E1743" s="413" t="s">
        <v>1384</v>
      </c>
      <c r="F1743" s="412" t="e">
        <f>+VLOOKUP(C1743,'AUX-NIV3'!B:F,5,FALSE)</f>
        <v>#N/A</v>
      </c>
      <c r="G1743" s="203">
        <f>+SUMIF('AUX-NIV1'!I:I,Recursos!C1743,'AUX-NIV1'!Q:Q)+SUMIF('AUX-NIV2'!I:I,Recursos!C1743,'AUX-NIV2'!Q:Q)+SUMIF('AUX-NIV3'!I:I,Recursos!C1743,'AUX-NIV3'!Q:Q)</f>
        <v>0</v>
      </c>
      <c r="H1743" s="204" t="e">
        <f t="shared" si="146"/>
        <v>#N/A</v>
      </c>
      <c r="I1743" s="364" t="e">
        <f t="shared" si="147"/>
        <v>#N/A</v>
      </c>
      <c r="J1743" s="205"/>
    </row>
    <row r="1744" spans="3:10">
      <c r="C1744" s="411" t="s">
        <v>1459</v>
      </c>
      <c r="D1744" s="412" t="s">
        <v>1460</v>
      </c>
      <c r="E1744" s="413" t="s">
        <v>1411</v>
      </c>
      <c r="F1744" s="412">
        <f>+VLOOKUP(C1744,'AUX-NIV3'!B:F,5,FALSE)</f>
        <v>37.037542093083516</v>
      </c>
      <c r="G1744" s="203">
        <f>+SUMIF('AUX-NIV1'!I:I,Recursos!C1744,'AUX-NIV1'!Q:Q)+SUMIF('AUX-NIV2'!I:I,Recursos!C1744,'AUX-NIV2'!Q:Q)+SUMIF('AUX-NIV3'!I:I,Recursos!C1744,'AUX-NIV3'!Q:Q)</f>
        <v>0</v>
      </c>
      <c r="H1744" s="204">
        <f t="shared" si="146"/>
        <v>0</v>
      </c>
      <c r="I1744" s="364">
        <f t="shared" si="147"/>
        <v>0</v>
      </c>
      <c r="J1744" s="205"/>
    </row>
    <row r="1745" spans="3:10">
      <c r="C1745" s="199" t="s">
        <v>1461</v>
      </c>
      <c r="D1745" s="220" t="s">
        <v>1462</v>
      </c>
      <c r="E1745" s="221" t="s">
        <v>1411</v>
      </c>
      <c r="F1745" s="220">
        <f>+VLOOKUP(C1745,'AUX-NIV2'!B:F,5,FALSE)</f>
        <v>23.98756068256122</v>
      </c>
      <c r="G1745" s="203">
        <f>+SUMIF('AUX-NIV1'!I:I,Recursos!C1745,'AUX-NIV1'!Q:Q)+SUMIF('AUX-NIV2'!I:I,Recursos!C1745,'AUX-NIV2'!Q:Q)+SUMIF('AUX-NIV3'!I:I,Recursos!C1745,'AUX-NIV3'!Q:Q)</f>
        <v>0</v>
      </c>
      <c r="H1745" s="204">
        <f t="shared" si="146"/>
        <v>0</v>
      </c>
      <c r="I1745" s="364">
        <f t="shared" si="147"/>
        <v>0</v>
      </c>
      <c r="J1745" s="205"/>
    </row>
    <row r="1746" spans="3:10">
      <c r="C1746" s="411" t="s">
        <v>1468</v>
      </c>
      <c r="D1746" s="412" t="s">
        <v>1471</v>
      </c>
      <c r="E1746" s="413" t="s">
        <v>1384</v>
      </c>
      <c r="F1746" s="412">
        <f>+VLOOKUP(C1746,'AUX-NIV3'!B:F,5,FALSE)</f>
        <v>53.88017891488937</v>
      </c>
      <c r="G1746" s="203">
        <f>+SUMIF('AUX-NIV1'!I:I,Recursos!C1746,'AUX-NIV1'!Q:Q)+SUMIF('AUX-NIV2'!I:I,Recursos!C1746,'AUX-NIV2'!Q:Q)+SUMIF('AUX-NIV3'!I:I,Recursos!C1746,'AUX-NIV3'!Q:Q)</f>
        <v>0</v>
      </c>
      <c r="H1746" s="204">
        <f t="shared" si="146"/>
        <v>0</v>
      </c>
      <c r="I1746" s="364">
        <f t="shared" si="147"/>
        <v>0</v>
      </c>
      <c r="J1746" s="205"/>
    </row>
    <row r="1747" spans="3:10">
      <c r="C1747" s="411" t="s">
        <v>1469</v>
      </c>
      <c r="D1747" s="412" t="s">
        <v>1472</v>
      </c>
      <c r="E1747" s="413" t="s">
        <v>1473</v>
      </c>
      <c r="F1747" s="412">
        <f>+VLOOKUP(C1747,'AUX-NIV3'!B:F,5,FALSE)</f>
        <v>12009.351276736943</v>
      </c>
      <c r="G1747" s="203">
        <f>+SUMIF('AUX-NIV1'!I:I,Recursos!C1747,'AUX-NIV1'!Q:Q)+SUMIF('AUX-NIV2'!I:I,Recursos!C1747,'AUX-NIV2'!Q:Q)+SUMIF('AUX-NIV3'!I:I,Recursos!C1747,'AUX-NIV3'!Q:Q)</f>
        <v>0</v>
      </c>
      <c r="H1747" s="204">
        <f t="shared" si="146"/>
        <v>0</v>
      </c>
      <c r="I1747" s="364">
        <f t="shared" si="147"/>
        <v>0</v>
      </c>
      <c r="J1747" s="205"/>
    </row>
    <row r="1748" spans="3:10">
      <c r="C1748" s="199" t="s">
        <v>1463</v>
      </c>
      <c r="D1748" s="220" t="s">
        <v>1464</v>
      </c>
      <c r="E1748" s="221" t="s">
        <v>484</v>
      </c>
      <c r="F1748" s="220">
        <f>+VLOOKUP(C1748,'AUX-NIV2'!B:F,5,FALSE)</f>
        <v>184.97740259210877</v>
      </c>
      <c r="G1748" s="203">
        <f>+SUMIF('AUX-NIV1'!I:I,Recursos!C1748,'AUX-NIV1'!Q:Q)+SUMIF('AUX-NIV2'!I:I,Recursos!C1748,'AUX-NIV2'!Q:Q)+SUMIF('AUX-NIV3'!I:I,Recursos!C1748,'AUX-NIV3'!Q:Q)</f>
        <v>0</v>
      </c>
      <c r="H1748" s="204">
        <f t="shared" si="146"/>
        <v>0</v>
      </c>
      <c r="I1748" s="364">
        <f t="shared" si="147"/>
        <v>0</v>
      </c>
      <c r="J1748" s="205"/>
    </row>
    <row r="1749" spans="3:10">
      <c r="C1749" s="411" t="s">
        <v>1475</v>
      </c>
      <c r="D1749" s="412" t="s">
        <v>1480</v>
      </c>
      <c r="E1749" s="413" t="s">
        <v>1481</v>
      </c>
      <c r="F1749" s="412">
        <f>+VLOOKUP(C1749,'AUX-NIV3'!B:F,5,FALSE)</f>
        <v>15.320707817571034</v>
      </c>
      <c r="G1749" s="203">
        <f>+SUMIF('AUX-NIV1'!I:I,Recursos!C1749,'AUX-NIV1'!Q:Q)+SUMIF('AUX-NIV2'!I:I,Recursos!C1749,'AUX-NIV2'!Q:Q)+SUMIF('AUX-NIV3'!I:I,Recursos!C1749,'AUX-NIV3'!Q:Q)</f>
        <v>0</v>
      </c>
      <c r="H1749" s="204">
        <f t="shared" si="146"/>
        <v>0</v>
      </c>
      <c r="I1749" s="364">
        <f t="shared" si="147"/>
        <v>0</v>
      </c>
      <c r="J1749" s="205"/>
    </row>
    <row r="1750" spans="3:10">
      <c r="C1750" s="411" t="s">
        <v>1476</v>
      </c>
      <c r="D1750" s="412" t="s">
        <v>1482</v>
      </c>
      <c r="E1750" s="413" t="s">
        <v>1411</v>
      </c>
      <c r="F1750" s="412">
        <f>+VLOOKUP(C1750,'AUX-NIV3'!B:F,5,FALSE)</f>
        <v>58.226361821805845</v>
      </c>
      <c r="G1750" s="203">
        <f>+SUMIF('AUX-NIV1'!I:I,Recursos!C1750,'AUX-NIV1'!Q:Q)+SUMIF('AUX-NIV2'!I:I,Recursos!C1750,'AUX-NIV2'!Q:Q)+SUMIF('AUX-NIV3'!I:I,Recursos!C1750,'AUX-NIV3'!Q:Q)</f>
        <v>0</v>
      </c>
      <c r="H1750" s="204">
        <f t="shared" si="146"/>
        <v>0</v>
      </c>
      <c r="I1750" s="364">
        <f t="shared" si="147"/>
        <v>0</v>
      </c>
      <c r="J1750" s="205"/>
    </row>
    <row r="1751" spans="3:10">
      <c r="C1751" s="411" t="s">
        <v>1477</v>
      </c>
      <c r="D1751" s="412" t="s">
        <v>1483</v>
      </c>
      <c r="E1751" s="413" t="s">
        <v>1160</v>
      </c>
      <c r="F1751" s="412">
        <f>+VLOOKUP(C1751,'AUX-NIV3'!B:F,5,FALSE)</f>
        <v>69.871634186167029</v>
      </c>
      <c r="G1751" s="203">
        <f>+SUMIF('AUX-NIV1'!I:I,Recursos!C1751,'AUX-NIV1'!Q:Q)+SUMIF('AUX-NIV2'!I:I,Recursos!C1751,'AUX-NIV2'!Q:Q)+SUMIF('AUX-NIV3'!I:I,Recursos!C1751,'AUX-NIV3'!Q:Q)</f>
        <v>0</v>
      </c>
      <c r="H1751" s="204">
        <f t="shared" si="146"/>
        <v>0</v>
      </c>
      <c r="I1751" s="364">
        <f t="shared" si="147"/>
        <v>0</v>
      </c>
      <c r="J1751" s="205"/>
    </row>
    <row r="1752" spans="3:10">
      <c r="C1752" s="411" t="s">
        <v>1478</v>
      </c>
      <c r="D1752" s="412" t="s">
        <v>1484</v>
      </c>
      <c r="E1752" s="413" t="s">
        <v>1160</v>
      </c>
      <c r="F1752" s="412">
        <f>+VLOOKUP(C1752,'AUX-NIV3'!B:F,5,FALSE)</f>
        <v>89.980045405812973</v>
      </c>
      <c r="G1752" s="203">
        <f>+SUMIF('AUX-NIV1'!I:I,Recursos!C1752,'AUX-NIV1'!Q:Q)+SUMIF('AUX-NIV2'!I:I,Recursos!C1752,'AUX-NIV2'!Q:Q)+SUMIF('AUX-NIV3'!I:I,Recursos!C1752,'AUX-NIV3'!Q:Q)</f>
        <v>0</v>
      </c>
      <c r="H1752" s="204">
        <f t="shared" si="146"/>
        <v>0</v>
      </c>
      <c r="I1752" s="364">
        <f t="shared" si="147"/>
        <v>0</v>
      </c>
      <c r="J1752" s="205"/>
    </row>
    <row r="1753" spans="3:10">
      <c r="C1753" s="411" t="s">
        <v>1479</v>
      </c>
      <c r="D1753" s="412" t="s">
        <v>1485</v>
      </c>
      <c r="E1753" s="413" t="s">
        <v>1160</v>
      </c>
      <c r="F1753" s="412">
        <f>+VLOOKUP(C1753,'AUX-NIV3'!B:F,5,FALSE)</f>
        <v>42.171711897422377</v>
      </c>
      <c r="G1753" s="203">
        <f>+SUMIF('AUX-NIV1'!I:I,Recursos!C1753,'AUX-NIV1'!Q:Q)+SUMIF('AUX-NIV2'!I:I,Recursos!C1753,'AUX-NIV2'!Q:Q)+SUMIF('AUX-NIV3'!I:I,Recursos!C1753,'AUX-NIV3'!Q:Q)</f>
        <v>0</v>
      </c>
      <c r="H1753" s="204">
        <f t="shared" si="146"/>
        <v>0</v>
      </c>
      <c r="I1753" s="364">
        <f t="shared" si="147"/>
        <v>0</v>
      </c>
      <c r="J1753" s="205"/>
    </row>
    <row r="1754" spans="3:10">
      <c r="C1754" s="199" t="s">
        <v>1466</v>
      </c>
      <c r="D1754" s="220" t="s">
        <v>1474</v>
      </c>
      <c r="E1754" s="221" t="s">
        <v>1160</v>
      </c>
      <c r="F1754" s="220">
        <f>+VLOOKUP(C1754,'AUX-NIV2'!B:F,5,FALSE)</f>
        <v>693.96355400637856</v>
      </c>
      <c r="G1754" s="203">
        <f>+SUMIF('AUX-NIV1'!I:I,Recursos!C1754,'AUX-NIV1'!Q:Q)+SUMIF('AUX-NIV2'!I:I,Recursos!C1754,'AUX-NIV2'!Q:Q)+SUMIF('AUX-NIV3'!I:I,Recursos!C1754,'AUX-NIV3'!Q:Q)</f>
        <v>0</v>
      </c>
      <c r="H1754" s="204">
        <f t="shared" si="146"/>
        <v>0</v>
      </c>
      <c r="I1754" s="364">
        <f t="shared" si="147"/>
        <v>0</v>
      </c>
      <c r="J1754" s="205"/>
    </row>
    <row r="1755" spans="3:10">
      <c r="C1755" s="199" t="s">
        <v>1488</v>
      </c>
      <c r="D1755" s="220" t="s">
        <v>1492</v>
      </c>
      <c r="E1755" s="221" t="s">
        <v>484</v>
      </c>
      <c r="F1755" s="220">
        <f>+VLOOKUP(C1755,'AUX-NIV2'!B:F,5,FALSE)</f>
        <v>208.99610514558265</v>
      </c>
      <c r="G1755" s="203">
        <f>+SUMIF('AUX-NIV1'!I:I,Recursos!C1755,'AUX-NIV1'!Q:Q)+SUMIF('AUX-NIV2'!I:I,Recursos!C1755,'AUX-NIV2'!Q:Q)+SUMIF('AUX-NIV3'!I:I,Recursos!C1755,'AUX-NIV3'!Q:Q)</f>
        <v>0</v>
      </c>
      <c r="H1755" s="204">
        <f t="shared" si="146"/>
        <v>0</v>
      </c>
      <c r="I1755" s="364">
        <f t="shared" si="147"/>
        <v>0</v>
      </c>
      <c r="J1755" s="205"/>
    </row>
    <row r="1756" spans="3:10">
      <c r="C1756" s="199" t="s">
        <v>1487</v>
      </c>
      <c r="D1756" s="220" t="s">
        <v>1491</v>
      </c>
      <c r="E1756" s="221" t="s">
        <v>1160</v>
      </c>
      <c r="F1756" s="220">
        <f>+VLOOKUP(C1756,'AUX-NIV2'!B:F,5,FALSE)</f>
        <v>693.96355400637856</v>
      </c>
      <c r="G1756" s="203">
        <f>+SUMIF('AUX-NIV1'!I:I,Recursos!C1756,'AUX-NIV1'!Q:Q)+SUMIF('AUX-NIV2'!I:I,Recursos!C1756,'AUX-NIV2'!Q:Q)+SUMIF('AUX-NIV3'!I:I,Recursos!C1756,'AUX-NIV3'!Q:Q)</f>
        <v>0</v>
      </c>
      <c r="H1756" s="204">
        <f t="shared" si="146"/>
        <v>0</v>
      </c>
      <c r="I1756" s="364">
        <f t="shared" si="147"/>
        <v>0</v>
      </c>
      <c r="J1756" s="205"/>
    </row>
    <row r="1757" spans="3:10">
      <c r="C1757" s="411" t="s">
        <v>1489</v>
      </c>
      <c r="D1757" s="412" t="s">
        <v>1490</v>
      </c>
      <c r="E1757" s="413" t="s">
        <v>1473</v>
      </c>
      <c r="F1757" s="412">
        <f>+VLOOKUP(C1757,'AUX-NIV3'!B:F,5,FALSE)</f>
        <v>12009.351276736943</v>
      </c>
      <c r="G1757" s="203">
        <f>+SUMIF('AUX-NIV1'!I:I,Recursos!C1757,'AUX-NIV1'!Q:Q)+SUMIF('AUX-NIV2'!I:I,Recursos!C1757,'AUX-NIV2'!Q:Q)+SUMIF('AUX-NIV3'!I:I,Recursos!C1757,'AUX-NIV3'!Q:Q)</f>
        <v>0</v>
      </c>
      <c r="H1757" s="204">
        <f t="shared" si="146"/>
        <v>0</v>
      </c>
      <c r="I1757" s="364">
        <f t="shared" si="147"/>
        <v>0</v>
      </c>
      <c r="J1757" s="205"/>
    </row>
    <row r="1758" spans="3:10">
      <c r="C1758" s="411" t="s">
        <v>1494</v>
      </c>
      <c r="D1758" s="412" t="s">
        <v>1495</v>
      </c>
      <c r="E1758" s="413" t="s">
        <v>1408</v>
      </c>
      <c r="F1758" s="412">
        <f>+VLOOKUP(C1758,'AUX-NIV3'!B:F,5,FALSE)</f>
        <v>140572.42701070526</v>
      </c>
      <c r="G1758" s="203">
        <f>+SUMIF('AUX-NIV1'!I:I,Recursos!C1758,'AUX-NIV1'!Q:Q)+SUMIF('AUX-NIV2'!I:I,Recursos!C1758,'AUX-NIV2'!Q:Q)+SUMIF('AUX-NIV3'!I:I,Recursos!C1758,'AUX-NIV3'!Q:Q)</f>
        <v>0</v>
      </c>
      <c r="H1758" s="204">
        <f t="shared" si="146"/>
        <v>0</v>
      </c>
      <c r="I1758" s="364">
        <f t="shared" si="147"/>
        <v>0</v>
      </c>
      <c r="J1758" s="205"/>
    </row>
    <row r="1759" spans="3:10">
      <c r="C1759" s="199" t="s">
        <v>1496</v>
      </c>
      <c r="D1759" s="220" t="s">
        <v>1493</v>
      </c>
      <c r="E1759" s="221" t="s">
        <v>1408</v>
      </c>
      <c r="F1759" s="220">
        <f>+VLOOKUP(C1759,'AUX-NIV2'!B:F,5,FALSE)</f>
        <v>95502.968530466838</v>
      </c>
      <c r="G1759" s="203">
        <f>+SUMIF('AUX-NIV1'!I:I,Recursos!C1759,'AUX-NIV1'!Q:Q)+SUMIF('AUX-NIV2'!I:I,Recursos!C1759,'AUX-NIV2'!Q:Q)+SUMIF('AUX-NIV3'!I:I,Recursos!C1759,'AUX-NIV3'!Q:Q)</f>
        <v>0</v>
      </c>
      <c r="H1759" s="204">
        <f t="shared" si="146"/>
        <v>0</v>
      </c>
      <c r="I1759" s="364">
        <f t="shared" si="147"/>
        <v>0</v>
      </c>
      <c r="J1759" s="205"/>
    </row>
    <row r="1760" spans="3:10">
      <c r="C1760" s="199" t="s">
        <v>1515</v>
      </c>
      <c r="D1760" s="220" t="s">
        <v>1516</v>
      </c>
      <c r="E1760" s="221" t="s">
        <v>1160</v>
      </c>
      <c r="F1760" s="220" t="e">
        <f>+VLOOKUP(C1760,'AUX-NIV1'!B:F,5,FALSE)</f>
        <v>#N/A</v>
      </c>
      <c r="G1760" s="203">
        <f>+SUMIF('AUX-NIV1'!I:I,Recursos!C1760,'AUX-NIV1'!Q:Q)+SUMIF('AUX-NIV2'!I:I,Recursos!C1760,'AUX-NIV2'!Q:Q)+SUMIF('AUX-NIV3'!I:I,Recursos!C1760,'AUX-NIV3'!Q:Q)</f>
        <v>0</v>
      </c>
      <c r="H1760" s="204" t="e">
        <f t="shared" si="146"/>
        <v>#N/A</v>
      </c>
      <c r="I1760" s="364" t="e">
        <f t="shared" si="147"/>
        <v>#N/A</v>
      </c>
      <c r="J1760" s="205"/>
    </row>
    <row r="1761" spans="3:10">
      <c r="C1761" s="475" t="s">
        <v>2738</v>
      </c>
      <c r="D1761" s="477" t="s">
        <v>1208</v>
      </c>
      <c r="E1761" s="478" t="str">
        <f>+VLOOKUP(C1761,'AUX-NIV3'!B:F,3,FALSE)</f>
        <v>M3</v>
      </c>
      <c r="F1761" s="477">
        <f>SUMIF('AUX-NIV1'!B:B,Recursos!C1761,'AUX-NIV1'!P:P)+SUMIF('AUX-NIV2'!B:B,Recursos!C1761,'AUX-NIV2'!P:P)+SUMIF('AUX-NIV3'!B:B,Recursos!C1761,'AUX-NIV3'!P:P)</f>
        <v>628.94484322387063</v>
      </c>
      <c r="G1761" s="479">
        <f>+SUMIF('AUX-NIV1'!I:I,Recursos!C1761,'AUX-NIV1'!Q:Q)+SUMIF('AUX-NIV2'!I:I,Recursos!C1761,'AUX-NIV2'!Q:Q)+SUMIF('AUX-NIV3'!I:I,Recursos!C1761,'AUX-NIV3'!Q:Q)</f>
        <v>0</v>
      </c>
      <c r="H1761" s="480">
        <f t="shared" si="146"/>
        <v>0</v>
      </c>
      <c r="I1761" s="481">
        <f t="shared" si="147"/>
        <v>0</v>
      </c>
      <c r="J1761" s="482"/>
    </row>
    <row r="1762" spans="3:10">
      <c r="C1762" s="475" t="s">
        <v>2739</v>
      </c>
      <c r="D1762" s="220" t="s">
        <v>42</v>
      </c>
      <c r="E1762" s="221" t="str">
        <f>+VLOOKUP(C1762,'AUX-NIV2'!B:F,3,FALSE)</f>
        <v>m3</v>
      </c>
      <c r="F1762" s="220">
        <f>SUMIF('AUX-NIV1'!B:B,Recursos!C1762,'AUX-NIV1'!P:P)+SUMIF('AUX-NIV2'!B:B,Recursos!C1762,'AUX-NIV2'!P:P)+SUMIF('AUX-NIV3'!B:B,Recursos!C1762,'AUX-NIV3'!P:P)</f>
        <v>192.68134784762265</v>
      </c>
      <c r="G1762" s="479">
        <f>+SUMIF('AUX-NIV1'!I:I,Recursos!C1762,'AUX-NIV1'!Q:Q)+SUMIF('AUX-NIV2'!I:I,Recursos!C1762,'AUX-NIV2'!Q:Q)+SUMIF('AUX-NIV3'!I:I,Recursos!C1762,'AUX-NIV3'!Q:Q)</f>
        <v>0</v>
      </c>
      <c r="H1762" s="204">
        <f t="shared" si="146"/>
        <v>0</v>
      </c>
      <c r="I1762" s="366">
        <f t="shared" si="147"/>
        <v>0</v>
      </c>
      <c r="J1762" s="205"/>
    </row>
    <row r="1763" spans="3:10">
      <c r="C1763" s="475" t="s">
        <v>2740</v>
      </c>
      <c r="D1763" s="220" t="s">
        <v>2741</v>
      </c>
      <c r="E1763" s="221" t="str">
        <f>+VLOOKUP(C1763,'AUX-NIV2'!B:F,3,FALSE)</f>
        <v>Ha</v>
      </c>
      <c r="F1763" s="220">
        <f>SUMIF('AUX-NIV1'!B:B,Recursos!C1763,'AUX-NIV1'!P:P)+SUMIF('AUX-NIV2'!B:B,Recursos!C1763,'AUX-NIV2'!P:P)+SUMIF('AUX-NIV3'!B:B,Recursos!C1763,'AUX-NIV3'!P:P)</f>
        <v>81746.247646870033</v>
      </c>
      <c r="G1763" s="479">
        <f>+SUMIF('AUX-NIV1'!I:I,Recursos!C1763,'AUX-NIV1'!Q:Q)+SUMIF('AUX-NIV2'!I:I,Recursos!C1763,'AUX-NIV2'!Q:Q)+SUMIF('AUX-NIV3'!I:I,Recursos!C1763,'AUX-NIV3'!Q:Q)</f>
        <v>0</v>
      </c>
      <c r="H1763" s="204">
        <f t="shared" si="146"/>
        <v>0</v>
      </c>
      <c r="I1763" s="366">
        <f t="shared" si="147"/>
        <v>0</v>
      </c>
      <c r="J1763" s="205"/>
    </row>
    <row r="1764" spans="3:10">
      <c r="C1764" s="476" t="s">
        <v>2742</v>
      </c>
      <c r="D1764" s="483" t="s">
        <v>2743</v>
      </c>
      <c r="E1764" s="221" t="str">
        <f>+VLOOKUP(C1764,'AUX-NIV2'!B:F,3,FALSE)</f>
        <v>Ha</v>
      </c>
      <c r="F1764" s="220">
        <f>SUMIF('AUX-NIV1'!B:B,Recursos!C1764,'AUX-NIV1'!P:P)+SUMIF('AUX-NIV2'!B:B,Recursos!C1764,'AUX-NIV2'!P:P)+SUMIF('AUX-NIV3'!B:B,Recursos!C1764,'AUX-NIV3'!P:P)</f>
        <v>128976.55565654387</v>
      </c>
      <c r="G1764" s="479">
        <f>+SUMIF('AUX-NIV1'!I:I,Recursos!C1764,'AUX-NIV1'!Q:Q)+SUMIF('AUX-NIV2'!I:I,Recursos!C1764,'AUX-NIV2'!Q:Q)+SUMIF('AUX-NIV3'!I:I,Recursos!C1764,'AUX-NIV3'!Q:Q)</f>
        <v>0</v>
      </c>
      <c r="H1764" s="204">
        <f t="shared" si="146"/>
        <v>0</v>
      </c>
      <c r="I1764" s="366">
        <f t="shared" si="147"/>
        <v>0</v>
      </c>
      <c r="J1764" s="484"/>
    </row>
    <row r="1765" spans="3:10">
      <c r="C1765" s="476" t="s">
        <v>2744</v>
      </c>
      <c r="D1765" s="485" t="s">
        <v>2745</v>
      </c>
      <c r="E1765" s="478" t="str">
        <f>+VLOOKUP(C1765,'AUX-NIV3'!B:F,3,FALSE)</f>
        <v>m2</v>
      </c>
      <c r="F1765" s="477">
        <f>SUMIF('AUX-NIV1'!B:B,Recursos!C1765,'AUX-NIV1'!P:P)+SUMIF('AUX-NIV2'!B:B,Recursos!C1765,'AUX-NIV2'!P:P)+SUMIF('AUX-NIV3'!B:B,Recursos!C1765,'AUX-NIV3'!P:P)</f>
        <v>5.4165808422045494</v>
      </c>
      <c r="G1765" s="479">
        <f>+SUMIF('AUX-NIV1'!I:I,Recursos!C1765,'AUX-NIV1'!Q:Q)+SUMIF('AUX-NIV2'!I:I,Recursos!C1765,'AUX-NIV2'!Q:Q)+SUMIF('AUX-NIV3'!I:I,Recursos!C1765,'AUX-NIV3'!Q:Q)</f>
        <v>0</v>
      </c>
      <c r="H1765" s="480">
        <f t="shared" si="146"/>
        <v>0</v>
      </c>
      <c r="I1765" s="481">
        <f t="shared" si="147"/>
        <v>0</v>
      </c>
      <c r="J1765" s="482"/>
    </row>
    <row r="1766" spans="3:10">
      <c r="C1766" s="488" t="s">
        <v>2746</v>
      </c>
      <c r="D1766" s="477" t="s">
        <v>2747</v>
      </c>
      <c r="E1766" s="478" t="str">
        <f>+VLOOKUP(C1766,'AUX-NIV3'!B:F,3,FALSE)</f>
        <v>m3</v>
      </c>
      <c r="F1766" s="477">
        <f>SUMIF('AUX-NIV1'!B:B,Recursos!C1766,'AUX-NIV1'!P:P)+SUMIF('AUX-NIV2'!B:B,Recursos!C1766,'AUX-NIV2'!P:P)+SUMIF('AUX-NIV3'!B:B,Recursos!C1766,'AUX-NIV3'!P:P)</f>
        <v>148.35029836815718</v>
      </c>
      <c r="G1766" s="479">
        <f>+SUMIF('AUX-NIV1'!I:I,Recursos!C1766,'AUX-NIV1'!Q:Q)+SUMIF('AUX-NIV2'!I:I,Recursos!C1766,'AUX-NIV2'!Q:Q)+SUMIF('AUX-NIV3'!I:I,Recursos!C1766,'AUX-NIV3'!Q:Q)</f>
        <v>0</v>
      </c>
      <c r="H1766" s="480">
        <f t="shared" si="146"/>
        <v>0</v>
      </c>
      <c r="I1766" s="481">
        <f t="shared" si="147"/>
        <v>0</v>
      </c>
      <c r="J1766" s="482"/>
    </row>
    <row r="1767" spans="3:10">
      <c r="C1767" s="488" t="s">
        <v>2748</v>
      </c>
      <c r="D1767" s="477" t="s">
        <v>2749</v>
      </c>
      <c r="E1767" s="478" t="str">
        <f>+VLOOKUP(C1767,'AUX-NIV3'!B:F,3,FALSE)</f>
        <v>m3</v>
      </c>
      <c r="F1767" s="477">
        <f>SUMIF('AUX-NIV1'!B:B,Recursos!C1767,'AUX-NIV1'!P:P)+SUMIF('AUX-NIV2'!B:B,Recursos!C1767,'AUX-NIV2'!P:P)+SUMIF('AUX-NIV3'!B:B,Recursos!C1767,'AUX-NIV3'!P:P)</f>
        <v>368.5637895861521</v>
      </c>
      <c r="G1767" s="479">
        <f>+SUMIF('AUX-NIV1'!I:I,Recursos!C1767,'AUX-NIV1'!Q:Q)+SUMIF('AUX-NIV2'!I:I,Recursos!C1767,'AUX-NIV2'!Q:Q)+SUMIF('AUX-NIV3'!I:I,Recursos!C1767,'AUX-NIV3'!Q:Q)</f>
        <v>0</v>
      </c>
      <c r="H1767" s="480">
        <f t="shared" si="146"/>
        <v>0</v>
      </c>
      <c r="I1767" s="481">
        <f t="shared" si="147"/>
        <v>0</v>
      </c>
      <c r="J1767" s="482"/>
    </row>
    <row r="1768" spans="3:10">
      <c r="C1768" s="488" t="s">
        <v>2750</v>
      </c>
      <c r="D1768" s="477" t="s">
        <v>2751</v>
      </c>
      <c r="E1768" s="478" t="str">
        <f>+VLOOKUP(C1768,'AUX-NIV3'!B:F,3,FALSE)</f>
        <v>m3</v>
      </c>
      <c r="F1768" s="477">
        <f>SUMIF('AUX-NIV1'!B:B,Recursos!C1768,'AUX-NIV1'!P:P)+SUMIF('AUX-NIV2'!B:B,Recursos!C1768,'AUX-NIV2'!P:P)+SUMIF('AUX-NIV3'!B:B,Recursos!C1768,'AUX-NIV3'!P:P)</f>
        <v>214.40877360073679</v>
      </c>
      <c r="G1768" s="479">
        <f>+SUMIF('AUX-NIV1'!I:I,Recursos!C1768,'AUX-NIV1'!Q:Q)+SUMIF('AUX-NIV2'!I:I,Recursos!C1768,'AUX-NIV2'!Q:Q)+SUMIF('AUX-NIV3'!I:I,Recursos!C1768,'AUX-NIV3'!Q:Q)</f>
        <v>0</v>
      </c>
      <c r="H1768" s="480">
        <f t="shared" si="146"/>
        <v>0</v>
      </c>
      <c r="I1768" s="481">
        <f t="shared" si="147"/>
        <v>0</v>
      </c>
      <c r="J1768" s="482"/>
    </row>
    <row r="1769" spans="3:10">
      <c r="C1769" s="488" t="s">
        <v>2752</v>
      </c>
      <c r="D1769" s="477" t="s">
        <v>2753</v>
      </c>
      <c r="E1769" s="478" t="str">
        <f>+VLOOKUP(C1769,'AUX-NIV3'!B:F,3,FALSE)</f>
        <v>m2</v>
      </c>
      <c r="F1769" s="477">
        <f>SUMIF('AUX-NIV1'!B:B,Recursos!C1769,'AUX-NIV1'!P:P)+SUMIF('AUX-NIV2'!B:B,Recursos!C1769,'AUX-NIV2'!P:P)+SUMIF('AUX-NIV3'!B:B,Recursos!C1769,'AUX-NIV3'!P:P)</f>
        <v>5.3664037605812966</v>
      </c>
      <c r="G1769" s="479">
        <f>+SUMIF('AUX-NIV1'!I:I,Recursos!C1769,'AUX-NIV1'!Q:Q)+SUMIF('AUX-NIV2'!I:I,Recursos!C1769,'AUX-NIV2'!Q:Q)+SUMIF('AUX-NIV3'!I:I,Recursos!C1769,'AUX-NIV3'!Q:Q)</f>
        <v>0</v>
      </c>
      <c r="H1769" s="480">
        <f t="shared" si="146"/>
        <v>0</v>
      </c>
      <c r="I1769" s="481">
        <f t="shared" si="147"/>
        <v>0</v>
      </c>
      <c r="J1769" s="482"/>
    </row>
    <row r="1770" spans="3:10">
      <c r="C1770" s="488" t="s">
        <v>2754</v>
      </c>
      <c r="D1770" s="477" t="s">
        <v>1398</v>
      </c>
      <c r="E1770" s="478" t="str">
        <f>+VLOOKUP(C1770,'AUX-NIV3'!B:F,3,FALSE)</f>
        <v>m2</v>
      </c>
      <c r="F1770" s="477">
        <f>SUMIF('AUX-NIV1'!B:B,Recursos!C1770,'AUX-NIV1'!P:P)+SUMIF('AUX-NIV2'!B:B,Recursos!C1770,'AUX-NIV2'!P:P)+SUMIF('AUX-NIV3'!B:B,Recursos!C1770,'AUX-NIV3'!P:P)</f>
        <v>10.111141390518723</v>
      </c>
      <c r="G1770" s="479">
        <f>+SUMIF('AUX-NIV1'!I:I,Recursos!C1770,'AUX-NIV1'!Q:Q)+SUMIF('AUX-NIV2'!I:I,Recursos!C1770,'AUX-NIV2'!Q:Q)+SUMIF('AUX-NIV3'!I:I,Recursos!C1770,'AUX-NIV3'!Q:Q)</f>
        <v>0</v>
      </c>
      <c r="H1770" s="480">
        <f t="shared" si="146"/>
        <v>0</v>
      </c>
      <c r="I1770" s="481">
        <f t="shared" si="147"/>
        <v>0</v>
      </c>
      <c r="J1770" s="482"/>
    </row>
    <row r="1771" spans="3:10">
      <c r="C1771" s="476" t="s">
        <v>2755</v>
      </c>
      <c r="D1771" s="483" t="s">
        <v>1375</v>
      </c>
      <c r="E1771" s="221" t="str">
        <f>+VLOOKUP(C1771,'AUX-NIV2'!B:F,3,FALSE)</f>
        <v>m2</v>
      </c>
      <c r="F1771" s="220">
        <f>SUMIF('AUX-NIV1'!B:B,Recursos!C1771,'AUX-NIV1'!P:P)+SUMIF('AUX-NIV2'!B:B,Recursos!C1771,'AUX-NIV2'!P:P)+SUMIF('AUX-NIV3'!B:B,Recursos!C1771,'AUX-NIV3'!P:P)</f>
        <v>40.639843255290813</v>
      </c>
      <c r="G1771" s="479">
        <f>+SUMIF('AUX-NIV1'!I:I,Recursos!C1771,'AUX-NIV1'!Q:Q)+SUMIF('AUX-NIV2'!I:I,Recursos!C1771,'AUX-NIV2'!Q:Q)+SUMIF('AUX-NIV3'!I:I,Recursos!C1771,'AUX-NIV3'!Q:Q)</f>
        <v>0</v>
      </c>
      <c r="H1771" s="204">
        <f t="shared" si="146"/>
        <v>0</v>
      </c>
      <c r="I1771" s="366">
        <f t="shared" si="147"/>
        <v>0</v>
      </c>
      <c r="J1771" s="484"/>
    </row>
    <row r="1772" spans="3:10">
      <c r="C1772" s="476" t="s">
        <v>2756</v>
      </c>
      <c r="D1772" s="485" t="s">
        <v>2757</v>
      </c>
      <c r="E1772" s="478" t="str">
        <f>+VLOOKUP(C1772,'AUX-NIV3'!B:F,3,FALSE)</f>
        <v>m3</v>
      </c>
      <c r="F1772" s="477">
        <f>SUMIF('AUX-NIV1'!B:B,Recursos!C1772,'AUX-NIV1'!P:P)+SUMIF('AUX-NIV2'!B:B,Recursos!C1772,'AUX-NIV2'!P:P)+SUMIF('AUX-NIV3'!B:B,Recursos!C1772,'AUX-NIV3'!P:P)</f>
        <v>62.271140341608451</v>
      </c>
      <c r="G1772" s="479">
        <f>+SUMIF('AUX-NIV1'!I:I,Recursos!C1772,'AUX-NIV1'!Q:Q)+SUMIF('AUX-NIV2'!I:I,Recursos!C1772,'AUX-NIV2'!Q:Q)+SUMIF('AUX-NIV3'!I:I,Recursos!C1772,'AUX-NIV3'!Q:Q)</f>
        <v>0</v>
      </c>
      <c r="H1772" s="480">
        <f t="shared" si="146"/>
        <v>0</v>
      </c>
      <c r="I1772" s="481">
        <f t="shared" si="147"/>
        <v>0</v>
      </c>
      <c r="J1772" s="482"/>
    </row>
    <row r="1773" spans="3:10">
      <c r="C1773" s="476" t="s">
        <v>2758</v>
      </c>
      <c r="D1773" s="485" t="s">
        <v>2759</v>
      </c>
      <c r="E1773" s="478" t="str">
        <f>+VLOOKUP(C1773,'AUX-NIV3'!B:F,3,FALSE)</f>
        <v>m3s.km</v>
      </c>
      <c r="F1773" s="477">
        <f>SUMIF('AUX-NIV1'!B:B,Recursos!C1773,'AUX-NIV1'!P:P)+SUMIF('AUX-NIV2'!B:B,Recursos!C1773,'AUX-NIV2'!P:P)+SUMIF('AUX-NIV3'!B:B,Recursos!C1773,'AUX-NIV3'!P:P)</f>
        <v>25.080438599876832</v>
      </c>
      <c r="G1773" s="479">
        <f>+SUMIF('AUX-NIV1'!I:I,Recursos!C1773,'AUX-NIV1'!Q:Q)+SUMIF('AUX-NIV2'!I:I,Recursos!C1773,'AUX-NIV2'!Q:Q)+SUMIF('AUX-NIV3'!I:I,Recursos!C1773,'AUX-NIV3'!Q:Q)</f>
        <v>0</v>
      </c>
      <c r="H1773" s="480">
        <f t="shared" si="146"/>
        <v>0</v>
      </c>
      <c r="I1773" s="481">
        <f t="shared" si="147"/>
        <v>0</v>
      </c>
      <c r="J1773" s="482"/>
    </row>
    <row r="1774" spans="3:10">
      <c r="C1774" s="476" t="s">
        <v>2760</v>
      </c>
      <c r="D1774" s="485" t="s">
        <v>2761</v>
      </c>
      <c r="E1774" s="478" t="str">
        <f>+VLOOKUP(C1774,'AUX-NIV3'!B:F,3,FALSE)</f>
        <v>m3c</v>
      </c>
      <c r="F1774" s="477">
        <f>SUMIF('AUX-NIV1'!B:B,Recursos!C1774,'AUX-NIV1'!P:P)+SUMIF('AUX-NIV2'!B:B,Recursos!C1774,'AUX-NIV2'!P:P)+SUMIF('AUX-NIV3'!B:B,Recursos!C1774,'AUX-NIV3'!P:P)</f>
        <v>761.87683542842274</v>
      </c>
      <c r="G1774" s="479">
        <f>+SUMIF('AUX-NIV1'!I:I,Recursos!C1774,'AUX-NIV1'!Q:Q)+SUMIF('AUX-NIV2'!I:I,Recursos!C1774,'AUX-NIV2'!Q:Q)+SUMIF('AUX-NIV3'!I:I,Recursos!C1774,'AUX-NIV3'!Q:Q)</f>
        <v>0</v>
      </c>
      <c r="H1774" s="480">
        <f t="shared" si="146"/>
        <v>0</v>
      </c>
      <c r="I1774" s="481">
        <f t="shared" si="147"/>
        <v>0</v>
      </c>
      <c r="J1774" s="482"/>
    </row>
    <row r="1775" spans="3:10">
      <c r="C1775" s="476" t="s">
        <v>2762</v>
      </c>
      <c r="D1775" s="485" t="s">
        <v>2763</v>
      </c>
      <c r="E1775" s="478" t="str">
        <f>+VLOOKUP(C1775,'AUX-NIV3'!B:F,3,FALSE)</f>
        <v>m3b</v>
      </c>
      <c r="F1775" s="477">
        <f>SUMIF('AUX-NIV1'!B:B,Recursos!C1775,'AUX-NIV1'!P:P)+SUMIF('AUX-NIV2'!B:B,Recursos!C1775,'AUX-NIV2'!P:P)+SUMIF('AUX-NIV3'!B:B,Recursos!C1775,'AUX-NIV3'!P:P)</f>
        <v>52.347526405812978</v>
      </c>
      <c r="G1775" s="479">
        <f>+SUMIF('AUX-NIV1'!I:I,Recursos!C1775,'AUX-NIV1'!Q:Q)+SUMIF('AUX-NIV2'!I:I,Recursos!C1775,'AUX-NIV2'!Q:Q)+SUMIF('AUX-NIV3'!I:I,Recursos!C1775,'AUX-NIV3'!Q:Q)</f>
        <v>0</v>
      </c>
      <c r="H1775" s="480">
        <f t="shared" si="146"/>
        <v>0</v>
      </c>
      <c r="I1775" s="481">
        <f t="shared" si="147"/>
        <v>0</v>
      </c>
      <c r="J1775" s="482"/>
    </row>
    <row r="1776" spans="3:10">
      <c r="C1776" s="476" t="s">
        <v>2764</v>
      </c>
      <c r="D1776" s="485" t="s">
        <v>2765</v>
      </c>
      <c r="E1776" s="478" t="str">
        <f>+VLOOKUP(C1776,'AUX-NIV3'!B:F,3,FALSE)</f>
        <v>m3s</v>
      </c>
      <c r="F1776" s="477">
        <f>SUMIF('AUX-NIV1'!B:B,Recursos!C1776,'AUX-NIV1'!P:P)+SUMIF('AUX-NIV2'!B:B,Recursos!C1776,'AUX-NIV2'!P:P)+SUMIF('AUX-NIV3'!B:B,Recursos!C1776,'AUX-NIV3'!P:P)</f>
        <v>17.888012535270992</v>
      </c>
      <c r="G1776" s="479">
        <f>+SUMIF('AUX-NIV1'!I:I,Recursos!C1776,'AUX-NIV1'!Q:Q)+SUMIF('AUX-NIV2'!I:I,Recursos!C1776,'AUX-NIV2'!Q:Q)+SUMIF('AUX-NIV3'!I:I,Recursos!C1776,'AUX-NIV3'!Q:Q)</f>
        <v>0</v>
      </c>
      <c r="H1776" s="480">
        <f t="shared" si="146"/>
        <v>0</v>
      </c>
      <c r="I1776" s="481">
        <f t="shared" si="147"/>
        <v>0</v>
      </c>
      <c r="J1776" s="482"/>
    </row>
    <row r="1777" spans="3:10">
      <c r="C1777" s="476" t="s">
        <v>2766</v>
      </c>
      <c r="D1777" s="485" t="s">
        <v>2767</v>
      </c>
      <c r="E1777" s="478" t="str">
        <f>+VLOOKUP(C1777,'AUX-NIV3'!B:F,3,FALSE)</f>
        <v>m3s</v>
      </c>
      <c r="F1777" s="477">
        <f>SUMIF('AUX-NIV1'!B:B,Recursos!C1777,'AUX-NIV1'!P:P)+SUMIF('AUX-NIV2'!B:B,Recursos!C1777,'AUX-NIV2'!P:P)+SUMIF('AUX-NIV3'!B:B,Recursos!C1777,'AUX-NIV3'!P:P)</f>
        <v>41.39054425771004</v>
      </c>
      <c r="G1777" s="479">
        <f>+SUMIF('AUX-NIV1'!I:I,Recursos!C1777,'AUX-NIV1'!Q:Q)+SUMIF('AUX-NIV2'!I:I,Recursos!C1777,'AUX-NIV2'!Q:Q)+SUMIF('AUX-NIV3'!I:I,Recursos!C1777,'AUX-NIV3'!Q:Q)</f>
        <v>0</v>
      </c>
      <c r="H1777" s="480">
        <f t="shared" ref="H1777:H1840" si="148">+F1777*G1777</f>
        <v>0</v>
      </c>
      <c r="I1777" s="481">
        <f t="shared" ref="I1777:I1840" si="149">+H1777/$I$3</f>
        <v>0</v>
      </c>
      <c r="J1777" s="482"/>
    </row>
    <row r="1778" spans="3:10">
      <c r="C1778" s="476" t="s">
        <v>2768</v>
      </c>
      <c r="D1778" s="485" t="s">
        <v>2769</v>
      </c>
      <c r="E1778" s="478" t="str">
        <f>+VLOOKUP(C1778,'AUX-NIV3'!B:F,3,FALSE)</f>
        <v>m3c</v>
      </c>
      <c r="F1778" s="477">
        <f>SUMIF('AUX-NIV1'!B:B,Recursos!C1778,'AUX-NIV1'!P:P)+SUMIF('AUX-NIV2'!B:B,Recursos!C1778,'AUX-NIV2'!P:P)+SUMIF('AUX-NIV3'!B:B,Recursos!C1778,'AUX-NIV3'!P:P)</f>
        <v>46.720032694329319</v>
      </c>
      <c r="G1778" s="479">
        <f>+SUMIF('AUX-NIV1'!I:I,Recursos!C1778,'AUX-NIV1'!Q:Q)+SUMIF('AUX-NIV2'!I:I,Recursos!C1778,'AUX-NIV2'!Q:Q)+SUMIF('AUX-NIV3'!I:I,Recursos!C1778,'AUX-NIV3'!Q:Q)</f>
        <v>0</v>
      </c>
      <c r="H1778" s="480">
        <f t="shared" si="148"/>
        <v>0</v>
      </c>
      <c r="I1778" s="481">
        <f t="shared" si="149"/>
        <v>0</v>
      </c>
      <c r="J1778" s="482"/>
    </row>
    <row r="1779" spans="3:10">
      <c r="C1779" s="476" t="s">
        <v>2770</v>
      </c>
      <c r="D1779" s="483" t="s">
        <v>2771</v>
      </c>
      <c r="E1779" s="221" t="str">
        <f>+VLOOKUP(C1779,'AUX-NIV2'!B:F,3,FALSE)</f>
        <v>m3c</v>
      </c>
      <c r="F1779" s="220">
        <f>SUMIF('AUX-NIV1'!B:B,Recursos!C1779,'AUX-NIV1'!P:P)+SUMIF('AUX-NIV2'!B:B,Recursos!C1779,'AUX-NIV2'!P:P)+SUMIF('AUX-NIV3'!B:B,Recursos!C1779,'AUX-NIV3'!P:P)</f>
        <v>231.00816795609555</v>
      </c>
      <c r="G1779" s="479">
        <f>+SUMIF('AUX-NIV1'!I:I,Recursos!C1779,'AUX-NIV1'!Q:Q)+SUMIF('AUX-NIV2'!I:I,Recursos!C1779,'AUX-NIV2'!Q:Q)+SUMIF('AUX-NIV3'!I:I,Recursos!C1779,'AUX-NIV3'!Q:Q)</f>
        <v>0</v>
      </c>
      <c r="H1779" s="204">
        <f t="shared" si="148"/>
        <v>0</v>
      </c>
      <c r="I1779" s="366">
        <f t="shared" si="149"/>
        <v>0</v>
      </c>
      <c r="J1779" s="484"/>
    </row>
    <row r="1780" spans="3:10">
      <c r="C1780" s="476" t="s">
        <v>2772</v>
      </c>
      <c r="D1780" s="483" t="s">
        <v>2773</v>
      </c>
      <c r="E1780" s="221" t="str">
        <f>+VLOOKUP(C1780,'AUX-NIV2'!B:F,3,FALSE)</f>
        <v>m3c</v>
      </c>
      <c r="F1780" s="220">
        <f>SUMIF('AUX-NIV1'!B:B,Recursos!C1780,'AUX-NIV1'!P:P)+SUMIF('AUX-NIV2'!B:B,Recursos!C1780,'AUX-NIV2'!P:P)+SUMIF('AUX-NIV3'!B:B,Recursos!C1780,'AUX-NIV3'!P:P)</f>
        <v>297.47300207458295</v>
      </c>
      <c r="G1780" s="479">
        <f>+SUMIF('AUX-NIV1'!I:I,Recursos!C1780,'AUX-NIV1'!Q:Q)+SUMIF('AUX-NIV2'!I:I,Recursos!C1780,'AUX-NIV2'!Q:Q)+SUMIF('AUX-NIV3'!I:I,Recursos!C1780,'AUX-NIV3'!Q:Q)</f>
        <v>0</v>
      </c>
      <c r="H1780" s="204">
        <f t="shared" si="148"/>
        <v>0</v>
      </c>
      <c r="I1780" s="366">
        <f t="shared" si="149"/>
        <v>0</v>
      </c>
      <c r="J1780" s="484"/>
    </row>
    <row r="1781" spans="3:10">
      <c r="C1781" s="476" t="s">
        <v>2774</v>
      </c>
      <c r="D1781" s="483" t="s">
        <v>2775</v>
      </c>
      <c r="E1781" s="221" t="str">
        <f>+VLOOKUP(C1781,'AUX-NIV2'!B:F,3,FALSE)</f>
        <v>m3c</v>
      </c>
      <c r="F1781" s="220">
        <f>SUMIF('AUX-NIV1'!B:B,Recursos!C1781,'AUX-NIV1'!P:P)+SUMIF('AUX-NIV2'!B:B,Recursos!C1781,'AUX-NIV2'!P:P)+SUMIF('AUX-NIV3'!B:B,Recursos!C1781,'AUX-NIV3'!P:P)</f>
        <v>788.42258766717202</v>
      </c>
      <c r="G1781" s="479">
        <f>+SUMIF('AUX-NIV1'!I:I,Recursos!C1781,'AUX-NIV1'!Q:Q)+SUMIF('AUX-NIV2'!I:I,Recursos!C1781,'AUX-NIV2'!Q:Q)+SUMIF('AUX-NIV3'!I:I,Recursos!C1781,'AUX-NIV3'!Q:Q)</f>
        <v>0</v>
      </c>
      <c r="H1781" s="204">
        <f t="shared" si="148"/>
        <v>0</v>
      </c>
      <c r="I1781" s="366">
        <f t="shared" si="149"/>
        <v>0</v>
      </c>
      <c r="J1781" s="484"/>
    </row>
    <row r="1782" spans="3:10">
      <c r="C1782" s="476" t="s">
        <v>2776</v>
      </c>
      <c r="D1782" s="485" t="s">
        <v>2777</v>
      </c>
      <c r="E1782" s="478" t="str">
        <f>+VLOOKUP(C1782,'AUX-NIV3'!B:F,3,FALSE)</f>
        <v>m3s.km</v>
      </c>
      <c r="F1782" s="477">
        <f>SUMIF('AUX-NIV1'!B:B,Recursos!C1782,'AUX-NIV1'!P:P)+SUMIF('AUX-NIV2'!B:B,Recursos!C1782,'AUX-NIV2'!P:P)+SUMIF('AUX-NIV3'!B:B,Recursos!C1782,'AUX-NIV3'!P:P)</f>
        <v>22.138741431924956</v>
      </c>
      <c r="G1782" s="479">
        <f>+SUMIF('AUX-NIV1'!I:I,Recursos!C1782,'AUX-NIV1'!Q:Q)+SUMIF('AUX-NIV2'!I:I,Recursos!C1782,'AUX-NIV2'!Q:Q)+SUMIF('AUX-NIV3'!I:I,Recursos!C1782,'AUX-NIV3'!Q:Q)</f>
        <v>0</v>
      </c>
      <c r="H1782" s="480">
        <f t="shared" si="148"/>
        <v>0</v>
      </c>
      <c r="I1782" s="481">
        <f t="shared" si="149"/>
        <v>0</v>
      </c>
      <c r="J1782" s="482"/>
    </row>
    <row r="1783" spans="3:10">
      <c r="C1783" s="476" t="s">
        <v>2778</v>
      </c>
      <c r="D1783" s="486" t="s">
        <v>1379</v>
      </c>
      <c r="E1783" s="221" t="str">
        <f>+VLOOKUP(C1783,'AUX-NIV2'!B:F,3,FALSE)</f>
        <v>m2</v>
      </c>
      <c r="F1783" s="220">
        <f>SUMIF('AUX-NIV1'!B:B,Recursos!C1783,'AUX-NIV1'!P:P)+SUMIF('AUX-NIV2'!B:B,Recursos!C1783,'AUX-NIV2'!P:P)+SUMIF('AUX-NIV3'!B:B,Recursos!C1783,'AUX-NIV3'!P:P)</f>
        <v>32.72993967561375</v>
      </c>
      <c r="G1783" s="479">
        <f>+SUMIF('AUX-NIV1'!I:I,Recursos!C1783,'AUX-NIV1'!Q:Q)+SUMIF('AUX-NIV2'!I:I,Recursos!C1783,'AUX-NIV2'!Q:Q)+SUMIF('AUX-NIV3'!I:I,Recursos!C1783,'AUX-NIV3'!Q:Q)</f>
        <v>0</v>
      </c>
      <c r="H1783" s="204">
        <f t="shared" si="148"/>
        <v>0</v>
      </c>
      <c r="I1783" s="366">
        <f t="shared" si="149"/>
        <v>0</v>
      </c>
      <c r="J1783" s="484"/>
    </row>
    <row r="1784" spans="3:10">
      <c r="C1784" s="476" t="s">
        <v>2779</v>
      </c>
      <c r="D1784" s="483" t="s">
        <v>2780</v>
      </c>
      <c r="E1784" s="221" t="str">
        <f>+VLOOKUP(C1784,'AUX-NIV2'!B:F,3,FALSE)</f>
        <v>m3</v>
      </c>
      <c r="F1784" s="220">
        <f>SUMIF('AUX-NIV1'!B:B,Recursos!C1784,'AUX-NIV1'!P:P)+SUMIF('AUX-NIV2'!B:B,Recursos!C1784,'AUX-NIV2'!P:P)+SUMIF('AUX-NIV3'!B:B,Recursos!C1784,'AUX-NIV3'!P:P)</f>
        <v>835.00912158392737</v>
      </c>
      <c r="G1784" s="479">
        <f>+SUMIF('AUX-NIV1'!I:I,Recursos!C1784,'AUX-NIV1'!Q:Q)+SUMIF('AUX-NIV2'!I:I,Recursos!C1784,'AUX-NIV2'!Q:Q)+SUMIF('AUX-NIV3'!I:I,Recursos!C1784,'AUX-NIV3'!Q:Q)</f>
        <v>0</v>
      </c>
      <c r="H1784" s="204">
        <f t="shared" si="148"/>
        <v>0</v>
      </c>
      <c r="I1784" s="366">
        <f t="shared" si="149"/>
        <v>0</v>
      </c>
      <c r="J1784" s="484"/>
    </row>
    <row r="1785" spans="3:10">
      <c r="C1785" s="476" t="s">
        <v>2781</v>
      </c>
      <c r="D1785" s="485" t="s">
        <v>2782</v>
      </c>
      <c r="E1785" s="478" t="str">
        <f>+VLOOKUP(C1785,'AUX-NIV3'!B:F,3,FALSE)</f>
        <v>m3</v>
      </c>
      <c r="F1785" s="477">
        <f>SUMIF('AUX-NIV1'!B:B,Recursos!C1785,'AUX-NIV1'!P:P)+SUMIF('AUX-NIV2'!B:B,Recursos!C1785,'AUX-NIV2'!P:P)+SUMIF('AUX-NIV3'!B:B,Recursos!C1785,'AUX-NIV3'!P:P)</f>
        <v>52.347526405812978</v>
      </c>
      <c r="G1785" s="479">
        <f>+SUMIF('AUX-NIV1'!I:I,Recursos!C1785,'AUX-NIV1'!Q:Q)+SUMIF('AUX-NIV2'!I:I,Recursos!C1785,'AUX-NIV2'!Q:Q)+SUMIF('AUX-NIV3'!I:I,Recursos!C1785,'AUX-NIV3'!Q:Q)</f>
        <v>0</v>
      </c>
      <c r="H1785" s="480">
        <f t="shared" si="148"/>
        <v>0</v>
      </c>
      <c r="I1785" s="481">
        <f t="shared" si="149"/>
        <v>0</v>
      </c>
      <c r="J1785" s="482"/>
    </row>
    <row r="1786" spans="3:10">
      <c r="C1786" s="476" t="s">
        <v>2783</v>
      </c>
      <c r="D1786" s="485" t="s">
        <v>2784</v>
      </c>
      <c r="E1786" s="478" t="str">
        <f>+VLOOKUP(C1786,'AUX-NIV3'!B:F,3,FALSE)</f>
        <v>m3</v>
      </c>
      <c r="F1786" s="477">
        <f>SUMIF('AUX-NIV1'!B:B,Recursos!C1786,'AUX-NIV1'!P:P)+SUMIF('AUX-NIV2'!B:B,Recursos!C1786,'AUX-NIV2'!P:P)+SUMIF('AUX-NIV3'!B:B,Recursos!C1786,'AUX-NIV3'!P:P)</f>
        <v>32.804741805812974</v>
      </c>
      <c r="G1786" s="479">
        <f>+SUMIF('AUX-NIV1'!I:I,Recursos!C1786,'AUX-NIV1'!Q:Q)+SUMIF('AUX-NIV2'!I:I,Recursos!C1786,'AUX-NIV2'!Q:Q)+SUMIF('AUX-NIV3'!I:I,Recursos!C1786,'AUX-NIV3'!Q:Q)</f>
        <v>0</v>
      </c>
      <c r="H1786" s="480">
        <f t="shared" si="148"/>
        <v>0</v>
      </c>
      <c r="I1786" s="481">
        <f t="shared" si="149"/>
        <v>0</v>
      </c>
      <c r="J1786" s="482"/>
    </row>
    <row r="1787" spans="3:10">
      <c r="C1787" s="476" t="s">
        <v>2785</v>
      </c>
      <c r="D1787" s="483" t="s">
        <v>2786</v>
      </c>
      <c r="E1787" s="221" t="str">
        <f>+VLOOKUP(C1787,'AUX-NIV2'!B:F,3,FALSE)</f>
        <v>m3</v>
      </c>
      <c r="F1787" s="220">
        <f>SUMIF('AUX-NIV1'!B:B,Recursos!C1787,'AUX-NIV1'!P:P)+SUMIF('AUX-NIV2'!B:B,Recursos!C1787,'AUX-NIV2'!P:P)+SUMIF('AUX-NIV3'!B:B,Recursos!C1787,'AUX-NIV3'!P:P)</f>
        <v>1114.1307890899541</v>
      </c>
      <c r="G1787" s="479">
        <f>+SUMIF('AUX-NIV1'!I:I,Recursos!C1787,'AUX-NIV1'!Q:Q)+SUMIF('AUX-NIV2'!I:I,Recursos!C1787,'AUX-NIV2'!Q:Q)+SUMIF('AUX-NIV3'!I:I,Recursos!C1787,'AUX-NIV3'!Q:Q)</f>
        <v>0</v>
      </c>
      <c r="H1787" s="204">
        <f t="shared" si="148"/>
        <v>0</v>
      </c>
      <c r="I1787" s="366">
        <f t="shared" si="149"/>
        <v>0</v>
      </c>
      <c r="J1787" s="484"/>
    </row>
    <row r="1788" spans="3:10">
      <c r="C1788" s="476" t="s">
        <v>2787</v>
      </c>
      <c r="D1788" s="483" t="s">
        <v>2788</v>
      </c>
      <c r="E1788" s="221" t="str">
        <f>+VLOOKUP(C1788,'AUX-NIV2'!B:F,3,FALSE)</f>
        <v>m3</v>
      </c>
      <c r="F1788" s="220">
        <f>SUMIF('AUX-NIV1'!B:B,Recursos!C1788,'AUX-NIV1'!P:P)+SUMIF('AUX-NIV2'!B:B,Recursos!C1788,'AUX-NIV2'!P:P)+SUMIF('AUX-NIV3'!B:B,Recursos!C1788,'AUX-NIV3'!P:P)</f>
        <v>457.83529455489833</v>
      </c>
      <c r="G1788" s="479">
        <f>+SUMIF('AUX-NIV1'!I:I,Recursos!C1788,'AUX-NIV1'!Q:Q)+SUMIF('AUX-NIV2'!I:I,Recursos!C1788,'AUX-NIV2'!Q:Q)+SUMIF('AUX-NIV3'!I:I,Recursos!C1788,'AUX-NIV3'!Q:Q)</f>
        <v>0</v>
      </c>
      <c r="H1788" s="204">
        <f t="shared" si="148"/>
        <v>0</v>
      </c>
      <c r="I1788" s="366">
        <f t="shared" si="149"/>
        <v>0</v>
      </c>
      <c r="J1788" s="484"/>
    </row>
    <row r="1789" spans="3:10">
      <c r="C1789" s="476" t="s">
        <v>2789</v>
      </c>
      <c r="D1789" s="485" t="s">
        <v>2790</v>
      </c>
      <c r="E1789" s="478" t="str">
        <f>+VLOOKUP(C1789,'AUX-NIV3'!B:F,3,FALSE)</f>
        <v>m3</v>
      </c>
      <c r="F1789" s="477">
        <f>SUMIF('AUX-NIV1'!B:B,Recursos!C1789,'AUX-NIV1'!P:P)+SUMIF('AUX-NIV2'!B:B,Recursos!C1789,'AUX-NIV2'!P:P)+SUMIF('AUX-NIV3'!B:B,Recursos!C1789,'AUX-NIV3'!P:P)</f>
        <v>214.09179920066973</v>
      </c>
      <c r="G1789" s="479">
        <f>+SUMIF('AUX-NIV1'!I:I,Recursos!C1789,'AUX-NIV1'!Q:Q)+SUMIF('AUX-NIV2'!I:I,Recursos!C1789,'AUX-NIV2'!Q:Q)+SUMIF('AUX-NIV3'!I:I,Recursos!C1789,'AUX-NIV3'!Q:Q)</f>
        <v>0</v>
      </c>
      <c r="H1789" s="480">
        <f t="shared" si="148"/>
        <v>0</v>
      </c>
      <c r="I1789" s="481">
        <f t="shared" si="149"/>
        <v>0</v>
      </c>
      <c r="J1789" s="482"/>
    </row>
    <row r="1790" spans="3:10">
      <c r="C1790" s="476" t="s">
        <v>2791</v>
      </c>
      <c r="D1790" s="485" t="s">
        <v>2792</v>
      </c>
      <c r="E1790" s="478" t="str">
        <f>+VLOOKUP(C1790,'AUX-NIV3'!B:F,3,FALSE)</f>
        <v>m3</v>
      </c>
      <c r="F1790" s="477">
        <f>SUMIF('AUX-NIV1'!B:B,Recursos!C1790,'AUX-NIV1'!P:P)+SUMIF('AUX-NIV2'!B:B,Recursos!C1790,'AUX-NIV2'!P:P)+SUMIF('AUX-NIV3'!B:B,Recursos!C1790,'AUX-NIV3'!P:P)</f>
        <v>587.22792468280022</v>
      </c>
      <c r="G1790" s="479">
        <f>+SUMIF('AUX-NIV1'!I:I,Recursos!C1790,'AUX-NIV1'!Q:Q)+SUMIF('AUX-NIV2'!I:I,Recursos!C1790,'AUX-NIV2'!Q:Q)+SUMIF('AUX-NIV3'!I:I,Recursos!C1790,'AUX-NIV3'!Q:Q)</f>
        <v>0</v>
      </c>
      <c r="H1790" s="480">
        <f t="shared" si="148"/>
        <v>0</v>
      </c>
      <c r="I1790" s="481">
        <f t="shared" si="149"/>
        <v>0</v>
      </c>
      <c r="J1790" s="482"/>
    </row>
    <row r="1791" spans="3:10">
      <c r="C1791" s="476" t="s">
        <v>2793</v>
      </c>
      <c r="D1791" s="485" t="s">
        <v>2794</v>
      </c>
      <c r="E1791" s="478" t="str">
        <f>+VLOOKUP(C1791,'AUX-NIV3'!B:F,3,FALSE)</f>
        <v>m3</v>
      </c>
      <c r="F1791" s="477">
        <f>SUMIF('AUX-NIV1'!B:B,Recursos!C1791,'AUX-NIV1'!P:P)+SUMIF('AUX-NIV2'!B:B,Recursos!C1791,'AUX-NIV2'!P:P)+SUMIF('AUX-NIV3'!B:B,Recursos!C1791,'AUX-NIV3'!P:P)</f>
        <v>133.24823468604325</v>
      </c>
      <c r="G1791" s="479">
        <f>+SUMIF('AUX-NIV1'!I:I,Recursos!C1791,'AUX-NIV1'!Q:Q)+SUMIF('AUX-NIV2'!I:I,Recursos!C1791,'AUX-NIV2'!Q:Q)+SUMIF('AUX-NIV3'!I:I,Recursos!C1791,'AUX-NIV3'!Q:Q)</f>
        <v>0</v>
      </c>
      <c r="H1791" s="480">
        <f t="shared" si="148"/>
        <v>0</v>
      </c>
      <c r="I1791" s="481">
        <f t="shared" si="149"/>
        <v>0</v>
      </c>
      <c r="J1791" s="482"/>
    </row>
    <row r="1792" spans="3:10">
      <c r="C1792" s="476" t="s">
        <v>2795</v>
      </c>
      <c r="D1792" s="483" t="s">
        <v>2796</v>
      </c>
      <c r="E1792" s="221" t="str">
        <f>+VLOOKUP(C1792,'AUX-NIV2'!B:F,3,FALSE)</f>
        <v>m3</v>
      </c>
      <c r="F1792" s="220">
        <f>SUMIF('AUX-NIV1'!B:B,Recursos!C1792,'AUX-NIV1'!P:P)+SUMIF('AUX-NIV2'!B:B,Recursos!C1792,'AUX-NIV2'!P:P)+SUMIF('AUX-NIV3'!B:B,Recursos!C1792,'AUX-NIV3'!P:P)</f>
        <v>967.75655030797327</v>
      </c>
      <c r="G1792" s="479">
        <f>+SUMIF('AUX-NIV1'!I:I,Recursos!C1792,'AUX-NIV1'!Q:Q)+SUMIF('AUX-NIV2'!I:I,Recursos!C1792,'AUX-NIV2'!Q:Q)+SUMIF('AUX-NIV3'!I:I,Recursos!C1792,'AUX-NIV3'!Q:Q)</f>
        <v>0</v>
      </c>
      <c r="H1792" s="204">
        <f t="shared" si="148"/>
        <v>0</v>
      </c>
      <c r="I1792" s="366">
        <f t="shared" si="149"/>
        <v>0</v>
      </c>
      <c r="J1792" s="484"/>
    </row>
    <row r="1793" spans="3:10">
      <c r="C1793" s="476" t="s">
        <v>2797</v>
      </c>
      <c r="D1793" s="485" t="s">
        <v>2798</v>
      </c>
      <c r="E1793" s="478" t="str">
        <f>+VLOOKUP(C1793,'AUX-NIV3'!B:F,3,FALSE)</f>
        <v>m3s.km</v>
      </c>
      <c r="F1793" s="477">
        <f>SUMIF('AUX-NIV1'!B:B,Recursos!C1793,'AUX-NIV1'!P:P)+SUMIF('AUX-NIV2'!B:B,Recursos!C1793,'AUX-NIV2'!P:P)+SUMIF('AUX-NIV3'!B:B,Recursos!C1793,'AUX-NIV3'!P:P)</f>
        <v>16.0627437751833</v>
      </c>
      <c r="G1793" s="479">
        <f>+SUMIF('AUX-NIV1'!I:I,Recursos!C1793,'AUX-NIV1'!Q:Q)+SUMIF('AUX-NIV2'!I:I,Recursos!C1793,'AUX-NIV2'!Q:Q)+SUMIF('AUX-NIV3'!I:I,Recursos!C1793,'AUX-NIV3'!Q:Q)</f>
        <v>0</v>
      </c>
      <c r="H1793" s="480">
        <f t="shared" si="148"/>
        <v>0</v>
      </c>
      <c r="I1793" s="481">
        <f t="shared" si="149"/>
        <v>0</v>
      </c>
      <c r="J1793" s="482"/>
    </row>
    <row r="1794" spans="3:10">
      <c r="C1794" s="476" t="s">
        <v>2799</v>
      </c>
      <c r="D1794" s="485" t="s">
        <v>2800</v>
      </c>
      <c r="E1794" s="478" t="str">
        <f>+VLOOKUP(C1794,'AUX-NIV3'!B:F,3,FALSE)</f>
        <v>hs</v>
      </c>
      <c r="F1794" s="477">
        <f>SUMIF('AUX-NIV1'!B:B,Recursos!C1794,'AUX-NIV1'!P:P)+SUMIF('AUX-NIV2'!B:B,Recursos!C1794,'AUX-NIV2'!P:P)+SUMIF('AUX-NIV3'!B:B,Recursos!C1794,'AUX-NIV3'!P:P)</f>
        <v>16069.345642697212</v>
      </c>
      <c r="G1794" s="479">
        <f>+SUMIF('AUX-NIV1'!I:I,Recursos!C1794,'AUX-NIV1'!Q:Q)+SUMIF('AUX-NIV2'!I:I,Recursos!C1794,'AUX-NIV2'!Q:Q)+SUMIF('AUX-NIV3'!I:I,Recursos!C1794,'AUX-NIV3'!Q:Q)</f>
        <v>0</v>
      </c>
      <c r="H1794" s="480">
        <f t="shared" si="148"/>
        <v>0</v>
      </c>
      <c r="I1794" s="481">
        <f t="shared" si="149"/>
        <v>0</v>
      </c>
      <c r="J1794" s="482"/>
    </row>
    <row r="1795" spans="3:10">
      <c r="C1795" s="476" t="s">
        <v>2801</v>
      </c>
      <c r="D1795" s="483" t="s">
        <v>2802</v>
      </c>
      <c r="E1795" s="221" t="str">
        <f>+VLOOKUP(C1795,'AUX-NIV2'!B:F,3,FALSE)</f>
        <v>m3</v>
      </c>
      <c r="F1795" s="220">
        <f>SUMIF('AUX-NIV1'!B:B,Recursos!C1795,'AUX-NIV1'!P:P)+SUMIF('AUX-NIV2'!B:B,Recursos!C1795,'AUX-NIV2'!P:P)+SUMIF('AUX-NIV3'!B:B,Recursos!C1795,'AUX-NIV3'!P:P)</f>
        <v>1941.1488888924177</v>
      </c>
      <c r="G1795" s="479">
        <f>+SUMIF('AUX-NIV1'!I:I,Recursos!C1795,'AUX-NIV1'!Q:Q)+SUMIF('AUX-NIV2'!I:I,Recursos!C1795,'AUX-NIV2'!Q:Q)+SUMIF('AUX-NIV3'!I:I,Recursos!C1795,'AUX-NIV3'!Q:Q)</f>
        <v>0</v>
      </c>
      <c r="H1795" s="204">
        <f t="shared" si="148"/>
        <v>0</v>
      </c>
      <c r="I1795" s="487">
        <f t="shared" si="149"/>
        <v>0</v>
      </c>
      <c r="J1795" s="484"/>
    </row>
    <row r="1796" spans="3:10">
      <c r="C1796" s="476" t="s">
        <v>2803</v>
      </c>
      <c r="D1796" s="483" t="s">
        <v>2804</v>
      </c>
      <c r="E1796" s="221" t="str">
        <f>+VLOOKUP(C1796,'AUX-NIV2'!B:F,3,FALSE)</f>
        <v>m3</v>
      </c>
      <c r="F1796" s="220">
        <f>SUMIF('AUX-NIV1'!B:B,Recursos!C1796,'AUX-NIV1'!P:P)+SUMIF('AUX-NIV2'!B:B,Recursos!C1796,'AUX-NIV2'!P:P)+SUMIF('AUX-NIV3'!B:B,Recursos!C1796,'AUX-NIV3'!P:P)</f>
        <v>493.26614093958966</v>
      </c>
      <c r="G1796" s="479">
        <f>+SUMIF('AUX-NIV1'!I:I,Recursos!C1796,'AUX-NIV1'!Q:Q)+SUMIF('AUX-NIV2'!I:I,Recursos!C1796,'AUX-NIV2'!Q:Q)+SUMIF('AUX-NIV3'!I:I,Recursos!C1796,'AUX-NIV3'!Q:Q)</f>
        <v>0</v>
      </c>
      <c r="H1796" s="204">
        <f t="shared" si="148"/>
        <v>0</v>
      </c>
      <c r="I1796" s="487">
        <f t="shared" si="149"/>
        <v>0</v>
      </c>
      <c r="J1796" s="484"/>
    </row>
    <row r="1797" spans="3:10">
      <c r="C1797" s="476" t="s">
        <v>2805</v>
      </c>
      <c r="D1797" s="483" t="s">
        <v>2806</v>
      </c>
      <c r="E1797" s="221" t="str">
        <f>+VLOOKUP(C1797,'AUX-NIV2'!B:F,3,FALSE)</f>
        <v>m3</v>
      </c>
      <c r="F1797" s="220">
        <f>SUMIF('AUX-NIV1'!B:B,Recursos!C1797,'AUX-NIV1'!P:P)+SUMIF('AUX-NIV2'!B:B,Recursos!C1797,'AUX-NIV2'!P:P)+SUMIF('AUX-NIV3'!B:B,Recursos!C1797,'AUX-NIV3'!P:P)</f>
        <v>1101.9330410897853</v>
      </c>
      <c r="G1797" s="479">
        <f>+SUMIF('AUX-NIV1'!I:I,Recursos!C1797,'AUX-NIV1'!Q:Q)+SUMIF('AUX-NIV2'!I:I,Recursos!C1797,'AUX-NIV2'!Q:Q)+SUMIF('AUX-NIV3'!I:I,Recursos!C1797,'AUX-NIV3'!Q:Q)</f>
        <v>0</v>
      </c>
      <c r="H1797" s="204">
        <f t="shared" si="148"/>
        <v>0</v>
      </c>
      <c r="I1797" s="487">
        <f t="shared" si="149"/>
        <v>0</v>
      </c>
      <c r="J1797" s="484"/>
    </row>
    <row r="1798" spans="3:10">
      <c r="C1798" s="476" t="s">
        <v>2807</v>
      </c>
      <c r="D1798" s="483" t="s">
        <v>2808</v>
      </c>
      <c r="E1798" s="221" t="str">
        <f>+VLOOKUP(C1798,'AUX-NIV2'!B:F,3,FALSE)</f>
        <v>m3s</v>
      </c>
      <c r="F1798" s="220">
        <f>SUMIF('AUX-NIV1'!B:B,Recursos!C1798,'AUX-NIV1'!P:P)+SUMIF('AUX-NIV2'!B:B,Recursos!C1798,'AUX-NIV2'!P:P)+SUMIF('AUX-NIV3'!B:B,Recursos!C1798,'AUX-NIV3'!P:P)</f>
        <v>60.559813114153684</v>
      </c>
      <c r="G1798" s="479">
        <f>+SUMIF('AUX-NIV1'!I:I,Recursos!C1798,'AUX-NIV1'!Q:Q)+SUMIF('AUX-NIV2'!I:I,Recursos!C1798,'AUX-NIV2'!Q:Q)+SUMIF('AUX-NIV3'!I:I,Recursos!C1798,'AUX-NIV3'!Q:Q)</f>
        <v>0</v>
      </c>
      <c r="H1798" s="204">
        <f t="shared" si="148"/>
        <v>0</v>
      </c>
      <c r="I1798" s="487">
        <f t="shared" si="149"/>
        <v>0</v>
      </c>
      <c r="J1798" s="484"/>
    </row>
    <row r="1799" spans="3:10">
      <c r="C1799" s="476" t="s">
        <v>2809</v>
      </c>
      <c r="D1799" s="483" t="s">
        <v>2810</v>
      </c>
      <c r="E1799" s="221" t="str">
        <f>+VLOOKUP(C1799,'AUX-NIV2'!B:F,3,FALSE)</f>
        <v>m3</v>
      </c>
      <c r="F1799" s="220">
        <f>SUMIF('AUX-NIV1'!B:B,Recursos!C1799,'AUX-NIV1'!P:P)+SUMIF('AUX-NIV2'!B:B,Recursos!C1799,'AUX-NIV2'!P:P)+SUMIF('AUX-NIV3'!B:B,Recursos!C1799,'AUX-NIV3'!P:P)</f>
        <v>29.613028561023619</v>
      </c>
      <c r="G1799" s="479">
        <f>+SUMIF('AUX-NIV1'!I:I,Recursos!C1799,'AUX-NIV1'!Q:Q)+SUMIF('AUX-NIV2'!I:I,Recursos!C1799,'AUX-NIV2'!Q:Q)+SUMIF('AUX-NIV3'!I:I,Recursos!C1799,'AUX-NIV3'!Q:Q)</f>
        <v>0</v>
      </c>
      <c r="H1799" s="204">
        <f t="shared" si="148"/>
        <v>0</v>
      </c>
      <c r="I1799" s="487">
        <f t="shared" si="149"/>
        <v>0</v>
      </c>
      <c r="J1799" s="484"/>
    </row>
    <row r="1800" spans="3:10">
      <c r="C1800" s="476" t="s">
        <v>2811</v>
      </c>
      <c r="D1800" s="483" t="s">
        <v>2812</v>
      </c>
      <c r="E1800" s="221" t="str">
        <f>+VLOOKUP(C1800,'AUX-NIV2'!B:F,3,FALSE)</f>
        <v>m3</v>
      </c>
      <c r="F1800" s="220">
        <f>SUMIF('AUX-NIV1'!B:B,Recursos!C1800,'AUX-NIV1'!P:P)+SUMIF('AUX-NIV2'!B:B,Recursos!C1800,'AUX-NIV2'!P:P)+SUMIF('AUX-NIV3'!B:B,Recursos!C1800,'AUX-NIV3'!P:P)</f>
        <v>71.552050141083967</v>
      </c>
      <c r="G1800" s="479">
        <f>+SUMIF('AUX-NIV1'!I:I,Recursos!C1800,'AUX-NIV1'!Q:Q)+SUMIF('AUX-NIV2'!I:I,Recursos!C1800,'AUX-NIV2'!Q:Q)+SUMIF('AUX-NIV3'!I:I,Recursos!C1800,'AUX-NIV3'!Q:Q)</f>
        <v>0</v>
      </c>
      <c r="H1800" s="204">
        <f t="shared" si="148"/>
        <v>0</v>
      </c>
      <c r="I1800" s="487">
        <f t="shared" si="149"/>
        <v>0</v>
      </c>
      <c r="J1800" s="484"/>
    </row>
    <row r="1801" spans="3:10">
      <c r="C1801" s="476" t="s">
        <v>2813</v>
      </c>
      <c r="D1801" s="483" t="s">
        <v>2814</v>
      </c>
      <c r="E1801" s="221" t="str">
        <f>+VLOOKUP(C1801,'AUX-NIV2'!B:F,3,FALSE)</f>
        <v>m3</v>
      </c>
      <c r="F1801" s="220">
        <f>SUMIF('AUX-NIV1'!B:B,Recursos!C1801,'AUX-NIV1'!P:P)+SUMIF('AUX-NIV2'!B:B,Recursos!C1801,'AUX-NIV2'!P:P)+SUMIF('AUX-NIV3'!B:B,Recursos!C1801,'AUX-NIV3'!P:P)</f>
        <v>107.32807521162594</v>
      </c>
      <c r="G1801" s="479">
        <f>+SUMIF('AUX-NIV1'!I:I,Recursos!C1801,'AUX-NIV1'!Q:Q)+SUMIF('AUX-NIV2'!I:I,Recursos!C1801,'AUX-NIV2'!Q:Q)+SUMIF('AUX-NIV3'!I:I,Recursos!C1801,'AUX-NIV3'!Q:Q)</f>
        <v>0</v>
      </c>
      <c r="H1801" s="204">
        <f t="shared" si="148"/>
        <v>0</v>
      </c>
      <c r="I1801" s="487">
        <f t="shared" si="149"/>
        <v>0</v>
      </c>
      <c r="J1801" s="484"/>
    </row>
    <row r="1802" spans="3:10">
      <c r="C1802" s="476" t="s">
        <v>2815</v>
      </c>
      <c r="D1802" s="483" t="s">
        <v>1485</v>
      </c>
      <c r="E1802" s="221" t="str">
        <f>+VLOOKUP(C1802,'AUX-NIV2'!B:F,3,FALSE)</f>
        <v>m3</v>
      </c>
      <c r="F1802" s="220">
        <f>SUMIF('AUX-NIV1'!B:B,Recursos!C1802,'AUX-NIV1'!P:P)+SUMIF('AUX-NIV2'!B:B,Recursos!C1802,'AUX-NIV2'!P:P)+SUMIF('AUX-NIV3'!B:B,Recursos!C1802,'AUX-NIV3'!P:P)</f>
        <v>69.772044176789194</v>
      </c>
      <c r="G1802" s="479">
        <f>+SUMIF('AUX-NIV1'!I:I,Recursos!C1802,'AUX-NIV1'!Q:Q)+SUMIF('AUX-NIV2'!I:I,Recursos!C1802,'AUX-NIV2'!Q:Q)+SUMIF('AUX-NIV3'!I:I,Recursos!C1802,'AUX-NIV3'!Q:Q)</f>
        <v>0</v>
      </c>
      <c r="H1802" s="204">
        <f t="shared" si="148"/>
        <v>0</v>
      </c>
      <c r="I1802" s="487">
        <f t="shared" si="149"/>
        <v>0</v>
      </c>
      <c r="J1802" s="484"/>
    </row>
    <row r="1803" spans="3:10">
      <c r="C1803" s="476" t="s">
        <v>2816</v>
      </c>
      <c r="D1803" s="483" t="s">
        <v>2817</v>
      </c>
      <c r="E1803" s="221" t="str">
        <f>+VLOOKUP(C1803,'AUX-NIV2'!B:F,3,FALSE)</f>
        <v>m3</v>
      </c>
      <c r="F1803" s="220">
        <f>SUMIF('AUX-NIV1'!B:B,Recursos!C1803,'AUX-NIV1'!P:P)+SUMIF('AUX-NIV2'!B:B,Recursos!C1803,'AUX-NIV2'!P:P)+SUMIF('AUX-NIV3'!B:B,Recursos!C1803,'AUX-NIV3'!P:P)</f>
        <v>731.32286155504607</v>
      </c>
      <c r="G1803" s="479">
        <f>+SUMIF('AUX-NIV1'!I:I,Recursos!C1803,'AUX-NIV1'!Q:Q)+SUMIF('AUX-NIV2'!I:I,Recursos!C1803,'AUX-NIV2'!Q:Q)+SUMIF('AUX-NIV3'!I:I,Recursos!C1803,'AUX-NIV3'!Q:Q)</f>
        <v>0</v>
      </c>
      <c r="H1803" s="204">
        <f t="shared" si="148"/>
        <v>0</v>
      </c>
      <c r="I1803" s="487">
        <f t="shared" si="149"/>
        <v>0</v>
      </c>
      <c r="J1803" s="484"/>
    </row>
    <row r="1804" spans="3:10">
      <c r="C1804" s="476" t="s">
        <v>2818</v>
      </c>
      <c r="D1804" s="483" t="s">
        <v>2819</v>
      </c>
      <c r="E1804" s="221" t="str">
        <f>+VLOOKUP(C1804,'AUX-NIV2'!B:F,3,FALSE)</f>
        <v>m3s.km</v>
      </c>
      <c r="F1804" s="220">
        <f>SUMIF('AUX-NIV1'!B:B,Recursos!C1804,'AUX-NIV1'!P:P)+SUMIF('AUX-NIV2'!B:B,Recursos!C1804,'AUX-NIV2'!P:P)+SUMIF('AUX-NIV3'!B:B,Recursos!C1804,'AUX-NIV3'!P:P)</f>
        <v>25.080438599876832</v>
      </c>
      <c r="G1804" s="479">
        <f>+SUMIF('AUX-NIV1'!I:I,Recursos!C1804,'AUX-NIV1'!Q:Q)+SUMIF('AUX-NIV2'!I:I,Recursos!C1804,'AUX-NIV2'!Q:Q)+SUMIF('AUX-NIV3'!I:I,Recursos!C1804,'AUX-NIV3'!Q:Q)</f>
        <v>0</v>
      </c>
      <c r="H1804" s="204">
        <f t="shared" si="148"/>
        <v>0</v>
      </c>
      <c r="I1804" s="487">
        <f t="shared" si="149"/>
        <v>0</v>
      </c>
      <c r="J1804" s="484"/>
    </row>
    <row r="1805" spans="3:10">
      <c r="C1805" s="476" t="s">
        <v>2820</v>
      </c>
      <c r="D1805" s="483" t="s">
        <v>2821</v>
      </c>
      <c r="E1805" s="221" t="str">
        <f>+VLOOKUP(C1805,'AUX-NIV2'!B:F,3,FALSE)</f>
        <v>m3</v>
      </c>
      <c r="F1805" s="220">
        <f>SUMIF('AUX-NIV1'!B:B,Recursos!C1805,'AUX-NIV1'!P:P)+SUMIF('AUX-NIV2'!B:B,Recursos!C1805,'AUX-NIV2'!P:P)+SUMIF('AUX-NIV3'!B:B,Recursos!C1805,'AUX-NIV3'!P:P)</f>
        <v>1399.0938009306765</v>
      </c>
      <c r="G1805" s="479">
        <f>+SUMIF('AUX-NIV1'!I:I,Recursos!C1805,'AUX-NIV1'!Q:Q)+SUMIF('AUX-NIV2'!I:I,Recursos!C1805,'AUX-NIV2'!Q:Q)+SUMIF('AUX-NIV3'!I:I,Recursos!C1805,'AUX-NIV3'!Q:Q)</f>
        <v>0</v>
      </c>
      <c r="H1805" s="204">
        <f t="shared" si="148"/>
        <v>0</v>
      </c>
      <c r="I1805" s="487">
        <f t="shared" si="149"/>
        <v>0</v>
      </c>
      <c r="J1805" s="484"/>
    </row>
    <row r="1806" spans="3:10">
      <c r="C1806" s="476" t="s">
        <v>2822</v>
      </c>
      <c r="D1806" s="483" t="s">
        <v>2823</v>
      </c>
      <c r="E1806" s="221" t="str">
        <f>+VLOOKUP(C1806,'AUX-NIV2'!B:F,3,FALSE)</f>
        <v>tn</v>
      </c>
      <c r="F1806" s="220">
        <f>SUMIF('AUX-NIV1'!B:B,Recursos!C1806,'AUX-NIV1'!P:P)+SUMIF('AUX-NIV2'!B:B,Recursos!C1806,'AUX-NIV2'!P:P)+SUMIF('AUX-NIV3'!B:B,Recursos!C1806,'AUX-NIV3'!P:P)</f>
        <v>3967.0163294574568</v>
      </c>
      <c r="G1806" s="479">
        <f>+SUMIF('AUX-NIV1'!I:I,Recursos!C1806,'AUX-NIV1'!Q:Q)+SUMIF('AUX-NIV2'!I:I,Recursos!C1806,'AUX-NIV2'!Q:Q)+SUMIF('AUX-NIV3'!I:I,Recursos!C1806,'AUX-NIV3'!Q:Q)</f>
        <v>0</v>
      </c>
      <c r="H1806" s="204">
        <f t="shared" si="148"/>
        <v>0</v>
      </c>
      <c r="I1806" s="487">
        <f t="shared" si="149"/>
        <v>0</v>
      </c>
      <c r="J1806" s="484"/>
    </row>
    <row r="1807" spans="3:10">
      <c r="C1807" s="476" t="s">
        <v>2824</v>
      </c>
      <c r="D1807" s="483" t="s">
        <v>2825</v>
      </c>
      <c r="E1807" s="221" t="str">
        <f>+VLOOKUP(C1807,'AUX-NIV2'!B:F,3,FALSE)</f>
        <v>hs</v>
      </c>
      <c r="F1807" s="220">
        <f>SUMIF('AUX-NIV1'!B:B,Recursos!C1807,'AUX-NIV1'!P:P)+SUMIF('AUX-NIV2'!B:B,Recursos!C1807,'AUX-NIV2'!P:P)+SUMIF('AUX-NIV3'!B:B,Recursos!C1807,'AUX-NIV3'!P:P)</f>
        <v>21565.684974203687</v>
      </c>
      <c r="G1807" s="479">
        <f>+SUMIF('AUX-NIV1'!I:I,Recursos!C1807,'AUX-NIV1'!Q:Q)+SUMIF('AUX-NIV2'!I:I,Recursos!C1807,'AUX-NIV2'!Q:Q)+SUMIF('AUX-NIV3'!I:I,Recursos!C1807,'AUX-NIV3'!Q:Q)</f>
        <v>0</v>
      </c>
      <c r="H1807" s="204">
        <f t="shared" si="148"/>
        <v>0</v>
      </c>
      <c r="I1807" s="487">
        <f t="shared" si="149"/>
        <v>0</v>
      </c>
      <c r="J1807" s="484"/>
    </row>
    <row r="1808" spans="3:10">
      <c r="C1808" s="476" t="s">
        <v>2826</v>
      </c>
      <c r="D1808" s="483" t="s">
        <v>2827</v>
      </c>
      <c r="E1808" s="221" t="str">
        <f>+VLOOKUP(C1808,'AUX-NIV2'!B:F,3,FALSE)</f>
        <v>tn</v>
      </c>
      <c r="F1808" s="220">
        <f>SUMIF('AUX-NIV1'!B:B,Recursos!C1808,'AUX-NIV1'!P:P)+SUMIF('AUX-NIV2'!B:B,Recursos!C1808,'AUX-NIV2'!P:P)+SUMIF('AUX-NIV3'!B:B,Recursos!C1808,'AUX-NIV3'!P:P)</f>
        <v>316.42825226888021</v>
      </c>
      <c r="G1808" s="479">
        <f>+SUMIF('AUX-NIV1'!I:I,Recursos!C1808,'AUX-NIV1'!Q:Q)+SUMIF('AUX-NIV2'!I:I,Recursos!C1808,'AUX-NIV2'!Q:Q)+SUMIF('AUX-NIV3'!I:I,Recursos!C1808,'AUX-NIV3'!Q:Q)</f>
        <v>0</v>
      </c>
      <c r="H1808" s="204">
        <f t="shared" si="148"/>
        <v>0</v>
      </c>
      <c r="I1808" s="487">
        <f t="shared" si="149"/>
        <v>0</v>
      </c>
      <c r="J1808" s="484"/>
    </row>
    <row r="1809" spans="3:10">
      <c r="C1809" s="476" t="s">
        <v>2828</v>
      </c>
      <c r="D1809" s="483" t="s">
        <v>2829</v>
      </c>
      <c r="E1809" s="221" t="str">
        <f>+VLOOKUP(C1809,'AUX-NIV2'!B:F,3,FALSE)</f>
        <v>tn</v>
      </c>
      <c r="F1809" s="220">
        <f>SUMIF('AUX-NIV1'!B:B,Recursos!C1809,'AUX-NIV1'!P:P)+SUMIF('AUX-NIV2'!B:B,Recursos!C1809,'AUX-NIV2'!P:P)+SUMIF('AUX-NIV3'!B:B,Recursos!C1809,'AUX-NIV3'!P:P)</f>
        <v>3967.0163294574568</v>
      </c>
      <c r="G1809" s="479">
        <f>+SUMIF('AUX-NIV1'!I:I,Recursos!C1809,'AUX-NIV1'!Q:Q)+SUMIF('AUX-NIV2'!I:I,Recursos!C1809,'AUX-NIV2'!Q:Q)+SUMIF('AUX-NIV3'!I:I,Recursos!C1809,'AUX-NIV3'!Q:Q)</f>
        <v>0</v>
      </c>
      <c r="H1809" s="204">
        <f t="shared" si="148"/>
        <v>0</v>
      </c>
      <c r="I1809" s="487">
        <f t="shared" si="149"/>
        <v>0</v>
      </c>
      <c r="J1809" s="484"/>
    </row>
    <row r="1810" spans="3:10">
      <c r="C1810" s="476" t="s">
        <v>2830</v>
      </c>
      <c r="D1810" s="483" t="s">
        <v>2831</v>
      </c>
      <c r="E1810" s="221" t="str">
        <f>+VLOOKUP(C1810,'AUX-NIV2'!B:F,3,FALSE)</f>
        <v>tn</v>
      </c>
      <c r="F1810" s="220">
        <f>SUMIF('AUX-NIV1'!B:B,Recursos!C1810,'AUX-NIV1'!P:P)+SUMIF('AUX-NIV2'!B:B,Recursos!C1810,'AUX-NIV2'!P:P)+SUMIF('AUX-NIV3'!B:B,Recursos!C1810,'AUX-NIV3'!P:P)</f>
        <v>316.42825226888021</v>
      </c>
      <c r="G1810" s="479">
        <f>+SUMIF('AUX-NIV1'!I:I,Recursos!C1810,'AUX-NIV1'!Q:Q)+SUMIF('AUX-NIV2'!I:I,Recursos!C1810,'AUX-NIV2'!Q:Q)+SUMIF('AUX-NIV3'!I:I,Recursos!C1810,'AUX-NIV3'!Q:Q)</f>
        <v>0</v>
      </c>
      <c r="H1810" s="204">
        <f t="shared" si="148"/>
        <v>0</v>
      </c>
      <c r="I1810" s="487">
        <f t="shared" si="149"/>
        <v>0</v>
      </c>
      <c r="J1810" s="484"/>
    </row>
    <row r="1811" spans="3:10">
      <c r="C1811" s="476" t="s">
        <v>2832</v>
      </c>
      <c r="D1811" s="485" t="s">
        <v>2833</v>
      </c>
      <c r="E1811" s="478" t="str">
        <f>+VLOOKUP(C1811,'AUX-NIV3'!B:F,3,FALSE)</f>
        <v>tn</v>
      </c>
      <c r="F1811" s="477">
        <f>SUMIF('AUX-NIV1'!B:B,Recursos!C1811,'AUX-NIV1'!P:P)+SUMIF('AUX-NIV2'!B:B,Recursos!C1811,'AUX-NIV2'!P:P)+SUMIF('AUX-NIV3'!B:B,Recursos!C1811,'AUX-NIV3'!P:P)</f>
        <v>649.41183802392516</v>
      </c>
      <c r="G1811" s="479">
        <f>+SUMIF('AUX-NIV1'!I:I,Recursos!C1811,'AUX-NIV1'!Q:Q)+SUMIF('AUX-NIV2'!I:I,Recursos!C1811,'AUX-NIV2'!Q:Q)+SUMIF('AUX-NIV3'!I:I,Recursos!C1811,'AUX-NIV3'!Q:Q)</f>
        <v>0</v>
      </c>
      <c r="H1811" s="480">
        <f t="shared" si="148"/>
        <v>0</v>
      </c>
      <c r="I1811" s="481">
        <f t="shared" si="149"/>
        <v>0</v>
      </c>
      <c r="J1811" s="482"/>
    </row>
    <row r="1812" spans="3:10">
      <c r="C1812" s="476" t="s">
        <v>2834</v>
      </c>
      <c r="D1812" s="483" t="s">
        <v>2835</v>
      </c>
      <c r="E1812" s="221" t="str">
        <f>+VLOOKUP(C1812,'AUX-NIV2'!B:F,3,FALSE)</f>
        <v>m2</v>
      </c>
      <c r="F1812" s="220">
        <f>SUMIF('AUX-NIV1'!B:B,Recursos!C1812,'AUX-NIV1'!P:P)+SUMIF('AUX-NIV2'!B:B,Recursos!C1812,'AUX-NIV2'!P:P)+SUMIF('AUX-NIV3'!B:B,Recursos!C1812,'AUX-NIV3'!P:P)</f>
        <v>218.48085240030903</v>
      </c>
      <c r="G1812" s="479">
        <f>+SUMIF('AUX-NIV1'!I:I,Recursos!C1812,'AUX-NIV1'!Q:Q)+SUMIF('AUX-NIV2'!I:I,Recursos!C1812,'AUX-NIV2'!Q:Q)+SUMIF('AUX-NIV3'!I:I,Recursos!C1812,'AUX-NIV3'!Q:Q)</f>
        <v>0</v>
      </c>
      <c r="H1812" s="204">
        <f t="shared" si="148"/>
        <v>0</v>
      </c>
      <c r="I1812" s="366">
        <f t="shared" si="149"/>
        <v>0</v>
      </c>
      <c r="J1812" s="484"/>
    </row>
    <row r="1813" spans="3:10">
      <c r="C1813" s="476" t="s">
        <v>2836</v>
      </c>
      <c r="D1813" s="483" t="s">
        <v>2837</v>
      </c>
      <c r="E1813" s="221" t="str">
        <f>+VLOOKUP(C1813,'AUX-NIV2'!B:F,3,FALSE)</f>
        <v>m2</v>
      </c>
      <c r="F1813" s="220">
        <f>SUMIF('AUX-NIV1'!B:B,Recursos!C1813,'AUX-NIV1'!P:P)+SUMIF('AUX-NIV2'!B:B,Recursos!C1813,'AUX-NIV2'!P:P)+SUMIF('AUX-NIV3'!B:B,Recursos!C1813,'AUX-NIV3'!P:P)</f>
        <v>265.98749148943017</v>
      </c>
      <c r="G1813" s="479">
        <f>+SUMIF('AUX-NIV1'!I:I,Recursos!C1813,'AUX-NIV1'!Q:Q)+SUMIF('AUX-NIV2'!I:I,Recursos!C1813,'AUX-NIV2'!Q:Q)+SUMIF('AUX-NIV3'!I:I,Recursos!C1813,'AUX-NIV3'!Q:Q)</f>
        <v>0</v>
      </c>
      <c r="H1813" s="204">
        <f t="shared" si="148"/>
        <v>0</v>
      </c>
      <c r="I1813" s="366">
        <f t="shared" si="149"/>
        <v>0</v>
      </c>
      <c r="J1813" s="484"/>
    </row>
    <row r="1814" spans="3:10">
      <c r="C1814" s="476" t="s">
        <v>1525</v>
      </c>
      <c r="D1814" s="485" t="s">
        <v>1526</v>
      </c>
      <c r="E1814" s="478" t="str">
        <f>+VLOOKUP(C1814,'AUX-NIV3'!B:F,3,FALSE)</f>
        <v>tn</v>
      </c>
      <c r="F1814" s="477">
        <f>SUMIF('AUX-NIV1'!B:B,Recursos!C1814,'AUX-NIV1'!P:P)+SUMIF('AUX-NIV2'!B:B,Recursos!C1814,'AUX-NIV2'!P:P)+SUMIF('AUX-NIV3'!B:B,Recursos!C1814,'AUX-NIV3'!P:P)</f>
        <v>346.12398419675657</v>
      </c>
      <c r="G1814" s="479">
        <f>+SUMIF('AUX-NIV1'!I:I,Recursos!C1814,'AUX-NIV1'!Q:Q)+SUMIF('AUX-NIV2'!I:I,Recursos!C1814,'AUX-NIV2'!Q:Q)+SUMIF('AUX-NIV3'!I:I,Recursos!C1814,'AUX-NIV3'!Q:Q)</f>
        <v>0</v>
      </c>
      <c r="H1814" s="480">
        <f t="shared" si="148"/>
        <v>0</v>
      </c>
      <c r="I1814" s="481">
        <f t="shared" si="149"/>
        <v>0</v>
      </c>
      <c r="J1814" s="482"/>
    </row>
    <row r="1815" spans="3:10">
      <c r="C1815" s="476" t="s">
        <v>2838</v>
      </c>
      <c r="D1815" s="485" t="s">
        <v>1526</v>
      </c>
      <c r="E1815" s="478" t="str">
        <f>+VLOOKUP(C1815,'AUX-NIV2'!B:F,3,FALSE)</f>
        <v>TN</v>
      </c>
      <c r="F1815" s="477">
        <f>SUMIF('AUX-NIV1'!B:B,Recursos!C1815,'AUX-NIV1'!P:P)+SUMIF('AUX-NIV2'!B:B,Recursos!C1815,'AUX-NIV2'!P:P)+SUMIF('AUX-NIV3'!B:B,Recursos!C1815,'AUX-NIV3'!P:P)</f>
        <v>346.12398419675657</v>
      </c>
      <c r="G1815" s="479">
        <f>+SUMIF('AUX-NIV1'!I:I,Recursos!C1815,'AUX-NIV1'!Q:Q)+SUMIF('AUX-NIV2'!I:I,Recursos!C1815,'AUX-NIV2'!Q:Q)+SUMIF('AUX-NIV3'!I:I,Recursos!C1815,'AUX-NIV3'!Q:Q)</f>
        <v>0</v>
      </c>
      <c r="H1815" s="480">
        <f t="shared" si="148"/>
        <v>0</v>
      </c>
      <c r="I1815" s="481">
        <f t="shared" si="149"/>
        <v>0</v>
      </c>
      <c r="J1815" s="482"/>
    </row>
    <row r="1816" spans="3:10">
      <c r="C1816" s="476" t="s">
        <v>1529</v>
      </c>
      <c r="D1816" s="485" t="s">
        <v>1530</v>
      </c>
      <c r="E1816" s="478" t="str">
        <f>+VLOOKUP(C1816,'AUX-NIV3'!B:F,3,FALSE)</f>
        <v>tn</v>
      </c>
      <c r="F1816" s="477">
        <f>SUMIF('AUX-NIV1'!B:B,Recursos!C1816,'AUX-NIV1'!P:P)+SUMIF('AUX-NIV2'!B:B,Recursos!C1816,'AUX-NIV2'!P:P)+SUMIF('AUX-NIV3'!B:B,Recursos!C1816,'AUX-NIV3'!P:P)</f>
        <v>346.12398419675657</v>
      </c>
      <c r="G1816" s="479">
        <f>+SUMIF('AUX-NIV1'!I:I,Recursos!C1816,'AUX-NIV1'!Q:Q)+SUMIF('AUX-NIV2'!I:I,Recursos!C1816,'AUX-NIV2'!Q:Q)+SUMIF('AUX-NIV3'!I:I,Recursos!C1816,'AUX-NIV3'!Q:Q)</f>
        <v>0</v>
      </c>
      <c r="H1816" s="480">
        <f t="shared" si="148"/>
        <v>0</v>
      </c>
      <c r="I1816" s="481">
        <f t="shared" si="149"/>
        <v>0</v>
      </c>
      <c r="J1816" s="482"/>
    </row>
    <row r="1817" spans="3:10">
      <c r="C1817" s="476" t="s">
        <v>2839</v>
      </c>
      <c r="D1817" s="485" t="s">
        <v>1530</v>
      </c>
      <c r="E1817" s="478" t="str">
        <f>+VLOOKUP(C1817,'AUX-NIV2'!B:F,3,FALSE)</f>
        <v>TN</v>
      </c>
      <c r="F1817" s="477">
        <f>SUMIF('AUX-NIV1'!B:B,Recursos!C1817,'AUX-NIV1'!P:P)+SUMIF('AUX-NIV2'!B:B,Recursos!C1817,'AUX-NIV2'!P:P)+SUMIF('AUX-NIV3'!B:B,Recursos!C1817,'AUX-NIV3'!P:P)</f>
        <v>346.12398419675657</v>
      </c>
      <c r="G1817" s="479">
        <f>+SUMIF('AUX-NIV1'!I:I,Recursos!C1817,'AUX-NIV1'!Q:Q)+SUMIF('AUX-NIV2'!I:I,Recursos!C1817,'AUX-NIV2'!Q:Q)+SUMIF('AUX-NIV3'!I:I,Recursos!C1817,'AUX-NIV3'!Q:Q)</f>
        <v>0</v>
      </c>
      <c r="H1817" s="480">
        <f t="shared" si="148"/>
        <v>0</v>
      </c>
      <c r="I1817" s="481">
        <f t="shared" si="149"/>
        <v>0</v>
      </c>
      <c r="J1817" s="482"/>
    </row>
    <row r="1818" spans="3:10">
      <c r="C1818" s="476" t="s">
        <v>1531</v>
      </c>
      <c r="D1818" s="485" t="s">
        <v>1532</v>
      </c>
      <c r="E1818" s="478" t="str">
        <f>+VLOOKUP(C1818,'AUX-NIV3'!B:F,3,FALSE)</f>
        <v>tn</v>
      </c>
      <c r="F1818" s="477">
        <f>SUMIF('AUX-NIV1'!B:B,Recursos!C1818,'AUX-NIV1'!P:P)+SUMIF('AUX-NIV2'!B:B,Recursos!C1818,'AUX-NIV2'!P:P)+SUMIF('AUX-NIV3'!B:B,Recursos!C1818,'AUX-NIV3'!P:P)</f>
        <v>313.05694805450901</v>
      </c>
      <c r="G1818" s="479">
        <f>+SUMIF('AUX-NIV1'!I:I,Recursos!C1818,'AUX-NIV1'!Q:Q)+SUMIF('AUX-NIV2'!I:I,Recursos!C1818,'AUX-NIV2'!Q:Q)+SUMIF('AUX-NIV3'!I:I,Recursos!C1818,'AUX-NIV3'!Q:Q)</f>
        <v>0</v>
      </c>
      <c r="H1818" s="480">
        <f t="shared" si="148"/>
        <v>0</v>
      </c>
      <c r="I1818" s="481">
        <f t="shared" si="149"/>
        <v>0</v>
      </c>
      <c r="J1818" s="482"/>
    </row>
    <row r="1819" spans="3:10">
      <c r="C1819" s="476" t="s">
        <v>2840</v>
      </c>
      <c r="D1819" s="485" t="s">
        <v>1532</v>
      </c>
      <c r="E1819" s="478" t="str">
        <f>+VLOOKUP(C1819,'AUX-NIV2'!B:F,3,FALSE)</f>
        <v>TN</v>
      </c>
      <c r="F1819" s="477">
        <f>SUMIF('AUX-NIV1'!B:B,Recursos!C1819,'AUX-NIV1'!P:P)+SUMIF('AUX-NIV2'!B:B,Recursos!C1819,'AUX-NIV2'!P:P)+SUMIF('AUX-NIV3'!B:B,Recursos!C1819,'AUX-NIV3'!P:P)</f>
        <v>313.05694805450901</v>
      </c>
      <c r="G1819" s="479">
        <f>+SUMIF('AUX-NIV1'!I:I,Recursos!C1819,'AUX-NIV1'!Q:Q)+SUMIF('AUX-NIV2'!I:I,Recursos!C1819,'AUX-NIV2'!Q:Q)+SUMIF('AUX-NIV3'!I:I,Recursos!C1819,'AUX-NIV3'!Q:Q)</f>
        <v>0</v>
      </c>
      <c r="H1819" s="480">
        <f t="shared" si="148"/>
        <v>0</v>
      </c>
      <c r="I1819" s="481">
        <f t="shared" si="149"/>
        <v>0</v>
      </c>
      <c r="J1819" s="482"/>
    </row>
    <row r="1820" spans="3:10">
      <c r="C1820" s="476" t="s">
        <v>2841</v>
      </c>
      <c r="D1820" s="485" t="s">
        <v>1769</v>
      </c>
      <c r="E1820" s="478" t="str">
        <f>+VLOOKUP(C1820,'AUX-NIV3'!B:F,3,FALSE)</f>
        <v>tn</v>
      </c>
      <c r="F1820" s="477">
        <f>SUMIF('AUX-NIV1'!B:B,Recursos!C1820,'AUX-NIV1'!P:P)+SUMIF('AUX-NIV2'!B:B,Recursos!C1820,'AUX-NIV2'!P:P)+SUMIF('AUX-NIV3'!B:B,Recursos!C1820,'AUX-NIV3'!P:P)</f>
        <v>467.71910146163452</v>
      </c>
      <c r="G1820" s="479">
        <f>+SUMIF('AUX-NIV1'!I:I,Recursos!C1820,'AUX-NIV1'!Q:Q)+SUMIF('AUX-NIV2'!I:I,Recursos!C1820,'AUX-NIV2'!Q:Q)+SUMIF('AUX-NIV3'!I:I,Recursos!C1820,'AUX-NIV3'!Q:Q)</f>
        <v>0</v>
      </c>
      <c r="H1820" s="480">
        <f t="shared" si="148"/>
        <v>0</v>
      </c>
      <c r="I1820" s="481">
        <f t="shared" si="149"/>
        <v>0</v>
      </c>
      <c r="J1820" s="482"/>
    </row>
    <row r="1821" spans="3:10">
      <c r="C1821" s="476" t="s">
        <v>2842</v>
      </c>
      <c r="D1821" s="485" t="s">
        <v>1769</v>
      </c>
      <c r="E1821" s="478" t="str">
        <f>+VLOOKUP(C1821,'AUX-NIV2'!B:F,3,FALSE)</f>
        <v>TN</v>
      </c>
      <c r="F1821" s="477">
        <f>SUMIF('AUX-NIV1'!B:B,Recursos!C1821,'AUX-NIV1'!P:P)+SUMIF('AUX-NIV2'!B:B,Recursos!C1821,'AUX-NIV2'!P:P)+SUMIF('AUX-NIV3'!B:B,Recursos!C1821,'AUX-NIV3'!P:P)</f>
        <v>467.71910146163452</v>
      </c>
      <c r="G1821" s="479">
        <f>+SUMIF('AUX-NIV1'!I:I,Recursos!C1821,'AUX-NIV1'!Q:Q)+SUMIF('AUX-NIV2'!I:I,Recursos!C1821,'AUX-NIV2'!Q:Q)+SUMIF('AUX-NIV3'!I:I,Recursos!C1821,'AUX-NIV3'!Q:Q)</f>
        <v>0</v>
      </c>
      <c r="H1821" s="480">
        <f t="shared" si="148"/>
        <v>0</v>
      </c>
      <c r="I1821" s="481">
        <f t="shared" si="149"/>
        <v>0</v>
      </c>
      <c r="J1821" s="482"/>
    </row>
    <row r="1822" spans="3:10">
      <c r="C1822" s="476" t="s">
        <v>1499</v>
      </c>
      <c r="D1822" s="485" t="s">
        <v>1500</v>
      </c>
      <c r="E1822" s="478" t="str">
        <f>+VLOOKUP(C1822,'AUX-NIV3'!B:F,3,FALSE)</f>
        <v>m3</v>
      </c>
      <c r="F1822" s="477">
        <f>SUMIF('AUX-NIV1'!B:B,Recursos!C1822,'AUX-NIV1'!P:P)+SUMIF('AUX-NIV2'!B:B,Recursos!C1822,'AUX-NIV2'!P:P)+SUMIF('AUX-NIV3'!B:B,Recursos!C1822,'AUX-NIV3'!P:P)</f>
        <v>400.95923429909482</v>
      </c>
      <c r="G1822" s="479">
        <f>+SUMIF('AUX-NIV1'!I:I,Recursos!C1822,'AUX-NIV1'!Q:Q)+SUMIF('AUX-NIV2'!I:I,Recursos!C1822,'AUX-NIV2'!Q:Q)+SUMIF('AUX-NIV3'!I:I,Recursos!C1822,'AUX-NIV3'!Q:Q)</f>
        <v>0</v>
      </c>
      <c r="H1822" s="480">
        <f t="shared" si="148"/>
        <v>0</v>
      </c>
      <c r="I1822" s="481">
        <f t="shared" si="149"/>
        <v>0</v>
      </c>
      <c r="J1822" s="482"/>
    </row>
    <row r="1823" spans="3:10">
      <c r="C1823" s="476" t="s">
        <v>2843</v>
      </c>
      <c r="D1823" s="483" t="s">
        <v>2844</v>
      </c>
      <c r="E1823" s="221" t="str">
        <f>+VLOOKUP(C1823,'AUX-NIV2'!B:F,3,FALSE)</f>
        <v>m3</v>
      </c>
      <c r="F1823" s="220">
        <f>SUMIF('AUX-NIV1'!B:B,Recursos!C1823,'AUX-NIV1'!P:P)+SUMIF('AUX-NIV2'!B:B,Recursos!C1823,'AUX-NIV2'!P:P)+SUMIF('AUX-NIV3'!B:B,Recursos!C1823,'AUX-NIV3'!P:P)</f>
        <v>3958.8865907600962</v>
      </c>
      <c r="G1823" s="479">
        <f>+SUMIF('AUX-NIV1'!I:I,Recursos!C1823,'AUX-NIV1'!Q:Q)+SUMIF('AUX-NIV2'!I:I,Recursos!C1823,'AUX-NIV2'!Q:Q)+SUMIF('AUX-NIV3'!I:I,Recursos!C1823,'AUX-NIV3'!Q:Q)</f>
        <v>0</v>
      </c>
      <c r="H1823" s="204">
        <f t="shared" si="148"/>
        <v>0</v>
      </c>
      <c r="I1823" s="366">
        <f t="shared" si="149"/>
        <v>0</v>
      </c>
      <c r="J1823" s="484"/>
    </row>
    <row r="1824" spans="3:10">
      <c r="C1824" s="476" t="s">
        <v>2845</v>
      </c>
      <c r="D1824" s="483" t="s">
        <v>2846</v>
      </c>
      <c r="E1824" s="221" t="str">
        <f>+VLOOKUP(C1824,'AUX-NIV2'!B:F,3,FALSE)</f>
        <v>m3</v>
      </c>
      <c r="F1824" s="220">
        <f>SUMIF('AUX-NIV1'!B:B,Recursos!C1824,'AUX-NIV1'!P:P)+SUMIF('AUX-NIV2'!B:B,Recursos!C1824,'AUX-NIV2'!P:P)+SUMIF('AUX-NIV3'!B:B,Recursos!C1824,'AUX-NIV3'!P:P)</f>
        <v>904.61099353814541</v>
      </c>
      <c r="G1824" s="479">
        <f>+SUMIF('AUX-NIV1'!I:I,Recursos!C1824,'AUX-NIV1'!Q:Q)+SUMIF('AUX-NIV2'!I:I,Recursos!C1824,'AUX-NIV2'!Q:Q)+SUMIF('AUX-NIV3'!I:I,Recursos!C1824,'AUX-NIV3'!Q:Q)</f>
        <v>0</v>
      </c>
      <c r="H1824" s="204">
        <f t="shared" si="148"/>
        <v>0</v>
      </c>
      <c r="I1824" s="366">
        <f t="shared" si="149"/>
        <v>0</v>
      </c>
      <c r="J1824" s="484"/>
    </row>
    <row r="1825" spans="3:10">
      <c r="C1825" s="476" t="s">
        <v>1504</v>
      </c>
      <c r="D1825" s="483" t="s">
        <v>1505</v>
      </c>
      <c r="E1825" s="221" t="str">
        <f>+VLOOKUP(C1825,'AUX-NIV2'!B:F,3,FALSE)</f>
        <v>m3</v>
      </c>
      <c r="F1825" s="220">
        <f>SUMIF('AUX-NIV1'!B:B,Recursos!C1825,'AUX-NIV1'!P:P)+SUMIF('AUX-NIV2'!B:B,Recursos!C1825,'AUX-NIV2'!P:P)+SUMIF('AUX-NIV3'!B:B,Recursos!C1825,'AUX-NIV3'!P:P)</f>
        <v>440.72547018462734</v>
      </c>
      <c r="G1825" s="479">
        <f>+SUMIF('AUX-NIV1'!I:I,Recursos!C1825,'AUX-NIV1'!Q:Q)+SUMIF('AUX-NIV2'!I:I,Recursos!C1825,'AUX-NIV2'!Q:Q)+SUMIF('AUX-NIV3'!I:I,Recursos!C1825,'AUX-NIV3'!Q:Q)</f>
        <v>0</v>
      </c>
      <c r="H1825" s="204">
        <f t="shared" si="148"/>
        <v>0</v>
      </c>
      <c r="I1825" s="366">
        <f t="shared" si="149"/>
        <v>0</v>
      </c>
      <c r="J1825" s="484"/>
    </row>
    <row r="1826" spans="3:10">
      <c r="C1826" s="476" t="s">
        <v>2847</v>
      </c>
      <c r="D1826" s="485" t="s">
        <v>2848</v>
      </c>
      <c r="E1826" s="478" t="str">
        <f>+VLOOKUP(C1826,'AUX-NIV3'!B:F,3,FALSE)</f>
        <v>m</v>
      </c>
      <c r="F1826" s="477">
        <f>SUMIF('AUX-NIV1'!B:B,Recursos!C1826,'AUX-NIV1'!P:P)+SUMIF('AUX-NIV2'!B:B,Recursos!C1826,'AUX-NIV2'!P:P)+SUMIF('AUX-NIV3'!B:B,Recursos!C1826,'AUX-NIV3'!P:P)</f>
        <v>373.07664462809919</v>
      </c>
      <c r="G1826" s="479">
        <f>+SUMIF('AUX-NIV1'!I:I,Recursos!C1826,'AUX-NIV1'!Q:Q)+SUMIF('AUX-NIV2'!I:I,Recursos!C1826,'AUX-NIV2'!Q:Q)+SUMIF('AUX-NIV3'!I:I,Recursos!C1826,'AUX-NIV3'!Q:Q)</f>
        <v>0</v>
      </c>
      <c r="H1826" s="480">
        <f t="shared" si="148"/>
        <v>0</v>
      </c>
      <c r="I1826" s="481">
        <f t="shared" si="149"/>
        <v>0</v>
      </c>
      <c r="J1826" s="482"/>
    </row>
    <row r="1827" spans="3:10">
      <c r="C1827" s="476" t="s">
        <v>2849</v>
      </c>
      <c r="D1827" s="483" t="s">
        <v>2850</v>
      </c>
      <c r="E1827" s="221" t="str">
        <f>+VLOOKUP(C1827,'AUX-NIV2'!B:F,3,FALSE)</f>
        <v>m3</v>
      </c>
      <c r="F1827" s="220">
        <f>SUMIF('AUX-NIV1'!B:B,Recursos!C1827,'AUX-NIV1'!P:P)+SUMIF('AUX-NIV2'!B:B,Recursos!C1827,'AUX-NIV2'!P:P)+SUMIF('AUX-NIV3'!B:B,Recursos!C1827,'AUX-NIV3'!P:P)</f>
        <v>762.13847790397006</v>
      </c>
      <c r="G1827" s="479">
        <f>+SUMIF('AUX-NIV1'!I:I,Recursos!C1827,'AUX-NIV1'!Q:Q)+SUMIF('AUX-NIV2'!I:I,Recursos!C1827,'AUX-NIV2'!Q:Q)+SUMIF('AUX-NIV3'!I:I,Recursos!C1827,'AUX-NIV3'!Q:Q)</f>
        <v>0</v>
      </c>
      <c r="H1827" s="204">
        <f t="shared" si="148"/>
        <v>0</v>
      </c>
      <c r="I1827" s="366">
        <f t="shared" si="149"/>
        <v>0</v>
      </c>
      <c r="J1827" s="484"/>
    </row>
    <row r="1828" spans="3:10">
      <c r="C1828" s="476" t="s">
        <v>2851</v>
      </c>
      <c r="D1828" s="483" t="s">
        <v>2852</v>
      </c>
      <c r="E1828" s="221" t="str">
        <f>+VLOOKUP(C1828,'AUX-NIV2'!B:F,3,FALSE)</f>
        <v>m3</v>
      </c>
      <c r="F1828" s="220">
        <f>SUMIF('AUX-NIV1'!B:B,Recursos!C1828,'AUX-NIV1'!P:P)+SUMIF('AUX-NIV2'!B:B,Recursos!C1828,'AUX-NIV2'!P:P)+SUMIF('AUX-NIV3'!B:B,Recursos!C1828,'AUX-NIV3'!P:P)</f>
        <v>1194.8851423310371</v>
      </c>
      <c r="G1828" s="479">
        <f>+SUMIF('AUX-NIV1'!I:I,Recursos!C1828,'AUX-NIV1'!Q:Q)+SUMIF('AUX-NIV2'!I:I,Recursos!C1828,'AUX-NIV2'!Q:Q)+SUMIF('AUX-NIV3'!I:I,Recursos!C1828,'AUX-NIV3'!Q:Q)</f>
        <v>0</v>
      </c>
      <c r="H1828" s="204">
        <f t="shared" si="148"/>
        <v>0</v>
      </c>
      <c r="I1828" s="366">
        <f t="shared" si="149"/>
        <v>0</v>
      </c>
      <c r="J1828" s="484"/>
    </row>
    <row r="1829" spans="3:10">
      <c r="C1829" s="476" t="s">
        <v>2853</v>
      </c>
      <c r="D1829" s="485" t="s">
        <v>2854</v>
      </c>
      <c r="E1829" s="478" t="str">
        <f>+VLOOKUP(C1829,'AUX-NIV3'!B:F,3,FALSE)</f>
        <v>tn</v>
      </c>
      <c r="F1829" s="477">
        <f>SUMIF('AUX-NIV1'!B:B,Recursos!C1829,'AUX-NIV1'!P:P)+SUMIF('AUX-NIV2'!B:B,Recursos!C1829,'AUX-NIV2'!P:P)+SUMIF('AUX-NIV3'!B:B,Recursos!C1829,'AUX-NIV3'!P:P)</f>
        <v>12458.953882338526</v>
      </c>
      <c r="G1829" s="479">
        <f>+SUMIF('AUX-NIV1'!I:I,Recursos!C1829,'AUX-NIV1'!Q:Q)+SUMIF('AUX-NIV2'!I:I,Recursos!C1829,'AUX-NIV2'!Q:Q)+SUMIF('AUX-NIV3'!I:I,Recursos!C1829,'AUX-NIV3'!Q:Q)</f>
        <v>0</v>
      </c>
      <c r="H1829" s="480">
        <f t="shared" si="148"/>
        <v>0</v>
      </c>
      <c r="I1829" s="481">
        <f t="shared" si="149"/>
        <v>0</v>
      </c>
      <c r="J1829" s="482"/>
    </row>
    <row r="1830" spans="3:10">
      <c r="C1830" s="476" t="s">
        <v>2855</v>
      </c>
      <c r="D1830" s="483" t="s">
        <v>2856</v>
      </c>
      <c r="E1830" s="221" t="str">
        <f>+VLOOKUP(C1830,'AUX-NIV2'!B:F,3,FALSE)</f>
        <v>m3</v>
      </c>
      <c r="F1830" s="220">
        <f>SUMIF('AUX-NIV1'!B:B,Recursos!C1830,'AUX-NIV1'!P:P)+SUMIF('AUX-NIV2'!B:B,Recursos!C1830,'AUX-NIV2'!P:P)+SUMIF('AUX-NIV3'!B:B,Recursos!C1830,'AUX-NIV3'!P:P)</f>
        <v>188.02798433490563</v>
      </c>
      <c r="G1830" s="479">
        <f>+SUMIF('AUX-NIV1'!I:I,Recursos!C1830,'AUX-NIV1'!Q:Q)+SUMIF('AUX-NIV2'!I:I,Recursos!C1830,'AUX-NIV2'!Q:Q)+SUMIF('AUX-NIV3'!I:I,Recursos!C1830,'AUX-NIV3'!Q:Q)</f>
        <v>0</v>
      </c>
      <c r="H1830" s="204">
        <f t="shared" si="148"/>
        <v>0</v>
      </c>
      <c r="I1830" s="487">
        <f t="shared" si="149"/>
        <v>0</v>
      </c>
      <c r="J1830" s="484"/>
    </row>
    <row r="1831" spans="3:10">
      <c r="C1831" s="476" t="s">
        <v>2857</v>
      </c>
      <c r="D1831" s="483" t="s">
        <v>2858</v>
      </c>
      <c r="E1831" s="221" t="str">
        <f>+VLOOKUP(C1831,'AUX-NIV2'!B:F,3,FALSE)</f>
        <v>m</v>
      </c>
      <c r="F1831" s="220">
        <f>SUMIF('AUX-NIV1'!B:B,Recursos!C1831,'AUX-NIV1'!P:P)+SUMIF('AUX-NIV2'!B:B,Recursos!C1831,'AUX-NIV2'!P:P)+SUMIF('AUX-NIV3'!B:B,Recursos!C1831,'AUX-NIV3'!P:P)</f>
        <v>65.219399860621934</v>
      </c>
      <c r="G1831" s="479">
        <f>+SUMIF('AUX-NIV1'!I:I,Recursos!C1831,'AUX-NIV1'!Q:Q)+SUMIF('AUX-NIV2'!I:I,Recursos!C1831,'AUX-NIV2'!Q:Q)+SUMIF('AUX-NIV3'!I:I,Recursos!C1831,'AUX-NIV3'!Q:Q)</f>
        <v>0</v>
      </c>
      <c r="H1831" s="204">
        <f t="shared" si="148"/>
        <v>0</v>
      </c>
      <c r="I1831" s="487">
        <f t="shared" si="149"/>
        <v>0</v>
      </c>
      <c r="J1831" s="484"/>
    </row>
    <row r="1832" spans="3:10">
      <c r="C1832" s="476" t="s">
        <v>2859</v>
      </c>
      <c r="D1832" s="483" t="s">
        <v>2860</v>
      </c>
      <c r="E1832" s="221" t="str">
        <f>+VLOOKUP(C1832,'AUX-NIV2'!B:F,3,FALSE)</f>
        <v>m</v>
      </c>
      <c r="F1832" s="220">
        <f>SUMIF('AUX-NIV1'!B:B,Recursos!C1832,'AUX-NIV1'!P:P)+SUMIF('AUX-NIV2'!B:B,Recursos!C1832,'AUX-NIV2'!P:P)+SUMIF('AUX-NIV3'!B:B,Recursos!C1832,'AUX-NIV3'!P:P)</f>
        <v>36.064710248138788</v>
      </c>
      <c r="G1832" s="479">
        <f>+SUMIF('AUX-NIV1'!I:I,Recursos!C1832,'AUX-NIV1'!Q:Q)+SUMIF('AUX-NIV2'!I:I,Recursos!C1832,'AUX-NIV2'!Q:Q)+SUMIF('AUX-NIV3'!I:I,Recursos!C1832,'AUX-NIV3'!Q:Q)</f>
        <v>0</v>
      </c>
      <c r="H1832" s="204">
        <f t="shared" si="148"/>
        <v>0</v>
      </c>
      <c r="I1832" s="487">
        <f t="shared" si="149"/>
        <v>0</v>
      </c>
      <c r="J1832" s="484"/>
    </row>
    <row r="1833" spans="3:10">
      <c r="C1833" s="476" t="s">
        <v>2861</v>
      </c>
      <c r="D1833" s="483" t="s">
        <v>2862</v>
      </c>
      <c r="E1833" s="221" t="str">
        <f>+VLOOKUP(C1833,'AUX-NIV2'!B:F,3,FALSE)</f>
        <v>m</v>
      </c>
      <c r="F1833" s="220">
        <f>SUMIF('AUX-NIV1'!B:B,Recursos!C1833,'AUX-NIV1'!P:P)+SUMIF('AUX-NIV2'!B:B,Recursos!C1833,'AUX-NIV2'!P:P)+SUMIF('AUX-NIV3'!B:B,Recursos!C1833,'AUX-NIV3'!P:P)</f>
        <v>445.6470149795303</v>
      </c>
      <c r="G1833" s="479">
        <f>+SUMIF('AUX-NIV1'!I:I,Recursos!C1833,'AUX-NIV1'!Q:Q)+SUMIF('AUX-NIV2'!I:I,Recursos!C1833,'AUX-NIV2'!Q:Q)+SUMIF('AUX-NIV3'!I:I,Recursos!C1833,'AUX-NIV3'!Q:Q)</f>
        <v>0</v>
      </c>
      <c r="H1833" s="204">
        <f t="shared" si="148"/>
        <v>0</v>
      </c>
      <c r="I1833" s="487">
        <f t="shared" si="149"/>
        <v>0</v>
      </c>
      <c r="J1833" s="484"/>
    </row>
    <row r="1834" spans="3:10">
      <c r="C1834" s="476" t="s">
        <v>2863</v>
      </c>
      <c r="D1834" s="483" t="s">
        <v>2864</v>
      </c>
      <c r="E1834" s="221" t="str">
        <f>+VLOOKUP(C1834,'AUX-NIV2'!B:F,3,FALSE)</f>
        <v>un</v>
      </c>
      <c r="F1834" s="220">
        <f>SUMIF('AUX-NIV1'!B:B,Recursos!C1834,'AUX-NIV1'!P:P)+SUMIF('AUX-NIV2'!B:B,Recursos!C1834,'AUX-NIV2'!P:P)+SUMIF('AUX-NIV3'!B:B,Recursos!C1834,'AUX-NIV3'!P:P)</f>
        <v>2693.7536195722059</v>
      </c>
      <c r="G1834" s="479">
        <f>+SUMIF('AUX-NIV1'!I:I,Recursos!C1834,'AUX-NIV1'!Q:Q)+SUMIF('AUX-NIV2'!I:I,Recursos!C1834,'AUX-NIV2'!Q:Q)+SUMIF('AUX-NIV3'!I:I,Recursos!C1834,'AUX-NIV3'!Q:Q)</f>
        <v>0</v>
      </c>
      <c r="H1834" s="204">
        <f t="shared" si="148"/>
        <v>0</v>
      </c>
      <c r="I1834" s="487">
        <f t="shared" si="149"/>
        <v>0</v>
      </c>
      <c r="J1834" s="484"/>
    </row>
    <row r="1835" spans="3:10">
      <c r="C1835" s="476" t="s">
        <v>2865</v>
      </c>
      <c r="D1835" s="483" t="s">
        <v>2866</v>
      </c>
      <c r="E1835" s="221" t="str">
        <f>+VLOOKUP(C1835,'AUX-NIV2'!B:F,3,FALSE)</f>
        <v>m3</v>
      </c>
      <c r="F1835" s="220">
        <f>SUMIF('AUX-NIV1'!B:B,Recursos!C1835,'AUX-NIV1'!P:P)+SUMIF('AUX-NIV2'!B:B,Recursos!C1835,'AUX-NIV2'!P:P)+SUMIF('AUX-NIV3'!B:B,Recursos!C1835,'AUX-NIV3'!P:P)</f>
        <v>1031.7487777591643</v>
      </c>
      <c r="G1835" s="479">
        <f>+SUMIF('AUX-NIV1'!I:I,Recursos!C1835,'AUX-NIV1'!Q:Q)+SUMIF('AUX-NIV2'!I:I,Recursos!C1835,'AUX-NIV2'!Q:Q)+SUMIF('AUX-NIV3'!I:I,Recursos!C1835,'AUX-NIV3'!Q:Q)</f>
        <v>0</v>
      </c>
      <c r="H1835" s="204">
        <f t="shared" si="148"/>
        <v>0</v>
      </c>
      <c r="I1835" s="487">
        <f t="shared" si="149"/>
        <v>0</v>
      </c>
      <c r="J1835" s="484"/>
    </row>
    <row r="1836" spans="3:10">
      <c r="C1836" s="476" t="s">
        <v>2867</v>
      </c>
      <c r="D1836" s="483" t="s">
        <v>2868</v>
      </c>
      <c r="E1836" s="221" t="str">
        <f>+VLOOKUP(C1836,'AUX-NIV2'!B:F,3,FALSE)</f>
        <v>m2</v>
      </c>
      <c r="F1836" s="220">
        <f>SUMIF('AUX-NIV1'!B:B,Recursos!C1836,'AUX-NIV1'!P:P)+SUMIF('AUX-NIV2'!B:B,Recursos!C1836,'AUX-NIV2'!P:P)+SUMIF('AUX-NIV3'!B:B,Recursos!C1836,'AUX-NIV3'!P:P)</f>
        <v>2037.7255225477702</v>
      </c>
      <c r="G1836" s="479">
        <f>+SUMIF('AUX-NIV1'!I:I,Recursos!C1836,'AUX-NIV1'!Q:Q)+SUMIF('AUX-NIV2'!I:I,Recursos!C1836,'AUX-NIV2'!Q:Q)+SUMIF('AUX-NIV3'!I:I,Recursos!C1836,'AUX-NIV3'!Q:Q)</f>
        <v>0</v>
      </c>
      <c r="H1836" s="204">
        <f t="shared" si="148"/>
        <v>0</v>
      </c>
      <c r="I1836" s="487">
        <f t="shared" si="149"/>
        <v>0</v>
      </c>
      <c r="J1836" s="484"/>
    </row>
    <row r="1837" spans="3:10">
      <c r="C1837" s="476" t="s">
        <v>1502</v>
      </c>
      <c r="D1837" s="485" t="s">
        <v>1503</v>
      </c>
      <c r="E1837" s="478" t="str">
        <f>+VLOOKUP(C1837,'AUX-NIV3'!B:F,3,FALSE)</f>
        <v>m3</v>
      </c>
      <c r="F1837" s="477">
        <f>SUMIF('AUX-NIV1'!B:B,Recursos!C1837,'AUX-NIV1'!P:P)+SUMIF('AUX-NIV2'!B:B,Recursos!C1837,'AUX-NIV2'!P:P)+SUMIF('AUX-NIV3'!B:B,Recursos!C1837,'AUX-NIV3'!P:P)</f>
        <v>972.7181822808268</v>
      </c>
      <c r="G1837" s="479">
        <f>+SUMIF('AUX-NIV1'!I:I,Recursos!C1837,'AUX-NIV1'!Q:Q)+SUMIF('AUX-NIV2'!I:I,Recursos!C1837,'AUX-NIV2'!Q:Q)+SUMIF('AUX-NIV3'!I:I,Recursos!C1837,'AUX-NIV3'!Q:Q)</f>
        <v>0</v>
      </c>
      <c r="H1837" s="480">
        <f t="shared" si="148"/>
        <v>0</v>
      </c>
      <c r="I1837" s="481">
        <f t="shared" si="149"/>
        <v>0</v>
      </c>
      <c r="J1837" s="482"/>
    </row>
    <row r="1838" spans="3:10">
      <c r="C1838" s="476" t="s">
        <v>2869</v>
      </c>
      <c r="D1838" s="483" t="s">
        <v>2870</v>
      </c>
      <c r="E1838" s="221" t="str">
        <f>+VLOOKUP(C1838,'AUX-NIV2'!B:F,3,FALSE)</f>
        <v>m3</v>
      </c>
      <c r="F1838" s="220">
        <f>SUMIF('AUX-NIV1'!B:B,Recursos!C1838,'AUX-NIV1'!P:P)+SUMIF('AUX-NIV2'!B:B,Recursos!C1838,'AUX-NIV2'!P:P)+SUMIF('AUX-NIV3'!B:B,Recursos!C1838,'AUX-NIV3'!P:P)</f>
        <v>4858.5124331852494</v>
      </c>
      <c r="G1838" s="479">
        <f>+SUMIF('AUX-NIV1'!I:I,Recursos!C1838,'AUX-NIV1'!Q:Q)+SUMIF('AUX-NIV2'!I:I,Recursos!C1838,'AUX-NIV2'!Q:Q)+SUMIF('AUX-NIV3'!I:I,Recursos!C1838,'AUX-NIV3'!Q:Q)</f>
        <v>0</v>
      </c>
      <c r="H1838" s="204">
        <f t="shared" si="148"/>
        <v>0</v>
      </c>
      <c r="I1838" s="487">
        <f t="shared" si="149"/>
        <v>0</v>
      </c>
      <c r="J1838" s="484"/>
    </row>
    <row r="1839" spans="3:10">
      <c r="C1839" s="476" t="s">
        <v>1506</v>
      </c>
      <c r="D1839" s="483" t="s">
        <v>1507</v>
      </c>
      <c r="E1839" s="221" t="str">
        <f>+VLOOKUP(C1839,'AUX-NIV2'!B:F,3,FALSE)</f>
        <v>m2</v>
      </c>
      <c r="F1839" s="220">
        <f>SUMIF('AUX-NIV1'!B:B,Recursos!C1839,'AUX-NIV1'!P:P)+SUMIF('AUX-NIV2'!B:B,Recursos!C1839,'AUX-NIV2'!P:P)+SUMIF('AUX-NIV3'!B:B,Recursos!C1839,'AUX-NIV3'!P:P)</f>
        <v>119.57804276966723</v>
      </c>
      <c r="G1839" s="479">
        <f>+SUMIF('AUX-NIV1'!I:I,Recursos!C1839,'AUX-NIV1'!Q:Q)+SUMIF('AUX-NIV2'!I:I,Recursos!C1839,'AUX-NIV2'!Q:Q)+SUMIF('AUX-NIV3'!I:I,Recursos!C1839,'AUX-NIV3'!Q:Q)</f>
        <v>0</v>
      </c>
      <c r="H1839" s="204">
        <f t="shared" si="148"/>
        <v>0</v>
      </c>
      <c r="I1839" s="487">
        <f t="shared" si="149"/>
        <v>0</v>
      </c>
      <c r="J1839" s="484"/>
    </row>
    <row r="1840" spans="3:10">
      <c r="C1840" s="476" t="s">
        <v>2871</v>
      </c>
      <c r="D1840" s="483" t="s">
        <v>2872</v>
      </c>
      <c r="E1840" s="221" t="str">
        <f>+VLOOKUP(C1840,'AUX-NIV2'!B:F,3,FALSE)</f>
        <v>m2</v>
      </c>
      <c r="F1840" s="220">
        <f>SUMIF('AUX-NIV1'!B:B,Recursos!C1840,'AUX-NIV1'!P:P)+SUMIF('AUX-NIV2'!B:B,Recursos!C1840,'AUX-NIV2'!P:P)+SUMIF('AUX-NIV3'!B:B,Recursos!C1840,'AUX-NIV3'!P:P)</f>
        <v>3798.3281004967002</v>
      </c>
      <c r="G1840" s="479">
        <f>+SUMIF('AUX-NIV1'!I:I,Recursos!C1840,'AUX-NIV1'!Q:Q)+SUMIF('AUX-NIV2'!I:I,Recursos!C1840,'AUX-NIV2'!Q:Q)+SUMIF('AUX-NIV3'!I:I,Recursos!C1840,'AUX-NIV3'!Q:Q)</f>
        <v>0</v>
      </c>
      <c r="H1840" s="204">
        <f t="shared" si="148"/>
        <v>0</v>
      </c>
      <c r="I1840" s="487">
        <f t="shared" si="149"/>
        <v>0</v>
      </c>
      <c r="J1840" s="484"/>
    </row>
    <row r="1841" spans="3:10">
      <c r="C1841" s="476" t="s">
        <v>2873</v>
      </c>
      <c r="D1841" s="483" t="s">
        <v>2874</v>
      </c>
      <c r="E1841" s="221" t="str">
        <f>+VLOOKUP(C1841,'AUX-NIV2'!B:F,3,FALSE)</f>
        <v>m3</v>
      </c>
      <c r="F1841" s="220">
        <f>SUMIF('AUX-NIV1'!B:B,Recursos!C1841,'AUX-NIV1'!P:P)+SUMIF('AUX-NIV2'!B:B,Recursos!C1841,'AUX-NIV2'!P:P)+SUMIF('AUX-NIV3'!B:B,Recursos!C1841,'AUX-NIV3'!P:P)</f>
        <v>4165.395488027043</v>
      </c>
      <c r="G1841" s="479">
        <f>+SUMIF('AUX-NIV1'!I:I,Recursos!C1841,'AUX-NIV1'!Q:Q)+SUMIF('AUX-NIV2'!I:I,Recursos!C1841,'AUX-NIV2'!Q:Q)+SUMIF('AUX-NIV3'!I:I,Recursos!C1841,'AUX-NIV3'!Q:Q)</f>
        <v>0</v>
      </c>
      <c r="H1841" s="204">
        <f t="shared" ref="H1841:H1883" si="150">+F1841*G1841</f>
        <v>0</v>
      </c>
      <c r="I1841" s="487">
        <f t="shared" ref="I1841:I1883" si="151">+H1841/$I$3</f>
        <v>0</v>
      </c>
      <c r="J1841" s="484"/>
    </row>
    <row r="1842" spans="3:10">
      <c r="C1842" s="476" t="s">
        <v>2875</v>
      </c>
      <c r="D1842" s="483" t="s">
        <v>2876</v>
      </c>
      <c r="E1842" s="221" t="str">
        <f>+VLOOKUP(C1842,'AUX-NIV2'!B:F,3,FALSE)</f>
        <v>m</v>
      </c>
      <c r="F1842" s="220">
        <f>SUMIF('AUX-NIV1'!B:B,Recursos!C1842,'AUX-NIV1'!P:P)+SUMIF('AUX-NIV2'!B:B,Recursos!C1842,'AUX-NIV2'!P:P)+SUMIF('AUX-NIV3'!B:B,Recursos!C1842,'AUX-NIV3'!P:P)</f>
        <v>4108.1310078167726</v>
      </c>
      <c r="G1842" s="479">
        <f>+SUMIF('AUX-NIV1'!I:I,Recursos!C1842,'AUX-NIV1'!Q:Q)+SUMIF('AUX-NIV2'!I:I,Recursos!C1842,'AUX-NIV2'!Q:Q)+SUMIF('AUX-NIV3'!I:I,Recursos!C1842,'AUX-NIV3'!Q:Q)</f>
        <v>0</v>
      </c>
      <c r="H1842" s="204">
        <f t="shared" si="150"/>
        <v>0</v>
      </c>
      <c r="I1842" s="487">
        <f t="shared" si="151"/>
        <v>0</v>
      </c>
      <c r="J1842" s="484"/>
    </row>
    <row r="1843" spans="3:10">
      <c r="C1843" s="476" t="s">
        <v>2877</v>
      </c>
      <c r="D1843" s="483" t="s">
        <v>2878</v>
      </c>
      <c r="E1843" s="221" t="str">
        <f>+VLOOKUP(C1843,'AUX-NIV2'!B:F,3,FALSE)</f>
        <v>m3</v>
      </c>
      <c r="F1843" s="220">
        <f>SUMIF('AUX-NIV1'!B:B,Recursos!C1843,'AUX-NIV1'!P:P)+SUMIF('AUX-NIV2'!B:B,Recursos!C1843,'AUX-NIV2'!P:P)+SUMIF('AUX-NIV3'!B:B,Recursos!C1843,'AUX-NIV3'!P:P)</f>
        <v>7131.1848146570273</v>
      </c>
      <c r="G1843" s="479">
        <f>+SUMIF('AUX-NIV1'!I:I,Recursos!C1843,'AUX-NIV1'!Q:Q)+SUMIF('AUX-NIV2'!I:I,Recursos!C1843,'AUX-NIV2'!Q:Q)+SUMIF('AUX-NIV3'!I:I,Recursos!C1843,'AUX-NIV3'!Q:Q)</f>
        <v>0</v>
      </c>
      <c r="H1843" s="204">
        <f t="shared" si="150"/>
        <v>0</v>
      </c>
      <c r="I1843" s="487">
        <f t="shared" si="151"/>
        <v>0</v>
      </c>
      <c r="J1843" s="484"/>
    </row>
    <row r="1844" spans="3:10">
      <c r="C1844" s="476" t="s">
        <v>2879</v>
      </c>
      <c r="D1844" s="483" t="s">
        <v>2880</v>
      </c>
      <c r="E1844" s="221" t="str">
        <f>+VLOOKUP(C1844,'AUX-NIV2'!B:F,3,FALSE)</f>
        <v>m3</v>
      </c>
      <c r="F1844" s="220">
        <f>SUMIF('AUX-NIV1'!B:B,Recursos!C1844,'AUX-NIV1'!P:P)+SUMIF('AUX-NIV2'!B:B,Recursos!C1844,'AUX-NIV2'!P:P)+SUMIF('AUX-NIV3'!B:B,Recursos!C1844,'AUX-NIV3'!P:P)</f>
        <v>974.30124392919117</v>
      </c>
      <c r="G1844" s="479">
        <f>+SUMIF('AUX-NIV1'!I:I,Recursos!C1844,'AUX-NIV1'!Q:Q)+SUMIF('AUX-NIV2'!I:I,Recursos!C1844,'AUX-NIV2'!Q:Q)+SUMIF('AUX-NIV3'!I:I,Recursos!C1844,'AUX-NIV3'!Q:Q)</f>
        <v>3.62</v>
      </c>
      <c r="H1844" s="204">
        <f t="shared" si="150"/>
        <v>3526.9705030236723</v>
      </c>
      <c r="I1844" s="487">
        <f t="shared" si="151"/>
        <v>1.087109557298533E-2</v>
      </c>
      <c r="J1844" s="484"/>
    </row>
    <row r="1845" spans="3:10">
      <c r="C1845" s="476" t="s">
        <v>2881</v>
      </c>
      <c r="D1845" s="483" t="s">
        <v>2882</v>
      </c>
      <c r="E1845" s="221" t="str">
        <f>+VLOOKUP(C1845,'AUX-NIV2'!B:F,3,FALSE)</f>
        <v>m3</v>
      </c>
      <c r="F1845" s="220">
        <f>SUMIF('AUX-NIV1'!B:B,Recursos!C1845,'AUX-NIV1'!P:P)+SUMIF('AUX-NIV2'!B:B,Recursos!C1845,'AUX-NIV2'!P:P)+SUMIF('AUX-NIV3'!B:B,Recursos!C1845,'AUX-NIV3'!P:P)</f>
        <v>17.808108019312606</v>
      </c>
      <c r="G1845" s="479">
        <f>+SUMIF('AUX-NIV1'!I:I,Recursos!C1845,'AUX-NIV1'!Q:Q)+SUMIF('AUX-NIV2'!I:I,Recursos!C1845,'AUX-NIV2'!Q:Q)+SUMIF('AUX-NIV3'!I:I,Recursos!C1845,'AUX-NIV3'!Q:Q)</f>
        <v>0</v>
      </c>
      <c r="H1845" s="204">
        <f t="shared" si="150"/>
        <v>0</v>
      </c>
      <c r="I1845" s="487">
        <f t="shared" si="151"/>
        <v>0</v>
      </c>
      <c r="J1845" s="484"/>
    </row>
    <row r="1846" spans="3:10">
      <c r="C1846" s="476" t="s">
        <v>2883</v>
      </c>
      <c r="D1846" s="483" t="s">
        <v>2854</v>
      </c>
      <c r="E1846" s="221" t="str">
        <f>+VLOOKUP(C1846,'AUX-NIV2'!B:F,3,FALSE)</f>
        <v>tn</v>
      </c>
      <c r="F1846" s="220">
        <f>SUMIF('AUX-NIV1'!B:B,Recursos!C1846,'AUX-NIV1'!P:P)+SUMIF('AUX-NIV2'!B:B,Recursos!C1846,'AUX-NIV2'!P:P)+SUMIF('AUX-NIV3'!B:B,Recursos!C1846,'AUX-NIV3'!P:P)</f>
        <v>17428.113426266111</v>
      </c>
      <c r="G1846" s="479">
        <f>+SUMIF('AUX-NIV1'!I:I,Recursos!C1846,'AUX-NIV1'!Q:Q)+SUMIF('AUX-NIV2'!I:I,Recursos!C1846,'AUX-NIV2'!Q:Q)+SUMIF('AUX-NIV3'!I:I,Recursos!C1846,'AUX-NIV3'!Q:Q)</f>
        <v>0.23030263157894737</v>
      </c>
      <c r="H1846" s="204">
        <f t="shared" si="150"/>
        <v>4013.7403855254702</v>
      </c>
      <c r="I1846" s="487">
        <f t="shared" si="151"/>
        <v>1.2371454566685813E-2</v>
      </c>
      <c r="J1846" s="484"/>
    </row>
    <row r="1847" spans="3:10">
      <c r="C1847" s="476" t="s">
        <v>2884</v>
      </c>
      <c r="D1847" s="483" t="s">
        <v>2885</v>
      </c>
      <c r="E1847" s="221" t="str">
        <f>+VLOOKUP(C1847,'AUX-NIV2'!B:F,3,FALSE)</f>
        <v>tn</v>
      </c>
      <c r="F1847" s="220">
        <f>SUMIF('AUX-NIV1'!B:B,Recursos!C1847,'AUX-NIV1'!P:P)+SUMIF('AUX-NIV2'!B:B,Recursos!C1847,'AUX-NIV2'!P:P)+SUMIF('AUX-NIV3'!B:B,Recursos!C1847,'AUX-NIV3'!P:P)</f>
        <v>51380.730969341719</v>
      </c>
      <c r="G1847" s="479">
        <f>+SUMIF('AUX-NIV1'!I:I,Recursos!C1847,'AUX-NIV1'!Q:Q)+SUMIF('AUX-NIV2'!I:I,Recursos!C1847,'AUX-NIV2'!Q:Q)+SUMIF('AUX-NIV3'!I:I,Recursos!C1847,'AUX-NIV3'!Q:Q)</f>
        <v>0</v>
      </c>
      <c r="H1847" s="204">
        <f t="shared" si="150"/>
        <v>0</v>
      </c>
      <c r="I1847" s="487">
        <f t="shared" si="151"/>
        <v>0</v>
      </c>
      <c r="J1847" s="484"/>
    </row>
    <row r="1848" spans="3:10">
      <c r="C1848" s="476" t="s">
        <v>2886</v>
      </c>
      <c r="D1848" s="483" t="s">
        <v>2887</v>
      </c>
      <c r="E1848" s="221" t="str">
        <f>+VLOOKUP(C1848,'AUX-NIV2'!B:F,3,FALSE)</f>
        <v>tn</v>
      </c>
      <c r="F1848" s="220">
        <f>SUMIF('AUX-NIV1'!B:B,Recursos!C1848,'AUX-NIV1'!P:P)+SUMIF('AUX-NIV2'!B:B,Recursos!C1848,'AUX-NIV2'!P:P)+SUMIF('AUX-NIV3'!B:B,Recursos!C1848,'AUX-NIV3'!P:P)</f>
        <v>40888.822227420533</v>
      </c>
      <c r="G1848" s="479">
        <f>+SUMIF('AUX-NIV1'!I:I,Recursos!C1848,'AUX-NIV1'!Q:Q)+SUMIF('AUX-NIV2'!I:I,Recursos!C1848,'AUX-NIV2'!Q:Q)+SUMIF('AUX-NIV3'!I:I,Recursos!C1848,'AUX-NIV3'!Q:Q)</f>
        <v>0</v>
      </c>
      <c r="H1848" s="204">
        <f t="shared" si="150"/>
        <v>0</v>
      </c>
      <c r="I1848" s="487">
        <f t="shared" si="151"/>
        <v>0</v>
      </c>
      <c r="J1848" s="484"/>
    </row>
    <row r="1849" spans="3:10">
      <c r="C1849" s="476" t="s">
        <v>2888</v>
      </c>
      <c r="D1849" s="483" t="s">
        <v>1305</v>
      </c>
      <c r="E1849" s="221" t="str">
        <f>+VLOOKUP(C1849,'AUX-NIV2'!B:F,3,FALSE)</f>
        <v>tn</v>
      </c>
      <c r="F1849" s="220">
        <f>SUMIF('AUX-NIV1'!B:B,Recursos!C1849,'AUX-NIV1'!P:P)+SUMIF('AUX-NIV2'!B:B,Recursos!C1849,'AUX-NIV2'!P:P)+SUMIF('AUX-NIV3'!B:B,Recursos!C1849,'AUX-NIV3'!P:P)</f>
        <v>225630.6407481379</v>
      </c>
      <c r="G1849" s="479">
        <f>+SUMIF('AUX-NIV1'!I:I,Recursos!C1849,'AUX-NIV1'!Q:Q)+SUMIF('AUX-NIV2'!I:I,Recursos!C1849,'AUX-NIV2'!Q:Q)+SUMIF('AUX-NIV3'!I:I,Recursos!C1849,'AUX-NIV3'!Q:Q)</f>
        <v>0</v>
      </c>
      <c r="H1849" s="204">
        <f t="shared" si="150"/>
        <v>0</v>
      </c>
      <c r="I1849" s="487">
        <f t="shared" si="151"/>
        <v>0</v>
      </c>
      <c r="J1849" s="484"/>
    </row>
    <row r="1850" spans="3:10">
      <c r="C1850" s="476" t="s">
        <v>2889</v>
      </c>
      <c r="D1850" s="483" t="s">
        <v>2890</v>
      </c>
      <c r="E1850" s="221" t="str">
        <f>+VLOOKUP(C1850,'AUX-NIV2'!B:F,3,FALSE)</f>
        <v>m3</v>
      </c>
      <c r="F1850" s="220">
        <f>SUMIF('AUX-NIV1'!B:B,Recursos!C1850,'AUX-NIV1'!P:P)+SUMIF('AUX-NIV2'!B:B,Recursos!C1850,'AUX-NIV2'!P:P)+SUMIF('AUX-NIV3'!B:B,Recursos!C1850,'AUX-NIV3'!P:P)</f>
        <v>658.25650396847084</v>
      </c>
      <c r="G1850" s="479">
        <f>+SUMIF('AUX-NIV1'!I:I,Recursos!C1850,'AUX-NIV1'!Q:Q)+SUMIF('AUX-NIV2'!I:I,Recursos!C1850,'AUX-NIV2'!Q:Q)+SUMIF('AUX-NIV3'!I:I,Recursos!C1850,'AUX-NIV3'!Q:Q)</f>
        <v>0</v>
      </c>
      <c r="H1850" s="204">
        <f t="shared" si="150"/>
        <v>0</v>
      </c>
      <c r="I1850" s="487">
        <f t="shared" si="151"/>
        <v>0</v>
      </c>
      <c r="J1850" s="484"/>
    </row>
    <row r="1851" spans="3:10">
      <c r="C1851" s="476" t="s">
        <v>2891</v>
      </c>
      <c r="D1851" s="483" t="s">
        <v>2892</v>
      </c>
      <c r="E1851" s="221" t="str">
        <f>+VLOOKUP(C1851,'AUX-NIV2'!B:F,3,FALSE)</f>
        <v>gl</v>
      </c>
      <c r="F1851" s="220">
        <f>SUMIF('AUX-NIV1'!B:B,Recursos!C1851,'AUX-NIV1'!P:P)+SUMIF('AUX-NIV2'!B:B,Recursos!C1851,'AUX-NIV2'!P:P)+SUMIF('AUX-NIV3'!B:B,Recursos!C1851,'AUX-NIV3'!P:P)</f>
        <v>6292998.9193429258</v>
      </c>
      <c r="G1851" s="479">
        <f>+SUMIF('AUX-NIV1'!I:I,Recursos!C1851,'AUX-NIV1'!Q:Q)+SUMIF('AUX-NIV2'!I:I,Recursos!C1851,'AUX-NIV2'!Q:Q)+SUMIF('AUX-NIV3'!I:I,Recursos!C1851,'AUX-NIV3'!Q:Q)</f>
        <v>0</v>
      </c>
      <c r="H1851" s="204">
        <f t="shared" si="150"/>
        <v>0</v>
      </c>
      <c r="I1851" s="487">
        <f t="shared" si="151"/>
        <v>0</v>
      </c>
      <c r="J1851" s="484"/>
    </row>
    <row r="1852" spans="3:10">
      <c r="C1852" s="476" t="s">
        <v>2893</v>
      </c>
      <c r="D1852" s="483" t="s">
        <v>2894</v>
      </c>
      <c r="E1852" s="221" t="str">
        <f>+VLOOKUP(C1852,'AUX-NIV2'!B:F,3,FALSE)</f>
        <v>m3</v>
      </c>
      <c r="F1852" s="220">
        <f>SUMIF('AUX-NIV1'!B:B,Recursos!C1852,'AUX-NIV1'!P:P)+SUMIF('AUX-NIV2'!B:B,Recursos!C1852,'AUX-NIV2'!P:P)+SUMIF('AUX-NIV3'!B:B,Recursos!C1852,'AUX-NIV3'!P:P)</f>
        <v>4831.7757986200932</v>
      </c>
      <c r="G1852" s="479">
        <f>+SUMIF('AUX-NIV1'!I:I,Recursos!C1852,'AUX-NIV1'!Q:Q)+SUMIF('AUX-NIV2'!I:I,Recursos!C1852,'AUX-NIV2'!Q:Q)+SUMIF('AUX-NIV3'!I:I,Recursos!C1852,'AUX-NIV3'!Q:Q)</f>
        <v>0</v>
      </c>
      <c r="H1852" s="204">
        <f t="shared" si="150"/>
        <v>0</v>
      </c>
      <c r="I1852" s="487">
        <f t="shared" si="151"/>
        <v>0</v>
      </c>
      <c r="J1852" s="484"/>
    </row>
    <row r="1853" spans="3:10">
      <c r="C1853" s="476" t="s">
        <v>1508</v>
      </c>
      <c r="D1853" s="483" t="s">
        <v>1509</v>
      </c>
      <c r="E1853" s="221" t="str">
        <f>+VLOOKUP(C1853,'AUX-NIV2'!B:F,3,FALSE)</f>
        <v>m3</v>
      </c>
      <c r="F1853" s="220">
        <f>SUMIF('AUX-NIV1'!B:B,Recursos!C1853,'AUX-NIV1'!P:P)+SUMIF('AUX-NIV2'!B:B,Recursos!C1853,'AUX-NIV2'!P:P)+SUMIF('AUX-NIV3'!B:B,Recursos!C1853,'AUX-NIV3'!P:P)</f>
        <v>5751.7751431377656</v>
      </c>
      <c r="G1853" s="479">
        <f>+SUMIF('AUX-NIV1'!I:I,Recursos!C1853,'AUX-NIV1'!Q:Q)+SUMIF('AUX-NIV2'!I:I,Recursos!C1853,'AUX-NIV2'!Q:Q)+SUMIF('AUX-NIV3'!I:I,Recursos!C1853,'AUX-NIV3'!Q:Q)</f>
        <v>0</v>
      </c>
      <c r="H1853" s="204">
        <f t="shared" si="150"/>
        <v>0</v>
      </c>
      <c r="I1853" s="487">
        <f t="shared" si="151"/>
        <v>0</v>
      </c>
      <c r="J1853" s="484"/>
    </row>
    <row r="1854" spans="3:10">
      <c r="C1854" s="476" t="s">
        <v>2895</v>
      </c>
      <c r="D1854" s="483" t="s">
        <v>2896</v>
      </c>
      <c r="E1854" s="221" t="str">
        <f>+VLOOKUP(C1854,'AUX-NIV2'!B:F,3,FALSE)</f>
        <v>m2</v>
      </c>
      <c r="F1854" s="220">
        <f>SUMIF('AUX-NIV1'!B:B,Recursos!C1854,'AUX-NIV1'!P:P)+SUMIF('AUX-NIV2'!B:B,Recursos!C1854,'AUX-NIV2'!P:P)+SUMIF('AUX-NIV3'!B:B,Recursos!C1854,'AUX-NIV3'!P:P)</f>
        <v>1729.8931583605372</v>
      </c>
      <c r="G1854" s="479">
        <f>+SUMIF('AUX-NIV1'!I:I,Recursos!C1854,'AUX-NIV1'!Q:Q)+SUMIF('AUX-NIV2'!I:I,Recursos!C1854,'AUX-NIV2'!Q:Q)+SUMIF('AUX-NIV3'!I:I,Recursos!C1854,'AUX-NIV3'!Q:Q)</f>
        <v>0</v>
      </c>
      <c r="H1854" s="204">
        <f t="shared" si="150"/>
        <v>0</v>
      </c>
      <c r="I1854" s="487">
        <f t="shared" si="151"/>
        <v>0</v>
      </c>
      <c r="J1854" s="484"/>
    </row>
    <row r="1855" spans="3:10">
      <c r="C1855" s="476" t="s">
        <v>2897</v>
      </c>
      <c r="D1855" s="483" t="s">
        <v>2898</v>
      </c>
      <c r="E1855" s="221" t="str">
        <f>+VLOOKUP(C1855,'AUX-NIV2'!B:F,3,FALSE)</f>
        <v>m3</v>
      </c>
      <c r="F1855" s="220">
        <f>SUMIF('AUX-NIV1'!B:B,Recursos!C1855,'AUX-NIV1'!P:P)+SUMIF('AUX-NIV2'!B:B,Recursos!C1855,'AUX-NIV2'!P:P)+SUMIF('AUX-NIV3'!B:B,Recursos!C1855,'AUX-NIV3'!P:P)</f>
        <v>4223.8879328752682</v>
      </c>
      <c r="G1855" s="479">
        <f>+SUMIF('AUX-NIV1'!I:I,Recursos!C1855,'AUX-NIV1'!Q:Q)+SUMIF('AUX-NIV2'!I:I,Recursos!C1855,'AUX-NIV2'!Q:Q)+SUMIF('AUX-NIV3'!I:I,Recursos!C1855,'AUX-NIV3'!Q:Q)</f>
        <v>0</v>
      </c>
      <c r="H1855" s="204">
        <f t="shared" si="150"/>
        <v>0</v>
      </c>
      <c r="I1855" s="487">
        <f t="shared" si="151"/>
        <v>0</v>
      </c>
      <c r="J1855" s="484"/>
    </row>
    <row r="1856" spans="3:10">
      <c r="C1856" s="476" t="s">
        <v>2899</v>
      </c>
      <c r="D1856" s="483" t="s">
        <v>2900</v>
      </c>
      <c r="E1856" s="221" t="str">
        <f>+VLOOKUP(C1856,'AUX-NIV2'!B:F,3,FALSE)</f>
        <v>m2</v>
      </c>
      <c r="F1856" s="220">
        <f>SUMIF('AUX-NIV1'!B:B,Recursos!C1856,'AUX-NIV1'!P:P)+SUMIF('AUX-NIV2'!B:B,Recursos!C1856,'AUX-NIV2'!P:P)+SUMIF('AUX-NIV3'!B:B,Recursos!C1856,'AUX-NIV3'!P:P)</f>
        <v>5273.5946945936521</v>
      </c>
      <c r="G1856" s="479">
        <f>+SUMIF('AUX-NIV1'!I:I,Recursos!C1856,'AUX-NIV1'!Q:Q)+SUMIF('AUX-NIV2'!I:I,Recursos!C1856,'AUX-NIV2'!Q:Q)+SUMIF('AUX-NIV3'!I:I,Recursos!C1856,'AUX-NIV3'!Q:Q)</f>
        <v>0</v>
      </c>
      <c r="H1856" s="204">
        <f t="shared" si="150"/>
        <v>0</v>
      </c>
      <c r="I1856" s="487">
        <f t="shared" si="151"/>
        <v>0</v>
      </c>
      <c r="J1856" s="484"/>
    </row>
    <row r="1857" spans="3:10">
      <c r="C1857" s="476" t="s">
        <v>2901</v>
      </c>
      <c r="D1857" s="483" t="s">
        <v>2902</v>
      </c>
      <c r="E1857" s="221" t="str">
        <f>+VLOOKUP(C1857,'AUX-NIV2'!B:F,3,FALSE)</f>
        <v>m2</v>
      </c>
      <c r="F1857" s="220">
        <f>SUMIF('AUX-NIV1'!B:B,Recursos!C1857,'AUX-NIV1'!P:P)+SUMIF('AUX-NIV2'!B:B,Recursos!C1857,'AUX-NIV2'!P:P)+SUMIF('AUX-NIV3'!B:B,Recursos!C1857,'AUX-NIV3'!P:P)</f>
        <v>39.037924349120765</v>
      </c>
      <c r="G1857" s="479">
        <f>+SUMIF('AUX-NIV1'!I:I,Recursos!C1857,'AUX-NIV1'!Q:Q)+SUMIF('AUX-NIV2'!I:I,Recursos!C1857,'AUX-NIV2'!Q:Q)+SUMIF('AUX-NIV3'!I:I,Recursos!C1857,'AUX-NIV3'!Q:Q)</f>
        <v>0</v>
      </c>
      <c r="H1857" s="204">
        <f t="shared" si="150"/>
        <v>0</v>
      </c>
      <c r="I1857" s="487">
        <f t="shared" si="151"/>
        <v>0</v>
      </c>
      <c r="J1857" s="484"/>
    </row>
    <row r="1858" spans="3:10">
      <c r="C1858" s="476" t="s">
        <v>2903</v>
      </c>
      <c r="D1858" s="483" t="s">
        <v>2904</v>
      </c>
      <c r="E1858" s="221" t="str">
        <f>+VLOOKUP(C1858,'AUX-NIV2'!B:F,3,FALSE)</f>
        <v>tn</v>
      </c>
      <c r="F1858" s="220">
        <f>SUMIF('AUX-NIV1'!B:B,Recursos!C1858,'AUX-NIV1'!P:P)+SUMIF('AUX-NIV2'!B:B,Recursos!C1858,'AUX-NIV2'!P:P)+SUMIF('AUX-NIV3'!B:B,Recursos!C1858,'AUX-NIV3'!P:P)</f>
        <v>3463.189353612167</v>
      </c>
      <c r="G1858" s="479">
        <f>+SUMIF('AUX-NIV1'!I:I,Recursos!C1858,'AUX-NIV1'!Q:Q)+SUMIF('AUX-NIV2'!I:I,Recursos!C1858,'AUX-NIV2'!Q:Q)+SUMIF('AUX-NIV3'!I:I,Recursos!C1858,'AUX-NIV3'!Q:Q)</f>
        <v>0</v>
      </c>
      <c r="H1858" s="204">
        <f t="shared" si="150"/>
        <v>0</v>
      </c>
      <c r="I1858" s="487">
        <f t="shared" si="151"/>
        <v>0</v>
      </c>
      <c r="J1858" s="484"/>
    </row>
    <row r="1859" spans="3:10">
      <c r="C1859" s="476" t="s">
        <v>2905</v>
      </c>
      <c r="D1859" s="483" t="s">
        <v>2906</v>
      </c>
      <c r="E1859" s="221" t="str">
        <f>+VLOOKUP(C1859,'AUX-NIV2'!B:F,3,FALSE)</f>
        <v>un</v>
      </c>
      <c r="F1859" s="220">
        <f>SUMIF('AUX-NIV1'!B:B,Recursos!C1859,'AUX-NIV1'!P:P)+SUMIF('AUX-NIV2'!B:B,Recursos!C1859,'AUX-NIV2'!P:P)+SUMIF('AUX-NIV3'!B:B,Recursos!C1859,'AUX-NIV3'!P:P)</f>
        <v>12925.983848951404</v>
      </c>
      <c r="G1859" s="479">
        <f>+SUMIF('AUX-NIV1'!I:I,Recursos!C1859,'AUX-NIV1'!Q:Q)+SUMIF('AUX-NIV2'!I:I,Recursos!C1859,'AUX-NIV2'!Q:Q)+SUMIF('AUX-NIV3'!I:I,Recursos!C1859,'AUX-NIV3'!Q:Q)</f>
        <v>0</v>
      </c>
      <c r="H1859" s="204">
        <f t="shared" si="150"/>
        <v>0</v>
      </c>
      <c r="I1859" s="487">
        <f t="shared" si="151"/>
        <v>0</v>
      </c>
      <c r="J1859" s="484"/>
    </row>
    <row r="1860" spans="3:10">
      <c r="C1860" s="476" t="s">
        <v>2907</v>
      </c>
      <c r="D1860" s="483" t="s">
        <v>2908</v>
      </c>
      <c r="E1860" s="221" t="str">
        <f>+VLOOKUP(C1860,'AUX-NIV2'!B:F,3,FALSE)</f>
        <v>un</v>
      </c>
      <c r="F1860" s="220">
        <f>SUMIF('AUX-NIV1'!B:B,Recursos!C1860,'AUX-NIV1'!P:P)+SUMIF('AUX-NIV2'!B:B,Recursos!C1860,'AUX-NIV2'!P:P)+SUMIF('AUX-NIV3'!B:B,Recursos!C1860,'AUX-NIV3'!P:P)</f>
        <v>22555.652971963791</v>
      </c>
      <c r="G1860" s="479">
        <f>+SUMIF('AUX-NIV1'!I:I,Recursos!C1860,'AUX-NIV1'!Q:Q)+SUMIF('AUX-NIV2'!I:I,Recursos!C1860,'AUX-NIV2'!Q:Q)+SUMIF('AUX-NIV3'!I:I,Recursos!C1860,'AUX-NIV3'!Q:Q)</f>
        <v>0</v>
      </c>
      <c r="H1860" s="204">
        <f t="shared" si="150"/>
        <v>0</v>
      </c>
      <c r="I1860" s="487">
        <f t="shared" si="151"/>
        <v>0</v>
      </c>
      <c r="J1860" s="484"/>
    </row>
    <row r="1861" spans="3:10">
      <c r="C1861" s="476" t="s">
        <v>2909</v>
      </c>
      <c r="D1861" s="483" t="s">
        <v>2910</v>
      </c>
      <c r="E1861" s="221" t="str">
        <f>+VLOOKUP(C1861,'AUX-NIV2'!B:F,3,FALSE)</f>
        <v>un</v>
      </c>
      <c r="F1861" s="220">
        <f>SUMIF('AUX-NIV1'!B:B,Recursos!C1861,'AUX-NIV1'!P:P)+SUMIF('AUX-NIV2'!B:B,Recursos!C1861,'AUX-NIV2'!P:P)+SUMIF('AUX-NIV3'!B:B,Recursos!C1861,'AUX-NIV3'!P:P)</f>
        <v>52409.522552776834</v>
      </c>
      <c r="G1861" s="479">
        <f>+SUMIF('AUX-NIV1'!I:I,Recursos!C1861,'AUX-NIV1'!Q:Q)+SUMIF('AUX-NIV2'!I:I,Recursos!C1861,'AUX-NIV2'!Q:Q)+SUMIF('AUX-NIV3'!I:I,Recursos!C1861,'AUX-NIV3'!Q:Q)</f>
        <v>0</v>
      </c>
      <c r="H1861" s="204">
        <f t="shared" si="150"/>
        <v>0</v>
      </c>
      <c r="I1861" s="487">
        <f t="shared" si="151"/>
        <v>0</v>
      </c>
      <c r="J1861" s="484"/>
    </row>
    <row r="1862" spans="3:10">
      <c r="C1862" s="476" t="s">
        <v>2911</v>
      </c>
      <c r="D1862" s="483" t="s">
        <v>2912</v>
      </c>
      <c r="E1862" s="221" t="s">
        <v>1386</v>
      </c>
      <c r="F1862" s="220">
        <f>SUMIF('AUX-NIV1'!B:B,Recursos!C1862,'AUX-NIV1'!P:P)+SUMIF('AUX-NIV2'!B:B,Recursos!C1862,'AUX-NIV2'!P:P)+SUMIF('AUX-NIV3'!B:B,Recursos!C1862,'AUX-NIV3'!P:P)</f>
        <v>132.87103287021205</v>
      </c>
      <c r="G1862" s="479">
        <f>+SUMIF('AUX-NIV1'!I:I,Recursos!C1862,'AUX-NIV1'!Q:Q)+SUMIF('AUX-NIV2'!I:I,Recursos!C1862,'AUX-NIV2'!Q:Q)+SUMIF('AUX-NIV3'!I:I,Recursos!C1862,'AUX-NIV3'!Q:Q)</f>
        <v>0</v>
      </c>
      <c r="H1862" s="204">
        <f t="shared" si="150"/>
        <v>0</v>
      </c>
      <c r="I1862" s="487">
        <f t="shared" si="151"/>
        <v>0</v>
      </c>
      <c r="J1862" s="484"/>
    </row>
    <row r="1863" spans="3:10">
      <c r="C1863" s="476" t="s">
        <v>2913</v>
      </c>
      <c r="D1863" s="483" t="s">
        <v>2914</v>
      </c>
      <c r="E1863" s="221" t="s">
        <v>1386</v>
      </c>
      <c r="F1863" s="220">
        <f>SUMIF('AUX-NIV1'!B:B,Recursos!C1863,'AUX-NIV1'!P:P)+SUMIF('AUX-NIV2'!B:B,Recursos!C1863,'AUX-NIV2'!P:P)+SUMIF('AUX-NIV3'!B:B,Recursos!C1863,'AUX-NIV3'!P:P)</f>
        <v>250.7529693802536</v>
      </c>
      <c r="G1863" s="479">
        <f>+SUMIF('AUX-NIV1'!I:I,Recursos!C1863,'AUX-NIV1'!Q:Q)+SUMIF('AUX-NIV2'!I:I,Recursos!C1863,'AUX-NIV2'!Q:Q)+SUMIF('AUX-NIV3'!I:I,Recursos!C1863,'AUX-NIV3'!Q:Q)</f>
        <v>0</v>
      </c>
      <c r="H1863" s="204">
        <f t="shared" si="150"/>
        <v>0</v>
      </c>
      <c r="I1863" s="487">
        <f t="shared" si="151"/>
        <v>0</v>
      </c>
      <c r="J1863" s="484"/>
    </row>
    <row r="1864" spans="3:10">
      <c r="C1864" s="476" t="s">
        <v>2916</v>
      </c>
      <c r="D1864" s="483" t="s">
        <v>2917</v>
      </c>
      <c r="E1864" s="221" t="s">
        <v>501</v>
      </c>
      <c r="F1864" s="220">
        <f>SUMIF('AUX-NIV1'!B:B,Recursos!C1864,'AUX-NIV1'!P:P)+SUMIF('AUX-NIV2'!B:B,Recursos!C1864,'AUX-NIV2'!P:P)+SUMIF('AUX-NIV3'!B:B,Recursos!C1864,'AUX-NIV3'!P:P)</f>
        <v>13855.182863929491</v>
      </c>
      <c r="G1864" s="479">
        <f>+SUMIF('AUX-NIV1'!I:I,Recursos!C1864,'AUX-NIV1'!Q:Q)+SUMIF('AUX-NIV2'!I:I,Recursos!C1864,'AUX-NIV2'!Q:Q)+SUMIF('AUX-NIV3'!I:I,Recursos!C1864,'AUX-NIV3'!Q:Q)</f>
        <v>0</v>
      </c>
      <c r="H1864" s="204">
        <f t="shared" si="150"/>
        <v>0</v>
      </c>
      <c r="I1864" s="487">
        <f t="shared" si="151"/>
        <v>0</v>
      </c>
      <c r="J1864" s="484"/>
    </row>
    <row r="1865" spans="3:10">
      <c r="C1865" s="476" t="s">
        <v>2919</v>
      </c>
      <c r="D1865" s="483" t="s">
        <v>2920</v>
      </c>
      <c r="E1865" s="221" t="s">
        <v>501</v>
      </c>
      <c r="F1865" s="220">
        <f>SUMIF('AUX-NIV1'!B:B,Recursos!C1865,'AUX-NIV1'!P:P)+SUMIF('AUX-NIV2'!B:B,Recursos!C1865,'AUX-NIV2'!P:P)+SUMIF('AUX-NIV3'!B:B,Recursos!C1865,'AUX-NIV3'!P:P)</f>
        <v>3942.163859161124</v>
      </c>
      <c r="G1865" s="479">
        <f>+SUMIF('AUX-NIV1'!I:I,Recursos!C1865,'AUX-NIV1'!Q:Q)+SUMIF('AUX-NIV2'!I:I,Recursos!C1865,'AUX-NIV2'!Q:Q)+SUMIF('AUX-NIV3'!I:I,Recursos!C1865,'AUX-NIV3'!Q:Q)</f>
        <v>0</v>
      </c>
      <c r="H1865" s="204">
        <f t="shared" si="150"/>
        <v>0</v>
      </c>
      <c r="I1865" s="487">
        <f t="shared" si="151"/>
        <v>0</v>
      </c>
      <c r="J1865" s="484"/>
    </row>
    <row r="1866" spans="3:10">
      <c r="C1866" s="476" t="s">
        <v>2921</v>
      </c>
      <c r="D1866" s="483" t="s">
        <v>2922</v>
      </c>
      <c r="E1866" s="221" t="s">
        <v>477</v>
      </c>
      <c r="F1866" s="220">
        <f>SUMIF('AUX-NIV1'!B:B,Recursos!C1866,'AUX-NIV1'!P:P)+SUMIF('AUX-NIV2'!B:B,Recursos!C1866,'AUX-NIV2'!P:P)+SUMIF('AUX-NIV3'!B:B,Recursos!C1866,'AUX-NIV3'!P:P)</f>
        <v>0.80848999999999993</v>
      </c>
      <c r="G1866" s="479">
        <f>+SUMIF('AUX-NIV1'!I:I,Recursos!C1866,'AUX-NIV1'!Q:Q)+SUMIF('AUX-NIV2'!I:I,Recursos!C1866,'AUX-NIV2'!Q:Q)+SUMIF('AUX-NIV3'!I:I,Recursos!C1866,'AUX-NIV3'!Q:Q)</f>
        <v>0</v>
      </c>
      <c r="H1866" s="204">
        <f t="shared" si="150"/>
        <v>0</v>
      </c>
      <c r="I1866" s="487">
        <f t="shared" si="151"/>
        <v>0</v>
      </c>
      <c r="J1866" s="484"/>
    </row>
    <row r="1867" spans="3:10">
      <c r="C1867" s="476" t="s">
        <v>1319</v>
      </c>
      <c r="D1867" s="483" t="s">
        <v>1320</v>
      </c>
      <c r="E1867" s="221" t="s">
        <v>1321</v>
      </c>
      <c r="F1867" s="220">
        <f>SUMIF('AUX-NIV1'!B:B,Recursos!C1867,'AUX-NIV1'!P:P)+SUMIF('AUX-NIV2'!B:B,Recursos!C1867,'AUX-NIV2'!P:P)+SUMIF('AUX-NIV3'!B:B,Recursos!C1867,'AUX-NIV3'!P:P)</f>
        <v>0</v>
      </c>
      <c r="G1867" s="479">
        <f>+SUMIF('AUX-NIV1'!I:I,Recursos!C1867,'AUX-NIV1'!Q:Q)+SUMIF('AUX-NIV2'!I:I,Recursos!C1867,'AUX-NIV2'!Q:Q)+SUMIF('AUX-NIV3'!I:I,Recursos!C1867,'AUX-NIV3'!Q:Q)</f>
        <v>0</v>
      </c>
      <c r="H1867" s="204">
        <f t="shared" si="150"/>
        <v>0</v>
      </c>
      <c r="I1867" s="487">
        <f t="shared" si="151"/>
        <v>0</v>
      </c>
      <c r="J1867" s="484"/>
    </row>
    <row r="1868" spans="3:10">
      <c r="C1868" s="476" t="s">
        <v>1322</v>
      </c>
      <c r="D1868" s="483" t="s">
        <v>1341</v>
      </c>
      <c r="E1868" s="221" t="s">
        <v>1160</v>
      </c>
      <c r="F1868" s="220">
        <f>SUMIF('AUX-NIV1'!B:B,Recursos!C1868,'AUX-NIV1'!P:P)+SUMIF('AUX-NIV2'!B:B,Recursos!C1868,'AUX-NIV2'!P:P)+SUMIF('AUX-NIV3'!B:B,Recursos!C1868,'AUX-NIV3'!P:P)</f>
        <v>0</v>
      </c>
      <c r="G1868" s="479">
        <f>+SUMIF('AUX-NIV1'!I:I,Recursos!C1868,'AUX-NIV1'!Q:Q)+SUMIF('AUX-NIV2'!I:I,Recursos!C1868,'AUX-NIV2'!Q:Q)+SUMIF('AUX-NIV3'!I:I,Recursos!C1868,'AUX-NIV3'!Q:Q)</f>
        <v>0</v>
      </c>
      <c r="H1868" s="204">
        <f t="shared" si="150"/>
        <v>0</v>
      </c>
      <c r="I1868" s="487">
        <f t="shared" si="151"/>
        <v>0</v>
      </c>
      <c r="J1868" s="484"/>
    </row>
    <row r="1869" spans="3:10">
      <c r="C1869" s="476" t="s">
        <v>1342</v>
      </c>
      <c r="D1869" s="483" t="s">
        <v>1343</v>
      </c>
      <c r="E1869" s="221" t="s">
        <v>477</v>
      </c>
      <c r="F1869" s="220">
        <f>SUMIF('AUX-NIV1'!B:B,Recursos!C1869,'AUX-NIV1'!P:P)+SUMIF('AUX-NIV2'!B:B,Recursos!C1869,'AUX-NIV2'!P:P)+SUMIF('AUX-NIV3'!B:B,Recursos!C1869,'AUX-NIV3'!P:P)</f>
        <v>0</v>
      </c>
      <c r="G1869" s="479">
        <f>+SUMIF('AUX-NIV1'!I:I,Recursos!C1869,'AUX-NIV1'!Q:Q)+SUMIF('AUX-NIV2'!I:I,Recursos!C1869,'AUX-NIV2'!Q:Q)+SUMIF('AUX-NIV3'!I:I,Recursos!C1869,'AUX-NIV3'!Q:Q)</f>
        <v>0</v>
      </c>
      <c r="H1869" s="204">
        <f t="shared" si="150"/>
        <v>0</v>
      </c>
      <c r="I1869" s="487">
        <f t="shared" si="151"/>
        <v>0</v>
      </c>
      <c r="J1869" s="484"/>
    </row>
    <row r="1870" spans="3:10">
      <c r="C1870" s="476" t="s">
        <v>2923</v>
      </c>
      <c r="D1870" s="483" t="s">
        <v>2924</v>
      </c>
      <c r="E1870" s="221" t="s">
        <v>477</v>
      </c>
      <c r="F1870" s="220" t="e">
        <f>SUMIF('AUX-NIV1'!B:B,Recursos!C1870,'AUX-NIV1'!P:P)+SUMIF('AUX-NIV2'!B:B,Recursos!C1870,'AUX-NIV2'!P:P)+SUMIF('AUX-NIV3'!B:B,Recursos!C1870,'AUX-NIV3'!P:P)</f>
        <v>#N/A</v>
      </c>
      <c r="G1870" s="479">
        <f>+SUMIF('AUX-NIV1'!I:I,Recursos!C1870,'AUX-NIV1'!Q:Q)+SUMIF('AUX-NIV2'!I:I,Recursos!C1870,'AUX-NIV2'!Q:Q)+SUMIF('AUX-NIV3'!I:I,Recursos!C1870,'AUX-NIV3'!Q:Q)</f>
        <v>0</v>
      </c>
      <c r="H1870" s="204" t="e">
        <f t="shared" si="150"/>
        <v>#N/A</v>
      </c>
      <c r="I1870" s="487" t="e">
        <f t="shared" si="151"/>
        <v>#N/A</v>
      </c>
      <c r="J1870" s="484"/>
    </row>
    <row r="1871" spans="3:10">
      <c r="C1871" s="476" t="s">
        <v>2925</v>
      </c>
      <c r="D1871" s="483" t="s">
        <v>2926</v>
      </c>
      <c r="E1871" s="221" t="s">
        <v>501</v>
      </c>
      <c r="F1871" s="220">
        <f>SUMIF('AUX-NIV1'!B:B,Recursos!C1871,'AUX-NIV1'!P:P)+SUMIF('AUX-NIV2'!B:B,Recursos!C1871,'AUX-NIV2'!P:P)+SUMIF('AUX-NIV3'!B:B,Recursos!C1871,'AUX-NIV3'!P:P)</f>
        <v>495.84981604471528</v>
      </c>
      <c r="G1871" s="479">
        <f>+SUMIF('AUX-NIV1'!I:I,Recursos!C1871,'AUX-NIV1'!Q:Q)+SUMIF('AUX-NIV2'!I:I,Recursos!C1871,'AUX-NIV2'!Q:Q)+SUMIF('AUX-NIV3'!I:I,Recursos!C1871,'AUX-NIV3'!Q:Q)</f>
        <v>0</v>
      </c>
      <c r="H1871" s="204">
        <f t="shared" si="150"/>
        <v>0</v>
      </c>
      <c r="I1871" s="487">
        <f t="shared" si="151"/>
        <v>0</v>
      </c>
      <c r="J1871" s="484"/>
    </row>
    <row r="1872" spans="3:10">
      <c r="C1872" s="476" t="s">
        <v>2927</v>
      </c>
      <c r="D1872" s="483" t="s">
        <v>2928</v>
      </c>
      <c r="E1872" s="221" t="s">
        <v>477</v>
      </c>
      <c r="F1872" s="220" t="e">
        <f>SUMIF('AUX-NIV1'!B:B,Recursos!C1872,'AUX-NIV1'!P:P)+SUMIF('AUX-NIV2'!B:B,Recursos!C1872,'AUX-NIV2'!P:P)+SUMIF('AUX-NIV3'!B:B,Recursos!C1872,'AUX-NIV3'!P:P)</f>
        <v>#N/A</v>
      </c>
      <c r="G1872" s="479">
        <f>+SUMIF('AUX-NIV1'!I:I,Recursos!C1872,'AUX-NIV1'!Q:Q)+SUMIF('AUX-NIV2'!I:I,Recursos!C1872,'AUX-NIV2'!Q:Q)+SUMIF('AUX-NIV3'!I:I,Recursos!C1872,'AUX-NIV3'!Q:Q)</f>
        <v>0</v>
      </c>
      <c r="H1872" s="204" t="e">
        <f t="shared" si="150"/>
        <v>#N/A</v>
      </c>
      <c r="I1872" s="487" t="e">
        <f t="shared" si="151"/>
        <v>#N/A</v>
      </c>
      <c r="J1872" s="484"/>
    </row>
    <row r="1873" spans="3:10">
      <c r="C1873" s="476" t="s">
        <v>2929</v>
      </c>
      <c r="D1873" s="483" t="s">
        <v>2930</v>
      </c>
      <c r="E1873" s="221" t="s">
        <v>1160</v>
      </c>
      <c r="F1873" s="220" t="e">
        <f>SUMIF('AUX-NIV1'!B:B,Recursos!C1873,'AUX-NIV1'!P:P)+SUMIF('AUX-NIV2'!B:B,Recursos!C1873,'AUX-NIV2'!P:P)+SUMIF('AUX-NIV3'!B:B,Recursos!C1873,'AUX-NIV3'!P:P)</f>
        <v>#N/A</v>
      </c>
      <c r="G1873" s="479">
        <f>+SUMIF('AUX-NIV1'!I:I,Recursos!C1873,'AUX-NIV1'!Q:Q)+SUMIF('AUX-NIV2'!I:I,Recursos!C1873,'AUX-NIV2'!Q:Q)+SUMIF('AUX-NIV3'!I:I,Recursos!C1873,'AUX-NIV3'!Q:Q)</f>
        <v>0</v>
      </c>
      <c r="H1873" s="204" t="e">
        <f t="shared" si="150"/>
        <v>#N/A</v>
      </c>
      <c r="I1873" s="487" t="e">
        <f t="shared" si="151"/>
        <v>#N/A</v>
      </c>
      <c r="J1873" s="484"/>
    </row>
    <row r="1874" spans="3:10">
      <c r="C1874" s="476" t="s">
        <v>1517</v>
      </c>
      <c r="D1874" s="483" t="s">
        <v>1523</v>
      </c>
      <c r="E1874" s="221" t="s">
        <v>1160</v>
      </c>
      <c r="F1874" s="220">
        <f>SUMIF('AUX-NIV1'!B:B,Recursos!C1874,'AUX-NIV1'!P:P)+SUMIF('AUX-NIV2'!B:B,Recursos!C1874,'AUX-NIV2'!P:P)+SUMIF('AUX-NIV3'!B:B,Recursos!C1874,'AUX-NIV3'!P:P)</f>
        <v>5753.4909532294851</v>
      </c>
      <c r="G1874" s="479">
        <f>+SUMIF('AUX-NIV1'!I:I,Recursos!C1874,'AUX-NIV1'!Q:Q)+SUMIF('AUX-NIV2'!I:I,Recursos!C1874,'AUX-NIV2'!Q:Q)+SUMIF('AUX-NIV3'!I:I,Recursos!C1874,'AUX-NIV3'!Q:Q)</f>
        <v>0</v>
      </c>
      <c r="H1874" s="204">
        <f t="shared" si="150"/>
        <v>0</v>
      </c>
      <c r="I1874" s="487">
        <f t="shared" si="151"/>
        <v>0</v>
      </c>
      <c r="J1874" s="484"/>
    </row>
    <row r="1875" spans="3:10">
      <c r="C1875" s="476" t="s">
        <v>2931</v>
      </c>
      <c r="D1875" s="483" t="s">
        <v>2932</v>
      </c>
      <c r="E1875" s="221" t="s">
        <v>1160</v>
      </c>
      <c r="F1875" s="220" t="e">
        <f>SUMIF('AUX-NIV1'!B:B,Recursos!C1875,'AUX-NIV1'!P:P)+SUMIF('AUX-NIV2'!B:B,Recursos!C1875,'AUX-NIV2'!P:P)+SUMIF('AUX-NIV3'!B:B,Recursos!C1875,'AUX-NIV3'!P:P)</f>
        <v>#N/A</v>
      </c>
      <c r="G1875" s="479">
        <f>+SUMIF('AUX-NIV1'!I:I,Recursos!C1875,'AUX-NIV1'!Q:Q)+SUMIF('AUX-NIV2'!I:I,Recursos!C1875,'AUX-NIV2'!Q:Q)+SUMIF('AUX-NIV3'!I:I,Recursos!C1875,'AUX-NIV3'!Q:Q)</f>
        <v>0</v>
      </c>
      <c r="H1875" s="204" t="e">
        <f t="shared" si="150"/>
        <v>#N/A</v>
      </c>
      <c r="I1875" s="487" t="e">
        <f t="shared" si="151"/>
        <v>#N/A</v>
      </c>
      <c r="J1875" s="484"/>
    </row>
    <row r="1876" spans="3:10">
      <c r="C1876" s="476" t="s">
        <v>1513</v>
      </c>
      <c r="D1876" s="483" t="s">
        <v>2973</v>
      </c>
      <c r="E1876" s="221" t="s">
        <v>1160</v>
      </c>
      <c r="F1876" s="220" t="e">
        <f>SUMIF('AUX-NIV1'!B:B,Recursos!C1876,'AUX-NIV1'!P:P)+SUMIF('AUX-NIV2'!B:B,Recursos!C1876,'AUX-NIV2'!P:P)+SUMIF('AUX-NIV3'!B:B,Recursos!C1876,'AUX-NIV3'!P:P)</f>
        <v>#N/A</v>
      </c>
      <c r="G1876" s="479">
        <f>+SUMIF('AUX-NIV1'!I:I,Recursos!C1876,'AUX-NIV1'!Q:Q)+SUMIF('AUX-NIV2'!I:I,Recursos!C1876,'AUX-NIV2'!Q:Q)+SUMIF('AUX-NIV3'!I:I,Recursos!C1876,'AUX-NIV3'!Q:Q)</f>
        <v>0</v>
      </c>
      <c r="H1876" s="204" t="e">
        <f t="shared" si="150"/>
        <v>#N/A</v>
      </c>
      <c r="I1876" s="487" t="e">
        <f t="shared" si="151"/>
        <v>#N/A</v>
      </c>
      <c r="J1876" s="484"/>
    </row>
    <row r="1877" spans="3:10">
      <c r="C1877" s="476" t="s">
        <v>1344</v>
      </c>
      <c r="D1877" s="483" t="s">
        <v>1345</v>
      </c>
      <c r="E1877" s="221" t="s">
        <v>1160</v>
      </c>
      <c r="F1877" s="220">
        <f>SUMIF('AUX-NIV1'!B:B,Recursos!C1877,'AUX-NIV1'!P:P)+SUMIF('AUX-NIV2'!B:B,Recursos!C1877,'AUX-NIV2'!P:P)+SUMIF('AUX-NIV3'!B:B,Recursos!C1877,'AUX-NIV3'!P:P)</f>
        <v>1584.9799841651898</v>
      </c>
      <c r="G1877" s="479">
        <f>+SUMIF('AUX-NIV1'!I:I,Recursos!C1877,'AUX-NIV1'!Q:Q)+SUMIF('AUX-NIV2'!I:I,Recursos!C1877,'AUX-NIV2'!Q:Q)+SUMIF('AUX-NIV3'!I:I,Recursos!C1877,'AUX-NIV3'!Q:Q)</f>
        <v>0</v>
      </c>
      <c r="H1877" s="204">
        <f t="shared" si="150"/>
        <v>0</v>
      </c>
      <c r="I1877" s="487">
        <f t="shared" si="151"/>
        <v>0</v>
      </c>
      <c r="J1877" s="484"/>
    </row>
    <row r="1878" spans="3:10">
      <c r="C1878" s="476" t="s">
        <v>2933</v>
      </c>
      <c r="D1878" s="483" t="s">
        <v>2934</v>
      </c>
      <c r="E1878" s="221" t="s">
        <v>477</v>
      </c>
      <c r="F1878" s="220" t="e">
        <f>SUMIF('AUX-NIV1'!B:B,Recursos!C1878,'AUX-NIV1'!P:P)+SUMIF('AUX-NIV2'!B:B,Recursos!C1878,'AUX-NIV2'!P:P)+SUMIF('AUX-NIV3'!B:B,Recursos!C1878,'AUX-NIV3'!P:P)</f>
        <v>#N/A</v>
      </c>
      <c r="G1878" s="479">
        <f>+SUMIF('AUX-NIV1'!I:I,Recursos!C1878,'AUX-NIV1'!Q:Q)+SUMIF('AUX-NIV2'!I:I,Recursos!C1878,'AUX-NIV2'!Q:Q)+SUMIF('AUX-NIV3'!I:I,Recursos!C1878,'AUX-NIV3'!Q:Q)</f>
        <v>0</v>
      </c>
      <c r="H1878" s="204" t="e">
        <f t="shared" si="150"/>
        <v>#N/A</v>
      </c>
      <c r="I1878" s="487" t="e">
        <f t="shared" si="151"/>
        <v>#N/A</v>
      </c>
      <c r="J1878" s="484"/>
    </row>
    <row r="1879" spans="3:10">
      <c r="C1879" s="476" t="s">
        <v>2935</v>
      </c>
      <c r="D1879" s="483" t="s">
        <v>2936</v>
      </c>
      <c r="E1879" s="221" t="s">
        <v>477</v>
      </c>
      <c r="F1879" s="220">
        <f>SUMIF('AUX-NIV1'!B:B,Recursos!C1879,'AUX-NIV1'!P:P)+SUMIF('AUX-NIV2'!B:B,Recursos!C1879,'AUX-NIV2'!P:P)+SUMIF('AUX-NIV3'!B:B,Recursos!C1879,'AUX-NIV3'!P:P)</f>
        <v>137.68604714954739</v>
      </c>
      <c r="G1879" s="479">
        <f>+SUMIF('AUX-NIV1'!I:I,Recursos!C1879,'AUX-NIV1'!Q:Q)+SUMIF('AUX-NIV2'!I:I,Recursos!C1879,'AUX-NIV2'!Q:Q)+SUMIF('AUX-NIV3'!I:I,Recursos!C1879,'AUX-NIV3'!Q:Q)</f>
        <v>0</v>
      </c>
      <c r="H1879" s="204">
        <f t="shared" si="150"/>
        <v>0</v>
      </c>
      <c r="I1879" s="487">
        <f t="shared" si="151"/>
        <v>0</v>
      </c>
      <c r="J1879" s="484"/>
    </row>
    <row r="1880" spans="3:10">
      <c r="C1880" s="199" t="s">
        <v>2975</v>
      </c>
      <c r="D1880" s="220" t="s">
        <v>2974</v>
      </c>
      <c r="E1880" s="221" t="s">
        <v>501</v>
      </c>
      <c r="F1880" s="220">
        <f>SUMIF('AUX-NIV1'!B:B,Recursos!C1880,'AUX-NIV1'!P:P)+SUMIF('AUX-NIV2'!B:B,Recursos!C1880,'AUX-NIV2'!P:P)+SUMIF('AUX-NIV3'!B:B,Recursos!C1880,'AUX-NIV3'!P:P)</f>
        <v>1928.7507127591643</v>
      </c>
      <c r="G1880" s="479">
        <f>+SUMIF('AUX-NIV1'!I:I,Recursos!C1880,'AUX-NIV1'!Q:Q)+SUMIF('AUX-NIV2'!I:I,Recursos!C1880,'AUX-NIV2'!Q:Q)+SUMIF('AUX-NIV3'!I:I,Recursos!C1880,'AUX-NIV3'!Q:Q)</f>
        <v>0</v>
      </c>
      <c r="H1880" s="204">
        <f t="shared" si="150"/>
        <v>0</v>
      </c>
      <c r="I1880" s="487">
        <f t="shared" si="151"/>
        <v>0</v>
      </c>
      <c r="J1880" s="205"/>
    </row>
    <row r="1881" spans="3:10">
      <c r="C1881" s="199" t="s">
        <v>2976</v>
      </c>
      <c r="D1881" s="220" t="s">
        <v>2977</v>
      </c>
      <c r="E1881" s="221" t="s">
        <v>501</v>
      </c>
      <c r="F1881" s="220" t="e">
        <f>SUMIF('AUX-NIV1'!B:B,Recursos!C1881,'AUX-NIV1'!P:P)+SUMIF('AUX-NIV2'!B:B,Recursos!C1881,'AUX-NIV2'!P:P)+SUMIF('AUX-NIV3'!B:B,Recursos!C1881,'AUX-NIV3'!P:P)</f>
        <v>#N/A</v>
      </c>
      <c r="G1881" s="479">
        <f>+SUMIF('AUX-NIV1'!I:I,Recursos!C1881,'AUX-NIV1'!Q:Q)+SUMIF('AUX-NIV2'!I:I,Recursos!C1881,'AUX-NIV2'!Q:Q)+SUMIF('AUX-NIV3'!I:I,Recursos!C1881,'AUX-NIV3'!Q:Q)</f>
        <v>0</v>
      </c>
      <c r="H1881" s="204" t="e">
        <f t="shared" si="150"/>
        <v>#N/A</v>
      </c>
      <c r="I1881" s="364" t="e">
        <f t="shared" si="151"/>
        <v>#N/A</v>
      </c>
      <c r="J1881" s="205"/>
    </row>
    <row r="1882" spans="3:10">
      <c r="C1882" s="208" t="s">
        <v>2944</v>
      </c>
      <c r="D1882" s="483" t="s">
        <v>2918</v>
      </c>
      <c r="E1882" s="552" t="s">
        <v>501</v>
      </c>
      <c r="F1882" s="220">
        <f>SUMIF('AUX-NIV1'!B:B,Recursos!C1882,'AUX-NIV1'!P:P)+SUMIF('AUX-NIV2'!B:B,Recursos!C1882,'AUX-NIV2'!P:P)+SUMIF('AUX-NIV3'!B:B,Recursos!C1882,'AUX-NIV3'!P:P)</f>
        <v>2325.542767080562</v>
      </c>
      <c r="G1882" s="479">
        <f>+SUMIF('AUX-NIV1'!I:I,Recursos!C1882,'AUX-NIV1'!Q:Q)+SUMIF('AUX-NIV2'!I:I,Recursos!C1882,'AUX-NIV2'!Q:Q)+SUMIF('AUX-NIV3'!I:I,Recursos!C1882,'AUX-NIV3'!Q:Q)</f>
        <v>0</v>
      </c>
      <c r="H1882" s="204">
        <f t="shared" si="150"/>
        <v>0</v>
      </c>
      <c r="I1882" s="364">
        <f t="shared" si="151"/>
        <v>0</v>
      </c>
      <c r="J1882" s="484"/>
    </row>
    <row r="1883" spans="3:10">
      <c r="C1883" s="208" t="s">
        <v>2943</v>
      </c>
      <c r="D1883" s="483" t="s">
        <v>2915</v>
      </c>
      <c r="E1883" s="552" t="s">
        <v>1411</v>
      </c>
      <c r="F1883" s="220">
        <f>SUMIF('AUX-NIV1'!B:B,Recursos!C1883,'AUX-NIV1'!P:P)+SUMIF('AUX-NIV2'!B:B,Recursos!C1883,'AUX-NIV2'!P:P)+SUMIF('AUX-NIV3'!B:B,Recursos!C1883,'AUX-NIV3'!P:P)</f>
        <v>583.70995691995984</v>
      </c>
      <c r="G1883" s="479">
        <f>+SUMIF('AUX-NIV1'!I:I,Recursos!C1883,'AUX-NIV1'!Q:Q)+SUMIF('AUX-NIV2'!I:I,Recursos!C1883,'AUX-NIV2'!Q:Q)+SUMIF('AUX-NIV3'!I:I,Recursos!C1883,'AUX-NIV3'!Q:Q)</f>
        <v>0</v>
      </c>
      <c r="H1883" s="204">
        <f t="shared" si="150"/>
        <v>0</v>
      </c>
      <c r="I1883" s="364">
        <f t="shared" si="151"/>
        <v>0</v>
      </c>
      <c r="J1883" s="484"/>
    </row>
    <row r="1884" spans="3:10">
      <c r="C1884" s="208" t="s">
        <v>2942</v>
      </c>
      <c r="D1884" s="483" t="s">
        <v>2914</v>
      </c>
      <c r="E1884" s="552" t="s">
        <v>1386</v>
      </c>
      <c r="F1884" s="220">
        <f>SUMIF('AUX-NIV1'!B:B,Recursos!C1884,'AUX-NIV1'!P:P)+SUMIF('AUX-NIV2'!B:B,Recursos!C1884,'AUX-NIV2'!P:P)+SUMIF('AUX-NIV3'!B:B,Recursos!C1884,'AUX-NIV3'!P:P)</f>
        <v>305.63523198067901</v>
      </c>
      <c r="G1884" s="479">
        <f>+SUMIF('AUX-NIV1'!I:I,Recursos!C1884,'AUX-NIV1'!Q:Q)+SUMIF('AUX-NIV2'!I:I,Recursos!C1884,'AUX-NIV2'!Q:Q)+SUMIF('AUX-NIV3'!I:I,Recursos!C1884,'AUX-NIV3'!Q:Q)</f>
        <v>0</v>
      </c>
      <c r="H1884" s="204">
        <f t="shared" ref="H1884:H1889" si="152">+F1884*G1884</f>
        <v>0</v>
      </c>
      <c r="I1884" s="364">
        <f t="shared" ref="I1884:I1889" si="153">+H1884/$I$3</f>
        <v>0</v>
      </c>
      <c r="J1884" s="484"/>
    </row>
    <row r="1885" spans="3:10">
      <c r="C1885" s="208" t="s">
        <v>2982</v>
      </c>
      <c r="D1885" s="483" t="s">
        <v>2983</v>
      </c>
      <c r="E1885" s="552" t="s">
        <v>1160</v>
      </c>
      <c r="F1885" s="220">
        <f>SUMIF('AUX-NIV1'!B:B,Recursos!C1885,'AUX-NIV1'!P:P)+SUMIF('AUX-NIV2'!B:B,Recursos!C1885,'AUX-NIV2'!P:P)+SUMIF('AUX-NIV3'!B:B,Recursos!C1885,'AUX-NIV3'!P:P)</f>
        <v>195.50062596429049</v>
      </c>
      <c r="G1885" s="479">
        <f>+SUMIF('AUX-NIV1'!I:I,Recursos!C1885,'AUX-NIV1'!Q:Q)+SUMIF('AUX-NIV2'!I:I,Recursos!C1885,'AUX-NIV2'!Q:Q)+SUMIF('AUX-NIV3'!I:I,Recursos!C1885,'AUX-NIV3'!Q:Q)</f>
        <v>0</v>
      </c>
      <c r="H1885" s="204">
        <f t="shared" si="152"/>
        <v>0</v>
      </c>
      <c r="I1885" s="364">
        <f t="shared" si="153"/>
        <v>0</v>
      </c>
      <c r="J1885" s="484"/>
    </row>
    <row r="1886" spans="3:10">
      <c r="C1886" s="208" t="s">
        <v>2986</v>
      </c>
      <c r="D1886" s="483" t="s">
        <v>2987</v>
      </c>
      <c r="E1886" s="552" t="s">
        <v>1385</v>
      </c>
      <c r="F1886" s="220">
        <f>SUMIF('AUX-NIV1'!B:B,Recursos!C1886,'AUX-NIV1'!P:P)+SUMIF('AUX-NIV2'!B:B,Recursos!C1886,'AUX-NIV2'!P:P)+SUMIF('AUX-NIV3'!B:B,Recursos!C1886,'AUX-NIV3'!P:P)</f>
        <v>17.030397930216687</v>
      </c>
      <c r="G1886" s="479">
        <f>+SUMIF('AUX-NIV1'!I:I,Recursos!C1886,'AUX-NIV1'!Q:Q)+SUMIF('AUX-NIV2'!I:I,Recursos!C1886,'AUX-NIV2'!Q:Q)+SUMIF('AUX-NIV3'!I:I,Recursos!C1886,'AUX-NIV3'!Q:Q)</f>
        <v>14.48</v>
      </c>
      <c r="H1886" s="204">
        <f t="shared" si="152"/>
        <v>246.60016202953764</v>
      </c>
      <c r="I1886" s="364">
        <f t="shared" si="153"/>
        <v>7.6008969381470852E-4</v>
      </c>
      <c r="J1886" s="484"/>
    </row>
    <row r="1887" spans="3:10">
      <c r="C1887" s="208" t="s">
        <v>2984</v>
      </c>
      <c r="D1887" s="483" t="s">
        <v>2985</v>
      </c>
      <c r="E1887" s="552" t="s">
        <v>1385</v>
      </c>
      <c r="F1887" s="220">
        <f>SUMIF('AUX-NIV1'!B:B,Recursos!C1887,'AUX-NIV1'!P:P)+SUMIF('AUX-NIV2'!B:B,Recursos!C1887,'AUX-NIV2'!P:P)+SUMIF('AUX-NIV3'!B:B,Recursos!C1887,'AUX-NIV3'!P:P)</f>
        <v>17.030397930216687</v>
      </c>
      <c r="G1887" s="479">
        <f>+SUMIF('AUX-NIV1'!I:I,Recursos!C1887,'AUX-NIV1'!Q:Q)+SUMIF('AUX-NIV2'!I:I,Recursos!C1887,'AUX-NIV2'!Q:Q)+SUMIF('AUX-NIV3'!I:I,Recursos!C1887,'AUX-NIV3'!Q:Q)</f>
        <v>14.48</v>
      </c>
      <c r="H1887" s="204">
        <f t="shared" si="152"/>
        <v>246.60016202953764</v>
      </c>
      <c r="I1887" s="364">
        <f t="shared" si="153"/>
        <v>7.6008969381470852E-4</v>
      </c>
      <c r="J1887" s="484"/>
    </row>
    <row r="1888" spans="3:10">
      <c r="C1888" s="208" t="s">
        <v>2988</v>
      </c>
      <c r="D1888" s="483" t="s">
        <v>2989</v>
      </c>
      <c r="E1888" s="552" t="s">
        <v>1160</v>
      </c>
      <c r="F1888" s="220">
        <f>SUMIF('AUX-NIV1'!B:B,Recursos!C1888,'AUX-NIV1'!P:P)+SUMIF('AUX-NIV2'!B:B,Recursos!C1888,'AUX-NIV2'!P:P)+SUMIF('AUX-NIV3'!B:B,Recursos!C1888,'AUX-NIV3'!P:P)</f>
        <v>731.32286155504607</v>
      </c>
      <c r="G1888" s="479">
        <f>+SUMIF('AUX-NIV1'!I:I,Recursos!C1888,'AUX-NIV1'!Q:Q)+SUMIF('AUX-NIV2'!I:I,Recursos!C1888,'AUX-NIV2'!Q:Q)+SUMIF('AUX-NIV3'!I:I,Recursos!C1888,'AUX-NIV3'!Q:Q)</f>
        <v>0</v>
      </c>
      <c r="H1888" s="204">
        <f t="shared" si="152"/>
        <v>0</v>
      </c>
      <c r="I1888" s="364">
        <f t="shared" si="153"/>
        <v>0</v>
      </c>
      <c r="J1888" s="484"/>
    </row>
    <row r="1889" spans="3:10">
      <c r="C1889" s="208" t="s">
        <v>2991</v>
      </c>
      <c r="D1889" s="483" t="s">
        <v>2992</v>
      </c>
      <c r="E1889" s="552" t="s">
        <v>1160</v>
      </c>
      <c r="F1889" s="220">
        <f>SUMIF('AUX-NIV1'!B:B,Recursos!C1889,'AUX-NIV1'!P:P)+SUMIF('AUX-NIV2'!B:B,Recursos!C1889,'AUX-NIV2'!P:P)+SUMIF('AUX-NIV3'!B:B,Recursos!C1889,'AUX-NIV3'!P:P)</f>
        <v>470.87593999451957</v>
      </c>
      <c r="G1889" s="479">
        <f>+SUMIF('AUX-NIV1'!I:I,Recursos!C1889,'AUX-NIV1'!Q:Q)+SUMIF('AUX-NIV2'!I:I,Recursos!C1889,'AUX-NIV2'!Q:Q)+SUMIF('AUX-NIV3'!I:I,Recursos!C1889,'AUX-NIV3'!Q:Q)</f>
        <v>0</v>
      </c>
      <c r="H1889" s="204">
        <f t="shared" si="152"/>
        <v>0</v>
      </c>
      <c r="I1889" s="364">
        <f t="shared" si="153"/>
        <v>0</v>
      </c>
      <c r="J1889" s="484"/>
    </row>
    <row r="1890" spans="3:10">
      <c r="C1890" s="208" t="s">
        <v>3014</v>
      </c>
      <c r="D1890" s="483" t="s">
        <v>3013</v>
      </c>
      <c r="E1890" s="552" t="s">
        <v>1160</v>
      </c>
      <c r="F1890" s="220">
        <f>SUMIF('AUX-NIV1'!B:B,Recursos!C1890,'AUX-NIV1'!P:P)+SUMIF('AUX-NIV2'!B:B,Recursos!C1890,'AUX-NIV2'!P:P)+SUMIF('AUX-NIV3'!B:B,Recursos!C1890,'AUX-NIV3'!P:P)</f>
        <v>130.26798139018581</v>
      </c>
      <c r="G1890" s="479">
        <f>+SUMIF('AUX-NIV1'!I:I,Recursos!C1890,'AUX-NIV1'!Q:Q)+SUMIF('AUX-NIV2'!I:I,Recursos!C1890,'AUX-NIV2'!Q:Q)+SUMIF('AUX-NIV3'!I:I,Recursos!C1890,'AUX-NIV3'!Q:Q)</f>
        <v>0</v>
      </c>
      <c r="H1890" s="204">
        <f t="shared" ref="H1890:H1895" si="154">+F1890*G1890</f>
        <v>0</v>
      </c>
      <c r="I1890" s="364">
        <f t="shared" ref="I1890:I1895" si="155">+H1890/$I$3</f>
        <v>0</v>
      </c>
      <c r="J1890" s="484"/>
    </row>
    <row r="1891" spans="3:10">
      <c r="C1891" s="208" t="s">
        <v>3015</v>
      </c>
      <c r="D1891" s="483" t="s">
        <v>3016</v>
      </c>
      <c r="E1891" s="552" t="s">
        <v>1160</v>
      </c>
      <c r="F1891" s="220">
        <f>SUMIF('AUX-NIV1'!B:B,Recursos!C1891,'AUX-NIV1'!P:P)+SUMIF('AUX-NIV2'!B:B,Recursos!C1891,'AUX-NIV2'!P:P)+SUMIF('AUX-NIV3'!B:B,Recursos!C1891,'AUX-NIV3'!P:P)</f>
        <v>148.28341334967334</v>
      </c>
      <c r="G1891" s="479">
        <f>+SUMIF('AUX-NIV1'!I:I,Recursos!C1891,'AUX-NIV1'!Q:Q)+SUMIF('AUX-NIV2'!I:I,Recursos!C1891,'AUX-NIV2'!Q:Q)+SUMIF('AUX-NIV3'!I:I,Recursos!C1891,'AUX-NIV3'!Q:Q)</f>
        <v>0</v>
      </c>
      <c r="H1891" s="204">
        <f t="shared" si="154"/>
        <v>0</v>
      </c>
      <c r="I1891" s="364">
        <f t="shared" si="155"/>
        <v>0</v>
      </c>
      <c r="J1891" s="484"/>
    </row>
    <row r="1892" spans="3:10">
      <c r="C1892" s="208" t="s">
        <v>3017</v>
      </c>
      <c r="D1892" s="483" t="s">
        <v>3018</v>
      </c>
      <c r="E1892" s="552" t="s">
        <v>441</v>
      </c>
      <c r="F1892" s="220">
        <f>SUMIF('AUX-NIV1'!B:B,Recursos!C1892,'AUX-NIV1'!P:P)+SUMIF('AUX-NIV2'!B:B,Recursos!C1892,'AUX-NIV2'!P:P)+SUMIF('AUX-NIV3'!B:B,Recursos!C1892,'AUX-NIV3'!P:P)</f>
        <v>624.7215798629245</v>
      </c>
      <c r="G1892" s="479">
        <f>+SUMIF('AUX-NIV1'!I:I,Recursos!C1892,'AUX-NIV1'!Q:Q)+SUMIF('AUX-NIV2'!I:I,Recursos!C1892,'AUX-NIV2'!Q:Q)+SUMIF('AUX-NIV3'!I:I,Recursos!C1892,'AUX-NIV3'!Q:Q)</f>
        <v>0</v>
      </c>
      <c r="H1892" s="204">
        <f t="shared" si="154"/>
        <v>0</v>
      </c>
      <c r="I1892" s="364">
        <f t="shared" si="155"/>
        <v>0</v>
      </c>
      <c r="J1892" s="484"/>
    </row>
    <row r="1893" spans="3:10">
      <c r="C1893" s="208" t="s">
        <v>3022</v>
      </c>
      <c r="D1893" s="483" t="s">
        <v>3021</v>
      </c>
      <c r="E1893" s="552" t="s">
        <v>1160</v>
      </c>
      <c r="F1893" s="220">
        <f>SUMIF('AUX-NIV1'!B:B,Recursos!C1893,'AUX-NIV1'!P:P)+SUMIF('AUX-NIV2'!B:B,Recursos!C1893,'AUX-NIV2'!P:P)+SUMIF('AUX-NIV3'!B:B,Recursos!C1893,'AUX-NIV3'!P:P)</f>
        <v>5089.5514149046503</v>
      </c>
      <c r="G1893" s="479">
        <f>+SUMIF('AUX-NIV1'!I:I,Recursos!C1893,'AUX-NIV1'!Q:Q)+SUMIF('AUX-NIV2'!I:I,Recursos!C1893,'AUX-NIV2'!Q:Q)+SUMIF('AUX-NIV3'!I:I,Recursos!C1893,'AUX-NIV3'!Q:Q)</f>
        <v>0</v>
      </c>
      <c r="H1893" s="204">
        <f t="shared" si="154"/>
        <v>0</v>
      </c>
      <c r="I1893" s="364">
        <f t="shared" si="155"/>
        <v>0</v>
      </c>
      <c r="J1893" s="484"/>
    </row>
    <row r="1894" spans="3:10">
      <c r="C1894" s="208" t="s">
        <v>3170</v>
      </c>
      <c r="D1894" s="483" t="s">
        <v>3171</v>
      </c>
      <c r="E1894" s="552" t="s">
        <v>2938</v>
      </c>
      <c r="F1894" s="220">
        <f>SUMIF('AUX-NIV1'!B:B,Recursos!C1894,'AUX-NIV1'!P:P)+SUMIF('AUX-NIV2'!B:B,Recursos!C1894,'AUX-NIV2'!P:P)+SUMIF('AUX-NIV3'!B:B,Recursos!C1894,'AUX-NIV3'!P:P)</f>
        <v>3512.5080267914109</v>
      </c>
      <c r="G1894" s="479">
        <f>+SUMIF('AUX-NIV1'!I:I,Recursos!C1894,'AUX-NIV1'!Q:Q)+SUMIF('AUX-NIV2'!I:I,Recursos!C1894,'AUX-NIV2'!Q:Q)+SUMIF('AUX-NIV3'!I:I,Recursos!C1894,'AUX-NIV3'!Q:Q)</f>
        <v>0</v>
      </c>
      <c r="H1894" s="204">
        <f t="shared" si="154"/>
        <v>0</v>
      </c>
      <c r="I1894" s="364">
        <f t="shared" si="155"/>
        <v>0</v>
      </c>
      <c r="J1894" s="484"/>
    </row>
    <row r="1895" spans="3:10">
      <c r="C1895" s="208" t="s">
        <v>3174</v>
      </c>
      <c r="D1895" s="483" t="s">
        <v>3175</v>
      </c>
      <c r="E1895" s="552" t="s">
        <v>2938</v>
      </c>
      <c r="F1895" s="220">
        <f>SUMIF('AUX-NIV1'!B:B,Recursos!C1895,'AUX-NIV1'!P:P)+SUMIF('AUX-NIV2'!B:B,Recursos!C1895,'AUX-NIV2'!P:P)+SUMIF('AUX-NIV3'!B:B,Recursos!C1895,'AUX-NIV3'!P:P)</f>
        <v>2827.6201883842928</v>
      </c>
      <c r="G1895" s="479">
        <f>+SUMIF('AUX-NIV1'!I:I,Recursos!C1895,'AUX-NIV1'!Q:Q)+SUMIF('AUX-NIV2'!I:I,Recursos!C1895,'AUX-NIV2'!Q:Q)+SUMIF('AUX-NIV3'!I:I,Recursos!C1895,'AUX-NIV3'!Q:Q)</f>
        <v>0</v>
      </c>
      <c r="H1895" s="204">
        <f t="shared" si="154"/>
        <v>0</v>
      </c>
      <c r="I1895" s="364">
        <f t="shared" si="155"/>
        <v>0</v>
      </c>
      <c r="J1895" s="484"/>
    </row>
    <row r="1896" spans="3:10">
      <c r="C1896" s="208" t="s">
        <v>3262</v>
      </c>
      <c r="D1896" s="483" t="s">
        <v>3260</v>
      </c>
      <c r="E1896" s="552" t="s">
        <v>2938</v>
      </c>
      <c r="F1896" s="220">
        <f>SUMIF('AUX-NIV1'!B:B,Recursos!C1896,'AUX-NIV1'!P:P)+SUMIF('AUX-NIV2'!B:B,Recursos!C1896,'AUX-NIV2'!P:P)+SUMIF('AUX-NIV3'!B:B,Recursos!C1896,'AUX-NIV3'!P:P)</f>
        <v>2498.6725181930856</v>
      </c>
      <c r="G1896" s="479">
        <f>+SUMIF('AUX-NIV1'!I:I,Recursos!C1896,'AUX-NIV1'!Q:Q)+SUMIF('AUX-NIV2'!I:I,Recursos!C1896,'AUX-NIV2'!Q:Q)+SUMIF('AUX-NIV3'!I:I,Recursos!C1896,'AUX-NIV3'!Q:Q)</f>
        <v>0.9</v>
      </c>
      <c r="H1896" s="204">
        <f t="shared" ref="H1896:H1901" si="156">+F1896*G1896</f>
        <v>2248.8052663737772</v>
      </c>
      <c r="I1896" s="364">
        <f t="shared" ref="I1896:I1901" si="157">+H1896/$I$3</f>
        <v>6.9314378883587671E-3</v>
      </c>
      <c r="J1896" s="484"/>
    </row>
    <row r="1897" spans="3:10">
      <c r="C1897" s="208" t="s">
        <v>3263</v>
      </c>
      <c r="D1897" s="483" t="s">
        <v>3261</v>
      </c>
      <c r="E1897" s="552" t="s">
        <v>2938</v>
      </c>
      <c r="F1897" s="220">
        <f>SUMIF('AUX-NIV1'!B:B,Recursos!C1897,'AUX-NIV1'!P:P)+SUMIF('AUX-NIV2'!B:B,Recursos!C1897,'AUX-NIV2'!P:P)+SUMIF('AUX-NIV3'!B:B,Recursos!C1897,'AUX-NIV3'!P:P)</f>
        <v>122.53990250398186</v>
      </c>
      <c r="G1897" s="479">
        <f>+SUMIF('AUX-NIV1'!I:I,Recursos!C1897,'AUX-NIV1'!Q:Q)+SUMIF('AUX-NIV2'!I:I,Recursos!C1897,'AUX-NIV2'!Q:Q)+SUMIF('AUX-NIV3'!I:I,Recursos!C1897,'AUX-NIV3'!Q:Q)</f>
        <v>0</v>
      </c>
      <c r="H1897" s="204">
        <f t="shared" si="156"/>
        <v>0</v>
      </c>
      <c r="I1897" s="364">
        <f t="shared" si="157"/>
        <v>0</v>
      </c>
      <c r="J1897" s="484"/>
    </row>
    <row r="1898" spans="3:10">
      <c r="C1898" s="208" t="s">
        <v>3298</v>
      </c>
      <c r="D1898" s="483" t="s">
        <v>3299</v>
      </c>
      <c r="E1898" s="552" t="s">
        <v>2938</v>
      </c>
      <c r="F1898" s="220">
        <f>SUMIF('AUX-NIV1'!B:B,Recursos!C1898,'AUX-NIV1'!P:P)+SUMIF('AUX-NIV2'!B:B,Recursos!C1898,'AUX-NIV2'!P:P)+SUMIF('AUX-NIV3'!B:B,Recursos!C1898,'AUX-NIV3'!P:P)</f>
        <v>3483.1770811625943</v>
      </c>
      <c r="G1898" s="479">
        <f>+SUMIF('AUX-NIV1'!I:I,Recursos!C1898,'AUX-NIV1'!Q:Q)+SUMIF('AUX-NIV2'!I:I,Recursos!C1898,'AUX-NIV2'!Q:Q)+SUMIF('AUX-NIV3'!I:I,Recursos!C1898,'AUX-NIV3'!Q:Q)</f>
        <v>0</v>
      </c>
      <c r="H1898" s="204">
        <f t="shared" si="156"/>
        <v>0</v>
      </c>
      <c r="I1898" s="364">
        <f t="shared" si="157"/>
        <v>0</v>
      </c>
      <c r="J1898" s="484"/>
    </row>
    <row r="1899" spans="3:10">
      <c r="C1899" s="208" t="s">
        <v>3316</v>
      </c>
      <c r="D1899" s="483" t="s">
        <v>3317</v>
      </c>
      <c r="E1899" s="552" t="s">
        <v>2938</v>
      </c>
      <c r="F1899" s="220">
        <f>SUMIF('AUX-NIV1'!B:B,Recursos!C1899,'AUX-NIV1'!P:P)+SUMIF('AUX-NIV2'!B:B,Recursos!C1899,'AUX-NIV2'!P:P)+SUMIF('AUX-NIV3'!B:B,Recursos!C1899,'AUX-NIV3'!P:P)</f>
        <v>7086.7196346208402</v>
      </c>
      <c r="G1899" s="479">
        <f>+SUMIF('AUX-NIV1'!I:I,Recursos!C1899,'AUX-NIV1'!Q:Q)+SUMIF('AUX-NIV2'!I:I,Recursos!C1899,'AUX-NIV2'!Q:Q)+SUMIF('AUX-NIV3'!I:I,Recursos!C1899,'AUX-NIV3'!Q:Q)</f>
        <v>0</v>
      </c>
      <c r="H1899" s="204">
        <f>+F1899*G1899</f>
        <v>0</v>
      </c>
      <c r="I1899" s="364">
        <f>+H1899/$I$3</f>
        <v>0</v>
      </c>
      <c r="J1899" s="484"/>
    </row>
    <row r="1900" spans="3:10">
      <c r="C1900" s="208" t="s">
        <v>3318</v>
      </c>
      <c r="D1900" s="483" t="s">
        <v>3319</v>
      </c>
      <c r="E1900" s="552" t="s">
        <v>2938</v>
      </c>
      <c r="F1900" s="220">
        <f>SUMIF('AUX-NIV1'!B:B,Recursos!C1900,'AUX-NIV1'!P:P)+SUMIF('AUX-NIV2'!B:B,Recursos!C1900,'AUX-NIV2'!P:P)+SUMIF('AUX-NIV3'!B:B,Recursos!C1900,'AUX-NIV3'!P:P)</f>
        <v>2642.1225173104203</v>
      </c>
      <c r="G1900" s="479">
        <f>+SUMIF('AUX-NIV1'!I:I,Recursos!C1900,'AUX-NIV1'!Q:Q)+SUMIF('AUX-NIV2'!I:I,Recursos!C1900,'AUX-NIV2'!Q:Q)+SUMIF('AUX-NIV3'!I:I,Recursos!C1900,'AUX-NIV3'!Q:Q)</f>
        <v>0</v>
      </c>
      <c r="H1900" s="204">
        <f t="shared" si="156"/>
        <v>0</v>
      </c>
      <c r="I1900" s="364">
        <f t="shared" si="157"/>
        <v>0</v>
      </c>
      <c r="J1900" s="484"/>
    </row>
    <row r="1901" spans="3:10">
      <c r="C1901" s="208" t="s">
        <v>3342</v>
      </c>
      <c r="D1901" s="483" t="s">
        <v>3341</v>
      </c>
      <c r="E1901" s="552" t="s">
        <v>2938</v>
      </c>
      <c r="F1901" s="220">
        <f>SUMIF('AUX-NIV1'!B:B,Recursos!C1901,'AUX-NIV1'!P:P)+SUMIF('AUX-NIV2'!B:B,Recursos!C1901,'AUX-NIV2'!P:P)+SUMIF('AUX-NIV3'!B:B,Recursos!C1901,'AUX-NIV3'!P:P)</f>
        <v>3437.6476160951497</v>
      </c>
      <c r="G1901" s="479">
        <f>+SUMIF('AUX-NIV1'!I:I,Recursos!C1901,'AUX-NIV1'!Q:Q)+SUMIF('AUX-NIV2'!I:I,Recursos!C1901,'AUX-NIV2'!Q:Q)+SUMIF('AUX-NIV3'!I:I,Recursos!C1901,'AUX-NIV3'!Q:Q)</f>
        <v>0</v>
      </c>
      <c r="H1901" s="204">
        <f t="shared" si="156"/>
        <v>0</v>
      </c>
      <c r="I1901" s="364">
        <f t="shared" si="157"/>
        <v>0</v>
      </c>
      <c r="J1901" s="484"/>
    </row>
    <row r="1902" spans="3:10">
      <c r="C1902" s="208" t="s">
        <v>3374</v>
      </c>
      <c r="D1902" s="483" t="s">
        <v>3375</v>
      </c>
      <c r="E1902" s="552" t="s">
        <v>2938</v>
      </c>
      <c r="F1902" s="220">
        <f>SUMIF('AUX-NIV1'!B:B,Recursos!C1902,'AUX-NIV1'!P:P)+SUMIF('AUX-NIV2'!B:B,Recursos!C1902,'AUX-NIV2'!P:P)+SUMIF('AUX-NIV3'!B:B,Recursos!C1902,'AUX-NIV3'!P:P)</f>
        <v>5946.3529031782746</v>
      </c>
      <c r="G1902" s="479">
        <f>+SUMIF('AUX-NIV1'!I:I,Recursos!C1902,'AUX-NIV1'!Q:Q)+SUMIF('AUX-NIV2'!I:I,Recursos!C1902,'AUX-NIV2'!Q:Q)+SUMIF('AUX-NIV3'!I:I,Recursos!C1902,'AUX-NIV3'!Q:Q)</f>
        <v>0</v>
      </c>
      <c r="H1902" s="204">
        <f>+F1902*G1902</f>
        <v>0</v>
      </c>
      <c r="I1902" s="364">
        <f>+H1902/$I$3</f>
        <v>0</v>
      </c>
      <c r="J1902" s="484"/>
    </row>
    <row r="1903" spans="3:10">
      <c r="C1903" s="208" t="s">
        <v>3401</v>
      </c>
      <c r="D1903" s="483" t="s">
        <v>3400</v>
      </c>
      <c r="E1903" s="552" t="s">
        <v>1160</v>
      </c>
      <c r="F1903" s="220">
        <f>SUMIF('AUX-NIV1'!B:B,Recursos!C1903,'AUX-NIV1'!P:P)+SUMIF('AUX-NIV2'!B:B,Recursos!C1903,'AUX-NIV2'!P:P)+SUMIF('AUX-NIV3'!B:B,Recursos!C1903,'AUX-NIV3'!P:P)</f>
        <v>6122.5579338842981</v>
      </c>
      <c r="G1903" s="479">
        <f>+SUMIF('AUX-NIV1'!I:I,Recursos!C1903,'AUX-NIV1'!Q:Q)+SUMIF('AUX-NIV2'!I:I,Recursos!C1903,'AUX-NIV2'!Q:Q)+SUMIF('AUX-NIV3'!I:I,Recursos!C1903,'AUX-NIV3'!Q:Q)</f>
        <v>0</v>
      </c>
      <c r="H1903" s="204">
        <f t="shared" ref="H1903:H1918" si="158">+F1903*G1903</f>
        <v>0</v>
      </c>
      <c r="I1903" s="364">
        <f t="shared" ref="I1903:I1918" si="159">+H1903/$I$3</f>
        <v>0</v>
      </c>
      <c r="J1903" s="484"/>
    </row>
    <row r="1904" spans="3:10">
      <c r="C1904" s="208" t="s">
        <v>3326</v>
      </c>
      <c r="D1904" s="483" t="s">
        <v>3327</v>
      </c>
      <c r="E1904" s="552" t="s">
        <v>2938</v>
      </c>
      <c r="F1904" s="220">
        <f>SUMIF('AUX-NIV1'!B:B,Recursos!C1904,'AUX-NIV1'!P:P)+SUMIF('AUX-NIV2'!B:B,Recursos!C1904,'AUX-NIV2'!P:P)+SUMIF('AUX-NIV3'!B:B,Recursos!C1904,'AUX-NIV3'!P:P)</f>
        <v>2608.8540811625944</v>
      </c>
      <c r="G1904" s="479">
        <f>+SUMIF('AUX-NIV1'!I:I,Recursos!C1904,'AUX-NIV1'!Q:Q)+SUMIF('AUX-NIV2'!I:I,Recursos!C1904,'AUX-NIV2'!Q:Q)+SUMIF('AUX-NIV3'!I:I,Recursos!C1904,'AUX-NIV3'!Q:Q)</f>
        <v>0</v>
      </c>
      <c r="H1904" s="204">
        <f t="shared" si="158"/>
        <v>0</v>
      </c>
      <c r="I1904" s="364">
        <f t="shared" si="159"/>
        <v>0</v>
      </c>
      <c r="J1904" s="484"/>
    </row>
    <row r="1905" spans="3:10">
      <c r="C1905" s="208" t="s">
        <v>3506</v>
      </c>
      <c r="D1905" s="483" t="s">
        <v>3507</v>
      </c>
      <c r="E1905" s="552" t="s">
        <v>501</v>
      </c>
      <c r="F1905" s="220">
        <f>SUMIF('AUX-NIV1'!B:B,Recursos!C1905,'AUX-NIV1'!P:P)+SUMIF('AUX-NIV2'!B:B,Recursos!C1905,'AUX-NIV2'!P:P)+SUMIF('AUX-NIV3'!B:B,Recursos!C1905,'AUX-NIV3'!P:P)</f>
        <v>1063.0771239919991</v>
      </c>
      <c r="G1905" s="479">
        <f>+SUMIF('AUX-NIV1'!I:I,Recursos!C1905,'AUX-NIV1'!Q:Q)+SUMIF('AUX-NIV2'!I:I,Recursos!C1905,'AUX-NIV2'!Q:Q)+SUMIF('AUX-NIV3'!I:I,Recursos!C1905,'AUX-NIV3'!Q:Q)</f>
        <v>0</v>
      </c>
      <c r="H1905" s="204">
        <f t="shared" si="158"/>
        <v>0</v>
      </c>
      <c r="I1905" s="364">
        <f t="shared" si="159"/>
        <v>0</v>
      </c>
      <c r="J1905" s="484"/>
    </row>
    <row r="1906" spans="3:10">
      <c r="C1906" s="208" t="s">
        <v>3520</v>
      </c>
      <c r="D1906" s="483" t="s">
        <v>3521</v>
      </c>
      <c r="E1906" s="552" t="s">
        <v>477</v>
      </c>
      <c r="F1906" s="220">
        <f>SUMIF('AUX-NIV1'!B:B,Recursos!C1906,'AUX-NIV1'!P:P)+SUMIF('AUX-NIV2'!B:B,Recursos!C1906,'AUX-NIV2'!P:P)+SUMIF('AUX-NIV3'!B:B,Recursos!C1906,'AUX-NIV3'!P:P)</f>
        <v>121.811923709558</v>
      </c>
      <c r="G1906" s="479">
        <f>+SUMIF('AUX-NIV1'!I:I,Recursos!C1906,'AUX-NIV1'!Q:Q)+SUMIF('AUX-NIV2'!I:I,Recursos!C1906,'AUX-NIV2'!Q:Q)+SUMIF('AUX-NIV3'!I:I,Recursos!C1906,'AUX-NIV3'!Q:Q)</f>
        <v>0</v>
      </c>
      <c r="H1906" s="204">
        <f t="shared" si="158"/>
        <v>0</v>
      </c>
      <c r="I1906" s="364">
        <f t="shared" si="159"/>
        <v>0</v>
      </c>
      <c r="J1906" s="484"/>
    </row>
    <row r="1907" spans="3:10">
      <c r="C1907" s="208" t="s">
        <v>3522</v>
      </c>
      <c r="D1907" s="483" t="s">
        <v>3523</v>
      </c>
      <c r="E1907" s="552" t="s">
        <v>477</v>
      </c>
      <c r="F1907" s="220">
        <f>SUMIF('AUX-NIV1'!B:B,Recursos!C1907,'AUX-NIV1'!P:P)+SUMIF('AUX-NIV2'!B:B,Recursos!C1907,'AUX-NIV2'!P:P)+SUMIF('AUX-NIV3'!B:B,Recursos!C1907,'AUX-NIV3'!P:P)</f>
        <v>448.28700369927304</v>
      </c>
      <c r="G1907" s="479">
        <f>+SUMIF('AUX-NIV1'!I:I,Recursos!C1907,'AUX-NIV1'!Q:Q)+SUMIF('AUX-NIV2'!I:I,Recursos!C1907,'AUX-NIV2'!Q:Q)+SUMIF('AUX-NIV3'!I:I,Recursos!C1907,'AUX-NIV3'!Q:Q)</f>
        <v>0</v>
      </c>
      <c r="H1907" s="204">
        <f t="shared" si="158"/>
        <v>0</v>
      </c>
      <c r="I1907" s="364">
        <f t="shared" si="159"/>
        <v>0</v>
      </c>
      <c r="J1907" s="484"/>
    </row>
    <row r="1908" spans="3:10">
      <c r="C1908" s="208" t="s">
        <v>3524</v>
      </c>
      <c r="D1908" s="483" t="s">
        <v>3525</v>
      </c>
      <c r="E1908" s="552" t="s">
        <v>477</v>
      </c>
      <c r="F1908" s="220">
        <f>SUMIF('AUX-NIV1'!B:B,Recursos!C1908,'AUX-NIV1'!P:P)+SUMIF('AUX-NIV2'!B:B,Recursos!C1908,'AUX-NIV2'!P:P)+SUMIF('AUX-NIV3'!B:B,Recursos!C1908,'AUX-NIV3'!P:P)</f>
        <v>265.01477059667286</v>
      </c>
      <c r="G1908" s="479">
        <f>+SUMIF('AUX-NIV1'!I:I,Recursos!C1908,'AUX-NIV1'!Q:Q)+SUMIF('AUX-NIV2'!I:I,Recursos!C1908,'AUX-NIV2'!Q:Q)+SUMIF('AUX-NIV3'!I:I,Recursos!C1908,'AUX-NIV3'!Q:Q)</f>
        <v>0</v>
      </c>
      <c r="H1908" s="204">
        <f t="shared" si="158"/>
        <v>0</v>
      </c>
      <c r="I1908" s="364">
        <f t="shared" si="159"/>
        <v>0</v>
      </c>
      <c r="J1908" s="484"/>
    </row>
    <row r="1909" spans="3:10">
      <c r="C1909" s="208" t="s">
        <v>3527</v>
      </c>
      <c r="D1909" s="483" t="s">
        <v>3528</v>
      </c>
      <c r="E1909" s="552" t="s">
        <v>610</v>
      </c>
      <c r="F1909" s="220">
        <f>SUMIF('AUX-NIV1'!B:B,Recursos!C1909,'AUX-NIV1'!P:P)+SUMIF('AUX-NIV2'!B:B,Recursos!C1909,'AUX-NIV2'!P:P)+SUMIF('AUX-NIV3'!B:B,Recursos!C1909,'AUX-NIV3'!P:P)</f>
        <v>0</v>
      </c>
      <c r="G1909" s="479">
        <f>+SUMIF('AUX-NIV1'!I:I,Recursos!C1909,'AUX-NIV1'!Q:Q)+SUMIF('AUX-NIV2'!I:I,Recursos!C1909,'AUX-NIV2'!Q:Q)+SUMIF('AUX-NIV3'!I:I,Recursos!C1909,'AUX-NIV3'!Q:Q)</f>
        <v>0</v>
      </c>
      <c r="H1909" s="204">
        <f t="shared" si="158"/>
        <v>0</v>
      </c>
      <c r="I1909" s="364">
        <f t="shared" si="159"/>
        <v>0</v>
      </c>
      <c r="J1909" s="484"/>
    </row>
    <row r="1910" spans="3:10">
      <c r="C1910" s="208" t="s">
        <v>3533</v>
      </c>
      <c r="D1910" s="483" t="s">
        <v>3532</v>
      </c>
      <c r="E1910" s="552" t="s">
        <v>610</v>
      </c>
      <c r="F1910" s="220">
        <f>SUMIF('AUX-NIV1'!B:B,Recursos!C1910,'AUX-NIV1'!P:P)+SUMIF('AUX-NIV2'!B:B,Recursos!C1910,'AUX-NIV2'!P:P)+SUMIF('AUX-NIV3'!B:B,Recursos!C1910,'AUX-NIV3'!P:P)</f>
        <v>0</v>
      </c>
      <c r="G1910" s="479">
        <f>+SUMIF('AUX-NIV1'!I:I,Recursos!C1910,'AUX-NIV1'!Q:Q)+SUMIF('AUX-NIV2'!I:I,Recursos!C1910,'AUX-NIV2'!Q:Q)+SUMIF('AUX-NIV3'!I:I,Recursos!C1910,'AUX-NIV3'!Q:Q)</f>
        <v>0</v>
      </c>
      <c r="H1910" s="204">
        <f t="shared" si="158"/>
        <v>0</v>
      </c>
      <c r="I1910" s="364">
        <f t="shared" si="159"/>
        <v>0</v>
      </c>
      <c r="J1910" s="484"/>
    </row>
    <row r="1911" spans="3:10">
      <c r="C1911" s="208" t="s">
        <v>3700</v>
      </c>
      <c r="D1911" s="483" t="s">
        <v>3701</v>
      </c>
      <c r="E1911" s="552" t="s">
        <v>501</v>
      </c>
      <c r="F1911" s="220">
        <f>SUMIF('AUX-NIV1'!B:B,Recursos!C1911,'AUX-NIV1'!P:P)+SUMIF('AUX-NIV2'!B:B,Recursos!C1911,'AUX-NIV2'!P:P)+SUMIF('AUX-NIV3'!B:B,Recursos!C1911,'AUX-NIV3'!P:P)</f>
        <v>2763.4595695922139</v>
      </c>
      <c r="G1911" s="479">
        <f>+SUMIF('AUX-NIV1'!I:I,Recursos!C1911,'AUX-NIV1'!Q:Q)+SUMIF('AUX-NIV2'!I:I,Recursos!C1911,'AUX-NIV2'!Q:Q)+SUMIF('AUX-NIV3'!I:I,Recursos!C1911,'AUX-NIV3'!Q:Q)</f>
        <v>0</v>
      </c>
      <c r="H1911" s="204">
        <f t="shared" si="158"/>
        <v>0</v>
      </c>
      <c r="I1911" s="364">
        <f t="shared" si="159"/>
        <v>0</v>
      </c>
      <c r="J1911" s="484"/>
    </row>
    <row r="1912" spans="3:10">
      <c r="C1912" s="208" t="s">
        <v>3735</v>
      </c>
      <c r="D1912" s="483" t="s">
        <v>3734</v>
      </c>
      <c r="E1912" s="552" t="s">
        <v>1160</v>
      </c>
      <c r="F1912" s="220">
        <f>SUMIF('AUX-NIV1'!B:B,Recursos!C1912,'AUX-NIV1'!P:P)+SUMIF('AUX-NIV2'!B:B,Recursos!C1912,'AUX-NIV2'!P:P)+SUMIF('AUX-NIV3'!B:B,Recursos!C1912,'AUX-NIV3'!P:P)</f>
        <v>5858.095123966943</v>
      </c>
      <c r="G1912" s="479">
        <f>+SUMIF('AUX-NIV1'!I:I,Recursos!C1912,'AUX-NIV1'!Q:Q)+SUMIF('AUX-NIV2'!I:I,Recursos!C1912,'AUX-NIV2'!Q:Q)+SUMIF('AUX-NIV3'!I:I,Recursos!C1912,'AUX-NIV3'!Q:Q)</f>
        <v>0</v>
      </c>
      <c r="H1912" s="204">
        <f t="shared" si="158"/>
        <v>0</v>
      </c>
      <c r="I1912" s="364">
        <f t="shared" si="159"/>
        <v>0</v>
      </c>
      <c r="J1912" s="484"/>
    </row>
    <row r="1913" spans="3:10">
      <c r="C1913" s="208" t="s">
        <v>3736</v>
      </c>
      <c r="D1913" s="483" t="s">
        <v>3737</v>
      </c>
      <c r="E1913" s="552" t="s">
        <v>1160</v>
      </c>
      <c r="F1913" s="220">
        <f>SUMIF('AUX-NIV1'!B:B,Recursos!C1913,'AUX-NIV1'!P:P)+SUMIF('AUX-NIV2'!B:B,Recursos!C1913,'AUX-NIV2'!P:P)+SUMIF('AUX-NIV3'!B:B,Recursos!C1913,'AUX-NIV3'!P:P)</f>
        <v>5494.2954545454559</v>
      </c>
      <c r="G1913" s="479">
        <f>+SUMIF('AUX-NIV1'!I:I,Recursos!C1913,'AUX-NIV1'!Q:Q)+SUMIF('AUX-NIV2'!I:I,Recursos!C1913,'AUX-NIV2'!Q:Q)+SUMIF('AUX-NIV3'!I:I,Recursos!C1913,'AUX-NIV3'!Q:Q)</f>
        <v>0</v>
      </c>
      <c r="H1913" s="204">
        <f t="shared" si="158"/>
        <v>0</v>
      </c>
      <c r="I1913" s="364">
        <f t="shared" si="159"/>
        <v>0</v>
      </c>
      <c r="J1913" s="484"/>
    </row>
    <row r="1914" spans="3:10">
      <c r="C1914" s="208" t="s">
        <v>3742</v>
      </c>
      <c r="D1914" s="483" t="s">
        <v>3743</v>
      </c>
      <c r="E1914" s="552" t="s">
        <v>1160</v>
      </c>
      <c r="F1914" s="220">
        <f>SUMIF('AUX-NIV1'!B:B,Recursos!C1914,'AUX-NIV1'!P:P)+SUMIF('AUX-NIV2'!B:B,Recursos!C1914,'AUX-NIV2'!P:P)+SUMIF('AUX-NIV3'!B:B,Recursos!C1914,'AUX-NIV3'!P:P)</f>
        <v>4905.1163636363644</v>
      </c>
      <c r="G1914" s="479">
        <f>+SUMIF('AUX-NIV1'!I:I,Recursos!C1914,'AUX-NIV1'!Q:Q)+SUMIF('AUX-NIV2'!I:I,Recursos!C1914,'AUX-NIV2'!Q:Q)+SUMIF('AUX-NIV3'!I:I,Recursos!C1914,'AUX-NIV3'!Q:Q)</f>
        <v>0</v>
      </c>
      <c r="H1914" s="204">
        <f t="shared" si="158"/>
        <v>0</v>
      </c>
      <c r="I1914" s="364">
        <f t="shared" si="159"/>
        <v>0</v>
      </c>
      <c r="J1914" s="484"/>
    </row>
    <row r="1915" spans="3:10">
      <c r="C1915" s="208" t="s">
        <v>3745</v>
      </c>
      <c r="D1915" s="483" t="s">
        <v>3746</v>
      </c>
      <c r="E1915" s="552" t="s">
        <v>1160</v>
      </c>
      <c r="F1915" s="220">
        <f>SUMIF('AUX-NIV1'!B:B,Recursos!C1915,'AUX-NIV1'!P:P)+SUMIF('AUX-NIV2'!B:B,Recursos!C1915,'AUX-NIV2'!P:P)+SUMIF('AUX-NIV3'!B:B,Recursos!C1915,'AUX-NIV3'!P:P)</f>
        <v>4902.2479338842986</v>
      </c>
      <c r="G1915" s="479">
        <f>+SUMIF('AUX-NIV1'!I:I,Recursos!C1915,'AUX-NIV1'!Q:Q)+SUMIF('AUX-NIV2'!I:I,Recursos!C1915,'AUX-NIV2'!Q:Q)+SUMIF('AUX-NIV3'!I:I,Recursos!C1915,'AUX-NIV3'!Q:Q)</f>
        <v>0</v>
      </c>
      <c r="H1915" s="204">
        <f t="shared" si="158"/>
        <v>0</v>
      </c>
      <c r="I1915" s="364">
        <f t="shared" si="159"/>
        <v>0</v>
      </c>
      <c r="J1915" s="484"/>
    </row>
    <row r="1916" spans="3:10">
      <c r="C1916" s="208" t="s">
        <v>3768</v>
      </c>
      <c r="D1916" s="483" t="s">
        <v>3769</v>
      </c>
      <c r="E1916" s="552" t="s">
        <v>1160</v>
      </c>
      <c r="F1916" s="220">
        <f>SUMIF('AUX-NIV1'!B:B,Recursos!C1916,'AUX-NIV1'!P:P)+SUMIF('AUX-NIV2'!B:B,Recursos!C1916,'AUX-NIV2'!P:P)+SUMIF('AUX-NIV3'!B:B,Recursos!C1916,'AUX-NIV3'!P:P)</f>
        <v>11831.702479338845</v>
      </c>
      <c r="G1916" s="479">
        <f>+SUMIF('AUX-NIV1'!I:I,Recursos!C1916,'AUX-NIV1'!Q:Q)+SUMIF('AUX-NIV2'!I:I,Recursos!C1916,'AUX-NIV2'!Q:Q)+SUMIF('AUX-NIV3'!I:I,Recursos!C1916,'AUX-NIV3'!Q:Q)</f>
        <v>0</v>
      </c>
      <c r="H1916" s="204">
        <f t="shared" si="158"/>
        <v>0</v>
      </c>
      <c r="I1916" s="364">
        <f t="shared" si="159"/>
        <v>0</v>
      </c>
      <c r="J1916" s="484"/>
    </row>
    <row r="1917" spans="3:10">
      <c r="C1917" s="208" t="s">
        <v>4302</v>
      </c>
      <c r="D1917" s="483" t="s">
        <v>4303</v>
      </c>
      <c r="E1917" s="552" t="s">
        <v>501</v>
      </c>
      <c r="F1917" s="220">
        <f>SUMIF('AUX-NIV1'!B:B,Recursos!C1917,'AUX-NIV1'!P:P)+SUMIF('AUX-NIV2'!B:B,Recursos!C1917,'AUX-NIV2'!P:P)+SUMIF('AUX-NIV3'!B:B,Recursos!C1917,'AUX-NIV3'!P:P)</f>
        <v>1087.4791946545047</v>
      </c>
      <c r="G1917" s="479">
        <f>+SUMIF('AUX-NIV1'!I:I,Recursos!C1917,'AUX-NIV1'!Q:Q)+SUMIF('AUX-NIV2'!I:I,Recursos!C1917,'AUX-NIV2'!Q:Q)+SUMIF('AUX-NIV3'!I:I,Recursos!C1917,'AUX-NIV3'!Q:Q)</f>
        <v>0</v>
      </c>
      <c r="H1917" s="204">
        <f t="shared" si="158"/>
        <v>0</v>
      </c>
      <c r="I1917" s="364">
        <f t="shared" si="159"/>
        <v>0</v>
      </c>
      <c r="J1917" s="484"/>
    </row>
    <row r="1918" spans="3:10">
      <c r="C1918" s="208" t="s">
        <v>4306</v>
      </c>
      <c r="D1918" s="483" t="s">
        <v>4307</v>
      </c>
      <c r="E1918" s="552" t="s">
        <v>501</v>
      </c>
      <c r="F1918" s="220">
        <f>SUMIF('AUX-NIV1'!B:B,Recursos!C1918,'AUX-NIV1'!P:P)+SUMIF('AUX-NIV2'!B:B,Recursos!C1918,'AUX-NIV2'!P:P)+SUMIF('AUX-NIV3'!B:B,Recursos!C1918,'AUX-NIV3'!P:P)</f>
        <v>1631.7085236645962</v>
      </c>
      <c r="G1918" s="479">
        <f>+SUMIF('AUX-NIV1'!I:I,Recursos!C1918,'AUX-NIV1'!Q:Q)+SUMIF('AUX-NIV2'!I:I,Recursos!C1918,'AUX-NIV2'!Q:Q)+SUMIF('AUX-NIV3'!I:I,Recursos!C1918,'AUX-NIV3'!Q:Q)</f>
        <v>0</v>
      </c>
      <c r="H1918" s="204">
        <f t="shared" si="158"/>
        <v>0</v>
      </c>
      <c r="I1918" s="364">
        <f t="shared" si="159"/>
        <v>0</v>
      </c>
      <c r="J1918" s="484"/>
    </row>
    <row r="1919" spans="3:10">
      <c r="C1919" s="208" t="s">
        <v>4312</v>
      </c>
      <c r="D1919" s="483" t="s">
        <v>4313</v>
      </c>
      <c r="E1919" s="552" t="s">
        <v>1160</v>
      </c>
      <c r="F1919" s="220">
        <f>SUMIF('AUX-NIV1'!B:B,Recursos!C1919,'AUX-NIV1'!P:P)+SUMIF('AUX-NIV2'!B:B,Recursos!C1919,'AUX-NIV2'!P:P)+SUMIF('AUX-NIV3'!B:B,Recursos!C1919,'AUX-NIV3'!P:P)</f>
        <v>14407.111529908916</v>
      </c>
      <c r="G1919" s="479">
        <f>+SUMIF('AUX-NIV1'!I:I,Recursos!C1919,'AUX-NIV1'!Q:Q)+SUMIF('AUX-NIV2'!I:I,Recursos!C1919,'AUX-NIV2'!Q:Q)+SUMIF('AUX-NIV3'!I:I,Recursos!C1919,'AUX-NIV3'!Q:Q)</f>
        <v>0</v>
      </c>
      <c r="H1919" s="204">
        <f t="shared" ref="H1919:H1933" si="160">+F1919*G1919</f>
        <v>0</v>
      </c>
      <c r="I1919" s="364">
        <f t="shared" ref="I1919:I1933" si="161">+H1919/$I$3</f>
        <v>0</v>
      </c>
      <c r="J1919" s="484"/>
    </row>
    <row r="1920" spans="3:10">
      <c r="C1920" s="208" t="s">
        <v>4318</v>
      </c>
      <c r="D1920" s="483" t="s">
        <v>4326</v>
      </c>
      <c r="E1920" s="552" t="s">
        <v>546</v>
      </c>
      <c r="F1920" s="220">
        <f>SUMIF('AUX-NIV1'!B:B,Recursos!C1920,'AUX-NIV1'!P:P)+SUMIF('AUX-NIV2'!B:B,Recursos!C1920,'AUX-NIV2'!P:P)+SUMIF('AUX-NIV3'!B:B,Recursos!C1920,'AUX-NIV3'!P:P)</f>
        <v>439.06090593914308</v>
      </c>
      <c r="G1920" s="479">
        <f>+SUMIF('AUX-NIV1'!I:I,Recursos!C1920,'AUX-NIV1'!Q:Q)+SUMIF('AUX-NIV2'!I:I,Recursos!C1920,'AUX-NIV2'!Q:Q)+SUMIF('AUX-NIV3'!I:I,Recursos!C1920,'AUX-NIV3'!Q:Q)</f>
        <v>0</v>
      </c>
      <c r="H1920" s="204">
        <f t="shared" si="160"/>
        <v>0</v>
      </c>
      <c r="I1920" s="364">
        <f t="shared" si="161"/>
        <v>0</v>
      </c>
      <c r="J1920" s="484"/>
    </row>
    <row r="1921" spans="3:10">
      <c r="C1921" s="208" t="s">
        <v>4329</v>
      </c>
      <c r="D1921" s="483" t="s">
        <v>4330</v>
      </c>
      <c r="E1921" s="552" t="s">
        <v>546</v>
      </c>
      <c r="F1921" s="220">
        <f>SUMIF('AUX-NIV1'!B:B,Recursos!C1921,'AUX-NIV1'!P:P)+SUMIF('AUX-NIV2'!B:B,Recursos!C1921,'AUX-NIV2'!P:P)+SUMIF('AUX-NIV3'!B:B,Recursos!C1921,'AUX-NIV3'!P:P)</f>
        <v>0</v>
      </c>
      <c r="G1921" s="479">
        <f>+SUMIF('AUX-NIV1'!I:I,Recursos!C1921,'AUX-NIV1'!Q:Q)+SUMIF('AUX-NIV2'!I:I,Recursos!C1921,'AUX-NIV2'!Q:Q)+SUMIF('AUX-NIV3'!I:I,Recursos!C1921,'AUX-NIV3'!Q:Q)</f>
        <v>0</v>
      </c>
      <c r="H1921" s="204">
        <f t="shared" si="160"/>
        <v>0</v>
      </c>
      <c r="I1921" s="364">
        <f t="shared" si="161"/>
        <v>0</v>
      </c>
      <c r="J1921" s="484"/>
    </row>
    <row r="1922" spans="3:10">
      <c r="C1922" s="208" t="s">
        <v>4332</v>
      </c>
      <c r="D1922" s="483" t="s">
        <v>4333</v>
      </c>
      <c r="E1922" s="552" t="s">
        <v>546</v>
      </c>
      <c r="F1922" s="220">
        <f>SUMIF('AUX-NIV1'!B:B,Recursos!C1922,'AUX-NIV1'!P:P)+SUMIF('AUX-NIV2'!B:B,Recursos!C1922,'AUX-NIV2'!P:P)+SUMIF('AUX-NIV3'!B:B,Recursos!C1922,'AUX-NIV3'!P:P)</f>
        <v>791.76072159233115</v>
      </c>
      <c r="G1922" s="479">
        <f>+SUMIF('AUX-NIV1'!I:I,Recursos!C1922,'AUX-NIV1'!Q:Q)+SUMIF('AUX-NIV2'!I:I,Recursos!C1922,'AUX-NIV2'!Q:Q)+SUMIF('AUX-NIV3'!I:I,Recursos!C1922,'AUX-NIV3'!Q:Q)</f>
        <v>0</v>
      </c>
      <c r="H1922" s="204">
        <f t="shared" si="160"/>
        <v>0</v>
      </c>
      <c r="I1922" s="364">
        <f t="shared" si="161"/>
        <v>0</v>
      </c>
      <c r="J1922" s="484"/>
    </row>
    <row r="1923" spans="3:10">
      <c r="C1923" s="208" t="s">
        <v>4337</v>
      </c>
      <c r="D1923" s="483" t="s">
        <v>4336</v>
      </c>
      <c r="E1923" s="552" t="s">
        <v>501</v>
      </c>
      <c r="F1923" s="220">
        <f>SUMIF('AUX-NIV1'!B:B,Recursos!C1923,'AUX-NIV1'!P:P)+SUMIF('AUX-NIV2'!B:B,Recursos!C1923,'AUX-NIV2'!P:P)+SUMIF('AUX-NIV3'!B:B,Recursos!C1923,'AUX-NIV3'!P:P)</f>
        <v>1784.1783505760031</v>
      </c>
      <c r="G1923" s="479">
        <f>+SUMIF('AUX-NIV1'!I:I,Recursos!C1923,'AUX-NIV1'!Q:Q)+SUMIF('AUX-NIV2'!I:I,Recursos!C1923,'AUX-NIV2'!Q:Q)+SUMIF('AUX-NIV3'!I:I,Recursos!C1923,'AUX-NIV3'!Q:Q)</f>
        <v>0</v>
      </c>
      <c r="H1923" s="204">
        <f t="shared" si="160"/>
        <v>0</v>
      </c>
      <c r="I1923" s="364">
        <f t="shared" si="161"/>
        <v>0</v>
      </c>
      <c r="J1923" s="484"/>
    </row>
    <row r="1924" spans="3:10">
      <c r="C1924" s="208" t="s">
        <v>4366</v>
      </c>
      <c r="D1924" s="483" t="s">
        <v>4365</v>
      </c>
      <c r="E1924" s="552" t="s">
        <v>610</v>
      </c>
      <c r="F1924" s="220">
        <f>SUMIF('AUX-NIV1'!B:B,Recursos!C1924,'AUX-NIV1'!P:P)+SUMIF('AUX-NIV2'!B:B,Recursos!C1924,'AUX-NIV2'!P:P)+SUMIF('AUX-NIV3'!B:B,Recursos!C1924,'AUX-NIV3'!P:P)</f>
        <v>5072.9945387079233</v>
      </c>
      <c r="G1924" s="479">
        <f>+SUMIF('AUX-NIV1'!I:I,Recursos!C1924,'AUX-NIV1'!Q:Q)+SUMIF('AUX-NIV2'!I:I,Recursos!C1924,'AUX-NIV2'!Q:Q)+SUMIF('AUX-NIV3'!I:I,Recursos!C1924,'AUX-NIV3'!Q:Q)</f>
        <v>0</v>
      </c>
      <c r="H1924" s="204">
        <f t="shared" si="160"/>
        <v>0</v>
      </c>
      <c r="I1924" s="364">
        <f t="shared" si="161"/>
        <v>0</v>
      </c>
      <c r="J1924" s="484"/>
    </row>
    <row r="1925" spans="3:10">
      <c r="C1925" s="208" t="s">
        <v>4345</v>
      </c>
      <c r="D1925" s="483" t="s">
        <v>4346</v>
      </c>
      <c r="E1925" s="552" t="s">
        <v>1233</v>
      </c>
      <c r="F1925" s="220">
        <f>SUMIF('AUX-NIV1'!B:B,Recursos!C1925,'AUX-NIV1'!P:P)+SUMIF('AUX-NIV2'!B:B,Recursos!C1925,'AUX-NIV2'!P:P)+SUMIF('AUX-NIV3'!B:B,Recursos!C1925,'AUX-NIV3'!P:P)</f>
        <v>12961.908636644495</v>
      </c>
      <c r="G1925" s="479">
        <f>+SUMIF('AUX-NIV1'!I:I,Recursos!C1925,'AUX-NIV1'!Q:Q)+SUMIF('AUX-NIV2'!I:I,Recursos!C1925,'AUX-NIV2'!Q:Q)+SUMIF('AUX-NIV3'!I:I,Recursos!C1925,'AUX-NIV3'!Q:Q)</f>
        <v>0</v>
      </c>
      <c r="H1925" s="204">
        <f t="shared" si="160"/>
        <v>0</v>
      </c>
      <c r="I1925" s="364">
        <f t="shared" si="161"/>
        <v>0</v>
      </c>
      <c r="J1925" s="484"/>
    </row>
    <row r="1926" spans="3:10">
      <c r="C1926" s="208" t="s">
        <v>4347</v>
      </c>
      <c r="D1926" s="483" t="s">
        <v>4348</v>
      </c>
      <c r="E1926" s="552" t="s">
        <v>1233</v>
      </c>
      <c r="F1926" s="220">
        <f>SUMIF('AUX-NIV1'!B:B,Recursos!C1926,'AUX-NIV1'!P:P)+SUMIF('AUX-NIV2'!B:B,Recursos!C1926,'AUX-NIV2'!P:P)+SUMIF('AUX-NIV3'!B:B,Recursos!C1926,'AUX-NIV3'!P:P)</f>
        <v>15978.988330004435</v>
      </c>
      <c r="G1926" s="479">
        <f>+SUMIF('AUX-NIV1'!I:I,Recursos!C1926,'AUX-NIV1'!Q:Q)+SUMIF('AUX-NIV2'!I:I,Recursos!C1926,'AUX-NIV2'!Q:Q)+SUMIF('AUX-NIV3'!I:I,Recursos!C1926,'AUX-NIV3'!Q:Q)</f>
        <v>0</v>
      </c>
      <c r="H1926" s="204">
        <f t="shared" si="160"/>
        <v>0</v>
      </c>
      <c r="I1926" s="364">
        <f t="shared" si="161"/>
        <v>0</v>
      </c>
      <c r="J1926" s="484"/>
    </row>
    <row r="1927" spans="3:10">
      <c r="C1927" s="208" t="s">
        <v>4413</v>
      </c>
      <c r="D1927" s="483" t="s">
        <v>4412</v>
      </c>
      <c r="E1927" s="552" t="s">
        <v>477</v>
      </c>
      <c r="F1927" s="220">
        <f>SUMIF('AUX-NIV1'!B:B,Recursos!C1927,'AUX-NIV1'!P:P)+SUMIF('AUX-NIV2'!B:B,Recursos!C1927,'AUX-NIV2'!P:P)+SUMIF('AUX-NIV3'!B:B,Recursos!C1927,'AUX-NIV3'!P:P)</f>
        <v>2032.0608560830246</v>
      </c>
      <c r="G1927" s="479">
        <f>+SUMIF('AUX-NIV1'!I:I,Recursos!C1927,'AUX-NIV1'!Q:Q)+SUMIF('AUX-NIV2'!I:I,Recursos!C1927,'AUX-NIV2'!Q:Q)+SUMIF('AUX-NIV3'!I:I,Recursos!C1927,'AUX-NIV3'!Q:Q)</f>
        <v>0</v>
      </c>
      <c r="H1927" s="204">
        <f t="shared" si="160"/>
        <v>0</v>
      </c>
      <c r="I1927" s="364">
        <f t="shared" si="161"/>
        <v>0</v>
      </c>
      <c r="J1927" s="484"/>
    </row>
    <row r="1928" spans="3:10">
      <c r="C1928" s="208" t="s">
        <v>4411</v>
      </c>
      <c r="D1928" s="483" t="s">
        <v>4414</v>
      </c>
      <c r="E1928" s="552" t="s">
        <v>477</v>
      </c>
      <c r="F1928" s="220">
        <f>SUMIF('AUX-NIV1'!B:B,Recursos!C1928,'AUX-NIV1'!P:P)+SUMIF('AUX-NIV2'!B:B,Recursos!C1928,'AUX-NIV2'!P:P)+SUMIF('AUX-NIV3'!B:B,Recursos!C1928,'AUX-NIV3'!P:P)</f>
        <v>2498.7238167559885</v>
      </c>
      <c r="G1928" s="479">
        <f>+SUMIF('AUX-NIV1'!I:I,Recursos!C1928,'AUX-NIV1'!Q:Q)+SUMIF('AUX-NIV2'!I:I,Recursos!C1928,'AUX-NIV2'!Q:Q)+SUMIF('AUX-NIV3'!I:I,Recursos!C1928,'AUX-NIV3'!Q:Q)</f>
        <v>0</v>
      </c>
      <c r="H1928" s="204">
        <f t="shared" ref="H1928:H1932" si="162">+F1928*G1928</f>
        <v>0</v>
      </c>
      <c r="I1928" s="364">
        <f t="shared" ref="I1928:I1932" si="163">+H1928/$I$3</f>
        <v>0</v>
      </c>
      <c r="J1928" s="484"/>
    </row>
    <row r="1929" spans="3:10">
      <c r="C1929" s="208" t="s">
        <v>4408</v>
      </c>
      <c r="D1929" s="483" t="s">
        <v>4415</v>
      </c>
      <c r="E1929" s="552" t="s">
        <v>477</v>
      </c>
      <c r="F1929" s="220">
        <f>SUMIF('AUX-NIV1'!B:B,Recursos!C1929,'AUX-NIV1'!P:P)+SUMIF('AUX-NIV2'!B:B,Recursos!C1929,'AUX-NIV2'!P:P)+SUMIF('AUX-NIV3'!B:B,Recursos!C1929,'AUX-NIV3'!P:P)</f>
        <v>1972.1118427859074</v>
      </c>
      <c r="G1929" s="479">
        <f>+SUMIF('AUX-NIV1'!I:I,Recursos!C1929,'AUX-NIV1'!Q:Q)+SUMIF('AUX-NIV2'!I:I,Recursos!C1929,'AUX-NIV2'!Q:Q)+SUMIF('AUX-NIV3'!I:I,Recursos!C1929,'AUX-NIV3'!Q:Q)</f>
        <v>0</v>
      </c>
      <c r="H1929" s="204">
        <f t="shared" si="162"/>
        <v>0</v>
      </c>
      <c r="I1929" s="364">
        <f t="shared" si="163"/>
        <v>0</v>
      </c>
      <c r="J1929" s="484"/>
    </row>
    <row r="1930" spans="3:10">
      <c r="C1930" s="208" t="s">
        <v>4409</v>
      </c>
      <c r="D1930" s="483" t="s">
        <v>4410</v>
      </c>
      <c r="E1930" s="552" t="s">
        <v>477</v>
      </c>
      <c r="F1930" s="220">
        <f>SUMIF('AUX-NIV1'!B:B,Recursos!C1930,'AUX-NIV1'!P:P)+SUMIF('AUX-NIV2'!B:B,Recursos!C1930,'AUX-NIV2'!P:P)+SUMIF('AUX-NIV3'!B:B,Recursos!C1930,'AUX-NIV3'!P:P)</f>
        <v>1646.3618427859074</v>
      </c>
      <c r="G1930" s="479">
        <f>+SUMIF('AUX-NIV1'!I:I,Recursos!C1930,'AUX-NIV1'!Q:Q)+SUMIF('AUX-NIV2'!I:I,Recursos!C1930,'AUX-NIV2'!Q:Q)+SUMIF('AUX-NIV3'!I:I,Recursos!C1930,'AUX-NIV3'!Q:Q)</f>
        <v>0</v>
      </c>
      <c r="H1930" s="204">
        <f t="shared" si="162"/>
        <v>0</v>
      </c>
      <c r="I1930" s="364">
        <f t="shared" si="163"/>
        <v>0</v>
      </c>
      <c r="J1930" s="484"/>
    </row>
    <row r="1931" spans="3:10">
      <c r="C1931" s="208" t="s">
        <v>4416</v>
      </c>
      <c r="D1931" s="483" t="s">
        <v>4417</v>
      </c>
      <c r="E1931" s="552" t="s">
        <v>1172</v>
      </c>
      <c r="F1931" s="220">
        <f>SUMIF('AUX-NIV1'!B:B,Recursos!C1931,'AUX-NIV1'!P:P)+SUMIF('AUX-NIV2'!B:B,Recursos!C1931,'AUX-NIV2'!P:P)+SUMIF('AUX-NIV3'!B:B,Recursos!C1931,'AUX-NIV3'!P:P)</f>
        <v>4298.792764178861</v>
      </c>
      <c r="G1931" s="479">
        <f>+SUMIF('AUX-NIV1'!I:I,Recursos!C1931,'AUX-NIV1'!Q:Q)+SUMIF('AUX-NIV2'!I:I,Recursos!C1931,'AUX-NIV2'!Q:Q)+SUMIF('AUX-NIV3'!I:I,Recursos!C1931,'AUX-NIV3'!Q:Q)</f>
        <v>0</v>
      </c>
      <c r="H1931" s="204">
        <f t="shared" si="162"/>
        <v>0</v>
      </c>
      <c r="I1931" s="364">
        <f t="shared" si="163"/>
        <v>0</v>
      </c>
      <c r="J1931" s="484"/>
    </row>
    <row r="1932" spans="3:10">
      <c r="C1932" s="208" t="s">
        <v>4420</v>
      </c>
      <c r="D1932" s="483" t="s">
        <v>4422</v>
      </c>
      <c r="E1932" s="552" t="s">
        <v>1232</v>
      </c>
      <c r="F1932" s="220">
        <f>SUMIF('AUX-NIV1'!B:B,Recursos!C1932,'AUX-NIV1'!P:P)+SUMIF('AUX-NIV2'!B:B,Recursos!C1932,'AUX-NIV2'!P:P)+SUMIF('AUX-NIV3'!B:B,Recursos!C1932,'AUX-NIV3'!P:P)</f>
        <v>1938.792764178861</v>
      </c>
      <c r="G1932" s="479">
        <f>+SUMIF('AUX-NIV1'!I:I,Recursos!C1932,'AUX-NIV1'!Q:Q)+SUMIF('AUX-NIV2'!I:I,Recursos!C1932,'AUX-NIV2'!Q:Q)+SUMIF('AUX-NIV3'!I:I,Recursos!C1932,'AUX-NIV3'!Q:Q)</f>
        <v>0</v>
      </c>
      <c r="H1932" s="204">
        <f t="shared" si="162"/>
        <v>0</v>
      </c>
      <c r="I1932" s="364">
        <f t="shared" si="163"/>
        <v>0</v>
      </c>
      <c r="J1932" s="484"/>
    </row>
    <row r="1933" spans="3:10">
      <c r="C1933" s="208" t="s">
        <v>4421</v>
      </c>
      <c r="D1933" s="483" t="s">
        <v>4423</v>
      </c>
      <c r="E1933" s="552" t="s">
        <v>1232</v>
      </c>
      <c r="F1933" s="220">
        <f>SUMIF('AUX-NIV1'!B:B,Recursos!C1933,'AUX-NIV1'!P:P)+SUMIF('AUX-NIV2'!B:B,Recursos!C1933,'AUX-NIV2'!P:P)+SUMIF('AUX-NIV3'!B:B,Recursos!C1933,'AUX-NIV3'!P:P)</f>
        <v>969.39638208943052</v>
      </c>
      <c r="G1933" s="479">
        <f>+SUMIF('AUX-NIV1'!I:I,Recursos!C1933,'AUX-NIV1'!Q:Q)+SUMIF('AUX-NIV2'!I:I,Recursos!C1933,'AUX-NIV2'!Q:Q)+SUMIF('AUX-NIV3'!I:I,Recursos!C1933,'AUX-NIV3'!Q:Q)</f>
        <v>0</v>
      </c>
      <c r="H1933" s="204">
        <f t="shared" si="160"/>
        <v>0</v>
      </c>
      <c r="I1933" s="364">
        <f t="shared" si="161"/>
        <v>0</v>
      </c>
      <c r="J1933" s="484"/>
    </row>
    <row r="1934" spans="3:10">
      <c r="C1934" s="208" t="s">
        <v>4477</v>
      </c>
      <c r="D1934" s="483" t="s">
        <v>4478</v>
      </c>
      <c r="E1934" s="552" t="s">
        <v>477</v>
      </c>
      <c r="F1934" s="220">
        <f>SUMIF('AUX-NIV1'!B:B,Recursos!C1934,'AUX-NIV1'!P:P)+SUMIF('AUX-NIV2'!B:B,Recursos!C1934,'AUX-NIV2'!P:P)+SUMIF('AUX-NIV3'!B:B,Recursos!C1934,'AUX-NIV3'!P:P)</f>
        <v>868.62061426196908</v>
      </c>
      <c r="G1934" s="479">
        <f>+SUMIF('AUX-NIV1'!I:I,Recursos!C1934,'AUX-NIV1'!Q:Q)+SUMIF('AUX-NIV2'!I:I,Recursos!C1934,'AUX-NIV2'!Q:Q)+SUMIF('AUX-NIV3'!I:I,Recursos!C1934,'AUX-NIV3'!Q:Q)</f>
        <v>0</v>
      </c>
      <c r="H1934" s="204">
        <f t="shared" ref="H1934:H1937" si="164">+F1934*G1934</f>
        <v>0</v>
      </c>
      <c r="I1934" s="364">
        <f t="shared" ref="I1934:I1937" si="165">+H1934/$I$3</f>
        <v>0</v>
      </c>
      <c r="J1934" s="484"/>
    </row>
    <row r="1935" spans="3:10">
      <c r="C1935" s="208" t="s">
        <v>4511</v>
      </c>
      <c r="D1935" s="483" t="s">
        <v>4512</v>
      </c>
      <c r="E1935" s="552" t="s">
        <v>1160</v>
      </c>
      <c r="F1935" s="220">
        <f>SUMIF('AUX-NIV1'!B:B,Recursos!C1935,'AUX-NIV1'!P:P)+SUMIF('AUX-NIV2'!B:B,Recursos!C1935,'AUX-NIV2'!P:P)+SUMIF('AUX-NIV3'!B:B,Recursos!C1935,'AUX-NIV3'!P:P)</f>
        <v>28537.750716925741</v>
      </c>
      <c r="G1935" s="479">
        <f>+SUMIF('AUX-NIV1'!I:I,Recursos!C1935,'AUX-NIV1'!Q:Q)+SUMIF('AUX-NIV2'!I:I,Recursos!C1935,'AUX-NIV2'!Q:Q)+SUMIF('AUX-NIV3'!I:I,Recursos!C1935,'AUX-NIV3'!Q:Q)</f>
        <v>0</v>
      </c>
      <c r="H1935" s="204">
        <f t="shared" si="164"/>
        <v>0</v>
      </c>
      <c r="I1935" s="364">
        <f t="shared" si="165"/>
        <v>0</v>
      </c>
      <c r="J1935" s="484"/>
    </row>
    <row r="1936" spans="3:10">
      <c r="C1936" s="208" t="s">
        <v>4570</v>
      </c>
      <c r="D1936" s="483" t="s">
        <v>4574</v>
      </c>
      <c r="E1936" s="552" t="s">
        <v>610</v>
      </c>
      <c r="F1936" s="220">
        <f>SUMIF('AUX-NIV1'!B:B,Recursos!C1936,'AUX-NIV1'!P:P)+SUMIF('AUX-NIV2'!B:B,Recursos!C1936,'AUX-NIV2'!P:P)+SUMIF('AUX-NIV3'!B:B,Recursos!C1936,'AUX-NIV3'!P:P)</f>
        <v>3496.9159543927581</v>
      </c>
      <c r="G1936" s="479">
        <f>+SUMIF('AUX-NIV1'!I:I,Recursos!C1936,'AUX-NIV1'!Q:Q)+SUMIF('AUX-NIV2'!I:I,Recursos!C1936,'AUX-NIV2'!Q:Q)+SUMIF('AUX-NIV3'!I:I,Recursos!C1936,'AUX-NIV3'!Q:Q)</f>
        <v>0</v>
      </c>
      <c r="H1936" s="204">
        <f t="shared" si="164"/>
        <v>0</v>
      </c>
      <c r="I1936" s="364">
        <f t="shared" si="165"/>
        <v>0</v>
      </c>
      <c r="J1936" s="484"/>
    </row>
    <row r="1937" spans="3:10">
      <c r="C1937" s="208" t="s">
        <v>4643</v>
      </c>
      <c r="D1937" s="483" t="s">
        <v>4645</v>
      </c>
      <c r="E1937" s="552" t="s">
        <v>477</v>
      </c>
      <c r="F1937" s="220">
        <f>SUMIF('AUX-NIV1'!B:B,Recursos!C1937,'AUX-NIV1'!P:P)+SUMIF('AUX-NIV2'!B:B,Recursos!C1937,'AUX-NIV2'!P:P)+SUMIF('AUX-NIV3'!B:B,Recursos!C1937,'AUX-NIV3'!P:P)</f>
        <v>1095.9099589288937</v>
      </c>
      <c r="G1937" s="479">
        <f>+SUMIF('AUX-NIV1'!I:I,Recursos!C1937,'AUX-NIV1'!Q:Q)+SUMIF('AUX-NIV2'!I:I,Recursos!C1937,'AUX-NIV2'!Q:Q)+SUMIF('AUX-NIV3'!I:I,Recursos!C1937,'AUX-NIV3'!Q:Q)</f>
        <v>0</v>
      </c>
      <c r="H1937" s="204">
        <f t="shared" si="164"/>
        <v>0</v>
      </c>
      <c r="I1937" s="364">
        <f t="shared" si="165"/>
        <v>0</v>
      </c>
      <c r="J1937" s="484"/>
    </row>
    <row r="1938" spans="3:10">
      <c r="C1938" s="208" t="s">
        <v>4644</v>
      </c>
      <c r="D1938" s="483" t="s">
        <v>4648</v>
      </c>
      <c r="E1938" s="552" t="s">
        <v>610</v>
      </c>
      <c r="F1938" s="220">
        <f>SUMIF('AUX-NIV1'!B:B,Recursos!C1938,'AUX-NIV1'!P:P)+SUMIF('AUX-NIV2'!B:B,Recursos!C1938,'AUX-NIV2'!P:P)+SUMIF('AUX-NIV3'!B:B,Recursos!C1938,'AUX-NIV3'!P:P)</f>
        <v>1300.0447945904373</v>
      </c>
      <c r="G1938" s="479">
        <f>+SUMIF('AUX-NIV1'!I:I,Recursos!C1938,'AUX-NIV1'!Q:Q)+SUMIF('AUX-NIV2'!I:I,Recursos!C1938,'AUX-NIV2'!Q:Q)+SUMIF('AUX-NIV3'!I:I,Recursos!C1938,'AUX-NIV3'!Q:Q)</f>
        <v>0</v>
      </c>
      <c r="H1938" s="204">
        <f t="shared" ref="H1938" si="166">+F1938*G1938</f>
        <v>0</v>
      </c>
      <c r="I1938" s="364">
        <f t="shared" ref="I1938" si="167">+H1938/$I$3</f>
        <v>0</v>
      </c>
      <c r="J1938" s="484"/>
    </row>
    <row r="1939" spans="3:10">
      <c r="C1939" s="208" t="s">
        <v>4656</v>
      </c>
      <c r="D1939" s="483" t="s">
        <v>4655</v>
      </c>
      <c r="E1939" s="552" t="s">
        <v>501</v>
      </c>
      <c r="F1939" s="220">
        <f>SUMIF('AUX-NIV1'!B:B,Recursos!C1939,'AUX-NIV1'!P:P)+SUMIF('AUX-NIV2'!B:B,Recursos!C1939,'AUX-NIV2'!P:P)+SUMIF('AUX-NIV3'!B:B,Recursos!C1939,'AUX-NIV3'!P:P)</f>
        <v>2412.839272532321</v>
      </c>
      <c r="G1939" s="479">
        <f>+SUMIF('AUX-NIV1'!I:I,Recursos!C1939,'AUX-NIV1'!Q:Q)+SUMIF('AUX-NIV2'!I:I,Recursos!C1939,'AUX-NIV2'!Q:Q)+SUMIF('AUX-NIV3'!I:I,Recursos!C1939,'AUX-NIV3'!Q:Q)</f>
        <v>0</v>
      </c>
      <c r="H1939" s="204">
        <f t="shared" ref="H1939:H1940" si="168">+F1939*G1939</f>
        <v>0</v>
      </c>
      <c r="I1939" s="364">
        <f t="shared" ref="I1939:I1940" si="169">+H1939/$I$3</f>
        <v>0</v>
      </c>
      <c r="J1939" s="484"/>
    </row>
    <row r="1940" spans="3:10">
      <c r="C1940" s="208" t="s">
        <v>4659</v>
      </c>
      <c r="D1940" s="483" t="s">
        <v>4654</v>
      </c>
      <c r="E1940" s="552" t="s">
        <v>501</v>
      </c>
      <c r="F1940" s="220">
        <f>SUMIF('AUX-NIV1'!B:B,Recursos!C1940,'AUX-NIV1'!P:P)+SUMIF('AUX-NIV2'!B:B,Recursos!C1940,'AUX-NIV2'!P:P)+SUMIF('AUX-NIV3'!B:B,Recursos!C1940,'AUX-NIV3'!P:P)</f>
        <v>3849.022770654803</v>
      </c>
      <c r="G1940" s="479">
        <f>+SUMIF('AUX-NIV1'!I:I,Recursos!C1940,'AUX-NIV1'!Q:Q)+SUMIF('AUX-NIV2'!I:I,Recursos!C1940,'AUX-NIV2'!Q:Q)+SUMIF('AUX-NIV3'!I:I,Recursos!C1940,'AUX-NIV3'!Q:Q)</f>
        <v>0</v>
      </c>
      <c r="H1940" s="204">
        <f t="shared" si="168"/>
        <v>0</v>
      </c>
      <c r="I1940" s="364">
        <f t="shared" si="169"/>
        <v>0</v>
      </c>
      <c r="J1940" s="484"/>
    </row>
  </sheetData>
  <autoFilter ref="B5:J1940"/>
  <sortState ref="C724:J1079">
    <sortCondition ref="D724:D1079"/>
  </sortState>
  <mergeCells count="2">
    <mergeCell ref="I2:J2"/>
    <mergeCell ref="I3:J4"/>
  </mergeCells>
  <phoneticPr fontId="0" type="noConversion"/>
  <conditionalFormatting sqref="F1643:G1646 F1640:I1642 G1454:I1455 G1457:I1457 F15:I75 F9:I13 I1900:I1901 G1648:I1879 G1881:I1898 G721:I779 G77:I345 G354:I363 G367:I540 I366 I364 F1459:I1634 G951:I1216 G1218:I1452 G782:I790 G836:I843 G949:I949 G1919:I1927 G813:I834 H812:I812 G1933:I1933 G794:I802 G845:I845 G543:I578 G77:H350 G848:I848 G850:I850 G850:H866 G792:H802 G804:I810 G868:H893 G897:H897 G899:H923 G354:H578 G895:H895 G812:H846 G926:H948 G580:I719 G580:H790">
    <cfRule type="expression" dxfId="443" priority="472" stopIfTrue="1">
      <formula>$F$5=1</formula>
    </cfRule>
    <cfRule type="expression" dxfId="442" priority="473" stopIfTrue="1">
      <formula>$F$5&lt;&gt;1</formula>
    </cfRule>
  </conditionalFormatting>
  <conditionalFormatting sqref="A618:A712 A719 A1459:A1642 A728:A732 A734:A779 A721:A726 A782:A790 A836:A843 A949:A1170 A794:A802 A845 A848 A850 A804:A810 A812:A834">
    <cfRule type="cellIs" dxfId="441" priority="474" stopIfTrue="1" operator="equal">
      <formula>1</formula>
    </cfRule>
  </conditionalFormatting>
  <conditionalFormatting sqref="F1494:I1494">
    <cfRule type="expression" dxfId="440" priority="468" stopIfTrue="1">
      <formula>$F$5=1</formula>
    </cfRule>
    <cfRule type="expression" dxfId="439" priority="469" stopIfTrue="1">
      <formula>$F$5&lt;&gt;1</formula>
    </cfRule>
  </conditionalFormatting>
  <conditionalFormatting sqref="F1634:I1639">
    <cfRule type="expression" dxfId="438" priority="464" stopIfTrue="1">
      <formula>$F$5=1</formula>
    </cfRule>
    <cfRule type="expression" dxfId="437" priority="465" stopIfTrue="1">
      <formula>$F$5&lt;&gt;1</formula>
    </cfRule>
  </conditionalFormatting>
  <conditionalFormatting sqref="F7:I8 G1456:I1456 G172:I343 G354:I363 G367:I540 I366 I364 G364:H366 G543:I578 G580:I613">
    <cfRule type="expression" dxfId="436" priority="462" stopIfTrue="1">
      <formula>$F$5=1</formula>
    </cfRule>
    <cfRule type="expression" dxfId="435" priority="463" stopIfTrue="1">
      <formula>$F$5&lt;&gt;1</formula>
    </cfRule>
  </conditionalFormatting>
  <conditionalFormatting sqref="G1880:I1880 G1900:H1901">
    <cfRule type="expression" dxfId="434" priority="444" stopIfTrue="1">
      <formula>$F$5=1</formula>
    </cfRule>
    <cfRule type="expression" dxfId="433" priority="445" stopIfTrue="1">
      <formula>$F$5&lt;&gt;1</formula>
    </cfRule>
  </conditionalFormatting>
  <conditionalFormatting sqref="G721:I732 G734:I779 G782:I790 G836:I843 G813:I834 H812:I812 G794:I802 G845:I845 G848:I848 G850:I850 G804:I810">
    <cfRule type="expression" dxfId="432" priority="440" stopIfTrue="1">
      <formula>$F$5=1</formula>
    </cfRule>
    <cfRule type="expression" dxfId="431" priority="441" stopIfTrue="1">
      <formula>$F$5&lt;&gt;1</formula>
    </cfRule>
  </conditionalFormatting>
  <conditionalFormatting sqref="G727:I727">
    <cfRule type="expression" dxfId="430" priority="437" stopIfTrue="1">
      <formula>$F$5=1</formula>
    </cfRule>
    <cfRule type="expression" dxfId="429" priority="438" stopIfTrue="1">
      <formula>$F$5&lt;&gt;1</formula>
    </cfRule>
  </conditionalFormatting>
  <conditionalFormatting sqref="A727">
    <cfRule type="cellIs" dxfId="428" priority="439" stopIfTrue="1" operator="equal">
      <formula>1</formula>
    </cfRule>
  </conditionalFormatting>
  <conditionalFormatting sqref="G713:I713">
    <cfRule type="expression" dxfId="427" priority="434" stopIfTrue="1">
      <formula>$F$5=1</formula>
    </cfRule>
    <cfRule type="expression" dxfId="426" priority="435" stopIfTrue="1">
      <formula>$F$5&lt;&gt;1</formula>
    </cfRule>
  </conditionalFormatting>
  <conditionalFormatting sqref="A713:A718">
    <cfRule type="cellIs" dxfId="425" priority="436" stopIfTrue="1" operator="equal">
      <formula>1</formula>
    </cfRule>
  </conditionalFormatting>
  <conditionalFormatting sqref="F1632:I1634">
    <cfRule type="expression" dxfId="424" priority="430" stopIfTrue="1">
      <formula>$F$5=1</formula>
    </cfRule>
    <cfRule type="expression" dxfId="423" priority="431" stopIfTrue="1">
      <formula>$F$5&lt;&gt;1</formula>
    </cfRule>
  </conditionalFormatting>
  <conditionalFormatting sqref="C1459:C1642">
    <cfRule type="duplicateValues" dxfId="422" priority="429"/>
  </conditionalFormatting>
  <conditionalFormatting sqref="C15:C75">
    <cfRule type="duplicateValues" dxfId="421" priority="419"/>
  </conditionalFormatting>
  <conditionalFormatting sqref="C734:C779 C77:C343 C354:C540 C716:C719 C782:C783 C721:C732 C543:C578 C580:C714">
    <cfRule type="duplicateValues" dxfId="420" priority="418"/>
  </conditionalFormatting>
  <conditionalFormatting sqref="C1454:C1457">
    <cfRule type="duplicateValues" dxfId="419" priority="416"/>
  </conditionalFormatting>
  <conditionalFormatting sqref="I1899">
    <cfRule type="expression" dxfId="418" priority="413" stopIfTrue="1">
      <formula>$F$5=1</formula>
    </cfRule>
    <cfRule type="expression" dxfId="417" priority="414" stopIfTrue="1">
      <formula>$F$5&lt;&gt;1</formula>
    </cfRule>
  </conditionalFormatting>
  <conditionalFormatting sqref="G1899:H1899">
    <cfRule type="expression" dxfId="416" priority="411" stopIfTrue="1">
      <formula>$F$5=1</formula>
    </cfRule>
    <cfRule type="expression" dxfId="415" priority="412" stopIfTrue="1">
      <formula>$F$5&lt;&gt;1</formula>
    </cfRule>
  </conditionalFormatting>
  <conditionalFormatting sqref="C951:C1181 C1184:C1216 C1218:C1452">
    <cfRule type="duplicateValues" dxfId="414" priority="596"/>
  </conditionalFormatting>
  <conditionalFormatting sqref="C715:C718">
    <cfRule type="duplicateValues" dxfId="413" priority="410"/>
  </conditionalFormatting>
  <conditionalFormatting sqref="C734:C779 C77:C343 C354:C540 C782:C783 C721:C732 C543:C578 C580:C719">
    <cfRule type="duplicateValues" dxfId="412" priority="409"/>
  </conditionalFormatting>
  <conditionalFormatting sqref="I1902:I1918">
    <cfRule type="expression" dxfId="411" priority="400" stopIfTrue="1">
      <formula>$F$5=1</formula>
    </cfRule>
    <cfRule type="expression" dxfId="410" priority="401" stopIfTrue="1">
      <formula>$F$5&lt;&gt;1</formula>
    </cfRule>
  </conditionalFormatting>
  <conditionalFormatting sqref="G1902:H1918">
    <cfRule type="expression" dxfId="409" priority="398" stopIfTrue="1">
      <formula>$F$5=1</formula>
    </cfRule>
    <cfRule type="expression" dxfId="408" priority="399" stopIfTrue="1">
      <formula>$F$5&lt;&gt;1</formula>
    </cfRule>
  </conditionalFormatting>
  <conditionalFormatting sqref="C1902:C1918">
    <cfRule type="duplicateValues" dxfId="407" priority="397"/>
  </conditionalFormatting>
  <conditionalFormatting sqref="C1182:C1183">
    <cfRule type="duplicateValues" dxfId="406" priority="396"/>
  </conditionalFormatting>
  <conditionalFormatting sqref="G733:I733">
    <cfRule type="expression" dxfId="405" priority="393" stopIfTrue="1">
      <formula>$F$5=1</formula>
    </cfRule>
    <cfRule type="expression" dxfId="404" priority="394" stopIfTrue="1">
      <formula>$F$5&lt;&gt;1</formula>
    </cfRule>
  </conditionalFormatting>
  <conditionalFormatting sqref="A733">
    <cfRule type="cellIs" dxfId="403" priority="395" stopIfTrue="1" operator="equal">
      <formula>1</formula>
    </cfRule>
  </conditionalFormatting>
  <conditionalFormatting sqref="G733:I733">
    <cfRule type="expression" dxfId="402" priority="391" stopIfTrue="1">
      <formula>$F$5=1</formula>
    </cfRule>
    <cfRule type="expression" dxfId="401" priority="392" stopIfTrue="1">
      <formula>$F$5&lt;&gt;1</formula>
    </cfRule>
  </conditionalFormatting>
  <conditionalFormatting sqref="C733">
    <cfRule type="duplicateValues" dxfId="400" priority="390"/>
  </conditionalFormatting>
  <conditionalFormatting sqref="C733">
    <cfRule type="duplicateValues" dxfId="399" priority="389"/>
  </conditionalFormatting>
  <conditionalFormatting sqref="C784">
    <cfRule type="duplicateValues" dxfId="398" priority="388"/>
  </conditionalFormatting>
  <conditionalFormatting sqref="C784">
    <cfRule type="duplicateValues" dxfId="397" priority="387"/>
  </conditionalFormatting>
  <conditionalFormatting sqref="H344">
    <cfRule type="expression" dxfId="396" priority="385" stopIfTrue="1">
      <formula>$F$5=1</formula>
    </cfRule>
    <cfRule type="expression" dxfId="395" priority="386" stopIfTrue="1">
      <formula>$F$5&lt;&gt;1</formula>
    </cfRule>
  </conditionalFormatting>
  <conditionalFormatting sqref="G344:I344">
    <cfRule type="expression" dxfId="394" priority="383" stopIfTrue="1">
      <formula>$F$5=1</formula>
    </cfRule>
    <cfRule type="expression" dxfId="393" priority="384" stopIfTrue="1">
      <formula>$F$5&lt;&gt;1</formula>
    </cfRule>
  </conditionalFormatting>
  <conditionalFormatting sqref="C344">
    <cfRule type="duplicateValues" dxfId="392" priority="382"/>
  </conditionalFormatting>
  <conditionalFormatting sqref="C344">
    <cfRule type="duplicateValues" dxfId="391" priority="381"/>
  </conditionalFormatting>
  <conditionalFormatting sqref="H345">
    <cfRule type="expression" dxfId="390" priority="379" stopIfTrue="1">
      <formula>$F$5=1</formula>
    </cfRule>
    <cfRule type="expression" dxfId="389" priority="380" stopIfTrue="1">
      <formula>$F$5&lt;&gt;1</formula>
    </cfRule>
  </conditionalFormatting>
  <conditionalFormatting sqref="G345:I345">
    <cfRule type="expression" dxfId="388" priority="377" stopIfTrue="1">
      <formula>$F$5=1</formula>
    </cfRule>
    <cfRule type="expression" dxfId="387" priority="378" stopIfTrue="1">
      <formula>$F$5&lt;&gt;1</formula>
    </cfRule>
  </conditionalFormatting>
  <conditionalFormatting sqref="C345">
    <cfRule type="duplicateValues" dxfId="386" priority="376"/>
  </conditionalFormatting>
  <conditionalFormatting sqref="C345">
    <cfRule type="duplicateValues" dxfId="385" priority="375"/>
  </conditionalFormatting>
  <conditionalFormatting sqref="C785">
    <cfRule type="duplicateValues" dxfId="384" priority="374"/>
  </conditionalFormatting>
  <conditionalFormatting sqref="C785">
    <cfRule type="duplicateValues" dxfId="383" priority="373"/>
  </conditionalFormatting>
  <conditionalFormatting sqref="C836:C843 C786:C790 C949 C794:C802 C845 C848 C850 C804:C810 C812:C834">
    <cfRule type="duplicateValues" dxfId="382" priority="372"/>
  </conditionalFormatting>
  <conditionalFormatting sqref="C786:C790 C794:C802 C804:C810 C812:C834">
    <cfRule type="duplicateValues" dxfId="381" priority="371"/>
  </conditionalFormatting>
  <conditionalFormatting sqref="G780:I781">
    <cfRule type="expression" dxfId="380" priority="368" stopIfTrue="1">
      <formula>$F$5=1</formula>
    </cfRule>
    <cfRule type="expression" dxfId="379" priority="369" stopIfTrue="1">
      <formula>$F$5&lt;&gt;1</formula>
    </cfRule>
  </conditionalFormatting>
  <conditionalFormatting sqref="A780:A781">
    <cfRule type="cellIs" dxfId="378" priority="370" stopIfTrue="1" operator="equal">
      <formula>1</formula>
    </cfRule>
  </conditionalFormatting>
  <conditionalFormatting sqref="G780:I781">
    <cfRule type="expression" dxfId="377" priority="366" stopIfTrue="1">
      <formula>$F$5=1</formula>
    </cfRule>
    <cfRule type="expression" dxfId="376" priority="367" stopIfTrue="1">
      <formula>$F$5&lt;&gt;1</formula>
    </cfRule>
  </conditionalFormatting>
  <conditionalFormatting sqref="C780:C781">
    <cfRule type="duplicateValues" dxfId="375" priority="365"/>
  </conditionalFormatting>
  <conditionalFormatting sqref="C780:C781">
    <cfRule type="duplicateValues" dxfId="374" priority="364"/>
  </conditionalFormatting>
  <conditionalFormatting sqref="C1648:C1901">
    <cfRule type="duplicateValues" dxfId="373" priority="680"/>
  </conditionalFormatting>
  <conditionalFormatting sqref="G720:I720">
    <cfRule type="expression" dxfId="372" priority="361" stopIfTrue="1">
      <formula>$F$5=1</formula>
    </cfRule>
    <cfRule type="expression" dxfId="371" priority="362" stopIfTrue="1">
      <formula>$F$5&lt;&gt;1</formula>
    </cfRule>
  </conditionalFormatting>
  <conditionalFormatting sqref="A720">
    <cfRule type="cellIs" dxfId="370" priority="363" stopIfTrue="1" operator="equal">
      <formula>1</formula>
    </cfRule>
  </conditionalFormatting>
  <conditionalFormatting sqref="C720">
    <cfRule type="duplicateValues" dxfId="369" priority="360"/>
  </conditionalFormatting>
  <conditionalFormatting sqref="C720">
    <cfRule type="duplicateValues" dxfId="368" priority="359"/>
  </conditionalFormatting>
  <conditionalFormatting sqref="G346:I350 I365">
    <cfRule type="expression" dxfId="367" priority="357" stopIfTrue="1">
      <formula>$F$5=1</formula>
    </cfRule>
    <cfRule type="expression" dxfId="366" priority="358" stopIfTrue="1">
      <formula>$F$5&lt;&gt;1</formula>
    </cfRule>
  </conditionalFormatting>
  <conditionalFormatting sqref="H346:H350">
    <cfRule type="expression" dxfId="365" priority="355" stopIfTrue="1">
      <formula>$F$5=1</formula>
    </cfRule>
    <cfRule type="expression" dxfId="364" priority="356" stopIfTrue="1">
      <formula>$F$5&lt;&gt;1</formula>
    </cfRule>
  </conditionalFormatting>
  <conditionalFormatting sqref="G346:I350 I365">
    <cfRule type="expression" dxfId="363" priority="353" stopIfTrue="1">
      <formula>$F$5=1</formula>
    </cfRule>
    <cfRule type="expression" dxfId="362" priority="354" stopIfTrue="1">
      <formula>$F$5&lt;&gt;1</formula>
    </cfRule>
  </conditionalFormatting>
  <conditionalFormatting sqref="C346:C349">
    <cfRule type="duplicateValues" dxfId="361" priority="352"/>
  </conditionalFormatting>
  <conditionalFormatting sqref="C346:C349">
    <cfRule type="duplicateValues" dxfId="360" priority="351"/>
  </conditionalFormatting>
  <conditionalFormatting sqref="C350">
    <cfRule type="duplicateValues" dxfId="359" priority="344"/>
  </conditionalFormatting>
  <conditionalFormatting sqref="C350">
    <cfRule type="duplicateValues" dxfId="358" priority="343"/>
  </conditionalFormatting>
  <conditionalFormatting sqref="G1217:I1217">
    <cfRule type="expression" dxfId="357" priority="340" stopIfTrue="1">
      <formula>$F$5=1</formula>
    </cfRule>
    <cfRule type="expression" dxfId="356" priority="341" stopIfTrue="1">
      <formula>$F$5&lt;&gt;1</formula>
    </cfRule>
  </conditionalFormatting>
  <conditionalFormatting sqref="C1217">
    <cfRule type="duplicateValues" dxfId="355" priority="342"/>
  </conditionalFormatting>
  <conditionalFormatting sqref="G835:I835">
    <cfRule type="expression" dxfId="354" priority="332" stopIfTrue="1">
      <formula>$F$5=1</formula>
    </cfRule>
    <cfRule type="expression" dxfId="353" priority="333" stopIfTrue="1">
      <formula>$F$5&lt;&gt;1</formula>
    </cfRule>
  </conditionalFormatting>
  <conditionalFormatting sqref="G835:I835">
    <cfRule type="expression" dxfId="352" priority="330" stopIfTrue="1">
      <formula>$F$5=1</formula>
    </cfRule>
    <cfRule type="expression" dxfId="351" priority="331" stopIfTrue="1">
      <formula>$F$5&lt;&gt;1</formula>
    </cfRule>
  </conditionalFormatting>
  <conditionalFormatting sqref="C835">
    <cfRule type="duplicateValues" dxfId="350" priority="329"/>
  </conditionalFormatting>
  <conditionalFormatting sqref="C835">
    <cfRule type="duplicateValues" dxfId="349" priority="328"/>
  </conditionalFormatting>
  <conditionalFormatting sqref="G851:I854">
    <cfRule type="expression" dxfId="348" priority="320" stopIfTrue="1">
      <formula>$F$5=1</formula>
    </cfRule>
    <cfRule type="expression" dxfId="347" priority="321" stopIfTrue="1">
      <formula>$F$5&lt;&gt;1</formula>
    </cfRule>
  </conditionalFormatting>
  <conditionalFormatting sqref="A851:A854">
    <cfRule type="cellIs" dxfId="346" priority="322" stopIfTrue="1" operator="equal">
      <formula>1</formula>
    </cfRule>
  </conditionalFormatting>
  <conditionalFormatting sqref="G851:I854">
    <cfRule type="expression" dxfId="345" priority="318" stopIfTrue="1">
      <formula>$F$5=1</formula>
    </cfRule>
    <cfRule type="expression" dxfId="344" priority="319" stopIfTrue="1">
      <formula>$F$5&lt;&gt;1</formula>
    </cfRule>
  </conditionalFormatting>
  <conditionalFormatting sqref="C851:C853">
    <cfRule type="duplicateValues" dxfId="343" priority="317"/>
  </conditionalFormatting>
  <conditionalFormatting sqref="C854">
    <cfRule type="duplicateValues" dxfId="342" priority="316"/>
  </conditionalFormatting>
  <conditionalFormatting sqref="G855:I861 G863:I866 G868:I869">
    <cfRule type="expression" dxfId="341" priority="313" stopIfTrue="1">
      <formula>$F$5=1</formula>
    </cfRule>
    <cfRule type="expression" dxfId="340" priority="314" stopIfTrue="1">
      <formula>$F$5&lt;&gt;1</formula>
    </cfRule>
  </conditionalFormatting>
  <conditionalFormatting sqref="A855:A861 A863:A866 A868:A869">
    <cfRule type="cellIs" dxfId="339" priority="315" stopIfTrue="1" operator="equal">
      <formula>1</formula>
    </cfRule>
  </conditionalFormatting>
  <conditionalFormatting sqref="G855:I861 G863:I866 G868:I869">
    <cfRule type="expression" dxfId="338" priority="311" stopIfTrue="1">
      <formula>$F$5=1</formula>
    </cfRule>
    <cfRule type="expression" dxfId="337" priority="312" stopIfTrue="1">
      <formula>$F$5&lt;&gt;1</formula>
    </cfRule>
  </conditionalFormatting>
  <conditionalFormatting sqref="C855:C861 C863:C866 C868:C869">
    <cfRule type="duplicateValues" dxfId="336" priority="310"/>
  </conditionalFormatting>
  <conditionalFormatting sqref="C1933 C1919:C1927">
    <cfRule type="duplicateValues" dxfId="335" priority="689"/>
  </conditionalFormatting>
  <conditionalFormatting sqref="G862:I862">
    <cfRule type="expression" dxfId="334" priority="307" stopIfTrue="1">
      <formula>$F$5=1</formula>
    </cfRule>
    <cfRule type="expression" dxfId="333" priority="308" stopIfTrue="1">
      <formula>$F$5&lt;&gt;1</formula>
    </cfRule>
  </conditionalFormatting>
  <conditionalFormatting sqref="A862">
    <cfRule type="cellIs" dxfId="332" priority="309" stopIfTrue="1" operator="equal">
      <formula>1</formula>
    </cfRule>
  </conditionalFormatting>
  <conditionalFormatting sqref="G862:I862">
    <cfRule type="expression" dxfId="331" priority="305" stopIfTrue="1">
      <formula>$F$5=1</formula>
    </cfRule>
    <cfRule type="expression" dxfId="330" priority="306" stopIfTrue="1">
      <formula>$F$5&lt;&gt;1</formula>
    </cfRule>
  </conditionalFormatting>
  <conditionalFormatting sqref="C862">
    <cfRule type="duplicateValues" dxfId="329" priority="304"/>
  </conditionalFormatting>
  <conditionalFormatting sqref="G877:I879">
    <cfRule type="expression" dxfId="328" priority="301" stopIfTrue="1">
      <formula>$F$5=1</formula>
    </cfRule>
    <cfRule type="expression" dxfId="327" priority="302" stopIfTrue="1">
      <formula>$F$5&lt;&gt;1</formula>
    </cfRule>
  </conditionalFormatting>
  <conditionalFormatting sqref="A877:A879">
    <cfRule type="cellIs" dxfId="326" priority="303" stopIfTrue="1" operator="equal">
      <formula>1</formula>
    </cfRule>
  </conditionalFormatting>
  <conditionalFormatting sqref="G877:I879">
    <cfRule type="expression" dxfId="325" priority="299" stopIfTrue="1">
      <formula>$F$5=1</formula>
    </cfRule>
    <cfRule type="expression" dxfId="324" priority="300" stopIfTrue="1">
      <formula>$F$5&lt;&gt;1</formula>
    </cfRule>
  </conditionalFormatting>
  <conditionalFormatting sqref="G812">
    <cfRule type="expression" dxfId="323" priority="296" stopIfTrue="1">
      <formula>$F$5=1</formula>
    </cfRule>
    <cfRule type="expression" dxfId="322" priority="297" stopIfTrue="1">
      <formula>$F$5&lt;&gt;1</formula>
    </cfRule>
  </conditionalFormatting>
  <conditionalFormatting sqref="G812">
    <cfRule type="expression" dxfId="321" priority="294" stopIfTrue="1">
      <formula>$F$5=1</formula>
    </cfRule>
    <cfRule type="expression" dxfId="320" priority="295" stopIfTrue="1">
      <formula>$F$5&lt;&gt;1</formula>
    </cfRule>
  </conditionalFormatting>
  <conditionalFormatting sqref="G871:I875">
    <cfRule type="expression" dxfId="319" priority="291" stopIfTrue="1">
      <formula>$F$5=1</formula>
    </cfRule>
    <cfRule type="expression" dxfId="318" priority="292" stopIfTrue="1">
      <formula>$F$5&lt;&gt;1</formula>
    </cfRule>
  </conditionalFormatting>
  <conditionalFormatting sqref="A871:A875">
    <cfRule type="cellIs" dxfId="317" priority="293" stopIfTrue="1" operator="equal">
      <formula>1</formula>
    </cfRule>
  </conditionalFormatting>
  <conditionalFormatting sqref="G871:I875">
    <cfRule type="expression" dxfId="316" priority="289" stopIfTrue="1">
      <formula>$F$5=1</formula>
    </cfRule>
    <cfRule type="expression" dxfId="315" priority="290" stopIfTrue="1">
      <formula>$F$5&lt;&gt;1</formula>
    </cfRule>
  </conditionalFormatting>
  <conditionalFormatting sqref="C871:C872">
    <cfRule type="duplicateValues" dxfId="314" priority="288"/>
  </conditionalFormatting>
  <conditionalFormatting sqref="C873:C875 C877:C879">
    <cfRule type="duplicateValues" dxfId="313" priority="287"/>
  </conditionalFormatting>
  <conditionalFormatting sqref="G880:I886">
    <cfRule type="expression" dxfId="312" priority="284" stopIfTrue="1">
      <formula>$F$5=1</formula>
    </cfRule>
    <cfRule type="expression" dxfId="311" priority="285" stopIfTrue="1">
      <formula>$F$5&lt;&gt;1</formula>
    </cfRule>
  </conditionalFormatting>
  <conditionalFormatting sqref="A880:A886">
    <cfRule type="cellIs" dxfId="310" priority="286" stopIfTrue="1" operator="equal">
      <formula>1</formula>
    </cfRule>
  </conditionalFormatting>
  <conditionalFormatting sqref="G880:I886">
    <cfRule type="expression" dxfId="309" priority="282" stopIfTrue="1">
      <formula>$F$5=1</formula>
    </cfRule>
    <cfRule type="expression" dxfId="308" priority="283" stopIfTrue="1">
      <formula>$F$5&lt;&gt;1</formula>
    </cfRule>
  </conditionalFormatting>
  <conditionalFormatting sqref="C880:C886">
    <cfRule type="duplicateValues" dxfId="307" priority="281"/>
  </conditionalFormatting>
  <conditionalFormatting sqref="G1928:I1932">
    <cfRule type="expression" dxfId="306" priority="278" stopIfTrue="1">
      <formula>$F$5=1</formula>
    </cfRule>
    <cfRule type="expression" dxfId="305" priority="279" stopIfTrue="1">
      <formula>$F$5&lt;&gt;1</formula>
    </cfRule>
  </conditionalFormatting>
  <conditionalFormatting sqref="C1928:C1932">
    <cfRule type="duplicateValues" dxfId="304" priority="280"/>
  </conditionalFormatting>
  <conditionalFormatting sqref="G876:I876">
    <cfRule type="expression" dxfId="303" priority="275" stopIfTrue="1">
      <formula>$F$5=1</formula>
    </cfRule>
    <cfRule type="expression" dxfId="302" priority="276" stopIfTrue="1">
      <formula>$F$5&lt;&gt;1</formula>
    </cfRule>
  </conditionalFormatting>
  <conditionalFormatting sqref="A876">
    <cfRule type="cellIs" dxfId="301" priority="277" stopIfTrue="1" operator="equal">
      <formula>1</formula>
    </cfRule>
  </conditionalFormatting>
  <conditionalFormatting sqref="G876:I876">
    <cfRule type="expression" dxfId="300" priority="273" stopIfTrue="1">
      <formula>$F$5=1</formula>
    </cfRule>
    <cfRule type="expression" dxfId="299" priority="274" stopIfTrue="1">
      <formula>$F$5&lt;&gt;1</formula>
    </cfRule>
  </conditionalFormatting>
  <conditionalFormatting sqref="C876">
    <cfRule type="duplicateValues" dxfId="298" priority="272"/>
  </conditionalFormatting>
  <conditionalFormatting sqref="G1934:I1937">
    <cfRule type="expression" dxfId="297" priority="266" stopIfTrue="1">
      <formula>$F$5=1</formula>
    </cfRule>
    <cfRule type="expression" dxfId="296" priority="267" stopIfTrue="1">
      <formula>$F$5&lt;&gt;1</formula>
    </cfRule>
  </conditionalFormatting>
  <conditionalFormatting sqref="C1934:C1937">
    <cfRule type="duplicateValues" dxfId="295" priority="268"/>
  </conditionalFormatting>
  <conditionalFormatting sqref="G901:I901">
    <cfRule type="expression" dxfId="294" priority="263" stopIfTrue="1">
      <formula>$F$5=1</formula>
    </cfRule>
    <cfRule type="expression" dxfId="293" priority="264" stopIfTrue="1">
      <formula>$F$5&lt;&gt;1</formula>
    </cfRule>
  </conditionalFormatting>
  <conditionalFormatting sqref="A901">
    <cfRule type="cellIs" dxfId="292" priority="265" stopIfTrue="1" operator="equal">
      <formula>1</formula>
    </cfRule>
  </conditionalFormatting>
  <conditionalFormatting sqref="G901:I901">
    <cfRule type="expression" dxfId="291" priority="261" stopIfTrue="1">
      <formula>$F$5=1</formula>
    </cfRule>
    <cfRule type="expression" dxfId="290" priority="262" stopIfTrue="1">
      <formula>$F$5&lt;&gt;1</formula>
    </cfRule>
  </conditionalFormatting>
  <conditionalFormatting sqref="C901">
    <cfRule type="duplicateValues" dxfId="289" priority="260"/>
  </conditionalFormatting>
  <conditionalFormatting sqref="G887:I893 G897:I897 G899:I900 G895:I895">
    <cfRule type="expression" dxfId="288" priority="257" stopIfTrue="1">
      <formula>$F$5=1</formula>
    </cfRule>
    <cfRule type="expression" dxfId="287" priority="258" stopIfTrue="1">
      <formula>$F$5&lt;&gt;1</formula>
    </cfRule>
  </conditionalFormatting>
  <conditionalFormatting sqref="A887:A893 A897 A899:A900 A895">
    <cfRule type="cellIs" dxfId="286" priority="259" stopIfTrue="1" operator="equal">
      <formula>1</formula>
    </cfRule>
  </conditionalFormatting>
  <conditionalFormatting sqref="G887:I893 G897:I897 G899:I900 G895:I895">
    <cfRule type="expression" dxfId="285" priority="255" stopIfTrue="1">
      <formula>$F$5=1</formula>
    </cfRule>
    <cfRule type="expression" dxfId="284" priority="256" stopIfTrue="1">
      <formula>$F$5&lt;&gt;1</formula>
    </cfRule>
  </conditionalFormatting>
  <conditionalFormatting sqref="C887:C893 C897 C899:C900 C895">
    <cfRule type="duplicateValues" dxfId="283" priority="254"/>
  </conditionalFormatting>
  <conditionalFormatting sqref="G902:I909">
    <cfRule type="expression" dxfId="282" priority="251" stopIfTrue="1">
      <formula>$F$5=1</formula>
    </cfRule>
    <cfRule type="expression" dxfId="281" priority="252" stopIfTrue="1">
      <formula>$F$5&lt;&gt;1</formula>
    </cfRule>
  </conditionalFormatting>
  <conditionalFormatting sqref="A902:A909">
    <cfRule type="cellIs" dxfId="280" priority="253" stopIfTrue="1" operator="equal">
      <formula>1</formula>
    </cfRule>
  </conditionalFormatting>
  <conditionalFormatting sqref="G902:I909">
    <cfRule type="expression" dxfId="279" priority="249" stopIfTrue="1">
      <formula>$F$5=1</formula>
    </cfRule>
    <cfRule type="expression" dxfId="278" priority="250" stopIfTrue="1">
      <formula>$F$5&lt;&gt;1</formula>
    </cfRule>
  </conditionalFormatting>
  <conditionalFormatting sqref="C902:C909">
    <cfRule type="duplicateValues" dxfId="277" priority="248"/>
  </conditionalFormatting>
  <conditionalFormatting sqref="G910:I912 G919:I919">
    <cfRule type="expression" dxfId="276" priority="245" stopIfTrue="1">
      <formula>$F$5=1</formula>
    </cfRule>
    <cfRule type="expression" dxfId="275" priority="246" stopIfTrue="1">
      <formula>$F$5&lt;&gt;1</formula>
    </cfRule>
  </conditionalFormatting>
  <conditionalFormatting sqref="A910:A912 A919">
    <cfRule type="cellIs" dxfId="274" priority="247" stopIfTrue="1" operator="equal">
      <formula>1</formula>
    </cfRule>
  </conditionalFormatting>
  <conditionalFormatting sqref="G910:I912 G919:I919">
    <cfRule type="expression" dxfId="273" priority="243" stopIfTrue="1">
      <formula>$F$5=1</formula>
    </cfRule>
    <cfRule type="expression" dxfId="272" priority="244" stopIfTrue="1">
      <formula>$F$5&lt;&gt;1</formula>
    </cfRule>
  </conditionalFormatting>
  <conditionalFormatting sqref="C910:C912">
    <cfRule type="duplicateValues" dxfId="271" priority="242"/>
  </conditionalFormatting>
  <conditionalFormatting sqref="G913:I913">
    <cfRule type="expression" dxfId="270" priority="239" stopIfTrue="1">
      <formula>$F$5=1</formula>
    </cfRule>
    <cfRule type="expression" dxfId="269" priority="240" stopIfTrue="1">
      <formula>$F$5&lt;&gt;1</formula>
    </cfRule>
  </conditionalFormatting>
  <conditionalFormatting sqref="A913">
    <cfRule type="cellIs" dxfId="268" priority="241" stopIfTrue="1" operator="equal">
      <formula>1</formula>
    </cfRule>
  </conditionalFormatting>
  <conditionalFormatting sqref="G913:I913">
    <cfRule type="expression" dxfId="267" priority="237" stopIfTrue="1">
      <formula>$F$5=1</formula>
    </cfRule>
    <cfRule type="expression" dxfId="266" priority="238" stopIfTrue="1">
      <formula>$F$5&lt;&gt;1</formula>
    </cfRule>
  </conditionalFormatting>
  <conditionalFormatting sqref="C913">
    <cfRule type="duplicateValues" dxfId="265" priority="236"/>
  </conditionalFormatting>
  <conditionalFormatting sqref="G914:I914 G917:I918">
    <cfRule type="expression" dxfId="264" priority="233" stopIfTrue="1">
      <formula>$F$5=1</formula>
    </cfRule>
    <cfRule type="expression" dxfId="263" priority="234" stopIfTrue="1">
      <formula>$F$5&lt;&gt;1</formula>
    </cfRule>
  </conditionalFormatting>
  <conditionalFormatting sqref="A914 A917:A918">
    <cfRule type="cellIs" dxfId="262" priority="235" stopIfTrue="1" operator="equal">
      <formula>1</formula>
    </cfRule>
  </conditionalFormatting>
  <conditionalFormatting sqref="G914:I914 G917:I918">
    <cfRule type="expression" dxfId="261" priority="231" stopIfTrue="1">
      <formula>$F$5=1</formula>
    </cfRule>
    <cfRule type="expression" dxfId="260" priority="232" stopIfTrue="1">
      <formula>$F$5&lt;&gt;1</formula>
    </cfRule>
  </conditionalFormatting>
  <conditionalFormatting sqref="C914 C917:C918">
    <cfRule type="duplicateValues" dxfId="259" priority="230"/>
  </conditionalFormatting>
  <conditionalFormatting sqref="G915:I915">
    <cfRule type="expression" dxfId="258" priority="227" stopIfTrue="1">
      <formula>$F$5=1</formula>
    </cfRule>
    <cfRule type="expression" dxfId="257" priority="228" stopIfTrue="1">
      <formula>$F$5&lt;&gt;1</formula>
    </cfRule>
  </conditionalFormatting>
  <conditionalFormatting sqref="A915">
    <cfRule type="cellIs" dxfId="256" priority="229" stopIfTrue="1" operator="equal">
      <formula>1</formula>
    </cfRule>
  </conditionalFormatting>
  <conditionalFormatting sqref="G915:I915">
    <cfRule type="expression" dxfId="255" priority="225" stopIfTrue="1">
      <formula>$F$5=1</formula>
    </cfRule>
    <cfRule type="expression" dxfId="254" priority="226" stopIfTrue="1">
      <formula>$F$5&lt;&gt;1</formula>
    </cfRule>
  </conditionalFormatting>
  <conditionalFormatting sqref="C915">
    <cfRule type="duplicateValues" dxfId="253" priority="224"/>
  </conditionalFormatting>
  <conditionalFormatting sqref="G916:I916">
    <cfRule type="expression" dxfId="252" priority="221" stopIfTrue="1">
      <formula>$F$5=1</formula>
    </cfRule>
    <cfRule type="expression" dxfId="251" priority="222" stopIfTrue="1">
      <formula>$F$5&lt;&gt;1</formula>
    </cfRule>
  </conditionalFormatting>
  <conditionalFormatting sqref="A916">
    <cfRule type="cellIs" dxfId="250" priority="223" stopIfTrue="1" operator="equal">
      <formula>1</formula>
    </cfRule>
  </conditionalFormatting>
  <conditionalFormatting sqref="G916:I916">
    <cfRule type="expression" dxfId="249" priority="219" stopIfTrue="1">
      <formula>$F$5=1</formula>
    </cfRule>
    <cfRule type="expression" dxfId="248" priority="220" stopIfTrue="1">
      <formula>$F$5&lt;&gt;1</formula>
    </cfRule>
  </conditionalFormatting>
  <conditionalFormatting sqref="C916">
    <cfRule type="duplicateValues" dxfId="247" priority="218"/>
  </conditionalFormatting>
  <conditionalFormatting sqref="C919">
    <cfRule type="duplicateValues" dxfId="246" priority="217"/>
  </conditionalFormatting>
  <conditionalFormatting sqref="G920:I920 G922:I923">
    <cfRule type="expression" dxfId="245" priority="214" stopIfTrue="1">
      <formula>$F$5=1</formula>
    </cfRule>
    <cfRule type="expression" dxfId="244" priority="215" stopIfTrue="1">
      <formula>$F$5&lt;&gt;1</formula>
    </cfRule>
  </conditionalFormatting>
  <conditionalFormatting sqref="A920 A922:A923">
    <cfRule type="cellIs" dxfId="243" priority="216" stopIfTrue="1" operator="equal">
      <formula>1</formula>
    </cfRule>
  </conditionalFormatting>
  <conditionalFormatting sqref="G920:I920 G922:I923">
    <cfRule type="expression" dxfId="242" priority="212" stopIfTrue="1">
      <formula>$F$5=1</formula>
    </cfRule>
    <cfRule type="expression" dxfId="241" priority="213" stopIfTrue="1">
      <formula>$F$5&lt;&gt;1</formula>
    </cfRule>
  </conditionalFormatting>
  <conditionalFormatting sqref="C920 C922:C923">
    <cfRule type="duplicateValues" dxfId="240" priority="211"/>
  </conditionalFormatting>
  <conditionalFormatting sqref="G921:I921">
    <cfRule type="expression" dxfId="239" priority="208" stopIfTrue="1">
      <formula>$F$5=1</formula>
    </cfRule>
    <cfRule type="expression" dxfId="238" priority="209" stopIfTrue="1">
      <formula>$F$5&lt;&gt;1</formula>
    </cfRule>
  </conditionalFormatting>
  <conditionalFormatting sqref="A921">
    <cfRule type="cellIs" dxfId="237" priority="210" stopIfTrue="1" operator="equal">
      <formula>1</formula>
    </cfRule>
  </conditionalFormatting>
  <conditionalFormatting sqref="G921:I921">
    <cfRule type="expression" dxfId="236" priority="206" stopIfTrue="1">
      <formula>$F$5=1</formula>
    </cfRule>
    <cfRule type="expression" dxfId="235" priority="207" stopIfTrue="1">
      <formula>$F$5&lt;&gt;1</formula>
    </cfRule>
  </conditionalFormatting>
  <conditionalFormatting sqref="C921">
    <cfRule type="duplicateValues" dxfId="234" priority="205"/>
  </conditionalFormatting>
  <conditionalFormatting sqref="G792:I792">
    <cfRule type="expression" dxfId="233" priority="202" stopIfTrue="1">
      <formula>$F$5=1</formula>
    </cfRule>
    <cfRule type="expression" dxfId="232" priority="203" stopIfTrue="1">
      <formula>$F$5&lt;&gt;1</formula>
    </cfRule>
  </conditionalFormatting>
  <conditionalFormatting sqref="A792">
    <cfRule type="cellIs" dxfId="231" priority="204" stopIfTrue="1" operator="equal">
      <formula>1</formula>
    </cfRule>
  </conditionalFormatting>
  <conditionalFormatting sqref="G792:I792">
    <cfRule type="expression" dxfId="230" priority="200" stopIfTrue="1">
      <formula>$F$5=1</formula>
    </cfRule>
    <cfRule type="expression" dxfId="229" priority="201" stopIfTrue="1">
      <formula>$F$5&lt;&gt;1</formula>
    </cfRule>
  </conditionalFormatting>
  <conditionalFormatting sqref="C792">
    <cfRule type="duplicateValues" dxfId="228" priority="199"/>
  </conditionalFormatting>
  <conditionalFormatting sqref="C792">
    <cfRule type="duplicateValues" dxfId="227" priority="198"/>
  </conditionalFormatting>
  <conditionalFormatting sqref="G793:I793">
    <cfRule type="expression" dxfId="226" priority="195" stopIfTrue="1">
      <formula>$F$5=1</formula>
    </cfRule>
    <cfRule type="expression" dxfId="225" priority="196" stopIfTrue="1">
      <formula>$F$5&lt;&gt;1</formula>
    </cfRule>
  </conditionalFormatting>
  <conditionalFormatting sqref="A793">
    <cfRule type="cellIs" dxfId="224" priority="197" stopIfTrue="1" operator="equal">
      <formula>1</formula>
    </cfRule>
  </conditionalFormatting>
  <conditionalFormatting sqref="G793:I793">
    <cfRule type="expression" dxfId="223" priority="193" stopIfTrue="1">
      <formula>$F$5=1</formula>
    </cfRule>
    <cfRule type="expression" dxfId="222" priority="194" stopIfTrue="1">
      <formula>$F$5&lt;&gt;1</formula>
    </cfRule>
  </conditionalFormatting>
  <conditionalFormatting sqref="C793">
    <cfRule type="duplicateValues" dxfId="221" priority="192"/>
  </conditionalFormatting>
  <conditionalFormatting sqref="C793">
    <cfRule type="duplicateValues" dxfId="220" priority="191"/>
  </conditionalFormatting>
  <conditionalFormatting sqref="G926:I927 G948:I948 G927:G948">
    <cfRule type="expression" dxfId="219" priority="188" stopIfTrue="1">
      <formula>$F$5=1</formula>
    </cfRule>
    <cfRule type="expression" dxfId="218" priority="189" stopIfTrue="1">
      <formula>$F$5&lt;&gt;1</formula>
    </cfRule>
  </conditionalFormatting>
  <conditionalFormatting sqref="A926:A927 A948">
    <cfRule type="cellIs" dxfId="217" priority="190" stopIfTrue="1" operator="equal">
      <formula>1</formula>
    </cfRule>
  </conditionalFormatting>
  <conditionalFormatting sqref="G926:I927 G948:I948 G927:G948">
    <cfRule type="expression" dxfId="216" priority="186" stopIfTrue="1">
      <formula>$F$5=1</formula>
    </cfRule>
    <cfRule type="expression" dxfId="215" priority="187" stopIfTrue="1">
      <formula>$F$5&lt;&gt;1</formula>
    </cfRule>
  </conditionalFormatting>
  <conditionalFormatting sqref="C926:C927 C948">
    <cfRule type="duplicateValues" dxfId="214" priority="185"/>
  </conditionalFormatting>
  <conditionalFormatting sqref="G844:I844">
    <cfRule type="expression" dxfId="213" priority="182" stopIfTrue="1">
      <formula>$F$5=1</formula>
    </cfRule>
    <cfRule type="expression" dxfId="212" priority="183" stopIfTrue="1">
      <formula>$F$5&lt;&gt;1</formula>
    </cfRule>
  </conditionalFormatting>
  <conditionalFormatting sqref="A844">
    <cfRule type="cellIs" dxfId="211" priority="184" stopIfTrue="1" operator="equal">
      <formula>1</formula>
    </cfRule>
  </conditionalFormatting>
  <conditionalFormatting sqref="G844:I844">
    <cfRule type="expression" dxfId="210" priority="180" stopIfTrue="1">
      <formula>$F$5=1</formula>
    </cfRule>
    <cfRule type="expression" dxfId="209" priority="181" stopIfTrue="1">
      <formula>$F$5&lt;&gt;1</formula>
    </cfRule>
  </conditionalFormatting>
  <conditionalFormatting sqref="C844">
    <cfRule type="duplicateValues" dxfId="208" priority="179"/>
  </conditionalFormatting>
  <conditionalFormatting sqref="G846:I846">
    <cfRule type="expression" dxfId="207" priority="176" stopIfTrue="1">
      <formula>$F$5=1</formula>
    </cfRule>
    <cfRule type="expression" dxfId="206" priority="177" stopIfTrue="1">
      <formula>$F$5&lt;&gt;1</formula>
    </cfRule>
  </conditionalFormatting>
  <conditionalFormatting sqref="A846">
    <cfRule type="cellIs" dxfId="205" priority="178" stopIfTrue="1" operator="equal">
      <formula>1</formula>
    </cfRule>
  </conditionalFormatting>
  <conditionalFormatting sqref="G846:I846">
    <cfRule type="expression" dxfId="204" priority="174" stopIfTrue="1">
      <formula>$F$5=1</formula>
    </cfRule>
    <cfRule type="expression" dxfId="203" priority="175" stopIfTrue="1">
      <formula>$F$5&lt;&gt;1</formula>
    </cfRule>
  </conditionalFormatting>
  <conditionalFormatting sqref="C846">
    <cfRule type="duplicateValues" dxfId="202" priority="173"/>
  </conditionalFormatting>
  <conditionalFormatting sqref="G541:I541">
    <cfRule type="expression" dxfId="201" priority="171" stopIfTrue="1">
      <formula>$F$5=1</formula>
    </cfRule>
    <cfRule type="expression" dxfId="200" priority="172" stopIfTrue="1">
      <formula>$F$5&lt;&gt;1</formula>
    </cfRule>
  </conditionalFormatting>
  <conditionalFormatting sqref="G541:I541">
    <cfRule type="expression" dxfId="199" priority="169" stopIfTrue="1">
      <formula>$F$5=1</formula>
    </cfRule>
    <cfRule type="expression" dxfId="198" priority="170" stopIfTrue="1">
      <formula>$F$5&lt;&gt;1</formula>
    </cfRule>
  </conditionalFormatting>
  <conditionalFormatting sqref="C541">
    <cfRule type="duplicateValues" dxfId="197" priority="168"/>
  </conditionalFormatting>
  <conditionalFormatting sqref="C541">
    <cfRule type="duplicateValues" dxfId="196" priority="167"/>
  </conditionalFormatting>
  <conditionalFormatting sqref="G542:I542">
    <cfRule type="expression" dxfId="195" priority="165" stopIfTrue="1">
      <formula>$F$5=1</formula>
    </cfRule>
    <cfRule type="expression" dxfId="194" priority="166" stopIfTrue="1">
      <formula>$F$5&lt;&gt;1</formula>
    </cfRule>
  </conditionalFormatting>
  <conditionalFormatting sqref="G542:I542">
    <cfRule type="expression" dxfId="193" priority="163" stopIfTrue="1">
      <formula>$F$5=1</formula>
    </cfRule>
    <cfRule type="expression" dxfId="192" priority="164" stopIfTrue="1">
      <formula>$F$5&lt;&gt;1</formula>
    </cfRule>
  </conditionalFormatting>
  <conditionalFormatting sqref="C542">
    <cfRule type="duplicateValues" dxfId="191" priority="162"/>
  </conditionalFormatting>
  <conditionalFormatting sqref="C542">
    <cfRule type="duplicateValues" dxfId="190" priority="161"/>
  </conditionalFormatting>
  <conditionalFormatting sqref="G870:I870">
    <cfRule type="expression" dxfId="189" priority="158" stopIfTrue="1">
      <formula>$F$5=1</formula>
    </cfRule>
    <cfRule type="expression" dxfId="188" priority="159" stopIfTrue="1">
      <formula>$F$5&lt;&gt;1</formula>
    </cfRule>
  </conditionalFormatting>
  <conditionalFormatting sqref="A870">
    <cfRule type="cellIs" dxfId="187" priority="160" stopIfTrue="1" operator="equal">
      <formula>1</formula>
    </cfRule>
  </conditionalFormatting>
  <conditionalFormatting sqref="G870:I870">
    <cfRule type="expression" dxfId="186" priority="156" stopIfTrue="1">
      <formula>$F$5=1</formula>
    </cfRule>
    <cfRule type="expression" dxfId="185" priority="157" stopIfTrue="1">
      <formula>$F$5&lt;&gt;1</formula>
    </cfRule>
  </conditionalFormatting>
  <conditionalFormatting sqref="C870">
    <cfRule type="duplicateValues" dxfId="184" priority="155"/>
  </conditionalFormatting>
  <conditionalFormatting sqref="A928:A932 A935:A937 A942:A944">
    <cfRule type="cellIs" dxfId="183" priority="154" stopIfTrue="1" operator="equal">
      <formula>1</formula>
    </cfRule>
  </conditionalFormatting>
  <conditionalFormatting sqref="G928:I932 G935:I936">
    <cfRule type="expression" dxfId="182" priority="152" stopIfTrue="1">
      <formula>$F$5=1</formula>
    </cfRule>
    <cfRule type="expression" dxfId="181" priority="153" stopIfTrue="1">
      <formula>$F$5&lt;&gt;1</formula>
    </cfRule>
  </conditionalFormatting>
  <conditionalFormatting sqref="G928:I932 G935:I936">
    <cfRule type="expression" dxfId="180" priority="150" stopIfTrue="1">
      <formula>$F$5=1</formula>
    </cfRule>
    <cfRule type="expression" dxfId="179" priority="151" stopIfTrue="1">
      <formula>$F$5&lt;&gt;1</formula>
    </cfRule>
  </conditionalFormatting>
  <conditionalFormatting sqref="C928:C932 C935:C936">
    <cfRule type="duplicateValues" dxfId="178" priority="149"/>
  </conditionalFormatting>
  <conditionalFormatting sqref="A933">
    <cfRule type="cellIs" dxfId="177" priority="148" stopIfTrue="1" operator="equal">
      <formula>1</formula>
    </cfRule>
  </conditionalFormatting>
  <conditionalFormatting sqref="G933:I933">
    <cfRule type="expression" dxfId="176" priority="146" stopIfTrue="1">
      <formula>$F$5=1</formula>
    </cfRule>
    <cfRule type="expression" dxfId="175" priority="147" stopIfTrue="1">
      <formula>$F$5&lt;&gt;1</formula>
    </cfRule>
  </conditionalFormatting>
  <conditionalFormatting sqref="G933:I933">
    <cfRule type="expression" dxfId="174" priority="144" stopIfTrue="1">
      <formula>$F$5=1</formula>
    </cfRule>
    <cfRule type="expression" dxfId="173" priority="145" stopIfTrue="1">
      <formula>$F$5&lt;&gt;1</formula>
    </cfRule>
  </conditionalFormatting>
  <conditionalFormatting sqref="C933">
    <cfRule type="duplicateValues" dxfId="172" priority="143"/>
  </conditionalFormatting>
  <conditionalFormatting sqref="A934">
    <cfRule type="cellIs" dxfId="171" priority="142" stopIfTrue="1" operator="equal">
      <formula>1</formula>
    </cfRule>
  </conditionalFormatting>
  <conditionalFormatting sqref="G934:I934">
    <cfRule type="expression" dxfId="170" priority="140" stopIfTrue="1">
      <formula>$F$5=1</formula>
    </cfRule>
    <cfRule type="expression" dxfId="169" priority="141" stopIfTrue="1">
      <formula>$F$5&lt;&gt;1</formula>
    </cfRule>
  </conditionalFormatting>
  <conditionalFormatting sqref="G934:I934">
    <cfRule type="expression" dxfId="168" priority="138" stopIfTrue="1">
      <formula>$F$5=1</formula>
    </cfRule>
    <cfRule type="expression" dxfId="167" priority="139" stopIfTrue="1">
      <formula>$F$5&lt;&gt;1</formula>
    </cfRule>
  </conditionalFormatting>
  <conditionalFormatting sqref="C934">
    <cfRule type="duplicateValues" dxfId="166" priority="137"/>
  </conditionalFormatting>
  <conditionalFormatting sqref="G937:I937 G942:I944">
    <cfRule type="expression" dxfId="165" priority="135" stopIfTrue="1">
      <formula>$F$5=1</formula>
    </cfRule>
    <cfRule type="expression" dxfId="164" priority="136" stopIfTrue="1">
      <formula>$F$5&lt;&gt;1</formula>
    </cfRule>
  </conditionalFormatting>
  <conditionalFormatting sqref="G937:I937 G942:I944">
    <cfRule type="expression" dxfId="163" priority="133" stopIfTrue="1">
      <formula>$F$5=1</formula>
    </cfRule>
    <cfRule type="expression" dxfId="162" priority="134" stopIfTrue="1">
      <formula>$F$5&lt;&gt;1</formula>
    </cfRule>
  </conditionalFormatting>
  <conditionalFormatting sqref="C937 C943:C944">
    <cfRule type="duplicateValues" dxfId="161" priority="132"/>
  </conditionalFormatting>
  <conditionalFormatting sqref="A938:A941">
    <cfRule type="cellIs" dxfId="160" priority="131" stopIfTrue="1" operator="equal">
      <formula>1</formula>
    </cfRule>
  </conditionalFormatting>
  <conditionalFormatting sqref="G938:I941">
    <cfRule type="expression" dxfId="159" priority="129" stopIfTrue="1">
      <formula>$F$5=1</formula>
    </cfRule>
    <cfRule type="expression" dxfId="158" priority="130" stopIfTrue="1">
      <formula>$F$5&lt;&gt;1</formula>
    </cfRule>
  </conditionalFormatting>
  <conditionalFormatting sqref="G938:I941">
    <cfRule type="expression" dxfId="157" priority="127" stopIfTrue="1">
      <formula>$F$5=1</formula>
    </cfRule>
    <cfRule type="expression" dxfId="156" priority="128" stopIfTrue="1">
      <formula>$F$5&lt;&gt;1</formula>
    </cfRule>
  </conditionalFormatting>
  <conditionalFormatting sqref="C938:C941">
    <cfRule type="duplicateValues" dxfId="155" priority="126"/>
  </conditionalFormatting>
  <conditionalFormatting sqref="C942">
    <cfRule type="duplicateValues" dxfId="154" priority="125"/>
  </conditionalFormatting>
  <conditionalFormatting sqref="A945">
    <cfRule type="cellIs" dxfId="153" priority="124" stopIfTrue="1" operator="equal">
      <formula>1</formula>
    </cfRule>
  </conditionalFormatting>
  <conditionalFormatting sqref="G945:I945">
    <cfRule type="expression" dxfId="152" priority="122" stopIfTrue="1">
      <formula>$F$5=1</formula>
    </cfRule>
    <cfRule type="expression" dxfId="151" priority="123" stopIfTrue="1">
      <formula>$F$5&lt;&gt;1</formula>
    </cfRule>
  </conditionalFormatting>
  <conditionalFormatting sqref="G945:I945">
    <cfRule type="expression" dxfId="150" priority="120" stopIfTrue="1">
      <formula>$F$5=1</formula>
    </cfRule>
    <cfRule type="expression" dxfId="149" priority="121" stopIfTrue="1">
      <formula>$F$5&lt;&gt;1</formula>
    </cfRule>
  </conditionalFormatting>
  <conditionalFormatting sqref="C945">
    <cfRule type="duplicateValues" dxfId="148" priority="119"/>
  </conditionalFormatting>
  <conditionalFormatting sqref="A946">
    <cfRule type="cellIs" dxfId="147" priority="118" stopIfTrue="1" operator="equal">
      <formula>1</formula>
    </cfRule>
  </conditionalFormatting>
  <conditionalFormatting sqref="G946:I946">
    <cfRule type="expression" dxfId="146" priority="116" stopIfTrue="1">
      <formula>$F$5=1</formula>
    </cfRule>
    <cfRule type="expression" dxfId="145" priority="117" stopIfTrue="1">
      <formula>$F$5&lt;&gt;1</formula>
    </cfRule>
  </conditionalFormatting>
  <conditionalFormatting sqref="G946:I946">
    <cfRule type="expression" dxfId="144" priority="114" stopIfTrue="1">
      <formula>$F$5=1</formula>
    </cfRule>
    <cfRule type="expression" dxfId="143" priority="115" stopIfTrue="1">
      <formula>$F$5&lt;&gt;1</formula>
    </cfRule>
  </conditionalFormatting>
  <conditionalFormatting sqref="C946">
    <cfRule type="duplicateValues" dxfId="142" priority="113"/>
  </conditionalFormatting>
  <conditionalFormatting sqref="G947:I947">
    <cfRule type="expression" dxfId="141" priority="110" stopIfTrue="1">
      <formula>$F$5=1</formula>
    </cfRule>
    <cfRule type="expression" dxfId="140" priority="111" stopIfTrue="1">
      <formula>$F$5&lt;&gt;1</formula>
    </cfRule>
  </conditionalFormatting>
  <conditionalFormatting sqref="A947">
    <cfRule type="cellIs" dxfId="139" priority="112" stopIfTrue="1" operator="equal">
      <formula>1</formula>
    </cfRule>
  </conditionalFormatting>
  <conditionalFormatting sqref="G947:I947">
    <cfRule type="expression" dxfId="138" priority="108" stopIfTrue="1">
      <formula>$F$5=1</formula>
    </cfRule>
    <cfRule type="expression" dxfId="137" priority="109" stopIfTrue="1">
      <formula>$F$5&lt;&gt;1</formula>
    </cfRule>
  </conditionalFormatting>
  <conditionalFormatting sqref="C947">
    <cfRule type="duplicateValues" dxfId="136" priority="107"/>
  </conditionalFormatting>
  <conditionalFormatting sqref="G847:H847">
    <cfRule type="expression" dxfId="135" priority="105" stopIfTrue="1">
      <formula>$F$5=1</formula>
    </cfRule>
    <cfRule type="expression" dxfId="134" priority="106" stopIfTrue="1">
      <formula>$F$5&lt;&gt;1</formula>
    </cfRule>
  </conditionalFormatting>
  <conditionalFormatting sqref="G847:I847">
    <cfRule type="expression" dxfId="133" priority="102" stopIfTrue="1">
      <formula>$F$5=1</formula>
    </cfRule>
    <cfRule type="expression" dxfId="132" priority="103" stopIfTrue="1">
      <formula>$F$5&lt;&gt;1</formula>
    </cfRule>
  </conditionalFormatting>
  <conditionalFormatting sqref="A847">
    <cfRule type="cellIs" dxfId="131" priority="104" stopIfTrue="1" operator="equal">
      <formula>1</formula>
    </cfRule>
  </conditionalFormatting>
  <conditionalFormatting sqref="G847:I847">
    <cfRule type="expression" dxfId="130" priority="100" stopIfTrue="1">
      <formula>$F$5=1</formula>
    </cfRule>
    <cfRule type="expression" dxfId="129" priority="101" stopIfTrue="1">
      <formula>$F$5&lt;&gt;1</formula>
    </cfRule>
  </conditionalFormatting>
  <conditionalFormatting sqref="C847">
    <cfRule type="duplicateValues" dxfId="128" priority="99"/>
  </conditionalFormatting>
  <conditionalFormatting sqref="G1938:I1938">
    <cfRule type="expression" dxfId="127" priority="96" stopIfTrue="1">
      <formula>$F$5=1</formula>
    </cfRule>
    <cfRule type="expression" dxfId="126" priority="97" stopIfTrue="1">
      <formula>$F$5&lt;&gt;1</formula>
    </cfRule>
  </conditionalFormatting>
  <conditionalFormatting sqref="C1938">
    <cfRule type="duplicateValues" dxfId="125" priority="98"/>
  </conditionalFormatting>
  <conditionalFormatting sqref="G849:I849">
    <cfRule type="expression" dxfId="124" priority="93" stopIfTrue="1">
      <formula>$F$5=1</formula>
    </cfRule>
    <cfRule type="expression" dxfId="123" priority="94" stopIfTrue="1">
      <formula>$F$5&lt;&gt;1</formula>
    </cfRule>
  </conditionalFormatting>
  <conditionalFormatting sqref="A849">
    <cfRule type="cellIs" dxfId="122" priority="95" stopIfTrue="1" operator="equal">
      <formula>1</formula>
    </cfRule>
  </conditionalFormatting>
  <conditionalFormatting sqref="G849:I849">
    <cfRule type="expression" dxfId="121" priority="91" stopIfTrue="1">
      <formula>$F$5=1</formula>
    </cfRule>
    <cfRule type="expression" dxfId="120" priority="92" stopIfTrue="1">
      <formula>$F$5&lt;&gt;1</formula>
    </cfRule>
  </conditionalFormatting>
  <conditionalFormatting sqref="C849">
    <cfRule type="duplicateValues" dxfId="119" priority="90"/>
  </conditionalFormatting>
  <conditionalFormatting sqref="G791:I791">
    <cfRule type="expression" dxfId="118" priority="87" stopIfTrue="1">
      <formula>$F$5=1</formula>
    </cfRule>
    <cfRule type="expression" dxfId="117" priority="88" stopIfTrue="1">
      <formula>$F$5&lt;&gt;1</formula>
    </cfRule>
  </conditionalFormatting>
  <conditionalFormatting sqref="A791">
    <cfRule type="cellIs" dxfId="116" priority="89" stopIfTrue="1" operator="equal">
      <formula>1</formula>
    </cfRule>
  </conditionalFormatting>
  <conditionalFormatting sqref="G791:I791">
    <cfRule type="expression" dxfId="115" priority="85" stopIfTrue="1">
      <formula>$F$5=1</formula>
    </cfRule>
    <cfRule type="expression" dxfId="114" priority="86" stopIfTrue="1">
      <formula>$F$5&lt;&gt;1</formula>
    </cfRule>
  </conditionalFormatting>
  <conditionalFormatting sqref="C791">
    <cfRule type="duplicateValues" dxfId="113" priority="84"/>
  </conditionalFormatting>
  <conditionalFormatting sqref="C791">
    <cfRule type="duplicateValues" dxfId="112" priority="83"/>
  </conditionalFormatting>
  <conditionalFormatting sqref="G1939:I1940">
    <cfRule type="expression" dxfId="111" priority="80" stopIfTrue="1">
      <formula>$F$5=1</formula>
    </cfRule>
    <cfRule type="expression" dxfId="110" priority="81" stopIfTrue="1">
      <formula>$F$5&lt;&gt;1</formula>
    </cfRule>
  </conditionalFormatting>
  <conditionalFormatting sqref="C1939:C1940">
    <cfRule type="duplicateValues" dxfId="109" priority="82"/>
  </conditionalFormatting>
  <conditionalFormatting sqref="G803:I803">
    <cfRule type="expression" dxfId="108" priority="77" stopIfTrue="1">
      <formula>$F$5=1</formula>
    </cfRule>
    <cfRule type="expression" dxfId="107" priority="78" stopIfTrue="1">
      <formula>$F$5&lt;&gt;1</formula>
    </cfRule>
  </conditionalFormatting>
  <conditionalFormatting sqref="A803">
    <cfRule type="cellIs" dxfId="106" priority="79" stopIfTrue="1" operator="equal">
      <formula>1</formula>
    </cfRule>
  </conditionalFormatting>
  <conditionalFormatting sqref="G803:I803">
    <cfRule type="expression" dxfId="105" priority="75" stopIfTrue="1">
      <formula>$F$5=1</formula>
    </cfRule>
    <cfRule type="expression" dxfId="104" priority="76" stopIfTrue="1">
      <formula>$F$5&lt;&gt;1</formula>
    </cfRule>
  </conditionalFormatting>
  <conditionalFormatting sqref="C803">
    <cfRule type="duplicateValues" dxfId="103" priority="74"/>
  </conditionalFormatting>
  <conditionalFormatting sqref="C803">
    <cfRule type="duplicateValues" dxfId="102" priority="73"/>
  </conditionalFormatting>
  <conditionalFormatting sqref="G867:H867">
    <cfRule type="expression" dxfId="101" priority="71" stopIfTrue="1">
      <formula>$F$5=1</formula>
    </cfRule>
    <cfRule type="expression" dxfId="100" priority="72" stopIfTrue="1">
      <formula>$F$5&lt;&gt;1</formula>
    </cfRule>
  </conditionalFormatting>
  <conditionalFormatting sqref="G867:I867">
    <cfRule type="expression" dxfId="99" priority="68" stopIfTrue="1">
      <formula>$F$5=1</formula>
    </cfRule>
    <cfRule type="expression" dxfId="98" priority="69" stopIfTrue="1">
      <formula>$F$5&lt;&gt;1</formula>
    </cfRule>
  </conditionalFormatting>
  <conditionalFormatting sqref="A867">
    <cfRule type="cellIs" dxfId="97" priority="70" stopIfTrue="1" operator="equal">
      <formula>1</formula>
    </cfRule>
  </conditionalFormatting>
  <conditionalFormatting sqref="G867:I867">
    <cfRule type="expression" dxfId="96" priority="66" stopIfTrue="1">
      <formula>$F$5=1</formula>
    </cfRule>
    <cfRule type="expression" dxfId="95" priority="67" stopIfTrue="1">
      <formula>$F$5&lt;&gt;1</formula>
    </cfRule>
  </conditionalFormatting>
  <conditionalFormatting sqref="C867">
    <cfRule type="duplicateValues" dxfId="94" priority="65"/>
  </conditionalFormatting>
  <conditionalFormatting sqref="G896:H896">
    <cfRule type="expression" dxfId="93" priority="63" stopIfTrue="1">
      <formula>$F$5=1</formula>
    </cfRule>
    <cfRule type="expression" dxfId="92" priority="64" stopIfTrue="1">
      <formula>$F$5&lt;&gt;1</formula>
    </cfRule>
  </conditionalFormatting>
  <conditionalFormatting sqref="G896:I896">
    <cfRule type="expression" dxfId="91" priority="60" stopIfTrue="1">
      <formula>$F$5=1</formula>
    </cfRule>
    <cfRule type="expression" dxfId="90" priority="61" stopIfTrue="1">
      <formula>$F$5&lt;&gt;1</formula>
    </cfRule>
  </conditionalFormatting>
  <conditionalFormatting sqref="A896">
    <cfRule type="cellIs" dxfId="89" priority="62" stopIfTrue="1" operator="equal">
      <formula>1</formula>
    </cfRule>
  </conditionalFormatting>
  <conditionalFormatting sqref="G896:I896">
    <cfRule type="expression" dxfId="88" priority="58" stopIfTrue="1">
      <formula>$F$5=1</formula>
    </cfRule>
    <cfRule type="expression" dxfId="87" priority="59" stopIfTrue="1">
      <formula>$F$5&lt;&gt;1</formula>
    </cfRule>
  </conditionalFormatting>
  <conditionalFormatting sqref="C896">
    <cfRule type="duplicateValues" dxfId="86" priority="57"/>
  </conditionalFormatting>
  <conditionalFormatting sqref="G898:H898">
    <cfRule type="expression" dxfId="85" priority="55" stopIfTrue="1">
      <formula>$F$5=1</formula>
    </cfRule>
    <cfRule type="expression" dxfId="84" priority="56" stopIfTrue="1">
      <formula>$F$5&lt;&gt;1</formula>
    </cfRule>
  </conditionalFormatting>
  <conditionalFormatting sqref="G898:I898">
    <cfRule type="expression" dxfId="83" priority="52" stopIfTrue="1">
      <formula>$F$5=1</formula>
    </cfRule>
    <cfRule type="expression" dxfId="82" priority="53" stopIfTrue="1">
      <formula>$F$5&lt;&gt;1</formula>
    </cfRule>
  </conditionalFormatting>
  <conditionalFormatting sqref="A898">
    <cfRule type="cellIs" dxfId="81" priority="54" stopIfTrue="1" operator="equal">
      <formula>1</formula>
    </cfRule>
  </conditionalFormatting>
  <conditionalFormatting sqref="G898:I898">
    <cfRule type="expression" dxfId="80" priority="50" stopIfTrue="1">
      <formula>$F$5=1</formula>
    </cfRule>
    <cfRule type="expression" dxfId="79" priority="51" stopIfTrue="1">
      <formula>$F$5&lt;&gt;1</formula>
    </cfRule>
  </conditionalFormatting>
  <conditionalFormatting sqref="C898">
    <cfRule type="duplicateValues" dxfId="78" priority="49"/>
  </conditionalFormatting>
  <conditionalFormatting sqref="G351:I352">
    <cfRule type="expression" dxfId="77" priority="47" stopIfTrue="1">
      <formula>$F$5=1</formula>
    </cfRule>
    <cfRule type="expression" dxfId="76" priority="48" stopIfTrue="1">
      <formula>$F$5&lt;&gt;1</formula>
    </cfRule>
  </conditionalFormatting>
  <conditionalFormatting sqref="G351:I352">
    <cfRule type="expression" dxfId="75" priority="45" stopIfTrue="1">
      <formula>$F$5=1</formula>
    </cfRule>
    <cfRule type="expression" dxfId="74" priority="46" stopIfTrue="1">
      <formula>$F$5&lt;&gt;1</formula>
    </cfRule>
  </conditionalFormatting>
  <conditionalFormatting sqref="C351:C352">
    <cfRule type="duplicateValues" dxfId="73" priority="723"/>
  </conditionalFormatting>
  <conditionalFormatting sqref="G353:I353">
    <cfRule type="expression" dxfId="72" priority="40" stopIfTrue="1">
      <formula>$F$5=1</formula>
    </cfRule>
    <cfRule type="expression" dxfId="71" priority="41" stopIfTrue="1">
      <formula>$F$5&lt;&gt;1</formula>
    </cfRule>
  </conditionalFormatting>
  <conditionalFormatting sqref="G353:I353">
    <cfRule type="expression" dxfId="70" priority="38" stopIfTrue="1">
      <formula>$F$5=1</formula>
    </cfRule>
    <cfRule type="expression" dxfId="69" priority="39" stopIfTrue="1">
      <formula>$F$5&lt;&gt;1</formula>
    </cfRule>
  </conditionalFormatting>
  <conditionalFormatting sqref="C353">
    <cfRule type="duplicateValues" dxfId="68" priority="42"/>
  </conditionalFormatting>
  <conditionalFormatting sqref="G894:H894">
    <cfRule type="expression" dxfId="67" priority="36" stopIfTrue="1">
      <formula>$F$5=1</formula>
    </cfRule>
    <cfRule type="expression" dxfId="66" priority="37" stopIfTrue="1">
      <formula>$F$5&lt;&gt;1</formula>
    </cfRule>
  </conditionalFormatting>
  <conditionalFormatting sqref="G894:I894">
    <cfRule type="expression" dxfId="65" priority="33" stopIfTrue="1">
      <formula>$F$5=1</formula>
    </cfRule>
    <cfRule type="expression" dxfId="64" priority="34" stopIfTrue="1">
      <formula>$F$5&lt;&gt;1</formula>
    </cfRule>
  </conditionalFormatting>
  <conditionalFormatting sqref="A894">
    <cfRule type="cellIs" dxfId="63" priority="35" stopIfTrue="1" operator="equal">
      <formula>1</formula>
    </cfRule>
  </conditionalFormatting>
  <conditionalFormatting sqref="G894:I894">
    <cfRule type="expression" dxfId="62" priority="31" stopIfTrue="1">
      <formula>$F$5=1</formula>
    </cfRule>
    <cfRule type="expression" dxfId="61" priority="32" stopIfTrue="1">
      <formula>$F$5&lt;&gt;1</formula>
    </cfRule>
  </conditionalFormatting>
  <conditionalFormatting sqref="C894">
    <cfRule type="duplicateValues" dxfId="60" priority="30"/>
  </conditionalFormatting>
  <conditionalFormatting sqref="G811:I811">
    <cfRule type="expression" dxfId="59" priority="27" stopIfTrue="1">
      <formula>$F$5=1</formula>
    </cfRule>
    <cfRule type="expression" dxfId="58" priority="28" stopIfTrue="1">
      <formula>$F$5&lt;&gt;1</formula>
    </cfRule>
  </conditionalFormatting>
  <conditionalFormatting sqref="A811">
    <cfRule type="cellIs" dxfId="57" priority="29" stopIfTrue="1" operator="equal">
      <formula>1</formula>
    </cfRule>
  </conditionalFormatting>
  <conditionalFormatting sqref="G811:I811">
    <cfRule type="expression" dxfId="56" priority="25" stopIfTrue="1">
      <formula>$F$5=1</formula>
    </cfRule>
    <cfRule type="expression" dxfId="55" priority="26" stopIfTrue="1">
      <formula>$F$5&lt;&gt;1</formula>
    </cfRule>
  </conditionalFormatting>
  <conditionalFormatting sqref="C811">
    <cfRule type="duplicateValues" dxfId="54" priority="24"/>
  </conditionalFormatting>
  <conditionalFormatting sqref="C811">
    <cfRule type="duplicateValues" dxfId="53" priority="23"/>
  </conditionalFormatting>
  <conditionalFormatting sqref="G925:H925">
    <cfRule type="expression" dxfId="52" priority="21" stopIfTrue="1">
      <formula>$F$5=1</formula>
    </cfRule>
    <cfRule type="expression" dxfId="51" priority="22" stopIfTrue="1">
      <formula>$F$5&lt;&gt;1</formula>
    </cfRule>
  </conditionalFormatting>
  <conditionalFormatting sqref="G925:I925">
    <cfRule type="expression" dxfId="50" priority="18" stopIfTrue="1">
      <formula>$F$5=1</formula>
    </cfRule>
    <cfRule type="expression" dxfId="49" priority="19" stopIfTrue="1">
      <formula>$F$5&lt;&gt;1</formula>
    </cfRule>
  </conditionalFormatting>
  <conditionalFormatting sqref="A925">
    <cfRule type="cellIs" dxfId="48" priority="20" stopIfTrue="1" operator="equal">
      <formula>1</formula>
    </cfRule>
  </conditionalFormatting>
  <conditionalFormatting sqref="G925:I925">
    <cfRule type="expression" dxfId="47" priority="16" stopIfTrue="1">
      <formula>$F$5=1</formula>
    </cfRule>
    <cfRule type="expression" dxfId="46" priority="17" stopIfTrue="1">
      <formula>$F$5&lt;&gt;1</formula>
    </cfRule>
  </conditionalFormatting>
  <conditionalFormatting sqref="C925">
    <cfRule type="duplicateValues" dxfId="45" priority="15"/>
  </conditionalFormatting>
  <conditionalFormatting sqref="G579:I579">
    <cfRule type="expression" dxfId="44" priority="13" stopIfTrue="1">
      <formula>$F$5=1</formula>
    </cfRule>
    <cfRule type="expression" dxfId="43" priority="14" stopIfTrue="1">
      <formula>$F$5&lt;&gt;1</formula>
    </cfRule>
  </conditionalFormatting>
  <conditionalFormatting sqref="G579:I579">
    <cfRule type="expression" dxfId="42" priority="11" stopIfTrue="1">
      <formula>$F$5=1</formula>
    </cfRule>
    <cfRule type="expression" dxfId="41" priority="12" stopIfTrue="1">
      <formula>$F$5&lt;&gt;1</formula>
    </cfRule>
  </conditionalFormatting>
  <conditionalFormatting sqref="C579">
    <cfRule type="duplicateValues" dxfId="40" priority="10"/>
  </conditionalFormatting>
  <conditionalFormatting sqref="C579">
    <cfRule type="duplicateValues" dxfId="39" priority="9"/>
  </conditionalFormatting>
  <conditionalFormatting sqref="G924:H924">
    <cfRule type="expression" dxfId="38" priority="7" stopIfTrue="1">
      <formula>$F$5=1</formula>
    </cfRule>
    <cfRule type="expression" dxfId="37" priority="8" stopIfTrue="1">
      <formula>$F$5&lt;&gt;1</formula>
    </cfRule>
  </conditionalFormatting>
  <conditionalFormatting sqref="G924:I924">
    <cfRule type="expression" dxfId="36" priority="4" stopIfTrue="1">
      <formula>$F$5=1</formula>
    </cfRule>
    <cfRule type="expression" dxfId="35" priority="5" stopIfTrue="1">
      <formula>$F$5&lt;&gt;1</formula>
    </cfRule>
  </conditionalFormatting>
  <conditionalFormatting sqref="A924">
    <cfRule type="cellIs" dxfId="34" priority="6" stopIfTrue="1" operator="equal">
      <formula>1</formula>
    </cfRule>
  </conditionalFormatting>
  <conditionalFormatting sqref="G924:I924">
    <cfRule type="expression" dxfId="33" priority="2" stopIfTrue="1">
      <formula>$F$5=1</formula>
    </cfRule>
    <cfRule type="expression" dxfId="32" priority="3" stopIfTrue="1">
      <formula>$F$5&lt;&gt;1</formula>
    </cfRule>
  </conditionalFormatting>
  <conditionalFormatting sqref="C924">
    <cfRule type="duplicateValues" dxfId="31" priority="1"/>
  </conditionalFormatting>
  <conditionalFormatting sqref="C7:C13">
    <cfRule type="duplicateValues" dxfId="30" priority="724"/>
  </conditionalFormatting>
  <dataValidations disablePrompts="1" count="1">
    <dataValidation type="list" allowBlank="1" showInputMessage="1" showErrorMessage="1" sqref="BN1173:BN1174 BN1458">
      <formula1>"SI,NO"</formula1>
    </dataValidation>
  </dataValidations>
  <pageMargins left="0.75" right="0.75" top="0.28999999999999998" bottom="0.48" header="0" footer="0"/>
  <pageSetup paperSize="9" scale="90" fitToHeight="0" orientation="landscape" r:id="rId1"/>
  <headerFooter alignWithMargins="0">
    <oddFooter>&amp;CHoja N° &amp;P de &amp;N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 filterMode="1">
    <pageSetUpPr fitToPage="1"/>
  </sheetPr>
  <dimension ref="B1:X67"/>
  <sheetViews>
    <sheetView zoomScale="85" zoomScaleNormal="85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M84" sqref="M84"/>
    </sheetView>
  </sheetViews>
  <sheetFormatPr baseColWidth="10" defaultColWidth="9.109375" defaultRowHeight="13.2" outlineLevelCol="1"/>
  <cols>
    <col min="1" max="1" width="0.33203125" customWidth="1"/>
    <col min="5" max="5" width="10.6640625" bestFit="1" customWidth="1"/>
    <col min="8" max="8" width="10.44140625" customWidth="1"/>
    <col min="9" max="11" width="11" customWidth="1"/>
    <col min="14" max="14" width="9.109375" customWidth="1" outlineLevel="1"/>
    <col min="15" max="15" width="10" customWidth="1" outlineLevel="1"/>
    <col min="16" max="20" width="9.109375" customWidth="1" outlineLevel="1"/>
    <col min="21" max="21" width="11.44140625" customWidth="1" outlineLevel="1"/>
    <col min="22" max="22" width="9.109375" customWidth="1" outlineLevel="1"/>
    <col min="23" max="23" width="35.6640625" bestFit="1" customWidth="1"/>
  </cols>
  <sheetData>
    <row r="1" spans="2:24" ht="3.75" customHeight="1"/>
    <row r="2" spans="2:24" ht="15" customHeight="1">
      <c r="B2" s="148" t="s">
        <v>1016</v>
      </c>
      <c r="C2" s="148"/>
    </row>
    <row r="3" spans="2:24" ht="13.8" thickBot="1">
      <c r="B3" s="148" t="s">
        <v>1019</v>
      </c>
      <c r="C3" s="148"/>
    </row>
    <row r="4" spans="2:24" ht="13.8" thickBot="1">
      <c r="B4" s="88"/>
      <c r="C4" s="88"/>
      <c r="D4" s="88"/>
      <c r="E4" s="89" t="s">
        <v>367</v>
      </c>
      <c r="F4" s="90"/>
      <c r="G4" s="91"/>
      <c r="H4" s="91"/>
      <c r="I4" s="92">
        <v>0</v>
      </c>
      <c r="J4" s="92">
        <v>0</v>
      </c>
      <c r="K4" s="92">
        <v>0</v>
      </c>
      <c r="L4" s="93"/>
      <c r="M4" s="92">
        <v>2.5000000000000001E-2</v>
      </c>
      <c r="N4" s="92">
        <v>0</v>
      </c>
      <c r="O4" s="93"/>
      <c r="P4" s="94"/>
      <c r="Q4" s="94"/>
      <c r="R4" s="94"/>
      <c r="S4" s="94"/>
      <c r="T4" s="94"/>
      <c r="U4" s="94"/>
      <c r="V4" s="95"/>
    </row>
    <row r="5" spans="2:24" ht="34.799999999999997" thickBot="1">
      <c r="B5" s="100"/>
      <c r="C5" s="100" t="s">
        <v>1104</v>
      </c>
      <c r="D5" s="100" t="s">
        <v>375</v>
      </c>
      <c r="E5" s="101" t="s">
        <v>376</v>
      </c>
      <c r="F5" s="102" t="s">
        <v>377</v>
      </c>
      <c r="G5" s="103" t="s">
        <v>378</v>
      </c>
      <c r="H5" s="103" t="s">
        <v>1354</v>
      </c>
      <c r="I5" s="104" t="s">
        <v>379</v>
      </c>
      <c r="J5" s="105" t="s">
        <v>380</v>
      </c>
      <c r="K5" s="105" t="s">
        <v>381</v>
      </c>
      <c r="L5" s="106" t="s">
        <v>382</v>
      </c>
      <c r="M5" s="106" t="s">
        <v>383</v>
      </c>
      <c r="N5" s="106" t="s">
        <v>384</v>
      </c>
      <c r="O5" s="106" t="s">
        <v>385</v>
      </c>
      <c r="P5" s="106" t="s">
        <v>386</v>
      </c>
      <c r="Q5" s="106" t="s">
        <v>387</v>
      </c>
      <c r="R5" s="106" t="s">
        <v>228</v>
      </c>
      <c r="S5" s="106" t="s">
        <v>323</v>
      </c>
      <c r="T5" s="106" t="s">
        <v>338</v>
      </c>
      <c r="U5" s="106" t="s">
        <v>388</v>
      </c>
      <c r="V5" s="107" t="s">
        <v>389</v>
      </c>
      <c r="W5" s="1533" t="s">
        <v>370</v>
      </c>
      <c r="X5" s="1534" t="s">
        <v>4246</v>
      </c>
    </row>
    <row r="6" spans="2:24" ht="13.8" thickBot="1">
      <c r="B6" s="116"/>
      <c r="C6" s="116"/>
      <c r="D6" s="116"/>
      <c r="E6" s="117"/>
      <c r="F6" s="118"/>
      <c r="G6" s="119"/>
      <c r="H6" s="118"/>
      <c r="I6" s="120"/>
      <c r="J6" s="120"/>
      <c r="K6" s="120"/>
      <c r="L6" s="121">
        <v>2.6</v>
      </c>
      <c r="M6" s="120"/>
      <c r="N6" s="120"/>
      <c r="O6" s="122"/>
      <c r="P6" s="123"/>
      <c r="Q6" s="124"/>
      <c r="R6" s="123"/>
      <c r="S6" s="125"/>
      <c r="T6" s="126"/>
      <c r="U6" s="123"/>
      <c r="V6" s="127"/>
    </row>
    <row r="7" spans="2:24">
      <c r="B7" s="867" t="s">
        <v>397</v>
      </c>
      <c r="C7" s="128">
        <f>+U7/D7</f>
        <v>363.00420460475482</v>
      </c>
      <c r="D7" s="128">
        <f>+Datos!$N$40</f>
        <v>189.92690936385813</v>
      </c>
      <c r="E7" s="864">
        <v>60000</v>
      </c>
      <c r="F7" s="116">
        <f>+$F$6*E7</f>
        <v>0</v>
      </c>
      <c r="G7" s="1489">
        <f>+SUM(E7:F7)/12</f>
        <v>5000</v>
      </c>
      <c r="H7" s="119">
        <f>+$H$6*E7</f>
        <v>0</v>
      </c>
      <c r="I7" s="120">
        <f>+I$4*(SUM(E7:G7))</f>
        <v>0</v>
      </c>
      <c r="J7" s="120">
        <f>+J$4*(SUM(E7:G7))</f>
        <v>0</v>
      </c>
      <c r="K7" s="120">
        <f>+K$4*(SUM($E7:$G7))</f>
        <v>0</v>
      </c>
      <c r="L7" s="122">
        <f>+$L$6</f>
        <v>2.6</v>
      </c>
      <c r="M7" s="120">
        <f>+M$4*(SUM($E7:$G7))</f>
        <v>1625</v>
      </c>
      <c r="N7" s="120">
        <f>+N$4*(SUM($H7))</f>
        <v>0</v>
      </c>
      <c r="O7" s="122">
        <f>+SUM(E7:N7)</f>
        <v>66627.600000000006</v>
      </c>
      <c r="P7" s="123">
        <f>+O7/SUM(E7:G7)</f>
        <v>1.0250400000000002</v>
      </c>
      <c r="Q7" s="124">
        <f>+Datos!$S$38</f>
        <v>1016.6666666666665</v>
      </c>
      <c r="R7" s="123">
        <f>+Datos!$S$17</f>
        <v>1300</v>
      </c>
      <c r="S7" s="129">
        <f>+Datos!$S$24</f>
        <v>0</v>
      </c>
      <c r="T7" s="126">
        <f>+Datos!S27</f>
        <v>0</v>
      </c>
      <c r="U7" s="123">
        <f>+SUM(Q7:T7,O7)</f>
        <v>68944.266666666677</v>
      </c>
      <c r="V7" s="127">
        <f>+U7/SUM(E7:G7)</f>
        <v>1.0606810256410257</v>
      </c>
      <c r="W7" t="str">
        <f>+VLOOKUP(B7,Recursos!$C$15:$D$74,2,FALSE)</f>
        <v>Director de Obra</v>
      </c>
      <c r="X7">
        <f>VLOOKUP(B7,Recursos!C:G,5,FALSE)</f>
        <v>380</v>
      </c>
    </row>
    <row r="8" spans="2:24" hidden="1">
      <c r="B8" s="867" t="s">
        <v>400</v>
      </c>
      <c r="C8" s="128">
        <f t="shared" ref="C8:C32" si="0">+U8/D8</f>
        <v>1473.8481991357087</v>
      </c>
      <c r="D8" s="128">
        <f>+Datos!$N$40</f>
        <v>189.92690936385813</v>
      </c>
      <c r="E8" s="864">
        <v>250000</v>
      </c>
      <c r="F8" s="116">
        <f t="shared" ref="F8:F39" si="1">+$F$6*E8</f>
        <v>0</v>
      </c>
      <c r="G8" s="1489">
        <f t="shared" ref="G8:G32" si="2">+SUM(E8:F8)/12</f>
        <v>20833.333333333332</v>
      </c>
      <c r="H8" s="119">
        <f t="shared" ref="H8:H32" si="3">+$H$6*E8</f>
        <v>0</v>
      </c>
      <c r="I8" s="120">
        <f t="shared" ref="I8:I32" si="4">+I$4*(SUM(E8:G8))</f>
        <v>0</v>
      </c>
      <c r="J8" s="120">
        <f t="shared" ref="J8:J32" si="5">+J$4*(SUM(E8:G8))</f>
        <v>0</v>
      </c>
      <c r="K8" s="120">
        <f t="shared" ref="K8:K66" si="6">+K$4*(SUM($E8:$G8))</f>
        <v>0</v>
      </c>
      <c r="L8" s="122">
        <f t="shared" ref="L8:L66" si="7">+$L$6</f>
        <v>2.6</v>
      </c>
      <c r="M8" s="120">
        <f t="shared" ref="M8:M66" si="8">+M$4*(SUM($E8:$G8))</f>
        <v>6770.833333333333</v>
      </c>
      <c r="N8" s="120">
        <f t="shared" ref="N8:N66" si="9">+N$4*(SUM($H8))</f>
        <v>0</v>
      </c>
      <c r="O8" s="122">
        <f t="shared" ref="O8:O32" si="10">+SUM(E8:N8)</f>
        <v>277606.7666666666</v>
      </c>
      <c r="P8" s="123">
        <f t="shared" ref="P8:P32" si="11">+O8/SUM(E8:G8)</f>
        <v>1.0250095999999997</v>
      </c>
      <c r="Q8" s="124">
        <f>+Datos!$S$38</f>
        <v>1016.6666666666665</v>
      </c>
      <c r="R8" s="123">
        <f>+Datos!$S$17</f>
        <v>1300</v>
      </c>
      <c r="S8" s="129">
        <f>+Datos!$S$24</f>
        <v>0</v>
      </c>
      <c r="T8" s="126">
        <f>+Datos!S27</f>
        <v>0</v>
      </c>
      <c r="U8" s="123">
        <f t="shared" ref="U8:U32" si="12">+SUM(Q8:T8,O8)</f>
        <v>279923.43333333329</v>
      </c>
      <c r="V8" s="127">
        <f t="shared" ref="V8:V32" si="13">+U8/SUM(E8:G8)</f>
        <v>1.0335634461538461</v>
      </c>
      <c r="W8" t="str">
        <f>+VLOOKUP(B8,Recursos!$C$15:$D$74,2,FALSE)</f>
        <v>Asesores Externos</v>
      </c>
      <c r="X8">
        <f>VLOOKUP(B8,Recursos!C:G,5,FALSE)</f>
        <v>0</v>
      </c>
    </row>
    <row r="9" spans="2:24" hidden="1">
      <c r="B9" s="867" t="s">
        <v>401</v>
      </c>
      <c r="C9" s="128">
        <f t="shared" si="0"/>
        <v>281.15254184984235</v>
      </c>
      <c r="D9" s="128">
        <f>+Datos!$N$40</f>
        <v>189.92690936385813</v>
      </c>
      <c r="E9" s="864">
        <f>E17</f>
        <v>46000</v>
      </c>
      <c r="F9" s="116">
        <f t="shared" si="1"/>
        <v>0</v>
      </c>
      <c r="G9" s="1489">
        <f t="shared" si="2"/>
        <v>3833.3333333333335</v>
      </c>
      <c r="H9" s="119">
        <f t="shared" si="3"/>
        <v>0</v>
      </c>
      <c r="I9" s="120">
        <f t="shared" si="4"/>
        <v>0</v>
      </c>
      <c r="J9" s="120">
        <f t="shared" si="5"/>
        <v>0</v>
      </c>
      <c r="K9" s="120">
        <f t="shared" si="6"/>
        <v>0</v>
      </c>
      <c r="L9" s="122">
        <f t="shared" si="7"/>
        <v>2.6</v>
      </c>
      <c r="M9" s="120">
        <f t="shared" si="8"/>
        <v>1245.8333333333335</v>
      </c>
      <c r="N9" s="120">
        <f t="shared" si="9"/>
        <v>0</v>
      </c>
      <c r="O9" s="122">
        <f t="shared" si="10"/>
        <v>51081.76666666667</v>
      </c>
      <c r="P9" s="123">
        <f t="shared" si="11"/>
        <v>1.0250521739130436</v>
      </c>
      <c r="Q9" s="124">
        <f>+Datos!$S$38</f>
        <v>1016.6666666666665</v>
      </c>
      <c r="R9" s="123">
        <f>+Datos!$S$17</f>
        <v>1300</v>
      </c>
      <c r="S9" s="129">
        <f>+Datos!$S$24</f>
        <v>0</v>
      </c>
      <c r="T9" s="126">
        <f>+Datos!S28+Datos!S29+Datos!S30</f>
        <v>0</v>
      </c>
      <c r="U9" s="123">
        <f t="shared" si="12"/>
        <v>53398.433333333334</v>
      </c>
      <c r="V9" s="127">
        <f t="shared" si="13"/>
        <v>1.0715404682274248</v>
      </c>
      <c r="W9" t="str">
        <f>+VLOOKUP(B9,Recursos!$C$15:$D$74,2,FALSE)</f>
        <v>Secretaría</v>
      </c>
      <c r="X9">
        <f>VLOOKUP(B9,Recursos!C:G,5,FALSE)</f>
        <v>0</v>
      </c>
    </row>
    <row r="10" spans="2:24" hidden="1">
      <c r="B10" s="868" t="s">
        <v>402</v>
      </c>
      <c r="C10" s="128">
        <f t="shared" si="0"/>
        <v>713.79704498295087</v>
      </c>
      <c r="D10" s="128">
        <f>+Datos!$N$40</f>
        <v>189.92690936385813</v>
      </c>
      <c r="E10" s="865">
        <v>120000</v>
      </c>
      <c r="F10" s="116">
        <f t="shared" si="1"/>
        <v>0</v>
      </c>
      <c r="G10" s="1489">
        <f t="shared" si="2"/>
        <v>10000</v>
      </c>
      <c r="H10" s="119">
        <f t="shared" si="3"/>
        <v>0</v>
      </c>
      <c r="I10" s="120">
        <f t="shared" si="4"/>
        <v>0</v>
      </c>
      <c r="J10" s="120">
        <f t="shared" si="5"/>
        <v>0</v>
      </c>
      <c r="K10" s="120">
        <f t="shared" si="6"/>
        <v>0</v>
      </c>
      <c r="L10" s="122">
        <f t="shared" si="7"/>
        <v>2.6</v>
      </c>
      <c r="M10" s="120">
        <f t="shared" si="8"/>
        <v>3250</v>
      </c>
      <c r="N10" s="120">
        <f t="shared" si="9"/>
        <v>0</v>
      </c>
      <c r="O10" s="122">
        <f t="shared" si="10"/>
        <v>133252.6</v>
      </c>
      <c r="P10" s="123">
        <f t="shared" si="11"/>
        <v>1.02502</v>
      </c>
      <c r="Q10" s="124">
        <f>+Datos!$S$38</f>
        <v>1016.6666666666665</v>
      </c>
      <c r="R10" s="123">
        <f>+Datos!$S$17</f>
        <v>1300</v>
      </c>
      <c r="S10" s="129">
        <f>+Datos!$S$24</f>
        <v>0</v>
      </c>
      <c r="T10" s="126">
        <f>+Datos!S28+Datos!S29+Datos!S30</f>
        <v>0</v>
      </c>
      <c r="U10" s="123">
        <f t="shared" si="12"/>
        <v>135569.26666666666</v>
      </c>
      <c r="V10" s="127">
        <f t="shared" si="13"/>
        <v>1.0428405128205127</v>
      </c>
      <c r="W10" t="str">
        <f>+VLOOKUP(B10,Recursos!$C$15:$D$74,2,FALSE)</f>
        <v>Jefe de Obra</v>
      </c>
      <c r="X10">
        <f>VLOOKUP(B10,Recursos!C:G,5,FALSE)</f>
        <v>0</v>
      </c>
    </row>
    <row r="11" spans="2:24" hidden="1">
      <c r="B11" s="869" t="s">
        <v>403</v>
      </c>
      <c r="C11" s="128">
        <f t="shared" si="0"/>
        <v>538.4006247938529</v>
      </c>
      <c r="D11" s="128">
        <f>+Datos!$N$40</f>
        <v>189.92690936385813</v>
      </c>
      <c r="E11" s="870">
        <f>ROUND(E10*75%,-3)</f>
        <v>90000</v>
      </c>
      <c r="F11" s="116">
        <f t="shared" si="1"/>
        <v>0</v>
      </c>
      <c r="G11" s="1489">
        <f t="shared" si="2"/>
        <v>7500</v>
      </c>
      <c r="H11" s="119">
        <f t="shared" si="3"/>
        <v>0</v>
      </c>
      <c r="I11" s="120">
        <f t="shared" si="4"/>
        <v>0</v>
      </c>
      <c r="J11" s="120">
        <f t="shared" si="5"/>
        <v>0</v>
      </c>
      <c r="K11" s="120">
        <f t="shared" si="6"/>
        <v>0</v>
      </c>
      <c r="L11" s="122">
        <f t="shared" si="7"/>
        <v>2.6</v>
      </c>
      <c r="M11" s="120">
        <f t="shared" si="8"/>
        <v>2437.5</v>
      </c>
      <c r="N11" s="120">
        <f t="shared" si="9"/>
        <v>0</v>
      </c>
      <c r="O11" s="122">
        <f t="shared" si="10"/>
        <v>99940.1</v>
      </c>
      <c r="P11" s="123">
        <f t="shared" si="11"/>
        <v>1.0250266666666668</v>
      </c>
      <c r="Q11" s="124">
        <f>+Datos!$S$38</f>
        <v>1016.6666666666665</v>
      </c>
      <c r="R11" s="123">
        <f>+Datos!$S$17</f>
        <v>1300</v>
      </c>
      <c r="S11" s="129">
        <f>+Datos!$S$24</f>
        <v>0</v>
      </c>
      <c r="T11" s="126">
        <f>+Datos!S28+Datos!S29+Datos!S30</f>
        <v>0</v>
      </c>
      <c r="U11" s="123">
        <f t="shared" si="12"/>
        <v>102256.76666666668</v>
      </c>
      <c r="V11" s="127">
        <f t="shared" si="13"/>
        <v>1.0487873504273506</v>
      </c>
      <c r="W11" t="str">
        <f>+VLOOKUP(B11,Recursos!$C$15:$D$74,2,FALSE)</f>
        <v>Jefe de Seguridad Industrial y Patrimonial</v>
      </c>
      <c r="X11">
        <f>VLOOKUP(B11,Recursos!C:G,5,FALSE)</f>
        <v>0</v>
      </c>
    </row>
    <row r="12" spans="2:24" hidden="1">
      <c r="B12" s="867" t="s">
        <v>417</v>
      </c>
      <c r="C12" s="128">
        <f t="shared" si="0"/>
        <v>503.32134075603324</v>
      </c>
      <c r="D12" s="128">
        <f>+Datos!$N$40</f>
        <v>189.92690936385813</v>
      </c>
      <c r="E12" s="864">
        <f>ROUND(E10*70%,-3)</f>
        <v>84000</v>
      </c>
      <c r="F12" s="116">
        <f t="shared" si="1"/>
        <v>0</v>
      </c>
      <c r="G12" s="1489">
        <f t="shared" si="2"/>
        <v>7000</v>
      </c>
      <c r="H12" s="119">
        <f t="shared" si="3"/>
        <v>0</v>
      </c>
      <c r="I12" s="120">
        <f t="shared" si="4"/>
        <v>0</v>
      </c>
      <c r="J12" s="120">
        <f t="shared" si="5"/>
        <v>0</v>
      </c>
      <c r="K12" s="120">
        <f t="shared" si="6"/>
        <v>0</v>
      </c>
      <c r="L12" s="122">
        <f t="shared" si="7"/>
        <v>2.6</v>
      </c>
      <c r="M12" s="120">
        <f t="shared" si="8"/>
        <v>2275</v>
      </c>
      <c r="N12" s="120">
        <f t="shared" si="9"/>
        <v>0</v>
      </c>
      <c r="O12" s="122">
        <f t="shared" si="10"/>
        <v>93277.6</v>
      </c>
      <c r="P12" s="123">
        <f t="shared" si="11"/>
        <v>1.0250285714285714</v>
      </c>
      <c r="Q12" s="124">
        <f>+Datos!$S$38</f>
        <v>1016.6666666666665</v>
      </c>
      <c r="R12" s="123">
        <f>+Datos!$S$17</f>
        <v>1300</v>
      </c>
      <c r="S12" s="129">
        <f>+Datos!$S$24</f>
        <v>0</v>
      </c>
      <c r="T12" s="126">
        <f>+Datos!S28+Datos!S29+Datos!S30</f>
        <v>0</v>
      </c>
      <c r="U12" s="123">
        <f t="shared" si="12"/>
        <v>95594.266666666677</v>
      </c>
      <c r="V12" s="127">
        <f t="shared" si="13"/>
        <v>1.050486446886447</v>
      </c>
      <c r="W12" t="str">
        <f>+VLOOKUP(B12,Recursos!$C$15:$D$74,2,FALSE)</f>
        <v>Jefe de Seguridad Industrial</v>
      </c>
      <c r="X12">
        <f>VLOOKUP(B12,Recursos!C:G,5,FALSE)</f>
        <v>0</v>
      </c>
    </row>
    <row r="13" spans="2:24" hidden="1">
      <c r="B13" s="867" t="s">
        <v>418</v>
      </c>
      <c r="C13" s="128">
        <f t="shared" si="0"/>
        <v>538.4006247938529</v>
      </c>
      <c r="D13" s="128">
        <f>+Datos!$N$40</f>
        <v>189.92690936385813</v>
      </c>
      <c r="E13" s="864">
        <f>ROUND(E10*75%,-3)</f>
        <v>90000</v>
      </c>
      <c r="F13" s="116">
        <f t="shared" si="1"/>
        <v>0</v>
      </c>
      <c r="G13" s="1489">
        <f t="shared" si="2"/>
        <v>7500</v>
      </c>
      <c r="H13" s="119">
        <f t="shared" si="3"/>
        <v>0</v>
      </c>
      <c r="I13" s="120">
        <f t="shared" si="4"/>
        <v>0</v>
      </c>
      <c r="J13" s="120">
        <f t="shared" si="5"/>
        <v>0</v>
      </c>
      <c r="K13" s="120">
        <f t="shared" si="6"/>
        <v>0</v>
      </c>
      <c r="L13" s="122">
        <f t="shared" si="7"/>
        <v>2.6</v>
      </c>
      <c r="M13" s="120">
        <f t="shared" si="8"/>
        <v>2437.5</v>
      </c>
      <c r="N13" s="120">
        <f t="shared" si="9"/>
        <v>0</v>
      </c>
      <c r="O13" s="122">
        <f t="shared" si="10"/>
        <v>99940.1</v>
      </c>
      <c r="P13" s="123">
        <f t="shared" si="11"/>
        <v>1.0250266666666668</v>
      </c>
      <c r="Q13" s="124">
        <f>+Datos!$S$38</f>
        <v>1016.6666666666665</v>
      </c>
      <c r="R13" s="123">
        <f>+Datos!$S$17</f>
        <v>1300</v>
      </c>
      <c r="S13" s="129">
        <f>+Datos!$S$24</f>
        <v>0</v>
      </c>
      <c r="T13" s="126">
        <f>+Datos!S28+Datos!S29+Datos!S30</f>
        <v>0</v>
      </c>
      <c r="U13" s="123">
        <f t="shared" si="12"/>
        <v>102256.76666666668</v>
      </c>
      <c r="V13" s="127">
        <f t="shared" si="13"/>
        <v>1.0487873504273506</v>
      </c>
      <c r="W13" t="str">
        <f>+VLOOKUP(B13,Recursos!$C$15:$D$74,2,FALSE)</f>
        <v>Jefe de Seguridad Patrimonial</v>
      </c>
      <c r="X13">
        <f>VLOOKUP(B13,Recursos!C:G,5,FALSE)</f>
        <v>0</v>
      </c>
    </row>
    <row r="14" spans="2:24">
      <c r="B14" s="867" t="s">
        <v>419</v>
      </c>
      <c r="C14" s="128">
        <f t="shared" si="0"/>
        <v>304.5387312083887</v>
      </c>
      <c r="D14" s="128">
        <f>+Datos!$N$40</f>
        <v>189.92690936385813</v>
      </c>
      <c r="E14" s="864">
        <v>50000</v>
      </c>
      <c r="F14" s="116">
        <f t="shared" si="1"/>
        <v>0</v>
      </c>
      <c r="G14" s="1489">
        <f t="shared" si="2"/>
        <v>4166.666666666667</v>
      </c>
      <c r="H14" s="119">
        <f t="shared" si="3"/>
        <v>0</v>
      </c>
      <c r="I14" s="120">
        <f t="shared" si="4"/>
        <v>0</v>
      </c>
      <c r="J14" s="120">
        <f t="shared" si="5"/>
        <v>0</v>
      </c>
      <c r="K14" s="120">
        <f t="shared" si="6"/>
        <v>0</v>
      </c>
      <c r="L14" s="122">
        <f t="shared" si="7"/>
        <v>2.6</v>
      </c>
      <c r="M14" s="120">
        <f t="shared" si="8"/>
        <v>1354.1666666666667</v>
      </c>
      <c r="N14" s="120">
        <f t="shared" si="9"/>
        <v>0</v>
      </c>
      <c r="O14" s="122">
        <f t="shared" si="10"/>
        <v>55523.433333333327</v>
      </c>
      <c r="P14" s="123">
        <f t="shared" si="11"/>
        <v>1.025048</v>
      </c>
      <c r="Q14" s="124">
        <f>+Datos!$S$38</f>
        <v>1016.6666666666665</v>
      </c>
      <c r="R14" s="123">
        <f>+Datos!$S$17</f>
        <v>1300</v>
      </c>
      <c r="S14" s="129">
        <f>+Datos!$S$24</f>
        <v>0</v>
      </c>
      <c r="T14" s="126">
        <f>+Datos!S28+Datos!S29+Datos!S30</f>
        <v>0</v>
      </c>
      <c r="U14" s="123">
        <f t="shared" si="12"/>
        <v>57840.099999999991</v>
      </c>
      <c r="V14" s="127">
        <f t="shared" si="13"/>
        <v>1.0678172307692306</v>
      </c>
      <c r="W14" t="str">
        <f>+VLOOKUP(B14,Recursos!$C$15:$D$74,2,FALSE)</f>
        <v>Prevencionistas</v>
      </c>
      <c r="X14">
        <f>VLOOKUP(B14,Recursos!C:G,5,FALSE)</f>
        <v>95</v>
      </c>
    </row>
    <row r="15" spans="2:24" hidden="1">
      <c r="B15" s="867" t="s">
        <v>420</v>
      </c>
      <c r="C15" s="128">
        <f t="shared" si="0"/>
        <v>462.39550937857706</v>
      </c>
      <c r="D15" s="128">
        <f>+Datos!$N$40</f>
        <v>189.92690936385813</v>
      </c>
      <c r="E15" s="864">
        <f>ROUND(E11*85%,-3)</f>
        <v>77000</v>
      </c>
      <c r="F15" s="116">
        <f t="shared" si="1"/>
        <v>0</v>
      </c>
      <c r="G15" s="1489">
        <f t="shared" si="2"/>
        <v>6416.666666666667</v>
      </c>
      <c r="H15" s="119">
        <f t="shared" si="3"/>
        <v>0</v>
      </c>
      <c r="I15" s="120">
        <f t="shared" si="4"/>
        <v>0</v>
      </c>
      <c r="J15" s="120">
        <f t="shared" si="5"/>
        <v>0</v>
      </c>
      <c r="K15" s="120">
        <f t="shared" si="6"/>
        <v>0</v>
      </c>
      <c r="L15" s="122">
        <f t="shared" si="7"/>
        <v>2.6</v>
      </c>
      <c r="M15" s="120">
        <f t="shared" si="8"/>
        <v>2085.416666666667</v>
      </c>
      <c r="N15" s="120">
        <f t="shared" si="9"/>
        <v>0</v>
      </c>
      <c r="O15" s="122">
        <f t="shared" si="10"/>
        <v>85504.683333333349</v>
      </c>
      <c r="P15" s="123">
        <f t="shared" si="11"/>
        <v>1.0250311688311688</v>
      </c>
      <c r="Q15" s="124">
        <f>+Datos!$S$38</f>
        <v>1016.6666666666665</v>
      </c>
      <c r="R15" s="123">
        <f>+Datos!$S$17</f>
        <v>1300</v>
      </c>
      <c r="S15" s="129">
        <f>+Datos!$S$24</f>
        <v>0</v>
      </c>
      <c r="T15" s="126">
        <f>+Datos!S28+Datos!S29+Datos!S30</f>
        <v>0</v>
      </c>
      <c r="U15" s="123">
        <f t="shared" si="12"/>
        <v>87821.35000000002</v>
      </c>
      <c r="V15" s="127">
        <f t="shared" si="13"/>
        <v>1.0528033966033967</v>
      </c>
      <c r="W15" t="str">
        <f>+VLOOKUP(B15,Recursos!$C$15:$D$74,2,FALSE)</f>
        <v xml:space="preserve">Medicos </v>
      </c>
      <c r="X15">
        <f>VLOOKUP(B15,Recursos!C:G,5,FALSE)</f>
        <v>0</v>
      </c>
    </row>
    <row r="16" spans="2:24" hidden="1">
      <c r="B16" s="867" t="s">
        <v>421</v>
      </c>
      <c r="C16" s="128">
        <f t="shared" si="0"/>
        <v>380.54384662366459</v>
      </c>
      <c r="D16" s="128">
        <f>+Datos!$N$40</f>
        <v>189.92690936385813</v>
      </c>
      <c r="E16" s="864">
        <f>ROUND(E11*70%,-3)</f>
        <v>63000</v>
      </c>
      <c r="F16" s="116">
        <f t="shared" si="1"/>
        <v>0</v>
      </c>
      <c r="G16" s="1489">
        <f t="shared" si="2"/>
        <v>5250</v>
      </c>
      <c r="H16" s="119">
        <f t="shared" si="3"/>
        <v>0</v>
      </c>
      <c r="I16" s="120">
        <f t="shared" si="4"/>
        <v>0</v>
      </c>
      <c r="J16" s="120">
        <f t="shared" si="5"/>
        <v>0</v>
      </c>
      <c r="K16" s="120">
        <f t="shared" si="6"/>
        <v>0</v>
      </c>
      <c r="L16" s="122">
        <f t="shared" si="7"/>
        <v>2.6</v>
      </c>
      <c r="M16" s="120">
        <f t="shared" si="8"/>
        <v>1706.25</v>
      </c>
      <c r="N16" s="120">
        <f t="shared" si="9"/>
        <v>0</v>
      </c>
      <c r="O16" s="122">
        <f t="shared" si="10"/>
        <v>69958.850000000006</v>
      </c>
      <c r="P16" s="123">
        <f t="shared" si="11"/>
        <v>1.0250380952380953</v>
      </c>
      <c r="Q16" s="124">
        <f>+Datos!$S$38</f>
        <v>1016.6666666666665</v>
      </c>
      <c r="R16" s="123">
        <f>+Datos!$S$17</f>
        <v>1300</v>
      </c>
      <c r="S16" s="129">
        <f>+Datos!$S$24</f>
        <v>0</v>
      </c>
      <c r="T16" s="126">
        <f>+Datos!S28+Datos!S29+Datos!S30</f>
        <v>0</v>
      </c>
      <c r="U16" s="123">
        <f t="shared" si="12"/>
        <v>72275.516666666677</v>
      </c>
      <c r="V16" s="127">
        <f t="shared" si="13"/>
        <v>1.0589819291819293</v>
      </c>
      <c r="W16" t="str">
        <f>+VLOOKUP(B16,Recursos!$C$15:$D$74,2,FALSE)</f>
        <v>Enfermeros</v>
      </c>
      <c r="X16">
        <f>VLOOKUP(B16,Recursos!C:G,5,FALSE)</f>
        <v>0</v>
      </c>
    </row>
    <row r="17" spans="2:24" hidden="1">
      <c r="B17" s="867" t="s">
        <v>422</v>
      </c>
      <c r="C17" s="128">
        <f t="shared" si="0"/>
        <v>281.15254184984235</v>
      </c>
      <c r="D17" s="128">
        <f>+Datos!$N$40</f>
        <v>189.92690936385813</v>
      </c>
      <c r="E17" s="871">
        <f>ROUND(MOd_CE!$K$42,-3)</f>
        <v>46000</v>
      </c>
      <c r="F17" s="116">
        <f t="shared" si="1"/>
        <v>0</v>
      </c>
      <c r="G17" s="1489">
        <f t="shared" si="2"/>
        <v>3833.3333333333335</v>
      </c>
      <c r="H17" s="119">
        <f t="shared" si="3"/>
        <v>0</v>
      </c>
      <c r="I17" s="120">
        <f t="shared" si="4"/>
        <v>0</v>
      </c>
      <c r="J17" s="120">
        <f t="shared" si="5"/>
        <v>0</v>
      </c>
      <c r="K17" s="120">
        <f t="shared" si="6"/>
        <v>0</v>
      </c>
      <c r="L17" s="122">
        <f t="shared" si="7"/>
        <v>2.6</v>
      </c>
      <c r="M17" s="120">
        <f t="shared" si="8"/>
        <v>1245.8333333333335</v>
      </c>
      <c r="N17" s="120">
        <f t="shared" si="9"/>
        <v>0</v>
      </c>
      <c r="O17" s="122">
        <f t="shared" si="10"/>
        <v>51081.76666666667</v>
      </c>
      <c r="P17" s="123">
        <f t="shared" si="11"/>
        <v>1.0250521739130436</v>
      </c>
      <c r="Q17" s="124">
        <f>+Datos!$S$38</f>
        <v>1016.6666666666665</v>
      </c>
      <c r="R17" s="123">
        <f>+Datos!$S$17</f>
        <v>1300</v>
      </c>
      <c r="S17" s="129">
        <f>+Datos!$S$24</f>
        <v>0</v>
      </c>
      <c r="T17" s="126">
        <f>+Datos!S28+Datos!S29+Datos!S30</f>
        <v>0</v>
      </c>
      <c r="U17" s="123">
        <f t="shared" si="12"/>
        <v>53398.433333333334</v>
      </c>
      <c r="V17" s="127">
        <f t="shared" si="13"/>
        <v>1.0715404682274248</v>
      </c>
      <c r="W17" t="str">
        <f>+VLOOKUP(B17,Recursos!$C$15:$D$74,2,FALSE)</f>
        <v>Auxiliares Generales</v>
      </c>
      <c r="X17">
        <f>VLOOKUP(B17,Recursos!C:G,5,FALSE)</f>
        <v>0</v>
      </c>
    </row>
    <row r="18" spans="2:24" hidden="1">
      <c r="B18" s="867" t="s">
        <v>423</v>
      </c>
      <c r="C18" s="128">
        <f t="shared" si="0"/>
        <v>281.15254184984235</v>
      </c>
      <c r="D18" s="128">
        <f>+Datos!$N$40</f>
        <v>189.92690936385813</v>
      </c>
      <c r="E18" s="864">
        <f>E17</f>
        <v>46000</v>
      </c>
      <c r="F18" s="116">
        <f t="shared" si="1"/>
        <v>0</v>
      </c>
      <c r="G18" s="1489">
        <f t="shared" si="2"/>
        <v>3833.3333333333335</v>
      </c>
      <c r="H18" s="119">
        <f t="shared" si="3"/>
        <v>0</v>
      </c>
      <c r="I18" s="120">
        <f t="shared" si="4"/>
        <v>0</v>
      </c>
      <c r="J18" s="120">
        <f t="shared" si="5"/>
        <v>0</v>
      </c>
      <c r="K18" s="120">
        <f t="shared" si="6"/>
        <v>0</v>
      </c>
      <c r="L18" s="122">
        <f t="shared" si="7"/>
        <v>2.6</v>
      </c>
      <c r="M18" s="120">
        <f t="shared" si="8"/>
        <v>1245.8333333333335</v>
      </c>
      <c r="N18" s="120">
        <f t="shared" si="9"/>
        <v>0</v>
      </c>
      <c r="O18" s="122">
        <f t="shared" si="10"/>
        <v>51081.76666666667</v>
      </c>
      <c r="P18" s="123">
        <f t="shared" si="11"/>
        <v>1.0250521739130436</v>
      </c>
      <c r="Q18" s="124">
        <f>+Datos!$S$38</f>
        <v>1016.6666666666665</v>
      </c>
      <c r="R18" s="123">
        <f>+Datos!$S$17</f>
        <v>1300</v>
      </c>
      <c r="S18" s="129">
        <f>+Datos!$S$24</f>
        <v>0</v>
      </c>
      <c r="T18" s="126">
        <f>+Datos!S27</f>
        <v>0</v>
      </c>
      <c r="U18" s="123">
        <f t="shared" si="12"/>
        <v>53398.433333333334</v>
      </c>
      <c r="V18" s="127">
        <f t="shared" si="13"/>
        <v>1.0715404682274248</v>
      </c>
      <c r="W18" t="str">
        <f>+VLOOKUP(B18,Recursos!$C$15:$D$74,2,FALSE)</f>
        <v>Auxiliares de Vigilancia</v>
      </c>
      <c r="X18">
        <f>VLOOKUP(B18,Recursos!C:G,5,FALSE)</f>
        <v>0</v>
      </c>
    </row>
    <row r="19" spans="2:24" hidden="1">
      <c r="B19" s="867" t="s">
        <v>424</v>
      </c>
      <c r="C19" s="128">
        <f t="shared" si="0"/>
        <v>281.15254184984235</v>
      </c>
      <c r="D19" s="128">
        <f>+Datos!$N$40</f>
        <v>189.92690936385813</v>
      </c>
      <c r="E19" s="864">
        <f>E18</f>
        <v>46000</v>
      </c>
      <c r="F19" s="116">
        <f t="shared" si="1"/>
        <v>0</v>
      </c>
      <c r="G19" s="1489">
        <f t="shared" si="2"/>
        <v>3833.3333333333335</v>
      </c>
      <c r="H19" s="119">
        <f t="shared" si="3"/>
        <v>0</v>
      </c>
      <c r="I19" s="120">
        <f t="shared" si="4"/>
        <v>0</v>
      </c>
      <c r="J19" s="120">
        <f t="shared" si="5"/>
        <v>0</v>
      </c>
      <c r="K19" s="120">
        <f t="shared" si="6"/>
        <v>0</v>
      </c>
      <c r="L19" s="122">
        <f t="shared" si="7"/>
        <v>2.6</v>
      </c>
      <c r="M19" s="120">
        <f t="shared" si="8"/>
        <v>1245.8333333333335</v>
      </c>
      <c r="N19" s="120">
        <f t="shared" si="9"/>
        <v>0</v>
      </c>
      <c r="O19" s="122">
        <f t="shared" si="10"/>
        <v>51081.76666666667</v>
      </c>
      <c r="P19" s="123">
        <f t="shared" si="11"/>
        <v>1.0250521739130436</v>
      </c>
      <c r="Q19" s="124">
        <f>+Datos!$S$38</f>
        <v>1016.6666666666665</v>
      </c>
      <c r="R19" s="123">
        <f>+Datos!$S$17</f>
        <v>1300</v>
      </c>
      <c r="S19" s="129">
        <f>+Datos!$S$24</f>
        <v>0</v>
      </c>
      <c r="T19" s="126">
        <f>+Datos!S27</f>
        <v>0</v>
      </c>
      <c r="U19" s="123">
        <f t="shared" si="12"/>
        <v>53398.433333333334</v>
      </c>
      <c r="V19" s="127">
        <f t="shared" si="13"/>
        <v>1.0715404682274248</v>
      </c>
      <c r="W19" t="str">
        <f>+VLOOKUP(B19,Recursos!$C$15:$D$74,2,FALSE)</f>
        <v>Otros</v>
      </c>
      <c r="X19">
        <f>VLOOKUP(B19,Recursos!C:G,5,FALSE)</f>
        <v>0</v>
      </c>
    </row>
    <row r="20" spans="2:24" hidden="1">
      <c r="B20" s="868" t="s">
        <v>425</v>
      </c>
      <c r="C20" s="128">
        <f t="shared" si="0"/>
        <v>281.15254184984235</v>
      </c>
      <c r="D20" s="128">
        <f>+Datos!$N$40</f>
        <v>189.92690936385813</v>
      </c>
      <c r="E20" s="864">
        <f>E18</f>
        <v>46000</v>
      </c>
      <c r="F20" s="116">
        <f t="shared" si="1"/>
        <v>0</v>
      </c>
      <c r="G20" s="1489">
        <f t="shared" si="2"/>
        <v>3833.3333333333335</v>
      </c>
      <c r="H20" s="119">
        <f t="shared" si="3"/>
        <v>0</v>
      </c>
      <c r="I20" s="120">
        <f t="shared" si="4"/>
        <v>0</v>
      </c>
      <c r="J20" s="120">
        <f t="shared" si="5"/>
        <v>0</v>
      </c>
      <c r="K20" s="120">
        <f t="shared" si="6"/>
        <v>0</v>
      </c>
      <c r="L20" s="122">
        <f t="shared" si="7"/>
        <v>2.6</v>
      </c>
      <c r="M20" s="120">
        <f t="shared" si="8"/>
        <v>1245.8333333333335</v>
      </c>
      <c r="N20" s="120">
        <f t="shared" si="9"/>
        <v>0</v>
      </c>
      <c r="O20" s="122">
        <f t="shared" si="10"/>
        <v>51081.76666666667</v>
      </c>
      <c r="P20" s="123">
        <f t="shared" si="11"/>
        <v>1.0250521739130436</v>
      </c>
      <c r="Q20" s="124">
        <f>+Datos!$S$38</f>
        <v>1016.6666666666665</v>
      </c>
      <c r="R20" s="123">
        <f>+Datos!$S$17</f>
        <v>1300</v>
      </c>
      <c r="S20" s="129">
        <f>+Datos!$S$24</f>
        <v>0</v>
      </c>
      <c r="T20" s="126">
        <f>+Datos!S28+Datos!S29+Datos!S30</f>
        <v>0</v>
      </c>
      <c r="U20" s="123">
        <f t="shared" si="12"/>
        <v>53398.433333333334</v>
      </c>
      <c r="V20" s="127">
        <f t="shared" si="13"/>
        <v>1.0715404682274248</v>
      </c>
      <c r="W20" t="str">
        <f>+VLOOKUP(B20,Recursos!$C$15:$D$74,2,FALSE)</f>
        <v>Otros</v>
      </c>
      <c r="X20">
        <f>VLOOKUP(B20,Recursos!C:G,5,FALSE)</f>
        <v>0</v>
      </c>
    </row>
    <row r="21" spans="2:24" hidden="1">
      <c r="B21" s="869" t="s">
        <v>426</v>
      </c>
      <c r="C21" s="128">
        <f t="shared" si="0"/>
        <v>503.32134075603324</v>
      </c>
      <c r="D21" s="128">
        <f>+Datos!$N$40</f>
        <v>189.92690936385813</v>
      </c>
      <c r="E21" s="870">
        <f>ROUND($E$10*70%,-3)</f>
        <v>84000</v>
      </c>
      <c r="F21" s="116">
        <f t="shared" si="1"/>
        <v>0</v>
      </c>
      <c r="G21" s="1489">
        <f t="shared" si="2"/>
        <v>7000</v>
      </c>
      <c r="H21" s="119">
        <f t="shared" si="3"/>
        <v>0</v>
      </c>
      <c r="I21" s="120">
        <f t="shared" si="4"/>
        <v>0</v>
      </c>
      <c r="J21" s="120">
        <f t="shared" si="5"/>
        <v>0</v>
      </c>
      <c r="K21" s="120">
        <f t="shared" si="6"/>
        <v>0</v>
      </c>
      <c r="L21" s="122">
        <f t="shared" si="7"/>
        <v>2.6</v>
      </c>
      <c r="M21" s="120">
        <f t="shared" si="8"/>
        <v>2275</v>
      </c>
      <c r="N21" s="120">
        <f t="shared" si="9"/>
        <v>0</v>
      </c>
      <c r="O21" s="122">
        <f t="shared" si="10"/>
        <v>93277.6</v>
      </c>
      <c r="P21" s="123">
        <f t="shared" si="11"/>
        <v>1.0250285714285714</v>
      </c>
      <c r="Q21" s="124">
        <f>+Datos!$S$38</f>
        <v>1016.6666666666665</v>
      </c>
      <c r="R21" s="123">
        <f>+Datos!$S$17</f>
        <v>1300</v>
      </c>
      <c r="S21" s="129">
        <f>+Datos!$S$24</f>
        <v>0</v>
      </c>
      <c r="T21" s="126">
        <f>+Datos!S28+Datos!S29+Datos!S30</f>
        <v>0</v>
      </c>
      <c r="U21" s="123">
        <f t="shared" si="12"/>
        <v>95594.266666666677</v>
      </c>
      <c r="V21" s="127">
        <f t="shared" si="13"/>
        <v>1.050486446886447</v>
      </c>
      <c r="W21" t="str">
        <f>+VLOOKUP(B21,Recursos!$C$15:$D$74,2,FALSE)</f>
        <v>Jefe Servicios Técnicos</v>
      </c>
      <c r="X21">
        <f>VLOOKUP(B21,Recursos!C:G,5,FALSE)</f>
        <v>0</v>
      </c>
    </row>
    <row r="22" spans="2:24" hidden="1">
      <c r="B22" s="867" t="s">
        <v>427</v>
      </c>
      <c r="C22" s="128">
        <f t="shared" si="0"/>
        <v>458.88758097479513</v>
      </c>
      <c r="D22" s="128">
        <f>+Datos!$N$40</f>
        <v>189.92690936385813</v>
      </c>
      <c r="E22" s="864">
        <f>ROUND((E21-E30)*80%+E30,-2)</f>
        <v>76400</v>
      </c>
      <c r="F22" s="116">
        <f t="shared" si="1"/>
        <v>0</v>
      </c>
      <c r="G22" s="1489">
        <f t="shared" si="2"/>
        <v>6366.666666666667</v>
      </c>
      <c r="H22" s="119">
        <f t="shared" si="3"/>
        <v>0</v>
      </c>
      <c r="I22" s="120">
        <f t="shared" si="4"/>
        <v>0</v>
      </c>
      <c r="J22" s="120">
        <f t="shared" si="5"/>
        <v>0</v>
      </c>
      <c r="K22" s="120">
        <f t="shared" si="6"/>
        <v>0</v>
      </c>
      <c r="L22" s="122">
        <f t="shared" si="7"/>
        <v>2.6</v>
      </c>
      <c r="M22" s="120">
        <f t="shared" si="8"/>
        <v>2069.166666666667</v>
      </c>
      <c r="N22" s="120">
        <f t="shared" si="9"/>
        <v>0</v>
      </c>
      <c r="O22" s="122">
        <f t="shared" si="10"/>
        <v>84838.433333333349</v>
      </c>
      <c r="P22" s="123">
        <f t="shared" si="11"/>
        <v>1.0250314136125656</v>
      </c>
      <c r="Q22" s="124">
        <f>+Datos!$S$38</f>
        <v>1016.6666666666665</v>
      </c>
      <c r="R22" s="123">
        <f>+Datos!$S$17</f>
        <v>1300</v>
      </c>
      <c r="S22" s="129">
        <f>+Datos!$S$24</f>
        <v>0</v>
      </c>
      <c r="T22" s="126">
        <f>+Datos!S28+Datos!S29+Datos!S30</f>
        <v>0</v>
      </c>
      <c r="U22" s="123">
        <f t="shared" si="12"/>
        <v>87155.10000000002</v>
      </c>
      <c r="V22" s="127">
        <f t="shared" si="13"/>
        <v>1.0530217478856223</v>
      </c>
      <c r="W22" t="str">
        <f>+VLOOKUP(B22,Recursos!$C$15:$D$74,2,FALSE)</f>
        <v>Jefe Ingeniería</v>
      </c>
      <c r="X22">
        <f>VLOOKUP(B22,Recursos!C:G,5,FALSE)</f>
        <v>0</v>
      </c>
    </row>
    <row r="23" spans="2:24" hidden="1">
      <c r="B23" s="867" t="s">
        <v>428</v>
      </c>
      <c r="C23" s="128">
        <f t="shared" si="0"/>
        <v>392.23694130293785</v>
      </c>
      <c r="D23" s="128">
        <f>+Datos!$N$40</f>
        <v>189.92690936385813</v>
      </c>
      <c r="E23" s="864">
        <v>65000</v>
      </c>
      <c r="F23" s="116">
        <f t="shared" si="1"/>
        <v>0</v>
      </c>
      <c r="G23" s="1489">
        <f t="shared" si="2"/>
        <v>5416.666666666667</v>
      </c>
      <c r="H23" s="119">
        <f t="shared" si="3"/>
        <v>0</v>
      </c>
      <c r="I23" s="120">
        <f t="shared" si="4"/>
        <v>0</v>
      </c>
      <c r="J23" s="120">
        <f t="shared" si="5"/>
        <v>0</v>
      </c>
      <c r="K23" s="120">
        <f t="shared" si="6"/>
        <v>0</v>
      </c>
      <c r="L23" s="122">
        <f t="shared" si="7"/>
        <v>2.6</v>
      </c>
      <c r="M23" s="120">
        <f t="shared" si="8"/>
        <v>1760.416666666667</v>
      </c>
      <c r="N23" s="120">
        <f t="shared" si="9"/>
        <v>0</v>
      </c>
      <c r="O23" s="122">
        <f t="shared" si="10"/>
        <v>72179.683333333349</v>
      </c>
      <c r="P23" s="123">
        <f t="shared" si="11"/>
        <v>1.0250369230769232</v>
      </c>
      <c r="Q23" s="124">
        <f>+Datos!$S$38</f>
        <v>1016.6666666666665</v>
      </c>
      <c r="R23" s="123">
        <f>+Datos!$S$17</f>
        <v>1300</v>
      </c>
      <c r="S23" s="129">
        <f>+Datos!$S$24</f>
        <v>0</v>
      </c>
      <c r="T23" s="126">
        <f>+Datos!S28+Datos!S29+Datos!S30</f>
        <v>0</v>
      </c>
      <c r="U23" s="123">
        <f t="shared" si="12"/>
        <v>74496.35000000002</v>
      </c>
      <c r="V23" s="127">
        <f t="shared" si="13"/>
        <v>1.0579363313609469</v>
      </c>
      <c r="W23" t="str">
        <f>+VLOOKUP(B23,Recursos!$C$15:$D$74,2,FALSE)</f>
        <v>Encargado de Contratos y Subc.</v>
      </c>
      <c r="X23">
        <f>VLOOKUP(B23,Recursos!C:G,5,FALSE)</f>
        <v>0</v>
      </c>
    </row>
    <row r="24" spans="2:24" hidden="1">
      <c r="B24" s="867" t="s">
        <v>429</v>
      </c>
      <c r="C24" s="128">
        <f t="shared" si="0"/>
        <v>414.45382119355685</v>
      </c>
      <c r="D24" s="128">
        <f>+Datos!$N$40</f>
        <v>189.92690936385813</v>
      </c>
      <c r="E24" s="864">
        <f>ROUND((E21-E30)*60%+E30,-2)</f>
        <v>68800</v>
      </c>
      <c r="F24" s="116">
        <f t="shared" si="1"/>
        <v>0</v>
      </c>
      <c r="G24" s="1489">
        <f t="shared" si="2"/>
        <v>5733.333333333333</v>
      </c>
      <c r="H24" s="119">
        <f t="shared" si="3"/>
        <v>0</v>
      </c>
      <c r="I24" s="120">
        <f t="shared" si="4"/>
        <v>0</v>
      </c>
      <c r="J24" s="120">
        <f t="shared" si="5"/>
        <v>0</v>
      </c>
      <c r="K24" s="120">
        <f t="shared" si="6"/>
        <v>0</v>
      </c>
      <c r="L24" s="122">
        <f t="shared" si="7"/>
        <v>2.6</v>
      </c>
      <c r="M24" s="120">
        <f t="shared" si="8"/>
        <v>1863.3333333333333</v>
      </c>
      <c r="N24" s="120">
        <f t="shared" si="9"/>
        <v>0</v>
      </c>
      <c r="O24" s="122">
        <f t="shared" si="10"/>
        <v>76399.266666666663</v>
      </c>
      <c r="P24" s="123">
        <f t="shared" si="11"/>
        <v>1.0250348837209302</v>
      </c>
      <c r="Q24" s="124">
        <f>+Datos!$S$38</f>
        <v>1016.6666666666665</v>
      </c>
      <c r="R24" s="123">
        <f>+Datos!$S$17</f>
        <v>1300</v>
      </c>
      <c r="S24" s="129">
        <f>+Datos!$S$24</f>
        <v>0</v>
      </c>
      <c r="T24" s="126">
        <f>+Datos!S28+Datos!S29+Datos!S30</f>
        <v>0</v>
      </c>
      <c r="U24" s="123">
        <f t="shared" si="12"/>
        <v>78715.933333333334</v>
      </c>
      <c r="V24" s="127">
        <f t="shared" si="13"/>
        <v>1.0561171735241504</v>
      </c>
      <c r="W24" t="str">
        <f>+VLOOKUP(B24,Recursos!$C$15:$D$74,2,FALSE)</f>
        <v>Certificación, Programac. y CG.</v>
      </c>
      <c r="X24">
        <f>VLOOKUP(B24,Recursos!C:G,5,FALSE)</f>
        <v>0</v>
      </c>
    </row>
    <row r="25" spans="2:24" hidden="1">
      <c r="B25" s="867" t="s">
        <v>430</v>
      </c>
      <c r="C25" s="128">
        <f t="shared" si="0"/>
        <v>414.45382119355685</v>
      </c>
      <c r="D25" s="128">
        <f>+Datos!$N$40</f>
        <v>189.92690936385813</v>
      </c>
      <c r="E25" s="864">
        <f>ROUND((E21-E30)*60%+E30,-2)</f>
        <v>68800</v>
      </c>
      <c r="F25" s="116">
        <f t="shared" si="1"/>
        <v>0</v>
      </c>
      <c r="G25" s="1489">
        <f t="shared" si="2"/>
        <v>5733.333333333333</v>
      </c>
      <c r="H25" s="119">
        <f t="shared" si="3"/>
        <v>0</v>
      </c>
      <c r="I25" s="120">
        <f t="shared" si="4"/>
        <v>0</v>
      </c>
      <c r="J25" s="120">
        <f t="shared" si="5"/>
        <v>0</v>
      </c>
      <c r="K25" s="120">
        <f t="shared" si="6"/>
        <v>0</v>
      </c>
      <c r="L25" s="122">
        <f t="shared" si="7"/>
        <v>2.6</v>
      </c>
      <c r="M25" s="120">
        <f t="shared" si="8"/>
        <v>1863.3333333333333</v>
      </c>
      <c r="N25" s="120">
        <f t="shared" si="9"/>
        <v>0</v>
      </c>
      <c r="O25" s="122">
        <f t="shared" si="10"/>
        <v>76399.266666666663</v>
      </c>
      <c r="P25" s="123">
        <f t="shared" si="11"/>
        <v>1.0250348837209302</v>
      </c>
      <c r="Q25" s="124">
        <f>+Datos!$S$38</f>
        <v>1016.6666666666665</v>
      </c>
      <c r="R25" s="123">
        <f>+Datos!$S$17</f>
        <v>1300</v>
      </c>
      <c r="S25" s="129">
        <f>+Datos!$S$24</f>
        <v>0</v>
      </c>
      <c r="T25" s="126">
        <f>+Datos!S28+Datos!S29+Datos!S30</f>
        <v>0</v>
      </c>
      <c r="U25" s="123">
        <f t="shared" si="12"/>
        <v>78715.933333333334</v>
      </c>
      <c r="V25" s="127">
        <f t="shared" si="13"/>
        <v>1.0561171735241504</v>
      </c>
      <c r="W25" t="str">
        <f>+VLOOKUP(B25,Recursos!$C$15:$D$74,2,FALSE)</f>
        <v>Jefe de Topografía</v>
      </c>
      <c r="X25">
        <f>VLOOKUP(B25,Recursos!C:G,5,FALSE)</f>
        <v>0</v>
      </c>
    </row>
    <row r="26" spans="2:24" hidden="1">
      <c r="B26" s="867" t="s">
        <v>431</v>
      </c>
      <c r="C26" s="128">
        <f t="shared" si="0"/>
        <v>403.34538124824735</v>
      </c>
      <c r="D26" s="128">
        <f>+Datos!$N$40</f>
        <v>189.92690936385813</v>
      </c>
      <c r="E26" s="864">
        <f>ROUND((E21-E30)*55%+E30,-2)</f>
        <v>66900</v>
      </c>
      <c r="F26" s="116">
        <f t="shared" si="1"/>
        <v>0</v>
      </c>
      <c r="G26" s="1489">
        <f t="shared" si="2"/>
        <v>5575</v>
      </c>
      <c r="H26" s="119">
        <f t="shared" si="3"/>
        <v>0</v>
      </c>
      <c r="I26" s="120">
        <f t="shared" si="4"/>
        <v>0</v>
      </c>
      <c r="J26" s="120">
        <f t="shared" si="5"/>
        <v>0</v>
      </c>
      <c r="K26" s="120">
        <f t="shared" si="6"/>
        <v>0</v>
      </c>
      <c r="L26" s="122">
        <f t="shared" si="7"/>
        <v>2.6</v>
      </c>
      <c r="M26" s="120">
        <f t="shared" si="8"/>
        <v>1811.875</v>
      </c>
      <c r="N26" s="120">
        <f t="shared" si="9"/>
        <v>0</v>
      </c>
      <c r="O26" s="122">
        <f t="shared" si="10"/>
        <v>74289.475000000006</v>
      </c>
      <c r="P26" s="123">
        <f t="shared" si="11"/>
        <v>1.0250358744394619</v>
      </c>
      <c r="Q26" s="124">
        <f>+Datos!$S$38</f>
        <v>1016.6666666666665</v>
      </c>
      <c r="R26" s="123">
        <f>+Datos!$S$17</f>
        <v>1300</v>
      </c>
      <c r="S26" s="129">
        <f>+Datos!$S$24</f>
        <v>0</v>
      </c>
      <c r="T26" s="126">
        <f>+Datos!S28+Datos!S29+Datos!S30</f>
        <v>0</v>
      </c>
      <c r="U26" s="123">
        <f t="shared" si="12"/>
        <v>76606.141666666677</v>
      </c>
      <c r="V26" s="127">
        <f t="shared" si="13"/>
        <v>1.0570009198574222</v>
      </c>
      <c r="W26" t="str">
        <f>+VLOOKUP(B26,Recursos!$C$15:$D$74,2,FALSE)</f>
        <v>Materiales Permanentes</v>
      </c>
      <c r="X26">
        <f>VLOOKUP(B26,Recursos!C:G,5,FALSE)</f>
        <v>0</v>
      </c>
    </row>
    <row r="27" spans="2:24" hidden="1">
      <c r="B27" s="867" t="s">
        <v>432</v>
      </c>
      <c r="C27" s="128">
        <f t="shared" si="0"/>
        <v>370.02006141231874</v>
      </c>
      <c r="D27" s="128">
        <f>+Datos!$N$40</f>
        <v>189.92690936385813</v>
      </c>
      <c r="E27" s="864">
        <f>ROUND((E21-E30)*40%+E30,-2)</f>
        <v>61200</v>
      </c>
      <c r="F27" s="116">
        <f t="shared" si="1"/>
        <v>0</v>
      </c>
      <c r="G27" s="1489">
        <f t="shared" si="2"/>
        <v>5100</v>
      </c>
      <c r="H27" s="119">
        <f t="shared" si="3"/>
        <v>0</v>
      </c>
      <c r="I27" s="120">
        <f t="shared" si="4"/>
        <v>0</v>
      </c>
      <c r="J27" s="120">
        <f t="shared" si="5"/>
        <v>0</v>
      </c>
      <c r="K27" s="120">
        <f t="shared" si="6"/>
        <v>0</v>
      </c>
      <c r="L27" s="122">
        <f t="shared" si="7"/>
        <v>2.6</v>
      </c>
      <c r="M27" s="120">
        <f t="shared" si="8"/>
        <v>1657.5</v>
      </c>
      <c r="N27" s="120">
        <f t="shared" si="9"/>
        <v>0</v>
      </c>
      <c r="O27" s="122">
        <f t="shared" si="10"/>
        <v>67960.100000000006</v>
      </c>
      <c r="P27" s="123">
        <f t="shared" si="11"/>
        <v>1.0250392156862747</v>
      </c>
      <c r="Q27" s="124">
        <f>+Datos!$S$38</f>
        <v>1016.6666666666665</v>
      </c>
      <c r="R27" s="123">
        <f>+Datos!$S$17</f>
        <v>1300</v>
      </c>
      <c r="S27" s="129">
        <f>+Datos!$S$24</f>
        <v>0</v>
      </c>
      <c r="T27" s="126">
        <f>+Datos!S28+Datos!S29+Datos!S30</f>
        <v>0</v>
      </c>
      <c r="U27" s="123">
        <f t="shared" si="12"/>
        <v>70276.766666666677</v>
      </c>
      <c r="V27" s="127">
        <f t="shared" si="13"/>
        <v>1.0599813976872803</v>
      </c>
      <c r="W27" t="str">
        <f>+VLOOKUP(B27,Recursos!$C$15:$D$74,2,FALSE)</f>
        <v xml:space="preserve">Topografos </v>
      </c>
      <c r="X27">
        <f>VLOOKUP(B27,Recursos!C:G,5,FALSE)</f>
        <v>0</v>
      </c>
    </row>
    <row r="28" spans="2:24" hidden="1">
      <c r="B28" s="867" t="s">
        <v>433</v>
      </c>
      <c r="C28" s="128">
        <f t="shared" si="0"/>
        <v>281.15254184984235</v>
      </c>
      <c r="D28" s="128">
        <f>+Datos!$N$40</f>
        <v>189.92690936385813</v>
      </c>
      <c r="E28" s="864">
        <f>E17</f>
        <v>46000</v>
      </c>
      <c r="F28" s="116">
        <f t="shared" si="1"/>
        <v>0</v>
      </c>
      <c r="G28" s="1489">
        <f t="shared" si="2"/>
        <v>3833.3333333333335</v>
      </c>
      <c r="H28" s="119">
        <f t="shared" si="3"/>
        <v>0</v>
      </c>
      <c r="I28" s="120">
        <f t="shared" si="4"/>
        <v>0</v>
      </c>
      <c r="J28" s="120">
        <f t="shared" si="5"/>
        <v>0</v>
      </c>
      <c r="K28" s="120">
        <f t="shared" si="6"/>
        <v>0</v>
      </c>
      <c r="L28" s="122">
        <f t="shared" si="7"/>
        <v>2.6</v>
      </c>
      <c r="M28" s="120">
        <f t="shared" si="8"/>
        <v>1245.8333333333335</v>
      </c>
      <c r="N28" s="120">
        <f t="shared" si="9"/>
        <v>0</v>
      </c>
      <c r="O28" s="122">
        <f t="shared" si="10"/>
        <v>51081.76666666667</v>
      </c>
      <c r="P28" s="123">
        <f t="shared" si="11"/>
        <v>1.0250521739130436</v>
      </c>
      <c r="Q28" s="124">
        <f>+Datos!$S$38</f>
        <v>1016.6666666666665</v>
      </c>
      <c r="R28" s="123">
        <f>+Datos!$S$17</f>
        <v>1300</v>
      </c>
      <c r="S28" s="129">
        <f>+Datos!$S$24</f>
        <v>0</v>
      </c>
      <c r="T28" s="126">
        <f>+Datos!S28+Datos!S29+Datos!S30</f>
        <v>0</v>
      </c>
      <c r="U28" s="123">
        <f t="shared" si="12"/>
        <v>53398.433333333334</v>
      </c>
      <c r="V28" s="127">
        <f t="shared" si="13"/>
        <v>1.0715404682274248</v>
      </c>
      <c r="W28" t="str">
        <f>+VLOOKUP(B28,Recursos!$C$15:$D$74,2,FALSE)</f>
        <v>Auxiliares de Topografía</v>
      </c>
      <c r="X28">
        <f>VLOOKUP(B28,Recursos!C:G,5,FALSE)</f>
        <v>0</v>
      </c>
    </row>
    <row r="29" spans="2:24" hidden="1">
      <c r="B29" s="867" t="s">
        <v>434</v>
      </c>
      <c r="C29" s="128">
        <f t="shared" si="0"/>
        <v>358.91162146700918</v>
      </c>
      <c r="D29" s="128">
        <f>+Datos!$N$40</f>
        <v>189.92690936385813</v>
      </c>
      <c r="E29" s="864">
        <f>ROUND((E21-E30)*35%+E30,-2)</f>
        <v>59300</v>
      </c>
      <c r="F29" s="116">
        <f t="shared" si="1"/>
        <v>0</v>
      </c>
      <c r="G29" s="1489">
        <f t="shared" si="2"/>
        <v>4941.666666666667</v>
      </c>
      <c r="H29" s="119">
        <f t="shared" si="3"/>
        <v>0</v>
      </c>
      <c r="I29" s="120">
        <f t="shared" si="4"/>
        <v>0</v>
      </c>
      <c r="J29" s="120">
        <f t="shared" si="5"/>
        <v>0</v>
      </c>
      <c r="K29" s="120">
        <f t="shared" si="6"/>
        <v>0</v>
      </c>
      <c r="L29" s="122">
        <f t="shared" si="7"/>
        <v>2.6</v>
      </c>
      <c r="M29" s="120">
        <f t="shared" si="8"/>
        <v>1606.0416666666667</v>
      </c>
      <c r="N29" s="120">
        <f t="shared" si="9"/>
        <v>0</v>
      </c>
      <c r="O29" s="122">
        <f t="shared" si="10"/>
        <v>65850.308333333334</v>
      </c>
      <c r="P29" s="123">
        <f t="shared" si="11"/>
        <v>1.0250404721753794</v>
      </c>
      <c r="Q29" s="124">
        <f>+Datos!$S$38</f>
        <v>1016.6666666666665</v>
      </c>
      <c r="R29" s="123">
        <f>+Datos!$S$17</f>
        <v>1300</v>
      </c>
      <c r="S29" s="129">
        <f>+Datos!$S$24</f>
        <v>0</v>
      </c>
      <c r="T29" s="126">
        <f>+Datos!S28+Datos!S29+Datos!S30</f>
        <v>0</v>
      </c>
      <c r="U29" s="123">
        <f t="shared" si="12"/>
        <v>68166.975000000006</v>
      </c>
      <c r="V29" s="127">
        <f t="shared" si="13"/>
        <v>1.0611022181865353</v>
      </c>
      <c r="W29" t="str">
        <f>+VLOOKUP(B29,Recursos!$C$15:$D$74,2,FALSE)</f>
        <v>Dibujantes</v>
      </c>
      <c r="X29">
        <f>VLOOKUP(B29,Recursos!C:G,5,FALSE)</f>
        <v>0</v>
      </c>
    </row>
    <row r="30" spans="2:24" hidden="1">
      <c r="B30" s="868" t="s">
        <v>435</v>
      </c>
      <c r="C30" s="128">
        <f t="shared" si="0"/>
        <v>281.15254184984235</v>
      </c>
      <c r="D30" s="128">
        <f>+Datos!$N$40</f>
        <v>189.92690936385813</v>
      </c>
      <c r="E30" s="864">
        <f>E17</f>
        <v>46000</v>
      </c>
      <c r="F30" s="116">
        <f t="shared" si="1"/>
        <v>0</v>
      </c>
      <c r="G30" s="1489">
        <f t="shared" si="2"/>
        <v>3833.3333333333335</v>
      </c>
      <c r="H30" s="119">
        <f t="shared" si="3"/>
        <v>0</v>
      </c>
      <c r="I30" s="120">
        <f t="shared" si="4"/>
        <v>0</v>
      </c>
      <c r="J30" s="120">
        <f t="shared" si="5"/>
        <v>0</v>
      </c>
      <c r="K30" s="120">
        <f t="shared" si="6"/>
        <v>0</v>
      </c>
      <c r="L30" s="122">
        <f t="shared" si="7"/>
        <v>2.6</v>
      </c>
      <c r="M30" s="120">
        <f t="shared" si="8"/>
        <v>1245.8333333333335</v>
      </c>
      <c r="N30" s="120">
        <f t="shared" si="9"/>
        <v>0</v>
      </c>
      <c r="O30" s="122">
        <f t="shared" si="10"/>
        <v>51081.76666666667</v>
      </c>
      <c r="P30" s="123">
        <f t="shared" si="11"/>
        <v>1.0250521739130436</v>
      </c>
      <c r="Q30" s="124">
        <f>+Datos!$S$38</f>
        <v>1016.6666666666665</v>
      </c>
      <c r="R30" s="123">
        <f>+Datos!$S$17</f>
        <v>1300</v>
      </c>
      <c r="S30" s="129">
        <f>+Datos!$S$24</f>
        <v>0</v>
      </c>
      <c r="T30" s="126">
        <f>+Datos!S28+Datos!S29+Datos!S30</f>
        <v>0</v>
      </c>
      <c r="U30" s="123">
        <f t="shared" si="12"/>
        <v>53398.433333333334</v>
      </c>
      <c r="V30" s="127">
        <f t="shared" si="13"/>
        <v>1.0715404682274248</v>
      </c>
      <c r="W30" t="str">
        <f>+VLOOKUP(B30,Recursos!$C$15:$D$74,2,FALSE)</f>
        <v>Apuntadores</v>
      </c>
      <c r="X30">
        <f>VLOOKUP(B30,Recursos!C:G,5,FALSE)</f>
        <v>0</v>
      </c>
    </row>
    <row r="31" spans="2:24" hidden="1">
      <c r="B31" s="869" t="s">
        <v>436</v>
      </c>
      <c r="C31" s="128">
        <f t="shared" si="0"/>
        <v>538.4006247938529</v>
      </c>
      <c r="D31" s="128">
        <f>+Datos!$N$40</f>
        <v>189.92690936385813</v>
      </c>
      <c r="E31" s="870">
        <f>ROUND($E$10*75%,-3)</f>
        <v>90000</v>
      </c>
      <c r="F31" s="116">
        <f t="shared" si="1"/>
        <v>0</v>
      </c>
      <c r="G31" s="1489">
        <f t="shared" si="2"/>
        <v>7500</v>
      </c>
      <c r="H31" s="119">
        <f t="shared" si="3"/>
        <v>0</v>
      </c>
      <c r="I31" s="120">
        <f t="shared" si="4"/>
        <v>0</v>
      </c>
      <c r="J31" s="120">
        <f t="shared" si="5"/>
        <v>0</v>
      </c>
      <c r="K31" s="120">
        <f t="shared" si="6"/>
        <v>0</v>
      </c>
      <c r="L31" s="122">
        <f t="shared" si="7"/>
        <v>2.6</v>
      </c>
      <c r="M31" s="120">
        <f t="shared" si="8"/>
        <v>2437.5</v>
      </c>
      <c r="N31" s="120">
        <f t="shared" si="9"/>
        <v>0</v>
      </c>
      <c r="O31" s="122">
        <f t="shared" si="10"/>
        <v>99940.1</v>
      </c>
      <c r="P31" s="123">
        <f t="shared" si="11"/>
        <v>1.0250266666666668</v>
      </c>
      <c r="Q31" s="124">
        <f>+Datos!$S$38</f>
        <v>1016.6666666666665</v>
      </c>
      <c r="R31" s="123">
        <f>+Datos!$S$17</f>
        <v>1300</v>
      </c>
      <c r="S31" s="129">
        <f>+Datos!$S$24</f>
        <v>0</v>
      </c>
      <c r="T31" s="126">
        <f>+Datos!S28+Datos!S29+Datos!S30</f>
        <v>0</v>
      </c>
      <c r="U31" s="123">
        <f t="shared" si="12"/>
        <v>102256.76666666668</v>
      </c>
      <c r="V31" s="127">
        <f t="shared" si="13"/>
        <v>1.0487873504273506</v>
      </c>
      <c r="W31" t="str">
        <f>+VLOOKUP(B31,Recursos!$C$15:$D$74,2,FALSE)</f>
        <v>Jefe Producción</v>
      </c>
      <c r="X31">
        <f>VLOOKUP(B31,Recursos!C:G,5,FALSE)</f>
        <v>0</v>
      </c>
    </row>
    <row r="32" spans="2:24" hidden="1">
      <c r="B32" s="867" t="s">
        <v>437</v>
      </c>
      <c r="C32" s="128">
        <f t="shared" si="0"/>
        <v>537.23131532592549</v>
      </c>
      <c r="D32" s="128">
        <f>+Datos!$N$40</f>
        <v>189.92690936385813</v>
      </c>
      <c r="E32" s="864">
        <f>ROUND((E31-E40)*80%+E40,-2)</f>
        <v>89800</v>
      </c>
      <c r="F32" s="116">
        <f t="shared" si="1"/>
        <v>0</v>
      </c>
      <c r="G32" s="1489">
        <f t="shared" si="2"/>
        <v>7483.333333333333</v>
      </c>
      <c r="H32" s="119">
        <f t="shared" si="3"/>
        <v>0</v>
      </c>
      <c r="I32" s="120">
        <f t="shared" si="4"/>
        <v>0</v>
      </c>
      <c r="J32" s="120">
        <f t="shared" si="5"/>
        <v>0</v>
      </c>
      <c r="K32" s="120">
        <f t="shared" si="6"/>
        <v>0</v>
      </c>
      <c r="L32" s="122">
        <f t="shared" si="7"/>
        <v>2.6</v>
      </c>
      <c r="M32" s="120">
        <f t="shared" si="8"/>
        <v>2432.0833333333335</v>
      </c>
      <c r="N32" s="120">
        <f t="shared" si="9"/>
        <v>0</v>
      </c>
      <c r="O32" s="122">
        <f t="shared" si="10"/>
        <v>99718.016666666663</v>
      </c>
      <c r="P32" s="123">
        <f t="shared" si="11"/>
        <v>1.0250267260579065</v>
      </c>
      <c r="Q32" s="124">
        <f>+Datos!$S$38</f>
        <v>1016.6666666666665</v>
      </c>
      <c r="R32" s="123">
        <f>+Datos!$S$17</f>
        <v>1300</v>
      </c>
      <c r="S32" s="129">
        <f>+Datos!$S$24</f>
        <v>0</v>
      </c>
      <c r="T32" s="126">
        <f>+Datos!S28+Datos!S29+Datos!S30</f>
        <v>0</v>
      </c>
      <c r="U32" s="123">
        <f t="shared" si="12"/>
        <v>102034.68333333333</v>
      </c>
      <c r="V32" s="127">
        <f t="shared" si="13"/>
        <v>1.0488403289360975</v>
      </c>
      <c r="W32" t="str">
        <f>+VLOOKUP(B32,Recursos!$C$15:$D$74,2,FALSE)</f>
        <v>Jefe de Minería Subt. Y C.Abierto</v>
      </c>
      <c r="X32">
        <f>VLOOKUP(B32,Recursos!C:G,5,FALSE)</f>
        <v>0</v>
      </c>
    </row>
    <row r="33" spans="2:24" hidden="1">
      <c r="B33" s="867" t="s">
        <v>7</v>
      </c>
      <c r="C33" s="128">
        <f t="shared" ref="C33:C39" si="14">+U33/D33</f>
        <v>536.6466605919619</v>
      </c>
      <c r="D33" s="128">
        <f>+Datos!$N$40</f>
        <v>189.92690936385813</v>
      </c>
      <c r="E33" s="864">
        <f>ROUND((E31-E40)*70%+E40,-2)</f>
        <v>89700</v>
      </c>
      <c r="F33" s="116">
        <f>+$F$6*E33</f>
        <v>0</v>
      </c>
      <c r="G33" s="1489">
        <f t="shared" ref="G33:G39" si="15">+SUM(E33:F33)/12</f>
        <v>7475</v>
      </c>
      <c r="H33" s="119">
        <f t="shared" ref="H33:H39" si="16">+$H$6*E33</f>
        <v>0</v>
      </c>
      <c r="I33" s="120">
        <f t="shared" ref="I33:I39" si="17">+I$4*(SUM(E33:G33))</f>
        <v>0</v>
      </c>
      <c r="J33" s="120">
        <f t="shared" ref="J33:J39" si="18">+J$4*(SUM(E33:G33))</f>
        <v>0</v>
      </c>
      <c r="K33" s="120">
        <f>+K$4*(SUM($E33:$G33))</f>
        <v>0</v>
      </c>
      <c r="L33" s="122">
        <f t="shared" si="7"/>
        <v>2.6</v>
      </c>
      <c r="M33" s="120">
        <f>+M$4*(SUM($E33:$G33))</f>
        <v>2429.375</v>
      </c>
      <c r="N33" s="120">
        <f>+N$4*(SUM($H33))</f>
        <v>0</v>
      </c>
      <c r="O33" s="122">
        <f t="shared" ref="O33:O39" si="19">+SUM(E33:N33)</f>
        <v>99606.975000000006</v>
      </c>
      <c r="P33" s="123">
        <f t="shared" ref="P33:P39" si="20">+O33/SUM(E33:G33)</f>
        <v>1.025026755852843</v>
      </c>
      <c r="Q33" s="124">
        <f>+Datos!$S$38</f>
        <v>1016.6666666666665</v>
      </c>
      <c r="R33" s="123">
        <f>+Datos!$S$17</f>
        <v>1300</v>
      </c>
      <c r="S33" s="129">
        <f>+Datos!$S$24</f>
        <v>0</v>
      </c>
      <c r="T33" s="126">
        <f>+Datos!S29+Datos!S30+Datos!S31</f>
        <v>0</v>
      </c>
      <c r="U33" s="123">
        <f t="shared" ref="U33:U39" si="21">+SUM(Q33:T33,O33)</f>
        <v>101923.64166666668</v>
      </c>
      <c r="V33" s="127">
        <f t="shared" ref="V33:V39" si="22">+U33/SUM(E33:G33)</f>
        <v>1.0488669067832948</v>
      </c>
      <c r="W33" t="str">
        <f>+VLOOKUP(B33,Recursos!$C$15:$D$74,2,FALSE)</f>
        <v>Jefe de Planteles</v>
      </c>
      <c r="X33">
        <f>VLOOKUP(B33,Recursos!C:G,5,FALSE)</f>
        <v>0</v>
      </c>
    </row>
    <row r="34" spans="2:24" hidden="1">
      <c r="B34" s="867" t="s">
        <v>3180</v>
      </c>
      <c r="C34" s="128">
        <f t="shared" si="14"/>
        <v>537.23131532592549</v>
      </c>
      <c r="D34" s="128">
        <f>+Datos!$N$40</f>
        <v>189.92690936385813</v>
      </c>
      <c r="E34" s="864">
        <f>ROUND((E31-E40)*80%+E40,-2)</f>
        <v>89800</v>
      </c>
      <c r="F34" s="116">
        <f>+$F$6*E34</f>
        <v>0</v>
      </c>
      <c r="G34" s="1489">
        <f t="shared" si="15"/>
        <v>7483.333333333333</v>
      </c>
      <c r="H34" s="119">
        <f t="shared" si="16"/>
        <v>0</v>
      </c>
      <c r="I34" s="120">
        <f t="shared" si="17"/>
        <v>0</v>
      </c>
      <c r="J34" s="120">
        <f t="shared" si="18"/>
        <v>0</v>
      </c>
      <c r="K34" s="120">
        <f>+K$4*(SUM($E34:$G34))</f>
        <v>0</v>
      </c>
      <c r="L34" s="122">
        <f t="shared" si="7"/>
        <v>2.6</v>
      </c>
      <c r="M34" s="120">
        <f>+M$4*(SUM($E34:$G34))</f>
        <v>2432.0833333333335</v>
      </c>
      <c r="N34" s="120">
        <f>+N$4*(SUM($H34))</f>
        <v>0</v>
      </c>
      <c r="O34" s="122">
        <f t="shared" si="19"/>
        <v>99718.016666666663</v>
      </c>
      <c r="P34" s="123">
        <f t="shared" si="20"/>
        <v>1.0250267260579065</v>
      </c>
      <c r="Q34" s="124">
        <f>+Datos!$S$38</f>
        <v>1016.6666666666665</v>
      </c>
      <c r="R34" s="123">
        <f>+Datos!$S$17</f>
        <v>1300</v>
      </c>
      <c r="S34" s="129">
        <f>+Datos!$S$24</f>
        <v>0</v>
      </c>
      <c r="T34" s="126">
        <f>+Datos!S30+Datos!S31+Datos!S32</f>
        <v>0</v>
      </c>
      <c r="U34" s="123">
        <f t="shared" si="21"/>
        <v>102034.68333333333</v>
      </c>
      <c r="V34" s="127">
        <f t="shared" si="22"/>
        <v>1.0488403289360975</v>
      </c>
      <c r="W34" t="str">
        <f>+VLOOKUP(B34,Recursos!$C$15:$D$74,2,FALSE)</f>
        <v>Jefe de Mov. de Suelos</v>
      </c>
      <c r="X34">
        <f>VLOOKUP(B34,Recursos!C:G,5,FALSE)</f>
        <v>0</v>
      </c>
    </row>
    <row r="35" spans="2:24" hidden="1">
      <c r="B35" s="867" t="s">
        <v>8</v>
      </c>
      <c r="C35" s="128">
        <f t="shared" si="14"/>
        <v>537.23131532592549</v>
      </c>
      <c r="D35" s="128">
        <f>+Datos!$N$40</f>
        <v>189.92690936385813</v>
      </c>
      <c r="E35" s="864">
        <f>ROUND((E31-E40)*80%+E40,-2)</f>
        <v>89800</v>
      </c>
      <c r="F35" s="116">
        <f t="shared" si="1"/>
        <v>0</v>
      </c>
      <c r="G35" s="1489">
        <f t="shared" si="15"/>
        <v>7483.333333333333</v>
      </c>
      <c r="H35" s="119">
        <f t="shared" si="16"/>
        <v>0</v>
      </c>
      <c r="I35" s="120">
        <f t="shared" si="17"/>
        <v>0</v>
      </c>
      <c r="J35" s="120">
        <f t="shared" si="18"/>
        <v>0</v>
      </c>
      <c r="K35" s="120">
        <f t="shared" si="6"/>
        <v>0</v>
      </c>
      <c r="L35" s="122">
        <f t="shared" si="7"/>
        <v>2.6</v>
      </c>
      <c r="M35" s="120">
        <f t="shared" si="8"/>
        <v>2432.0833333333335</v>
      </c>
      <c r="N35" s="120">
        <f t="shared" si="9"/>
        <v>0</v>
      </c>
      <c r="O35" s="122">
        <f t="shared" si="19"/>
        <v>99718.016666666663</v>
      </c>
      <c r="P35" s="123">
        <f t="shared" si="20"/>
        <v>1.0250267260579065</v>
      </c>
      <c r="Q35" s="124">
        <f>+Datos!$S$38</f>
        <v>1016.6666666666665</v>
      </c>
      <c r="R35" s="123">
        <f>+Datos!$S$17</f>
        <v>1300</v>
      </c>
      <c r="S35" s="129">
        <f>+Datos!$S$24</f>
        <v>0</v>
      </c>
      <c r="T35" s="126">
        <f>+Datos!$S$30+Datos!$S$31+Datos!$S$32</f>
        <v>0</v>
      </c>
      <c r="U35" s="123">
        <f t="shared" si="21"/>
        <v>102034.68333333333</v>
      </c>
      <c r="V35" s="127">
        <f t="shared" si="22"/>
        <v>1.0488403289360975</v>
      </c>
      <c r="W35" t="str">
        <f>+VLOOKUP(B35,Recursos!$C$15:$D$74,2,FALSE)</f>
        <v>Jefe de Hormigones</v>
      </c>
      <c r="X35">
        <f>VLOOKUP(B35,Recursos!C:G,5,FALSE)</f>
        <v>0</v>
      </c>
    </row>
    <row r="36" spans="2:24" hidden="1">
      <c r="B36" s="867" t="s">
        <v>1067</v>
      </c>
      <c r="C36" s="128">
        <f t="shared" si="14"/>
        <v>537.23131532592549</v>
      </c>
      <c r="D36" s="128">
        <f>+Datos!$N$40</f>
        <v>189.92690936385813</v>
      </c>
      <c r="E36" s="864">
        <f>ROUND((E31-E40)*80%+E40,-2)</f>
        <v>89800</v>
      </c>
      <c r="F36" s="116">
        <f t="shared" si="1"/>
        <v>0</v>
      </c>
      <c r="G36" s="1489">
        <f t="shared" si="15"/>
        <v>7483.333333333333</v>
      </c>
      <c r="H36" s="119">
        <f t="shared" si="16"/>
        <v>0</v>
      </c>
      <c r="I36" s="120">
        <f t="shared" si="17"/>
        <v>0</v>
      </c>
      <c r="J36" s="120">
        <f t="shared" si="18"/>
        <v>0</v>
      </c>
      <c r="K36" s="120">
        <f t="shared" si="6"/>
        <v>0</v>
      </c>
      <c r="L36" s="122">
        <f t="shared" si="7"/>
        <v>2.6</v>
      </c>
      <c r="M36" s="120">
        <f t="shared" si="8"/>
        <v>2432.0833333333335</v>
      </c>
      <c r="N36" s="120">
        <f t="shared" si="9"/>
        <v>0</v>
      </c>
      <c r="O36" s="122">
        <f t="shared" si="19"/>
        <v>99718.016666666663</v>
      </c>
      <c r="P36" s="123">
        <f t="shared" si="20"/>
        <v>1.0250267260579065</v>
      </c>
      <c r="Q36" s="124">
        <f>+Datos!$S$38</f>
        <v>1016.6666666666665</v>
      </c>
      <c r="R36" s="123">
        <f>+Datos!$S$17</f>
        <v>1300</v>
      </c>
      <c r="S36" s="129">
        <f>+Datos!$S$24</f>
        <v>0</v>
      </c>
      <c r="T36" s="126">
        <f>+Datos!$S$30+Datos!$S$31+Datos!$S$32</f>
        <v>0</v>
      </c>
      <c r="U36" s="123">
        <f t="shared" si="21"/>
        <v>102034.68333333333</v>
      </c>
      <c r="V36" s="127">
        <f t="shared" si="22"/>
        <v>1.0488403289360975</v>
      </c>
      <c r="W36" t="str">
        <f>+VLOOKUP(B36,Recursos!$C$15:$D$74,2,FALSE)</f>
        <v>Jefe de Armaduras y Playa Hierro</v>
      </c>
      <c r="X36">
        <f>VLOOKUP(B36,Recursos!C:G,5,FALSE)</f>
        <v>0</v>
      </c>
    </row>
    <row r="37" spans="2:24" hidden="1">
      <c r="B37" s="867" t="s">
        <v>1068</v>
      </c>
      <c r="C37" s="128">
        <f t="shared" si="14"/>
        <v>537.23131532592549</v>
      </c>
      <c r="D37" s="128">
        <f>+Datos!$N$40</f>
        <v>189.92690936385813</v>
      </c>
      <c r="E37" s="864">
        <f>ROUND((E31-E40)*80%+E40,-2)</f>
        <v>89800</v>
      </c>
      <c r="F37" s="116">
        <f t="shared" si="1"/>
        <v>0</v>
      </c>
      <c r="G37" s="1489">
        <f t="shared" si="15"/>
        <v>7483.333333333333</v>
      </c>
      <c r="H37" s="119">
        <f t="shared" si="16"/>
        <v>0</v>
      </c>
      <c r="I37" s="120">
        <f t="shared" si="17"/>
        <v>0</v>
      </c>
      <c r="J37" s="120">
        <f t="shared" si="18"/>
        <v>0</v>
      </c>
      <c r="K37" s="120">
        <f t="shared" si="6"/>
        <v>0</v>
      </c>
      <c r="L37" s="122">
        <f t="shared" si="7"/>
        <v>2.6</v>
      </c>
      <c r="M37" s="120">
        <f t="shared" si="8"/>
        <v>2432.0833333333335</v>
      </c>
      <c r="N37" s="120">
        <f t="shared" si="9"/>
        <v>0</v>
      </c>
      <c r="O37" s="122">
        <f t="shared" si="19"/>
        <v>99718.016666666663</v>
      </c>
      <c r="P37" s="123">
        <f t="shared" si="20"/>
        <v>1.0250267260579065</v>
      </c>
      <c r="Q37" s="124">
        <f>+Datos!$S$38</f>
        <v>1016.6666666666665</v>
      </c>
      <c r="R37" s="123">
        <f>+Datos!$S$17</f>
        <v>1300</v>
      </c>
      <c r="S37" s="129">
        <f>+Datos!$S$24</f>
        <v>0</v>
      </c>
      <c r="T37" s="126">
        <f>+Datos!$S$30+Datos!$S$31+Datos!$S$32</f>
        <v>0</v>
      </c>
      <c r="U37" s="123">
        <f t="shared" si="21"/>
        <v>102034.68333333333</v>
      </c>
      <c r="V37" s="127">
        <f t="shared" si="22"/>
        <v>1.0488403289360975</v>
      </c>
      <c r="W37" t="str">
        <f>+VLOOKUP(B37,Recursos!$C$15:$D$74,2,FALSE)</f>
        <v>Jefe Encofrados y Carpinterias</v>
      </c>
      <c r="X37">
        <f>VLOOKUP(B37,Recursos!C:G,5,FALSE)</f>
        <v>0</v>
      </c>
    </row>
    <row r="38" spans="2:24" hidden="1">
      <c r="B38" s="867" t="s">
        <v>1069</v>
      </c>
      <c r="C38" s="128">
        <f t="shared" si="14"/>
        <v>537.23131532592549</v>
      </c>
      <c r="D38" s="128">
        <f>+Datos!$N$40</f>
        <v>189.92690936385813</v>
      </c>
      <c r="E38" s="864">
        <f>ROUND((E31-E40)*80%+E40,-2)</f>
        <v>89800</v>
      </c>
      <c r="F38" s="116">
        <f t="shared" si="1"/>
        <v>0</v>
      </c>
      <c r="G38" s="1489">
        <f t="shared" si="15"/>
        <v>7483.333333333333</v>
      </c>
      <c r="H38" s="119">
        <f t="shared" si="16"/>
        <v>0</v>
      </c>
      <c r="I38" s="120">
        <f t="shared" si="17"/>
        <v>0</v>
      </c>
      <c r="J38" s="120">
        <f t="shared" si="18"/>
        <v>0</v>
      </c>
      <c r="K38" s="120">
        <f t="shared" si="6"/>
        <v>0</v>
      </c>
      <c r="L38" s="122">
        <f t="shared" si="7"/>
        <v>2.6</v>
      </c>
      <c r="M38" s="120">
        <f t="shared" si="8"/>
        <v>2432.0833333333335</v>
      </c>
      <c r="N38" s="120">
        <f t="shared" si="9"/>
        <v>0</v>
      </c>
      <c r="O38" s="122">
        <f t="shared" si="19"/>
        <v>99718.016666666663</v>
      </c>
      <c r="P38" s="123">
        <f t="shared" si="20"/>
        <v>1.0250267260579065</v>
      </c>
      <c r="Q38" s="124">
        <f>+Datos!$S$38</f>
        <v>1016.6666666666665</v>
      </c>
      <c r="R38" s="123">
        <f>+Datos!$S$17</f>
        <v>1300</v>
      </c>
      <c r="S38" s="129">
        <f>+Datos!$S$24</f>
        <v>0</v>
      </c>
      <c r="T38" s="126">
        <f>+Datos!$S$30+Datos!$S$31+Datos!$S$32</f>
        <v>0</v>
      </c>
      <c r="U38" s="123">
        <f t="shared" si="21"/>
        <v>102034.68333333333</v>
      </c>
      <c r="V38" s="127">
        <f t="shared" si="22"/>
        <v>1.0488403289360975</v>
      </c>
      <c r="W38" t="str">
        <f>+VLOOKUP(B38,Recursos!$C$15:$D$74,2,FALSE)</f>
        <v>Jefe Tuberias</v>
      </c>
      <c r="X38">
        <f>VLOOKUP(B38,Recursos!C:G,5,FALSE)</f>
        <v>0</v>
      </c>
    </row>
    <row r="39" spans="2:24" hidden="1">
      <c r="B39" s="867" t="s">
        <v>1072</v>
      </c>
      <c r="C39" s="128">
        <f t="shared" si="14"/>
        <v>479.93515139748689</v>
      </c>
      <c r="D39" s="128">
        <f>+Datos!$N$40</f>
        <v>189.92690936385813</v>
      </c>
      <c r="E39" s="864">
        <v>80000</v>
      </c>
      <c r="F39" s="116">
        <f t="shared" si="1"/>
        <v>0</v>
      </c>
      <c r="G39" s="1489">
        <f t="shared" si="15"/>
        <v>6666.666666666667</v>
      </c>
      <c r="H39" s="119">
        <f t="shared" si="16"/>
        <v>0</v>
      </c>
      <c r="I39" s="120">
        <f t="shared" si="17"/>
        <v>0</v>
      </c>
      <c r="J39" s="120">
        <f t="shared" si="18"/>
        <v>0</v>
      </c>
      <c r="K39" s="120">
        <f t="shared" si="6"/>
        <v>0</v>
      </c>
      <c r="L39" s="122">
        <f t="shared" si="7"/>
        <v>2.6</v>
      </c>
      <c r="M39" s="120">
        <f t="shared" si="8"/>
        <v>2166.666666666667</v>
      </c>
      <c r="N39" s="120">
        <f t="shared" si="9"/>
        <v>0</v>
      </c>
      <c r="O39" s="122">
        <f t="shared" si="19"/>
        <v>88835.933333333349</v>
      </c>
      <c r="P39" s="123">
        <f t="shared" si="20"/>
        <v>1.0250300000000001</v>
      </c>
      <c r="Q39" s="124">
        <f>+Datos!$S$38</f>
        <v>1016.6666666666665</v>
      </c>
      <c r="R39" s="123">
        <f>+Datos!$S$17</f>
        <v>1300</v>
      </c>
      <c r="S39" s="129">
        <f>+Datos!$S$24</f>
        <v>0</v>
      </c>
      <c r="T39" s="126">
        <f>+Datos!$S$30+Datos!$S$31+Datos!$S$32</f>
        <v>0</v>
      </c>
      <c r="U39" s="123">
        <f t="shared" si="21"/>
        <v>91152.60000000002</v>
      </c>
      <c r="V39" s="127">
        <f t="shared" si="22"/>
        <v>1.0517607692307693</v>
      </c>
      <c r="W39" t="str">
        <f>+VLOOKUP(B39,Recursos!$C$15:$D$74,2,FALSE)</f>
        <v>Capataces Generales</v>
      </c>
      <c r="X39">
        <f>VLOOKUP(B39,Recursos!C:G,5,FALSE)</f>
        <v>0</v>
      </c>
    </row>
    <row r="40" spans="2:24" hidden="1">
      <c r="B40" s="868" t="s">
        <v>3181</v>
      </c>
      <c r="C40" s="128">
        <f t="shared" ref="C40:C66" si="23">+U40/D40</f>
        <v>532.55407745421633</v>
      </c>
      <c r="D40" s="128">
        <f>+Datos!$N$40</f>
        <v>189.92690936385813</v>
      </c>
      <c r="E40" s="871">
        <f>ROUND(MOd_CE!$H$42*1.4,-3)</f>
        <v>89000</v>
      </c>
      <c r="F40" s="116">
        <f t="shared" ref="F40:F66" si="24">+$F$6*E40</f>
        <v>0</v>
      </c>
      <c r="G40" s="1489">
        <f t="shared" ref="G40:G66" si="25">+SUM(E40:F40)/12</f>
        <v>7416.666666666667</v>
      </c>
      <c r="H40" s="119">
        <f t="shared" ref="H40:H66" si="26">+$H$6*E40</f>
        <v>0</v>
      </c>
      <c r="I40" s="120">
        <f t="shared" ref="I40:I66" si="27">+I$4*(SUM(E40:G40))</f>
        <v>0</v>
      </c>
      <c r="J40" s="120">
        <f t="shared" ref="J40:J66" si="28">+J$4*(SUM(E40:G40))</f>
        <v>0</v>
      </c>
      <c r="K40" s="120">
        <f t="shared" si="6"/>
        <v>0</v>
      </c>
      <c r="L40" s="122">
        <f t="shared" si="7"/>
        <v>2.6</v>
      </c>
      <c r="M40" s="120">
        <f t="shared" si="8"/>
        <v>2410.416666666667</v>
      </c>
      <c r="N40" s="120">
        <f t="shared" si="9"/>
        <v>0</v>
      </c>
      <c r="O40" s="122">
        <f t="shared" ref="O40:O66" si="29">+SUM(E40:N40)</f>
        <v>98829.683333333349</v>
      </c>
      <c r="P40" s="123">
        <f t="shared" ref="P40:P66" si="30">+O40/SUM(E40:G40)</f>
        <v>1.025026966292135</v>
      </c>
      <c r="Q40" s="124">
        <f>+Datos!$S$38</f>
        <v>1016.6666666666665</v>
      </c>
      <c r="R40" s="123">
        <f>+Datos!$S$17</f>
        <v>1300</v>
      </c>
      <c r="S40" s="129">
        <f>+Datos!$S$24</f>
        <v>0</v>
      </c>
      <c r="T40" s="126">
        <f>+Datos!$S$30+Datos!$S$31+Datos!$S$32</f>
        <v>0</v>
      </c>
      <c r="U40" s="123">
        <f t="shared" ref="U40:U66" si="31">+SUM(Q40:T40,O40)</f>
        <v>101146.35000000002</v>
      </c>
      <c r="V40" s="127">
        <f t="shared" ref="V40:V66" si="32">+U40/SUM(E40:G40)</f>
        <v>1.0490546240276579</v>
      </c>
      <c r="W40" t="str">
        <f>+VLOOKUP(B40,Recursos!$C$15:$D$74,2,FALSE)</f>
        <v>Capataces de Obra, Plantas</v>
      </c>
      <c r="X40">
        <f>VLOOKUP(B40,Recursos!C:G,5,FALSE)</f>
        <v>0</v>
      </c>
    </row>
    <row r="41" spans="2:24" hidden="1">
      <c r="B41" s="869" t="s">
        <v>3182</v>
      </c>
      <c r="C41" s="128">
        <f t="shared" si="23"/>
        <v>433.16277268039403</v>
      </c>
      <c r="D41" s="128">
        <f>+Datos!$N$40</f>
        <v>189.92690936385813</v>
      </c>
      <c r="E41" s="870">
        <f>ROUND($E$10*60%,-3)</f>
        <v>72000</v>
      </c>
      <c r="F41" s="116">
        <f t="shared" si="24"/>
        <v>0</v>
      </c>
      <c r="G41" s="1489">
        <f t="shared" si="25"/>
        <v>6000</v>
      </c>
      <c r="H41" s="119">
        <f t="shared" si="26"/>
        <v>0</v>
      </c>
      <c r="I41" s="120">
        <f t="shared" si="27"/>
        <v>0</v>
      </c>
      <c r="J41" s="120">
        <f t="shared" si="28"/>
        <v>0</v>
      </c>
      <c r="K41" s="120">
        <f t="shared" si="6"/>
        <v>0</v>
      </c>
      <c r="L41" s="122">
        <f t="shared" si="7"/>
        <v>2.6</v>
      </c>
      <c r="M41" s="120">
        <f t="shared" si="8"/>
        <v>1950</v>
      </c>
      <c r="N41" s="120">
        <f t="shared" si="9"/>
        <v>0</v>
      </c>
      <c r="O41" s="122">
        <f t="shared" si="29"/>
        <v>79952.600000000006</v>
      </c>
      <c r="P41" s="123">
        <f t="shared" si="30"/>
        <v>1.0250333333333335</v>
      </c>
      <c r="Q41" s="124">
        <f>+Datos!$S$38</f>
        <v>1016.6666666666665</v>
      </c>
      <c r="R41" s="123">
        <f>+Datos!$S$17</f>
        <v>1300</v>
      </c>
      <c r="S41" s="129">
        <f>+Datos!$S$24</f>
        <v>0</v>
      </c>
      <c r="T41" s="126">
        <f>+Datos!$S$30+Datos!$S$31+Datos!$S$32</f>
        <v>0</v>
      </c>
      <c r="U41" s="123">
        <f t="shared" si="31"/>
        <v>82269.266666666677</v>
      </c>
      <c r="V41" s="127">
        <f t="shared" si="32"/>
        <v>1.0547341880341883</v>
      </c>
      <c r="W41" t="str">
        <f>+VLOOKUP(B41,Recursos!$C$15:$D$74,2,FALSE)</f>
        <v>Jefe Administrativo Contable</v>
      </c>
      <c r="X41">
        <f>VLOOKUP(B41,Recursos!C:G,5,FALSE)</f>
        <v>0</v>
      </c>
    </row>
    <row r="42" spans="2:24">
      <c r="B42" s="867" t="s">
        <v>3183</v>
      </c>
      <c r="C42" s="128">
        <f t="shared" si="23"/>
        <v>304.5387312083887</v>
      </c>
      <c r="D42" s="128">
        <f>+Datos!$N$40</f>
        <v>189.92690936385813</v>
      </c>
      <c r="E42" s="864">
        <v>50000</v>
      </c>
      <c r="F42" s="116">
        <f t="shared" si="24"/>
        <v>0</v>
      </c>
      <c r="G42" s="1489">
        <f t="shared" si="25"/>
        <v>4166.666666666667</v>
      </c>
      <c r="H42" s="119">
        <f t="shared" si="26"/>
        <v>0</v>
      </c>
      <c r="I42" s="120">
        <f t="shared" si="27"/>
        <v>0</v>
      </c>
      <c r="J42" s="120">
        <f t="shared" si="28"/>
        <v>0</v>
      </c>
      <c r="K42" s="120">
        <f t="shared" si="6"/>
        <v>0</v>
      </c>
      <c r="L42" s="122">
        <f t="shared" si="7"/>
        <v>2.6</v>
      </c>
      <c r="M42" s="120">
        <f t="shared" si="8"/>
        <v>1354.1666666666667</v>
      </c>
      <c r="N42" s="120">
        <f t="shared" si="9"/>
        <v>0</v>
      </c>
      <c r="O42" s="122">
        <f t="shared" si="29"/>
        <v>55523.433333333327</v>
      </c>
      <c r="P42" s="123">
        <f t="shared" si="30"/>
        <v>1.025048</v>
      </c>
      <c r="Q42" s="124">
        <f>+Datos!$S$38</f>
        <v>1016.6666666666665</v>
      </c>
      <c r="R42" s="123">
        <f>+Datos!$S$17</f>
        <v>1300</v>
      </c>
      <c r="S42" s="129">
        <f>+Datos!$S$24</f>
        <v>0</v>
      </c>
      <c r="T42" s="126">
        <f>+Datos!$S$30+Datos!$S$31+Datos!$S$32</f>
        <v>0</v>
      </c>
      <c r="U42" s="123">
        <f t="shared" si="31"/>
        <v>57840.099999999991</v>
      </c>
      <c r="V42" s="127">
        <f t="shared" si="32"/>
        <v>1.0678172307692306</v>
      </c>
      <c r="W42" t="str">
        <f>+VLOOKUP(B42,Recursos!$C$15:$D$74,2,FALSE)</f>
        <v>Jefe de Compras</v>
      </c>
      <c r="X42">
        <f>VLOOKUP(B42,Recursos!C:G,5,FALSE)</f>
        <v>95</v>
      </c>
    </row>
    <row r="43" spans="2:24" hidden="1">
      <c r="B43" s="867" t="s">
        <v>3184</v>
      </c>
      <c r="C43" s="128">
        <f t="shared" si="23"/>
        <v>341.95663418206294</v>
      </c>
      <c r="D43" s="128">
        <f>+Datos!$N$40</f>
        <v>189.92690936385813</v>
      </c>
      <c r="E43" s="864">
        <f>ROUND((E41-E50)*40%+E50,-2)</f>
        <v>56400</v>
      </c>
      <c r="F43" s="116">
        <f t="shared" si="24"/>
        <v>0</v>
      </c>
      <c r="G43" s="1489">
        <f t="shared" si="25"/>
        <v>4700</v>
      </c>
      <c r="H43" s="119">
        <f t="shared" si="26"/>
        <v>0</v>
      </c>
      <c r="I43" s="120">
        <f t="shared" si="27"/>
        <v>0</v>
      </c>
      <c r="J43" s="120">
        <f t="shared" si="28"/>
        <v>0</v>
      </c>
      <c r="K43" s="120">
        <f t="shared" si="6"/>
        <v>0</v>
      </c>
      <c r="L43" s="122">
        <f t="shared" si="7"/>
        <v>2.6</v>
      </c>
      <c r="M43" s="120">
        <f t="shared" si="8"/>
        <v>1527.5</v>
      </c>
      <c r="N43" s="120">
        <f t="shared" si="9"/>
        <v>0</v>
      </c>
      <c r="O43" s="122">
        <f t="shared" si="29"/>
        <v>62630.1</v>
      </c>
      <c r="P43" s="123">
        <f t="shared" si="30"/>
        <v>1.0250425531914893</v>
      </c>
      <c r="Q43" s="124">
        <f>+Datos!$S$38</f>
        <v>1016.6666666666665</v>
      </c>
      <c r="R43" s="123">
        <f>+Datos!$S$17</f>
        <v>1300</v>
      </c>
      <c r="S43" s="129">
        <f>+Datos!$S$24</f>
        <v>0</v>
      </c>
      <c r="T43" s="126">
        <f>+Datos!$S$30+Datos!$S$31+Datos!$S$32</f>
        <v>0</v>
      </c>
      <c r="U43" s="123">
        <f t="shared" si="31"/>
        <v>64946.766666666663</v>
      </c>
      <c r="V43" s="127">
        <f t="shared" si="32"/>
        <v>1.0629585379159847</v>
      </c>
      <c r="W43" t="str">
        <f>+VLOOKUP(B43,Recursos!$C$15:$D$74,2,FALSE)</f>
        <v>Jefe de Deposito</v>
      </c>
      <c r="X43">
        <f>VLOOKUP(B43,Recursos!C:G,5,FALSE)</f>
        <v>0</v>
      </c>
    </row>
    <row r="44" spans="2:24" hidden="1">
      <c r="B44" s="867" t="s">
        <v>3185</v>
      </c>
      <c r="C44" s="128">
        <f t="shared" si="23"/>
        <v>341.95663418206294</v>
      </c>
      <c r="D44" s="128">
        <f>+Datos!$N$40</f>
        <v>189.92690936385813</v>
      </c>
      <c r="E44" s="864">
        <f>ROUND((E41-E50)*40%+E50,-2)</f>
        <v>56400</v>
      </c>
      <c r="F44" s="116">
        <f t="shared" si="24"/>
        <v>0</v>
      </c>
      <c r="G44" s="1489">
        <f t="shared" si="25"/>
        <v>4700</v>
      </c>
      <c r="H44" s="119">
        <f t="shared" si="26"/>
        <v>0</v>
      </c>
      <c r="I44" s="120">
        <f t="shared" si="27"/>
        <v>0</v>
      </c>
      <c r="J44" s="120">
        <f t="shared" si="28"/>
        <v>0</v>
      </c>
      <c r="K44" s="120">
        <f t="shared" si="6"/>
        <v>0</v>
      </c>
      <c r="L44" s="122">
        <f t="shared" si="7"/>
        <v>2.6</v>
      </c>
      <c r="M44" s="120">
        <f t="shared" si="8"/>
        <v>1527.5</v>
      </c>
      <c r="N44" s="120">
        <f t="shared" si="9"/>
        <v>0</v>
      </c>
      <c r="O44" s="122">
        <f t="shared" si="29"/>
        <v>62630.1</v>
      </c>
      <c r="P44" s="123">
        <f t="shared" si="30"/>
        <v>1.0250425531914893</v>
      </c>
      <c r="Q44" s="124">
        <f>+Datos!$S$38</f>
        <v>1016.6666666666665</v>
      </c>
      <c r="R44" s="123">
        <f>+Datos!$S$17</f>
        <v>1300</v>
      </c>
      <c r="S44" s="129">
        <f>+Datos!$S$24</f>
        <v>0</v>
      </c>
      <c r="T44" s="126">
        <f>+Datos!$S$30+Datos!$S$31+Datos!$S$32</f>
        <v>0</v>
      </c>
      <c r="U44" s="123">
        <f t="shared" si="31"/>
        <v>64946.766666666663</v>
      </c>
      <c r="V44" s="127">
        <f t="shared" si="32"/>
        <v>1.0629585379159847</v>
      </c>
      <c r="W44" t="str">
        <f>+VLOOKUP(B44,Recursos!$C$15:$D$74,2,FALSE)</f>
        <v>Jefe de Campamento</v>
      </c>
      <c r="X44">
        <f>VLOOKUP(B44,Recursos!C:G,5,FALSE)</f>
        <v>0</v>
      </c>
    </row>
    <row r="45" spans="2:24" hidden="1">
      <c r="B45" s="867" t="s">
        <v>3186</v>
      </c>
      <c r="C45" s="128">
        <f t="shared" si="23"/>
        <v>341.95663418206294</v>
      </c>
      <c r="D45" s="128">
        <f>+Datos!$N$40</f>
        <v>189.92690936385813</v>
      </c>
      <c r="E45" s="864">
        <f>ROUND((E41-E50)*40%+E50,-2)</f>
        <v>56400</v>
      </c>
      <c r="F45" s="116">
        <f t="shared" si="24"/>
        <v>0</v>
      </c>
      <c r="G45" s="1489">
        <f t="shared" si="25"/>
        <v>4700</v>
      </c>
      <c r="H45" s="119">
        <f t="shared" si="26"/>
        <v>0</v>
      </c>
      <c r="I45" s="120">
        <f t="shared" si="27"/>
        <v>0</v>
      </c>
      <c r="J45" s="120">
        <f t="shared" si="28"/>
        <v>0</v>
      </c>
      <c r="K45" s="120">
        <f t="shared" si="6"/>
        <v>0</v>
      </c>
      <c r="L45" s="122">
        <f t="shared" si="7"/>
        <v>2.6</v>
      </c>
      <c r="M45" s="120">
        <f t="shared" si="8"/>
        <v>1527.5</v>
      </c>
      <c r="N45" s="120">
        <f t="shared" si="9"/>
        <v>0</v>
      </c>
      <c r="O45" s="122">
        <f t="shared" si="29"/>
        <v>62630.1</v>
      </c>
      <c r="P45" s="123">
        <f t="shared" si="30"/>
        <v>1.0250425531914893</v>
      </c>
      <c r="Q45" s="124">
        <f>+Datos!$S$38</f>
        <v>1016.6666666666665</v>
      </c>
      <c r="R45" s="123">
        <f>+Datos!$S$17</f>
        <v>1300</v>
      </c>
      <c r="S45" s="129">
        <f>+Datos!$S$24</f>
        <v>0</v>
      </c>
      <c r="T45" s="126">
        <f>+Datos!$S$30+Datos!$S$31+Datos!$S$32</f>
        <v>0</v>
      </c>
      <c r="U45" s="123">
        <f t="shared" si="31"/>
        <v>64946.766666666663</v>
      </c>
      <c r="V45" s="127">
        <f t="shared" si="32"/>
        <v>1.0629585379159847</v>
      </c>
      <c r="W45" t="str">
        <f>+VLOOKUP(B45,Recursos!$C$15:$D$74,2,FALSE)</f>
        <v>Enc.Servicios Generales</v>
      </c>
      <c r="X45">
        <f>VLOOKUP(B45,Recursos!C:G,5,FALSE)</f>
        <v>0</v>
      </c>
    </row>
    <row r="46" spans="2:24" hidden="1">
      <c r="B46" s="867" t="s">
        <v>3187</v>
      </c>
      <c r="C46" s="128">
        <f t="shared" si="23"/>
        <v>387.55970343122851</v>
      </c>
      <c r="D46" s="128">
        <f>+Datos!$N$40</f>
        <v>189.92690936385813</v>
      </c>
      <c r="E46" s="864">
        <f>ROUND((E41-E50)*70%+E50,-2)</f>
        <v>64200</v>
      </c>
      <c r="F46" s="116">
        <f t="shared" si="24"/>
        <v>0</v>
      </c>
      <c r="G46" s="1489">
        <f t="shared" si="25"/>
        <v>5350</v>
      </c>
      <c r="H46" s="119">
        <f t="shared" si="26"/>
        <v>0</v>
      </c>
      <c r="I46" s="120">
        <f t="shared" si="27"/>
        <v>0</v>
      </c>
      <c r="J46" s="120">
        <f t="shared" si="28"/>
        <v>0</v>
      </c>
      <c r="K46" s="120">
        <f t="shared" si="6"/>
        <v>0</v>
      </c>
      <c r="L46" s="122">
        <f t="shared" si="7"/>
        <v>2.6</v>
      </c>
      <c r="M46" s="120">
        <f t="shared" si="8"/>
        <v>1738.75</v>
      </c>
      <c r="N46" s="120">
        <f t="shared" si="9"/>
        <v>0</v>
      </c>
      <c r="O46" s="122">
        <f t="shared" si="29"/>
        <v>71291.350000000006</v>
      </c>
      <c r="P46" s="123">
        <f t="shared" si="30"/>
        <v>1.0250373831775701</v>
      </c>
      <c r="Q46" s="124">
        <f>+Datos!$S$38</f>
        <v>1016.6666666666665</v>
      </c>
      <c r="R46" s="123">
        <f>+Datos!$S$17</f>
        <v>1300</v>
      </c>
      <c r="S46" s="129">
        <f>+Datos!$S$24</f>
        <v>0</v>
      </c>
      <c r="T46" s="126">
        <f>+Datos!$S$30+Datos!$S$31+Datos!$S$32</f>
        <v>0</v>
      </c>
      <c r="U46" s="123">
        <f t="shared" si="31"/>
        <v>73608.016666666677</v>
      </c>
      <c r="V46" s="127">
        <f t="shared" si="32"/>
        <v>1.0583467529355381</v>
      </c>
      <c r="W46" t="str">
        <f>+VLOOKUP(B46,Recursos!$C$15:$D$74,2,FALSE)</f>
        <v>Enc. Administrativo</v>
      </c>
      <c r="X46">
        <f>VLOOKUP(B46,Recursos!C:G,5,FALSE)</f>
        <v>0</v>
      </c>
    </row>
    <row r="47" spans="2:24" hidden="1">
      <c r="B47" s="867" t="s">
        <v>3188</v>
      </c>
      <c r="C47" s="128">
        <f t="shared" si="23"/>
        <v>387.55970343122851</v>
      </c>
      <c r="D47" s="128">
        <f>+Datos!$N$40</f>
        <v>189.92690936385813</v>
      </c>
      <c r="E47" s="864">
        <f>ROUND((E41-E50)*70%+E50,-2)</f>
        <v>64200</v>
      </c>
      <c r="F47" s="116">
        <f t="shared" si="24"/>
        <v>0</v>
      </c>
      <c r="G47" s="1489">
        <f t="shared" si="25"/>
        <v>5350</v>
      </c>
      <c r="H47" s="119">
        <f t="shared" si="26"/>
        <v>0</v>
      </c>
      <c r="I47" s="120">
        <f t="shared" si="27"/>
        <v>0</v>
      </c>
      <c r="J47" s="120">
        <f t="shared" si="28"/>
        <v>0</v>
      </c>
      <c r="K47" s="120">
        <f t="shared" si="6"/>
        <v>0</v>
      </c>
      <c r="L47" s="122">
        <f t="shared" si="7"/>
        <v>2.6</v>
      </c>
      <c r="M47" s="120">
        <f t="shared" si="8"/>
        <v>1738.75</v>
      </c>
      <c r="N47" s="120">
        <f t="shared" si="9"/>
        <v>0</v>
      </c>
      <c r="O47" s="122">
        <f t="shared" si="29"/>
        <v>71291.350000000006</v>
      </c>
      <c r="P47" s="123">
        <f t="shared" si="30"/>
        <v>1.0250373831775701</v>
      </c>
      <c r="Q47" s="124">
        <f>+Datos!$S$38</f>
        <v>1016.6666666666665</v>
      </c>
      <c r="R47" s="123">
        <f>+Datos!$S$17</f>
        <v>1300</v>
      </c>
      <c r="S47" s="129">
        <f>+Datos!$S$24</f>
        <v>0</v>
      </c>
      <c r="T47" s="126">
        <f>+Datos!$S$30+Datos!$S$31+Datos!$S$32</f>
        <v>0</v>
      </c>
      <c r="U47" s="123">
        <f t="shared" si="31"/>
        <v>73608.016666666677</v>
      </c>
      <c r="V47" s="127">
        <f t="shared" si="32"/>
        <v>1.0583467529355381</v>
      </c>
      <c r="W47" t="str">
        <f>+VLOOKUP(B47,Recursos!$C$15:$D$74,2,FALSE)</f>
        <v>Encargado Financiero</v>
      </c>
      <c r="X47">
        <f>VLOOKUP(B47,Recursos!C:G,5,FALSE)</f>
        <v>0</v>
      </c>
    </row>
    <row r="48" spans="2:24" hidden="1">
      <c r="B48" s="867" t="s">
        <v>3189</v>
      </c>
      <c r="C48" s="128">
        <f t="shared" si="23"/>
        <v>357.15765726511808</v>
      </c>
      <c r="D48" s="128">
        <f>+Datos!$N$40</f>
        <v>189.92690936385813</v>
      </c>
      <c r="E48" s="864">
        <f>ROUND((E41-E50)*50%+E50,-2)</f>
        <v>59000</v>
      </c>
      <c r="F48" s="116">
        <f t="shared" si="24"/>
        <v>0</v>
      </c>
      <c r="G48" s="1489">
        <f t="shared" si="25"/>
        <v>4916.666666666667</v>
      </c>
      <c r="H48" s="119">
        <f t="shared" si="26"/>
        <v>0</v>
      </c>
      <c r="I48" s="120">
        <f t="shared" si="27"/>
        <v>0</v>
      </c>
      <c r="J48" s="120">
        <f t="shared" si="28"/>
        <v>0</v>
      </c>
      <c r="K48" s="120">
        <f t="shared" si="6"/>
        <v>0</v>
      </c>
      <c r="L48" s="122">
        <f t="shared" si="7"/>
        <v>2.6</v>
      </c>
      <c r="M48" s="120">
        <f t="shared" si="8"/>
        <v>1597.9166666666667</v>
      </c>
      <c r="N48" s="120">
        <f t="shared" si="9"/>
        <v>0</v>
      </c>
      <c r="O48" s="122">
        <f t="shared" si="29"/>
        <v>65517.183333333327</v>
      </c>
      <c r="P48" s="123">
        <f t="shared" si="30"/>
        <v>1.0250406779661017</v>
      </c>
      <c r="Q48" s="124">
        <f>+Datos!$S$38</f>
        <v>1016.6666666666665</v>
      </c>
      <c r="R48" s="123">
        <f>+Datos!$S$17</f>
        <v>1300</v>
      </c>
      <c r="S48" s="129">
        <f>+Datos!$S$24</f>
        <v>0</v>
      </c>
      <c r="T48" s="126">
        <f>+Datos!$S$30+Datos!$S$31+Datos!$S$32</f>
        <v>0</v>
      </c>
      <c r="U48" s="123">
        <f t="shared" si="31"/>
        <v>67833.849999999991</v>
      </c>
      <c r="V48" s="127">
        <f t="shared" si="32"/>
        <v>1.0612857887874836</v>
      </c>
      <c r="W48" t="str">
        <f>+VLOOKUP(B48,Recursos!$C$15:$D$74,2,FALSE)</f>
        <v>Jefe de Personal</v>
      </c>
      <c r="X48">
        <f>VLOOKUP(B48,Recursos!C:G,5,FALSE)</f>
        <v>0</v>
      </c>
    </row>
    <row r="49" spans="2:24" hidden="1">
      <c r="B49" s="867" t="s">
        <v>3190</v>
      </c>
      <c r="C49" s="128">
        <f t="shared" si="23"/>
        <v>304.5387312083887</v>
      </c>
      <c r="D49" s="128">
        <f>+Datos!$N$40</f>
        <v>189.92690936385813</v>
      </c>
      <c r="E49" s="864">
        <v>50000</v>
      </c>
      <c r="F49" s="116">
        <f t="shared" si="24"/>
        <v>0</v>
      </c>
      <c r="G49" s="1489">
        <f t="shared" si="25"/>
        <v>4166.666666666667</v>
      </c>
      <c r="H49" s="119">
        <f t="shared" si="26"/>
        <v>0</v>
      </c>
      <c r="I49" s="120">
        <f t="shared" si="27"/>
        <v>0</v>
      </c>
      <c r="J49" s="120">
        <f t="shared" si="28"/>
        <v>0</v>
      </c>
      <c r="K49" s="120">
        <f t="shared" si="6"/>
        <v>0</v>
      </c>
      <c r="L49" s="122">
        <f t="shared" si="7"/>
        <v>2.6</v>
      </c>
      <c r="M49" s="120">
        <f t="shared" si="8"/>
        <v>1354.1666666666667</v>
      </c>
      <c r="N49" s="120">
        <f t="shared" si="9"/>
        <v>0</v>
      </c>
      <c r="O49" s="122">
        <f t="shared" si="29"/>
        <v>55523.433333333327</v>
      </c>
      <c r="P49" s="123">
        <f t="shared" si="30"/>
        <v>1.025048</v>
      </c>
      <c r="Q49" s="124">
        <f>+Datos!$S$38</f>
        <v>1016.6666666666665</v>
      </c>
      <c r="R49" s="123">
        <f>+Datos!$S$17</f>
        <v>1300</v>
      </c>
      <c r="S49" s="129">
        <f>+Datos!$S$24</f>
        <v>0</v>
      </c>
      <c r="T49" s="126">
        <f>+Datos!$S$30+Datos!$S$31+Datos!$S$32</f>
        <v>0</v>
      </c>
      <c r="U49" s="123">
        <f t="shared" si="31"/>
        <v>57840.099999999991</v>
      </c>
      <c r="V49" s="127">
        <f t="shared" si="32"/>
        <v>1.0678172307692306</v>
      </c>
      <c r="W49" t="str">
        <f>+VLOOKUP(B49,Recursos!$C$15:$D$74,2,FALSE)</f>
        <v>Administrativos</v>
      </c>
      <c r="X49">
        <f>VLOOKUP(B49,Recursos!C:G,5,FALSE)</f>
        <v>0</v>
      </c>
    </row>
    <row r="50" spans="2:24" hidden="1">
      <c r="B50" s="868" t="s">
        <v>3191</v>
      </c>
      <c r="C50" s="128">
        <f t="shared" si="23"/>
        <v>281.15254184984235</v>
      </c>
      <c r="D50" s="128">
        <f>+Datos!$N$40</f>
        <v>189.92690936385813</v>
      </c>
      <c r="E50" s="864">
        <f>E17</f>
        <v>46000</v>
      </c>
      <c r="F50" s="116">
        <f t="shared" si="24"/>
        <v>0</v>
      </c>
      <c r="G50" s="1489">
        <f t="shared" si="25"/>
        <v>3833.3333333333335</v>
      </c>
      <c r="H50" s="119">
        <f t="shared" si="26"/>
        <v>0</v>
      </c>
      <c r="I50" s="120">
        <f t="shared" si="27"/>
        <v>0</v>
      </c>
      <c r="J50" s="120">
        <f t="shared" si="28"/>
        <v>0</v>
      </c>
      <c r="K50" s="120">
        <f t="shared" si="6"/>
        <v>0</v>
      </c>
      <c r="L50" s="122">
        <f t="shared" si="7"/>
        <v>2.6</v>
      </c>
      <c r="M50" s="120">
        <f t="shared" si="8"/>
        <v>1245.8333333333335</v>
      </c>
      <c r="N50" s="120">
        <f t="shared" si="9"/>
        <v>0</v>
      </c>
      <c r="O50" s="122">
        <f t="shared" si="29"/>
        <v>51081.76666666667</v>
      </c>
      <c r="P50" s="123">
        <f t="shared" si="30"/>
        <v>1.0250521739130436</v>
      </c>
      <c r="Q50" s="124">
        <f>+Datos!$S$38</f>
        <v>1016.6666666666665</v>
      </c>
      <c r="R50" s="123">
        <f>+Datos!$S$17</f>
        <v>1300</v>
      </c>
      <c r="S50" s="129">
        <f>+Datos!$S$24</f>
        <v>0</v>
      </c>
      <c r="T50" s="126">
        <f>+Datos!$S$30+Datos!$S$31+Datos!$S$32</f>
        <v>0</v>
      </c>
      <c r="U50" s="123">
        <f t="shared" si="31"/>
        <v>53398.433333333334</v>
      </c>
      <c r="V50" s="127">
        <f t="shared" si="32"/>
        <v>1.0715404682274248</v>
      </c>
      <c r="W50" t="str">
        <f>+VLOOKUP(B50,Recursos!$C$15:$D$74,2,FALSE)</f>
        <v>Auxiliares</v>
      </c>
      <c r="X50">
        <f>VLOOKUP(B50,Recursos!C:G,5,FALSE)</f>
        <v>0</v>
      </c>
    </row>
    <row r="51" spans="2:24" hidden="1">
      <c r="B51" s="703" t="s">
        <v>3192</v>
      </c>
      <c r="C51" s="128">
        <f t="shared" si="23"/>
        <v>503.32134075603324</v>
      </c>
      <c r="D51" s="128">
        <f>+Datos!$N$40</f>
        <v>189.92690936385813</v>
      </c>
      <c r="E51" s="870">
        <f>ROUND($E$10*70%,-3)</f>
        <v>84000</v>
      </c>
      <c r="F51" s="116">
        <f t="shared" si="24"/>
        <v>0</v>
      </c>
      <c r="G51" s="1489">
        <f t="shared" si="25"/>
        <v>7000</v>
      </c>
      <c r="H51" s="119">
        <f t="shared" si="26"/>
        <v>0</v>
      </c>
      <c r="I51" s="120">
        <f t="shared" si="27"/>
        <v>0</v>
      </c>
      <c r="J51" s="120">
        <f t="shared" si="28"/>
        <v>0</v>
      </c>
      <c r="K51" s="120">
        <f t="shared" si="6"/>
        <v>0</v>
      </c>
      <c r="L51" s="122">
        <f t="shared" si="7"/>
        <v>2.6</v>
      </c>
      <c r="M51" s="120">
        <f t="shared" si="8"/>
        <v>2275</v>
      </c>
      <c r="N51" s="120">
        <f t="shared" si="9"/>
        <v>0</v>
      </c>
      <c r="O51" s="122">
        <f t="shared" si="29"/>
        <v>93277.6</v>
      </c>
      <c r="P51" s="123">
        <f t="shared" si="30"/>
        <v>1.0250285714285714</v>
      </c>
      <c r="Q51" s="124">
        <f>+Datos!$S$38</f>
        <v>1016.6666666666665</v>
      </c>
      <c r="R51" s="123">
        <f>+Datos!$S$17</f>
        <v>1300</v>
      </c>
      <c r="S51" s="129">
        <f>+Datos!$S$24</f>
        <v>0</v>
      </c>
      <c r="T51" s="126">
        <f>+Datos!$S$30+Datos!$S$31+Datos!$S$32</f>
        <v>0</v>
      </c>
      <c r="U51" s="123">
        <f t="shared" si="31"/>
        <v>95594.266666666677</v>
      </c>
      <c r="V51" s="127">
        <f t="shared" si="32"/>
        <v>1.050486446886447</v>
      </c>
      <c r="W51" t="str">
        <f>+VLOOKUP(B51,Recursos!$C$15:$D$74,2,FALSE)</f>
        <v>Jefe de Taller</v>
      </c>
      <c r="X51">
        <f>VLOOKUP(B51,Recursos!C:G,5,FALSE)</f>
        <v>0</v>
      </c>
    </row>
    <row r="52" spans="2:24" hidden="1">
      <c r="B52" s="128" t="s">
        <v>3193</v>
      </c>
      <c r="C52" s="128">
        <f t="shared" si="23"/>
        <v>447.77914102948546</v>
      </c>
      <c r="D52" s="128">
        <f>+Datos!$N$40</f>
        <v>189.92690936385813</v>
      </c>
      <c r="E52" s="864">
        <f>ROUND((E51-E60)*75%+E60,-2)</f>
        <v>74500</v>
      </c>
      <c r="F52" s="116">
        <f t="shared" si="24"/>
        <v>0</v>
      </c>
      <c r="G52" s="1489">
        <f t="shared" si="25"/>
        <v>6208.333333333333</v>
      </c>
      <c r="H52" s="119">
        <f t="shared" si="26"/>
        <v>0</v>
      </c>
      <c r="I52" s="120">
        <f t="shared" si="27"/>
        <v>0</v>
      </c>
      <c r="J52" s="120">
        <f t="shared" si="28"/>
        <v>0</v>
      </c>
      <c r="K52" s="120">
        <f t="shared" si="6"/>
        <v>0</v>
      </c>
      <c r="L52" s="122">
        <f t="shared" si="7"/>
        <v>2.6</v>
      </c>
      <c r="M52" s="120">
        <f t="shared" si="8"/>
        <v>2017.7083333333333</v>
      </c>
      <c r="N52" s="120">
        <f t="shared" si="9"/>
        <v>0</v>
      </c>
      <c r="O52" s="122">
        <f t="shared" si="29"/>
        <v>82728.641666666663</v>
      </c>
      <c r="P52" s="123">
        <f t="shared" si="30"/>
        <v>1.0250322147651008</v>
      </c>
      <c r="Q52" s="124">
        <f>+Datos!$S$38</f>
        <v>1016.6666666666665</v>
      </c>
      <c r="R52" s="123">
        <f>+Datos!$S$17</f>
        <v>1300</v>
      </c>
      <c r="S52" s="129">
        <f>+Datos!$S$24</f>
        <v>0</v>
      </c>
      <c r="T52" s="126">
        <f>+Datos!$S$30+Datos!$S$31+Datos!$S$32</f>
        <v>0</v>
      </c>
      <c r="U52" s="123">
        <f t="shared" si="31"/>
        <v>85045.308333333334</v>
      </c>
      <c r="V52" s="127">
        <f t="shared" si="32"/>
        <v>1.0537363964894166</v>
      </c>
      <c r="W52" t="str">
        <f>+VLOOKUP(B52,Recursos!$C$15:$D$74,2,FALSE)</f>
        <v>Taller Mecanico</v>
      </c>
      <c r="X52">
        <f>VLOOKUP(B52,Recursos!C:G,5,FALSE)</f>
        <v>0</v>
      </c>
    </row>
    <row r="53" spans="2:24" hidden="1">
      <c r="B53" s="128" t="s">
        <v>3194</v>
      </c>
      <c r="C53" s="128">
        <f t="shared" si="23"/>
        <v>447.77914102948546</v>
      </c>
      <c r="D53" s="128">
        <f>+Datos!$N$40</f>
        <v>189.92690936385813</v>
      </c>
      <c r="E53" s="864">
        <f>ROUND((E51-E60)*75%+E60,-2)</f>
        <v>74500</v>
      </c>
      <c r="F53" s="116">
        <f t="shared" si="24"/>
        <v>0</v>
      </c>
      <c r="G53" s="1489">
        <f t="shared" si="25"/>
        <v>6208.333333333333</v>
      </c>
      <c r="H53" s="119">
        <f t="shared" si="26"/>
        <v>0</v>
      </c>
      <c r="I53" s="120">
        <f t="shared" si="27"/>
        <v>0</v>
      </c>
      <c r="J53" s="120">
        <f t="shared" si="28"/>
        <v>0</v>
      </c>
      <c r="K53" s="120">
        <f t="shared" si="6"/>
        <v>0</v>
      </c>
      <c r="L53" s="122">
        <f t="shared" si="7"/>
        <v>2.6</v>
      </c>
      <c r="M53" s="120">
        <f t="shared" si="8"/>
        <v>2017.7083333333333</v>
      </c>
      <c r="N53" s="120">
        <f t="shared" si="9"/>
        <v>0</v>
      </c>
      <c r="O53" s="122">
        <f t="shared" si="29"/>
        <v>82728.641666666663</v>
      </c>
      <c r="P53" s="123">
        <f t="shared" si="30"/>
        <v>1.0250322147651008</v>
      </c>
      <c r="Q53" s="124">
        <f>+Datos!$S$38</f>
        <v>1016.6666666666665</v>
      </c>
      <c r="R53" s="123">
        <f>+Datos!$S$17</f>
        <v>1300</v>
      </c>
      <c r="S53" s="129">
        <f>+Datos!$S$24</f>
        <v>0</v>
      </c>
      <c r="T53" s="126">
        <f>+Datos!$S$30+Datos!$S$31+Datos!$S$32</f>
        <v>0</v>
      </c>
      <c r="U53" s="123">
        <f t="shared" si="31"/>
        <v>85045.308333333334</v>
      </c>
      <c r="V53" s="127">
        <f t="shared" si="32"/>
        <v>1.0537363964894166</v>
      </c>
      <c r="W53" t="str">
        <f>+VLOOKUP(B53,Recursos!$C$15:$D$74,2,FALSE)</f>
        <v>Taller Eléctrico</v>
      </c>
      <c r="X53">
        <f>VLOOKUP(B53,Recursos!C:G,5,FALSE)</f>
        <v>0</v>
      </c>
    </row>
    <row r="54" spans="2:24" hidden="1">
      <c r="B54" s="128" t="s">
        <v>3195</v>
      </c>
      <c r="C54" s="128">
        <f t="shared" si="23"/>
        <v>425.56226113886646</v>
      </c>
      <c r="D54" s="128">
        <f>+Datos!$N$40</f>
        <v>189.92690936385813</v>
      </c>
      <c r="E54" s="864">
        <f>ROUND((E51-E60)*65%+E60,-2)</f>
        <v>70700</v>
      </c>
      <c r="F54" s="116">
        <f t="shared" si="24"/>
        <v>0</v>
      </c>
      <c r="G54" s="1489">
        <f t="shared" si="25"/>
        <v>5891.666666666667</v>
      </c>
      <c r="H54" s="119">
        <f t="shared" si="26"/>
        <v>0</v>
      </c>
      <c r="I54" s="120">
        <f t="shared" si="27"/>
        <v>0</v>
      </c>
      <c r="J54" s="120">
        <f t="shared" si="28"/>
        <v>0</v>
      </c>
      <c r="K54" s="120">
        <f t="shared" si="6"/>
        <v>0</v>
      </c>
      <c r="L54" s="122">
        <f t="shared" si="7"/>
        <v>2.6</v>
      </c>
      <c r="M54" s="120">
        <f t="shared" si="8"/>
        <v>1914.791666666667</v>
      </c>
      <c r="N54" s="120">
        <f t="shared" si="9"/>
        <v>0</v>
      </c>
      <c r="O54" s="122">
        <f t="shared" si="29"/>
        <v>78509.058333333349</v>
      </c>
      <c r="P54" s="123">
        <f t="shared" si="30"/>
        <v>1.0250339462517681</v>
      </c>
      <c r="Q54" s="124">
        <f>+Datos!$S$38</f>
        <v>1016.6666666666665</v>
      </c>
      <c r="R54" s="123">
        <f>+Datos!$S$17</f>
        <v>1300</v>
      </c>
      <c r="S54" s="129">
        <f>+Datos!$S$24</f>
        <v>0</v>
      </c>
      <c r="T54" s="126">
        <f>+Datos!$S$30+Datos!$S$31+Datos!$S$32</f>
        <v>0</v>
      </c>
      <c r="U54" s="123">
        <f t="shared" si="31"/>
        <v>80825.72500000002</v>
      </c>
      <c r="V54" s="127">
        <f t="shared" si="32"/>
        <v>1.0552809269937984</v>
      </c>
      <c r="W54" t="str">
        <f>+VLOOKUP(B54,Recursos!$C$15:$D$74,2,FALSE)</f>
        <v>Gruas</v>
      </c>
      <c r="X54">
        <f>VLOOKUP(B54,Recursos!C:G,5,FALSE)</f>
        <v>0</v>
      </c>
    </row>
    <row r="55" spans="2:24" hidden="1">
      <c r="B55" s="128" t="s">
        <v>3196</v>
      </c>
      <c r="C55" s="128">
        <f t="shared" si="23"/>
        <v>325.58630163108046</v>
      </c>
      <c r="D55" s="128">
        <f>+Datos!$N$40</f>
        <v>189.92690936385813</v>
      </c>
      <c r="E55" s="864">
        <f>ROUND((E51-E60)*20%+E60,-2)</f>
        <v>53600</v>
      </c>
      <c r="F55" s="116">
        <f t="shared" si="24"/>
        <v>0</v>
      </c>
      <c r="G55" s="1489">
        <f t="shared" si="25"/>
        <v>4466.666666666667</v>
      </c>
      <c r="H55" s="119">
        <f t="shared" si="26"/>
        <v>0</v>
      </c>
      <c r="I55" s="120">
        <f t="shared" si="27"/>
        <v>0</v>
      </c>
      <c r="J55" s="120">
        <f t="shared" si="28"/>
        <v>0</v>
      </c>
      <c r="K55" s="120">
        <f t="shared" si="6"/>
        <v>0</v>
      </c>
      <c r="L55" s="122">
        <f t="shared" si="7"/>
        <v>2.6</v>
      </c>
      <c r="M55" s="120">
        <f t="shared" si="8"/>
        <v>1451.6666666666667</v>
      </c>
      <c r="N55" s="120">
        <f t="shared" si="9"/>
        <v>0</v>
      </c>
      <c r="O55" s="122">
        <f t="shared" si="29"/>
        <v>59520.933333333327</v>
      </c>
      <c r="P55" s="123">
        <f t="shared" si="30"/>
        <v>1.0250447761194028</v>
      </c>
      <c r="Q55" s="124">
        <f>+Datos!$S$38</f>
        <v>1016.6666666666665</v>
      </c>
      <c r="R55" s="123">
        <f>+Datos!$S$17</f>
        <v>1300</v>
      </c>
      <c r="S55" s="129">
        <f>+Datos!$S$24</f>
        <v>0</v>
      </c>
      <c r="T55" s="126">
        <f>+Datos!$S$30+Datos!$S$31+Datos!$S$32</f>
        <v>0</v>
      </c>
      <c r="U55" s="123">
        <f t="shared" si="31"/>
        <v>61837.599999999991</v>
      </c>
      <c r="V55" s="127">
        <f t="shared" si="32"/>
        <v>1.0649414466130882</v>
      </c>
      <c r="W55" t="str">
        <f>+VLOOKUP(B55,Recursos!$C$15:$D$74,2,FALSE)</f>
        <v>Gomerías</v>
      </c>
      <c r="X55">
        <f>VLOOKUP(B55,Recursos!C:G,5,FALSE)</f>
        <v>0</v>
      </c>
    </row>
    <row r="56" spans="2:24" hidden="1">
      <c r="B56" s="128" t="s">
        <v>3197</v>
      </c>
      <c r="C56" s="128">
        <f t="shared" si="23"/>
        <v>370.02006141231874</v>
      </c>
      <c r="D56" s="128">
        <f>+Datos!$N$40</f>
        <v>189.92690936385813</v>
      </c>
      <c r="E56" s="864">
        <f>ROUND((E51-E60)*40%+E60,-2)</f>
        <v>61200</v>
      </c>
      <c r="F56" s="116">
        <f t="shared" si="24"/>
        <v>0</v>
      </c>
      <c r="G56" s="1489">
        <f t="shared" si="25"/>
        <v>5100</v>
      </c>
      <c r="H56" s="119">
        <f t="shared" si="26"/>
        <v>0</v>
      </c>
      <c r="I56" s="120">
        <f t="shared" si="27"/>
        <v>0</v>
      </c>
      <c r="J56" s="120">
        <f t="shared" si="28"/>
        <v>0</v>
      </c>
      <c r="K56" s="120">
        <f t="shared" si="6"/>
        <v>0</v>
      </c>
      <c r="L56" s="122">
        <f t="shared" si="7"/>
        <v>2.6</v>
      </c>
      <c r="M56" s="120">
        <f t="shared" si="8"/>
        <v>1657.5</v>
      </c>
      <c r="N56" s="120">
        <f t="shared" si="9"/>
        <v>0</v>
      </c>
      <c r="O56" s="122">
        <f t="shared" si="29"/>
        <v>67960.100000000006</v>
      </c>
      <c r="P56" s="123">
        <f t="shared" si="30"/>
        <v>1.0250392156862747</v>
      </c>
      <c r="Q56" s="124">
        <f>+Datos!$S$38</f>
        <v>1016.6666666666665</v>
      </c>
      <c r="R56" s="123">
        <f>+Datos!$S$17</f>
        <v>1300</v>
      </c>
      <c r="S56" s="129">
        <f>+Datos!$S$24</f>
        <v>0</v>
      </c>
      <c r="T56" s="126">
        <f>+Datos!$S$30+Datos!$S$31+Datos!$S$32</f>
        <v>0</v>
      </c>
      <c r="U56" s="123">
        <f t="shared" si="31"/>
        <v>70276.766666666677</v>
      </c>
      <c r="V56" s="127">
        <f t="shared" si="32"/>
        <v>1.0599813976872803</v>
      </c>
      <c r="W56" t="str">
        <f>+VLOOKUP(B56,Recursos!$C$15:$D$74,2,FALSE)</f>
        <v>Taller Hidráulico</v>
      </c>
      <c r="X56">
        <f>VLOOKUP(B56,Recursos!C:G,5,FALSE)</f>
        <v>0</v>
      </c>
    </row>
    <row r="57" spans="2:24" hidden="1">
      <c r="B57" s="128" t="s">
        <v>3198</v>
      </c>
      <c r="C57" s="128">
        <f t="shared" si="23"/>
        <v>370.02006141231874</v>
      </c>
      <c r="D57" s="128">
        <f>+Datos!$N$40</f>
        <v>189.92690936385813</v>
      </c>
      <c r="E57" s="864">
        <f>ROUND((E51-E60)*40%+E60,-2)</f>
        <v>61200</v>
      </c>
      <c r="F57" s="116">
        <f t="shared" si="24"/>
        <v>0</v>
      </c>
      <c r="G57" s="1489">
        <f t="shared" si="25"/>
        <v>5100</v>
      </c>
      <c r="H57" s="119">
        <f t="shared" si="26"/>
        <v>0</v>
      </c>
      <c r="I57" s="120">
        <f t="shared" si="27"/>
        <v>0</v>
      </c>
      <c r="J57" s="120">
        <f t="shared" si="28"/>
        <v>0</v>
      </c>
      <c r="K57" s="120">
        <f t="shared" si="6"/>
        <v>0</v>
      </c>
      <c r="L57" s="122">
        <f t="shared" si="7"/>
        <v>2.6</v>
      </c>
      <c r="M57" s="120">
        <f t="shared" si="8"/>
        <v>1657.5</v>
      </c>
      <c r="N57" s="120">
        <f t="shared" si="9"/>
        <v>0</v>
      </c>
      <c r="O57" s="122">
        <f t="shared" si="29"/>
        <v>67960.100000000006</v>
      </c>
      <c r="P57" s="123">
        <f t="shared" si="30"/>
        <v>1.0250392156862747</v>
      </c>
      <c r="Q57" s="124">
        <f>+Datos!$S$38</f>
        <v>1016.6666666666665</v>
      </c>
      <c r="R57" s="123">
        <f>+Datos!$S$17</f>
        <v>1300</v>
      </c>
      <c r="S57" s="129">
        <f>+Datos!$S$24</f>
        <v>0</v>
      </c>
      <c r="T57" s="126">
        <f>+Datos!$S$30+Datos!$S$31+Datos!$S$32</f>
        <v>0</v>
      </c>
      <c r="U57" s="123">
        <f t="shared" si="31"/>
        <v>70276.766666666677</v>
      </c>
      <c r="V57" s="127">
        <f t="shared" si="32"/>
        <v>1.0599813976872803</v>
      </c>
      <c r="W57" t="str">
        <f>+VLOOKUP(B57,Recursos!$C$15:$D$74,2,FALSE)</f>
        <v>Electromecánica y Bombas</v>
      </c>
      <c r="X57">
        <f>VLOOKUP(B57,Recursos!C:G,5,FALSE)</f>
        <v>0</v>
      </c>
    </row>
    <row r="58" spans="2:24" hidden="1">
      <c r="B58" s="128" t="s">
        <v>3199</v>
      </c>
      <c r="C58" s="128">
        <f t="shared" si="23"/>
        <v>381.12850135762824</v>
      </c>
      <c r="D58" s="128">
        <f>+Datos!$N$40</f>
        <v>189.92690936385813</v>
      </c>
      <c r="E58" s="864">
        <f>ROUND((E51-E60)*45%+E60,-2)</f>
        <v>63100</v>
      </c>
      <c r="F58" s="116">
        <f t="shared" si="24"/>
        <v>0</v>
      </c>
      <c r="G58" s="1489">
        <f t="shared" si="25"/>
        <v>5258.333333333333</v>
      </c>
      <c r="H58" s="119">
        <f t="shared" si="26"/>
        <v>0</v>
      </c>
      <c r="I58" s="120">
        <f t="shared" si="27"/>
        <v>0</v>
      </c>
      <c r="J58" s="120">
        <f t="shared" si="28"/>
        <v>0</v>
      </c>
      <c r="K58" s="120">
        <f t="shared" si="6"/>
        <v>0</v>
      </c>
      <c r="L58" s="122">
        <f t="shared" si="7"/>
        <v>2.6</v>
      </c>
      <c r="M58" s="120">
        <f t="shared" si="8"/>
        <v>1708.9583333333333</v>
      </c>
      <c r="N58" s="120">
        <f t="shared" si="9"/>
        <v>0</v>
      </c>
      <c r="O58" s="122">
        <f t="shared" si="29"/>
        <v>70069.891666666663</v>
      </c>
      <c r="P58" s="123">
        <f t="shared" si="30"/>
        <v>1.0250380348652932</v>
      </c>
      <c r="Q58" s="124">
        <f>+Datos!$S$38</f>
        <v>1016.6666666666665</v>
      </c>
      <c r="R58" s="123">
        <f>+Datos!$S$17</f>
        <v>1300</v>
      </c>
      <c r="S58" s="129">
        <f>+Datos!$S$24</f>
        <v>0</v>
      </c>
      <c r="T58" s="126">
        <f>+Datos!$S$30+Datos!$S$31+Datos!$S$32</f>
        <v>0</v>
      </c>
      <c r="U58" s="123">
        <f t="shared" si="31"/>
        <v>72386.558333333334</v>
      </c>
      <c r="V58" s="127">
        <f t="shared" si="32"/>
        <v>1.0589280750944776</v>
      </c>
      <c r="W58" t="str">
        <f>+VLOOKUP(B58,Recursos!$C$15:$D$74,2,FALSE)</f>
        <v>Mecanicos y/o Electricos de 1°</v>
      </c>
      <c r="X58">
        <f>VLOOKUP(B58,Recursos!C:G,5,FALSE)</f>
        <v>0</v>
      </c>
    </row>
    <row r="59" spans="2:24" hidden="1">
      <c r="B59" s="128" t="s">
        <v>3200</v>
      </c>
      <c r="C59" s="128">
        <f t="shared" si="23"/>
        <v>358.91162146700918</v>
      </c>
      <c r="D59" s="128">
        <f>+Datos!$N$40</f>
        <v>189.92690936385813</v>
      </c>
      <c r="E59" s="864">
        <f>ROUND((E51-E60)*35%+E60,-2)</f>
        <v>59300</v>
      </c>
      <c r="F59" s="116">
        <f t="shared" si="24"/>
        <v>0</v>
      </c>
      <c r="G59" s="1489">
        <f t="shared" si="25"/>
        <v>4941.666666666667</v>
      </c>
      <c r="H59" s="119">
        <f t="shared" si="26"/>
        <v>0</v>
      </c>
      <c r="I59" s="120">
        <f t="shared" si="27"/>
        <v>0</v>
      </c>
      <c r="J59" s="120">
        <f t="shared" si="28"/>
        <v>0</v>
      </c>
      <c r="K59" s="120">
        <f t="shared" si="6"/>
        <v>0</v>
      </c>
      <c r="L59" s="122">
        <f t="shared" si="7"/>
        <v>2.6</v>
      </c>
      <c r="M59" s="120">
        <f t="shared" si="8"/>
        <v>1606.0416666666667</v>
      </c>
      <c r="N59" s="120">
        <f t="shared" si="9"/>
        <v>0</v>
      </c>
      <c r="O59" s="122">
        <f t="shared" si="29"/>
        <v>65850.308333333334</v>
      </c>
      <c r="P59" s="123">
        <f t="shared" si="30"/>
        <v>1.0250404721753794</v>
      </c>
      <c r="Q59" s="124">
        <f>+Datos!$S$38</f>
        <v>1016.6666666666665</v>
      </c>
      <c r="R59" s="123">
        <f>+Datos!$S$17</f>
        <v>1300</v>
      </c>
      <c r="S59" s="129">
        <f>+Datos!$S$24</f>
        <v>0</v>
      </c>
      <c r="T59" s="126">
        <f>+Datos!$S$30+Datos!$S$31+Datos!$S$32</f>
        <v>0</v>
      </c>
      <c r="U59" s="123">
        <f t="shared" si="31"/>
        <v>68166.975000000006</v>
      </c>
      <c r="V59" s="127">
        <f t="shared" si="32"/>
        <v>1.0611022181865353</v>
      </c>
      <c r="W59" t="str">
        <f>+VLOOKUP(B59,Recursos!$C$15:$D$74,2,FALSE)</f>
        <v>Mecanicos y/o Electricos de 2°</v>
      </c>
      <c r="X59">
        <f>VLOOKUP(B59,Recursos!C:G,5,FALSE)</f>
        <v>0</v>
      </c>
    </row>
    <row r="60" spans="2:24" hidden="1">
      <c r="B60" s="868" t="s">
        <v>3201</v>
      </c>
      <c r="C60" s="128">
        <f t="shared" si="23"/>
        <v>281.15254184984235</v>
      </c>
      <c r="D60" s="128">
        <f>+Datos!$N$40</f>
        <v>189.92690936385813</v>
      </c>
      <c r="E60" s="864">
        <f>E17</f>
        <v>46000</v>
      </c>
      <c r="F60" s="116">
        <f t="shared" si="24"/>
        <v>0</v>
      </c>
      <c r="G60" s="1489">
        <f t="shared" si="25"/>
        <v>3833.3333333333335</v>
      </c>
      <c r="H60" s="119">
        <f t="shared" si="26"/>
        <v>0</v>
      </c>
      <c r="I60" s="120">
        <f t="shared" si="27"/>
        <v>0</v>
      </c>
      <c r="J60" s="120">
        <f t="shared" si="28"/>
        <v>0</v>
      </c>
      <c r="K60" s="120">
        <f t="shared" si="6"/>
        <v>0</v>
      </c>
      <c r="L60" s="122">
        <f t="shared" si="7"/>
        <v>2.6</v>
      </c>
      <c r="M60" s="120">
        <f t="shared" si="8"/>
        <v>1245.8333333333335</v>
      </c>
      <c r="N60" s="120">
        <f t="shared" si="9"/>
        <v>0</v>
      </c>
      <c r="O60" s="122">
        <f t="shared" si="29"/>
        <v>51081.76666666667</v>
      </c>
      <c r="P60" s="123">
        <f t="shared" si="30"/>
        <v>1.0250521739130436</v>
      </c>
      <c r="Q60" s="124">
        <f>+Datos!$S$38</f>
        <v>1016.6666666666665</v>
      </c>
      <c r="R60" s="123">
        <f>+Datos!$S$17</f>
        <v>1300</v>
      </c>
      <c r="S60" s="129">
        <f>+Datos!$S$24</f>
        <v>0</v>
      </c>
      <c r="T60" s="126">
        <f>+Datos!$S$30+Datos!$S$31+Datos!$S$32</f>
        <v>0</v>
      </c>
      <c r="U60" s="123">
        <f t="shared" si="31"/>
        <v>53398.433333333334</v>
      </c>
      <c r="V60" s="127">
        <f t="shared" si="32"/>
        <v>1.0715404682274248</v>
      </c>
      <c r="W60" t="str">
        <f>+VLOOKUP(B60,Recursos!$C$15:$D$74,2,FALSE)</f>
        <v>Auxiliares de Taller</v>
      </c>
      <c r="X60">
        <f>VLOOKUP(B60,Recursos!C:G,5,FALSE)</f>
        <v>0</v>
      </c>
    </row>
    <row r="61" spans="2:24" hidden="1">
      <c r="B61" s="703" t="s">
        <v>3202</v>
      </c>
      <c r="C61" s="128">
        <f t="shared" si="23"/>
        <v>433.16277268039403</v>
      </c>
      <c r="D61" s="128">
        <f>+Datos!$N$40</f>
        <v>189.92690936385813</v>
      </c>
      <c r="E61" s="870">
        <f>ROUND($E$10*60%,-3)</f>
        <v>72000</v>
      </c>
      <c r="F61" s="116">
        <f t="shared" si="24"/>
        <v>0</v>
      </c>
      <c r="G61" s="1489">
        <f t="shared" si="25"/>
        <v>6000</v>
      </c>
      <c r="H61" s="119">
        <f t="shared" si="26"/>
        <v>0</v>
      </c>
      <c r="I61" s="120">
        <f t="shared" si="27"/>
        <v>0</v>
      </c>
      <c r="J61" s="120">
        <f t="shared" si="28"/>
        <v>0</v>
      </c>
      <c r="K61" s="120">
        <f t="shared" si="6"/>
        <v>0</v>
      </c>
      <c r="L61" s="122">
        <f t="shared" si="7"/>
        <v>2.6</v>
      </c>
      <c r="M61" s="120">
        <f t="shared" si="8"/>
        <v>1950</v>
      </c>
      <c r="N61" s="120">
        <f t="shared" si="9"/>
        <v>0</v>
      </c>
      <c r="O61" s="122">
        <f t="shared" si="29"/>
        <v>79952.600000000006</v>
      </c>
      <c r="P61" s="123">
        <f t="shared" si="30"/>
        <v>1.0250333333333335</v>
      </c>
      <c r="Q61" s="124">
        <f>+Datos!$S$38</f>
        <v>1016.6666666666665</v>
      </c>
      <c r="R61" s="123">
        <f>+Datos!$S$17</f>
        <v>1300</v>
      </c>
      <c r="S61" s="129">
        <f>+Datos!$S$24</f>
        <v>0</v>
      </c>
      <c r="T61" s="126">
        <f>+Datos!$S$30+Datos!$S$31+Datos!$S$32</f>
        <v>0</v>
      </c>
      <c r="U61" s="123">
        <f t="shared" si="31"/>
        <v>82269.266666666677</v>
      </c>
      <c r="V61" s="127">
        <f t="shared" si="32"/>
        <v>1.0547341880341883</v>
      </c>
      <c r="W61" t="str">
        <f>+VLOOKUP(B61,Recursos!$C$15:$D$74,2,FALSE)</f>
        <v>Jefe de Calidad</v>
      </c>
      <c r="X61">
        <f>VLOOKUP(B61,Recursos!C:G,5,FALSE)</f>
        <v>0</v>
      </c>
    </row>
    <row r="62" spans="2:24" hidden="1">
      <c r="B62" s="128" t="s">
        <v>3203</v>
      </c>
      <c r="C62" s="128">
        <f t="shared" si="23"/>
        <v>379.959191889701</v>
      </c>
      <c r="D62" s="128">
        <f>+Datos!$N$40</f>
        <v>189.92690936385813</v>
      </c>
      <c r="E62" s="864">
        <f>ROUND((E61-E66)*65%+E66,-2)</f>
        <v>62900</v>
      </c>
      <c r="F62" s="116">
        <f t="shared" si="24"/>
        <v>0</v>
      </c>
      <c r="G62" s="1489">
        <f t="shared" si="25"/>
        <v>5241.666666666667</v>
      </c>
      <c r="H62" s="119">
        <f t="shared" si="26"/>
        <v>0</v>
      </c>
      <c r="I62" s="120">
        <f t="shared" si="27"/>
        <v>0</v>
      </c>
      <c r="J62" s="120">
        <f t="shared" si="28"/>
        <v>0</v>
      </c>
      <c r="K62" s="120">
        <f t="shared" si="6"/>
        <v>0</v>
      </c>
      <c r="L62" s="122">
        <f t="shared" si="7"/>
        <v>2.6</v>
      </c>
      <c r="M62" s="120">
        <f t="shared" si="8"/>
        <v>1703.541666666667</v>
      </c>
      <c r="N62" s="120">
        <f t="shared" si="9"/>
        <v>0</v>
      </c>
      <c r="O62" s="122">
        <f t="shared" si="29"/>
        <v>69847.808333333349</v>
      </c>
      <c r="P62" s="123">
        <f t="shared" si="30"/>
        <v>1.0250381558028618</v>
      </c>
      <c r="Q62" s="124">
        <f>+Datos!$S$38</f>
        <v>1016.6666666666665</v>
      </c>
      <c r="R62" s="123">
        <f>+Datos!$S$17</f>
        <v>1300</v>
      </c>
      <c r="S62" s="129">
        <f>+Datos!$S$24</f>
        <v>0</v>
      </c>
      <c r="T62" s="126">
        <f>+Datos!$S$30+Datos!$S$31+Datos!$S$32</f>
        <v>0</v>
      </c>
      <c r="U62" s="123">
        <f t="shared" si="31"/>
        <v>72164.47500000002</v>
      </c>
      <c r="V62" s="127">
        <f t="shared" si="32"/>
        <v>1.0590359545065429</v>
      </c>
      <c r="W62" t="str">
        <f>+VLOOKUP(B62,Recursos!$C$15:$D$74,2,FALSE)</f>
        <v>Jefe de Laboratorio</v>
      </c>
      <c r="X62">
        <f>VLOOKUP(B62,Recursos!C:G,5,FALSE)</f>
        <v>0</v>
      </c>
    </row>
    <row r="63" spans="2:24" hidden="1">
      <c r="B63" s="128" t="s">
        <v>3204</v>
      </c>
      <c r="C63" s="128">
        <f t="shared" si="23"/>
        <v>349.55714572359057</v>
      </c>
      <c r="D63" s="128">
        <f>+Datos!$N$40</f>
        <v>189.92690936385813</v>
      </c>
      <c r="E63" s="864">
        <f>ROUND((E61-E66)*45%+E66,-2)</f>
        <v>57700</v>
      </c>
      <c r="F63" s="116">
        <f t="shared" si="24"/>
        <v>0</v>
      </c>
      <c r="G63" s="1489">
        <f t="shared" si="25"/>
        <v>4808.333333333333</v>
      </c>
      <c r="H63" s="119">
        <f t="shared" si="26"/>
        <v>0</v>
      </c>
      <c r="I63" s="120">
        <f t="shared" si="27"/>
        <v>0</v>
      </c>
      <c r="J63" s="120">
        <f t="shared" si="28"/>
        <v>0</v>
      </c>
      <c r="K63" s="120">
        <f t="shared" si="6"/>
        <v>0</v>
      </c>
      <c r="L63" s="122">
        <f t="shared" si="7"/>
        <v>2.6</v>
      </c>
      <c r="M63" s="120">
        <f t="shared" si="8"/>
        <v>1562.7083333333335</v>
      </c>
      <c r="N63" s="120">
        <f t="shared" si="9"/>
        <v>0</v>
      </c>
      <c r="O63" s="122">
        <f t="shared" si="29"/>
        <v>64073.64166666667</v>
      </c>
      <c r="P63" s="123">
        <f t="shared" si="30"/>
        <v>1.0250415944540727</v>
      </c>
      <c r="Q63" s="124">
        <f>+Datos!$S$38</f>
        <v>1016.6666666666665</v>
      </c>
      <c r="R63" s="123">
        <f>+Datos!$S$17</f>
        <v>1300</v>
      </c>
      <c r="S63" s="129">
        <f>+Datos!$S$24</f>
        <v>0</v>
      </c>
      <c r="T63" s="126">
        <f>+Datos!$S$30+Datos!$S$31+Datos!$S$32</f>
        <v>0</v>
      </c>
      <c r="U63" s="123">
        <f t="shared" si="31"/>
        <v>66390.308333333334</v>
      </c>
      <c r="V63" s="127">
        <f t="shared" si="32"/>
        <v>1.0621033195573923</v>
      </c>
      <c r="W63" t="str">
        <f>+VLOOKUP(B63,Recursos!$C$15:$D$74,2,FALSE)</f>
        <v>Personal de Calidad</v>
      </c>
      <c r="X63">
        <f>VLOOKUP(B63,Recursos!C:G,5,FALSE)</f>
        <v>0</v>
      </c>
    </row>
    <row r="64" spans="2:24" hidden="1">
      <c r="B64" s="128" t="s">
        <v>3205</v>
      </c>
      <c r="C64" s="128">
        <f t="shared" si="23"/>
        <v>349.55714572359057</v>
      </c>
      <c r="D64" s="128">
        <f>+Datos!$N$40</f>
        <v>189.92690936385813</v>
      </c>
      <c r="E64" s="864">
        <f>ROUND((E61-E66)*45%+E66,-2)</f>
        <v>57700</v>
      </c>
      <c r="F64" s="116">
        <f t="shared" si="24"/>
        <v>0</v>
      </c>
      <c r="G64" s="1489">
        <f t="shared" si="25"/>
        <v>4808.333333333333</v>
      </c>
      <c r="H64" s="119">
        <f t="shared" si="26"/>
        <v>0</v>
      </c>
      <c r="I64" s="120">
        <f t="shared" si="27"/>
        <v>0</v>
      </c>
      <c r="J64" s="120">
        <f t="shared" si="28"/>
        <v>0</v>
      </c>
      <c r="K64" s="120">
        <f t="shared" si="6"/>
        <v>0</v>
      </c>
      <c r="L64" s="122">
        <f t="shared" si="7"/>
        <v>2.6</v>
      </c>
      <c r="M64" s="120">
        <f t="shared" si="8"/>
        <v>1562.7083333333335</v>
      </c>
      <c r="N64" s="120">
        <f t="shared" si="9"/>
        <v>0</v>
      </c>
      <c r="O64" s="122">
        <f t="shared" si="29"/>
        <v>64073.64166666667</v>
      </c>
      <c r="P64" s="123">
        <f t="shared" si="30"/>
        <v>1.0250415944540727</v>
      </c>
      <c r="Q64" s="124">
        <f>+Datos!$S$38</f>
        <v>1016.6666666666665</v>
      </c>
      <c r="R64" s="123">
        <f>+Datos!$S$17</f>
        <v>1300</v>
      </c>
      <c r="S64" s="129">
        <f>+Datos!$S$24</f>
        <v>0</v>
      </c>
      <c r="T64" s="126">
        <f>+Datos!$S$30+Datos!$S$31+Datos!$S$32</f>
        <v>0</v>
      </c>
      <c r="U64" s="123">
        <f t="shared" si="31"/>
        <v>66390.308333333334</v>
      </c>
      <c r="V64" s="127">
        <f t="shared" si="32"/>
        <v>1.0621033195573923</v>
      </c>
      <c r="W64" t="str">
        <f>+VLOOKUP(B64,Recursos!$C$15:$D$74,2,FALSE)</f>
        <v>Personal de Medio Ambiente</v>
      </c>
      <c r="X64">
        <f>VLOOKUP(B64,Recursos!C:G,5,FALSE)</f>
        <v>0</v>
      </c>
    </row>
    <row r="65" spans="2:24" hidden="1">
      <c r="B65" s="128" t="s">
        <v>3206</v>
      </c>
      <c r="C65" s="128">
        <f t="shared" si="23"/>
        <v>349.55714572359057</v>
      </c>
      <c r="D65" s="128">
        <f>+Datos!$N$40</f>
        <v>189.92690936385813</v>
      </c>
      <c r="E65" s="864">
        <f>ROUND((E61-E66)*45%+E66,-2)</f>
        <v>57700</v>
      </c>
      <c r="F65" s="116">
        <f t="shared" si="24"/>
        <v>0</v>
      </c>
      <c r="G65" s="1489">
        <f t="shared" si="25"/>
        <v>4808.333333333333</v>
      </c>
      <c r="H65" s="119">
        <f t="shared" si="26"/>
        <v>0</v>
      </c>
      <c r="I65" s="120">
        <f t="shared" si="27"/>
        <v>0</v>
      </c>
      <c r="J65" s="120">
        <f t="shared" si="28"/>
        <v>0</v>
      </c>
      <c r="K65" s="120">
        <f t="shared" si="6"/>
        <v>0</v>
      </c>
      <c r="L65" s="122">
        <f t="shared" si="7"/>
        <v>2.6</v>
      </c>
      <c r="M65" s="120">
        <f t="shared" si="8"/>
        <v>1562.7083333333335</v>
      </c>
      <c r="N65" s="120">
        <f t="shared" si="9"/>
        <v>0</v>
      </c>
      <c r="O65" s="122">
        <f t="shared" si="29"/>
        <v>64073.64166666667</v>
      </c>
      <c r="P65" s="123">
        <f t="shared" si="30"/>
        <v>1.0250415944540727</v>
      </c>
      <c r="Q65" s="124">
        <f>+Datos!$S$38</f>
        <v>1016.6666666666665</v>
      </c>
      <c r="R65" s="123">
        <f>+Datos!$S$17</f>
        <v>1300</v>
      </c>
      <c r="S65" s="129">
        <f>+Datos!$S$24</f>
        <v>0</v>
      </c>
      <c r="T65" s="126">
        <f>+Datos!$S$30+Datos!$S$31+Datos!$S$32</f>
        <v>0</v>
      </c>
      <c r="U65" s="123">
        <f t="shared" si="31"/>
        <v>66390.308333333334</v>
      </c>
      <c r="V65" s="127">
        <f t="shared" si="32"/>
        <v>1.0621033195573923</v>
      </c>
      <c r="W65" t="str">
        <f>+VLOOKUP(B65,Recursos!$C$15:$D$74,2,FALSE)</f>
        <v>Laboratoristas</v>
      </c>
      <c r="X65">
        <f>VLOOKUP(B65,Recursos!C:G,5,FALSE)</f>
        <v>0</v>
      </c>
    </row>
    <row r="66" spans="2:24" hidden="1">
      <c r="B66" s="128" t="s">
        <v>3207</v>
      </c>
      <c r="C66" s="128">
        <f t="shared" si="23"/>
        <v>281.15254184984235</v>
      </c>
      <c r="D66" s="128">
        <f>+Datos!$N$40</f>
        <v>189.92690936385813</v>
      </c>
      <c r="E66" s="864">
        <f>E17</f>
        <v>46000</v>
      </c>
      <c r="F66" s="116">
        <f t="shared" si="24"/>
        <v>0</v>
      </c>
      <c r="G66" s="1489">
        <f t="shared" si="25"/>
        <v>3833.3333333333335</v>
      </c>
      <c r="H66" s="119">
        <f t="shared" si="26"/>
        <v>0</v>
      </c>
      <c r="I66" s="120">
        <f t="shared" si="27"/>
        <v>0</v>
      </c>
      <c r="J66" s="120">
        <f t="shared" si="28"/>
        <v>0</v>
      </c>
      <c r="K66" s="120">
        <f t="shared" si="6"/>
        <v>0</v>
      </c>
      <c r="L66" s="122">
        <f t="shared" si="7"/>
        <v>2.6</v>
      </c>
      <c r="M66" s="120">
        <f t="shared" si="8"/>
        <v>1245.8333333333335</v>
      </c>
      <c r="N66" s="120">
        <f t="shared" si="9"/>
        <v>0</v>
      </c>
      <c r="O66" s="122">
        <f t="shared" si="29"/>
        <v>51081.76666666667</v>
      </c>
      <c r="P66" s="123">
        <f t="shared" si="30"/>
        <v>1.0250521739130436</v>
      </c>
      <c r="Q66" s="124">
        <f>+Datos!$S$38</f>
        <v>1016.6666666666665</v>
      </c>
      <c r="R66" s="123">
        <f>+Datos!$S$17</f>
        <v>1300</v>
      </c>
      <c r="S66" s="129">
        <f>+Datos!$S$24</f>
        <v>0</v>
      </c>
      <c r="T66" s="126">
        <f>+Datos!$S$30+Datos!$S$31+Datos!$S$32</f>
        <v>0</v>
      </c>
      <c r="U66" s="123">
        <f t="shared" si="31"/>
        <v>53398.433333333334</v>
      </c>
      <c r="V66" s="127">
        <f t="shared" si="32"/>
        <v>1.0715404682274248</v>
      </c>
      <c r="W66" t="str">
        <f>+VLOOKUP(B66,Recursos!$C$15:$D$74,2,FALSE)</f>
        <v>Auxiliares</v>
      </c>
      <c r="X66">
        <f>VLOOKUP(B66,Recursos!C:G,5,FALSE)</f>
        <v>0</v>
      </c>
    </row>
    <row r="67" spans="2:24" ht="13.8" thickBot="1">
      <c r="B67" s="146"/>
      <c r="C67" s="146"/>
      <c r="D67" s="146"/>
      <c r="E67" s="130"/>
      <c r="F67" s="131"/>
      <c r="G67" s="132"/>
      <c r="H67" s="132"/>
      <c r="I67" s="133"/>
      <c r="J67" s="133"/>
      <c r="K67" s="133"/>
      <c r="L67" s="134"/>
      <c r="M67" s="133"/>
      <c r="N67" s="133"/>
      <c r="O67" s="134"/>
      <c r="P67" s="135"/>
      <c r="Q67" s="136"/>
      <c r="R67" s="135"/>
      <c r="S67" s="147"/>
      <c r="T67" s="137"/>
      <c r="U67" s="135"/>
      <c r="V67" s="138"/>
    </row>
  </sheetData>
  <autoFilter ref="B5:X66">
    <filterColumn colId="22">
      <filters blank="1">
        <filter val="380"/>
        <filter val="95"/>
      </filters>
    </filterColumn>
  </autoFilter>
  <phoneticPr fontId="0" type="noConversion"/>
  <pageMargins left="0.75" right="0.35" top="0.47" bottom="0.57999999999999996" header="0.18" footer="0.3"/>
  <pageSetup scale="52" orientation="landscape" r:id="rId1"/>
  <headerFooter alignWithMargins="0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B1:P54"/>
  <sheetViews>
    <sheetView workbookViewId="0">
      <pane xSplit="5" ySplit="11" topLeftCell="F30" activePane="bottomRight" state="frozen"/>
      <selection pane="topRight" activeCell="F1" sqref="F1"/>
      <selection pane="bottomLeft" activeCell="A12" sqref="A12"/>
      <selection pane="bottomRight" activeCell="F31" sqref="F31"/>
    </sheetView>
  </sheetViews>
  <sheetFormatPr baseColWidth="10" defaultColWidth="9.109375" defaultRowHeight="13.2"/>
  <cols>
    <col min="1" max="1" width="1.109375" customWidth="1"/>
    <col min="7" max="11" width="10.88671875" customWidth="1"/>
    <col min="12" max="12" width="6.44140625" style="191" customWidth="1"/>
    <col min="13" max="14" width="12.88671875" customWidth="1"/>
  </cols>
  <sheetData>
    <row r="1" spans="2:16" ht="3.75" customHeight="1"/>
    <row r="2" spans="2:16">
      <c r="B2" s="148" t="s">
        <v>1016</v>
      </c>
    </row>
    <row r="3" spans="2:16">
      <c r="B3" s="148" t="s">
        <v>390</v>
      </c>
    </row>
    <row r="4" spans="2:16">
      <c r="B4" s="155" t="s">
        <v>1021</v>
      </c>
      <c r="C4" s="155"/>
      <c r="D4" s="155"/>
      <c r="E4" s="155"/>
      <c r="F4" s="155"/>
      <c r="G4" s="155"/>
      <c r="H4" s="155"/>
      <c r="I4" s="150"/>
      <c r="J4" s="150"/>
      <c r="K4" s="150"/>
      <c r="L4" s="192"/>
    </row>
    <row r="5" spans="2:16">
      <c r="B5" s="149" t="s">
        <v>1022</v>
      </c>
      <c r="C5" s="149"/>
      <c r="D5" s="149"/>
      <c r="E5" s="149"/>
      <c r="F5" s="149"/>
      <c r="G5" s="149"/>
      <c r="H5" s="149"/>
      <c r="I5" s="149"/>
      <c r="J5" s="149"/>
      <c r="K5" s="149"/>
      <c r="L5" s="149"/>
    </row>
    <row r="6" spans="2:16"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</row>
    <row r="7" spans="2:16">
      <c r="B7" s="161" t="s">
        <v>1025</v>
      </c>
      <c r="C7" s="161"/>
      <c r="D7" s="161"/>
      <c r="E7" s="161"/>
      <c r="F7" s="161"/>
      <c r="G7" s="161"/>
      <c r="H7" s="161"/>
      <c r="I7" s="161"/>
      <c r="J7" s="161"/>
      <c r="K7" s="161"/>
      <c r="L7" s="193"/>
    </row>
    <row r="8" spans="2:16"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</row>
    <row r="9" spans="2:16">
      <c r="B9" s="149"/>
      <c r="C9" s="149"/>
      <c r="D9" s="149"/>
      <c r="E9" s="150"/>
      <c r="F9" s="149" t="s">
        <v>1027</v>
      </c>
      <c r="G9" s="163" t="s">
        <v>1028</v>
      </c>
      <c r="H9" s="163" t="s">
        <v>1029</v>
      </c>
      <c r="I9" s="163" t="s">
        <v>1030</v>
      </c>
      <c r="J9" s="163" t="s">
        <v>1031</v>
      </c>
      <c r="K9" s="164" t="s">
        <v>1032</v>
      </c>
      <c r="L9" s="194"/>
    </row>
    <row r="10" spans="2:16">
      <c r="B10" s="149" t="s">
        <v>1034</v>
      </c>
      <c r="C10" s="165"/>
      <c r="D10" s="165"/>
      <c r="E10" s="150"/>
      <c r="F10" s="166" t="s">
        <v>1035</v>
      </c>
      <c r="G10" s="167">
        <v>333.36</v>
      </c>
      <c r="H10" s="1647">
        <v>333.36</v>
      </c>
      <c r="I10" s="1647">
        <v>284.05</v>
      </c>
      <c r="J10" s="1647">
        <v>261.89</v>
      </c>
      <c r="K10" s="1647">
        <v>240.43</v>
      </c>
      <c r="L10" s="369" t="s">
        <v>511</v>
      </c>
    </row>
    <row r="11" spans="2:16">
      <c r="B11" s="169" t="s">
        <v>1037</v>
      </c>
      <c r="C11" s="169"/>
      <c r="D11" s="169"/>
      <c r="E11" s="169"/>
      <c r="F11" s="150" t="s">
        <v>1038</v>
      </c>
      <c r="G11" s="167">
        <f>+SUM(G13:G17)</f>
        <v>393.3648</v>
      </c>
      <c r="H11" s="167">
        <f>+SUM(H13:H17)</f>
        <v>393.3648</v>
      </c>
      <c r="I11" s="167">
        <f>+SUM(I13:I17)</f>
        <v>335.17900000000003</v>
      </c>
      <c r="J11" s="167">
        <f>+SUM(J13:J17)</f>
        <v>309.03019999999998</v>
      </c>
      <c r="K11" s="167">
        <f>+SUM(K13:K17)</f>
        <v>283.70740000000001</v>
      </c>
      <c r="L11" s="167"/>
    </row>
    <row r="12" spans="2:16">
      <c r="B12" s="169"/>
      <c r="C12" s="169"/>
      <c r="D12" s="169"/>
      <c r="E12" s="169"/>
      <c r="F12" s="150"/>
      <c r="G12" s="170"/>
      <c r="H12" s="170"/>
      <c r="I12" s="170"/>
      <c r="J12" s="150"/>
      <c r="K12" s="150"/>
      <c r="L12" s="192"/>
      <c r="M12" s="151" t="s">
        <v>1095</v>
      </c>
      <c r="N12" s="151"/>
      <c r="O12" s="151"/>
      <c r="P12" s="152"/>
    </row>
    <row r="13" spans="2:16">
      <c r="B13" s="169" t="s">
        <v>1041</v>
      </c>
      <c r="C13" s="169"/>
      <c r="D13" s="169"/>
      <c r="E13" s="169"/>
      <c r="F13" s="172">
        <v>1</v>
      </c>
      <c r="G13" s="173">
        <f t="shared" ref="G13:G18" si="0">+$F13*G$10</f>
        <v>333.36</v>
      </c>
      <c r="H13" s="173">
        <f t="shared" ref="H13:K18" si="1">+$F13*H$10</f>
        <v>333.36</v>
      </c>
      <c r="I13" s="173">
        <f t="shared" si="1"/>
        <v>284.05</v>
      </c>
      <c r="J13" s="173">
        <f t="shared" si="1"/>
        <v>261.89</v>
      </c>
      <c r="K13" s="954">
        <f t="shared" si="1"/>
        <v>240.43</v>
      </c>
      <c r="L13" s="173"/>
      <c r="M13" s="153" t="s">
        <v>1020</v>
      </c>
      <c r="N13" s="154"/>
      <c r="O13" s="152"/>
      <c r="P13" s="152"/>
    </row>
    <row r="14" spans="2:16">
      <c r="B14" s="169" t="s">
        <v>1044</v>
      </c>
      <c r="C14" s="169"/>
      <c r="D14" s="169"/>
      <c r="E14" s="169"/>
      <c r="F14" s="177">
        <f>0.9*20%</f>
        <v>0.18000000000000002</v>
      </c>
      <c r="G14" s="173">
        <f t="shared" si="0"/>
        <v>60.00480000000001</v>
      </c>
      <c r="H14" s="173">
        <f t="shared" si="1"/>
        <v>60.00480000000001</v>
      </c>
      <c r="I14" s="173">
        <f t="shared" si="1"/>
        <v>51.129000000000005</v>
      </c>
      <c r="J14" s="173">
        <f t="shared" si="1"/>
        <v>47.1402</v>
      </c>
      <c r="K14" s="954">
        <f t="shared" si="1"/>
        <v>43.277400000000007</v>
      </c>
      <c r="L14" s="173"/>
      <c r="M14" s="153" t="s">
        <v>1096</v>
      </c>
      <c r="N14" s="156"/>
      <c r="O14" s="157"/>
      <c r="P14" s="157"/>
    </row>
    <row r="15" spans="2:16">
      <c r="B15" s="169" t="s">
        <v>1046</v>
      </c>
      <c r="C15" s="169"/>
      <c r="D15" s="169"/>
      <c r="E15" s="169"/>
      <c r="F15" s="177">
        <f>O28*0</f>
        <v>0</v>
      </c>
      <c r="G15" s="173">
        <f t="shared" si="0"/>
        <v>0</v>
      </c>
      <c r="H15" s="173">
        <f t="shared" si="1"/>
        <v>0</v>
      </c>
      <c r="I15" s="173">
        <f t="shared" si="1"/>
        <v>0</v>
      </c>
      <c r="J15" s="173">
        <f t="shared" si="1"/>
        <v>0</v>
      </c>
      <c r="K15" s="173">
        <f t="shared" si="1"/>
        <v>0</v>
      </c>
      <c r="L15" s="173"/>
      <c r="M15" s="158" t="s">
        <v>1023</v>
      </c>
      <c r="N15" s="159">
        <f>5*4*8</f>
        <v>160</v>
      </c>
      <c r="O15" s="160">
        <f>+N15/$N$15</f>
        <v>1</v>
      </c>
      <c r="P15" s="157"/>
    </row>
    <row r="16" spans="2:16">
      <c r="B16" s="169" t="s">
        <v>1048</v>
      </c>
      <c r="C16" s="169"/>
      <c r="D16" s="169"/>
      <c r="E16" s="169"/>
      <c r="F16" s="177">
        <v>0</v>
      </c>
      <c r="G16" s="173">
        <f>+$F16*G$10</f>
        <v>0</v>
      </c>
      <c r="H16" s="173">
        <f t="shared" si="1"/>
        <v>0</v>
      </c>
      <c r="I16" s="173">
        <f t="shared" si="1"/>
        <v>0</v>
      </c>
      <c r="J16" s="173">
        <f t="shared" si="1"/>
        <v>0</v>
      </c>
      <c r="K16" s="954">
        <f t="shared" si="1"/>
        <v>0</v>
      </c>
      <c r="L16" s="173"/>
      <c r="M16" s="158" t="s">
        <v>1024</v>
      </c>
      <c r="N16" s="159">
        <f>5*4*4+1*4*5</f>
        <v>100</v>
      </c>
      <c r="O16" s="160">
        <f>+N16/$N$15</f>
        <v>0.625</v>
      </c>
      <c r="P16" s="157"/>
    </row>
    <row r="17" spans="2:16">
      <c r="B17" s="169" t="s">
        <v>1050</v>
      </c>
      <c r="C17" s="169"/>
      <c r="D17" s="169"/>
      <c r="E17" s="169"/>
      <c r="F17" s="177">
        <v>0</v>
      </c>
      <c r="G17" s="173">
        <f t="shared" si="0"/>
        <v>0</v>
      </c>
      <c r="H17" s="173">
        <f t="shared" si="1"/>
        <v>0</v>
      </c>
      <c r="I17" s="173">
        <f t="shared" si="1"/>
        <v>0</v>
      </c>
      <c r="J17" s="173">
        <f t="shared" si="1"/>
        <v>0</v>
      </c>
      <c r="K17" s="954">
        <f t="shared" si="1"/>
        <v>0</v>
      </c>
      <c r="L17" s="173"/>
      <c r="M17" s="158" t="s">
        <v>1026</v>
      </c>
      <c r="N17" s="159">
        <f>1*4*8</f>
        <v>32</v>
      </c>
      <c r="O17" s="160">
        <f>+N17/$N$15</f>
        <v>0.2</v>
      </c>
      <c r="P17" s="157"/>
    </row>
    <row r="18" spans="2:16">
      <c r="B18" s="169" t="s">
        <v>1052</v>
      </c>
      <c r="C18" s="169"/>
      <c r="D18" s="169"/>
      <c r="E18" s="169"/>
      <c r="F18" s="177">
        <v>0</v>
      </c>
      <c r="G18" s="173">
        <f t="shared" si="0"/>
        <v>0</v>
      </c>
      <c r="H18" s="173">
        <f t="shared" si="1"/>
        <v>0</v>
      </c>
      <c r="I18" s="173">
        <f t="shared" si="1"/>
        <v>0</v>
      </c>
      <c r="J18" s="173">
        <f t="shared" si="1"/>
        <v>0</v>
      </c>
      <c r="K18" s="954">
        <f t="shared" si="1"/>
        <v>0</v>
      </c>
      <c r="L18" s="173"/>
      <c r="M18" s="158"/>
      <c r="N18" s="162">
        <f>+SUM(N15:N17)</f>
        <v>292</v>
      </c>
      <c r="O18" s="1047">
        <f>Datos!N40</f>
        <v>189.92690936385813</v>
      </c>
      <c r="P18" s="157"/>
    </row>
    <row r="19" spans="2:16">
      <c r="B19" s="169" t="s">
        <v>1053</v>
      </c>
      <c r="C19" s="169"/>
      <c r="D19" s="169"/>
      <c r="E19" s="169"/>
      <c r="F19" s="177">
        <f>O23*68/60</f>
        <v>0</v>
      </c>
      <c r="G19" s="173">
        <f>+$F19*SUM(G13:G14,G16:G17)</f>
        <v>0</v>
      </c>
      <c r="H19" s="173">
        <f>+$F19*SUM(H13:H14,H16:H17)</f>
        <v>0</v>
      </c>
      <c r="I19" s="173">
        <f>+$F19*SUM(I13:I14,I16:I17)</f>
        <v>0</v>
      </c>
      <c r="J19" s="173">
        <f>+$F19*SUM(J13:J14,J16:J17)</f>
        <v>0</v>
      </c>
      <c r="K19" s="954">
        <f>+$F19*SUM(K13:K14,K16:K17)</f>
        <v>0</v>
      </c>
      <c r="L19" s="173"/>
      <c r="M19" s="151" t="s">
        <v>1033</v>
      </c>
      <c r="N19" s="151"/>
      <c r="O19" s="151"/>
      <c r="P19" s="152"/>
    </row>
    <row r="20" spans="2:16">
      <c r="B20" s="169" t="s">
        <v>849</v>
      </c>
      <c r="C20" s="169"/>
      <c r="D20" s="169"/>
      <c r="E20" s="169"/>
      <c r="F20" s="177">
        <f>-dias_lluvia/Datos!L8</f>
        <v>0</v>
      </c>
      <c r="G20" s="173">
        <f>+$F20*G$10</f>
        <v>0</v>
      </c>
      <c r="H20" s="173">
        <f t="shared" ref="H20:K35" si="2">+$F20*H$10</f>
        <v>0</v>
      </c>
      <c r="I20" s="173">
        <f t="shared" si="2"/>
        <v>0</v>
      </c>
      <c r="J20" s="173">
        <f t="shared" si="2"/>
        <v>0</v>
      </c>
      <c r="K20" s="173">
        <f t="shared" si="2"/>
        <v>0</v>
      </c>
      <c r="L20" s="173"/>
      <c r="M20" s="158" t="s">
        <v>1036</v>
      </c>
      <c r="N20" s="168"/>
      <c r="O20" s="159">
        <v>5</v>
      </c>
      <c r="P20" s="157"/>
    </row>
    <row r="21" spans="2:16">
      <c r="B21" s="169" t="s">
        <v>1056</v>
      </c>
      <c r="C21" s="169"/>
      <c r="D21" s="169"/>
      <c r="E21" s="169"/>
      <c r="F21" s="177">
        <f>-enfermedad/Datos!L8*0</f>
        <v>0</v>
      </c>
      <c r="G21" s="173">
        <f t="shared" ref="G21:G35" si="3">+$F21*G$10</f>
        <v>0</v>
      </c>
      <c r="H21" s="173">
        <f t="shared" si="2"/>
        <v>0</v>
      </c>
      <c r="I21" s="173">
        <f t="shared" si="2"/>
        <v>0</v>
      </c>
      <c r="J21" s="173">
        <f t="shared" si="2"/>
        <v>0</v>
      </c>
      <c r="K21" s="173">
        <f t="shared" si="2"/>
        <v>0</v>
      </c>
      <c r="L21" s="173"/>
      <c r="M21" s="158" t="s">
        <v>1039</v>
      </c>
      <c r="N21" s="168"/>
      <c r="O21" s="159">
        <f>O18/30</f>
        <v>6.3308969787952707</v>
      </c>
      <c r="P21" s="157"/>
    </row>
    <row r="22" spans="2:16">
      <c r="B22" s="169" t="s">
        <v>1058</v>
      </c>
      <c r="C22" s="169"/>
      <c r="D22" s="169"/>
      <c r="E22" s="169"/>
      <c r="F22" s="177">
        <f>-licenciaespecial/Datos!L8*0</f>
        <v>0</v>
      </c>
      <c r="G22" s="173">
        <f t="shared" si="3"/>
        <v>0</v>
      </c>
      <c r="H22" s="173">
        <f t="shared" si="2"/>
        <v>0</v>
      </c>
      <c r="I22" s="173">
        <f t="shared" si="2"/>
        <v>0</v>
      </c>
      <c r="J22" s="173">
        <f t="shared" si="2"/>
        <v>0</v>
      </c>
      <c r="K22" s="173">
        <f t="shared" si="2"/>
        <v>0</v>
      </c>
      <c r="L22" s="173"/>
      <c r="M22" s="158" t="s">
        <v>1040</v>
      </c>
      <c r="N22" s="168"/>
      <c r="O22" s="171">
        <v>0</v>
      </c>
      <c r="P22" s="157"/>
    </row>
    <row r="23" spans="2:16">
      <c r="B23" s="169" t="s">
        <v>1060</v>
      </c>
      <c r="C23" s="169"/>
      <c r="D23" s="169"/>
      <c r="E23" s="169"/>
      <c r="F23" s="177">
        <f>-accidente/Datos!L8</f>
        <v>3.663003663003663E-3</v>
      </c>
      <c r="G23" s="173">
        <f t="shared" si="3"/>
        <v>1.2210989010989011</v>
      </c>
      <c r="H23" s="173">
        <f t="shared" si="2"/>
        <v>1.2210989010989011</v>
      </c>
      <c r="I23" s="173">
        <f t="shared" si="2"/>
        <v>1.0404761904761906</v>
      </c>
      <c r="J23" s="173">
        <f t="shared" si="2"/>
        <v>0.95930402930402925</v>
      </c>
      <c r="K23" s="173">
        <f t="shared" si="2"/>
        <v>0.88069597069597072</v>
      </c>
      <c r="L23" s="173"/>
      <c r="M23" s="158" t="s">
        <v>1042</v>
      </c>
      <c r="N23" s="168"/>
      <c r="O23" s="174">
        <f>+O20/O21*O22</f>
        <v>0</v>
      </c>
      <c r="P23" s="157"/>
    </row>
    <row r="24" spans="2:16">
      <c r="B24" s="169" t="s">
        <v>1062</v>
      </c>
      <c r="C24" s="169"/>
      <c r="D24" s="169"/>
      <c r="E24" s="169"/>
      <c r="F24" s="177">
        <f>+O34</f>
        <v>3.1042403923759853E-2</v>
      </c>
      <c r="G24" s="173">
        <f t="shared" si="3"/>
        <v>10.348295772024585</v>
      </c>
      <c r="H24" s="173">
        <f t="shared" si="2"/>
        <v>10.348295772024585</v>
      </c>
      <c r="I24" s="173">
        <f t="shared" si="2"/>
        <v>8.8175948345439874</v>
      </c>
      <c r="J24" s="173">
        <f t="shared" si="2"/>
        <v>8.1296951635934676</v>
      </c>
      <c r="K24" s="173">
        <f t="shared" si="2"/>
        <v>7.4635251753895817</v>
      </c>
      <c r="L24" s="173"/>
      <c r="M24" s="151" t="s">
        <v>1045</v>
      </c>
      <c r="N24" s="151"/>
      <c r="O24" s="151"/>
      <c r="P24" s="152"/>
    </row>
    <row r="25" spans="2:16">
      <c r="B25" s="169" t="s">
        <v>1063</v>
      </c>
      <c r="C25" s="169"/>
      <c r="D25" s="169"/>
      <c r="E25" s="169"/>
      <c r="F25" s="177">
        <f>+O40</f>
        <v>5.261533280951846E-2</v>
      </c>
      <c r="G25" s="173">
        <f t="shared" si="3"/>
        <v>17.539847345381073</v>
      </c>
      <c r="H25" s="173">
        <f t="shared" si="2"/>
        <v>17.539847345381073</v>
      </c>
      <c r="I25" s="173">
        <f t="shared" si="2"/>
        <v>14.945385284543718</v>
      </c>
      <c r="J25" s="173">
        <f t="shared" si="2"/>
        <v>13.779429509484789</v>
      </c>
      <c r="K25" s="173">
        <f t="shared" si="2"/>
        <v>12.650304467392523</v>
      </c>
      <c r="L25" s="173"/>
      <c r="M25" s="158" t="s">
        <v>1047</v>
      </c>
      <c r="N25" s="168"/>
      <c r="O25" s="159">
        <f>8*I10*O18/30</f>
        <v>14386.330294614374</v>
      </c>
      <c r="P25" s="157"/>
    </row>
    <row r="26" spans="2:16">
      <c r="B26" s="169" t="s">
        <v>1065</v>
      </c>
      <c r="C26" s="169"/>
      <c r="D26" s="150"/>
      <c r="E26" s="150"/>
      <c r="F26" s="177">
        <f>1/12</f>
        <v>8.3333333333333329E-2</v>
      </c>
      <c r="G26" s="173">
        <f t="shared" si="3"/>
        <v>27.78</v>
      </c>
      <c r="H26" s="173">
        <f t="shared" si="2"/>
        <v>27.78</v>
      </c>
      <c r="I26" s="173">
        <f t="shared" si="2"/>
        <v>23.670833333333334</v>
      </c>
      <c r="J26" s="173">
        <f t="shared" si="2"/>
        <v>21.824166666666663</v>
      </c>
      <c r="K26" s="173">
        <f t="shared" si="2"/>
        <v>20.035833333333333</v>
      </c>
      <c r="L26" s="173"/>
      <c r="M26" s="158" t="s">
        <v>1049</v>
      </c>
      <c r="N26" s="168"/>
      <c r="O26" s="159">
        <f>Datos!N41/netas*N18*12</f>
        <v>3091.7718485991122</v>
      </c>
      <c r="P26" s="157"/>
    </row>
    <row r="27" spans="2:16">
      <c r="B27" s="169" t="s">
        <v>1081</v>
      </c>
      <c r="C27" s="169"/>
      <c r="D27" s="169"/>
      <c r="E27" s="169"/>
      <c r="F27" s="177">
        <v>0.11020000000000001</v>
      </c>
      <c r="G27" s="173">
        <f t="shared" si="3"/>
        <v>36.736272000000007</v>
      </c>
      <c r="H27" s="173">
        <f t="shared" si="2"/>
        <v>36.736272000000007</v>
      </c>
      <c r="I27" s="173">
        <f t="shared" si="2"/>
        <v>31.302310000000002</v>
      </c>
      <c r="J27" s="173">
        <f t="shared" si="2"/>
        <v>28.860278000000001</v>
      </c>
      <c r="K27" s="173">
        <f t="shared" si="2"/>
        <v>26.495386000000003</v>
      </c>
      <c r="L27" s="173"/>
      <c r="M27" s="158" t="s">
        <v>1051</v>
      </c>
      <c r="N27" s="168"/>
      <c r="O27" s="175">
        <f>+I10</f>
        <v>284.05</v>
      </c>
      <c r="P27" s="157"/>
    </row>
    <row r="28" spans="2:16">
      <c r="B28" s="169" t="s">
        <v>1082</v>
      </c>
      <c r="C28" s="169"/>
      <c r="D28" s="169"/>
      <c r="E28" s="169"/>
      <c r="F28" s="177">
        <v>4.02E-2</v>
      </c>
      <c r="G28" s="173">
        <f t="shared" si="3"/>
        <v>13.401072000000001</v>
      </c>
      <c r="H28" s="173">
        <f t="shared" si="2"/>
        <v>13.401072000000001</v>
      </c>
      <c r="I28" s="173">
        <f t="shared" si="2"/>
        <v>11.418810000000001</v>
      </c>
      <c r="J28" s="173">
        <f t="shared" si="2"/>
        <v>10.527977999999999</v>
      </c>
      <c r="K28" s="173">
        <f t="shared" si="2"/>
        <v>9.665286</v>
      </c>
      <c r="L28" s="173"/>
      <c r="M28" s="158" t="s">
        <v>1042</v>
      </c>
      <c r="N28" s="168"/>
      <c r="O28" s="176">
        <f>+O25/(O26*O27)</f>
        <v>1.6381278538812785E-2</v>
      </c>
      <c r="P28" s="157"/>
    </row>
    <row r="29" spans="2:16">
      <c r="B29" s="169" t="s">
        <v>1084</v>
      </c>
      <c r="C29" s="169"/>
      <c r="D29" s="169"/>
      <c r="E29" s="169"/>
      <c r="F29" s="177">
        <v>0.06</v>
      </c>
      <c r="G29" s="173">
        <f t="shared" si="3"/>
        <v>20.0016</v>
      </c>
      <c r="H29" s="173">
        <f t="shared" si="2"/>
        <v>20.0016</v>
      </c>
      <c r="I29" s="173">
        <f t="shared" si="2"/>
        <v>17.042999999999999</v>
      </c>
      <c r="J29" s="173">
        <f t="shared" si="2"/>
        <v>15.713399999999998</v>
      </c>
      <c r="K29" s="173">
        <f t="shared" si="2"/>
        <v>14.425800000000001</v>
      </c>
      <c r="L29" s="173"/>
      <c r="M29" s="151" t="s">
        <v>1054</v>
      </c>
      <c r="N29" s="151"/>
      <c r="O29" s="151"/>
      <c r="P29" s="152"/>
    </row>
    <row r="30" spans="2:16">
      <c r="B30" s="169" t="s">
        <v>1085</v>
      </c>
      <c r="C30" s="169"/>
      <c r="D30" s="150"/>
      <c r="E30" s="150"/>
      <c r="F30" s="410">
        <v>2.5000000000000001E-2</v>
      </c>
      <c r="G30" s="173">
        <f t="shared" si="3"/>
        <v>8.3340000000000014</v>
      </c>
      <c r="H30" s="173">
        <f t="shared" si="2"/>
        <v>8.3340000000000014</v>
      </c>
      <c r="I30" s="173">
        <f t="shared" si="2"/>
        <v>7.1012500000000003</v>
      </c>
      <c r="J30" s="173">
        <f t="shared" si="2"/>
        <v>6.54725</v>
      </c>
      <c r="K30" s="173">
        <f t="shared" si="2"/>
        <v>6.0107500000000007</v>
      </c>
      <c r="L30" s="173"/>
      <c r="M30" s="158" t="s">
        <v>1055</v>
      </c>
      <c r="N30" s="168"/>
      <c r="O30" s="159">
        <v>10</v>
      </c>
      <c r="P30" s="157"/>
    </row>
    <row r="31" spans="2:16">
      <c r="B31" s="169" t="s">
        <v>1086</v>
      </c>
      <c r="C31" s="169"/>
      <c r="D31" s="169"/>
      <c r="E31" s="150"/>
      <c r="F31" s="177">
        <v>6.6799999999999998E-2</v>
      </c>
      <c r="G31" s="173">
        <f t="shared" si="3"/>
        <v>22.268447999999999</v>
      </c>
      <c r="H31" s="173">
        <f t="shared" si="2"/>
        <v>22.268447999999999</v>
      </c>
      <c r="I31" s="173">
        <f t="shared" si="2"/>
        <v>18.974540000000001</v>
      </c>
      <c r="J31" s="173">
        <f t="shared" si="2"/>
        <v>17.494251999999999</v>
      </c>
      <c r="K31" s="173">
        <f t="shared" si="2"/>
        <v>16.060724</v>
      </c>
      <c r="L31" s="173"/>
      <c r="M31" s="158" t="s">
        <v>1057</v>
      </c>
      <c r="N31" s="168"/>
      <c r="O31" s="995">
        <f>Datos!L8</f>
        <v>273</v>
      </c>
      <c r="P31" s="157"/>
    </row>
    <row r="32" spans="2:16">
      <c r="B32" s="169" t="s">
        <v>1087</v>
      </c>
      <c r="C32" s="169"/>
      <c r="D32" s="169"/>
      <c r="E32" s="169"/>
      <c r="F32" s="177">
        <v>5.7999999999999996E-3</v>
      </c>
      <c r="G32" s="173">
        <f t="shared" si="3"/>
        <v>1.9334879999999999</v>
      </c>
      <c r="H32" s="173">
        <f t="shared" si="2"/>
        <v>1.9334879999999999</v>
      </c>
      <c r="I32" s="173">
        <f t="shared" si="2"/>
        <v>1.6474899999999999</v>
      </c>
      <c r="J32" s="173">
        <f t="shared" si="2"/>
        <v>1.5189619999999999</v>
      </c>
      <c r="K32" s="173">
        <f t="shared" si="2"/>
        <v>1.3944939999999999</v>
      </c>
      <c r="L32" s="173"/>
      <c r="M32" s="158" t="s">
        <v>1059</v>
      </c>
      <c r="N32" s="168"/>
      <c r="O32" s="175">
        <f>+I10</f>
        <v>284.05</v>
      </c>
      <c r="P32" s="157"/>
    </row>
    <row r="33" spans="2:16">
      <c r="B33" s="169" t="s">
        <v>1088</v>
      </c>
      <c r="C33" s="169"/>
      <c r="D33" s="169"/>
      <c r="E33" s="169"/>
      <c r="F33" s="177">
        <v>1.3299999999999999E-2</v>
      </c>
      <c r="G33" s="173">
        <f t="shared" si="3"/>
        <v>4.4336880000000001</v>
      </c>
      <c r="H33" s="173">
        <f t="shared" si="2"/>
        <v>4.4336880000000001</v>
      </c>
      <c r="I33" s="173">
        <f t="shared" si="2"/>
        <v>3.7778649999999998</v>
      </c>
      <c r="J33" s="173">
        <f t="shared" si="2"/>
        <v>3.4831369999999997</v>
      </c>
      <c r="K33" s="173">
        <f t="shared" si="2"/>
        <v>3.1977189999999998</v>
      </c>
      <c r="L33" s="173"/>
      <c r="M33" s="158" t="s">
        <v>1061</v>
      </c>
      <c r="N33" s="168"/>
      <c r="O33" s="175">
        <f>+I13+I14+I16+I17</f>
        <v>335.17900000000003</v>
      </c>
      <c r="P33" s="157"/>
    </row>
    <row r="34" spans="2:16">
      <c r="B34" s="169" t="s">
        <v>1089</v>
      </c>
      <c r="C34" s="169"/>
      <c r="D34" s="169"/>
      <c r="E34" s="169"/>
      <c r="F34" s="177">
        <v>5.9999999999999995E-4</v>
      </c>
      <c r="G34" s="173">
        <f t="shared" si="3"/>
        <v>0.200016</v>
      </c>
      <c r="H34" s="173">
        <f t="shared" si="2"/>
        <v>0.200016</v>
      </c>
      <c r="I34" s="173">
        <f t="shared" si="2"/>
        <v>0.17043</v>
      </c>
      <c r="J34" s="173">
        <f t="shared" si="2"/>
        <v>0.15713399999999997</v>
      </c>
      <c r="K34" s="173">
        <f t="shared" si="2"/>
        <v>0.144258</v>
      </c>
      <c r="L34" s="173"/>
      <c r="M34" s="158" t="s">
        <v>1042</v>
      </c>
      <c r="N34" s="168"/>
      <c r="O34" s="176">
        <f>+(O30*O32)/(O33*O31)</f>
        <v>3.1042403923759853E-2</v>
      </c>
      <c r="P34" s="157"/>
    </row>
    <row r="35" spans="2:16">
      <c r="B35" s="178" t="s">
        <v>1090</v>
      </c>
      <c r="C35" s="178"/>
      <c r="D35" s="178"/>
      <c r="E35" s="178"/>
      <c r="F35" s="177">
        <v>3.39E-2</v>
      </c>
      <c r="G35" s="173">
        <f t="shared" si="3"/>
        <v>11.300904000000001</v>
      </c>
      <c r="H35" s="173">
        <f t="shared" si="2"/>
        <v>11.300904000000001</v>
      </c>
      <c r="I35" s="173">
        <f t="shared" si="2"/>
        <v>9.6292950000000008</v>
      </c>
      <c r="J35" s="173">
        <f t="shared" si="2"/>
        <v>8.8780710000000003</v>
      </c>
      <c r="K35" s="173">
        <f t="shared" si="2"/>
        <v>8.1505770000000002</v>
      </c>
      <c r="L35" s="173"/>
      <c r="M35" s="151" t="s">
        <v>1064</v>
      </c>
      <c r="N35" s="151"/>
      <c r="O35" s="151"/>
      <c r="P35" s="152"/>
    </row>
    <row r="36" spans="2:16">
      <c r="B36" s="149" t="s">
        <v>1091</v>
      </c>
      <c r="C36" s="149"/>
      <c r="D36" s="149"/>
      <c r="E36" s="149"/>
      <c r="F36" s="179">
        <f>+G36/G10</f>
        <v>1.7064540737296152</v>
      </c>
      <c r="G36" s="180">
        <f>+SUM(G13:G35)</f>
        <v>568.86353001850455</v>
      </c>
      <c r="H36" s="180">
        <f>+SUM(H13:H35)</f>
        <v>568.86353001850455</v>
      </c>
      <c r="I36" s="180">
        <f>+SUM(I13:I35)</f>
        <v>484.71827964289724</v>
      </c>
      <c r="J36" s="180">
        <f>+SUM(J13:J35)</f>
        <v>446.90325736904884</v>
      </c>
      <c r="K36" s="180">
        <f>+SUM(K13:K35)</f>
        <v>410.28275294681134</v>
      </c>
      <c r="L36" s="180"/>
      <c r="M36" s="158" t="s">
        <v>1066</v>
      </c>
      <c r="N36" s="168"/>
      <c r="O36" s="159">
        <v>15</v>
      </c>
      <c r="P36" s="157"/>
    </row>
    <row r="37" spans="2:16">
      <c r="B37" s="169" t="s">
        <v>850</v>
      </c>
      <c r="C37" s="169"/>
      <c r="D37" s="169"/>
      <c r="E37" s="169"/>
      <c r="F37" s="177">
        <v>0</v>
      </c>
      <c r="G37" s="173">
        <f>+$F37*G$36</f>
        <v>0</v>
      </c>
      <c r="H37" s="173">
        <f t="shared" ref="H37:K40" si="4">+$F37*H$36</f>
        <v>0</v>
      </c>
      <c r="I37" s="173">
        <f t="shared" si="4"/>
        <v>0</v>
      </c>
      <c r="J37" s="173">
        <f t="shared" si="4"/>
        <v>0</v>
      </c>
      <c r="K37" s="173">
        <f t="shared" si="4"/>
        <v>0</v>
      </c>
      <c r="L37" s="173"/>
      <c r="M37" s="158" t="s">
        <v>1057</v>
      </c>
      <c r="N37" s="168"/>
      <c r="O37" s="159">
        <v>302</v>
      </c>
      <c r="P37" s="157"/>
    </row>
    <row r="38" spans="2:16">
      <c r="B38" s="169" t="s">
        <v>1092</v>
      </c>
      <c r="C38" s="169"/>
      <c r="D38" s="169"/>
      <c r="E38" s="169"/>
      <c r="F38" s="177">
        <v>0</v>
      </c>
      <c r="G38" s="173">
        <f>+$F38*G$36</f>
        <v>0</v>
      </c>
      <c r="H38" s="173">
        <f t="shared" si="4"/>
        <v>0</v>
      </c>
      <c r="I38" s="173">
        <f t="shared" si="4"/>
        <v>0</v>
      </c>
      <c r="J38" s="173">
        <f t="shared" si="4"/>
        <v>0</v>
      </c>
      <c r="K38" s="173">
        <f t="shared" si="4"/>
        <v>0</v>
      </c>
      <c r="L38" s="173"/>
      <c r="M38" s="158" t="s">
        <v>1083</v>
      </c>
      <c r="N38" s="168"/>
      <c r="O38" s="175">
        <f>+I10/24*30</f>
        <v>355.0625</v>
      </c>
      <c r="P38" s="157"/>
    </row>
    <row r="39" spans="2:16">
      <c r="B39" s="178" t="s">
        <v>1093</v>
      </c>
      <c r="C39" s="178"/>
      <c r="D39" s="178"/>
      <c r="E39" s="178"/>
      <c r="F39" s="177">
        <v>0</v>
      </c>
      <c r="G39" s="173">
        <f>+$F39*G$36</f>
        <v>0</v>
      </c>
      <c r="H39" s="173">
        <f t="shared" si="4"/>
        <v>0</v>
      </c>
      <c r="I39" s="173">
        <f t="shared" si="4"/>
        <v>0</v>
      </c>
      <c r="J39" s="173">
        <f t="shared" si="4"/>
        <v>0</v>
      </c>
      <c r="K39" s="173">
        <f t="shared" si="4"/>
        <v>0</v>
      </c>
      <c r="L39" s="173"/>
      <c r="M39" s="158" t="s">
        <v>1061</v>
      </c>
      <c r="N39" s="168"/>
      <c r="O39" s="175">
        <f>+I13+I14+I16+I17</f>
        <v>335.17900000000003</v>
      </c>
      <c r="P39" s="157"/>
    </row>
    <row r="40" spans="2:16">
      <c r="B40" s="178" t="s">
        <v>1094</v>
      </c>
      <c r="C40" s="178"/>
      <c r="D40" s="178"/>
      <c r="E40" s="178"/>
      <c r="F40" s="177">
        <v>0</v>
      </c>
      <c r="G40" s="173">
        <f>+$F40*G$36</f>
        <v>0</v>
      </c>
      <c r="H40" s="173">
        <f t="shared" si="4"/>
        <v>0</v>
      </c>
      <c r="I40" s="173">
        <f t="shared" si="4"/>
        <v>0</v>
      </c>
      <c r="J40" s="173">
        <f t="shared" si="4"/>
        <v>0</v>
      </c>
      <c r="K40" s="173">
        <f t="shared" si="4"/>
        <v>0</v>
      </c>
      <c r="L40" s="173"/>
      <c r="M40" s="158" t="s">
        <v>1042</v>
      </c>
      <c r="N40" s="168"/>
      <c r="O40" s="176">
        <f>+(O36*O38)/(O39*O37)</f>
        <v>5.261533280951846E-2</v>
      </c>
      <c r="P40" s="157"/>
    </row>
    <row r="41" spans="2:16">
      <c r="B41" s="149" t="s">
        <v>1102</v>
      </c>
      <c r="C41" s="149"/>
      <c r="D41" s="149"/>
      <c r="E41" s="149"/>
      <c r="F41" s="179">
        <f>+G41/G10</f>
        <v>1.7064540737296152</v>
      </c>
      <c r="G41" s="180">
        <f>+SUM(G36:G40)</f>
        <v>568.86353001850455</v>
      </c>
      <c r="H41" s="180">
        <f>+SUM(H36:H40)</f>
        <v>568.86353001850455</v>
      </c>
      <c r="I41" s="180">
        <f>+SUM(I36:I40)</f>
        <v>484.71827964289724</v>
      </c>
      <c r="J41" s="180">
        <f>+SUM(J36:J40)</f>
        <v>446.90325736904884</v>
      </c>
      <c r="K41" s="180">
        <f>+SUM(K36:K40)</f>
        <v>410.28275294681134</v>
      </c>
      <c r="L41" s="180"/>
      <c r="M41" s="181"/>
      <c r="N41" s="181"/>
      <c r="O41" s="181"/>
      <c r="P41" s="181"/>
    </row>
    <row r="42" spans="2:16">
      <c r="B42" s="185" t="s">
        <v>1097</v>
      </c>
      <c r="C42" s="183"/>
      <c r="D42" s="183"/>
      <c r="E42" s="183"/>
      <c r="F42" s="184"/>
      <c r="G42" s="863">
        <f>+SUM(G13:G14,G16:G19)*Datos!$N$40*0.85</f>
        <v>63503.976609052355</v>
      </c>
      <c r="H42" s="863">
        <f>+SUM(H13:H14,H16:H19)*Datos!$N$40*0.85</f>
        <v>63503.976609052355</v>
      </c>
      <c r="I42" s="863">
        <f>+SUM(I13:I14,I16:I19)*Datos!$N$40*0.85</f>
        <v>54110.584820618315</v>
      </c>
      <c r="J42" s="863">
        <f>+SUM(J13:J14,J16:J19)*Datos!$N$40*0.85</f>
        <v>49889.178168180704</v>
      </c>
      <c r="K42" s="863">
        <f>+SUM(K13:K14,K16:K19)*Datos!$N$40*0.85</f>
        <v>45801.119198807464</v>
      </c>
      <c r="L42" s="195"/>
      <c r="M42" s="150"/>
      <c r="N42" s="150"/>
      <c r="O42" s="150"/>
      <c r="P42" s="150"/>
    </row>
    <row r="43" spans="2:16">
      <c r="B43" s="148" t="s">
        <v>1101</v>
      </c>
      <c r="G43" s="186">
        <f>+Datos!$N$40</f>
        <v>189.92690936385813</v>
      </c>
      <c r="H43" s="186">
        <f>+Datos!$N$40</f>
        <v>189.92690936385813</v>
      </c>
      <c r="I43" s="186">
        <f>+Datos!$N$40</f>
        <v>189.92690936385813</v>
      </c>
      <c r="J43" s="186">
        <f>+Datos!$N$40</f>
        <v>189.92690936385813</v>
      </c>
      <c r="K43" s="186">
        <f>+Datos!$N$40</f>
        <v>189.92690936385813</v>
      </c>
      <c r="L43" s="196"/>
      <c r="M43" s="370" t="s">
        <v>512</v>
      </c>
      <c r="N43" s="371"/>
      <c r="O43" s="182"/>
      <c r="P43" s="182"/>
    </row>
    <row r="44" spans="2:16">
      <c r="B44" s="178" t="s">
        <v>228</v>
      </c>
      <c r="C44" s="178"/>
      <c r="D44" s="178"/>
      <c r="E44" s="178"/>
      <c r="F44" s="177"/>
      <c r="G44" s="955">
        <f>+Datos!$S$17</f>
        <v>1300</v>
      </c>
      <c r="H44" s="955">
        <f>+Datos!$S$17</f>
        <v>1300</v>
      </c>
      <c r="I44" s="955">
        <f>+Datos!$S$17</f>
        <v>1300</v>
      </c>
      <c r="J44" s="955">
        <f>+Datos!$S$17</f>
        <v>1300</v>
      </c>
      <c r="K44" s="955">
        <f>+Datos!$S$17</f>
        <v>1300</v>
      </c>
      <c r="L44" s="173"/>
      <c r="M44" s="372">
        <f>+(K39+K40)*Datos!$N$40</f>
        <v>0</v>
      </c>
      <c r="N44" s="373" t="s">
        <v>1032</v>
      </c>
      <c r="O44" s="182"/>
      <c r="P44" s="182"/>
    </row>
    <row r="45" spans="2:16">
      <c r="B45" s="178" t="s">
        <v>1098</v>
      </c>
      <c r="C45" s="178"/>
      <c r="D45" s="178"/>
      <c r="E45" s="178"/>
      <c r="F45" s="177"/>
      <c r="G45" s="955">
        <f>+Datos!$S$24</f>
        <v>0</v>
      </c>
      <c r="H45" s="955">
        <f>+Datos!$S$24</f>
        <v>0</v>
      </c>
      <c r="I45" s="955">
        <f>+Datos!$S$24</f>
        <v>0</v>
      </c>
      <c r="J45" s="955">
        <f>+Datos!$S$24</f>
        <v>0</v>
      </c>
      <c r="K45" s="955">
        <f>+Datos!$S$24</f>
        <v>0</v>
      </c>
      <c r="L45" s="173"/>
      <c r="M45" s="372">
        <f>+(J39+J40)*Datos!$N$40</f>
        <v>0</v>
      </c>
      <c r="N45" s="373" t="s">
        <v>513</v>
      </c>
      <c r="O45" s="182"/>
      <c r="P45" s="182"/>
    </row>
    <row r="46" spans="2:16">
      <c r="B46" s="178" t="s">
        <v>1099</v>
      </c>
      <c r="C46" s="178"/>
      <c r="D46" s="178"/>
      <c r="E46" s="178"/>
      <c r="F46" s="177"/>
      <c r="G46" s="955">
        <f>+Datos!$S$29+Datos!$S$30</f>
        <v>0</v>
      </c>
      <c r="H46" s="955">
        <f>+Datos!$S$29+Datos!$S$30</f>
        <v>0</v>
      </c>
      <c r="I46" s="955">
        <f>+Datos!S28+Datos!S30</f>
        <v>0</v>
      </c>
      <c r="J46" s="955">
        <f>+Datos!S30</f>
        <v>0</v>
      </c>
      <c r="K46" s="955">
        <f>+Datos!S30</f>
        <v>0</v>
      </c>
      <c r="L46" s="173"/>
      <c r="M46" s="372">
        <f>+(I39+I40)*Datos!$N$40</f>
        <v>0</v>
      </c>
      <c r="N46" s="373" t="s">
        <v>514</v>
      </c>
      <c r="O46" s="182"/>
      <c r="P46" s="182"/>
    </row>
    <row r="47" spans="2:16">
      <c r="B47" s="178" t="s">
        <v>1046</v>
      </c>
      <c r="C47" s="178"/>
      <c r="D47" s="178"/>
      <c r="E47" s="178"/>
      <c r="F47" s="177"/>
      <c r="G47" s="955">
        <f>+Datos!$S$38</f>
        <v>1016.6666666666665</v>
      </c>
      <c r="H47" s="955">
        <f>+Datos!$S$38</f>
        <v>1016.6666666666665</v>
      </c>
      <c r="I47" s="955">
        <f>+Datos!$S$38</f>
        <v>1016.6666666666665</v>
      </c>
      <c r="J47" s="955">
        <f>+Datos!$S$38</f>
        <v>1016.6666666666665</v>
      </c>
      <c r="K47" s="955">
        <f>+Datos!$S$38</f>
        <v>1016.6666666666665</v>
      </c>
      <c r="L47" s="173"/>
      <c r="M47" s="372">
        <f>+(H39+H40)*Datos!$N$40</f>
        <v>0</v>
      </c>
      <c r="N47" s="373" t="s">
        <v>515</v>
      </c>
      <c r="O47" s="182"/>
      <c r="P47" s="182"/>
    </row>
    <row r="48" spans="2:16">
      <c r="B48" s="178" t="s">
        <v>1100</v>
      </c>
      <c r="C48" s="178"/>
      <c r="D48" s="178"/>
      <c r="E48" s="178"/>
      <c r="F48" s="177"/>
      <c r="G48" s="956">
        <f>+SUM(G44:G47)/G43</f>
        <v>12.197674749860976</v>
      </c>
      <c r="H48" s="956">
        <f>+SUM(H44:H47)/H43</f>
        <v>12.197674749860976</v>
      </c>
      <c r="I48" s="956">
        <f>+SUM(I44:I47)/I43</f>
        <v>12.197674749860976</v>
      </c>
      <c r="J48" s="956">
        <f>+SUM(J44:J47)/J43</f>
        <v>12.197674749860976</v>
      </c>
      <c r="K48" s="956">
        <f>+SUM(K44:K47)/K43</f>
        <v>12.197674749860976</v>
      </c>
      <c r="L48" s="187"/>
      <c r="M48" s="374">
        <f>+(G39+G40)*Datos!$N$40</f>
        <v>0</v>
      </c>
      <c r="N48" s="375" t="s">
        <v>516</v>
      </c>
      <c r="O48" s="182"/>
      <c r="P48" s="182"/>
    </row>
    <row r="49" spans="2:14">
      <c r="B49" s="188" t="s">
        <v>1103</v>
      </c>
      <c r="C49" s="189"/>
      <c r="D49" s="189"/>
      <c r="E49" s="189"/>
      <c r="F49" s="189"/>
      <c r="G49" s="190">
        <f>+G41+G48</f>
        <v>581.06120476836554</v>
      </c>
      <c r="H49" s="190">
        <f>+H41+H48</f>
        <v>581.06120476836554</v>
      </c>
      <c r="I49" s="190">
        <f>+I41+I48</f>
        <v>496.91595439275824</v>
      </c>
      <c r="J49" s="190">
        <f>+J41+J48</f>
        <v>459.10093211890984</v>
      </c>
      <c r="K49" s="190">
        <f>+K41+K48</f>
        <v>422.48042769667234</v>
      </c>
      <c r="L49" s="197"/>
    </row>
    <row r="50" spans="2:14">
      <c r="G50" s="748">
        <v>669.50266115993782</v>
      </c>
      <c r="H50" s="748">
        <v>560.31637065454152</v>
      </c>
      <c r="I50" s="748">
        <v>482.37876512170158</v>
      </c>
      <c r="J50" s="748">
        <v>447.34659363178395</v>
      </c>
      <c r="K50" s="748">
        <v>413.4171918154143</v>
      </c>
      <c r="M50" s="370" t="s">
        <v>555</v>
      </c>
      <c r="N50" s="399"/>
    </row>
    <row r="51" spans="2:14">
      <c r="M51" s="400" t="s">
        <v>553</v>
      </c>
      <c r="N51" s="401">
        <v>312</v>
      </c>
    </row>
    <row r="52" spans="2:14">
      <c r="M52" s="400" t="s">
        <v>1030</v>
      </c>
      <c r="N52" s="401">
        <v>270</v>
      </c>
    </row>
    <row r="53" spans="2:14">
      <c r="M53" s="400" t="s">
        <v>554</v>
      </c>
      <c r="N53" s="401">
        <v>240</v>
      </c>
    </row>
    <row r="54" spans="2:14">
      <c r="M54" s="402" t="s">
        <v>1032</v>
      </c>
      <c r="N54" s="403">
        <v>192</v>
      </c>
    </row>
  </sheetData>
  <phoneticPr fontId="0" type="noConversion"/>
  <pageMargins left="0.75" right="0.75" top="1" bottom="1" header="0.5" footer="0.5"/>
  <pageSetup scale="6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B1:AB188"/>
  <sheetViews>
    <sheetView zoomScale="90" workbookViewId="0">
      <pane xSplit="2" ySplit="5" topLeftCell="C175" activePane="bottomRight" state="frozen"/>
      <selection pane="topRight" activeCell="C1" sqref="C1"/>
      <selection pane="bottomLeft" activeCell="A6" sqref="A6"/>
      <selection pane="bottomRight" activeCell="B182" sqref="B182:J182"/>
    </sheetView>
  </sheetViews>
  <sheetFormatPr baseColWidth="10" defaultColWidth="9.109375" defaultRowHeight="13.8"/>
  <cols>
    <col min="1" max="1" width="1.109375" style="560" customWidth="1"/>
    <col min="2" max="2" width="13" style="560" customWidth="1"/>
    <col min="3" max="3" width="41.44140625" style="560" customWidth="1"/>
    <col min="4" max="5" width="13" style="560" customWidth="1"/>
    <col min="6" max="6" width="16.109375" style="560" bestFit="1" customWidth="1"/>
    <col min="7" max="7" width="14.88671875" style="560" bestFit="1" customWidth="1"/>
    <col min="8" max="8" width="14.6640625" style="560" bestFit="1" customWidth="1"/>
    <col min="9" max="9" width="13.44140625" style="560" bestFit="1" customWidth="1"/>
    <col min="10" max="10" width="9.6640625" style="560" bestFit="1" customWidth="1"/>
    <col min="11" max="24" width="9.109375" style="560"/>
    <col min="25" max="25" width="13.44140625" style="560" bestFit="1" customWidth="1"/>
    <col min="26" max="16384" width="9.109375" style="560"/>
  </cols>
  <sheetData>
    <row r="1" spans="2:23" ht="3.75" customHeight="1"/>
    <row r="2" spans="2:23">
      <c r="B2" s="1163" t="s">
        <v>1016</v>
      </c>
      <c r="C2" s="1163"/>
      <c r="D2" s="1163"/>
      <c r="E2" s="1163"/>
      <c r="F2" s="1204"/>
      <c r="G2" s="1204"/>
      <c r="H2" s="1204"/>
    </row>
    <row r="3" spans="2:23">
      <c r="B3" s="560" t="s">
        <v>770</v>
      </c>
    </row>
    <row r="4" spans="2:23" ht="14.4" thickBot="1"/>
    <row r="5" spans="2:23" ht="24.6" thickBot="1">
      <c r="B5" s="1214" t="s">
        <v>1017</v>
      </c>
      <c r="C5" s="1214" t="s">
        <v>1107</v>
      </c>
      <c r="D5" s="1214" t="s">
        <v>1105</v>
      </c>
      <c r="E5" s="1214" t="s">
        <v>1106</v>
      </c>
      <c r="F5" s="1214" t="s">
        <v>756</v>
      </c>
      <c r="G5" s="1215" t="s">
        <v>757</v>
      </c>
      <c r="H5" s="1215" t="s">
        <v>758</v>
      </c>
      <c r="I5" s="1216" t="s">
        <v>759</v>
      </c>
      <c r="J5" s="1217" t="s">
        <v>760</v>
      </c>
      <c r="K5" s="1218" t="s">
        <v>761</v>
      </c>
      <c r="L5" s="1218" t="s">
        <v>762</v>
      </c>
      <c r="M5" s="1218" t="s">
        <v>763</v>
      </c>
      <c r="N5" s="1219" t="s">
        <v>764</v>
      </c>
      <c r="O5" s="1219" t="s">
        <v>765</v>
      </c>
      <c r="P5" s="1219" t="s">
        <v>766</v>
      </c>
      <c r="Q5" s="1219" t="s">
        <v>767</v>
      </c>
      <c r="R5" s="1220" t="s">
        <v>768</v>
      </c>
      <c r="S5" s="1220" t="s">
        <v>925</v>
      </c>
      <c r="T5" s="1220" t="s">
        <v>931</v>
      </c>
    </row>
    <row r="6" spans="2:23">
      <c r="B6" s="1221" t="s">
        <v>1564</v>
      </c>
      <c r="C6" s="1222" t="str">
        <f>+VLOOKUP(B6,Recursos!C:D,2,FALSE)</f>
        <v>ACOPLADO O TANQUE CAP. 10 m3</v>
      </c>
      <c r="D6" s="1223">
        <f t="shared" ref="D6:D37" si="0">+SUM(F6:I6)</f>
        <v>200.018</v>
      </c>
      <c r="E6" s="1223">
        <f>+SUMIF(Recursos!C:C,EQ_CE!B6,Recursos!G:G)</f>
        <v>0</v>
      </c>
      <c r="F6" s="1224">
        <f t="shared" ref="F6:F37" si="1">+(J6*(1-vres))/M6*usd</f>
        <v>119.73866666666666</v>
      </c>
      <c r="G6" s="1225">
        <f t="shared" ref="G6:G37" si="2">+ryr*F6</f>
        <v>59.86933333333333</v>
      </c>
      <c r="H6" s="1225">
        <f t="shared" ref="H6:H37" si="3">+N6*K6*comb*(1+lub)</f>
        <v>0</v>
      </c>
      <c r="I6" s="1226">
        <f t="shared" ref="I6:I37" si="4">+IF(Q6&gt;0,(O6*P6)*usd/Q6,0)</f>
        <v>20.41</v>
      </c>
      <c r="J6" s="1227">
        <v>11000</v>
      </c>
      <c r="K6" s="1228">
        <v>0</v>
      </c>
      <c r="L6" s="1228">
        <v>0</v>
      </c>
      <c r="M6" s="1228">
        <v>7500</v>
      </c>
      <c r="N6" s="1229">
        <v>0</v>
      </c>
      <c r="O6" s="1229">
        <v>4</v>
      </c>
      <c r="P6" s="1229">
        <v>200</v>
      </c>
      <c r="Q6" s="1229">
        <v>4000</v>
      </c>
      <c r="R6" s="1230">
        <f t="shared" ref="R6:R37" si="5">+N6*K6*E6</f>
        <v>0</v>
      </c>
      <c r="S6" s="1230">
        <f t="shared" ref="S6:S37" si="6">+L6*E6</f>
        <v>0</v>
      </c>
      <c r="T6" s="1230">
        <f t="shared" ref="T6:T37" si="7">0.5*(F6+0.8*G6)</f>
        <v>83.817066666666662</v>
      </c>
      <c r="V6" s="560" t="s">
        <v>2724</v>
      </c>
      <c r="W6" s="560" t="s">
        <v>1535</v>
      </c>
    </row>
    <row r="7" spans="2:23">
      <c r="B7" s="1221" t="s">
        <v>1738</v>
      </c>
      <c r="C7" s="1222" t="s">
        <v>1739</v>
      </c>
      <c r="D7" s="1223">
        <f t="shared" si="0"/>
        <v>159.89194000000001</v>
      </c>
      <c r="E7" s="1223">
        <f>+SUMIF(Recursos!C:C,EQ_CE!B7,Recursos!G:G)</f>
        <v>0</v>
      </c>
      <c r="F7" s="1224">
        <f t="shared" si="1"/>
        <v>72.577960000000004</v>
      </c>
      <c r="G7" s="1225">
        <f t="shared" si="2"/>
        <v>36.288980000000002</v>
      </c>
      <c r="H7" s="1225">
        <f t="shared" si="3"/>
        <v>0</v>
      </c>
      <c r="I7" s="1226">
        <f t="shared" si="4"/>
        <v>51.024999999999999</v>
      </c>
      <c r="J7" s="1227">
        <v>8890</v>
      </c>
      <c r="K7" s="1228">
        <v>0</v>
      </c>
      <c r="L7" s="1228">
        <v>0</v>
      </c>
      <c r="M7" s="1228">
        <v>10000</v>
      </c>
      <c r="N7" s="1229">
        <v>0.08</v>
      </c>
      <c r="O7" s="1229">
        <v>6</v>
      </c>
      <c r="P7" s="1229">
        <v>250</v>
      </c>
      <c r="Q7" s="1229">
        <v>3000</v>
      </c>
      <c r="R7" s="1230">
        <f t="shared" si="5"/>
        <v>0</v>
      </c>
      <c r="S7" s="1230">
        <f t="shared" si="6"/>
        <v>0</v>
      </c>
      <c r="T7" s="1230">
        <f t="shared" si="7"/>
        <v>50.804572000000007</v>
      </c>
      <c r="V7" s="560" t="s">
        <v>2725</v>
      </c>
      <c r="W7" s="560" t="s">
        <v>1536</v>
      </c>
    </row>
    <row r="8" spans="2:23">
      <c r="B8" s="1221" t="s">
        <v>1638</v>
      </c>
      <c r="C8" s="1222" t="str">
        <f>+VLOOKUP(B8,Recursos!C:D,2,FALSE)</f>
        <v>AGITADOR DE LECHADA</v>
      </c>
      <c r="D8" s="1223">
        <f t="shared" si="0"/>
        <v>68.577600000000004</v>
      </c>
      <c r="E8" s="1223">
        <f>+SUMIF(Recursos!C:C,EQ_CE!B8,Recursos!G:G)</f>
        <v>0</v>
      </c>
      <c r="F8" s="1224">
        <f t="shared" si="1"/>
        <v>45.718400000000003</v>
      </c>
      <c r="G8" s="1225">
        <f t="shared" si="2"/>
        <v>22.859200000000001</v>
      </c>
      <c r="H8" s="1225">
        <f t="shared" si="3"/>
        <v>0</v>
      </c>
      <c r="I8" s="1226">
        <f t="shared" si="4"/>
        <v>0</v>
      </c>
      <c r="J8" s="1227">
        <v>2800</v>
      </c>
      <c r="K8" s="1228">
        <v>10</v>
      </c>
      <c r="L8" s="1228">
        <v>0</v>
      </c>
      <c r="M8" s="1228">
        <v>5000</v>
      </c>
      <c r="N8" s="1229">
        <v>0</v>
      </c>
      <c r="O8" s="1229">
        <v>0</v>
      </c>
      <c r="P8" s="1229">
        <v>0</v>
      </c>
      <c r="Q8" s="1229">
        <v>0</v>
      </c>
      <c r="R8" s="1230">
        <f t="shared" si="5"/>
        <v>0</v>
      </c>
      <c r="S8" s="1230">
        <f t="shared" si="6"/>
        <v>0</v>
      </c>
      <c r="T8" s="1230">
        <f t="shared" si="7"/>
        <v>32.002880000000005</v>
      </c>
      <c r="V8" s="560" t="s">
        <v>2726</v>
      </c>
      <c r="W8" s="560" t="s">
        <v>1537</v>
      </c>
    </row>
    <row r="9" spans="2:23">
      <c r="B9" s="1221" t="s">
        <v>1646</v>
      </c>
      <c r="C9" s="1222" t="str">
        <f>+VLOOKUP(B9,Recursos!C:D,2,FALSE)</f>
        <v>ALIMENTADOR VIBRAT. 3'x14'</v>
      </c>
      <c r="D9" s="1223">
        <f t="shared" si="0"/>
        <v>306.14999999999998</v>
      </c>
      <c r="E9" s="1223">
        <f>+SUMIF(Recursos!C:C,EQ_CE!B9,Recursos!G:G)</f>
        <v>0.15825599999999998</v>
      </c>
      <c r="F9" s="1224">
        <f t="shared" si="1"/>
        <v>204.1</v>
      </c>
      <c r="G9" s="1225">
        <f t="shared" si="2"/>
        <v>102.05</v>
      </c>
      <c r="H9" s="1225">
        <f t="shared" si="3"/>
        <v>0</v>
      </c>
      <c r="I9" s="1226">
        <f t="shared" si="4"/>
        <v>0</v>
      </c>
      <c r="J9" s="1227">
        <v>25000</v>
      </c>
      <c r="K9" s="1228">
        <v>0</v>
      </c>
      <c r="L9" s="1228">
        <v>15</v>
      </c>
      <c r="M9" s="1228">
        <v>10000</v>
      </c>
      <c r="N9" s="1229">
        <v>0</v>
      </c>
      <c r="O9" s="1229">
        <v>0</v>
      </c>
      <c r="P9" s="1229">
        <v>0</v>
      </c>
      <c r="Q9" s="1229">
        <v>0</v>
      </c>
      <c r="R9" s="1230">
        <f t="shared" si="5"/>
        <v>0</v>
      </c>
      <c r="S9" s="1230">
        <f t="shared" si="6"/>
        <v>2.3738399999999995</v>
      </c>
      <c r="T9" s="1230">
        <f t="shared" si="7"/>
        <v>142.87</v>
      </c>
      <c r="V9" s="560" t="s">
        <v>2727</v>
      </c>
      <c r="W9" s="560" t="s">
        <v>1538</v>
      </c>
    </row>
    <row r="10" spans="2:23">
      <c r="B10" s="1231" t="s">
        <v>1706</v>
      </c>
      <c r="C10" s="1232" t="s">
        <v>1707</v>
      </c>
      <c r="D10" s="1233">
        <f t="shared" si="0"/>
        <v>62.454599999999992</v>
      </c>
      <c r="E10" s="1233">
        <f>+SUMIF(Recursos!C:C,EQ_CE!B10,Recursos!G:G)</f>
        <v>0</v>
      </c>
      <c r="F10" s="1234">
        <f t="shared" si="1"/>
        <v>41.636399999999995</v>
      </c>
      <c r="G10" s="1235">
        <f t="shared" si="2"/>
        <v>20.818199999999997</v>
      </c>
      <c r="H10" s="1235">
        <f t="shared" si="3"/>
        <v>0</v>
      </c>
      <c r="I10" s="1236">
        <f t="shared" si="4"/>
        <v>0</v>
      </c>
      <c r="J10" s="1227">
        <v>5100</v>
      </c>
      <c r="K10" s="1228">
        <v>0</v>
      </c>
      <c r="L10" s="1228">
        <v>2</v>
      </c>
      <c r="M10" s="1228">
        <v>10000</v>
      </c>
      <c r="N10" s="1229">
        <v>0.08</v>
      </c>
      <c r="O10" s="1229">
        <v>0</v>
      </c>
      <c r="P10" s="1229">
        <v>0</v>
      </c>
      <c r="Q10" s="1229">
        <v>0</v>
      </c>
      <c r="R10" s="1230">
        <f t="shared" si="5"/>
        <v>0</v>
      </c>
      <c r="S10" s="1230">
        <f t="shared" si="6"/>
        <v>0</v>
      </c>
      <c r="T10" s="1230">
        <f t="shared" si="7"/>
        <v>29.145479999999999</v>
      </c>
      <c r="V10" s="560" t="s">
        <v>772</v>
      </c>
      <c r="W10" s="560" t="s">
        <v>1539</v>
      </c>
    </row>
    <row r="11" spans="2:23">
      <c r="B11" s="1237" t="s">
        <v>1607</v>
      </c>
      <c r="C11" s="1222" t="str">
        <f>+VLOOKUP(B11,Recursos!C:D,2,FALSE)</f>
        <v>ALIMENTADOR VIBRAT.CAP.200 T/H</v>
      </c>
      <c r="D11" s="1223">
        <f t="shared" si="0"/>
        <v>163.27999999999997</v>
      </c>
      <c r="E11" s="1223">
        <f>+SUMIF(Recursos!C:C,EQ_CE!B11,Recursos!G:G)</f>
        <v>0.15825599999999998</v>
      </c>
      <c r="F11" s="1223">
        <f t="shared" si="1"/>
        <v>108.85333333333332</v>
      </c>
      <c r="G11" s="1238">
        <f t="shared" si="2"/>
        <v>54.426666666666662</v>
      </c>
      <c r="H11" s="1238">
        <f t="shared" si="3"/>
        <v>0</v>
      </c>
      <c r="I11" s="1239">
        <f t="shared" si="4"/>
        <v>0</v>
      </c>
      <c r="J11" s="1227">
        <v>10000</v>
      </c>
      <c r="K11" s="1228">
        <v>0</v>
      </c>
      <c r="L11" s="1228">
        <v>5</v>
      </c>
      <c r="M11" s="1228">
        <v>7500</v>
      </c>
      <c r="N11" s="1229">
        <v>0</v>
      </c>
      <c r="O11" s="1229">
        <v>0</v>
      </c>
      <c r="P11" s="1229">
        <v>0</v>
      </c>
      <c r="Q11" s="1229">
        <v>0</v>
      </c>
      <c r="R11" s="1230">
        <f t="shared" si="5"/>
        <v>0</v>
      </c>
      <c r="S11" s="1230">
        <f t="shared" si="6"/>
        <v>0.79127999999999987</v>
      </c>
      <c r="T11" s="1230">
        <f t="shared" si="7"/>
        <v>76.197333333333333</v>
      </c>
      <c r="V11" s="560" t="s">
        <v>1006</v>
      </c>
      <c r="W11" s="560" t="s">
        <v>1638</v>
      </c>
    </row>
    <row r="12" spans="2:23">
      <c r="B12" s="1221" t="s">
        <v>1742</v>
      </c>
      <c r="C12" s="1222" t="str">
        <f>+VLOOKUP(B12,Recursos!C:D,2,FALSE)</f>
        <v>ASERRADORA DE JUNTAS</v>
      </c>
      <c r="D12" s="1223">
        <f t="shared" si="0"/>
        <v>126.37200000000001</v>
      </c>
      <c r="E12" s="1223">
        <f>+SUMIF(Recursos!C:C,EQ_CE!B12,Recursos!G:G)</f>
        <v>0</v>
      </c>
      <c r="F12" s="1224">
        <f t="shared" si="1"/>
        <v>16.327999999999999</v>
      </c>
      <c r="G12" s="1225">
        <f t="shared" si="2"/>
        <v>8.1639999999999997</v>
      </c>
      <c r="H12" s="1225">
        <f t="shared" si="3"/>
        <v>101.88000000000001</v>
      </c>
      <c r="I12" s="1226">
        <f t="shared" si="4"/>
        <v>0</v>
      </c>
      <c r="J12" s="1227">
        <v>500</v>
      </c>
      <c r="K12" s="1228">
        <v>20</v>
      </c>
      <c r="L12" s="1228">
        <v>0</v>
      </c>
      <c r="M12" s="1228">
        <v>2500</v>
      </c>
      <c r="N12" s="1229">
        <v>0.05</v>
      </c>
      <c r="O12" s="1229">
        <v>0</v>
      </c>
      <c r="P12" s="1229">
        <v>0</v>
      </c>
      <c r="Q12" s="1229">
        <v>0</v>
      </c>
      <c r="R12" s="1230">
        <f t="shared" si="5"/>
        <v>0</v>
      </c>
      <c r="S12" s="1230">
        <f t="shared" si="6"/>
        <v>0</v>
      </c>
      <c r="T12" s="1230">
        <f t="shared" si="7"/>
        <v>11.429600000000001</v>
      </c>
      <c r="V12" s="560" t="s">
        <v>1721</v>
      </c>
      <c r="W12" s="560" t="s">
        <v>1742</v>
      </c>
    </row>
    <row r="13" spans="2:23">
      <c r="B13" s="1221" t="s">
        <v>1720</v>
      </c>
      <c r="C13" s="1222" t="s">
        <v>1721</v>
      </c>
      <c r="D13" s="1223">
        <f t="shared" si="0"/>
        <v>628.72367999999994</v>
      </c>
      <c r="E13" s="1223">
        <f>+SUMIF(Recursos!C:C,EQ_CE!B13,Recursos!G:G)</f>
        <v>0</v>
      </c>
      <c r="F13" s="1224">
        <f t="shared" si="1"/>
        <v>65.965119999999999</v>
      </c>
      <c r="G13" s="1225">
        <f t="shared" si="2"/>
        <v>32.982559999999999</v>
      </c>
      <c r="H13" s="1225">
        <f t="shared" si="3"/>
        <v>529.77599999999995</v>
      </c>
      <c r="I13" s="1226">
        <f t="shared" si="4"/>
        <v>0</v>
      </c>
      <c r="J13" s="1227">
        <v>8080</v>
      </c>
      <c r="K13" s="1228">
        <v>65</v>
      </c>
      <c r="L13" s="1228">
        <v>0</v>
      </c>
      <c r="M13" s="1228">
        <v>10000</v>
      </c>
      <c r="N13" s="1229">
        <v>0.08</v>
      </c>
      <c r="O13" s="1229">
        <v>0</v>
      </c>
      <c r="P13" s="1229">
        <v>0</v>
      </c>
      <c r="Q13" s="1229">
        <v>0</v>
      </c>
      <c r="R13" s="1230">
        <f t="shared" si="5"/>
        <v>0</v>
      </c>
      <c r="S13" s="1230">
        <f t="shared" si="6"/>
        <v>0</v>
      </c>
      <c r="T13" s="1230">
        <f t="shared" si="7"/>
        <v>46.175584000000001</v>
      </c>
      <c r="V13" s="560" t="s">
        <v>773</v>
      </c>
      <c r="W13" s="560" t="s">
        <v>1540</v>
      </c>
    </row>
    <row r="14" spans="2:23">
      <c r="B14" s="1221" t="s">
        <v>1716</v>
      </c>
      <c r="C14" s="1222" t="s">
        <v>1717</v>
      </c>
      <c r="D14" s="1223">
        <f t="shared" si="0"/>
        <v>1052.3264999999999</v>
      </c>
      <c r="E14" s="1223">
        <f>+SUMIF(Recursos!C:C,EQ_CE!B14,Recursos!G:G)</f>
        <v>0</v>
      </c>
      <c r="F14" s="1224">
        <f t="shared" si="1"/>
        <v>288.59739999999999</v>
      </c>
      <c r="G14" s="1225">
        <f t="shared" si="2"/>
        <v>144.2987</v>
      </c>
      <c r="H14" s="1225">
        <f t="shared" si="3"/>
        <v>619.43039999999996</v>
      </c>
      <c r="I14" s="1226">
        <f t="shared" si="4"/>
        <v>0</v>
      </c>
      <c r="J14" s="1227">
        <v>35350</v>
      </c>
      <c r="K14" s="1228">
        <v>76</v>
      </c>
      <c r="L14" s="1228">
        <v>0</v>
      </c>
      <c r="M14" s="1228">
        <v>10000</v>
      </c>
      <c r="N14" s="1229">
        <v>0.08</v>
      </c>
      <c r="O14" s="1229">
        <v>0</v>
      </c>
      <c r="P14" s="1229">
        <v>0</v>
      </c>
      <c r="Q14" s="1229">
        <v>0</v>
      </c>
      <c r="R14" s="1230">
        <f t="shared" si="5"/>
        <v>0</v>
      </c>
      <c r="S14" s="1230">
        <f t="shared" si="6"/>
        <v>0</v>
      </c>
      <c r="T14" s="1230">
        <f t="shared" si="7"/>
        <v>202.01818</v>
      </c>
      <c r="V14" s="560" t="s">
        <v>1658</v>
      </c>
      <c r="W14" s="560" t="s">
        <v>1657</v>
      </c>
    </row>
    <row r="15" spans="2:23">
      <c r="B15" s="1221" t="s">
        <v>1621</v>
      </c>
      <c r="C15" s="1222" t="str">
        <f>+VLOOKUP(B15,Recursos!C:D,2,FALSE)</f>
        <v>BOMBA DE H° REMOLC. (60 M3/H)</v>
      </c>
      <c r="D15" s="1223">
        <f t="shared" si="0"/>
        <v>2096.4647999999997</v>
      </c>
      <c r="E15" s="1223">
        <f>+SUMIF(Recursos!C:C,EQ_CE!B15,Recursos!G:G)</f>
        <v>0</v>
      </c>
      <c r="F15" s="1224">
        <f t="shared" si="1"/>
        <v>884.16119999999989</v>
      </c>
      <c r="G15" s="1225">
        <f t="shared" si="2"/>
        <v>442.08059999999995</v>
      </c>
      <c r="H15" s="1225">
        <f t="shared" si="3"/>
        <v>764.1</v>
      </c>
      <c r="I15" s="1226">
        <f t="shared" si="4"/>
        <v>6.1230000000000002</v>
      </c>
      <c r="J15" s="1227">
        <v>108300</v>
      </c>
      <c r="K15" s="1228">
        <v>125</v>
      </c>
      <c r="L15" s="1228">
        <v>0</v>
      </c>
      <c r="M15" s="1228">
        <v>10000</v>
      </c>
      <c r="N15" s="1229">
        <v>0.06</v>
      </c>
      <c r="O15" s="1229">
        <v>2</v>
      </c>
      <c r="P15" s="1229">
        <v>120</v>
      </c>
      <c r="Q15" s="1229">
        <v>4000</v>
      </c>
      <c r="R15" s="1230">
        <f t="shared" si="5"/>
        <v>0</v>
      </c>
      <c r="S15" s="1230">
        <f t="shared" si="6"/>
        <v>0</v>
      </c>
      <c r="T15" s="1230">
        <f t="shared" si="7"/>
        <v>618.91283999999996</v>
      </c>
      <c r="V15" s="560" t="s">
        <v>1660</v>
      </c>
      <c r="W15" s="560" t="s">
        <v>1659</v>
      </c>
    </row>
    <row r="16" spans="2:23">
      <c r="B16" s="1221" t="s">
        <v>1620</v>
      </c>
      <c r="C16" s="1222" t="str">
        <f>+VLOOKUP(B16,Recursos!C:D,2,FALSE)</f>
        <v>BOMBA DE Hº ESTACIONARIA (67 M3/H)</v>
      </c>
      <c r="D16" s="1223">
        <f t="shared" si="0"/>
        <v>1116.8352</v>
      </c>
      <c r="E16" s="1223">
        <f>+SUMIF(Recursos!C:C,EQ_CE!B16,Recursos!G:G)</f>
        <v>0</v>
      </c>
      <c r="F16" s="1224">
        <f t="shared" si="1"/>
        <v>744.55679999999995</v>
      </c>
      <c r="G16" s="1225">
        <f t="shared" si="2"/>
        <v>372.27839999999998</v>
      </c>
      <c r="H16" s="1225">
        <f t="shared" si="3"/>
        <v>0</v>
      </c>
      <c r="I16" s="1226">
        <f t="shared" si="4"/>
        <v>0</v>
      </c>
      <c r="J16" s="1227">
        <v>91200</v>
      </c>
      <c r="K16" s="1228">
        <v>0</v>
      </c>
      <c r="L16" s="1228">
        <v>75</v>
      </c>
      <c r="M16" s="1228">
        <v>10000</v>
      </c>
      <c r="N16" s="1229">
        <v>0</v>
      </c>
      <c r="O16" s="1229">
        <v>0</v>
      </c>
      <c r="P16" s="1229">
        <v>0</v>
      </c>
      <c r="Q16" s="1229">
        <v>0</v>
      </c>
      <c r="R16" s="1230">
        <f t="shared" si="5"/>
        <v>0</v>
      </c>
      <c r="S16" s="1230">
        <f t="shared" si="6"/>
        <v>0</v>
      </c>
      <c r="T16" s="1230">
        <f t="shared" si="7"/>
        <v>521.18975999999998</v>
      </c>
      <c r="V16" s="560" t="s">
        <v>1012</v>
      </c>
      <c r="W16" s="560" t="s">
        <v>1644</v>
      </c>
    </row>
    <row r="17" spans="2:28">
      <c r="B17" s="1221" t="s">
        <v>1722</v>
      </c>
      <c r="C17" s="1222" t="s">
        <v>1723</v>
      </c>
      <c r="D17" s="1223">
        <f t="shared" si="0"/>
        <v>2276.5457400000005</v>
      </c>
      <c r="E17" s="1223">
        <f>+SUMIF(Recursos!C:C,EQ_CE!B17,Recursos!G:G)</f>
        <v>0</v>
      </c>
      <c r="F17" s="1224">
        <f t="shared" si="1"/>
        <v>920.00116000000003</v>
      </c>
      <c r="G17" s="1225">
        <f t="shared" si="2"/>
        <v>460.00058000000001</v>
      </c>
      <c r="H17" s="1225">
        <f t="shared" si="3"/>
        <v>896.5440000000001</v>
      </c>
      <c r="I17" s="1226">
        <f t="shared" si="4"/>
        <v>0</v>
      </c>
      <c r="J17" s="1227">
        <v>112690</v>
      </c>
      <c r="K17" s="1228">
        <v>110</v>
      </c>
      <c r="L17" s="1228">
        <v>0</v>
      </c>
      <c r="M17" s="1228">
        <v>10000</v>
      </c>
      <c r="N17" s="1229">
        <v>0.08</v>
      </c>
      <c r="O17" s="1229">
        <v>0</v>
      </c>
      <c r="P17" s="1229">
        <v>0</v>
      </c>
      <c r="Q17" s="1229">
        <v>0</v>
      </c>
      <c r="R17" s="1230">
        <f t="shared" si="5"/>
        <v>0</v>
      </c>
      <c r="S17" s="1230">
        <f t="shared" si="6"/>
        <v>0</v>
      </c>
      <c r="T17" s="1230">
        <f t="shared" si="7"/>
        <v>644.000812</v>
      </c>
      <c r="V17" s="560" t="s">
        <v>1013</v>
      </c>
      <c r="W17" s="560" t="s">
        <v>1645</v>
      </c>
    </row>
    <row r="18" spans="2:28">
      <c r="B18" s="1221" t="s">
        <v>3009</v>
      </c>
      <c r="C18" s="1222" t="s">
        <v>3010</v>
      </c>
      <c r="D18" s="1223">
        <f t="shared" si="0"/>
        <v>1135.7488000000001</v>
      </c>
      <c r="E18" s="1223">
        <f>+SUMIF(Recursos!C:C,EQ_CE!B18,Recursos!G:G)</f>
        <v>0</v>
      </c>
      <c r="F18" s="1224">
        <f t="shared" si="1"/>
        <v>485.48586666666665</v>
      </c>
      <c r="G18" s="1225">
        <f t="shared" si="2"/>
        <v>242.74293333333333</v>
      </c>
      <c r="H18" s="1225">
        <f t="shared" si="3"/>
        <v>407.52000000000004</v>
      </c>
      <c r="I18" s="1226">
        <f t="shared" si="4"/>
        <v>0</v>
      </c>
      <c r="J18" s="1227">
        <v>44600</v>
      </c>
      <c r="K18" s="1228">
        <v>40</v>
      </c>
      <c r="L18" s="1228">
        <v>0</v>
      </c>
      <c r="M18" s="1228">
        <v>7500</v>
      </c>
      <c r="N18" s="1229">
        <v>0.1</v>
      </c>
      <c r="O18" s="1229">
        <v>0</v>
      </c>
      <c r="P18" s="1229">
        <v>0</v>
      </c>
      <c r="Q18" s="1229">
        <v>0</v>
      </c>
      <c r="R18" s="1230">
        <f t="shared" si="5"/>
        <v>0</v>
      </c>
      <c r="S18" s="1230">
        <f t="shared" si="6"/>
        <v>0</v>
      </c>
      <c r="T18" s="1230">
        <f t="shared" si="7"/>
        <v>339.84010666666666</v>
      </c>
      <c r="V18" s="560" t="s">
        <v>967</v>
      </c>
      <c r="W18" s="560" t="s">
        <v>1605</v>
      </c>
    </row>
    <row r="19" spans="2:28">
      <c r="B19" s="1221" t="s">
        <v>1635</v>
      </c>
      <c r="C19" s="1222" t="str">
        <f>+VLOOKUP(B19,Recursos!C:D,2,FALSE)</f>
        <v>BOMBA INYECTORA</v>
      </c>
      <c r="D19" s="1223">
        <f t="shared" si="0"/>
        <v>195.93599999999998</v>
      </c>
      <c r="E19" s="1223">
        <f>+SUMIF(Recursos!C:C,EQ_CE!B19,Recursos!G:G)</f>
        <v>0</v>
      </c>
      <c r="F19" s="1224">
        <f t="shared" si="1"/>
        <v>130.624</v>
      </c>
      <c r="G19" s="1225">
        <f t="shared" si="2"/>
        <v>65.311999999999998</v>
      </c>
      <c r="H19" s="1225">
        <f t="shared" si="3"/>
        <v>0</v>
      </c>
      <c r="I19" s="1226">
        <f t="shared" si="4"/>
        <v>0</v>
      </c>
      <c r="J19" s="1227">
        <v>8000</v>
      </c>
      <c r="K19" s="1228">
        <v>30</v>
      </c>
      <c r="L19" s="1228">
        <v>0</v>
      </c>
      <c r="M19" s="1228">
        <v>5000</v>
      </c>
      <c r="N19" s="1229">
        <v>0</v>
      </c>
      <c r="O19" s="1229">
        <v>0</v>
      </c>
      <c r="P19" s="1229">
        <v>0</v>
      </c>
      <c r="Q19" s="1229">
        <v>0</v>
      </c>
      <c r="R19" s="1230">
        <f t="shared" si="5"/>
        <v>0</v>
      </c>
      <c r="S19" s="1230">
        <f t="shared" si="6"/>
        <v>0</v>
      </c>
      <c r="T19" s="1230">
        <f t="shared" si="7"/>
        <v>91.436800000000005</v>
      </c>
      <c r="V19" s="560" t="s">
        <v>968</v>
      </c>
      <c r="W19" s="560" t="s">
        <v>1606</v>
      </c>
      <c r="Y19" s="1240"/>
      <c r="Z19" s="1240"/>
      <c r="AA19" s="1240"/>
      <c r="AB19" s="1240"/>
    </row>
    <row r="20" spans="2:28">
      <c r="B20" s="1221" t="s">
        <v>1604</v>
      </c>
      <c r="C20" s="1222" t="str">
        <f>+VLOOKUP(B20,Recursos!C:D,2,FALSE)</f>
        <v>BOMBA SUMERGIBLE (H=10M 33 L/SEG)</v>
      </c>
      <c r="D20" s="1223">
        <f t="shared" si="0"/>
        <v>76.537499999999994</v>
      </c>
      <c r="E20" s="1223">
        <f>+SUMIF(Recursos!C:C,EQ_CE!B20,Recursos!G:G)</f>
        <v>0</v>
      </c>
      <c r="F20" s="1224">
        <f t="shared" si="1"/>
        <v>51.024999999999999</v>
      </c>
      <c r="G20" s="1225">
        <f t="shared" si="2"/>
        <v>25.512499999999999</v>
      </c>
      <c r="H20" s="1225">
        <f t="shared" si="3"/>
        <v>0</v>
      </c>
      <c r="I20" s="1226">
        <f t="shared" si="4"/>
        <v>0</v>
      </c>
      <c r="J20" s="1227">
        <v>2500</v>
      </c>
      <c r="K20" s="1228">
        <v>0</v>
      </c>
      <c r="L20" s="1228">
        <v>5</v>
      </c>
      <c r="M20" s="1228">
        <v>4000</v>
      </c>
      <c r="N20" s="1229">
        <v>0</v>
      </c>
      <c r="O20" s="1229">
        <v>0</v>
      </c>
      <c r="P20" s="1229">
        <v>0</v>
      </c>
      <c r="Q20" s="1229">
        <v>0</v>
      </c>
      <c r="R20" s="1230">
        <f t="shared" si="5"/>
        <v>0</v>
      </c>
      <c r="S20" s="1230">
        <f t="shared" si="6"/>
        <v>0</v>
      </c>
      <c r="T20" s="1230">
        <f t="shared" si="7"/>
        <v>35.717500000000001</v>
      </c>
      <c r="V20" s="560" t="s">
        <v>1705</v>
      </c>
      <c r="W20" s="560" t="s">
        <v>1704</v>
      </c>
    </row>
    <row r="21" spans="2:28">
      <c r="B21" s="1221" t="s">
        <v>1700</v>
      </c>
      <c r="C21" s="1222" t="s">
        <v>1701</v>
      </c>
      <c r="D21" s="1223">
        <f t="shared" si="0"/>
        <v>18.61392</v>
      </c>
      <c r="E21" s="1223">
        <f>+SUMIF(Recursos!C:C,EQ_CE!B21,Recursos!G:G)</f>
        <v>0</v>
      </c>
      <c r="F21" s="1224">
        <f t="shared" si="1"/>
        <v>12.409279999999999</v>
      </c>
      <c r="G21" s="1225">
        <f t="shared" si="2"/>
        <v>6.2046399999999995</v>
      </c>
      <c r="H21" s="1225">
        <f t="shared" si="3"/>
        <v>0</v>
      </c>
      <c r="I21" s="1226">
        <f t="shared" si="4"/>
        <v>0</v>
      </c>
      <c r="J21" s="1227">
        <v>1520</v>
      </c>
      <c r="K21" s="1228">
        <v>0</v>
      </c>
      <c r="L21" s="1228">
        <v>2</v>
      </c>
      <c r="M21" s="1228">
        <v>10000</v>
      </c>
      <c r="N21" s="1229">
        <v>0.08</v>
      </c>
      <c r="O21" s="1229">
        <v>0</v>
      </c>
      <c r="P21" s="1229">
        <v>0</v>
      </c>
      <c r="Q21" s="1229">
        <v>0</v>
      </c>
      <c r="R21" s="1230">
        <f t="shared" si="5"/>
        <v>0</v>
      </c>
      <c r="S21" s="1230">
        <f t="shared" si="6"/>
        <v>0</v>
      </c>
      <c r="T21" s="1230">
        <f t="shared" si="7"/>
        <v>8.686496</v>
      </c>
      <c r="V21" s="560" t="s">
        <v>1014</v>
      </c>
      <c r="W21" s="560" t="s">
        <v>1646</v>
      </c>
    </row>
    <row r="22" spans="2:28">
      <c r="B22" s="1221" t="s">
        <v>1622</v>
      </c>
      <c r="C22" s="1222" t="str">
        <f>+VLOOKUP(B22,Recursos!C:D,2,FALSE)</f>
        <v>BORDILLADORA</v>
      </c>
      <c r="D22" s="1223">
        <f t="shared" si="0"/>
        <v>1837.2239999999999</v>
      </c>
      <c r="E22" s="1223">
        <f>+SUMIF(Recursos!C:C,EQ_CE!B22,Recursos!G:G)</f>
        <v>0</v>
      </c>
      <c r="F22" s="1224">
        <f t="shared" si="1"/>
        <v>538.82399999999996</v>
      </c>
      <c r="G22" s="1225">
        <f t="shared" si="2"/>
        <v>269.41199999999998</v>
      </c>
      <c r="H22" s="1225">
        <f t="shared" si="3"/>
        <v>1028.9880000000001</v>
      </c>
      <c r="I22" s="1226">
        <f t="shared" si="4"/>
        <v>0</v>
      </c>
      <c r="J22" s="1227">
        <v>49500</v>
      </c>
      <c r="K22" s="1228">
        <v>101</v>
      </c>
      <c r="L22" s="1228">
        <v>0</v>
      </c>
      <c r="M22" s="1228">
        <v>7500</v>
      </c>
      <c r="N22" s="1229">
        <v>0.1</v>
      </c>
      <c r="O22" s="1229">
        <v>0</v>
      </c>
      <c r="P22" s="1229">
        <v>0</v>
      </c>
      <c r="Q22" s="1229">
        <v>0</v>
      </c>
      <c r="R22" s="1230">
        <f t="shared" si="5"/>
        <v>0</v>
      </c>
      <c r="S22" s="1230">
        <f t="shared" si="6"/>
        <v>0</v>
      </c>
      <c r="T22" s="1230">
        <f t="shared" si="7"/>
        <v>377.17679999999996</v>
      </c>
      <c r="V22" s="560" t="s">
        <v>1707</v>
      </c>
      <c r="W22" s="560" t="s">
        <v>1706</v>
      </c>
    </row>
    <row r="23" spans="2:28">
      <c r="B23" s="1221" t="s">
        <v>1613</v>
      </c>
      <c r="C23" s="1222" t="str">
        <f>+VLOOKUP(B23,Recursos!C:D,2,FALSE)</f>
        <v>CALDERA CALENTAM. AGREGADOS</v>
      </c>
      <c r="D23" s="1223">
        <f t="shared" si="0"/>
        <v>2020.59</v>
      </c>
      <c r="E23" s="1223">
        <f>+SUMIF(Recursos!C:C,EQ_CE!B23,Recursos!G:G)</f>
        <v>0</v>
      </c>
      <c r="F23" s="1224">
        <f t="shared" si="1"/>
        <v>1347.06</v>
      </c>
      <c r="G23" s="1225">
        <f t="shared" si="2"/>
        <v>673.53</v>
      </c>
      <c r="H23" s="1225">
        <f t="shared" si="3"/>
        <v>0</v>
      </c>
      <c r="I23" s="1226">
        <f t="shared" si="4"/>
        <v>0</v>
      </c>
      <c r="J23" s="1227">
        <v>198000</v>
      </c>
      <c r="K23" s="1228">
        <v>0</v>
      </c>
      <c r="L23" s="1228">
        <v>200</v>
      </c>
      <c r="M23" s="1228">
        <v>12000</v>
      </c>
      <c r="N23" s="1229">
        <v>1</v>
      </c>
      <c r="O23" s="1229">
        <v>0</v>
      </c>
      <c r="P23" s="1229">
        <v>0</v>
      </c>
      <c r="Q23" s="1229">
        <v>0</v>
      </c>
      <c r="R23" s="1230">
        <f t="shared" si="5"/>
        <v>0</v>
      </c>
      <c r="S23" s="1230">
        <f t="shared" si="6"/>
        <v>0</v>
      </c>
      <c r="T23" s="1230">
        <f t="shared" si="7"/>
        <v>942.94200000000001</v>
      </c>
      <c r="V23" s="560" t="s">
        <v>969</v>
      </c>
      <c r="W23" s="560" t="s">
        <v>1607</v>
      </c>
    </row>
    <row r="24" spans="2:28">
      <c r="B24" s="1221" t="s">
        <v>1560</v>
      </c>
      <c r="C24" s="1222" t="str">
        <f>+VLOOKUP(B24,Recursos!C:D,2,FALSE)</f>
        <v>CAMION DE MANTENIMIENTO PESADO</v>
      </c>
      <c r="D24" s="1223">
        <f t="shared" si="0"/>
        <v>3614.2194285714286</v>
      </c>
      <c r="E24" s="1223">
        <f>+SUMIF(Recursos!C:C,EQ_CE!B24,Recursos!G:G)</f>
        <v>0</v>
      </c>
      <c r="F24" s="1224">
        <f t="shared" si="1"/>
        <v>680.33333333333337</v>
      </c>
      <c r="G24" s="1225">
        <f t="shared" si="2"/>
        <v>340.16666666666669</v>
      </c>
      <c r="H24" s="1225">
        <f t="shared" si="3"/>
        <v>2506.248</v>
      </c>
      <c r="I24" s="1226">
        <f t="shared" si="4"/>
        <v>87.471428571428575</v>
      </c>
      <c r="J24" s="1227">
        <v>100000</v>
      </c>
      <c r="K24" s="1228">
        <v>410</v>
      </c>
      <c r="L24" s="1228">
        <v>0</v>
      </c>
      <c r="M24" s="1228">
        <v>12000</v>
      </c>
      <c r="N24" s="1229">
        <v>0.06</v>
      </c>
      <c r="O24" s="1229">
        <v>10</v>
      </c>
      <c r="P24" s="1229">
        <v>300</v>
      </c>
      <c r="Q24" s="1229">
        <v>3500</v>
      </c>
      <c r="R24" s="1230">
        <f t="shared" si="5"/>
        <v>0</v>
      </c>
      <c r="S24" s="1230">
        <f t="shared" si="6"/>
        <v>0</v>
      </c>
      <c r="T24" s="1230">
        <f t="shared" si="7"/>
        <v>476.23333333333335</v>
      </c>
      <c r="V24" s="560" t="s">
        <v>970</v>
      </c>
      <c r="W24" s="560" t="s">
        <v>1608</v>
      </c>
    </row>
    <row r="25" spans="2:28">
      <c r="B25" s="1221" t="s">
        <v>1730</v>
      </c>
      <c r="C25" s="1222" t="s">
        <v>1731</v>
      </c>
      <c r="D25" s="1223">
        <f t="shared" si="0"/>
        <v>2771.7474999999999</v>
      </c>
      <c r="E25" s="1223">
        <f>+SUMIF(Recursos!C:C,EQ_CE!B25,Recursos!G:G)</f>
        <v>0</v>
      </c>
      <c r="F25" s="1224">
        <f t="shared" si="1"/>
        <v>618.42299999999989</v>
      </c>
      <c r="G25" s="1225">
        <f t="shared" si="2"/>
        <v>309.21149999999994</v>
      </c>
      <c r="H25" s="1225">
        <f t="shared" si="3"/>
        <v>1793.0880000000002</v>
      </c>
      <c r="I25" s="1226">
        <f t="shared" si="4"/>
        <v>51.024999999999999</v>
      </c>
      <c r="J25" s="1227">
        <v>75750</v>
      </c>
      <c r="K25" s="1228">
        <v>220</v>
      </c>
      <c r="L25" s="1228">
        <v>0</v>
      </c>
      <c r="M25" s="1228">
        <v>10000</v>
      </c>
      <c r="N25" s="1229">
        <v>0.08</v>
      </c>
      <c r="O25" s="1229">
        <v>6</v>
      </c>
      <c r="P25" s="1229">
        <v>250</v>
      </c>
      <c r="Q25" s="1229">
        <v>3000</v>
      </c>
      <c r="R25" s="1230">
        <f t="shared" si="5"/>
        <v>0</v>
      </c>
      <c r="S25" s="1230">
        <f t="shared" si="6"/>
        <v>0</v>
      </c>
      <c r="T25" s="1230">
        <f t="shared" si="7"/>
        <v>432.89609999999993</v>
      </c>
      <c r="V25" s="560" t="s">
        <v>1534</v>
      </c>
      <c r="W25" s="560" t="s">
        <v>1528</v>
      </c>
    </row>
    <row r="26" spans="2:28">
      <c r="B26" s="1221" t="s">
        <v>1565</v>
      </c>
      <c r="C26" s="1222" t="str">
        <f>+VLOOKUP(B26,Recursos!C:D,2,FALSE)</f>
        <v>CAMION FUERA DE RUTA 36 T-21 M3</v>
      </c>
      <c r="D26" s="1223">
        <f t="shared" si="0"/>
        <v>6202.252114285714</v>
      </c>
      <c r="E26" s="1223">
        <f>+SUMIF(Recursos!C:C,EQ_CE!B26,Recursos!G:G)</f>
        <v>0</v>
      </c>
      <c r="F26" s="1224">
        <f t="shared" si="1"/>
        <v>1293.1776</v>
      </c>
      <c r="G26" s="1225">
        <f t="shared" si="2"/>
        <v>646.58879999999999</v>
      </c>
      <c r="H26" s="1225">
        <f t="shared" si="3"/>
        <v>3667.68</v>
      </c>
      <c r="I26" s="1226">
        <f t="shared" si="4"/>
        <v>594.80571428571432</v>
      </c>
      <c r="J26" s="1227">
        <v>396000</v>
      </c>
      <c r="K26" s="1228">
        <v>450</v>
      </c>
      <c r="L26" s="1228">
        <v>0</v>
      </c>
      <c r="M26" s="1228">
        <v>25000</v>
      </c>
      <c r="N26" s="1229">
        <v>0.08</v>
      </c>
      <c r="O26" s="1229">
        <v>6</v>
      </c>
      <c r="P26" s="1229">
        <v>3400</v>
      </c>
      <c r="Q26" s="1229">
        <v>3500</v>
      </c>
      <c r="R26" s="1230">
        <f t="shared" si="5"/>
        <v>0</v>
      </c>
      <c r="S26" s="1230">
        <f t="shared" si="6"/>
        <v>0</v>
      </c>
      <c r="T26" s="1230">
        <f t="shared" si="7"/>
        <v>905.22432000000003</v>
      </c>
      <c r="V26" s="560" t="s">
        <v>1662</v>
      </c>
      <c r="W26" s="560" t="s">
        <v>1661</v>
      </c>
    </row>
    <row r="27" spans="2:28">
      <c r="B27" s="1221" t="s">
        <v>1566</v>
      </c>
      <c r="C27" s="1222" t="str">
        <f>+VLOOKUP(B27,Recursos!C:D,2,FALSE)</f>
        <v>CAMION FUERA DE RUTA 60 T-34 M3</v>
      </c>
      <c r="D27" s="1223">
        <f t="shared" si="0"/>
        <v>8320.7725714285716</v>
      </c>
      <c r="E27" s="1223">
        <f>+SUMIF(Recursos!C:C,EQ_CE!B27,Recursos!G:G)</f>
        <v>0</v>
      </c>
      <c r="F27" s="1224">
        <f t="shared" si="1"/>
        <v>1502.1759999999999</v>
      </c>
      <c r="G27" s="1225">
        <f t="shared" si="2"/>
        <v>751.08799999999997</v>
      </c>
      <c r="H27" s="1225">
        <f t="shared" si="3"/>
        <v>5297.76</v>
      </c>
      <c r="I27" s="1226">
        <f t="shared" si="4"/>
        <v>769.74857142857138</v>
      </c>
      <c r="J27" s="1227">
        <v>552000</v>
      </c>
      <c r="K27" s="1228">
        <v>650</v>
      </c>
      <c r="L27" s="1228">
        <v>0</v>
      </c>
      <c r="M27" s="1228">
        <v>30000</v>
      </c>
      <c r="N27" s="1229">
        <v>0.08</v>
      </c>
      <c r="O27" s="1229">
        <v>6</v>
      </c>
      <c r="P27" s="1229">
        <v>4400</v>
      </c>
      <c r="Q27" s="1229">
        <v>3500</v>
      </c>
      <c r="R27" s="1230">
        <f t="shared" si="5"/>
        <v>0</v>
      </c>
      <c r="S27" s="1230">
        <f t="shared" si="6"/>
        <v>0</v>
      </c>
      <c r="T27" s="1230">
        <f t="shared" si="7"/>
        <v>1051.5232000000001</v>
      </c>
      <c r="V27" s="560" t="s">
        <v>1015</v>
      </c>
      <c r="W27" s="560" t="s">
        <v>1651</v>
      </c>
    </row>
    <row r="28" spans="2:28">
      <c r="B28" s="1221" t="s">
        <v>1559</v>
      </c>
      <c r="C28" s="1222" t="str">
        <f>+VLOOKUP(B28,Recursos!C:D,2,FALSE)</f>
        <v>CAMION LUBRICACION-MANTENIMIENTO</v>
      </c>
      <c r="D28" s="1223">
        <f t="shared" si="0"/>
        <v>1707.2485714285713</v>
      </c>
      <c r="E28" s="1223">
        <f>+SUMIF(Recursos!C:C,EQ_CE!B28,Recursos!G:G)</f>
        <v>0</v>
      </c>
      <c r="F28" s="1224">
        <f t="shared" si="1"/>
        <v>571.4799999999999</v>
      </c>
      <c r="G28" s="1225">
        <f t="shared" si="2"/>
        <v>285.73999999999995</v>
      </c>
      <c r="H28" s="1225">
        <f t="shared" si="3"/>
        <v>815.04000000000008</v>
      </c>
      <c r="I28" s="1226">
        <f t="shared" si="4"/>
        <v>34.988571428571426</v>
      </c>
      <c r="J28" s="1227">
        <v>70000</v>
      </c>
      <c r="K28" s="1228">
        <v>160</v>
      </c>
      <c r="L28" s="1228">
        <v>0</v>
      </c>
      <c r="M28" s="1228">
        <v>10000</v>
      </c>
      <c r="N28" s="1229">
        <v>0.05</v>
      </c>
      <c r="O28" s="1229">
        <v>6</v>
      </c>
      <c r="P28" s="1229">
        <v>200</v>
      </c>
      <c r="Q28" s="1229">
        <v>3500</v>
      </c>
      <c r="R28" s="1230">
        <f t="shared" si="5"/>
        <v>0</v>
      </c>
      <c r="S28" s="1230">
        <f t="shared" si="6"/>
        <v>0</v>
      </c>
      <c r="T28" s="1230">
        <f t="shared" si="7"/>
        <v>400.03599999999994</v>
      </c>
      <c r="V28" s="560" t="s">
        <v>971</v>
      </c>
      <c r="W28" s="560" t="s">
        <v>1609</v>
      </c>
    </row>
    <row r="29" spans="2:28">
      <c r="B29" s="1221" t="s">
        <v>1615</v>
      </c>
      <c r="C29" s="1222" t="str">
        <f>+VLOOKUP(B29,Recursos!C:D,2,FALSE)</f>
        <v>CAMION MOTOHORMIGONERO CAP. 7 M3</v>
      </c>
      <c r="D29" s="1223">
        <f t="shared" si="0"/>
        <v>2415.7289999999998</v>
      </c>
      <c r="E29" s="1223">
        <f>+SUMIF(Recursos!C:C,EQ_CE!B29,Recursos!G:G)</f>
        <v>0</v>
      </c>
      <c r="F29" s="1224">
        <f t="shared" si="1"/>
        <v>428.61</v>
      </c>
      <c r="G29" s="1225">
        <f t="shared" si="2"/>
        <v>214.30500000000001</v>
      </c>
      <c r="H29" s="1225">
        <f t="shared" si="3"/>
        <v>1711.5840000000001</v>
      </c>
      <c r="I29" s="1226">
        <f t="shared" si="4"/>
        <v>61.23</v>
      </c>
      <c r="J29" s="1227">
        <v>63000</v>
      </c>
      <c r="K29" s="1228">
        <v>280</v>
      </c>
      <c r="L29" s="1228">
        <v>0</v>
      </c>
      <c r="M29" s="1228">
        <v>12000</v>
      </c>
      <c r="N29" s="1229">
        <v>0.06</v>
      </c>
      <c r="O29" s="1229">
        <v>10</v>
      </c>
      <c r="P29" s="1229">
        <v>240</v>
      </c>
      <c r="Q29" s="1229">
        <v>4000</v>
      </c>
      <c r="R29" s="1230">
        <f t="shared" si="5"/>
        <v>0</v>
      </c>
      <c r="S29" s="1230">
        <f t="shared" si="6"/>
        <v>0</v>
      </c>
      <c r="T29" s="1230">
        <f t="shared" si="7"/>
        <v>300.02700000000004</v>
      </c>
      <c r="V29" s="560" t="s">
        <v>1709</v>
      </c>
      <c r="W29" s="560" t="s">
        <v>1708</v>
      </c>
    </row>
    <row r="30" spans="2:28">
      <c r="B30" s="1221" t="s">
        <v>1718</v>
      </c>
      <c r="C30" s="1344" t="s">
        <v>3707</v>
      </c>
      <c r="D30" s="1223">
        <f t="shared" si="0"/>
        <v>4447.1589777777781</v>
      </c>
      <c r="E30" s="1223">
        <f>+SUMIF(Recursos!C:C,EQ_CE!B30,Recursos!G:G)</f>
        <v>0</v>
      </c>
      <c r="F30" s="1224">
        <f t="shared" si="1"/>
        <v>1740.5648000000001</v>
      </c>
      <c r="G30" s="1225">
        <f t="shared" si="2"/>
        <v>870.28240000000005</v>
      </c>
      <c r="H30" s="1225">
        <f t="shared" si="3"/>
        <v>1711.5840000000001</v>
      </c>
      <c r="I30" s="1226">
        <f t="shared" si="4"/>
        <v>124.72777777777777</v>
      </c>
      <c r="J30" s="1227">
        <v>319800</v>
      </c>
      <c r="K30" s="1228">
        <v>280</v>
      </c>
      <c r="L30" s="1228">
        <v>0</v>
      </c>
      <c r="M30" s="1228">
        <v>15000</v>
      </c>
      <c r="N30" s="1229">
        <v>0.06</v>
      </c>
      <c r="O30" s="1229">
        <v>10</v>
      </c>
      <c r="P30" s="1229">
        <v>550</v>
      </c>
      <c r="Q30" s="1229">
        <v>4500</v>
      </c>
      <c r="R30" s="1230">
        <f t="shared" si="5"/>
        <v>0</v>
      </c>
      <c r="S30" s="1230">
        <f t="shared" si="6"/>
        <v>0</v>
      </c>
      <c r="T30" s="1230">
        <f t="shared" si="7"/>
        <v>1218.39536</v>
      </c>
      <c r="V30" s="560" t="s">
        <v>1711</v>
      </c>
      <c r="W30" s="560" t="s">
        <v>1710</v>
      </c>
    </row>
    <row r="31" spans="2:28">
      <c r="B31" s="1221" t="s">
        <v>1563</v>
      </c>
      <c r="C31" s="1222" t="str">
        <f>+VLOOKUP(B31,Recursos!C:D,2,FALSE)</f>
        <v>CAMION REGADOR CAP. 11 m3</v>
      </c>
      <c r="D31" s="1223">
        <f t="shared" si="0"/>
        <v>2430.5830389610392</v>
      </c>
      <c r="E31" s="1223">
        <f>+SUMIF(Recursos!C:C,EQ_CE!B31,Recursos!G:G)</f>
        <v>0</v>
      </c>
      <c r="F31" s="1224">
        <f t="shared" si="1"/>
        <v>593.74545454545455</v>
      </c>
      <c r="G31" s="1225">
        <f t="shared" si="2"/>
        <v>296.87272727272727</v>
      </c>
      <c r="H31" s="1225">
        <f t="shared" si="3"/>
        <v>1467.0719999999999</v>
      </c>
      <c r="I31" s="1226">
        <f t="shared" si="4"/>
        <v>72.892857142857139</v>
      </c>
      <c r="J31" s="1227">
        <v>80000</v>
      </c>
      <c r="K31" s="1228">
        <v>240</v>
      </c>
      <c r="L31" s="1228">
        <v>0</v>
      </c>
      <c r="M31" s="1228">
        <v>11000</v>
      </c>
      <c r="N31" s="1229">
        <v>0.06</v>
      </c>
      <c r="O31" s="1229">
        <v>10</v>
      </c>
      <c r="P31" s="1229">
        <v>250</v>
      </c>
      <c r="Q31" s="1229">
        <v>3500</v>
      </c>
      <c r="R31" s="1230">
        <f t="shared" si="5"/>
        <v>0</v>
      </c>
      <c r="S31" s="1230">
        <f t="shared" si="6"/>
        <v>0</v>
      </c>
      <c r="T31" s="1230">
        <f t="shared" si="7"/>
        <v>415.62181818181818</v>
      </c>
      <c r="V31" s="560" t="s">
        <v>1713</v>
      </c>
      <c r="W31" s="560" t="s">
        <v>1712</v>
      </c>
    </row>
    <row r="32" spans="2:28">
      <c r="B32" s="1221" t="s">
        <v>1562</v>
      </c>
      <c r="C32" s="1222" t="str">
        <f>+VLOOKUP(B32,Recursos!C:D,2,FALSE)</f>
        <v>CAMION REGADOR CAP. 7 m3</v>
      </c>
      <c r="D32" s="1223">
        <f t="shared" si="0"/>
        <v>1747.7965714285715</v>
      </c>
      <c r="E32" s="1223">
        <f>+SUMIF(Recursos!C:C,EQ_CE!B32,Recursos!G:G)</f>
        <v>0</v>
      </c>
      <c r="F32" s="1224">
        <f t="shared" si="1"/>
        <v>489.84</v>
      </c>
      <c r="G32" s="1225">
        <f t="shared" si="2"/>
        <v>244.92</v>
      </c>
      <c r="H32" s="1225">
        <f t="shared" si="3"/>
        <v>978.048</v>
      </c>
      <c r="I32" s="1226">
        <f t="shared" si="4"/>
        <v>34.988571428571426</v>
      </c>
      <c r="J32" s="1227">
        <v>60000</v>
      </c>
      <c r="K32" s="1228">
        <v>160</v>
      </c>
      <c r="L32" s="1228">
        <v>0</v>
      </c>
      <c r="M32" s="1228">
        <v>10000</v>
      </c>
      <c r="N32" s="1229">
        <v>0.06</v>
      </c>
      <c r="O32" s="1229">
        <v>6</v>
      </c>
      <c r="P32" s="1229">
        <v>200</v>
      </c>
      <c r="Q32" s="1229">
        <v>3500</v>
      </c>
      <c r="R32" s="1230">
        <f t="shared" si="5"/>
        <v>0</v>
      </c>
      <c r="S32" s="1230">
        <f t="shared" si="6"/>
        <v>0</v>
      </c>
      <c r="T32" s="1230">
        <f t="shared" si="7"/>
        <v>342.88799999999998</v>
      </c>
      <c r="V32" s="560" t="s">
        <v>1715</v>
      </c>
      <c r="W32" s="560" t="s">
        <v>1714</v>
      </c>
    </row>
    <row r="33" spans="2:23">
      <c r="B33" s="1221" t="s">
        <v>1676</v>
      </c>
      <c r="C33" s="1222" t="s">
        <v>1677</v>
      </c>
      <c r="D33" s="1223">
        <f t="shared" si="0"/>
        <v>2281.2949000000003</v>
      </c>
      <c r="E33" s="1223">
        <f>+SUMIF(Recursos!C:C,EQ_CE!B33,Recursos!G:G)</f>
        <v>0</v>
      </c>
      <c r="F33" s="1224">
        <f t="shared" si="1"/>
        <v>535.96659999999997</v>
      </c>
      <c r="G33" s="1225">
        <f t="shared" si="2"/>
        <v>267.98329999999999</v>
      </c>
      <c r="H33" s="1225">
        <f t="shared" si="3"/>
        <v>1426.3200000000002</v>
      </c>
      <c r="I33" s="1226">
        <f t="shared" si="4"/>
        <v>51.024999999999999</v>
      </c>
      <c r="J33" s="1227">
        <v>65650</v>
      </c>
      <c r="K33" s="1228">
        <v>175</v>
      </c>
      <c r="L33" s="1228">
        <v>0</v>
      </c>
      <c r="M33" s="1228">
        <v>10000</v>
      </c>
      <c r="N33" s="1229">
        <v>0.08</v>
      </c>
      <c r="O33" s="1229">
        <v>6</v>
      </c>
      <c r="P33" s="1229">
        <v>250</v>
      </c>
      <c r="Q33" s="1229">
        <v>3000</v>
      </c>
      <c r="R33" s="1230">
        <f t="shared" si="5"/>
        <v>0</v>
      </c>
      <c r="S33" s="1230">
        <f t="shared" si="6"/>
        <v>0</v>
      </c>
      <c r="T33" s="1230">
        <f t="shared" si="7"/>
        <v>375.17661999999996</v>
      </c>
      <c r="V33" s="560" t="s">
        <v>1717</v>
      </c>
      <c r="W33" s="560" t="s">
        <v>1716</v>
      </c>
    </row>
    <row r="34" spans="2:23">
      <c r="B34" s="1221" t="s">
        <v>1557</v>
      </c>
      <c r="C34" s="1222" t="str">
        <f>+VLOOKUP(B34,Recursos!C:D,2,FALSE)</f>
        <v>CAMION SEMIRREMOLQUE CAP. 30 T 6x4</v>
      </c>
      <c r="D34" s="1223">
        <f t="shared" si="0"/>
        <v>3156.8051111111108</v>
      </c>
      <c r="E34" s="1223">
        <f>+SUMIF(Recursos!C:C,EQ_CE!B34,Recursos!G:G)</f>
        <v>0</v>
      </c>
      <c r="F34" s="1224">
        <f t="shared" si="1"/>
        <v>604.74074074074065</v>
      </c>
      <c r="G34" s="1225">
        <f t="shared" si="2"/>
        <v>302.37037037037032</v>
      </c>
      <c r="H34" s="1225">
        <f t="shared" si="3"/>
        <v>2139.48</v>
      </c>
      <c r="I34" s="1226">
        <f t="shared" si="4"/>
        <v>110.214</v>
      </c>
      <c r="J34" s="1227">
        <v>100000</v>
      </c>
      <c r="K34" s="1228">
        <v>350</v>
      </c>
      <c r="L34" s="1228">
        <v>0</v>
      </c>
      <c r="M34" s="1228">
        <v>13500</v>
      </c>
      <c r="N34" s="1229">
        <v>0.06</v>
      </c>
      <c r="O34" s="1229">
        <v>18</v>
      </c>
      <c r="P34" s="1229">
        <v>300</v>
      </c>
      <c r="Q34" s="1229">
        <v>5000</v>
      </c>
      <c r="R34" s="1230">
        <f t="shared" si="5"/>
        <v>0</v>
      </c>
      <c r="S34" s="1230">
        <f t="shared" si="6"/>
        <v>0</v>
      </c>
      <c r="T34" s="1230">
        <f t="shared" si="7"/>
        <v>423.31851851851843</v>
      </c>
      <c r="V34" s="560" t="s">
        <v>996</v>
      </c>
      <c r="W34" s="560" t="s">
        <v>1628</v>
      </c>
    </row>
    <row r="35" spans="2:23">
      <c r="B35" s="1221" t="s">
        <v>1678</v>
      </c>
      <c r="C35" s="1222" t="s">
        <v>1679</v>
      </c>
      <c r="D35" s="1223">
        <f t="shared" si="0"/>
        <v>5017.3932999999997</v>
      </c>
      <c r="E35" s="1223">
        <f>+SUMIF(Recursos!C:C,EQ_CE!B35,Recursos!G:G)</f>
        <v>0</v>
      </c>
      <c r="F35" s="1224">
        <f t="shared" si="1"/>
        <v>865.79219999999998</v>
      </c>
      <c r="G35" s="1225">
        <f t="shared" si="2"/>
        <v>432.89609999999999</v>
      </c>
      <c r="H35" s="1225">
        <f t="shared" si="3"/>
        <v>3667.68</v>
      </c>
      <c r="I35" s="1226">
        <f t="shared" si="4"/>
        <v>51.024999999999999</v>
      </c>
      <c r="J35" s="1227">
        <v>106050</v>
      </c>
      <c r="K35" s="1228">
        <v>450</v>
      </c>
      <c r="L35" s="1228">
        <v>0</v>
      </c>
      <c r="M35" s="1228">
        <v>10000</v>
      </c>
      <c r="N35" s="1229">
        <v>0.08</v>
      </c>
      <c r="O35" s="1229">
        <v>6</v>
      </c>
      <c r="P35" s="1229">
        <v>250</v>
      </c>
      <c r="Q35" s="1229">
        <v>3000</v>
      </c>
      <c r="R35" s="1230">
        <f t="shared" si="5"/>
        <v>0</v>
      </c>
      <c r="S35" s="1230">
        <f t="shared" si="6"/>
        <v>0</v>
      </c>
      <c r="T35" s="1230">
        <f t="shared" si="7"/>
        <v>606.05453999999997</v>
      </c>
      <c r="V35" s="560" t="s">
        <v>972</v>
      </c>
      <c r="W35" s="560" t="s">
        <v>1610</v>
      </c>
    </row>
    <row r="36" spans="2:23">
      <c r="B36" s="1221" t="s">
        <v>1558</v>
      </c>
      <c r="C36" s="1222" t="str">
        <f>+VLOOKUP(B36,Recursos!C:D,2,FALSE)</f>
        <v>CAMION TANQUE COMBUSTIBLE 8 m3</v>
      </c>
      <c r="D36" s="1223">
        <f t="shared" si="0"/>
        <v>1646.0185714285717</v>
      </c>
      <c r="E36" s="1223">
        <f>+SUMIF(Recursos!C:C,EQ_CE!B36,Recursos!G:G)</f>
        <v>0</v>
      </c>
      <c r="F36" s="1224">
        <f t="shared" si="1"/>
        <v>530.66</v>
      </c>
      <c r="G36" s="1225">
        <f t="shared" si="2"/>
        <v>265.33</v>
      </c>
      <c r="H36" s="1225">
        <f t="shared" si="3"/>
        <v>815.04000000000008</v>
      </c>
      <c r="I36" s="1226">
        <f t="shared" si="4"/>
        <v>34.988571428571426</v>
      </c>
      <c r="J36" s="1227">
        <v>65000</v>
      </c>
      <c r="K36" s="1228">
        <v>160</v>
      </c>
      <c r="L36" s="1228">
        <v>0</v>
      </c>
      <c r="M36" s="1228">
        <v>10000</v>
      </c>
      <c r="N36" s="1229">
        <v>0.05</v>
      </c>
      <c r="O36" s="1229">
        <v>6</v>
      </c>
      <c r="P36" s="1229">
        <v>200</v>
      </c>
      <c r="Q36" s="1229">
        <v>3500</v>
      </c>
      <c r="R36" s="1230">
        <f t="shared" si="5"/>
        <v>0</v>
      </c>
      <c r="S36" s="1230">
        <f t="shared" si="6"/>
        <v>0</v>
      </c>
      <c r="T36" s="1230">
        <f t="shared" si="7"/>
        <v>371.46199999999999</v>
      </c>
      <c r="V36" s="560" t="s">
        <v>998</v>
      </c>
      <c r="W36" s="560" t="s">
        <v>1630</v>
      </c>
    </row>
    <row r="37" spans="2:23">
      <c r="B37" s="1221" t="s">
        <v>1674</v>
      </c>
      <c r="C37" s="1222" t="s">
        <v>1675</v>
      </c>
      <c r="D37" s="1223">
        <f t="shared" si="0"/>
        <v>4632.3922000000002</v>
      </c>
      <c r="E37" s="1223">
        <f>+SUMIF(Recursos!C:C,EQ_CE!B37,Recursos!G:G)</f>
        <v>0</v>
      </c>
      <c r="F37" s="1224">
        <f t="shared" si="1"/>
        <v>989.47679999999991</v>
      </c>
      <c r="G37" s="1225">
        <f t="shared" si="2"/>
        <v>494.73839999999996</v>
      </c>
      <c r="H37" s="1225">
        <f t="shared" si="3"/>
        <v>3097.1520000000005</v>
      </c>
      <c r="I37" s="1226">
        <f t="shared" si="4"/>
        <v>51.024999999999999</v>
      </c>
      <c r="J37" s="1227">
        <v>121200</v>
      </c>
      <c r="K37" s="1228">
        <v>380</v>
      </c>
      <c r="L37" s="1228">
        <v>0</v>
      </c>
      <c r="M37" s="1228">
        <v>10000</v>
      </c>
      <c r="N37" s="1229">
        <v>0.08</v>
      </c>
      <c r="O37" s="1229">
        <v>6</v>
      </c>
      <c r="P37" s="1229">
        <v>250</v>
      </c>
      <c r="Q37" s="1229">
        <v>3000</v>
      </c>
      <c r="R37" s="1230">
        <f t="shared" si="5"/>
        <v>0</v>
      </c>
      <c r="S37" s="1230">
        <f t="shared" si="6"/>
        <v>0</v>
      </c>
      <c r="T37" s="1230">
        <f t="shared" si="7"/>
        <v>692.63375999999994</v>
      </c>
      <c r="V37" s="560" t="s">
        <v>774</v>
      </c>
      <c r="W37" s="560" t="s">
        <v>1541</v>
      </c>
    </row>
    <row r="38" spans="2:23">
      <c r="B38" s="1221" t="s">
        <v>1591</v>
      </c>
      <c r="C38" s="1222" t="str">
        <f>+VLOOKUP(B38,Recursos!C:D,2,FALSE)</f>
        <v>CAMION TRANSPORTE PERSONAL</v>
      </c>
      <c r="D38" s="1223">
        <f t="shared" ref="D38:D69" si="8">+SUM(F38:I38)</f>
        <v>1299.2185714285715</v>
      </c>
      <c r="E38" s="1223">
        <f>+SUMIF(Recursos!C:C,EQ_CE!B38,Recursos!G:G)</f>
        <v>0</v>
      </c>
      <c r="F38" s="1224">
        <f t="shared" ref="F38:F69" si="9">+(J38*(1-vres))/M38*usd</f>
        <v>367.38</v>
      </c>
      <c r="G38" s="1225">
        <f t="shared" ref="G38:G69" si="10">+ryr*F38</f>
        <v>183.69</v>
      </c>
      <c r="H38" s="1225">
        <f t="shared" ref="H38:H69" si="11">+N38*K38*comb*(1+lub)</f>
        <v>713.16000000000008</v>
      </c>
      <c r="I38" s="1226">
        <f t="shared" ref="I38:I69" si="12">+IF(Q38&gt;0,(O38*P38)*usd/Q38,0)</f>
        <v>34.988571428571426</v>
      </c>
      <c r="J38" s="1227">
        <v>45000</v>
      </c>
      <c r="K38" s="1228">
        <v>140</v>
      </c>
      <c r="L38" s="1228">
        <v>0</v>
      </c>
      <c r="M38" s="1228">
        <v>10000</v>
      </c>
      <c r="N38" s="1229">
        <v>0.05</v>
      </c>
      <c r="O38" s="1229">
        <v>6</v>
      </c>
      <c r="P38" s="1229">
        <v>200</v>
      </c>
      <c r="Q38" s="1229">
        <v>3500</v>
      </c>
      <c r="R38" s="1230">
        <f t="shared" ref="R38:R69" si="13">+N38*K38*E38</f>
        <v>0</v>
      </c>
      <c r="S38" s="1230">
        <f t="shared" ref="S38:S69" si="14">+L38*E38</f>
        <v>0</v>
      </c>
      <c r="T38" s="1230">
        <f t="shared" ref="T38:T69" si="15">0.5*(F38+0.8*G38)</f>
        <v>257.166</v>
      </c>
      <c r="V38" s="560" t="s">
        <v>973</v>
      </c>
      <c r="W38" s="560" t="s">
        <v>1611</v>
      </c>
    </row>
    <row r="39" spans="2:23">
      <c r="B39" s="1221" t="s">
        <v>1555</v>
      </c>
      <c r="C39" s="1222" t="str">
        <f>+VLOOKUP(B39,Recursos!C:D,2,FALSE)</f>
        <v>CAMION VOLCADOR 6x4 CAP. 24 T=15 m3</v>
      </c>
      <c r="D39" s="1223">
        <f t="shared" si="8"/>
        <v>3333.261</v>
      </c>
      <c r="E39" s="1223">
        <f>+SUMIF(Recursos!C:C,EQ_CE!B39,Recursos!G:G)</f>
        <v>0.86764086167800447</v>
      </c>
      <c r="F39" s="1224">
        <f t="shared" si="9"/>
        <v>646.31666666666661</v>
      </c>
      <c r="G39" s="1225">
        <f t="shared" si="10"/>
        <v>323.1583333333333</v>
      </c>
      <c r="H39" s="1225">
        <f t="shared" si="11"/>
        <v>2261.7359999999999</v>
      </c>
      <c r="I39" s="1226">
        <f t="shared" si="12"/>
        <v>102.05</v>
      </c>
      <c r="J39" s="1227">
        <v>95000</v>
      </c>
      <c r="K39" s="1228">
        <v>370</v>
      </c>
      <c r="L39" s="1228">
        <v>0</v>
      </c>
      <c r="M39" s="1228">
        <v>12000</v>
      </c>
      <c r="N39" s="1229">
        <v>0.06</v>
      </c>
      <c r="O39" s="1229">
        <v>10</v>
      </c>
      <c r="P39" s="1229">
        <v>350</v>
      </c>
      <c r="Q39" s="1229">
        <v>3500</v>
      </c>
      <c r="R39" s="1230">
        <f t="shared" si="13"/>
        <v>19.2616271292517</v>
      </c>
      <c r="S39" s="1230">
        <f t="shared" si="14"/>
        <v>0</v>
      </c>
      <c r="T39" s="1230">
        <f t="shared" si="15"/>
        <v>452.42166666666662</v>
      </c>
      <c r="V39" s="560" t="s">
        <v>973</v>
      </c>
      <c r="W39" s="560" t="s">
        <v>1612</v>
      </c>
    </row>
    <row r="40" spans="2:23">
      <c r="B40" s="1221" t="s">
        <v>1556</v>
      </c>
      <c r="C40" s="1222" t="str">
        <f>+VLOOKUP(B40,Recursos!C:D,2,FALSE)</f>
        <v>CAMION VOLCADOR CAP. 15 T=9 m3</v>
      </c>
      <c r="D40" s="1223">
        <f t="shared" si="8"/>
        <v>2547.7823376623378</v>
      </c>
      <c r="E40" s="1223">
        <f>+SUMIF(Recursos!C:C,EQ_CE!B40,Recursos!G:G)</f>
        <v>0</v>
      </c>
      <c r="F40" s="1224">
        <f t="shared" si="9"/>
        <v>519.5272727272727</v>
      </c>
      <c r="G40" s="1225">
        <f t="shared" si="10"/>
        <v>259.76363636363635</v>
      </c>
      <c r="H40" s="1225">
        <f t="shared" si="11"/>
        <v>1681.0200000000002</v>
      </c>
      <c r="I40" s="1226">
        <f t="shared" si="12"/>
        <v>87.471428571428575</v>
      </c>
      <c r="J40" s="1227">
        <v>70000</v>
      </c>
      <c r="K40" s="1228">
        <v>275</v>
      </c>
      <c r="L40" s="1228">
        <v>0</v>
      </c>
      <c r="M40" s="1228">
        <v>11000</v>
      </c>
      <c r="N40" s="1229">
        <v>0.06</v>
      </c>
      <c r="O40" s="1229">
        <v>10</v>
      </c>
      <c r="P40" s="1229">
        <v>300</v>
      </c>
      <c r="Q40" s="1229">
        <v>3500</v>
      </c>
      <c r="R40" s="1230">
        <f t="shared" si="13"/>
        <v>0</v>
      </c>
      <c r="S40" s="1230">
        <f t="shared" si="14"/>
        <v>0</v>
      </c>
      <c r="T40" s="1230">
        <f t="shared" si="15"/>
        <v>363.66909090909087</v>
      </c>
      <c r="V40" s="560" t="s">
        <v>974</v>
      </c>
      <c r="W40" s="560" t="s">
        <v>1613</v>
      </c>
    </row>
    <row r="41" spans="2:23">
      <c r="B41" s="1221" t="s">
        <v>1672</v>
      </c>
      <c r="C41" s="1222" t="s">
        <v>1673</v>
      </c>
      <c r="D41" s="1223">
        <f t="shared" si="8"/>
        <v>4262.8895600000005</v>
      </c>
      <c r="E41" s="1223">
        <f>+SUMIF(Recursos!C:C,EQ_CE!B41,Recursos!G:G)</f>
        <v>0</v>
      </c>
      <c r="F41" s="1224">
        <f t="shared" si="9"/>
        <v>709.12504000000001</v>
      </c>
      <c r="G41" s="1225">
        <f t="shared" si="10"/>
        <v>354.56252000000001</v>
      </c>
      <c r="H41" s="1225">
        <f t="shared" si="11"/>
        <v>3097.1520000000005</v>
      </c>
      <c r="I41" s="1226">
        <f t="shared" si="12"/>
        <v>102.05</v>
      </c>
      <c r="J41" s="1227">
        <v>86860</v>
      </c>
      <c r="K41" s="1228">
        <v>380</v>
      </c>
      <c r="L41" s="1228">
        <v>0</v>
      </c>
      <c r="M41" s="1228">
        <v>10000</v>
      </c>
      <c r="N41" s="1229">
        <v>0.08</v>
      </c>
      <c r="O41" s="1229">
        <v>10</v>
      </c>
      <c r="P41" s="1229">
        <v>350</v>
      </c>
      <c r="Q41" s="1229">
        <v>3500</v>
      </c>
      <c r="R41" s="1230">
        <f t="shared" si="13"/>
        <v>0</v>
      </c>
      <c r="S41" s="1230">
        <f t="shared" si="14"/>
        <v>0</v>
      </c>
      <c r="T41" s="1230">
        <f t="shared" si="15"/>
        <v>496.38752799999997</v>
      </c>
      <c r="V41" s="560" t="s">
        <v>975</v>
      </c>
      <c r="W41" s="560" t="s">
        <v>1614</v>
      </c>
    </row>
    <row r="42" spans="2:23">
      <c r="B42" s="1221" t="s">
        <v>1582</v>
      </c>
      <c r="C42" s="1222" t="str">
        <f>+VLOOKUP(B42,Recursos!C:D,2,FALSE)</f>
        <v>CAMIONETA CABINA DOBLE 4x4</v>
      </c>
      <c r="D42" s="1223">
        <f t="shared" si="8"/>
        <v>924.5053333333334</v>
      </c>
      <c r="E42" s="1223">
        <f>+SUMIF(Recursos!C:C,EQ_CE!B42,Recursos!G:G)</f>
        <v>0</v>
      </c>
      <c r="F42" s="1224">
        <f t="shared" si="9"/>
        <v>299.34666666666664</v>
      </c>
      <c r="G42" s="1225">
        <f t="shared" si="10"/>
        <v>149.67333333333332</v>
      </c>
      <c r="H42" s="1225">
        <f t="shared" si="11"/>
        <v>448.27200000000005</v>
      </c>
      <c r="I42" s="1226">
        <f t="shared" si="12"/>
        <v>27.213333333333335</v>
      </c>
      <c r="J42" s="1227">
        <v>22000</v>
      </c>
      <c r="K42" s="1228">
        <v>110</v>
      </c>
      <c r="L42" s="1228">
        <v>0</v>
      </c>
      <c r="M42" s="1228">
        <v>6000</v>
      </c>
      <c r="N42" s="1229">
        <v>0.04</v>
      </c>
      <c r="O42" s="1229">
        <v>4</v>
      </c>
      <c r="P42" s="1229">
        <v>100</v>
      </c>
      <c r="Q42" s="1229">
        <v>1500</v>
      </c>
      <c r="R42" s="1230">
        <f t="shared" si="13"/>
        <v>0</v>
      </c>
      <c r="S42" s="1230">
        <f t="shared" si="14"/>
        <v>0</v>
      </c>
      <c r="T42" s="1230">
        <f t="shared" si="15"/>
        <v>209.54266666666666</v>
      </c>
      <c r="V42" s="560" t="s">
        <v>999</v>
      </c>
      <c r="W42" s="560" t="s">
        <v>1631</v>
      </c>
    </row>
    <row r="43" spans="2:23">
      <c r="B43" s="1221" t="s">
        <v>1541</v>
      </c>
      <c r="C43" s="1222" t="str">
        <f>+VLOOKUP(B43,Recursos!C:D,2,FALSE)</f>
        <v>CARGADOR FRONTAL S/NEUM. (1,60 M3)</v>
      </c>
      <c r="D43" s="1223">
        <f t="shared" si="8"/>
        <v>2143.5611666666664</v>
      </c>
      <c r="E43" s="1223">
        <f>+SUMIF(Recursos!C:C,EQ_CE!B43,Recursos!G:G)</f>
        <v>0</v>
      </c>
      <c r="F43" s="1224">
        <f t="shared" si="9"/>
        <v>642.91499999999996</v>
      </c>
      <c r="G43" s="1225">
        <f t="shared" si="10"/>
        <v>321.45749999999998</v>
      </c>
      <c r="H43" s="1225">
        <f t="shared" si="11"/>
        <v>1120.68</v>
      </c>
      <c r="I43" s="1226">
        <f t="shared" si="12"/>
        <v>58.50866666666667</v>
      </c>
      <c r="J43" s="1227">
        <v>78750</v>
      </c>
      <c r="K43" s="1228">
        <v>110</v>
      </c>
      <c r="L43" s="1228">
        <v>0</v>
      </c>
      <c r="M43" s="1228">
        <v>10000</v>
      </c>
      <c r="N43" s="1229">
        <v>0.1</v>
      </c>
      <c r="O43" s="1229">
        <v>4</v>
      </c>
      <c r="P43" s="1229">
        <v>430</v>
      </c>
      <c r="Q43" s="1229">
        <v>3000</v>
      </c>
      <c r="R43" s="1230">
        <f t="shared" si="13"/>
        <v>0</v>
      </c>
      <c r="S43" s="1230">
        <f t="shared" si="14"/>
        <v>0</v>
      </c>
      <c r="T43" s="1230">
        <f t="shared" si="15"/>
        <v>450.04049999999995</v>
      </c>
      <c r="V43" s="560" t="s">
        <v>976</v>
      </c>
      <c r="W43" s="560" t="s">
        <v>1615</v>
      </c>
    </row>
    <row r="44" spans="2:23">
      <c r="B44" s="1221" t="s">
        <v>1542</v>
      </c>
      <c r="C44" s="1222" t="str">
        <f>+VLOOKUP(B44,Recursos!C:D,2,FALSE)</f>
        <v>CARGADOR FRONTAL S/NEUM. (2,30 M3)</v>
      </c>
      <c r="D44" s="1223">
        <f t="shared" si="8"/>
        <v>3152.8359999999998</v>
      </c>
      <c r="E44" s="1223">
        <f>+SUMIF(Recursos!C:C,EQ_CE!B44,Recursos!G:G)</f>
        <v>0.39563999999999994</v>
      </c>
      <c r="F44" s="1224">
        <f t="shared" si="9"/>
        <v>1028.664</v>
      </c>
      <c r="G44" s="1225">
        <f t="shared" si="10"/>
        <v>514.33199999999999</v>
      </c>
      <c r="H44" s="1225">
        <f t="shared" si="11"/>
        <v>1528.2</v>
      </c>
      <c r="I44" s="1226">
        <f t="shared" si="12"/>
        <v>81.64</v>
      </c>
      <c r="J44" s="1227">
        <v>126000</v>
      </c>
      <c r="K44" s="1228">
        <v>150</v>
      </c>
      <c r="L44" s="1228">
        <v>0</v>
      </c>
      <c r="M44" s="1228">
        <v>10000</v>
      </c>
      <c r="N44" s="1229">
        <v>0.1</v>
      </c>
      <c r="O44" s="1229">
        <v>4</v>
      </c>
      <c r="P44" s="1229">
        <v>600</v>
      </c>
      <c r="Q44" s="1229">
        <v>3000</v>
      </c>
      <c r="R44" s="1230">
        <f t="shared" si="13"/>
        <v>5.9345999999999988</v>
      </c>
      <c r="S44" s="1230">
        <f t="shared" si="14"/>
        <v>0</v>
      </c>
      <c r="T44" s="1230">
        <f t="shared" si="15"/>
        <v>720.06479999999999</v>
      </c>
      <c r="V44" s="560" t="s">
        <v>1719</v>
      </c>
      <c r="W44" s="560" t="s">
        <v>1718</v>
      </c>
    </row>
    <row r="45" spans="2:23">
      <c r="B45" s="1221" t="s">
        <v>1543</v>
      </c>
      <c r="C45" s="1222" t="str">
        <f>+VLOOKUP(B45,Recursos!C:D,2,FALSE)</f>
        <v>CARGADOR FRONTAL S/NEUM. (3,00 M3)</v>
      </c>
      <c r="D45" s="1223">
        <f t="shared" si="8"/>
        <v>4370.2094545454547</v>
      </c>
      <c r="E45" s="1223">
        <f>+SUMIF(Recursos!C:C,EQ_CE!B45,Recursos!G:G)</f>
        <v>2.5200000000000001E-3</v>
      </c>
      <c r="F45" s="1224">
        <f t="shared" si="9"/>
        <v>1402.7236363636364</v>
      </c>
      <c r="G45" s="1225">
        <f t="shared" si="10"/>
        <v>701.36181818181819</v>
      </c>
      <c r="H45" s="1225">
        <f t="shared" si="11"/>
        <v>2078.3520000000003</v>
      </c>
      <c r="I45" s="1226">
        <f t="shared" si="12"/>
        <v>187.77199999999999</v>
      </c>
      <c r="J45" s="1227">
        <v>189000</v>
      </c>
      <c r="K45" s="1228">
        <v>204</v>
      </c>
      <c r="L45" s="1228">
        <v>0</v>
      </c>
      <c r="M45" s="1228">
        <v>11000</v>
      </c>
      <c r="N45" s="1229">
        <v>0.1</v>
      </c>
      <c r="O45" s="1229">
        <v>4</v>
      </c>
      <c r="P45" s="1229">
        <v>1380</v>
      </c>
      <c r="Q45" s="1229">
        <v>3000</v>
      </c>
      <c r="R45" s="1230">
        <f t="shared" si="13"/>
        <v>5.1408000000000009E-2</v>
      </c>
      <c r="S45" s="1230">
        <f t="shared" si="14"/>
        <v>0</v>
      </c>
      <c r="T45" s="1230">
        <f t="shared" si="15"/>
        <v>981.90654545454549</v>
      </c>
      <c r="V45" s="560" t="s">
        <v>978</v>
      </c>
      <c r="W45" s="560" t="s">
        <v>1617</v>
      </c>
    </row>
    <row r="46" spans="2:23">
      <c r="B46" s="1221" t="s">
        <v>1632</v>
      </c>
      <c r="C46" s="1222" t="str">
        <f>+VLOOKUP(B46,Recursos!C:D,2,FALSE)</f>
        <v>CARGADOR FRONTAL S/NEUM. (5,00 M3)</v>
      </c>
      <c r="D46" s="1223">
        <f t="shared" si="8"/>
        <v>5816.7703999999994</v>
      </c>
      <c r="E46" s="1223">
        <f>+SUMIF(Recursos!C:C,EQ_CE!B46,Recursos!G:G)</f>
        <v>0</v>
      </c>
      <c r="F46" s="1224">
        <f t="shared" si="9"/>
        <v>2041</v>
      </c>
      <c r="G46" s="1225">
        <f t="shared" si="10"/>
        <v>1020.5</v>
      </c>
      <c r="H46" s="1225">
        <f t="shared" si="11"/>
        <v>2494.0224000000003</v>
      </c>
      <c r="I46" s="1226">
        <f t="shared" si="12"/>
        <v>261.24799999999999</v>
      </c>
      <c r="J46" s="1227">
        <v>250000</v>
      </c>
      <c r="K46" s="1228">
        <v>204</v>
      </c>
      <c r="L46" s="1228">
        <v>0</v>
      </c>
      <c r="M46" s="1228">
        <v>10000</v>
      </c>
      <c r="N46" s="1229">
        <v>0.12</v>
      </c>
      <c r="O46" s="1229">
        <v>4</v>
      </c>
      <c r="P46" s="1229">
        <v>1600</v>
      </c>
      <c r="Q46" s="1229">
        <v>2500</v>
      </c>
      <c r="R46" s="1230">
        <f t="shared" si="13"/>
        <v>0</v>
      </c>
      <c r="S46" s="1230">
        <f t="shared" si="14"/>
        <v>0</v>
      </c>
      <c r="T46" s="1230">
        <f t="shared" si="15"/>
        <v>1428.7</v>
      </c>
      <c r="V46" s="560" t="s">
        <v>979</v>
      </c>
      <c r="W46" s="560" t="s">
        <v>1618</v>
      </c>
    </row>
    <row r="47" spans="2:23">
      <c r="B47" s="1221" t="s">
        <v>1657</v>
      </c>
      <c r="C47" s="1222" t="s">
        <v>1658</v>
      </c>
      <c r="D47" s="1223">
        <f t="shared" si="8"/>
        <v>2232.6505999999999</v>
      </c>
      <c r="E47" s="1223">
        <f>+SUMIF(Recursos!C:C,EQ_CE!B47,Recursos!G:G)</f>
        <v>0</v>
      </c>
      <c r="F47" s="1224">
        <f t="shared" si="9"/>
        <v>890.69239999999991</v>
      </c>
      <c r="G47" s="1225">
        <f t="shared" si="10"/>
        <v>445.34619999999995</v>
      </c>
      <c r="H47" s="1225">
        <f t="shared" si="11"/>
        <v>855.79200000000003</v>
      </c>
      <c r="I47" s="1226">
        <f t="shared" si="12"/>
        <v>40.82</v>
      </c>
      <c r="J47" s="1227">
        <v>109100</v>
      </c>
      <c r="K47" s="1228">
        <v>105</v>
      </c>
      <c r="L47" s="1228">
        <v>0</v>
      </c>
      <c r="M47" s="1228">
        <v>10000</v>
      </c>
      <c r="N47" s="1229">
        <v>0.08</v>
      </c>
      <c r="O47" s="1229">
        <v>4</v>
      </c>
      <c r="P47" s="1229">
        <v>300</v>
      </c>
      <c r="Q47" s="1229">
        <v>3000</v>
      </c>
      <c r="R47" s="1230">
        <f t="shared" si="13"/>
        <v>0</v>
      </c>
      <c r="S47" s="1230">
        <f t="shared" si="14"/>
        <v>0</v>
      </c>
      <c r="T47" s="1230">
        <f t="shared" si="15"/>
        <v>623.48467999999991</v>
      </c>
      <c r="V47" s="560" t="s">
        <v>980</v>
      </c>
      <c r="W47" s="560" t="s">
        <v>1619</v>
      </c>
    </row>
    <row r="48" spans="2:23">
      <c r="B48" s="1221" t="s">
        <v>1659</v>
      </c>
      <c r="C48" s="1222" t="s">
        <v>1660</v>
      </c>
      <c r="D48" s="1223">
        <f t="shared" si="8"/>
        <v>3724.9622000000004</v>
      </c>
      <c r="E48" s="1223">
        <f>+SUMIF(Recursos!C:C,EQ_CE!B48,Recursos!G:G)</f>
        <v>0</v>
      </c>
      <c r="F48" s="1224">
        <f t="shared" si="9"/>
        <v>1532.3827999999999</v>
      </c>
      <c r="G48" s="1225">
        <f t="shared" si="10"/>
        <v>766.19139999999993</v>
      </c>
      <c r="H48" s="1225">
        <f t="shared" si="11"/>
        <v>1385.568</v>
      </c>
      <c r="I48" s="1226">
        <f t="shared" si="12"/>
        <v>40.82</v>
      </c>
      <c r="J48" s="1227">
        <v>187700</v>
      </c>
      <c r="K48" s="1228">
        <v>170</v>
      </c>
      <c r="L48" s="1228">
        <v>0</v>
      </c>
      <c r="M48" s="1228">
        <v>10000</v>
      </c>
      <c r="N48" s="1229">
        <v>0.08</v>
      </c>
      <c r="O48" s="1229">
        <v>4</v>
      </c>
      <c r="P48" s="1229">
        <v>300</v>
      </c>
      <c r="Q48" s="1229">
        <v>3000</v>
      </c>
      <c r="R48" s="1230">
        <f t="shared" si="13"/>
        <v>0</v>
      </c>
      <c r="S48" s="1230">
        <f t="shared" si="14"/>
        <v>0</v>
      </c>
      <c r="T48" s="1230">
        <f t="shared" si="15"/>
        <v>1072.66796</v>
      </c>
      <c r="V48" s="560" t="s">
        <v>775</v>
      </c>
      <c r="W48" s="560" t="s">
        <v>1542</v>
      </c>
    </row>
    <row r="49" spans="2:23">
      <c r="B49" s="1221" t="s">
        <v>1661</v>
      </c>
      <c r="C49" s="1222" t="s">
        <v>1662</v>
      </c>
      <c r="D49" s="1223">
        <f t="shared" si="8"/>
        <v>3988.8908000000001</v>
      </c>
      <c r="E49" s="1223">
        <f>+SUMIF(Recursos!C:C,EQ_CE!B49,Recursos!G:G)</f>
        <v>0</v>
      </c>
      <c r="F49" s="1224">
        <f t="shared" si="9"/>
        <v>1637.6983999999998</v>
      </c>
      <c r="G49" s="1225">
        <f t="shared" si="10"/>
        <v>818.84919999999988</v>
      </c>
      <c r="H49" s="1225">
        <f t="shared" si="11"/>
        <v>1491.5232000000001</v>
      </c>
      <c r="I49" s="1226">
        <f t="shared" si="12"/>
        <v>40.82</v>
      </c>
      <c r="J49" s="1227">
        <v>200600</v>
      </c>
      <c r="K49" s="1228">
        <v>183</v>
      </c>
      <c r="L49" s="1228">
        <v>0</v>
      </c>
      <c r="M49" s="1228">
        <v>10000</v>
      </c>
      <c r="N49" s="1229">
        <v>0.08</v>
      </c>
      <c r="O49" s="1229">
        <v>4</v>
      </c>
      <c r="P49" s="1229">
        <v>300</v>
      </c>
      <c r="Q49" s="1229">
        <v>3000</v>
      </c>
      <c r="R49" s="1230">
        <f t="shared" si="13"/>
        <v>0</v>
      </c>
      <c r="S49" s="1230">
        <f t="shared" si="14"/>
        <v>0</v>
      </c>
      <c r="T49" s="1230">
        <f t="shared" si="15"/>
        <v>1146.38888</v>
      </c>
      <c r="V49" s="560" t="s">
        <v>1721</v>
      </c>
      <c r="W49" s="560" t="s">
        <v>1720</v>
      </c>
    </row>
    <row r="50" spans="2:23">
      <c r="B50" s="1221" t="s">
        <v>1663</v>
      </c>
      <c r="C50" s="1222" t="s">
        <v>1662</v>
      </c>
      <c r="D50" s="1223">
        <f t="shared" si="8"/>
        <v>3676.0463</v>
      </c>
      <c r="E50" s="1223">
        <f>+SUMIF(Recursos!C:C,EQ_CE!B50,Recursos!G:G)</f>
        <v>0</v>
      </c>
      <c r="F50" s="1224">
        <f t="shared" si="9"/>
        <v>1445.4361999999999</v>
      </c>
      <c r="G50" s="1225">
        <f t="shared" si="10"/>
        <v>722.71809999999994</v>
      </c>
      <c r="H50" s="1225">
        <f t="shared" si="11"/>
        <v>1467.0720000000001</v>
      </c>
      <c r="I50" s="1226">
        <f t="shared" si="12"/>
        <v>40.82</v>
      </c>
      <c r="J50" s="1227">
        <v>177050</v>
      </c>
      <c r="K50" s="1228">
        <v>180</v>
      </c>
      <c r="L50" s="1228">
        <v>0</v>
      </c>
      <c r="M50" s="1228">
        <v>10000</v>
      </c>
      <c r="N50" s="1229">
        <v>0.08</v>
      </c>
      <c r="O50" s="1229">
        <v>4</v>
      </c>
      <c r="P50" s="1229">
        <v>300</v>
      </c>
      <c r="Q50" s="1229">
        <v>3000</v>
      </c>
      <c r="R50" s="1230">
        <f t="shared" si="13"/>
        <v>0</v>
      </c>
      <c r="S50" s="1230">
        <f t="shared" si="14"/>
        <v>0</v>
      </c>
      <c r="T50" s="1230">
        <f t="shared" si="15"/>
        <v>1011.8053399999999</v>
      </c>
      <c r="V50" s="560" t="s">
        <v>981</v>
      </c>
      <c r="W50" s="560" t="s">
        <v>1620</v>
      </c>
    </row>
    <row r="51" spans="2:23">
      <c r="B51" s="1221" t="s">
        <v>1544</v>
      </c>
      <c r="C51" s="1222" t="str">
        <f>+VLOOKUP(B51,Recursos!C:D,2,FALSE)</f>
        <v>CARRETON DE 50 TN CON CAMION</v>
      </c>
      <c r="D51" s="1223">
        <f t="shared" si="8"/>
        <v>3982.1633333333334</v>
      </c>
      <c r="E51" s="1223">
        <f>+SUMIF(Recursos!C:C,EQ_CE!B51,Recursos!G:G)</f>
        <v>0</v>
      </c>
      <c r="F51" s="1224">
        <f t="shared" si="9"/>
        <v>725.68888888888887</v>
      </c>
      <c r="G51" s="1225">
        <f t="shared" si="10"/>
        <v>362.84444444444443</v>
      </c>
      <c r="H51" s="1225">
        <f t="shared" si="11"/>
        <v>2750.76</v>
      </c>
      <c r="I51" s="1226">
        <f t="shared" si="12"/>
        <v>142.87</v>
      </c>
      <c r="J51" s="1227">
        <v>120000</v>
      </c>
      <c r="K51" s="1228">
        <v>450</v>
      </c>
      <c r="L51" s="1228">
        <v>0</v>
      </c>
      <c r="M51" s="1228">
        <v>13500</v>
      </c>
      <c r="N51" s="1229">
        <v>0.06</v>
      </c>
      <c r="O51" s="1229">
        <v>20</v>
      </c>
      <c r="P51" s="1229">
        <v>350</v>
      </c>
      <c r="Q51" s="1229">
        <v>5000</v>
      </c>
      <c r="R51" s="1230">
        <f t="shared" si="13"/>
        <v>0</v>
      </c>
      <c r="S51" s="1230">
        <f t="shared" si="14"/>
        <v>0</v>
      </c>
      <c r="T51" s="1230">
        <f t="shared" si="15"/>
        <v>507.98222222222222</v>
      </c>
      <c r="V51" s="560" t="s">
        <v>1723</v>
      </c>
      <c r="W51" s="560" t="s">
        <v>1722</v>
      </c>
    </row>
    <row r="52" spans="2:23">
      <c r="B52" s="1221" t="s">
        <v>1618</v>
      </c>
      <c r="C52" s="1222" t="str">
        <f>+VLOOKUP(B52,Recursos!C:D,2,FALSE)</f>
        <v>CINTA TRANSP. HORM. L=20 m-30 M3/H</v>
      </c>
      <c r="D52" s="1223">
        <f t="shared" si="8"/>
        <v>367.38</v>
      </c>
      <c r="E52" s="1223">
        <f>+SUMIF(Recursos!C:C,EQ_CE!B52,Recursos!G:G)</f>
        <v>0</v>
      </c>
      <c r="F52" s="1224">
        <f t="shared" si="9"/>
        <v>244.92</v>
      </c>
      <c r="G52" s="1225">
        <f t="shared" si="10"/>
        <v>122.46</v>
      </c>
      <c r="H52" s="1225">
        <f t="shared" si="11"/>
        <v>0</v>
      </c>
      <c r="I52" s="1226">
        <f t="shared" si="12"/>
        <v>0</v>
      </c>
      <c r="J52" s="1227">
        <v>30000</v>
      </c>
      <c r="K52" s="1228">
        <v>0</v>
      </c>
      <c r="L52" s="1228">
        <v>15</v>
      </c>
      <c r="M52" s="1228">
        <v>10000</v>
      </c>
      <c r="N52" s="1229">
        <v>0</v>
      </c>
      <c r="O52" s="1229">
        <v>0</v>
      </c>
      <c r="P52" s="1229">
        <v>0</v>
      </c>
      <c r="Q52" s="1229">
        <v>0</v>
      </c>
      <c r="R52" s="1230">
        <f t="shared" si="13"/>
        <v>0</v>
      </c>
      <c r="S52" s="1230">
        <f t="shared" si="14"/>
        <v>0</v>
      </c>
      <c r="T52" s="1230">
        <f t="shared" si="15"/>
        <v>171.44399999999999</v>
      </c>
      <c r="V52" s="560" t="s">
        <v>982</v>
      </c>
      <c r="W52" s="560" t="s">
        <v>1621</v>
      </c>
    </row>
    <row r="53" spans="2:23">
      <c r="B53" s="1221" t="s">
        <v>1609</v>
      </c>
      <c r="C53" s="1222" t="str">
        <f>+VLOOKUP(B53,Recursos!C:D,2,FALSE)</f>
        <v>CINTA TRANSPORTADORA 0,61 m x 18 m</v>
      </c>
      <c r="D53" s="1223">
        <f t="shared" si="8"/>
        <v>118.78619999999999</v>
      </c>
      <c r="E53" s="1223">
        <f>+SUMIF(Recursos!C:C,EQ_CE!B53,Recursos!G:G)</f>
        <v>0</v>
      </c>
      <c r="F53" s="1224">
        <f t="shared" si="9"/>
        <v>79.190799999999996</v>
      </c>
      <c r="G53" s="1225">
        <f t="shared" si="10"/>
        <v>39.595399999999998</v>
      </c>
      <c r="H53" s="1225">
        <f t="shared" si="11"/>
        <v>0</v>
      </c>
      <c r="I53" s="1226">
        <f t="shared" si="12"/>
        <v>0</v>
      </c>
      <c r="J53" s="1227">
        <v>9700</v>
      </c>
      <c r="K53" s="1228">
        <v>0</v>
      </c>
      <c r="L53" s="1228">
        <v>8</v>
      </c>
      <c r="M53" s="1228">
        <v>10000</v>
      </c>
      <c r="N53" s="1229">
        <v>0</v>
      </c>
      <c r="O53" s="1229">
        <v>0</v>
      </c>
      <c r="P53" s="1229">
        <v>0</v>
      </c>
      <c r="Q53" s="1229">
        <v>0</v>
      </c>
      <c r="R53" s="1230">
        <f t="shared" si="13"/>
        <v>0</v>
      </c>
      <c r="S53" s="1230">
        <f t="shared" si="14"/>
        <v>0</v>
      </c>
      <c r="T53" s="1230">
        <f t="shared" si="15"/>
        <v>55.43356</v>
      </c>
      <c r="V53" s="560" t="s">
        <v>965</v>
      </c>
      <c r="W53" s="560" t="s">
        <v>1603</v>
      </c>
    </row>
    <row r="54" spans="2:23">
      <c r="B54" s="1221" t="s">
        <v>1528</v>
      </c>
      <c r="C54" s="1222" t="s">
        <v>1534</v>
      </c>
      <c r="D54" s="1223">
        <f t="shared" si="8"/>
        <v>140.95146</v>
      </c>
      <c r="E54" s="1223">
        <f>+SUMIF(Recursos!C:C,EQ_CE!B54,Recursos!G:G)</f>
        <v>0</v>
      </c>
      <c r="F54" s="1224">
        <f t="shared" si="9"/>
        <v>93.967639999999989</v>
      </c>
      <c r="G54" s="1225">
        <f t="shared" si="10"/>
        <v>46.983819999999994</v>
      </c>
      <c r="H54" s="1225">
        <f t="shared" si="11"/>
        <v>0</v>
      </c>
      <c r="I54" s="1226">
        <f t="shared" si="12"/>
        <v>0</v>
      </c>
      <c r="J54" s="1227">
        <v>11510</v>
      </c>
      <c r="K54" s="1228">
        <v>0</v>
      </c>
      <c r="L54" s="1228">
        <v>8</v>
      </c>
      <c r="M54" s="1228">
        <v>10000</v>
      </c>
      <c r="N54" s="1229">
        <v>0.08</v>
      </c>
      <c r="O54" s="1229">
        <v>0</v>
      </c>
      <c r="P54" s="1229">
        <v>0</v>
      </c>
      <c r="Q54" s="1229">
        <v>0</v>
      </c>
      <c r="R54" s="1230">
        <f t="shared" si="13"/>
        <v>0</v>
      </c>
      <c r="S54" s="1230">
        <f t="shared" si="14"/>
        <v>0</v>
      </c>
      <c r="T54" s="1230">
        <f t="shared" si="15"/>
        <v>65.777347999999989</v>
      </c>
      <c r="V54" s="560" t="s">
        <v>1725</v>
      </c>
      <c r="W54" s="560" t="s">
        <v>1724</v>
      </c>
    </row>
    <row r="55" spans="2:23">
      <c r="B55" s="1221" t="s">
        <v>1651</v>
      </c>
      <c r="C55" s="1222" t="str">
        <f>+VLOOKUP(B55,Recursos!C:D,2,FALSE)</f>
        <v>CINTA TRANSPORTADORA 0,90 m x 15 m</v>
      </c>
      <c r="D55" s="1223">
        <f t="shared" si="8"/>
        <v>310.85999999999996</v>
      </c>
      <c r="E55" s="1223">
        <f>+SUMIF(Recursos!C:C,EQ_CE!B55,Recursos!G:G)</f>
        <v>3.1651199999999995</v>
      </c>
      <c r="F55" s="1224">
        <f t="shared" si="9"/>
        <v>207.23999999999998</v>
      </c>
      <c r="G55" s="1225">
        <f t="shared" si="10"/>
        <v>103.61999999999999</v>
      </c>
      <c r="H55" s="1225">
        <f t="shared" si="11"/>
        <v>0</v>
      </c>
      <c r="I55" s="1226">
        <f t="shared" si="12"/>
        <v>0</v>
      </c>
      <c r="J55" s="1227">
        <v>16500</v>
      </c>
      <c r="K55" s="1228">
        <v>0</v>
      </c>
      <c r="L55" s="1228">
        <v>10</v>
      </c>
      <c r="M55" s="1228">
        <v>6500</v>
      </c>
      <c r="N55" s="1229">
        <v>0</v>
      </c>
      <c r="O55" s="1229">
        <v>0</v>
      </c>
      <c r="P55" s="1229">
        <v>0</v>
      </c>
      <c r="Q55" s="1229">
        <v>0</v>
      </c>
      <c r="R55" s="1230">
        <f t="shared" si="13"/>
        <v>0</v>
      </c>
      <c r="S55" s="1230">
        <f t="shared" si="14"/>
        <v>31.651199999999996</v>
      </c>
      <c r="T55" s="1230">
        <f t="shared" si="15"/>
        <v>145.06799999999998</v>
      </c>
      <c r="V55" s="560" t="s">
        <v>1727</v>
      </c>
      <c r="W55" s="560" t="s">
        <v>1726</v>
      </c>
    </row>
    <row r="56" spans="2:23">
      <c r="B56" s="1221" t="s">
        <v>1686</v>
      </c>
      <c r="C56" s="1222" t="s">
        <v>1687</v>
      </c>
      <c r="D56" s="1223">
        <f t="shared" si="8"/>
        <v>2056.3764000000001</v>
      </c>
      <c r="E56" s="1223">
        <f>+SUMIF(Recursos!C:C,EQ_CE!B56,Recursos!G:G)</f>
        <v>0</v>
      </c>
      <c r="F56" s="1224">
        <f t="shared" si="9"/>
        <v>664.54959999999994</v>
      </c>
      <c r="G56" s="1225">
        <f t="shared" si="10"/>
        <v>332.27479999999997</v>
      </c>
      <c r="H56" s="1225">
        <f t="shared" si="11"/>
        <v>1059.5519999999999</v>
      </c>
      <c r="I56" s="1226">
        <f t="shared" si="12"/>
        <v>0</v>
      </c>
      <c r="J56" s="1227">
        <v>81400</v>
      </c>
      <c r="K56" s="1228">
        <v>130</v>
      </c>
      <c r="L56" s="1228">
        <v>0</v>
      </c>
      <c r="M56" s="1228">
        <v>10000</v>
      </c>
      <c r="N56" s="1229">
        <v>0.08</v>
      </c>
      <c r="O56" s="1229">
        <v>0</v>
      </c>
      <c r="P56" s="1229">
        <v>0</v>
      </c>
      <c r="Q56" s="1229">
        <v>0</v>
      </c>
      <c r="R56" s="1230">
        <f t="shared" si="13"/>
        <v>0</v>
      </c>
      <c r="S56" s="1230">
        <f t="shared" si="14"/>
        <v>0</v>
      </c>
      <c r="T56" s="1230">
        <f t="shared" si="15"/>
        <v>465.18471999999997</v>
      </c>
      <c r="V56" s="560" t="s">
        <v>983</v>
      </c>
      <c r="W56" s="560" t="s">
        <v>1622</v>
      </c>
    </row>
    <row r="57" spans="2:23">
      <c r="B57" s="1221" t="s">
        <v>1684</v>
      </c>
      <c r="C57" s="1222" t="s">
        <v>1685</v>
      </c>
      <c r="D57" s="1223">
        <f t="shared" si="8"/>
        <v>2080.6506600000002</v>
      </c>
      <c r="E57" s="1223">
        <f>+SUMIF(Recursos!C:C,EQ_CE!B57,Recursos!G:G)</f>
        <v>0</v>
      </c>
      <c r="F57" s="1224">
        <f t="shared" si="9"/>
        <v>707.90044</v>
      </c>
      <c r="G57" s="1225">
        <f t="shared" si="10"/>
        <v>353.95022</v>
      </c>
      <c r="H57" s="1225">
        <f t="shared" si="11"/>
        <v>1018.8</v>
      </c>
      <c r="I57" s="1226">
        <f t="shared" si="12"/>
        <v>0</v>
      </c>
      <c r="J57" s="1227">
        <v>86710</v>
      </c>
      <c r="K57" s="1228">
        <v>125</v>
      </c>
      <c r="L57" s="1228">
        <v>0</v>
      </c>
      <c r="M57" s="1228">
        <v>10000</v>
      </c>
      <c r="N57" s="1229">
        <v>0.08</v>
      </c>
      <c r="O57" s="1229">
        <v>0</v>
      </c>
      <c r="P57" s="1229">
        <v>0</v>
      </c>
      <c r="Q57" s="1229">
        <v>0</v>
      </c>
      <c r="R57" s="1230">
        <f t="shared" si="13"/>
        <v>0</v>
      </c>
      <c r="S57" s="1230">
        <f t="shared" si="14"/>
        <v>0</v>
      </c>
      <c r="T57" s="1230">
        <f t="shared" si="15"/>
        <v>495.53030799999999</v>
      </c>
      <c r="V57" s="560" t="s">
        <v>984</v>
      </c>
      <c r="W57" s="560" t="s">
        <v>1623</v>
      </c>
    </row>
    <row r="58" spans="2:23">
      <c r="B58" s="1221" t="s">
        <v>1682</v>
      </c>
      <c r="C58" s="1222" t="s">
        <v>1683</v>
      </c>
      <c r="D58" s="1223">
        <f t="shared" si="8"/>
        <v>2026.0471399999999</v>
      </c>
      <c r="E58" s="1223">
        <f>+SUMIF(Recursos!C:C,EQ_CE!B58,Recursos!G:G)</f>
        <v>0</v>
      </c>
      <c r="F58" s="1224">
        <f t="shared" si="9"/>
        <v>617.11676</v>
      </c>
      <c r="G58" s="1225">
        <f t="shared" si="10"/>
        <v>308.55838</v>
      </c>
      <c r="H58" s="1225">
        <f t="shared" si="11"/>
        <v>1059.5519999999999</v>
      </c>
      <c r="I58" s="1226">
        <f t="shared" si="12"/>
        <v>40.82</v>
      </c>
      <c r="J58" s="1227">
        <v>75590</v>
      </c>
      <c r="K58" s="1228">
        <v>130</v>
      </c>
      <c r="L58" s="1228">
        <v>0</v>
      </c>
      <c r="M58" s="1228">
        <v>10000</v>
      </c>
      <c r="N58" s="1229">
        <v>0.08</v>
      </c>
      <c r="O58" s="1229">
        <v>4</v>
      </c>
      <c r="P58" s="1229">
        <v>300</v>
      </c>
      <c r="Q58" s="1229">
        <v>3000</v>
      </c>
      <c r="R58" s="1230">
        <f t="shared" si="13"/>
        <v>0</v>
      </c>
      <c r="S58" s="1230">
        <f t="shared" si="14"/>
        <v>0</v>
      </c>
      <c r="T58" s="1230">
        <f t="shared" si="15"/>
        <v>431.98173200000002</v>
      </c>
      <c r="V58" s="560" t="s">
        <v>992</v>
      </c>
      <c r="W58" s="560" t="s">
        <v>1624</v>
      </c>
    </row>
    <row r="59" spans="2:23">
      <c r="B59" s="1221" t="s">
        <v>1567</v>
      </c>
      <c r="C59" s="1222" t="str">
        <f>+VLOOKUP(B59,Recursos!C:D,2,FALSE)</f>
        <v>COMPACT.LISO VIBR.AUTOPROP.(11 T)</v>
      </c>
      <c r="D59" s="1223">
        <f t="shared" si="8"/>
        <v>2197.9879999999998</v>
      </c>
      <c r="E59" s="1223">
        <f>+SUMIF(Recursos!C:C,EQ_CE!B59,Recursos!G:G)</f>
        <v>0</v>
      </c>
      <c r="F59" s="1224">
        <f t="shared" si="9"/>
        <v>571.4799999999999</v>
      </c>
      <c r="G59" s="1225">
        <f t="shared" si="10"/>
        <v>285.73999999999995</v>
      </c>
      <c r="H59" s="1225">
        <f t="shared" si="11"/>
        <v>1324.44</v>
      </c>
      <c r="I59" s="1226">
        <f t="shared" si="12"/>
        <v>16.327999999999999</v>
      </c>
      <c r="J59" s="1227">
        <v>70000</v>
      </c>
      <c r="K59" s="1228">
        <v>130</v>
      </c>
      <c r="L59" s="1228">
        <v>0</v>
      </c>
      <c r="M59" s="1228">
        <v>10000</v>
      </c>
      <c r="N59" s="1229">
        <v>0.1</v>
      </c>
      <c r="O59" s="1229">
        <v>2</v>
      </c>
      <c r="P59" s="1229">
        <v>320</v>
      </c>
      <c r="Q59" s="1229">
        <v>4000</v>
      </c>
      <c r="R59" s="1230">
        <f t="shared" si="13"/>
        <v>0</v>
      </c>
      <c r="S59" s="1230">
        <f t="shared" si="14"/>
        <v>0</v>
      </c>
      <c r="T59" s="1230">
        <f t="shared" si="15"/>
        <v>400.03599999999994</v>
      </c>
      <c r="V59" s="560" t="s">
        <v>1662</v>
      </c>
      <c r="W59" s="560" t="s">
        <v>1663</v>
      </c>
    </row>
    <row r="60" spans="2:23">
      <c r="B60" s="1221" t="s">
        <v>1568</v>
      </c>
      <c r="C60" s="1222" t="str">
        <f>+VLOOKUP(B60,Recursos!C:D,2,FALSE)</f>
        <v>COMPACT.LISO VIBR.AUTOPROP.(14 T)</v>
      </c>
      <c r="D60" s="1223">
        <f t="shared" si="8"/>
        <v>2766.4917500000001</v>
      </c>
      <c r="E60" s="1223">
        <f>+SUMIF(Recursos!C:C,EQ_CE!B60,Recursos!G:G)</f>
        <v>0</v>
      </c>
      <c r="F60" s="1224">
        <f t="shared" si="9"/>
        <v>775.57999999999993</v>
      </c>
      <c r="G60" s="1225">
        <f t="shared" si="10"/>
        <v>387.78999999999996</v>
      </c>
      <c r="H60" s="1225">
        <f t="shared" si="11"/>
        <v>1579.14</v>
      </c>
      <c r="I60" s="1226">
        <f t="shared" si="12"/>
        <v>23.981750000000002</v>
      </c>
      <c r="J60" s="1227">
        <v>95000</v>
      </c>
      <c r="K60" s="1228">
        <v>155</v>
      </c>
      <c r="L60" s="1228">
        <v>0</v>
      </c>
      <c r="M60" s="1228">
        <v>10000</v>
      </c>
      <c r="N60" s="1229">
        <v>0.1</v>
      </c>
      <c r="O60" s="1229">
        <v>2</v>
      </c>
      <c r="P60" s="1229">
        <v>470</v>
      </c>
      <c r="Q60" s="1229">
        <v>4000</v>
      </c>
      <c r="R60" s="1230">
        <f t="shared" si="13"/>
        <v>0</v>
      </c>
      <c r="S60" s="1230">
        <f t="shared" si="14"/>
        <v>0</v>
      </c>
      <c r="T60" s="1230">
        <f t="shared" si="15"/>
        <v>542.90599999999995</v>
      </c>
      <c r="V60" s="560" t="s">
        <v>993</v>
      </c>
      <c r="W60" s="560" t="s">
        <v>1625</v>
      </c>
    </row>
    <row r="61" spans="2:23">
      <c r="B61" s="1221" t="s">
        <v>1569</v>
      </c>
      <c r="C61" s="1222" t="str">
        <f>+VLOOKUP(B61,Recursos!C:D,2,FALSE)</f>
        <v>COMPACTADOR NEUMAT.AUTOPROP.(22 T)</v>
      </c>
      <c r="D61" s="1223">
        <f t="shared" si="8"/>
        <v>1797.6897833333335</v>
      </c>
      <c r="E61" s="1223">
        <f>+SUMIF(Recursos!C:C,EQ_CE!B61,Recursos!G:G)</f>
        <v>0</v>
      </c>
      <c r="F61" s="1224">
        <f t="shared" si="9"/>
        <v>530.66</v>
      </c>
      <c r="G61" s="1225">
        <f t="shared" si="10"/>
        <v>265.33</v>
      </c>
      <c r="H61" s="1225">
        <f t="shared" si="11"/>
        <v>971.93520000000001</v>
      </c>
      <c r="I61" s="1226">
        <f t="shared" si="12"/>
        <v>29.764583333333334</v>
      </c>
      <c r="J61" s="1227">
        <v>78000</v>
      </c>
      <c r="K61" s="1228">
        <v>106</v>
      </c>
      <c r="L61" s="1228">
        <v>0</v>
      </c>
      <c r="M61" s="1228">
        <v>12000</v>
      </c>
      <c r="N61" s="1229">
        <v>0.09</v>
      </c>
      <c r="O61" s="1229">
        <v>7</v>
      </c>
      <c r="P61" s="1229">
        <v>250</v>
      </c>
      <c r="Q61" s="1229">
        <v>6000</v>
      </c>
      <c r="R61" s="1230">
        <f t="shared" si="13"/>
        <v>0</v>
      </c>
      <c r="S61" s="1230">
        <f t="shared" si="14"/>
        <v>0</v>
      </c>
      <c r="T61" s="1230">
        <f t="shared" si="15"/>
        <v>371.46199999999999</v>
      </c>
      <c r="V61" s="560" t="s">
        <v>0</v>
      </c>
      <c r="W61" s="560" t="s">
        <v>1648</v>
      </c>
    </row>
    <row r="62" spans="2:23">
      <c r="B62" s="1221" t="s">
        <v>1616</v>
      </c>
      <c r="C62" s="1222" t="str">
        <f>+VLOOKUP(B62,Recursos!C:D,2,FALSE)</f>
        <v>CORTADORA Y DOBLADORA Fe 0,5 T/h</v>
      </c>
      <c r="D62" s="1223">
        <f t="shared" si="8"/>
        <v>336.76500000000004</v>
      </c>
      <c r="E62" s="1223">
        <f>+SUMIF(Recursos!C:C,EQ_CE!B62,Recursos!G:G)</f>
        <v>0</v>
      </c>
      <c r="F62" s="1224">
        <f t="shared" si="9"/>
        <v>224.51000000000002</v>
      </c>
      <c r="G62" s="1225">
        <f t="shared" si="10"/>
        <v>112.25500000000001</v>
      </c>
      <c r="H62" s="1225">
        <f t="shared" si="11"/>
        <v>0</v>
      </c>
      <c r="I62" s="1226">
        <f t="shared" si="12"/>
        <v>0</v>
      </c>
      <c r="J62" s="1227">
        <v>16500</v>
      </c>
      <c r="K62" s="1228">
        <v>0</v>
      </c>
      <c r="L62" s="1228">
        <v>10</v>
      </c>
      <c r="M62" s="1228">
        <v>6000</v>
      </c>
      <c r="N62" s="1229">
        <v>0</v>
      </c>
      <c r="O62" s="1229">
        <v>0</v>
      </c>
      <c r="P62" s="1229">
        <v>0</v>
      </c>
      <c r="Q62" s="1229">
        <v>0</v>
      </c>
      <c r="R62" s="1230">
        <f t="shared" si="13"/>
        <v>0</v>
      </c>
      <c r="S62" s="1230">
        <f t="shared" si="14"/>
        <v>0</v>
      </c>
      <c r="T62" s="1230">
        <f t="shared" si="15"/>
        <v>157.15700000000001</v>
      </c>
      <c r="V62" s="560" t="s">
        <v>1001</v>
      </c>
      <c r="W62" s="560" t="s">
        <v>1633</v>
      </c>
    </row>
    <row r="63" spans="2:23">
      <c r="B63" s="1221" t="s">
        <v>1740</v>
      </c>
      <c r="C63" s="1222" t="s">
        <v>1741</v>
      </c>
      <c r="D63" s="1223">
        <f t="shared" si="8"/>
        <v>340.19387999999998</v>
      </c>
      <c r="E63" s="1223">
        <f>+SUMIF(Recursos!C:C,EQ_CE!B63,Recursos!G:G)</f>
        <v>0.27636315789473681</v>
      </c>
      <c r="F63" s="1224">
        <f t="shared" si="9"/>
        <v>226.79592</v>
      </c>
      <c r="G63" s="1225">
        <f t="shared" si="10"/>
        <v>113.39796</v>
      </c>
      <c r="H63" s="1225">
        <f t="shared" si="11"/>
        <v>0</v>
      </c>
      <c r="I63" s="1226">
        <f t="shared" si="12"/>
        <v>0</v>
      </c>
      <c r="J63" s="1227">
        <v>27780</v>
      </c>
      <c r="K63" s="1228">
        <v>0</v>
      </c>
      <c r="L63" s="1228">
        <v>15</v>
      </c>
      <c r="M63" s="1228">
        <v>10000</v>
      </c>
      <c r="N63" s="1229">
        <v>0.08</v>
      </c>
      <c r="O63" s="1229">
        <v>0</v>
      </c>
      <c r="P63" s="1229">
        <v>0</v>
      </c>
      <c r="Q63" s="1229">
        <v>0</v>
      </c>
      <c r="R63" s="1230">
        <f t="shared" si="13"/>
        <v>0</v>
      </c>
      <c r="S63" s="1230">
        <f t="shared" si="14"/>
        <v>4.1454473684210518</v>
      </c>
      <c r="T63" s="1230">
        <f t="shared" si="15"/>
        <v>158.75714399999998</v>
      </c>
      <c r="V63" s="560" t="s">
        <v>1729</v>
      </c>
      <c r="W63" s="560" t="s">
        <v>1728</v>
      </c>
    </row>
    <row r="64" spans="2:23">
      <c r="B64" s="1221" t="s">
        <v>1640</v>
      </c>
      <c r="C64" s="1222" t="str">
        <f>+VLOOKUP(B64,Recursos!C:D,2,FALSE)</f>
        <v>CORTADORA Y DOBLADORA Fe 4,0 T/h</v>
      </c>
      <c r="D64" s="1223">
        <f t="shared" si="8"/>
        <v>898.04</v>
      </c>
      <c r="E64" s="1223">
        <f>+SUMIF(Recursos!C:C,EQ_CE!B64,Recursos!G:G)</f>
        <v>0</v>
      </c>
      <c r="F64" s="1224">
        <f t="shared" si="9"/>
        <v>598.69333333333327</v>
      </c>
      <c r="G64" s="1225">
        <f t="shared" si="10"/>
        <v>299.34666666666664</v>
      </c>
      <c r="H64" s="1225">
        <f t="shared" si="11"/>
        <v>0</v>
      </c>
      <c r="I64" s="1226">
        <f t="shared" si="12"/>
        <v>0</v>
      </c>
      <c r="J64" s="1227">
        <v>55000</v>
      </c>
      <c r="K64" s="1228">
        <v>0</v>
      </c>
      <c r="L64" s="1228">
        <v>10</v>
      </c>
      <c r="M64" s="1228">
        <v>7500</v>
      </c>
      <c r="N64" s="1229">
        <v>0</v>
      </c>
      <c r="O64" s="1229">
        <v>0</v>
      </c>
      <c r="P64" s="1229">
        <v>0</v>
      </c>
      <c r="Q64" s="1229">
        <v>0</v>
      </c>
      <c r="R64" s="1230">
        <f t="shared" si="13"/>
        <v>0</v>
      </c>
      <c r="S64" s="1230">
        <f t="shared" si="14"/>
        <v>0</v>
      </c>
      <c r="T64" s="1230">
        <f t="shared" si="15"/>
        <v>419.08533333333332</v>
      </c>
      <c r="V64" s="560" t="s">
        <v>1731</v>
      </c>
      <c r="W64" s="560" t="s">
        <v>1730</v>
      </c>
    </row>
    <row r="65" spans="2:23">
      <c r="B65" s="1221" t="s">
        <v>1710</v>
      </c>
      <c r="C65" s="1222" t="s">
        <v>1711</v>
      </c>
      <c r="D65" s="1223">
        <f t="shared" si="8"/>
        <v>2167.6518599999999</v>
      </c>
      <c r="E65" s="1223">
        <f>+SUMIF(Recursos!C:C,EQ_CE!B65,Recursos!G:G)</f>
        <v>0</v>
      </c>
      <c r="F65" s="1224">
        <f t="shared" si="9"/>
        <v>624.62763999999993</v>
      </c>
      <c r="G65" s="1225">
        <f t="shared" si="10"/>
        <v>312.31381999999996</v>
      </c>
      <c r="H65" s="1225">
        <f t="shared" si="11"/>
        <v>1230.7104000000002</v>
      </c>
      <c r="I65" s="1226">
        <f t="shared" si="12"/>
        <v>0</v>
      </c>
      <c r="J65" s="1227">
        <v>76510</v>
      </c>
      <c r="K65" s="1228">
        <v>151</v>
      </c>
      <c r="L65" s="1228">
        <v>0</v>
      </c>
      <c r="M65" s="1228">
        <v>10000</v>
      </c>
      <c r="N65" s="1229">
        <v>0.08</v>
      </c>
      <c r="O65" s="1229">
        <v>0</v>
      </c>
      <c r="P65" s="1229">
        <v>0</v>
      </c>
      <c r="Q65" s="1229">
        <v>0</v>
      </c>
      <c r="R65" s="1230">
        <f t="shared" si="13"/>
        <v>0</v>
      </c>
      <c r="S65" s="1230">
        <f t="shared" si="14"/>
        <v>0</v>
      </c>
      <c r="T65" s="1230">
        <f t="shared" si="15"/>
        <v>437.23934799999995</v>
      </c>
      <c r="V65" s="560" t="s">
        <v>1733</v>
      </c>
      <c r="W65" s="560" t="s">
        <v>1732</v>
      </c>
    </row>
    <row r="66" spans="2:23">
      <c r="B66" s="1221" t="s">
        <v>1601</v>
      </c>
      <c r="C66" s="1222" t="str">
        <f>+VLOOKUP(B66,Recursos!C:D,2,FALSE)</f>
        <v>ELECTROBOMBA 18 KW</v>
      </c>
      <c r="D66" s="1223">
        <f t="shared" si="8"/>
        <v>132.66499999999999</v>
      </c>
      <c r="E66" s="1223">
        <f>+SUMIF(Recursos!C:C,EQ_CE!B66,Recursos!G:G)</f>
        <v>0</v>
      </c>
      <c r="F66" s="1224">
        <f t="shared" si="9"/>
        <v>88.443333333333328</v>
      </c>
      <c r="G66" s="1225">
        <f t="shared" si="10"/>
        <v>44.221666666666664</v>
      </c>
      <c r="H66" s="1225">
        <f t="shared" si="11"/>
        <v>0</v>
      </c>
      <c r="I66" s="1226">
        <f t="shared" si="12"/>
        <v>0</v>
      </c>
      <c r="J66" s="1227">
        <v>6500</v>
      </c>
      <c r="K66" s="1228">
        <v>0</v>
      </c>
      <c r="L66" s="1228">
        <v>18</v>
      </c>
      <c r="M66" s="1228">
        <v>6000</v>
      </c>
      <c r="N66" s="1229">
        <v>0</v>
      </c>
      <c r="O66" s="1229">
        <v>0</v>
      </c>
      <c r="P66" s="1229">
        <v>0</v>
      </c>
      <c r="Q66" s="1229">
        <v>0</v>
      </c>
      <c r="R66" s="1230">
        <f t="shared" si="13"/>
        <v>0</v>
      </c>
      <c r="S66" s="1230">
        <f t="shared" si="14"/>
        <v>0</v>
      </c>
      <c r="T66" s="1230">
        <f t="shared" si="15"/>
        <v>61.910333333333327</v>
      </c>
      <c r="V66" s="560" t="s">
        <v>1735</v>
      </c>
      <c r="W66" s="560" t="s">
        <v>1734</v>
      </c>
    </row>
    <row r="67" spans="2:23">
      <c r="B67" s="1221" t="s">
        <v>1599</v>
      </c>
      <c r="C67" s="1222" t="str">
        <f>+VLOOKUP(B67,Recursos!C:D,2,FALSE)</f>
        <v>ELECTROBOMBA 5 KW</v>
      </c>
      <c r="D67" s="1223">
        <f t="shared" si="8"/>
        <v>76.537499999999994</v>
      </c>
      <c r="E67" s="1223">
        <f>+SUMIF(Recursos!C:C,EQ_CE!B67,Recursos!G:G)</f>
        <v>0</v>
      </c>
      <c r="F67" s="1224">
        <f t="shared" si="9"/>
        <v>51.024999999999999</v>
      </c>
      <c r="G67" s="1225">
        <f t="shared" si="10"/>
        <v>25.512499999999999</v>
      </c>
      <c r="H67" s="1225">
        <f t="shared" si="11"/>
        <v>0</v>
      </c>
      <c r="I67" s="1226">
        <f t="shared" si="12"/>
        <v>0</v>
      </c>
      <c r="J67" s="1227">
        <v>2500</v>
      </c>
      <c r="K67" s="1228">
        <v>0</v>
      </c>
      <c r="L67" s="1228">
        <v>5</v>
      </c>
      <c r="M67" s="1228">
        <v>4000</v>
      </c>
      <c r="N67" s="1229">
        <v>0</v>
      </c>
      <c r="O67" s="1229">
        <v>0</v>
      </c>
      <c r="P67" s="1229">
        <v>0</v>
      </c>
      <c r="Q67" s="1229">
        <v>0</v>
      </c>
      <c r="R67" s="1230">
        <f t="shared" si="13"/>
        <v>0</v>
      </c>
      <c r="S67" s="1230">
        <f t="shared" si="14"/>
        <v>0</v>
      </c>
      <c r="T67" s="1230">
        <f t="shared" si="15"/>
        <v>35.717500000000001</v>
      </c>
      <c r="V67" s="560" t="s">
        <v>1737</v>
      </c>
      <c r="W67" s="560" t="s">
        <v>1736</v>
      </c>
    </row>
    <row r="68" spans="2:23">
      <c r="B68" s="1221" t="s">
        <v>1600</v>
      </c>
      <c r="C68" s="1222" t="str">
        <f>+VLOOKUP(B68,Recursos!C:D,2,FALSE)</f>
        <v>ELECTROBOMBA 9 KW</v>
      </c>
      <c r="D68" s="1223">
        <f t="shared" si="8"/>
        <v>85.722000000000008</v>
      </c>
      <c r="E68" s="1223">
        <f>+SUMIF(Recursos!C:C,EQ_CE!B68,Recursos!G:G)</f>
        <v>0</v>
      </c>
      <c r="F68" s="1224">
        <f t="shared" si="9"/>
        <v>57.148000000000003</v>
      </c>
      <c r="G68" s="1225">
        <f t="shared" si="10"/>
        <v>28.574000000000002</v>
      </c>
      <c r="H68" s="1225">
        <f t="shared" si="11"/>
        <v>0</v>
      </c>
      <c r="I68" s="1226">
        <f t="shared" si="12"/>
        <v>0</v>
      </c>
      <c r="J68" s="1227">
        <v>3500</v>
      </c>
      <c r="K68" s="1228">
        <v>0</v>
      </c>
      <c r="L68" s="1228">
        <v>9</v>
      </c>
      <c r="M68" s="1228">
        <v>5000</v>
      </c>
      <c r="N68" s="1229">
        <v>0</v>
      </c>
      <c r="O68" s="1229">
        <v>0</v>
      </c>
      <c r="P68" s="1229">
        <v>0</v>
      </c>
      <c r="Q68" s="1229">
        <v>0</v>
      </c>
      <c r="R68" s="1230">
        <f t="shared" si="13"/>
        <v>0</v>
      </c>
      <c r="S68" s="1230">
        <f t="shared" si="14"/>
        <v>0</v>
      </c>
      <c r="T68" s="1230">
        <f t="shared" si="15"/>
        <v>40.003600000000006</v>
      </c>
      <c r="V68" s="560" t="s">
        <v>3282</v>
      </c>
      <c r="W68" s="560" t="s">
        <v>1650</v>
      </c>
    </row>
    <row r="69" spans="2:23">
      <c r="B69" s="1221" t="s">
        <v>1637</v>
      </c>
      <c r="C69" s="1222" t="str">
        <f>+VLOOKUP(B69,Recursos!C:D,2,FALSE)</f>
        <v>ELECTROBOMBA INYECTORA PARA AGUA</v>
      </c>
      <c r="D69" s="1223">
        <f t="shared" si="8"/>
        <v>85.722000000000008</v>
      </c>
      <c r="E69" s="1223">
        <f>+SUMIF(Recursos!C:C,EQ_CE!B69,Recursos!G:G)</f>
        <v>0</v>
      </c>
      <c r="F69" s="1224">
        <f t="shared" si="9"/>
        <v>57.148000000000003</v>
      </c>
      <c r="G69" s="1225">
        <f t="shared" si="10"/>
        <v>28.574000000000002</v>
      </c>
      <c r="H69" s="1225">
        <f t="shared" si="11"/>
        <v>0</v>
      </c>
      <c r="I69" s="1226">
        <f t="shared" si="12"/>
        <v>0</v>
      </c>
      <c r="J69" s="1227">
        <v>3500</v>
      </c>
      <c r="K69" s="1228">
        <v>10</v>
      </c>
      <c r="L69" s="1228">
        <v>0</v>
      </c>
      <c r="M69" s="1228">
        <v>5000</v>
      </c>
      <c r="N69" s="1229">
        <v>0</v>
      </c>
      <c r="O69" s="1229">
        <v>0</v>
      </c>
      <c r="P69" s="1229">
        <v>0</v>
      </c>
      <c r="Q69" s="1229">
        <v>0</v>
      </c>
      <c r="R69" s="1230">
        <f t="shared" si="13"/>
        <v>0</v>
      </c>
      <c r="S69" s="1230">
        <f t="shared" si="14"/>
        <v>0</v>
      </c>
      <c r="T69" s="1230">
        <f t="shared" si="15"/>
        <v>40.003600000000006</v>
      </c>
      <c r="V69" s="560" t="s">
        <v>1739</v>
      </c>
      <c r="W69" s="560" t="s">
        <v>1738</v>
      </c>
    </row>
    <row r="70" spans="2:23">
      <c r="B70" s="1221" t="s">
        <v>1584</v>
      </c>
      <c r="C70" s="1222" t="str">
        <f>+VLOOKUP(B70,Recursos!C:D,2,FALSE)</f>
        <v>ELECTROCOMPRESOR 16 M3/MIN-570 CFM</v>
      </c>
      <c r="D70" s="1223">
        <f t="shared" ref="D70:D101" si="16">+SUM(F70:I70)</f>
        <v>391.87199999999996</v>
      </c>
      <c r="E70" s="1223">
        <f>+SUMIF(Recursos!C:C,EQ_CE!B70,Recursos!G:G)</f>
        <v>0</v>
      </c>
      <c r="F70" s="1224">
        <f t="shared" ref="F70:F101" si="17">+(J70*(1-vres))/M70*usd</f>
        <v>261.24799999999999</v>
      </c>
      <c r="G70" s="1225">
        <f t="shared" ref="G70:G101" si="18">+ryr*F70</f>
        <v>130.624</v>
      </c>
      <c r="H70" s="1225">
        <f t="shared" ref="H70:H101" si="19">+N70*K70*comb*(1+lub)</f>
        <v>0</v>
      </c>
      <c r="I70" s="1226">
        <f t="shared" ref="I70:I101" si="20">+IF(Q70&gt;0,(O70*P70)*usd/Q70,0)</f>
        <v>0</v>
      </c>
      <c r="J70" s="1227">
        <v>32000</v>
      </c>
      <c r="K70" s="1228">
        <v>0</v>
      </c>
      <c r="L70" s="1228">
        <v>110</v>
      </c>
      <c r="M70" s="1228">
        <v>10000</v>
      </c>
      <c r="N70" s="1229">
        <v>0</v>
      </c>
      <c r="O70" s="1229">
        <v>0</v>
      </c>
      <c r="P70" s="1229">
        <v>0</v>
      </c>
      <c r="Q70" s="1229">
        <v>0</v>
      </c>
      <c r="R70" s="1230">
        <f t="shared" ref="R70:R101" si="21">+N70*K70*E70</f>
        <v>0</v>
      </c>
      <c r="S70" s="1230">
        <f t="shared" ref="S70:S101" si="22">+L70*E70</f>
        <v>0</v>
      </c>
      <c r="T70" s="1230">
        <f t="shared" ref="T70:T101" si="23">0.5*(F70+0.8*G70)</f>
        <v>182.87360000000001</v>
      </c>
      <c r="V70" s="560" t="s">
        <v>776</v>
      </c>
      <c r="W70" s="560" t="s">
        <v>1543</v>
      </c>
    </row>
    <row r="71" spans="2:23">
      <c r="B71" s="1221" t="s">
        <v>1629</v>
      </c>
      <c r="C71" s="1222" t="str">
        <f>+VLOOKUP(B71,Recursos!C:D,2,FALSE)</f>
        <v>ELECTROSOLDADORA 400 AMP</v>
      </c>
      <c r="D71" s="1223">
        <f t="shared" si="16"/>
        <v>122.46000000000001</v>
      </c>
      <c r="E71" s="1223">
        <f>+SUMIF(Recursos!C:C,EQ_CE!B71,Recursos!G:G)</f>
        <v>0</v>
      </c>
      <c r="F71" s="1224">
        <f t="shared" si="17"/>
        <v>81.64</v>
      </c>
      <c r="G71" s="1225">
        <f t="shared" si="18"/>
        <v>40.82</v>
      </c>
      <c r="H71" s="1225">
        <f t="shared" si="19"/>
        <v>0</v>
      </c>
      <c r="I71" s="1226">
        <f t="shared" si="20"/>
        <v>0</v>
      </c>
      <c r="J71" s="1227">
        <v>3000</v>
      </c>
      <c r="K71" s="1228">
        <v>0</v>
      </c>
      <c r="L71" s="1228">
        <v>10</v>
      </c>
      <c r="M71" s="1228">
        <v>3000</v>
      </c>
      <c r="N71" s="1229">
        <v>0</v>
      </c>
      <c r="O71" s="1229">
        <v>0</v>
      </c>
      <c r="P71" s="1229">
        <v>0</v>
      </c>
      <c r="Q71" s="1229">
        <v>0</v>
      </c>
      <c r="R71" s="1230">
        <f t="shared" si="21"/>
        <v>0</v>
      </c>
      <c r="S71" s="1230">
        <f t="shared" si="22"/>
        <v>0</v>
      </c>
      <c r="T71" s="1230">
        <f t="shared" si="23"/>
        <v>57.147999999999996</v>
      </c>
      <c r="V71" s="560" t="s">
        <v>855</v>
      </c>
      <c r="W71" s="560" t="s">
        <v>1564</v>
      </c>
    </row>
    <row r="72" spans="2:23">
      <c r="B72" s="1221" t="s">
        <v>1639</v>
      </c>
      <c r="C72" s="1222" t="str">
        <f>+VLOOKUP(B72,Recursos!C:D,2,FALSE)</f>
        <v>EQUIPO DE MEDICION DE LECHADA GIN</v>
      </c>
      <c r="D72" s="1223">
        <f t="shared" si="16"/>
        <v>489.84000000000003</v>
      </c>
      <c r="E72" s="1223">
        <f>+SUMIF(Recursos!C:C,EQ_CE!B72,Recursos!G:G)</f>
        <v>0</v>
      </c>
      <c r="F72" s="1224">
        <f t="shared" si="17"/>
        <v>326.56</v>
      </c>
      <c r="G72" s="1225">
        <f t="shared" si="18"/>
        <v>163.28</v>
      </c>
      <c r="H72" s="1225">
        <f t="shared" si="19"/>
        <v>0</v>
      </c>
      <c r="I72" s="1226">
        <f t="shared" si="20"/>
        <v>0</v>
      </c>
      <c r="J72" s="1227">
        <v>20000</v>
      </c>
      <c r="K72" s="1228">
        <v>0</v>
      </c>
      <c r="L72" s="1228">
        <v>10</v>
      </c>
      <c r="M72" s="1228">
        <v>5000</v>
      </c>
      <c r="N72" s="1229">
        <v>0</v>
      </c>
      <c r="O72" s="1229">
        <v>0</v>
      </c>
      <c r="P72" s="1229">
        <v>0</v>
      </c>
      <c r="Q72" s="1229">
        <v>0</v>
      </c>
      <c r="R72" s="1230">
        <f t="shared" si="21"/>
        <v>0</v>
      </c>
      <c r="S72" s="1230">
        <f t="shared" si="22"/>
        <v>0</v>
      </c>
      <c r="T72" s="1230">
        <f t="shared" si="23"/>
        <v>228.59199999999998</v>
      </c>
      <c r="V72" s="560" t="s">
        <v>777</v>
      </c>
      <c r="W72" s="560" t="s">
        <v>1544</v>
      </c>
    </row>
    <row r="73" spans="2:23">
      <c r="B73" s="1221" t="s">
        <v>1580</v>
      </c>
      <c r="C73" s="1222" t="str">
        <f>+VLOOKUP(B73,Recursos!C:D,2,FALSE)</f>
        <v>EQUIPO DE TENDIDO COMPLETO CON ROLDANAS Y ACCESORIOS.</v>
      </c>
      <c r="D73" s="1223">
        <f t="shared" si="16"/>
        <v>23922.935999999994</v>
      </c>
      <c r="E73" s="1223">
        <f>+SUMIF(Recursos!C:C,EQ_CE!B73,Recursos!G:G)</f>
        <v>0</v>
      </c>
      <c r="F73" s="1224">
        <f t="shared" si="17"/>
        <v>15283.007999999998</v>
      </c>
      <c r="G73" s="1225">
        <f t="shared" si="18"/>
        <v>7641.503999999999</v>
      </c>
      <c r="H73" s="1225">
        <f t="shared" si="19"/>
        <v>998.42400000000009</v>
      </c>
      <c r="I73" s="1226">
        <f t="shared" si="20"/>
        <v>0</v>
      </c>
      <c r="J73" s="1227">
        <v>936000</v>
      </c>
      <c r="K73" s="1228">
        <v>70</v>
      </c>
      <c r="L73" s="1228">
        <v>0</v>
      </c>
      <c r="M73" s="1228">
        <v>5000</v>
      </c>
      <c r="N73" s="1229">
        <v>0.14000000000000001</v>
      </c>
      <c r="O73" s="1229">
        <v>0</v>
      </c>
      <c r="P73" s="1229">
        <v>0</v>
      </c>
      <c r="Q73" s="1229">
        <v>0</v>
      </c>
      <c r="R73" s="1230">
        <f t="shared" si="21"/>
        <v>0</v>
      </c>
      <c r="S73" s="1230">
        <f t="shared" si="22"/>
        <v>0</v>
      </c>
      <c r="T73" s="1230">
        <f t="shared" si="23"/>
        <v>10698.105599999999</v>
      </c>
      <c r="V73" s="560" t="s">
        <v>871</v>
      </c>
      <c r="W73" s="560" t="s">
        <v>1580</v>
      </c>
    </row>
    <row r="74" spans="2:23">
      <c r="B74" s="1221" t="s">
        <v>1619</v>
      </c>
      <c r="C74" s="1222" t="str">
        <f>+VLOOKUP(B74,Recursos!C:D,2,FALSE)</f>
        <v>EQUIPO LIMP. SUPERF. (WATER BLAST)</v>
      </c>
      <c r="D74" s="1223">
        <f t="shared" si="16"/>
        <v>1767.4726666666668</v>
      </c>
      <c r="E74" s="1223">
        <f>+SUMIF(Recursos!C:C,EQ_CE!B74,Recursos!G:G)</f>
        <v>0</v>
      </c>
      <c r="F74" s="1224">
        <f t="shared" si="17"/>
        <v>598.69333333333327</v>
      </c>
      <c r="G74" s="1225">
        <f t="shared" si="18"/>
        <v>299.34666666666664</v>
      </c>
      <c r="H74" s="1225">
        <f t="shared" si="19"/>
        <v>835.41600000000017</v>
      </c>
      <c r="I74" s="1226">
        <f t="shared" si="20"/>
        <v>34.016666666666666</v>
      </c>
      <c r="J74" s="1227">
        <v>55000</v>
      </c>
      <c r="K74" s="1228">
        <v>82</v>
      </c>
      <c r="L74" s="1228">
        <v>0</v>
      </c>
      <c r="M74" s="1228">
        <v>7500</v>
      </c>
      <c r="N74" s="1229">
        <v>0.1</v>
      </c>
      <c r="O74" s="1229">
        <v>4</v>
      </c>
      <c r="P74" s="1229">
        <v>250</v>
      </c>
      <c r="Q74" s="1229">
        <v>3000</v>
      </c>
      <c r="R74" s="1230">
        <f t="shared" si="21"/>
        <v>0</v>
      </c>
      <c r="S74" s="1230">
        <f t="shared" si="22"/>
        <v>0</v>
      </c>
      <c r="T74" s="1230">
        <f t="shared" si="23"/>
        <v>419.08533333333332</v>
      </c>
      <c r="V74" s="560" t="s">
        <v>2733</v>
      </c>
      <c r="W74" s="560" t="s">
        <v>1649</v>
      </c>
    </row>
    <row r="75" spans="2:23">
      <c r="B75" s="1221" t="s">
        <v>1627</v>
      </c>
      <c r="C75" s="1222" t="str">
        <f>+VLOOKUP(B75,Recursos!C:D,2,FALSE)</f>
        <v>EQUIPO OXICORTE</v>
      </c>
      <c r="D75" s="1223">
        <f t="shared" si="16"/>
        <v>40.819999999999993</v>
      </c>
      <c r="E75" s="1223">
        <f>+SUMIF(Recursos!C:C,EQ_CE!B75,Recursos!G:G)</f>
        <v>0</v>
      </c>
      <c r="F75" s="1224">
        <f t="shared" si="17"/>
        <v>27.213333333333331</v>
      </c>
      <c r="G75" s="1225">
        <f t="shared" si="18"/>
        <v>13.606666666666666</v>
      </c>
      <c r="H75" s="1225">
        <f t="shared" si="19"/>
        <v>0</v>
      </c>
      <c r="I75" s="1226">
        <f t="shared" si="20"/>
        <v>0</v>
      </c>
      <c r="J75" s="1227">
        <v>500</v>
      </c>
      <c r="K75" s="1228">
        <v>0</v>
      </c>
      <c r="L75" s="1228">
        <v>0</v>
      </c>
      <c r="M75" s="1228">
        <v>1500</v>
      </c>
      <c r="N75" s="1229">
        <v>0</v>
      </c>
      <c r="O75" s="1229">
        <v>0</v>
      </c>
      <c r="P75" s="1229">
        <v>0</v>
      </c>
      <c r="Q75" s="1229">
        <v>0</v>
      </c>
      <c r="R75" s="1230">
        <f t="shared" si="21"/>
        <v>0</v>
      </c>
      <c r="S75" s="1230">
        <f t="shared" si="22"/>
        <v>0</v>
      </c>
      <c r="T75" s="1230">
        <f t="shared" si="23"/>
        <v>19.049333333333333</v>
      </c>
      <c r="V75" s="560" t="s">
        <v>870</v>
      </c>
      <c r="W75" s="560" t="s">
        <v>1579</v>
      </c>
    </row>
    <row r="76" spans="2:23">
      <c r="B76" s="1221" t="s">
        <v>1743</v>
      </c>
      <c r="C76" s="1222" t="s">
        <v>1744</v>
      </c>
      <c r="D76" s="1223">
        <f t="shared" si="16"/>
        <v>3743.8990199999994</v>
      </c>
      <c r="E76" s="1223">
        <f>+SUMIF(Recursos!C:C,EQ_CE!B76,Recursos!G:G)</f>
        <v>0</v>
      </c>
      <c r="F76" s="1224">
        <f t="shared" si="17"/>
        <v>1731.7476799999999</v>
      </c>
      <c r="G76" s="1225">
        <f t="shared" si="18"/>
        <v>865.87383999999997</v>
      </c>
      <c r="H76" s="1225">
        <f t="shared" si="19"/>
        <v>1069.74</v>
      </c>
      <c r="I76" s="1226">
        <f t="shared" si="20"/>
        <v>76.537499999999994</v>
      </c>
      <c r="J76" s="1227">
        <v>212120</v>
      </c>
      <c r="K76" s="1228">
        <v>105</v>
      </c>
      <c r="L76" s="1228">
        <v>0</v>
      </c>
      <c r="M76" s="1228">
        <v>10000</v>
      </c>
      <c r="N76" s="1229">
        <v>0.1</v>
      </c>
      <c r="O76" s="1229">
        <v>3</v>
      </c>
      <c r="P76" s="1229">
        <v>750</v>
      </c>
      <c r="Q76" s="1229">
        <v>3000</v>
      </c>
      <c r="R76" s="1230">
        <f t="shared" si="21"/>
        <v>0</v>
      </c>
      <c r="S76" s="1230">
        <f t="shared" si="22"/>
        <v>0</v>
      </c>
      <c r="T76" s="1230">
        <f t="shared" si="23"/>
        <v>1212.2233759999999</v>
      </c>
      <c r="V76" s="560" t="s">
        <v>2734</v>
      </c>
      <c r="W76" s="560" t="s">
        <v>1656</v>
      </c>
    </row>
    <row r="77" spans="2:23">
      <c r="B77" s="1221" t="s">
        <v>1732</v>
      </c>
      <c r="C77" s="1222" t="s">
        <v>1733</v>
      </c>
      <c r="D77" s="1223">
        <f t="shared" si="16"/>
        <v>176.80506</v>
      </c>
      <c r="E77" s="1223">
        <f>+SUMIF(Recursos!C:C,EQ_CE!B77,Recursos!G:G)</f>
        <v>0</v>
      </c>
      <c r="F77" s="1224">
        <f t="shared" si="17"/>
        <v>90.702039999999997</v>
      </c>
      <c r="G77" s="1225">
        <f t="shared" si="18"/>
        <v>45.351019999999998</v>
      </c>
      <c r="H77" s="1225">
        <f t="shared" si="19"/>
        <v>40.752000000000002</v>
      </c>
      <c r="I77" s="1226">
        <f t="shared" si="20"/>
        <v>0</v>
      </c>
      <c r="J77" s="1227">
        <v>11110</v>
      </c>
      <c r="K77" s="1228">
        <v>5</v>
      </c>
      <c r="L77" s="1228">
        <v>0</v>
      </c>
      <c r="M77" s="1228">
        <v>10000</v>
      </c>
      <c r="N77" s="1229">
        <v>0.08</v>
      </c>
      <c r="O77" s="1229">
        <v>0</v>
      </c>
      <c r="P77" s="1229">
        <v>0</v>
      </c>
      <c r="Q77" s="1229">
        <v>0</v>
      </c>
      <c r="R77" s="1230">
        <f t="shared" si="21"/>
        <v>0</v>
      </c>
      <c r="S77" s="1230">
        <f t="shared" si="22"/>
        <v>0</v>
      </c>
      <c r="T77" s="1230">
        <f t="shared" si="23"/>
        <v>63.491427999999999</v>
      </c>
      <c r="V77" s="560" t="s">
        <v>873</v>
      </c>
      <c r="W77" s="560" t="s">
        <v>1582</v>
      </c>
    </row>
    <row r="78" spans="2:23">
      <c r="B78" s="1221" t="s">
        <v>1605</v>
      </c>
      <c r="C78" s="1222" t="str">
        <f>+VLOOKUP(B78,Recursos!C:D,2,FALSE)</f>
        <v>GRILLA FIJA</v>
      </c>
      <c r="D78" s="1223">
        <f t="shared" si="16"/>
        <v>346.38685714285714</v>
      </c>
      <c r="E78" s="1223">
        <f>+SUMIF(Recursos!C:C,EQ_CE!B78,Recursos!G:G)</f>
        <v>0</v>
      </c>
      <c r="F78" s="1224">
        <f t="shared" si="17"/>
        <v>230.92457142857143</v>
      </c>
      <c r="G78" s="1225">
        <f t="shared" si="18"/>
        <v>115.46228571428571</v>
      </c>
      <c r="H78" s="1225">
        <f t="shared" si="19"/>
        <v>0</v>
      </c>
      <c r="I78" s="1226">
        <f t="shared" si="20"/>
        <v>0</v>
      </c>
      <c r="J78" s="1227">
        <v>9900</v>
      </c>
      <c r="K78" s="1228">
        <v>0</v>
      </c>
      <c r="L78" s="1228">
        <v>0</v>
      </c>
      <c r="M78" s="1228">
        <v>3500</v>
      </c>
      <c r="N78" s="1229">
        <v>0</v>
      </c>
      <c r="O78" s="1229">
        <v>0</v>
      </c>
      <c r="P78" s="1229">
        <v>0</v>
      </c>
      <c r="Q78" s="1229">
        <v>0</v>
      </c>
      <c r="R78" s="1230">
        <f t="shared" si="21"/>
        <v>0</v>
      </c>
      <c r="S78" s="1230">
        <f t="shared" si="22"/>
        <v>0</v>
      </c>
      <c r="T78" s="1230">
        <f t="shared" si="23"/>
        <v>161.6472</v>
      </c>
      <c r="V78" s="560" t="s">
        <v>954</v>
      </c>
      <c r="W78" s="560" t="s">
        <v>1592</v>
      </c>
    </row>
    <row r="79" spans="2:23">
      <c r="B79" s="1221" t="s">
        <v>1577</v>
      </c>
      <c r="C79" s="1222" t="str">
        <f>+VLOOKUP(B79,Recursos!C:D,2,FALSE)</f>
        <v>GRUA MOVIL SOBRE ORUGAS 60 T</v>
      </c>
      <c r="D79" s="1223">
        <f t="shared" si="16"/>
        <v>7959.9</v>
      </c>
      <c r="E79" s="1223">
        <f>+SUMIF(Recursos!C:C,EQ_CE!B79,Recursos!G:G)</f>
        <v>0</v>
      </c>
      <c r="F79" s="1224">
        <f t="shared" si="17"/>
        <v>5306.5999999999995</v>
      </c>
      <c r="G79" s="1225">
        <f t="shared" si="18"/>
        <v>2653.2999999999997</v>
      </c>
      <c r="H79" s="1225">
        <f t="shared" si="19"/>
        <v>0</v>
      </c>
      <c r="I79" s="1226">
        <f t="shared" si="20"/>
        <v>0</v>
      </c>
      <c r="J79" s="1227">
        <v>650000</v>
      </c>
      <c r="K79" s="1228">
        <v>30</v>
      </c>
      <c r="L79" s="1228">
        <v>0</v>
      </c>
      <c r="M79" s="1228">
        <v>10000</v>
      </c>
      <c r="N79" s="1229">
        <v>0</v>
      </c>
      <c r="O79" s="1229">
        <v>0</v>
      </c>
      <c r="P79" s="1229">
        <v>0</v>
      </c>
      <c r="Q79" s="1229">
        <v>0</v>
      </c>
      <c r="R79" s="1230">
        <f t="shared" si="21"/>
        <v>0</v>
      </c>
      <c r="S79" s="1230">
        <f t="shared" si="22"/>
        <v>0</v>
      </c>
      <c r="T79" s="1230">
        <f t="shared" si="23"/>
        <v>3714.62</v>
      </c>
      <c r="V79" s="560" t="s">
        <v>955</v>
      </c>
      <c r="W79" s="560" t="s">
        <v>1593</v>
      </c>
    </row>
    <row r="80" spans="2:23">
      <c r="B80" s="1221" t="s">
        <v>1596</v>
      </c>
      <c r="C80" s="1222" t="str">
        <f>+VLOOKUP(B80,Recursos!C:D,2,FALSE)</f>
        <v>GRUA MOVIL TODO TERRENO (32 T)</v>
      </c>
      <c r="D80" s="1223">
        <f t="shared" si="16"/>
        <v>4411.9357999999993</v>
      </c>
      <c r="E80" s="1223">
        <f>+SUMIF(Recursos!C:C,EQ_CE!B80,Recursos!G:G)</f>
        <v>0</v>
      </c>
      <c r="F80" s="1224">
        <f t="shared" si="17"/>
        <v>1721.2433333333333</v>
      </c>
      <c r="G80" s="1225">
        <f t="shared" si="18"/>
        <v>860.62166666666667</v>
      </c>
      <c r="H80" s="1225">
        <f t="shared" si="19"/>
        <v>1646.3808000000001</v>
      </c>
      <c r="I80" s="1226">
        <f t="shared" si="20"/>
        <v>183.69</v>
      </c>
      <c r="J80" s="1227">
        <v>253000</v>
      </c>
      <c r="K80" s="1228">
        <v>202</v>
      </c>
      <c r="L80" s="1228">
        <v>0</v>
      </c>
      <c r="M80" s="1228">
        <v>12000</v>
      </c>
      <c r="N80" s="1229">
        <v>0.08</v>
      </c>
      <c r="O80" s="1229">
        <v>4</v>
      </c>
      <c r="P80" s="1229">
        <v>1800</v>
      </c>
      <c r="Q80" s="1229">
        <v>4000</v>
      </c>
      <c r="R80" s="1230">
        <f t="shared" si="21"/>
        <v>0</v>
      </c>
      <c r="S80" s="1230">
        <f t="shared" si="22"/>
        <v>0</v>
      </c>
      <c r="T80" s="1230">
        <f t="shared" si="23"/>
        <v>1204.8703333333333</v>
      </c>
      <c r="V80" s="560" t="s">
        <v>2735</v>
      </c>
      <c r="W80" s="560" t="s">
        <v>1654</v>
      </c>
    </row>
    <row r="81" spans="2:23">
      <c r="B81" s="1221" t="s">
        <v>1589</v>
      </c>
      <c r="C81" s="1222" t="str">
        <f>+VLOOKUP(B81,Recursos!C:D,2,FALSE)</f>
        <v>GRUA MOVIL TODO TERRENO 18 T</v>
      </c>
      <c r="D81" s="1223">
        <f t="shared" si="16"/>
        <v>3407.0012000000002</v>
      </c>
      <c r="E81" s="1223">
        <f>+SUMIF(Recursos!C:C,EQ_CE!B81,Recursos!G:G)</f>
        <v>0</v>
      </c>
      <c r="F81" s="1224">
        <f t="shared" si="17"/>
        <v>1616.472</v>
      </c>
      <c r="G81" s="1225">
        <f t="shared" si="18"/>
        <v>808.23599999999999</v>
      </c>
      <c r="H81" s="1225">
        <f t="shared" si="19"/>
        <v>880.2432</v>
      </c>
      <c r="I81" s="1226">
        <f t="shared" si="20"/>
        <v>102.05</v>
      </c>
      <c r="J81" s="1227">
        <v>198000</v>
      </c>
      <c r="K81" s="1228">
        <v>108</v>
      </c>
      <c r="L81" s="1228">
        <v>0</v>
      </c>
      <c r="M81" s="1228">
        <v>10000</v>
      </c>
      <c r="N81" s="1229">
        <v>0.08</v>
      </c>
      <c r="O81" s="1229">
        <v>4</v>
      </c>
      <c r="P81" s="1229">
        <v>1000</v>
      </c>
      <c r="Q81" s="1229">
        <v>4000</v>
      </c>
      <c r="R81" s="1230">
        <f t="shared" si="21"/>
        <v>0</v>
      </c>
      <c r="S81" s="1230">
        <f t="shared" si="22"/>
        <v>0</v>
      </c>
      <c r="T81" s="1230">
        <f t="shared" si="23"/>
        <v>1131.5304000000001</v>
      </c>
      <c r="V81" s="560" t="s">
        <v>1000</v>
      </c>
      <c r="W81" s="560" t="s">
        <v>1632</v>
      </c>
    </row>
    <row r="82" spans="2:23">
      <c r="B82" s="1221" t="s">
        <v>1696</v>
      </c>
      <c r="C82" s="1222" t="s">
        <v>1697</v>
      </c>
      <c r="D82" s="1223">
        <f t="shared" si="16"/>
        <v>5430.5444599999992</v>
      </c>
      <c r="E82" s="1223">
        <f>+SUMIF(Recursos!C:C,EQ_CE!B82,Recursos!G:G)</f>
        <v>0</v>
      </c>
      <c r="F82" s="1224">
        <f t="shared" si="17"/>
        <v>2506.4296399999998</v>
      </c>
      <c r="G82" s="1225">
        <f t="shared" si="18"/>
        <v>1253.2148199999999</v>
      </c>
      <c r="H82" s="1225">
        <f t="shared" si="19"/>
        <v>1630.0800000000002</v>
      </c>
      <c r="I82" s="1226">
        <f t="shared" si="20"/>
        <v>40.82</v>
      </c>
      <c r="J82" s="1227">
        <v>307010</v>
      </c>
      <c r="K82" s="1228">
        <v>200</v>
      </c>
      <c r="L82" s="1228">
        <v>0</v>
      </c>
      <c r="M82" s="1228">
        <v>10000</v>
      </c>
      <c r="N82" s="1229">
        <v>0.08</v>
      </c>
      <c r="O82" s="1229">
        <v>4</v>
      </c>
      <c r="P82" s="1229">
        <v>300</v>
      </c>
      <c r="Q82" s="1229">
        <v>3000</v>
      </c>
      <c r="R82" s="1230">
        <f t="shared" si="21"/>
        <v>0</v>
      </c>
      <c r="S82" s="1230">
        <f t="shared" si="22"/>
        <v>0</v>
      </c>
      <c r="T82" s="1230">
        <f t="shared" si="23"/>
        <v>1754.5007479999999</v>
      </c>
      <c r="V82" s="560" t="s">
        <v>2736</v>
      </c>
      <c r="W82" s="560" t="s">
        <v>1655</v>
      </c>
    </row>
    <row r="83" spans="2:23">
      <c r="B83" s="1221" t="s">
        <v>1698</v>
      </c>
      <c r="C83" s="1222" t="s">
        <v>1699</v>
      </c>
      <c r="D83" s="1223">
        <f t="shared" si="16"/>
        <v>6558.6190999999999</v>
      </c>
      <c r="E83" s="1223">
        <f>+SUMIF(Recursos!C:C,EQ_CE!B83,Recursos!G:G)</f>
        <v>0</v>
      </c>
      <c r="F83" s="1224">
        <f t="shared" si="17"/>
        <v>2986.7993999999999</v>
      </c>
      <c r="G83" s="1225">
        <f t="shared" si="18"/>
        <v>1493.3996999999999</v>
      </c>
      <c r="H83" s="1225">
        <f t="shared" si="19"/>
        <v>2037.6</v>
      </c>
      <c r="I83" s="1226">
        <f t="shared" si="20"/>
        <v>40.82</v>
      </c>
      <c r="J83" s="1227">
        <v>365850</v>
      </c>
      <c r="K83" s="1228">
        <v>250</v>
      </c>
      <c r="L83" s="1228">
        <v>0</v>
      </c>
      <c r="M83" s="1228">
        <v>10000</v>
      </c>
      <c r="N83" s="1229">
        <v>0.08</v>
      </c>
      <c r="O83" s="1229">
        <v>4</v>
      </c>
      <c r="P83" s="1229">
        <v>300</v>
      </c>
      <c r="Q83" s="1229">
        <v>3000</v>
      </c>
      <c r="R83" s="1230">
        <f t="shared" si="21"/>
        <v>0</v>
      </c>
      <c r="S83" s="1230">
        <f t="shared" si="22"/>
        <v>0</v>
      </c>
      <c r="T83" s="1230">
        <f t="shared" si="23"/>
        <v>2090.7595799999999</v>
      </c>
      <c r="V83" s="560" t="s">
        <v>2737</v>
      </c>
      <c r="W83" s="560" t="s">
        <v>1653</v>
      </c>
    </row>
    <row r="84" spans="2:23">
      <c r="B84" s="1221" t="s">
        <v>1594</v>
      </c>
      <c r="C84" s="1222" t="str">
        <f>+VLOOKUP(B84,Recursos!C:D,2,FALSE)</f>
        <v>GRUA TORRE S/RIELES (200 TM)</v>
      </c>
      <c r="D84" s="1223">
        <f t="shared" si="16"/>
        <v>4310.5920000000006</v>
      </c>
      <c r="E84" s="1223">
        <f>+SUMIF(Recursos!C:C,EQ_CE!B84,Recursos!G:G)</f>
        <v>0</v>
      </c>
      <c r="F84" s="1224">
        <f t="shared" si="17"/>
        <v>2873.7280000000001</v>
      </c>
      <c r="G84" s="1225">
        <f t="shared" si="18"/>
        <v>1436.864</v>
      </c>
      <c r="H84" s="1225">
        <f t="shared" si="19"/>
        <v>0</v>
      </c>
      <c r="I84" s="1226">
        <f t="shared" si="20"/>
        <v>0</v>
      </c>
      <c r="J84" s="1227">
        <v>528000</v>
      </c>
      <c r="K84" s="1228">
        <v>0</v>
      </c>
      <c r="L84" s="1228">
        <v>120</v>
      </c>
      <c r="M84" s="1228">
        <v>15000</v>
      </c>
      <c r="N84" s="1229">
        <v>0</v>
      </c>
      <c r="O84" s="1229">
        <v>0</v>
      </c>
      <c r="P84" s="1229">
        <v>0</v>
      </c>
      <c r="Q84" s="1229">
        <v>0</v>
      </c>
      <c r="R84" s="1230">
        <f t="shared" si="21"/>
        <v>0</v>
      </c>
      <c r="S84" s="1230">
        <f t="shared" si="22"/>
        <v>0</v>
      </c>
      <c r="T84" s="1230">
        <f t="shared" si="23"/>
        <v>2011.6096000000002</v>
      </c>
      <c r="V84" s="560" t="s">
        <v>977</v>
      </c>
      <c r="W84" s="560" t="s">
        <v>1616</v>
      </c>
    </row>
    <row r="85" spans="2:23">
      <c r="B85" s="1221" t="s">
        <v>1595</v>
      </c>
      <c r="C85" s="1222" t="str">
        <f>+VLOOKUP(B85,Recursos!C:D,2,FALSE)</f>
        <v>GRUA TORRE S/RIELES (300 TM)</v>
      </c>
      <c r="D85" s="1223">
        <f t="shared" si="16"/>
        <v>4082</v>
      </c>
      <c r="E85" s="1223">
        <f>+SUMIF(Recursos!C:C,EQ_CE!B85,Recursos!G:G)</f>
        <v>0</v>
      </c>
      <c r="F85" s="1224">
        <f t="shared" si="17"/>
        <v>2721.3333333333335</v>
      </c>
      <c r="G85" s="1225">
        <f t="shared" si="18"/>
        <v>1360.6666666666667</v>
      </c>
      <c r="H85" s="1225">
        <f t="shared" si="19"/>
        <v>0</v>
      </c>
      <c r="I85" s="1226">
        <f t="shared" si="20"/>
        <v>0</v>
      </c>
      <c r="J85" s="1227">
        <v>500000</v>
      </c>
      <c r="K85" s="1228">
        <v>0</v>
      </c>
      <c r="L85" s="1228">
        <v>137</v>
      </c>
      <c r="M85" s="1228">
        <v>15000</v>
      </c>
      <c r="N85" s="1229">
        <v>0</v>
      </c>
      <c r="O85" s="1229">
        <v>0</v>
      </c>
      <c r="P85" s="1229">
        <v>0</v>
      </c>
      <c r="Q85" s="1229">
        <v>0</v>
      </c>
      <c r="R85" s="1230">
        <f t="shared" si="21"/>
        <v>0</v>
      </c>
      <c r="S85" s="1230">
        <f t="shared" si="22"/>
        <v>0</v>
      </c>
      <c r="T85" s="1230">
        <f t="shared" si="23"/>
        <v>1904.9333333333334</v>
      </c>
      <c r="V85" s="560" t="s">
        <v>1008</v>
      </c>
      <c r="W85" s="560" t="s">
        <v>1640</v>
      </c>
    </row>
    <row r="86" spans="2:23">
      <c r="B86" s="1221" t="s">
        <v>1642</v>
      </c>
      <c r="C86" s="1222" t="str">
        <f>+VLOOKUP(B86,Recursos!C:D,2,FALSE)</f>
        <v>GRUA TORRE S/RIELES (50 TM)</v>
      </c>
      <c r="D86" s="1223">
        <f t="shared" si="16"/>
        <v>1322.568</v>
      </c>
      <c r="E86" s="1223">
        <f>+SUMIF(Recursos!C:C,EQ_CE!B86,Recursos!G:G)</f>
        <v>0</v>
      </c>
      <c r="F86" s="1224">
        <f t="shared" si="17"/>
        <v>881.71199999999999</v>
      </c>
      <c r="G86" s="1225">
        <f t="shared" si="18"/>
        <v>440.85599999999999</v>
      </c>
      <c r="H86" s="1225">
        <f t="shared" si="19"/>
        <v>0</v>
      </c>
      <c r="I86" s="1226">
        <f t="shared" si="20"/>
        <v>0</v>
      </c>
      <c r="J86" s="1227">
        <v>135000</v>
      </c>
      <c r="K86" s="1228">
        <v>0</v>
      </c>
      <c r="L86" s="1228">
        <v>120</v>
      </c>
      <c r="M86" s="1228">
        <v>12500</v>
      </c>
      <c r="N86" s="1229">
        <v>0</v>
      </c>
      <c r="O86" s="1229">
        <v>0</v>
      </c>
      <c r="P86" s="1229">
        <v>0</v>
      </c>
      <c r="Q86" s="1229">
        <v>0</v>
      </c>
      <c r="R86" s="1230">
        <f t="shared" si="21"/>
        <v>0</v>
      </c>
      <c r="S86" s="1230">
        <f t="shared" si="22"/>
        <v>0</v>
      </c>
      <c r="T86" s="1230">
        <f t="shared" si="23"/>
        <v>617.19839999999999</v>
      </c>
      <c r="V86" s="560" t="s">
        <v>1741</v>
      </c>
      <c r="W86" s="560" t="s">
        <v>1740</v>
      </c>
    </row>
    <row r="87" spans="2:23">
      <c r="B87" s="1221" t="s">
        <v>1585</v>
      </c>
      <c r="C87" s="1222" t="str">
        <f>+VLOOKUP(B87,Recursos!C:D,2,FALSE)</f>
        <v>GRUPO ELECTROGENO 113 KVA-90 KW</v>
      </c>
      <c r="D87" s="1223">
        <f t="shared" si="16"/>
        <v>1785.366</v>
      </c>
      <c r="E87" s="1223">
        <f>+SUMIF(Recursos!C:C,EQ_CE!B87,Recursos!G:G)</f>
        <v>0</v>
      </c>
      <c r="F87" s="1224">
        <f t="shared" si="17"/>
        <v>171.44399999999999</v>
      </c>
      <c r="G87" s="1225">
        <f t="shared" si="18"/>
        <v>85.721999999999994</v>
      </c>
      <c r="H87" s="1225">
        <f t="shared" si="19"/>
        <v>1528.2</v>
      </c>
      <c r="I87" s="1226">
        <f t="shared" si="20"/>
        <v>0</v>
      </c>
      <c r="J87" s="1227">
        <v>21000</v>
      </c>
      <c r="K87" s="1228">
        <v>150</v>
      </c>
      <c r="L87" s="1228">
        <v>0</v>
      </c>
      <c r="M87" s="1228">
        <v>10000</v>
      </c>
      <c r="N87" s="1229">
        <v>0.1</v>
      </c>
      <c r="O87" s="1229">
        <v>0</v>
      </c>
      <c r="P87" s="1229">
        <v>0</v>
      </c>
      <c r="Q87" s="1229">
        <v>0</v>
      </c>
      <c r="R87" s="1230">
        <f t="shared" si="21"/>
        <v>0</v>
      </c>
      <c r="S87" s="1230">
        <f t="shared" si="22"/>
        <v>0</v>
      </c>
      <c r="T87" s="1230">
        <f t="shared" si="23"/>
        <v>120.01079999999999</v>
      </c>
      <c r="V87" s="560" t="s">
        <v>994</v>
      </c>
      <c r="W87" s="560" t="s">
        <v>1626</v>
      </c>
    </row>
    <row r="88" spans="2:23">
      <c r="B88" s="1221" t="s">
        <v>1694</v>
      </c>
      <c r="C88" s="1222" t="s">
        <v>1695</v>
      </c>
      <c r="D88" s="1223">
        <f t="shared" si="16"/>
        <v>2018.8905000000002</v>
      </c>
      <c r="E88" s="1223">
        <f>+SUMIF(Recursos!C:C,EQ_CE!B88,Recursos!G:G)</f>
        <v>0</v>
      </c>
      <c r="F88" s="1224">
        <f t="shared" si="17"/>
        <v>259.20699999999999</v>
      </c>
      <c r="G88" s="1225">
        <f t="shared" si="18"/>
        <v>129.6035</v>
      </c>
      <c r="H88" s="1225">
        <f t="shared" si="19"/>
        <v>1630.0800000000002</v>
      </c>
      <c r="I88" s="1226">
        <f t="shared" si="20"/>
        <v>0</v>
      </c>
      <c r="J88" s="1227">
        <v>31750</v>
      </c>
      <c r="K88" s="1228">
        <v>200</v>
      </c>
      <c r="L88" s="1228">
        <v>0</v>
      </c>
      <c r="M88" s="1228">
        <v>10000</v>
      </c>
      <c r="N88" s="1229">
        <v>0.08</v>
      </c>
      <c r="O88" s="1229">
        <v>0</v>
      </c>
      <c r="P88" s="1229">
        <v>0</v>
      </c>
      <c r="Q88" s="1229">
        <v>0</v>
      </c>
      <c r="R88" s="1230">
        <f t="shared" si="21"/>
        <v>0</v>
      </c>
      <c r="S88" s="1230">
        <f t="shared" si="22"/>
        <v>0</v>
      </c>
      <c r="T88" s="1230">
        <f t="shared" si="23"/>
        <v>181.44489999999999</v>
      </c>
      <c r="V88" s="560" t="s">
        <v>995</v>
      </c>
      <c r="W88" s="560" t="s">
        <v>1627</v>
      </c>
    </row>
    <row r="89" spans="2:23">
      <c r="B89" s="1221" t="s">
        <v>1587</v>
      </c>
      <c r="C89" s="1222" t="str">
        <f>+VLOOKUP(B89,Recursos!C:D,2,FALSE)</f>
        <v>GRUPO ELECTROGENO 21 KVA-17 KW</v>
      </c>
      <c r="D89" s="1223">
        <f t="shared" si="16"/>
        <v>489.22799999999995</v>
      </c>
      <c r="E89" s="1223">
        <f>+SUMIF(Recursos!C:C,EQ_CE!B89,Recursos!G:G)</f>
        <v>0</v>
      </c>
      <c r="F89" s="1224">
        <f t="shared" si="17"/>
        <v>81.64</v>
      </c>
      <c r="G89" s="1225">
        <f t="shared" si="18"/>
        <v>40.82</v>
      </c>
      <c r="H89" s="1225">
        <f t="shared" si="19"/>
        <v>366.76799999999997</v>
      </c>
      <c r="I89" s="1226">
        <f t="shared" si="20"/>
        <v>0</v>
      </c>
      <c r="J89" s="1227">
        <v>5000</v>
      </c>
      <c r="K89" s="1228">
        <v>30</v>
      </c>
      <c r="L89" s="1228">
        <v>0</v>
      </c>
      <c r="M89" s="1228">
        <v>5000</v>
      </c>
      <c r="N89" s="1229">
        <v>0.12</v>
      </c>
      <c r="O89" s="1229">
        <v>0</v>
      </c>
      <c r="P89" s="1229">
        <v>0</v>
      </c>
      <c r="Q89" s="1229">
        <v>0</v>
      </c>
      <c r="R89" s="1230">
        <f t="shared" si="21"/>
        <v>0</v>
      </c>
      <c r="S89" s="1230">
        <f t="shared" si="22"/>
        <v>0</v>
      </c>
      <c r="T89" s="1230">
        <f t="shared" si="23"/>
        <v>57.147999999999996</v>
      </c>
      <c r="V89" s="560" t="s">
        <v>997</v>
      </c>
      <c r="W89" s="560" t="s">
        <v>1629</v>
      </c>
    </row>
    <row r="90" spans="2:23">
      <c r="B90" s="1221" t="s">
        <v>1586</v>
      </c>
      <c r="C90" s="1222" t="str">
        <f>+VLOOKUP(B90,Recursos!C:D,2,FALSE)</f>
        <v>GRUPO ELECTROGENO 244 KVA-195 KW</v>
      </c>
      <c r="D90" s="1223">
        <f t="shared" si="16"/>
        <v>2848.5638181818185</v>
      </c>
      <c r="E90" s="1223">
        <f>+SUMIF(Recursos!C:C,EQ_CE!B90,Recursos!G:G)</f>
        <v>0</v>
      </c>
      <c r="F90" s="1224">
        <f t="shared" si="17"/>
        <v>296.13054545454543</v>
      </c>
      <c r="G90" s="1225">
        <f t="shared" si="18"/>
        <v>148.06527272727271</v>
      </c>
      <c r="H90" s="1225">
        <f t="shared" si="19"/>
        <v>2404.3680000000004</v>
      </c>
      <c r="I90" s="1226">
        <f t="shared" si="20"/>
        <v>0</v>
      </c>
      <c r="J90" s="1227">
        <v>39900</v>
      </c>
      <c r="K90" s="1228">
        <v>295</v>
      </c>
      <c r="L90" s="1228">
        <v>0</v>
      </c>
      <c r="M90" s="1228">
        <v>11000</v>
      </c>
      <c r="N90" s="1229">
        <v>0.08</v>
      </c>
      <c r="O90" s="1229">
        <v>0</v>
      </c>
      <c r="P90" s="1229">
        <v>0</v>
      </c>
      <c r="Q90" s="1229">
        <v>0</v>
      </c>
      <c r="R90" s="1230">
        <f t="shared" si="21"/>
        <v>0</v>
      </c>
      <c r="S90" s="1230">
        <f t="shared" si="22"/>
        <v>0</v>
      </c>
      <c r="T90" s="1230">
        <f t="shared" si="23"/>
        <v>207.2913818181818</v>
      </c>
      <c r="V90" s="560" t="s">
        <v>778</v>
      </c>
      <c r="W90" s="560" t="s">
        <v>1545</v>
      </c>
    </row>
    <row r="91" spans="2:23">
      <c r="B91" s="1221" t="s">
        <v>1527</v>
      </c>
      <c r="C91" s="1222" t="s">
        <v>1533</v>
      </c>
      <c r="D91" s="1223">
        <f t="shared" si="16"/>
        <v>5499.5053800000005</v>
      </c>
      <c r="E91" s="1223">
        <f>+SUMIF(Recursos!C:C,EQ_CE!B91,Recursos!G:G)</f>
        <v>0</v>
      </c>
      <c r="F91" s="1224">
        <f t="shared" si="17"/>
        <v>677.85692000000006</v>
      </c>
      <c r="G91" s="1225">
        <f t="shared" si="18"/>
        <v>338.92846000000003</v>
      </c>
      <c r="H91" s="1225">
        <f t="shared" si="19"/>
        <v>4482.72</v>
      </c>
      <c r="I91" s="1226">
        <f t="shared" si="20"/>
        <v>0</v>
      </c>
      <c r="J91" s="1227">
        <v>83030</v>
      </c>
      <c r="K91" s="1228">
        <v>550</v>
      </c>
      <c r="L91" s="1228">
        <v>0</v>
      </c>
      <c r="M91" s="1228">
        <v>10000</v>
      </c>
      <c r="N91" s="1229">
        <v>0.08</v>
      </c>
      <c r="O91" s="1229">
        <v>0</v>
      </c>
      <c r="P91" s="1229">
        <v>0</v>
      </c>
      <c r="Q91" s="1229">
        <v>0</v>
      </c>
      <c r="R91" s="1230">
        <f t="shared" si="21"/>
        <v>0</v>
      </c>
      <c r="S91" s="1230">
        <f t="shared" si="22"/>
        <v>0</v>
      </c>
      <c r="T91" s="1230">
        <f t="shared" si="23"/>
        <v>474.49984400000005</v>
      </c>
      <c r="V91" s="560" t="s">
        <v>1744</v>
      </c>
      <c r="W91" s="560" t="s">
        <v>1743</v>
      </c>
    </row>
    <row r="92" spans="2:23">
      <c r="B92" s="1221" t="s">
        <v>1588</v>
      </c>
      <c r="C92" s="1222" t="str">
        <f>+VLOOKUP(B92,Recursos!C:D,2,FALSE)</f>
        <v>GRUPO ELECTROGENO 64 KVA-50 KW</v>
      </c>
      <c r="D92" s="1223">
        <f t="shared" si="16"/>
        <v>1214.3448000000001</v>
      </c>
      <c r="E92" s="1223">
        <f>+SUMIF(Recursos!C:C,EQ_CE!B92,Recursos!G:G)</f>
        <v>0</v>
      </c>
      <c r="F92" s="1224">
        <f t="shared" si="17"/>
        <v>137.15520000000001</v>
      </c>
      <c r="G92" s="1225">
        <f t="shared" si="18"/>
        <v>68.577600000000004</v>
      </c>
      <c r="H92" s="1225">
        <f t="shared" si="19"/>
        <v>1008.6120000000001</v>
      </c>
      <c r="I92" s="1226">
        <f t="shared" si="20"/>
        <v>0</v>
      </c>
      <c r="J92" s="1227">
        <v>12600</v>
      </c>
      <c r="K92" s="1228">
        <v>90</v>
      </c>
      <c r="L92" s="1228">
        <v>0</v>
      </c>
      <c r="M92" s="1228">
        <v>7500</v>
      </c>
      <c r="N92" s="1229">
        <v>0.11</v>
      </c>
      <c r="O92" s="1229">
        <v>0</v>
      </c>
      <c r="P92" s="1229">
        <v>0</v>
      </c>
      <c r="Q92" s="1229">
        <v>0</v>
      </c>
      <c r="R92" s="1230">
        <f t="shared" si="21"/>
        <v>0</v>
      </c>
      <c r="S92" s="1230">
        <f t="shared" si="22"/>
        <v>0</v>
      </c>
      <c r="T92" s="1230">
        <f t="shared" si="23"/>
        <v>96.008640000000014</v>
      </c>
      <c r="V92" s="560" t="s">
        <v>1003</v>
      </c>
      <c r="W92" s="560" t="s">
        <v>1635</v>
      </c>
    </row>
    <row r="93" spans="2:23">
      <c r="B93" s="1221" t="s">
        <v>1598</v>
      </c>
      <c r="C93" s="1222" t="str">
        <f>+VLOOKUP(B93,Recursos!C:D,2,FALSE)</f>
        <v>GUINCHE DE 8 T.</v>
      </c>
      <c r="D93" s="1223">
        <f t="shared" si="16"/>
        <v>783.74399999999991</v>
      </c>
      <c r="E93" s="1223">
        <f>+SUMIF(Recursos!C:C,EQ_CE!B93,Recursos!G:G)</f>
        <v>0</v>
      </c>
      <c r="F93" s="1224">
        <f t="shared" si="17"/>
        <v>522.49599999999998</v>
      </c>
      <c r="G93" s="1225">
        <f t="shared" si="18"/>
        <v>261.24799999999999</v>
      </c>
      <c r="H93" s="1225">
        <f t="shared" si="19"/>
        <v>0</v>
      </c>
      <c r="I93" s="1226">
        <f t="shared" si="20"/>
        <v>0</v>
      </c>
      <c r="J93" s="1227">
        <v>48000</v>
      </c>
      <c r="K93" s="1228">
        <v>0</v>
      </c>
      <c r="L93" s="1228">
        <v>10</v>
      </c>
      <c r="M93" s="1228">
        <v>7500</v>
      </c>
      <c r="N93" s="1229">
        <v>0</v>
      </c>
      <c r="O93" s="1229">
        <v>0</v>
      </c>
      <c r="P93" s="1229">
        <v>0</v>
      </c>
      <c r="Q93" s="1229">
        <v>0</v>
      </c>
      <c r="R93" s="1230">
        <f t="shared" si="21"/>
        <v>0</v>
      </c>
      <c r="S93" s="1230">
        <f t="shared" si="22"/>
        <v>0</v>
      </c>
      <c r="T93" s="1230">
        <f t="shared" si="23"/>
        <v>365.74720000000002</v>
      </c>
      <c r="V93" s="560" t="s">
        <v>3010</v>
      </c>
      <c r="W93" s="560" t="s">
        <v>3009</v>
      </c>
    </row>
    <row r="94" spans="2:23">
      <c r="B94" s="1221" t="s">
        <v>1597</v>
      </c>
      <c r="C94" s="1222" t="str">
        <f>+VLOOKUP(B94,Recursos!C:D,2,FALSE)</f>
        <v>HIDROGRUA MONTADA S/CAMION (6 T)</v>
      </c>
      <c r="D94" s="1223">
        <f t="shared" si="16"/>
        <v>2378.0722500000002</v>
      </c>
      <c r="E94" s="1223">
        <f>+SUMIF(Recursos!C:C,EQ_CE!B94,Recursos!G:G)</f>
        <v>0</v>
      </c>
      <c r="F94" s="1224">
        <f t="shared" si="17"/>
        <v>653.12</v>
      </c>
      <c r="G94" s="1225">
        <f t="shared" si="18"/>
        <v>326.56</v>
      </c>
      <c r="H94" s="1225">
        <f t="shared" si="19"/>
        <v>1344.816</v>
      </c>
      <c r="I94" s="1226">
        <f t="shared" si="20"/>
        <v>53.576250000000002</v>
      </c>
      <c r="J94" s="1227">
        <v>80000</v>
      </c>
      <c r="K94" s="1228">
        <v>220</v>
      </c>
      <c r="L94" s="1228">
        <v>0</v>
      </c>
      <c r="M94" s="1228">
        <v>10000</v>
      </c>
      <c r="N94" s="1229">
        <v>0.06</v>
      </c>
      <c r="O94" s="1229">
        <v>6</v>
      </c>
      <c r="P94" s="1229">
        <v>350</v>
      </c>
      <c r="Q94" s="1229">
        <v>4000</v>
      </c>
      <c r="R94" s="1230">
        <f t="shared" si="21"/>
        <v>0</v>
      </c>
      <c r="S94" s="1230">
        <f t="shared" si="22"/>
        <v>0</v>
      </c>
      <c r="T94" s="1230">
        <f t="shared" si="23"/>
        <v>457.18399999999997</v>
      </c>
      <c r="V94" s="560" t="s">
        <v>3020</v>
      </c>
      <c r="W94" s="560" t="s">
        <v>3019</v>
      </c>
    </row>
    <row r="95" spans="2:23">
      <c r="B95" s="1221" t="s">
        <v>1628</v>
      </c>
      <c r="C95" s="1222" t="str">
        <f>+VLOOKUP(B95,Recursos!C:D,2,FALSE)</f>
        <v>HORMIGONERA DE 500 LITROS (EX)</v>
      </c>
      <c r="D95" s="1223">
        <f t="shared" si="16"/>
        <v>426.32419999999996</v>
      </c>
      <c r="E95" s="1223">
        <f>+SUMIF(Recursos!C:C,EQ_CE!B95,Recursos!G:G)</f>
        <v>3.9953760000000003</v>
      </c>
      <c r="F95" s="1224">
        <f t="shared" si="17"/>
        <v>183.69</v>
      </c>
      <c r="G95" s="1225">
        <f t="shared" si="18"/>
        <v>91.844999999999999</v>
      </c>
      <c r="H95" s="1225">
        <f t="shared" si="19"/>
        <v>146.7072</v>
      </c>
      <c r="I95" s="1226">
        <f t="shared" si="20"/>
        <v>4.0819999999999999</v>
      </c>
      <c r="J95" s="1227">
        <v>6750</v>
      </c>
      <c r="K95" s="1228">
        <v>12</v>
      </c>
      <c r="L95" s="1228">
        <v>0</v>
      </c>
      <c r="M95" s="1228">
        <v>3000</v>
      </c>
      <c r="N95" s="1229">
        <v>0.12</v>
      </c>
      <c r="O95" s="1229">
        <v>4</v>
      </c>
      <c r="P95" s="1229">
        <v>30</v>
      </c>
      <c r="Q95" s="1229">
        <v>3000</v>
      </c>
      <c r="R95" s="1230">
        <f t="shared" si="21"/>
        <v>5.7533414399999998</v>
      </c>
      <c r="S95" s="1230">
        <f t="shared" si="22"/>
        <v>0</v>
      </c>
      <c r="T95" s="1230">
        <f t="shared" si="23"/>
        <v>128.583</v>
      </c>
      <c r="V95" s="560" t="s">
        <v>869</v>
      </c>
      <c r="W95" s="560" t="s">
        <v>3300</v>
      </c>
    </row>
    <row r="96" spans="2:23">
      <c r="B96" s="1221" t="s">
        <v>1647</v>
      </c>
      <c r="C96" s="1222" t="str">
        <f>+VLOOKUP(B96,Recursos!C:D,2,FALSE)</f>
        <v>JUMBO DE DOS BRAZOS</v>
      </c>
      <c r="D96" s="1223">
        <f t="shared" si="16"/>
        <v>6803.333333333333</v>
      </c>
      <c r="E96" s="1223">
        <f>+SUMIF(Recursos!C:C,EQ_CE!B96,Recursos!G:G)</f>
        <v>0</v>
      </c>
      <c r="F96" s="1224">
        <f t="shared" si="17"/>
        <v>4082</v>
      </c>
      <c r="G96" s="1225">
        <f t="shared" si="18"/>
        <v>2041</v>
      </c>
      <c r="H96" s="1225">
        <f t="shared" si="19"/>
        <v>0</v>
      </c>
      <c r="I96" s="1226">
        <f t="shared" si="20"/>
        <v>680.33333333333337</v>
      </c>
      <c r="J96" s="1227">
        <v>500000</v>
      </c>
      <c r="K96" s="1228">
        <v>0</v>
      </c>
      <c r="L96" s="1228">
        <v>100</v>
      </c>
      <c r="M96" s="1228">
        <v>10000</v>
      </c>
      <c r="N96" s="1229">
        <v>0</v>
      </c>
      <c r="O96" s="1229">
        <v>4</v>
      </c>
      <c r="P96" s="1229">
        <v>2500</v>
      </c>
      <c r="Q96" s="1229">
        <v>1500</v>
      </c>
      <c r="R96" s="1230">
        <f t="shared" si="21"/>
        <v>0</v>
      </c>
      <c r="S96" s="1230">
        <f t="shared" si="22"/>
        <v>0</v>
      </c>
      <c r="T96" s="1230">
        <f t="shared" si="23"/>
        <v>2857.4</v>
      </c>
      <c r="V96" s="560" t="s">
        <v>771</v>
      </c>
      <c r="W96" s="560" t="s">
        <v>3301</v>
      </c>
    </row>
    <row r="97" spans="2:23">
      <c r="B97" s="1221" t="s">
        <v>1652</v>
      </c>
      <c r="C97" s="1222" t="str">
        <f>+VLOOKUP(B97,Recursos!C:D,2,FALSE)</f>
        <v>MANIPULADOR TELESCOPICO</v>
      </c>
      <c r="D97" s="1223">
        <f t="shared" si="16"/>
        <v>3262.8800000000006</v>
      </c>
      <c r="E97" s="1223">
        <f>+SUMIF(Recursos!C:C,EQ_CE!B97,Recursos!G:G)</f>
        <v>0</v>
      </c>
      <c r="F97" s="1224">
        <f t="shared" si="17"/>
        <v>1061.32</v>
      </c>
      <c r="G97" s="1225">
        <f t="shared" si="18"/>
        <v>530.66</v>
      </c>
      <c r="H97" s="1225">
        <f t="shared" si="19"/>
        <v>1630.0800000000002</v>
      </c>
      <c r="I97" s="1226">
        <f t="shared" si="20"/>
        <v>40.82</v>
      </c>
      <c r="J97" s="1227">
        <v>130000</v>
      </c>
      <c r="K97" s="1228">
        <v>200</v>
      </c>
      <c r="L97" s="1228">
        <v>0</v>
      </c>
      <c r="M97" s="1228">
        <v>10000</v>
      </c>
      <c r="N97" s="1229">
        <v>0.08</v>
      </c>
      <c r="O97" s="1229">
        <v>4</v>
      </c>
      <c r="P97" s="1229">
        <v>300</v>
      </c>
      <c r="Q97" s="1229">
        <v>3000</v>
      </c>
      <c r="R97" s="1230">
        <f t="shared" si="21"/>
        <v>0</v>
      </c>
      <c r="S97" s="1230">
        <f t="shared" si="22"/>
        <v>0</v>
      </c>
      <c r="T97" s="1230">
        <f t="shared" si="23"/>
        <v>742.92399999999998</v>
      </c>
      <c r="V97" s="560" t="s">
        <v>1524</v>
      </c>
      <c r="W97" s="560" t="s">
        <v>3302</v>
      </c>
    </row>
    <row r="98" spans="2:23">
      <c r="B98" s="1221" t="s">
        <v>1634</v>
      </c>
      <c r="C98" s="1222" t="str">
        <f>+VLOOKUP(B98,Recursos!C:D,2,FALSE)</f>
        <v>MARTILLO KRUPP</v>
      </c>
      <c r="D98" s="1223">
        <f t="shared" si="16"/>
        <v>440.85599999999999</v>
      </c>
      <c r="E98" s="1223">
        <f>+SUMIF(Recursos!C:C,EQ_CE!B98,Recursos!G:G)</f>
        <v>0</v>
      </c>
      <c r="F98" s="1224">
        <f t="shared" si="17"/>
        <v>293.904</v>
      </c>
      <c r="G98" s="1225">
        <f t="shared" si="18"/>
        <v>146.952</v>
      </c>
      <c r="H98" s="1225">
        <f t="shared" si="19"/>
        <v>0</v>
      </c>
      <c r="I98" s="1226">
        <f t="shared" si="20"/>
        <v>0</v>
      </c>
      <c r="J98" s="1227">
        <v>18000</v>
      </c>
      <c r="K98" s="1228">
        <v>50</v>
      </c>
      <c r="L98" s="1228">
        <v>0</v>
      </c>
      <c r="M98" s="1228">
        <v>5000</v>
      </c>
      <c r="N98" s="1229">
        <v>0</v>
      </c>
      <c r="O98" s="1229">
        <v>0</v>
      </c>
      <c r="P98" s="1229">
        <v>0</v>
      </c>
      <c r="Q98" s="1229">
        <v>0</v>
      </c>
      <c r="R98" s="1230">
        <f t="shared" si="21"/>
        <v>0</v>
      </c>
      <c r="S98" s="1230">
        <f t="shared" si="22"/>
        <v>0</v>
      </c>
      <c r="T98" s="1230">
        <f t="shared" si="23"/>
        <v>205.7328</v>
      </c>
      <c r="V98" s="560" t="s">
        <v>779</v>
      </c>
      <c r="W98" s="560" t="s">
        <v>1546</v>
      </c>
    </row>
    <row r="99" spans="2:23">
      <c r="B99" s="1221" t="s">
        <v>1574</v>
      </c>
      <c r="C99" s="1222" t="str">
        <f>+VLOOKUP(B99,Recursos!C:D,2,FALSE)</f>
        <v>MARTILLO NEUM.PERF.C/PIE DE AVANCE</v>
      </c>
      <c r="D99" s="1223">
        <f t="shared" si="16"/>
        <v>183.69</v>
      </c>
      <c r="E99" s="1223">
        <f>+SUMIF(Recursos!C:C,EQ_CE!B99,Recursos!G:G)</f>
        <v>0</v>
      </c>
      <c r="F99" s="1224">
        <f t="shared" si="17"/>
        <v>122.46</v>
      </c>
      <c r="G99" s="1225">
        <f t="shared" si="18"/>
        <v>61.23</v>
      </c>
      <c r="H99" s="1225">
        <f t="shared" si="19"/>
        <v>0</v>
      </c>
      <c r="I99" s="1226">
        <f t="shared" si="20"/>
        <v>0</v>
      </c>
      <c r="J99" s="1227">
        <v>4500</v>
      </c>
      <c r="K99" s="1228">
        <v>0</v>
      </c>
      <c r="L99" s="1228">
        <v>0</v>
      </c>
      <c r="M99" s="1228">
        <v>3000</v>
      </c>
      <c r="N99" s="1229">
        <v>0</v>
      </c>
      <c r="O99" s="1229">
        <v>0</v>
      </c>
      <c r="P99" s="1229">
        <v>0</v>
      </c>
      <c r="Q99" s="1229">
        <v>0</v>
      </c>
      <c r="R99" s="1230">
        <f t="shared" si="21"/>
        <v>0</v>
      </c>
      <c r="S99" s="1230">
        <f t="shared" si="22"/>
        <v>0</v>
      </c>
      <c r="T99" s="1230">
        <f t="shared" si="23"/>
        <v>85.721999999999994</v>
      </c>
      <c r="V99" s="560" t="s">
        <v>780</v>
      </c>
      <c r="W99" s="560" t="s">
        <v>1547</v>
      </c>
    </row>
    <row r="100" spans="2:23">
      <c r="B100" s="1221" t="s">
        <v>1690</v>
      </c>
      <c r="C100" s="1222" t="s">
        <v>1691</v>
      </c>
      <c r="D100" s="1223">
        <f t="shared" si="16"/>
        <v>17.266859999999998</v>
      </c>
      <c r="E100" s="1223">
        <f>+SUMIF(Recursos!C:C,EQ_CE!B100,Recursos!G:G)</f>
        <v>0</v>
      </c>
      <c r="F100" s="1224">
        <f t="shared" si="17"/>
        <v>11.511239999999999</v>
      </c>
      <c r="G100" s="1225">
        <f t="shared" si="18"/>
        <v>5.7556199999999995</v>
      </c>
      <c r="H100" s="1225">
        <f t="shared" si="19"/>
        <v>0</v>
      </c>
      <c r="I100" s="1226">
        <f t="shared" si="20"/>
        <v>0</v>
      </c>
      <c r="J100" s="1227">
        <v>1410</v>
      </c>
      <c r="K100" s="1228">
        <v>0</v>
      </c>
      <c r="L100" s="1228">
        <v>0</v>
      </c>
      <c r="M100" s="1228">
        <v>10000</v>
      </c>
      <c r="N100" s="1229">
        <v>0.08</v>
      </c>
      <c r="O100" s="1229">
        <v>0</v>
      </c>
      <c r="P100" s="1229">
        <v>0</v>
      </c>
      <c r="Q100" s="1229">
        <v>0</v>
      </c>
      <c r="R100" s="1230">
        <f t="shared" si="21"/>
        <v>0</v>
      </c>
      <c r="S100" s="1230">
        <f t="shared" si="22"/>
        <v>0</v>
      </c>
      <c r="T100" s="1230">
        <f t="shared" si="23"/>
        <v>8.0578679999999991</v>
      </c>
      <c r="V100" s="560" t="s">
        <v>1665</v>
      </c>
      <c r="W100" s="560" t="s">
        <v>1664</v>
      </c>
    </row>
    <row r="101" spans="2:23">
      <c r="B101" s="1221" t="s">
        <v>1575</v>
      </c>
      <c r="C101" s="1222" t="str">
        <f>+VLOOKUP(B101,Recursos!C:D,2,FALSE)</f>
        <v>MARTILLO NEUMATICO PERFORADOR</v>
      </c>
      <c r="D101" s="1223">
        <f t="shared" si="16"/>
        <v>117.5616</v>
      </c>
      <c r="E101" s="1223">
        <f>+SUMIF(Recursos!C:C,EQ_CE!B101,Recursos!G:G)</f>
        <v>0</v>
      </c>
      <c r="F101" s="1224">
        <f t="shared" si="17"/>
        <v>78.374399999999994</v>
      </c>
      <c r="G101" s="1225">
        <f t="shared" si="18"/>
        <v>39.187199999999997</v>
      </c>
      <c r="H101" s="1225">
        <f t="shared" si="19"/>
        <v>0</v>
      </c>
      <c r="I101" s="1226">
        <f t="shared" si="20"/>
        <v>0</v>
      </c>
      <c r="J101" s="1227">
        <v>2400</v>
      </c>
      <c r="K101" s="1228">
        <v>0</v>
      </c>
      <c r="L101" s="1228">
        <v>0</v>
      </c>
      <c r="M101" s="1228">
        <v>2500</v>
      </c>
      <c r="N101" s="1229">
        <v>0</v>
      </c>
      <c r="O101" s="1229">
        <v>0</v>
      </c>
      <c r="P101" s="1229">
        <v>0</v>
      </c>
      <c r="Q101" s="1229">
        <v>0</v>
      </c>
      <c r="R101" s="1230">
        <f t="shared" si="21"/>
        <v>0</v>
      </c>
      <c r="S101" s="1230">
        <f t="shared" si="22"/>
        <v>0</v>
      </c>
      <c r="T101" s="1230">
        <f t="shared" si="23"/>
        <v>54.862079999999999</v>
      </c>
      <c r="V101" s="560" t="s">
        <v>781</v>
      </c>
      <c r="W101" s="560" t="s">
        <v>1548</v>
      </c>
    </row>
    <row r="102" spans="2:23">
      <c r="B102" s="1221" t="s">
        <v>1576</v>
      </c>
      <c r="C102" s="1222" t="str">
        <f>+VLOOKUP(B102,Recursos!C:D,2,FALSE)</f>
        <v>MARTILLO NEUMATICO PERFORADOR DE 1200 KG</v>
      </c>
      <c r="D102" s="1223">
        <f t="shared" ref="D102:D133" si="24">+SUM(F102:I102)</f>
        <v>734.76</v>
      </c>
      <c r="E102" s="1223">
        <f>+SUMIF(Recursos!C:C,EQ_CE!B102,Recursos!G:G)</f>
        <v>0</v>
      </c>
      <c r="F102" s="1224">
        <f t="shared" ref="F102:F133" si="25">+(J102*(1-vres))/M102*usd</f>
        <v>489.84</v>
      </c>
      <c r="G102" s="1225">
        <f t="shared" ref="G102:G133" si="26">+ryr*F102</f>
        <v>244.92</v>
      </c>
      <c r="H102" s="1225">
        <f t="shared" ref="H102:H133" si="27">+N102*K102*comb*(1+lub)</f>
        <v>0</v>
      </c>
      <c r="I102" s="1226">
        <f t="shared" ref="I102:I133" si="28">+IF(Q102&gt;0,(O102*P102)*usd/Q102,0)</f>
        <v>0</v>
      </c>
      <c r="J102" s="1227">
        <v>30000</v>
      </c>
      <c r="K102" s="1228">
        <v>0</v>
      </c>
      <c r="L102" s="1228">
        <v>0</v>
      </c>
      <c r="M102" s="1228">
        <v>5000</v>
      </c>
      <c r="N102" s="1229">
        <v>0</v>
      </c>
      <c r="O102" s="1229">
        <v>0</v>
      </c>
      <c r="P102" s="1229">
        <v>0</v>
      </c>
      <c r="Q102" s="1229">
        <v>0</v>
      </c>
      <c r="R102" s="1230">
        <f t="shared" ref="R102:R133" si="29">+N102*K102*E102</f>
        <v>0</v>
      </c>
      <c r="S102" s="1230">
        <f t="shared" ref="S102:S133" si="30">+L102*E102</f>
        <v>0</v>
      </c>
      <c r="T102" s="1230">
        <f t="shared" ref="T102:T133" si="31">0.5*(F102+0.8*G102)</f>
        <v>342.88799999999998</v>
      </c>
      <c r="V102" s="560" t="s">
        <v>1667</v>
      </c>
      <c r="W102" s="560" t="s">
        <v>1666</v>
      </c>
    </row>
    <row r="103" spans="2:23">
      <c r="B103" s="1221" t="s">
        <v>1561</v>
      </c>
      <c r="C103" s="1222" t="str">
        <f>+VLOOKUP(B103,Recursos!C:D,2,FALSE)</f>
        <v>MERCEDES BENZ UNIMOG 416</v>
      </c>
      <c r="D103" s="1223">
        <f t="shared" si="24"/>
        <v>1482.9085714285716</v>
      </c>
      <c r="E103" s="1223">
        <f>+SUMIF(Recursos!C:C,EQ_CE!B103,Recursos!G:G)</f>
        <v>0</v>
      </c>
      <c r="F103" s="1224">
        <f t="shared" si="25"/>
        <v>489.84</v>
      </c>
      <c r="G103" s="1225">
        <f t="shared" si="26"/>
        <v>244.92</v>
      </c>
      <c r="H103" s="1225">
        <f t="shared" si="27"/>
        <v>713.16000000000008</v>
      </c>
      <c r="I103" s="1226">
        <f t="shared" si="28"/>
        <v>34.988571428571426</v>
      </c>
      <c r="J103" s="1227">
        <v>60000</v>
      </c>
      <c r="K103" s="1228">
        <v>140</v>
      </c>
      <c r="L103" s="1228">
        <v>0</v>
      </c>
      <c r="M103" s="1228">
        <v>10000</v>
      </c>
      <c r="N103" s="1229">
        <v>0.05</v>
      </c>
      <c r="O103" s="1229">
        <v>6</v>
      </c>
      <c r="P103" s="1229">
        <v>200</v>
      </c>
      <c r="Q103" s="1229">
        <v>3500</v>
      </c>
      <c r="R103" s="1230">
        <f t="shared" si="29"/>
        <v>0</v>
      </c>
      <c r="S103" s="1230">
        <f t="shared" si="30"/>
        <v>0</v>
      </c>
      <c r="T103" s="1230">
        <f t="shared" si="31"/>
        <v>342.88799999999998</v>
      </c>
      <c r="V103" s="560" t="s">
        <v>1669</v>
      </c>
      <c r="W103" s="560" t="s">
        <v>1668</v>
      </c>
    </row>
    <row r="104" spans="2:23">
      <c r="B104" s="1221" t="s">
        <v>1636</v>
      </c>
      <c r="C104" s="1222" t="str">
        <f>+VLOOKUP(B104,Recursos!C:D,2,FALSE)</f>
        <v>MEZCLADORA DE 300 LTS</v>
      </c>
      <c r="D104" s="1223">
        <f t="shared" si="24"/>
        <v>85.722000000000008</v>
      </c>
      <c r="E104" s="1223">
        <f>+SUMIF(Recursos!C:C,EQ_CE!B104,Recursos!G:G)</f>
        <v>0</v>
      </c>
      <c r="F104" s="1224">
        <f t="shared" si="25"/>
        <v>57.148000000000003</v>
      </c>
      <c r="G104" s="1225">
        <f t="shared" si="26"/>
        <v>28.574000000000002</v>
      </c>
      <c r="H104" s="1225">
        <f t="shared" si="27"/>
        <v>0</v>
      </c>
      <c r="I104" s="1226">
        <f t="shared" si="28"/>
        <v>0</v>
      </c>
      <c r="J104" s="1227">
        <v>3500</v>
      </c>
      <c r="K104" s="1228">
        <v>10</v>
      </c>
      <c r="L104" s="1228">
        <v>0</v>
      </c>
      <c r="M104" s="1228">
        <v>5000</v>
      </c>
      <c r="N104" s="1229">
        <v>0</v>
      </c>
      <c r="O104" s="1229">
        <v>0</v>
      </c>
      <c r="P104" s="1229">
        <v>0</v>
      </c>
      <c r="Q104" s="1229">
        <v>0</v>
      </c>
      <c r="R104" s="1230">
        <f t="shared" si="29"/>
        <v>0</v>
      </c>
      <c r="S104" s="1230">
        <f t="shared" si="30"/>
        <v>0</v>
      </c>
      <c r="T104" s="1230">
        <f t="shared" si="31"/>
        <v>40.003600000000006</v>
      </c>
      <c r="V104" s="560" t="s">
        <v>782</v>
      </c>
      <c r="W104" s="560" t="s">
        <v>1549</v>
      </c>
    </row>
    <row r="105" spans="2:23">
      <c r="B105" s="1221" t="s">
        <v>1593</v>
      </c>
      <c r="C105" s="1222" t="str">
        <f>+VLOOKUP(B105,Recursos!C:D,2,FALSE)</f>
        <v>MINIBUS DE 12 PASAJEROS</v>
      </c>
      <c r="D105" s="1223">
        <f t="shared" si="24"/>
        <v>1000.6346666666667</v>
      </c>
      <c r="E105" s="1223">
        <f>+SUMIF(Recursos!C:C,EQ_CE!B105,Recursos!G:G)</f>
        <v>0</v>
      </c>
      <c r="F105" s="1224">
        <f t="shared" si="25"/>
        <v>326.56</v>
      </c>
      <c r="G105" s="1225">
        <f t="shared" si="26"/>
        <v>163.28</v>
      </c>
      <c r="H105" s="1225">
        <f t="shared" si="27"/>
        <v>489.024</v>
      </c>
      <c r="I105" s="1226">
        <f t="shared" si="28"/>
        <v>21.770666666666667</v>
      </c>
      <c r="J105" s="1227">
        <v>24000</v>
      </c>
      <c r="K105" s="1228">
        <v>120</v>
      </c>
      <c r="L105" s="1228">
        <v>0</v>
      </c>
      <c r="M105" s="1228">
        <v>6000</v>
      </c>
      <c r="N105" s="1229">
        <v>0.04</v>
      </c>
      <c r="O105" s="1229">
        <v>4</v>
      </c>
      <c r="P105" s="1229">
        <v>80</v>
      </c>
      <c r="Q105" s="1229">
        <v>1500</v>
      </c>
      <c r="R105" s="1230">
        <f t="shared" si="29"/>
        <v>0</v>
      </c>
      <c r="S105" s="1230">
        <f t="shared" si="30"/>
        <v>0</v>
      </c>
      <c r="T105" s="1230">
        <f t="shared" si="31"/>
        <v>228.59199999999998</v>
      </c>
      <c r="V105" s="560" t="s">
        <v>1671</v>
      </c>
      <c r="W105" s="560" t="s">
        <v>1670</v>
      </c>
    </row>
    <row r="106" spans="2:23">
      <c r="B106" s="1221" t="s">
        <v>1540</v>
      </c>
      <c r="C106" s="1222" t="str">
        <f>+VLOOKUP(B106,Recursos!C:D,2,FALSE)</f>
        <v>MINICARG. BOBCAT S/NEUM. (0,40 M3)</v>
      </c>
      <c r="D106" s="1223">
        <f t="shared" si="24"/>
        <v>1346.0740000000001</v>
      </c>
      <c r="E106" s="1223">
        <f>+SUMIF(Recursos!C:C,EQ_CE!B106,Recursos!G:G)</f>
        <v>0</v>
      </c>
      <c r="F106" s="1224">
        <f t="shared" si="25"/>
        <v>476.23333333333335</v>
      </c>
      <c r="G106" s="1225">
        <f t="shared" si="26"/>
        <v>238.11666666666667</v>
      </c>
      <c r="H106" s="1225">
        <f t="shared" si="27"/>
        <v>590.90400000000011</v>
      </c>
      <c r="I106" s="1226">
        <f t="shared" si="28"/>
        <v>40.82</v>
      </c>
      <c r="J106" s="1227">
        <v>35000</v>
      </c>
      <c r="K106" s="1228">
        <v>58</v>
      </c>
      <c r="L106" s="1228">
        <v>0</v>
      </c>
      <c r="M106" s="1228">
        <v>6000</v>
      </c>
      <c r="N106" s="1229">
        <v>0.1</v>
      </c>
      <c r="O106" s="1229">
        <v>4</v>
      </c>
      <c r="P106" s="1229">
        <v>300</v>
      </c>
      <c r="Q106" s="1229">
        <v>3000</v>
      </c>
      <c r="R106" s="1230">
        <f t="shared" si="29"/>
        <v>0</v>
      </c>
      <c r="S106" s="1230">
        <f t="shared" si="30"/>
        <v>0</v>
      </c>
      <c r="T106" s="1230">
        <f t="shared" si="31"/>
        <v>333.36333333333334</v>
      </c>
      <c r="V106" s="560" t="s">
        <v>806</v>
      </c>
      <c r="W106" s="560" t="s">
        <v>1550</v>
      </c>
    </row>
    <row r="107" spans="2:23">
      <c r="B107" s="1221" t="s">
        <v>1602</v>
      </c>
      <c r="C107" s="1222" t="str">
        <f>+VLOOKUP(B107,Recursos!C:D,2,FALSE)</f>
        <v>MOTOBOMBA 10 HP (100 M3/HORA)</v>
      </c>
      <c r="D107" s="1223">
        <f t="shared" si="24"/>
        <v>195.732</v>
      </c>
      <c r="E107" s="1223">
        <f>+SUMIF(Recursos!C:C,EQ_CE!B107,Recursos!G:G)</f>
        <v>0</v>
      </c>
      <c r="F107" s="1224">
        <f t="shared" si="25"/>
        <v>48.983999999999995</v>
      </c>
      <c r="G107" s="1225">
        <f t="shared" si="26"/>
        <v>24.491999999999997</v>
      </c>
      <c r="H107" s="1225">
        <f t="shared" si="27"/>
        <v>122.256</v>
      </c>
      <c r="I107" s="1226">
        <f t="shared" si="28"/>
        <v>0</v>
      </c>
      <c r="J107" s="1227">
        <v>3000</v>
      </c>
      <c r="K107" s="1228">
        <v>10</v>
      </c>
      <c r="L107" s="1228">
        <v>0</v>
      </c>
      <c r="M107" s="1228">
        <v>5000</v>
      </c>
      <c r="N107" s="1229">
        <v>0.12</v>
      </c>
      <c r="O107" s="1229">
        <v>0</v>
      </c>
      <c r="P107" s="1229">
        <v>0</v>
      </c>
      <c r="Q107" s="1229">
        <v>0</v>
      </c>
      <c r="R107" s="1230">
        <f t="shared" si="29"/>
        <v>0</v>
      </c>
      <c r="S107" s="1230">
        <f t="shared" si="30"/>
        <v>0</v>
      </c>
      <c r="T107" s="1230">
        <f t="shared" si="31"/>
        <v>34.288799999999995</v>
      </c>
      <c r="V107" s="560" t="s">
        <v>807</v>
      </c>
      <c r="W107" s="560" t="s">
        <v>1551</v>
      </c>
    </row>
    <row r="108" spans="2:23">
      <c r="B108" s="1221" t="s">
        <v>1590</v>
      </c>
      <c r="C108" s="1222" t="str">
        <f>+VLOOKUP(B108,Recursos!C:D,2,FALSE)</f>
        <v>MOTOBOMBA 5 HP (52 m3/h)</v>
      </c>
      <c r="D108" s="1223">
        <f t="shared" si="24"/>
        <v>122.358</v>
      </c>
      <c r="E108" s="1223">
        <f>+SUMIF(Recursos!C:C,EQ_CE!B108,Recursos!G:G)</f>
        <v>0</v>
      </c>
      <c r="F108" s="1224">
        <f t="shared" si="25"/>
        <v>40.82</v>
      </c>
      <c r="G108" s="1225">
        <f t="shared" si="26"/>
        <v>20.41</v>
      </c>
      <c r="H108" s="1225">
        <f t="shared" si="27"/>
        <v>61.128</v>
      </c>
      <c r="I108" s="1226">
        <f t="shared" si="28"/>
        <v>0</v>
      </c>
      <c r="J108" s="1227">
        <v>1500</v>
      </c>
      <c r="K108" s="1228">
        <v>5</v>
      </c>
      <c r="L108" s="1228">
        <v>0</v>
      </c>
      <c r="M108" s="1228">
        <v>3000</v>
      </c>
      <c r="N108" s="1229">
        <v>0.12</v>
      </c>
      <c r="O108" s="1229">
        <v>0</v>
      </c>
      <c r="P108" s="1229">
        <v>0</v>
      </c>
      <c r="Q108" s="1229">
        <v>0</v>
      </c>
      <c r="R108" s="1230">
        <f t="shared" si="29"/>
        <v>0</v>
      </c>
      <c r="S108" s="1230">
        <f t="shared" si="30"/>
        <v>0</v>
      </c>
      <c r="T108" s="1230">
        <f t="shared" si="31"/>
        <v>28.573999999999998</v>
      </c>
      <c r="V108" s="560" t="s">
        <v>808</v>
      </c>
      <c r="W108" s="560" t="s">
        <v>1552</v>
      </c>
    </row>
    <row r="109" spans="2:23">
      <c r="B109" s="1221" t="s">
        <v>1583</v>
      </c>
      <c r="C109" s="1222" t="str">
        <f>+VLOOKUP(B109,Recursos!C:D,2,FALSE)</f>
        <v>MOTOCOMPRESOR 21 M3/MIN-750 CFM</v>
      </c>
      <c r="D109" s="1223">
        <f t="shared" si="24"/>
        <v>3148.9333999999999</v>
      </c>
      <c r="E109" s="1223">
        <f>+SUMIF(Recursos!C:C,EQ_CE!B109,Recursos!G:G)</f>
        <v>0</v>
      </c>
      <c r="F109" s="1224">
        <f t="shared" si="25"/>
        <v>411.46559999999999</v>
      </c>
      <c r="G109" s="1225">
        <f t="shared" si="26"/>
        <v>205.7328</v>
      </c>
      <c r="H109" s="1225">
        <f t="shared" si="27"/>
        <v>2521.5300000000002</v>
      </c>
      <c r="I109" s="1226">
        <f t="shared" si="28"/>
        <v>10.205</v>
      </c>
      <c r="J109" s="1227">
        <v>50400</v>
      </c>
      <c r="K109" s="1228">
        <v>275</v>
      </c>
      <c r="L109" s="1228">
        <v>0</v>
      </c>
      <c r="M109" s="1228">
        <v>10000</v>
      </c>
      <c r="N109" s="1229">
        <v>0.09</v>
      </c>
      <c r="O109" s="1229">
        <v>4</v>
      </c>
      <c r="P109" s="1229">
        <v>100</v>
      </c>
      <c r="Q109" s="1229">
        <v>4000</v>
      </c>
      <c r="R109" s="1230">
        <f t="shared" si="29"/>
        <v>0</v>
      </c>
      <c r="S109" s="1230">
        <f t="shared" si="30"/>
        <v>0</v>
      </c>
      <c r="T109" s="1230">
        <f t="shared" si="31"/>
        <v>288.02591999999999</v>
      </c>
      <c r="V109" s="560" t="s">
        <v>809</v>
      </c>
      <c r="W109" s="560" t="s">
        <v>1553</v>
      </c>
    </row>
    <row r="110" spans="2:23">
      <c r="B110" s="1221" t="s">
        <v>1581</v>
      </c>
      <c r="C110" s="1222" t="str">
        <f>+VLOOKUP(B110,Recursos!C:D,2,FALSE)</f>
        <v>MOTOCOMPRESOR 5 M3/MIN-175 CFM</v>
      </c>
      <c r="D110" s="1223">
        <f t="shared" si="24"/>
        <v>1186.33205</v>
      </c>
      <c r="E110" s="1223">
        <f>+SUMIF(Recursos!C:C,EQ_CE!B110,Recursos!G:G)</f>
        <v>0</v>
      </c>
      <c r="F110" s="1224">
        <f t="shared" si="25"/>
        <v>137.15520000000001</v>
      </c>
      <c r="G110" s="1225">
        <f t="shared" si="26"/>
        <v>68.577600000000004</v>
      </c>
      <c r="H110" s="1225">
        <f t="shared" si="27"/>
        <v>978.048</v>
      </c>
      <c r="I110" s="1226">
        <f t="shared" si="28"/>
        <v>2.55125</v>
      </c>
      <c r="J110" s="1227">
        <v>12600</v>
      </c>
      <c r="K110" s="1228">
        <v>80</v>
      </c>
      <c r="L110" s="1228">
        <v>0</v>
      </c>
      <c r="M110" s="1228">
        <v>7500</v>
      </c>
      <c r="N110" s="1229">
        <v>0.12</v>
      </c>
      <c r="O110" s="1229">
        <v>2</v>
      </c>
      <c r="P110" s="1229">
        <v>50</v>
      </c>
      <c r="Q110" s="1229">
        <v>4000</v>
      </c>
      <c r="R110" s="1230">
        <f t="shared" si="29"/>
        <v>0</v>
      </c>
      <c r="S110" s="1230">
        <f t="shared" si="30"/>
        <v>0</v>
      </c>
      <c r="T110" s="1230">
        <f t="shared" si="31"/>
        <v>96.008640000000014</v>
      </c>
      <c r="V110" s="560" t="s">
        <v>810</v>
      </c>
      <c r="W110" s="560" t="s">
        <v>1554</v>
      </c>
    </row>
    <row r="111" spans="2:23">
      <c r="B111" s="1221" t="s">
        <v>1692</v>
      </c>
      <c r="C111" s="1222" t="s">
        <v>1693</v>
      </c>
      <c r="D111" s="1223">
        <f t="shared" si="24"/>
        <v>942.82014000000004</v>
      </c>
      <c r="E111" s="1223">
        <f>+SUMIF(Recursos!C:C,EQ_CE!B111,Recursos!G:G)</f>
        <v>0</v>
      </c>
      <c r="F111" s="1224">
        <f t="shared" si="25"/>
        <v>139.52276000000001</v>
      </c>
      <c r="G111" s="1225">
        <f t="shared" si="26"/>
        <v>69.761380000000003</v>
      </c>
      <c r="H111" s="1225">
        <f t="shared" si="27"/>
        <v>733.53600000000006</v>
      </c>
      <c r="I111" s="1226">
        <f t="shared" si="28"/>
        <v>0</v>
      </c>
      <c r="J111" s="1227">
        <v>17090</v>
      </c>
      <c r="K111" s="1228">
        <v>90</v>
      </c>
      <c r="L111" s="1228">
        <v>0</v>
      </c>
      <c r="M111" s="1228">
        <v>10000</v>
      </c>
      <c r="N111" s="1229">
        <v>0.08</v>
      </c>
      <c r="O111" s="1229">
        <v>0</v>
      </c>
      <c r="P111" s="1229">
        <v>0</v>
      </c>
      <c r="Q111" s="1229">
        <v>0</v>
      </c>
      <c r="R111" s="1230">
        <f t="shared" si="29"/>
        <v>0</v>
      </c>
      <c r="S111" s="1230">
        <f t="shared" si="30"/>
        <v>0</v>
      </c>
      <c r="T111" s="1230">
        <f t="shared" si="31"/>
        <v>97.665931999999998</v>
      </c>
      <c r="V111" s="560" t="s">
        <v>1009</v>
      </c>
      <c r="W111" s="560" t="s">
        <v>1641</v>
      </c>
    </row>
    <row r="112" spans="2:23">
      <c r="B112" s="1221" t="s">
        <v>1546</v>
      </c>
      <c r="C112" s="1222" t="str">
        <f>+VLOOKUP(B112,Recursos!C:D,2,FALSE)</f>
        <v>MOTONIVELADORA 12" (15 T)</v>
      </c>
      <c r="D112" s="1223">
        <f t="shared" si="24"/>
        <v>3750.4623636363635</v>
      </c>
      <c r="E112" s="1223">
        <f>+SUMIF(Recursos!C:C,EQ_CE!B112,Recursos!G:G)</f>
        <v>0</v>
      </c>
      <c r="F112" s="1224">
        <f t="shared" si="25"/>
        <v>1514.050909090909</v>
      </c>
      <c r="G112" s="1225">
        <f t="shared" si="26"/>
        <v>757.02545454545452</v>
      </c>
      <c r="H112" s="1225">
        <f t="shared" si="27"/>
        <v>1426.3200000000002</v>
      </c>
      <c r="I112" s="1226">
        <f t="shared" si="28"/>
        <v>53.066000000000003</v>
      </c>
      <c r="J112" s="1227">
        <v>204000</v>
      </c>
      <c r="K112" s="1228">
        <v>140</v>
      </c>
      <c r="L112" s="1228">
        <v>0</v>
      </c>
      <c r="M112" s="1228">
        <v>11000</v>
      </c>
      <c r="N112" s="1229">
        <v>0.1</v>
      </c>
      <c r="O112" s="1229">
        <v>6</v>
      </c>
      <c r="P112" s="1229">
        <v>260</v>
      </c>
      <c r="Q112" s="1229">
        <v>3000</v>
      </c>
      <c r="R112" s="1230">
        <f t="shared" si="29"/>
        <v>0</v>
      </c>
      <c r="S112" s="1230">
        <f t="shared" si="30"/>
        <v>0</v>
      </c>
      <c r="T112" s="1230">
        <f t="shared" si="31"/>
        <v>1059.8356363636362</v>
      </c>
      <c r="V112" s="560" t="s">
        <v>1005</v>
      </c>
      <c r="W112" s="560" t="s">
        <v>1637</v>
      </c>
    </row>
    <row r="113" spans="2:23">
      <c r="B113" s="1221" t="s">
        <v>1548</v>
      </c>
      <c r="C113" s="1222" t="str">
        <f>+VLOOKUP(B113,Recursos!C:D,2,FALSE)</f>
        <v>MOTONIVELADORA 14" (19 T)</v>
      </c>
      <c r="D113" s="1223">
        <f t="shared" si="24"/>
        <v>4519.4560000000001</v>
      </c>
      <c r="E113" s="1223">
        <f>+SUMIF(Recursos!C:C,EQ_CE!B113,Recursos!G:G)</f>
        <v>0</v>
      </c>
      <c r="F113" s="1224">
        <f t="shared" si="25"/>
        <v>1564.7666666666667</v>
      </c>
      <c r="G113" s="1225">
        <f t="shared" si="26"/>
        <v>782.38333333333333</v>
      </c>
      <c r="H113" s="1225">
        <f t="shared" si="27"/>
        <v>2037.6</v>
      </c>
      <c r="I113" s="1226">
        <f t="shared" si="28"/>
        <v>134.70599999999999</v>
      </c>
      <c r="J113" s="1227">
        <v>230000</v>
      </c>
      <c r="K113" s="1228">
        <v>200</v>
      </c>
      <c r="L113" s="1228">
        <v>0</v>
      </c>
      <c r="M113" s="1228">
        <v>12000</v>
      </c>
      <c r="N113" s="1229">
        <v>0.1</v>
      </c>
      <c r="O113" s="1229">
        <v>6</v>
      </c>
      <c r="P113" s="1229">
        <v>660</v>
      </c>
      <c r="Q113" s="1229">
        <v>3000</v>
      </c>
      <c r="R113" s="1230">
        <f t="shared" si="29"/>
        <v>0</v>
      </c>
      <c r="S113" s="1230">
        <f t="shared" si="30"/>
        <v>0</v>
      </c>
      <c r="T113" s="1230">
        <f t="shared" si="31"/>
        <v>1095.3366666666666</v>
      </c>
      <c r="V113" s="560" t="s">
        <v>1673</v>
      </c>
      <c r="W113" s="560" t="s">
        <v>1672</v>
      </c>
    </row>
    <row r="114" spans="2:23">
      <c r="B114" s="1221" t="s">
        <v>1547</v>
      </c>
      <c r="C114" s="1222" t="str">
        <f>+VLOOKUP(B114,Recursos!C:D,2,FALSE)</f>
        <v>MOTONIVELADORA 14" (21 T)</v>
      </c>
      <c r="D114" s="1223">
        <f t="shared" si="24"/>
        <v>6194.8620000000001</v>
      </c>
      <c r="E114" s="1223">
        <f>+SUMIF(Recursos!C:C,EQ_CE!B114,Recursos!G:G)</f>
        <v>0</v>
      </c>
      <c r="F114" s="1224">
        <f t="shared" si="25"/>
        <v>2579.8240000000001</v>
      </c>
      <c r="G114" s="1225">
        <f t="shared" si="26"/>
        <v>1289.912</v>
      </c>
      <c r="H114" s="1225">
        <f t="shared" si="27"/>
        <v>2190.42</v>
      </c>
      <c r="I114" s="1226">
        <f t="shared" si="28"/>
        <v>134.70599999999999</v>
      </c>
      <c r="J114" s="1227">
        <v>379200</v>
      </c>
      <c r="K114" s="1228">
        <v>215</v>
      </c>
      <c r="L114" s="1228">
        <v>0</v>
      </c>
      <c r="M114" s="1228">
        <v>12000</v>
      </c>
      <c r="N114" s="1229">
        <v>0.1</v>
      </c>
      <c r="O114" s="1229">
        <v>6</v>
      </c>
      <c r="P114" s="1229">
        <v>660</v>
      </c>
      <c r="Q114" s="1229">
        <v>3000</v>
      </c>
      <c r="R114" s="1230">
        <f t="shared" si="29"/>
        <v>0</v>
      </c>
      <c r="S114" s="1230">
        <f t="shared" si="30"/>
        <v>0</v>
      </c>
      <c r="T114" s="1230">
        <f t="shared" si="31"/>
        <v>1805.8768</v>
      </c>
      <c r="V114" s="560" t="s">
        <v>1675</v>
      </c>
      <c r="W114" s="560" t="s">
        <v>1674</v>
      </c>
    </row>
    <row r="115" spans="2:23">
      <c r="B115" s="1221" t="s">
        <v>1664</v>
      </c>
      <c r="C115" s="1222" t="s">
        <v>1665</v>
      </c>
      <c r="D115" s="1223">
        <f t="shared" si="24"/>
        <v>4111.9767199999997</v>
      </c>
      <c r="E115" s="1223">
        <f>+SUMIF(Recursos!C:C,EQ_CE!B115,Recursos!G:G)</f>
        <v>0</v>
      </c>
      <c r="F115" s="1224">
        <f t="shared" si="25"/>
        <v>1708.8884799999998</v>
      </c>
      <c r="G115" s="1225">
        <f t="shared" si="26"/>
        <v>854.44423999999992</v>
      </c>
      <c r="H115" s="1225">
        <f t="shared" si="27"/>
        <v>1507.8240000000003</v>
      </c>
      <c r="I115" s="1226">
        <f t="shared" si="28"/>
        <v>40.82</v>
      </c>
      <c r="J115" s="1227">
        <v>209320</v>
      </c>
      <c r="K115" s="1228">
        <v>185</v>
      </c>
      <c r="L115" s="1228">
        <v>0</v>
      </c>
      <c r="M115" s="1228">
        <v>10000</v>
      </c>
      <c r="N115" s="1229">
        <v>0.08</v>
      </c>
      <c r="O115" s="1229">
        <v>4</v>
      </c>
      <c r="P115" s="1229">
        <v>300</v>
      </c>
      <c r="Q115" s="1229">
        <v>3000</v>
      </c>
      <c r="R115" s="1230">
        <f t="shared" si="29"/>
        <v>0</v>
      </c>
      <c r="S115" s="1230">
        <f t="shared" si="30"/>
        <v>0</v>
      </c>
      <c r="T115" s="1230">
        <f t="shared" si="31"/>
        <v>1196.2219359999999</v>
      </c>
      <c r="V115" s="560" t="s">
        <v>811</v>
      </c>
      <c r="W115" s="560" t="s">
        <v>1555</v>
      </c>
    </row>
    <row r="116" spans="2:23">
      <c r="B116" s="1221" t="s">
        <v>1626</v>
      </c>
      <c r="C116" s="1222" t="str">
        <f>+VLOOKUP(B116,Recursos!C:D,2,FALSE)</f>
        <v>MOTOSIERRA MANUAL</v>
      </c>
      <c r="D116" s="1223">
        <f t="shared" si="24"/>
        <v>147.89599999999999</v>
      </c>
      <c r="E116" s="1223">
        <f>+SUMIF(Recursos!C:C,EQ_CE!B116,Recursos!G:G)</f>
        <v>0</v>
      </c>
      <c r="F116" s="1224">
        <f t="shared" si="25"/>
        <v>68.033333333333331</v>
      </c>
      <c r="G116" s="1225">
        <f t="shared" si="26"/>
        <v>34.016666666666666</v>
      </c>
      <c r="H116" s="1225">
        <f t="shared" si="27"/>
        <v>45.845999999999997</v>
      </c>
      <c r="I116" s="1226">
        <f t="shared" si="28"/>
        <v>0</v>
      </c>
      <c r="J116" s="1227">
        <v>2500</v>
      </c>
      <c r="K116" s="1228">
        <v>3</v>
      </c>
      <c r="L116" s="1228">
        <v>0</v>
      </c>
      <c r="M116" s="1228">
        <v>3000</v>
      </c>
      <c r="N116" s="1229">
        <v>0.15</v>
      </c>
      <c r="O116" s="1229">
        <v>0</v>
      </c>
      <c r="P116" s="1229">
        <v>0</v>
      </c>
      <c r="Q116" s="1229">
        <v>0</v>
      </c>
      <c r="R116" s="1230">
        <f t="shared" si="29"/>
        <v>0</v>
      </c>
      <c r="S116" s="1230">
        <f t="shared" si="30"/>
        <v>0</v>
      </c>
      <c r="T116" s="1230">
        <f t="shared" si="31"/>
        <v>47.623333333333335</v>
      </c>
      <c r="V116" s="560" t="s">
        <v>812</v>
      </c>
      <c r="W116" s="560" t="s">
        <v>1556</v>
      </c>
    </row>
    <row r="117" spans="2:23">
      <c r="B117" s="1221" t="s">
        <v>1666</v>
      </c>
      <c r="C117" s="1222" t="s">
        <v>1667</v>
      </c>
      <c r="D117" s="1223">
        <f t="shared" si="24"/>
        <v>15928.336080000001</v>
      </c>
      <c r="E117" s="1223">
        <f>+SUMIF(Recursos!C:C,EQ_CE!B117,Recursos!G:G)</f>
        <v>0</v>
      </c>
      <c r="F117" s="1224">
        <f t="shared" si="25"/>
        <v>6788.2027200000002</v>
      </c>
      <c r="G117" s="1225">
        <f t="shared" si="26"/>
        <v>3394.1013600000001</v>
      </c>
      <c r="H117" s="1225">
        <f t="shared" si="27"/>
        <v>5746.0320000000002</v>
      </c>
      <c r="I117" s="1226">
        <f t="shared" si="28"/>
        <v>0</v>
      </c>
      <c r="J117" s="1227">
        <v>831480</v>
      </c>
      <c r="K117" s="1228">
        <v>705</v>
      </c>
      <c r="L117" s="1228">
        <v>0</v>
      </c>
      <c r="M117" s="1228">
        <v>10000</v>
      </c>
      <c r="N117" s="1229">
        <v>0.08</v>
      </c>
      <c r="O117" s="1229">
        <v>0</v>
      </c>
      <c r="P117" s="1229">
        <v>0</v>
      </c>
      <c r="Q117" s="1229">
        <v>0</v>
      </c>
      <c r="R117" s="1230">
        <f t="shared" si="29"/>
        <v>0</v>
      </c>
      <c r="S117" s="1230">
        <f t="shared" si="30"/>
        <v>0</v>
      </c>
      <c r="T117" s="1230">
        <f t="shared" si="31"/>
        <v>4751.7419040000004</v>
      </c>
      <c r="V117" s="560" t="s">
        <v>853</v>
      </c>
      <c r="W117" s="560" t="s">
        <v>1562</v>
      </c>
    </row>
    <row r="118" spans="2:23">
      <c r="B118" s="1221" t="s">
        <v>1592</v>
      </c>
      <c r="C118" s="1222" t="str">
        <f>+VLOOKUP(B118,Recursos!C:D,2,FALSE)</f>
        <v>OMNIBUS DE 40 PASAJEROS</v>
      </c>
      <c r="D118" s="1223">
        <f t="shared" si="24"/>
        <v>1845.7450000000003</v>
      </c>
      <c r="E118" s="1223">
        <f>+SUMIF(Recursos!C:C,EQ_CE!B118,Recursos!G:G)</f>
        <v>0</v>
      </c>
      <c r="F118" s="1224">
        <f t="shared" si="25"/>
        <v>653.12</v>
      </c>
      <c r="G118" s="1225">
        <f t="shared" si="26"/>
        <v>326.56</v>
      </c>
      <c r="H118" s="1225">
        <f t="shared" si="27"/>
        <v>815.04000000000008</v>
      </c>
      <c r="I118" s="1226">
        <f t="shared" si="28"/>
        <v>51.024999999999999</v>
      </c>
      <c r="J118" s="1227">
        <v>80000</v>
      </c>
      <c r="K118" s="1228">
        <v>200</v>
      </c>
      <c r="L118" s="1228">
        <v>0</v>
      </c>
      <c r="M118" s="1228">
        <v>10000</v>
      </c>
      <c r="N118" s="1229">
        <v>0.04</v>
      </c>
      <c r="O118" s="1229">
        <v>6</v>
      </c>
      <c r="P118" s="1229">
        <v>250</v>
      </c>
      <c r="Q118" s="1229">
        <v>3000</v>
      </c>
      <c r="R118" s="1230">
        <f t="shared" si="29"/>
        <v>0</v>
      </c>
      <c r="S118" s="1230">
        <f t="shared" si="30"/>
        <v>0</v>
      </c>
      <c r="T118" s="1230">
        <f t="shared" si="31"/>
        <v>457.18399999999997</v>
      </c>
      <c r="V118" s="560" t="s">
        <v>854</v>
      </c>
      <c r="W118" s="560" t="s">
        <v>1563</v>
      </c>
    </row>
    <row r="119" spans="2:23">
      <c r="B119" s="1221" t="s">
        <v>1726</v>
      </c>
      <c r="C119" s="1222" t="s">
        <v>1727</v>
      </c>
      <c r="D119" s="1223">
        <f t="shared" si="24"/>
        <v>8473.1039999999994</v>
      </c>
      <c r="E119" s="1223">
        <f>+SUMIF(Recursos!C:C,EQ_CE!B119,Recursos!G:G)</f>
        <v>0</v>
      </c>
      <c r="F119" s="1224">
        <f t="shared" si="25"/>
        <v>4545.7151999999996</v>
      </c>
      <c r="G119" s="1225">
        <f t="shared" si="26"/>
        <v>2272.8575999999998</v>
      </c>
      <c r="H119" s="1225">
        <f t="shared" si="27"/>
        <v>1654.5312000000004</v>
      </c>
      <c r="I119" s="1226">
        <f t="shared" si="28"/>
        <v>0</v>
      </c>
      <c r="J119" s="1227">
        <v>556800</v>
      </c>
      <c r="K119" s="1228">
        <v>203</v>
      </c>
      <c r="L119" s="1228">
        <v>0</v>
      </c>
      <c r="M119" s="1228">
        <v>10000</v>
      </c>
      <c r="N119" s="1229">
        <v>0.08</v>
      </c>
      <c r="O119" s="1229">
        <v>0</v>
      </c>
      <c r="P119" s="1229">
        <v>0</v>
      </c>
      <c r="Q119" s="1229">
        <v>0</v>
      </c>
      <c r="R119" s="1230">
        <f t="shared" si="29"/>
        <v>0</v>
      </c>
      <c r="S119" s="1230">
        <f t="shared" si="30"/>
        <v>0</v>
      </c>
      <c r="T119" s="1230">
        <f t="shared" si="31"/>
        <v>3182.0006399999997</v>
      </c>
      <c r="V119" s="560" t="s">
        <v>1677</v>
      </c>
      <c r="W119" s="560" t="s">
        <v>1676</v>
      </c>
    </row>
    <row r="120" spans="2:23">
      <c r="B120" s="1221" t="s">
        <v>3300</v>
      </c>
      <c r="C120" s="1222" t="str">
        <f>+VLOOKUP(B120,Recursos!C:D,2,FALSE)</f>
        <v>PERFORADORA HIDRÁULICA ROTATIVA LO DRILL</v>
      </c>
      <c r="D120" s="1223">
        <f t="shared" si="24"/>
        <v>1224.5999999999999</v>
      </c>
      <c r="E120" s="1223">
        <f>+SUMIF(Recursos!C:C,EQ_CE!B120,Recursos!G:G)</f>
        <v>0</v>
      </c>
      <c r="F120" s="1224">
        <f t="shared" si="25"/>
        <v>816.4</v>
      </c>
      <c r="G120" s="1225">
        <f t="shared" si="26"/>
        <v>408.2</v>
      </c>
      <c r="H120" s="1225">
        <f t="shared" si="27"/>
        <v>0</v>
      </c>
      <c r="I120" s="1226">
        <f t="shared" si="28"/>
        <v>0</v>
      </c>
      <c r="J120" s="1227">
        <v>100000</v>
      </c>
      <c r="K120" s="1228">
        <v>30</v>
      </c>
      <c r="L120" s="1228">
        <v>0</v>
      </c>
      <c r="M120" s="1228">
        <v>10000</v>
      </c>
      <c r="N120" s="1229">
        <v>0</v>
      </c>
      <c r="O120" s="1229">
        <v>0</v>
      </c>
      <c r="P120" s="1229">
        <v>0</v>
      </c>
      <c r="Q120" s="1229">
        <v>0</v>
      </c>
      <c r="R120" s="1230">
        <f t="shared" si="29"/>
        <v>0</v>
      </c>
      <c r="S120" s="1230">
        <f t="shared" si="30"/>
        <v>0</v>
      </c>
      <c r="T120" s="1230">
        <f t="shared" si="31"/>
        <v>571.48</v>
      </c>
      <c r="V120" s="560" t="s">
        <v>1679</v>
      </c>
      <c r="W120" s="560" t="s">
        <v>1678</v>
      </c>
    </row>
    <row r="121" spans="2:23">
      <c r="B121" s="1221" t="s">
        <v>1578</v>
      </c>
      <c r="C121" s="1222" t="str">
        <f>+VLOOKUP(B121,Recursos!C:D,2,FALSE)</f>
        <v>PERFORADORA HIDRÁULICA ROTATIVA LO DRILL</v>
      </c>
      <c r="D121" s="1223">
        <f t="shared" si="24"/>
        <v>1224.5999999999999</v>
      </c>
      <c r="E121" s="1223">
        <f>+SUMIF(Recursos!C:C,EQ_CE!B121,Recursos!G:G)</f>
        <v>0</v>
      </c>
      <c r="F121" s="1224">
        <f t="shared" si="25"/>
        <v>816.4</v>
      </c>
      <c r="G121" s="1225">
        <f t="shared" si="26"/>
        <v>408.2</v>
      </c>
      <c r="H121" s="1225">
        <f t="shared" si="27"/>
        <v>0</v>
      </c>
      <c r="I121" s="1226">
        <f t="shared" si="28"/>
        <v>0</v>
      </c>
      <c r="J121" s="1227">
        <v>100000</v>
      </c>
      <c r="K121" s="1228">
        <v>30</v>
      </c>
      <c r="L121" s="1228">
        <v>0</v>
      </c>
      <c r="M121" s="1228">
        <v>10000</v>
      </c>
      <c r="N121" s="1229">
        <v>0</v>
      </c>
      <c r="O121" s="1229">
        <v>0</v>
      </c>
      <c r="P121" s="1229">
        <v>0</v>
      </c>
      <c r="Q121" s="1229">
        <v>0</v>
      </c>
      <c r="R121" s="1230">
        <f t="shared" si="29"/>
        <v>0</v>
      </c>
      <c r="S121" s="1230">
        <f t="shared" si="30"/>
        <v>0</v>
      </c>
      <c r="T121" s="1230">
        <f t="shared" si="31"/>
        <v>571.48</v>
      </c>
      <c r="V121" s="560" t="s">
        <v>813</v>
      </c>
      <c r="W121" s="560" t="s">
        <v>1557</v>
      </c>
    </row>
    <row r="122" spans="2:23">
      <c r="B122" s="1221" t="s">
        <v>1633</v>
      </c>
      <c r="C122" s="1222" t="str">
        <f>+VLOOKUP(B122,Recursos!C:D,2,FALSE)</f>
        <v>PERFORADORA SOILMEC</v>
      </c>
      <c r="D122" s="1223">
        <f t="shared" si="24"/>
        <v>5550.84</v>
      </c>
      <c r="E122" s="1223">
        <f>+SUMIF(Recursos!C:C,EQ_CE!B122,Recursos!G:G)</f>
        <v>0</v>
      </c>
      <c r="F122" s="1224">
        <f t="shared" si="25"/>
        <v>3428.88</v>
      </c>
      <c r="G122" s="1225">
        <f t="shared" si="26"/>
        <v>1714.44</v>
      </c>
      <c r="H122" s="1225">
        <f t="shared" si="27"/>
        <v>407.52000000000004</v>
      </c>
      <c r="I122" s="1226">
        <f t="shared" si="28"/>
        <v>0</v>
      </c>
      <c r="J122" s="1227">
        <v>210000</v>
      </c>
      <c r="K122" s="1228">
        <v>50</v>
      </c>
      <c r="L122" s="1228">
        <v>0</v>
      </c>
      <c r="M122" s="1228">
        <v>5000</v>
      </c>
      <c r="N122" s="1229">
        <v>0.08</v>
      </c>
      <c r="O122" s="1229">
        <v>0</v>
      </c>
      <c r="P122" s="1229">
        <v>0</v>
      </c>
      <c r="Q122" s="1229">
        <v>0</v>
      </c>
      <c r="R122" s="1230">
        <f t="shared" si="29"/>
        <v>0</v>
      </c>
      <c r="S122" s="1230">
        <f t="shared" si="30"/>
        <v>0</v>
      </c>
      <c r="T122" s="1230">
        <f t="shared" si="31"/>
        <v>2400.2160000000003</v>
      </c>
      <c r="V122" s="560" t="s">
        <v>953</v>
      </c>
      <c r="W122" s="560" t="s">
        <v>1591</v>
      </c>
    </row>
    <row r="123" spans="2:23">
      <c r="B123" s="1221" t="s">
        <v>1570</v>
      </c>
      <c r="C123" s="1222" t="str">
        <f>+VLOOKUP(B123,Recursos!C:D,2,FALSE)</f>
        <v>PLANCHA VIBRATORIA 32x28 cm-68 Kg</v>
      </c>
      <c r="D123" s="1223">
        <f t="shared" si="24"/>
        <v>125.63040000000001</v>
      </c>
      <c r="E123" s="1223">
        <f>+SUMIF(Recursos!C:C,EQ_CE!B123,Recursos!G:G)</f>
        <v>0</v>
      </c>
      <c r="F123" s="1224">
        <f t="shared" si="25"/>
        <v>45.718400000000003</v>
      </c>
      <c r="G123" s="1225">
        <f t="shared" si="26"/>
        <v>22.859200000000001</v>
      </c>
      <c r="H123" s="1225">
        <f t="shared" si="27"/>
        <v>57.052800000000012</v>
      </c>
      <c r="I123" s="1226">
        <f t="shared" si="28"/>
        <v>0</v>
      </c>
      <c r="J123" s="1227">
        <v>1400</v>
      </c>
      <c r="K123" s="1228">
        <v>4</v>
      </c>
      <c r="L123" s="1228">
        <v>0</v>
      </c>
      <c r="M123" s="1228">
        <v>2500</v>
      </c>
      <c r="N123" s="1229">
        <v>0.14000000000000001</v>
      </c>
      <c r="O123" s="1229">
        <v>0</v>
      </c>
      <c r="P123" s="1229">
        <v>0</v>
      </c>
      <c r="Q123" s="1229">
        <v>0</v>
      </c>
      <c r="R123" s="1230">
        <f t="shared" si="29"/>
        <v>0</v>
      </c>
      <c r="S123" s="1230">
        <f t="shared" si="30"/>
        <v>0</v>
      </c>
      <c r="T123" s="1230">
        <f t="shared" si="31"/>
        <v>32.002880000000005</v>
      </c>
      <c r="V123" s="560" t="s">
        <v>814</v>
      </c>
      <c r="W123" s="560" t="s">
        <v>1558</v>
      </c>
    </row>
    <row r="124" spans="2:23">
      <c r="B124" s="1221" t="s">
        <v>1571</v>
      </c>
      <c r="C124" s="1222" t="str">
        <f>+VLOOKUP(B124,Recursos!C:D,2,FALSE)</f>
        <v>PLANCHA VIBRATORIA 90x70 cm-470 Kg</v>
      </c>
      <c r="D124" s="1223">
        <f t="shared" si="24"/>
        <v>624.11760000000004</v>
      </c>
      <c r="E124" s="1223">
        <f>+SUMIF(Recursos!C:C,EQ_CE!B124,Recursos!G:G)</f>
        <v>2</v>
      </c>
      <c r="F124" s="1224">
        <f t="shared" si="25"/>
        <v>244.92</v>
      </c>
      <c r="G124" s="1225">
        <f t="shared" si="26"/>
        <v>122.46</v>
      </c>
      <c r="H124" s="1225">
        <f t="shared" si="27"/>
        <v>256.73759999999999</v>
      </c>
      <c r="I124" s="1226">
        <f t="shared" si="28"/>
        <v>0</v>
      </c>
      <c r="J124" s="1227">
        <v>15000</v>
      </c>
      <c r="K124" s="1228">
        <v>21</v>
      </c>
      <c r="L124" s="1228">
        <v>0</v>
      </c>
      <c r="M124" s="1228">
        <v>5000</v>
      </c>
      <c r="N124" s="1229">
        <v>0.12</v>
      </c>
      <c r="O124" s="1229">
        <v>0</v>
      </c>
      <c r="P124" s="1229">
        <v>0</v>
      </c>
      <c r="Q124" s="1229">
        <v>0</v>
      </c>
      <c r="R124" s="1230">
        <f t="shared" si="29"/>
        <v>5.04</v>
      </c>
      <c r="S124" s="1230">
        <f t="shared" si="30"/>
        <v>0</v>
      </c>
      <c r="T124" s="1230">
        <f t="shared" si="31"/>
        <v>171.44399999999999</v>
      </c>
      <c r="V124" s="560" t="s">
        <v>815</v>
      </c>
      <c r="W124" s="560" t="s">
        <v>1559</v>
      </c>
    </row>
    <row r="125" spans="2:23">
      <c r="B125" s="1221" t="s">
        <v>1728</v>
      </c>
      <c r="C125" s="1222" t="s">
        <v>1729</v>
      </c>
      <c r="D125" s="1223">
        <f t="shared" si="24"/>
        <v>10757.6232</v>
      </c>
      <c r="E125" s="1223">
        <f>+SUMIF(Recursos!C:C,EQ_CE!B125,Recursos!G:G)</f>
        <v>0</v>
      </c>
      <c r="F125" s="1224">
        <f t="shared" si="25"/>
        <v>5509.0672000000004</v>
      </c>
      <c r="G125" s="1225">
        <f t="shared" si="26"/>
        <v>2754.5336000000002</v>
      </c>
      <c r="H125" s="1225">
        <f t="shared" si="27"/>
        <v>2494.0224000000003</v>
      </c>
      <c r="I125" s="1226">
        <f t="shared" si="28"/>
        <v>0</v>
      </c>
      <c r="J125" s="1227">
        <v>674800</v>
      </c>
      <c r="K125" s="1228">
        <v>306</v>
      </c>
      <c r="L125" s="1228">
        <v>0</v>
      </c>
      <c r="M125" s="1228">
        <v>10000</v>
      </c>
      <c r="N125" s="1229">
        <v>0.08</v>
      </c>
      <c r="O125" s="1229">
        <v>0</v>
      </c>
      <c r="P125" s="1229">
        <v>0</v>
      </c>
      <c r="Q125" s="1229">
        <v>0</v>
      </c>
      <c r="R125" s="1230">
        <f t="shared" si="29"/>
        <v>0</v>
      </c>
      <c r="S125" s="1230">
        <f t="shared" si="30"/>
        <v>0</v>
      </c>
      <c r="T125" s="1230">
        <f t="shared" si="31"/>
        <v>3856.3470400000006</v>
      </c>
      <c r="V125" s="560" t="s">
        <v>816</v>
      </c>
      <c r="W125" s="560" t="s">
        <v>1560</v>
      </c>
    </row>
    <row r="126" spans="2:23">
      <c r="B126" s="1221" t="s">
        <v>1631</v>
      </c>
      <c r="C126" s="1222" t="str">
        <f>+VLOOKUP(B126,Recursos!C:D,2,FALSE)</f>
        <v>PLANTA DE HIELO CAP. 15 Tn/h</v>
      </c>
      <c r="D126" s="1223">
        <f t="shared" si="24"/>
        <v>9184.5</v>
      </c>
      <c r="E126" s="1223">
        <f>+SUMIF(Recursos!C:C,EQ_CE!B126,Recursos!G:G)</f>
        <v>0</v>
      </c>
      <c r="F126" s="1224">
        <f t="shared" si="25"/>
        <v>6123</v>
      </c>
      <c r="G126" s="1225">
        <f t="shared" si="26"/>
        <v>3061.5</v>
      </c>
      <c r="H126" s="1225">
        <f t="shared" si="27"/>
        <v>0</v>
      </c>
      <c r="I126" s="1226">
        <f t="shared" si="28"/>
        <v>0</v>
      </c>
      <c r="J126" s="1227">
        <v>750000</v>
      </c>
      <c r="K126" s="1228">
        <v>0</v>
      </c>
      <c r="L126" s="1228">
        <v>300</v>
      </c>
      <c r="M126" s="1228">
        <v>10000</v>
      </c>
      <c r="N126" s="1229">
        <v>0</v>
      </c>
      <c r="O126" s="1229">
        <v>0</v>
      </c>
      <c r="P126" s="1229">
        <v>0</v>
      </c>
      <c r="Q126" s="1229">
        <v>0</v>
      </c>
      <c r="R126" s="1230">
        <f t="shared" si="29"/>
        <v>0</v>
      </c>
      <c r="S126" s="1230">
        <f t="shared" si="30"/>
        <v>0</v>
      </c>
      <c r="T126" s="1230">
        <f t="shared" si="31"/>
        <v>4286.1000000000004</v>
      </c>
      <c r="V126" s="560" t="s">
        <v>817</v>
      </c>
      <c r="W126" s="560" t="s">
        <v>1561</v>
      </c>
    </row>
    <row r="127" spans="2:23">
      <c r="B127" s="1221" t="s">
        <v>1614</v>
      </c>
      <c r="C127" s="1222" t="str">
        <f>+VLOOKUP(B127,Recursos!C:D,2,FALSE)</f>
        <v>PLANTA DE HIELO CAP. 2 Tn/h</v>
      </c>
      <c r="D127" s="1223">
        <f t="shared" si="24"/>
        <v>3673.7999999999997</v>
      </c>
      <c r="E127" s="1223">
        <f>+SUMIF(Recursos!C:C,EQ_CE!B127,Recursos!G:G)</f>
        <v>0</v>
      </c>
      <c r="F127" s="1224">
        <f t="shared" si="25"/>
        <v>2449.1999999999998</v>
      </c>
      <c r="G127" s="1225">
        <f t="shared" si="26"/>
        <v>1224.5999999999999</v>
      </c>
      <c r="H127" s="1225">
        <f t="shared" si="27"/>
        <v>0</v>
      </c>
      <c r="I127" s="1226">
        <f t="shared" si="28"/>
        <v>0</v>
      </c>
      <c r="J127" s="1227">
        <v>450000</v>
      </c>
      <c r="K127" s="1228">
        <v>0</v>
      </c>
      <c r="L127" s="1228">
        <v>300</v>
      </c>
      <c r="M127" s="1228">
        <v>15000</v>
      </c>
      <c r="N127" s="1229">
        <v>0</v>
      </c>
      <c r="O127" s="1229">
        <v>0</v>
      </c>
      <c r="P127" s="1229">
        <v>0</v>
      </c>
      <c r="Q127" s="1229">
        <v>0</v>
      </c>
      <c r="R127" s="1230">
        <f t="shared" si="29"/>
        <v>0</v>
      </c>
      <c r="S127" s="1230">
        <f t="shared" si="30"/>
        <v>0</v>
      </c>
      <c r="T127" s="1230">
        <f t="shared" si="31"/>
        <v>1714.4399999999998</v>
      </c>
      <c r="V127" s="560" t="s">
        <v>856</v>
      </c>
      <c r="W127" s="560" t="s">
        <v>1565</v>
      </c>
    </row>
    <row r="128" spans="2:23">
      <c r="B128" s="1221" t="s">
        <v>1606</v>
      </c>
      <c r="C128" s="1222" t="str">
        <f>+VLOOKUP(B128,Recursos!C:D,2,FALSE)</f>
        <v>PLANTA DE ZARANDEO 100/175 T/H</v>
      </c>
      <c r="D128" s="1223">
        <f t="shared" si="24"/>
        <v>793.94899999999996</v>
      </c>
      <c r="E128" s="1223">
        <f>+SUMIF(Recursos!C:C,EQ_CE!B128,Recursos!G:G)</f>
        <v>0.31651199999999996</v>
      </c>
      <c r="F128" s="1224">
        <f t="shared" si="25"/>
        <v>510.25</v>
      </c>
      <c r="G128" s="1225">
        <f t="shared" si="26"/>
        <v>255.125</v>
      </c>
      <c r="H128" s="1225">
        <f t="shared" si="27"/>
        <v>0</v>
      </c>
      <c r="I128" s="1226">
        <f t="shared" si="28"/>
        <v>28.574000000000002</v>
      </c>
      <c r="J128" s="1227">
        <v>75000</v>
      </c>
      <c r="K128" s="1228">
        <v>0</v>
      </c>
      <c r="L128" s="1228">
        <v>30</v>
      </c>
      <c r="M128" s="1228">
        <v>12000</v>
      </c>
      <c r="N128" s="1229">
        <v>0</v>
      </c>
      <c r="O128" s="1229">
        <v>4</v>
      </c>
      <c r="P128" s="1229">
        <v>350</v>
      </c>
      <c r="Q128" s="1229">
        <v>5000</v>
      </c>
      <c r="R128" s="1230">
        <f t="shared" si="29"/>
        <v>0</v>
      </c>
      <c r="S128" s="1230">
        <f t="shared" si="30"/>
        <v>9.495359999999998</v>
      </c>
      <c r="T128" s="1230">
        <f t="shared" si="31"/>
        <v>357.17500000000001</v>
      </c>
      <c r="V128" s="560" t="s">
        <v>857</v>
      </c>
      <c r="W128" s="560" t="s">
        <v>1566</v>
      </c>
    </row>
    <row r="129" spans="2:23">
      <c r="B129" s="1221" t="s">
        <v>1704</v>
      </c>
      <c r="C129" s="1222" t="s">
        <v>1705</v>
      </c>
      <c r="D129" s="1223">
        <f t="shared" si="24"/>
        <v>1561.4874599999998</v>
      </c>
      <c r="E129" s="1223">
        <f>+SUMIF(Recursos!C:C,EQ_CE!B129,Recursos!G:G)</f>
        <v>0</v>
      </c>
      <c r="F129" s="1224">
        <f t="shared" si="25"/>
        <v>1040.99164</v>
      </c>
      <c r="G129" s="1225">
        <f t="shared" si="26"/>
        <v>520.49581999999998</v>
      </c>
      <c r="H129" s="1225">
        <f t="shared" si="27"/>
        <v>0</v>
      </c>
      <c r="I129" s="1226">
        <f t="shared" si="28"/>
        <v>0</v>
      </c>
      <c r="J129" s="1227">
        <v>127510</v>
      </c>
      <c r="K129" s="1228">
        <v>0</v>
      </c>
      <c r="L129" s="1228">
        <v>50</v>
      </c>
      <c r="M129" s="1228">
        <v>10000</v>
      </c>
      <c r="N129" s="1229">
        <v>0.08</v>
      </c>
      <c r="O129" s="1229">
        <v>0</v>
      </c>
      <c r="P129" s="1229">
        <v>0</v>
      </c>
      <c r="Q129" s="1229">
        <v>0</v>
      </c>
      <c r="R129" s="1230">
        <f t="shared" si="29"/>
        <v>0</v>
      </c>
      <c r="S129" s="1230">
        <f t="shared" si="30"/>
        <v>0</v>
      </c>
      <c r="T129" s="1230">
        <f t="shared" si="31"/>
        <v>728.69414800000004</v>
      </c>
      <c r="V129" s="560" t="s">
        <v>1681</v>
      </c>
      <c r="W129" s="560" t="s">
        <v>1680</v>
      </c>
    </row>
    <row r="130" spans="2:23">
      <c r="B130" s="1221" t="s">
        <v>1611</v>
      </c>
      <c r="C130" s="1222" t="str">
        <f>+VLOOKUP(B130,Recursos!C:D,2,FALSE)</f>
        <v>PLANTA ELAB. HORMIGON (30-50 M3/H)</v>
      </c>
      <c r="D130" s="1223">
        <f t="shared" si="24"/>
        <v>1836.8999999999999</v>
      </c>
      <c r="E130" s="1223">
        <f>+SUMIF(Recursos!C:C,EQ_CE!B130,Recursos!G:G)</f>
        <v>0</v>
      </c>
      <c r="F130" s="1224">
        <f t="shared" si="25"/>
        <v>1224.5999999999999</v>
      </c>
      <c r="G130" s="1225">
        <f t="shared" si="26"/>
        <v>612.29999999999995</v>
      </c>
      <c r="H130" s="1225">
        <f t="shared" si="27"/>
        <v>0</v>
      </c>
      <c r="I130" s="1226">
        <f t="shared" si="28"/>
        <v>0</v>
      </c>
      <c r="J130" s="1227">
        <v>165000</v>
      </c>
      <c r="K130" s="1228">
        <v>0</v>
      </c>
      <c r="L130" s="1228">
        <v>70</v>
      </c>
      <c r="M130" s="1228">
        <v>11000</v>
      </c>
      <c r="N130" s="1229">
        <v>0</v>
      </c>
      <c r="O130" s="1229">
        <v>0</v>
      </c>
      <c r="P130" s="1229">
        <v>0</v>
      </c>
      <c r="Q130" s="1229">
        <v>0</v>
      </c>
      <c r="R130" s="1230">
        <f t="shared" si="29"/>
        <v>0</v>
      </c>
      <c r="S130" s="1230">
        <f t="shared" si="30"/>
        <v>0</v>
      </c>
      <c r="T130" s="1230">
        <f t="shared" si="31"/>
        <v>857.21999999999991</v>
      </c>
      <c r="V130" s="560" t="s">
        <v>858</v>
      </c>
      <c r="W130" s="560" t="s">
        <v>1567</v>
      </c>
    </row>
    <row r="131" spans="2:23">
      <c r="B131" s="1221" t="s">
        <v>1612</v>
      </c>
      <c r="C131" s="1222" t="str">
        <f>+VLOOKUP(B131,Recursos!C:D,2,FALSE)</f>
        <v>PLANTA ELAB. HORMIGON (30-50 M3/H)</v>
      </c>
      <c r="D131" s="1223">
        <f t="shared" si="24"/>
        <v>4041.18</v>
      </c>
      <c r="E131" s="1223">
        <f>+SUMIF(Recursos!C:C,EQ_CE!B131,Recursos!G:G)</f>
        <v>0</v>
      </c>
      <c r="F131" s="1224">
        <f t="shared" si="25"/>
        <v>2694.12</v>
      </c>
      <c r="G131" s="1225">
        <f t="shared" si="26"/>
        <v>1347.06</v>
      </c>
      <c r="H131" s="1225">
        <f t="shared" si="27"/>
        <v>0</v>
      </c>
      <c r="I131" s="1226">
        <f t="shared" si="28"/>
        <v>0</v>
      </c>
      <c r="J131" s="1227">
        <v>396000</v>
      </c>
      <c r="K131" s="1228">
        <v>0</v>
      </c>
      <c r="L131" s="1228">
        <v>150</v>
      </c>
      <c r="M131" s="1228">
        <v>12000</v>
      </c>
      <c r="N131" s="1229">
        <v>0</v>
      </c>
      <c r="O131" s="1229">
        <v>0</v>
      </c>
      <c r="P131" s="1229">
        <v>0</v>
      </c>
      <c r="Q131" s="1229">
        <v>0</v>
      </c>
      <c r="R131" s="1230">
        <f t="shared" si="29"/>
        <v>0</v>
      </c>
      <c r="S131" s="1230">
        <f t="shared" si="30"/>
        <v>0</v>
      </c>
      <c r="T131" s="1230">
        <f t="shared" si="31"/>
        <v>1885.884</v>
      </c>
      <c r="V131" s="560" t="s">
        <v>859</v>
      </c>
      <c r="W131" s="560" t="s">
        <v>1568</v>
      </c>
    </row>
    <row r="132" spans="2:23">
      <c r="B132" s="1221" t="s">
        <v>1610</v>
      </c>
      <c r="C132" s="1222" t="str">
        <f>+VLOOKUP(B132,Recursos!C:D,2,FALSE)</f>
        <v>PLANTA ELAB. HORMIGON (50-90 M3/H)</v>
      </c>
      <c r="D132" s="1223">
        <f t="shared" si="24"/>
        <v>2469.6099999999997</v>
      </c>
      <c r="E132" s="1223">
        <f>+SUMIF(Recursos!C:C,EQ_CE!B132,Recursos!G:G)</f>
        <v>0</v>
      </c>
      <c r="F132" s="1224">
        <f t="shared" si="25"/>
        <v>1646.4066666666665</v>
      </c>
      <c r="G132" s="1225">
        <f t="shared" si="26"/>
        <v>823.20333333333326</v>
      </c>
      <c r="H132" s="1225">
        <f t="shared" si="27"/>
        <v>0</v>
      </c>
      <c r="I132" s="1226">
        <f t="shared" si="28"/>
        <v>0</v>
      </c>
      <c r="J132" s="1227">
        <v>242000</v>
      </c>
      <c r="K132" s="1228">
        <v>0</v>
      </c>
      <c r="L132" s="1228">
        <v>100</v>
      </c>
      <c r="M132" s="1228">
        <v>12000</v>
      </c>
      <c r="N132" s="1229">
        <v>0</v>
      </c>
      <c r="O132" s="1229">
        <v>0</v>
      </c>
      <c r="P132" s="1229">
        <v>0</v>
      </c>
      <c r="Q132" s="1229">
        <v>0</v>
      </c>
      <c r="R132" s="1230">
        <f t="shared" si="29"/>
        <v>0</v>
      </c>
      <c r="S132" s="1230">
        <f t="shared" si="30"/>
        <v>0</v>
      </c>
      <c r="T132" s="1230">
        <f t="shared" si="31"/>
        <v>1152.4846666666667</v>
      </c>
      <c r="V132" s="560" t="s">
        <v>1683</v>
      </c>
      <c r="W132" s="560" t="s">
        <v>1682</v>
      </c>
    </row>
    <row r="133" spans="2:23">
      <c r="B133" s="1221" t="s">
        <v>1630</v>
      </c>
      <c r="C133" s="1222" t="str">
        <f>+VLOOKUP(B133,Recursos!C:D,2,FALSE)</f>
        <v>PLANTA ELAB. HORMIGON (90-120 M3/H)</v>
      </c>
      <c r="D133" s="1223">
        <f t="shared" si="24"/>
        <v>3918.7200000000003</v>
      </c>
      <c r="E133" s="1223">
        <f>+SUMIF(Recursos!C:C,EQ_CE!B133,Recursos!G:G)</f>
        <v>0</v>
      </c>
      <c r="F133" s="1224">
        <f t="shared" si="25"/>
        <v>2612.48</v>
      </c>
      <c r="G133" s="1225">
        <f t="shared" si="26"/>
        <v>1306.24</v>
      </c>
      <c r="H133" s="1225">
        <f t="shared" si="27"/>
        <v>0</v>
      </c>
      <c r="I133" s="1226">
        <f t="shared" si="28"/>
        <v>0</v>
      </c>
      <c r="J133" s="1227">
        <v>320000</v>
      </c>
      <c r="K133" s="1228">
        <v>0</v>
      </c>
      <c r="L133" s="1228">
        <v>100</v>
      </c>
      <c r="M133" s="1228">
        <v>10000</v>
      </c>
      <c r="N133" s="1229">
        <v>0</v>
      </c>
      <c r="O133" s="1229">
        <v>0</v>
      </c>
      <c r="P133" s="1229">
        <v>0</v>
      </c>
      <c r="Q133" s="1229">
        <v>0</v>
      </c>
      <c r="R133" s="1230">
        <f t="shared" si="29"/>
        <v>0</v>
      </c>
      <c r="S133" s="1230">
        <f t="shared" si="30"/>
        <v>0</v>
      </c>
      <c r="T133" s="1230">
        <f t="shared" si="31"/>
        <v>1828.7359999999999</v>
      </c>
      <c r="V133" s="560" t="s">
        <v>1685</v>
      </c>
      <c r="W133" s="560" t="s">
        <v>1684</v>
      </c>
    </row>
    <row r="134" spans="2:23">
      <c r="B134" s="1221" t="s">
        <v>1708</v>
      </c>
      <c r="C134" s="1222" t="s">
        <v>1709</v>
      </c>
      <c r="D134" s="1223">
        <f t="shared" ref="D134:D165" si="32">+SUM(F134:I134)</f>
        <v>1511.52378</v>
      </c>
      <c r="E134" s="1223">
        <f>+SUMIF(Recursos!C:C,EQ_CE!B134,Recursos!G:G)</f>
        <v>0</v>
      </c>
      <c r="F134" s="1224">
        <f t="shared" ref="F134:F165" si="33">+(J134*(1-vres))/M134*usd</f>
        <v>1007.68252</v>
      </c>
      <c r="G134" s="1225">
        <f t="shared" ref="G134:G165" si="34">+ryr*F134</f>
        <v>503.84125999999998</v>
      </c>
      <c r="H134" s="1225">
        <f t="shared" ref="H134:H165" si="35">+N134*K134*comb*(1+lub)</f>
        <v>0</v>
      </c>
      <c r="I134" s="1226">
        <f t="shared" ref="I134:I165" si="36">+IF(Q134&gt;0,(O134*P134)*usd/Q134,0)</f>
        <v>0</v>
      </c>
      <c r="J134" s="1227">
        <v>123430</v>
      </c>
      <c r="K134" s="1228">
        <v>0</v>
      </c>
      <c r="L134" s="1228">
        <v>110</v>
      </c>
      <c r="M134" s="1228">
        <v>10000</v>
      </c>
      <c r="N134" s="1229">
        <v>0.08</v>
      </c>
      <c r="O134" s="1229">
        <v>0</v>
      </c>
      <c r="P134" s="1229">
        <v>0</v>
      </c>
      <c r="Q134" s="1229">
        <v>0</v>
      </c>
      <c r="R134" s="1230">
        <f t="shared" ref="R134:R165" si="37">+N134*K134*E134</f>
        <v>0</v>
      </c>
      <c r="S134" s="1230">
        <f t="shared" ref="S134:S165" si="38">+L134*E134</f>
        <v>0</v>
      </c>
      <c r="T134" s="1230">
        <f t="shared" ref="T134:T165" si="39">0.5*(F134+0.8*G134)</f>
        <v>705.37776399999996</v>
      </c>
      <c r="V134" s="560" t="s">
        <v>860</v>
      </c>
      <c r="W134" s="560" t="s">
        <v>1569</v>
      </c>
    </row>
    <row r="135" spans="2:23">
      <c r="B135" s="1221" t="s">
        <v>1724</v>
      </c>
      <c r="C135" s="1222" t="s">
        <v>1725</v>
      </c>
      <c r="D135" s="1223">
        <f t="shared" si="32"/>
        <v>407.09796000000006</v>
      </c>
      <c r="E135" s="1223">
        <f>+SUMIF(Recursos!C:C,EQ_CE!B135,Recursos!G:G)</f>
        <v>0</v>
      </c>
      <c r="F135" s="1224">
        <f t="shared" si="33"/>
        <v>189.89464000000001</v>
      </c>
      <c r="G135" s="1225">
        <f t="shared" si="34"/>
        <v>94.947320000000005</v>
      </c>
      <c r="H135" s="1225">
        <f t="shared" si="35"/>
        <v>122.256</v>
      </c>
      <c r="I135" s="1226">
        <f t="shared" si="36"/>
        <v>0</v>
      </c>
      <c r="J135" s="1227">
        <v>23260</v>
      </c>
      <c r="K135" s="1228">
        <v>15</v>
      </c>
      <c r="L135" s="1228">
        <v>0</v>
      </c>
      <c r="M135" s="1228">
        <v>10000</v>
      </c>
      <c r="N135" s="1229">
        <v>0.08</v>
      </c>
      <c r="O135" s="1229">
        <v>0</v>
      </c>
      <c r="P135" s="1229">
        <v>0</v>
      </c>
      <c r="Q135" s="1229">
        <v>0</v>
      </c>
      <c r="R135" s="1230">
        <f t="shared" si="37"/>
        <v>0</v>
      </c>
      <c r="S135" s="1230">
        <f t="shared" si="38"/>
        <v>0</v>
      </c>
      <c r="T135" s="1230">
        <f t="shared" si="39"/>
        <v>132.92624800000002</v>
      </c>
      <c r="V135" s="560" t="s">
        <v>1687</v>
      </c>
      <c r="W135" s="560" t="s">
        <v>1686</v>
      </c>
    </row>
    <row r="136" spans="2:23">
      <c r="B136" s="1221" t="s">
        <v>1650</v>
      </c>
      <c r="C136" s="1222" t="str">
        <f>+VLOOKUP(B136,Recursos!C:D,2,FALSE)</f>
        <v>RASTRA DE 16 DISCOS</v>
      </c>
      <c r="D136" s="1223">
        <f t="shared" si="32"/>
        <v>122.46000000000001</v>
      </c>
      <c r="E136" s="1223">
        <f>+SUMIF(Recursos!C:C,EQ_CE!B136,Recursos!G:G)</f>
        <v>0</v>
      </c>
      <c r="F136" s="1224">
        <f t="shared" si="33"/>
        <v>81.64</v>
      </c>
      <c r="G136" s="1225">
        <f t="shared" si="34"/>
        <v>40.82</v>
      </c>
      <c r="H136" s="1225">
        <f t="shared" si="35"/>
        <v>0</v>
      </c>
      <c r="I136" s="1226">
        <f t="shared" si="36"/>
        <v>0</v>
      </c>
      <c r="J136" s="1227">
        <v>10000</v>
      </c>
      <c r="K136" s="1228">
        <v>0</v>
      </c>
      <c r="L136" s="1228">
        <v>0</v>
      </c>
      <c r="M136" s="1228">
        <v>10000</v>
      </c>
      <c r="N136" s="1229">
        <v>0</v>
      </c>
      <c r="O136" s="1229">
        <v>0</v>
      </c>
      <c r="P136" s="1229">
        <v>0</v>
      </c>
      <c r="Q136" s="1229">
        <v>0</v>
      </c>
      <c r="R136" s="1230">
        <f t="shared" si="37"/>
        <v>0</v>
      </c>
      <c r="S136" s="1230">
        <f t="shared" si="38"/>
        <v>0</v>
      </c>
      <c r="T136" s="1230">
        <f t="shared" si="39"/>
        <v>57.147999999999996</v>
      </c>
      <c r="V136" s="560" t="s">
        <v>861</v>
      </c>
      <c r="W136" s="560" t="s">
        <v>1570</v>
      </c>
    </row>
    <row r="137" spans="2:23">
      <c r="B137" s="1221" t="s">
        <v>1714</v>
      </c>
      <c r="C137" s="1222" t="s">
        <v>1715</v>
      </c>
      <c r="D137" s="1223">
        <f t="shared" si="32"/>
        <v>123.6846</v>
      </c>
      <c r="E137" s="1223">
        <f>+SUMIF(Recursos!C:C,EQ_CE!B137,Recursos!G:G)</f>
        <v>0</v>
      </c>
      <c r="F137" s="1224">
        <f t="shared" si="33"/>
        <v>82.456400000000002</v>
      </c>
      <c r="G137" s="1225">
        <f t="shared" si="34"/>
        <v>41.228200000000001</v>
      </c>
      <c r="H137" s="1225">
        <f t="shared" si="35"/>
        <v>0</v>
      </c>
      <c r="I137" s="1226">
        <f t="shared" si="36"/>
        <v>0</v>
      </c>
      <c r="J137" s="1227">
        <v>10100</v>
      </c>
      <c r="K137" s="1228">
        <v>0</v>
      </c>
      <c r="L137" s="1228">
        <v>0</v>
      </c>
      <c r="M137" s="1228">
        <v>10000</v>
      </c>
      <c r="N137" s="1229">
        <v>0.08</v>
      </c>
      <c r="O137" s="1229">
        <v>0</v>
      </c>
      <c r="P137" s="1229">
        <v>0</v>
      </c>
      <c r="Q137" s="1229">
        <v>0</v>
      </c>
      <c r="R137" s="1230">
        <f t="shared" si="37"/>
        <v>0</v>
      </c>
      <c r="S137" s="1230">
        <f t="shared" si="38"/>
        <v>0</v>
      </c>
      <c r="T137" s="1230">
        <f t="shared" si="39"/>
        <v>57.719480000000004</v>
      </c>
      <c r="V137" s="560" t="s">
        <v>1689</v>
      </c>
      <c r="W137" s="560" t="s">
        <v>1688</v>
      </c>
    </row>
    <row r="138" spans="2:23">
      <c r="B138" s="1221" t="s">
        <v>1736</v>
      </c>
      <c r="C138" s="1222" t="s">
        <v>1737</v>
      </c>
      <c r="D138" s="1223">
        <f t="shared" si="32"/>
        <v>8683.1646000000001</v>
      </c>
      <c r="E138" s="1223">
        <f>+SUMIF(Recursos!C:C,EQ_CE!B138,Recursos!G:G)</f>
        <v>0</v>
      </c>
      <c r="F138" s="1224">
        <f t="shared" si="33"/>
        <v>3968.5203999999999</v>
      </c>
      <c r="G138" s="1225">
        <f t="shared" si="34"/>
        <v>1984.2601999999999</v>
      </c>
      <c r="H138" s="1225">
        <f t="shared" si="35"/>
        <v>2730.384</v>
      </c>
      <c r="I138" s="1226">
        <f t="shared" si="36"/>
        <v>0</v>
      </c>
      <c r="J138" s="1227">
        <v>486100</v>
      </c>
      <c r="K138" s="1228">
        <v>335</v>
      </c>
      <c r="L138" s="1228">
        <v>0</v>
      </c>
      <c r="M138" s="1228">
        <v>10000</v>
      </c>
      <c r="N138" s="1229">
        <v>0.08</v>
      </c>
      <c r="O138" s="1229">
        <v>0</v>
      </c>
      <c r="P138" s="1229">
        <v>0</v>
      </c>
      <c r="Q138" s="1229">
        <v>0</v>
      </c>
      <c r="R138" s="1230">
        <f t="shared" si="37"/>
        <v>0</v>
      </c>
      <c r="S138" s="1230">
        <f t="shared" si="38"/>
        <v>0</v>
      </c>
      <c r="T138" s="1230">
        <f t="shared" si="39"/>
        <v>2777.9642800000001</v>
      </c>
      <c r="V138" s="560" t="s">
        <v>862</v>
      </c>
      <c r="W138" s="560" t="s">
        <v>1571</v>
      </c>
    </row>
    <row r="139" spans="2:23">
      <c r="B139" s="1221" t="s">
        <v>1623</v>
      </c>
      <c r="C139" s="1222" t="str">
        <f>+VLOOKUP(B139,Recursos!C:D,2,FALSE)</f>
        <v>REGLA VIBRATORIA 15 m ANCHO</v>
      </c>
      <c r="D139" s="1223">
        <f t="shared" si="32"/>
        <v>163.27999999999997</v>
      </c>
      <c r="E139" s="1223">
        <f>+SUMIF(Recursos!C:C,EQ_CE!B139,Recursos!G:G)</f>
        <v>0</v>
      </c>
      <c r="F139" s="1224">
        <f t="shared" si="33"/>
        <v>108.85333333333332</v>
      </c>
      <c r="G139" s="1225">
        <f t="shared" si="34"/>
        <v>54.426666666666662</v>
      </c>
      <c r="H139" s="1225">
        <f t="shared" si="35"/>
        <v>0</v>
      </c>
      <c r="I139" s="1226">
        <f t="shared" si="36"/>
        <v>0</v>
      </c>
      <c r="J139" s="1227">
        <v>4000</v>
      </c>
      <c r="K139" s="1228">
        <v>0</v>
      </c>
      <c r="L139" s="1228">
        <v>3</v>
      </c>
      <c r="M139" s="1228">
        <v>3000</v>
      </c>
      <c r="N139" s="1229">
        <v>0</v>
      </c>
      <c r="O139" s="1229">
        <v>0</v>
      </c>
      <c r="P139" s="1229">
        <v>0</v>
      </c>
      <c r="Q139" s="1229">
        <v>0</v>
      </c>
      <c r="R139" s="1230">
        <f t="shared" si="37"/>
        <v>0</v>
      </c>
      <c r="S139" s="1230">
        <f t="shared" si="38"/>
        <v>0</v>
      </c>
      <c r="T139" s="1230">
        <f t="shared" si="39"/>
        <v>76.197333333333333</v>
      </c>
      <c r="V139" s="560" t="s">
        <v>863</v>
      </c>
      <c r="W139" s="560" t="s">
        <v>1572</v>
      </c>
    </row>
    <row r="140" spans="2:23">
      <c r="B140" s="1221" t="s">
        <v>1624</v>
      </c>
      <c r="C140" s="1222" t="str">
        <f>+VLOOKUP(B140,Recursos!C:D,2,FALSE)</f>
        <v>REGLA VIBRATORIA DOBLE 5,25 M (EX)</v>
      </c>
      <c r="D140" s="1223">
        <f t="shared" si="32"/>
        <v>199.93639999999999</v>
      </c>
      <c r="E140" s="1223">
        <f>+SUMIF(Recursos!C:C,EQ_CE!B140,Recursos!G:G)</f>
        <v>0</v>
      </c>
      <c r="F140" s="1224">
        <f t="shared" si="33"/>
        <v>100.68933333333334</v>
      </c>
      <c r="G140" s="1225">
        <f t="shared" si="34"/>
        <v>50.344666666666669</v>
      </c>
      <c r="H140" s="1225">
        <f t="shared" si="35"/>
        <v>48.9024</v>
      </c>
      <c r="I140" s="1226">
        <f t="shared" si="36"/>
        <v>0</v>
      </c>
      <c r="J140" s="1227">
        <v>3700</v>
      </c>
      <c r="K140" s="1228">
        <v>4</v>
      </c>
      <c r="L140" s="1228">
        <v>0</v>
      </c>
      <c r="M140" s="1228">
        <v>3000</v>
      </c>
      <c r="N140" s="1229">
        <v>0.12</v>
      </c>
      <c r="O140" s="1229">
        <v>0</v>
      </c>
      <c r="P140" s="1229">
        <v>0</v>
      </c>
      <c r="Q140" s="1229">
        <v>0</v>
      </c>
      <c r="R140" s="1230">
        <f t="shared" si="37"/>
        <v>0</v>
      </c>
      <c r="S140" s="1230">
        <f t="shared" si="38"/>
        <v>0</v>
      </c>
      <c r="T140" s="1230">
        <f t="shared" si="39"/>
        <v>70.482533333333336</v>
      </c>
      <c r="V140" s="560" t="s">
        <v>864</v>
      </c>
      <c r="W140" s="560" t="s">
        <v>1573</v>
      </c>
    </row>
    <row r="141" spans="2:23">
      <c r="B141" s="1221" t="s">
        <v>1549</v>
      </c>
      <c r="C141" s="1222" t="str">
        <f>+VLOOKUP(B141,Recursos!C:D,2,FALSE)</f>
        <v>RETROEXC. CARG. S/ROD.NEUM. 0.24 M3</v>
      </c>
      <c r="D141" s="1223">
        <f t="shared" si="32"/>
        <v>1761.0672000000002</v>
      </c>
      <c r="E141" s="1223">
        <f>+SUMIF(Recursos!C:C,EQ_CE!B141,Recursos!G:G)</f>
        <v>0</v>
      </c>
      <c r="F141" s="1224">
        <f t="shared" si="33"/>
        <v>694.48426666666671</v>
      </c>
      <c r="G141" s="1225">
        <f t="shared" si="34"/>
        <v>347.24213333333336</v>
      </c>
      <c r="H141" s="1225">
        <f t="shared" si="35"/>
        <v>678.52080000000012</v>
      </c>
      <c r="I141" s="1226">
        <f t="shared" si="36"/>
        <v>40.82</v>
      </c>
      <c r="J141" s="1227">
        <v>63800</v>
      </c>
      <c r="K141" s="1228">
        <v>74</v>
      </c>
      <c r="L141" s="1228">
        <v>0</v>
      </c>
      <c r="M141" s="1228">
        <v>7500</v>
      </c>
      <c r="N141" s="1229">
        <v>0.09</v>
      </c>
      <c r="O141" s="1229">
        <v>4</v>
      </c>
      <c r="P141" s="1229">
        <v>250</v>
      </c>
      <c r="Q141" s="1229">
        <v>2500</v>
      </c>
      <c r="R141" s="1230">
        <f t="shared" si="37"/>
        <v>0</v>
      </c>
      <c r="S141" s="1230">
        <f t="shared" si="38"/>
        <v>0</v>
      </c>
      <c r="T141" s="1230">
        <f t="shared" si="39"/>
        <v>486.13898666666671</v>
      </c>
      <c r="V141" s="560" t="s">
        <v>867</v>
      </c>
      <c r="W141" s="560" t="s">
        <v>1576</v>
      </c>
    </row>
    <row r="142" spans="2:23">
      <c r="B142" s="1221" t="s">
        <v>1551</v>
      </c>
      <c r="C142" s="1222" t="str">
        <f>+VLOOKUP(B142,Recursos!C:D,2,FALSE)</f>
        <v>RETROEXCAVADORA S/CARRILES  0,2 M3</v>
      </c>
      <c r="D142" s="1223">
        <f t="shared" si="32"/>
        <v>1774.752</v>
      </c>
      <c r="E142" s="1223">
        <f>+SUMIF(Recursos!C:C,EQ_CE!B142,Recursos!G:G)</f>
        <v>0</v>
      </c>
      <c r="F142" s="1224">
        <f t="shared" si="33"/>
        <v>816.4</v>
      </c>
      <c r="G142" s="1225">
        <f t="shared" si="34"/>
        <v>408.2</v>
      </c>
      <c r="H142" s="1225">
        <f t="shared" si="35"/>
        <v>550.15200000000004</v>
      </c>
      <c r="I142" s="1226">
        <f t="shared" si="36"/>
        <v>0</v>
      </c>
      <c r="J142" s="1227">
        <v>60000</v>
      </c>
      <c r="K142" s="1228">
        <v>54</v>
      </c>
      <c r="L142" s="1228">
        <v>0</v>
      </c>
      <c r="M142" s="1228">
        <v>6000</v>
      </c>
      <c r="N142" s="1229">
        <v>0.1</v>
      </c>
      <c r="O142" s="1229">
        <v>0</v>
      </c>
      <c r="P142" s="1229">
        <v>0</v>
      </c>
      <c r="Q142" s="1229">
        <v>0</v>
      </c>
      <c r="R142" s="1230">
        <f t="shared" si="37"/>
        <v>0</v>
      </c>
      <c r="S142" s="1230">
        <f t="shared" si="38"/>
        <v>0</v>
      </c>
      <c r="T142" s="1230">
        <f t="shared" si="39"/>
        <v>571.48</v>
      </c>
      <c r="V142" s="560" t="s">
        <v>1691</v>
      </c>
      <c r="W142" s="560" t="s">
        <v>1690</v>
      </c>
    </row>
    <row r="143" spans="2:23">
      <c r="B143" s="1221" t="s">
        <v>1552</v>
      </c>
      <c r="C143" s="1222" t="str">
        <f>+VLOOKUP(B143,Recursos!C:D,2,FALSE)</f>
        <v>RETROEXCAVADORA S/CARRILES  0,9 M2</v>
      </c>
      <c r="D143" s="1223">
        <f t="shared" si="32"/>
        <v>2743.02</v>
      </c>
      <c r="E143" s="1223">
        <f>+SUMIF(Recursos!C:C,EQ_CE!B143,Recursos!G:G)</f>
        <v>0</v>
      </c>
      <c r="F143" s="1224">
        <f t="shared" si="33"/>
        <v>979.68</v>
      </c>
      <c r="G143" s="1225">
        <f t="shared" si="34"/>
        <v>489.84</v>
      </c>
      <c r="H143" s="1225">
        <f t="shared" si="35"/>
        <v>1273.5</v>
      </c>
      <c r="I143" s="1226">
        <f t="shared" si="36"/>
        <v>0</v>
      </c>
      <c r="J143" s="1227">
        <v>120000</v>
      </c>
      <c r="K143" s="1228">
        <v>125</v>
      </c>
      <c r="L143" s="1228">
        <v>0</v>
      </c>
      <c r="M143" s="1228">
        <v>10000</v>
      </c>
      <c r="N143" s="1229">
        <v>0.1</v>
      </c>
      <c r="O143" s="1229">
        <v>0</v>
      </c>
      <c r="P143" s="1229">
        <v>0</v>
      </c>
      <c r="Q143" s="1229">
        <v>0</v>
      </c>
      <c r="R143" s="1230">
        <f t="shared" si="37"/>
        <v>0</v>
      </c>
      <c r="S143" s="1230">
        <f t="shared" si="38"/>
        <v>0</v>
      </c>
      <c r="T143" s="1230">
        <f t="shared" si="39"/>
        <v>685.77599999999995</v>
      </c>
      <c r="V143" s="560" t="s">
        <v>865</v>
      </c>
      <c r="W143" s="560" t="s">
        <v>1574</v>
      </c>
    </row>
    <row r="144" spans="2:23">
      <c r="B144" s="1221" t="s">
        <v>1553</v>
      </c>
      <c r="C144" s="1222" t="str">
        <f>+VLOOKUP(B144,Recursos!C:D,2,FALSE)</f>
        <v>RETROEXCAVADORA S/CARRILES  1,1 M3</v>
      </c>
      <c r="D144" s="1223">
        <f t="shared" si="32"/>
        <v>3248.7120000000004</v>
      </c>
      <c r="E144" s="1223">
        <f>+SUMIF(Recursos!C:C,EQ_CE!B144,Recursos!G:G)</f>
        <v>0</v>
      </c>
      <c r="F144" s="1224">
        <f t="shared" si="33"/>
        <v>1126.6319999999998</v>
      </c>
      <c r="G144" s="1225">
        <f t="shared" si="34"/>
        <v>563.31599999999992</v>
      </c>
      <c r="H144" s="1225">
        <f t="shared" si="35"/>
        <v>1558.7640000000004</v>
      </c>
      <c r="I144" s="1226">
        <f t="shared" si="36"/>
        <v>0</v>
      </c>
      <c r="J144" s="1227">
        <v>138000</v>
      </c>
      <c r="K144" s="1228">
        <v>153</v>
      </c>
      <c r="L144" s="1228">
        <v>0</v>
      </c>
      <c r="M144" s="1228">
        <v>10000</v>
      </c>
      <c r="N144" s="1229">
        <v>0.1</v>
      </c>
      <c r="O144" s="1229">
        <v>0</v>
      </c>
      <c r="P144" s="1229">
        <v>0</v>
      </c>
      <c r="Q144" s="1229">
        <v>0</v>
      </c>
      <c r="R144" s="1230">
        <f t="shared" si="37"/>
        <v>0</v>
      </c>
      <c r="S144" s="1230">
        <f t="shared" si="38"/>
        <v>0</v>
      </c>
      <c r="T144" s="1230">
        <f t="shared" si="39"/>
        <v>788.64239999999995</v>
      </c>
      <c r="V144" s="560" t="s">
        <v>866</v>
      </c>
      <c r="W144" s="560" t="s">
        <v>1575</v>
      </c>
    </row>
    <row r="145" spans="2:23">
      <c r="B145" s="1221" t="s">
        <v>1554</v>
      </c>
      <c r="C145" s="1222" t="str">
        <f>+VLOOKUP(B145,Recursos!C:D,2,FALSE)</f>
        <v>RETROEXCAVADORA S/CARRILES  1,6 M3</v>
      </c>
      <c r="D145" s="1223">
        <f t="shared" si="32"/>
        <v>4360.8076000000001</v>
      </c>
      <c r="E145" s="1223">
        <f>+SUMIF(Recursos!C:C,EQ_CE!B145,Recursos!G:G)</f>
        <v>0</v>
      </c>
      <c r="F145" s="1224">
        <f t="shared" si="33"/>
        <v>1360.6666666666667</v>
      </c>
      <c r="G145" s="1225">
        <f t="shared" si="34"/>
        <v>680.33333333333337</v>
      </c>
      <c r="H145" s="1225">
        <f t="shared" si="35"/>
        <v>2319.8076000000001</v>
      </c>
      <c r="I145" s="1226">
        <f t="shared" si="36"/>
        <v>0</v>
      </c>
      <c r="J145" s="1227">
        <v>200000</v>
      </c>
      <c r="K145" s="1228">
        <v>207</v>
      </c>
      <c r="L145" s="1228">
        <v>0</v>
      </c>
      <c r="M145" s="1228">
        <v>12000</v>
      </c>
      <c r="N145" s="1229">
        <v>0.11</v>
      </c>
      <c r="O145" s="1229">
        <v>0</v>
      </c>
      <c r="P145" s="1229">
        <v>0</v>
      </c>
      <c r="Q145" s="1229">
        <v>0</v>
      </c>
      <c r="R145" s="1230">
        <f t="shared" si="37"/>
        <v>0</v>
      </c>
      <c r="S145" s="1230">
        <f t="shared" si="38"/>
        <v>0</v>
      </c>
      <c r="T145" s="1230">
        <f t="shared" si="39"/>
        <v>952.4666666666667</v>
      </c>
      <c r="V145" s="560" t="s">
        <v>2729</v>
      </c>
      <c r="W145" s="560" t="s">
        <v>1647</v>
      </c>
    </row>
    <row r="146" spans="2:23">
      <c r="B146" s="1221" t="s">
        <v>1641</v>
      </c>
      <c r="C146" s="1222" t="str">
        <f>+VLOOKUP(B146,Recursos!C:D,2,FALSE)</f>
        <v>RETROEXCAVADORA S/CARRILES  2,5 M3</v>
      </c>
      <c r="D146" s="1223">
        <f t="shared" si="32"/>
        <v>6372.6</v>
      </c>
      <c r="E146" s="1223">
        <f>+SUMIF(Recursos!C:C,EQ_CE!B146,Recursos!G:G)</f>
        <v>5.4949999999999992E-2</v>
      </c>
      <c r="F146" s="1224">
        <f t="shared" si="33"/>
        <v>2041</v>
      </c>
      <c r="G146" s="1225">
        <f t="shared" si="34"/>
        <v>1020.5</v>
      </c>
      <c r="H146" s="1225">
        <f t="shared" si="35"/>
        <v>3311.1</v>
      </c>
      <c r="I146" s="1226">
        <f t="shared" si="36"/>
        <v>0</v>
      </c>
      <c r="J146" s="1227">
        <v>250000</v>
      </c>
      <c r="K146" s="1228">
        <v>250</v>
      </c>
      <c r="L146" s="1228">
        <v>0</v>
      </c>
      <c r="M146" s="1228">
        <v>10000</v>
      </c>
      <c r="N146" s="1229">
        <v>0.13</v>
      </c>
      <c r="O146" s="1229">
        <v>0</v>
      </c>
      <c r="P146" s="1229">
        <v>0</v>
      </c>
      <c r="Q146" s="1229">
        <v>0</v>
      </c>
      <c r="R146" s="1230">
        <f t="shared" si="37"/>
        <v>1.7858749999999997</v>
      </c>
      <c r="S146" s="1230">
        <f t="shared" si="38"/>
        <v>0</v>
      </c>
      <c r="T146" s="1230">
        <f t="shared" si="39"/>
        <v>1428.7</v>
      </c>
      <c r="V146" s="560" t="s">
        <v>872</v>
      </c>
      <c r="W146" s="560" t="s">
        <v>1581</v>
      </c>
    </row>
    <row r="147" spans="2:23">
      <c r="B147" s="1221" t="s">
        <v>1550</v>
      </c>
      <c r="C147" s="1222" t="str">
        <f>+VLOOKUP(B147,Recursos!C:D,2,FALSE)</f>
        <v>RETROEXCAVADORA S/CARRILES  6,0 M3</v>
      </c>
      <c r="D147" s="1223">
        <f t="shared" si="32"/>
        <v>13376.107200000002</v>
      </c>
      <c r="E147" s="1223">
        <f>+SUMIF(Recursos!C:C,EQ_CE!B147,Recursos!G:G)</f>
        <v>0</v>
      </c>
      <c r="F147" s="1224">
        <f t="shared" si="33"/>
        <v>4434.6848</v>
      </c>
      <c r="G147" s="1225">
        <f t="shared" si="34"/>
        <v>2217.3424</v>
      </c>
      <c r="H147" s="1225">
        <f t="shared" si="35"/>
        <v>6724.0800000000008</v>
      </c>
      <c r="I147" s="1226">
        <f t="shared" si="36"/>
        <v>0</v>
      </c>
      <c r="J147" s="1227">
        <v>814800</v>
      </c>
      <c r="K147" s="1228">
        <v>600</v>
      </c>
      <c r="L147" s="1228">
        <v>0</v>
      </c>
      <c r="M147" s="1228">
        <v>15000</v>
      </c>
      <c r="N147" s="1229">
        <v>0.11</v>
      </c>
      <c r="O147" s="1229">
        <v>0</v>
      </c>
      <c r="P147" s="1229">
        <v>0</v>
      </c>
      <c r="Q147" s="1229">
        <v>0</v>
      </c>
      <c r="R147" s="1230">
        <f t="shared" si="37"/>
        <v>0</v>
      </c>
      <c r="S147" s="1230">
        <f t="shared" si="38"/>
        <v>0</v>
      </c>
      <c r="T147" s="1230">
        <f t="shared" si="39"/>
        <v>3104.27936</v>
      </c>
      <c r="V147" s="560" t="s">
        <v>1693</v>
      </c>
      <c r="W147" s="560" t="s">
        <v>1692</v>
      </c>
    </row>
    <row r="148" spans="2:23">
      <c r="B148" s="1221" t="s">
        <v>1670</v>
      </c>
      <c r="C148" s="1222" t="s">
        <v>1671</v>
      </c>
      <c r="D148" s="1223">
        <f t="shared" si="32"/>
        <v>5311.11906</v>
      </c>
      <c r="E148" s="1223">
        <f>+SUMIF(Recursos!C:C,EQ_CE!B148,Recursos!G:G)</f>
        <v>0</v>
      </c>
      <c r="F148" s="1224">
        <f t="shared" si="33"/>
        <v>2198.6468399999999</v>
      </c>
      <c r="G148" s="1225">
        <f t="shared" si="34"/>
        <v>1099.3234199999999</v>
      </c>
      <c r="H148" s="1225">
        <f t="shared" si="35"/>
        <v>2013.1488000000002</v>
      </c>
      <c r="I148" s="1226">
        <f t="shared" si="36"/>
        <v>0</v>
      </c>
      <c r="J148" s="1227">
        <v>269310</v>
      </c>
      <c r="K148" s="1228">
        <v>247</v>
      </c>
      <c r="L148" s="1228">
        <v>0</v>
      </c>
      <c r="M148" s="1228">
        <v>10000</v>
      </c>
      <c r="N148" s="1229">
        <v>0.08</v>
      </c>
      <c r="O148" s="1229">
        <v>0</v>
      </c>
      <c r="P148" s="1229">
        <v>0</v>
      </c>
      <c r="Q148" s="1229">
        <v>0</v>
      </c>
      <c r="R148" s="1230">
        <f t="shared" si="37"/>
        <v>0</v>
      </c>
      <c r="S148" s="1230">
        <f t="shared" si="38"/>
        <v>0</v>
      </c>
      <c r="T148" s="1230">
        <f t="shared" si="39"/>
        <v>1539.052788</v>
      </c>
      <c r="V148" s="560" t="s">
        <v>874</v>
      </c>
      <c r="W148" s="560" t="s">
        <v>1583</v>
      </c>
    </row>
    <row r="149" spans="2:23">
      <c r="B149" s="1221" t="s">
        <v>1648</v>
      </c>
      <c r="C149" s="1222" t="str">
        <f>+VLOOKUP(B149,Recursos!C:D,2,FALSE)</f>
        <v>Rodillo Pata de Cabra tipo CA-25</v>
      </c>
      <c r="D149" s="1223">
        <f t="shared" si="32"/>
        <v>2505.5493333333334</v>
      </c>
      <c r="E149" s="1223">
        <f>+SUMIF(Recursos!C:C,EQ_CE!B149,Recursos!G:G)</f>
        <v>0</v>
      </c>
      <c r="F149" s="1224">
        <f t="shared" si="33"/>
        <v>898.04000000000008</v>
      </c>
      <c r="G149" s="1225">
        <f t="shared" si="34"/>
        <v>449.02000000000004</v>
      </c>
      <c r="H149" s="1225">
        <f t="shared" si="35"/>
        <v>886.35599999999999</v>
      </c>
      <c r="I149" s="1226">
        <f t="shared" si="36"/>
        <v>272.13333333333333</v>
      </c>
      <c r="J149" s="1227">
        <v>110000</v>
      </c>
      <c r="K149" s="1228">
        <v>145</v>
      </c>
      <c r="L149" s="1228">
        <v>0</v>
      </c>
      <c r="M149" s="1228">
        <v>10000</v>
      </c>
      <c r="N149" s="1229">
        <v>0.06</v>
      </c>
      <c r="O149" s="1229">
        <v>2</v>
      </c>
      <c r="P149" s="1229">
        <v>2000</v>
      </c>
      <c r="Q149" s="1229">
        <v>1500</v>
      </c>
      <c r="R149" s="1230">
        <f t="shared" si="37"/>
        <v>0</v>
      </c>
      <c r="S149" s="1230">
        <f t="shared" si="38"/>
        <v>0</v>
      </c>
      <c r="T149" s="1230">
        <f t="shared" si="39"/>
        <v>628.62800000000004</v>
      </c>
      <c r="V149" s="560" t="s">
        <v>875</v>
      </c>
      <c r="W149" s="560" t="s">
        <v>1584</v>
      </c>
    </row>
    <row r="150" spans="2:23">
      <c r="B150" s="1221" t="s">
        <v>3019</v>
      </c>
      <c r="C150" s="1222" t="s">
        <v>3020</v>
      </c>
      <c r="D150" s="1223">
        <f t="shared" si="32"/>
        <v>844.60000000000014</v>
      </c>
      <c r="E150" s="1223">
        <f>+SUMIF(Recursos!C:C,EQ_CE!B150,Recursos!G:G)</f>
        <v>0</v>
      </c>
      <c r="F150" s="1224">
        <f t="shared" si="33"/>
        <v>413.64266666666668</v>
      </c>
      <c r="G150" s="1225">
        <f t="shared" si="34"/>
        <v>206.82133333333334</v>
      </c>
      <c r="H150" s="1225">
        <f t="shared" si="35"/>
        <v>224.13600000000002</v>
      </c>
      <c r="I150" s="1226">
        <f t="shared" si="36"/>
        <v>0</v>
      </c>
      <c r="J150" s="1227">
        <v>30400</v>
      </c>
      <c r="K150" s="1228">
        <v>22</v>
      </c>
      <c r="L150" s="1228">
        <v>0</v>
      </c>
      <c r="M150" s="1228">
        <v>6000</v>
      </c>
      <c r="N150" s="1229">
        <v>0.1</v>
      </c>
      <c r="O150" s="1229">
        <v>0</v>
      </c>
      <c r="P150" s="1229">
        <v>0</v>
      </c>
      <c r="Q150" s="1229">
        <v>0</v>
      </c>
      <c r="R150" s="1230">
        <f t="shared" si="37"/>
        <v>0</v>
      </c>
      <c r="S150" s="1230">
        <f t="shared" si="38"/>
        <v>0</v>
      </c>
      <c r="T150" s="1230">
        <f t="shared" si="39"/>
        <v>289.54986666666667</v>
      </c>
      <c r="V150" s="560" t="s">
        <v>878</v>
      </c>
      <c r="W150" s="560" t="s">
        <v>1587</v>
      </c>
    </row>
    <row r="151" spans="2:23">
      <c r="B151" s="1221" t="s">
        <v>1608</v>
      </c>
      <c r="C151" s="1222" t="str">
        <f>+VLOOKUP(B151,Recursos!C:D,2,FALSE)</f>
        <v>ROSCA LAV.ARENA d=0,60 m x L=7,0 m</v>
      </c>
      <c r="D151" s="1223">
        <f t="shared" si="32"/>
        <v>173.48500000000001</v>
      </c>
      <c r="E151" s="1223">
        <f>+SUMIF(Recursos!C:C,EQ_CE!B151,Recursos!G:G)</f>
        <v>0</v>
      </c>
      <c r="F151" s="1224">
        <f t="shared" si="33"/>
        <v>115.65666666666667</v>
      </c>
      <c r="G151" s="1225">
        <f t="shared" si="34"/>
        <v>57.828333333333333</v>
      </c>
      <c r="H151" s="1225">
        <f t="shared" si="35"/>
        <v>0</v>
      </c>
      <c r="I151" s="1226">
        <f t="shared" si="36"/>
        <v>0</v>
      </c>
      <c r="J151" s="1227">
        <v>8500</v>
      </c>
      <c r="K151" s="1228">
        <v>0</v>
      </c>
      <c r="L151" s="1228">
        <v>6</v>
      </c>
      <c r="M151" s="1228">
        <v>6000</v>
      </c>
      <c r="N151" s="1229">
        <v>0</v>
      </c>
      <c r="O151" s="1229">
        <v>0</v>
      </c>
      <c r="P151" s="1229">
        <v>0</v>
      </c>
      <c r="Q151" s="1229">
        <v>0</v>
      </c>
      <c r="R151" s="1230">
        <f t="shared" si="37"/>
        <v>0</v>
      </c>
      <c r="S151" s="1230">
        <f t="shared" si="38"/>
        <v>0</v>
      </c>
      <c r="T151" s="1230">
        <f t="shared" si="39"/>
        <v>80.959666666666664</v>
      </c>
      <c r="V151" s="560" t="s">
        <v>879</v>
      </c>
      <c r="W151" s="560" t="s">
        <v>1588</v>
      </c>
    </row>
    <row r="152" spans="2:23">
      <c r="B152" s="1224" t="s">
        <v>3302</v>
      </c>
      <c r="C152" s="1222" t="str">
        <f>+VLOOKUP(B152,Recursos!C:D,2,FALSE)</f>
        <v>SHOTCRETERA VIA HUMEDA</v>
      </c>
      <c r="D152" s="1223">
        <f t="shared" si="32"/>
        <v>9560.2435161290305</v>
      </c>
      <c r="E152" s="1223">
        <f>+SUMIF(Recursos!C:C,EQ_CE!B152,Recursos!G:G)</f>
        <v>0</v>
      </c>
      <c r="F152" s="1224">
        <f t="shared" si="33"/>
        <v>4739.2019999999993</v>
      </c>
      <c r="G152" s="1225">
        <f t="shared" si="34"/>
        <v>2369.6009999999997</v>
      </c>
      <c r="H152" s="1225">
        <f t="shared" si="35"/>
        <v>2445.12</v>
      </c>
      <c r="I152" s="1226">
        <f t="shared" si="36"/>
        <v>6.3205161290322573</v>
      </c>
      <c r="J152" s="1227">
        <v>464400</v>
      </c>
      <c r="K152" s="1228">
        <v>30</v>
      </c>
      <c r="L152" s="1228">
        <v>0</v>
      </c>
      <c r="M152" s="1228">
        <v>8000</v>
      </c>
      <c r="N152" s="1229">
        <v>0.8</v>
      </c>
      <c r="O152" s="1229">
        <v>4</v>
      </c>
      <c r="P152" s="1229">
        <v>48</v>
      </c>
      <c r="Q152" s="1229">
        <v>3100</v>
      </c>
      <c r="R152" s="1230">
        <f t="shared" si="37"/>
        <v>0</v>
      </c>
      <c r="S152" s="1230">
        <f t="shared" si="38"/>
        <v>0</v>
      </c>
      <c r="T152" s="1230">
        <f t="shared" si="39"/>
        <v>3317.4413999999997</v>
      </c>
      <c r="V152" s="560" t="s">
        <v>876</v>
      </c>
      <c r="W152" s="560" t="s">
        <v>1585</v>
      </c>
    </row>
    <row r="153" spans="2:23">
      <c r="B153" s="1221" t="s">
        <v>1603</v>
      </c>
      <c r="C153" s="1222" t="str">
        <f>+VLOOKUP(B153,Recursos!C:D,2,FALSE)</f>
        <v>SHOTCRETERA VIA SECA CAP. 8 M3/H Aliva 262</v>
      </c>
      <c r="D153" s="1223">
        <f t="shared" si="32"/>
        <v>660.95743999999991</v>
      </c>
      <c r="E153" s="1223">
        <f>+SUMIF(Recursos!C:C,EQ_CE!B153,Recursos!G:G)</f>
        <v>0</v>
      </c>
      <c r="F153" s="1224">
        <f t="shared" si="33"/>
        <v>435.4133333333333</v>
      </c>
      <c r="G153" s="1225">
        <f t="shared" si="34"/>
        <v>217.70666666666665</v>
      </c>
      <c r="H153" s="1225">
        <f t="shared" si="35"/>
        <v>0</v>
      </c>
      <c r="I153" s="1226">
        <f t="shared" si="36"/>
        <v>7.8374399999999991</v>
      </c>
      <c r="J153" s="1227">
        <v>32000</v>
      </c>
      <c r="K153" s="1228">
        <v>10</v>
      </c>
      <c r="L153" s="1228">
        <v>0</v>
      </c>
      <c r="M153" s="1228">
        <v>6000</v>
      </c>
      <c r="N153" s="1229">
        <v>0</v>
      </c>
      <c r="O153" s="1229">
        <v>4</v>
      </c>
      <c r="P153" s="1229">
        <v>48</v>
      </c>
      <c r="Q153" s="1229">
        <v>2500</v>
      </c>
      <c r="R153" s="1230">
        <f t="shared" si="37"/>
        <v>0</v>
      </c>
      <c r="S153" s="1230">
        <f t="shared" si="38"/>
        <v>0</v>
      </c>
      <c r="T153" s="1230">
        <f t="shared" si="39"/>
        <v>304.78933333333333</v>
      </c>
      <c r="V153" s="560" t="s">
        <v>1695</v>
      </c>
      <c r="W153" s="560" t="s">
        <v>1694</v>
      </c>
    </row>
    <row r="154" spans="2:23">
      <c r="B154" s="1221" t="s">
        <v>1734</v>
      </c>
      <c r="C154" s="1222" t="s">
        <v>1735</v>
      </c>
      <c r="D154" s="1223">
        <f t="shared" si="32"/>
        <v>4816.5842400000001</v>
      </c>
      <c r="E154" s="1223">
        <f>+SUMIF(Recursos!C:C,EQ_CE!B154,Recursos!G:G)</f>
        <v>0</v>
      </c>
      <c r="F154" s="1224">
        <f t="shared" si="33"/>
        <v>2292.7777599999999</v>
      </c>
      <c r="G154" s="1225">
        <f t="shared" si="34"/>
        <v>1146.38888</v>
      </c>
      <c r="H154" s="1225">
        <f t="shared" si="35"/>
        <v>1377.4176</v>
      </c>
      <c r="I154" s="1226">
        <f t="shared" si="36"/>
        <v>0</v>
      </c>
      <c r="J154" s="1227">
        <v>280840</v>
      </c>
      <c r="K154" s="1228">
        <v>169</v>
      </c>
      <c r="L154" s="1228">
        <v>0</v>
      </c>
      <c r="M154" s="1228">
        <v>10000</v>
      </c>
      <c r="N154" s="1229">
        <v>0.08</v>
      </c>
      <c r="O154" s="1229">
        <v>0</v>
      </c>
      <c r="P154" s="1229">
        <v>0</v>
      </c>
      <c r="Q154" s="1229">
        <v>0</v>
      </c>
      <c r="R154" s="1230">
        <f t="shared" si="37"/>
        <v>0</v>
      </c>
      <c r="S154" s="1230">
        <f t="shared" si="38"/>
        <v>0</v>
      </c>
      <c r="T154" s="1230">
        <f t="shared" si="39"/>
        <v>1604.944432</v>
      </c>
      <c r="V154" s="560" t="s">
        <v>877</v>
      </c>
      <c r="W154" s="560" t="s">
        <v>1586</v>
      </c>
    </row>
    <row r="155" spans="2:23">
      <c r="B155" s="1221" t="s">
        <v>1712</v>
      </c>
      <c r="C155" s="1222" t="s">
        <v>1713</v>
      </c>
      <c r="D155" s="1223">
        <f t="shared" si="32"/>
        <v>1311.95526</v>
      </c>
      <c r="E155" s="1223">
        <f>+SUMIF(Recursos!C:C,EQ_CE!B155,Recursos!G:G)</f>
        <v>0</v>
      </c>
      <c r="F155" s="1224">
        <f t="shared" si="33"/>
        <v>499.71843999999999</v>
      </c>
      <c r="G155" s="1225">
        <f t="shared" si="34"/>
        <v>249.85921999999999</v>
      </c>
      <c r="H155" s="1225">
        <f t="shared" si="35"/>
        <v>562.37760000000003</v>
      </c>
      <c r="I155" s="1226">
        <f t="shared" si="36"/>
        <v>0</v>
      </c>
      <c r="J155" s="1227">
        <v>61210</v>
      </c>
      <c r="K155" s="1228">
        <v>69</v>
      </c>
      <c r="L155" s="1228">
        <v>0</v>
      </c>
      <c r="M155" s="1228">
        <v>10000</v>
      </c>
      <c r="N155" s="1229">
        <v>0.08</v>
      </c>
      <c r="O155" s="1229">
        <v>0</v>
      </c>
      <c r="P155" s="1229">
        <v>0</v>
      </c>
      <c r="Q155" s="1229">
        <v>0</v>
      </c>
      <c r="R155" s="1230">
        <f t="shared" si="37"/>
        <v>0</v>
      </c>
      <c r="S155" s="1230">
        <f t="shared" si="38"/>
        <v>0</v>
      </c>
      <c r="T155" s="1230">
        <f t="shared" si="39"/>
        <v>349.802908</v>
      </c>
      <c r="V155" s="560" t="s">
        <v>1533</v>
      </c>
      <c r="W155" s="560" t="s">
        <v>1527</v>
      </c>
    </row>
    <row r="156" spans="2:23">
      <c r="B156" s="1221" t="s">
        <v>1538</v>
      </c>
      <c r="C156" s="1222" t="str">
        <f>+VLOOKUP(B156,Recursos!C:D,2,FALSE)</f>
        <v xml:space="preserve">TOPADORA CON ESC.(39 T) </v>
      </c>
      <c r="D156" s="1223">
        <f t="shared" si="32"/>
        <v>7320.3390000000009</v>
      </c>
      <c r="E156" s="1223">
        <f>+SUMIF(Recursos!C:C,EQ_CE!B156,Recursos!G:G)</f>
        <v>0</v>
      </c>
      <c r="F156" s="1224">
        <f t="shared" si="33"/>
        <v>2143.0499999999997</v>
      </c>
      <c r="G156" s="1225">
        <f t="shared" si="34"/>
        <v>1071.5249999999999</v>
      </c>
      <c r="H156" s="1225">
        <f t="shared" si="35"/>
        <v>4105.764000000001</v>
      </c>
      <c r="I156" s="1226">
        <f t="shared" si="36"/>
        <v>0</v>
      </c>
      <c r="J156" s="1227">
        <v>315000</v>
      </c>
      <c r="K156" s="1228">
        <v>310</v>
      </c>
      <c r="L156" s="1228">
        <v>0</v>
      </c>
      <c r="M156" s="1228">
        <v>12000</v>
      </c>
      <c r="N156" s="1229">
        <v>0.13</v>
      </c>
      <c r="O156" s="1229">
        <v>0</v>
      </c>
      <c r="P156" s="1229">
        <v>0</v>
      </c>
      <c r="Q156" s="1229">
        <v>0</v>
      </c>
      <c r="R156" s="1230">
        <f t="shared" si="37"/>
        <v>0</v>
      </c>
      <c r="S156" s="1230">
        <f t="shared" si="38"/>
        <v>0</v>
      </c>
      <c r="T156" s="1230">
        <f t="shared" si="39"/>
        <v>1500.1349999999998</v>
      </c>
      <c r="V156" s="560" t="s">
        <v>869</v>
      </c>
      <c r="W156" s="560" t="s">
        <v>1578</v>
      </c>
    </row>
    <row r="157" spans="2:23">
      <c r="B157" s="1224" t="s">
        <v>3301</v>
      </c>
      <c r="C157" s="1222" t="str">
        <f>+VLOOKUP(B157,Recursos!C:D,2,FALSE)</f>
        <v>TOPADORA CON ESC.(39 T) 302 HP</v>
      </c>
      <c r="D157" s="1223">
        <f t="shared" si="32"/>
        <v>7320.3390000000009</v>
      </c>
      <c r="E157" s="1223">
        <f>+SUMIF(Recursos!C:C,EQ_CE!B157,Recursos!G:G)</f>
        <v>0</v>
      </c>
      <c r="F157" s="1224">
        <f t="shared" si="33"/>
        <v>2143.0499999999997</v>
      </c>
      <c r="G157" s="1225">
        <f t="shared" si="34"/>
        <v>1071.5249999999999</v>
      </c>
      <c r="H157" s="1225">
        <f t="shared" si="35"/>
        <v>4105.764000000001</v>
      </c>
      <c r="I157" s="1226">
        <f t="shared" si="36"/>
        <v>0</v>
      </c>
      <c r="J157" s="1227">
        <v>315000</v>
      </c>
      <c r="K157" s="1228">
        <v>310</v>
      </c>
      <c r="L157" s="1228">
        <v>0</v>
      </c>
      <c r="M157" s="1228">
        <v>12000</v>
      </c>
      <c r="N157" s="1229">
        <v>0.13</v>
      </c>
      <c r="O157" s="1229">
        <v>0</v>
      </c>
      <c r="P157" s="1229">
        <v>0</v>
      </c>
      <c r="Q157" s="1229">
        <v>0</v>
      </c>
      <c r="R157" s="1230">
        <f t="shared" si="37"/>
        <v>0</v>
      </c>
      <c r="S157" s="1230">
        <f t="shared" si="38"/>
        <v>0</v>
      </c>
      <c r="T157" s="1230">
        <f t="shared" si="39"/>
        <v>1500.1349999999998</v>
      </c>
      <c r="V157" s="560" t="s">
        <v>1010</v>
      </c>
      <c r="W157" s="560" t="s">
        <v>1642</v>
      </c>
    </row>
    <row r="158" spans="2:23">
      <c r="B158" s="1221" t="s">
        <v>1535</v>
      </c>
      <c r="C158" s="1222" t="str">
        <f>+VLOOKUP(B158,Recursos!C:D,2,FALSE)</f>
        <v>TOPADORA CON ESC.(43 T)</v>
      </c>
      <c r="D158" s="1223">
        <f t="shared" si="32"/>
        <v>9723.94</v>
      </c>
      <c r="E158" s="1223">
        <f>+SUMIF(Recursos!C:C,EQ_CE!B158,Recursos!G:G)</f>
        <v>0</v>
      </c>
      <c r="F158" s="1224">
        <f t="shared" si="33"/>
        <v>3466.9786666666669</v>
      </c>
      <c r="G158" s="1225">
        <f t="shared" si="34"/>
        <v>1733.4893333333334</v>
      </c>
      <c r="H158" s="1225">
        <f t="shared" si="35"/>
        <v>4523.4719999999998</v>
      </c>
      <c r="I158" s="1226">
        <f t="shared" si="36"/>
        <v>0</v>
      </c>
      <c r="J158" s="1227">
        <v>573300</v>
      </c>
      <c r="K158" s="1228">
        <v>370</v>
      </c>
      <c r="L158" s="1228">
        <v>0</v>
      </c>
      <c r="M158" s="1228">
        <v>13500</v>
      </c>
      <c r="N158" s="1229">
        <v>0.12</v>
      </c>
      <c r="O158" s="1229">
        <v>0</v>
      </c>
      <c r="P158" s="1229">
        <v>0</v>
      </c>
      <c r="Q158" s="1229">
        <v>0</v>
      </c>
      <c r="R158" s="1230">
        <f t="shared" si="37"/>
        <v>0</v>
      </c>
      <c r="S158" s="1230">
        <f t="shared" si="38"/>
        <v>0</v>
      </c>
      <c r="T158" s="1230">
        <f t="shared" si="39"/>
        <v>2426.8850666666667</v>
      </c>
      <c r="V158" s="560" t="s">
        <v>956</v>
      </c>
      <c r="W158" s="560" t="s">
        <v>1594</v>
      </c>
    </row>
    <row r="159" spans="2:23">
      <c r="B159" s="1221" t="s">
        <v>1536</v>
      </c>
      <c r="C159" s="1222" t="str">
        <f>+VLOOKUP(B159,Recursos!C:D,2,FALSE)</f>
        <v>TOPADORA SIN ESC.(15 T)</v>
      </c>
      <c r="D159" s="1223">
        <f t="shared" si="32"/>
        <v>3980.3256000000001</v>
      </c>
      <c r="E159" s="1223">
        <f>+SUMIF(Recursos!C:C,EQ_CE!B159,Recursos!G:G)</f>
        <v>0</v>
      </c>
      <c r="F159" s="1224">
        <f t="shared" si="33"/>
        <v>1498.9104</v>
      </c>
      <c r="G159" s="1225">
        <f t="shared" si="34"/>
        <v>749.45519999999999</v>
      </c>
      <c r="H159" s="1225">
        <f t="shared" si="35"/>
        <v>1731.9600000000003</v>
      </c>
      <c r="I159" s="1226">
        <f t="shared" si="36"/>
        <v>0</v>
      </c>
      <c r="J159" s="1227">
        <v>183600</v>
      </c>
      <c r="K159" s="1228">
        <v>170</v>
      </c>
      <c r="L159" s="1228">
        <v>0</v>
      </c>
      <c r="M159" s="1228">
        <v>10000</v>
      </c>
      <c r="N159" s="1229">
        <v>0.1</v>
      </c>
      <c r="O159" s="1229">
        <v>0</v>
      </c>
      <c r="P159" s="1229">
        <v>0</v>
      </c>
      <c r="Q159" s="1229">
        <v>0</v>
      </c>
      <c r="R159" s="1230">
        <f t="shared" si="37"/>
        <v>0</v>
      </c>
      <c r="S159" s="1230">
        <f t="shared" si="38"/>
        <v>0</v>
      </c>
      <c r="T159" s="1230">
        <f t="shared" si="39"/>
        <v>1049.2372800000001</v>
      </c>
      <c r="V159" s="560" t="s">
        <v>957</v>
      </c>
      <c r="W159" s="560" t="s">
        <v>1595</v>
      </c>
    </row>
    <row r="160" spans="2:23">
      <c r="B160" s="1221" t="s">
        <v>1537</v>
      </c>
      <c r="C160" s="1222" t="str">
        <f>+VLOOKUP(B160,Recursos!C:D,2,FALSE)</f>
        <v xml:space="preserve">TOPADORA SIN ESC.(34 T) </v>
      </c>
      <c r="D160" s="1223">
        <f t="shared" si="32"/>
        <v>6615.2070000000003</v>
      </c>
      <c r="E160" s="1223">
        <f>+SUMIF(Recursos!C:C,EQ_CE!B160,Recursos!G:G)</f>
        <v>0</v>
      </c>
      <c r="F160" s="1224">
        <f t="shared" si="33"/>
        <v>2094.0659999999998</v>
      </c>
      <c r="G160" s="1225">
        <f t="shared" si="34"/>
        <v>1047.0329999999999</v>
      </c>
      <c r="H160" s="1225">
        <f t="shared" si="35"/>
        <v>3474.1080000000002</v>
      </c>
      <c r="I160" s="1226">
        <f t="shared" si="36"/>
        <v>0</v>
      </c>
      <c r="J160" s="1227">
        <v>307800</v>
      </c>
      <c r="K160" s="1228">
        <v>310</v>
      </c>
      <c r="L160" s="1228">
        <v>0</v>
      </c>
      <c r="M160" s="1228">
        <v>12000</v>
      </c>
      <c r="N160" s="1229">
        <v>0.11</v>
      </c>
      <c r="O160" s="1229">
        <v>0</v>
      </c>
      <c r="P160" s="1229">
        <v>0</v>
      </c>
      <c r="Q160" s="1229">
        <v>0</v>
      </c>
      <c r="R160" s="1230">
        <f t="shared" si="37"/>
        <v>0</v>
      </c>
      <c r="S160" s="1230">
        <f t="shared" si="38"/>
        <v>0</v>
      </c>
      <c r="T160" s="1230">
        <f t="shared" si="39"/>
        <v>1465.8462</v>
      </c>
      <c r="V160" s="560" t="s">
        <v>1697</v>
      </c>
      <c r="W160" s="560" t="s">
        <v>1696</v>
      </c>
    </row>
    <row r="161" spans="2:23">
      <c r="B161" s="1221" t="s">
        <v>1539</v>
      </c>
      <c r="C161" s="1222" t="str">
        <f>+VLOOKUP(B161,Recursos!C:D,2,FALSE)</f>
        <v>TOPADORA SOBRE NEUMATICOS (46 T)</v>
      </c>
      <c r="D161" s="1223">
        <f t="shared" si="32"/>
        <v>12449.991111111111</v>
      </c>
      <c r="E161" s="1223">
        <f>+SUMIF(Recursos!C:C,EQ_CE!B161,Recursos!G:G)</f>
        <v>0</v>
      </c>
      <c r="F161" s="1224">
        <f t="shared" si="33"/>
        <v>4088.0474074074068</v>
      </c>
      <c r="G161" s="1225">
        <f t="shared" si="34"/>
        <v>2044.0237037037034</v>
      </c>
      <c r="H161" s="1225">
        <f t="shared" si="35"/>
        <v>5501.52</v>
      </c>
      <c r="I161" s="1226">
        <f t="shared" si="36"/>
        <v>816.4</v>
      </c>
      <c r="J161" s="1227">
        <v>676000</v>
      </c>
      <c r="K161" s="1228">
        <v>450</v>
      </c>
      <c r="L161" s="1228">
        <v>0</v>
      </c>
      <c r="M161" s="1228">
        <v>13500</v>
      </c>
      <c r="N161" s="1229">
        <v>0.12</v>
      </c>
      <c r="O161" s="1229">
        <v>4</v>
      </c>
      <c r="P161" s="1229">
        <v>5000</v>
      </c>
      <c r="Q161" s="1229">
        <v>2500</v>
      </c>
      <c r="R161" s="1230">
        <f t="shared" si="37"/>
        <v>0</v>
      </c>
      <c r="S161" s="1230">
        <f t="shared" si="38"/>
        <v>0</v>
      </c>
      <c r="T161" s="1230">
        <f t="shared" si="39"/>
        <v>2861.6331851851846</v>
      </c>
      <c r="V161" s="560" t="s">
        <v>880</v>
      </c>
      <c r="W161" s="560" t="s">
        <v>1589</v>
      </c>
    </row>
    <row r="162" spans="2:23">
      <c r="B162" s="1221" t="s">
        <v>1545</v>
      </c>
      <c r="C162" s="1222" t="str">
        <f>+VLOOKUP(B162,Recursos!C:D,2,FALSE)</f>
        <v>TORRE DE ILUMINACION</v>
      </c>
      <c r="D162" s="1223">
        <f t="shared" si="32"/>
        <v>323.2944</v>
      </c>
      <c r="E162" s="1223">
        <f>+SUMIF(Recursos!C:C,EQ_CE!B162,Recursos!G:G)</f>
        <v>0.19781999999999997</v>
      </c>
      <c r="F162" s="1224">
        <f t="shared" si="33"/>
        <v>215.52960000000002</v>
      </c>
      <c r="G162" s="1225">
        <f t="shared" si="34"/>
        <v>107.76480000000001</v>
      </c>
      <c r="H162" s="1225">
        <f t="shared" si="35"/>
        <v>0</v>
      </c>
      <c r="I162" s="1226">
        <f t="shared" si="36"/>
        <v>0</v>
      </c>
      <c r="J162" s="1227">
        <v>13200</v>
      </c>
      <c r="K162" s="1228">
        <v>10</v>
      </c>
      <c r="L162" s="1228">
        <v>0</v>
      </c>
      <c r="M162" s="1228">
        <v>5000</v>
      </c>
      <c r="N162" s="1229">
        <v>0</v>
      </c>
      <c r="O162" s="1229">
        <v>0</v>
      </c>
      <c r="P162" s="1229">
        <v>0</v>
      </c>
      <c r="Q162" s="1229">
        <v>0</v>
      </c>
      <c r="R162" s="1230">
        <f t="shared" si="37"/>
        <v>0</v>
      </c>
      <c r="S162" s="1230">
        <f t="shared" si="38"/>
        <v>0</v>
      </c>
      <c r="T162" s="1230">
        <f t="shared" si="39"/>
        <v>150.87072000000001</v>
      </c>
      <c r="V162" s="560" t="s">
        <v>958</v>
      </c>
      <c r="W162" s="560" t="s">
        <v>1596</v>
      </c>
    </row>
    <row r="163" spans="2:23">
      <c r="B163" s="1221" t="s">
        <v>1573</v>
      </c>
      <c r="C163" s="1222" t="str">
        <f>+VLOOKUP(B163,Recursos!C:D,2,FALSE)</f>
        <v>TRACK DRILL HIDRAULICO (15-25 M/H)</v>
      </c>
      <c r="D163" s="1223">
        <f t="shared" si="32"/>
        <v>4532.7802909090915</v>
      </c>
      <c r="E163" s="1223">
        <f>+SUMIF(Recursos!C:C,EQ_CE!B163,Recursos!G:G)</f>
        <v>0</v>
      </c>
      <c r="F163" s="1224">
        <f t="shared" si="33"/>
        <v>1946.0007272727273</v>
      </c>
      <c r="G163" s="1225">
        <f t="shared" si="34"/>
        <v>973.00036363636366</v>
      </c>
      <c r="H163" s="1225">
        <f t="shared" si="35"/>
        <v>1613.7791999999999</v>
      </c>
      <c r="I163" s="1226">
        <f t="shared" si="36"/>
        <v>0</v>
      </c>
      <c r="J163" s="1227">
        <v>262200</v>
      </c>
      <c r="K163" s="1228">
        <v>144</v>
      </c>
      <c r="L163" s="1228">
        <v>0</v>
      </c>
      <c r="M163" s="1228">
        <v>11000</v>
      </c>
      <c r="N163" s="1229">
        <v>0.11</v>
      </c>
      <c r="O163" s="1229">
        <v>0</v>
      </c>
      <c r="P163" s="1229">
        <v>0</v>
      </c>
      <c r="Q163" s="1229">
        <v>0</v>
      </c>
      <c r="R163" s="1230">
        <f t="shared" si="37"/>
        <v>0</v>
      </c>
      <c r="S163" s="1230">
        <f t="shared" si="38"/>
        <v>0</v>
      </c>
      <c r="T163" s="1230">
        <f t="shared" si="39"/>
        <v>1362.2005090909092</v>
      </c>
      <c r="V163" s="560" t="s">
        <v>1699</v>
      </c>
      <c r="W163" s="560" t="s">
        <v>1698</v>
      </c>
    </row>
    <row r="164" spans="2:23">
      <c r="B164" s="1221" t="s">
        <v>1572</v>
      </c>
      <c r="C164" s="1222" t="str">
        <f>+VLOOKUP(B164,Recursos!C:D,2,FALSE)</f>
        <v>TRACK DRILL NEUMATICO (10-14 M/H)</v>
      </c>
      <c r="D164" s="1223">
        <f t="shared" si="32"/>
        <v>1116.8352</v>
      </c>
      <c r="E164" s="1223">
        <f>+SUMIF(Recursos!C:C,EQ_CE!B164,Recursos!G:G)</f>
        <v>0</v>
      </c>
      <c r="F164" s="1224">
        <f t="shared" si="33"/>
        <v>744.55679999999995</v>
      </c>
      <c r="G164" s="1225">
        <f t="shared" si="34"/>
        <v>372.27839999999998</v>
      </c>
      <c r="H164" s="1225">
        <f t="shared" si="35"/>
        <v>0</v>
      </c>
      <c r="I164" s="1226">
        <f t="shared" si="36"/>
        <v>0</v>
      </c>
      <c r="J164" s="1227">
        <v>91200</v>
      </c>
      <c r="K164" s="1228">
        <v>0</v>
      </c>
      <c r="L164" s="1228">
        <v>0</v>
      </c>
      <c r="M164" s="1228">
        <v>10000</v>
      </c>
      <c r="N164" s="1229">
        <v>0</v>
      </c>
      <c r="O164" s="1229">
        <v>0</v>
      </c>
      <c r="P164" s="1229">
        <v>0</v>
      </c>
      <c r="Q164" s="1229">
        <v>0</v>
      </c>
      <c r="R164" s="1230">
        <f t="shared" si="37"/>
        <v>0</v>
      </c>
      <c r="S164" s="1230">
        <f t="shared" si="38"/>
        <v>0</v>
      </c>
      <c r="T164" s="1230">
        <f t="shared" si="39"/>
        <v>521.18975999999998</v>
      </c>
      <c r="V164" s="560" t="s">
        <v>868</v>
      </c>
      <c r="W164" s="560" t="s">
        <v>1577</v>
      </c>
    </row>
    <row r="165" spans="2:23">
      <c r="B165" s="1221" t="s">
        <v>1649</v>
      </c>
      <c r="C165" s="1222" t="str">
        <f>+VLOOKUP(B165,Recursos!C:D,2,FALSE)</f>
        <v>TRACTOR DE ARRASTE CON RASTRA</v>
      </c>
      <c r="D165" s="1223">
        <f t="shared" si="32"/>
        <v>2128.7640000000001</v>
      </c>
      <c r="E165" s="1223">
        <f>+SUMIF(Recursos!C:C,EQ_CE!B165,Recursos!G:G)</f>
        <v>0</v>
      </c>
      <c r="F165" s="1224">
        <f t="shared" si="33"/>
        <v>277.57600000000002</v>
      </c>
      <c r="G165" s="1225">
        <f t="shared" si="34"/>
        <v>138.78800000000001</v>
      </c>
      <c r="H165" s="1225">
        <f t="shared" si="35"/>
        <v>1222.56</v>
      </c>
      <c r="I165" s="1226">
        <f t="shared" si="36"/>
        <v>489.84</v>
      </c>
      <c r="J165" s="1227">
        <v>34000</v>
      </c>
      <c r="K165" s="1228">
        <v>150</v>
      </c>
      <c r="L165" s="1228">
        <v>0</v>
      </c>
      <c r="M165" s="1228">
        <v>10000</v>
      </c>
      <c r="N165" s="1229">
        <v>0.08</v>
      </c>
      <c r="O165" s="1229">
        <v>4</v>
      </c>
      <c r="P165" s="1229">
        <v>1200</v>
      </c>
      <c r="Q165" s="1229">
        <v>1000</v>
      </c>
      <c r="R165" s="1230">
        <f t="shared" si="37"/>
        <v>0</v>
      </c>
      <c r="S165" s="1230">
        <f t="shared" si="38"/>
        <v>0</v>
      </c>
      <c r="T165" s="1230">
        <f t="shared" si="39"/>
        <v>194.3032</v>
      </c>
      <c r="V165" s="560" t="s">
        <v>959</v>
      </c>
      <c r="W165" s="560" t="s">
        <v>1597</v>
      </c>
    </row>
    <row r="166" spans="2:23">
      <c r="B166" s="1221" t="s">
        <v>1579</v>
      </c>
      <c r="C166" s="1222" t="str">
        <f>+VLOOKUP(B166,Recursos!C:D,2,FALSE)</f>
        <v>TRACTOR PANTANERO 8 CUBIERTAS</v>
      </c>
      <c r="D166" s="1223">
        <f t="shared" ref="D166:D179" si="40">+SUM(F166:I166)</f>
        <v>3411.4653333333331</v>
      </c>
      <c r="E166" s="1223">
        <f>+SUMIF(Recursos!C:C,EQ_CE!B166,Recursos!G:G)</f>
        <v>0</v>
      </c>
      <c r="F166" s="1224">
        <f t="shared" ref="F166:F179" si="41">+(J166*(1-vres))/M166*usd</f>
        <v>571.4799999999999</v>
      </c>
      <c r="G166" s="1225">
        <f t="shared" ref="G166:G179" si="42">+ryr*F166</f>
        <v>285.73999999999995</v>
      </c>
      <c r="H166" s="1225">
        <f t="shared" ref="H166:H179" si="43">+N166*K166*comb*(1+lub)</f>
        <v>2282.1120000000001</v>
      </c>
      <c r="I166" s="1226">
        <f t="shared" ref="I166:I179" si="44">+IF(Q166&gt;0,(O166*P166)*usd/Q166,0)</f>
        <v>272.13333333333333</v>
      </c>
      <c r="J166" s="1227">
        <v>70000</v>
      </c>
      <c r="K166" s="1228">
        <v>160</v>
      </c>
      <c r="L166" s="1228">
        <v>0</v>
      </c>
      <c r="M166" s="1228">
        <v>10000</v>
      </c>
      <c r="N166" s="1229">
        <v>0.14000000000000001</v>
      </c>
      <c r="O166" s="1229">
        <v>8</v>
      </c>
      <c r="P166" s="1229">
        <v>1000</v>
      </c>
      <c r="Q166" s="1229">
        <v>3000</v>
      </c>
      <c r="R166" s="1230">
        <f t="shared" ref="R166:R179" si="45">+N166*K166*E166</f>
        <v>0</v>
      </c>
      <c r="S166" s="1230">
        <f t="shared" ref="S166:S179" si="46">+L166*E166</f>
        <v>0</v>
      </c>
      <c r="T166" s="1230">
        <f t="shared" ref="T166:T179" si="47">0.5*(F166+0.8*G166)</f>
        <v>400.03599999999994</v>
      </c>
      <c r="V166" s="560" t="s">
        <v>960</v>
      </c>
      <c r="W166" s="560" t="s">
        <v>1598</v>
      </c>
    </row>
    <row r="167" spans="2:23">
      <c r="B167" s="1221" t="s">
        <v>1680</v>
      </c>
      <c r="C167" s="1222" t="s">
        <v>1681</v>
      </c>
      <c r="D167" s="1223">
        <f t="shared" si="40"/>
        <v>1968.2054000000001</v>
      </c>
      <c r="E167" s="1223">
        <f>+SUMIF(Recursos!C:C,EQ_CE!B167,Recursos!G:G)</f>
        <v>0</v>
      </c>
      <c r="F167" s="1224">
        <f t="shared" si="41"/>
        <v>415.54759999999999</v>
      </c>
      <c r="G167" s="1225">
        <f t="shared" si="42"/>
        <v>207.77379999999999</v>
      </c>
      <c r="H167" s="1225">
        <f t="shared" si="43"/>
        <v>1304.0640000000001</v>
      </c>
      <c r="I167" s="1226">
        <f t="shared" si="44"/>
        <v>40.82</v>
      </c>
      <c r="J167" s="1227">
        <v>50900</v>
      </c>
      <c r="K167" s="1228">
        <v>160</v>
      </c>
      <c r="L167" s="1228">
        <v>0</v>
      </c>
      <c r="M167" s="1228">
        <v>10000</v>
      </c>
      <c r="N167" s="1229">
        <v>0.08</v>
      </c>
      <c r="O167" s="1229">
        <v>4</v>
      </c>
      <c r="P167" s="1229">
        <v>300</v>
      </c>
      <c r="Q167" s="1229">
        <v>3000</v>
      </c>
      <c r="R167" s="1230">
        <f t="shared" si="45"/>
        <v>0</v>
      </c>
      <c r="S167" s="1230">
        <f t="shared" si="46"/>
        <v>0</v>
      </c>
      <c r="T167" s="1230">
        <f t="shared" si="47"/>
        <v>290.88332000000003</v>
      </c>
      <c r="V167" s="560" t="s">
        <v>2730</v>
      </c>
      <c r="W167" s="560" t="s">
        <v>1652</v>
      </c>
    </row>
    <row r="168" spans="2:23">
      <c r="B168" s="1221" t="s">
        <v>1668</v>
      </c>
      <c r="C168" s="1222" t="s">
        <v>1669</v>
      </c>
      <c r="D168" s="1223">
        <f t="shared" si="40"/>
        <v>194.83386000000002</v>
      </c>
      <c r="E168" s="1223">
        <f>+SUMIF(Recursos!C:C,EQ_CE!B168,Recursos!G:G)</f>
        <v>0</v>
      </c>
      <c r="F168" s="1224">
        <f t="shared" si="41"/>
        <v>129.88924</v>
      </c>
      <c r="G168" s="1225">
        <f t="shared" si="42"/>
        <v>64.94462</v>
      </c>
      <c r="H168" s="1225">
        <f t="shared" si="43"/>
        <v>0</v>
      </c>
      <c r="I168" s="1226">
        <f t="shared" si="44"/>
        <v>0</v>
      </c>
      <c r="J168" s="1227">
        <v>15910</v>
      </c>
      <c r="K168" s="1228">
        <v>0</v>
      </c>
      <c r="L168" s="1228">
        <v>0</v>
      </c>
      <c r="M168" s="1228">
        <v>10000</v>
      </c>
      <c r="N168" s="1229">
        <v>0.08</v>
      </c>
      <c r="O168" s="1229">
        <v>0</v>
      </c>
      <c r="P168" s="1229">
        <v>0</v>
      </c>
      <c r="Q168" s="1229">
        <v>0</v>
      </c>
      <c r="R168" s="1230">
        <f t="shared" si="45"/>
        <v>0</v>
      </c>
      <c r="S168" s="1230">
        <f t="shared" si="46"/>
        <v>0</v>
      </c>
      <c r="T168" s="1230">
        <f t="shared" si="47"/>
        <v>90.922468000000009</v>
      </c>
      <c r="V168" s="560" t="s">
        <v>1002</v>
      </c>
      <c r="W168" s="560" t="s">
        <v>1634</v>
      </c>
    </row>
    <row r="169" spans="2:23">
      <c r="B169" s="1221" t="s">
        <v>1643</v>
      </c>
      <c r="C169" s="1222" t="str">
        <f>+VLOOKUP(B169,Recursos!C:D,2,FALSE)</f>
        <v>TRITUR.PRIMARIA A IMPACTO ALIM. 32"</v>
      </c>
      <c r="D169" s="1223">
        <f t="shared" si="40"/>
        <v>2204.2799999999997</v>
      </c>
      <c r="E169" s="1223">
        <f>+SUMIF(Recursos!C:C,EQ_CE!B169,Recursos!G:G)</f>
        <v>0</v>
      </c>
      <c r="F169" s="1224">
        <f t="shared" si="41"/>
        <v>1469.52</v>
      </c>
      <c r="G169" s="1225">
        <f t="shared" si="42"/>
        <v>734.76</v>
      </c>
      <c r="H169" s="1225">
        <f t="shared" si="43"/>
        <v>0</v>
      </c>
      <c r="I169" s="1226">
        <f t="shared" si="44"/>
        <v>0</v>
      </c>
      <c r="J169" s="1227">
        <v>180000</v>
      </c>
      <c r="K169" s="1228">
        <v>0</v>
      </c>
      <c r="L169" s="1228">
        <v>143</v>
      </c>
      <c r="M169" s="1228">
        <v>10000</v>
      </c>
      <c r="N169" s="1229">
        <v>0</v>
      </c>
      <c r="O169" s="1229">
        <v>0</v>
      </c>
      <c r="P169" s="1229">
        <v>0</v>
      </c>
      <c r="Q169" s="1229">
        <v>0</v>
      </c>
      <c r="R169" s="1230">
        <f t="shared" si="45"/>
        <v>0</v>
      </c>
      <c r="S169" s="1230">
        <f t="shared" si="46"/>
        <v>0</v>
      </c>
      <c r="T169" s="1230">
        <f t="shared" si="47"/>
        <v>1028.664</v>
      </c>
      <c r="V169" s="560" t="s">
        <v>1007</v>
      </c>
      <c r="W169" s="560" t="s">
        <v>1639</v>
      </c>
    </row>
    <row r="170" spans="2:23">
      <c r="B170" s="1221" t="s">
        <v>1702</v>
      </c>
      <c r="C170" s="1222" t="s">
        <v>1703</v>
      </c>
      <c r="D170" s="1223">
        <f t="shared" si="40"/>
        <v>3916.2707999999993</v>
      </c>
      <c r="E170" s="1223">
        <f>+SUMIF(Recursos!C:C,EQ_CE!B170,Recursos!G:G)</f>
        <v>0</v>
      </c>
      <c r="F170" s="1224">
        <f t="shared" si="41"/>
        <v>2610.8471999999997</v>
      </c>
      <c r="G170" s="1225">
        <f t="shared" si="42"/>
        <v>1305.4235999999999</v>
      </c>
      <c r="H170" s="1225">
        <f t="shared" si="43"/>
        <v>0</v>
      </c>
      <c r="I170" s="1226">
        <f t="shared" si="44"/>
        <v>0</v>
      </c>
      <c r="J170" s="1227">
        <v>319800</v>
      </c>
      <c r="K170" s="1228">
        <v>0</v>
      </c>
      <c r="L170" s="1228">
        <v>143</v>
      </c>
      <c r="M170" s="1228">
        <v>10000</v>
      </c>
      <c r="N170" s="1229">
        <v>0.08</v>
      </c>
      <c r="O170" s="1229">
        <v>0</v>
      </c>
      <c r="P170" s="1229">
        <v>0</v>
      </c>
      <c r="Q170" s="1229">
        <v>0</v>
      </c>
      <c r="R170" s="1230">
        <f t="shared" si="45"/>
        <v>0</v>
      </c>
      <c r="S170" s="1230">
        <f t="shared" si="46"/>
        <v>0</v>
      </c>
      <c r="T170" s="1230">
        <f t="shared" si="47"/>
        <v>1827.5930399999997</v>
      </c>
      <c r="V170" s="560" t="s">
        <v>1004</v>
      </c>
      <c r="W170" s="560" t="s">
        <v>1636</v>
      </c>
    </row>
    <row r="171" spans="2:23">
      <c r="B171" s="1221" t="s">
        <v>1644</v>
      </c>
      <c r="C171" s="1222" t="str">
        <f>+VLOOKUP(B171,Recursos!C:D,2,FALSE)</f>
        <v>TRITUR.SECUND.A CONO 36" C/ZARANDA</v>
      </c>
      <c r="D171" s="1223">
        <f t="shared" si="40"/>
        <v>1714.4399999999996</v>
      </c>
      <c r="E171" s="1223">
        <f>+SUMIF(Recursos!C:C,EQ_CE!B171,Recursos!G:G)</f>
        <v>0</v>
      </c>
      <c r="F171" s="1224">
        <f t="shared" si="41"/>
        <v>1142.9599999999998</v>
      </c>
      <c r="G171" s="1225">
        <f t="shared" si="42"/>
        <v>571.4799999999999</v>
      </c>
      <c r="H171" s="1225">
        <f t="shared" si="43"/>
        <v>0</v>
      </c>
      <c r="I171" s="1226">
        <f t="shared" si="44"/>
        <v>0</v>
      </c>
      <c r="J171" s="1227">
        <v>140000</v>
      </c>
      <c r="K171" s="1228">
        <v>0</v>
      </c>
      <c r="L171" s="1228">
        <v>140</v>
      </c>
      <c r="M171" s="1228">
        <v>10000</v>
      </c>
      <c r="N171" s="1229">
        <v>0</v>
      </c>
      <c r="O171" s="1229">
        <v>0</v>
      </c>
      <c r="P171" s="1229">
        <v>0</v>
      </c>
      <c r="Q171" s="1229">
        <v>0</v>
      </c>
      <c r="R171" s="1230">
        <f t="shared" si="45"/>
        <v>0</v>
      </c>
      <c r="S171" s="1230">
        <f t="shared" si="46"/>
        <v>0</v>
      </c>
      <c r="T171" s="1230">
        <f t="shared" si="47"/>
        <v>800.07199999999989</v>
      </c>
      <c r="V171" s="560" t="s">
        <v>961</v>
      </c>
      <c r="W171" s="560" t="s">
        <v>1599</v>
      </c>
    </row>
    <row r="172" spans="2:23">
      <c r="B172" s="1221" t="s">
        <v>1645</v>
      </c>
      <c r="C172" s="1222" t="str">
        <f>+VLOOKUP(B172,Recursos!C:D,2,FALSE)</f>
        <v>TRITUR.SECUND.A CONO 45" C/ZARANDA</v>
      </c>
      <c r="D172" s="1223">
        <f t="shared" si="40"/>
        <v>1714.4399999999996</v>
      </c>
      <c r="E172" s="1223">
        <f>+SUMIF(Recursos!C:C,EQ_CE!B172,Recursos!G:G)</f>
        <v>0</v>
      </c>
      <c r="F172" s="1224">
        <f t="shared" si="41"/>
        <v>1142.9599999999998</v>
      </c>
      <c r="G172" s="1225">
        <f t="shared" si="42"/>
        <v>571.4799999999999</v>
      </c>
      <c r="H172" s="1225">
        <f t="shared" si="43"/>
        <v>0</v>
      </c>
      <c r="I172" s="1226">
        <f t="shared" si="44"/>
        <v>0</v>
      </c>
      <c r="J172" s="1227">
        <v>140000</v>
      </c>
      <c r="K172" s="1228">
        <v>0</v>
      </c>
      <c r="L172" s="1228">
        <v>200</v>
      </c>
      <c r="M172" s="1228">
        <v>10000</v>
      </c>
      <c r="N172" s="1229">
        <v>0</v>
      </c>
      <c r="O172" s="1229">
        <v>0</v>
      </c>
      <c r="P172" s="1229">
        <v>0</v>
      </c>
      <c r="Q172" s="1229">
        <v>0</v>
      </c>
      <c r="R172" s="1230">
        <f t="shared" si="45"/>
        <v>0</v>
      </c>
      <c r="S172" s="1230">
        <f t="shared" si="46"/>
        <v>0</v>
      </c>
      <c r="T172" s="1230">
        <f t="shared" si="47"/>
        <v>800.07199999999989</v>
      </c>
      <c r="V172" s="560" t="s">
        <v>962</v>
      </c>
      <c r="W172" s="560" t="s">
        <v>1600</v>
      </c>
    </row>
    <row r="173" spans="2:23">
      <c r="B173" s="1221" t="s">
        <v>1656</v>
      </c>
      <c r="C173" s="1222" t="str">
        <f>+VLOOKUP(B173,Recursos!C:D,2,FALSE)</f>
        <v>TUNELERA DE 5,70M DE DIAM.</v>
      </c>
      <c r="D173" s="1223">
        <f t="shared" si="40"/>
        <v>40817.279999999999</v>
      </c>
      <c r="E173" s="1223">
        <f>+SUMIF(Recursos!C:C,EQ_CE!B173,Recursos!G:G)</f>
        <v>0</v>
      </c>
      <c r="F173" s="1224">
        <f t="shared" si="41"/>
        <v>26124.799999999999</v>
      </c>
      <c r="G173" s="1225">
        <f t="shared" si="42"/>
        <v>13062.4</v>
      </c>
      <c r="H173" s="1225">
        <f t="shared" si="43"/>
        <v>1630.0800000000002</v>
      </c>
      <c r="I173" s="1226">
        <f t="shared" si="44"/>
        <v>0</v>
      </c>
      <c r="J173" s="1227">
        <v>6400000</v>
      </c>
      <c r="K173" s="1228">
        <v>200</v>
      </c>
      <c r="L173" s="1228">
        <v>70</v>
      </c>
      <c r="M173" s="1228">
        <v>20000</v>
      </c>
      <c r="N173" s="1229">
        <v>0.08</v>
      </c>
      <c r="O173" s="1229">
        <v>0</v>
      </c>
      <c r="P173" s="1229">
        <v>0</v>
      </c>
      <c r="Q173" s="1229">
        <v>0</v>
      </c>
      <c r="R173" s="1230">
        <f t="shared" si="45"/>
        <v>0</v>
      </c>
      <c r="S173" s="1230">
        <f t="shared" si="46"/>
        <v>0</v>
      </c>
      <c r="T173" s="1230">
        <f t="shared" si="47"/>
        <v>18287.36</v>
      </c>
      <c r="V173" s="560" t="s">
        <v>963</v>
      </c>
      <c r="W173" s="560" t="s">
        <v>1601</v>
      </c>
    </row>
    <row r="174" spans="2:23">
      <c r="B174" s="1221" t="s">
        <v>1654</v>
      </c>
      <c r="C174" s="1222" t="str">
        <f>+VLOOKUP(B174,Recursos!C:D,2,FALSE)</f>
        <v>VENTILADOR DE 1200 MM</v>
      </c>
      <c r="D174" s="1223">
        <f t="shared" si="40"/>
        <v>367.38</v>
      </c>
      <c r="E174" s="1223">
        <f>+SUMIF(Recursos!C:C,EQ_CE!B174,Recursos!G:G)</f>
        <v>0</v>
      </c>
      <c r="F174" s="1224">
        <f t="shared" si="41"/>
        <v>244.92</v>
      </c>
      <c r="G174" s="1225">
        <f t="shared" si="42"/>
        <v>122.46</v>
      </c>
      <c r="H174" s="1225">
        <f t="shared" si="43"/>
        <v>0</v>
      </c>
      <c r="I174" s="1226">
        <f t="shared" si="44"/>
        <v>0</v>
      </c>
      <c r="J174" s="1227">
        <v>30000</v>
      </c>
      <c r="K174" s="1228">
        <v>0</v>
      </c>
      <c r="L174" s="1228">
        <v>130</v>
      </c>
      <c r="M174" s="1228">
        <v>10000</v>
      </c>
      <c r="N174" s="1229">
        <v>0</v>
      </c>
      <c r="O174" s="1229">
        <v>0</v>
      </c>
      <c r="P174" s="1229">
        <v>0</v>
      </c>
      <c r="Q174" s="1229">
        <v>0</v>
      </c>
      <c r="R174" s="1230">
        <f t="shared" si="45"/>
        <v>0</v>
      </c>
      <c r="S174" s="1230">
        <f t="shared" si="46"/>
        <v>0</v>
      </c>
      <c r="T174" s="1230">
        <f t="shared" si="47"/>
        <v>171.44399999999999</v>
      </c>
      <c r="V174" s="560" t="s">
        <v>964</v>
      </c>
      <c r="W174" s="560" t="s">
        <v>1602</v>
      </c>
    </row>
    <row r="175" spans="2:23">
      <c r="B175" s="1221" t="s">
        <v>1655</v>
      </c>
      <c r="C175" s="1222" t="str">
        <f>+VLOOKUP(B175,Recursos!C:D,2,FALSE)</f>
        <v>VENTILADOR DE 1600 MM</v>
      </c>
      <c r="D175" s="1223">
        <f t="shared" si="40"/>
        <v>551.06999999999994</v>
      </c>
      <c r="E175" s="1223">
        <f>+SUMIF(Recursos!C:C,EQ_CE!B175,Recursos!G:G)</f>
        <v>0</v>
      </c>
      <c r="F175" s="1224">
        <f t="shared" si="41"/>
        <v>367.38</v>
      </c>
      <c r="G175" s="1225">
        <f t="shared" si="42"/>
        <v>183.69</v>
      </c>
      <c r="H175" s="1225">
        <f t="shared" si="43"/>
        <v>0</v>
      </c>
      <c r="I175" s="1226">
        <f t="shared" si="44"/>
        <v>0</v>
      </c>
      <c r="J175" s="1227">
        <v>45000</v>
      </c>
      <c r="K175" s="1228">
        <v>0</v>
      </c>
      <c r="L175" s="1228">
        <v>230</v>
      </c>
      <c r="M175" s="1228">
        <v>10000</v>
      </c>
      <c r="N175" s="1229">
        <v>0</v>
      </c>
      <c r="O175" s="1229">
        <v>0</v>
      </c>
      <c r="P175" s="1229">
        <v>0</v>
      </c>
      <c r="Q175" s="1229">
        <v>0</v>
      </c>
      <c r="R175" s="1230">
        <f t="shared" si="45"/>
        <v>0</v>
      </c>
      <c r="S175" s="1230">
        <f t="shared" si="46"/>
        <v>0</v>
      </c>
      <c r="T175" s="1230">
        <f t="shared" si="47"/>
        <v>257.166</v>
      </c>
      <c r="V175" s="560" t="s">
        <v>952</v>
      </c>
      <c r="W175" s="560" t="s">
        <v>1590</v>
      </c>
    </row>
    <row r="176" spans="2:23">
      <c r="B176" s="1221" t="s">
        <v>1653</v>
      </c>
      <c r="C176" s="1222" t="str">
        <f>+VLOOKUP(B176,Recursos!C:D,2,FALSE)</f>
        <v>VENTILADOR DE 900 MM</v>
      </c>
      <c r="D176" s="1223">
        <f t="shared" si="40"/>
        <v>183.69</v>
      </c>
      <c r="E176" s="1223">
        <f>+SUMIF(Recursos!C:C,EQ_CE!B176,Recursos!G:G)</f>
        <v>0</v>
      </c>
      <c r="F176" s="1224">
        <f t="shared" si="41"/>
        <v>122.46</v>
      </c>
      <c r="G176" s="1225">
        <f t="shared" si="42"/>
        <v>61.23</v>
      </c>
      <c r="H176" s="1225">
        <f t="shared" si="43"/>
        <v>0</v>
      </c>
      <c r="I176" s="1226">
        <f t="shared" si="44"/>
        <v>0</v>
      </c>
      <c r="J176" s="1227">
        <v>15000</v>
      </c>
      <c r="K176" s="1228">
        <v>0</v>
      </c>
      <c r="L176" s="1228">
        <v>70</v>
      </c>
      <c r="M176" s="1228">
        <v>10000</v>
      </c>
      <c r="N176" s="1229">
        <v>0</v>
      </c>
      <c r="O176" s="1229">
        <v>0</v>
      </c>
      <c r="P176" s="1229">
        <v>0</v>
      </c>
      <c r="Q176" s="1229">
        <v>0</v>
      </c>
      <c r="R176" s="1230">
        <f t="shared" si="45"/>
        <v>0</v>
      </c>
      <c r="S176" s="1230">
        <f t="shared" si="46"/>
        <v>0</v>
      </c>
      <c r="T176" s="1230">
        <f t="shared" si="47"/>
        <v>85.721999999999994</v>
      </c>
      <c r="V176" s="560" t="s">
        <v>1701</v>
      </c>
      <c r="W176" s="560" t="s">
        <v>1700</v>
      </c>
    </row>
    <row r="177" spans="2:23">
      <c r="B177" s="1221" t="s">
        <v>1625</v>
      </c>
      <c r="C177" s="1222" t="str">
        <f>+VLOOKUP(B177,Recursos!C:D,2,FALSE)</f>
        <v>VIBRADOR DE INMERSION d=57 mm (NE)</v>
      </c>
      <c r="D177" s="1223">
        <f t="shared" si="40"/>
        <v>79.599000000000004</v>
      </c>
      <c r="E177" s="1223">
        <f>+SUMIF(Recursos!C:C,EQ_CE!B177,Recursos!G:G)</f>
        <v>0</v>
      </c>
      <c r="F177" s="1224">
        <f t="shared" si="41"/>
        <v>53.066000000000003</v>
      </c>
      <c r="G177" s="1225">
        <f t="shared" si="42"/>
        <v>26.533000000000001</v>
      </c>
      <c r="H177" s="1225">
        <f t="shared" si="43"/>
        <v>0</v>
      </c>
      <c r="I177" s="1226">
        <f t="shared" si="44"/>
        <v>0</v>
      </c>
      <c r="J177" s="1227">
        <v>1300</v>
      </c>
      <c r="K177" s="1228">
        <v>0</v>
      </c>
      <c r="L177" s="1228">
        <v>0</v>
      </c>
      <c r="M177" s="1228">
        <v>2000</v>
      </c>
      <c r="N177" s="1229">
        <v>0</v>
      </c>
      <c r="O177" s="1229">
        <v>0</v>
      </c>
      <c r="P177" s="1229">
        <v>0</v>
      </c>
      <c r="Q177" s="1229">
        <v>0</v>
      </c>
      <c r="R177" s="1230">
        <f t="shared" si="45"/>
        <v>0</v>
      </c>
      <c r="S177" s="1230">
        <f t="shared" si="46"/>
        <v>0</v>
      </c>
      <c r="T177" s="1230">
        <f t="shared" si="47"/>
        <v>37.1462</v>
      </c>
      <c r="V177" s="560" t="s">
        <v>966</v>
      </c>
      <c r="W177" s="560" t="s">
        <v>1604</v>
      </c>
    </row>
    <row r="178" spans="2:23">
      <c r="B178" s="1221" t="s">
        <v>1688</v>
      </c>
      <c r="C178" s="1222" t="s">
        <v>1689</v>
      </c>
      <c r="D178" s="1223">
        <f t="shared" si="40"/>
        <v>63.583980000000004</v>
      </c>
      <c r="E178" s="1223">
        <f>+SUMIF(Recursos!C:C,EQ_CE!B178,Recursos!G:G)</f>
        <v>0</v>
      </c>
      <c r="F178" s="1224">
        <f t="shared" si="41"/>
        <v>20.654920000000001</v>
      </c>
      <c r="G178" s="1225">
        <f t="shared" si="42"/>
        <v>10.32746</v>
      </c>
      <c r="H178" s="1225">
        <f t="shared" si="43"/>
        <v>32.601600000000005</v>
      </c>
      <c r="I178" s="1226">
        <f t="shared" si="44"/>
        <v>0</v>
      </c>
      <c r="J178" s="1227">
        <v>2530</v>
      </c>
      <c r="K178" s="1228">
        <v>4</v>
      </c>
      <c r="L178" s="1228">
        <v>0</v>
      </c>
      <c r="M178" s="1228">
        <v>10000</v>
      </c>
      <c r="N178" s="1229">
        <v>0.08</v>
      </c>
      <c r="O178" s="1229">
        <v>0</v>
      </c>
      <c r="P178" s="1229">
        <v>0</v>
      </c>
      <c r="Q178" s="1229">
        <v>0</v>
      </c>
      <c r="R178" s="1230">
        <f t="shared" si="45"/>
        <v>0</v>
      </c>
      <c r="S178" s="1230">
        <f t="shared" si="46"/>
        <v>0</v>
      </c>
      <c r="T178" s="1230">
        <f t="shared" si="47"/>
        <v>14.458444</v>
      </c>
      <c r="V178" s="560" t="s">
        <v>1703</v>
      </c>
      <c r="W178" s="560" t="s">
        <v>1702</v>
      </c>
    </row>
    <row r="179" spans="2:23">
      <c r="B179" s="1221" t="s">
        <v>1617</v>
      </c>
      <c r="C179" s="1222" t="str">
        <f>+VLOOKUP(B179,Recursos!C:D,2,FALSE)</f>
        <v>VOLQUETA DESC. ALTURA 1,8 M-1,2 T</v>
      </c>
      <c r="D179" s="1223">
        <f t="shared" si="40"/>
        <v>390.65260000000001</v>
      </c>
      <c r="E179" s="1223">
        <f>+SUMIF(Recursos!C:C,EQ_CE!B179,Recursos!G:G)</f>
        <v>0</v>
      </c>
      <c r="F179" s="1224">
        <f t="shared" si="41"/>
        <v>167.36199999999999</v>
      </c>
      <c r="G179" s="1225">
        <f t="shared" si="42"/>
        <v>83.680999999999997</v>
      </c>
      <c r="H179" s="1225">
        <f t="shared" si="43"/>
        <v>119.19959999999999</v>
      </c>
      <c r="I179" s="1226">
        <f t="shared" si="44"/>
        <v>20.41</v>
      </c>
      <c r="J179" s="1227">
        <v>12300</v>
      </c>
      <c r="K179" s="1228">
        <v>13</v>
      </c>
      <c r="L179" s="1228">
        <v>0</v>
      </c>
      <c r="M179" s="1228">
        <v>6000</v>
      </c>
      <c r="N179" s="1229">
        <v>0.09</v>
      </c>
      <c r="O179" s="1229">
        <v>4</v>
      </c>
      <c r="P179" s="1229">
        <v>150</v>
      </c>
      <c r="Q179" s="1229">
        <v>3000</v>
      </c>
      <c r="R179" s="1230">
        <f t="shared" si="45"/>
        <v>0</v>
      </c>
      <c r="S179" s="1230">
        <f t="shared" si="46"/>
        <v>0</v>
      </c>
      <c r="T179" s="1230">
        <f t="shared" si="47"/>
        <v>117.1534</v>
      </c>
      <c r="V179" s="560" t="s">
        <v>1011</v>
      </c>
      <c r="W179" s="560" t="s">
        <v>1643</v>
      </c>
    </row>
    <row r="180" spans="2:23">
      <c r="B180" s="1234" t="s">
        <v>3303</v>
      </c>
      <c r="C180" s="1222" t="s">
        <v>3466</v>
      </c>
      <c r="D180" s="1223">
        <f>+SUM(F180:I180)</f>
        <v>45.922499999999999</v>
      </c>
      <c r="E180" s="1223">
        <f>+SUMIF(Recursos!C:C,EQ_CE!B180,Recursos!G:G)</f>
        <v>0</v>
      </c>
      <c r="F180" s="1224">
        <f>+(J180*(1-vres))/M180*usd</f>
        <v>30.614999999999998</v>
      </c>
      <c r="G180" s="1225">
        <f>+ryr*F180</f>
        <v>15.307499999999999</v>
      </c>
      <c r="H180" s="1225">
        <f>+N180*K180*comb*(1+lub)</f>
        <v>0</v>
      </c>
      <c r="I180" s="1226">
        <f>+IF(Q180&gt;0,(O180*P180)*usd/Q180,0)</f>
        <v>0</v>
      </c>
      <c r="J180" s="1227">
        <v>1500</v>
      </c>
      <c r="K180" s="1228">
        <v>1</v>
      </c>
      <c r="L180" s="1228">
        <v>0</v>
      </c>
      <c r="M180" s="1228">
        <v>4000</v>
      </c>
      <c r="N180" s="1229">
        <v>0</v>
      </c>
      <c r="O180" s="1229">
        <v>0</v>
      </c>
      <c r="P180" s="1229">
        <v>0</v>
      </c>
      <c r="Q180" s="1229">
        <v>0</v>
      </c>
      <c r="R180" s="1230">
        <f>+N180*K180*E180</f>
        <v>0</v>
      </c>
      <c r="S180" s="1230">
        <f>+L180*E180</f>
        <v>0</v>
      </c>
      <c r="T180" s="1230">
        <f>0.5*(F180+0.8*G180)</f>
        <v>21.430499999999999</v>
      </c>
      <c r="V180" s="560" t="s">
        <v>1011</v>
      </c>
      <c r="W180" s="560" t="s">
        <v>1643</v>
      </c>
    </row>
    <row r="181" spans="2:23">
      <c r="B181" s="1234" t="s">
        <v>3304</v>
      </c>
      <c r="C181" s="1222" t="s">
        <v>4244</v>
      </c>
      <c r="D181" s="1223">
        <f>+SUM(F181:I181)</f>
        <v>1369.2906000000003</v>
      </c>
      <c r="E181" s="1223">
        <f>+SUMIF(Recursos!C:C,EQ_CE!B181,Recursos!G:G)</f>
        <v>0</v>
      </c>
      <c r="F181" s="1224">
        <f>+(J181*(1-vres))/M181*usd</f>
        <v>294.72039999999998</v>
      </c>
      <c r="G181" s="1225">
        <f>+ryr*F181</f>
        <v>147.36019999999999</v>
      </c>
      <c r="H181" s="1225">
        <f>+N181*K181*comb*(1+lub)</f>
        <v>865.98000000000013</v>
      </c>
      <c r="I181" s="1226">
        <f>+IF(Q181&gt;0,(O181*P181)*usd/Q181,0)</f>
        <v>61.23</v>
      </c>
      <c r="J181" s="1227">
        <v>36100</v>
      </c>
      <c r="K181" s="1228">
        <v>170</v>
      </c>
      <c r="L181" s="1228">
        <v>0</v>
      </c>
      <c r="M181" s="1228">
        <v>10000</v>
      </c>
      <c r="N181" s="1229">
        <v>0.05</v>
      </c>
      <c r="O181" s="1229">
        <v>6</v>
      </c>
      <c r="P181" s="1229">
        <v>200</v>
      </c>
      <c r="Q181" s="1229">
        <v>2000</v>
      </c>
      <c r="R181" s="1230">
        <f>+N181*K181*E181</f>
        <v>0</v>
      </c>
      <c r="S181" s="1230">
        <f>+L181*E181</f>
        <v>0</v>
      </c>
      <c r="T181" s="1230">
        <f>0.5*(F181+0.8*G181)</f>
        <v>206.30428000000001</v>
      </c>
      <c r="V181" s="560" t="s">
        <v>1011</v>
      </c>
      <c r="W181" s="560" t="s">
        <v>1643</v>
      </c>
    </row>
    <row r="182" spans="2:23">
      <c r="B182" s="1234"/>
      <c r="C182" s="1222"/>
      <c r="D182" s="1223"/>
      <c r="E182" s="1223"/>
      <c r="F182" s="1234"/>
      <c r="G182" s="1235"/>
      <c r="H182" s="1235"/>
      <c r="I182" s="1236"/>
      <c r="J182" s="1241"/>
      <c r="K182" s="1242"/>
      <c r="L182" s="1242"/>
      <c r="M182" s="1242"/>
      <c r="N182" s="1243"/>
      <c r="O182" s="1243"/>
      <c r="P182" s="1243"/>
      <c r="Q182" s="1243"/>
      <c r="R182" s="1244"/>
      <c r="S182" s="1244"/>
      <c r="T182" s="1244"/>
    </row>
    <row r="183" spans="2:23">
      <c r="B183" s="1234"/>
      <c r="C183" s="1222"/>
      <c r="D183" s="1223"/>
      <c r="E183" s="1223"/>
      <c r="F183" s="1234"/>
      <c r="G183" s="1235"/>
      <c r="H183" s="1235"/>
      <c r="I183" s="1236"/>
      <c r="J183" s="1241"/>
      <c r="K183" s="1242"/>
      <c r="L183" s="1242"/>
      <c r="M183" s="1242"/>
      <c r="N183" s="1243"/>
      <c r="O183" s="1243"/>
      <c r="P183" s="1243"/>
      <c r="Q183" s="1243"/>
      <c r="R183" s="1244"/>
      <c r="S183" s="1244"/>
      <c r="T183" s="1244"/>
    </row>
    <row r="184" spans="2:23">
      <c r="B184" s="1234"/>
      <c r="C184" s="1222"/>
      <c r="D184" s="1223"/>
      <c r="E184" s="1223"/>
      <c r="F184" s="1234"/>
      <c r="G184" s="1235"/>
      <c r="H184" s="1235"/>
      <c r="I184" s="1236"/>
      <c r="J184" s="1241"/>
      <c r="K184" s="1242"/>
      <c r="L184" s="1242"/>
      <c r="M184" s="1242"/>
      <c r="N184" s="1243"/>
      <c r="O184" s="1243"/>
      <c r="P184" s="1243"/>
      <c r="Q184" s="1243"/>
      <c r="R184" s="1244"/>
      <c r="S184" s="1244"/>
      <c r="T184" s="1244"/>
    </row>
    <row r="185" spans="2:23" ht="14.4" thickBot="1">
      <c r="B185" s="1234"/>
      <c r="C185" s="1232"/>
      <c r="D185" s="1233"/>
      <c r="E185" s="1233"/>
      <c r="F185" s="1234"/>
      <c r="G185" s="1235"/>
      <c r="H185" s="1235"/>
      <c r="I185" s="1236"/>
      <c r="J185" s="1241"/>
      <c r="K185" s="1242"/>
      <c r="L185" s="1242"/>
      <c r="M185" s="1242"/>
      <c r="N185" s="1243"/>
      <c r="O185" s="1243"/>
      <c r="P185" s="1243"/>
      <c r="Q185" s="1243"/>
      <c r="R185" s="1244"/>
      <c r="S185" s="1244"/>
      <c r="T185" s="1244"/>
    </row>
    <row r="186" spans="2:23" ht="15" thickTop="1" thickBot="1">
      <c r="B186" s="1245"/>
      <c r="C186" s="1246"/>
      <c r="D186" s="1246"/>
      <c r="E186" s="1246"/>
      <c r="F186" s="1246"/>
      <c r="G186" s="1246"/>
      <c r="H186" s="1246"/>
      <c r="I186" s="1246"/>
      <c r="J186" s="1247"/>
      <c r="K186" s="1248"/>
      <c r="L186" s="1248"/>
      <c r="M186" s="1248"/>
      <c r="N186" s="1249"/>
      <c r="O186" s="1249"/>
      <c r="P186" s="1249"/>
      <c r="Q186" s="1249"/>
      <c r="R186" s="1250"/>
      <c r="S186" s="1250"/>
      <c r="T186" s="1251"/>
    </row>
    <row r="187" spans="2:23" ht="15.6" thickTop="1" thickBot="1">
      <c r="B187" s="1252"/>
      <c r="C187" s="1250"/>
      <c r="D187" s="1253"/>
      <c r="E187" s="1250"/>
      <c r="F187" s="1254">
        <f>+SUMPRODUCT(F6:F186,$E$6:$E$186)</f>
        <v>3279.4703671880006</v>
      </c>
      <c r="G187" s="1254">
        <f>+SUMPRODUCT(G6:G186,$E$6:$E$186)</f>
        <v>1639.7351835940003</v>
      </c>
      <c r="H187" s="1254">
        <f>+SUMPRODUCT(H6:H186,$E$6:$E$186)</f>
        <v>3853.7996378753633</v>
      </c>
      <c r="I187" s="1254">
        <f>+SUMPRODUCT(I6:I186,$E$6:$E$186)</f>
        <v>146.66912369424034</v>
      </c>
      <c r="J187" s="1255"/>
      <c r="K187" s="1255"/>
      <c r="L187" s="1255"/>
      <c r="M187" s="1255"/>
      <c r="N187" s="1255"/>
      <c r="O187" s="1255"/>
      <c r="P187" s="1255"/>
      <c r="Q187" s="1255"/>
      <c r="R187" s="1256">
        <f>+SUM(R6:R8)</f>
        <v>0</v>
      </c>
      <c r="S187" s="1256">
        <f>+SUM(S6:S185)</f>
        <v>48.457127368421048</v>
      </c>
      <c r="T187" s="1257"/>
    </row>
    <row r="188" spans="2:23" ht="14.4" thickTop="1"/>
  </sheetData>
  <autoFilter ref="B5:T181">
    <sortState ref="B6:T179">
      <sortCondition ref="B6:B179"/>
    </sortState>
  </autoFilter>
  <sortState ref="B6:T179">
    <sortCondition ref="C6:C179"/>
  </sortState>
  <phoneticPr fontId="0" type="noConversion"/>
  <conditionalFormatting sqref="B6:B185">
    <cfRule type="duplicateValues" dxfId="8" priority="1"/>
  </conditionalFormatting>
  <pageMargins left="0.75" right="0.3" top="0.63" bottom="1" header="0.3" footer="0.5"/>
  <pageSetup scale="46" fitToHeight="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2:AP46"/>
  <sheetViews>
    <sheetView showGridLines="0" showZeros="0" view="pageBreakPreview" zoomScale="70" zoomScaleNormal="70" zoomScaleSheetLayoutView="70" workbookViewId="0">
      <pane xSplit="5" ySplit="25" topLeftCell="F26" activePane="bottomRight" state="frozen"/>
      <selection pane="topRight" activeCell="F1" sqref="F1"/>
      <selection pane="bottomLeft" activeCell="A13" sqref="A13"/>
      <selection pane="bottomRight" activeCell="AH52" sqref="AH52"/>
    </sheetView>
  </sheetViews>
  <sheetFormatPr baseColWidth="10" defaultColWidth="11.44140625" defaultRowHeight="13.8" outlineLevelCol="1"/>
  <cols>
    <col min="1" max="1" width="3.6640625" style="560" customWidth="1"/>
    <col min="2" max="2" width="12.44140625" style="560" bestFit="1" customWidth="1"/>
    <col min="3" max="3" width="72" style="560" customWidth="1"/>
    <col min="4" max="4" width="11.5546875" style="560" bestFit="1" customWidth="1"/>
    <col min="5" max="5" width="14" style="560" bestFit="1" customWidth="1"/>
    <col min="6" max="6" width="11.5546875" style="560" hidden="1" customWidth="1" outlineLevel="1"/>
    <col min="7" max="30" width="11.44140625" style="560" hidden="1" customWidth="1" outlineLevel="1"/>
    <col min="31" max="31" width="7.5546875" style="560" customWidth="1" collapsed="1"/>
    <col min="32" max="42" width="7.5546875" style="560" customWidth="1"/>
    <col min="43" max="210" width="11.44140625" style="560" customWidth="1"/>
    <col min="211" max="16384" width="11.44140625" style="560"/>
  </cols>
  <sheetData>
    <row r="2" spans="2:6" ht="21">
      <c r="B2" s="1550" t="s">
        <v>4267</v>
      </c>
    </row>
    <row r="3" spans="2:6" hidden="1">
      <c r="B3" s="1163">
        <f>+[5]Precio!C3</f>
        <v>0</v>
      </c>
      <c r="C3" s="1163">
        <f>+[5]Precio!D3</f>
        <v>0</v>
      </c>
      <c r="D3" s="560">
        <f>+[5]Precio!E3</f>
        <v>0</v>
      </c>
      <c r="E3" s="560">
        <f>+[5]Precio!F3</f>
        <v>0</v>
      </c>
    </row>
    <row r="4" spans="2:6" ht="15.6">
      <c r="B4" s="1551">
        <f>+[5]Precio!C4</f>
        <v>0</v>
      </c>
      <c r="C4" s="1162">
        <f>+[5]Precio!D4</f>
        <v>0</v>
      </c>
      <c r="D4" s="560">
        <f>+[5]Precio!E4</f>
        <v>0</v>
      </c>
      <c r="E4" s="560">
        <f>+[5]Precio!F4</f>
        <v>0</v>
      </c>
    </row>
    <row r="5" spans="2:6" ht="21">
      <c r="B5" s="1552" t="str">
        <f>+[5]Precio!C5</f>
        <v>OBRA:</v>
      </c>
      <c r="C5" s="1553" t="s">
        <v>4270</v>
      </c>
      <c r="E5" s="560">
        <f>+[5]Precio!F5</f>
        <v>0</v>
      </c>
    </row>
    <row r="6" spans="2:6" ht="15.6" hidden="1">
      <c r="B6" s="1551">
        <f>+[5]Precio!C6</f>
        <v>0</v>
      </c>
      <c r="C6" s="1162">
        <f>+[5]Precio!D6</f>
        <v>0</v>
      </c>
      <c r="D6" s="560">
        <f>+[5]Precio!E6</f>
        <v>0</v>
      </c>
      <c r="E6" s="560">
        <f>+[5]Precio!F6</f>
        <v>0</v>
      </c>
    </row>
    <row r="7" spans="2:6" ht="12.75" hidden="1" customHeight="1">
      <c r="B7" s="1551" t="str">
        <f>+[5]Precio!C7</f>
        <v>COMITENTE: OSSE</v>
      </c>
      <c r="C7" s="1162">
        <f>+[5]Precio!D7</f>
        <v>0</v>
      </c>
      <c r="D7" s="560">
        <f>+[5]Precio!E7</f>
        <v>0</v>
      </c>
      <c r="E7" s="560">
        <f>+[5]Precio!F7</f>
        <v>0</v>
      </c>
    </row>
    <row r="8" spans="2:6" ht="12.75" customHeight="1">
      <c r="B8" s="1551">
        <f>+[5]Precio!C8</f>
        <v>0</v>
      </c>
      <c r="C8" s="1162"/>
    </row>
    <row r="9" spans="2:6" ht="18">
      <c r="B9" s="1554" t="str">
        <f>+[5]Precio!C9</f>
        <v>Empresa:</v>
      </c>
      <c r="C9" s="1555"/>
      <c r="D9" s="560">
        <f>+[5]Precio!E9</f>
        <v>0</v>
      </c>
      <c r="E9" s="560">
        <f>+[5]Precio!F9</f>
        <v>0</v>
      </c>
    </row>
    <row r="10" spans="2:6" ht="12.75" customHeight="1">
      <c r="B10" s="1554" t="str">
        <f>+[5]Precio!C10</f>
        <v>Domicilio:</v>
      </c>
      <c r="C10" s="1555"/>
      <c r="D10" s="560">
        <f>+[5]Precio!E10</f>
        <v>0</v>
      </c>
      <c r="E10" s="560">
        <f>+[5]Precio!F10</f>
        <v>0</v>
      </c>
    </row>
    <row r="11" spans="2:6" ht="18">
      <c r="B11" s="1554" t="str">
        <f>+[5]Precio!C11</f>
        <v>Fecha:</v>
      </c>
      <c r="C11" s="1556">
        <f>+[5]Precio!D11</f>
        <v>0</v>
      </c>
      <c r="D11" s="560">
        <f>+[5]Precio!E11</f>
        <v>0</v>
      </c>
      <c r="E11" s="560">
        <f>+[5]Precio!F11</f>
        <v>0</v>
      </c>
      <c r="F11" s="560">
        <f>COLUMN(Crono!Q7:Q10)</f>
        <v>17</v>
      </c>
    </row>
    <row r="12" spans="2:6" ht="16.2" thickBot="1">
      <c r="B12" s="1551">
        <f>+[5]Precio!C12</f>
        <v>0</v>
      </c>
      <c r="C12" s="1162">
        <f>+[5]Precio!D12</f>
        <v>0</v>
      </c>
      <c r="D12" s="560">
        <f>+[5]Precio!E12</f>
        <v>0</v>
      </c>
      <c r="E12" s="560">
        <f>+[5]Precio!F12</f>
        <v>0</v>
      </c>
    </row>
    <row r="13" spans="2:6" ht="14.4" hidden="1" thickBot="1">
      <c r="B13" s="560">
        <f>+[5]Precio!C13</f>
        <v>0</v>
      </c>
      <c r="C13" s="560">
        <f>+[5]Precio!D13</f>
        <v>0</v>
      </c>
      <c r="D13" s="560">
        <f>+[5]Precio!E13</f>
        <v>0</v>
      </c>
      <c r="E13" s="560">
        <f>+[5]Precio!F13</f>
        <v>0</v>
      </c>
    </row>
    <row r="14" spans="2:6" ht="14.4" hidden="1" thickBot="1">
      <c r="B14" s="560">
        <f>+[5]Precio!C14</f>
        <v>0</v>
      </c>
      <c r="C14" s="560">
        <f>+[5]Precio!D14</f>
        <v>0</v>
      </c>
      <c r="D14" s="560">
        <f>+[5]Precio!E14</f>
        <v>0</v>
      </c>
      <c r="E14" s="560">
        <f>+[5]Precio!F14</f>
        <v>0</v>
      </c>
    </row>
    <row r="15" spans="2:6" ht="14.4" hidden="1" thickBot="1">
      <c r="B15" s="560">
        <f>+[5]Precio!C15</f>
        <v>0</v>
      </c>
      <c r="C15" s="560">
        <f>+[5]Precio!D15</f>
        <v>0</v>
      </c>
      <c r="D15" s="560">
        <f>+[5]Precio!E15</f>
        <v>0</v>
      </c>
      <c r="E15" s="560">
        <f>+[5]Precio!F15</f>
        <v>0</v>
      </c>
    </row>
    <row r="16" spans="2:6" ht="14.4" hidden="1" thickBot="1">
      <c r="B16" s="560">
        <f>+[5]Precio!C16</f>
        <v>0</v>
      </c>
      <c r="C16" s="560">
        <f>+[5]Precio!D16</f>
        <v>0</v>
      </c>
      <c r="D16" s="560">
        <f>+[5]Precio!E16</f>
        <v>0</v>
      </c>
      <c r="E16" s="560">
        <f>+[5]Precio!F16</f>
        <v>0</v>
      </c>
    </row>
    <row r="17" spans="1:42" ht="14.4" hidden="1" thickBot="1"/>
    <row r="18" spans="1:42" ht="14.4" hidden="1" thickBot="1"/>
    <row r="19" spans="1:42" ht="14.4" hidden="1" thickBot="1"/>
    <row r="20" spans="1:42" ht="14.4" hidden="1" thickBot="1"/>
    <row r="21" spans="1:42" ht="14.4" hidden="1" thickBot="1"/>
    <row r="22" spans="1:42" ht="12.75" customHeight="1">
      <c r="B22" s="1773" t="s">
        <v>1116</v>
      </c>
      <c r="C22" s="1776" t="s">
        <v>370</v>
      </c>
      <c r="D22" s="1776" t="s">
        <v>371</v>
      </c>
      <c r="E22" s="1779" t="s">
        <v>4268</v>
      </c>
      <c r="F22" s="1748">
        <v>1</v>
      </c>
      <c r="G22" s="1751">
        <f t="shared" ref="G22:AC22" si="0">+F22+1</f>
        <v>2</v>
      </c>
      <c r="H22" s="1751">
        <f t="shared" si="0"/>
        <v>3</v>
      </c>
      <c r="I22" s="1751">
        <f t="shared" si="0"/>
        <v>4</v>
      </c>
      <c r="J22" s="1751">
        <f t="shared" si="0"/>
        <v>5</v>
      </c>
      <c r="K22" s="1751">
        <f t="shared" si="0"/>
        <v>6</v>
      </c>
      <c r="L22" s="1751">
        <f t="shared" si="0"/>
        <v>7</v>
      </c>
      <c r="M22" s="1751">
        <f t="shared" si="0"/>
        <v>8</v>
      </c>
      <c r="N22" s="1751">
        <f t="shared" si="0"/>
        <v>9</v>
      </c>
      <c r="O22" s="1751">
        <f t="shared" si="0"/>
        <v>10</v>
      </c>
      <c r="P22" s="1751">
        <f t="shared" si="0"/>
        <v>11</v>
      </c>
      <c r="Q22" s="1751">
        <f t="shared" si="0"/>
        <v>12</v>
      </c>
      <c r="R22" s="1751">
        <f t="shared" si="0"/>
        <v>13</v>
      </c>
      <c r="S22" s="1751">
        <f t="shared" si="0"/>
        <v>14</v>
      </c>
      <c r="T22" s="1751">
        <f t="shared" si="0"/>
        <v>15</v>
      </c>
      <c r="U22" s="1751">
        <f t="shared" si="0"/>
        <v>16</v>
      </c>
      <c r="V22" s="1751">
        <f t="shared" si="0"/>
        <v>17</v>
      </c>
      <c r="W22" s="1751">
        <f t="shared" si="0"/>
        <v>18</v>
      </c>
      <c r="X22" s="1751">
        <f t="shared" si="0"/>
        <v>19</v>
      </c>
      <c r="Y22" s="1751">
        <f t="shared" si="0"/>
        <v>20</v>
      </c>
      <c r="Z22" s="1751">
        <f t="shared" si="0"/>
        <v>21</v>
      </c>
      <c r="AA22" s="1751">
        <f t="shared" si="0"/>
        <v>22</v>
      </c>
      <c r="AB22" s="1751">
        <f t="shared" si="0"/>
        <v>23</v>
      </c>
      <c r="AC22" s="1751">
        <f t="shared" si="0"/>
        <v>24</v>
      </c>
      <c r="AD22" s="1557"/>
      <c r="AE22" s="1770">
        <f t="shared" ref="AE22:AP22" si="1">+AD22+1</f>
        <v>1</v>
      </c>
      <c r="AF22" s="1767">
        <f t="shared" si="1"/>
        <v>2</v>
      </c>
      <c r="AG22" s="1767">
        <f t="shared" si="1"/>
        <v>3</v>
      </c>
      <c r="AH22" s="1767">
        <f t="shared" si="1"/>
        <v>4</v>
      </c>
      <c r="AI22" s="1767">
        <f t="shared" si="1"/>
        <v>5</v>
      </c>
      <c r="AJ22" s="1767">
        <f t="shared" si="1"/>
        <v>6</v>
      </c>
      <c r="AK22" s="1767">
        <f t="shared" si="1"/>
        <v>7</v>
      </c>
      <c r="AL22" s="1767">
        <f t="shared" si="1"/>
        <v>8</v>
      </c>
      <c r="AM22" s="1767">
        <f t="shared" si="1"/>
        <v>9</v>
      </c>
      <c r="AN22" s="1767">
        <f t="shared" si="1"/>
        <v>10</v>
      </c>
      <c r="AO22" s="1767">
        <f t="shared" si="1"/>
        <v>11</v>
      </c>
      <c r="AP22" s="1767">
        <f t="shared" si="1"/>
        <v>12</v>
      </c>
    </row>
    <row r="23" spans="1:42" ht="12.75" customHeight="1">
      <c r="B23" s="1774"/>
      <c r="C23" s="1777"/>
      <c r="D23" s="1777"/>
      <c r="E23" s="1780"/>
      <c r="F23" s="1749"/>
      <c r="G23" s="1752"/>
      <c r="H23" s="1752"/>
      <c r="I23" s="1752"/>
      <c r="J23" s="1752"/>
      <c r="K23" s="1752"/>
      <c r="L23" s="1752"/>
      <c r="M23" s="1752"/>
      <c r="N23" s="1752"/>
      <c r="O23" s="1752"/>
      <c r="P23" s="1752"/>
      <c r="Q23" s="1752"/>
      <c r="R23" s="1752"/>
      <c r="S23" s="1752"/>
      <c r="T23" s="1752"/>
      <c r="U23" s="1752"/>
      <c r="V23" s="1752"/>
      <c r="W23" s="1752"/>
      <c r="X23" s="1752"/>
      <c r="Y23" s="1752"/>
      <c r="Z23" s="1752"/>
      <c r="AA23" s="1752"/>
      <c r="AB23" s="1752"/>
      <c r="AC23" s="1752"/>
      <c r="AD23" s="1558"/>
      <c r="AE23" s="1771"/>
      <c r="AF23" s="1768"/>
      <c r="AG23" s="1768"/>
      <c r="AH23" s="1768"/>
      <c r="AI23" s="1768"/>
      <c r="AJ23" s="1768"/>
      <c r="AK23" s="1768"/>
      <c r="AL23" s="1768"/>
      <c r="AM23" s="1768"/>
      <c r="AN23" s="1768"/>
      <c r="AO23" s="1768"/>
      <c r="AP23" s="1768"/>
    </row>
    <row r="24" spans="1:42" ht="12.75" customHeight="1">
      <c r="B24" s="1774"/>
      <c r="C24" s="1777"/>
      <c r="D24" s="1777"/>
      <c r="E24" s="1780"/>
      <c r="F24" s="1749"/>
      <c r="G24" s="1752"/>
      <c r="H24" s="1752"/>
      <c r="I24" s="1752"/>
      <c r="J24" s="1752"/>
      <c r="K24" s="1752"/>
      <c r="L24" s="1752"/>
      <c r="M24" s="1752"/>
      <c r="N24" s="1752"/>
      <c r="O24" s="1752"/>
      <c r="P24" s="1752"/>
      <c r="Q24" s="1752"/>
      <c r="R24" s="1752"/>
      <c r="S24" s="1752"/>
      <c r="T24" s="1752"/>
      <c r="U24" s="1752"/>
      <c r="V24" s="1752"/>
      <c r="W24" s="1752"/>
      <c r="X24" s="1752"/>
      <c r="Y24" s="1752"/>
      <c r="Z24" s="1752"/>
      <c r="AA24" s="1752"/>
      <c r="AB24" s="1752"/>
      <c r="AC24" s="1752"/>
      <c r="AD24" s="1558"/>
      <c r="AE24" s="1771"/>
      <c r="AF24" s="1768"/>
      <c r="AG24" s="1768"/>
      <c r="AH24" s="1768"/>
      <c r="AI24" s="1768"/>
      <c r="AJ24" s="1768"/>
      <c r="AK24" s="1768"/>
      <c r="AL24" s="1768"/>
      <c r="AM24" s="1768"/>
      <c r="AN24" s="1768"/>
      <c r="AO24" s="1768"/>
      <c r="AP24" s="1768"/>
    </row>
    <row r="25" spans="1:42" ht="13.5" customHeight="1" thickBot="1">
      <c r="B25" s="1775"/>
      <c r="C25" s="1778"/>
      <c r="D25" s="1778"/>
      <c r="E25" s="1781"/>
      <c r="F25" s="1750"/>
      <c r="G25" s="1753"/>
      <c r="H25" s="1753"/>
      <c r="I25" s="1753"/>
      <c r="J25" s="1753"/>
      <c r="K25" s="1753"/>
      <c r="L25" s="1753"/>
      <c r="M25" s="1753"/>
      <c r="N25" s="1753"/>
      <c r="O25" s="1753"/>
      <c r="P25" s="1753"/>
      <c r="Q25" s="1753"/>
      <c r="R25" s="1753"/>
      <c r="S25" s="1753"/>
      <c r="T25" s="1753"/>
      <c r="U25" s="1753"/>
      <c r="V25" s="1753"/>
      <c r="W25" s="1753"/>
      <c r="X25" s="1753"/>
      <c r="Y25" s="1753"/>
      <c r="Z25" s="1753"/>
      <c r="AA25" s="1753"/>
      <c r="AB25" s="1753"/>
      <c r="AC25" s="1753"/>
      <c r="AD25" s="1559"/>
      <c r="AE25" s="1772"/>
      <c r="AF25" s="1769"/>
      <c r="AG25" s="1769"/>
      <c r="AH25" s="1769"/>
      <c r="AI25" s="1769"/>
      <c r="AJ25" s="1769"/>
      <c r="AK25" s="1769"/>
      <c r="AL25" s="1769"/>
      <c r="AM25" s="1769"/>
      <c r="AN25" s="1769"/>
      <c r="AO25" s="1769"/>
      <c r="AP25" s="1769"/>
    </row>
    <row r="26" spans="1:42" ht="15.6">
      <c r="B26" s="1560"/>
      <c r="C26" s="1561"/>
      <c r="D26" s="1561"/>
      <c r="E26" s="1562"/>
      <c r="F26" s="1563">
        <f>VLOOKUP($B27,Crono!$E:$AN,COLUMN(Crono!Q7:Q10)-4,FALSE)</f>
        <v>1</v>
      </c>
      <c r="G26" s="1564">
        <f>VLOOKUP($B27,Crono!$E:$AN,COLUMN(Crono!R7:R10)-4,FALSE)</f>
        <v>0</v>
      </c>
      <c r="H26" s="1564">
        <f>VLOOKUP($B27,Crono!$E:$AN,COLUMN(Crono!S7:S10)-4,FALSE)</f>
        <v>0</v>
      </c>
      <c r="I26" s="1564">
        <f>VLOOKUP($B27,Crono!$E:$AN,COLUMN(Crono!T7:T10)-4,FALSE)</f>
        <v>0</v>
      </c>
      <c r="J26" s="1564">
        <f>VLOOKUP($B27,Crono!$E:$AN,COLUMN(Crono!U7:U10)-4,FALSE)</f>
        <v>0</v>
      </c>
      <c r="K26" s="1564">
        <f>VLOOKUP($B27,Crono!$E:$AN,COLUMN(Crono!V7:V10)-4,FALSE)</f>
        <v>0</v>
      </c>
      <c r="L26" s="1564">
        <f>VLOOKUP($B27,Crono!$E:$AN,COLUMN(Crono!W7:W10)-4,FALSE)</f>
        <v>0</v>
      </c>
      <c r="M26" s="1564">
        <f>VLOOKUP($B27,Crono!$E:$AN,COLUMN(Crono!X7:X10)-4,FALSE)</f>
        <v>0</v>
      </c>
      <c r="N26" s="1564">
        <f>VLOOKUP($B27,Crono!$E:$AN,COLUMN(Crono!Y7:Y10)-4,FALSE)</f>
        <v>0</v>
      </c>
      <c r="O26" s="1564">
        <f>VLOOKUP($B27,Crono!$E:$AN,COLUMN(Crono!Z7:Z10)-4,FALSE)</f>
        <v>0</v>
      </c>
      <c r="P26" s="1564">
        <f>VLOOKUP($B27,Crono!$E:$AN,COLUMN(Crono!AA7:AA10)-4,FALSE)</f>
        <v>0</v>
      </c>
      <c r="Q26" s="1564">
        <f>VLOOKUP($B27,Crono!$E:$AN,COLUMN(Crono!AB7:AB10)-4,FALSE)</f>
        <v>0</v>
      </c>
      <c r="R26" s="1564">
        <f>VLOOKUP($B27,Crono!$E:$AN,COLUMN(Crono!AC7:AC10)-4,FALSE)</f>
        <v>0</v>
      </c>
      <c r="S26" s="1564">
        <f>VLOOKUP($B27,Crono!$E:$AN,COLUMN(Crono!AD7:AD10)-4,FALSE)</f>
        <v>0</v>
      </c>
      <c r="T26" s="1564">
        <f>VLOOKUP($B27,Crono!$E:$AN,COLUMN(Crono!AE7:AE10)-4,FALSE)</f>
        <v>0</v>
      </c>
      <c r="U26" s="1564">
        <f>VLOOKUP($B27,Crono!$E:$AN,COLUMN(Crono!AF7:AF10)-4,FALSE)</f>
        <v>0</v>
      </c>
      <c r="V26" s="1564">
        <f>VLOOKUP($B27,Crono!$E:$AN,COLUMN(Crono!AG7:AG10)-4,FALSE)</f>
        <v>0</v>
      </c>
      <c r="W26" s="1564">
        <f>VLOOKUP($B27,Crono!$E:$AN,COLUMN(Crono!AH7:AH10)-4,FALSE)</f>
        <v>0</v>
      </c>
      <c r="X26" s="1564">
        <f>VLOOKUP($B27,Crono!$E:$AN,COLUMN(Crono!AI7:AI10)-4,FALSE)</f>
        <v>0</v>
      </c>
      <c r="Y26" s="1564">
        <f>VLOOKUP($B27,Crono!$E:$AN,COLUMN(Crono!AJ7:AJ10)-4,FALSE)</f>
        <v>0</v>
      </c>
      <c r="Z26" s="1564">
        <f>VLOOKUP($B27,Crono!$E:$AN,COLUMN(Crono!AK7:AK10)-4,FALSE)</f>
        <v>0</v>
      </c>
      <c r="AA26" s="1564">
        <f>VLOOKUP($B27,Crono!$E:$AN,COLUMN(Crono!AL7:AL10)-4,FALSE)</f>
        <v>0</v>
      </c>
      <c r="AB26" s="1564">
        <f>VLOOKUP($B27,Crono!$E:$AN,COLUMN(Crono!AM7:AM10)-4,FALSE)</f>
        <v>0</v>
      </c>
      <c r="AC26" s="1564">
        <f>VLOOKUP($B27,Crono!$E:$AN,COLUMN(Crono!AN7:AN10)-4,FALSE)</f>
        <v>0</v>
      </c>
      <c r="AD26" s="779"/>
      <c r="AE26" s="1565">
        <f t="shared" ref="AE26:AP26" si="2">+F26</f>
        <v>1</v>
      </c>
      <c r="AF26" s="1566">
        <f t="shared" si="2"/>
        <v>0</v>
      </c>
      <c r="AG26" s="1566">
        <f t="shared" si="2"/>
        <v>0</v>
      </c>
      <c r="AH26" s="1566">
        <f t="shared" si="2"/>
        <v>0</v>
      </c>
      <c r="AI26" s="1566">
        <f t="shared" si="2"/>
        <v>0</v>
      </c>
      <c r="AJ26" s="1566">
        <f t="shared" si="2"/>
        <v>0</v>
      </c>
      <c r="AK26" s="1566">
        <f t="shared" si="2"/>
        <v>0</v>
      </c>
      <c r="AL26" s="1566">
        <f t="shared" si="2"/>
        <v>0</v>
      </c>
      <c r="AM26" s="1566">
        <f t="shared" si="2"/>
        <v>0</v>
      </c>
      <c r="AN26" s="1566">
        <f t="shared" si="2"/>
        <v>0</v>
      </c>
      <c r="AO26" s="1566">
        <f t="shared" si="2"/>
        <v>0</v>
      </c>
      <c r="AP26" s="1566">
        <f t="shared" si="2"/>
        <v>0</v>
      </c>
    </row>
    <row r="27" spans="1:42" ht="15.75" customHeight="1">
      <c r="A27" s="1567">
        <v>1</v>
      </c>
      <c r="B27" s="1568" t="str">
        <f>VLOOKUP($A27,Items!$B:$I,4,FALSE)</f>
        <v>1.1</v>
      </c>
      <c r="C27" s="1569" t="str">
        <f>VLOOKUP($A27,Items!$B:$I,5,FALSE)</f>
        <v>Limpieza.</v>
      </c>
      <c r="D27" s="1570" t="str">
        <f>VLOOKUP($A27,Items!$B:$I,6,FALSE)</f>
        <v>gl.</v>
      </c>
      <c r="E27" s="1571">
        <f>VLOOKUP($A27,Items!$B:$K,10,FALSE)</f>
        <v>1.5081215931218445E-2</v>
      </c>
      <c r="F27" s="1572"/>
      <c r="G27" s="1573"/>
      <c r="H27" s="1573"/>
      <c r="I27" s="1573"/>
      <c r="J27" s="1573"/>
      <c r="K27" s="1573"/>
      <c r="L27" s="1573"/>
      <c r="M27" s="1573"/>
      <c r="N27" s="1573"/>
      <c r="O27" s="1573"/>
      <c r="P27" s="1573"/>
      <c r="Q27" s="1573"/>
      <c r="R27" s="1573"/>
      <c r="S27" s="1573"/>
      <c r="T27" s="1573"/>
      <c r="U27" s="1573"/>
      <c r="V27" s="1573"/>
      <c r="W27" s="1573"/>
      <c r="X27" s="1573"/>
      <c r="Y27" s="1573"/>
      <c r="Z27" s="1573"/>
      <c r="AA27" s="1573"/>
      <c r="AB27" s="1573"/>
      <c r="AC27" s="1573"/>
      <c r="AD27" s="785"/>
      <c r="AE27" s="1574"/>
      <c r="AF27" s="1575"/>
      <c r="AG27" s="1575"/>
      <c r="AH27" s="1575"/>
      <c r="AI27" s="1575"/>
      <c r="AJ27" s="1575"/>
      <c r="AK27" s="1575"/>
      <c r="AL27" s="1575"/>
      <c r="AM27" s="1575"/>
      <c r="AN27" s="1575"/>
      <c r="AO27" s="1575"/>
      <c r="AP27" s="1575"/>
    </row>
    <row r="28" spans="1:42" ht="16.2" thickBot="1">
      <c r="B28" s="1568">
        <v>0</v>
      </c>
      <c r="C28" s="1569">
        <v>0</v>
      </c>
      <c r="D28" s="1570">
        <v>0</v>
      </c>
      <c r="E28" s="1571" t="s">
        <v>1326</v>
      </c>
      <c r="F28" s="1576"/>
      <c r="G28" s="1577"/>
      <c r="H28" s="1577"/>
      <c r="I28" s="1577"/>
      <c r="J28" s="1577"/>
      <c r="K28" s="1577"/>
      <c r="L28" s="1577"/>
      <c r="M28" s="1577"/>
      <c r="N28" s="1577"/>
      <c r="O28" s="1577"/>
      <c r="P28" s="1577"/>
      <c r="Q28" s="1577"/>
      <c r="R28" s="1577"/>
      <c r="S28" s="1577"/>
      <c r="T28" s="1577"/>
      <c r="U28" s="1577"/>
      <c r="V28" s="1577"/>
      <c r="W28" s="1577"/>
      <c r="X28" s="1577"/>
      <c r="Y28" s="1577"/>
      <c r="Z28" s="1577"/>
      <c r="AA28" s="1577"/>
      <c r="AB28" s="1577"/>
      <c r="AC28" s="1577"/>
      <c r="AD28" s="1578"/>
      <c r="AE28" s="1579">
        <f t="shared" ref="AE28:AP28" si="3">+AE26*$E27</f>
        <v>1.5081215931218445E-2</v>
      </c>
      <c r="AF28" s="1580">
        <f t="shared" si="3"/>
        <v>0</v>
      </c>
      <c r="AG28" s="1580">
        <f t="shared" si="3"/>
        <v>0</v>
      </c>
      <c r="AH28" s="1580">
        <f t="shared" si="3"/>
        <v>0</v>
      </c>
      <c r="AI28" s="1580">
        <f t="shared" si="3"/>
        <v>0</v>
      </c>
      <c r="AJ28" s="1580">
        <f t="shared" si="3"/>
        <v>0</v>
      </c>
      <c r="AK28" s="1580">
        <f t="shared" si="3"/>
        <v>0</v>
      </c>
      <c r="AL28" s="1580">
        <f t="shared" si="3"/>
        <v>0</v>
      </c>
      <c r="AM28" s="1580">
        <f t="shared" si="3"/>
        <v>0</v>
      </c>
      <c r="AN28" s="1580">
        <f t="shared" si="3"/>
        <v>0</v>
      </c>
      <c r="AO28" s="1580">
        <f t="shared" si="3"/>
        <v>0</v>
      </c>
      <c r="AP28" s="1580">
        <f t="shared" si="3"/>
        <v>0</v>
      </c>
    </row>
    <row r="29" spans="1:42" ht="16.5" customHeight="1">
      <c r="B29" s="1568"/>
      <c r="C29" s="1569"/>
      <c r="D29" s="1570"/>
      <c r="E29" s="1571"/>
      <c r="F29" s="1581">
        <f>VLOOKUP($B30,Crono!$E:$AN,COLUMN(Crono!Q10:Q13)-4,FALSE)</f>
        <v>1</v>
      </c>
      <c r="G29" s="1582">
        <f>VLOOKUP($B30,Crono!$E:$AN,COLUMN(Crono!R10:R13)-4,FALSE)</f>
        <v>0</v>
      </c>
      <c r="H29" s="1582">
        <f>VLOOKUP($B30,Crono!$E:$AN,COLUMN(Crono!S10:S13)-4,FALSE)</f>
        <v>0</v>
      </c>
      <c r="I29" s="1582">
        <f>VLOOKUP($B30,Crono!$E:$AN,COLUMN(Crono!T10:T13)-4,FALSE)</f>
        <v>0</v>
      </c>
      <c r="J29" s="1582">
        <f>VLOOKUP($B30,Crono!$E:$AN,COLUMN(Crono!U10:U13)-4,FALSE)</f>
        <v>0</v>
      </c>
      <c r="K29" s="1582">
        <f>VLOOKUP($B30,Crono!$E:$AN,COLUMN(Crono!V10:V13)-4,FALSE)</f>
        <v>0</v>
      </c>
      <c r="L29" s="1582">
        <f>VLOOKUP($B30,Crono!$E:$AN,COLUMN(Crono!W10:W13)-4,FALSE)</f>
        <v>0</v>
      </c>
      <c r="M29" s="1582">
        <f>VLOOKUP($B30,Crono!$E:$AN,COLUMN(Crono!X10:X13)-4,FALSE)</f>
        <v>0</v>
      </c>
      <c r="N29" s="1582">
        <f>VLOOKUP($B30,Crono!$E:$AN,COLUMN(Crono!Y10:Y13)-4,FALSE)</f>
        <v>0</v>
      </c>
      <c r="O29" s="1582">
        <f>VLOOKUP($B30,Crono!$E:$AN,COLUMN(Crono!Z10:Z13)-4,FALSE)</f>
        <v>0</v>
      </c>
      <c r="P29" s="1582">
        <f>VLOOKUP($B30,Crono!$E:$AN,COLUMN(Crono!AA10:AA13)-4,FALSE)</f>
        <v>0</v>
      </c>
      <c r="Q29" s="1582">
        <f>VLOOKUP($B30,Crono!$E:$AN,COLUMN(Crono!AB10:AB13)-4,FALSE)</f>
        <v>0</v>
      </c>
      <c r="R29" s="1582">
        <f>VLOOKUP($B30,Crono!$E:$AN,COLUMN(Crono!AC10:AC13)-4,FALSE)</f>
        <v>0</v>
      </c>
      <c r="S29" s="1582">
        <f>VLOOKUP($B30,Crono!$E:$AN,COLUMN(Crono!AD10:AD13)-4,FALSE)</f>
        <v>0</v>
      </c>
      <c r="T29" s="1582">
        <f>VLOOKUP($B30,Crono!$E:$AN,COLUMN(Crono!AE10:AE13)-4,FALSE)</f>
        <v>0</v>
      </c>
      <c r="U29" s="1582">
        <f>VLOOKUP($B30,Crono!$E:$AN,COLUMN(Crono!AF10:AF13)-4,FALSE)</f>
        <v>0</v>
      </c>
      <c r="V29" s="1582">
        <f>VLOOKUP($B30,Crono!$E:$AN,COLUMN(Crono!AG10:AG13)-4,FALSE)</f>
        <v>0</v>
      </c>
      <c r="W29" s="1582">
        <f>VLOOKUP($B30,Crono!$E:$AN,COLUMN(Crono!AH10:AH13)-4,FALSE)</f>
        <v>0</v>
      </c>
      <c r="X29" s="1582">
        <f>VLOOKUP($B30,Crono!$E:$AN,COLUMN(Crono!AI10:AI13)-4,FALSE)</f>
        <v>0</v>
      </c>
      <c r="Y29" s="1582">
        <f>VLOOKUP($B30,Crono!$E:$AN,COLUMN(Crono!AJ10:AJ13)-4,FALSE)</f>
        <v>0</v>
      </c>
      <c r="Z29" s="1582">
        <f>VLOOKUP($B30,Crono!$E:$AN,COLUMN(Crono!AK10:AK13)-4,FALSE)</f>
        <v>0</v>
      </c>
      <c r="AA29" s="1582">
        <f>VLOOKUP($B30,Crono!$E:$AN,COLUMN(Crono!AL10:AL13)-4,FALSE)</f>
        <v>0</v>
      </c>
      <c r="AB29" s="1582">
        <f>VLOOKUP($B30,Crono!$E:$AN,COLUMN(Crono!AM10:AM13)-4,FALSE)</f>
        <v>0</v>
      </c>
      <c r="AC29" s="1582">
        <f>VLOOKUP($B30,Crono!$E:$AN,COLUMN(Crono!AN10:AN13)-4,FALSE)</f>
        <v>0</v>
      </c>
      <c r="AD29" s="1583"/>
      <c r="AE29" s="1565">
        <f t="shared" ref="AE29:AP29" si="4">+F29</f>
        <v>1</v>
      </c>
      <c r="AF29" s="1566">
        <f t="shared" si="4"/>
        <v>0</v>
      </c>
      <c r="AG29" s="1566">
        <f t="shared" si="4"/>
        <v>0</v>
      </c>
      <c r="AH29" s="1566">
        <f t="shared" si="4"/>
        <v>0</v>
      </c>
      <c r="AI29" s="1566">
        <f t="shared" si="4"/>
        <v>0</v>
      </c>
      <c r="AJ29" s="1566">
        <f t="shared" si="4"/>
        <v>0</v>
      </c>
      <c r="AK29" s="1566">
        <f t="shared" si="4"/>
        <v>0</v>
      </c>
      <c r="AL29" s="1566">
        <f t="shared" si="4"/>
        <v>0</v>
      </c>
      <c r="AM29" s="1566">
        <f t="shared" si="4"/>
        <v>0</v>
      </c>
      <c r="AN29" s="1566">
        <f t="shared" si="4"/>
        <v>0</v>
      </c>
      <c r="AO29" s="1566">
        <f t="shared" si="4"/>
        <v>0</v>
      </c>
      <c r="AP29" s="1566">
        <f t="shared" si="4"/>
        <v>0</v>
      </c>
    </row>
    <row r="30" spans="1:42" ht="16.5" customHeight="1">
      <c r="A30" s="1567">
        <v>2</v>
      </c>
      <c r="B30" s="1568" t="str">
        <f>VLOOKUP($A30,Items!$B:$I,4,FALSE)</f>
        <v>1.2</v>
      </c>
      <c r="C30" s="1569" t="str">
        <f>VLOOKUP($A30,Items!$B:$I,5,FALSE)</f>
        <v>Nivelación.</v>
      </c>
      <c r="D30" s="1570" t="str">
        <f>VLOOKUP($A30,Items!$B:$I,6,FALSE)</f>
        <v>gl.</v>
      </c>
      <c r="E30" s="1571">
        <f>VLOOKUP($A30,Items!$B:$K,10,FALSE)</f>
        <v>7.8606242845663435E-2</v>
      </c>
      <c r="F30" s="1572"/>
      <c r="G30" s="1573"/>
      <c r="H30" s="1573"/>
      <c r="I30" s="1573"/>
      <c r="J30" s="1573"/>
      <c r="K30" s="1573"/>
      <c r="L30" s="1573"/>
      <c r="M30" s="1573"/>
      <c r="N30" s="1573"/>
      <c r="O30" s="1573"/>
      <c r="P30" s="1573"/>
      <c r="Q30" s="1573"/>
      <c r="R30" s="1573"/>
      <c r="S30" s="1573"/>
      <c r="T30" s="1573"/>
      <c r="U30" s="1573"/>
      <c r="V30" s="1573"/>
      <c r="W30" s="1573"/>
      <c r="X30" s="1573"/>
      <c r="Y30" s="1573"/>
      <c r="Z30" s="1573"/>
      <c r="AA30" s="1573"/>
      <c r="AB30" s="1573"/>
      <c r="AC30" s="1573"/>
      <c r="AD30" s="785"/>
      <c r="AE30" s="1574"/>
      <c r="AF30" s="1575"/>
      <c r="AG30" s="1575"/>
      <c r="AH30" s="1575"/>
      <c r="AI30" s="1575"/>
      <c r="AJ30" s="1575"/>
      <c r="AK30" s="1575"/>
      <c r="AL30" s="1575"/>
      <c r="AM30" s="1575"/>
      <c r="AN30" s="1575"/>
      <c r="AO30" s="1575"/>
      <c r="AP30" s="1575"/>
    </row>
    <row r="31" spans="1:42" ht="16.2" thickBot="1">
      <c r="B31" s="1568">
        <v>0</v>
      </c>
      <c r="C31" s="1569">
        <v>0</v>
      </c>
      <c r="D31" s="1570">
        <v>0</v>
      </c>
      <c r="E31" s="1571" t="s">
        <v>1326</v>
      </c>
      <c r="F31" s="1576"/>
      <c r="G31" s="1577"/>
      <c r="H31" s="1577"/>
      <c r="I31" s="1577"/>
      <c r="J31" s="1577"/>
      <c r="K31" s="1577"/>
      <c r="L31" s="1577"/>
      <c r="M31" s="1577"/>
      <c r="N31" s="1577"/>
      <c r="O31" s="1577"/>
      <c r="P31" s="1577"/>
      <c r="Q31" s="1577"/>
      <c r="R31" s="1577"/>
      <c r="S31" s="1577"/>
      <c r="T31" s="1577"/>
      <c r="U31" s="1577"/>
      <c r="V31" s="1577"/>
      <c r="W31" s="1577"/>
      <c r="X31" s="1577"/>
      <c r="Y31" s="1577"/>
      <c r="Z31" s="1577"/>
      <c r="AA31" s="1577"/>
      <c r="AB31" s="1577"/>
      <c r="AC31" s="1577"/>
      <c r="AD31" s="1578"/>
      <c r="AE31" s="1579">
        <f t="shared" ref="AE31:AP31" si="5">+AE29*$E30</f>
        <v>7.8606242845663435E-2</v>
      </c>
      <c r="AF31" s="1580">
        <f t="shared" si="5"/>
        <v>0</v>
      </c>
      <c r="AG31" s="1580">
        <f t="shared" si="5"/>
        <v>0</v>
      </c>
      <c r="AH31" s="1580">
        <f t="shared" si="5"/>
        <v>0</v>
      </c>
      <c r="AI31" s="1580">
        <f t="shared" si="5"/>
        <v>0</v>
      </c>
      <c r="AJ31" s="1580">
        <f t="shared" si="5"/>
        <v>0</v>
      </c>
      <c r="AK31" s="1580">
        <f t="shared" si="5"/>
        <v>0</v>
      </c>
      <c r="AL31" s="1580">
        <f t="shared" si="5"/>
        <v>0</v>
      </c>
      <c r="AM31" s="1580">
        <f t="shared" si="5"/>
        <v>0</v>
      </c>
      <c r="AN31" s="1580">
        <f t="shared" si="5"/>
        <v>0</v>
      </c>
      <c r="AO31" s="1580">
        <f t="shared" si="5"/>
        <v>0</v>
      </c>
      <c r="AP31" s="1580">
        <f t="shared" si="5"/>
        <v>0</v>
      </c>
    </row>
    <row r="32" spans="1:42" ht="15.6">
      <c r="B32" s="1568"/>
      <c r="C32" s="1569"/>
      <c r="D32" s="1570"/>
      <c r="E32" s="1571"/>
      <c r="F32" s="1581">
        <f>VLOOKUP($B33,Crono!$E:$AN,COLUMN(Crono!Q13:Q16)-4,FALSE)</f>
        <v>1</v>
      </c>
      <c r="G32" s="1582">
        <f>VLOOKUP($B33,Crono!$E:$AN,COLUMN(Crono!R13:R16)-4,FALSE)</f>
        <v>0</v>
      </c>
      <c r="H32" s="1582">
        <f>VLOOKUP($B33,Crono!$E:$AN,COLUMN(Crono!S13:S16)-4,FALSE)</f>
        <v>0</v>
      </c>
      <c r="I32" s="1582">
        <f>VLOOKUP($B33,Crono!$E:$AN,COLUMN(Crono!T13:T16)-4,FALSE)</f>
        <v>0</v>
      </c>
      <c r="J32" s="1582">
        <f>VLOOKUP($B33,Crono!$E:$AN,COLUMN(Crono!U13:U16)-4,FALSE)</f>
        <v>0</v>
      </c>
      <c r="K32" s="1582">
        <f>VLOOKUP($B33,Crono!$E:$AN,COLUMN(Crono!V13:V16)-4,FALSE)</f>
        <v>0</v>
      </c>
      <c r="L32" s="1582">
        <f>VLOOKUP($B33,Crono!$E:$AN,COLUMN(Crono!W13:W16)-4,FALSE)</f>
        <v>0</v>
      </c>
      <c r="M32" s="1582">
        <f>VLOOKUP($B33,Crono!$E:$AN,COLUMN(Crono!X13:X16)-4,FALSE)</f>
        <v>0</v>
      </c>
      <c r="N32" s="1582">
        <f>VLOOKUP($B33,Crono!$E:$AN,COLUMN(Crono!Y13:Y16)-4,FALSE)</f>
        <v>0</v>
      </c>
      <c r="O32" s="1582">
        <f>VLOOKUP($B33,Crono!$E:$AN,COLUMN(Crono!Z13:Z16)-4,FALSE)</f>
        <v>0</v>
      </c>
      <c r="P32" s="1582">
        <f>VLOOKUP($B33,Crono!$E:$AN,COLUMN(Crono!AA13:AA16)-4,FALSE)</f>
        <v>0</v>
      </c>
      <c r="Q32" s="1582">
        <f>VLOOKUP($B33,Crono!$E:$AN,COLUMN(Crono!AB13:AB16)-4,FALSE)</f>
        <v>0</v>
      </c>
      <c r="R32" s="1582">
        <f>VLOOKUP($B33,Crono!$E:$AN,COLUMN(Crono!AC13:AC16)-4,FALSE)</f>
        <v>0</v>
      </c>
      <c r="S32" s="1582">
        <f>VLOOKUP($B33,Crono!$E:$AN,COLUMN(Crono!AD13:AD16)-4,FALSE)</f>
        <v>0</v>
      </c>
      <c r="T32" s="1582">
        <f>VLOOKUP($B33,Crono!$E:$AN,COLUMN(Crono!AE13:AE16)-4,FALSE)</f>
        <v>0</v>
      </c>
      <c r="U32" s="1582">
        <f>VLOOKUP($B33,Crono!$E:$AN,COLUMN(Crono!AF13:AF16)-4,FALSE)</f>
        <v>0</v>
      </c>
      <c r="V32" s="1582">
        <f>VLOOKUP($B33,Crono!$E:$AN,COLUMN(Crono!AG13:AG16)-4,FALSE)</f>
        <v>0</v>
      </c>
      <c r="W32" s="1582">
        <f>VLOOKUP($B33,Crono!$E:$AN,COLUMN(Crono!AH13:AH16)-4,FALSE)</f>
        <v>0</v>
      </c>
      <c r="X32" s="1582">
        <f>VLOOKUP($B33,Crono!$E:$AN,COLUMN(Crono!AI13:AI16)-4,FALSE)</f>
        <v>0</v>
      </c>
      <c r="Y32" s="1582">
        <f>VLOOKUP($B33,Crono!$E:$AN,COLUMN(Crono!AJ13:AJ16)-4,FALSE)</f>
        <v>0</v>
      </c>
      <c r="Z32" s="1582">
        <f>VLOOKUP($B33,Crono!$E:$AN,COLUMN(Crono!AK13:AK16)-4,FALSE)</f>
        <v>0</v>
      </c>
      <c r="AA32" s="1582">
        <f>VLOOKUP($B33,Crono!$E:$AN,COLUMN(Crono!AL13:AL16)-4,FALSE)</f>
        <v>0</v>
      </c>
      <c r="AB32" s="1582">
        <f>VLOOKUP($B33,Crono!$E:$AN,COLUMN(Crono!AM13:AM16)-4,FALSE)</f>
        <v>0</v>
      </c>
      <c r="AC32" s="1582">
        <f>VLOOKUP($B33,Crono!$E:$AN,COLUMN(Crono!AN13:AN16)-4,FALSE)</f>
        <v>0</v>
      </c>
      <c r="AD32" s="1583"/>
      <c r="AE32" s="1565">
        <f t="shared" ref="AE32:AP32" si="6">+F32</f>
        <v>1</v>
      </c>
      <c r="AF32" s="1566">
        <f t="shared" si="6"/>
        <v>0</v>
      </c>
      <c r="AG32" s="1566">
        <f t="shared" si="6"/>
        <v>0</v>
      </c>
      <c r="AH32" s="1566">
        <f t="shared" si="6"/>
        <v>0</v>
      </c>
      <c r="AI32" s="1566">
        <f t="shared" si="6"/>
        <v>0</v>
      </c>
      <c r="AJ32" s="1566">
        <f t="shared" si="6"/>
        <v>0</v>
      </c>
      <c r="AK32" s="1566">
        <f t="shared" si="6"/>
        <v>0</v>
      </c>
      <c r="AL32" s="1566">
        <f t="shared" si="6"/>
        <v>0</v>
      </c>
      <c r="AM32" s="1566">
        <f t="shared" si="6"/>
        <v>0</v>
      </c>
      <c r="AN32" s="1566">
        <f t="shared" si="6"/>
        <v>0</v>
      </c>
      <c r="AO32" s="1566">
        <f t="shared" si="6"/>
        <v>0</v>
      </c>
      <c r="AP32" s="1566">
        <f t="shared" si="6"/>
        <v>0</v>
      </c>
    </row>
    <row r="33" spans="1:42" ht="15.6">
      <c r="A33" s="1567">
        <v>3</v>
      </c>
      <c r="B33" s="1568" t="str">
        <f>VLOOKUP($A33,Items!$B:$I,4,FALSE)</f>
        <v>1.3</v>
      </c>
      <c r="C33" s="1569" t="str">
        <f>VLOOKUP($A33,Items!$B:$I,5,FALSE)</f>
        <v>Replanteo.</v>
      </c>
      <c r="D33" s="1570" t="str">
        <f>VLOOKUP($A33,Items!$B:$I,6,FALSE)</f>
        <v>gl.</v>
      </c>
      <c r="E33" s="1571">
        <f>VLOOKUP($A33,Items!$B:$K,10,FALSE)</f>
        <v>3.691785974623036E-2</v>
      </c>
      <c r="F33" s="1572"/>
      <c r="G33" s="1573"/>
      <c r="H33" s="1573"/>
      <c r="I33" s="1573"/>
      <c r="J33" s="1573"/>
      <c r="K33" s="1573"/>
      <c r="L33" s="1573"/>
      <c r="M33" s="1573"/>
      <c r="N33" s="1573"/>
      <c r="O33" s="1573"/>
      <c r="P33" s="1573"/>
      <c r="Q33" s="1573"/>
      <c r="R33" s="1573"/>
      <c r="S33" s="1573"/>
      <c r="T33" s="1573"/>
      <c r="U33" s="1573"/>
      <c r="V33" s="1573"/>
      <c r="W33" s="1573"/>
      <c r="X33" s="1573"/>
      <c r="Y33" s="1573"/>
      <c r="Z33" s="1573"/>
      <c r="AA33" s="1573"/>
      <c r="AB33" s="1573"/>
      <c r="AC33" s="1573"/>
      <c r="AD33" s="785"/>
      <c r="AE33" s="1574"/>
      <c r="AF33" s="1575"/>
      <c r="AG33" s="1575"/>
      <c r="AH33" s="1575"/>
      <c r="AI33" s="1575"/>
      <c r="AJ33" s="1575"/>
      <c r="AK33" s="1575"/>
      <c r="AL33" s="1575"/>
      <c r="AM33" s="1575"/>
      <c r="AN33" s="1575"/>
      <c r="AO33" s="1575"/>
      <c r="AP33" s="1575"/>
    </row>
    <row r="34" spans="1:42" ht="16.2" thickBot="1">
      <c r="B34" s="1568">
        <v>0</v>
      </c>
      <c r="C34" s="1569">
        <v>0</v>
      </c>
      <c r="D34" s="1570">
        <v>0</v>
      </c>
      <c r="E34" s="1571" t="s">
        <v>1326</v>
      </c>
      <c r="F34" s="1576"/>
      <c r="G34" s="1577"/>
      <c r="H34" s="1577"/>
      <c r="I34" s="1577"/>
      <c r="J34" s="1577"/>
      <c r="K34" s="1577"/>
      <c r="L34" s="1577"/>
      <c r="M34" s="1577"/>
      <c r="N34" s="1577"/>
      <c r="O34" s="1577"/>
      <c r="P34" s="1577"/>
      <c r="Q34" s="1577"/>
      <c r="R34" s="1577"/>
      <c r="S34" s="1577"/>
      <c r="T34" s="1577"/>
      <c r="U34" s="1577"/>
      <c r="V34" s="1577"/>
      <c r="W34" s="1577"/>
      <c r="X34" s="1577"/>
      <c r="Y34" s="1577"/>
      <c r="Z34" s="1577"/>
      <c r="AA34" s="1577"/>
      <c r="AB34" s="1577"/>
      <c r="AC34" s="1577"/>
      <c r="AD34" s="1578"/>
      <c r="AE34" s="1579">
        <f t="shared" ref="AE34:AP34" si="7">+AE32*$E33</f>
        <v>3.691785974623036E-2</v>
      </c>
      <c r="AF34" s="1580">
        <f t="shared" si="7"/>
        <v>0</v>
      </c>
      <c r="AG34" s="1580">
        <f t="shared" si="7"/>
        <v>0</v>
      </c>
      <c r="AH34" s="1580">
        <f t="shared" si="7"/>
        <v>0</v>
      </c>
      <c r="AI34" s="1580">
        <f t="shared" si="7"/>
        <v>0</v>
      </c>
      <c r="AJ34" s="1580">
        <f t="shared" si="7"/>
        <v>0</v>
      </c>
      <c r="AK34" s="1580">
        <f t="shared" si="7"/>
        <v>0</v>
      </c>
      <c r="AL34" s="1580">
        <f t="shared" si="7"/>
        <v>0</v>
      </c>
      <c r="AM34" s="1580">
        <f t="shared" si="7"/>
        <v>0</v>
      </c>
      <c r="AN34" s="1580">
        <f t="shared" si="7"/>
        <v>0</v>
      </c>
      <c r="AO34" s="1580">
        <f t="shared" si="7"/>
        <v>0</v>
      </c>
      <c r="AP34" s="1580">
        <f t="shared" si="7"/>
        <v>0</v>
      </c>
    </row>
    <row r="35" spans="1:42" ht="15.6">
      <c r="B35" s="1568"/>
      <c r="C35" s="1569"/>
      <c r="D35" s="1570"/>
      <c r="E35" s="1571"/>
      <c r="F35" s="1581">
        <f>VLOOKUP($B36,Crono!$E:$AN,COLUMN(Crono!Q16:Q19)-4,FALSE)</f>
        <v>1</v>
      </c>
      <c r="G35" s="1582">
        <f>VLOOKUP($B36,Crono!$E:$AN,COLUMN(Crono!R16:R19)-4,FALSE)</f>
        <v>0</v>
      </c>
      <c r="H35" s="1582">
        <f>VLOOKUP($B36,Crono!$E:$AN,COLUMN(Crono!S16:S19)-4,FALSE)</f>
        <v>0</v>
      </c>
      <c r="I35" s="1582">
        <f>VLOOKUP($B36,Crono!$E:$AN,COLUMN(Crono!T16:T19)-4,FALSE)</f>
        <v>0</v>
      </c>
      <c r="J35" s="1582">
        <f>VLOOKUP($B36,Crono!$E:$AN,COLUMN(Crono!U16:U19)-4,FALSE)</f>
        <v>0</v>
      </c>
      <c r="K35" s="1582">
        <f>VLOOKUP($B36,Crono!$E:$AN,COLUMN(Crono!V16:V19)-4,FALSE)</f>
        <v>0</v>
      </c>
      <c r="L35" s="1582">
        <f>VLOOKUP($B36,Crono!$E:$AN,COLUMN(Crono!W16:W19)-4,FALSE)</f>
        <v>0</v>
      </c>
      <c r="M35" s="1582">
        <f>VLOOKUP($B36,Crono!$E:$AN,COLUMN(Crono!X16:X19)-4,FALSE)</f>
        <v>0</v>
      </c>
      <c r="N35" s="1582">
        <f>VLOOKUP($B36,Crono!$E:$AN,COLUMN(Crono!Y16:Y19)-4,FALSE)</f>
        <v>0</v>
      </c>
      <c r="O35" s="1582">
        <f>VLOOKUP($B36,Crono!$E:$AN,COLUMN(Crono!Z16:Z19)-4,FALSE)</f>
        <v>0</v>
      </c>
      <c r="P35" s="1582">
        <f>VLOOKUP($B36,Crono!$E:$AN,COLUMN(Crono!AA16:AA19)-4,FALSE)</f>
        <v>0</v>
      </c>
      <c r="Q35" s="1582">
        <f>VLOOKUP($B36,Crono!$E:$AN,COLUMN(Crono!AB16:AB19)-4,FALSE)</f>
        <v>0</v>
      </c>
      <c r="R35" s="1582">
        <f>VLOOKUP($B36,Crono!$E:$AN,COLUMN(Crono!AC16:AC19)-4,FALSE)</f>
        <v>0</v>
      </c>
      <c r="S35" s="1582">
        <f>VLOOKUP($B36,Crono!$E:$AN,COLUMN(Crono!AD16:AD19)-4,FALSE)</f>
        <v>0</v>
      </c>
      <c r="T35" s="1582">
        <f>VLOOKUP($B36,Crono!$E:$AN,COLUMN(Crono!AE16:AE19)-4,FALSE)</f>
        <v>0</v>
      </c>
      <c r="U35" s="1582">
        <f>VLOOKUP($B36,Crono!$E:$AN,COLUMN(Crono!AF16:AF19)-4,FALSE)</f>
        <v>0</v>
      </c>
      <c r="V35" s="1582">
        <f>VLOOKUP($B36,Crono!$E:$AN,COLUMN(Crono!AG16:AG19)-4,FALSE)</f>
        <v>0</v>
      </c>
      <c r="W35" s="1582">
        <f>VLOOKUP($B36,Crono!$E:$AN,COLUMN(Crono!AH16:AH19)-4,FALSE)</f>
        <v>0</v>
      </c>
      <c r="X35" s="1582">
        <f>VLOOKUP($B36,Crono!$E:$AN,COLUMN(Crono!AI16:AI19)-4,FALSE)</f>
        <v>0</v>
      </c>
      <c r="Y35" s="1582">
        <f>VLOOKUP($B36,Crono!$E:$AN,COLUMN(Crono!AJ16:AJ19)-4,FALSE)</f>
        <v>0</v>
      </c>
      <c r="Z35" s="1582">
        <f>VLOOKUP($B36,Crono!$E:$AN,COLUMN(Crono!AK16:AK19)-4,FALSE)</f>
        <v>0</v>
      </c>
      <c r="AA35" s="1582">
        <f>VLOOKUP($B36,Crono!$E:$AN,COLUMN(Crono!AL16:AL19)-4,FALSE)</f>
        <v>0</v>
      </c>
      <c r="AB35" s="1582">
        <f>VLOOKUP($B36,Crono!$E:$AN,COLUMN(Crono!AM16:AM19)-4,FALSE)</f>
        <v>0</v>
      </c>
      <c r="AC35" s="1582">
        <f>VLOOKUP($B36,Crono!$E:$AN,COLUMN(Crono!AN16:AN19)-4,FALSE)</f>
        <v>0</v>
      </c>
      <c r="AD35" s="1583"/>
      <c r="AE35" s="1565">
        <f t="shared" ref="AE35:AP35" si="8">+F35</f>
        <v>1</v>
      </c>
      <c r="AF35" s="1566">
        <f t="shared" si="8"/>
        <v>0</v>
      </c>
      <c r="AG35" s="1566">
        <f t="shared" si="8"/>
        <v>0</v>
      </c>
      <c r="AH35" s="1566">
        <f t="shared" si="8"/>
        <v>0</v>
      </c>
      <c r="AI35" s="1566">
        <f t="shared" si="8"/>
        <v>0</v>
      </c>
      <c r="AJ35" s="1566">
        <f t="shared" si="8"/>
        <v>0</v>
      </c>
      <c r="AK35" s="1566">
        <f t="shared" si="8"/>
        <v>0</v>
      </c>
      <c r="AL35" s="1566">
        <f t="shared" si="8"/>
        <v>0</v>
      </c>
      <c r="AM35" s="1566">
        <f t="shared" si="8"/>
        <v>0</v>
      </c>
      <c r="AN35" s="1566">
        <f t="shared" si="8"/>
        <v>0</v>
      </c>
      <c r="AO35" s="1566">
        <f t="shared" si="8"/>
        <v>0</v>
      </c>
      <c r="AP35" s="1566">
        <f t="shared" si="8"/>
        <v>0</v>
      </c>
    </row>
    <row r="36" spans="1:42" ht="15.6">
      <c r="A36" s="1567">
        <v>4</v>
      </c>
      <c r="B36" s="1568" t="str">
        <f>VLOOKUP($A36,Items!$B:$I,4,FALSE)</f>
        <v>2.1</v>
      </c>
      <c r="C36" s="1569" t="str">
        <f>VLOOKUP($A36,Items!$B:$I,5,FALSE)</f>
        <v>Excavación para fundaciones</v>
      </c>
      <c r="D36" s="1570" t="str">
        <f>VLOOKUP($A36,Items!$B:$I,6,FALSE)</f>
        <v>m3</v>
      </c>
      <c r="E36" s="1571">
        <f>VLOOKUP($A36,Items!$B:$K,10,FALSE)</f>
        <v>2.9336252960590115E-2</v>
      </c>
      <c r="F36" s="1572"/>
      <c r="G36" s="1573"/>
      <c r="H36" s="1573"/>
      <c r="I36" s="1573"/>
      <c r="J36" s="1573"/>
      <c r="K36" s="1573"/>
      <c r="L36" s="1573"/>
      <c r="M36" s="1573"/>
      <c r="N36" s="1573"/>
      <c r="O36" s="1573"/>
      <c r="P36" s="1573"/>
      <c r="Q36" s="1573"/>
      <c r="R36" s="1573"/>
      <c r="S36" s="1573"/>
      <c r="T36" s="1573"/>
      <c r="U36" s="1573"/>
      <c r="V36" s="1573"/>
      <c r="W36" s="1573"/>
      <c r="X36" s="1573"/>
      <c r="Y36" s="1573"/>
      <c r="Z36" s="1573"/>
      <c r="AA36" s="1573"/>
      <c r="AB36" s="1573"/>
      <c r="AC36" s="1573"/>
      <c r="AD36" s="785"/>
      <c r="AE36" s="1574"/>
      <c r="AF36" s="1575"/>
      <c r="AG36" s="1575"/>
      <c r="AH36" s="1575"/>
      <c r="AI36" s="1575"/>
      <c r="AJ36" s="1575"/>
      <c r="AK36" s="1575"/>
      <c r="AL36" s="1575"/>
      <c r="AM36" s="1575"/>
      <c r="AN36" s="1575"/>
      <c r="AO36" s="1575"/>
      <c r="AP36" s="1575"/>
    </row>
    <row r="37" spans="1:42" ht="16.2" thickBot="1">
      <c r="B37" s="1568">
        <v>0</v>
      </c>
      <c r="C37" s="1569">
        <v>0</v>
      </c>
      <c r="D37" s="1570">
        <v>0</v>
      </c>
      <c r="E37" s="1571" t="s">
        <v>1326</v>
      </c>
      <c r="F37" s="1576"/>
      <c r="G37" s="1577"/>
      <c r="H37" s="1577"/>
      <c r="I37" s="1577"/>
      <c r="J37" s="1577"/>
      <c r="K37" s="1577"/>
      <c r="L37" s="1577"/>
      <c r="M37" s="1577"/>
      <c r="N37" s="1577"/>
      <c r="O37" s="1577"/>
      <c r="P37" s="1577"/>
      <c r="Q37" s="1577"/>
      <c r="R37" s="1577"/>
      <c r="S37" s="1577"/>
      <c r="T37" s="1577"/>
      <c r="U37" s="1577"/>
      <c r="V37" s="1577"/>
      <c r="W37" s="1577"/>
      <c r="X37" s="1577"/>
      <c r="Y37" s="1577"/>
      <c r="Z37" s="1577"/>
      <c r="AA37" s="1577"/>
      <c r="AB37" s="1577"/>
      <c r="AC37" s="1577"/>
      <c r="AD37" s="1578"/>
      <c r="AE37" s="1579">
        <f t="shared" ref="AE37:AP37" si="9">+AE35*$E36</f>
        <v>2.9336252960590115E-2</v>
      </c>
      <c r="AF37" s="1580">
        <f t="shared" si="9"/>
        <v>0</v>
      </c>
      <c r="AG37" s="1580">
        <f t="shared" si="9"/>
        <v>0</v>
      </c>
      <c r="AH37" s="1580">
        <f t="shared" si="9"/>
        <v>0</v>
      </c>
      <c r="AI37" s="1580">
        <f t="shared" si="9"/>
        <v>0</v>
      </c>
      <c r="AJ37" s="1580">
        <f t="shared" si="9"/>
        <v>0</v>
      </c>
      <c r="AK37" s="1580">
        <f t="shared" si="9"/>
        <v>0</v>
      </c>
      <c r="AL37" s="1580">
        <f t="shared" si="9"/>
        <v>0</v>
      </c>
      <c r="AM37" s="1580">
        <f t="shared" si="9"/>
        <v>0</v>
      </c>
      <c r="AN37" s="1580">
        <f t="shared" si="9"/>
        <v>0</v>
      </c>
      <c r="AO37" s="1580">
        <f t="shared" si="9"/>
        <v>0</v>
      </c>
      <c r="AP37" s="1580">
        <f t="shared" si="9"/>
        <v>0</v>
      </c>
    </row>
    <row r="38" spans="1:42" ht="15.6">
      <c r="B38" s="1568"/>
      <c r="C38" s="1569"/>
      <c r="D38" s="1570"/>
      <c r="E38" s="1571"/>
      <c r="F38" s="1581">
        <f>VLOOKUP($B39,Crono!$E:$AN,COLUMN(Crono!Q19:Q22)-4,FALSE)</f>
        <v>0</v>
      </c>
      <c r="G38" s="1582">
        <f>VLOOKUP($B39,Crono!$E:$AN,COLUMN(Crono!R19:R22)-4,FALSE)</f>
        <v>1</v>
      </c>
      <c r="H38" s="1582">
        <f>VLOOKUP($B39,Crono!$E:$AN,COLUMN(Crono!S19:S22)-4,FALSE)</f>
        <v>0</v>
      </c>
      <c r="I38" s="1582">
        <f>VLOOKUP($B39,Crono!$E:$AN,COLUMN(Crono!T19:T22)-4,FALSE)</f>
        <v>0</v>
      </c>
      <c r="J38" s="1582">
        <f>VLOOKUP($B39,Crono!$E:$AN,COLUMN(Crono!U19:U22)-4,FALSE)</f>
        <v>0</v>
      </c>
      <c r="K38" s="1582">
        <f>VLOOKUP($B39,Crono!$E:$AN,COLUMN(Crono!V19:V22)-4,FALSE)</f>
        <v>0</v>
      </c>
      <c r="L38" s="1582">
        <f>VLOOKUP($B39,Crono!$E:$AN,COLUMN(Crono!W19:W22)-4,FALSE)</f>
        <v>0</v>
      </c>
      <c r="M38" s="1582">
        <f>VLOOKUP($B39,Crono!$E:$AN,COLUMN(Crono!X19:X22)-4,FALSE)</f>
        <v>0</v>
      </c>
      <c r="N38" s="1582">
        <f>VLOOKUP($B39,Crono!$E:$AN,COLUMN(Crono!Y19:Y22)-4,FALSE)</f>
        <v>0</v>
      </c>
      <c r="O38" s="1582">
        <f>VLOOKUP($B39,Crono!$E:$AN,COLUMN(Crono!Z19:Z22)-4,FALSE)</f>
        <v>0</v>
      </c>
      <c r="P38" s="1582">
        <f>VLOOKUP($B39,Crono!$E:$AN,COLUMN(Crono!AA19:AA22)-4,FALSE)</f>
        <v>0</v>
      </c>
      <c r="Q38" s="1582">
        <f>VLOOKUP($B39,Crono!$E:$AN,COLUMN(Crono!AB19:AB22)-4,FALSE)</f>
        <v>0</v>
      </c>
      <c r="R38" s="1582">
        <f>VLOOKUP($B39,Crono!$E:$AN,COLUMN(Crono!AC19:AC22)-4,FALSE)</f>
        <v>0</v>
      </c>
      <c r="S38" s="1582">
        <f>VLOOKUP($B39,Crono!$E:$AN,COLUMN(Crono!AD19:AD22)-4,FALSE)</f>
        <v>0</v>
      </c>
      <c r="T38" s="1582">
        <f>VLOOKUP($B39,Crono!$E:$AN,COLUMN(Crono!AE19:AE22)-4,FALSE)</f>
        <v>0</v>
      </c>
      <c r="U38" s="1582">
        <f>VLOOKUP($B39,Crono!$E:$AN,COLUMN(Crono!AF19:AF22)-4,FALSE)</f>
        <v>0</v>
      </c>
      <c r="V38" s="1582">
        <f>VLOOKUP($B39,Crono!$E:$AN,COLUMN(Crono!AG19:AG22)-4,FALSE)</f>
        <v>0</v>
      </c>
      <c r="W38" s="1582">
        <f>VLOOKUP($B39,Crono!$E:$AN,COLUMN(Crono!AH19:AH22)-4,FALSE)</f>
        <v>0</v>
      </c>
      <c r="X38" s="1582">
        <f>VLOOKUP($B39,Crono!$E:$AN,COLUMN(Crono!AI19:AI22)-4,FALSE)</f>
        <v>0</v>
      </c>
      <c r="Y38" s="1582">
        <f>VLOOKUP($B39,Crono!$E:$AN,COLUMN(Crono!AJ19:AJ22)-4,FALSE)</f>
        <v>0</v>
      </c>
      <c r="Z38" s="1582">
        <f>VLOOKUP($B39,Crono!$E:$AN,COLUMN(Crono!AK19:AK22)-4,FALSE)</f>
        <v>0</v>
      </c>
      <c r="AA38" s="1582">
        <f>VLOOKUP($B39,Crono!$E:$AN,COLUMN(Crono!AL19:AL22)-4,FALSE)</f>
        <v>0</v>
      </c>
      <c r="AB38" s="1582">
        <f>VLOOKUP($B39,Crono!$E:$AN,COLUMN(Crono!AM19:AM22)-4,FALSE)</f>
        <v>0</v>
      </c>
      <c r="AC38" s="1582">
        <f>VLOOKUP($B39,Crono!$E:$AN,COLUMN(Crono!AN19:AN22)-4,FALSE)</f>
        <v>0</v>
      </c>
      <c r="AD38" s="1583"/>
      <c r="AE38" s="1565">
        <f t="shared" ref="AE38:AP38" si="10">+F38</f>
        <v>0</v>
      </c>
      <c r="AF38" s="1566">
        <f t="shared" si="10"/>
        <v>1</v>
      </c>
      <c r="AG38" s="1566">
        <f t="shared" si="10"/>
        <v>0</v>
      </c>
      <c r="AH38" s="1566">
        <f t="shared" si="10"/>
        <v>0</v>
      </c>
      <c r="AI38" s="1566">
        <f t="shared" si="10"/>
        <v>0</v>
      </c>
      <c r="AJ38" s="1566">
        <f t="shared" si="10"/>
        <v>0</v>
      </c>
      <c r="AK38" s="1566">
        <f t="shared" si="10"/>
        <v>0</v>
      </c>
      <c r="AL38" s="1566">
        <f t="shared" si="10"/>
        <v>0</v>
      </c>
      <c r="AM38" s="1566">
        <f t="shared" si="10"/>
        <v>0</v>
      </c>
      <c r="AN38" s="1566">
        <f t="shared" si="10"/>
        <v>0</v>
      </c>
      <c r="AO38" s="1566">
        <f t="shared" si="10"/>
        <v>0</v>
      </c>
      <c r="AP38" s="1566">
        <f t="shared" si="10"/>
        <v>0</v>
      </c>
    </row>
    <row r="39" spans="1:42" ht="15.6">
      <c r="A39" s="1567">
        <v>5</v>
      </c>
      <c r="B39" s="1568" t="str">
        <f>VLOOKUP($A39,Items!$B:$I,4,FALSE)</f>
        <v>3.1</v>
      </c>
      <c r="C39" s="1569" t="str">
        <f>VLOOKUP($A39,Items!$B:$I,5,FALSE)</f>
        <v>Hormigón estructural bases, vigas de fundación y contrapisos.</v>
      </c>
      <c r="D39" s="1570" t="str">
        <f>VLOOKUP($A39,Items!$B:$I,6,FALSE)</f>
        <v>m3</v>
      </c>
      <c r="E39" s="1571">
        <f>VLOOKUP($A39,Items!$B:$K,10,FALSE)</f>
        <v>0.83325601200391375</v>
      </c>
      <c r="F39" s="1572"/>
      <c r="G39" s="1573"/>
      <c r="H39" s="1573"/>
      <c r="I39" s="1573"/>
      <c r="J39" s="1573"/>
      <c r="K39" s="1573"/>
      <c r="L39" s="1573"/>
      <c r="M39" s="1573"/>
      <c r="N39" s="1573"/>
      <c r="O39" s="1573"/>
      <c r="P39" s="1573"/>
      <c r="Q39" s="1573"/>
      <c r="R39" s="1573"/>
      <c r="S39" s="1573"/>
      <c r="T39" s="1573"/>
      <c r="U39" s="1573"/>
      <c r="V39" s="1573"/>
      <c r="W39" s="1573"/>
      <c r="X39" s="1573"/>
      <c r="Y39" s="1573"/>
      <c r="Z39" s="1573"/>
      <c r="AA39" s="1573"/>
      <c r="AB39" s="1573"/>
      <c r="AC39" s="1573"/>
      <c r="AD39" s="785"/>
      <c r="AE39" s="1574"/>
      <c r="AF39" s="1575"/>
      <c r="AG39" s="1575"/>
      <c r="AH39" s="1575"/>
      <c r="AI39" s="1575"/>
      <c r="AJ39" s="1575"/>
      <c r="AK39" s="1575"/>
      <c r="AL39" s="1575"/>
      <c r="AM39" s="1575"/>
      <c r="AN39" s="1575"/>
      <c r="AO39" s="1575"/>
      <c r="AP39" s="1575"/>
    </row>
    <row r="40" spans="1:42" ht="16.2" thickBot="1">
      <c r="B40" s="1568">
        <v>0</v>
      </c>
      <c r="C40" s="1569">
        <v>0</v>
      </c>
      <c r="D40" s="1570">
        <v>0</v>
      </c>
      <c r="E40" s="1571" t="s">
        <v>1326</v>
      </c>
      <c r="F40" s="1576"/>
      <c r="G40" s="1577"/>
      <c r="H40" s="1577"/>
      <c r="I40" s="1577"/>
      <c r="J40" s="1577"/>
      <c r="K40" s="1577"/>
      <c r="L40" s="1577"/>
      <c r="M40" s="1577"/>
      <c r="N40" s="1577"/>
      <c r="O40" s="1577"/>
      <c r="P40" s="1577"/>
      <c r="Q40" s="1577"/>
      <c r="R40" s="1577"/>
      <c r="S40" s="1577"/>
      <c r="T40" s="1577"/>
      <c r="U40" s="1577"/>
      <c r="V40" s="1577"/>
      <c r="W40" s="1577"/>
      <c r="X40" s="1577"/>
      <c r="Y40" s="1577"/>
      <c r="Z40" s="1577"/>
      <c r="AA40" s="1577"/>
      <c r="AB40" s="1577"/>
      <c r="AC40" s="1577"/>
      <c r="AD40" s="1578"/>
      <c r="AE40" s="1579">
        <f t="shared" ref="AE40:AP40" si="11">+AE38*$E39</f>
        <v>0</v>
      </c>
      <c r="AF40" s="1580">
        <f t="shared" si="11"/>
        <v>0.83325601200391375</v>
      </c>
      <c r="AG40" s="1580">
        <f t="shared" si="11"/>
        <v>0</v>
      </c>
      <c r="AH40" s="1580">
        <f t="shared" si="11"/>
        <v>0</v>
      </c>
      <c r="AI40" s="1580">
        <f t="shared" si="11"/>
        <v>0</v>
      </c>
      <c r="AJ40" s="1580">
        <f t="shared" si="11"/>
        <v>0</v>
      </c>
      <c r="AK40" s="1580">
        <f t="shared" si="11"/>
        <v>0</v>
      </c>
      <c r="AL40" s="1580">
        <f t="shared" si="11"/>
        <v>0</v>
      </c>
      <c r="AM40" s="1580">
        <f t="shared" si="11"/>
        <v>0</v>
      </c>
      <c r="AN40" s="1580">
        <f t="shared" si="11"/>
        <v>0</v>
      </c>
      <c r="AO40" s="1580">
        <f t="shared" si="11"/>
        <v>0</v>
      </c>
      <c r="AP40" s="1580">
        <f t="shared" si="11"/>
        <v>0</v>
      </c>
    </row>
    <row r="41" spans="1:42" ht="15.6">
      <c r="B41" s="1568"/>
      <c r="C41" s="1569"/>
      <c r="D41" s="1570"/>
      <c r="E41" s="1571"/>
      <c r="F41" s="1581">
        <f>VLOOKUP($B42,Crono!$E:$AN,COLUMN(Crono!Q22:Q22)-4,FALSE)</f>
        <v>0</v>
      </c>
      <c r="G41" s="1582">
        <f>VLOOKUP($B42,Crono!$E:$AN,COLUMN(Crono!R22:R22)-4,FALSE)</f>
        <v>1</v>
      </c>
      <c r="H41" s="1582">
        <f>VLOOKUP($B42,Crono!$E:$AN,COLUMN(Crono!S22:S22)-4,FALSE)</f>
        <v>0</v>
      </c>
      <c r="I41" s="1582">
        <f>VLOOKUP($B42,Crono!$E:$AN,COLUMN(Crono!T22:T22)-4,FALSE)</f>
        <v>0</v>
      </c>
      <c r="J41" s="1582">
        <f>VLOOKUP($B42,Crono!$E:$AN,COLUMN(Crono!U22:U22)-4,FALSE)</f>
        <v>0</v>
      </c>
      <c r="K41" s="1582">
        <f>VLOOKUP($B42,Crono!$E:$AN,COLUMN(Crono!V22:V22)-4,FALSE)</f>
        <v>0</v>
      </c>
      <c r="L41" s="1582">
        <f>VLOOKUP($B42,Crono!$E:$AN,COLUMN(Crono!W22:W22)-4,FALSE)</f>
        <v>0</v>
      </c>
      <c r="M41" s="1582">
        <f>VLOOKUP($B42,Crono!$E:$AN,COLUMN(Crono!X22:X22)-4,FALSE)</f>
        <v>0</v>
      </c>
      <c r="N41" s="1582">
        <f>VLOOKUP($B42,Crono!$E:$AN,COLUMN(Crono!Y22:Y22)-4,FALSE)</f>
        <v>0</v>
      </c>
      <c r="O41" s="1582">
        <f>VLOOKUP($B42,Crono!$E:$AN,COLUMN(Crono!Z22:Z22)-4,FALSE)</f>
        <v>0</v>
      </c>
      <c r="P41" s="1582">
        <f>VLOOKUP($B42,Crono!$E:$AN,COLUMN(Crono!AA22:AA22)-4,FALSE)</f>
        <v>0</v>
      </c>
      <c r="Q41" s="1582">
        <f>VLOOKUP($B42,Crono!$E:$AN,COLUMN(Crono!AB22:AB22)-4,FALSE)</f>
        <v>0</v>
      </c>
      <c r="R41" s="1582">
        <f>VLOOKUP($B42,Crono!$E:$AN,COLUMN(Crono!AC22:AC22)-4,FALSE)</f>
        <v>0</v>
      </c>
      <c r="S41" s="1582">
        <f>VLOOKUP($B42,Crono!$E:$AN,COLUMN(Crono!AD22:AD22)-4,FALSE)</f>
        <v>0</v>
      </c>
      <c r="T41" s="1582">
        <f>VLOOKUP($B42,Crono!$E:$AN,COLUMN(Crono!AE22:AE22)-4,FALSE)</f>
        <v>0</v>
      </c>
      <c r="U41" s="1582">
        <f>VLOOKUP($B42,Crono!$E:$AN,COLUMN(Crono!AF22:AF22)-4,FALSE)</f>
        <v>0</v>
      </c>
      <c r="V41" s="1582">
        <f>VLOOKUP($B42,Crono!$E:$AN,COLUMN(Crono!AG22:AG22)-4,FALSE)</f>
        <v>0</v>
      </c>
      <c r="W41" s="1582">
        <f>VLOOKUP($B42,Crono!$E:$AN,COLUMN(Crono!AH22:AH22)-4,FALSE)</f>
        <v>0</v>
      </c>
      <c r="X41" s="1582">
        <f>VLOOKUP($B42,Crono!$E:$AN,COLUMN(Crono!AI22:AI22)-4,FALSE)</f>
        <v>0</v>
      </c>
      <c r="Y41" s="1582">
        <f>VLOOKUP($B42,Crono!$E:$AN,COLUMN(Crono!AJ22:AJ22)-4,FALSE)</f>
        <v>0</v>
      </c>
      <c r="Z41" s="1582">
        <f>VLOOKUP($B42,Crono!$E:$AN,COLUMN(Crono!AK22:AK22)-4,FALSE)</f>
        <v>0</v>
      </c>
      <c r="AA41" s="1582">
        <f>VLOOKUP($B42,Crono!$E:$AN,COLUMN(Crono!AL22:AL22)-4,FALSE)</f>
        <v>0</v>
      </c>
      <c r="AB41" s="1582">
        <f>VLOOKUP($B42,Crono!$E:$AN,COLUMN(Crono!AM22:AM22)-4,FALSE)</f>
        <v>0</v>
      </c>
      <c r="AC41" s="1582">
        <f>VLOOKUP($B42,Crono!$E:$AN,COLUMN(Crono!AN22:AN22)-4,FALSE)</f>
        <v>0</v>
      </c>
      <c r="AD41" s="1583"/>
      <c r="AE41" s="1565">
        <f t="shared" ref="AE41:AP41" si="12">+F41</f>
        <v>0</v>
      </c>
      <c r="AF41" s="1566">
        <f t="shared" si="12"/>
        <v>1</v>
      </c>
      <c r="AG41" s="1566">
        <f t="shared" si="12"/>
        <v>0</v>
      </c>
      <c r="AH41" s="1566">
        <f t="shared" si="12"/>
        <v>0</v>
      </c>
      <c r="AI41" s="1566">
        <f t="shared" si="12"/>
        <v>0</v>
      </c>
      <c r="AJ41" s="1566">
        <f t="shared" si="12"/>
        <v>0</v>
      </c>
      <c r="AK41" s="1566">
        <f t="shared" si="12"/>
        <v>0</v>
      </c>
      <c r="AL41" s="1566">
        <f t="shared" si="12"/>
        <v>0</v>
      </c>
      <c r="AM41" s="1566">
        <f t="shared" si="12"/>
        <v>0</v>
      </c>
      <c r="AN41" s="1566">
        <f t="shared" si="12"/>
        <v>0</v>
      </c>
      <c r="AO41" s="1566">
        <f t="shared" si="12"/>
        <v>0</v>
      </c>
      <c r="AP41" s="1566">
        <f t="shared" si="12"/>
        <v>0</v>
      </c>
    </row>
    <row r="42" spans="1:42" ht="15.6">
      <c r="A42" s="1567">
        <v>6</v>
      </c>
      <c r="B42" s="1568" t="str">
        <f>VLOOKUP($A42,Items!$B:$I,4,FALSE)</f>
        <v>3.2</v>
      </c>
      <c r="C42" s="1569" t="str">
        <f>VLOOKUP($A42,Items!$B:$I,5,FALSE)</f>
        <v>Hormigón de limpieza.</v>
      </c>
      <c r="D42" s="1570" t="str">
        <f>VLOOKUP($A42,Items!$B:$I,6,FALSE)</f>
        <v>m3</v>
      </c>
      <c r="E42" s="1571">
        <f>VLOOKUP($A42,Items!$B:$K,10,FALSE)</f>
        <v>6.8024165123838545E-3</v>
      </c>
      <c r="F42" s="1572"/>
      <c r="G42" s="1573"/>
      <c r="H42" s="1573"/>
      <c r="I42" s="1573"/>
      <c r="J42" s="1573"/>
      <c r="K42" s="1573"/>
      <c r="L42" s="1573"/>
      <c r="M42" s="1573"/>
      <c r="N42" s="1573"/>
      <c r="O42" s="1573"/>
      <c r="P42" s="1573"/>
      <c r="Q42" s="1573"/>
      <c r="R42" s="1573"/>
      <c r="S42" s="1573"/>
      <c r="T42" s="1573"/>
      <c r="U42" s="1573"/>
      <c r="V42" s="1573"/>
      <c r="W42" s="1573"/>
      <c r="X42" s="1573"/>
      <c r="Y42" s="1573"/>
      <c r="Z42" s="1573"/>
      <c r="AA42" s="1573"/>
      <c r="AB42" s="1573"/>
      <c r="AC42" s="1573"/>
      <c r="AD42" s="785"/>
      <c r="AE42" s="1574"/>
      <c r="AF42" s="1575"/>
      <c r="AG42" s="1575"/>
      <c r="AH42" s="1575"/>
      <c r="AI42" s="1575"/>
      <c r="AJ42" s="1575"/>
      <c r="AK42" s="1575"/>
      <c r="AL42" s="1575"/>
      <c r="AM42" s="1575"/>
      <c r="AN42" s="1575"/>
      <c r="AO42" s="1575"/>
      <c r="AP42" s="1575"/>
    </row>
    <row r="43" spans="1:42" ht="15.6">
      <c r="B43" s="1568">
        <v>0</v>
      </c>
      <c r="C43" s="1569">
        <v>0</v>
      </c>
      <c r="D43" s="1570">
        <v>0</v>
      </c>
      <c r="E43" s="1571" t="s">
        <v>1326</v>
      </c>
      <c r="F43" s="1576"/>
      <c r="G43" s="1577"/>
      <c r="H43" s="1577"/>
      <c r="I43" s="1577"/>
      <c r="J43" s="1577"/>
      <c r="K43" s="1577"/>
      <c r="L43" s="1577"/>
      <c r="M43" s="1577"/>
      <c r="N43" s="1577"/>
      <c r="O43" s="1577"/>
      <c r="P43" s="1577"/>
      <c r="Q43" s="1577"/>
      <c r="R43" s="1577"/>
      <c r="S43" s="1577"/>
      <c r="T43" s="1577"/>
      <c r="U43" s="1577"/>
      <c r="V43" s="1577"/>
      <c r="W43" s="1577"/>
      <c r="X43" s="1577"/>
      <c r="Y43" s="1577"/>
      <c r="Z43" s="1577"/>
      <c r="AA43" s="1577"/>
      <c r="AB43" s="1577"/>
      <c r="AC43" s="1577"/>
      <c r="AD43" s="1578"/>
      <c r="AE43" s="1579">
        <f t="shared" ref="AE43:AP43" si="13">+AE41*$E42</f>
        <v>0</v>
      </c>
      <c r="AF43" s="1580">
        <f t="shared" si="13"/>
        <v>6.8024165123838545E-3</v>
      </c>
      <c r="AG43" s="1580">
        <f t="shared" si="13"/>
        <v>0</v>
      </c>
      <c r="AH43" s="1580">
        <f t="shared" si="13"/>
        <v>0</v>
      </c>
      <c r="AI43" s="1580">
        <f t="shared" si="13"/>
        <v>0</v>
      </c>
      <c r="AJ43" s="1580">
        <f t="shared" si="13"/>
        <v>0</v>
      </c>
      <c r="AK43" s="1580">
        <f t="shared" si="13"/>
        <v>0</v>
      </c>
      <c r="AL43" s="1580">
        <f t="shared" si="13"/>
        <v>0</v>
      </c>
      <c r="AM43" s="1580">
        <f t="shared" si="13"/>
        <v>0</v>
      </c>
      <c r="AN43" s="1580">
        <f t="shared" si="13"/>
        <v>0</v>
      </c>
      <c r="AO43" s="1580">
        <f t="shared" si="13"/>
        <v>0</v>
      </c>
      <c r="AP43" s="1580">
        <f t="shared" si="13"/>
        <v>0</v>
      </c>
    </row>
    <row r="44" spans="1:42" ht="15.6">
      <c r="B44" s="1584"/>
      <c r="C44" s="1585"/>
      <c r="D44" s="1586"/>
      <c r="E44" s="1587"/>
      <c r="F44" s="1588"/>
      <c r="G44" s="1589"/>
      <c r="H44" s="1589"/>
      <c r="I44" s="1589"/>
      <c r="J44" s="1589"/>
      <c r="K44" s="1589"/>
      <c r="L44" s="1589"/>
      <c r="M44" s="1589"/>
      <c r="N44" s="1589"/>
      <c r="O44" s="1589"/>
      <c r="P44" s="1589"/>
      <c r="Q44" s="1589"/>
      <c r="R44" s="1589"/>
      <c r="S44" s="1589"/>
      <c r="T44" s="1589"/>
      <c r="U44" s="1589"/>
      <c r="V44" s="1589"/>
      <c r="W44" s="1589"/>
      <c r="X44" s="1589"/>
      <c r="Y44" s="1589"/>
      <c r="Z44" s="1589"/>
      <c r="AA44" s="1589"/>
      <c r="AB44" s="1589"/>
      <c r="AC44" s="1589"/>
      <c r="AD44" s="1590"/>
      <c r="AE44" s="1591"/>
      <c r="AF44" s="1592"/>
      <c r="AG44" s="1592"/>
      <c r="AH44" s="1592"/>
      <c r="AI44" s="1592"/>
      <c r="AJ44" s="1592"/>
      <c r="AK44" s="1592"/>
      <c r="AL44" s="1592"/>
      <c r="AM44" s="1592"/>
      <c r="AN44" s="1592"/>
      <c r="AO44" s="1592"/>
      <c r="AP44" s="1592"/>
    </row>
    <row r="45" spans="1:42" ht="15.6">
      <c r="B45" s="1568"/>
      <c r="C45" s="1569" t="s">
        <v>4269</v>
      </c>
      <c r="D45" s="1570"/>
      <c r="E45" s="1593">
        <f>SUM(E26:E43)</f>
        <v>1</v>
      </c>
      <c r="F45" s="1572"/>
      <c r="G45" s="1573"/>
      <c r="H45" s="1573"/>
      <c r="I45" s="1573"/>
      <c r="J45" s="1573"/>
      <c r="K45" s="1573"/>
      <c r="L45" s="1573"/>
      <c r="M45" s="1573"/>
      <c r="N45" s="1573"/>
      <c r="O45" s="1573"/>
      <c r="P45" s="1573"/>
      <c r="Q45" s="1573"/>
      <c r="R45" s="1573"/>
      <c r="S45" s="1573"/>
      <c r="T45" s="1573"/>
      <c r="U45" s="1573"/>
      <c r="V45" s="1573"/>
      <c r="W45" s="1573"/>
      <c r="X45" s="1573"/>
      <c r="Y45" s="1573"/>
      <c r="Z45" s="1573"/>
      <c r="AA45" s="1573"/>
      <c r="AB45" s="1573"/>
      <c r="AC45" s="1573"/>
      <c r="AD45" s="784"/>
      <c r="AE45" s="1575">
        <f>+AE28+AE31+AE34+AE37+AE40+AE43</f>
        <v>0.15994157148370236</v>
      </c>
      <c r="AF45" s="1575">
        <f t="shared" ref="AF45:AP45" si="14">+AF28+AF31+AF34+AF37+AF40+AF43</f>
        <v>0.84005842851629764</v>
      </c>
      <c r="AG45" s="1575">
        <f t="shared" si="14"/>
        <v>0</v>
      </c>
      <c r="AH45" s="1575">
        <f t="shared" si="14"/>
        <v>0</v>
      </c>
      <c r="AI45" s="1575">
        <f t="shared" si="14"/>
        <v>0</v>
      </c>
      <c r="AJ45" s="1575">
        <f t="shared" si="14"/>
        <v>0</v>
      </c>
      <c r="AK45" s="1575">
        <f t="shared" si="14"/>
        <v>0</v>
      </c>
      <c r="AL45" s="1575">
        <f t="shared" si="14"/>
        <v>0</v>
      </c>
      <c r="AM45" s="1575">
        <f t="shared" si="14"/>
        <v>0</v>
      </c>
      <c r="AN45" s="1575">
        <f t="shared" si="14"/>
        <v>0</v>
      </c>
      <c r="AO45" s="1575">
        <f t="shared" si="14"/>
        <v>0</v>
      </c>
      <c r="AP45" s="1575">
        <f t="shared" si="14"/>
        <v>0</v>
      </c>
    </row>
    <row r="46" spans="1:42" ht="16.2" thickBot="1">
      <c r="B46" s="1594"/>
      <c r="C46" s="1595"/>
      <c r="D46" s="1596"/>
      <c r="E46" s="1597"/>
      <c r="F46" s="1598"/>
      <c r="G46" s="1599"/>
      <c r="H46" s="1599"/>
      <c r="I46" s="1599"/>
      <c r="J46" s="1599"/>
      <c r="K46" s="1599"/>
      <c r="L46" s="1599"/>
      <c r="M46" s="1599"/>
      <c r="N46" s="1599"/>
      <c r="O46" s="1599"/>
      <c r="P46" s="1599"/>
      <c r="Q46" s="1599"/>
      <c r="R46" s="1599"/>
      <c r="S46" s="1599"/>
      <c r="T46" s="1599"/>
      <c r="U46" s="1599"/>
      <c r="V46" s="1599"/>
      <c r="W46" s="1599"/>
      <c r="X46" s="1599"/>
      <c r="Y46" s="1599"/>
      <c r="Z46" s="1599"/>
      <c r="AA46" s="1599"/>
      <c r="AB46" s="1599"/>
      <c r="AC46" s="1599"/>
      <c r="AD46" s="789"/>
      <c r="AE46" s="1600">
        <f>+AE45</f>
        <v>0.15994157148370236</v>
      </c>
      <c r="AF46" s="1601">
        <f>+AF45+AE46</f>
        <v>1</v>
      </c>
      <c r="AG46" s="1601">
        <f t="shared" ref="AG46:AP46" si="15">+AG45+AF46</f>
        <v>1</v>
      </c>
      <c r="AH46" s="1601">
        <f t="shared" si="15"/>
        <v>1</v>
      </c>
      <c r="AI46" s="1601">
        <f t="shared" si="15"/>
        <v>1</v>
      </c>
      <c r="AJ46" s="1601">
        <f t="shared" si="15"/>
        <v>1</v>
      </c>
      <c r="AK46" s="1601">
        <f t="shared" si="15"/>
        <v>1</v>
      </c>
      <c r="AL46" s="1601">
        <f t="shared" si="15"/>
        <v>1</v>
      </c>
      <c r="AM46" s="1601">
        <f t="shared" si="15"/>
        <v>1</v>
      </c>
      <c r="AN46" s="1601">
        <f t="shared" si="15"/>
        <v>1</v>
      </c>
      <c r="AO46" s="1601">
        <f t="shared" si="15"/>
        <v>1</v>
      </c>
      <c r="AP46" s="1601">
        <f t="shared" si="15"/>
        <v>1</v>
      </c>
    </row>
  </sheetData>
  <mergeCells count="40">
    <mergeCell ref="G22:G25"/>
    <mergeCell ref="B22:B25"/>
    <mergeCell ref="C22:C25"/>
    <mergeCell ref="D22:D25"/>
    <mergeCell ref="E22:E25"/>
    <mergeCell ref="F22:F25"/>
    <mergeCell ref="S22:S25"/>
    <mergeCell ref="H22:H25"/>
    <mergeCell ref="I22:I25"/>
    <mergeCell ref="J22:J25"/>
    <mergeCell ref="K22:K25"/>
    <mergeCell ref="L22:L25"/>
    <mergeCell ref="M22:M25"/>
    <mergeCell ref="N22:N25"/>
    <mergeCell ref="O22:O25"/>
    <mergeCell ref="P22:P25"/>
    <mergeCell ref="Q22:Q25"/>
    <mergeCell ref="R22:R25"/>
    <mergeCell ref="AF22:AF25"/>
    <mergeCell ref="T22:T25"/>
    <mergeCell ref="U22:U25"/>
    <mergeCell ref="V22:V25"/>
    <mergeCell ref="W22:W25"/>
    <mergeCell ref="X22:X25"/>
    <mergeCell ref="Y22:Y25"/>
    <mergeCell ref="Z22:Z25"/>
    <mergeCell ref="AA22:AA25"/>
    <mergeCell ref="AB22:AB25"/>
    <mergeCell ref="AC22:AC25"/>
    <mergeCell ref="AE22:AE25"/>
    <mergeCell ref="AG22:AG25"/>
    <mergeCell ref="AH22:AH25"/>
    <mergeCell ref="AI22:AI25"/>
    <mergeCell ref="AJ22:AJ25"/>
    <mergeCell ref="AK22:AK25"/>
    <mergeCell ref="AL22:AL25"/>
    <mergeCell ref="AM22:AM25"/>
    <mergeCell ref="AN22:AN25"/>
    <mergeCell ref="AO22:AO25"/>
    <mergeCell ref="AP22:AP25"/>
  </mergeCells>
  <conditionalFormatting sqref="AE27:AJ27 AE30:AJ30 AE33:AJ33 AE36:AJ36 AE39:AJ39 AE42:AJ42 AE45:AP45">
    <cfRule type="expression" dxfId="7" priority="14" stopIfTrue="1">
      <formula>AE26&gt;0</formula>
    </cfRule>
  </conditionalFormatting>
  <conditionalFormatting sqref="F46:M46 F44:M44 N44:AC46 F26:AC43">
    <cfRule type="cellIs" dxfId="6" priority="15" stopIfTrue="1" operator="greaterThan">
      <formula>0</formula>
    </cfRule>
  </conditionalFormatting>
  <conditionalFormatting sqref="AK27 AK30 AK33 AK36 AK39 AK42 AK45">
    <cfRule type="expression" dxfId="5" priority="13" stopIfTrue="1">
      <formula>AK26&gt;0</formula>
    </cfRule>
  </conditionalFormatting>
  <conditionalFormatting sqref="AL27 AL30 AL33 AL36 AL39 AL42 AL45">
    <cfRule type="expression" dxfId="4" priority="12" stopIfTrue="1">
      <formula>AL26&gt;0</formula>
    </cfRule>
  </conditionalFormatting>
  <conditionalFormatting sqref="AM27 AM30 AM33 AM36 AM39 AM42 AM45">
    <cfRule type="expression" dxfId="3" priority="11" stopIfTrue="1">
      <formula>AM26&gt;0</formula>
    </cfRule>
  </conditionalFormatting>
  <conditionalFormatting sqref="AN27 AN30 AN33 AN36 AN39 AN42 AN45">
    <cfRule type="expression" dxfId="2" priority="10" stopIfTrue="1">
      <formula>AN26&gt;0</formula>
    </cfRule>
  </conditionalFormatting>
  <conditionalFormatting sqref="AO27 AO30 AO33 AO36 AO39 AO42 AO45">
    <cfRule type="expression" dxfId="1" priority="9" stopIfTrue="1">
      <formula>AO26&gt;0</formula>
    </cfRule>
  </conditionalFormatting>
  <conditionalFormatting sqref="AP27 AP30 AP33 AP36 AP39 AP42 AP45">
    <cfRule type="expression" dxfId="0" priority="8" stopIfTrue="1">
      <formula>AP26&gt;0</formula>
    </cfRule>
  </conditionalFormatting>
  <pageMargins left="0.59055118110236227" right="0.39370078740157483" top="0.34" bottom="0.28999999999999998" header="0" footer="0"/>
  <pageSetup paperSize="9" scale="61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V626"/>
  <sheetViews>
    <sheetView showGridLines="0" showZeros="0" zoomScale="70" zoomScaleNormal="70" zoomScaleSheetLayoutView="75" workbookViewId="0">
      <pane xSplit="8" ySplit="11" topLeftCell="I21" activePane="bottomRight" state="frozen"/>
      <selection sqref="A1:XFD1048576"/>
      <selection pane="topRight" sqref="A1:XFD1048576"/>
      <selection pane="bottomLeft" sqref="A1:XFD1048576"/>
      <selection pane="bottomRight" activeCell="F25" sqref="F25"/>
    </sheetView>
  </sheetViews>
  <sheetFormatPr baseColWidth="10" defaultColWidth="0" defaultRowHeight="15.6" zeroHeight="1"/>
  <cols>
    <col min="1" max="1" width="0.6640625" style="556" customWidth="1"/>
    <col min="2" max="2" width="5.109375" style="556" customWidth="1"/>
    <col min="3" max="3" width="16" style="557" customWidth="1"/>
    <col min="4" max="4" width="8.88671875" style="557" customWidth="1"/>
    <col min="5" max="5" width="7.88671875" style="556" customWidth="1"/>
    <col min="6" max="6" width="69" style="556" customWidth="1"/>
    <col min="7" max="7" width="8.88671875" style="556" bestFit="1" customWidth="1"/>
    <col min="8" max="8" width="16.33203125" style="558" customWidth="1"/>
    <col min="9" max="9" width="15" style="558" customWidth="1"/>
    <col min="10" max="10" width="17.88671875" style="556" customWidth="1"/>
    <col min="11" max="11" width="11.5546875" style="558" customWidth="1"/>
    <col min="12" max="12" width="12.5546875" style="559" customWidth="1"/>
    <col min="13" max="13" width="27" style="559" customWidth="1"/>
    <col min="14" max="14" width="14" style="558" customWidth="1"/>
    <col min="15" max="15" width="8.88671875" style="559" customWidth="1"/>
    <col min="16" max="16" width="11.44140625" style="558" customWidth="1"/>
    <col min="17" max="17" width="4.88671875" style="560" hidden="1" customWidth="1"/>
    <col min="18" max="18" width="13.6640625" style="560" hidden="1" customWidth="1"/>
    <col min="19" max="19" width="11.6640625" style="560" hidden="1" customWidth="1"/>
    <col min="20" max="20" width="29.33203125" style="556" hidden="1" customWidth="1"/>
    <col min="21" max="22" width="13.88671875" style="556" hidden="1" customWidth="1"/>
    <col min="23" max="16384" width="9.109375" style="556" hidden="1"/>
  </cols>
  <sheetData>
    <row r="1" spans="2:21" ht="3" customHeight="1" thickBot="1"/>
    <row r="2" spans="2:21">
      <c r="B2" s="561" t="s">
        <v>1110</v>
      </c>
      <c r="C2" s="562"/>
      <c r="D2" s="562"/>
      <c r="E2" s="563"/>
      <c r="F2" s="564">
        <f>+licitacion</f>
        <v>0</v>
      </c>
      <c r="G2" s="565"/>
      <c r="H2" s="566"/>
      <c r="I2" s="567"/>
      <c r="J2" s="568"/>
      <c r="K2" s="567"/>
      <c r="L2" s="569"/>
      <c r="M2" s="569"/>
      <c r="N2" s="567"/>
      <c r="O2" s="569"/>
      <c r="P2" s="567"/>
    </row>
    <row r="3" spans="2:21">
      <c r="B3" s="570" t="s">
        <v>1111</v>
      </c>
      <c r="C3" s="571"/>
      <c r="D3" s="571"/>
      <c r="E3" s="572"/>
      <c r="F3" s="572" t="str">
        <f>+obra</f>
        <v>CONSTRUCCIÓN DE SANITARIOS</v>
      </c>
      <c r="G3" s="573"/>
      <c r="H3" s="574"/>
      <c r="I3" s="575"/>
      <c r="J3" s="576"/>
      <c r="K3" s="575"/>
      <c r="L3" s="577"/>
      <c r="M3" s="817" t="s">
        <v>3177</v>
      </c>
      <c r="N3" s="1155">
        <f>Datos!N41</f>
        <v>7.9411948166073083</v>
      </c>
      <c r="O3" s="577"/>
      <c r="P3" s="575"/>
    </row>
    <row r="4" spans="2:21" ht="16.2" thickBot="1">
      <c r="B4" s="578" t="s">
        <v>1112</v>
      </c>
      <c r="C4" s="579"/>
      <c r="D4" s="579"/>
      <c r="E4" s="580"/>
      <c r="F4" s="580" t="str">
        <f>+comitente</f>
        <v>MUNICIPALIDAD DE GODOY CRUZ</v>
      </c>
      <c r="G4" s="579"/>
      <c r="H4" s="581"/>
      <c r="I4" s="582"/>
      <c r="J4" s="583"/>
      <c r="K4" s="582"/>
      <c r="L4" s="584"/>
      <c r="M4" s="818" t="s">
        <v>3178</v>
      </c>
      <c r="N4" s="819">
        <f>Datos!N40/12</f>
        <v>15.827242446988178</v>
      </c>
      <c r="O4" s="584"/>
      <c r="P4" s="582"/>
    </row>
    <row r="5" spans="2:21" ht="16.2" thickBot="1">
      <c r="B5" s="585"/>
      <c r="C5" s="579"/>
      <c r="D5" s="579"/>
      <c r="E5" s="580"/>
      <c r="F5" s="580"/>
      <c r="G5" s="586"/>
      <c r="H5" s="587"/>
      <c r="I5" s="582"/>
      <c r="J5" s="583"/>
      <c r="K5" s="582"/>
      <c r="L5" s="584"/>
      <c r="M5" s="820"/>
      <c r="N5" s="821"/>
      <c r="O5" s="820"/>
      <c r="P5" s="582"/>
    </row>
    <row r="6" spans="2:21" ht="16.2" thickBot="1">
      <c r="B6" s="588">
        <f>+ROW(B55)</f>
        <v>55</v>
      </c>
      <c r="C6" s="589" t="s">
        <v>1113</v>
      </c>
      <c r="D6" s="589"/>
      <c r="E6" s="589"/>
      <c r="F6" s="590"/>
      <c r="G6" s="589"/>
      <c r="H6" s="591"/>
      <c r="I6" s="591"/>
      <c r="J6" s="589"/>
      <c r="K6" s="591"/>
      <c r="L6" s="592"/>
      <c r="M6" s="592"/>
      <c r="N6" s="591"/>
      <c r="O6" s="592"/>
      <c r="P6" s="591"/>
    </row>
    <row r="7" spans="2:21">
      <c r="B7" s="1709" t="s">
        <v>830</v>
      </c>
      <c r="C7" s="1713" t="s">
        <v>1114</v>
      </c>
      <c r="D7" s="1713" t="s">
        <v>1115</v>
      </c>
      <c r="E7" s="1713" t="s">
        <v>1116</v>
      </c>
      <c r="F7" s="1715" t="s">
        <v>370</v>
      </c>
      <c r="G7" s="1715" t="s">
        <v>371</v>
      </c>
      <c r="H7" s="1717" t="s">
        <v>1154</v>
      </c>
      <c r="I7" s="1711" t="s">
        <v>372</v>
      </c>
      <c r="J7" s="1707" t="s">
        <v>1337</v>
      </c>
      <c r="K7" s="1707" t="s">
        <v>1155</v>
      </c>
      <c r="L7" s="1707" t="s">
        <v>1156</v>
      </c>
      <c r="M7" s="1707" t="s">
        <v>1157</v>
      </c>
      <c r="N7" s="1705" t="s">
        <v>832</v>
      </c>
      <c r="O7" s="1707" t="s">
        <v>371</v>
      </c>
      <c r="P7" s="1705" t="s">
        <v>833</v>
      </c>
    </row>
    <row r="8" spans="2:21" ht="16.2" thickBot="1">
      <c r="B8" s="1710"/>
      <c r="C8" s="1714"/>
      <c r="D8" s="1714"/>
      <c r="E8" s="1714"/>
      <c r="F8" s="1716"/>
      <c r="G8" s="1716"/>
      <c r="H8" s="1718"/>
      <c r="I8" s="1712"/>
      <c r="J8" s="1708"/>
      <c r="K8" s="1708"/>
      <c r="L8" s="1708"/>
      <c r="M8" s="1708"/>
      <c r="N8" s="1706"/>
      <c r="O8" s="1708"/>
      <c r="P8" s="1706"/>
    </row>
    <row r="9" spans="2:21" s="560" customFormat="1" ht="14.4" thickBot="1">
      <c r="B9" s="593"/>
      <c r="C9" s="594" t="s">
        <v>1158</v>
      </c>
      <c r="D9" s="594" t="s">
        <v>1186</v>
      </c>
      <c r="E9" s="594" t="s">
        <v>1187</v>
      </c>
      <c r="F9" s="595">
        <v>-4</v>
      </c>
      <c r="G9" s="595">
        <f t="shared" ref="G9:M9" si="0">+F9-1</f>
        <v>-5</v>
      </c>
      <c r="H9" s="595">
        <f t="shared" si="0"/>
        <v>-6</v>
      </c>
      <c r="I9" s="595">
        <f t="shared" si="0"/>
        <v>-7</v>
      </c>
      <c r="J9" s="595">
        <f t="shared" si="0"/>
        <v>-8</v>
      </c>
      <c r="K9" s="595">
        <f t="shared" si="0"/>
        <v>-9</v>
      </c>
      <c r="L9" s="595">
        <f t="shared" si="0"/>
        <v>-10</v>
      </c>
      <c r="M9" s="595">
        <f t="shared" si="0"/>
        <v>-11</v>
      </c>
      <c r="N9" s="596" t="s">
        <v>835</v>
      </c>
      <c r="O9" s="595"/>
      <c r="P9" s="597" t="s">
        <v>834</v>
      </c>
    </row>
    <row r="10" spans="2:21">
      <c r="B10" s="598"/>
      <c r="C10" s="599"/>
      <c r="D10" s="599"/>
      <c r="E10" s="599"/>
      <c r="F10" s="600"/>
      <c r="G10" s="601"/>
      <c r="H10" s="602"/>
      <c r="I10" s="603"/>
      <c r="J10" s="604"/>
      <c r="K10" s="605"/>
      <c r="L10" s="606"/>
      <c r="M10" s="606"/>
      <c r="N10" s="605"/>
      <c r="O10" s="606"/>
      <c r="P10" s="605"/>
    </row>
    <row r="11" spans="2:21" s="616" customFormat="1" ht="18">
      <c r="B11" s="607">
        <f>+ROW($F$32)-ROW($F$11)</f>
        <v>21</v>
      </c>
      <c r="C11" s="608"/>
      <c r="D11" s="608"/>
      <c r="E11" s="608"/>
      <c r="F11" s="609" t="s">
        <v>1159</v>
      </c>
      <c r="G11" s="610"/>
      <c r="H11" s="611"/>
      <c r="I11" s="612"/>
      <c r="J11" s="613">
        <f>+SUBTOTAL(9,J12:J22)</f>
        <v>128631.65142878229</v>
      </c>
      <c r="K11" s="614"/>
      <c r="L11" s="615"/>
      <c r="M11" s="615"/>
      <c r="N11" s="614"/>
      <c r="O11" s="615"/>
      <c r="P11" s="614"/>
      <c r="Q11" s="560"/>
      <c r="R11" s="560"/>
      <c r="S11" s="560"/>
    </row>
    <row r="12" spans="2:21" s="626" customFormat="1">
      <c r="B12" s="617" t="str">
        <f>IF(G12&lt;&gt;"",COUNTA($G12:G$12),"")</f>
        <v/>
      </c>
      <c r="C12" s="618"/>
      <c r="D12" s="618"/>
      <c r="E12" s="1672"/>
      <c r="F12" s="619"/>
      <c r="G12" s="620"/>
      <c r="H12" s="621"/>
      <c r="I12" s="622"/>
      <c r="J12" s="623"/>
      <c r="K12" s="624"/>
      <c r="L12" s="625"/>
      <c r="M12" s="625"/>
      <c r="N12" s="624"/>
      <c r="O12" s="625"/>
      <c r="P12" s="624"/>
      <c r="Q12" s="560"/>
      <c r="R12" s="560"/>
      <c r="S12" s="560"/>
    </row>
    <row r="13" spans="2:21" s="627" customFormat="1" ht="15.75" customHeight="1">
      <c r="B13" s="1670" t="str">
        <f>IF(G13&lt;&gt;"",COUNTA($G$12:G13),"")</f>
        <v/>
      </c>
      <c r="C13" s="694"/>
      <c r="D13" s="1096"/>
      <c r="E13" s="1673">
        <v>1</v>
      </c>
      <c r="F13" s="696" t="s">
        <v>4628</v>
      </c>
      <c r="G13" s="697"/>
      <c r="H13" s="698"/>
      <c r="I13" s="699"/>
      <c r="J13" s="700">
        <f>+SUBTOTAL(9,J14:J16)</f>
        <v>16799.977807010058</v>
      </c>
      <c r="K13" s="770">
        <f>+J13/$J$11</f>
        <v>0.13060531852311225</v>
      </c>
      <c r="L13" s="702">
        <f>+J13/usd/1000</f>
        <v>0.16462496626173501</v>
      </c>
      <c r="M13" s="702"/>
      <c r="N13" s="701"/>
      <c r="O13" s="702"/>
      <c r="P13" s="701"/>
      <c r="Q13" s="560"/>
      <c r="R13" s="560"/>
      <c r="S13" s="560"/>
      <c r="U13" s="628"/>
    </row>
    <row r="14" spans="2:21" s="626" customFormat="1">
      <c r="B14" s="1671">
        <f>IF(G14&lt;&gt;"",COUNTA($G$12:G14),"")</f>
        <v>1</v>
      </c>
      <c r="C14" s="680" t="s">
        <v>3669</v>
      </c>
      <c r="D14" s="681" t="s">
        <v>4696</v>
      </c>
      <c r="E14" s="1674" t="s">
        <v>4622</v>
      </c>
      <c r="F14" s="683" t="s">
        <v>4623</v>
      </c>
      <c r="G14" s="684" t="s">
        <v>4629</v>
      </c>
      <c r="H14" s="685">
        <v>1</v>
      </c>
      <c r="I14" s="686">
        <f>+SUMIF('AUX-NIV1'!B:B,Items!C14,'AUX-NIV1'!P:P)</f>
        <v>1939.9217107866893</v>
      </c>
      <c r="J14" s="687">
        <f t="shared" ref="J14:J16" si="1">+H14*I14</f>
        <v>1939.9217107866893</v>
      </c>
      <c r="K14" s="688">
        <f t="shared" ref="K14:K16" si="2">+J14/$J$11</f>
        <v>1.5081215931218445E-2</v>
      </c>
      <c r="L14" s="689"/>
      <c r="M14" s="689"/>
      <c r="N14" s="690">
        <f>Items!H14/SUMIF(Crono!E:E,Items!E14,Crono!L:L)/$N$4/$N$3</f>
        <v>7.9562586742026181E-3</v>
      </c>
      <c r="O14" s="689"/>
      <c r="P14" s="691">
        <f t="shared" ref="P14:P16" si="3">H14/(N14*$N$3*$N$4)</f>
        <v>1</v>
      </c>
      <c r="Q14" s="560"/>
      <c r="R14" s="560"/>
      <c r="S14" s="560"/>
    </row>
    <row r="15" spans="2:21" s="626" customFormat="1">
      <c r="B15" s="1671">
        <f>IF(G15&lt;&gt;"",COUNTA($G$12:G15),"")</f>
        <v>2</v>
      </c>
      <c r="C15" s="680" t="s">
        <v>4639</v>
      </c>
      <c r="D15" s="681" t="s">
        <v>4697</v>
      </c>
      <c r="E15" s="1674" t="s">
        <v>4624</v>
      </c>
      <c r="F15" s="683" t="s">
        <v>4625</v>
      </c>
      <c r="G15" s="684" t="s">
        <v>4629</v>
      </c>
      <c r="H15" s="685">
        <v>1</v>
      </c>
      <c r="I15" s="686">
        <f>+SUMIF('AUX-NIV1'!B:B,Items!C15,'AUX-NIV1'!P:P)</f>
        <v>10111.25082984959</v>
      </c>
      <c r="J15" s="687">
        <f t="shared" si="1"/>
        <v>10111.25082984959</v>
      </c>
      <c r="K15" s="688">
        <f t="shared" si="2"/>
        <v>7.8606242845663435E-2</v>
      </c>
      <c r="L15" s="689"/>
      <c r="M15" s="689"/>
      <c r="N15" s="690">
        <f>Items!H15/SUMIF(Crono!E:E,Items!E15,Crono!L:L)/$N$4/$N$3</f>
        <v>7.9562586742026181E-3</v>
      </c>
      <c r="O15" s="689"/>
      <c r="P15" s="691">
        <f t="shared" si="3"/>
        <v>1</v>
      </c>
      <c r="Q15" s="560"/>
      <c r="R15" s="560"/>
      <c r="S15" s="560"/>
    </row>
    <row r="16" spans="2:21" s="626" customFormat="1">
      <c r="B16" s="1671">
        <f>IF(G16&lt;&gt;"",COUNTA($G$12:G16),"")</f>
        <v>3</v>
      </c>
      <c r="C16" s="680" t="s">
        <v>3683</v>
      </c>
      <c r="D16" s="681" t="s">
        <v>4700</v>
      </c>
      <c r="E16" s="1674" t="s">
        <v>4626</v>
      </c>
      <c r="F16" s="683" t="s">
        <v>4627</v>
      </c>
      <c r="G16" s="684" t="s">
        <v>4629</v>
      </c>
      <c r="H16" s="685">
        <v>1</v>
      </c>
      <c r="I16" s="686">
        <f>+SUMIF('AUX-NIV1'!B:B,Items!C16,'AUX-NIV1'!P:P)</f>
        <v>4748.8052663737772</v>
      </c>
      <c r="J16" s="687">
        <f t="shared" si="1"/>
        <v>4748.8052663737772</v>
      </c>
      <c r="K16" s="688">
        <f t="shared" si="2"/>
        <v>3.691785974623036E-2</v>
      </c>
      <c r="L16" s="689"/>
      <c r="M16" s="689"/>
      <c r="N16" s="690">
        <f>Items!H16/SUMIF(Crono!E:E,Items!E16,Crono!L:L)/$N$4/$N$3</f>
        <v>7.9562586742026181E-3</v>
      </c>
      <c r="O16" s="689"/>
      <c r="P16" s="691">
        <f t="shared" si="3"/>
        <v>1</v>
      </c>
      <c r="Q16" s="560"/>
      <c r="R16" s="560"/>
      <c r="S16" s="560"/>
    </row>
    <row r="17" spans="2:19" s="626" customFormat="1" ht="15.75" customHeight="1">
      <c r="B17" s="1670" t="str">
        <f>IF(G17&lt;&gt;"",COUNTA($G$12:G17),"")</f>
        <v/>
      </c>
      <c r="C17" s="694"/>
      <c r="D17" s="1096"/>
      <c r="E17" s="1673">
        <v>2</v>
      </c>
      <c r="F17" s="696" t="s">
        <v>4548</v>
      </c>
      <c r="G17" s="697"/>
      <c r="H17" s="698"/>
      <c r="I17" s="699"/>
      <c r="J17" s="700">
        <f>+SUBTOTAL(9,J18)</f>
        <v>3773.5706650532102</v>
      </c>
      <c r="K17" s="770">
        <f>+J17/$J$11</f>
        <v>2.9336252960590115E-2</v>
      </c>
      <c r="L17" s="702">
        <f>+J17/usd/1000</f>
        <v>3.697766452771397E-2</v>
      </c>
      <c r="M17" s="702"/>
      <c r="N17" s="701">
        <f>Items!H17/SUMIF(Crono!E:E,Items!E17,Crono!L:L)/$N$4/$N$3</f>
        <v>0</v>
      </c>
      <c r="O17" s="702"/>
      <c r="P17" s="701" t="e">
        <f t="shared" ref="P17:P18" si="4">H17/(N17*$N$3*$N$4)</f>
        <v>#DIV/0!</v>
      </c>
      <c r="Q17" s="560"/>
      <c r="R17" s="560"/>
      <c r="S17" s="560"/>
    </row>
    <row r="18" spans="2:19" s="626" customFormat="1">
      <c r="B18" s="1671">
        <f>IF(G18&lt;&gt;"",COUNTA($G$12:G18),"")</f>
        <v>4</v>
      </c>
      <c r="C18" s="680" t="s">
        <v>3231</v>
      </c>
      <c r="D18" s="681" t="s">
        <v>4702</v>
      </c>
      <c r="E18" s="1674" t="s">
        <v>4630</v>
      </c>
      <c r="F18" s="683" t="s">
        <v>4631</v>
      </c>
      <c r="G18" s="684" t="s">
        <v>1160</v>
      </c>
      <c r="H18" s="685">
        <v>3.62</v>
      </c>
      <c r="I18" s="686">
        <f>+SUMIF('AUX-NIV1'!B:B,Items!C18,'AUX-NIV1'!P:P)</f>
        <v>1042.422835650058</v>
      </c>
      <c r="J18" s="687">
        <f t="shared" ref="J18" si="5">+H18*I18</f>
        <v>3773.5706650532102</v>
      </c>
      <c r="K18" s="688">
        <f t="shared" ref="K18" si="6">+J18/$J$11</f>
        <v>2.9336252960590115E-2</v>
      </c>
      <c r="L18" s="689"/>
      <c r="M18" s="689"/>
      <c r="N18" s="690">
        <f>Items!H18/SUMIF(Crono!E:E,Items!E18,Crono!L:L)/$N$4/$N$3</f>
        <v>2.8801656400613482E-2</v>
      </c>
      <c r="O18" s="689"/>
      <c r="P18" s="691">
        <f t="shared" si="4"/>
        <v>1</v>
      </c>
      <c r="Q18" s="560"/>
      <c r="R18" s="560"/>
      <c r="S18" s="560"/>
    </row>
    <row r="19" spans="2:19" s="626" customFormat="1" ht="15.75" customHeight="1">
      <c r="B19" s="1670" t="str">
        <f>IF(G19&lt;&gt;"",COUNTA($G$12:G19),"")</f>
        <v/>
      </c>
      <c r="C19" s="694"/>
      <c r="D19" s="1096"/>
      <c r="E19" s="1673">
        <v>3</v>
      </c>
      <c r="F19" s="696" t="s">
        <v>4632</v>
      </c>
      <c r="G19" s="697"/>
      <c r="H19" s="698"/>
      <c r="I19" s="699"/>
      <c r="J19" s="700">
        <f>+SUBTOTAL(9,J20:J21)</f>
        <v>108058.10295671903</v>
      </c>
      <c r="K19" s="770">
        <f>+J19/$J$11</f>
        <v>0.84005842851629764</v>
      </c>
      <c r="L19" s="702">
        <f>+J19/usd/1000</f>
        <v>1.0588741103059189</v>
      </c>
      <c r="M19" s="702"/>
      <c r="N19" s="701"/>
      <c r="O19" s="702"/>
      <c r="P19" s="701"/>
      <c r="Q19" s="560"/>
      <c r="R19" s="560"/>
      <c r="S19" s="560"/>
    </row>
    <row r="20" spans="2:19" s="626" customFormat="1">
      <c r="B20" s="1671">
        <f>IF(G20&lt;&gt;"",COUNTA($G$12:G20),"")</f>
        <v>5</v>
      </c>
      <c r="C20" s="680" t="s">
        <v>3697</v>
      </c>
      <c r="D20" s="681" t="s">
        <v>4705</v>
      </c>
      <c r="E20" s="1674" t="s">
        <v>4282</v>
      </c>
      <c r="F20" s="683" t="s">
        <v>4633</v>
      </c>
      <c r="G20" s="684" t="s">
        <v>1160</v>
      </c>
      <c r="H20" s="685">
        <v>7.61</v>
      </c>
      <c r="I20" s="686">
        <f>+SUMIF('AUX-NIV1'!B:B,Items!C20,'AUX-NIV1'!P:P)</f>
        <v>14084.506818268681</v>
      </c>
      <c r="J20" s="687">
        <f t="shared" ref="J20:J21" si="7">+H20*I20</f>
        <v>107183.09688702467</v>
      </c>
      <c r="K20" s="688">
        <f t="shared" ref="K20:K21" si="8">+J20/$J$11</f>
        <v>0.83325601200391375</v>
      </c>
      <c r="L20" s="689"/>
      <c r="M20" s="689"/>
      <c r="N20" s="690">
        <f>Items!H20/SUMIF(Crono!E:E,Items!E20,Crono!L:L)/$N$4/$N$3</f>
        <v>6.0547128510681926E-2</v>
      </c>
      <c r="O20" s="689"/>
      <c r="P20" s="691">
        <f>H20/(N20*$N$3*$N$4)</f>
        <v>1</v>
      </c>
      <c r="Q20" s="560"/>
      <c r="R20" s="560"/>
      <c r="S20" s="560"/>
    </row>
    <row r="21" spans="2:19" s="626" customFormat="1">
      <c r="B21" s="1671">
        <f>IF(G21&lt;&gt;"",COUNTA($G$12:G21),"")</f>
        <v>6</v>
      </c>
      <c r="C21" s="680" t="s">
        <v>52</v>
      </c>
      <c r="D21" s="681" t="s">
        <v>4704</v>
      </c>
      <c r="E21" s="1674" t="s">
        <v>4285</v>
      </c>
      <c r="F21" s="683" t="s">
        <v>4634</v>
      </c>
      <c r="G21" s="684" t="s">
        <v>1160</v>
      </c>
      <c r="H21" s="685">
        <v>0.24</v>
      </c>
      <c r="I21" s="686">
        <f>+SUMIF('AUX-NIV1'!B:B,Items!C21,'AUX-NIV1'!P:P)</f>
        <v>3645.8586237264703</v>
      </c>
      <c r="J21" s="687">
        <f t="shared" si="7"/>
        <v>875.00606969435285</v>
      </c>
      <c r="K21" s="688">
        <f t="shared" si="8"/>
        <v>6.8024165123838545E-3</v>
      </c>
      <c r="L21" s="689"/>
      <c r="M21" s="689"/>
      <c r="N21" s="690">
        <f>Items!H21/SUMIF(Crono!E:E,Items!E21,Crono!L:L)/$N$4/$N$3</f>
        <v>1.9095020818086284E-3</v>
      </c>
      <c r="O21" s="689"/>
      <c r="P21" s="691">
        <f>H21/(N21*$N$3*$N$4)</f>
        <v>1</v>
      </c>
      <c r="Q21" s="560"/>
      <c r="R21" s="560"/>
      <c r="S21" s="560"/>
    </row>
    <row r="22" spans="2:19" s="626" customFormat="1">
      <c r="B22" s="679"/>
      <c r="C22" s="680"/>
      <c r="D22" s="911"/>
      <c r="E22" s="682"/>
      <c r="F22" s="953"/>
      <c r="G22" s="684"/>
      <c r="H22" s="692"/>
      <c r="I22" s="686">
        <f>+SUMIF('AUX-NIV1'!B:B,Items!C22,'AUX-NIV1'!P:P)</f>
        <v>0</v>
      </c>
      <c r="J22" s="687">
        <f t="shared" ref="J22" si="9">+H22*I22</f>
        <v>0</v>
      </c>
      <c r="K22" s="688">
        <f>+J22/$J$11</f>
        <v>0</v>
      </c>
      <c r="L22" s="689"/>
      <c r="M22" s="689"/>
      <c r="N22" s="690"/>
      <c r="O22" s="689"/>
      <c r="P22" s="691"/>
      <c r="Q22" s="560"/>
      <c r="R22" s="560"/>
      <c r="S22" s="560"/>
    </row>
    <row r="23" spans="2:19" s="627" customFormat="1" ht="17.399999999999999">
      <c r="B23" s="629" t="str">
        <f>IF(G23&lt;&gt;"",COUNTA($G$12:G23),"")</f>
        <v/>
      </c>
      <c r="C23" s="634"/>
      <c r="D23" s="635"/>
      <c r="E23" s="636"/>
      <c r="F23" s="637" t="s">
        <v>517</v>
      </c>
      <c r="G23" s="638"/>
      <c r="H23" s="639"/>
      <c r="I23" s="640"/>
      <c r="J23" s="641">
        <f>SUBTOTAL(9,J13:J22)</f>
        <v>128631.65142878229</v>
      </c>
      <c r="K23" s="642">
        <f>+J23/J36</f>
        <v>0.3964782169837846</v>
      </c>
      <c r="L23" s="643">
        <f>+J23/usd/1000</f>
        <v>1.2604767410953679</v>
      </c>
      <c r="M23" s="643"/>
      <c r="N23" s="644"/>
      <c r="O23" s="643"/>
      <c r="P23" s="644"/>
      <c r="Q23" s="560"/>
      <c r="R23" s="560"/>
      <c r="S23" s="560"/>
    </row>
    <row r="24" spans="2:19">
      <c r="B24" s="629" t="str">
        <f>IF(G24&lt;&gt;"",COUNTA($G$12:G24),"")</f>
        <v/>
      </c>
      <c r="C24" s="645"/>
      <c r="D24" s="646"/>
      <c r="E24" s="647"/>
      <c r="F24" s="646"/>
      <c r="G24" s="646"/>
      <c r="H24" s="646"/>
      <c r="I24" s="646"/>
      <c r="J24" s="646"/>
      <c r="K24" s="648"/>
      <c r="L24" s="649"/>
      <c r="M24" s="649"/>
      <c r="N24" s="650"/>
      <c r="O24" s="649"/>
      <c r="P24" s="650"/>
    </row>
    <row r="25" spans="2:19" s="616" customFormat="1" ht="18">
      <c r="B25" s="629" t="str">
        <f>IF(G25&lt;&gt;"",COUNTA($G$12:G25),"")</f>
        <v/>
      </c>
      <c r="C25" s="651"/>
      <c r="D25" s="608"/>
      <c r="E25" s="652"/>
      <c r="F25" s="609" t="s">
        <v>1165</v>
      </c>
      <c r="G25" s="610"/>
      <c r="H25" s="611"/>
      <c r="I25" s="612"/>
      <c r="J25" s="613"/>
      <c r="K25" s="614"/>
      <c r="L25" s="615"/>
      <c r="M25" s="615"/>
      <c r="N25" s="614"/>
      <c r="O25" s="615"/>
      <c r="P25" s="614"/>
      <c r="Q25" s="560"/>
      <c r="R25" s="560"/>
      <c r="S25" s="560"/>
    </row>
    <row r="26" spans="2:19">
      <c r="B26" s="629" t="str">
        <f>IF(G26&lt;&gt;"",COUNTA($G$12:G26),"")</f>
        <v/>
      </c>
      <c r="C26" s="645"/>
      <c r="D26" s="646"/>
      <c r="E26" s="647"/>
      <c r="F26" s="653"/>
      <c r="G26" s="654"/>
      <c r="H26" s="655"/>
      <c r="I26" s="656"/>
      <c r="J26" s="657"/>
      <c r="K26" s="650"/>
      <c r="L26" s="649"/>
      <c r="M26" s="649"/>
      <c r="N26" s="650"/>
      <c r="O26" s="649"/>
      <c r="P26" s="650"/>
    </row>
    <row r="27" spans="2:19">
      <c r="B27" s="629">
        <f>IF(G27&lt;&gt;"",COUNTA($G$12:G27),"")</f>
        <v>7</v>
      </c>
      <c r="C27" s="711" t="s">
        <v>94</v>
      </c>
      <c r="D27" s="899" t="s">
        <v>1166</v>
      </c>
      <c r="E27" s="900"/>
      <c r="F27" s="901" t="s">
        <v>805</v>
      </c>
      <c r="G27" s="902" t="s">
        <v>1168</v>
      </c>
      <c r="H27" s="903">
        <f>+plaef</f>
        <v>2</v>
      </c>
      <c r="I27" s="686">
        <f>+SUMIF('AUX-NIV1'!B:B,Items!C27,'AUX-NIV1'!P:P)</f>
        <v>97901.978339700348</v>
      </c>
      <c r="J27" s="687">
        <f t="shared" ref="J27" si="10">+H27*I27</f>
        <v>195803.9566794007</v>
      </c>
      <c r="K27" s="904">
        <f>+J27/$J$29</f>
        <v>1</v>
      </c>
      <c r="L27" s="905"/>
      <c r="M27" s="905"/>
      <c r="N27" s="690">
        <f t="shared" ref="N27" si="11">H27/(12*30*10)</f>
        <v>5.5555555555555556E-4</v>
      </c>
      <c r="O27" s="689" t="str">
        <f t="shared" ref="O27" si="12">+G27&amp;"/hr"</f>
        <v>mes/hr</v>
      </c>
      <c r="P27" s="691">
        <f t="shared" ref="P27" si="13">H27/(N27*10*30)</f>
        <v>11.999999999999998</v>
      </c>
    </row>
    <row r="28" spans="2:19">
      <c r="B28" s="661" t="str">
        <f>IF(G28&lt;&gt;"",COUNTA($G$12:G28),"")</f>
        <v/>
      </c>
      <c r="C28" s="646"/>
      <c r="D28" s="646"/>
      <c r="E28" s="647"/>
      <c r="F28" s="653"/>
      <c r="G28" s="654"/>
      <c r="H28" s="655"/>
      <c r="I28" s="656"/>
      <c r="J28" s="657"/>
      <c r="K28" s="650"/>
      <c r="L28" s="649"/>
      <c r="M28" s="649"/>
      <c r="N28" s="650"/>
      <c r="O28" s="649"/>
      <c r="P28" s="650"/>
    </row>
    <row r="29" spans="2:19" s="627" customFormat="1" ht="17.399999999999999">
      <c r="B29" s="662" t="str">
        <f>IF(G29&lt;&gt;"",COUNTA($G$12:G29),"")</f>
        <v/>
      </c>
      <c r="C29" s="635"/>
      <c r="D29" s="635"/>
      <c r="E29" s="636"/>
      <c r="F29" s="637" t="s">
        <v>1180</v>
      </c>
      <c r="G29" s="917"/>
      <c r="H29" s="918"/>
      <c r="I29" s="640"/>
      <c r="J29" s="641">
        <f>+SUBTOTAL(9,J27:J27)</f>
        <v>195803.9566794007</v>
      </c>
      <c r="K29" s="663">
        <f>+J29/J36</f>
        <v>0.60352178301621529</v>
      </c>
      <c r="L29" s="643">
        <f>+J29/usd/1000</f>
        <v>1.9187060919098551</v>
      </c>
      <c r="M29" s="663">
        <f>+J29/po</f>
        <v>0.10822392621008524</v>
      </c>
      <c r="N29" s="644" t="s">
        <v>1355</v>
      </c>
      <c r="O29" s="643"/>
      <c r="P29" s="644"/>
      <c r="Q29" s="560"/>
      <c r="R29" s="560"/>
      <c r="S29" s="560"/>
    </row>
    <row r="30" spans="2:19">
      <c r="B30" s="661" t="str">
        <f>IF(G30&lt;&gt;"",COUNTA($G$12:G30),"")</f>
        <v/>
      </c>
      <c r="C30" s="646"/>
      <c r="D30" s="646"/>
      <c r="E30" s="647"/>
      <c r="F30" s="646"/>
      <c r="G30" s="646"/>
      <c r="H30" s="646"/>
      <c r="I30" s="646"/>
      <c r="J30" s="650"/>
      <c r="K30" s="650"/>
      <c r="L30" s="649"/>
      <c r="M30" s="649"/>
      <c r="N30" s="650"/>
      <c r="O30" s="649"/>
      <c r="P30" s="650"/>
    </row>
    <row r="31" spans="2:19">
      <c r="B31" s="661">
        <f>IF(G31&lt;&gt;"",COUNTA($G$12:G31),"")</f>
        <v>8</v>
      </c>
      <c r="C31" s="646"/>
      <c r="D31" s="646" t="s">
        <v>928</v>
      </c>
      <c r="E31" s="647"/>
      <c r="F31" s="653" t="s">
        <v>929</v>
      </c>
      <c r="G31" s="654" t="s">
        <v>623</v>
      </c>
      <c r="H31" s="655"/>
      <c r="I31" s="656"/>
      <c r="J31" s="664">
        <f>+Recursos!H1644</f>
        <v>0</v>
      </c>
      <c r="K31" s="650"/>
      <c r="L31" s="649"/>
      <c r="M31" s="649"/>
      <c r="N31" s="650"/>
      <c r="O31" s="649"/>
      <c r="P31" s="650"/>
    </row>
    <row r="32" spans="2:19">
      <c r="B32" s="661">
        <f>IF(G32&lt;&gt;"",COUNTA($G$12:G32),"")</f>
        <v>9</v>
      </c>
      <c r="C32" s="646"/>
      <c r="D32" s="646" t="s">
        <v>1181</v>
      </c>
      <c r="E32" s="647"/>
      <c r="F32" s="653" t="s">
        <v>1182</v>
      </c>
      <c r="G32" s="654" t="s">
        <v>623</v>
      </c>
      <c r="H32" s="660">
        <v>1</v>
      </c>
      <c r="I32" s="656"/>
      <c r="J32" s="665">
        <f>+Recursos!H1646</f>
        <v>0</v>
      </c>
      <c r="K32" s="650"/>
      <c r="L32" s="649"/>
      <c r="M32" s="649"/>
      <c r="N32" s="624">
        <f>H32/(12*30*10)</f>
        <v>2.7777777777777778E-4</v>
      </c>
      <c r="O32" s="625" t="str">
        <f>+G32&amp;"/hr"</f>
        <v>GL/hr</v>
      </c>
      <c r="P32" s="632">
        <f>H32/(N32*10*30)</f>
        <v>11.999999999999998</v>
      </c>
    </row>
    <row r="33" spans="2:19">
      <c r="B33" s="661" t="str">
        <f>IF(G33&lt;&gt;"",COUNTA($G$12:G33),"")</f>
        <v/>
      </c>
      <c r="C33" s="646"/>
      <c r="D33" s="646"/>
      <c r="E33" s="647"/>
      <c r="F33" s="653"/>
      <c r="G33" s="654"/>
      <c r="I33" s="656"/>
      <c r="J33" s="657"/>
      <c r="K33" s="650"/>
      <c r="L33" s="649"/>
      <c r="M33" s="649"/>
      <c r="N33" s="650"/>
      <c r="O33" s="649"/>
      <c r="P33" s="650"/>
    </row>
    <row r="34" spans="2:19" s="627" customFormat="1" ht="17.399999999999999">
      <c r="B34" s="662" t="str">
        <f>IF(G34&lt;&gt;"",COUNTA($G$12:G34),"")</f>
        <v/>
      </c>
      <c r="C34" s="635"/>
      <c r="D34" s="635"/>
      <c r="E34" s="636"/>
      <c r="F34" s="637" t="s">
        <v>1183</v>
      </c>
      <c r="G34" s="638"/>
      <c r="H34" s="639"/>
      <c r="I34" s="640"/>
      <c r="J34" s="641">
        <f>+SUBTOTAL(9,J31:J33)</f>
        <v>0</v>
      </c>
      <c r="K34" s="663">
        <f>+J34/J36</f>
        <v>0</v>
      </c>
      <c r="L34" s="643"/>
      <c r="M34" s="643"/>
      <c r="N34" s="644"/>
      <c r="O34" s="643"/>
      <c r="P34" s="644"/>
      <c r="Q34" s="560"/>
      <c r="R34" s="560"/>
      <c r="S34" s="560"/>
    </row>
    <row r="35" spans="2:19">
      <c r="B35" s="661" t="str">
        <f>IF(G35&lt;&gt;"",COUNTA($G$12:G35),"")</f>
        <v/>
      </c>
      <c r="C35" s="646"/>
      <c r="D35" s="646"/>
      <c r="E35" s="647"/>
      <c r="F35" s="653"/>
      <c r="G35" s="654"/>
      <c r="H35" s="655"/>
      <c r="I35" s="656"/>
      <c r="J35" s="657"/>
      <c r="K35" s="650"/>
      <c r="L35" s="649"/>
      <c r="M35" s="649"/>
      <c r="N35" s="650"/>
      <c r="O35" s="649"/>
      <c r="P35" s="650"/>
    </row>
    <row r="36" spans="2:19" s="627" customFormat="1" ht="17.399999999999999">
      <c r="B36" s="666" t="str">
        <f>IF(G36&lt;&gt;"",COUNTA($G$12:G36),"")</f>
        <v/>
      </c>
      <c r="C36" s="667"/>
      <c r="D36" s="667"/>
      <c r="E36" s="668"/>
      <c r="F36" s="669" t="s">
        <v>1184</v>
      </c>
      <c r="G36" s="670"/>
      <c r="H36" s="671"/>
      <c r="I36" s="672"/>
      <c r="J36" s="673">
        <f>+J23+J29+J34</f>
        <v>324435.60810818302</v>
      </c>
      <c r="K36" s="674"/>
      <c r="L36" s="675">
        <f>+J36/usd/1000</f>
        <v>3.179182833005223</v>
      </c>
      <c r="M36" s="675"/>
      <c r="N36" s="674"/>
      <c r="O36" s="675"/>
      <c r="P36" s="674"/>
      <c r="Q36" s="560"/>
      <c r="R36" s="560"/>
      <c r="S36" s="560"/>
    </row>
    <row r="37" spans="2:19">
      <c r="B37" s="661" t="str">
        <f>IF(G37&lt;&gt;"",COUNTA($G$12:G37),"")</f>
        <v/>
      </c>
      <c r="C37" s="646"/>
      <c r="D37" s="646"/>
      <c r="E37" s="647"/>
      <c r="F37" s="653"/>
      <c r="G37" s="654"/>
      <c r="H37" s="655"/>
      <c r="I37" s="656"/>
      <c r="J37" s="664"/>
      <c r="K37" s="650"/>
      <c r="L37" s="649"/>
      <c r="M37" s="649"/>
      <c r="N37" s="650"/>
      <c r="O37" s="649"/>
      <c r="P37" s="650"/>
    </row>
    <row r="38" spans="2:19">
      <c r="B38" s="661">
        <f>IF(G38&lt;&gt;"",COUNTA($G$12:G38),"")</f>
        <v>10</v>
      </c>
      <c r="C38" s="646"/>
      <c r="D38" s="646"/>
      <c r="E38" s="647"/>
      <c r="F38" s="653" t="s">
        <v>1235</v>
      </c>
      <c r="G38" s="676">
        <v>2.5000000000000001E-3</v>
      </c>
      <c r="H38" s="660"/>
      <c r="I38" s="656"/>
      <c r="J38" s="665">
        <f>+G38*$J$55</f>
        <v>1045.2178096268781</v>
      </c>
      <c r="K38" s="650"/>
      <c r="L38" s="649"/>
      <c r="M38" s="649"/>
      <c r="N38" s="650"/>
      <c r="O38" s="649"/>
      <c r="P38" s="650"/>
    </row>
    <row r="39" spans="2:19">
      <c r="B39" s="661">
        <f>IF(G39&lt;&gt;"",COUNTA($G$12:G39),"")</f>
        <v>11</v>
      </c>
      <c r="C39" s="646"/>
      <c r="D39" s="646"/>
      <c r="E39" s="647"/>
      <c r="F39" s="653" t="s">
        <v>1236</v>
      </c>
      <c r="G39" s="676">
        <v>2.5000000000000001E-3</v>
      </c>
      <c r="H39" s="655"/>
      <c r="I39" s="656"/>
      <c r="J39" s="665">
        <f t="shared" ref="J39:J51" si="14">+G39*$J$55</f>
        <v>1045.2178096268781</v>
      </c>
      <c r="K39" s="650"/>
      <c r="L39" s="649"/>
      <c r="M39" s="649"/>
      <c r="N39" s="650"/>
      <c r="O39" s="649"/>
      <c r="P39" s="650"/>
    </row>
    <row r="40" spans="2:19">
      <c r="B40" s="661">
        <f>IF(G40&lt;&gt;"",COUNTA($G$12:G40),"")</f>
        <v>12</v>
      </c>
      <c r="C40" s="646"/>
      <c r="D40" s="646"/>
      <c r="E40" s="647"/>
      <c r="F40" s="653" t="s">
        <v>1237</v>
      </c>
      <c r="G40" s="677">
        <v>5.0000000000000001E-3</v>
      </c>
      <c r="H40" s="655"/>
      <c r="I40" s="656"/>
      <c r="J40" s="665">
        <f t="shared" si="14"/>
        <v>2090.4356192537562</v>
      </c>
      <c r="K40" s="650"/>
      <c r="L40" s="649"/>
      <c r="M40" s="649"/>
      <c r="N40" s="650"/>
      <c r="O40" s="649"/>
      <c r="P40" s="650"/>
    </row>
    <row r="41" spans="2:19">
      <c r="B41" s="661">
        <f>IF(G41&lt;&gt;"",COUNTA($G$12:G41),"")</f>
        <v>13</v>
      </c>
      <c r="C41" s="646"/>
      <c r="D41" s="646"/>
      <c r="E41" s="647"/>
      <c r="F41" s="653" t="s">
        <v>1238</v>
      </c>
      <c r="G41" s="677">
        <v>0.01</v>
      </c>
      <c r="H41" s="655"/>
      <c r="I41" s="656"/>
      <c r="J41" s="665">
        <f t="shared" si="14"/>
        <v>4180.8712385075123</v>
      </c>
      <c r="K41" s="650"/>
      <c r="L41" s="649"/>
      <c r="M41" s="649"/>
      <c r="N41" s="650"/>
      <c r="O41" s="649"/>
      <c r="P41" s="650"/>
    </row>
    <row r="42" spans="2:19">
      <c r="B42" s="661">
        <f>IF(G42&lt;&gt;"",COUNTA($G$12:G42),"")</f>
        <v>14</v>
      </c>
      <c r="C42" s="646"/>
      <c r="D42" s="646"/>
      <c r="E42" s="647"/>
      <c r="F42" s="653" t="s">
        <v>1239</v>
      </c>
      <c r="G42" s="677">
        <v>2.4E-2</v>
      </c>
      <c r="H42" s="655"/>
      <c r="I42" s="656"/>
      <c r="J42" s="665">
        <f t="shared" si="14"/>
        <v>10034.090972418031</v>
      </c>
      <c r="K42" s="650"/>
      <c r="L42" s="649"/>
      <c r="M42" s="649"/>
      <c r="N42" s="650"/>
      <c r="O42" s="649"/>
      <c r="P42" s="650"/>
    </row>
    <row r="43" spans="2:19">
      <c r="B43" s="661">
        <f>IF(G43&lt;&gt;"",COUNTA($G$12:G43),"")</f>
        <v>15</v>
      </c>
      <c r="C43" s="646"/>
      <c r="D43" s="646"/>
      <c r="E43" s="647"/>
      <c r="F43" s="653" t="s">
        <v>1240</v>
      </c>
      <c r="G43" s="677">
        <v>0.01</v>
      </c>
      <c r="H43" s="655"/>
      <c r="I43" s="656"/>
      <c r="J43" s="665">
        <f t="shared" si="14"/>
        <v>4180.8712385075123</v>
      </c>
      <c r="K43" s="650"/>
      <c r="L43" s="649"/>
      <c r="M43" s="649"/>
      <c r="N43" s="650"/>
      <c r="O43" s="649"/>
      <c r="P43" s="650"/>
    </row>
    <row r="44" spans="2:19">
      <c r="B44" s="661" t="str">
        <f>IF(G44&lt;&gt;"",COUNTA($G$12:G44),"")</f>
        <v/>
      </c>
      <c r="C44" s="646"/>
      <c r="D44" s="646"/>
      <c r="E44" s="647"/>
      <c r="F44" s="653" t="s">
        <v>1241</v>
      </c>
      <c r="G44" s="677"/>
      <c r="H44" s="655"/>
      <c r="I44" s="656"/>
      <c r="J44" s="665">
        <f t="shared" si="14"/>
        <v>0</v>
      </c>
      <c r="K44" s="650"/>
      <c r="L44" s="649"/>
      <c r="M44" s="649"/>
      <c r="N44" s="650"/>
      <c r="O44" s="649"/>
      <c r="P44" s="650"/>
    </row>
    <row r="45" spans="2:19">
      <c r="B45" s="661" t="str">
        <f>IF(G45&lt;&gt;"",COUNTA($G$12:G45),"")</f>
        <v/>
      </c>
      <c r="C45" s="646"/>
      <c r="D45" s="646"/>
      <c r="E45" s="647"/>
      <c r="F45" s="653" t="s">
        <v>1242</v>
      </c>
      <c r="G45" s="677"/>
      <c r="H45" s="655"/>
      <c r="I45" s="656"/>
      <c r="J45" s="665">
        <f t="shared" si="14"/>
        <v>0</v>
      </c>
      <c r="K45" s="650"/>
      <c r="L45" s="649"/>
      <c r="M45" s="649"/>
      <c r="N45" s="650"/>
      <c r="O45" s="649"/>
      <c r="P45" s="650"/>
    </row>
    <row r="46" spans="2:19">
      <c r="B46" s="661" t="str">
        <f>IF(G46&lt;&gt;"",COUNTA($G$12:G46),"")</f>
        <v/>
      </c>
      <c r="C46" s="646"/>
      <c r="D46" s="646"/>
      <c r="E46" s="647"/>
      <c r="F46" s="653" t="s">
        <v>1243</v>
      </c>
      <c r="G46" s="677"/>
      <c r="H46" s="660"/>
      <c r="I46" s="656"/>
      <c r="J46" s="665">
        <f t="shared" si="14"/>
        <v>0</v>
      </c>
      <c r="K46" s="650"/>
      <c r="L46" s="649"/>
      <c r="M46" s="649"/>
      <c r="N46" s="650"/>
      <c r="O46" s="649"/>
      <c r="P46" s="650"/>
    </row>
    <row r="47" spans="2:19">
      <c r="B47" s="661" t="str">
        <f>IF(G47&lt;&gt;"",COUNTA($G$12:G47),"")</f>
        <v/>
      </c>
      <c r="C47" s="646"/>
      <c r="D47" s="646"/>
      <c r="E47" s="647"/>
      <c r="F47" s="653" t="s">
        <v>1244</v>
      </c>
      <c r="G47" s="677"/>
      <c r="H47" s="655"/>
      <c r="I47" s="656"/>
      <c r="J47" s="665">
        <f t="shared" si="14"/>
        <v>0</v>
      </c>
      <c r="K47" s="650"/>
      <c r="L47" s="649"/>
      <c r="M47" s="649"/>
      <c r="N47" s="650"/>
      <c r="O47" s="649"/>
      <c r="P47" s="650"/>
    </row>
    <row r="48" spans="2:19">
      <c r="B48" s="661">
        <f>IF(G48&lt;&gt;"",COUNTA($G$12:G48),"")</f>
        <v>16</v>
      </c>
      <c r="C48" s="646"/>
      <c r="D48" s="646"/>
      <c r="E48" s="647"/>
      <c r="F48" s="653" t="s">
        <v>1245</v>
      </c>
      <c r="G48" s="677">
        <v>0.01</v>
      </c>
      <c r="H48" s="655"/>
      <c r="I48" s="656"/>
      <c r="J48" s="665">
        <f t="shared" si="14"/>
        <v>4180.8712385075123</v>
      </c>
      <c r="K48" s="650"/>
      <c r="L48" s="649"/>
      <c r="M48" s="649" t="str">
        <f>"Anticipo "&amp;Precio!G67*100&amp;"%"</f>
        <v>Anticipo 15%</v>
      </c>
      <c r="N48" s="650"/>
      <c r="O48" s="649"/>
      <c r="P48" s="650"/>
    </row>
    <row r="49" spans="2:19">
      <c r="B49" s="661">
        <f>IF(G49&lt;&gt;"",COUNTA($G$12:G49),"")</f>
        <v>17</v>
      </c>
      <c r="C49" s="646"/>
      <c r="D49" s="646"/>
      <c r="E49" s="647"/>
      <c r="F49" s="653" t="s">
        <v>1246</v>
      </c>
      <c r="G49" s="677">
        <v>0.02</v>
      </c>
      <c r="H49" s="660"/>
      <c r="I49" s="656"/>
      <c r="J49" s="665">
        <f t="shared" si="14"/>
        <v>8361.7424770150246</v>
      </c>
      <c r="K49" s="650"/>
      <c r="L49" s="649"/>
      <c r="M49" s="649"/>
      <c r="N49" s="650"/>
      <c r="O49" s="649"/>
      <c r="P49" s="650"/>
    </row>
    <row r="50" spans="2:19">
      <c r="B50" s="661">
        <f>IF(G50&lt;&gt;"",COUNTA($G$12:G50),"")</f>
        <v>18</v>
      </c>
      <c r="C50" s="646"/>
      <c r="D50" s="646"/>
      <c r="E50" s="647"/>
      <c r="F50" s="653" t="s">
        <v>1135</v>
      </c>
      <c r="G50" s="677">
        <v>0.04</v>
      </c>
      <c r="H50" s="655"/>
      <c r="I50" s="656"/>
      <c r="J50" s="665">
        <f t="shared" si="14"/>
        <v>16723.484954030049</v>
      </c>
      <c r="K50" s="650"/>
      <c r="L50" s="649"/>
      <c r="M50" s="649"/>
      <c r="N50" s="650"/>
      <c r="O50" s="649"/>
      <c r="P50" s="650"/>
    </row>
    <row r="51" spans="2:19">
      <c r="B51" s="661">
        <f>IF(G51&lt;&gt;"",COUNTA($G$12:G51),"")</f>
        <v>19</v>
      </c>
      <c r="C51" s="646"/>
      <c r="D51" s="646"/>
      <c r="E51" s="647"/>
      <c r="F51" s="653" t="s">
        <v>1137</v>
      </c>
      <c r="G51" s="1158">
        <v>0.1</v>
      </c>
      <c r="H51" s="655"/>
      <c r="I51" s="656"/>
      <c r="J51" s="665">
        <f t="shared" si="14"/>
        <v>41808.71238507513</v>
      </c>
      <c r="K51" s="650"/>
      <c r="L51" s="649"/>
      <c r="M51" s="649"/>
      <c r="N51" s="650"/>
      <c r="O51" s="649"/>
      <c r="P51" s="650"/>
    </row>
    <row r="52" spans="2:19">
      <c r="B52" s="661" t="str">
        <f>IF(G52&lt;&gt;"",COUNTA($G$12:G52),"")</f>
        <v/>
      </c>
      <c r="C52" s="646"/>
      <c r="D52" s="646"/>
      <c r="E52" s="647"/>
      <c r="F52" s="653"/>
      <c r="G52" s="654"/>
      <c r="H52" s="660"/>
      <c r="I52" s="656"/>
      <c r="J52" s="665"/>
      <c r="K52" s="650"/>
      <c r="L52" s="649"/>
      <c r="M52" s="649"/>
      <c r="N52" s="650"/>
      <c r="O52" s="649"/>
      <c r="P52" s="650"/>
    </row>
    <row r="53" spans="2:19" s="627" customFormat="1" ht="17.399999999999999">
      <c r="B53" s="662"/>
      <c r="C53" s="635"/>
      <c r="D53" s="635"/>
      <c r="E53" s="636"/>
      <c r="F53" s="637" t="s">
        <v>1134</v>
      </c>
      <c r="G53" s="908">
        <f>+SUM(G38:G51)</f>
        <v>0.224</v>
      </c>
      <c r="H53" s="639"/>
      <c r="I53" s="640"/>
      <c r="J53" s="641">
        <f>+SUM(J38:J51)</f>
        <v>93651.515742568285</v>
      </c>
      <c r="K53" s="663"/>
      <c r="L53" s="643"/>
      <c r="M53" s="643"/>
      <c r="N53" s="644"/>
      <c r="O53" s="643"/>
      <c r="P53" s="644"/>
      <c r="Q53" s="560"/>
      <c r="R53" s="560"/>
      <c r="S53" s="560"/>
    </row>
    <row r="54" spans="2:19">
      <c r="B54" s="661"/>
      <c r="C54" s="646"/>
      <c r="D54" s="646"/>
      <c r="E54" s="647"/>
      <c r="F54" s="653" t="s">
        <v>1247</v>
      </c>
      <c r="G54" s="1630">
        <f>1/(1-G53)</f>
        <v>1.2886597938144329</v>
      </c>
      <c r="H54" s="655"/>
      <c r="I54" s="656"/>
      <c r="J54" s="664"/>
      <c r="K54" s="650"/>
      <c r="L54" s="649"/>
      <c r="M54" s="649"/>
      <c r="N54" s="650"/>
      <c r="O54" s="649"/>
      <c r="P54" s="650"/>
    </row>
    <row r="55" spans="2:19" s="627" customFormat="1" ht="17.399999999999999">
      <c r="B55" s="666" t="str">
        <f>IF(G55&lt;&gt;"",COUNTA($G$17:G55),"")</f>
        <v/>
      </c>
      <c r="C55" s="667"/>
      <c r="D55" s="667"/>
      <c r="E55" s="668"/>
      <c r="F55" s="669" t="s">
        <v>3211</v>
      </c>
      <c r="G55" s="670"/>
      <c r="H55" s="671"/>
      <c r="I55" s="672"/>
      <c r="J55" s="673">
        <f>+G54*J36</f>
        <v>418087.12385075126</v>
      </c>
      <c r="K55" s="674"/>
      <c r="L55" s="921">
        <f>J55/J23</f>
        <v>3.2502663163135068</v>
      </c>
      <c r="M55" s="675"/>
      <c r="N55" s="674"/>
      <c r="O55" s="675"/>
      <c r="P55" s="674"/>
      <c r="Q55" s="560"/>
      <c r="R55" s="560"/>
      <c r="S55" s="560"/>
    </row>
    <row r="56" spans="2:19" s="627" customFormat="1" ht="17.399999999999999">
      <c r="B56" s="666" t="str">
        <f>IF(G56&lt;&gt;"",COUNTA($G$17:G56),"")</f>
        <v/>
      </c>
      <c r="C56" s="667"/>
      <c r="D56" s="667"/>
      <c r="E56" s="668"/>
      <c r="F56" s="669" t="s">
        <v>3212</v>
      </c>
      <c r="G56" s="670"/>
      <c r="H56" s="671"/>
      <c r="I56" s="672"/>
      <c r="J56" s="673">
        <f>J55*1.21</f>
        <v>505885.41985940898</v>
      </c>
      <c r="K56" s="674"/>
      <c r="L56" s="921">
        <f>J56/J23</f>
        <v>3.9328222427393431</v>
      </c>
      <c r="M56" s="675"/>
      <c r="N56" s="674"/>
      <c r="O56" s="675"/>
      <c r="P56" s="674"/>
      <c r="Q56" s="560"/>
      <c r="R56" s="560"/>
      <c r="S56" s="560"/>
    </row>
    <row r="57" spans="2:19"/>
    <row r="58" spans="2:19">
      <c r="J58" s="1628"/>
    </row>
    <row r="59" spans="2:19"/>
    <row r="60" spans="2:19"/>
    <row r="61" spans="2:19">
      <c r="I61" s="1651" t="s">
        <v>4508</v>
      </c>
      <c r="J61" s="1629">
        <f>po</f>
        <v>1809248.32</v>
      </c>
      <c r="K61" s="1652">
        <f>J56/J61-1</f>
        <v>-0.72038917252695911</v>
      </c>
    </row>
    <row r="62" spans="2:19">
      <c r="I62" s="558" t="s">
        <v>4618</v>
      </c>
      <c r="J62" s="1650"/>
    </row>
    <row r="63" spans="2:19"/>
    <row r="64" spans="2:19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</sheetData>
  <autoFilter ref="B11:P56"/>
  <mergeCells count="15">
    <mergeCell ref="P7:P8"/>
    <mergeCell ref="N7:N8"/>
    <mergeCell ref="O7:O8"/>
    <mergeCell ref="B7:B8"/>
    <mergeCell ref="I7:I8"/>
    <mergeCell ref="J7:J8"/>
    <mergeCell ref="M7:M8"/>
    <mergeCell ref="L7:L8"/>
    <mergeCell ref="K7:K8"/>
    <mergeCell ref="C7:C8"/>
    <mergeCell ref="F7:F8"/>
    <mergeCell ref="G7:G8"/>
    <mergeCell ref="H7:H8"/>
    <mergeCell ref="D7:D8"/>
    <mergeCell ref="E7:E8"/>
  </mergeCells>
  <phoneticPr fontId="0" type="noConversion"/>
  <conditionalFormatting sqref="I54:P54 I26:K26 J30 I31:J33 L24:P24 N26:P26 I35:P35 I37:P52 I28:P28 L26:M27 K30:M33 N30:P31 N33:P33">
    <cfRule type="expression" dxfId="29" priority="197" stopIfTrue="1">
      <formula>dólar=1</formula>
    </cfRule>
    <cfRule type="expression" dxfId="28" priority="198" stopIfTrue="1">
      <formula>dólar&lt;&gt;1</formula>
    </cfRule>
  </conditionalFormatting>
  <conditionalFormatting sqref="K27 K13">
    <cfRule type="cellIs" dxfId="27" priority="199" stopIfTrue="1" operator="greaterThan">
      <formula>1</formula>
    </cfRule>
  </conditionalFormatting>
  <conditionalFormatting sqref="K21">
    <cfRule type="cellIs" dxfId="26" priority="173" stopIfTrue="1" operator="greaterThan">
      <formula>1</formula>
    </cfRule>
  </conditionalFormatting>
  <conditionalFormatting sqref="K20">
    <cfRule type="cellIs" dxfId="25" priority="175" stopIfTrue="1" operator="greaterThan">
      <formula>1</formula>
    </cfRule>
  </conditionalFormatting>
  <conditionalFormatting sqref="K22">
    <cfRule type="cellIs" dxfId="24" priority="126" stopIfTrue="1" operator="greaterThan">
      <formula>1</formula>
    </cfRule>
  </conditionalFormatting>
  <conditionalFormatting sqref="K17">
    <cfRule type="cellIs" dxfId="23" priority="51" stopIfTrue="1" operator="greaterThan">
      <formula>1</formula>
    </cfRule>
  </conditionalFormatting>
  <conditionalFormatting sqref="K19">
    <cfRule type="cellIs" dxfId="22" priority="50" stopIfTrue="1" operator="greaterThan">
      <formula>1</formula>
    </cfRule>
  </conditionalFormatting>
  <conditionalFormatting sqref="K18">
    <cfRule type="cellIs" dxfId="21" priority="18" stopIfTrue="1" operator="greaterThan">
      <formula>1</formula>
    </cfRule>
  </conditionalFormatting>
  <conditionalFormatting sqref="K14:K16">
    <cfRule type="cellIs" dxfId="20" priority="19" stopIfTrue="1" operator="greaterThan">
      <formula>1</formula>
    </cfRule>
  </conditionalFormatting>
  <printOptions horizontalCentered="1"/>
  <pageMargins left="0.55118110236220474" right="0.43307086614173229" top="0.43307086614173229" bottom="0.47244094488188981" header="0.23622047244094491" footer="0.23622047244094491"/>
  <pageSetup paperSize="9" scale="56" fitToHeight="0" orientation="landscape" r:id="rId1"/>
  <headerFooter alignWithMargins="0">
    <oddFooter>&amp;CPage &amp;P of &amp;N&amp;R&amp;D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Resumen!$B$10:$B$45</xm:f>
          </x14:formula1>
          <xm:sqref>D13 D17 D19 D22:D54</xm:sqref>
        </x14:dataValidation>
        <x14:dataValidation type="list" allowBlank="1" showInputMessage="1" showErrorMessage="1">
          <x14:formula1>
            <xm:f>Resumen!$B$10:$B$23</xm:f>
          </x14:formula1>
          <xm:sqref>D14:D16 D18 D20:D21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 filterMode="1"/>
  <dimension ref="B1:AV1087"/>
  <sheetViews>
    <sheetView zoomScale="70" zoomScaleNormal="70" workbookViewId="0">
      <pane xSplit="7" ySplit="6" topLeftCell="H29" activePane="bottomRight" state="frozen"/>
      <selection sqref="A1:XFD1048576"/>
      <selection pane="topRight" sqref="A1:XFD1048576"/>
      <selection pane="bottomLeft" sqref="A1:XFD1048576"/>
      <selection pane="bottomRight" activeCell="N241" sqref="N241"/>
    </sheetView>
  </sheetViews>
  <sheetFormatPr baseColWidth="10" defaultColWidth="9.109375" defaultRowHeight="13.2"/>
  <cols>
    <col min="1" max="1" width="0.88671875" style="345" customWidth="1"/>
    <col min="2" max="2" width="14.44140625" style="345" customWidth="1"/>
    <col min="3" max="3" width="36" style="345" customWidth="1"/>
    <col min="4" max="4" width="6" style="345" customWidth="1"/>
    <col min="5" max="5" width="10" style="345" customWidth="1"/>
    <col min="6" max="6" width="12.88671875" style="345" bestFit="1" customWidth="1"/>
    <col min="7" max="7" width="13.44140625" style="345" customWidth="1"/>
    <col min="8" max="8" width="9.109375" style="345"/>
    <col min="9" max="9" width="11.6640625" style="345" customWidth="1"/>
    <col min="10" max="10" width="42.44140625" style="345" customWidth="1"/>
    <col min="11" max="11" width="9.109375" style="345"/>
    <col min="12" max="12" width="13.5546875" style="345" customWidth="1"/>
    <col min="13" max="13" width="10.33203125" style="345" bestFit="1" customWidth="1"/>
    <col min="14" max="14" width="12.33203125" style="345" bestFit="1" customWidth="1"/>
    <col min="15" max="15" width="11.44140625" style="345" customWidth="1"/>
    <col min="16" max="16" width="11.5546875" style="345" customWidth="1"/>
    <col min="17" max="17" width="11.109375" style="345" customWidth="1"/>
    <col min="18" max="18" width="12.6640625" style="345" customWidth="1"/>
    <col min="19" max="23" width="9.109375" style="345"/>
    <col min="24" max="24" width="9.33203125" style="345" bestFit="1" customWidth="1"/>
    <col min="25" max="41" width="9.109375" style="345"/>
    <col min="42" max="42" width="1.33203125" style="345" customWidth="1"/>
    <col min="43" max="43" width="10" style="345" customWidth="1"/>
    <col min="44" max="45" width="13.88671875" style="345" bestFit="1" customWidth="1"/>
    <col min="46" max="47" width="12.6640625" style="345" bestFit="1" customWidth="1"/>
    <col min="48" max="48" width="9.6640625" style="345" bestFit="1" customWidth="1"/>
    <col min="49" max="16384" width="9.109375" style="345"/>
  </cols>
  <sheetData>
    <row r="1" spans="2:48" customFormat="1" ht="3.75" customHeight="1">
      <c r="I1" t="s">
        <v>2978</v>
      </c>
    </row>
    <row r="2" spans="2:48" customFormat="1" ht="15" customHeight="1">
      <c r="B2" s="82" t="s">
        <v>1224</v>
      </c>
      <c r="D2" s="306">
        <f>+COUNTA(B:B)-3</f>
        <v>1080</v>
      </c>
    </row>
    <row r="3" spans="2:48" customFormat="1" ht="15" customHeight="1">
      <c r="AQ3" s="397">
        <v>18</v>
      </c>
      <c r="AR3" s="397">
        <v>19</v>
      </c>
      <c r="AS3" s="397">
        <v>20</v>
      </c>
      <c r="AT3" s="397">
        <v>21</v>
      </c>
      <c r="AU3" s="397">
        <v>22</v>
      </c>
      <c r="AV3" s="397">
        <v>23</v>
      </c>
    </row>
    <row r="4" spans="2:48" customFormat="1" ht="15" customHeight="1" thickBot="1">
      <c r="D4" s="747"/>
      <c r="AQ4" s="397" t="s">
        <v>1139</v>
      </c>
      <c r="AR4" s="397" t="s">
        <v>1140</v>
      </c>
      <c r="AS4" s="397" t="s">
        <v>462</v>
      </c>
      <c r="AT4" s="397" t="s">
        <v>1141</v>
      </c>
      <c r="AU4" s="397" t="s">
        <v>1142</v>
      </c>
    </row>
    <row r="5" spans="2:48" customFormat="1" ht="33.75" customHeight="1" thickTop="1" thickBot="1">
      <c r="B5" s="299" t="s">
        <v>206</v>
      </c>
      <c r="C5" s="300"/>
      <c r="D5" s="300"/>
      <c r="E5" s="300"/>
      <c r="F5" s="300"/>
      <c r="G5" s="301"/>
      <c r="H5" s="237" t="s">
        <v>1218</v>
      </c>
      <c r="I5" s="238"/>
      <c r="J5" s="238"/>
      <c r="K5" s="238"/>
      <c r="L5" s="239"/>
      <c r="M5" s="240" t="s">
        <v>1219</v>
      </c>
      <c r="N5" s="240"/>
      <c r="O5" s="240"/>
      <c r="P5" s="240"/>
      <c r="Q5" s="240"/>
      <c r="R5" s="241"/>
      <c r="S5" s="240" t="s">
        <v>1225</v>
      </c>
      <c r="T5" s="240"/>
      <c r="U5" s="240"/>
      <c r="V5" s="240"/>
      <c r="W5" s="240"/>
      <c r="X5" s="240"/>
      <c r="Z5" s="244" t="s">
        <v>1248</v>
      </c>
      <c r="AA5" s="243"/>
      <c r="AB5" s="243"/>
      <c r="AC5" s="243"/>
      <c r="AD5" s="243"/>
      <c r="AE5" s="243"/>
      <c r="AF5" s="243"/>
      <c r="AG5" s="243"/>
      <c r="AH5" s="243"/>
      <c r="AI5" s="243"/>
      <c r="AK5" s="303" t="s">
        <v>1161</v>
      </c>
      <c r="AL5" s="303"/>
      <c r="AM5" s="303"/>
      <c r="AN5" s="303"/>
      <c r="AO5" s="303"/>
    </row>
    <row r="6" spans="2:48" customFormat="1" ht="33.75" customHeight="1" thickTop="1" thickBot="1">
      <c r="B6" s="234" t="s">
        <v>1206</v>
      </c>
      <c r="C6" s="235" t="s">
        <v>1211</v>
      </c>
      <c r="D6" s="235" t="s">
        <v>610</v>
      </c>
      <c r="E6" s="235" t="s">
        <v>1212</v>
      </c>
      <c r="F6" s="235" t="s">
        <v>372</v>
      </c>
      <c r="G6" s="236" t="s">
        <v>325</v>
      </c>
      <c r="H6" s="230" t="s">
        <v>1214</v>
      </c>
      <c r="I6" s="230" t="s">
        <v>1213</v>
      </c>
      <c r="J6" s="231" t="s">
        <v>1215</v>
      </c>
      <c r="K6" s="231" t="s">
        <v>1216</v>
      </c>
      <c r="L6" s="231" t="s">
        <v>1209</v>
      </c>
      <c r="M6" s="232" t="s">
        <v>1220</v>
      </c>
      <c r="N6" s="232" t="s">
        <v>1210</v>
      </c>
      <c r="O6" s="232" t="s">
        <v>1217</v>
      </c>
      <c r="P6" s="232" t="s">
        <v>1221</v>
      </c>
      <c r="Q6" s="232" t="s">
        <v>1222</v>
      </c>
      <c r="R6" s="233" t="s">
        <v>1223</v>
      </c>
      <c r="S6" s="232" t="s">
        <v>1226</v>
      </c>
      <c r="T6" s="232" t="s">
        <v>1227</v>
      </c>
      <c r="U6" s="232" t="s">
        <v>1228</v>
      </c>
      <c r="V6" s="232" t="s">
        <v>1229</v>
      </c>
      <c r="W6" s="232" t="s">
        <v>1230</v>
      </c>
      <c r="X6" s="232" t="s">
        <v>1231</v>
      </c>
      <c r="Z6" s="242" t="s">
        <v>1226</v>
      </c>
      <c r="AA6" s="242" t="s">
        <v>1227</v>
      </c>
      <c r="AB6" s="242" t="s">
        <v>1228</v>
      </c>
      <c r="AC6" s="242" t="s">
        <v>1229</v>
      </c>
      <c r="AD6" s="242" t="s">
        <v>1230</v>
      </c>
      <c r="AE6" s="242" t="s">
        <v>1231</v>
      </c>
      <c r="AF6" s="242" t="s">
        <v>1249</v>
      </c>
      <c r="AG6" s="242" t="s">
        <v>1250</v>
      </c>
      <c r="AH6" s="242" t="s">
        <v>204</v>
      </c>
      <c r="AI6" s="242" t="s">
        <v>24</v>
      </c>
      <c r="AK6" s="302" t="s">
        <v>1162</v>
      </c>
      <c r="AL6" s="302" t="s">
        <v>1163</v>
      </c>
      <c r="AM6" s="302" t="s">
        <v>1043</v>
      </c>
      <c r="AN6" s="379" t="s">
        <v>1333</v>
      </c>
      <c r="AO6" s="379" t="s">
        <v>1334</v>
      </c>
      <c r="AQ6" s="398" t="s">
        <v>1226</v>
      </c>
      <c r="AR6" s="398" t="s">
        <v>1227</v>
      </c>
      <c r="AS6" s="398" t="s">
        <v>1228</v>
      </c>
      <c r="AT6" s="398" t="s">
        <v>1229</v>
      </c>
      <c r="AU6" s="398" t="s">
        <v>1230</v>
      </c>
      <c r="AV6" s="398" t="s">
        <v>1144</v>
      </c>
    </row>
    <row r="7" spans="2:48" ht="13.8" hidden="1" thickTop="1">
      <c r="B7" s="307" t="s">
        <v>49</v>
      </c>
      <c r="C7" s="308" t="s">
        <v>577</v>
      </c>
      <c r="D7" s="309" t="s">
        <v>447</v>
      </c>
      <c r="E7" s="338">
        <f>IF(B7&lt;&gt;"",+SUMIF(Items!C:C,'AUX-NIV1'!B7,Items!H:H),"")</f>
        <v>0</v>
      </c>
      <c r="F7" s="338">
        <f t="shared" ref="F7:F70" si="0">IF(B7&lt;&gt;"",+SUMIF(B:B,B7,P:P),"")</f>
        <v>2060.9804289557105</v>
      </c>
      <c r="G7" s="338">
        <f t="shared" ref="G7:G70" si="1">IF(B7&lt;&gt;"",+SUMIF(B:B,B7,R:R),"")</f>
        <v>0</v>
      </c>
      <c r="H7" s="1394" t="str">
        <f>IF(B7&lt;&gt;"",+LEFT(I7,1),"")</f>
        <v>X</v>
      </c>
      <c r="I7" s="308" t="s">
        <v>1253</v>
      </c>
      <c r="J7" s="339" t="str">
        <f>IF(B7&lt;&gt;"",+VLOOKUP(I7,Recursos!C:F,2,FALSE),"")</f>
        <v>Obt-Transp. de Agua p/Hormigones</v>
      </c>
      <c r="K7" s="340" t="str">
        <f>IF(B7&lt;&gt;"",+VLOOKUP(I7,Recursos!C:F,3,FALSE),"")</f>
        <v>m3</v>
      </c>
      <c r="L7" s="338">
        <f>IF(B7&lt;&gt;"",+VLOOKUP(I7,Recursos!C:F,4,FALSE),"")</f>
        <v>352.16492140392978</v>
      </c>
      <c r="M7" s="314">
        <v>0.15</v>
      </c>
      <c r="N7" s="314">
        <v>1.1000000000000001</v>
      </c>
      <c r="O7" s="361">
        <f>+M7*N7</f>
        <v>0.16500000000000001</v>
      </c>
      <c r="P7" s="341">
        <f>IF(B7&lt;&gt;"",O7*L7,"")</f>
        <v>58.107212031648416</v>
      </c>
      <c r="Q7" s="338">
        <f>IF(B7&lt;&gt;"",+O7*E7,"")</f>
        <v>0</v>
      </c>
      <c r="R7" s="342">
        <f>IF(B7&lt;&gt;"",Q7*L7,"")</f>
        <v>0</v>
      </c>
      <c r="S7" s="343">
        <f t="shared" ref="S7:S70" si="2">IF(B7&lt;&gt;"",+SUMIF($AF:$AF,Z7,$P:$P),"")</f>
        <v>0</v>
      </c>
      <c r="T7" s="343">
        <f t="shared" ref="T7:T70" si="3">IF(B7&lt;&gt;"",+SUMIF($AF:$AF,AA7,$P:$P),"")</f>
        <v>0</v>
      </c>
      <c r="U7" s="344">
        <f t="shared" ref="U7:U70" si="4">IF(B7&lt;&gt;"",+SUMIF($AF:$AF,AB7,$P:$P),"")</f>
        <v>0</v>
      </c>
      <c r="V7" s="344">
        <f t="shared" ref="V7:V70" si="5">IF(B7&lt;&gt;"",+SUMIF($AF:$AF,AC7,$P:$P),"")</f>
        <v>0</v>
      </c>
      <c r="W7" s="344">
        <f t="shared" ref="W7:W70" si="6">IF(B7&lt;&gt;"",+SUMIF($AF:$AF,AD7,$P:$P),"")</f>
        <v>190</v>
      </c>
      <c r="X7" s="344">
        <f t="shared" ref="X7:X70" si="7">IF(B7&lt;&gt;"",+SUMIF($AF:$AF,AE7,$P:$P),"")</f>
        <v>1870.9804289557105</v>
      </c>
      <c r="Y7" s="396"/>
      <c r="Z7" s="346" t="str">
        <f>IF(B7&lt;&gt;"",+$B7&amp;"A","")</f>
        <v>0-HORMH21A</v>
      </c>
      <c r="AA7" s="346" t="str">
        <f>IF(B7&lt;&gt;"",+$B7&amp;"E","")</f>
        <v>0-HORMH21E</v>
      </c>
      <c r="AB7" s="346" t="str">
        <f>IF(B7&lt;&gt;"",++$B7&amp;"M","")</f>
        <v>0-HORMH21M</v>
      </c>
      <c r="AC7" s="346" t="str">
        <f>IF(B7&lt;&gt;"",+$B7&amp;"T","")</f>
        <v>0-HORMH21T</v>
      </c>
      <c r="AD7" s="346" t="str">
        <f>IF(B7&lt;&gt;"",+$B7&amp;"S","")</f>
        <v>0-HORMH21S</v>
      </c>
      <c r="AE7" s="346" t="str">
        <f>IF(B7&lt;&gt;"",+$B7&amp;"X","")</f>
        <v>0-HORMH21X</v>
      </c>
      <c r="AF7" s="346" t="str">
        <f>IF(B7&lt;&gt;"",+B7&amp;H7,"")</f>
        <v>0-HORMH21X</v>
      </c>
      <c r="AG7" s="346">
        <f t="shared" ref="AG7:AG70" si="8">IF(B7&lt;&gt;"",+COUNTIF(B:B,B7),"")</f>
        <v>9</v>
      </c>
      <c r="AH7" s="346">
        <f>IF(B7&lt;&gt;"",+IF(H7="x",+VLOOKUP(I7,'AUX-NIV2'!B:AG,32,FALSE),0),"")</f>
        <v>7</v>
      </c>
      <c r="AI7" s="346" t="str">
        <f>IF(B7&lt;&gt;"",+B7,"")</f>
        <v>0-HORMH21</v>
      </c>
      <c r="AK7" s="347">
        <f t="shared" ref="AK7:AK70" si="9">IF(B7&lt;&gt;"",+MATCH(B7,B:B,0),"")</f>
        <v>7</v>
      </c>
      <c r="AL7" s="348">
        <f>IF(B7&lt;&gt;"",+AK7+AG7-1,"")</f>
        <v>15</v>
      </c>
      <c r="AM7" s="347">
        <f>IF(B7&lt;&gt;"",IF(B7=B6,1+AM6,1),"")</f>
        <v>1</v>
      </c>
      <c r="AN7" s="382">
        <f>IF(AND(AH7&gt;0,B7&lt;&gt;""),VLOOKUP(I7,'AUX-NIV2'!$B:$AP,40,FALSE)*O7,0)</f>
        <v>4.4999999999999998E-2</v>
      </c>
      <c r="AO7" s="382">
        <f t="shared" ref="AO7:AO70" si="10">+IF(B7&lt;&gt;"",SUMIF(AF:AF,Z7,O:O)+SUMIF(Z:Z,Z7,AN:AN),0)</f>
        <v>3.2158333333333338</v>
      </c>
      <c r="AQ7" s="395">
        <f>(IF($H7="x",VLOOKUP($I7,'AUX-NIV2'!$B:$X,'AUX-NIV1'!AQ$3,FALSE),0)+($AV7*'AUX-NIV3'!S$4))*$O7+IF($H7=AQ$4,$P7,0)</f>
        <v>21.244685047232831</v>
      </c>
      <c r="AR7" s="395">
        <f>(IF($H7="x",VLOOKUP($I7,'AUX-NIV2'!$B:$X,'AUX-NIV1'!AR$3,FALSE),0)+($AV7*'AUX-NIV3'!T$4))*$O7+IF($H7=AR$4,$P7,0)</f>
        <v>36.862526984415588</v>
      </c>
      <c r="AS7" s="395">
        <f>(IF($H7="x",VLOOKUP($I7,'AUX-NIV2'!$B:$X,'AUX-NIV1'!AS$3,FALSE),0)+($AV7*'AUX-NIV3'!U$4))*$O7+IF($H7=AS$4,$P7,0)</f>
        <v>0</v>
      </c>
      <c r="AT7" s="395">
        <f>(IF($H7="x",VLOOKUP($I7,'AUX-NIV2'!$B:$X,'AUX-NIV1'!AT$3,FALSE),0)+($AV7*'AUX-NIV3'!V$4))*$O7+IF($H7=AT$4,$P7,0)</f>
        <v>0</v>
      </c>
      <c r="AU7" s="395">
        <f>(IF($H7="x",VLOOKUP($I7,'AUX-NIV2'!$B:$X,'AUX-NIV1'!AU$3,FALSE),0)+($AV7*'AUX-NIV3'!W$4))*$O7+IF($H7=AU$4,$P7,0)</f>
        <v>0</v>
      </c>
      <c r="AV7" s="395">
        <f>+IF($H7="x",VLOOKUP($I7,'AUX-NIV2'!$B:$X,'AUX-NIV1'!AV$3,FALSE),0)</f>
        <v>0</v>
      </c>
    </row>
    <row r="8" spans="2:48" ht="13.8" hidden="1" thickTop="1">
      <c r="B8" s="324" t="s">
        <v>49</v>
      </c>
      <c r="C8" s="325" t="s">
        <v>577</v>
      </c>
      <c r="D8" s="326" t="s">
        <v>447</v>
      </c>
      <c r="E8" s="349">
        <f>IF(B8&lt;&gt;"",+SUMIF(Items!C:C,'AUX-NIV1'!B8,Items!H:H),"")</f>
        <v>0</v>
      </c>
      <c r="F8" s="349">
        <f t="shared" si="0"/>
        <v>2060.9804289557105</v>
      </c>
      <c r="G8" s="349">
        <f t="shared" si="1"/>
        <v>0</v>
      </c>
      <c r="H8" s="1395" t="str">
        <f t="shared" ref="H8:H71" si="11">IF(B8&lt;&gt;"",+LEFT(I8,1),"")</f>
        <v>X</v>
      </c>
      <c r="I8" s="1375" t="s">
        <v>1251</v>
      </c>
      <c r="J8" s="350" t="str">
        <f>IF(B8&lt;&gt;"",+VLOOKUP(I8,Recursos!C:F,2,FALSE),"")</f>
        <v>Materiales Dosificación Hormigón H21</v>
      </c>
      <c r="K8" s="351" t="str">
        <f>IF(B8&lt;&gt;"",+VLOOKUP(I8,Recursos!C:F,3,FALSE),"")</f>
        <v>M3</v>
      </c>
      <c r="L8" s="349">
        <f>IF(B8&lt;&gt;"",+VLOOKUP(I8,Recursos!C:F,4,FALSE),"")</f>
        <v>716.31423187834969</v>
      </c>
      <c r="M8" s="331">
        <v>1.3</v>
      </c>
      <c r="N8" s="331">
        <v>0</v>
      </c>
      <c r="O8" s="362">
        <f t="shared" ref="O8:O15" si="12">+M8*N8</f>
        <v>0</v>
      </c>
      <c r="P8" s="352">
        <f t="shared" ref="P8:P71" si="13">IF(B8&lt;&gt;"",O8*L8,"")</f>
        <v>0</v>
      </c>
      <c r="Q8" s="349">
        <f t="shared" ref="Q8:Q71" si="14">IF(B8&lt;&gt;"",+O8*E8,"")</f>
        <v>0</v>
      </c>
      <c r="R8" s="353">
        <f t="shared" ref="R8:R71" si="15">IF(B8&lt;&gt;"",Q8*L8,"")</f>
        <v>0</v>
      </c>
      <c r="S8" s="354">
        <f t="shared" si="2"/>
        <v>0</v>
      </c>
      <c r="T8" s="354">
        <f t="shared" si="3"/>
        <v>0</v>
      </c>
      <c r="U8" s="355">
        <f t="shared" si="4"/>
        <v>0</v>
      </c>
      <c r="V8" s="355">
        <f t="shared" si="5"/>
        <v>0</v>
      </c>
      <c r="W8" s="355">
        <f t="shared" si="6"/>
        <v>190</v>
      </c>
      <c r="X8" s="355">
        <f t="shared" si="7"/>
        <v>1870.9804289557105</v>
      </c>
      <c r="Y8" s="396"/>
      <c r="Z8" s="346" t="str">
        <f t="shared" ref="Z8:Z71" si="16">IF(B8&lt;&gt;"",+$B8&amp;"A","")</f>
        <v>0-HORMH21A</v>
      </c>
      <c r="AA8" s="346" t="str">
        <f t="shared" ref="AA8:AA71" si="17">IF(B8&lt;&gt;"",+$B8&amp;"E","")</f>
        <v>0-HORMH21E</v>
      </c>
      <c r="AB8" s="346" t="str">
        <f t="shared" ref="AB8:AB71" si="18">IF(B8&lt;&gt;"",++$B8&amp;"M","")</f>
        <v>0-HORMH21M</v>
      </c>
      <c r="AC8" s="346" t="str">
        <f t="shared" ref="AC8:AC71" si="19">IF(B8&lt;&gt;"",+$B8&amp;"T","")</f>
        <v>0-HORMH21T</v>
      </c>
      <c r="AD8" s="346" t="str">
        <f t="shared" ref="AD8:AD71" si="20">IF(B8&lt;&gt;"",+$B8&amp;"S","")</f>
        <v>0-HORMH21S</v>
      </c>
      <c r="AE8" s="346" t="str">
        <f t="shared" ref="AE8:AE71" si="21">IF(B8&lt;&gt;"",+$B8&amp;"X","")</f>
        <v>0-HORMH21X</v>
      </c>
      <c r="AF8" s="346" t="str">
        <f t="shared" ref="AF8:AF71" si="22">IF(B8&lt;&gt;"",+B8&amp;H8,"")</f>
        <v>0-HORMH21X</v>
      </c>
      <c r="AG8" s="346">
        <f t="shared" si="8"/>
        <v>9</v>
      </c>
      <c r="AH8" s="346">
        <f>IF(B8&lt;&gt;"",+IF(H8="x",+VLOOKUP(I8,'AUX-NIV2'!B:AG,32,FALSE),0),"")</f>
        <v>13</v>
      </c>
      <c r="AI8" s="346" t="str">
        <f t="shared" ref="AI8:AI71" si="23">IF(B8&lt;&gt;"",+B8,"")</f>
        <v>0-HORMH21</v>
      </c>
      <c r="AK8" s="347">
        <f t="shared" si="9"/>
        <v>7</v>
      </c>
      <c r="AL8" s="348">
        <f t="shared" ref="AL8:AL71" si="24">IF(B8&lt;&gt;"",+AK8+AG8-1,"")</f>
        <v>15</v>
      </c>
      <c r="AM8" s="347">
        <f t="shared" ref="AM8:AM71" si="25">IF(B8&lt;&gt;"",IF(B8=B7,1+AM7,1),"")</f>
        <v>2</v>
      </c>
      <c r="AN8" s="382">
        <f>IF(AND(AH8&gt;0,B8&lt;&gt;""),VLOOKUP(I8,'AUX-NIV2'!$B:$AP,40,FALSE)*O8,0)</f>
        <v>0</v>
      </c>
      <c r="AO8" s="382">
        <f t="shared" si="10"/>
        <v>3.2158333333333338</v>
      </c>
      <c r="AQ8" s="395">
        <f>(IF($H8="x",VLOOKUP($I8,'AUX-NIV2'!$B:$X,'AUX-NIV1'!AQ$3,FALSE),0)+($AV8*'AUX-NIV3'!S$4))*$O8+IF($H8=AQ$4,$P8,0)</f>
        <v>0</v>
      </c>
      <c r="AR8" s="395">
        <f>(IF($H8="x",VLOOKUP($I8,'AUX-NIV2'!$B:$X,'AUX-NIV1'!AR$3,FALSE),0)+($AV8*'AUX-NIV3'!T$4))*$O8+IF($H8=AR$4,$P8,0)</f>
        <v>0</v>
      </c>
      <c r="AS8" s="395">
        <f>(IF($H8="x",VLOOKUP($I8,'AUX-NIV2'!$B:$X,'AUX-NIV1'!AS$3,FALSE),0)+($AV8*'AUX-NIV3'!U$4))*$O8+IF($H8=AS$4,$P8,0)</f>
        <v>0</v>
      </c>
      <c r="AT8" s="395">
        <f>(IF($H8="x",VLOOKUP($I8,'AUX-NIV2'!$B:$X,'AUX-NIV1'!AT$3,FALSE),0)+($AV8*'AUX-NIV3'!V$4))*$O8+IF($H8=AT$4,$P8,0)</f>
        <v>0</v>
      </c>
      <c r="AU8" s="395">
        <f>(IF($H8="x",VLOOKUP($I8,'AUX-NIV2'!$B:$X,'AUX-NIV1'!AU$3,FALSE),0)+($AV8*'AUX-NIV3'!W$4))*$O8+IF($H8=AU$4,$P8,0)</f>
        <v>0</v>
      </c>
      <c r="AV8" s="395">
        <f>+IF($H8="x",VLOOKUP($I8,'AUX-NIV2'!$B:$X,'AUX-NIV1'!AV$3,FALSE),0)</f>
        <v>444.78806141108532</v>
      </c>
    </row>
    <row r="9" spans="2:48" ht="13.8" hidden="1" thickTop="1">
      <c r="B9" s="324" t="s">
        <v>49</v>
      </c>
      <c r="C9" s="325" t="s">
        <v>577</v>
      </c>
      <c r="D9" s="326" t="s">
        <v>447</v>
      </c>
      <c r="E9" s="349">
        <f>IF(B9&lt;&gt;"",+SUMIF(Items!C:C,'AUX-NIV1'!B9,Items!H:H),"")</f>
        <v>0</v>
      </c>
      <c r="F9" s="349">
        <f t="shared" si="0"/>
        <v>2060.9804289557105</v>
      </c>
      <c r="G9" s="349">
        <f t="shared" si="1"/>
        <v>0</v>
      </c>
      <c r="H9" s="1395" t="str">
        <f t="shared" si="11"/>
        <v>X</v>
      </c>
      <c r="I9" s="1375" t="s">
        <v>1288</v>
      </c>
      <c r="J9" s="350" t="str">
        <f>IF(B9&lt;&gt;"",+VLOOKUP(I9,Recursos!C:F,2,FALSE),"")</f>
        <v>Tte y colado de Hgón - Pta</v>
      </c>
      <c r="K9" s="351" t="str">
        <f>IF(B9&lt;&gt;"",+VLOOKUP(I9,Recursos!C:F,3,FALSE),"")</f>
        <v>m3</v>
      </c>
      <c r="L9" s="349">
        <f>IF(B9&lt;&gt;"",+VLOOKUP(I9,Recursos!C:F,4,FALSE),"")</f>
        <v>318.88919874376688</v>
      </c>
      <c r="M9" s="331">
        <v>1.05</v>
      </c>
      <c r="N9" s="331">
        <v>0</v>
      </c>
      <c r="O9" s="362">
        <f t="shared" si="12"/>
        <v>0</v>
      </c>
      <c r="P9" s="352">
        <f t="shared" si="13"/>
        <v>0</v>
      </c>
      <c r="Q9" s="349">
        <f t="shared" si="14"/>
        <v>0</v>
      </c>
      <c r="R9" s="353">
        <f t="shared" si="15"/>
        <v>0</v>
      </c>
      <c r="S9" s="354">
        <f t="shared" si="2"/>
        <v>0</v>
      </c>
      <c r="T9" s="354">
        <f t="shared" si="3"/>
        <v>0</v>
      </c>
      <c r="U9" s="355">
        <f t="shared" si="4"/>
        <v>0</v>
      </c>
      <c r="V9" s="355">
        <f t="shared" si="5"/>
        <v>0</v>
      </c>
      <c r="W9" s="355">
        <f t="shared" si="6"/>
        <v>190</v>
      </c>
      <c r="X9" s="355">
        <f t="shared" si="7"/>
        <v>1870.9804289557105</v>
      </c>
      <c r="Y9" s="396"/>
      <c r="Z9" s="346" t="str">
        <f t="shared" si="16"/>
        <v>0-HORMH21A</v>
      </c>
      <c r="AA9" s="346" t="str">
        <f t="shared" si="17"/>
        <v>0-HORMH21E</v>
      </c>
      <c r="AB9" s="346" t="str">
        <f t="shared" si="18"/>
        <v>0-HORMH21M</v>
      </c>
      <c r="AC9" s="346" t="str">
        <f t="shared" si="19"/>
        <v>0-HORMH21T</v>
      </c>
      <c r="AD9" s="346" t="str">
        <f t="shared" si="20"/>
        <v>0-HORMH21S</v>
      </c>
      <c r="AE9" s="346" t="str">
        <f t="shared" si="21"/>
        <v>0-HORMH21X</v>
      </c>
      <c r="AF9" s="346" t="str">
        <f t="shared" si="22"/>
        <v>0-HORMH21X</v>
      </c>
      <c r="AG9" s="346">
        <f t="shared" si="8"/>
        <v>9</v>
      </c>
      <c r="AH9" s="346">
        <f>IF(B9&lt;&gt;"",+IF(H9="x",+VLOOKUP(I9,'AUX-NIV2'!B:AG,32,FALSE),0),"")</f>
        <v>4</v>
      </c>
      <c r="AI9" s="346" t="str">
        <f t="shared" si="23"/>
        <v>0-HORMH21</v>
      </c>
      <c r="AK9" s="347">
        <f t="shared" si="9"/>
        <v>7</v>
      </c>
      <c r="AL9" s="348">
        <f t="shared" si="24"/>
        <v>15</v>
      </c>
      <c r="AM9" s="347">
        <f t="shared" si="25"/>
        <v>3</v>
      </c>
      <c r="AN9" s="382">
        <f>IF(AND(AH9&gt;0,B9&lt;&gt;""),VLOOKUP(I9,'AUX-NIV2'!$B:$AP,40,FALSE)*O9,0)</f>
        <v>0</v>
      </c>
      <c r="AO9" s="382">
        <f t="shared" si="10"/>
        <v>3.2158333333333338</v>
      </c>
      <c r="AQ9" s="395">
        <f>(IF($H9="x",VLOOKUP($I9,'AUX-NIV2'!$B:$X,'AUX-NIV1'!AQ$3,FALSE),0)+($AV9*'AUX-NIV3'!S$4))*$O9+IF($H9=AQ$4,$P9,0)</f>
        <v>0</v>
      </c>
      <c r="AR9" s="395">
        <f>(IF($H9="x",VLOOKUP($I9,'AUX-NIV2'!$B:$X,'AUX-NIV1'!AR$3,FALSE),0)+($AV9*'AUX-NIV3'!T$4))*$O9+IF($H9=AR$4,$P9,0)</f>
        <v>0</v>
      </c>
      <c r="AS9" s="395">
        <f>(IF($H9="x",VLOOKUP($I9,'AUX-NIV2'!$B:$X,'AUX-NIV1'!AS$3,FALSE),0)+($AV9*'AUX-NIV3'!U$4))*$O9+IF($H9=AS$4,$P9,0)</f>
        <v>0</v>
      </c>
      <c r="AT9" s="395">
        <f>(IF($H9="x",VLOOKUP($I9,'AUX-NIV2'!$B:$X,'AUX-NIV1'!AT$3,FALSE),0)+($AV9*'AUX-NIV3'!V$4))*$O9+IF($H9=AT$4,$P9,0)</f>
        <v>0</v>
      </c>
      <c r="AU9" s="395">
        <f>(IF($H9="x",VLOOKUP($I9,'AUX-NIV2'!$B:$X,'AUX-NIV1'!AU$3,FALSE),0)+($AV9*'AUX-NIV3'!W$4))*$O9+IF($H9=AU$4,$P9,0)</f>
        <v>0</v>
      </c>
      <c r="AV9" s="395">
        <f>+IF($H9="x",VLOOKUP($I9,'AUX-NIV2'!$B:$X,'AUX-NIV1'!AV$3,FALSE),0)</f>
        <v>0</v>
      </c>
    </row>
    <row r="10" spans="2:48" ht="13.8" hidden="1" thickTop="1">
      <c r="B10" s="324" t="s">
        <v>49</v>
      </c>
      <c r="C10" s="325" t="s">
        <v>577</v>
      </c>
      <c r="D10" s="326" t="s">
        <v>447</v>
      </c>
      <c r="E10" s="349">
        <f>IF(B10&lt;&gt;"",+SUMIF(Items!C:C,'AUX-NIV1'!B10,Items!H:H),"")</f>
        <v>0</v>
      </c>
      <c r="F10" s="349">
        <f t="shared" si="0"/>
        <v>2060.9804289557105</v>
      </c>
      <c r="G10" s="349">
        <f t="shared" si="1"/>
        <v>0</v>
      </c>
      <c r="H10" s="1395" t="str">
        <f t="shared" si="11"/>
        <v>S</v>
      </c>
      <c r="I10" s="1375" t="s">
        <v>629</v>
      </c>
      <c r="J10" s="350" t="str">
        <f>IF(B10&lt;&gt;"",+VLOOKUP(I10,Recursos!C:F,2,FALSE),"")</f>
        <v>PROVISION DE H21</v>
      </c>
      <c r="K10" s="351" t="str">
        <f>IF(B10&lt;&gt;"",+VLOOKUP(I10,Recursos!C:F,3,FALSE),"")</f>
        <v>M3</v>
      </c>
      <c r="L10" s="349">
        <f>IF(B10&lt;&gt;"",+VLOOKUP(I10,Recursos!C:F,4,FALSE),"")</f>
        <v>0</v>
      </c>
      <c r="M10" s="331">
        <v>1.1000000000000001</v>
      </c>
      <c r="N10" s="331">
        <v>1</v>
      </c>
      <c r="O10" s="362">
        <f t="shared" si="12"/>
        <v>1.1000000000000001</v>
      </c>
      <c r="P10" s="352">
        <f t="shared" si="13"/>
        <v>0</v>
      </c>
      <c r="Q10" s="349">
        <f t="shared" si="14"/>
        <v>0</v>
      </c>
      <c r="R10" s="353">
        <f t="shared" si="15"/>
        <v>0</v>
      </c>
      <c r="S10" s="354">
        <f t="shared" si="2"/>
        <v>0</v>
      </c>
      <c r="T10" s="354">
        <f t="shared" si="3"/>
        <v>0</v>
      </c>
      <c r="U10" s="355">
        <f t="shared" si="4"/>
        <v>0</v>
      </c>
      <c r="V10" s="355">
        <f t="shared" si="5"/>
        <v>0</v>
      </c>
      <c r="W10" s="355">
        <f t="shared" si="6"/>
        <v>190</v>
      </c>
      <c r="X10" s="355">
        <f t="shared" si="7"/>
        <v>1870.9804289557105</v>
      </c>
      <c r="Y10" s="396"/>
      <c r="Z10" s="346" t="str">
        <f t="shared" si="16"/>
        <v>0-HORMH21A</v>
      </c>
      <c r="AA10" s="346" t="str">
        <f t="shared" si="17"/>
        <v>0-HORMH21E</v>
      </c>
      <c r="AB10" s="346" t="str">
        <f t="shared" si="18"/>
        <v>0-HORMH21M</v>
      </c>
      <c r="AC10" s="346" t="str">
        <f t="shared" si="19"/>
        <v>0-HORMH21T</v>
      </c>
      <c r="AD10" s="346" t="str">
        <f t="shared" si="20"/>
        <v>0-HORMH21S</v>
      </c>
      <c r="AE10" s="346" t="str">
        <f t="shared" si="21"/>
        <v>0-HORMH21X</v>
      </c>
      <c r="AF10" s="346" t="str">
        <f t="shared" si="22"/>
        <v>0-HORMH21S</v>
      </c>
      <c r="AG10" s="346">
        <f t="shared" si="8"/>
        <v>9</v>
      </c>
      <c r="AH10" s="346">
        <f>IF(B10&lt;&gt;"",+IF(H10="x",+VLOOKUP(I10,'AUX-NIV2'!B:AG,32,FALSE),0),"")</f>
        <v>0</v>
      </c>
      <c r="AI10" s="346" t="str">
        <f t="shared" si="23"/>
        <v>0-HORMH21</v>
      </c>
      <c r="AK10" s="347">
        <f t="shared" si="9"/>
        <v>7</v>
      </c>
      <c r="AL10" s="348">
        <f t="shared" si="24"/>
        <v>15</v>
      </c>
      <c r="AM10" s="347">
        <f t="shared" si="25"/>
        <v>4</v>
      </c>
      <c r="AN10" s="382">
        <f>IF(AND(AH10&gt;0,B10&lt;&gt;""),VLOOKUP(I10,'AUX-NIV2'!$B:$AP,40,FALSE)*O10,0)</f>
        <v>0</v>
      </c>
      <c r="AO10" s="382">
        <f t="shared" si="10"/>
        <v>3.2158333333333338</v>
      </c>
      <c r="AQ10" s="395">
        <f>(IF($H10="x",VLOOKUP($I10,'AUX-NIV2'!$B:$X,'AUX-NIV1'!AQ$3,FALSE),0)+($AV10*'AUX-NIV3'!S$4))*$O10+IF($H10=AQ$4,$P10,0)</f>
        <v>0</v>
      </c>
      <c r="AR10" s="395">
        <f>(IF($H10="x",VLOOKUP($I10,'AUX-NIV2'!$B:$X,'AUX-NIV1'!AR$3,FALSE),0)+($AV10*'AUX-NIV3'!T$4))*$O10+IF($H10=AR$4,$P10,0)</f>
        <v>0</v>
      </c>
      <c r="AS10" s="395">
        <f>(IF($H10="x",VLOOKUP($I10,'AUX-NIV2'!$B:$X,'AUX-NIV1'!AS$3,FALSE),0)+($AV10*'AUX-NIV3'!U$4))*$O10+IF($H10=AS$4,$P10,0)</f>
        <v>0</v>
      </c>
      <c r="AT10" s="395">
        <f>(IF($H10="x",VLOOKUP($I10,'AUX-NIV2'!$B:$X,'AUX-NIV1'!AT$3,FALSE),0)+($AV10*'AUX-NIV3'!V$4))*$O10+IF($H10=AT$4,$P10,0)</f>
        <v>0</v>
      </c>
      <c r="AU10" s="395">
        <f>(IF($H10="x",VLOOKUP($I10,'AUX-NIV2'!$B:$X,'AUX-NIV1'!AU$3,FALSE),0)+($AV10*'AUX-NIV3'!W$4))*$O10+IF($H10=AU$4,$P10,0)</f>
        <v>0</v>
      </c>
      <c r="AV10" s="395">
        <f>+IF($H10="x",VLOOKUP($I10,'AUX-NIV2'!$B:$X,'AUX-NIV1'!AV$3,FALSE),0)</f>
        <v>0</v>
      </c>
    </row>
    <row r="11" spans="2:48" ht="13.8" hidden="1" thickTop="1">
      <c r="B11" s="324" t="s">
        <v>49</v>
      </c>
      <c r="C11" s="325" t="s">
        <v>577</v>
      </c>
      <c r="D11" s="326" t="s">
        <v>447</v>
      </c>
      <c r="E11" s="349">
        <f>IF(B11&lt;&gt;"",+SUMIF(Items!C:C,'AUX-NIV1'!B11,Items!H:H),"")</f>
        <v>0</v>
      </c>
      <c r="F11" s="349">
        <f t="shared" si="0"/>
        <v>2060.9804289557105</v>
      </c>
      <c r="G11" s="349">
        <f t="shared" si="1"/>
        <v>0</v>
      </c>
      <c r="H11" s="1395" t="str">
        <f t="shared" si="11"/>
        <v>X</v>
      </c>
      <c r="I11" s="1375" t="s">
        <v>2865</v>
      </c>
      <c r="J11" s="350" t="str">
        <f>IF(B11&lt;&gt;"",+VLOOKUP(I11,Recursos!C:F,2,FALSE),"")</f>
        <v>Colado Hormigón desde Mixer</v>
      </c>
      <c r="K11" s="351" t="str">
        <f>IF(B11&lt;&gt;"",+VLOOKUP(I11,Recursos!C:F,3,FALSE),"")</f>
        <v>m3</v>
      </c>
      <c r="L11" s="349">
        <f>IF(B11&lt;&gt;"",+VLOOKUP(I11,Recursos!C:F,4,FALSE),"")</f>
        <v>1031.7487777591643</v>
      </c>
      <c r="M11" s="331">
        <v>1.05</v>
      </c>
      <c r="N11" s="331">
        <v>1</v>
      </c>
      <c r="O11" s="362">
        <f t="shared" si="12"/>
        <v>1.05</v>
      </c>
      <c r="P11" s="352">
        <f t="shared" si="13"/>
        <v>1083.3362166471227</v>
      </c>
      <c r="Q11" s="349">
        <f t="shared" si="14"/>
        <v>0</v>
      </c>
      <c r="R11" s="353">
        <f t="shared" si="15"/>
        <v>0</v>
      </c>
      <c r="S11" s="354">
        <f t="shared" si="2"/>
        <v>0</v>
      </c>
      <c r="T11" s="354">
        <f t="shared" si="3"/>
        <v>0</v>
      </c>
      <c r="U11" s="355">
        <f t="shared" si="4"/>
        <v>0</v>
      </c>
      <c r="V11" s="355">
        <f t="shared" si="5"/>
        <v>0</v>
      </c>
      <c r="W11" s="355">
        <f t="shared" si="6"/>
        <v>190</v>
      </c>
      <c r="X11" s="355">
        <f t="shared" si="7"/>
        <v>1870.9804289557105</v>
      </c>
      <c r="Y11" s="396"/>
      <c r="Z11" s="346" t="str">
        <f t="shared" si="16"/>
        <v>0-HORMH21A</v>
      </c>
      <c r="AA11" s="346" t="str">
        <f t="shared" si="17"/>
        <v>0-HORMH21E</v>
      </c>
      <c r="AB11" s="346" t="str">
        <f t="shared" si="18"/>
        <v>0-HORMH21M</v>
      </c>
      <c r="AC11" s="346" t="str">
        <f t="shared" si="19"/>
        <v>0-HORMH21T</v>
      </c>
      <c r="AD11" s="346" t="str">
        <f t="shared" si="20"/>
        <v>0-HORMH21S</v>
      </c>
      <c r="AE11" s="346" t="str">
        <f t="shared" si="21"/>
        <v>0-HORMH21X</v>
      </c>
      <c r="AF11" s="346" t="str">
        <f t="shared" si="22"/>
        <v>0-HORMH21X</v>
      </c>
      <c r="AG11" s="346">
        <f t="shared" si="8"/>
        <v>9</v>
      </c>
      <c r="AH11" s="346">
        <f>IF(B11&lt;&gt;"",+IF(H11="x",+VLOOKUP(I11,'AUX-NIV2'!B:AG,32,FALSE),0),"")</f>
        <v>8</v>
      </c>
      <c r="AI11" s="346" t="str">
        <f t="shared" si="23"/>
        <v>0-HORMH21</v>
      </c>
      <c r="AK11" s="347">
        <f t="shared" si="9"/>
        <v>7</v>
      </c>
      <c r="AL11" s="348">
        <f t="shared" si="24"/>
        <v>15</v>
      </c>
      <c r="AM11" s="347">
        <f t="shared" si="25"/>
        <v>5</v>
      </c>
      <c r="AN11" s="382">
        <f>IF(AND(AH11&gt;0,B11&lt;&gt;""),VLOOKUP(I11,'AUX-NIV2'!$B:$AP,40,FALSE)*O11,0)</f>
        <v>1.8375000000000001</v>
      </c>
      <c r="AO11" s="382">
        <f t="shared" si="10"/>
        <v>3.2158333333333338</v>
      </c>
      <c r="AQ11" s="395">
        <f>(IF($H11="x",VLOOKUP($I11,'AUX-NIV2'!$B:$X,'AUX-NIV1'!AQ$3,FALSE),0)+($AV11*'AUX-NIV3'!S$4))*$O11+IF($H11=AQ$4,$P11,0)</f>
        <v>876.5532171471225</v>
      </c>
      <c r="AR11" s="395">
        <f>(IF($H11="x",VLOOKUP($I11,'AUX-NIV2'!$B:$X,'AUX-NIV1'!AR$3,FALSE),0)+($AV11*'AUX-NIV3'!T$4))*$O11+IF($H11=AR$4,$P11,0)</f>
        <v>206.78299949999999</v>
      </c>
      <c r="AS11" s="395">
        <f>(IF($H11="x",VLOOKUP($I11,'AUX-NIV2'!$B:$X,'AUX-NIV1'!AS$3,FALSE),0)+($AV11*'AUX-NIV3'!U$4))*$O11+IF($H11=AS$4,$P11,0)</f>
        <v>0</v>
      </c>
      <c r="AT11" s="395">
        <f>(IF($H11="x",VLOOKUP($I11,'AUX-NIV2'!$B:$X,'AUX-NIV1'!AT$3,FALSE),0)+($AV11*'AUX-NIV3'!V$4))*$O11+IF($H11=AT$4,$P11,0)</f>
        <v>0</v>
      </c>
      <c r="AU11" s="395">
        <f>(IF($H11="x",VLOOKUP($I11,'AUX-NIV2'!$B:$X,'AUX-NIV1'!AU$3,FALSE),0)+($AV11*'AUX-NIV3'!W$4))*$O11+IF($H11=AU$4,$P11,0)</f>
        <v>0</v>
      </c>
      <c r="AV11" s="395">
        <f>+IF($H11="x",VLOOKUP($I11,'AUX-NIV2'!$B:$X,'AUX-NIV1'!AV$3,FALSE),0)</f>
        <v>0</v>
      </c>
    </row>
    <row r="12" spans="2:48" ht="13.8" hidden="1" thickTop="1">
      <c r="B12" s="324" t="s">
        <v>49</v>
      </c>
      <c r="C12" s="325" t="s">
        <v>577</v>
      </c>
      <c r="D12" s="326" t="s">
        <v>447</v>
      </c>
      <c r="E12" s="349">
        <f>IF(B12&lt;&gt;"",+SUMIF(Items!C:C,'AUX-NIV1'!B12,Items!H:H),"")</f>
        <v>0</v>
      </c>
      <c r="F12" s="349">
        <f t="shared" si="0"/>
        <v>2060.9804289557105</v>
      </c>
      <c r="G12" s="349">
        <f t="shared" si="1"/>
        <v>0</v>
      </c>
      <c r="H12" s="1395" t="str">
        <f t="shared" si="11"/>
        <v>S</v>
      </c>
      <c r="I12" s="1375" t="s">
        <v>1070</v>
      </c>
      <c r="J12" s="350" t="str">
        <f>IF(B12&lt;&gt;"",+VLOOKUP(I12,Recursos!C:F,2,FALSE),"")</f>
        <v>Provisión y colocación de armaduras</v>
      </c>
      <c r="K12" s="351" t="str">
        <f>IF(B12&lt;&gt;"",+VLOOKUP(I12,Recursos!C:F,3,FALSE),"")</f>
        <v>kg</v>
      </c>
      <c r="L12" s="349">
        <f>IF(B12&lt;&gt;"",+VLOOKUP(I12,Recursos!C:F,4,FALSE),"")</f>
        <v>3.8</v>
      </c>
      <c r="M12" s="331">
        <v>50</v>
      </c>
      <c r="N12" s="331">
        <v>1</v>
      </c>
      <c r="O12" s="362">
        <f t="shared" si="12"/>
        <v>50</v>
      </c>
      <c r="P12" s="352">
        <f t="shared" si="13"/>
        <v>190</v>
      </c>
      <c r="Q12" s="349">
        <f t="shared" si="14"/>
        <v>0</v>
      </c>
      <c r="R12" s="353">
        <f t="shared" si="15"/>
        <v>0</v>
      </c>
      <c r="S12" s="354">
        <f t="shared" si="2"/>
        <v>0</v>
      </c>
      <c r="T12" s="354">
        <f t="shared" si="3"/>
        <v>0</v>
      </c>
      <c r="U12" s="355">
        <f t="shared" si="4"/>
        <v>0</v>
      </c>
      <c r="V12" s="355">
        <f t="shared" si="5"/>
        <v>0</v>
      </c>
      <c r="W12" s="355">
        <f t="shared" si="6"/>
        <v>190</v>
      </c>
      <c r="X12" s="355">
        <f t="shared" si="7"/>
        <v>1870.9804289557105</v>
      </c>
      <c r="Y12" s="396"/>
      <c r="Z12" s="346" t="str">
        <f t="shared" si="16"/>
        <v>0-HORMH21A</v>
      </c>
      <c r="AA12" s="346" t="str">
        <f t="shared" si="17"/>
        <v>0-HORMH21E</v>
      </c>
      <c r="AB12" s="346" t="str">
        <f t="shared" si="18"/>
        <v>0-HORMH21M</v>
      </c>
      <c r="AC12" s="346" t="str">
        <f t="shared" si="19"/>
        <v>0-HORMH21T</v>
      </c>
      <c r="AD12" s="346" t="str">
        <f t="shared" si="20"/>
        <v>0-HORMH21S</v>
      </c>
      <c r="AE12" s="346" t="str">
        <f t="shared" si="21"/>
        <v>0-HORMH21X</v>
      </c>
      <c r="AF12" s="346" t="str">
        <f t="shared" si="22"/>
        <v>0-HORMH21S</v>
      </c>
      <c r="AG12" s="346">
        <f t="shared" si="8"/>
        <v>9</v>
      </c>
      <c r="AH12" s="346">
        <f>IF(B12&lt;&gt;"",+IF(H12="x",+VLOOKUP(I12,'AUX-NIV2'!B:AG,32,FALSE),0),"")</f>
        <v>0</v>
      </c>
      <c r="AI12" s="346" t="str">
        <f t="shared" si="23"/>
        <v>0-HORMH21</v>
      </c>
      <c r="AK12" s="347">
        <f t="shared" si="9"/>
        <v>7</v>
      </c>
      <c r="AL12" s="348">
        <f t="shared" si="24"/>
        <v>15</v>
      </c>
      <c r="AM12" s="347">
        <f t="shared" si="25"/>
        <v>6</v>
      </c>
      <c r="AN12" s="382">
        <f>IF(AND(AH12&gt;0,B12&lt;&gt;""),VLOOKUP(I12,'AUX-NIV2'!$B:$AP,40,FALSE)*O12,0)</f>
        <v>0</v>
      </c>
      <c r="AO12" s="382">
        <f t="shared" si="10"/>
        <v>3.2158333333333338</v>
      </c>
      <c r="AQ12" s="395">
        <f>(IF($H12="x",VLOOKUP($I12,'AUX-NIV2'!$B:$X,'AUX-NIV1'!AQ$3,FALSE),0)+($AV12*'AUX-NIV3'!S$4))*$O12+IF($H12=AQ$4,$P12,0)</f>
        <v>0</v>
      </c>
      <c r="AR12" s="395">
        <f>(IF($H12="x",VLOOKUP($I12,'AUX-NIV2'!$B:$X,'AUX-NIV1'!AR$3,FALSE),0)+($AV12*'AUX-NIV3'!T$4))*$O12+IF($H12=AR$4,$P12,0)</f>
        <v>0</v>
      </c>
      <c r="AS12" s="395">
        <f>(IF($H12="x",VLOOKUP($I12,'AUX-NIV2'!$B:$X,'AUX-NIV1'!AS$3,FALSE),0)+($AV12*'AUX-NIV3'!U$4))*$O12+IF($H12=AS$4,$P12,0)</f>
        <v>0</v>
      </c>
      <c r="AT12" s="395">
        <f>(IF($H12="x",VLOOKUP($I12,'AUX-NIV2'!$B:$X,'AUX-NIV1'!AT$3,FALSE),0)+($AV12*'AUX-NIV3'!V$4))*$O12+IF($H12=AT$4,$P12,0)</f>
        <v>0</v>
      </c>
      <c r="AU12" s="395">
        <f>(IF($H12="x",VLOOKUP($I12,'AUX-NIV2'!$B:$X,'AUX-NIV1'!AU$3,FALSE),0)+($AV12*'AUX-NIV3'!W$4))*$O12+IF($H12=AU$4,$P12,0)</f>
        <v>190</v>
      </c>
      <c r="AV12" s="395">
        <f>+IF($H12="x",VLOOKUP($I12,'AUX-NIV2'!$B:$X,'AUX-NIV1'!AV$3,FALSE),0)</f>
        <v>0</v>
      </c>
    </row>
    <row r="13" spans="2:48" ht="13.8" hidden="1" thickTop="1">
      <c r="B13" s="324" t="s">
        <v>49</v>
      </c>
      <c r="C13" s="325" t="s">
        <v>577</v>
      </c>
      <c r="D13" s="326" t="s">
        <v>447</v>
      </c>
      <c r="E13" s="349">
        <f>IF(B13&lt;&gt;"",+SUMIF(Items!C:C,'AUX-NIV1'!B13,Items!H:H),"")</f>
        <v>0</v>
      </c>
      <c r="F13" s="349">
        <f t="shared" si="0"/>
        <v>2060.9804289557105</v>
      </c>
      <c r="G13" s="349">
        <f t="shared" si="1"/>
        <v>0</v>
      </c>
      <c r="H13" s="1395" t="str">
        <f t="shared" si="11"/>
        <v>X</v>
      </c>
      <c r="I13" s="1375" t="s">
        <v>1306</v>
      </c>
      <c r="J13" s="350" t="str">
        <f>IF(B13&lt;&gt;"",+VLOOKUP(I13,Recursos!C:F,2,FALSE),"")</f>
        <v>Terminación de Hormigones en contacto con Agua o Vistos</v>
      </c>
      <c r="K13" s="351" t="str">
        <f>IF(B13&lt;&gt;"",+VLOOKUP(I13,Recursos!C:F,3,FALSE),"")</f>
        <v>m2</v>
      </c>
      <c r="L13" s="349">
        <f>IF(B13&lt;&gt;"",+VLOOKUP(I13,Recursos!C:F,4,FALSE),"")</f>
        <v>230.34909552235763</v>
      </c>
      <c r="M13" s="331">
        <v>2</v>
      </c>
      <c r="N13" s="331">
        <v>1</v>
      </c>
      <c r="O13" s="362">
        <f t="shared" si="12"/>
        <v>2</v>
      </c>
      <c r="P13" s="352">
        <f t="shared" si="13"/>
        <v>460.69819104471526</v>
      </c>
      <c r="Q13" s="349">
        <f t="shared" si="14"/>
        <v>0</v>
      </c>
      <c r="R13" s="353">
        <f t="shared" si="15"/>
        <v>0</v>
      </c>
      <c r="S13" s="354">
        <f t="shared" si="2"/>
        <v>0</v>
      </c>
      <c r="T13" s="354">
        <f t="shared" si="3"/>
        <v>0</v>
      </c>
      <c r="U13" s="355">
        <f t="shared" si="4"/>
        <v>0</v>
      </c>
      <c r="V13" s="355">
        <f t="shared" si="5"/>
        <v>0</v>
      </c>
      <c r="W13" s="355">
        <f t="shared" si="6"/>
        <v>190</v>
      </c>
      <c r="X13" s="355">
        <f t="shared" si="7"/>
        <v>1870.9804289557105</v>
      </c>
      <c r="Y13" s="396"/>
      <c r="Z13" s="346" t="str">
        <f t="shared" si="16"/>
        <v>0-HORMH21A</v>
      </c>
      <c r="AA13" s="346" t="str">
        <f t="shared" si="17"/>
        <v>0-HORMH21E</v>
      </c>
      <c r="AB13" s="346" t="str">
        <f t="shared" si="18"/>
        <v>0-HORMH21M</v>
      </c>
      <c r="AC13" s="346" t="str">
        <f t="shared" si="19"/>
        <v>0-HORMH21T</v>
      </c>
      <c r="AD13" s="346" t="str">
        <f t="shared" si="20"/>
        <v>0-HORMH21S</v>
      </c>
      <c r="AE13" s="346" t="str">
        <f t="shared" si="21"/>
        <v>0-HORMH21X</v>
      </c>
      <c r="AF13" s="346" t="str">
        <f t="shared" si="22"/>
        <v>0-HORMH21X</v>
      </c>
      <c r="AG13" s="346">
        <f t="shared" si="8"/>
        <v>9</v>
      </c>
      <c r="AH13" s="346">
        <f>IF(B13&lt;&gt;"",+IF(H13="x",+VLOOKUP(I13,'AUX-NIV2'!B:AG,32,FALSE),0),"")</f>
        <v>3</v>
      </c>
      <c r="AI13" s="346" t="str">
        <f t="shared" si="23"/>
        <v>0-HORMH21</v>
      </c>
      <c r="AK13" s="347">
        <f t="shared" si="9"/>
        <v>7</v>
      </c>
      <c r="AL13" s="348">
        <f t="shared" si="24"/>
        <v>15</v>
      </c>
      <c r="AM13" s="347">
        <f t="shared" si="25"/>
        <v>7</v>
      </c>
      <c r="AN13" s="382">
        <f>IF(AND(AH13&gt;0,B13&lt;&gt;""),VLOOKUP(I13,'AUX-NIV2'!$B:$AP,40,FALSE)*O13,0)</f>
        <v>1</v>
      </c>
      <c r="AO13" s="382">
        <f t="shared" si="10"/>
        <v>3.2158333333333338</v>
      </c>
      <c r="AQ13" s="395">
        <f>(IF($H13="x",VLOOKUP($I13,'AUX-NIV2'!$B:$X,'AUX-NIV1'!AQ$3,FALSE),0)+($AV13*'AUX-NIV3'!S$4))*$O13+IF($H13=AQ$4,$P13,0)</f>
        <v>459.69819104471526</v>
      </c>
      <c r="AR13" s="395">
        <f>(IF($H13="x",VLOOKUP($I13,'AUX-NIV2'!$B:$X,'AUX-NIV1'!AR$3,FALSE),0)+($AV13*'AUX-NIV3'!T$4))*$O13+IF($H13=AR$4,$P13,0)</f>
        <v>0</v>
      </c>
      <c r="AS13" s="395">
        <f>(IF($H13="x",VLOOKUP($I13,'AUX-NIV2'!$B:$X,'AUX-NIV1'!AS$3,FALSE),0)+($AV13*'AUX-NIV3'!U$4))*$O13+IF($H13=AS$4,$P13,0)</f>
        <v>1</v>
      </c>
      <c r="AT13" s="395">
        <f>(IF($H13="x",VLOOKUP($I13,'AUX-NIV2'!$B:$X,'AUX-NIV1'!AT$3,FALSE),0)+($AV13*'AUX-NIV3'!V$4))*$O13+IF($H13=AT$4,$P13,0)</f>
        <v>0</v>
      </c>
      <c r="AU13" s="395">
        <f>(IF($H13="x",VLOOKUP($I13,'AUX-NIV2'!$B:$X,'AUX-NIV1'!AU$3,FALSE),0)+($AV13*'AUX-NIV3'!W$4))*$O13+IF($H13=AU$4,$P13,0)</f>
        <v>0</v>
      </c>
      <c r="AV13" s="395">
        <f>+IF($H13="x",VLOOKUP($I13,'AUX-NIV2'!$B:$X,'AUX-NIV1'!AV$3,FALSE),0)</f>
        <v>0</v>
      </c>
    </row>
    <row r="14" spans="2:48" ht="13.8" hidden="1" thickTop="1">
      <c r="B14" s="324" t="s">
        <v>49</v>
      </c>
      <c r="C14" s="325" t="s">
        <v>577</v>
      </c>
      <c r="D14" s="326" t="s">
        <v>447</v>
      </c>
      <c r="E14" s="349">
        <f>IF(B14&lt;&gt;"",+SUMIF(Items!C:C,'AUX-NIV1'!B14,Items!H:H),"")</f>
        <v>0</v>
      </c>
      <c r="F14" s="349">
        <f t="shared" si="0"/>
        <v>2060.9804289557105</v>
      </c>
      <c r="G14" s="349">
        <f t="shared" si="1"/>
        <v>0</v>
      </c>
      <c r="H14" s="1395" t="str">
        <f t="shared" si="11"/>
        <v>X</v>
      </c>
      <c r="I14" s="1375" t="s">
        <v>1264</v>
      </c>
      <c r="J14" s="350" t="str">
        <f>IF(B14&lt;&gt;"",+VLOOKUP(I14,Recursos!C:F,2,FALSE),"")</f>
        <v>Curado de estructuras de hgón.</v>
      </c>
      <c r="K14" s="351" t="str">
        <f>IF(B14&lt;&gt;"",+VLOOKUP(I14,Recursos!C:F,3,FALSE),"")</f>
        <v>m2</v>
      </c>
      <c r="L14" s="349">
        <f>IF(B14&lt;&gt;"",+VLOOKUP(I14,Recursos!C:F,4,FALSE),"")</f>
        <v>134.41940461611205</v>
      </c>
      <c r="M14" s="331">
        <v>2</v>
      </c>
      <c r="N14" s="331">
        <v>1</v>
      </c>
      <c r="O14" s="362">
        <f t="shared" si="12"/>
        <v>2</v>
      </c>
      <c r="P14" s="352">
        <f t="shared" si="13"/>
        <v>268.83880923222409</v>
      </c>
      <c r="Q14" s="349">
        <f t="shared" si="14"/>
        <v>0</v>
      </c>
      <c r="R14" s="353">
        <f t="shared" si="15"/>
        <v>0</v>
      </c>
      <c r="S14" s="354">
        <f t="shared" si="2"/>
        <v>0</v>
      </c>
      <c r="T14" s="354">
        <f t="shared" si="3"/>
        <v>0</v>
      </c>
      <c r="U14" s="355">
        <f t="shared" si="4"/>
        <v>0</v>
      </c>
      <c r="V14" s="355">
        <f t="shared" si="5"/>
        <v>0</v>
      </c>
      <c r="W14" s="355">
        <f t="shared" si="6"/>
        <v>190</v>
      </c>
      <c r="X14" s="355">
        <f t="shared" si="7"/>
        <v>1870.9804289557105</v>
      </c>
      <c r="Y14" s="396"/>
      <c r="Z14" s="346" t="str">
        <f t="shared" si="16"/>
        <v>0-HORMH21A</v>
      </c>
      <c r="AA14" s="346" t="str">
        <f t="shared" si="17"/>
        <v>0-HORMH21E</v>
      </c>
      <c r="AB14" s="346" t="str">
        <f t="shared" si="18"/>
        <v>0-HORMH21M</v>
      </c>
      <c r="AC14" s="346" t="str">
        <f t="shared" si="19"/>
        <v>0-HORMH21T</v>
      </c>
      <c r="AD14" s="346" t="str">
        <f t="shared" si="20"/>
        <v>0-HORMH21S</v>
      </c>
      <c r="AE14" s="346" t="str">
        <f t="shared" si="21"/>
        <v>0-HORMH21X</v>
      </c>
      <c r="AF14" s="346" t="str">
        <f t="shared" si="22"/>
        <v>0-HORMH21X</v>
      </c>
      <c r="AG14" s="346">
        <f t="shared" si="8"/>
        <v>9</v>
      </c>
      <c r="AH14" s="346">
        <f>IF(B14&lt;&gt;"",+IF(H14="x",+VLOOKUP(I14,'AUX-NIV2'!B:AG,32,FALSE),0),"")</f>
        <v>3</v>
      </c>
      <c r="AI14" s="346" t="str">
        <f t="shared" si="23"/>
        <v>0-HORMH21</v>
      </c>
      <c r="AK14" s="347">
        <f t="shared" si="9"/>
        <v>7</v>
      </c>
      <c r="AL14" s="348">
        <f t="shared" si="24"/>
        <v>15</v>
      </c>
      <c r="AM14" s="347">
        <f t="shared" si="25"/>
        <v>8</v>
      </c>
      <c r="AN14" s="382">
        <f>IF(AND(AH14&gt;0,B14&lt;&gt;""),VLOOKUP(I14,'AUX-NIV2'!$B:$AP,40,FALSE)*O14,0)</f>
        <v>0.33333333333333331</v>
      </c>
      <c r="AO14" s="382">
        <f t="shared" si="10"/>
        <v>3.2158333333333338</v>
      </c>
      <c r="AQ14" s="395">
        <f>(IF($H14="x",VLOOKUP($I14,'AUX-NIV2'!$B:$X,'AUX-NIV1'!AQ$3,FALSE),0)+($AV14*'AUX-NIV3'!S$4))*$O14+IF($H14=AQ$4,$P14,0)</f>
        <v>140.82680923222409</v>
      </c>
      <c r="AR14" s="395">
        <f>(IF($H14="x",VLOOKUP($I14,'AUX-NIV2'!$B:$X,'AUX-NIV1'!AR$3,FALSE),0)+($AV14*'AUX-NIV3'!T$4))*$O14+IF($H14=AR$4,$P14,0)</f>
        <v>0</v>
      </c>
      <c r="AS14" s="395">
        <f>(IF($H14="x",VLOOKUP($I14,'AUX-NIV2'!$B:$X,'AUX-NIV1'!AS$3,FALSE),0)+($AV14*'AUX-NIV3'!U$4))*$O14+IF($H14=AS$4,$P14,0)</f>
        <v>128.012</v>
      </c>
      <c r="AT14" s="395">
        <f>(IF($H14="x",VLOOKUP($I14,'AUX-NIV2'!$B:$X,'AUX-NIV1'!AT$3,FALSE),0)+($AV14*'AUX-NIV3'!V$4))*$O14+IF($H14=AT$4,$P14,0)</f>
        <v>0</v>
      </c>
      <c r="AU14" s="395">
        <f>(IF($H14="x",VLOOKUP($I14,'AUX-NIV2'!$B:$X,'AUX-NIV1'!AU$3,FALSE),0)+($AV14*'AUX-NIV3'!W$4))*$O14+IF($H14=AU$4,$P14,0)</f>
        <v>0</v>
      </c>
      <c r="AV14" s="395">
        <f>+IF($H14="x",VLOOKUP($I14,'AUX-NIV2'!$B:$X,'AUX-NIV1'!AV$3,FALSE),0)</f>
        <v>0</v>
      </c>
    </row>
    <row r="15" spans="2:48" ht="13.8" hidden="1" thickTop="1">
      <c r="B15" s="324" t="s">
        <v>49</v>
      </c>
      <c r="C15" s="325" t="s">
        <v>577</v>
      </c>
      <c r="D15" s="326" t="s">
        <v>447</v>
      </c>
      <c r="E15" s="349">
        <f>IF(B15&lt;&gt;"",+SUMIF(Items!C:C,'AUX-NIV1'!B15,Items!H:H),"")</f>
        <v>0</v>
      </c>
      <c r="F15" s="349">
        <f t="shared" si="0"/>
        <v>2060.9804289557105</v>
      </c>
      <c r="G15" s="349">
        <f t="shared" si="1"/>
        <v>0</v>
      </c>
      <c r="H15" s="1395" t="str">
        <f t="shared" si="11"/>
        <v>X</v>
      </c>
      <c r="I15" s="1375" t="s">
        <v>1256</v>
      </c>
      <c r="J15" s="350" t="str">
        <f>IF(B15&lt;&gt;"",+VLOOKUP(I15,Recursos!C:F,2,FALSE),"")</f>
        <v xml:space="preserve">Encofrados para Hormigones </v>
      </c>
      <c r="K15" s="351" t="str">
        <f>IF(B15&lt;&gt;"",+VLOOKUP(I15,Recursos!C:F,3,FALSE),"")</f>
        <v>m2</v>
      </c>
      <c r="L15" s="349">
        <f>IF(B15&lt;&gt;"",+VLOOKUP(I15,Recursos!C:F,4,FALSE),"")</f>
        <v>5261.6988424670626</v>
      </c>
      <c r="M15" s="331">
        <v>0</v>
      </c>
      <c r="N15" s="331">
        <v>0</v>
      </c>
      <c r="O15" s="362">
        <f t="shared" si="12"/>
        <v>0</v>
      </c>
      <c r="P15" s="352">
        <f t="shared" si="13"/>
        <v>0</v>
      </c>
      <c r="Q15" s="349">
        <f t="shared" si="14"/>
        <v>0</v>
      </c>
      <c r="R15" s="353">
        <f t="shared" si="15"/>
        <v>0</v>
      </c>
      <c r="S15" s="354">
        <f t="shared" si="2"/>
        <v>0</v>
      </c>
      <c r="T15" s="354">
        <f t="shared" si="3"/>
        <v>0</v>
      </c>
      <c r="U15" s="355">
        <f t="shared" si="4"/>
        <v>0</v>
      </c>
      <c r="V15" s="355">
        <f t="shared" si="5"/>
        <v>0</v>
      </c>
      <c r="W15" s="355">
        <f t="shared" si="6"/>
        <v>190</v>
      </c>
      <c r="X15" s="355">
        <f t="shared" si="7"/>
        <v>1870.9804289557105</v>
      </c>
      <c r="Y15" s="396"/>
      <c r="Z15" s="346" t="str">
        <f t="shared" si="16"/>
        <v>0-HORMH21A</v>
      </c>
      <c r="AA15" s="346" t="str">
        <f t="shared" si="17"/>
        <v>0-HORMH21E</v>
      </c>
      <c r="AB15" s="346" t="str">
        <f t="shared" si="18"/>
        <v>0-HORMH21M</v>
      </c>
      <c r="AC15" s="346" t="str">
        <f t="shared" si="19"/>
        <v>0-HORMH21T</v>
      </c>
      <c r="AD15" s="346" t="str">
        <f t="shared" si="20"/>
        <v>0-HORMH21S</v>
      </c>
      <c r="AE15" s="346" t="str">
        <f t="shared" si="21"/>
        <v>0-HORMH21X</v>
      </c>
      <c r="AF15" s="346" t="str">
        <f t="shared" si="22"/>
        <v>0-HORMH21X</v>
      </c>
      <c r="AG15" s="346">
        <f t="shared" si="8"/>
        <v>9</v>
      </c>
      <c r="AH15" s="346">
        <f>IF(B15&lt;&gt;"",+IF(H15="x",+VLOOKUP(I15,'AUX-NIV2'!B:AG,32,FALSE),0),"")</f>
        <v>13</v>
      </c>
      <c r="AI15" s="346" t="str">
        <f t="shared" si="23"/>
        <v>0-HORMH21</v>
      </c>
      <c r="AK15" s="347">
        <f t="shared" si="9"/>
        <v>7</v>
      </c>
      <c r="AL15" s="348">
        <f t="shared" si="24"/>
        <v>15</v>
      </c>
      <c r="AM15" s="347">
        <f t="shared" si="25"/>
        <v>9</v>
      </c>
      <c r="AN15" s="382">
        <f>IF(AND(AH15&gt;0,B15&lt;&gt;""),VLOOKUP(I15,'AUX-NIV2'!$B:$AP,40,FALSE)*O15,0)</f>
        <v>0</v>
      </c>
      <c r="AO15" s="382">
        <f t="shared" si="10"/>
        <v>3.2158333333333338</v>
      </c>
      <c r="AQ15" s="395">
        <f>(IF($H15="x",VLOOKUP($I15,'AUX-NIV2'!$B:$X,'AUX-NIV1'!AQ$3,FALSE),0)+($AV15*'AUX-NIV3'!S$4))*$O15+IF($H15=AQ$4,$P15,0)</f>
        <v>0</v>
      </c>
      <c r="AR15" s="395">
        <f>(IF($H15="x",VLOOKUP($I15,'AUX-NIV2'!$B:$X,'AUX-NIV1'!AR$3,FALSE),0)+($AV15*'AUX-NIV3'!T$4))*$O15+IF($H15=AR$4,$P15,0)</f>
        <v>0</v>
      </c>
      <c r="AS15" s="395">
        <f>(IF($H15="x",VLOOKUP($I15,'AUX-NIV2'!$B:$X,'AUX-NIV1'!AS$3,FALSE),0)+($AV15*'AUX-NIV3'!U$4))*$O15+IF($H15=AS$4,$P15,0)</f>
        <v>0</v>
      </c>
      <c r="AT15" s="395">
        <f>(IF($H15="x",VLOOKUP($I15,'AUX-NIV2'!$B:$X,'AUX-NIV1'!AT$3,FALSE),0)+($AV15*'AUX-NIV3'!V$4))*$O15+IF($H15=AT$4,$P15,0)</f>
        <v>0</v>
      </c>
      <c r="AU15" s="395">
        <f>(IF($H15="x",VLOOKUP($I15,'AUX-NIV2'!$B:$X,'AUX-NIV1'!AU$3,FALSE),0)+($AV15*'AUX-NIV3'!W$4))*$O15+IF($H15=AU$4,$P15,0)</f>
        <v>0</v>
      </c>
      <c r="AV15" s="395">
        <f>+IF($H15="x",VLOOKUP($I15,'AUX-NIV2'!$B:$X,'AUX-NIV1'!AV$3,FALSE),0)</f>
        <v>0</v>
      </c>
    </row>
    <row r="16" spans="2:48" ht="13.8" hidden="1" thickTop="1">
      <c r="B16" s="324" t="s">
        <v>50</v>
      </c>
      <c r="C16" s="325" t="s">
        <v>803</v>
      </c>
      <c r="D16" s="326" t="s">
        <v>1160</v>
      </c>
      <c r="E16" s="349">
        <f>IF(B16&lt;&gt;"",+SUMIF(Items!C:C,'AUX-NIV1'!B16,Items!H:H),"")</f>
        <v>0</v>
      </c>
      <c r="F16" s="349">
        <f t="shared" si="0"/>
        <v>6334.7210988539509</v>
      </c>
      <c r="G16" s="349">
        <f t="shared" si="1"/>
        <v>0</v>
      </c>
      <c r="H16" s="1395" t="str">
        <f t="shared" si="11"/>
        <v>S</v>
      </c>
      <c r="I16" s="1375" t="s">
        <v>1070</v>
      </c>
      <c r="J16" s="350" t="str">
        <f>IF(B16&lt;&gt;"",+VLOOKUP(I16,Recursos!C:F,2,FALSE),"")</f>
        <v>Provisión y colocación de armaduras</v>
      </c>
      <c r="K16" s="351" t="str">
        <f>IF(B16&lt;&gt;"",+VLOOKUP(I16,Recursos!C:F,3,FALSE),"")</f>
        <v>kg</v>
      </c>
      <c r="L16" s="349">
        <f>IF(B16&lt;&gt;"",+VLOOKUP(I16,Recursos!C:F,4,FALSE),"")</f>
        <v>3.8</v>
      </c>
      <c r="M16" s="331">
        <v>50</v>
      </c>
      <c r="N16" s="331">
        <v>1</v>
      </c>
      <c r="O16" s="362">
        <f t="shared" ref="O16:O21" si="26">+M16*N16</f>
        <v>50</v>
      </c>
      <c r="P16" s="352">
        <f t="shared" si="13"/>
        <v>190</v>
      </c>
      <c r="Q16" s="349">
        <f t="shared" si="14"/>
        <v>0</v>
      </c>
      <c r="R16" s="353">
        <f t="shared" si="15"/>
        <v>0</v>
      </c>
      <c r="S16" s="354">
        <f t="shared" si="2"/>
        <v>0</v>
      </c>
      <c r="T16" s="354">
        <f t="shared" si="3"/>
        <v>0</v>
      </c>
      <c r="U16" s="355">
        <f t="shared" si="4"/>
        <v>0</v>
      </c>
      <c r="V16" s="355">
        <f t="shared" si="5"/>
        <v>0</v>
      </c>
      <c r="W16" s="355">
        <f t="shared" si="6"/>
        <v>190</v>
      </c>
      <c r="X16" s="355">
        <f t="shared" si="7"/>
        <v>6144.7210988539509</v>
      </c>
      <c r="Y16" s="396"/>
      <c r="Z16" s="346" t="str">
        <f t="shared" si="16"/>
        <v>0-HORMH17cA</v>
      </c>
      <c r="AA16" s="346" t="str">
        <f t="shared" si="17"/>
        <v>0-HORMH17cE</v>
      </c>
      <c r="AB16" s="346" t="str">
        <f t="shared" si="18"/>
        <v>0-HORMH17cM</v>
      </c>
      <c r="AC16" s="346" t="str">
        <f t="shared" si="19"/>
        <v>0-HORMH17cT</v>
      </c>
      <c r="AD16" s="346" t="str">
        <f t="shared" si="20"/>
        <v>0-HORMH17cS</v>
      </c>
      <c r="AE16" s="346" t="str">
        <f t="shared" si="21"/>
        <v>0-HORMH17cX</v>
      </c>
      <c r="AF16" s="346" t="str">
        <f t="shared" si="22"/>
        <v>0-HORMH17cS</v>
      </c>
      <c r="AG16" s="346">
        <f t="shared" si="8"/>
        <v>6</v>
      </c>
      <c r="AH16" s="346">
        <f>IF(B16&lt;&gt;"",+IF(H16="x",+VLOOKUP(I16,'AUX-NIV2'!B:AG,32,FALSE),0),"")</f>
        <v>0</v>
      </c>
      <c r="AI16" s="346" t="str">
        <f t="shared" si="23"/>
        <v>0-HORMH17c</v>
      </c>
      <c r="AK16" s="347">
        <f t="shared" si="9"/>
        <v>16</v>
      </c>
      <c r="AL16" s="348">
        <f t="shared" si="24"/>
        <v>21</v>
      </c>
      <c r="AM16" s="347">
        <f t="shared" si="25"/>
        <v>1</v>
      </c>
      <c r="AN16" s="382">
        <f>IF(AND(AH16&gt;0,B16&lt;&gt;""),VLOOKUP(I16,'AUX-NIV2'!$B:$AP,40,FALSE)*O16,0)</f>
        <v>0</v>
      </c>
      <c r="AO16" s="382">
        <f t="shared" si="10"/>
        <v>5.8073333333333332</v>
      </c>
      <c r="AQ16" s="395">
        <f>(IF($H16="x",VLOOKUP($I16,'AUX-NIV2'!$B:$X,'AUX-NIV1'!AQ$3,FALSE),0)+($AV16*'AUX-NIV3'!S$4))*$O16+IF($H16=AQ$4,$P16,0)</f>
        <v>0</v>
      </c>
      <c r="AR16" s="395">
        <f>(IF($H16="x",VLOOKUP($I16,'AUX-NIV2'!$B:$X,'AUX-NIV1'!AR$3,FALSE),0)+($AV16*'AUX-NIV3'!T$4))*$O16+IF($H16=AR$4,$P16,0)</f>
        <v>0</v>
      </c>
      <c r="AS16" s="395">
        <f>(IF($H16="x",VLOOKUP($I16,'AUX-NIV2'!$B:$X,'AUX-NIV1'!AS$3,FALSE),0)+($AV16*'AUX-NIV3'!U$4))*$O16+IF($H16=AS$4,$P16,0)</f>
        <v>0</v>
      </c>
      <c r="AT16" s="395">
        <f>(IF($H16="x",VLOOKUP($I16,'AUX-NIV2'!$B:$X,'AUX-NIV1'!AT$3,FALSE),0)+($AV16*'AUX-NIV3'!V$4))*$O16+IF($H16=AT$4,$P16,0)</f>
        <v>0</v>
      </c>
      <c r="AU16" s="395">
        <f>(IF($H16="x",VLOOKUP($I16,'AUX-NIV2'!$B:$X,'AUX-NIV1'!AU$3,FALSE),0)+($AV16*'AUX-NIV3'!W$4))*$O16+IF($H16=AU$4,$P16,0)</f>
        <v>190</v>
      </c>
      <c r="AV16" s="395">
        <f>+IF($H16="x",VLOOKUP($I16,'AUX-NIV2'!$B:$X,'AUX-NIV1'!AV$3,FALSE),0)</f>
        <v>0</v>
      </c>
    </row>
    <row r="17" spans="2:48" ht="13.8" hidden="1" thickTop="1">
      <c r="B17" s="324" t="s">
        <v>50</v>
      </c>
      <c r="C17" s="325" t="s">
        <v>803</v>
      </c>
      <c r="D17" s="326" t="s">
        <v>1160</v>
      </c>
      <c r="E17" s="349">
        <f>IF(B17&lt;&gt;"",+SUMIF(Items!C:C,'AUX-NIV1'!B17,Items!H:H),"")</f>
        <v>0</v>
      </c>
      <c r="F17" s="349">
        <f t="shared" si="0"/>
        <v>6334.7210988539509</v>
      </c>
      <c r="G17" s="349">
        <f t="shared" si="1"/>
        <v>0</v>
      </c>
      <c r="H17" s="1395" t="str">
        <f t="shared" si="11"/>
        <v>S</v>
      </c>
      <c r="I17" s="1375" t="s">
        <v>629</v>
      </c>
      <c r="J17" s="350" t="str">
        <f>IF(B17&lt;&gt;"",+VLOOKUP(I17,Recursos!C:F,2,FALSE),"")</f>
        <v>PROVISION DE H21</v>
      </c>
      <c r="K17" s="351" t="str">
        <f>IF(B17&lt;&gt;"",+VLOOKUP(I17,Recursos!C:F,3,FALSE),"")</f>
        <v>M3</v>
      </c>
      <c r="L17" s="349">
        <f>IF(B17&lt;&gt;"",+VLOOKUP(I17,Recursos!C:F,4,FALSE),"")</f>
        <v>0</v>
      </c>
      <c r="M17" s="331">
        <v>1.05</v>
      </c>
      <c r="N17" s="331">
        <v>1</v>
      </c>
      <c r="O17" s="362">
        <f t="shared" si="26"/>
        <v>1.05</v>
      </c>
      <c r="P17" s="352">
        <f t="shared" si="13"/>
        <v>0</v>
      </c>
      <c r="Q17" s="349">
        <f t="shared" si="14"/>
        <v>0</v>
      </c>
      <c r="R17" s="353">
        <f t="shared" si="15"/>
        <v>0</v>
      </c>
      <c r="S17" s="354">
        <f t="shared" si="2"/>
        <v>0</v>
      </c>
      <c r="T17" s="354">
        <f t="shared" si="3"/>
        <v>0</v>
      </c>
      <c r="U17" s="355">
        <f t="shared" si="4"/>
        <v>0</v>
      </c>
      <c r="V17" s="355">
        <f t="shared" si="5"/>
        <v>0</v>
      </c>
      <c r="W17" s="355">
        <f t="shared" si="6"/>
        <v>190</v>
      </c>
      <c r="X17" s="355">
        <f t="shared" si="7"/>
        <v>6144.7210988539509</v>
      </c>
      <c r="Y17" s="396"/>
      <c r="Z17" s="346" t="str">
        <f t="shared" si="16"/>
        <v>0-HORMH17cA</v>
      </c>
      <c r="AA17" s="346" t="str">
        <f t="shared" si="17"/>
        <v>0-HORMH17cE</v>
      </c>
      <c r="AB17" s="346" t="str">
        <f t="shared" si="18"/>
        <v>0-HORMH17cM</v>
      </c>
      <c r="AC17" s="346" t="str">
        <f t="shared" si="19"/>
        <v>0-HORMH17cT</v>
      </c>
      <c r="AD17" s="346" t="str">
        <f t="shared" si="20"/>
        <v>0-HORMH17cS</v>
      </c>
      <c r="AE17" s="346" t="str">
        <f t="shared" si="21"/>
        <v>0-HORMH17cX</v>
      </c>
      <c r="AF17" s="346" t="str">
        <f t="shared" si="22"/>
        <v>0-HORMH17cS</v>
      </c>
      <c r="AG17" s="346">
        <f t="shared" si="8"/>
        <v>6</v>
      </c>
      <c r="AH17" s="346">
        <f>IF(B17&lt;&gt;"",+IF(H17="x",+VLOOKUP(I17,'AUX-NIV2'!B:AG,32,FALSE),0),"")</f>
        <v>0</v>
      </c>
      <c r="AI17" s="346" t="str">
        <f t="shared" si="23"/>
        <v>0-HORMH17c</v>
      </c>
      <c r="AK17" s="347">
        <f t="shared" si="9"/>
        <v>16</v>
      </c>
      <c r="AL17" s="348">
        <f t="shared" si="24"/>
        <v>21</v>
      </c>
      <c r="AM17" s="347">
        <f t="shared" si="25"/>
        <v>2</v>
      </c>
      <c r="AN17" s="382">
        <f>IF(AND(AH17&gt;0,B17&lt;&gt;""),VLOOKUP(I17,'AUX-NIV2'!$B:$AP,40,FALSE)*O17,0)</f>
        <v>0</v>
      </c>
      <c r="AO17" s="382">
        <f t="shared" si="10"/>
        <v>5.8073333333333332</v>
      </c>
      <c r="AQ17" s="395">
        <f>(IF($H17="x",VLOOKUP($I17,'AUX-NIV2'!$B:$X,'AUX-NIV1'!AQ$3,FALSE),0)+($AV17*'AUX-NIV3'!S$4))*$O17+IF($H17=AQ$4,$P17,0)</f>
        <v>0</v>
      </c>
      <c r="AR17" s="395">
        <f>(IF($H17="x",VLOOKUP($I17,'AUX-NIV2'!$B:$X,'AUX-NIV1'!AR$3,FALSE),0)+($AV17*'AUX-NIV3'!T$4))*$O17+IF($H17=AR$4,$P17,0)</f>
        <v>0</v>
      </c>
      <c r="AS17" s="395">
        <f>(IF($H17="x",VLOOKUP($I17,'AUX-NIV2'!$B:$X,'AUX-NIV1'!AS$3,FALSE),0)+($AV17*'AUX-NIV3'!U$4))*$O17+IF($H17=AS$4,$P17,0)</f>
        <v>0</v>
      </c>
      <c r="AT17" s="395">
        <f>(IF($H17="x",VLOOKUP($I17,'AUX-NIV2'!$B:$X,'AUX-NIV1'!AT$3,FALSE),0)+($AV17*'AUX-NIV3'!V$4))*$O17+IF($H17=AT$4,$P17,0)</f>
        <v>0</v>
      </c>
      <c r="AU17" s="395">
        <f>(IF($H17="x",VLOOKUP($I17,'AUX-NIV2'!$B:$X,'AUX-NIV1'!AU$3,FALSE),0)+($AV17*'AUX-NIV3'!W$4))*$O17+IF($H17=AU$4,$P17,0)</f>
        <v>0</v>
      </c>
      <c r="AV17" s="395">
        <f>+IF($H17="x",VLOOKUP($I17,'AUX-NIV2'!$B:$X,'AUX-NIV1'!AV$3,FALSE),0)</f>
        <v>0</v>
      </c>
    </row>
    <row r="18" spans="2:48" ht="13.8" hidden="1" thickTop="1">
      <c r="B18" s="324" t="s">
        <v>50</v>
      </c>
      <c r="C18" s="325" t="s">
        <v>803</v>
      </c>
      <c r="D18" s="326" t="s">
        <v>1160</v>
      </c>
      <c r="E18" s="349">
        <f>IF(B18&lt;&gt;"",+SUMIF(Items!C:C,'AUX-NIV1'!B18,Items!H:H),"")</f>
        <v>0</v>
      </c>
      <c r="F18" s="349">
        <f t="shared" si="0"/>
        <v>6334.7210988539509</v>
      </c>
      <c r="G18" s="349">
        <f t="shared" si="1"/>
        <v>0</v>
      </c>
      <c r="H18" s="1395" t="str">
        <f t="shared" si="11"/>
        <v>X</v>
      </c>
      <c r="I18" s="1375" t="s">
        <v>1262</v>
      </c>
      <c r="J18" s="350" t="str">
        <f>IF(B18&lt;&gt;"",+VLOOKUP(I18,Recursos!C:F,2,FALSE),"")</f>
        <v xml:space="preserve">Materiales Dosificación Hormigón H17 </v>
      </c>
      <c r="K18" s="351" t="str">
        <f>IF(B18&lt;&gt;"",+VLOOKUP(I18,Recursos!C:F,3,FALSE),"")</f>
        <v>m3</v>
      </c>
      <c r="L18" s="349">
        <f>IF(B18&lt;&gt;"",+VLOOKUP(I18,Recursos!C:F,4,FALSE),"")</f>
        <v>5756.0283072512138</v>
      </c>
      <c r="M18" s="331">
        <v>1</v>
      </c>
      <c r="N18" s="331">
        <v>0</v>
      </c>
      <c r="O18" s="362">
        <f t="shared" si="26"/>
        <v>0</v>
      </c>
      <c r="P18" s="352">
        <f t="shared" si="13"/>
        <v>0</v>
      </c>
      <c r="Q18" s="349">
        <f t="shared" si="14"/>
        <v>0</v>
      </c>
      <c r="R18" s="353">
        <f t="shared" si="15"/>
        <v>0</v>
      </c>
      <c r="S18" s="354">
        <f t="shared" si="2"/>
        <v>0</v>
      </c>
      <c r="T18" s="354">
        <f t="shared" si="3"/>
        <v>0</v>
      </c>
      <c r="U18" s="355">
        <f t="shared" si="4"/>
        <v>0</v>
      </c>
      <c r="V18" s="355">
        <f t="shared" si="5"/>
        <v>0</v>
      </c>
      <c r="W18" s="355">
        <f t="shared" si="6"/>
        <v>190</v>
      </c>
      <c r="X18" s="355">
        <f t="shared" si="7"/>
        <v>6144.7210988539509</v>
      </c>
      <c r="Y18" s="396"/>
      <c r="Z18" s="346" t="str">
        <f t="shared" si="16"/>
        <v>0-HORMH17cA</v>
      </c>
      <c r="AA18" s="346" t="str">
        <f t="shared" si="17"/>
        <v>0-HORMH17cE</v>
      </c>
      <c r="AB18" s="346" t="str">
        <f t="shared" si="18"/>
        <v>0-HORMH17cM</v>
      </c>
      <c r="AC18" s="346" t="str">
        <f t="shared" si="19"/>
        <v>0-HORMH17cT</v>
      </c>
      <c r="AD18" s="346" t="str">
        <f t="shared" si="20"/>
        <v>0-HORMH17cS</v>
      </c>
      <c r="AE18" s="346" t="str">
        <f t="shared" si="21"/>
        <v>0-HORMH17cX</v>
      </c>
      <c r="AF18" s="346" t="str">
        <f t="shared" si="22"/>
        <v>0-HORMH17cX</v>
      </c>
      <c r="AG18" s="346">
        <f t="shared" si="8"/>
        <v>6</v>
      </c>
      <c r="AH18" s="346">
        <f>IF(B18&lt;&gt;"",+IF(H18="x",+VLOOKUP(I18,'AUX-NIV2'!B:AG,32,FALSE),0),"")</f>
        <v>13</v>
      </c>
      <c r="AI18" s="346" t="str">
        <f t="shared" si="23"/>
        <v>0-HORMH17c</v>
      </c>
      <c r="AK18" s="347">
        <f t="shared" si="9"/>
        <v>16</v>
      </c>
      <c r="AL18" s="348">
        <f t="shared" si="24"/>
        <v>21</v>
      </c>
      <c r="AM18" s="347">
        <f t="shared" si="25"/>
        <v>3</v>
      </c>
      <c r="AN18" s="382">
        <f>IF(AND(AH18&gt;0,B18&lt;&gt;""),VLOOKUP(I18,'AUX-NIV2'!$B:$AP,40,FALSE)*O18,0)</f>
        <v>0</v>
      </c>
      <c r="AO18" s="382">
        <f t="shared" si="10"/>
        <v>5.8073333333333332</v>
      </c>
      <c r="AQ18" s="395">
        <f>(IF($H18="x",VLOOKUP($I18,'AUX-NIV2'!$B:$X,'AUX-NIV1'!AQ$3,FALSE),0)+($AV18*'AUX-NIV3'!S$4))*$O18+IF($H18=AQ$4,$P18,0)</f>
        <v>0</v>
      </c>
      <c r="AR18" s="395">
        <f>(IF($H18="x",VLOOKUP($I18,'AUX-NIV2'!$B:$X,'AUX-NIV1'!AR$3,FALSE),0)+($AV18*'AUX-NIV3'!T$4))*$O18+IF($H18=AR$4,$P18,0)</f>
        <v>0</v>
      </c>
      <c r="AS18" s="395">
        <f>(IF($H18="x",VLOOKUP($I18,'AUX-NIV2'!$B:$X,'AUX-NIV1'!AS$3,FALSE),0)+($AV18*'AUX-NIV3'!U$4))*$O18+IF($H18=AS$4,$P18,0)</f>
        <v>0</v>
      </c>
      <c r="AT18" s="395">
        <f>(IF($H18="x",VLOOKUP($I18,'AUX-NIV2'!$B:$X,'AUX-NIV1'!AT$3,FALSE),0)+($AV18*'AUX-NIV3'!V$4))*$O18+IF($H18=AT$4,$P18,0)</f>
        <v>0</v>
      </c>
      <c r="AU18" s="395">
        <f>(IF($H18="x",VLOOKUP($I18,'AUX-NIV2'!$B:$X,'AUX-NIV1'!AU$3,FALSE),0)+($AV18*'AUX-NIV3'!W$4))*$O18+IF($H18=AU$4,$P18,0)</f>
        <v>0</v>
      </c>
      <c r="AV18" s="395">
        <f>+IF($H18="x",VLOOKUP($I18,'AUX-NIV2'!$B:$X,'AUX-NIV1'!AV$3,FALSE),0)</f>
        <v>760.32147249758168</v>
      </c>
    </row>
    <row r="19" spans="2:48" ht="13.8" hidden="1" thickTop="1">
      <c r="B19" s="324" t="s">
        <v>50</v>
      </c>
      <c r="C19" s="325" t="s">
        <v>803</v>
      </c>
      <c r="D19" s="326" t="s">
        <v>1160</v>
      </c>
      <c r="E19" s="349">
        <f>IF(B19&lt;&gt;"",+SUMIF(Items!C:C,'AUX-NIV1'!B19,Items!H:H),"")</f>
        <v>0</v>
      </c>
      <c r="F19" s="349">
        <f t="shared" si="0"/>
        <v>6334.7210988539509</v>
      </c>
      <c r="G19" s="349">
        <f t="shared" si="1"/>
        <v>0</v>
      </c>
      <c r="H19" s="1395" t="str">
        <f t="shared" si="11"/>
        <v>X</v>
      </c>
      <c r="I19" s="1375" t="s">
        <v>1255</v>
      </c>
      <c r="J19" s="350" t="str">
        <f>IF(B19&lt;&gt;"",+VLOOKUP(I19,Recursos!C:F,2,FALSE),"")</f>
        <v>Colado de Hgón Elaborado con mixer</v>
      </c>
      <c r="K19" s="351" t="str">
        <f>IF(B19&lt;&gt;"",+VLOOKUP(I19,Recursos!C:F,3,FALSE),"")</f>
        <v>m3</v>
      </c>
      <c r="L19" s="349">
        <f>IF(B19&lt;&gt;"",+VLOOKUP(I19,Recursos!C:F,4,FALSE),"")</f>
        <v>699.62883343063208</v>
      </c>
      <c r="M19" s="331">
        <v>1.07</v>
      </c>
      <c r="N19" s="331">
        <v>1</v>
      </c>
      <c r="O19" s="362">
        <f t="shared" si="26"/>
        <v>1.07</v>
      </c>
      <c r="P19" s="352">
        <f t="shared" si="13"/>
        <v>748.6028517707764</v>
      </c>
      <c r="Q19" s="349">
        <f t="shared" si="14"/>
        <v>0</v>
      </c>
      <c r="R19" s="353">
        <f t="shared" si="15"/>
        <v>0</v>
      </c>
      <c r="S19" s="354">
        <f t="shared" si="2"/>
        <v>0</v>
      </c>
      <c r="T19" s="354">
        <f t="shared" si="3"/>
        <v>0</v>
      </c>
      <c r="U19" s="355">
        <f t="shared" si="4"/>
        <v>0</v>
      </c>
      <c r="V19" s="355">
        <f t="shared" si="5"/>
        <v>0</v>
      </c>
      <c r="W19" s="355">
        <f t="shared" si="6"/>
        <v>190</v>
      </c>
      <c r="X19" s="355">
        <f t="shared" si="7"/>
        <v>6144.7210988539509</v>
      </c>
      <c r="Y19" s="396"/>
      <c r="Z19" s="346" t="str">
        <f t="shared" si="16"/>
        <v>0-HORMH17cA</v>
      </c>
      <c r="AA19" s="346" t="str">
        <f t="shared" si="17"/>
        <v>0-HORMH17cE</v>
      </c>
      <c r="AB19" s="346" t="str">
        <f t="shared" si="18"/>
        <v>0-HORMH17cM</v>
      </c>
      <c r="AC19" s="346" t="str">
        <f t="shared" si="19"/>
        <v>0-HORMH17cT</v>
      </c>
      <c r="AD19" s="346" t="str">
        <f t="shared" si="20"/>
        <v>0-HORMH17cS</v>
      </c>
      <c r="AE19" s="346" t="str">
        <f t="shared" si="21"/>
        <v>0-HORMH17cX</v>
      </c>
      <c r="AF19" s="346" t="str">
        <f t="shared" si="22"/>
        <v>0-HORMH17cX</v>
      </c>
      <c r="AG19" s="346">
        <f t="shared" si="8"/>
        <v>6</v>
      </c>
      <c r="AH19" s="346">
        <f>IF(B19&lt;&gt;"",+IF(H19="x",+VLOOKUP(I19,'AUX-NIV2'!B:AG,32,FALSE),0),"")</f>
        <v>9</v>
      </c>
      <c r="AI19" s="346" t="str">
        <f t="shared" si="23"/>
        <v>0-HORMH17c</v>
      </c>
      <c r="AK19" s="347">
        <f t="shared" si="9"/>
        <v>16</v>
      </c>
      <c r="AL19" s="348">
        <f t="shared" si="24"/>
        <v>21</v>
      </c>
      <c r="AM19" s="347">
        <f t="shared" si="25"/>
        <v>4</v>
      </c>
      <c r="AN19" s="382">
        <f>IF(AND(AH19&gt;0,B19&lt;&gt;""),VLOOKUP(I19,'AUX-NIV2'!$B:$AP,40,FALSE)*O19,0)</f>
        <v>0.57066666666666666</v>
      </c>
      <c r="AO19" s="382">
        <f t="shared" si="10"/>
        <v>5.8073333333333332</v>
      </c>
      <c r="AQ19" s="395">
        <f>(IF($H19="x",VLOOKUP($I19,'AUX-NIV2'!$B:$X,'AUX-NIV1'!AQ$3,FALSE),0)+($AV19*'AUX-NIV3'!S$4))*$O19+IF($H19=AQ$4,$P19,0)</f>
        <v>265.63932396077632</v>
      </c>
      <c r="AR19" s="395">
        <f>(IF($H19="x",VLOOKUP($I19,'AUX-NIV2'!$B:$X,'AUX-NIV1'!AR$3,FALSE),0)+($AV19*'AUX-NIV3'!T$4))*$O19+IF($H19=AR$4,$P19,0)</f>
        <v>482.85652781000005</v>
      </c>
      <c r="AS19" s="395">
        <f>(IF($H19="x",VLOOKUP($I19,'AUX-NIV2'!$B:$X,'AUX-NIV1'!AS$3,FALSE),0)+($AV19*'AUX-NIV3'!U$4))*$O19+IF($H19=AS$4,$P19,0)</f>
        <v>0.10700000000000001</v>
      </c>
      <c r="AT19" s="395">
        <f>(IF($H19="x",VLOOKUP($I19,'AUX-NIV2'!$B:$X,'AUX-NIV1'!AT$3,FALSE),0)+($AV19*'AUX-NIV3'!V$4))*$O19+IF($H19=AT$4,$P19,0)</f>
        <v>0</v>
      </c>
      <c r="AU19" s="395">
        <f>(IF($H19="x",VLOOKUP($I19,'AUX-NIV2'!$B:$X,'AUX-NIV1'!AU$3,FALSE),0)+($AV19*'AUX-NIV3'!W$4))*$O19+IF($H19=AU$4,$P19,0)</f>
        <v>0</v>
      </c>
      <c r="AV19" s="395">
        <f>+IF($H19="x",VLOOKUP($I19,'AUX-NIV2'!$B:$X,'AUX-NIV1'!AV$3,FALSE),0)</f>
        <v>0</v>
      </c>
    </row>
    <row r="20" spans="2:48" ht="13.8" hidden="1" thickTop="1">
      <c r="B20" s="324" t="s">
        <v>50</v>
      </c>
      <c r="C20" s="325" t="s">
        <v>803</v>
      </c>
      <c r="D20" s="326" t="s">
        <v>1160</v>
      </c>
      <c r="E20" s="349">
        <f>IF(B20&lt;&gt;"",+SUMIF(Items!C:C,'AUX-NIV1'!B20,Items!H:H),"")</f>
        <v>0</v>
      </c>
      <c r="F20" s="349">
        <f t="shared" si="0"/>
        <v>6334.7210988539509</v>
      </c>
      <c r="G20" s="349">
        <f t="shared" si="1"/>
        <v>0</v>
      </c>
      <c r="H20" s="1395" t="str">
        <f t="shared" si="11"/>
        <v>X</v>
      </c>
      <c r="I20" s="1375" t="s">
        <v>1264</v>
      </c>
      <c r="J20" s="350" t="str">
        <f>IF(B20&lt;&gt;"",+VLOOKUP(I20,Recursos!C:F,2,FALSE),"")</f>
        <v>Curado de estructuras de hgón.</v>
      </c>
      <c r="K20" s="351" t="str">
        <f>IF(B20&lt;&gt;"",+VLOOKUP(I20,Recursos!C:F,3,FALSE),"")</f>
        <v>m2</v>
      </c>
      <c r="L20" s="349">
        <f>IF(B20&lt;&gt;"",+VLOOKUP(I20,Recursos!C:F,4,FALSE),"")</f>
        <v>134.41940461611205</v>
      </c>
      <c r="M20" s="331">
        <v>1</v>
      </c>
      <c r="N20" s="331">
        <v>1</v>
      </c>
      <c r="O20" s="362">
        <f t="shared" si="26"/>
        <v>1</v>
      </c>
      <c r="P20" s="352">
        <f t="shared" si="13"/>
        <v>134.41940461611205</v>
      </c>
      <c r="Q20" s="349">
        <f t="shared" si="14"/>
        <v>0</v>
      </c>
      <c r="R20" s="353">
        <f t="shared" si="15"/>
        <v>0</v>
      </c>
      <c r="S20" s="354">
        <f t="shared" si="2"/>
        <v>0</v>
      </c>
      <c r="T20" s="354">
        <f t="shared" si="3"/>
        <v>0</v>
      </c>
      <c r="U20" s="355">
        <f t="shared" si="4"/>
        <v>0</v>
      </c>
      <c r="V20" s="355">
        <f t="shared" si="5"/>
        <v>0</v>
      </c>
      <c r="W20" s="355">
        <f t="shared" si="6"/>
        <v>190</v>
      </c>
      <c r="X20" s="355">
        <f t="shared" si="7"/>
        <v>6144.7210988539509</v>
      </c>
      <c r="Y20" s="396"/>
      <c r="Z20" s="346" t="str">
        <f t="shared" si="16"/>
        <v>0-HORMH17cA</v>
      </c>
      <c r="AA20" s="346" t="str">
        <f t="shared" si="17"/>
        <v>0-HORMH17cE</v>
      </c>
      <c r="AB20" s="346" t="str">
        <f t="shared" si="18"/>
        <v>0-HORMH17cM</v>
      </c>
      <c r="AC20" s="346" t="str">
        <f t="shared" si="19"/>
        <v>0-HORMH17cT</v>
      </c>
      <c r="AD20" s="346" t="str">
        <f t="shared" si="20"/>
        <v>0-HORMH17cS</v>
      </c>
      <c r="AE20" s="346" t="str">
        <f t="shared" si="21"/>
        <v>0-HORMH17cX</v>
      </c>
      <c r="AF20" s="346" t="str">
        <f t="shared" si="22"/>
        <v>0-HORMH17cX</v>
      </c>
      <c r="AG20" s="346">
        <f t="shared" si="8"/>
        <v>6</v>
      </c>
      <c r="AH20" s="346">
        <f>IF(B20&lt;&gt;"",+IF(H20="x",+VLOOKUP(I20,'AUX-NIV2'!B:AG,32,FALSE),0),"")</f>
        <v>3</v>
      </c>
      <c r="AI20" s="346" t="str">
        <f t="shared" si="23"/>
        <v>0-HORMH17c</v>
      </c>
      <c r="AK20" s="347">
        <f t="shared" si="9"/>
        <v>16</v>
      </c>
      <c r="AL20" s="348">
        <f t="shared" si="24"/>
        <v>21</v>
      </c>
      <c r="AM20" s="347">
        <f t="shared" si="25"/>
        <v>5</v>
      </c>
      <c r="AN20" s="382">
        <f>IF(AND(AH20&gt;0,B20&lt;&gt;""),VLOOKUP(I20,'AUX-NIV2'!$B:$AP,40,FALSE)*O20,0)</f>
        <v>0.16666666666666666</v>
      </c>
      <c r="AO20" s="382">
        <f t="shared" si="10"/>
        <v>5.8073333333333332</v>
      </c>
      <c r="AQ20" s="395">
        <f>(IF($H20="x",VLOOKUP($I20,'AUX-NIV2'!$B:$X,'AUX-NIV1'!AQ$3,FALSE),0)+($AV20*'AUX-NIV3'!S$4))*$O20+IF($H20=AQ$4,$P20,0)</f>
        <v>70.413404616112047</v>
      </c>
      <c r="AR20" s="395">
        <f>(IF($H20="x",VLOOKUP($I20,'AUX-NIV2'!$B:$X,'AUX-NIV1'!AR$3,FALSE),0)+($AV20*'AUX-NIV3'!T$4))*$O20+IF($H20=AR$4,$P20,0)</f>
        <v>0</v>
      </c>
      <c r="AS20" s="395">
        <f>(IF($H20="x",VLOOKUP($I20,'AUX-NIV2'!$B:$X,'AUX-NIV1'!AS$3,FALSE),0)+($AV20*'AUX-NIV3'!U$4))*$O20+IF($H20=AS$4,$P20,0)</f>
        <v>64.006</v>
      </c>
      <c r="AT20" s="395">
        <f>(IF($H20="x",VLOOKUP($I20,'AUX-NIV2'!$B:$X,'AUX-NIV1'!AT$3,FALSE),0)+($AV20*'AUX-NIV3'!V$4))*$O20+IF($H20=AT$4,$P20,0)</f>
        <v>0</v>
      </c>
      <c r="AU20" s="395">
        <f>(IF($H20="x",VLOOKUP($I20,'AUX-NIV2'!$B:$X,'AUX-NIV1'!AU$3,FALSE),0)+($AV20*'AUX-NIV3'!W$4))*$O20+IF($H20=AU$4,$P20,0)</f>
        <v>0</v>
      </c>
      <c r="AV20" s="395">
        <f>+IF($H20="x",VLOOKUP($I20,'AUX-NIV2'!$B:$X,'AUX-NIV1'!AV$3,FALSE),0)</f>
        <v>0</v>
      </c>
    </row>
    <row r="21" spans="2:48" ht="13.8" hidden="1" thickTop="1">
      <c r="B21" s="324" t="s">
        <v>50</v>
      </c>
      <c r="C21" s="325" t="s">
        <v>803</v>
      </c>
      <c r="D21" s="326" t="s">
        <v>1160</v>
      </c>
      <c r="E21" s="349">
        <f>IF(B21&lt;&gt;"",+SUMIF(Items!C:C,'AUX-NIV1'!B21,Items!H:H),"")</f>
        <v>0</v>
      </c>
      <c r="F21" s="349">
        <f t="shared" si="0"/>
        <v>6334.7210988539509</v>
      </c>
      <c r="G21" s="349">
        <f t="shared" si="1"/>
        <v>0</v>
      </c>
      <c r="H21" s="1395" t="str">
        <f t="shared" si="11"/>
        <v>X</v>
      </c>
      <c r="I21" s="1375" t="s">
        <v>1256</v>
      </c>
      <c r="J21" s="350" t="str">
        <f>IF(B21&lt;&gt;"",+VLOOKUP(I21,Recursos!C:F,2,FALSE),"")</f>
        <v xml:space="preserve">Encofrados para Hormigones </v>
      </c>
      <c r="K21" s="351" t="str">
        <f>IF(B21&lt;&gt;"",+VLOOKUP(I21,Recursos!C:F,3,FALSE),"")</f>
        <v>m2</v>
      </c>
      <c r="L21" s="349">
        <f>IF(B21&lt;&gt;"",+VLOOKUP(I21,Recursos!C:F,4,FALSE),"")</f>
        <v>5261.6988424670626</v>
      </c>
      <c r="M21" s="331">
        <v>1</v>
      </c>
      <c r="N21" s="331">
        <v>1</v>
      </c>
      <c r="O21" s="362">
        <f t="shared" si="26"/>
        <v>1</v>
      </c>
      <c r="P21" s="352">
        <f t="shared" si="13"/>
        <v>5261.6988424670626</v>
      </c>
      <c r="Q21" s="349">
        <f t="shared" si="14"/>
        <v>0</v>
      </c>
      <c r="R21" s="353">
        <f t="shared" si="15"/>
        <v>0</v>
      </c>
      <c r="S21" s="354">
        <f t="shared" si="2"/>
        <v>0</v>
      </c>
      <c r="T21" s="354">
        <f t="shared" si="3"/>
        <v>0</v>
      </c>
      <c r="U21" s="355">
        <f t="shared" si="4"/>
        <v>0</v>
      </c>
      <c r="V21" s="355">
        <f t="shared" si="5"/>
        <v>0</v>
      </c>
      <c r="W21" s="355">
        <f t="shared" si="6"/>
        <v>190</v>
      </c>
      <c r="X21" s="355">
        <f t="shared" si="7"/>
        <v>6144.7210988539509</v>
      </c>
      <c r="Y21" s="396"/>
      <c r="Z21" s="346" t="str">
        <f t="shared" si="16"/>
        <v>0-HORMH17cA</v>
      </c>
      <c r="AA21" s="346" t="str">
        <f t="shared" si="17"/>
        <v>0-HORMH17cE</v>
      </c>
      <c r="AB21" s="346" t="str">
        <f t="shared" si="18"/>
        <v>0-HORMH17cM</v>
      </c>
      <c r="AC21" s="346" t="str">
        <f t="shared" si="19"/>
        <v>0-HORMH17cT</v>
      </c>
      <c r="AD21" s="346" t="str">
        <f t="shared" si="20"/>
        <v>0-HORMH17cS</v>
      </c>
      <c r="AE21" s="346" t="str">
        <f t="shared" si="21"/>
        <v>0-HORMH17cX</v>
      </c>
      <c r="AF21" s="346" t="str">
        <f t="shared" si="22"/>
        <v>0-HORMH17cX</v>
      </c>
      <c r="AG21" s="346">
        <f t="shared" si="8"/>
        <v>6</v>
      </c>
      <c r="AH21" s="346">
        <f>IF(B21&lt;&gt;"",+IF(H21="x",+VLOOKUP(I21,'AUX-NIV2'!B:AG,32,FALSE),0),"")</f>
        <v>13</v>
      </c>
      <c r="AI21" s="346" t="str">
        <f t="shared" si="23"/>
        <v>0-HORMH17c</v>
      </c>
      <c r="AK21" s="347">
        <f t="shared" si="9"/>
        <v>16</v>
      </c>
      <c r="AL21" s="348">
        <f t="shared" si="24"/>
        <v>21</v>
      </c>
      <c r="AM21" s="347">
        <f t="shared" si="25"/>
        <v>6</v>
      </c>
      <c r="AN21" s="382">
        <f>IF(AND(AH21&gt;0,B21&lt;&gt;""),VLOOKUP(I21,'AUX-NIV2'!$B:$AP,40,FALSE)*O21,0)</f>
        <v>5.07</v>
      </c>
      <c r="AO21" s="382">
        <f t="shared" si="10"/>
        <v>5.8073333333333332</v>
      </c>
      <c r="AQ21" s="395">
        <f>(IF($H21="x",VLOOKUP($I21,'AUX-NIV2'!$B:$X,'AUX-NIV1'!AQ$3,FALSE),0)+($AV21*'AUX-NIV3'!S$4))*$O21+IF($H21=AQ$4,$P21,0)</f>
        <v>2332.6778131052638</v>
      </c>
      <c r="AR21" s="395">
        <f>(IF($H21="x",VLOOKUP($I21,'AUX-NIV2'!$B:$X,'AUX-NIV1'!AR$3,FALSE),0)+($AV21*'AUX-NIV3'!T$4))*$O21+IF($H21=AR$4,$P21,0)</f>
        <v>44.026680000000006</v>
      </c>
      <c r="AS21" s="395">
        <f>(IF($H21="x",VLOOKUP($I21,'AUX-NIV2'!$B:$X,'AUX-NIV1'!AS$3,FALSE),0)+($AV21*'AUX-NIV3'!U$4))*$O21+IF($H21=AS$4,$P21,0)</f>
        <v>2884.9943493617993</v>
      </c>
      <c r="AT21" s="395">
        <f>(IF($H21="x",VLOOKUP($I21,'AUX-NIV2'!$B:$X,'AUX-NIV1'!AT$3,FALSE),0)+($AV21*'AUX-NIV3'!V$4))*$O21+IF($H21=AT$4,$P21,0)</f>
        <v>0</v>
      </c>
      <c r="AU21" s="395">
        <f>(IF($H21="x",VLOOKUP($I21,'AUX-NIV2'!$B:$X,'AUX-NIV1'!AU$3,FALSE),0)+($AV21*'AUX-NIV3'!W$4))*$O21+IF($H21=AU$4,$P21,0)</f>
        <v>0</v>
      </c>
      <c r="AV21" s="395">
        <f>+IF($H21="x",VLOOKUP($I21,'AUX-NIV2'!$B:$X,'AUX-NIV1'!AV$3,FALSE),0)</f>
        <v>0</v>
      </c>
    </row>
    <row r="22" spans="2:48" ht="13.8" hidden="1" thickTop="1">
      <c r="B22" s="324" t="s">
        <v>51</v>
      </c>
      <c r="C22" s="325" t="s">
        <v>1305</v>
      </c>
      <c r="D22" s="326" t="s">
        <v>546</v>
      </c>
      <c r="E22" s="349">
        <f>IF(B22&lt;&gt;"",+SUMIF(Items!C:C,'AUX-NIV1'!B22,Items!H:H),"")</f>
        <v>0</v>
      </c>
      <c r="F22" s="349">
        <f t="shared" si="0"/>
        <v>271.81996453292032</v>
      </c>
      <c r="G22" s="349">
        <f t="shared" si="1"/>
        <v>0</v>
      </c>
      <c r="H22" s="1395" t="str">
        <f t="shared" si="11"/>
        <v>X</v>
      </c>
      <c r="I22" s="1375" t="s">
        <v>180</v>
      </c>
      <c r="J22" s="350" t="str">
        <f>IF(B22&lt;&gt;"",+VLOOKUP(I22,Recursos!C:F,2,FALSE),"")</f>
        <v>Acero puesto en Obra</v>
      </c>
      <c r="K22" s="351" t="str">
        <f>IF(B22&lt;&gt;"",+VLOOKUP(I22,Recursos!C:F,3,FALSE),"")</f>
        <v>tn</v>
      </c>
      <c r="L22" s="349">
        <f>IF(B22&lt;&gt;"",+VLOOKUP(I22,Recursos!C:F,4,FALSE),"")</f>
        <v>196905.98153277466</v>
      </c>
      <c r="M22" s="331">
        <v>1.05</v>
      </c>
      <c r="N22" s="331">
        <v>1</v>
      </c>
      <c r="O22" s="362">
        <f>+M22*N22/1000</f>
        <v>1.0500000000000002E-3</v>
      </c>
      <c r="P22" s="352">
        <f t="shared" si="13"/>
        <v>206.75128060941341</v>
      </c>
      <c r="Q22" s="349">
        <f t="shared" si="14"/>
        <v>0</v>
      </c>
      <c r="R22" s="353">
        <f t="shared" si="15"/>
        <v>0</v>
      </c>
      <c r="S22" s="354">
        <f t="shared" si="2"/>
        <v>0</v>
      </c>
      <c r="T22" s="354">
        <f t="shared" si="3"/>
        <v>0</v>
      </c>
      <c r="U22" s="355">
        <f t="shared" si="4"/>
        <v>0</v>
      </c>
      <c r="V22" s="355">
        <f t="shared" si="5"/>
        <v>0</v>
      </c>
      <c r="W22" s="355">
        <f t="shared" si="6"/>
        <v>0</v>
      </c>
      <c r="X22" s="355">
        <f t="shared" si="7"/>
        <v>271.81996453292032</v>
      </c>
      <c r="Y22" s="396"/>
      <c r="Z22" s="346" t="str">
        <f t="shared" si="16"/>
        <v>0-ACEROcaA</v>
      </c>
      <c r="AA22" s="346" t="str">
        <f t="shared" si="17"/>
        <v>0-ACEROcaE</v>
      </c>
      <c r="AB22" s="346" t="str">
        <f t="shared" si="18"/>
        <v>0-ACEROcaM</v>
      </c>
      <c r="AC22" s="346" t="str">
        <f t="shared" si="19"/>
        <v>0-ACEROcaT</v>
      </c>
      <c r="AD22" s="346" t="str">
        <f t="shared" si="20"/>
        <v>0-ACEROcaS</v>
      </c>
      <c r="AE22" s="346" t="str">
        <f t="shared" si="21"/>
        <v>0-ACEROcaX</v>
      </c>
      <c r="AF22" s="346" t="str">
        <f t="shared" si="22"/>
        <v>0-ACEROcaX</v>
      </c>
      <c r="AG22" s="346">
        <f t="shared" si="8"/>
        <v>5</v>
      </c>
      <c r="AH22" s="346">
        <f>IF(B22&lt;&gt;"",+IF(H22="x",+VLOOKUP(I22,'AUX-NIV2'!B:AG,32,FALSE),0),"")</f>
        <v>6</v>
      </c>
      <c r="AI22" s="346" t="str">
        <f t="shared" si="23"/>
        <v>0-ACEROca</v>
      </c>
      <c r="AK22" s="347">
        <f t="shared" si="9"/>
        <v>22</v>
      </c>
      <c r="AL22" s="348">
        <f t="shared" si="24"/>
        <v>26</v>
      </c>
      <c r="AM22" s="347">
        <f t="shared" si="25"/>
        <v>1</v>
      </c>
      <c r="AN22" s="382">
        <f>IF(AND(AH22&gt;0,B22&lt;&gt;""),VLOOKUP(I22,'AUX-NIV2'!$B:$AP,40,FALSE)*O22,0)</f>
        <v>1.6836750000000001E-2</v>
      </c>
      <c r="AO22" s="382">
        <f t="shared" si="10"/>
        <v>0.12145875</v>
      </c>
      <c r="AQ22" s="395">
        <f>(IF($H22="x",VLOOKUP($I22,'AUX-NIV2'!$B:$X,'AUX-NIV1'!AQ$3,FALSE),0)+($AV22*'AUX-NIV3'!S$4))*$O22+IF($H22=AQ$4,$P22,0)</f>
        <v>7.1159328466280307</v>
      </c>
      <c r="AR22" s="395">
        <f>(IF($H22="x",VLOOKUP($I22,'AUX-NIV2'!$B:$X,'AUX-NIV1'!AR$3,FALSE),0)+($AV22*'AUX-NIV3'!T$4))*$O22+IF($H22=AR$4,$P22,0)</f>
        <v>4.8570903281250008E-2</v>
      </c>
      <c r="AS22" s="395">
        <f>(IF($H22="x",VLOOKUP($I22,'AUX-NIV2'!$B:$X,'AUX-NIV1'!AS$3,FALSE),0)+($AV22*'AUX-NIV3'!U$4))*$O22+IF($H22=AS$4,$P22,0)</f>
        <v>199.58677685950414</v>
      </c>
      <c r="AT22" s="395">
        <f>(IF($H22="x",VLOOKUP($I22,'AUX-NIV2'!$B:$X,'AUX-NIV1'!AT$3,FALSE),0)+($AV22*'AUX-NIV3'!V$4))*$O22+IF($H22=AT$4,$P22,0)</f>
        <v>0</v>
      </c>
      <c r="AU22" s="395">
        <f>(IF($H22="x",VLOOKUP($I22,'AUX-NIV2'!$B:$X,'AUX-NIV1'!AU$3,FALSE),0)+($AV22*'AUX-NIV3'!W$4))*$O22+IF($H22=AU$4,$P22,0)</f>
        <v>0</v>
      </c>
      <c r="AV22" s="395">
        <f>+IF($H22="x",VLOOKUP($I22,'AUX-NIV2'!$B:$X,'AUX-NIV1'!AV$3,FALSE),0)</f>
        <v>0</v>
      </c>
    </row>
    <row r="23" spans="2:48" ht="13.8" hidden="1" thickTop="1">
      <c r="B23" s="324" t="s">
        <v>51</v>
      </c>
      <c r="C23" s="325" t="s">
        <v>1305</v>
      </c>
      <c r="D23" s="326" t="s">
        <v>546</v>
      </c>
      <c r="E23" s="349">
        <f>IF(B23&lt;&gt;"",+SUMIF(Items!C:C,'AUX-NIV1'!B23,Items!H:H),"")</f>
        <v>0</v>
      </c>
      <c r="F23" s="349">
        <f t="shared" si="0"/>
        <v>271.81996453292032</v>
      </c>
      <c r="G23" s="349">
        <f t="shared" si="1"/>
        <v>0</v>
      </c>
      <c r="H23" s="1395" t="str">
        <f t="shared" si="11"/>
        <v>X</v>
      </c>
      <c r="I23" s="1375" t="s">
        <v>1258</v>
      </c>
      <c r="J23" s="350" t="str">
        <f>IF(B23&lt;&gt;"",+VLOOKUP(I23,Recursos!C:F,2,FALSE),"")</f>
        <v>Cortado y Doblado de Acero - ADN 420</v>
      </c>
      <c r="K23" s="351" t="str">
        <f>IF(B23&lt;&gt;"",+VLOOKUP(I23,Recursos!C:F,3,FALSE),"")</f>
        <v>tn</v>
      </c>
      <c r="L23" s="349">
        <f>IF(B23&lt;&gt;"",+VLOOKUP(I23,Recursos!C:F,4,FALSE),"")</f>
        <v>5738.4992568333619</v>
      </c>
      <c r="M23" s="331">
        <v>1.05</v>
      </c>
      <c r="N23" s="331">
        <v>1</v>
      </c>
      <c r="O23" s="362">
        <f>+M23*N23/1000</f>
        <v>1.0500000000000002E-3</v>
      </c>
      <c r="P23" s="352">
        <f t="shared" si="13"/>
        <v>6.0254242196750312</v>
      </c>
      <c r="Q23" s="349">
        <f t="shared" si="14"/>
        <v>0</v>
      </c>
      <c r="R23" s="353">
        <f t="shared" si="15"/>
        <v>0</v>
      </c>
      <c r="S23" s="354">
        <f t="shared" si="2"/>
        <v>0</v>
      </c>
      <c r="T23" s="354">
        <f t="shared" si="3"/>
        <v>0</v>
      </c>
      <c r="U23" s="355">
        <f t="shared" si="4"/>
        <v>0</v>
      </c>
      <c r="V23" s="355">
        <f t="shared" si="5"/>
        <v>0</v>
      </c>
      <c r="W23" s="355">
        <f t="shared" si="6"/>
        <v>0</v>
      </c>
      <c r="X23" s="355">
        <f t="shared" si="7"/>
        <v>271.81996453292032</v>
      </c>
      <c r="Y23" s="396"/>
      <c r="Z23" s="346" t="str">
        <f t="shared" si="16"/>
        <v>0-ACEROcaA</v>
      </c>
      <c r="AA23" s="346" t="str">
        <f t="shared" si="17"/>
        <v>0-ACEROcaE</v>
      </c>
      <c r="AB23" s="346" t="str">
        <f t="shared" si="18"/>
        <v>0-ACEROcaM</v>
      </c>
      <c r="AC23" s="346" t="str">
        <f t="shared" si="19"/>
        <v>0-ACEROcaT</v>
      </c>
      <c r="AD23" s="346" t="str">
        <f t="shared" si="20"/>
        <v>0-ACEROcaS</v>
      </c>
      <c r="AE23" s="346" t="str">
        <f t="shared" si="21"/>
        <v>0-ACEROcaX</v>
      </c>
      <c r="AF23" s="346" t="str">
        <f t="shared" si="22"/>
        <v>0-ACEROcaX</v>
      </c>
      <c r="AG23" s="346">
        <f t="shared" si="8"/>
        <v>5</v>
      </c>
      <c r="AH23" s="346">
        <f>IF(B23&lt;&gt;"",+IF(H23="x",+VLOOKUP(I23,'AUX-NIV2'!B:AG,32,FALSE),0),"")</f>
        <v>5</v>
      </c>
      <c r="AI23" s="346" t="str">
        <f t="shared" si="23"/>
        <v>0-ACEROca</v>
      </c>
      <c r="AK23" s="347">
        <f t="shared" si="9"/>
        <v>22</v>
      </c>
      <c r="AL23" s="348">
        <f t="shared" si="24"/>
        <v>26</v>
      </c>
      <c r="AM23" s="347">
        <f t="shared" si="25"/>
        <v>2</v>
      </c>
      <c r="AN23" s="382">
        <f>IF(AND(AH23&gt;0,B23&lt;&gt;""),VLOOKUP(I23,'AUX-NIV2'!$B:$AP,40,FALSE)*O23,0)</f>
        <v>1.2600000000000002E-2</v>
      </c>
      <c r="AO23" s="382">
        <f t="shared" si="10"/>
        <v>0.12145875</v>
      </c>
      <c r="AQ23" s="395">
        <f>(IF($H23="x",VLOOKUP($I23,'AUX-NIV2'!$B:$X,'AUX-NIV1'!AQ$3,FALSE),0)+($AV23*'AUX-NIV3'!S$4))*$O23+IF($H23=AQ$4,$P23,0)</f>
        <v>5.7896887196750306</v>
      </c>
      <c r="AR23" s="395">
        <f>(IF($H23="x",VLOOKUP($I23,'AUX-NIV2'!$B:$X,'AUX-NIV1'!AR$3,FALSE),0)+($AV23*'AUX-NIV3'!T$4))*$O23+IF($H23=AR$4,$P23,0)</f>
        <v>0.23573550000000001</v>
      </c>
      <c r="AS23" s="395">
        <f>(IF($H23="x",VLOOKUP($I23,'AUX-NIV2'!$B:$X,'AUX-NIV1'!AS$3,FALSE),0)+($AV23*'AUX-NIV3'!U$4))*$O23+IF($H23=AS$4,$P23,0)</f>
        <v>0</v>
      </c>
      <c r="AT23" s="395">
        <f>(IF($H23="x",VLOOKUP($I23,'AUX-NIV2'!$B:$X,'AUX-NIV1'!AT$3,FALSE),0)+($AV23*'AUX-NIV3'!V$4))*$O23+IF($H23=AT$4,$P23,0)</f>
        <v>0</v>
      </c>
      <c r="AU23" s="395">
        <f>(IF($H23="x",VLOOKUP($I23,'AUX-NIV2'!$B:$X,'AUX-NIV1'!AU$3,FALSE),0)+($AV23*'AUX-NIV3'!W$4))*$O23+IF($H23=AU$4,$P23,0)</f>
        <v>0</v>
      </c>
      <c r="AV23" s="395">
        <f>+IF($H23="x",VLOOKUP($I23,'AUX-NIV2'!$B:$X,'AUX-NIV1'!AV$3,FALSE),0)</f>
        <v>0</v>
      </c>
    </row>
    <row r="24" spans="2:48" ht="13.8" hidden="1" thickTop="1">
      <c r="B24" s="324" t="s">
        <v>51</v>
      </c>
      <c r="C24" s="325" t="s">
        <v>1305</v>
      </c>
      <c r="D24" s="326" t="s">
        <v>546</v>
      </c>
      <c r="E24" s="349">
        <f>IF(B24&lt;&gt;"",+SUMIF(Items!C:C,'AUX-NIV1'!B24,Items!H:H),"")</f>
        <v>0</v>
      </c>
      <c r="F24" s="349">
        <f t="shared" si="0"/>
        <v>271.81996453292032</v>
      </c>
      <c r="G24" s="349">
        <f t="shared" si="1"/>
        <v>0</v>
      </c>
      <c r="H24" s="1395" t="str">
        <f t="shared" si="11"/>
        <v>X</v>
      </c>
      <c r="I24" s="1375" t="s">
        <v>1259</v>
      </c>
      <c r="J24" s="350" t="str">
        <f>IF(B24&lt;&gt;"",+VLOOKUP(I24,Recursos!C:F,2,FALSE),"")</f>
        <v>Transporte de Armaduras (Incluye carga y descarga)</v>
      </c>
      <c r="K24" s="351" t="str">
        <f>IF(B24&lt;&gt;"",+VLOOKUP(I24,Recursos!C:F,3,FALSE),"")</f>
        <v>tn</v>
      </c>
      <c r="L24" s="349">
        <f>IF(B24&lt;&gt;"",+VLOOKUP(I24,Recursos!C:F,4,FALSE),"")</f>
        <v>1468.5768159616337</v>
      </c>
      <c r="M24" s="331">
        <v>1.05</v>
      </c>
      <c r="N24" s="331">
        <v>1</v>
      </c>
      <c r="O24" s="362">
        <f>+M24*N24/1000</f>
        <v>1.0500000000000002E-3</v>
      </c>
      <c r="P24" s="352">
        <f t="shared" si="13"/>
        <v>1.5420056567597156</v>
      </c>
      <c r="Q24" s="349">
        <f t="shared" si="14"/>
        <v>0</v>
      </c>
      <c r="R24" s="353">
        <f t="shared" si="15"/>
        <v>0</v>
      </c>
      <c r="S24" s="354">
        <f t="shared" si="2"/>
        <v>0</v>
      </c>
      <c r="T24" s="354">
        <f t="shared" si="3"/>
        <v>0</v>
      </c>
      <c r="U24" s="355">
        <f t="shared" si="4"/>
        <v>0</v>
      </c>
      <c r="V24" s="355">
        <f t="shared" si="5"/>
        <v>0</v>
      </c>
      <c r="W24" s="355">
        <f t="shared" si="6"/>
        <v>0</v>
      </c>
      <c r="X24" s="355">
        <f t="shared" si="7"/>
        <v>271.81996453292032</v>
      </c>
      <c r="Y24" s="396"/>
      <c r="Z24" s="346" t="str">
        <f t="shared" si="16"/>
        <v>0-ACEROcaA</v>
      </c>
      <c r="AA24" s="346" t="str">
        <f t="shared" si="17"/>
        <v>0-ACEROcaE</v>
      </c>
      <c r="AB24" s="346" t="str">
        <f t="shared" si="18"/>
        <v>0-ACEROcaM</v>
      </c>
      <c r="AC24" s="346" t="str">
        <f t="shared" si="19"/>
        <v>0-ACEROcaT</v>
      </c>
      <c r="AD24" s="346" t="str">
        <f t="shared" si="20"/>
        <v>0-ACEROcaS</v>
      </c>
      <c r="AE24" s="346" t="str">
        <f t="shared" si="21"/>
        <v>0-ACEROcaX</v>
      </c>
      <c r="AF24" s="346" t="str">
        <f t="shared" si="22"/>
        <v>0-ACEROcaX</v>
      </c>
      <c r="AG24" s="346">
        <f t="shared" si="8"/>
        <v>5</v>
      </c>
      <c r="AH24" s="346">
        <f>IF(B24&lt;&gt;"",+IF(H24="x",+VLOOKUP(I24,'AUX-NIV2'!B:AG,32,FALSE),0),"")</f>
        <v>5</v>
      </c>
      <c r="AI24" s="346" t="str">
        <f t="shared" si="23"/>
        <v>0-ACEROca</v>
      </c>
      <c r="AK24" s="347">
        <f t="shared" si="9"/>
        <v>22</v>
      </c>
      <c r="AL24" s="348">
        <f t="shared" si="24"/>
        <v>26</v>
      </c>
      <c r="AM24" s="347">
        <f t="shared" si="25"/>
        <v>3</v>
      </c>
      <c r="AN24" s="382">
        <f>IF(AND(AH24&gt;0,B24&lt;&gt;""),VLOOKUP(I24,'AUX-NIV2'!$B:$AP,40,FALSE)*O24,0)</f>
        <v>6.3000000000000003E-4</v>
      </c>
      <c r="AO24" s="382">
        <f t="shared" si="10"/>
        <v>0.12145875</v>
      </c>
      <c r="AQ24" s="395">
        <f>(IF($H24="x",VLOOKUP($I24,'AUX-NIV2'!$B:$X,'AUX-NIV1'!AQ$3,FALSE),0)+($AV24*'AUX-NIV3'!S$4))*$O24+IF($H24=AQ$4,$P24,0)</f>
        <v>0.29351772550971517</v>
      </c>
      <c r="AR24" s="395">
        <f>(IF($H24="x",VLOOKUP($I24,'AUX-NIV2'!$B:$X,'AUX-NIV1'!AR$3,FALSE),0)+($AV24*'AUX-NIV3'!T$4))*$O24+IF($H24=AR$4,$P24,0)</f>
        <v>1.2484879312500003</v>
      </c>
      <c r="AS24" s="395">
        <f>(IF($H24="x",VLOOKUP($I24,'AUX-NIV2'!$B:$X,'AUX-NIV1'!AS$3,FALSE),0)+($AV24*'AUX-NIV3'!U$4))*$O24+IF($H24=AS$4,$P24,0)</f>
        <v>0</v>
      </c>
      <c r="AT24" s="395">
        <f>(IF($H24="x",VLOOKUP($I24,'AUX-NIV2'!$B:$X,'AUX-NIV1'!AT$3,FALSE),0)+($AV24*'AUX-NIV3'!V$4))*$O24+IF($H24=AT$4,$P24,0)</f>
        <v>0</v>
      </c>
      <c r="AU24" s="395">
        <f>(IF($H24="x",VLOOKUP($I24,'AUX-NIV2'!$B:$X,'AUX-NIV1'!AU$3,FALSE),0)+($AV24*'AUX-NIV3'!W$4))*$O24+IF($H24=AU$4,$P24,0)</f>
        <v>0</v>
      </c>
      <c r="AV24" s="395">
        <f>+IF($H24="x",VLOOKUP($I24,'AUX-NIV2'!$B:$X,'AUX-NIV1'!AV$3,FALSE),0)</f>
        <v>0</v>
      </c>
    </row>
    <row r="25" spans="2:48" ht="13.8" hidden="1" thickTop="1">
      <c r="B25" s="324" t="s">
        <v>51</v>
      </c>
      <c r="C25" s="325" t="s">
        <v>1305</v>
      </c>
      <c r="D25" s="326" t="s">
        <v>546</v>
      </c>
      <c r="E25" s="349">
        <f>IF(B25&lt;&gt;"",+SUMIF(Items!C:C,'AUX-NIV1'!B25,Items!H:H),"")</f>
        <v>0</v>
      </c>
      <c r="F25" s="349">
        <f t="shared" si="0"/>
        <v>271.81996453292032</v>
      </c>
      <c r="G25" s="349">
        <f t="shared" si="1"/>
        <v>0</v>
      </c>
      <c r="H25" s="1395" t="str">
        <f t="shared" si="11"/>
        <v>X</v>
      </c>
      <c r="I25" s="1375" t="s">
        <v>1260</v>
      </c>
      <c r="J25" s="350" t="str">
        <f>IF(B25&lt;&gt;"",+VLOOKUP(I25,Recursos!C:F,2,FALSE),"")</f>
        <v>Colocación Manual de Armaduras</v>
      </c>
      <c r="K25" s="351" t="str">
        <f>IF(B25&lt;&gt;"",+VLOOKUP(I25,Recursos!C:F,3,FALSE),"")</f>
        <v>tn</v>
      </c>
      <c r="L25" s="349">
        <f>IF(B25&lt;&gt;"",+VLOOKUP(I25,Recursos!C:F,4,FALSE),"")</f>
        <v>57070.536358063975</v>
      </c>
      <c r="M25" s="331">
        <v>1.05</v>
      </c>
      <c r="N25" s="331">
        <v>0.2</v>
      </c>
      <c r="O25" s="362">
        <f>+M25*N25/1000</f>
        <v>2.1000000000000001E-4</v>
      </c>
      <c r="P25" s="352">
        <f t="shared" si="13"/>
        <v>11.984812635193435</v>
      </c>
      <c r="Q25" s="349">
        <f t="shared" si="14"/>
        <v>0</v>
      </c>
      <c r="R25" s="353">
        <f t="shared" si="15"/>
        <v>0</v>
      </c>
      <c r="S25" s="354">
        <f t="shared" si="2"/>
        <v>0</v>
      </c>
      <c r="T25" s="354">
        <f t="shared" si="3"/>
        <v>0</v>
      </c>
      <c r="U25" s="355">
        <f t="shared" si="4"/>
        <v>0</v>
      </c>
      <c r="V25" s="355">
        <f t="shared" si="5"/>
        <v>0</v>
      </c>
      <c r="W25" s="355">
        <f t="shared" si="6"/>
        <v>0</v>
      </c>
      <c r="X25" s="355">
        <f t="shared" si="7"/>
        <v>271.81996453292032</v>
      </c>
      <c r="Y25" s="396"/>
      <c r="Z25" s="346" t="str">
        <f t="shared" si="16"/>
        <v>0-ACEROcaA</v>
      </c>
      <c r="AA25" s="346" t="str">
        <f t="shared" si="17"/>
        <v>0-ACEROcaE</v>
      </c>
      <c r="AB25" s="346" t="str">
        <f t="shared" si="18"/>
        <v>0-ACEROcaM</v>
      </c>
      <c r="AC25" s="346" t="str">
        <f t="shared" si="19"/>
        <v>0-ACEROcaT</v>
      </c>
      <c r="AD25" s="346" t="str">
        <f t="shared" si="20"/>
        <v>0-ACEROcaS</v>
      </c>
      <c r="AE25" s="346" t="str">
        <f t="shared" si="21"/>
        <v>0-ACEROcaX</v>
      </c>
      <c r="AF25" s="346" t="str">
        <f t="shared" si="22"/>
        <v>0-ACEROcaX</v>
      </c>
      <c r="AG25" s="346">
        <f t="shared" si="8"/>
        <v>5</v>
      </c>
      <c r="AH25" s="346">
        <f>IF(B25&lt;&gt;"",+IF(H25="x",+VLOOKUP(I25,'AUX-NIV2'!B:AG,32,FALSE),0),"")</f>
        <v>7</v>
      </c>
      <c r="AI25" s="346" t="str">
        <f t="shared" si="23"/>
        <v>0-ACEROca</v>
      </c>
      <c r="AK25" s="347">
        <f t="shared" si="9"/>
        <v>22</v>
      </c>
      <c r="AL25" s="348">
        <f t="shared" si="24"/>
        <v>26</v>
      </c>
      <c r="AM25" s="347">
        <f t="shared" si="25"/>
        <v>4</v>
      </c>
      <c r="AN25" s="382">
        <f>IF(AND(AH25&gt;0,B25&lt;&gt;""),VLOOKUP(I25,'AUX-NIV2'!$B:$AP,40,FALSE)*O25,0)</f>
        <v>1.9740000000000001E-2</v>
      </c>
      <c r="AO25" s="382">
        <f t="shared" si="10"/>
        <v>0.12145875</v>
      </c>
      <c r="AQ25" s="395">
        <f>(IF($H25="x",VLOOKUP($I25,'AUX-NIV2'!$B:$X,'AUX-NIV1'!AQ$3,FALSE),0)+($AV25*'AUX-NIV3'!S$4))*$O25+IF($H25=AQ$4,$P25,0)</f>
        <v>9.605446089870604</v>
      </c>
      <c r="AR25" s="395">
        <f>(IF($H25="x",VLOOKUP($I25,'AUX-NIV2'!$B:$X,'AUX-NIV1'!AR$3,FALSE),0)+($AV25*'AUX-NIV3'!T$4))*$O25+IF($H25=AR$4,$P25,0)</f>
        <v>6.2424396562500005E-2</v>
      </c>
      <c r="AS25" s="395">
        <f>(IF($H25="x",VLOOKUP($I25,'AUX-NIV2'!$B:$X,'AUX-NIV1'!AS$3,FALSE),0)+($AV25*'AUX-NIV3'!U$4))*$O25+IF($H25=AS$4,$P25,0)</f>
        <v>2.3169421487603308</v>
      </c>
      <c r="AT25" s="395">
        <f>(IF($H25="x",VLOOKUP($I25,'AUX-NIV2'!$B:$X,'AUX-NIV1'!AT$3,FALSE),0)+($AV25*'AUX-NIV3'!V$4))*$O25+IF($H25=AT$4,$P25,0)</f>
        <v>0</v>
      </c>
      <c r="AU25" s="395">
        <f>(IF($H25="x",VLOOKUP($I25,'AUX-NIV2'!$B:$X,'AUX-NIV1'!AU$3,FALSE),0)+($AV25*'AUX-NIV3'!W$4))*$O25+IF($H25=AU$4,$P25,0)</f>
        <v>0</v>
      </c>
      <c r="AV25" s="395">
        <f>+IF($H25="x",VLOOKUP($I25,'AUX-NIV2'!$B:$X,'AUX-NIV1'!AV$3,FALSE),0)</f>
        <v>0</v>
      </c>
    </row>
    <row r="26" spans="2:48" ht="13.8" hidden="1" thickTop="1">
      <c r="B26" s="324" t="s">
        <v>51</v>
      </c>
      <c r="C26" s="325" t="s">
        <v>1305</v>
      </c>
      <c r="D26" s="326" t="s">
        <v>546</v>
      </c>
      <c r="E26" s="349">
        <f>IF(B26&lt;&gt;"",+SUMIF(Items!C:C,'AUX-NIV1'!B26,Items!H:H),"")</f>
        <v>0</v>
      </c>
      <c r="F26" s="349">
        <f t="shared" si="0"/>
        <v>271.81996453292032</v>
      </c>
      <c r="G26" s="349">
        <f t="shared" si="1"/>
        <v>0</v>
      </c>
      <c r="H26" s="1395" t="str">
        <f t="shared" si="11"/>
        <v>X</v>
      </c>
      <c r="I26" s="1375" t="s">
        <v>1261</v>
      </c>
      <c r="J26" s="350" t="str">
        <f>IF(B26&lt;&gt;"",+VLOOKUP(I26,Recursos!C:F,2,FALSE),"")</f>
        <v>Colocación de Armadura con Grúa</v>
      </c>
      <c r="K26" s="351" t="str">
        <f>IF(B26&lt;&gt;"",+VLOOKUP(I26,Recursos!C:F,3,FALSE),"")</f>
        <v>tn</v>
      </c>
      <c r="L26" s="349">
        <f>IF(B26&lt;&gt;"",+VLOOKUP(I26,Recursos!C:F,4,FALSE),"")</f>
        <v>54186.239776046117</v>
      </c>
      <c r="M26" s="331">
        <v>1.05</v>
      </c>
      <c r="N26" s="331">
        <v>0.8</v>
      </c>
      <c r="O26" s="362">
        <f>+M26*N26/1000</f>
        <v>8.4000000000000003E-4</v>
      </c>
      <c r="P26" s="352">
        <f t="shared" si="13"/>
        <v>45.516441411878738</v>
      </c>
      <c r="Q26" s="349">
        <f t="shared" si="14"/>
        <v>0</v>
      </c>
      <c r="R26" s="353">
        <f t="shared" si="15"/>
        <v>0</v>
      </c>
      <c r="S26" s="354">
        <f t="shared" si="2"/>
        <v>0</v>
      </c>
      <c r="T26" s="354">
        <f t="shared" si="3"/>
        <v>0</v>
      </c>
      <c r="U26" s="355">
        <f t="shared" si="4"/>
        <v>0</v>
      </c>
      <c r="V26" s="355">
        <f t="shared" si="5"/>
        <v>0</v>
      </c>
      <c r="W26" s="355">
        <f t="shared" si="6"/>
        <v>0</v>
      </c>
      <c r="X26" s="355">
        <f t="shared" si="7"/>
        <v>271.81996453292032</v>
      </c>
      <c r="Y26" s="396"/>
      <c r="Z26" s="346" t="str">
        <f t="shared" si="16"/>
        <v>0-ACEROcaA</v>
      </c>
      <c r="AA26" s="346" t="str">
        <f t="shared" si="17"/>
        <v>0-ACEROcaE</v>
      </c>
      <c r="AB26" s="346" t="str">
        <f t="shared" si="18"/>
        <v>0-ACEROcaM</v>
      </c>
      <c r="AC26" s="346" t="str">
        <f t="shared" si="19"/>
        <v>0-ACEROcaT</v>
      </c>
      <c r="AD26" s="346" t="str">
        <f t="shared" si="20"/>
        <v>0-ACEROcaS</v>
      </c>
      <c r="AE26" s="346" t="str">
        <f t="shared" si="21"/>
        <v>0-ACEROcaX</v>
      </c>
      <c r="AF26" s="346" t="str">
        <f t="shared" si="22"/>
        <v>0-ACEROcaX</v>
      </c>
      <c r="AG26" s="346">
        <f t="shared" si="8"/>
        <v>5</v>
      </c>
      <c r="AH26" s="346">
        <f>IF(B26&lt;&gt;"",+IF(H26="x",+VLOOKUP(I26,'AUX-NIV2'!B:AG,32,FALSE),0),"")</f>
        <v>8</v>
      </c>
      <c r="AI26" s="346" t="str">
        <f t="shared" si="23"/>
        <v>0-ACEROca</v>
      </c>
      <c r="AK26" s="347">
        <f t="shared" si="9"/>
        <v>22</v>
      </c>
      <c r="AL26" s="348">
        <f t="shared" si="24"/>
        <v>26</v>
      </c>
      <c r="AM26" s="347">
        <f t="shared" si="25"/>
        <v>5</v>
      </c>
      <c r="AN26" s="382">
        <f>IF(AND(AH26&gt;0,B26&lt;&gt;""),VLOOKUP(I26,'AUX-NIV2'!$B:$AP,40,FALSE)*O26,0)</f>
        <v>7.1652000000000007E-2</v>
      </c>
      <c r="AO26" s="382">
        <f t="shared" si="10"/>
        <v>0.12145875</v>
      </c>
      <c r="AQ26" s="395">
        <f>(IF($H26="x",VLOOKUP($I26,'AUX-NIV2'!$B:$X,'AUX-NIV1'!AQ$3,FALSE),0)+($AV26*'AUX-NIV3'!S$4))*$O26+IF($H26=AQ$4,$P26,0)</f>
        <v>35.507467602437423</v>
      </c>
      <c r="AR26" s="395">
        <f>(IF($H26="x",VLOOKUP($I26,'AUX-NIV2'!$B:$X,'AUX-NIV1'!AR$3,FALSE),0)+($AV26*'AUX-NIV3'!T$4))*$O26+IF($H26=AR$4,$P26,0)</f>
        <v>0.74120521439999998</v>
      </c>
      <c r="AS26" s="395">
        <f>(IF($H26="x",VLOOKUP($I26,'AUX-NIV2'!$B:$X,'AUX-NIV1'!AS$3,FALSE),0)+($AV26*'AUX-NIV3'!U$4))*$O26+IF($H26=AS$4,$P26,0)</f>
        <v>9.2677685950413231</v>
      </c>
      <c r="AT26" s="395">
        <f>(IF($H26="x",VLOOKUP($I26,'AUX-NIV2'!$B:$X,'AUX-NIV1'!AT$3,FALSE),0)+($AV26*'AUX-NIV3'!V$4))*$O26+IF($H26=AT$4,$P26,0)</f>
        <v>0</v>
      </c>
      <c r="AU26" s="395">
        <f>(IF($H26="x",VLOOKUP($I26,'AUX-NIV2'!$B:$X,'AUX-NIV1'!AU$3,FALSE),0)+($AV26*'AUX-NIV3'!W$4))*$O26+IF($H26=AU$4,$P26,0)</f>
        <v>0</v>
      </c>
      <c r="AV26" s="395">
        <f>+IF($H26="x",VLOOKUP($I26,'AUX-NIV2'!$B:$X,'AUX-NIV1'!AV$3,FALSE),0)</f>
        <v>0</v>
      </c>
    </row>
    <row r="27" spans="2:48" ht="13.8" thickTop="1">
      <c r="B27" s="324" t="s">
        <v>52</v>
      </c>
      <c r="C27" s="325" t="s">
        <v>122</v>
      </c>
      <c r="D27" s="326" t="s">
        <v>1160</v>
      </c>
      <c r="E27" s="349">
        <f>IF(B27&lt;&gt;"",+SUMIF(Items!C:C,'AUX-NIV1'!B27,Items!H:H),"")</f>
        <v>0.24</v>
      </c>
      <c r="F27" s="349">
        <f t="shared" si="0"/>
        <v>3645.8586237264703</v>
      </c>
      <c r="G27" s="349">
        <f t="shared" si="1"/>
        <v>875.00606969435285</v>
      </c>
      <c r="H27" s="1395" t="str">
        <f t="shared" si="11"/>
        <v>X</v>
      </c>
      <c r="I27" s="1375" t="s">
        <v>1253</v>
      </c>
      <c r="J27" s="350" t="str">
        <f>IF(B27&lt;&gt;"",+VLOOKUP(I27,Recursos!C:F,2,FALSE),"")</f>
        <v>Obt-Transp. de Agua p/Hormigones</v>
      </c>
      <c r="K27" s="351" t="str">
        <f>IF(B27&lt;&gt;"",+VLOOKUP(I27,Recursos!C:F,3,FALSE),"")</f>
        <v>m3</v>
      </c>
      <c r="L27" s="349">
        <f>IF(B27&lt;&gt;"",+VLOOKUP(I27,Recursos!C:F,4,FALSE),"")</f>
        <v>352.16492140392978</v>
      </c>
      <c r="M27" s="331">
        <v>1E-3</v>
      </c>
      <c r="N27" s="331">
        <v>0</v>
      </c>
      <c r="O27" s="362">
        <f t="shared" ref="O27:O31" si="27">+M27*N27</f>
        <v>0</v>
      </c>
      <c r="P27" s="352">
        <f t="shared" si="13"/>
        <v>0</v>
      </c>
      <c r="Q27" s="349">
        <f t="shared" si="14"/>
        <v>0</v>
      </c>
      <c r="R27" s="353">
        <f t="shared" si="15"/>
        <v>0</v>
      </c>
      <c r="S27" s="354">
        <f t="shared" si="2"/>
        <v>0</v>
      </c>
      <c r="T27" s="354">
        <f t="shared" si="3"/>
        <v>0</v>
      </c>
      <c r="U27" s="355">
        <f t="shared" si="4"/>
        <v>0</v>
      </c>
      <c r="V27" s="355">
        <f t="shared" si="5"/>
        <v>0</v>
      </c>
      <c r="W27" s="355">
        <f t="shared" si="6"/>
        <v>0</v>
      </c>
      <c r="X27" s="355">
        <f t="shared" si="7"/>
        <v>3645.8586237264703</v>
      </c>
      <c r="Y27" s="396"/>
      <c r="Z27" s="346" t="str">
        <f t="shared" si="16"/>
        <v>0-HORMH08A</v>
      </c>
      <c r="AA27" s="346" t="str">
        <f t="shared" si="17"/>
        <v>0-HORMH08E</v>
      </c>
      <c r="AB27" s="346" t="str">
        <f t="shared" si="18"/>
        <v>0-HORMH08M</v>
      </c>
      <c r="AC27" s="346" t="str">
        <f t="shared" si="19"/>
        <v>0-HORMH08T</v>
      </c>
      <c r="AD27" s="346" t="str">
        <f t="shared" si="20"/>
        <v>0-HORMH08S</v>
      </c>
      <c r="AE27" s="346" t="str">
        <f t="shared" si="21"/>
        <v>0-HORMH08X</v>
      </c>
      <c r="AF27" s="346" t="str">
        <f t="shared" si="22"/>
        <v>0-HORMH08X</v>
      </c>
      <c r="AG27" s="346">
        <f t="shared" si="8"/>
        <v>6</v>
      </c>
      <c r="AH27" s="346">
        <f>IF(B27&lt;&gt;"",+IF(H27="x",+VLOOKUP(I27,'AUX-NIV2'!B:AG,32,FALSE),0),"")</f>
        <v>7</v>
      </c>
      <c r="AI27" s="346" t="str">
        <f t="shared" si="23"/>
        <v>0-HORMH08</v>
      </c>
      <c r="AK27" s="347">
        <f t="shared" si="9"/>
        <v>27</v>
      </c>
      <c r="AL27" s="348">
        <f t="shared" si="24"/>
        <v>32</v>
      </c>
      <c r="AM27" s="347">
        <f t="shared" si="25"/>
        <v>1</v>
      </c>
      <c r="AN27" s="382">
        <f>IF(AND(AH27&gt;0,B27&lt;&gt;""),VLOOKUP(I27,'AUX-NIV2'!$B:$AP,40,FALSE)*O27,0)</f>
        <v>0</v>
      </c>
      <c r="AO27" s="382">
        <f t="shared" si="10"/>
        <v>0.38942399999999999</v>
      </c>
      <c r="AQ27" s="395">
        <f>(IF($H27="x",VLOOKUP($I27,'AUX-NIV2'!$B:$X,'AUX-NIV1'!AQ$3,FALSE),0)+($AV27*'AUX-NIV3'!S$4))*$O27+IF($H27=AQ$4,$P27,0)</f>
        <v>0</v>
      </c>
      <c r="AR27" s="395">
        <f>(IF($H27="x",VLOOKUP($I27,'AUX-NIV2'!$B:$X,'AUX-NIV1'!AR$3,FALSE),0)+($AV27*'AUX-NIV3'!T$4))*$O27+IF($H27=AR$4,$P27,0)</f>
        <v>0</v>
      </c>
      <c r="AS27" s="395">
        <f>(IF($H27="x",VLOOKUP($I27,'AUX-NIV2'!$B:$X,'AUX-NIV1'!AS$3,FALSE),0)+($AV27*'AUX-NIV3'!U$4))*$O27+IF($H27=AS$4,$P27,0)</f>
        <v>0</v>
      </c>
      <c r="AT27" s="395">
        <f>(IF($H27="x",VLOOKUP($I27,'AUX-NIV2'!$B:$X,'AUX-NIV1'!AT$3,FALSE),0)+($AV27*'AUX-NIV3'!V$4))*$O27+IF($H27=AT$4,$P27,0)</f>
        <v>0</v>
      </c>
      <c r="AU27" s="395">
        <f>(IF($H27="x",VLOOKUP($I27,'AUX-NIV2'!$B:$X,'AUX-NIV1'!AU$3,FALSE),0)+($AV27*'AUX-NIV3'!W$4))*$O27+IF($H27=AU$4,$P27,0)</f>
        <v>0</v>
      </c>
      <c r="AV27" s="395">
        <f>+IF($H27="x",VLOOKUP($I27,'AUX-NIV2'!$B:$X,'AUX-NIV1'!AV$3,FALSE),0)</f>
        <v>0</v>
      </c>
    </row>
    <row r="28" spans="2:48">
      <c r="B28" s="324" t="s">
        <v>52</v>
      </c>
      <c r="C28" s="325" t="s">
        <v>122</v>
      </c>
      <c r="D28" s="326" t="s">
        <v>1160</v>
      </c>
      <c r="E28" s="349">
        <f>IF(B28&lt;&gt;"",+SUMIF(Items!C:C,'AUX-NIV1'!B28,Items!H:H),"")</f>
        <v>0.24</v>
      </c>
      <c r="F28" s="349">
        <f t="shared" si="0"/>
        <v>3645.8586237264703</v>
      </c>
      <c r="G28" s="349">
        <f t="shared" si="1"/>
        <v>875.00606969435285</v>
      </c>
      <c r="H28" s="1395" t="str">
        <f t="shared" si="11"/>
        <v>X</v>
      </c>
      <c r="I28" s="1375" t="s">
        <v>1254</v>
      </c>
      <c r="J28" s="350" t="str">
        <f>IF(B28&lt;&gt;"",+VLOOKUP(I28,Recursos!C:F,2,FALSE),"")</f>
        <v>Producción de Hormigón - In Situ- Hormigonera 500 L(Sin Materiales)</v>
      </c>
      <c r="K28" s="351" t="str">
        <f>IF(B28&lt;&gt;"",+VLOOKUP(I28,Recursos!C:F,3,FALSE),"")</f>
        <v>m3</v>
      </c>
      <c r="L28" s="349">
        <f>IF(B28&lt;&gt;"",+VLOOKUP(I28,Recursos!C:F,4,FALSE),"")</f>
        <v>1555.538909786103</v>
      </c>
      <c r="M28" s="331">
        <v>1E-3</v>
      </c>
      <c r="N28" s="331">
        <v>1.05</v>
      </c>
      <c r="O28" s="362">
        <f t="shared" si="27"/>
        <v>1.0500000000000002E-3</v>
      </c>
      <c r="P28" s="352">
        <f t="shared" si="13"/>
        <v>1.6333158552754083</v>
      </c>
      <c r="Q28" s="349">
        <f t="shared" si="14"/>
        <v>2.5200000000000005E-4</v>
      </c>
      <c r="R28" s="353">
        <f t="shared" si="15"/>
        <v>0.39199580526609801</v>
      </c>
      <c r="S28" s="354">
        <f t="shared" si="2"/>
        <v>0</v>
      </c>
      <c r="T28" s="354">
        <f t="shared" si="3"/>
        <v>0</v>
      </c>
      <c r="U28" s="355">
        <f t="shared" si="4"/>
        <v>0</v>
      </c>
      <c r="V28" s="355">
        <f t="shared" si="5"/>
        <v>0</v>
      </c>
      <c r="W28" s="355">
        <f t="shared" si="6"/>
        <v>0</v>
      </c>
      <c r="X28" s="355">
        <f t="shared" si="7"/>
        <v>3645.8586237264703</v>
      </c>
      <c r="Y28" s="396"/>
      <c r="Z28" s="346" t="str">
        <f t="shared" si="16"/>
        <v>0-HORMH08A</v>
      </c>
      <c r="AA28" s="346" t="str">
        <f t="shared" si="17"/>
        <v>0-HORMH08E</v>
      </c>
      <c r="AB28" s="346" t="str">
        <f t="shared" si="18"/>
        <v>0-HORMH08M</v>
      </c>
      <c r="AC28" s="346" t="str">
        <f t="shared" si="19"/>
        <v>0-HORMH08T</v>
      </c>
      <c r="AD28" s="346" t="str">
        <f t="shared" si="20"/>
        <v>0-HORMH08S</v>
      </c>
      <c r="AE28" s="346" t="str">
        <f t="shared" si="21"/>
        <v>0-HORMH08X</v>
      </c>
      <c r="AF28" s="346" t="str">
        <f t="shared" si="22"/>
        <v>0-HORMH08X</v>
      </c>
      <c r="AG28" s="346">
        <f t="shared" si="8"/>
        <v>6</v>
      </c>
      <c r="AH28" s="346">
        <f>IF(B28&lt;&gt;"",+IF(H28="x",+VLOOKUP(I28,'AUX-NIV2'!B:AG,32,FALSE),0),"")</f>
        <v>4</v>
      </c>
      <c r="AI28" s="346" t="str">
        <f t="shared" si="23"/>
        <v>0-HORMH08</v>
      </c>
      <c r="AK28" s="347">
        <f t="shared" si="9"/>
        <v>27</v>
      </c>
      <c r="AL28" s="348">
        <f t="shared" si="24"/>
        <v>32</v>
      </c>
      <c r="AM28" s="347">
        <f t="shared" si="25"/>
        <v>2</v>
      </c>
      <c r="AN28" s="382">
        <f>IF(AND(AH28&gt;0,B28&lt;&gt;""),VLOOKUP(I28,'AUX-NIV2'!$B:$AP,40,FALSE)*O28,0)</f>
        <v>3.1500000000000005E-3</v>
      </c>
      <c r="AO28" s="382">
        <f t="shared" si="10"/>
        <v>0.38942399999999999</v>
      </c>
      <c r="AQ28" s="395">
        <f>(IF($H28="x",VLOOKUP($I28,'AUX-NIV2'!$B:$X,'AUX-NIV1'!AQ$3,FALSE),0)+($AV28*'AUX-NIV3'!S$4))*$O28+IF($H28=AQ$4,$P28,0)</f>
        <v>1.4089706502754082</v>
      </c>
      <c r="AR28" s="395">
        <f>(IF($H28="x",VLOOKUP($I28,'AUX-NIV2'!$B:$X,'AUX-NIV1'!AR$3,FALSE),0)+($AV28*'AUX-NIV3'!T$4))*$O28+IF($H28=AR$4,$P28,0)</f>
        <v>0.22382020500000002</v>
      </c>
      <c r="AS28" s="395">
        <f>(IF($H28="x",VLOOKUP($I28,'AUX-NIV2'!$B:$X,'AUX-NIV1'!AS$3,FALSE),0)+($AV28*'AUX-NIV3'!U$4))*$O28+IF($H28=AS$4,$P28,0)</f>
        <v>5.2500000000000008E-4</v>
      </c>
      <c r="AT28" s="395">
        <f>(IF($H28="x",VLOOKUP($I28,'AUX-NIV2'!$B:$X,'AUX-NIV1'!AT$3,FALSE),0)+($AV28*'AUX-NIV3'!V$4))*$O28+IF($H28=AT$4,$P28,0)</f>
        <v>0</v>
      </c>
      <c r="AU28" s="395">
        <f>(IF($H28="x",VLOOKUP($I28,'AUX-NIV2'!$B:$X,'AUX-NIV1'!AU$3,FALSE),0)+($AV28*'AUX-NIV3'!W$4))*$O28+IF($H28=AU$4,$P28,0)</f>
        <v>0</v>
      </c>
      <c r="AV28" s="395">
        <f>+IF($H28="x",VLOOKUP($I28,'AUX-NIV2'!$B:$X,'AUX-NIV1'!AV$3,FALSE),0)</f>
        <v>0</v>
      </c>
    </row>
    <row r="29" spans="2:48">
      <c r="B29" s="324" t="s">
        <v>52</v>
      </c>
      <c r="C29" s="325" t="s">
        <v>122</v>
      </c>
      <c r="D29" s="326" t="s">
        <v>1160</v>
      </c>
      <c r="E29" s="349">
        <f>IF(B29&lt;&gt;"",+SUMIF(Items!C:C,'AUX-NIV1'!B29,Items!H:H),"")</f>
        <v>0.24</v>
      </c>
      <c r="F29" s="349">
        <f t="shared" si="0"/>
        <v>3645.8586237264703</v>
      </c>
      <c r="G29" s="349">
        <f t="shared" si="1"/>
        <v>875.00606969435285</v>
      </c>
      <c r="H29" s="1395" t="str">
        <f t="shared" si="11"/>
        <v>X</v>
      </c>
      <c r="I29" s="1375" t="s">
        <v>1263</v>
      </c>
      <c r="J29" s="350" t="str">
        <f>IF(B29&lt;&gt;"",+VLOOKUP(I29,Recursos!C:F,2,FALSE),"")</f>
        <v>Materiales Dosificación Hormigón H08</v>
      </c>
      <c r="K29" s="351" t="str">
        <f>IF(B29&lt;&gt;"",+VLOOKUP(I29,Recursos!C:F,3,FALSE),"")</f>
        <v>m3</v>
      </c>
      <c r="L29" s="349">
        <f>IF(B29&lt;&gt;"",+VLOOKUP(I29,Recursos!C:F,4,FALSE),"")</f>
        <v>3470.6907694011379</v>
      </c>
      <c r="M29" s="331">
        <v>1</v>
      </c>
      <c r="N29" s="331">
        <v>1.05</v>
      </c>
      <c r="O29" s="362">
        <f t="shared" si="27"/>
        <v>1.05</v>
      </c>
      <c r="P29" s="352">
        <f t="shared" si="13"/>
        <v>3644.2253078711951</v>
      </c>
      <c r="Q29" s="349">
        <f t="shared" si="14"/>
        <v>0.252</v>
      </c>
      <c r="R29" s="353">
        <f t="shared" si="15"/>
        <v>874.61407388908674</v>
      </c>
      <c r="S29" s="354">
        <f t="shared" si="2"/>
        <v>0</v>
      </c>
      <c r="T29" s="354">
        <f t="shared" si="3"/>
        <v>0</v>
      </c>
      <c r="U29" s="355">
        <f t="shared" si="4"/>
        <v>0</v>
      </c>
      <c r="V29" s="355">
        <f t="shared" si="5"/>
        <v>0</v>
      </c>
      <c r="W29" s="355">
        <f t="shared" si="6"/>
        <v>0</v>
      </c>
      <c r="X29" s="355">
        <f t="shared" si="7"/>
        <v>3645.8586237264703</v>
      </c>
      <c r="Y29" s="396"/>
      <c r="Z29" s="346" t="str">
        <f t="shared" si="16"/>
        <v>0-HORMH08A</v>
      </c>
      <c r="AA29" s="346" t="str">
        <f t="shared" si="17"/>
        <v>0-HORMH08E</v>
      </c>
      <c r="AB29" s="346" t="str">
        <f t="shared" si="18"/>
        <v>0-HORMH08M</v>
      </c>
      <c r="AC29" s="346" t="str">
        <f t="shared" si="19"/>
        <v>0-HORMH08T</v>
      </c>
      <c r="AD29" s="346" t="str">
        <f t="shared" si="20"/>
        <v>0-HORMH08S</v>
      </c>
      <c r="AE29" s="346" t="str">
        <f t="shared" si="21"/>
        <v>0-HORMH08X</v>
      </c>
      <c r="AF29" s="346" t="str">
        <f t="shared" si="22"/>
        <v>0-HORMH08X</v>
      </c>
      <c r="AG29" s="346">
        <f t="shared" si="8"/>
        <v>6</v>
      </c>
      <c r="AH29" s="346">
        <f>IF(B29&lt;&gt;"",+IF(H29="x",+VLOOKUP(I29,'AUX-NIV2'!B:AG,32,FALSE),0),"")</f>
        <v>13</v>
      </c>
      <c r="AI29" s="346" t="str">
        <f t="shared" si="23"/>
        <v>0-HORMH08</v>
      </c>
      <c r="AK29" s="347">
        <f t="shared" si="9"/>
        <v>27</v>
      </c>
      <c r="AL29" s="348">
        <f t="shared" si="24"/>
        <v>32</v>
      </c>
      <c r="AM29" s="347">
        <f t="shared" si="25"/>
        <v>3</v>
      </c>
      <c r="AN29" s="382">
        <f>IF(AND(AH29&gt;0,B29&lt;&gt;""),VLOOKUP(I29,'AUX-NIV2'!$B:$AP,40,FALSE)*O29,0)</f>
        <v>0.38627400000000001</v>
      </c>
      <c r="AO29" s="382">
        <f t="shared" si="10"/>
        <v>0.38942399999999999</v>
      </c>
      <c r="AQ29" s="395">
        <f>(IF($H29="x",VLOOKUP($I29,'AUX-NIV2'!$B:$X,'AUX-NIV1'!AQ$3,FALSE),0)+($AV29*'AUX-NIV3'!S$4))*$O29+IF($H29=AQ$4,$P29,0)</f>
        <v>188.99898331945897</v>
      </c>
      <c r="AR29" s="395">
        <f>(IF($H29="x",VLOOKUP($I29,'AUX-NIV2'!$B:$X,'AUX-NIV1'!AR$3,FALSE),0)+($AV29*'AUX-NIV3'!T$4))*$O29+IF($H29=AR$4,$P29,0)</f>
        <v>954.79277083272746</v>
      </c>
      <c r="AS29" s="395">
        <f>(IF($H29="x",VLOOKUP($I29,'AUX-NIV2'!$B:$X,'AUX-NIV1'!AS$3,FALSE),0)+($AV29*'AUX-NIV3'!U$4))*$O29+IF($H29=AS$4,$P29,0)</f>
        <v>2500.4335537190086</v>
      </c>
      <c r="AT29" s="395">
        <f>(IF($H29="x",VLOOKUP($I29,'AUX-NIV2'!$B:$X,'AUX-NIV1'!AT$3,FALSE),0)+($AV29*'AUX-NIV3'!V$4))*$O29+IF($H29=AT$4,$P29,0)</f>
        <v>0</v>
      </c>
      <c r="AU29" s="395">
        <f>(IF($H29="x",VLOOKUP($I29,'AUX-NIV2'!$B:$X,'AUX-NIV1'!AU$3,FALSE),0)+($AV29*'AUX-NIV3'!W$4))*$O29+IF($H29=AU$4,$P29,0)</f>
        <v>0</v>
      </c>
      <c r="AV29" s="395">
        <f>+IF($H29="x",VLOOKUP($I29,'AUX-NIV2'!$B:$X,'AUX-NIV1'!AV$3,FALSE),0)</f>
        <v>760.32147249758168</v>
      </c>
    </row>
    <row r="30" spans="2:48">
      <c r="B30" s="324" t="s">
        <v>52</v>
      </c>
      <c r="C30" s="325" t="s">
        <v>122</v>
      </c>
      <c r="D30" s="326" t="s">
        <v>1160</v>
      </c>
      <c r="E30" s="349">
        <f>IF(B30&lt;&gt;"",+SUMIF(Items!C:C,'AUX-NIV1'!B30,Items!H:H),"")</f>
        <v>0.24</v>
      </c>
      <c r="F30" s="349">
        <f t="shared" si="0"/>
        <v>3645.8586237264703</v>
      </c>
      <c r="G30" s="349">
        <f t="shared" si="1"/>
        <v>875.00606969435285</v>
      </c>
      <c r="H30" s="1395" t="str">
        <f t="shared" si="11"/>
        <v>X</v>
      </c>
      <c r="I30" s="1375" t="s">
        <v>1255</v>
      </c>
      <c r="J30" s="350" t="str">
        <f>IF(B30&lt;&gt;"",+VLOOKUP(I30,Recursos!C:F,2,FALSE),"")</f>
        <v>Colado de Hgón Elaborado con mixer</v>
      </c>
      <c r="K30" s="351" t="str">
        <f>IF(B30&lt;&gt;"",+VLOOKUP(I30,Recursos!C:F,3,FALSE),"")</f>
        <v>m3</v>
      </c>
      <c r="L30" s="349">
        <f>IF(B30&lt;&gt;"",+VLOOKUP(I30,Recursos!C:F,4,FALSE),"")</f>
        <v>699.62883343063208</v>
      </c>
      <c r="M30" s="331">
        <v>1.1000000000000001</v>
      </c>
      <c r="N30" s="331">
        <v>0</v>
      </c>
      <c r="O30" s="362">
        <f t="shared" si="27"/>
        <v>0</v>
      </c>
      <c r="P30" s="352">
        <f t="shared" si="13"/>
        <v>0</v>
      </c>
      <c r="Q30" s="349">
        <f t="shared" si="14"/>
        <v>0</v>
      </c>
      <c r="R30" s="353">
        <f t="shared" si="15"/>
        <v>0</v>
      </c>
      <c r="S30" s="354">
        <f t="shared" si="2"/>
        <v>0</v>
      </c>
      <c r="T30" s="354">
        <f t="shared" si="3"/>
        <v>0</v>
      </c>
      <c r="U30" s="355">
        <f t="shared" si="4"/>
        <v>0</v>
      </c>
      <c r="V30" s="355">
        <f t="shared" si="5"/>
        <v>0</v>
      </c>
      <c r="W30" s="355">
        <f t="shared" si="6"/>
        <v>0</v>
      </c>
      <c r="X30" s="355">
        <f t="shared" si="7"/>
        <v>3645.8586237264703</v>
      </c>
      <c r="Y30" s="396"/>
      <c r="Z30" s="346" t="str">
        <f t="shared" si="16"/>
        <v>0-HORMH08A</v>
      </c>
      <c r="AA30" s="346" t="str">
        <f t="shared" si="17"/>
        <v>0-HORMH08E</v>
      </c>
      <c r="AB30" s="346" t="str">
        <f t="shared" si="18"/>
        <v>0-HORMH08M</v>
      </c>
      <c r="AC30" s="346" t="str">
        <f t="shared" si="19"/>
        <v>0-HORMH08T</v>
      </c>
      <c r="AD30" s="346" t="str">
        <f t="shared" si="20"/>
        <v>0-HORMH08S</v>
      </c>
      <c r="AE30" s="346" t="str">
        <f t="shared" si="21"/>
        <v>0-HORMH08X</v>
      </c>
      <c r="AF30" s="346" t="str">
        <f t="shared" si="22"/>
        <v>0-HORMH08X</v>
      </c>
      <c r="AG30" s="346">
        <f t="shared" si="8"/>
        <v>6</v>
      </c>
      <c r="AH30" s="346">
        <f>IF(B30&lt;&gt;"",+IF(H30="x",+VLOOKUP(I30,'AUX-NIV2'!B:AG,32,FALSE),0),"")</f>
        <v>9</v>
      </c>
      <c r="AI30" s="346" t="str">
        <f t="shared" si="23"/>
        <v>0-HORMH08</v>
      </c>
      <c r="AK30" s="347">
        <f t="shared" si="9"/>
        <v>27</v>
      </c>
      <c r="AL30" s="348">
        <f t="shared" si="24"/>
        <v>32</v>
      </c>
      <c r="AM30" s="347">
        <f t="shared" si="25"/>
        <v>4</v>
      </c>
      <c r="AN30" s="382">
        <f>IF(AND(AH30&gt;0,B30&lt;&gt;""),VLOOKUP(I30,'AUX-NIV2'!$B:$AP,40,FALSE)*O30,0)</f>
        <v>0</v>
      </c>
      <c r="AO30" s="382">
        <f t="shared" si="10"/>
        <v>0.38942399999999999</v>
      </c>
      <c r="AQ30" s="395">
        <f>(IF($H30="x",VLOOKUP($I30,'AUX-NIV2'!$B:$X,'AUX-NIV1'!AQ$3,FALSE),0)+($AV30*'AUX-NIV3'!S$4))*$O30+IF($H30=AQ$4,$P30,0)</f>
        <v>0</v>
      </c>
      <c r="AR30" s="395">
        <f>(IF($H30="x",VLOOKUP($I30,'AUX-NIV2'!$B:$X,'AUX-NIV1'!AR$3,FALSE),0)+($AV30*'AUX-NIV3'!T$4))*$O30+IF($H30=AR$4,$P30,0)</f>
        <v>0</v>
      </c>
      <c r="AS30" s="395">
        <f>(IF($H30="x",VLOOKUP($I30,'AUX-NIV2'!$B:$X,'AUX-NIV1'!AS$3,FALSE),0)+($AV30*'AUX-NIV3'!U$4))*$O30+IF($H30=AS$4,$P30,0)</f>
        <v>0</v>
      </c>
      <c r="AT30" s="395">
        <f>(IF($H30="x",VLOOKUP($I30,'AUX-NIV2'!$B:$X,'AUX-NIV1'!AT$3,FALSE),0)+($AV30*'AUX-NIV3'!V$4))*$O30+IF($H30=AT$4,$P30,0)</f>
        <v>0</v>
      </c>
      <c r="AU30" s="395">
        <f>(IF($H30="x",VLOOKUP($I30,'AUX-NIV2'!$B:$X,'AUX-NIV1'!AU$3,FALSE),0)+($AV30*'AUX-NIV3'!W$4))*$O30+IF($H30=AU$4,$P30,0)</f>
        <v>0</v>
      </c>
      <c r="AV30" s="395">
        <f>+IF($H30="x",VLOOKUP($I30,'AUX-NIV2'!$B:$X,'AUX-NIV1'!AV$3,FALSE),0)</f>
        <v>0</v>
      </c>
    </row>
    <row r="31" spans="2:48">
      <c r="B31" s="324" t="s">
        <v>52</v>
      </c>
      <c r="C31" s="325" t="s">
        <v>122</v>
      </c>
      <c r="D31" s="326" t="s">
        <v>1160</v>
      </c>
      <c r="E31" s="349">
        <f>IF(B31&lt;&gt;"",+SUMIF(Items!C:C,'AUX-NIV1'!B31,Items!H:H),"")</f>
        <v>0.24</v>
      </c>
      <c r="F31" s="349">
        <f t="shared" si="0"/>
        <v>3645.8586237264703</v>
      </c>
      <c r="G31" s="349">
        <f t="shared" si="1"/>
        <v>875.00606969435285</v>
      </c>
      <c r="H31" s="1395" t="str">
        <f t="shared" si="11"/>
        <v>X</v>
      </c>
      <c r="I31" s="1375" t="s">
        <v>1256</v>
      </c>
      <c r="J31" s="350" t="str">
        <f>IF(B31&lt;&gt;"",+VLOOKUP(I31,Recursos!C:F,2,FALSE),"")</f>
        <v xml:space="preserve">Encofrados para Hormigones </v>
      </c>
      <c r="K31" s="351" t="str">
        <f>IF(B31&lt;&gt;"",+VLOOKUP(I31,Recursos!C:F,3,FALSE),"")</f>
        <v>m2</v>
      </c>
      <c r="L31" s="349">
        <f>IF(B31&lt;&gt;"",+VLOOKUP(I31,Recursos!C:F,4,FALSE),"")</f>
        <v>5261.6988424670626</v>
      </c>
      <c r="M31" s="331">
        <v>1.1000000000000001</v>
      </c>
      <c r="N31" s="331">
        <v>0</v>
      </c>
      <c r="O31" s="362">
        <f t="shared" si="27"/>
        <v>0</v>
      </c>
      <c r="P31" s="352">
        <f t="shared" si="13"/>
        <v>0</v>
      </c>
      <c r="Q31" s="349">
        <f t="shared" si="14"/>
        <v>0</v>
      </c>
      <c r="R31" s="353">
        <f t="shared" si="15"/>
        <v>0</v>
      </c>
      <c r="S31" s="354">
        <f t="shared" si="2"/>
        <v>0</v>
      </c>
      <c r="T31" s="354">
        <f t="shared" si="3"/>
        <v>0</v>
      </c>
      <c r="U31" s="355">
        <f t="shared" si="4"/>
        <v>0</v>
      </c>
      <c r="V31" s="355">
        <f t="shared" si="5"/>
        <v>0</v>
      </c>
      <c r="W31" s="355">
        <f t="shared" si="6"/>
        <v>0</v>
      </c>
      <c r="X31" s="355">
        <f t="shared" si="7"/>
        <v>3645.8586237264703</v>
      </c>
      <c r="Y31" s="396"/>
      <c r="Z31" s="346" t="str">
        <f t="shared" si="16"/>
        <v>0-HORMH08A</v>
      </c>
      <c r="AA31" s="346" t="str">
        <f t="shared" si="17"/>
        <v>0-HORMH08E</v>
      </c>
      <c r="AB31" s="346" t="str">
        <f t="shared" si="18"/>
        <v>0-HORMH08M</v>
      </c>
      <c r="AC31" s="346" t="str">
        <f t="shared" si="19"/>
        <v>0-HORMH08T</v>
      </c>
      <c r="AD31" s="346" t="str">
        <f t="shared" si="20"/>
        <v>0-HORMH08S</v>
      </c>
      <c r="AE31" s="346" t="str">
        <f t="shared" si="21"/>
        <v>0-HORMH08X</v>
      </c>
      <c r="AF31" s="346" t="str">
        <f t="shared" si="22"/>
        <v>0-HORMH08X</v>
      </c>
      <c r="AG31" s="346">
        <f t="shared" si="8"/>
        <v>6</v>
      </c>
      <c r="AH31" s="346">
        <f>IF(B31&lt;&gt;"",+IF(H31="x",+VLOOKUP(I31,'AUX-NIV2'!B:AG,32,FALSE),0),"")</f>
        <v>13</v>
      </c>
      <c r="AI31" s="346" t="str">
        <f t="shared" si="23"/>
        <v>0-HORMH08</v>
      </c>
      <c r="AK31" s="347">
        <f t="shared" si="9"/>
        <v>27</v>
      </c>
      <c r="AL31" s="348">
        <f t="shared" si="24"/>
        <v>32</v>
      </c>
      <c r="AM31" s="347">
        <f t="shared" si="25"/>
        <v>5</v>
      </c>
      <c r="AN31" s="382">
        <f>IF(AND(AH31&gt;0,B31&lt;&gt;""),VLOOKUP(I31,'AUX-NIV2'!$B:$AP,40,FALSE)*O31,0)</f>
        <v>0</v>
      </c>
      <c r="AO31" s="382">
        <f t="shared" si="10"/>
        <v>0.38942399999999999</v>
      </c>
      <c r="AQ31" s="395">
        <f>(IF($H31="x",VLOOKUP($I31,'AUX-NIV2'!$B:$X,'AUX-NIV1'!AQ$3,FALSE),0)+($AV31*'AUX-NIV3'!S$4))*$O31+IF($H31=AQ$4,$P31,0)</f>
        <v>0</v>
      </c>
      <c r="AR31" s="395">
        <f>(IF($H31="x",VLOOKUP($I31,'AUX-NIV2'!$B:$X,'AUX-NIV1'!AR$3,FALSE),0)+($AV31*'AUX-NIV3'!T$4))*$O31+IF($H31=AR$4,$P31,0)</f>
        <v>0</v>
      </c>
      <c r="AS31" s="395">
        <f>(IF($H31="x",VLOOKUP($I31,'AUX-NIV2'!$B:$X,'AUX-NIV1'!AS$3,FALSE),0)+($AV31*'AUX-NIV3'!U$4))*$O31+IF($H31=AS$4,$P31,0)</f>
        <v>0</v>
      </c>
      <c r="AT31" s="395">
        <f>(IF($H31="x",VLOOKUP($I31,'AUX-NIV2'!$B:$X,'AUX-NIV1'!AT$3,FALSE),0)+($AV31*'AUX-NIV3'!V$4))*$O31+IF($H31=AT$4,$P31,0)</f>
        <v>0</v>
      </c>
      <c r="AU31" s="395">
        <f>(IF($H31="x",VLOOKUP($I31,'AUX-NIV2'!$B:$X,'AUX-NIV1'!AU$3,FALSE),0)+($AV31*'AUX-NIV3'!W$4))*$O31+IF($H31=AU$4,$P31,0)</f>
        <v>0</v>
      </c>
      <c r="AV31" s="395">
        <f>+IF($H31="x",VLOOKUP($I31,'AUX-NIV2'!$B:$X,'AUX-NIV1'!AV$3,FALSE),0)</f>
        <v>0</v>
      </c>
    </row>
    <row r="32" spans="2:48" ht="13.8" thickBot="1">
      <c r="B32" s="324" t="s">
        <v>52</v>
      </c>
      <c r="C32" s="325" t="s">
        <v>122</v>
      </c>
      <c r="D32" s="326" t="s">
        <v>1160</v>
      </c>
      <c r="E32" s="349">
        <f>IF(B32&lt;&gt;"",+SUMIF(Items!C:C,'AUX-NIV1'!B32,Items!H:H),"")</f>
        <v>0.24</v>
      </c>
      <c r="F32" s="349">
        <f t="shared" si="0"/>
        <v>3645.8586237264703</v>
      </c>
      <c r="G32" s="349">
        <f t="shared" si="1"/>
        <v>875.00606969435285</v>
      </c>
      <c r="H32" s="1395" t="str">
        <f t="shared" si="11"/>
        <v>X</v>
      </c>
      <c r="I32" s="1375" t="s">
        <v>1264</v>
      </c>
      <c r="J32" s="350" t="str">
        <f>IF(B32&lt;&gt;"",+VLOOKUP(I32,Recursos!C:F,2,FALSE),"")</f>
        <v>Curado de estructuras de hgón.</v>
      </c>
      <c r="K32" s="351" t="str">
        <f>IF(B32&lt;&gt;"",+VLOOKUP(I32,Recursos!C:F,3,FALSE),"")</f>
        <v>m2</v>
      </c>
      <c r="L32" s="349">
        <f>IF(B32&lt;&gt;"",+VLOOKUP(I32,Recursos!C:F,4,FALSE),"")</f>
        <v>134.41940461611205</v>
      </c>
      <c r="M32" s="331">
        <v>1</v>
      </c>
      <c r="N32" s="331">
        <v>0</v>
      </c>
      <c r="O32" s="362">
        <f>+M32*N32</f>
        <v>0</v>
      </c>
      <c r="P32" s="352">
        <f t="shared" si="13"/>
        <v>0</v>
      </c>
      <c r="Q32" s="349">
        <f t="shared" si="14"/>
        <v>0</v>
      </c>
      <c r="R32" s="353">
        <f t="shared" si="15"/>
        <v>0</v>
      </c>
      <c r="S32" s="354">
        <f t="shared" si="2"/>
        <v>0</v>
      </c>
      <c r="T32" s="354">
        <f t="shared" si="3"/>
        <v>0</v>
      </c>
      <c r="U32" s="355">
        <f t="shared" si="4"/>
        <v>0</v>
      </c>
      <c r="V32" s="355">
        <f t="shared" si="5"/>
        <v>0</v>
      </c>
      <c r="W32" s="355">
        <f t="shared" si="6"/>
        <v>0</v>
      </c>
      <c r="X32" s="355">
        <f t="shared" si="7"/>
        <v>3645.8586237264703</v>
      </c>
      <c r="Y32" s="396"/>
      <c r="Z32" s="346" t="str">
        <f t="shared" si="16"/>
        <v>0-HORMH08A</v>
      </c>
      <c r="AA32" s="346" t="str">
        <f t="shared" si="17"/>
        <v>0-HORMH08E</v>
      </c>
      <c r="AB32" s="346" t="str">
        <f t="shared" si="18"/>
        <v>0-HORMH08M</v>
      </c>
      <c r="AC32" s="346" t="str">
        <f t="shared" si="19"/>
        <v>0-HORMH08T</v>
      </c>
      <c r="AD32" s="346" t="str">
        <f t="shared" si="20"/>
        <v>0-HORMH08S</v>
      </c>
      <c r="AE32" s="346" t="str">
        <f t="shared" si="21"/>
        <v>0-HORMH08X</v>
      </c>
      <c r="AF32" s="346" t="str">
        <f t="shared" si="22"/>
        <v>0-HORMH08X</v>
      </c>
      <c r="AG32" s="346">
        <f t="shared" si="8"/>
        <v>6</v>
      </c>
      <c r="AH32" s="346">
        <f>IF(B32&lt;&gt;"",+IF(H32="x",+VLOOKUP(I32,'AUX-NIV2'!B:AG,32,FALSE),0),"")</f>
        <v>3</v>
      </c>
      <c r="AI32" s="346" t="str">
        <f t="shared" si="23"/>
        <v>0-HORMH08</v>
      </c>
      <c r="AK32" s="347">
        <f t="shared" si="9"/>
        <v>27</v>
      </c>
      <c r="AL32" s="348">
        <f t="shared" si="24"/>
        <v>32</v>
      </c>
      <c r="AM32" s="347">
        <f t="shared" si="25"/>
        <v>6</v>
      </c>
      <c r="AN32" s="382">
        <f>IF(AND(AH32&gt;0,B32&lt;&gt;""),VLOOKUP(I32,'AUX-NIV2'!$B:$AP,40,FALSE)*O32,0)</f>
        <v>0</v>
      </c>
      <c r="AO32" s="382">
        <f t="shared" si="10"/>
        <v>0.38942399999999999</v>
      </c>
      <c r="AQ32" s="395">
        <f>(IF($H32="x",VLOOKUP($I32,'AUX-NIV2'!$B:$X,'AUX-NIV1'!AQ$3,FALSE),0)+($AV32*'AUX-NIV3'!S$4))*$O32+IF($H32=AQ$4,$P32,0)</f>
        <v>0</v>
      </c>
      <c r="AR32" s="395">
        <f>(IF($H32="x",VLOOKUP($I32,'AUX-NIV2'!$B:$X,'AUX-NIV1'!AR$3,FALSE),0)+($AV32*'AUX-NIV3'!T$4))*$O32+IF($H32=AR$4,$P32,0)</f>
        <v>0</v>
      </c>
      <c r="AS32" s="395">
        <f>(IF($H32="x",VLOOKUP($I32,'AUX-NIV2'!$B:$X,'AUX-NIV1'!AS$3,FALSE),0)+($AV32*'AUX-NIV3'!U$4))*$O32+IF($H32=AS$4,$P32,0)</f>
        <v>0</v>
      </c>
      <c r="AT32" s="395">
        <f>(IF($H32="x",VLOOKUP($I32,'AUX-NIV2'!$B:$X,'AUX-NIV1'!AT$3,FALSE),0)+($AV32*'AUX-NIV3'!V$4))*$O32+IF($H32=AT$4,$P32,0)</f>
        <v>0</v>
      </c>
      <c r="AU32" s="395">
        <f>(IF($H32="x",VLOOKUP($I32,'AUX-NIV2'!$B:$X,'AUX-NIV1'!AU$3,FALSE),0)+($AV32*'AUX-NIV3'!W$4))*$O32+IF($H32=AU$4,$P32,0)</f>
        <v>0</v>
      </c>
      <c r="AV32" s="395">
        <f>+IF($H32="x",VLOOKUP($I32,'AUX-NIV2'!$B:$X,'AUX-NIV1'!AV$3,FALSE),0)</f>
        <v>0</v>
      </c>
    </row>
    <row r="33" spans="2:48" ht="13.8" hidden="1" thickBot="1">
      <c r="B33" s="324" t="s">
        <v>53</v>
      </c>
      <c r="C33" s="325" t="s">
        <v>123</v>
      </c>
      <c r="D33" s="326" t="s">
        <v>1160</v>
      </c>
      <c r="E33" s="349">
        <f>IF(B33&lt;&gt;"",+SUMIF(Items!C:C,'AUX-NIV1'!B33,Items!H:H),"")</f>
        <v>0</v>
      </c>
      <c r="F33" s="349">
        <f t="shared" si="0"/>
        <v>641.04677092632528</v>
      </c>
      <c r="G33" s="349">
        <f t="shared" si="1"/>
        <v>0</v>
      </c>
      <c r="H33" s="1395" t="str">
        <f t="shared" si="11"/>
        <v>X</v>
      </c>
      <c r="I33" s="1375" t="s">
        <v>183</v>
      </c>
      <c r="J33" s="350" t="str">
        <f>IF(B33&lt;&gt;"",+VLOOKUP(I33,Recursos!C:F,2,FALSE),"")</f>
        <v xml:space="preserve">Excavación de Fundaciones con Cat.416 - Con tpte a 5 km </v>
      </c>
      <c r="K33" s="351" t="str">
        <f>IF(B33&lt;&gt;"",+VLOOKUP(I33,Recursos!C:F,3,FALSE),"")</f>
        <v>m3</v>
      </c>
      <c r="L33" s="349">
        <f>IF(B33&lt;&gt;"",+VLOOKUP(I33,Recursos!C:F,4,FALSE),"")</f>
        <v>641.04677092632528</v>
      </c>
      <c r="M33" s="331">
        <v>1</v>
      </c>
      <c r="N33" s="331">
        <v>1</v>
      </c>
      <c r="O33" s="362">
        <v>1</v>
      </c>
      <c r="P33" s="352">
        <f t="shared" si="13"/>
        <v>641.04677092632528</v>
      </c>
      <c r="Q33" s="349">
        <f t="shared" si="14"/>
        <v>0</v>
      </c>
      <c r="R33" s="353">
        <f t="shared" si="15"/>
        <v>0</v>
      </c>
      <c r="S33" s="354">
        <f t="shared" si="2"/>
        <v>0</v>
      </c>
      <c r="T33" s="354">
        <f t="shared" si="3"/>
        <v>0</v>
      </c>
      <c r="U33" s="355">
        <f t="shared" si="4"/>
        <v>0</v>
      </c>
      <c r="V33" s="355">
        <f t="shared" si="5"/>
        <v>0</v>
      </c>
      <c r="W33" s="355">
        <f t="shared" si="6"/>
        <v>0</v>
      </c>
      <c r="X33" s="355">
        <f t="shared" si="7"/>
        <v>641.04677092632528</v>
      </c>
      <c r="Y33" s="396"/>
      <c r="Z33" s="346" t="str">
        <f t="shared" si="16"/>
        <v>0-EXCAVfuA</v>
      </c>
      <c r="AA33" s="346" t="str">
        <f t="shared" si="17"/>
        <v>0-EXCAVfuE</v>
      </c>
      <c r="AB33" s="346" t="str">
        <f t="shared" si="18"/>
        <v>0-EXCAVfuM</v>
      </c>
      <c r="AC33" s="346" t="str">
        <f t="shared" si="19"/>
        <v>0-EXCAVfuT</v>
      </c>
      <c r="AD33" s="346" t="str">
        <f t="shared" si="20"/>
        <v>0-EXCAVfuS</v>
      </c>
      <c r="AE33" s="346" t="str">
        <f t="shared" si="21"/>
        <v>0-EXCAVfuX</v>
      </c>
      <c r="AF33" s="346" t="str">
        <f t="shared" si="22"/>
        <v>0-EXCAVfuX</v>
      </c>
      <c r="AG33" s="346">
        <f t="shared" si="8"/>
        <v>2</v>
      </c>
      <c r="AH33" s="346">
        <f>IF(B33&lt;&gt;"",+IF(H33="x",+VLOOKUP(I33,'AUX-NIV2'!B:AG,32,FALSE),0),"")</f>
        <v>6</v>
      </c>
      <c r="AI33" s="346" t="str">
        <f t="shared" si="23"/>
        <v>0-EXCAVfu</v>
      </c>
      <c r="AK33" s="347">
        <f t="shared" si="9"/>
        <v>33</v>
      </c>
      <c r="AL33" s="348">
        <f t="shared" si="24"/>
        <v>34</v>
      </c>
      <c r="AM33" s="347">
        <f t="shared" si="25"/>
        <v>1</v>
      </c>
      <c r="AN33" s="382">
        <f>IF(AND(AH33&gt;0,B33&lt;&gt;""),VLOOKUP(I33,'AUX-NIV2'!$B:$AP,40,FALSE)*O33,0)</f>
        <v>0.42000000000000004</v>
      </c>
      <c r="AO33" s="382">
        <f t="shared" si="10"/>
        <v>0.42000000000000004</v>
      </c>
      <c r="AQ33" s="395">
        <f>(IF($H33="x",VLOOKUP($I33,'AUX-NIV2'!$B:$X,'AUX-NIV1'!AQ$3,FALSE),0)+($AV33*'AUX-NIV3'!S$4))*$O33+IF($H33=AQ$4,$P33,0)</f>
        <v>210.06406216009145</v>
      </c>
      <c r="AR33" s="395">
        <f>(IF($H33="x",VLOOKUP($I33,'AUX-NIV2'!$B:$X,'AUX-NIV1'!AR$3,FALSE),0)+($AV33*'AUX-NIV3'!T$4))*$O33+IF($H33=AR$4,$P33,0)</f>
        <v>430.88495376623382</v>
      </c>
      <c r="AS33" s="395">
        <f>(IF($H33="x",VLOOKUP($I33,'AUX-NIV2'!$B:$X,'AUX-NIV1'!AS$3,FALSE),0)+($AV33*'AUX-NIV3'!U$4))*$O33+IF($H33=AS$4,$P33,0)</f>
        <v>9.7754999999999995E-2</v>
      </c>
      <c r="AT33" s="395">
        <f>(IF($H33="x",VLOOKUP($I33,'AUX-NIV2'!$B:$X,'AUX-NIV1'!AT$3,FALSE),0)+($AV33*'AUX-NIV3'!V$4))*$O33+IF($H33=AT$4,$P33,0)</f>
        <v>0</v>
      </c>
      <c r="AU33" s="395">
        <f>(IF($H33="x",VLOOKUP($I33,'AUX-NIV2'!$B:$X,'AUX-NIV1'!AU$3,FALSE),0)+($AV33*'AUX-NIV3'!W$4))*$O33+IF($H33=AU$4,$P33,0)</f>
        <v>0</v>
      </c>
      <c r="AV33" s="395">
        <f>+IF($H33="x",VLOOKUP($I33,'AUX-NIV2'!$B:$X,'AUX-NIV1'!AV$3,FALSE),0)</f>
        <v>0</v>
      </c>
    </row>
    <row r="34" spans="2:48" ht="13.8" hidden="1" thickBot="1">
      <c r="B34" s="324" t="s">
        <v>53</v>
      </c>
      <c r="C34" s="325" t="s">
        <v>123</v>
      </c>
      <c r="D34" s="326" t="s">
        <v>1160</v>
      </c>
      <c r="E34" s="349">
        <f>IF(B34&lt;&gt;"",+SUMIF(Items!C:C,'AUX-NIV1'!B34,Items!H:H),"")</f>
        <v>0</v>
      </c>
      <c r="F34" s="349">
        <f t="shared" si="0"/>
        <v>641.04677092632528</v>
      </c>
      <c r="G34" s="349">
        <f t="shared" si="1"/>
        <v>0</v>
      </c>
      <c r="H34" s="1395" t="str">
        <f t="shared" si="11"/>
        <v>X</v>
      </c>
      <c r="I34" s="1375" t="s">
        <v>184</v>
      </c>
      <c r="J34" s="350" t="str">
        <f>IF(B34&lt;&gt;"",+VLOOKUP(I34,Recursos!C:F,2,FALSE),"")</f>
        <v>Depresión de Napa para Excavaciones (Bombeo)</v>
      </c>
      <c r="K34" s="351" t="str">
        <f>IF(B34&lt;&gt;"",+VLOOKUP(I34,Recursos!C:F,3,FALSE),"")</f>
        <v>m3</v>
      </c>
      <c r="L34" s="349">
        <f>IF(B34&lt;&gt;"",+VLOOKUP(I34,Recursos!C:F,4,FALSE),"")</f>
        <v>12.228290546263128</v>
      </c>
      <c r="M34" s="331">
        <v>1</v>
      </c>
      <c r="N34" s="331">
        <v>0</v>
      </c>
      <c r="O34" s="362">
        <v>0</v>
      </c>
      <c r="P34" s="352">
        <f t="shared" si="13"/>
        <v>0</v>
      </c>
      <c r="Q34" s="349">
        <f t="shared" si="14"/>
        <v>0</v>
      </c>
      <c r="R34" s="353">
        <f t="shared" si="15"/>
        <v>0</v>
      </c>
      <c r="S34" s="354">
        <f t="shared" si="2"/>
        <v>0</v>
      </c>
      <c r="T34" s="354">
        <f t="shared" si="3"/>
        <v>0</v>
      </c>
      <c r="U34" s="355">
        <f t="shared" si="4"/>
        <v>0</v>
      </c>
      <c r="V34" s="355">
        <f t="shared" si="5"/>
        <v>0</v>
      </c>
      <c r="W34" s="355">
        <f t="shared" si="6"/>
        <v>0</v>
      </c>
      <c r="X34" s="355">
        <f t="shared" si="7"/>
        <v>641.04677092632528</v>
      </c>
      <c r="Y34" s="396"/>
      <c r="Z34" s="346" t="str">
        <f t="shared" si="16"/>
        <v>0-EXCAVfuA</v>
      </c>
      <c r="AA34" s="346" t="str">
        <f t="shared" si="17"/>
        <v>0-EXCAVfuE</v>
      </c>
      <c r="AB34" s="346" t="str">
        <f t="shared" si="18"/>
        <v>0-EXCAVfuM</v>
      </c>
      <c r="AC34" s="346" t="str">
        <f t="shared" si="19"/>
        <v>0-EXCAVfuT</v>
      </c>
      <c r="AD34" s="346" t="str">
        <f t="shared" si="20"/>
        <v>0-EXCAVfuS</v>
      </c>
      <c r="AE34" s="346" t="str">
        <f t="shared" si="21"/>
        <v>0-EXCAVfuX</v>
      </c>
      <c r="AF34" s="346" t="str">
        <f t="shared" si="22"/>
        <v>0-EXCAVfuX</v>
      </c>
      <c r="AG34" s="346">
        <f t="shared" si="8"/>
        <v>2</v>
      </c>
      <c r="AH34" s="346">
        <f>IF(B34&lt;&gt;"",+IF(H34="x",+VLOOKUP(I34,'AUX-NIV2'!B:AG,32,FALSE),0),"")</f>
        <v>5</v>
      </c>
      <c r="AI34" s="346" t="str">
        <f t="shared" si="23"/>
        <v>0-EXCAVfu</v>
      </c>
      <c r="AK34" s="347">
        <f t="shared" si="9"/>
        <v>33</v>
      </c>
      <c r="AL34" s="348">
        <f t="shared" si="24"/>
        <v>34</v>
      </c>
      <c r="AM34" s="347">
        <f t="shared" si="25"/>
        <v>2</v>
      </c>
      <c r="AN34" s="382">
        <f>IF(AND(AH34&gt;0,B34&lt;&gt;""),VLOOKUP(I34,'AUX-NIV2'!$B:$AP,40,FALSE)*O34,0)</f>
        <v>0</v>
      </c>
      <c r="AO34" s="382">
        <f t="shared" si="10"/>
        <v>0.42000000000000004</v>
      </c>
      <c r="AQ34" s="395">
        <f>(IF($H34="x",VLOOKUP($I34,'AUX-NIV2'!$B:$X,'AUX-NIV1'!AQ$3,FALSE),0)+($AV34*'AUX-NIV3'!S$4))*$O34+IF($H34=AQ$4,$P34,0)</f>
        <v>0</v>
      </c>
      <c r="AR34" s="395">
        <f>(IF($H34="x",VLOOKUP($I34,'AUX-NIV2'!$B:$X,'AUX-NIV1'!AR$3,FALSE),0)+($AV34*'AUX-NIV3'!T$4))*$O34+IF($H34=AR$4,$P34,0)</f>
        <v>0</v>
      </c>
      <c r="AS34" s="395">
        <f>(IF($H34="x",VLOOKUP($I34,'AUX-NIV2'!$B:$X,'AUX-NIV1'!AS$3,FALSE),0)+($AV34*'AUX-NIV3'!U$4))*$O34+IF($H34=AS$4,$P34,0)</f>
        <v>0</v>
      </c>
      <c r="AT34" s="395">
        <f>(IF($H34="x",VLOOKUP($I34,'AUX-NIV2'!$B:$X,'AUX-NIV1'!AT$3,FALSE),0)+($AV34*'AUX-NIV3'!V$4))*$O34+IF($H34=AT$4,$P34,0)</f>
        <v>0</v>
      </c>
      <c r="AU34" s="395">
        <f>(IF($H34="x",VLOOKUP($I34,'AUX-NIV2'!$B:$X,'AUX-NIV1'!AU$3,FALSE),0)+($AV34*'AUX-NIV3'!W$4))*$O34+IF($H34=AU$4,$P34,0)</f>
        <v>0</v>
      </c>
      <c r="AV34" s="395">
        <f>+IF($H34="x",VLOOKUP($I34,'AUX-NIV2'!$B:$X,'AUX-NIV1'!AV$3,FALSE),0)</f>
        <v>0</v>
      </c>
    </row>
    <row r="35" spans="2:48" ht="13.8" hidden="1" thickBot="1">
      <c r="B35" s="324" t="s">
        <v>54</v>
      </c>
      <c r="C35" s="325" t="s">
        <v>124</v>
      </c>
      <c r="D35" s="326" t="s">
        <v>477</v>
      </c>
      <c r="E35" s="349">
        <f>IF(B35&lt;&gt;"",+SUMIF(Items!C:C,'AUX-NIV1'!B35,Items!H:H),"")</f>
        <v>0</v>
      </c>
      <c r="F35" s="349">
        <f t="shared" si="0"/>
        <v>131.45924574282168</v>
      </c>
      <c r="G35" s="349">
        <f t="shared" si="1"/>
        <v>0</v>
      </c>
      <c r="H35" s="1395" t="str">
        <f t="shared" si="11"/>
        <v>A</v>
      </c>
      <c r="I35" s="1375" t="s">
        <v>1745</v>
      </c>
      <c r="J35" s="350" t="str">
        <f>IF(B35&lt;&gt;"",+VLOOKUP(I35,Recursos!C:F,2,FALSE),"")</f>
        <v>AYUDANTE</v>
      </c>
      <c r="K35" s="351" t="str">
        <f>IF(B35&lt;&gt;"",+VLOOKUP(I35,Recursos!C:F,3,FALSE),"")</f>
        <v>hh</v>
      </c>
      <c r="L35" s="349">
        <f>IF(B35&lt;&gt;"",+VLOOKUP(I35,Recursos!C:F,4,FALSE),"")</f>
        <v>422.48042769667234</v>
      </c>
      <c r="M35" s="331">
        <v>0.28000000000000003</v>
      </c>
      <c r="N35" s="331">
        <v>1.05</v>
      </c>
      <c r="O35" s="362">
        <v>0.29400000000000004</v>
      </c>
      <c r="P35" s="352">
        <f t="shared" si="13"/>
        <v>124.20924574282168</v>
      </c>
      <c r="Q35" s="349">
        <f t="shared" si="14"/>
        <v>0</v>
      </c>
      <c r="R35" s="353">
        <f t="shared" si="15"/>
        <v>0</v>
      </c>
      <c r="S35" s="354">
        <f t="shared" si="2"/>
        <v>124.20924574282168</v>
      </c>
      <c r="T35" s="354">
        <f t="shared" si="3"/>
        <v>0</v>
      </c>
      <c r="U35" s="355">
        <f t="shared" si="4"/>
        <v>7.25</v>
      </c>
      <c r="V35" s="355">
        <f t="shared" si="5"/>
        <v>0</v>
      </c>
      <c r="W35" s="355">
        <f t="shared" si="6"/>
        <v>0</v>
      </c>
      <c r="X35" s="355">
        <f t="shared" si="7"/>
        <v>0</v>
      </c>
      <c r="Y35" s="396"/>
      <c r="Z35" s="346" t="str">
        <f t="shared" si="16"/>
        <v>0-CINTANEOA</v>
      </c>
      <c r="AA35" s="346" t="str">
        <f t="shared" si="17"/>
        <v>0-CINTANEOE</v>
      </c>
      <c r="AB35" s="346" t="str">
        <f t="shared" si="18"/>
        <v>0-CINTANEOM</v>
      </c>
      <c r="AC35" s="346" t="str">
        <f t="shared" si="19"/>
        <v>0-CINTANEOT</v>
      </c>
      <c r="AD35" s="346" t="str">
        <f t="shared" si="20"/>
        <v>0-CINTANEOS</v>
      </c>
      <c r="AE35" s="346" t="str">
        <f t="shared" si="21"/>
        <v>0-CINTANEOX</v>
      </c>
      <c r="AF35" s="346" t="str">
        <f t="shared" si="22"/>
        <v>0-CINTANEOA</v>
      </c>
      <c r="AG35" s="346">
        <f t="shared" si="8"/>
        <v>3</v>
      </c>
      <c r="AH35" s="346">
        <f>IF(B35&lt;&gt;"",+IF(H35="x",+VLOOKUP(I35,'AUX-NIV2'!B:AG,32,FALSE),0),"")</f>
        <v>0</v>
      </c>
      <c r="AI35" s="346" t="str">
        <f t="shared" si="23"/>
        <v>0-CINTANEO</v>
      </c>
      <c r="AK35" s="347">
        <f t="shared" si="9"/>
        <v>35</v>
      </c>
      <c r="AL35" s="348">
        <f t="shared" si="24"/>
        <v>37</v>
      </c>
      <c r="AM35" s="347">
        <f t="shared" si="25"/>
        <v>1</v>
      </c>
      <c r="AN35" s="382">
        <f>IF(AND(AH35&gt;0,B35&lt;&gt;""),VLOOKUP(I35,'AUX-NIV2'!$B:$AP,40,FALSE)*O35,0)</f>
        <v>0</v>
      </c>
      <c r="AO35" s="382">
        <f t="shared" si="10"/>
        <v>0.29400000000000004</v>
      </c>
      <c r="AQ35" s="395">
        <f>(IF($H35="x",VLOOKUP($I35,'AUX-NIV2'!$B:$X,'AUX-NIV1'!AQ$3,FALSE),0)+($AV35*'AUX-NIV3'!S$4))*$O35+IF($H35=AQ$4,$P35,0)</f>
        <v>124.20924574282168</v>
      </c>
      <c r="AR35" s="395">
        <f>(IF($H35="x",VLOOKUP($I35,'AUX-NIV2'!$B:$X,'AUX-NIV1'!AR$3,FALSE),0)+($AV35*'AUX-NIV3'!T$4))*$O35+IF($H35=AR$4,$P35,0)</f>
        <v>0</v>
      </c>
      <c r="AS35" s="395">
        <f>(IF($H35="x",VLOOKUP($I35,'AUX-NIV2'!$B:$X,'AUX-NIV1'!AS$3,FALSE),0)+($AV35*'AUX-NIV3'!U$4))*$O35+IF($H35=AS$4,$P35,0)</f>
        <v>0</v>
      </c>
      <c r="AT35" s="395">
        <f>(IF($H35="x",VLOOKUP($I35,'AUX-NIV2'!$B:$X,'AUX-NIV1'!AT$3,FALSE),0)+($AV35*'AUX-NIV3'!V$4))*$O35+IF($H35=AT$4,$P35,0)</f>
        <v>0</v>
      </c>
      <c r="AU35" s="395">
        <f>(IF($H35="x",VLOOKUP($I35,'AUX-NIV2'!$B:$X,'AUX-NIV1'!AU$3,FALSE),0)+($AV35*'AUX-NIV3'!W$4))*$O35+IF($H35=AU$4,$P35,0)</f>
        <v>0</v>
      </c>
      <c r="AV35" s="395">
        <f>+IF($H35="x",VLOOKUP($I35,'AUX-NIV2'!$B:$X,'AUX-NIV1'!AV$3,FALSE),0)</f>
        <v>0</v>
      </c>
    </row>
    <row r="36" spans="2:48" ht="13.8" hidden="1" thickBot="1">
      <c r="B36" s="324" t="s">
        <v>54</v>
      </c>
      <c r="C36" s="325" t="s">
        <v>124</v>
      </c>
      <c r="D36" s="326" t="s">
        <v>477</v>
      </c>
      <c r="E36" s="349">
        <f>IF(B36&lt;&gt;"",+SUMIF(Items!C:C,'AUX-NIV1'!B36,Items!H:H),"")</f>
        <v>0</v>
      </c>
      <c r="F36" s="349">
        <f t="shared" si="0"/>
        <v>131.45924574282168</v>
      </c>
      <c r="G36" s="349">
        <f t="shared" si="1"/>
        <v>0</v>
      </c>
      <c r="H36" s="1395" t="str">
        <f t="shared" si="11"/>
        <v>M</v>
      </c>
      <c r="I36" s="1375" t="s">
        <v>502</v>
      </c>
      <c r="J36" s="350" t="str">
        <f>IF(B36&lt;&gt;"",+VLOOKUP(I36,Recursos!C:F,2,FALSE),"")</f>
        <v>CINTA DE NEOPRENE</v>
      </c>
      <c r="K36" s="351" t="str">
        <f>IF(B36&lt;&gt;"",+VLOOKUP(I36,Recursos!C:F,3,FALSE),"")</f>
        <v>M</v>
      </c>
      <c r="L36" s="349">
        <f>IF(B36&lt;&gt;"",+VLOOKUP(I36,Recursos!C:F,4,FALSE),"")</f>
        <v>15</v>
      </c>
      <c r="M36" s="331">
        <v>0.28000000000000003</v>
      </c>
      <c r="N36" s="331">
        <v>1.25</v>
      </c>
      <c r="O36" s="362">
        <v>0.35</v>
      </c>
      <c r="P36" s="352">
        <f t="shared" si="13"/>
        <v>5.25</v>
      </c>
      <c r="Q36" s="349">
        <f t="shared" si="14"/>
        <v>0</v>
      </c>
      <c r="R36" s="353">
        <f t="shared" si="15"/>
        <v>0</v>
      </c>
      <c r="S36" s="354">
        <f t="shared" si="2"/>
        <v>124.20924574282168</v>
      </c>
      <c r="T36" s="354">
        <f t="shared" si="3"/>
        <v>0</v>
      </c>
      <c r="U36" s="355">
        <f t="shared" si="4"/>
        <v>7.25</v>
      </c>
      <c r="V36" s="355">
        <f t="shared" si="5"/>
        <v>0</v>
      </c>
      <c r="W36" s="355">
        <f t="shared" si="6"/>
        <v>0</v>
      </c>
      <c r="X36" s="355">
        <f t="shared" si="7"/>
        <v>0</v>
      </c>
      <c r="Y36" s="396"/>
      <c r="Z36" s="346" t="str">
        <f t="shared" si="16"/>
        <v>0-CINTANEOA</v>
      </c>
      <c r="AA36" s="346" t="str">
        <f t="shared" si="17"/>
        <v>0-CINTANEOE</v>
      </c>
      <c r="AB36" s="346" t="str">
        <f t="shared" si="18"/>
        <v>0-CINTANEOM</v>
      </c>
      <c r="AC36" s="346" t="str">
        <f t="shared" si="19"/>
        <v>0-CINTANEOT</v>
      </c>
      <c r="AD36" s="346" t="str">
        <f t="shared" si="20"/>
        <v>0-CINTANEOS</v>
      </c>
      <c r="AE36" s="346" t="str">
        <f t="shared" si="21"/>
        <v>0-CINTANEOX</v>
      </c>
      <c r="AF36" s="346" t="str">
        <f t="shared" si="22"/>
        <v>0-CINTANEOM</v>
      </c>
      <c r="AG36" s="346">
        <f t="shared" si="8"/>
        <v>3</v>
      </c>
      <c r="AH36" s="346">
        <f>IF(B36&lt;&gt;"",+IF(H36="x",+VLOOKUP(I36,'AUX-NIV2'!B:AG,32,FALSE),0),"")</f>
        <v>0</v>
      </c>
      <c r="AI36" s="346" t="str">
        <f t="shared" si="23"/>
        <v>0-CINTANEO</v>
      </c>
      <c r="AK36" s="347">
        <f t="shared" si="9"/>
        <v>35</v>
      </c>
      <c r="AL36" s="348">
        <f t="shared" si="24"/>
        <v>37</v>
      </c>
      <c r="AM36" s="347">
        <f t="shared" si="25"/>
        <v>2</v>
      </c>
      <c r="AN36" s="382">
        <f>IF(AND(AH36&gt;0,B36&lt;&gt;""),VLOOKUP(I36,'AUX-NIV2'!$B:$AP,40,FALSE)*O36,0)</f>
        <v>0</v>
      </c>
      <c r="AO36" s="382">
        <f t="shared" si="10"/>
        <v>0.29400000000000004</v>
      </c>
      <c r="AQ36" s="395">
        <f>(IF($H36="x",VLOOKUP($I36,'AUX-NIV2'!$B:$X,'AUX-NIV1'!AQ$3,FALSE),0)+($AV36*'AUX-NIV3'!S$4))*$O36+IF($H36=AQ$4,$P36,0)</f>
        <v>0</v>
      </c>
      <c r="AR36" s="395">
        <f>(IF($H36="x",VLOOKUP($I36,'AUX-NIV2'!$B:$X,'AUX-NIV1'!AR$3,FALSE),0)+($AV36*'AUX-NIV3'!T$4))*$O36+IF($H36=AR$4,$P36,0)</f>
        <v>0</v>
      </c>
      <c r="AS36" s="395">
        <f>(IF($H36="x",VLOOKUP($I36,'AUX-NIV2'!$B:$X,'AUX-NIV1'!AS$3,FALSE),0)+($AV36*'AUX-NIV3'!U$4))*$O36+IF($H36=AS$4,$P36,0)</f>
        <v>5.25</v>
      </c>
      <c r="AT36" s="395">
        <f>(IF($H36="x",VLOOKUP($I36,'AUX-NIV2'!$B:$X,'AUX-NIV1'!AT$3,FALSE),0)+($AV36*'AUX-NIV3'!V$4))*$O36+IF($H36=AT$4,$P36,0)</f>
        <v>0</v>
      </c>
      <c r="AU36" s="395">
        <f>(IF($H36="x",VLOOKUP($I36,'AUX-NIV2'!$B:$X,'AUX-NIV1'!AU$3,FALSE),0)+($AV36*'AUX-NIV3'!W$4))*$O36+IF($H36=AU$4,$P36,0)</f>
        <v>0</v>
      </c>
      <c r="AV36" s="395">
        <f>+IF($H36="x",VLOOKUP($I36,'AUX-NIV2'!$B:$X,'AUX-NIV1'!AV$3,FALSE),0)</f>
        <v>0</v>
      </c>
    </row>
    <row r="37" spans="2:48" ht="13.8" hidden="1" thickBot="1">
      <c r="B37" s="324" t="s">
        <v>54</v>
      </c>
      <c r="C37" s="325" t="s">
        <v>124</v>
      </c>
      <c r="D37" s="326" t="s">
        <v>477</v>
      </c>
      <c r="E37" s="349">
        <f>IF(B37&lt;&gt;"",+SUMIF(Items!C:C,'AUX-NIV1'!B37,Items!H:H),"")</f>
        <v>0</v>
      </c>
      <c r="F37" s="349">
        <f t="shared" si="0"/>
        <v>131.45924574282168</v>
      </c>
      <c r="G37" s="349">
        <f t="shared" si="1"/>
        <v>0</v>
      </c>
      <c r="H37" s="1395" t="str">
        <f t="shared" si="11"/>
        <v>M</v>
      </c>
      <c r="I37" s="1375" t="s">
        <v>621</v>
      </c>
      <c r="J37" s="350" t="str">
        <f>IF(B37&lt;&gt;"",+VLOOKUP(I37,Recursos!C:F,2,FALSE),"")</f>
        <v>MATERIALES VARIOS</v>
      </c>
      <c r="K37" s="351" t="str">
        <f>IF(B37&lt;&gt;"",+VLOOKUP(I37,Recursos!C:F,3,FALSE),"")</f>
        <v>GL</v>
      </c>
      <c r="L37" s="349">
        <f>IF(B37&lt;&gt;"",+VLOOKUP(I37,Recursos!C:F,4,FALSE),"")</f>
        <v>0.5</v>
      </c>
      <c r="M37" s="331">
        <v>4</v>
      </c>
      <c r="N37" s="331">
        <v>1</v>
      </c>
      <c r="O37" s="362">
        <v>4</v>
      </c>
      <c r="P37" s="352">
        <f t="shared" si="13"/>
        <v>2</v>
      </c>
      <c r="Q37" s="349">
        <f t="shared" si="14"/>
        <v>0</v>
      </c>
      <c r="R37" s="353">
        <f t="shared" si="15"/>
        <v>0</v>
      </c>
      <c r="S37" s="354">
        <f t="shared" si="2"/>
        <v>124.20924574282168</v>
      </c>
      <c r="T37" s="354">
        <f t="shared" si="3"/>
        <v>0</v>
      </c>
      <c r="U37" s="355">
        <f t="shared" si="4"/>
        <v>7.25</v>
      </c>
      <c r="V37" s="355">
        <f t="shared" si="5"/>
        <v>0</v>
      </c>
      <c r="W37" s="355">
        <f t="shared" si="6"/>
        <v>0</v>
      </c>
      <c r="X37" s="355">
        <f t="shared" si="7"/>
        <v>0</v>
      </c>
      <c r="Y37" s="396"/>
      <c r="Z37" s="346" t="str">
        <f t="shared" si="16"/>
        <v>0-CINTANEOA</v>
      </c>
      <c r="AA37" s="346" t="str">
        <f t="shared" si="17"/>
        <v>0-CINTANEOE</v>
      </c>
      <c r="AB37" s="346" t="str">
        <f t="shared" si="18"/>
        <v>0-CINTANEOM</v>
      </c>
      <c r="AC37" s="346" t="str">
        <f t="shared" si="19"/>
        <v>0-CINTANEOT</v>
      </c>
      <c r="AD37" s="346" t="str">
        <f t="shared" si="20"/>
        <v>0-CINTANEOS</v>
      </c>
      <c r="AE37" s="346" t="str">
        <f t="shared" si="21"/>
        <v>0-CINTANEOX</v>
      </c>
      <c r="AF37" s="346" t="str">
        <f t="shared" si="22"/>
        <v>0-CINTANEOM</v>
      </c>
      <c r="AG37" s="346">
        <f t="shared" si="8"/>
        <v>3</v>
      </c>
      <c r="AH37" s="346">
        <f>IF(B37&lt;&gt;"",+IF(H37="x",+VLOOKUP(I37,'AUX-NIV2'!B:AG,32,FALSE),0),"")</f>
        <v>0</v>
      </c>
      <c r="AI37" s="346" t="str">
        <f t="shared" si="23"/>
        <v>0-CINTANEO</v>
      </c>
      <c r="AK37" s="347">
        <f t="shared" si="9"/>
        <v>35</v>
      </c>
      <c r="AL37" s="348">
        <f t="shared" si="24"/>
        <v>37</v>
      </c>
      <c r="AM37" s="347">
        <f t="shared" si="25"/>
        <v>3</v>
      </c>
      <c r="AN37" s="382">
        <f>IF(AND(AH37&gt;0,B37&lt;&gt;""),VLOOKUP(I37,'AUX-NIV2'!$B:$AP,40,FALSE)*O37,0)</f>
        <v>0</v>
      </c>
      <c r="AO37" s="382">
        <f t="shared" si="10"/>
        <v>0.29400000000000004</v>
      </c>
      <c r="AQ37" s="395">
        <f>(IF($H37="x",VLOOKUP($I37,'AUX-NIV2'!$B:$X,'AUX-NIV1'!AQ$3,FALSE),0)+($AV37*'AUX-NIV3'!S$4))*$O37+IF($H37=AQ$4,$P37,0)</f>
        <v>0</v>
      </c>
      <c r="AR37" s="395">
        <f>(IF($H37="x",VLOOKUP($I37,'AUX-NIV2'!$B:$X,'AUX-NIV1'!AR$3,FALSE),0)+($AV37*'AUX-NIV3'!T$4))*$O37+IF($H37=AR$4,$P37,0)</f>
        <v>0</v>
      </c>
      <c r="AS37" s="395">
        <f>(IF($H37="x",VLOOKUP($I37,'AUX-NIV2'!$B:$X,'AUX-NIV1'!AS$3,FALSE),0)+($AV37*'AUX-NIV3'!U$4))*$O37+IF($H37=AS$4,$P37,0)</f>
        <v>2</v>
      </c>
      <c r="AT37" s="395">
        <f>(IF($H37="x",VLOOKUP($I37,'AUX-NIV2'!$B:$X,'AUX-NIV1'!AT$3,FALSE),0)+($AV37*'AUX-NIV3'!V$4))*$O37+IF($H37=AT$4,$P37,0)</f>
        <v>0</v>
      </c>
      <c r="AU37" s="395">
        <f>(IF($H37="x",VLOOKUP($I37,'AUX-NIV2'!$B:$X,'AUX-NIV1'!AU$3,FALSE),0)+($AV37*'AUX-NIV3'!W$4))*$O37+IF($H37=AU$4,$P37,0)</f>
        <v>0</v>
      </c>
      <c r="AV37" s="395">
        <f>+IF($H37="x",VLOOKUP($I37,'AUX-NIV2'!$B:$X,'AUX-NIV1'!AV$3,FALSE),0)</f>
        <v>0</v>
      </c>
    </row>
    <row r="38" spans="2:48" ht="13.8" hidden="1" thickBot="1">
      <c r="B38" s="324" t="s">
        <v>73</v>
      </c>
      <c r="C38" s="325" t="s">
        <v>125</v>
      </c>
      <c r="D38" s="326" t="s">
        <v>1160</v>
      </c>
      <c r="E38" s="349">
        <f>IF(B38&lt;&gt;"",+SUMIF(Items!C:C,'AUX-NIV1'!B38,Items!H:H),"")</f>
        <v>0</v>
      </c>
      <c r="F38" s="349">
        <f t="shared" si="0"/>
        <v>420.97179901163571</v>
      </c>
      <c r="G38" s="349">
        <f t="shared" si="1"/>
        <v>0</v>
      </c>
      <c r="H38" s="1395" t="str">
        <f t="shared" si="11"/>
        <v>X</v>
      </c>
      <c r="I38" s="1375" t="s">
        <v>1253</v>
      </c>
      <c r="J38" s="350" t="str">
        <f>IF(B38&lt;&gt;"",+VLOOKUP(I38,Recursos!C:F,2,FALSE),"")</f>
        <v>Obt-Transp. de Agua p/Hormigones</v>
      </c>
      <c r="K38" s="351" t="str">
        <f>IF(B38&lt;&gt;"",+VLOOKUP(I38,Recursos!C:F,3,FALSE),"")</f>
        <v>m3</v>
      </c>
      <c r="L38" s="349">
        <f>IF(B38&lt;&gt;"",+VLOOKUP(I38,Recursos!C:F,4,FALSE),"")</f>
        <v>352.16492140392978</v>
      </c>
      <c r="M38" s="331">
        <v>0.08</v>
      </c>
      <c r="N38" s="331">
        <v>1.1000000000000001</v>
      </c>
      <c r="O38" s="362">
        <v>8.7999999999999995E-2</v>
      </c>
      <c r="P38" s="352">
        <f t="shared" si="13"/>
        <v>30.990513083545817</v>
      </c>
      <c r="Q38" s="349">
        <f t="shared" si="14"/>
        <v>0</v>
      </c>
      <c r="R38" s="353">
        <f t="shared" si="15"/>
        <v>0</v>
      </c>
      <c r="S38" s="354">
        <f t="shared" si="2"/>
        <v>0</v>
      </c>
      <c r="T38" s="354">
        <f t="shared" si="3"/>
        <v>0</v>
      </c>
      <c r="U38" s="355">
        <f t="shared" si="4"/>
        <v>0</v>
      </c>
      <c r="V38" s="355">
        <f t="shared" si="5"/>
        <v>0</v>
      </c>
      <c r="W38" s="355">
        <f t="shared" si="6"/>
        <v>0</v>
      </c>
      <c r="X38" s="355">
        <f t="shared" si="7"/>
        <v>420.97179901163571</v>
      </c>
      <c r="Y38" s="396"/>
      <c r="Z38" s="346" t="str">
        <f t="shared" si="16"/>
        <v>0-RELLSVCA</v>
      </c>
      <c r="AA38" s="346" t="str">
        <f t="shared" si="17"/>
        <v>0-RELLSVCE</v>
      </c>
      <c r="AB38" s="346" t="str">
        <f t="shared" si="18"/>
        <v>0-RELLSVCM</v>
      </c>
      <c r="AC38" s="346" t="str">
        <f t="shared" si="19"/>
        <v>0-RELLSVCT</v>
      </c>
      <c r="AD38" s="346" t="str">
        <f t="shared" si="20"/>
        <v>0-RELLSVCS</v>
      </c>
      <c r="AE38" s="346" t="str">
        <f t="shared" si="21"/>
        <v>0-RELLSVCX</v>
      </c>
      <c r="AF38" s="346" t="str">
        <f t="shared" si="22"/>
        <v>0-RELLSVCX</v>
      </c>
      <c r="AG38" s="346">
        <f t="shared" si="8"/>
        <v>3</v>
      </c>
      <c r="AH38" s="346">
        <f>IF(B38&lt;&gt;"",+IF(H38="x",+VLOOKUP(I38,'AUX-NIV2'!B:AG,32,FALSE),0),"")</f>
        <v>7</v>
      </c>
      <c r="AI38" s="346" t="str">
        <f t="shared" si="23"/>
        <v>0-RELLSVC</v>
      </c>
      <c r="AK38" s="347">
        <f t="shared" si="9"/>
        <v>38</v>
      </c>
      <c r="AL38" s="348">
        <f t="shared" si="24"/>
        <v>40</v>
      </c>
      <c r="AM38" s="347">
        <f t="shared" si="25"/>
        <v>1</v>
      </c>
      <c r="AN38" s="382">
        <f>IF(AND(AH38&gt;0,B38&lt;&gt;""),VLOOKUP(I38,'AUX-NIV2'!$B:$AP,40,FALSE)*O38,0)</f>
        <v>2.3999999999999997E-2</v>
      </c>
      <c r="AO38" s="382">
        <f t="shared" si="10"/>
        <v>0.25023333333333331</v>
      </c>
      <c r="AQ38" s="395">
        <f>(IF($H38="x",VLOOKUP($I38,'AUX-NIV2'!$B:$X,'AUX-NIV1'!AQ$3,FALSE),0)+($AV38*'AUX-NIV3'!S$4))*$O38+IF($H38=AQ$4,$P38,0)</f>
        <v>11.330498691857509</v>
      </c>
      <c r="AR38" s="395">
        <f>(IF($H38="x",VLOOKUP($I38,'AUX-NIV2'!$B:$X,'AUX-NIV1'!AR$3,FALSE),0)+($AV38*'AUX-NIV3'!T$4))*$O38+IF($H38=AR$4,$P38,0)</f>
        <v>19.660014391688314</v>
      </c>
      <c r="AS38" s="395">
        <f>(IF($H38="x",VLOOKUP($I38,'AUX-NIV2'!$B:$X,'AUX-NIV1'!AS$3,FALSE),0)+($AV38*'AUX-NIV3'!U$4))*$O38+IF($H38=AS$4,$P38,0)</f>
        <v>0</v>
      </c>
      <c r="AT38" s="395">
        <f>(IF($H38="x",VLOOKUP($I38,'AUX-NIV2'!$B:$X,'AUX-NIV1'!AT$3,FALSE),0)+($AV38*'AUX-NIV3'!V$4))*$O38+IF($H38=AT$4,$P38,0)</f>
        <v>0</v>
      </c>
      <c r="AU38" s="395">
        <f>(IF($H38="x",VLOOKUP($I38,'AUX-NIV2'!$B:$X,'AUX-NIV1'!AU$3,FALSE),0)+($AV38*'AUX-NIV3'!W$4))*$O38+IF($H38=AU$4,$P38,0)</f>
        <v>0</v>
      </c>
      <c r="AV38" s="395">
        <f>+IF($H38="x",VLOOKUP($I38,'AUX-NIV2'!$B:$X,'AUX-NIV1'!AV$3,FALSE),0)</f>
        <v>0</v>
      </c>
    </row>
    <row r="39" spans="2:48" ht="13.8" hidden="1" thickBot="1">
      <c r="B39" s="324" t="s">
        <v>73</v>
      </c>
      <c r="C39" s="325" t="s">
        <v>125</v>
      </c>
      <c r="D39" s="326" t="s">
        <v>1160</v>
      </c>
      <c r="E39" s="349">
        <f>IF(B39&lt;&gt;"",+SUMIF(Items!C:C,'AUX-NIV1'!B39,Items!H:H),"")</f>
        <v>0</v>
      </c>
      <c r="F39" s="349">
        <f t="shared" si="0"/>
        <v>420.97179901163571</v>
      </c>
      <c r="G39" s="349">
        <f t="shared" si="1"/>
        <v>0</v>
      </c>
      <c r="H39" s="1395" t="str">
        <f t="shared" si="11"/>
        <v>X</v>
      </c>
      <c r="I39" s="1375" t="s">
        <v>1272</v>
      </c>
      <c r="J39" s="350" t="str">
        <f>IF(B39&lt;&gt;"",+VLOOKUP(I39,Recursos!C:F,2,FALSE),"")</f>
        <v>Excavación de Fundaciones con PC 200 - Con tpte. (3 vjs.hora)</v>
      </c>
      <c r="K39" s="351" t="str">
        <f>IF(B39&lt;&gt;"",+VLOOKUP(I39,Recursos!C:F,3,FALSE),"")</f>
        <v>m3</v>
      </c>
      <c r="L39" s="349">
        <f>IF(B39&lt;&gt;"",+VLOOKUP(I39,Recursos!C:F,4,FALSE),"")</f>
        <v>228.08238748864056</v>
      </c>
      <c r="M39" s="331">
        <v>1</v>
      </c>
      <c r="N39" s="331">
        <v>1.1000000000000001</v>
      </c>
      <c r="O39" s="362">
        <v>1.1000000000000001</v>
      </c>
      <c r="P39" s="352">
        <f t="shared" si="13"/>
        <v>250.89062623750465</v>
      </c>
      <c r="Q39" s="349">
        <f t="shared" si="14"/>
        <v>0</v>
      </c>
      <c r="R39" s="353">
        <f t="shared" si="15"/>
        <v>0</v>
      </c>
      <c r="S39" s="354">
        <f t="shared" si="2"/>
        <v>0</v>
      </c>
      <c r="T39" s="354">
        <f t="shared" si="3"/>
        <v>0</v>
      </c>
      <c r="U39" s="355">
        <f t="shared" si="4"/>
        <v>0</v>
      </c>
      <c r="V39" s="355">
        <f t="shared" si="5"/>
        <v>0</v>
      </c>
      <c r="W39" s="355">
        <f t="shared" si="6"/>
        <v>0</v>
      </c>
      <c r="X39" s="355">
        <f t="shared" si="7"/>
        <v>420.97179901163571</v>
      </c>
      <c r="Y39" s="396"/>
      <c r="Z39" s="346" t="str">
        <f t="shared" si="16"/>
        <v>0-RELLSVCA</v>
      </c>
      <c r="AA39" s="346" t="str">
        <f t="shared" si="17"/>
        <v>0-RELLSVCE</v>
      </c>
      <c r="AB39" s="346" t="str">
        <f t="shared" si="18"/>
        <v>0-RELLSVCM</v>
      </c>
      <c r="AC39" s="346" t="str">
        <f t="shared" si="19"/>
        <v>0-RELLSVCT</v>
      </c>
      <c r="AD39" s="346" t="str">
        <f t="shared" si="20"/>
        <v>0-RELLSVCS</v>
      </c>
      <c r="AE39" s="346" t="str">
        <f t="shared" si="21"/>
        <v>0-RELLSVCX</v>
      </c>
      <c r="AF39" s="346" t="str">
        <f t="shared" si="22"/>
        <v>0-RELLSVCX</v>
      </c>
      <c r="AG39" s="346">
        <f t="shared" si="8"/>
        <v>3</v>
      </c>
      <c r="AH39" s="346">
        <f>IF(B39&lt;&gt;"",+IF(H39="x",+VLOOKUP(I39,'AUX-NIV2'!B:AG,32,FALSE),0),"")</f>
        <v>6</v>
      </c>
      <c r="AI39" s="346" t="str">
        <f t="shared" si="23"/>
        <v>0-RELLSVC</v>
      </c>
      <c r="AK39" s="347">
        <f t="shared" si="9"/>
        <v>38</v>
      </c>
      <c r="AL39" s="348">
        <f t="shared" si="24"/>
        <v>40</v>
      </c>
      <c r="AM39" s="347">
        <f t="shared" si="25"/>
        <v>2</v>
      </c>
      <c r="AN39" s="382">
        <f>IF(AND(AH39&gt;0,B39&lt;&gt;""),VLOOKUP(I39,'AUX-NIV2'!$B:$AP,40,FALSE)*O39,0)</f>
        <v>0.14373333333333332</v>
      </c>
      <c r="AO39" s="382">
        <f t="shared" si="10"/>
        <v>0.25023333333333331</v>
      </c>
      <c r="AQ39" s="395">
        <f>(IF($H39="x",VLOOKUP($I39,'AUX-NIV2'!$B:$X,'AUX-NIV1'!AQ$3,FALSE),0)+($AV39*'AUX-NIV3'!S$4))*$O39+IF($H39=AQ$4,$P39,0)</f>
        <v>67.942943737504621</v>
      </c>
      <c r="AR39" s="395">
        <f>(IF($H39="x",VLOOKUP($I39,'AUX-NIV2'!$B:$X,'AUX-NIV1'!AR$3,FALSE),0)+($AV39*'AUX-NIV3'!T$4))*$O39+IF($H39=AR$4,$P39,0)</f>
        <v>182.94768250000004</v>
      </c>
      <c r="AS39" s="395">
        <f>(IF($H39="x",VLOOKUP($I39,'AUX-NIV2'!$B:$X,'AUX-NIV1'!AS$3,FALSE),0)+($AV39*'AUX-NIV3'!U$4))*$O39+IF($H39=AS$4,$P39,0)</f>
        <v>0</v>
      </c>
      <c r="AT39" s="395">
        <f>(IF($H39="x",VLOOKUP($I39,'AUX-NIV2'!$B:$X,'AUX-NIV1'!AT$3,FALSE),0)+($AV39*'AUX-NIV3'!V$4))*$O39+IF($H39=AT$4,$P39,0)</f>
        <v>0</v>
      </c>
      <c r="AU39" s="395">
        <f>(IF($H39="x",VLOOKUP($I39,'AUX-NIV2'!$B:$X,'AUX-NIV1'!AU$3,FALSE),0)+($AV39*'AUX-NIV3'!W$4))*$O39+IF($H39=AU$4,$P39,0)</f>
        <v>0</v>
      </c>
      <c r="AV39" s="395">
        <f>+IF($H39="x",VLOOKUP($I39,'AUX-NIV2'!$B:$X,'AUX-NIV1'!AV$3,FALSE),0)</f>
        <v>0</v>
      </c>
    </row>
    <row r="40" spans="2:48" ht="13.8" hidden="1" thickBot="1">
      <c r="B40" s="324" t="s">
        <v>73</v>
      </c>
      <c r="C40" s="325" t="s">
        <v>125</v>
      </c>
      <c r="D40" s="326" t="s">
        <v>1160</v>
      </c>
      <c r="E40" s="349">
        <f>IF(B40&lt;&gt;"",+SUMIF(Items!C:C,'AUX-NIV1'!B40,Items!H:H),"")</f>
        <v>0</v>
      </c>
      <c r="F40" s="349">
        <f t="shared" si="0"/>
        <v>420.97179901163571</v>
      </c>
      <c r="G40" s="349">
        <f t="shared" si="1"/>
        <v>0</v>
      </c>
      <c r="H40" s="1395" t="str">
        <f t="shared" si="11"/>
        <v>X</v>
      </c>
      <c r="I40" s="1375" t="s">
        <v>1277</v>
      </c>
      <c r="J40" s="350" t="str">
        <f>IF(B40&lt;&gt;"",+VLOOKUP(I40,Recursos!C:F,2,FALSE),"")</f>
        <v>Distribución y Compactación de Terrenos</v>
      </c>
      <c r="K40" s="351" t="str">
        <f>IF(B40&lt;&gt;"",+VLOOKUP(I40,Recursos!C:F,3,FALSE),"")</f>
        <v>m3</v>
      </c>
      <c r="L40" s="349">
        <f>IF(B40&lt;&gt;"",+VLOOKUP(I40,Recursos!C:F,4,FALSE),"")</f>
        <v>126.4460542641684</v>
      </c>
      <c r="M40" s="331">
        <v>1.1000000000000001</v>
      </c>
      <c r="N40" s="331">
        <v>1</v>
      </c>
      <c r="O40" s="362">
        <v>1.1000000000000001</v>
      </c>
      <c r="P40" s="352">
        <f t="shared" si="13"/>
        <v>139.09065969058526</v>
      </c>
      <c r="Q40" s="349">
        <f t="shared" si="14"/>
        <v>0</v>
      </c>
      <c r="R40" s="353">
        <f t="shared" si="15"/>
        <v>0</v>
      </c>
      <c r="S40" s="354">
        <f t="shared" si="2"/>
        <v>0</v>
      </c>
      <c r="T40" s="354">
        <f t="shared" si="3"/>
        <v>0</v>
      </c>
      <c r="U40" s="355">
        <f t="shared" si="4"/>
        <v>0</v>
      </c>
      <c r="V40" s="355">
        <f t="shared" si="5"/>
        <v>0</v>
      </c>
      <c r="W40" s="355">
        <f t="shared" si="6"/>
        <v>0</v>
      </c>
      <c r="X40" s="355">
        <f t="shared" si="7"/>
        <v>420.97179901163571</v>
      </c>
      <c r="Y40" s="396"/>
      <c r="Z40" s="346" t="str">
        <f t="shared" si="16"/>
        <v>0-RELLSVCA</v>
      </c>
      <c r="AA40" s="346" t="str">
        <f t="shared" si="17"/>
        <v>0-RELLSVCE</v>
      </c>
      <c r="AB40" s="346" t="str">
        <f t="shared" si="18"/>
        <v>0-RELLSVCM</v>
      </c>
      <c r="AC40" s="346" t="str">
        <f t="shared" si="19"/>
        <v>0-RELLSVCT</v>
      </c>
      <c r="AD40" s="346" t="str">
        <f t="shared" si="20"/>
        <v>0-RELLSVCS</v>
      </c>
      <c r="AE40" s="346" t="str">
        <f t="shared" si="21"/>
        <v>0-RELLSVCX</v>
      </c>
      <c r="AF40" s="346" t="str">
        <f t="shared" si="22"/>
        <v>0-RELLSVCX</v>
      </c>
      <c r="AG40" s="346">
        <f t="shared" si="8"/>
        <v>3</v>
      </c>
      <c r="AH40" s="346">
        <f>IF(B40&lt;&gt;"",+IF(H40="x",+VLOOKUP(I40,'AUX-NIV2'!B:AG,32,FALSE),0),"")</f>
        <v>6</v>
      </c>
      <c r="AI40" s="346" t="str">
        <f t="shared" si="23"/>
        <v>0-RELLSVC</v>
      </c>
      <c r="AK40" s="347">
        <f t="shared" si="9"/>
        <v>38</v>
      </c>
      <c r="AL40" s="348">
        <f t="shared" si="24"/>
        <v>40</v>
      </c>
      <c r="AM40" s="347">
        <f t="shared" si="25"/>
        <v>3</v>
      </c>
      <c r="AN40" s="382">
        <f>IF(AND(AH40&gt;0,B40&lt;&gt;""),VLOOKUP(I40,'AUX-NIV2'!$B:$AP,40,FALSE)*O40,0)</f>
        <v>8.2500000000000018E-2</v>
      </c>
      <c r="AO40" s="382">
        <f t="shared" si="10"/>
        <v>0.25023333333333331</v>
      </c>
      <c r="AQ40" s="395">
        <f>(IF($H40="x",VLOOKUP($I40,'AUX-NIV2'!$B:$X,'AUX-NIV1'!AQ$3,FALSE),0)+($AV40*'AUX-NIV3'!S$4))*$O40+IF($H40=AQ$4,$P40,0)</f>
        <v>43.5765780239186</v>
      </c>
      <c r="AR40" s="395">
        <f>(IF($H40="x",VLOOKUP($I40,'AUX-NIV2'!$B:$X,'AUX-NIV1'!AR$3,FALSE),0)+($AV40*'AUX-NIV3'!T$4))*$O40+IF($H40=AR$4,$P40,0)</f>
        <v>95.514081666666655</v>
      </c>
      <c r="AS40" s="395">
        <f>(IF($H40="x",VLOOKUP($I40,'AUX-NIV2'!$B:$X,'AUX-NIV1'!AS$3,FALSE),0)+($AV40*'AUX-NIV3'!U$4))*$O40+IF($H40=AS$4,$P40,0)</f>
        <v>0</v>
      </c>
      <c r="AT40" s="395">
        <f>(IF($H40="x",VLOOKUP($I40,'AUX-NIV2'!$B:$X,'AUX-NIV1'!AT$3,FALSE),0)+($AV40*'AUX-NIV3'!V$4))*$O40+IF($H40=AT$4,$P40,0)</f>
        <v>0</v>
      </c>
      <c r="AU40" s="395">
        <f>(IF($H40="x",VLOOKUP($I40,'AUX-NIV2'!$B:$X,'AUX-NIV1'!AU$3,FALSE),0)+($AV40*'AUX-NIV3'!W$4))*$O40+IF($H40=AU$4,$P40,0)</f>
        <v>0</v>
      </c>
      <c r="AV40" s="395">
        <f>+IF($H40="x",VLOOKUP($I40,'AUX-NIV2'!$B:$X,'AUX-NIV1'!AV$3,FALSE),0)</f>
        <v>0</v>
      </c>
    </row>
    <row r="41" spans="2:48" ht="13.8" hidden="1" thickBot="1">
      <c r="B41" s="501" t="s">
        <v>74</v>
      </c>
      <c r="C41" s="951" t="s">
        <v>126</v>
      </c>
      <c r="D41" s="326" t="s">
        <v>1160</v>
      </c>
      <c r="E41" s="349">
        <f>IF(B41&lt;&gt;"",+SUMIF(Items!C:C,'AUX-NIV1'!B41,Items!H:H),"")</f>
        <v>0</v>
      </c>
      <c r="F41" s="349">
        <f t="shared" si="0"/>
        <v>382.98991096936328</v>
      </c>
      <c r="G41" s="349">
        <f t="shared" si="1"/>
        <v>0</v>
      </c>
      <c r="H41" s="1395" t="str">
        <f t="shared" si="11"/>
        <v>X</v>
      </c>
      <c r="I41" s="1375" t="s">
        <v>2988</v>
      </c>
      <c r="J41" s="350" t="str">
        <f>IF(B41&lt;&gt;"",+VLOOKUP(I41,Recursos!C:F,2,FALSE),"")</f>
        <v>Riego Relleno en Zanja</v>
      </c>
      <c r="K41" s="351" t="str">
        <f>IF(B41&lt;&gt;"",+VLOOKUP(I41,Recursos!C:F,3,FALSE),"")</f>
        <v>m3</v>
      </c>
      <c r="L41" s="349">
        <f>IF(B41&lt;&gt;"",+VLOOKUP(I41,Recursos!C:F,4,FALSE),"")</f>
        <v>731.32286155504607</v>
      </c>
      <c r="M41" s="938"/>
      <c r="N41" s="331">
        <v>0.08</v>
      </c>
      <c r="O41" s="936">
        <f>N41*N42</f>
        <v>8.8000000000000009E-2</v>
      </c>
      <c r="P41" s="352">
        <f t="shared" si="13"/>
        <v>64.356411816844059</v>
      </c>
      <c r="Q41" s="349">
        <f t="shared" si="14"/>
        <v>0</v>
      </c>
      <c r="R41" s="353">
        <f t="shared" si="15"/>
        <v>0</v>
      </c>
      <c r="S41" s="354">
        <f t="shared" si="2"/>
        <v>0</v>
      </c>
      <c r="T41" s="354">
        <f t="shared" si="3"/>
        <v>0</v>
      </c>
      <c r="U41" s="355">
        <f t="shared" si="4"/>
        <v>0</v>
      </c>
      <c r="V41" s="355">
        <f t="shared" si="5"/>
        <v>0</v>
      </c>
      <c r="W41" s="355">
        <f t="shared" si="6"/>
        <v>0</v>
      </c>
      <c r="X41" s="355">
        <f t="shared" si="7"/>
        <v>382.98991096936328</v>
      </c>
      <c r="Y41" s="396"/>
      <c r="Z41" s="346" t="str">
        <f t="shared" si="16"/>
        <v>0-RELLSVtnA</v>
      </c>
      <c r="AA41" s="346" t="str">
        <f t="shared" si="17"/>
        <v>0-RELLSVtnE</v>
      </c>
      <c r="AB41" s="346" t="str">
        <f t="shared" si="18"/>
        <v>0-RELLSVtnM</v>
      </c>
      <c r="AC41" s="346" t="str">
        <f t="shared" si="19"/>
        <v>0-RELLSVtnT</v>
      </c>
      <c r="AD41" s="346" t="str">
        <f t="shared" si="20"/>
        <v>0-RELLSVtnS</v>
      </c>
      <c r="AE41" s="346" t="str">
        <f t="shared" si="21"/>
        <v>0-RELLSVtnX</v>
      </c>
      <c r="AF41" s="346" t="str">
        <f t="shared" si="22"/>
        <v>0-RELLSVtnX</v>
      </c>
      <c r="AG41" s="346">
        <f t="shared" si="8"/>
        <v>4</v>
      </c>
      <c r="AH41" s="346">
        <f>IF(B41&lt;&gt;"",+IF(H41="x",+VLOOKUP(I41,'AUX-NIV2'!B:AG,32,FALSE),0),"")</f>
        <v>3</v>
      </c>
      <c r="AI41" s="346" t="str">
        <f t="shared" si="23"/>
        <v>0-RELLSVtn</v>
      </c>
      <c r="AK41" s="347">
        <f t="shared" si="9"/>
        <v>41</v>
      </c>
      <c r="AL41" s="348">
        <f t="shared" si="24"/>
        <v>44</v>
      </c>
      <c r="AM41" s="347">
        <f t="shared" si="25"/>
        <v>1</v>
      </c>
      <c r="AN41" s="382">
        <f>IF(AND(AH41&gt;0,B41&lt;&gt;""),VLOOKUP(I41,'AUX-NIV2'!$B:$AP,40,FALSE)*O41,0)</f>
        <v>3.0651587301587305E-2</v>
      </c>
      <c r="AO41" s="382">
        <f t="shared" si="10"/>
        <v>0.24698492063492067</v>
      </c>
      <c r="AQ41" s="395">
        <f>(IF($H41="x",VLOOKUP($I41,'AUX-NIV2'!$B:$X,'AUX-NIV1'!AQ$3,FALSE),0)+($AV41*'AUX-NIV3'!S$4))*$O41+IF($H41=AQ$4,$P41,0)</f>
        <v>6.6596200591591366</v>
      </c>
      <c r="AR41" s="395">
        <f>(IF($H41="x",VLOOKUP($I41,'AUX-NIV2'!$B:$X,'AUX-NIV1'!AR$3,FALSE),0)+($AV41*'AUX-NIV3'!T$4))*$O41+IF($H41=AR$4,$P41,0)</f>
        <v>57.595219334737919</v>
      </c>
      <c r="AS41" s="395">
        <f>(IF($H41="x",VLOOKUP($I41,'AUX-NIV2'!$B:$X,'AUX-NIV1'!AS$3,FALSE),0)+($AV41*'AUX-NIV3'!U$4))*$O41+IF($H41=AS$4,$P41,0)</f>
        <v>0.10157242294700354</v>
      </c>
      <c r="AT41" s="395">
        <f>(IF($H41="x",VLOOKUP($I41,'AUX-NIV2'!$B:$X,'AUX-NIV1'!AT$3,FALSE),0)+($AV41*'AUX-NIV3'!V$4))*$O41+IF($H41=AT$4,$P41,0)</f>
        <v>0</v>
      </c>
      <c r="AU41" s="395">
        <f>(IF($H41="x",VLOOKUP($I41,'AUX-NIV2'!$B:$X,'AUX-NIV1'!AU$3,FALSE),0)+($AV41*'AUX-NIV3'!W$4))*$O41+IF($H41=AU$4,$P41,0)</f>
        <v>0</v>
      </c>
      <c r="AV41" s="395">
        <f>+IF($H41="x",VLOOKUP($I41,'AUX-NIV2'!$B:$X,'AUX-NIV1'!AV$3,FALSE),0)</f>
        <v>731.32286155504607</v>
      </c>
    </row>
    <row r="42" spans="2:48" ht="13.8" hidden="1" thickBot="1">
      <c r="B42" s="501" t="s">
        <v>74</v>
      </c>
      <c r="C42" s="951" t="s">
        <v>126</v>
      </c>
      <c r="D42" s="326" t="s">
        <v>1160</v>
      </c>
      <c r="E42" s="349">
        <f>IF(B42&lt;&gt;"",+SUMIF(Items!C:C,'AUX-NIV1'!B42,Items!H:H),"")</f>
        <v>0</v>
      </c>
      <c r="F42" s="349">
        <f t="shared" si="0"/>
        <v>382.98991096936328</v>
      </c>
      <c r="G42" s="349">
        <f t="shared" si="1"/>
        <v>0</v>
      </c>
      <c r="H42" s="1395" t="str">
        <f t="shared" si="11"/>
        <v>X</v>
      </c>
      <c r="I42" s="1375" t="s">
        <v>1277</v>
      </c>
      <c r="J42" s="350" t="str">
        <f>IF(B42&lt;&gt;"",+VLOOKUP(I42,Recursos!C:F,2,FALSE),"")</f>
        <v>Distribución y Compactación de Terrenos</v>
      </c>
      <c r="K42" s="351" t="str">
        <f>IF(B42&lt;&gt;"",+VLOOKUP(I42,Recursos!C:F,3,FALSE),"")</f>
        <v>m3</v>
      </c>
      <c r="L42" s="349">
        <f>IF(B42&lt;&gt;"",+VLOOKUP(I42,Recursos!C:F,4,FALSE),"")</f>
        <v>126.4460542641684</v>
      </c>
      <c r="M42" s="331">
        <v>0.9</v>
      </c>
      <c r="N42" s="331">
        <v>1.1000000000000001</v>
      </c>
      <c r="O42" s="936">
        <f>N42*M42</f>
        <v>0.9900000000000001</v>
      </c>
      <c r="P42" s="352">
        <f t="shared" si="13"/>
        <v>125.18159372152672</v>
      </c>
      <c r="Q42" s="349">
        <f t="shared" si="14"/>
        <v>0</v>
      </c>
      <c r="R42" s="353">
        <f t="shared" si="15"/>
        <v>0</v>
      </c>
      <c r="S42" s="354">
        <f t="shared" si="2"/>
        <v>0</v>
      </c>
      <c r="T42" s="354">
        <f t="shared" si="3"/>
        <v>0</v>
      </c>
      <c r="U42" s="355">
        <f t="shared" si="4"/>
        <v>0</v>
      </c>
      <c r="V42" s="355">
        <f t="shared" si="5"/>
        <v>0</v>
      </c>
      <c r="W42" s="355">
        <f t="shared" si="6"/>
        <v>0</v>
      </c>
      <c r="X42" s="355">
        <f t="shared" si="7"/>
        <v>382.98991096936328</v>
      </c>
      <c r="Y42" s="396"/>
      <c r="Z42" s="346" t="str">
        <f t="shared" si="16"/>
        <v>0-RELLSVtnA</v>
      </c>
      <c r="AA42" s="346" t="str">
        <f t="shared" si="17"/>
        <v>0-RELLSVtnE</v>
      </c>
      <c r="AB42" s="346" t="str">
        <f t="shared" si="18"/>
        <v>0-RELLSVtnM</v>
      </c>
      <c r="AC42" s="346" t="str">
        <f t="shared" si="19"/>
        <v>0-RELLSVtnT</v>
      </c>
      <c r="AD42" s="346" t="str">
        <f t="shared" si="20"/>
        <v>0-RELLSVtnS</v>
      </c>
      <c r="AE42" s="346" t="str">
        <f t="shared" si="21"/>
        <v>0-RELLSVtnX</v>
      </c>
      <c r="AF42" s="346" t="str">
        <f t="shared" si="22"/>
        <v>0-RELLSVtnX</v>
      </c>
      <c r="AG42" s="346">
        <f t="shared" si="8"/>
        <v>4</v>
      </c>
      <c r="AH42" s="346">
        <f>IF(B42&lt;&gt;"",+IF(H42="x",+VLOOKUP(I42,'AUX-NIV2'!B:AG,32,FALSE),0),"")</f>
        <v>6</v>
      </c>
      <c r="AI42" s="346" t="str">
        <f t="shared" si="23"/>
        <v>0-RELLSVtn</v>
      </c>
      <c r="AK42" s="347">
        <f t="shared" si="9"/>
        <v>41</v>
      </c>
      <c r="AL42" s="348">
        <f t="shared" si="24"/>
        <v>44</v>
      </c>
      <c r="AM42" s="347">
        <f t="shared" si="25"/>
        <v>2</v>
      </c>
      <c r="AN42" s="382">
        <f>IF(AND(AH42&gt;0,B42&lt;&gt;""),VLOOKUP(I42,'AUX-NIV2'!$B:$AP,40,FALSE)*O42,0)</f>
        <v>7.4250000000000024E-2</v>
      </c>
      <c r="AO42" s="382">
        <f t="shared" si="10"/>
        <v>0.24698492063492067</v>
      </c>
      <c r="AQ42" s="395">
        <f>(IF($H42="x",VLOOKUP($I42,'AUX-NIV2'!$B:$X,'AUX-NIV1'!AQ$3,FALSE),0)+($AV42*'AUX-NIV3'!S$4))*$O42+IF($H42=AQ$4,$P42,0)</f>
        <v>39.218920221526744</v>
      </c>
      <c r="AR42" s="395">
        <f>(IF($H42="x",VLOOKUP($I42,'AUX-NIV2'!$B:$X,'AUX-NIV1'!AR$3,FALSE),0)+($AV42*'AUX-NIV3'!T$4))*$O42+IF($H42=AR$4,$P42,0)</f>
        <v>85.962673499999994</v>
      </c>
      <c r="AS42" s="395">
        <f>(IF($H42="x",VLOOKUP($I42,'AUX-NIV2'!$B:$X,'AUX-NIV1'!AS$3,FALSE),0)+($AV42*'AUX-NIV3'!U$4))*$O42+IF($H42=AS$4,$P42,0)</f>
        <v>0</v>
      </c>
      <c r="AT42" s="395">
        <f>(IF($H42="x",VLOOKUP($I42,'AUX-NIV2'!$B:$X,'AUX-NIV1'!AT$3,FALSE),0)+($AV42*'AUX-NIV3'!V$4))*$O42+IF($H42=AT$4,$P42,0)</f>
        <v>0</v>
      </c>
      <c r="AU42" s="395">
        <f>(IF($H42="x",VLOOKUP($I42,'AUX-NIV2'!$B:$X,'AUX-NIV1'!AU$3,FALSE),0)+($AV42*'AUX-NIV3'!W$4))*$O42+IF($H42=AU$4,$P42,0)</f>
        <v>0</v>
      </c>
      <c r="AV42" s="395">
        <f>+IF($H42="x",VLOOKUP($I42,'AUX-NIV2'!$B:$X,'AUX-NIV1'!AV$3,FALSE),0)</f>
        <v>0</v>
      </c>
    </row>
    <row r="43" spans="2:48" ht="13.8" hidden="1" thickBot="1">
      <c r="B43" s="501" t="s">
        <v>74</v>
      </c>
      <c r="C43" s="951" t="s">
        <v>126</v>
      </c>
      <c r="D43" s="326" t="s">
        <v>1160</v>
      </c>
      <c r="E43" s="349">
        <f>IF(B43&lt;&gt;"",+SUMIF(Items!C:C,'AUX-NIV1'!B43,Items!H:H),"")</f>
        <v>0</v>
      </c>
      <c r="F43" s="349">
        <f t="shared" si="0"/>
        <v>382.98991096936328</v>
      </c>
      <c r="G43" s="349">
        <f t="shared" si="1"/>
        <v>0</v>
      </c>
      <c r="H43" s="1395" t="str">
        <f t="shared" si="11"/>
        <v>X</v>
      </c>
      <c r="I43" s="1375" t="s">
        <v>3263</v>
      </c>
      <c r="J43" s="350" t="str">
        <f>IF(B43&lt;&gt;"",+VLOOKUP(I43,Recursos!C:F,2,FALSE),"")</f>
        <v>Carga de material con Cargadora</v>
      </c>
      <c r="K43" s="351" t="str">
        <f>IF(B43&lt;&gt;"",+VLOOKUP(I43,Recursos!C:F,3,FALSE),"")</f>
        <v>hs</v>
      </c>
      <c r="L43" s="349">
        <f>IF(B43&lt;&gt;"",+VLOOKUP(I43,Recursos!C:F,4,FALSE),"")</f>
        <v>122.53990250398186</v>
      </c>
      <c r="M43" s="937"/>
      <c r="N43" s="937"/>
      <c r="O43" s="936">
        <f>N42</f>
        <v>1.1000000000000001</v>
      </c>
      <c r="P43" s="352">
        <f t="shared" si="13"/>
        <v>134.79389275438007</v>
      </c>
      <c r="Q43" s="349">
        <f t="shared" si="14"/>
        <v>0</v>
      </c>
      <c r="R43" s="353">
        <f t="shared" si="15"/>
        <v>0</v>
      </c>
      <c r="S43" s="354">
        <f t="shared" si="2"/>
        <v>0</v>
      </c>
      <c r="T43" s="354">
        <f t="shared" si="3"/>
        <v>0</v>
      </c>
      <c r="U43" s="355">
        <f t="shared" si="4"/>
        <v>0</v>
      </c>
      <c r="V43" s="355">
        <f t="shared" si="5"/>
        <v>0</v>
      </c>
      <c r="W43" s="355">
        <f t="shared" si="6"/>
        <v>0</v>
      </c>
      <c r="X43" s="355">
        <f t="shared" si="7"/>
        <v>382.98991096936328</v>
      </c>
      <c r="Y43" s="396"/>
      <c r="Z43" s="346" t="str">
        <f t="shared" si="16"/>
        <v>0-RELLSVtnA</v>
      </c>
      <c r="AA43" s="346" t="str">
        <f t="shared" si="17"/>
        <v>0-RELLSVtnE</v>
      </c>
      <c r="AB43" s="346" t="str">
        <f t="shared" si="18"/>
        <v>0-RELLSVtnM</v>
      </c>
      <c r="AC43" s="346" t="str">
        <f t="shared" si="19"/>
        <v>0-RELLSVtnT</v>
      </c>
      <c r="AD43" s="346" t="str">
        <f t="shared" si="20"/>
        <v>0-RELLSVtnS</v>
      </c>
      <c r="AE43" s="346" t="str">
        <f t="shared" si="21"/>
        <v>0-RELLSVtnX</v>
      </c>
      <c r="AF43" s="346" t="str">
        <f t="shared" si="22"/>
        <v>0-RELLSVtnX</v>
      </c>
      <c r="AG43" s="346">
        <f t="shared" si="8"/>
        <v>4</v>
      </c>
      <c r="AH43" s="346">
        <f>IF(B43&lt;&gt;"",+IF(H43="x",+VLOOKUP(I43,'AUX-NIV2'!B:AG,32,FALSE),0),"")</f>
        <v>5</v>
      </c>
      <c r="AI43" s="346" t="str">
        <f t="shared" si="23"/>
        <v>0-RELLSVtn</v>
      </c>
      <c r="AK43" s="347">
        <f t="shared" si="9"/>
        <v>41</v>
      </c>
      <c r="AL43" s="348">
        <f t="shared" si="24"/>
        <v>44</v>
      </c>
      <c r="AM43" s="347">
        <f t="shared" si="25"/>
        <v>3</v>
      </c>
      <c r="AN43" s="382">
        <f>IF(AND(AH43&gt;0,B43&lt;&gt;""),VLOOKUP(I43,'AUX-NIV2'!$B:$AP,40,FALSE)*O43,0)</f>
        <v>6.8750000000000006E-2</v>
      </c>
      <c r="AO43" s="382">
        <f t="shared" si="10"/>
        <v>0.24698492063492067</v>
      </c>
      <c r="AQ43" s="395">
        <f>(IF($H43="x",VLOOKUP($I43,'AUX-NIV2'!$B:$X,'AUX-NIV1'!AQ$3,FALSE),0)+($AV43*'AUX-NIV3'!S$4))*$O43+IF($H43=AQ$4,$P43,0)</f>
        <v>34.385486365491161</v>
      </c>
      <c r="AR43" s="395">
        <f>(IF($H43="x",VLOOKUP($I43,'AUX-NIV2'!$B:$X,'AUX-NIV1'!AR$3,FALSE),0)+($AV43*'AUX-NIV3'!T$4))*$O43+IF($H43=AR$4,$P43,0)</f>
        <v>100.40840638888888</v>
      </c>
      <c r="AS43" s="395">
        <f>(IF($H43="x",VLOOKUP($I43,'AUX-NIV2'!$B:$X,'AUX-NIV1'!AS$3,FALSE),0)+($AV43*'AUX-NIV3'!U$4))*$O43+IF($H43=AS$4,$P43,0)</f>
        <v>0</v>
      </c>
      <c r="AT43" s="395">
        <f>(IF($H43="x",VLOOKUP($I43,'AUX-NIV2'!$B:$X,'AUX-NIV1'!AT$3,FALSE),0)+($AV43*'AUX-NIV3'!V$4))*$O43+IF($H43=AT$4,$P43,0)</f>
        <v>0</v>
      </c>
      <c r="AU43" s="395">
        <f>(IF($H43="x",VLOOKUP($I43,'AUX-NIV2'!$B:$X,'AUX-NIV1'!AU$3,FALSE),0)+($AV43*'AUX-NIV3'!W$4))*$O43+IF($H43=AU$4,$P43,0)</f>
        <v>0</v>
      </c>
      <c r="AV43" s="395">
        <f>+IF($H43="x",VLOOKUP($I43,'AUX-NIV2'!$B:$X,'AUX-NIV1'!AV$3,FALSE),0)</f>
        <v>0</v>
      </c>
    </row>
    <row r="44" spans="2:48" ht="13.8" hidden="1" thickBot="1">
      <c r="B44" s="501" t="s">
        <v>74</v>
      </c>
      <c r="C44" s="951" t="s">
        <v>126</v>
      </c>
      <c r="D44" s="326" t="s">
        <v>1160</v>
      </c>
      <c r="E44" s="349">
        <f>IF(B44&lt;&gt;"",+SUMIF(Items!C:C,'AUX-NIV1'!B44,Items!H:H),"")</f>
        <v>0</v>
      </c>
      <c r="F44" s="349">
        <f t="shared" si="0"/>
        <v>382.98991096936328</v>
      </c>
      <c r="G44" s="349">
        <f t="shared" si="1"/>
        <v>0</v>
      </c>
      <c r="H44" s="1395" t="str">
        <f t="shared" si="11"/>
        <v>X</v>
      </c>
      <c r="I44" s="1375" t="s">
        <v>1265</v>
      </c>
      <c r="J44" s="350" t="str">
        <f>IF(B44&lt;&gt;"",+VLOOKUP(I44,Recursos!C:F,2,FALSE),"")</f>
        <v xml:space="preserve">Relleno Manual y compactación </v>
      </c>
      <c r="K44" s="351" t="str">
        <f>IF(B44&lt;&gt;"",+VLOOKUP(I44,Recursos!C:F,3,FALSE),"")</f>
        <v>m3</v>
      </c>
      <c r="L44" s="349">
        <f>IF(B44&lt;&gt;"",+VLOOKUP(I44,Recursos!C:F,4,FALSE),"")</f>
        <v>533.25466069647678</v>
      </c>
      <c r="M44" s="938"/>
      <c r="N44" s="938">
        <f>1-M42</f>
        <v>9.9999999999999978E-2</v>
      </c>
      <c r="O44" s="936">
        <f>N44*N42</f>
        <v>0.10999999999999999</v>
      </c>
      <c r="P44" s="352">
        <f t="shared" si="13"/>
        <v>58.658012676612437</v>
      </c>
      <c r="Q44" s="349">
        <f t="shared" si="14"/>
        <v>0</v>
      </c>
      <c r="R44" s="353">
        <f t="shared" si="15"/>
        <v>0</v>
      </c>
      <c r="S44" s="354">
        <f t="shared" si="2"/>
        <v>0</v>
      </c>
      <c r="T44" s="354">
        <f t="shared" si="3"/>
        <v>0</v>
      </c>
      <c r="U44" s="355">
        <f t="shared" si="4"/>
        <v>0</v>
      </c>
      <c r="V44" s="355">
        <f t="shared" si="5"/>
        <v>0</v>
      </c>
      <c r="W44" s="355">
        <f t="shared" si="6"/>
        <v>0</v>
      </c>
      <c r="X44" s="355">
        <f t="shared" si="7"/>
        <v>382.98991096936328</v>
      </c>
      <c r="Y44" s="396"/>
      <c r="Z44" s="346" t="str">
        <f t="shared" si="16"/>
        <v>0-RELLSVtnA</v>
      </c>
      <c r="AA44" s="346" t="str">
        <f t="shared" si="17"/>
        <v>0-RELLSVtnE</v>
      </c>
      <c r="AB44" s="346" t="str">
        <f t="shared" si="18"/>
        <v>0-RELLSVtnM</v>
      </c>
      <c r="AC44" s="346" t="str">
        <f t="shared" si="19"/>
        <v>0-RELLSVtnT</v>
      </c>
      <c r="AD44" s="346" t="str">
        <f t="shared" si="20"/>
        <v>0-RELLSVtnS</v>
      </c>
      <c r="AE44" s="346" t="str">
        <f t="shared" si="21"/>
        <v>0-RELLSVtnX</v>
      </c>
      <c r="AF44" s="346" t="str">
        <f t="shared" si="22"/>
        <v>0-RELLSVtnX</v>
      </c>
      <c r="AG44" s="346">
        <f t="shared" si="8"/>
        <v>4</v>
      </c>
      <c r="AH44" s="346">
        <f>IF(B44&lt;&gt;"",+IF(H44="x",+VLOOKUP(I44,'AUX-NIV2'!B:AG,32,FALSE),0),"")</f>
        <v>5</v>
      </c>
      <c r="AI44" s="346" t="str">
        <f t="shared" si="23"/>
        <v>0-RELLSVtn</v>
      </c>
      <c r="AK44" s="347">
        <f t="shared" si="9"/>
        <v>41</v>
      </c>
      <c r="AL44" s="348">
        <f t="shared" si="24"/>
        <v>44</v>
      </c>
      <c r="AM44" s="347">
        <f t="shared" si="25"/>
        <v>4</v>
      </c>
      <c r="AN44" s="382">
        <f>IF(AND(AH44&gt;0,B44&lt;&gt;""),VLOOKUP(I44,'AUX-NIV2'!$B:$AP,40,FALSE)*O44,0)</f>
        <v>7.333333333333332E-2</v>
      </c>
      <c r="AO44" s="382">
        <f t="shared" si="10"/>
        <v>0.24698492063492067</v>
      </c>
      <c r="AQ44" s="395">
        <f>(IF($H44="x",VLOOKUP($I44,'AUX-NIV2'!$B:$X,'AUX-NIV1'!AQ$3,FALSE),0)+($AV44*'AUX-NIV3'!S$4))*$O44+IF($H44=AQ$4,$P44,0)</f>
        <v>33.711200676612449</v>
      </c>
      <c r="AR44" s="395">
        <f>(IF($H44="x",VLOOKUP($I44,'AUX-NIV2'!$B:$X,'AUX-NIV1'!AR$3,FALSE),0)+($AV44*'AUX-NIV3'!T$4))*$O44+IF($H44=AR$4,$P44,0)</f>
        <v>22.884311999999998</v>
      </c>
      <c r="AS44" s="395">
        <f>(IF($H44="x",VLOOKUP($I44,'AUX-NIV2'!$B:$X,'AUX-NIV1'!AS$3,FALSE),0)+($AV44*'AUX-NIV3'!U$4))*$O44+IF($H44=AS$4,$P44,0)</f>
        <v>2.0624999999999996</v>
      </c>
      <c r="AT44" s="395">
        <f>(IF($H44="x",VLOOKUP($I44,'AUX-NIV2'!$B:$X,'AUX-NIV1'!AT$3,FALSE),0)+($AV44*'AUX-NIV3'!V$4))*$O44+IF($H44=AT$4,$P44,0)</f>
        <v>0</v>
      </c>
      <c r="AU44" s="395">
        <f>(IF($H44="x",VLOOKUP($I44,'AUX-NIV2'!$B:$X,'AUX-NIV1'!AU$3,FALSE),0)+($AV44*'AUX-NIV3'!W$4))*$O44+IF($H44=AU$4,$P44,0)</f>
        <v>0</v>
      </c>
      <c r="AV44" s="395">
        <f>+IF($H44="x",VLOOKUP($I44,'AUX-NIV2'!$B:$X,'AUX-NIV1'!AV$3,FALSE),0)</f>
        <v>0</v>
      </c>
    </row>
    <row r="45" spans="2:48" ht="13.8" hidden="1" thickBot="1">
      <c r="B45" s="324" t="s">
        <v>75</v>
      </c>
      <c r="C45" s="325" t="s">
        <v>127</v>
      </c>
      <c r="D45" s="326" t="s">
        <v>1160</v>
      </c>
      <c r="E45" s="349">
        <f>IF(B45&lt;&gt;"",+SUMIF(Items!C:C,'AUX-NIV1'!B45,Items!H:H),"")</f>
        <v>0</v>
      </c>
      <c r="F45" s="349">
        <f t="shared" si="0"/>
        <v>358.65281578068254</v>
      </c>
      <c r="G45" s="349">
        <f t="shared" si="1"/>
        <v>0</v>
      </c>
      <c r="H45" s="1395" t="str">
        <f t="shared" si="11"/>
        <v>X</v>
      </c>
      <c r="I45" s="1375" t="s">
        <v>1253</v>
      </c>
      <c r="J45" s="350" t="str">
        <f>IF(B45&lt;&gt;"",+VLOOKUP(I45,Recursos!C:F,2,FALSE),"")</f>
        <v>Obt-Transp. de Agua p/Hormigones</v>
      </c>
      <c r="K45" s="351" t="str">
        <f>IF(B45&lt;&gt;"",+VLOOKUP(I45,Recursos!C:F,3,FALSE),"")</f>
        <v>m3</v>
      </c>
      <c r="L45" s="349">
        <f>IF(B45&lt;&gt;"",+VLOOKUP(I45,Recursos!C:F,4,FALSE),"")</f>
        <v>352.16492140392978</v>
      </c>
      <c r="M45" s="331">
        <v>1.1000000000000001</v>
      </c>
      <c r="N45" s="331">
        <v>0.5</v>
      </c>
      <c r="O45" s="362">
        <v>0.55000000000000004</v>
      </c>
      <c r="P45" s="352">
        <f t="shared" si="13"/>
        <v>193.69070677216141</v>
      </c>
      <c r="Q45" s="349">
        <f t="shared" si="14"/>
        <v>0</v>
      </c>
      <c r="R45" s="353">
        <f t="shared" si="15"/>
        <v>0</v>
      </c>
      <c r="S45" s="354">
        <f t="shared" si="2"/>
        <v>0</v>
      </c>
      <c r="T45" s="354">
        <f t="shared" si="3"/>
        <v>0</v>
      </c>
      <c r="U45" s="355">
        <f t="shared" si="4"/>
        <v>0</v>
      </c>
      <c r="V45" s="355">
        <f t="shared" si="5"/>
        <v>0</v>
      </c>
      <c r="W45" s="355">
        <f t="shared" si="6"/>
        <v>0</v>
      </c>
      <c r="X45" s="355">
        <f t="shared" si="7"/>
        <v>358.65281578068254</v>
      </c>
      <c r="Y45" s="396"/>
      <c r="Z45" s="346" t="str">
        <f t="shared" si="16"/>
        <v>0-SRTRATAA</v>
      </c>
      <c r="AA45" s="346" t="str">
        <f t="shared" si="17"/>
        <v>0-SRTRATAE</v>
      </c>
      <c r="AB45" s="346" t="str">
        <f t="shared" si="18"/>
        <v>0-SRTRATAM</v>
      </c>
      <c r="AC45" s="346" t="str">
        <f t="shared" si="19"/>
        <v>0-SRTRATAT</v>
      </c>
      <c r="AD45" s="346" t="str">
        <f t="shared" si="20"/>
        <v>0-SRTRATAS</v>
      </c>
      <c r="AE45" s="346" t="str">
        <f t="shared" si="21"/>
        <v>0-SRTRATAX</v>
      </c>
      <c r="AF45" s="346" t="str">
        <f t="shared" si="22"/>
        <v>0-SRTRATAX</v>
      </c>
      <c r="AG45" s="346">
        <f t="shared" si="8"/>
        <v>3</v>
      </c>
      <c r="AH45" s="346">
        <f>IF(B45&lt;&gt;"",+IF(H45="x",+VLOOKUP(I45,'AUX-NIV2'!B:AG,32,FALSE),0),"")</f>
        <v>7</v>
      </c>
      <c r="AI45" s="346" t="str">
        <f t="shared" si="23"/>
        <v>0-SRTRATA</v>
      </c>
      <c r="AK45" s="347">
        <f t="shared" si="9"/>
        <v>45</v>
      </c>
      <c r="AL45" s="348">
        <f t="shared" si="24"/>
        <v>47</v>
      </c>
      <c r="AM45" s="347">
        <f t="shared" si="25"/>
        <v>1</v>
      </c>
      <c r="AN45" s="382">
        <f>IF(AND(AH45&gt;0,B45&lt;&gt;""),VLOOKUP(I45,'AUX-NIV2'!$B:$AP,40,FALSE)*O45,0)</f>
        <v>0.15</v>
      </c>
      <c r="AO45" s="382">
        <f t="shared" si="10"/>
        <v>0.23811770833333332</v>
      </c>
      <c r="AQ45" s="395">
        <f>(IF($H45="x",VLOOKUP($I45,'AUX-NIV2'!$B:$X,'AUX-NIV1'!AQ$3,FALSE),0)+($AV45*'AUX-NIV3'!S$4))*$O45+IF($H45=AQ$4,$P45,0)</f>
        <v>70.815616824109441</v>
      </c>
      <c r="AR45" s="395">
        <f>(IF($H45="x",VLOOKUP($I45,'AUX-NIV2'!$B:$X,'AUX-NIV1'!AR$3,FALSE),0)+($AV45*'AUX-NIV3'!T$4))*$O45+IF($H45=AR$4,$P45,0)</f>
        <v>122.87508994805196</v>
      </c>
      <c r="AS45" s="395">
        <f>(IF($H45="x",VLOOKUP($I45,'AUX-NIV2'!$B:$X,'AUX-NIV1'!AS$3,FALSE),0)+($AV45*'AUX-NIV3'!U$4))*$O45+IF($H45=AS$4,$P45,0)</f>
        <v>0</v>
      </c>
      <c r="AT45" s="395">
        <f>(IF($H45="x",VLOOKUP($I45,'AUX-NIV2'!$B:$X,'AUX-NIV1'!AT$3,FALSE),0)+($AV45*'AUX-NIV3'!V$4))*$O45+IF($H45=AT$4,$P45,0)</f>
        <v>0</v>
      </c>
      <c r="AU45" s="395">
        <f>(IF($H45="x",VLOOKUP($I45,'AUX-NIV2'!$B:$X,'AUX-NIV1'!AU$3,FALSE),0)+($AV45*'AUX-NIV3'!W$4))*$O45+IF($H45=AU$4,$P45,0)</f>
        <v>0</v>
      </c>
      <c r="AV45" s="395">
        <f>+IF($H45="x",VLOOKUP($I45,'AUX-NIV2'!$B:$X,'AUX-NIV1'!AV$3,FALSE),0)</f>
        <v>0</v>
      </c>
    </row>
    <row r="46" spans="2:48" ht="13.8" hidden="1" thickBot="1">
      <c r="B46" s="324" t="s">
        <v>75</v>
      </c>
      <c r="C46" s="325" t="s">
        <v>127</v>
      </c>
      <c r="D46" s="326" t="s">
        <v>1160</v>
      </c>
      <c r="E46" s="349">
        <f>IF(B46&lt;&gt;"",+SUMIF(Items!C:C,'AUX-NIV1'!B46,Items!H:H),"")</f>
        <v>0</v>
      </c>
      <c r="F46" s="349">
        <f t="shared" si="0"/>
        <v>358.65281578068254</v>
      </c>
      <c r="G46" s="349">
        <f t="shared" si="1"/>
        <v>0</v>
      </c>
      <c r="H46" s="1395" t="str">
        <f t="shared" si="11"/>
        <v>X</v>
      </c>
      <c r="I46" s="1375" t="s">
        <v>1283</v>
      </c>
      <c r="J46" s="350" t="str">
        <f>IF(B46&lt;&gt;"",+VLOOKUP(I46,Recursos!C:F,2,FALSE),"")</f>
        <v>Tratamiento de Subrasante-Escarificado y Riego</v>
      </c>
      <c r="K46" s="351" t="str">
        <f>IF(B46&lt;&gt;"",+VLOOKUP(I46,Recursos!C:F,3,FALSE),"")</f>
        <v>m3</v>
      </c>
      <c r="L46" s="349">
        <f>IF(B46&lt;&gt;"",+VLOOKUP(I46,Recursos!C:F,4,FALSE),"")</f>
        <v>125.70553823996164</v>
      </c>
      <c r="M46" s="331">
        <v>1</v>
      </c>
      <c r="N46" s="331">
        <v>1.1000000000000001</v>
      </c>
      <c r="O46" s="362">
        <v>1.1000000000000001</v>
      </c>
      <c r="P46" s="352">
        <f t="shared" si="13"/>
        <v>138.2760920639578</v>
      </c>
      <c r="Q46" s="349">
        <f t="shared" si="14"/>
        <v>0</v>
      </c>
      <c r="R46" s="353">
        <f t="shared" si="15"/>
        <v>0</v>
      </c>
      <c r="S46" s="354">
        <f t="shared" si="2"/>
        <v>0</v>
      </c>
      <c r="T46" s="354">
        <f t="shared" si="3"/>
        <v>0</v>
      </c>
      <c r="U46" s="355">
        <f t="shared" si="4"/>
        <v>0</v>
      </c>
      <c r="V46" s="355">
        <f t="shared" si="5"/>
        <v>0</v>
      </c>
      <c r="W46" s="355">
        <f t="shared" si="6"/>
        <v>0</v>
      </c>
      <c r="X46" s="355">
        <f t="shared" si="7"/>
        <v>358.65281578068254</v>
      </c>
      <c r="Y46" s="396"/>
      <c r="Z46" s="346" t="str">
        <f t="shared" si="16"/>
        <v>0-SRTRATAA</v>
      </c>
      <c r="AA46" s="346" t="str">
        <f t="shared" si="17"/>
        <v>0-SRTRATAE</v>
      </c>
      <c r="AB46" s="346" t="str">
        <f t="shared" si="18"/>
        <v>0-SRTRATAM</v>
      </c>
      <c r="AC46" s="346" t="str">
        <f t="shared" si="19"/>
        <v>0-SRTRATAT</v>
      </c>
      <c r="AD46" s="346" t="str">
        <f t="shared" si="20"/>
        <v>0-SRTRATAS</v>
      </c>
      <c r="AE46" s="346" t="str">
        <f t="shared" si="21"/>
        <v>0-SRTRATAX</v>
      </c>
      <c r="AF46" s="346" t="str">
        <f t="shared" si="22"/>
        <v>0-SRTRATAX</v>
      </c>
      <c r="AG46" s="346">
        <f t="shared" si="8"/>
        <v>3</v>
      </c>
      <c r="AH46" s="346">
        <f>IF(B46&lt;&gt;"",+IF(H46="x",+VLOOKUP(I46,'AUX-NIV2'!B:AG,32,FALSE),0),"")</f>
        <v>6</v>
      </c>
      <c r="AI46" s="346" t="str">
        <f t="shared" si="23"/>
        <v>0-SRTRATA</v>
      </c>
      <c r="AK46" s="347">
        <f t="shared" si="9"/>
        <v>45</v>
      </c>
      <c r="AL46" s="348">
        <f t="shared" si="24"/>
        <v>47</v>
      </c>
      <c r="AM46" s="347">
        <f t="shared" si="25"/>
        <v>2</v>
      </c>
      <c r="AN46" s="382">
        <f>IF(AND(AH46&gt;0,B46&lt;&gt;""),VLOOKUP(I46,'AUX-NIV2'!$B:$AP,40,FALSE)*O46,0)</f>
        <v>7.2599999999999998E-2</v>
      </c>
      <c r="AO46" s="382">
        <f t="shared" si="10"/>
        <v>0.23811770833333332</v>
      </c>
      <c r="AQ46" s="395">
        <f>(IF($H46="x",VLOOKUP($I46,'AUX-NIV2'!$B:$X,'AUX-NIV1'!AQ$3,FALSE),0)+($AV46*'AUX-NIV3'!S$4))*$O46+IF($H46=AQ$4,$P46,0)</f>
        <v>36.375157778243505</v>
      </c>
      <c r="AR46" s="395">
        <f>(IF($H46="x",VLOOKUP($I46,'AUX-NIV2'!$B:$X,'AUX-NIV1'!AR$3,FALSE),0)+($AV46*'AUX-NIV3'!T$4))*$O46+IF($H46=AR$4,$P46,0)</f>
        <v>101.73593428571431</v>
      </c>
      <c r="AS46" s="395">
        <f>(IF($H46="x",VLOOKUP($I46,'AUX-NIV2'!$B:$X,'AUX-NIV1'!AS$3,FALSE),0)+($AV46*'AUX-NIV3'!U$4))*$O46+IF($H46=AS$4,$P46,0)</f>
        <v>0.16500000000000001</v>
      </c>
      <c r="AT46" s="395">
        <f>(IF($H46="x",VLOOKUP($I46,'AUX-NIV2'!$B:$X,'AUX-NIV1'!AT$3,FALSE),0)+($AV46*'AUX-NIV3'!V$4))*$O46+IF($H46=AT$4,$P46,0)</f>
        <v>0</v>
      </c>
      <c r="AU46" s="395">
        <f>(IF($H46="x",VLOOKUP($I46,'AUX-NIV2'!$B:$X,'AUX-NIV1'!AU$3,FALSE),0)+($AV46*'AUX-NIV3'!W$4))*$O46+IF($H46=AU$4,$P46,0)</f>
        <v>0</v>
      </c>
      <c r="AV46" s="395">
        <f>+IF($H46="x",VLOOKUP($I46,'AUX-NIV2'!$B:$X,'AUX-NIV1'!AV$3,FALSE),0)</f>
        <v>0</v>
      </c>
    </row>
    <row r="47" spans="2:48" ht="13.8" hidden="1" thickBot="1">
      <c r="B47" s="324" t="s">
        <v>75</v>
      </c>
      <c r="C47" s="325" t="s">
        <v>127</v>
      </c>
      <c r="D47" s="326" t="s">
        <v>1160</v>
      </c>
      <c r="E47" s="349">
        <f>IF(B47&lt;&gt;"",+SUMIF(Items!C:C,'AUX-NIV1'!B47,Items!H:H),"")</f>
        <v>0</v>
      </c>
      <c r="F47" s="349">
        <f t="shared" si="0"/>
        <v>358.65281578068254</v>
      </c>
      <c r="G47" s="349">
        <f t="shared" si="1"/>
        <v>0</v>
      </c>
      <c r="H47" s="1395" t="str">
        <f t="shared" si="11"/>
        <v>X</v>
      </c>
      <c r="I47" s="1375" t="s">
        <v>1284</v>
      </c>
      <c r="J47" s="350" t="str">
        <f>IF(B47&lt;&gt;"",+VLOOKUP(I47,Recursos!C:F,2,FALSE),"")</f>
        <v>Compactación de Subrasante</v>
      </c>
      <c r="K47" s="351" t="str">
        <f>IF(B47&lt;&gt;"",+VLOOKUP(I47,Recursos!C:F,3,FALSE),"")</f>
        <v>m3</v>
      </c>
      <c r="L47" s="349">
        <f>IF(B47&lt;&gt;"",+VLOOKUP(I47,Recursos!C:F,4,FALSE),"")</f>
        <v>101.66101693166991</v>
      </c>
      <c r="M47" s="331">
        <v>0.25</v>
      </c>
      <c r="N47" s="331">
        <v>1.05</v>
      </c>
      <c r="O47" s="362">
        <v>0.26250000000000001</v>
      </c>
      <c r="P47" s="352">
        <f t="shared" si="13"/>
        <v>26.686016944563352</v>
      </c>
      <c r="Q47" s="349">
        <f t="shared" si="14"/>
        <v>0</v>
      </c>
      <c r="R47" s="353">
        <f t="shared" si="15"/>
        <v>0</v>
      </c>
      <c r="S47" s="354">
        <f t="shared" si="2"/>
        <v>0</v>
      </c>
      <c r="T47" s="354">
        <f t="shared" si="3"/>
        <v>0</v>
      </c>
      <c r="U47" s="355">
        <f t="shared" si="4"/>
        <v>0</v>
      </c>
      <c r="V47" s="355">
        <f t="shared" si="5"/>
        <v>0</v>
      </c>
      <c r="W47" s="355">
        <f t="shared" si="6"/>
        <v>0</v>
      </c>
      <c r="X47" s="355">
        <f t="shared" si="7"/>
        <v>358.65281578068254</v>
      </c>
      <c r="Y47" s="396"/>
      <c r="Z47" s="346" t="str">
        <f t="shared" si="16"/>
        <v>0-SRTRATAA</v>
      </c>
      <c r="AA47" s="346" t="str">
        <f t="shared" si="17"/>
        <v>0-SRTRATAE</v>
      </c>
      <c r="AB47" s="346" t="str">
        <f t="shared" si="18"/>
        <v>0-SRTRATAM</v>
      </c>
      <c r="AC47" s="346" t="str">
        <f t="shared" si="19"/>
        <v>0-SRTRATAT</v>
      </c>
      <c r="AD47" s="346" t="str">
        <f t="shared" si="20"/>
        <v>0-SRTRATAS</v>
      </c>
      <c r="AE47" s="346" t="str">
        <f t="shared" si="21"/>
        <v>0-SRTRATAX</v>
      </c>
      <c r="AF47" s="346" t="str">
        <f t="shared" si="22"/>
        <v>0-SRTRATAX</v>
      </c>
      <c r="AG47" s="346">
        <f t="shared" si="8"/>
        <v>3</v>
      </c>
      <c r="AH47" s="346">
        <f>IF(B47&lt;&gt;"",+IF(H47="x",+VLOOKUP(I47,'AUX-NIV2'!B:AG,32,FALSE),0),"")</f>
        <v>7</v>
      </c>
      <c r="AI47" s="346" t="str">
        <f t="shared" si="23"/>
        <v>0-SRTRATA</v>
      </c>
      <c r="AK47" s="347">
        <f t="shared" si="9"/>
        <v>45</v>
      </c>
      <c r="AL47" s="348">
        <f t="shared" si="24"/>
        <v>47</v>
      </c>
      <c r="AM47" s="347">
        <f t="shared" si="25"/>
        <v>3</v>
      </c>
      <c r="AN47" s="382">
        <f>IF(AND(AH47&gt;0,B47&lt;&gt;""),VLOOKUP(I47,'AUX-NIV2'!$B:$AP,40,FALSE)*O47,0)</f>
        <v>1.5517708333333333E-2</v>
      </c>
      <c r="AO47" s="382">
        <f t="shared" si="10"/>
        <v>0.23811770833333332</v>
      </c>
      <c r="AQ47" s="395">
        <f>(IF($H47="x",VLOOKUP($I47,'AUX-NIV2'!$B:$X,'AUX-NIV1'!AQ$3,FALSE),0)+($AV47*'AUX-NIV3'!S$4))*$O47+IF($H47=AQ$4,$P47,0)</f>
        <v>5.705316241024903</v>
      </c>
      <c r="AR47" s="395">
        <f>(IF($H47="x",VLOOKUP($I47,'AUX-NIV2'!$B:$X,'AUX-NIV1'!AR$3,FALSE),0)+($AV47*'AUX-NIV3'!T$4))*$O47+IF($H47=AR$4,$P47,0)</f>
        <v>20.956461829880642</v>
      </c>
      <c r="AS47" s="395">
        <f>(IF($H47="x",VLOOKUP($I47,'AUX-NIV2'!$B:$X,'AUX-NIV1'!AS$3,FALSE),0)+($AV47*'AUX-NIV3'!U$4))*$O47+IF($H47=AS$4,$P47,0)</f>
        <v>2.423887365780766E-2</v>
      </c>
      <c r="AT47" s="395">
        <f>(IF($H47="x",VLOOKUP($I47,'AUX-NIV2'!$B:$X,'AUX-NIV1'!AT$3,FALSE),0)+($AV47*'AUX-NIV3'!V$4))*$O47+IF($H47=AT$4,$P47,0)</f>
        <v>0</v>
      </c>
      <c r="AU47" s="395">
        <f>(IF($H47="x",VLOOKUP($I47,'AUX-NIV2'!$B:$X,'AUX-NIV1'!AU$3,FALSE),0)+($AV47*'AUX-NIV3'!W$4))*$O47+IF($H47=AU$4,$P47,0)</f>
        <v>0</v>
      </c>
      <c r="AV47" s="395">
        <f>+IF($H47="x",VLOOKUP($I47,'AUX-NIV2'!$B:$X,'AUX-NIV1'!AV$3,FALSE),0)</f>
        <v>58.505828924403687</v>
      </c>
    </row>
    <row r="48" spans="2:48" ht="13.8" hidden="1" thickBot="1">
      <c r="B48" s="324" t="s">
        <v>76</v>
      </c>
      <c r="C48" s="325" t="s">
        <v>128</v>
      </c>
      <c r="D48" s="326" t="s">
        <v>1160</v>
      </c>
      <c r="E48" s="349">
        <f>IF(B48&lt;&gt;"",+SUMIF(Items!C:C,'AUX-NIV1'!B48,Items!H:H),"")</f>
        <v>0</v>
      </c>
      <c r="F48" s="349">
        <f t="shared" si="0"/>
        <v>1150.3024655583404</v>
      </c>
      <c r="G48" s="349">
        <f t="shared" si="1"/>
        <v>0</v>
      </c>
      <c r="H48" s="1395" t="str">
        <f t="shared" si="11"/>
        <v>M</v>
      </c>
      <c r="I48" s="1375" t="s">
        <v>466</v>
      </c>
      <c r="J48" s="350" t="str">
        <f>IF(B48&lt;&gt;"",+VLOOKUP(I48,Recursos!C:F,2,FALSE),"")</f>
        <v>CAL</v>
      </c>
      <c r="K48" s="351" t="str">
        <f>IF(B48&lt;&gt;"",+VLOOKUP(I48,Recursos!C:F,3,FALSE),"")</f>
        <v>bolsa</v>
      </c>
      <c r="L48" s="349">
        <f>IF(B48&lt;&gt;"",+VLOOKUP(I48,Recursos!C:F,4,FALSE),"")</f>
        <v>6</v>
      </c>
      <c r="M48" s="331">
        <v>1</v>
      </c>
      <c r="N48" s="331">
        <v>1.05</v>
      </c>
      <c r="O48" s="362">
        <v>1.05</v>
      </c>
      <c r="P48" s="352">
        <f t="shared" si="13"/>
        <v>6.3000000000000007</v>
      </c>
      <c r="Q48" s="349">
        <f t="shared" si="14"/>
        <v>0</v>
      </c>
      <c r="R48" s="353">
        <f t="shared" si="15"/>
        <v>0</v>
      </c>
      <c r="S48" s="354">
        <f t="shared" si="2"/>
        <v>0</v>
      </c>
      <c r="T48" s="354">
        <f t="shared" si="3"/>
        <v>0</v>
      </c>
      <c r="U48" s="355">
        <f t="shared" si="4"/>
        <v>6.3000000000000007</v>
      </c>
      <c r="V48" s="355">
        <f t="shared" si="5"/>
        <v>0</v>
      </c>
      <c r="W48" s="355">
        <f t="shared" si="6"/>
        <v>0</v>
      </c>
      <c r="X48" s="355">
        <f t="shared" si="7"/>
        <v>1144.0024655583406</v>
      </c>
      <c r="Y48" s="396"/>
      <c r="Z48" s="346" t="str">
        <f t="shared" si="16"/>
        <v>0-SBTRATAA</v>
      </c>
      <c r="AA48" s="346" t="str">
        <f t="shared" si="17"/>
        <v>0-SBTRATAE</v>
      </c>
      <c r="AB48" s="346" t="str">
        <f t="shared" si="18"/>
        <v>0-SBTRATAM</v>
      </c>
      <c r="AC48" s="346" t="str">
        <f t="shared" si="19"/>
        <v>0-SBTRATAT</v>
      </c>
      <c r="AD48" s="346" t="str">
        <f t="shared" si="20"/>
        <v>0-SBTRATAS</v>
      </c>
      <c r="AE48" s="346" t="str">
        <f t="shared" si="21"/>
        <v>0-SBTRATAX</v>
      </c>
      <c r="AF48" s="346" t="str">
        <f t="shared" si="22"/>
        <v>0-SBTRATAM</v>
      </c>
      <c r="AG48" s="346">
        <f t="shared" si="8"/>
        <v>6</v>
      </c>
      <c r="AH48" s="346">
        <f>IF(B48&lt;&gt;"",+IF(H48="x",+VLOOKUP(I48,'AUX-NIV2'!B:AG,32,FALSE),0),"")</f>
        <v>0</v>
      </c>
      <c r="AI48" s="346" t="str">
        <f t="shared" si="23"/>
        <v>0-SBTRATA</v>
      </c>
      <c r="AK48" s="347">
        <f t="shared" si="9"/>
        <v>48</v>
      </c>
      <c r="AL48" s="348">
        <f t="shared" si="24"/>
        <v>53</v>
      </c>
      <c r="AM48" s="347">
        <f t="shared" si="25"/>
        <v>1</v>
      </c>
      <c r="AN48" s="382">
        <f>IF(AND(AH48&gt;0,B48&lt;&gt;""),VLOOKUP(I48,'AUX-NIV2'!$B:$AP,40,FALSE)*O48,0)</f>
        <v>0</v>
      </c>
      <c r="AO48" s="382">
        <f t="shared" si="10"/>
        <v>0.89701696969696976</v>
      </c>
      <c r="AQ48" s="395">
        <f>(IF($H48="x",VLOOKUP($I48,'AUX-NIV2'!$B:$X,'AUX-NIV1'!AQ$3,FALSE),0)+($AV48*'AUX-NIV3'!S$4))*$O48+IF($H48=AQ$4,$P48,0)</f>
        <v>0</v>
      </c>
      <c r="AR48" s="395">
        <f>(IF($H48="x",VLOOKUP($I48,'AUX-NIV2'!$B:$X,'AUX-NIV1'!AR$3,FALSE),0)+($AV48*'AUX-NIV3'!T$4))*$O48+IF($H48=AR$4,$P48,0)</f>
        <v>0</v>
      </c>
      <c r="AS48" s="395">
        <f>(IF($H48="x",VLOOKUP($I48,'AUX-NIV2'!$B:$X,'AUX-NIV1'!AS$3,FALSE),0)+($AV48*'AUX-NIV3'!U$4))*$O48+IF($H48=AS$4,$P48,0)</f>
        <v>6.3000000000000007</v>
      </c>
      <c r="AT48" s="395">
        <f>(IF($H48="x",VLOOKUP($I48,'AUX-NIV2'!$B:$X,'AUX-NIV1'!AT$3,FALSE),0)+($AV48*'AUX-NIV3'!V$4))*$O48+IF($H48=AT$4,$P48,0)</f>
        <v>0</v>
      </c>
      <c r="AU48" s="395">
        <f>(IF($H48="x",VLOOKUP($I48,'AUX-NIV2'!$B:$X,'AUX-NIV1'!AU$3,FALSE),0)+($AV48*'AUX-NIV3'!W$4))*$O48+IF($H48=AU$4,$P48,0)</f>
        <v>0</v>
      </c>
      <c r="AV48" s="395">
        <f>+IF($H48="x",VLOOKUP($I48,'AUX-NIV2'!$B:$X,'AUX-NIV1'!AV$3,FALSE),0)</f>
        <v>0</v>
      </c>
    </row>
    <row r="49" spans="2:48" ht="13.8" hidden="1" thickBot="1">
      <c r="B49" s="324" t="s">
        <v>76</v>
      </c>
      <c r="C49" s="325" t="s">
        <v>128</v>
      </c>
      <c r="D49" s="326" t="s">
        <v>1160</v>
      </c>
      <c r="E49" s="349">
        <f>IF(B49&lt;&gt;"",+SUMIF(Items!C:C,'AUX-NIV1'!B49,Items!H:H),"")</f>
        <v>0</v>
      </c>
      <c r="F49" s="349">
        <f t="shared" si="0"/>
        <v>1150.3024655583404</v>
      </c>
      <c r="G49" s="349">
        <f t="shared" si="1"/>
        <v>0</v>
      </c>
      <c r="H49" s="1395" t="str">
        <f t="shared" si="11"/>
        <v>X</v>
      </c>
      <c r="I49" s="1375" t="s">
        <v>1253</v>
      </c>
      <c r="J49" s="350" t="str">
        <f>IF(B49&lt;&gt;"",+VLOOKUP(I49,Recursos!C:F,2,FALSE),"")</f>
        <v>Obt-Transp. de Agua p/Hormigones</v>
      </c>
      <c r="K49" s="351" t="str">
        <f>IF(B49&lt;&gt;"",+VLOOKUP(I49,Recursos!C:F,3,FALSE),"")</f>
        <v>m3</v>
      </c>
      <c r="L49" s="349">
        <f>IF(B49&lt;&gt;"",+VLOOKUP(I49,Recursos!C:F,4,FALSE),"")</f>
        <v>352.16492140392978</v>
      </c>
      <c r="M49" s="331">
        <v>1</v>
      </c>
      <c r="N49" s="331">
        <v>1.05</v>
      </c>
      <c r="O49" s="362">
        <v>1.05</v>
      </c>
      <c r="P49" s="352">
        <f t="shared" si="13"/>
        <v>369.7731674741263</v>
      </c>
      <c r="Q49" s="349">
        <f t="shared" si="14"/>
        <v>0</v>
      </c>
      <c r="R49" s="353">
        <f t="shared" si="15"/>
        <v>0</v>
      </c>
      <c r="S49" s="354">
        <f t="shared" si="2"/>
        <v>0</v>
      </c>
      <c r="T49" s="354">
        <f t="shared" si="3"/>
        <v>0</v>
      </c>
      <c r="U49" s="355">
        <f t="shared" si="4"/>
        <v>6.3000000000000007</v>
      </c>
      <c r="V49" s="355">
        <f t="shared" si="5"/>
        <v>0</v>
      </c>
      <c r="W49" s="355">
        <f t="shared" si="6"/>
        <v>0</v>
      </c>
      <c r="X49" s="355">
        <f t="shared" si="7"/>
        <v>1144.0024655583406</v>
      </c>
      <c r="Y49" s="396"/>
      <c r="Z49" s="346" t="str">
        <f t="shared" si="16"/>
        <v>0-SBTRATAA</v>
      </c>
      <c r="AA49" s="346" t="str">
        <f t="shared" si="17"/>
        <v>0-SBTRATAE</v>
      </c>
      <c r="AB49" s="346" t="str">
        <f t="shared" si="18"/>
        <v>0-SBTRATAM</v>
      </c>
      <c r="AC49" s="346" t="str">
        <f t="shared" si="19"/>
        <v>0-SBTRATAT</v>
      </c>
      <c r="AD49" s="346" t="str">
        <f t="shared" si="20"/>
        <v>0-SBTRATAS</v>
      </c>
      <c r="AE49" s="346" t="str">
        <f t="shared" si="21"/>
        <v>0-SBTRATAX</v>
      </c>
      <c r="AF49" s="346" t="str">
        <f t="shared" si="22"/>
        <v>0-SBTRATAX</v>
      </c>
      <c r="AG49" s="346">
        <f t="shared" si="8"/>
        <v>6</v>
      </c>
      <c r="AH49" s="346">
        <f>IF(B49&lt;&gt;"",+IF(H49="x",+VLOOKUP(I49,'AUX-NIV2'!B:AG,32,FALSE),0),"")</f>
        <v>7</v>
      </c>
      <c r="AI49" s="346" t="str">
        <f t="shared" si="23"/>
        <v>0-SBTRATA</v>
      </c>
      <c r="AK49" s="347">
        <f t="shared" si="9"/>
        <v>48</v>
      </c>
      <c r="AL49" s="348">
        <f t="shared" si="24"/>
        <v>53</v>
      </c>
      <c r="AM49" s="347">
        <f t="shared" si="25"/>
        <v>2</v>
      </c>
      <c r="AN49" s="382">
        <f>IF(AND(AH49&gt;0,B49&lt;&gt;""),VLOOKUP(I49,'AUX-NIV2'!$B:$AP,40,FALSE)*O49,0)</f>
        <v>0.28636363636363638</v>
      </c>
      <c r="AO49" s="382">
        <f t="shared" si="10"/>
        <v>0.89701696969696976</v>
      </c>
      <c r="AQ49" s="395">
        <f>(IF($H49="x",VLOOKUP($I49,'AUX-NIV2'!$B:$X,'AUX-NIV1'!AQ$3,FALSE),0)+($AV49*'AUX-NIV3'!S$4))*$O49+IF($H49=AQ$4,$P49,0)</f>
        <v>135.19345030057258</v>
      </c>
      <c r="AR49" s="395">
        <f>(IF($H49="x",VLOOKUP($I49,'AUX-NIV2'!$B:$X,'AUX-NIV1'!AR$3,FALSE),0)+($AV49*'AUX-NIV3'!T$4))*$O49+IF($H49=AR$4,$P49,0)</f>
        <v>234.57971717355375</v>
      </c>
      <c r="AS49" s="395">
        <f>(IF($H49="x",VLOOKUP($I49,'AUX-NIV2'!$B:$X,'AUX-NIV1'!AS$3,FALSE),0)+($AV49*'AUX-NIV3'!U$4))*$O49+IF($H49=AS$4,$P49,0)</f>
        <v>0</v>
      </c>
      <c r="AT49" s="395">
        <f>(IF($H49="x",VLOOKUP($I49,'AUX-NIV2'!$B:$X,'AUX-NIV1'!AT$3,FALSE),0)+($AV49*'AUX-NIV3'!V$4))*$O49+IF($H49=AT$4,$P49,0)</f>
        <v>0</v>
      </c>
      <c r="AU49" s="395">
        <f>(IF($H49="x",VLOOKUP($I49,'AUX-NIV2'!$B:$X,'AUX-NIV1'!AU$3,FALSE),0)+($AV49*'AUX-NIV3'!W$4))*$O49+IF($H49=AU$4,$P49,0)</f>
        <v>0</v>
      </c>
      <c r="AV49" s="395">
        <f>+IF($H49="x",VLOOKUP($I49,'AUX-NIV2'!$B:$X,'AUX-NIV1'!AV$3,FALSE),0)</f>
        <v>0</v>
      </c>
    </row>
    <row r="50" spans="2:48" ht="13.8" hidden="1" thickBot="1">
      <c r="B50" s="324" t="s">
        <v>76</v>
      </c>
      <c r="C50" s="325" t="s">
        <v>128</v>
      </c>
      <c r="D50" s="326" t="s">
        <v>1160</v>
      </c>
      <c r="E50" s="349">
        <f>IF(B50&lt;&gt;"",+SUMIF(Items!C:C,'AUX-NIV1'!B50,Items!H:H),"")</f>
        <v>0</v>
      </c>
      <c r="F50" s="349">
        <f t="shared" si="0"/>
        <v>1150.3024655583404</v>
      </c>
      <c r="G50" s="349">
        <f t="shared" si="1"/>
        <v>0</v>
      </c>
      <c r="H50" s="1395" t="str">
        <f t="shared" si="11"/>
        <v>X</v>
      </c>
      <c r="I50" s="1375" t="s">
        <v>1284</v>
      </c>
      <c r="J50" s="350" t="str">
        <f>IF(B50&lt;&gt;"",+VLOOKUP(I50,Recursos!C:F,2,FALSE),"")</f>
        <v>Compactación de Subrasante</v>
      </c>
      <c r="K50" s="351" t="str">
        <f>IF(B50&lt;&gt;"",+VLOOKUP(I50,Recursos!C:F,3,FALSE),"")</f>
        <v>m3</v>
      </c>
      <c r="L50" s="349">
        <f>IF(B50&lt;&gt;"",+VLOOKUP(I50,Recursos!C:F,4,FALSE),"")</f>
        <v>101.66101693166991</v>
      </c>
      <c r="M50" s="331">
        <v>2.56</v>
      </c>
      <c r="N50" s="331">
        <v>1.05</v>
      </c>
      <c r="O50" s="362">
        <v>2.6880000000000002</v>
      </c>
      <c r="P50" s="352">
        <f t="shared" si="13"/>
        <v>273.26481351232871</v>
      </c>
      <c r="Q50" s="349">
        <f t="shared" si="14"/>
        <v>0</v>
      </c>
      <c r="R50" s="353">
        <f t="shared" si="15"/>
        <v>0</v>
      </c>
      <c r="S50" s="354">
        <f t="shared" si="2"/>
        <v>0</v>
      </c>
      <c r="T50" s="354">
        <f t="shared" si="3"/>
        <v>0</v>
      </c>
      <c r="U50" s="355">
        <f t="shared" si="4"/>
        <v>6.3000000000000007</v>
      </c>
      <c r="V50" s="355">
        <f t="shared" si="5"/>
        <v>0</v>
      </c>
      <c r="W50" s="355">
        <f t="shared" si="6"/>
        <v>0</v>
      </c>
      <c r="X50" s="355">
        <f t="shared" si="7"/>
        <v>1144.0024655583406</v>
      </c>
      <c r="Y50" s="396"/>
      <c r="Z50" s="346" t="str">
        <f t="shared" si="16"/>
        <v>0-SBTRATAA</v>
      </c>
      <c r="AA50" s="346" t="str">
        <f t="shared" si="17"/>
        <v>0-SBTRATAE</v>
      </c>
      <c r="AB50" s="346" t="str">
        <f t="shared" si="18"/>
        <v>0-SBTRATAM</v>
      </c>
      <c r="AC50" s="346" t="str">
        <f t="shared" si="19"/>
        <v>0-SBTRATAT</v>
      </c>
      <c r="AD50" s="346" t="str">
        <f t="shared" si="20"/>
        <v>0-SBTRATAS</v>
      </c>
      <c r="AE50" s="346" t="str">
        <f t="shared" si="21"/>
        <v>0-SBTRATAX</v>
      </c>
      <c r="AF50" s="346" t="str">
        <f t="shared" si="22"/>
        <v>0-SBTRATAX</v>
      </c>
      <c r="AG50" s="346">
        <f t="shared" si="8"/>
        <v>6</v>
      </c>
      <c r="AH50" s="346">
        <f>IF(B50&lt;&gt;"",+IF(H50="x",+VLOOKUP(I50,'AUX-NIV2'!B:AG,32,FALSE),0),"")</f>
        <v>7</v>
      </c>
      <c r="AI50" s="346" t="str">
        <f t="shared" si="23"/>
        <v>0-SBTRATA</v>
      </c>
      <c r="AK50" s="347">
        <f t="shared" si="9"/>
        <v>48</v>
      </c>
      <c r="AL50" s="348">
        <f t="shared" si="24"/>
        <v>53</v>
      </c>
      <c r="AM50" s="347">
        <f t="shared" si="25"/>
        <v>3</v>
      </c>
      <c r="AN50" s="382">
        <f>IF(AND(AH50&gt;0,B50&lt;&gt;""),VLOOKUP(I50,'AUX-NIV2'!$B:$AP,40,FALSE)*O50,0)</f>
        <v>0.15890133333333334</v>
      </c>
      <c r="AO50" s="382">
        <f t="shared" si="10"/>
        <v>0.89701696969696976</v>
      </c>
      <c r="AQ50" s="395">
        <f>(IF($H50="x",VLOOKUP($I50,'AUX-NIV2'!$B:$X,'AUX-NIV1'!AQ$3,FALSE),0)+($AV50*'AUX-NIV3'!S$4))*$O50+IF($H50=AQ$4,$P50,0)</f>
        <v>58.42243830809501</v>
      </c>
      <c r="AR50" s="395">
        <f>(IF($H50="x",VLOOKUP($I50,'AUX-NIV2'!$B:$X,'AUX-NIV1'!AR$3,FALSE),0)+($AV50*'AUX-NIV3'!T$4))*$O50+IF($H50=AR$4,$P50,0)</f>
        <v>214.59416913797776</v>
      </c>
      <c r="AS50" s="395">
        <f>(IF($H50="x",VLOOKUP($I50,'AUX-NIV2'!$B:$X,'AUX-NIV1'!AS$3,FALSE),0)+($AV50*'AUX-NIV3'!U$4))*$O50+IF($H50=AS$4,$P50,0)</f>
        <v>0.24820606625595046</v>
      </c>
      <c r="AT50" s="395">
        <f>(IF($H50="x",VLOOKUP($I50,'AUX-NIV2'!$B:$X,'AUX-NIV1'!AT$3,FALSE),0)+($AV50*'AUX-NIV3'!V$4))*$O50+IF($H50=AT$4,$P50,0)</f>
        <v>0</v>
      </c>
      <c r="AU50" s="395">
        <f>(IF($H50="x",VLOOKUP($I50,'AUX-NIV2'!$B:$X,'AUX-NIV1'!AU$3,FALSE),0)+($AV50*'AUX-NIV3'!W$4))*$O50+IF($H50=AU$4,$P50,0)</f>
        <v>0</v>
      </c>
      <c r="AV50" s="395">
        <f>+IF($H50="x",VLOOKUP($I50,'AUX-NIV2'!$B:$X,'AUX-NIV1'!AV$3,FALSE),0)</f>
        <v>58.505828924403687</v>
      </c>
    </row>
    <row r="51" spans="2:48" ht="13.8" hidden="1" thickBot="1">
      <c r="B51" s="324" t="s">
        <v>76</v>
      </c>
      <c r="C51" s="325" t="s">
        <v>128</v>
      </c>
      <c r="D51" s="326" t="s">
        <v>1160</v>
      </c>
      <c r="E51" s="349">
        <f>IF(B51&lt;&gt;"",+SUMIF(Items!C:C,'AUX-NIV1'!B51,Items!H:H),"")</f>
        <v>0</v>
      </c>
      <c r="F51" s="349">
        <f t="shared" si="0"/>
        <v>1150.3024655583404</v>
      </c>
      <c r="G51" s="349">
        <f t="shared" si="1"/>
        <v>0</v>
      </c>
      <c r="H51" s="1395" t="str">
        <f t="shared" si="11"/>
        <v>X</v>
      </c>
      <c r="I51" s="1375" t="s">
        <v>1272</v>
      </c>
      <c r="J51" s="350" t="str">
        <f>IF(B51&lt;&gt;"",+VLOOKUP(I51,Recursos!C:F,2,FALSE),"")</f>
        <v>Excavación de Fundaciones con PC 200 - Con tpte. (3 vjs.hora)</v>
      </c>
      <c r="K51" s="351" t="str">
        <f>IF(B51&lt;&gt;"",+VLOOKUP(I51,Recursos!C:F,3,FALSE),"")</f>
        <v>m3</v>
      </c>
      <c r="L51" s="349">
        <f>IF(B51&lt;&gt;"",+VLOOKUP(I51,Recursos!C:F,4,FALSE),"")</f>
        <v>228.08238748864056</v>
      </c>
      <c r="M51" s="331">
        <v>0.16</v>
      </c>
      <c r="N51" s="331">
        <v>1.05</v>
      </c>
      <c r="O51" s="362">
        <v>0.16800000000000001</v>
      </c>
      <c r="P51" s="352">
        <f t="shared" si="13"/>
        <v>38.31784109809162</v>
      </c>
      <c r="Q51" s="349">
        <f t="shared" si="14"/>
        <v>0</v>
      </c>
      <c r="R51" s="353">
        <f t="shared" si="15"/>
        <v>0</v>
      </c>
      <c r="S51" s="354">
        <f t="shared" si="2"/>
        <v>0</v>
      </c>
      <c r="T51" s="354">
        <f t="shared" si="3"/>
        <v>0</v>
      </c>
      <c r="U51" s="355">
        <f t="shared" si="4"/>
        <v>6.3000000000000007</v>
      </c>
      <c r="V51" s="355">
        <f t="shared" si="5"/>
        <v>0</v>
      </c>
      <c r="W51" s="355">
        <f t="shared" si="6"/>
        <v>0</v>
      </c>
      <c r="X51" s="355">
        <f t="shared" si="7"/>
        <v>1144.0024655583406</v>
      </c>
      <c r="Y51" s="396"/>
      <c r="Z51" s="346" t="str">
        <f t="shared" si="16"/>
        <v>0-SBTRATAA</v>
      </c>
      <c r="AA51" s="346" t="str">
        <f t="shared" si="17"/>
        <v>0-SBTRATAE</v>
      </c>
      <c r="AB51" s="346" t="str">
        <f t="shared" si="18"/>
        <v>0-SBTRATAM</v>
      </c>
      <c r="AC51" s="346" t="str">
        <f t="shared" si="19"/>
        <v>0-SBTRATAT</v>
      </c>
      <c r="AD51" s="346" t="str">
        <f t="shared" si="20"/>
        <v>0-SBTRATAS</v>
      </c>
      <c r="AE51" s="346" t="str">
        <f t="shared" si="21"/>
        <v>0-SBTRATAX</v>
      </c>
      <c r="AF51" s="346" t="str">
        <f t="shared" si="22"/>
        <v>0-SBTRATAX</v>
      </c>
      <c r="AG51" s="346">
        <f t="shared" si="8"/>
        <v>6</v>
      </c>
      <c r="AH51" s="346">
        <f>IF(B51&lt;&gt;"",+IF(H51="x",+VLOOKUP(I51,'AUX-NIV2'!B:AG,32,FALSE),0),"")</f>
        <v>6</v>
      </c>
      <c r="AI51" s="346" t="str">
        <f t="shared" si="23"/>
        <v>0-SBTRATA</v>
      </c>
      <c r="AK51" s="347">
        <f t="shared" si="9"/>
        <v>48</v>
      </c>
      <c r="AL51" s="348">
        <f t="shared" si="24"/>
        <v>53</v>
      </c>
      <c r="AM51" s="347">
        <f t="shared" si="25"/>
        <v>4</v>
      </c>
      <c r="AN51" s="382">
        <f>IF(AND(AH51&gt;0,B51&lt;&gt;""),VLOOKUP(I51,'AUX-NIV2'!$B:$AP,40,FALSE)*O51,0)</f>
        <v>2.1951999999999999E-2</v>
      </c>
      <c r="AO51" s="382">
        <f t="shared" si="10"/>
        <v>0.89701696969696976</v>
      </c>
      <c r="AQ51" s="395">
        <f>(IF($H51="x",VLOOKUP($I51,'AUX-NIV2'!$B:$X,'AUX-NIV1'!AQ$3,FALSE),0)+($AV51*'AUX-NIV3'!S$4))*$O51+IF($H51=AQ$4,$P51,0)</f>
        <v>10.376740498091616</v>
      </c>
      <c r="AR51" s="395">
        <f>(IF($H51="x",VLOOKUP($I51,'AUX-NIV2'!$B:$X,'AUX-NIV1'!AR$3,FALSE),0)+($AV51*'AUX-NIV3'!T$4))*$O51+IF($H51=AR$4,$P51,0)</f>
        <v>27.941100600000002</v>
      </c>
      <c r="AS51" s="395">
        <f>(IF($H51="x",VLOOKUP($I51,'AUX-NIV2'!$B:$X,'AUX-NIV1'!AS$3,FALSE),0)+($AV51*'AUX-NIV3'!U$4))*$O51+IF($H51=AS$4,$P51,0)</f>
        <v>0</v>
      </c>
      <c r="AT51" s="395">
        <f>(IF($H51="x",VLOOKUP($I51,'AUX-NIV2'!$B:$X,'AUX-NIV1'!AT$3,FALSE),0)+($AV51*'AUX-NIV3'!V$4))*$O51+IF($H51=AT$4,$P51,0)</f>
        <v>0</v>
      </c>
      <c r="AU51" s="395">
        <f>(IF($H51="x",VLOOKUP($I51,'AUX-NIV2'!$B:$X,'AUX-NIV1'!AU$3,FALSE),0)+($AV51*'AUX-NIV3'!W$4))*$O51+IF($H51=AU$4,$P51,0)</f>
        <v>0</v>
      </c>
      <c r="AV51" s="395">
        <f>+IF($H51="x",VLOOKUP($I51,'AUX-NIV2'!$B:$X,'AUX-NIV1'!AV$3,FALSE),0)</f>
        <v>0</v>
      </c>
    </row>
    <row r="52" spans="2:48" ht="13.8" hidden="1" thickBot="1">
      <c r="B52" s="324" t="s">
        <v>76</v>
      </c>
      <c r="C52" s="325" t="s">
        <v>128</v>
      </c>
      <c r="D52" s="326" t="s">
        <v>1160</v>
      </c>
      <c r="E52" s="349">
        <f>IF(B52&lt;&gt;"",+SUMIF(Items!C:C,'AUX-NIV1'!B52,Items!H:H),"")</f>
        <v>0</v>
      </c>
      <c r="F52" s="349">
        <f t="shared" si="0"/>
        <v>1150.3024655583404</v>
      </c>
      <c r="G52" s="349">
        <f t="shared" si="1"/>
        <v>0</v>
      </c>
      <c r="H52" s="1395" t="str">
        <f t="shared" si="11"/>
        <v>X</v>
      </c>
      <c r="I52" s="1375" t="s">
        <v>1281</v>
      </c>
      <c r="J52" s="350" t="str">
        <f>IF(B52&lt;&gt;"",+VLOOKUP(I52,Recursos!C:F,2,FALSE),"")</f>
        <v>Mezclado in Situ de Cemento y Suelo</v>
      </c>
      <c r="K52" s="351" t="str">
        <f>IF(B52&lt;&gt;"",+VLOOKUP(I52,Recursos!C:F,3,FALSE),"")</f>
        <v>m3</v>
      </c>
      <c r="L52" s="349">
        <f>IF(B52&lt;&gt;"",+VLOOKUP(I52,Recursos!C:F,4,FALSE),"")</f>
        <v>314.91031268746093</v>
      </c>
      <c r="M52" s="331">
        <v>1</v>
      </c>
      <c r="N52" s="331">
        <v>1.05</v>
      </c>
      <c r="O52" s="362">
        <v>1.05</v>
      </c>
      <c r="P52" s="352">
        <f t="shared" si="13"/>
        <v>330.65582832183401</v>
      </c>
      <c r="Q52" s="349">
        <f t="shared" si="14"/>
        <v>0</v>
      </c>
      <c r="R52" s="353">
        <f t="shared" si="15"/>
        <v>0</v>
      </c>
      <c r="S52" s="354">
        <f t="shared" si="2"/>
        <v>0</v>
      </c>
      <c r="T52" s="354">
        <f t="shared" si="3"/>
        <v>0</v>
      </c>
      <c r="U52" s="355">
        <f t="shared" si="4"/>
        <v>6.3000000000000007</v>
      </c>
      <c r="V52" s="355">
        <f t="shared" si="5"/>
        <v>0</v>
      </c>
      <c r="W52" s="355">
        <f t="shared" si="6"/>
        <v>0</v>
      </c>
      <c r="X52" s="355">
        <f t="shared" si="7"/>
        <v>1144.0024655583406</v>
      </c>
      <c r="Y52" s="396"/>
      <c r="Z52" s="346" t="str">
        <f t="shared" si="16"/>
        <v>0-SBTRATAA</v>
      </c>
      <c r="AA52" s="346" t="str">
        <f t="shared" si="17"/>
        <v>0-SBTRATAE</v>
      </c>
      <c r="AB52" s="346" t="str">
        <f t="shared" si="18"/>
        <v>0-SBTRATAM</v>
      </c>
      <c r="AC52" s="346" t="str">
        <f t="shared" si="19"/>
        <v>0-SBTRATAT</v>
      </c>
      <c r="AD52" s="346" t="str">
        <f t="shared" si="20"/>
        <v>0-SBTRATAS</v>
      </c>
      <c r="AE52" s="346" t="str">
        <f t="shared" si="21"/>
        <v>0-SBTRATAX</v>
      </c>
      <c r="AF52" s="346" t="str">
        <f t="shared" si="22"/>
        <v>0-SBTRATAX</v>
      </c>
      <c r="AG52" s="346">
        <f t="shared" si="8"/>
        <v>6</v>
      </c>
      <c r="AH52" s="346">
        <f>IF(B52&lt;&gt;"",+IF(H52="x",+VLOOKUP(I52,'AUX-NIV2'!B:AG,32,FALSE),0),"")</f>
        <v>7</v>
      </c>
      <c r="AI52" s="346" t="str">
        <f t="shared" si="23"/>
        <v>0-SBTRATA</v>
      </c>
      <c r="AK52" s="347">
        <f t="shared" si="9"/>
        <v>48</v>
      </c>
      <c r="AL52" s="348">
        <f t="shared" si="24"/>
        <v>53</v>
      </c>
      <c r="AM52" s="347">
        <f t="shared" si="25"/>
        <v>5</v>
      </c>
      <c r="AN52" s="382">
        <f>IF(AND(AH52&gt;0,B52&lt;&gt;""),VLOOKUP(I52,'AUX-NIV2'!$B:$AP,40,FALSE)*O52,0)</f>
        <v>0.36049999999999999</v>
      </c>
      <c r="AO52" s="382">
        <f t="shared" si="10"/>
        <v>0.89701696969696976</v>
      </c>
      <c r="AQ52" s="395">
        <f>(IF($H52="x",VLOOKUP($I52,'AUX-NIV2'!$B:$X,'AUX-NIV1'!AQ$3,FALSE),0)+($AV52*'AUX-NIV3'!S$4))*$O52+IF($H52=AQ$4,$P52,0)</f>
        <v>168.67195559456124</v>
      </c>
      <c r="AR52" s="395">
        <f>(IF($H52="x",VLOOKUP($I52,'AUX-NIV2'!$B:$X,'AUX-NIV1'!AR$3,FALSE),0)+($AV52*'AUX-NIV3'!T$4))*$O52+IF($H52=AR$4,$P52,0)</f>
        <v>161.85262272727275</v>
      </c>
      <c r="AS52" s="395">
        <f>(IF($H52="x",VLOOKUP($I52,'AUX-NIV2'!$B:$X,'AUX-NIV1'!AS$3,FALSE),0)+($AV52*'AUX-NIV3'!U$4))*$O52+IF($H52=AS$4,$P52,0)</f>
        <v>0.13125000000000001</v>
      </c>
      <c r="AT52" s="395">
        <f>(IF($H52="x",VLOOKUP($I52,'AUX-NIV2'!$B:$X,'AUX-NIV1'!AT$3,FALSE),0)+($AV52*'AUX-NIV3'!V$4))*$O52+IF($H52=AT$4,$P52,0)</f>
        <v>0</v>
      </c>
      <c r="AU52" s="395">
        <f>(IF($H52="x",VLOOKUP($I52,'AUX-NIV2'!$B:$X,'AUX-NIV1'!AU$3,FALSE),0)+($AV52*'AUX-NIV3'!W$4))*$O52+IF($H52=AU$4,$P52,0)</f>
        <v>0</v>
      </c>
      <c r="AV52" s="395">
        <f>+IF($H52="x",VLOOKUP($I52,'AUX-NIV2'!$B:$X,'AUX-NIV1'!AV$3,FALSE),0)</f>
        <v>0</v>
      </c>
    </row>
    <row r="53" spans="2:48" ht="13.8" hidden="1" thickBot="1">
      <c r="B53" s="324" t="s">
        <v>76</v>
      </c>
      <c r="C53" s="325" t="s">
        <v>128</v>
      </c>
      <c r="D53" s="326" t="s">
        <v>1160</v>
      </c>
      <c r="E53" s="349">
        <f>IF(B53&lt;&gt;"",+SUMIF(Items!C:C,'AUX-NIV1'!B53,Items!H:H),"")</f>
        <v>0</v>
      </c>
      <c r="F53" s="349">
        <f t="shared" si="0"/>
        <v>1150.3024655583404</v>
      </c>
      <c r="G53" s="349">
        <f t="shared" si="1"/>
        <v>0</v>
      </c>
      <c r="H53" s="1395" t="str">
        <f t="shared" si="11"/>
        <v>X</v>
      </c>
      <c r="I53" s="1375" t="s">
        <v>1283</v>
      </c>
      <c r="J53" s="350" t="str">
        <f>IF(B53&lt;&gt;"",+VLOOKUP(I53,Recursos!C:F,2,FALSE),"")</f>
        <v>Tratamiento de Subrasante-Escarificado y Riego</v>
      </c>
      <c r="K53" s="351" t="str">
        <f>IF(B53&lt;&gt;"",+VLOOKUP(I53,Recursos!C:F,3,FALSE),"")</f>
        <v>m3</v>
      </c>
      <c r="L53" s="349">
        <f>IF(B53&lt;&gt;"",+VLOOKUP(I53,Recursos!C:F,4,FALSE),"")</f>
        <v>125.70553823996164</v>
      </c>
      <c r="M53" s="331">
        <v>1</v>
      </c>
      <c r="N53" s="331">
        <v>1.05</v>
      </c>
      <c r="O53" s="362">
        <v>1.05</v>
      </c>
      <c r="P53" s="352">
        <f t="shared" si="13"/>
        <v>131.99081515195974</v>
      </c>
      <c r="Q53" s="349">
        <f t="shared" si="14"/>
        <v>0</v>
      </c>
      <c r="R53" s="353">
        <f t="shared" si="15"/>
        <v>0</v>
      </c>
      <c r="S53" s="354">
        <f t="shared" si="2"/>
        <v>0</v>
      </c>
      <c r="T53" s="354">
        <f t="shared" si="3"/>
        <v>0</v>
      </c>
      <c r="U53" s="355">
        <f t="shared" si="4"/>
        <v>6.3000000000000007</v>
      </c>
      <c r="V53" s="355">
        <f t="shared" si="5"/>
        <v>0</v>
      </c>
      <c r="W53" s="355">
        <f t="shared" si="6"/>
        <v>0</v>
      </c>
      <c r="X53" s="355">
        <f t="shared" si="7"/>
        <v>1144.0024655583406</v>
      </c>
      <c r="Y53" s="396"/>
      <c r="Z53" s="346" t="str">
        <f t="shared" si="16"/>
        <v>0-SBTRATAA</v>
      </c>
      <c r="AA53" s="346" t="str">
        <f t="shared" si="17"/>
        <v>0-SBTRATAE</v>
      </c>
      <c r="AB53" s="346" t="str">
        <f t="shared" si="18"/>
        <v>0-SBTRATAM</v>
      </c>
      <c r="AC53" s="346" t="str">
        <f t="shared" si="19"/>
        <v>0-SBTRATAT</v>
      </c>
      <c r="AD53" s="346" t="str">
        <f t="shared" si="20"/>
        <v>0-SBTRATAS</v>
      </c>
      <c r="AE53" s="346" t="str">
        <f t="shared" si="21"/>
        <v>0-SBTRATAX</v>
      </c>
      <c r="AF53" s="346" t="str">
        <f t="shared" si="22"/>
        <v>0-SBTRATAX</v>
      </c>
      <c r="AG53" s="346">
        <f t="shared" si="8"/>
        <v>6</v>
      </c>
      <c r="AH53" s="346">
        <f>IF(B53&lt;&gt;"",+IF(H53="x",+VLOOKUP(I53,'AUX-NIV2'!B:AG,32,FALSE),0),"")</f>
        <v>6</v>
      </c>
      <c r="AI53" s="346" t="str">
        <f t="shared" si="23"/>
        <v>0-SBTRATA</v>
      </c>
      <c r="AK53" s="347">
        <f t="shared" si="9"/>
        <v>48</v>
      </c>
      <c r="AL53" s="348">
        <f t="shared" si="24"/>
        <v>53</v>
      </c>
      <c r="AM53" s="347">
        <f t="shared" si="25"/>
        <v>6</v>
      </c>
      <c r="AN53" s="382">
        <f>IF(AND(AH53&gt;0,B53&lt;&gt;""),VLOOKUP(I53,'AUX-NIV2'!$B:$AP,40,FALSE)*O53,0)</f>
        <v>6.9299999999999987E-2</v>
      </c>
      <c r="AO53" s="382">
        <f t="shared" si="10"/>
        <v>0.89701696969696976</v>
      </c>
      <c r="AQ53" s="395">
        <f>(IF($H53="x",VLOOKUP($I53,'AUX-NIV2'!$B:$X,'AUX-NIV1'!AQ$3,FALSE),0)+($AV53*'AUX-NIV3'!S$4))*$O53+IF($H53=AQ$4,$P53,0)</f>
        <v>34.721741515596072</v>
      </c>
      <c r="AR53" s="395">
        <f>(IF($H53="x",VLOOKUP($I53,'AUX-NIV2'!$B:$X,'AUX-NIV1'!AR$3,FALSE),0)+($AV53*'AUX-NIV3'!T$4))*$O53+IF($H53=AR$4,$P53,0)</f>
        <v>97.111573636363644</v>
      </c>
      <c r="AS53" s="395">
        <f>(IF($H53="x",VLOOKUP($I53,'AUX-NIV2'!$B:$X,'AUX-NIV1'!AS$3,FALSE),0)+($AV53*'AUX-NIV3'!U$4))*$O53+IF($H53=AS$4,$P53,0)</f>
        <v>0.1575</v>
      </c>
      <c r="AT53" s="395">
        <f>(IF($H53="x",VLOOKUP($I53,'AUX-NIV2'!$B:$X,'AUX-NIV1'!AT$3,FALSE),0)+($AV53*'AUX-NIV3'!V$4))*$O53+IF($H53=AT$4,$P53,0)</f>
        <v>0</v>
      </c>
      <c r="AU53" s="395">
        <f>(IF($H53="x",VLOOKUP($I53,'AUX-NIV2'!$B:$X,'AUX-NIV1'!AU$3,FALSE),0)+($AV53*'AUX-NIV3'!W$4))*$O53+IF($H53=AU$4,$P53,0)</f>
        <v>0</v>
      </c>
      <c r="AV53" s="395">
        <f>+IF($H53="x",VLOOKUP($I53,'AUX-NIV2'!$B:$X,'AUX-NIV1'!AV$3,FALSE),0)</f>
        <v>0</v>
      </c>
    </row>
    <row r="54" spans="2:48" ht="13.8" hidden="1" thickBot="1">
      <c r="B54" s="324" t="s">
        <v>77</v>
      </c>
      <c r="C54" s="325" t="s">
        <v>129</v>
      </c>
      <c r="D54" s="326" t="s">
        <v>1160</v>
      </c>
      <c r="E54" s="349">
        <f>IF(B54&lt;&gt;"",+SUMIF(Items!C:C,'AUX-NIV1'!B54,Items!H:H),"")</f>
        <v>0</v>
      </c>
      <c r="F54" s="349">
        <f t="shared" si="0"/>
        <v>1206.7668870859366</v>
      </c>
      <c r="G54" s="349">
        <f t="shared" si="1"/>
        <v>0</v>
      </c>
      <c r="H54" s="1395" t="str">
        <f t="shared" si="11"/>
        <v>M</v>
      </c>
      <c r="I54" s="1375" t="s">
        <v>445</v>
      </c>
      <c r="J54" s="350" t="str">
        <f>IF(B54&lt;&gt;"",+VLOOKUP(I54,Recursos!C:F,2,FALSE),"")</f>
        <v>AGREGADOS PETREOS - RIPIOS</v>
      </c>
      <c r="K54" s="351" t="str">
        <f>IF(B54&lt;&gt;"",+VLOOKUP(I54,Recursos!C:F,3,FALSE),"")</f>
        <v>M3</v>
      </c>
      <c r="L54" s="349">
        <f>IF(B54&lt;&gt;"",+VLOOKUP(I54,Recursos!C:F,4,FALSE),"")</f>
        <v>12</v>
      </c>
      <c r="M54" s="331">
        <v>1</v>
      </c>
      <c r="N54" s="331">
        <v>1.05</v>
      </c>
      <c r="O54" s="362">
        <v>1.05</v>
      </c>
      <c r="P54" s="352">
        <f t="shared" si="13"/>
        <v>12.600000000000001</v>
      </c>
      <c r="Q54" s="349">
        <f t="shared" si="14"/>
        <v>0</v>
      </c>
      <c r="R54" s="353">
        <f t="shared" si="15"/>
        <v>0</v>
      </c>
      <c r="S54" s="354">
        <f t="shared" si="2"/>
        <v>0</v>
      </c>
      <c r="T54" s="354">
        <f t="shared" si="3"/>
        <v>0</v>
      </c>
      <c r="U54" s="355">
        <f t="shared" si="4"/>
        <v>12.600000000000001</v>
      </c>
      <c r="V54" s="355">
        <f t="shared" si="5"/>
        <v>0</v>
      </c>
      <c r="W54" s="355">
        <f t="shared" si="6"/>
        <v>0</v>
      </c>
      <c r="X54" s="355">
        <f t="shared" si="7"/>
        <v>1194.1668870859367</v>
      </c>
      <c r="Y54" s="396"/>
      <c r="Z54" s="346" t="str">
        <f t="shared" si="16"/>
        <v>0-BTRATAA</v>
      </c>
      <c r="AA54" s="346" t="str">
        <f t="shared" si="17"/>
        <v>0-BTRATAE</v>
      </c>
      <c r="AB54" s="346" t="str">
        <f t="shared" si="18"/>
        <v>0-BTRATAM</v>
      </c>
      <c r="AC54" s="346" t="str">
        <f t="shared" si="19"/>
        <v>0-BTRATAT</v>
      </c>
      <c r="AD54" s="346" t="str">
        <f t="shared" si="20"/>
        <v>0-BTRATAS</v>
      </c>
      <c r="AE54" s="346" t="str">
        <f t="shared" si="21"/>
        <v>0-BTRATAX</v>
      </c>
      <c r="AF54" s="346" t="str">
        <f t="shared" si="22"/>
        <v>0-BTRATAM</v>
      </c>
      <c r="AG54" s="346">
        <f t="shared" si="8"/>
        <v>7</v>
      </c>
      <c r="AH54" s="346">
        <f>IF(B54&lt;&gt;"",+IF(H54="x",+VLOOKUP(I54,'AUX-NIV2'!B:AG,32,FALSE),0),"")</f>
        <v>0</v>
      </c>
      <c r="AI54" s="346" t="str">
        <f t="shared" si="23"/>
        <v>0-BTRATA</v>
      </c>
      <c r="AK54" s="347">
        <f t="shared" si="9"/>
        <v>54</v>
      </c>
      <c r="AL54" s="348">
        <f t="shared" si="24"/>
        <v>60</v>
      </c>
      <c r="AM54" s="347">
        <f t="shared" si="25"/>
        <v>1</v>
      </c>
      <c r="AN54" s="382">
        <f>IF(AND(AH54&gt;0,B54&lt;&gt;""),VLOOKUP(I54,'AUX-NIV2'!$B:$AP,40,FALSE)*O54,0)</f>
        <v>0</v>
      </c>
      <c r="AO54" s="382">
        <f t="shared" si="10"/>
        <v>0.91778646969696975</v>
      </c>
      <c r="AQ54" s="395">
        <f>(IF($H54="x",VLOOKUP($I54,'AUX-NIV2'!$B:$X,'AUX-NIV1'!AQ$3,FALSE),0)+($AV54*'AUX-NIV3'!S$4))*$O54+IF($H54=AQ$4,$P54,0)</f>
        <v>0</v>
      </c>
      <c r="AR54" s="395">
        <f>(IF($H54="x",VLOOKUP($I54,'AUX-NIV2'!$B:$X,'AUX-NIV1'!AR$3,FALSE),0)+($AV54*'AUX-NIV3'!T$4))*$O54+IF($H54=AR$4,$P54,0)</f>
        <v>0</v>
      </c>
      <c r="AS54" s="395">
        <f>(IF($H54="x",VLOOKUP($I54,'AUX-NIV2'!$B:$X,'AUX-NIV1'!AS$3,FALSE),0)+($AV54*'AUX-NIV3'!U$4))*$O54+IF($H54=AS$4,$P54,0)</f>
        <v>12.600000000000001</v>
      </c>
      <c r="AT54" s="395">
        <f>(IF($H54="x",VLOOKUP($I54,'AUX-NIV2'!$B:$X,'AUX-NIV1'!AT$3,FALSE),0)+($AV54*'AUX-NIV3'!V$4))*$O54+IF($H54=AT$4,$P54,0)</f>
        <v>0</v>
      </c>
      <c r="AU54" s="395">
        <f>(IF($H54="x",VLOOKUP($I54,'AUX-NIV2'!$B:$X,'AUX-NIV1'!AU$3,FALSE),0)+($AV54*'AUX-NIV3'!W$4))*$O54+IF($H54=AU$4,$P54,0)</f>
        <v>0</v>
      </c>
      <c r="AV54" s="395">
        <f>+IF($H54="x",VLOOKUP($I54,'AUX-NIV2'!$B:$X,'AUX-NIV1'!AV$3,FALSE),0)</f>
        <v>0</v>
      </c>
    </row>
    <row r="55" spans="2:48" ht="13.8" hidden="1" thickBot="1">
      <c r="B55" s="324" t="s">
        <v>77</v>
      </c>
      <c r="C55" s="325" t="s">
        <v>129</v>
      </c>
      <c r="D55" s="326" t="s">
        <v>1160</v>
      </c>
      <c r="E55" s="349">
        <f>IF(B55&lt;&gt;"",+SUMIF(Items!C:C,'AUX-NIV1'!B55,Items!H:H),"")</f>
        <v>0</v>
      </c>
      <c r="F55" s="349">
        <f t="shared" si="0"/>
        <v>1206.7668870859366</v>
      </c>
      <c r="G55" s="349">
        <f t="shared" si="1"/>
        <v>0</v>
      </c>
      <c r="H55" s="1395" t="str">
        <f t="shared" si="11"/>
        <v>X</v>
      </c>
      <c r="I55" s="1375" t="s">
        <v>1253</v>
      </c>
      <c r="J55" s="350" t="str">
        <f>IF(B55&lt;&gt;"",+VLOOKUP(I55,Recursos!C:F,2,FALSE),"")</f>
        <v>Obt-Transp. de Agua p/Hormigones</v>
      </c>
      <c r="K55" s="351" t="str">
        <f>IF(B55&lt;&gt;"",+VLOOKUP(I55,Recursos!C:F,3,FALSE),"")</f>
        <v>m3</v>
      </c>
      <c r="L55" s="349">
        <f>IF(B55&lt;&gt;"",+VLOOKUP(I55,Recursos!C:F,4,FALSE),"")</f>
        <v>352.16492140392978</v>
      </c>
      <c r="M55" s="331">
        <v>1</v>
      </c>
      <c r="N55" s="331">
        <v>1.05</v>
      </c>
      <c r="O55" s="362">
        <v>1.05</v>
      </c>
      <c r="P55" s="352">
        <f t="shared" si="13"/>
        <v>369.7731674741263</v>
      </c>
      <c r="Q55" s="349">
        <f t="shared" si="14"/>
        <v>0</v>
      </c>
      <c r="R55" s="353">
        <f t="shared" si="15"/>
        <v>0</v>
      </c>
      <c r="S55" s="354">
        <f t="shared" si="2"/>
        <v>0</v>
      </c>
      <c r="T55" s="354">
        <f t="shared" si="3"/>
        <v>0</v>
      </c>
      <c r="U55" s="355">
        <f t="shared" si="4"/>
        <v>12.600000000000001</v>
      </c>
      <c r="V55" s="355">
        <f t="shared" si="5"/>
        <v>0</v>
      </c>
      <c r="W55" s="355">
        <f t="shared" si="6"/>
        <v>0</v>
      </c>
      <c r="X55" s="355">
        <f t="shared" si="7"/>
        <v>1194.1668870859367</v>
      </c>
      <c r="Y55" s="396"/>
      <c r="Z55" s="346" t="str">
        <f t="shared" si="16"/>
        <v>0-BTRATAA</v>
      </c>
      <c r="AA55" s="346" t="str">
        <f t="shared" si="17"/>
        <v>0-BTRATAE</v>
      </c>
      <c r="AB55" s="346" t="str">
        <f t="shared" si="18"/>
        <v>0-BTRATAM</v>
      </c>
      <c r="AC55" s="346" t="str">
        <f t="shared" si="19"/>
        <v>0-BTRATAT</v>
      </c>
      <c r="AD55" s="346" t="str">
        <f t="shared" si="20"/>
        <v>0-BTRATAS</v>
      </c>
      <c r="AE55" s="346" t="str">
        <f t="shared" si="21"/>
        <v>0-BTRATAX</v>
      </c>
      <c r="AF55" s="346" t="str">
        <f t="shared" si="22"/>
        <v>0-BTRATAX</v>
      </c>
      <c r="AG55" s="346">
        <f t="shared" si="8"/>
        <v>7</v>
      </c>
      <c r="AH55" s="346">
        <f>IF(B55&lt;&gt;"",+IF(H55="x",+VLOOKUP(I55,'AUX-NIV2'!B:AG,32,FALSE),0),"")</f>
        <v>7</v>
      </c>
      <c r="AI55" s="346" t="str">
        <f t="shared" si="23"/>
        <v>0-BTRATA</v>
      </c>
      <c r="AK55" s="347">
        <f t="shared" si="9"/>
        <v>54</v>
      </c>
      <c r="AL55" s="348">
        <f t="shared" si="24"/>
        <v>60</v>
      </c>
      <c r="AM55" s="347">
        <f t="shared" si="25"/>
        <v>2</v>
      </c>
      <c r="AN55" s="382">
        <f>IF(AND(AH55&gt;0,B55&lt;&gt;""),VLOOKUP(I55,'AUX-NIV2'!$B:$AP,40,FALSE)*O55,0)</f>
        <v>0.28636363636363638</v>
      </c>
      <c r="AO55" s="382">
        <f t="shared" si="10"/>
        <v>0.91778646969696975</v>
      </c>
      <c r="AQ55" s="395">
        <f>(IF($H55="x",VLOOKUP($I55,'AUX-NIV2'!$B:$X,'AUX-NIV1'!AQ$3,FALSE),0)+($AV55*'AUX-NIV3'!S$4))*$O55+IF($H55=AQ$4,$P55,0)</f>
        <v>135.19345030057258</v>
      </c>
      <c r="AR55" s="395">
        <f>(IF($H55="x",VLOOKUP($I55,'AUX-NIV2'!$B:$X,'AUX-NIV1'!AR$3,FALSE),0)+($AV55*'AUX-NIV3'!T$4))*$O55+IF($H55=AR$4,$P55,0)</f>
        <v>234.57971717355375</v>
      </c>
      <c r="AS55" s="395">
        <f>(IF($H55="x",VLOOKUP($I55,'AUX-NIV2'!$B:$X,'AUX-NIV1'!AS$3,FALSE),0)+($AV55*'AUX-NIV3'!U$4))*$O55+IF($H55=AS$4,$P55,0)</f>
        <v>0</v>
      </c>
      <c r="AT55" s="395">
        <f>(IF($H55="x",VLOOKUP($I55,'AUX-NIV2'!$B:$X,'AUX-NIV1'!AT$3,FALSE),0)+($AV55*'AUX-NIV3'!V$4))*$O55+IF($H55=AT$4,$P55,0)</f>
        <v>0</v>
      </c>
      <c r="AU55" s="395">
        <f>(IF($H55="x",VLOOKUP($I55,'AUX-NIV2'!$B:$X,'AUX-NIV1'!AU$3,FALSE),0)+($AV55*'AUX-NIV3'!W$4))*$O55+IF($H55=AU$4,$P55,0)</f>
        <v>0</v>
      </c>
      <c r="AV55" s="395">
        <f>+IF($H55="x",VLOOKUP($I55,'AUX-NIV2'!$B:$X,'AUX-NIV1'!AV$3,FALSE),0)</f>
        <v>0</v>
      </c>
    </row>
    <row r="56" spans="2:48" ht="13.8" hidden="1" thickBot="1">
      <c r="B56" s="324" t="s">
        <v>77</v>
      </c>
      <c r="C56" s="325" t="s">
        <v>129</v>
      </c>
      <c r="D56" s="326" t="s">
        <v>1160</v>
      </c>
      <c r="E56" s="349">
        <f>IF(B56&lt;&gt;"",+SUMIF(Items!C:C,'AUX-NIV1'!B56,Items!H:H),"")</f>
        <v>0</v>
      </c>
      <c r="F56" s="349">
        <f t="shared" si="0"/>
        <v>1206.7668870859366</v>
      </c>
      <c r="G56" s="349">
        <f t="shared" si="1"/>
        <v>0</v>
      </c>
      <c r="H56" s="1395" t="str">
        <f t="shared" si="11"/>
        <v>X</v>
      </c>
      <c r="I56" s="1375" t="s">
        <v>1284</v>
      </c>
      <c r="J56" s="350" t="str">
        <f>IF(B56&lt;&gt;"",+VLOOKUP(I56,Recursos!C:F,2,FALSE),"")</f>
        <v>Compactación de Subrasante</v>
      </c>
      <c r="K56" s="351" t="str">
        <f>IF(B56&lt;&gt;"",+VLOOKUP(I56,Recursos!C:F,3,FALSE),"")</f>
        <v>m3</v>
      </c>
      <c r="L56" s="349">
        <f>IF(B56&lt;&gt;"",+VLOOKUP(I56,Recursos!C:F,4,FALSE),"")</f>
        <v>101.66101693166991</v>
      </c>
      <c r="M56" s="331">
        <v>1</v>
      </c>
      <c r="N56" s="331">
        <v>1.05</v>
      </c>
      <c r="O56" s="362">
        <v>1.05</v>
      </c>
      <c r="P56" s="352">
        <f t="shared" si="13"/>
        <v>106.74406777825341</v>
      </c>
      <c r="Q56" s="349">
        <f t="shared" si="14"/>
        <v>0</v>
      </c>
      <c r="R56" s="353">
        <f t="shared" si="15"/>
        <v>0</v>
      </c>
      <c r="S56" s="354">
        <f t="shared" si="2"/>
        <v>0</v>
      </c>
      <c r="T56" s="354">
        <f t="shared" si="3"/>
        <v>0</v>
      </c>
      <c r="U56" s="355">
        <f t="shared" si="4"/>
        <v>12.600000000000001</v>
      </c>
      <c r="V56" s="355">
        <f t="shared" si="5"/>
        <v>0</v>
      </c>
      <c r="W56" s="355">
        <f t="shared" si="6"/>
        <v>0</v>
      </c>
      <c r="X56" s="355">
        <f t="shared" si="7"/>
        <v>1194.1668870859367</v>
      </c>
      <c r="Y56" s="396"/>
      <c r="Z56" s="346" t="str">
        <f t="shared" si="16"/>
        <v>0-BTRATAA</v>
      </c>
      <c r="AA56" s="346" t="str">
        <f t="shared" si="17"/>
        <v>0-BTRATAE</v>
      </c>
      <c r="AB56" s="346" t="str">
        <f t="shared" si="18"/>
        <v>0-BTRATAM</v>
      </c>
      <c r="AC56" s="346" t="str">
        <f t="shared" si="19"/>
        <v>0-BTRATAT</v>
      </c>
      <c r="AD56" s="346" t="str">
        <f t="shared" si="20"/>
        <v>0-BTRATAS</v>
      </c>
      <c r="AE56" s="346" t="str">
        <f t="shared" si="21"/>
        <v>0-BTRATAX</v>
      </c>
      <c r="AF56" s="346" t="str">
        <f t="shared" si="22"/>
        <v>0-BTRATAX</v>
      </c>
      <c r="AG56" s="346">
        <f t="shared" si="8"/>
        <v>7</v>
      </c>
      <c r="AH56" s="346">
        <f>IF(B56&lt;&gt;"",+IF(H56="x",+VLOOKUP(I56,'AUX-NIV2'!B:AG,32,FALSE),0),"")</f>
        <v>7</v>
      </c>
      <c r="AI56" s="346" t="str">
        <f t="shared" si="23"/>
        <v>0-BTRATA</v>
      </c>
      <c r="AK56" s="347">
        <f t="shared" si="9"/>
        <v>54</v>
      </c>
      <c r="AL56" s="348">
        <f t="shared" si="24"/>
        <v>60</v>
      </c>
      <c r="AM56" s="347">
        <f t="shared" si="25"/>
        <v>3</v>
      </c>
      <c r="AN56" s="382">
        <f>IF(AND(AH56&gt;0,B56&lt;&gt;""),VLOOKUP(I56,'AUX-NIV2'!$B:$AP,40,FALSE)*O56,0)</f>
        <v>6.2070833333333332E-2</v>
      </c>
      <c r="AO56" s="382">
        <f t="shared" si="10"/>
        <v>0.91778646969696975</v>
      </c>
      <c r="AQ56" s="395">
        <f>(IF($H56="x",VLOOKUP($I56,'AUX-NIV2'!$B:$X,'AUX-NIV1'!AQ$3,FALSE),0)+($AV56*'AUX-NIV3'!S$4))*$O56+IF($H56=AQ$4,$P56,0)</f>
        <v>22.821264964099612</v>
      </c>
      <c r="AR56" s="395">
        <f>(IF($H56="x",VLOOKUP($I56,'AUX-NIV2'!$B:$X,'AUX-NIV1'!AR$3,FALSE),0)+($AV56*'AUX-NIV3'!T$4))*$O56+IF($H56=AR$4,$P56,0)</f>
        <v>83.825847319522566</v>
      </c>
      <c r="AS56" s="395">
        <f>(IF($H56="x",VLOOKUP($I56,'AUX-NIV2'!$B:$X,'AUX-NIV1'!AS$3,FALSE),0)+($AV56*'AUX-NIV3'!U$4))*$O56+IF($H56=AS$4,$P56,0)</f>
        <v>9.695549463123064E-2</v>
      </c>
      <c r="AT56" s="395">
        <f>(IF($H56="x",VLOOKUP($I56,'AUX-NIV2'!$B:$X,'AUX-NIV1'!AT$3,FALSE),0)+($AV56*'AUX-NIV3'!V$4))*$O56+IF($H56=AT$4,$P56,0)</f>
        <v>0</v>
      </c>
      <c r="AU56" s="395">
        <f>(IF($H56="x",VLOOKUP($I56,'AUX-NIV2'!$B:$X,'AUX-NIV1'!AU$3,FALSE),0)+($AV56*'AUX-NIV3'!W$4))*$O56+IF($H56=AU$4,$P56,0)</f>
        <v>0</v>
      </c>
      <c r="AV56" s="395">
        <f>+IF($H56="x",VLOOKUP($I56,'AUX-NIV2'!$B:$X,'AUX-NIV1'!AV$3,FALSE),0)</f>
        <v>58.505828924403687</v>
      </c>
    </row>
    <row r="57" spans="2:48" ht="13.8" hidden="1" thickBot="1">
      <c r="B57" s="324" t="s">
        <v>77</v>
      </c>
      <c r="C57" s="325" t="s">
        <v>129</v>
      </c>
      <c r="D57" s="326" t="s">
        <v>1160</v>
      </c>
      <c r="E57" s="349">
        <f>IF(B57&lt;&gt;"",+SUMIF(Items!C:C,'AUX-NIV1'!B57,Items!H:H),"")</f>
        <v>0</v>
      </c>
      <c r="F57" s="349">
        <f t="shared" si="0"/>
        <v>1206.7668870859366</v>
      </c>
      <c r="G57" s="349">
        <f t="shared" si="1"/>
        <v>0</v>
      </c>
      <c r="H57" s="1395" t="str">
        <f t="shared" si="11"/>
        <v>X</v>
      </c>
      <c r="I57" s="1375" t="s">
        <v>1272</v>
      </c>
      <c r="J57" s="350" t="str">
        <f>IF(B57&lt;&gt;"",+VLOOKUP(I57,Recursos!C:F,2,FALSE),"")</f>
        <v>Excavación de Fundaciones con PC 200 - Con tpte. (3 vjs.hora)</v>
      </c>
      <c r="K57" s="351" t="str">
        <f>IF(B57&lt;&gt;"",+VLOOKUP(I57,Recursos!C:F,3,FALSE),"")</f>
        <v>m3</v>
      </c>
      <c r="L57" s="349">
        <f>IF(B57&lt;&gt;"",+VLOOKUP(I57,Recursos!C:F,4,FALSE),"")</f>
        <v>228.08238748864056</v>
      </c>
      <c r="M57" s="331">
        <v>0.16</v>
      </c>
      <c r="N57" s="331">
        <v>1.05</v>
      </c>
      <c r="O57" s="362">
        <v>0.16800000000000001</v>
      </c>
      <c r="P57" s="352">
        <f t="shared" si="13"/>
        <v>38.31784109809162</v>
      </c>
      <c r="Q57" s="349">
        <f t="shared" si="14"/>
        <v>0</v>
      </c>
      <c r="R57" s="353">
        <f t="shared" si="15"/>
        <v>0</v>
      </c>
      <c r="S57" s="354">
        <f t="shared" si="2"/>
        <v>0</v>
      </c>
      <c r="T57" s="354">
        <f t="shared" si="3"/>
        <v>0</v>
      </c>
      <c r="U57" s="355">
        <f t="shared" si="4"/>
        <v>12.600000000000001</v>
      </c>
      <c r="V57" s="355">
        <f t="shared" si="5"/>
        <v>0</v>
      </c>
      <c r="W57" s="355">
        <f t="shared" si="6"/>
        <v>0</v>
      </c>
      <c r="X57" s="355">
        <f t="shared" si="7"/>
        <v>1194.1668870859367</v>
      </c>
      <c r="Y57" s="396"/>
      <c r="Z57" s="346" t="str">
        <f t="shared" si="16"/>
        <v>0-BTRATAA</v>
      </c>
      <c r="AA57" s="346" t="str">
        <f t="shared" si="17"/>
        <v>0-BTRATAE</v>
      </c>
      <c r="AB57" s="346" t="str">
        <f t="shared" si="18"/>
        <v>0-BTRATAM</v>
      </c>
      <c r="AC57" s="346" t="str">
        <f t="shared" si="19"/>
        <v>0-BTRATAT</v>
      </c>
      <c r="AD57" s="346" t="str">
        <f t="shared" si="20"/>
        <v>0-BTRATAS</v>
      </c>
      <c r="AE57" s="346" t="str">
        <f t="shared" si="21"/>
        <v>0-BTRATAX</v>
      </c>
      <c r="AF57" s="346" t="str">
        <f t="shared" si="22"/>
        <v>0-BTRATAX</v>
      </c>
      <c r="AG57" s="346">
        <f t="shared" si="8"/>
        <v>7</v>
      </c>
      <c r="AH57" s="346">
        <f>IF(B57&lt;&gt;"",+IF(H57="x",+VLOOKUP(I57,'AUX-NIV2'!B:AG,32,FALSE),0),"")</f>
        <v>6</v>
      </c>
      <c r="AI57" s="346" t="str">
        <f t="shared" si="23"/>
        <v>0-BTRATA</v>
      </c>
      <c r="AK57" s="347">
        <f t="shared" si="9"/>
        <v>54</v>
      </c>
      <c r="AL57" s="348">
        <f t="shared" si="24"/>
        <v>60</v>
      </c>
      <c r="AM57" s="347">
        <f t="shared" si="25"/>
        <v>4</v>
      </c>
      <c r="AN57" s="382">
        <f>IF(AND(AH57&gt;0,B57&lt;&gt;""),VLOOKUP(I57,'AUX-NIV2'!$B:$AP,40,FALSE)*O57,0)</f>
        <v>2.1951999999999999E-2</v>
      </c>
      <c r="AO57" s="382">
        <f t="shared" si="10"/>
        <v>0.91778646969696975</v>
      </c>
      <c r="AQ57" s="395">
        <f>(IF($H57="x",VLOOKUP($I57,'AUX-NIV2'!$B:$X,'AUX-NIV1'!AQ$3,FALSE),0)+($AV57*'AUX-NIV3'!S$4))*$O57+IF($H57=AQ$4,$P57,0)</f>
        <v>10.376740498091616</v>
      </c>
      <c r="AR57" s="395">
        <f>(IF($H57="x",VLOOKUP($I57,'AUX-NIV2'!$B:$X,'AUX-NIV1'!AR$3,FALSE),0)+($AV57*'AUX-NIV3'!T$4))*$O57+IF($H57=AR$4,$P57,0)</f>
        <v>27.941100600000002</v>
      </c>
      <c r="AS57" s="395">
        <f>(IF($H57="x",VLOOKUP($I57,'AUX-NIV2'!$B:$X,'AUX-NIV1'!AS$3,FALSE),0)+($AV57*'AUX-NIV3'!U$4))*$O57+IF($H57=AS$4,$P57,0)</f>
        <v>0</v>
      </c>
      <c r="AT57" s="395">
        <f>(IF($H57="x",VLOOKUP($I57,'AUX-NIV2'!$B:$X,'AUX-NIV1'!AT$3,FALSE),0)+($AV57*'AUX-NIV3'!V$4))*$O57+IF($H57=AT$4,$P57,0)</f>
        <v>0</v>
      </c>
      <c r="AU57" s="395">
        <f>(IF($H57="x",VLOOKUP($I57,'AUX-NIV2'!$B:$X,'AUX-NIV1'!AU$3,FALSE),0)+($AV57*'AUX-NIV3'!W$4))*$O57+IF($H57=AU$4,$P57,0)</f>
        <v>0</v>
      </c>
      <c r="AV57" s="395">
        <f>+IF($H57="x",VLOOKUP($I57,'AUX-NIV2'!$B:$X,'AUX-NIV1'!AV$3,FALSE),0)</f>
        <v>0</v>
      </c>
    </row>
    <row r="58" spans="2:48" ht="13.8" hidden="1" thickBot="1">
      <c r="B58" s="324" t="s">
        <v>77</v>
      </c>
      <c r="C58" s="325" t="s">
        <v>129</v>
      </c>
      <c r="D58" s="326" t="s">
        <v>1160</v>
      </c>
      <c r="E58" s="349">
        <f>IF(B58&lt;&gt;"",+SUMIF(Items!C:C,'AUX-NIV1'!B58,Items!H:H),"")</f>
        <v>0</v>
      </c>
      <c r="F58" s="349">
        <f t="shared" si="0"/>
        <v>1206.7668870859366</v>
      </c>
      <c r="G58" s="349">
        <f t="shared" si="1"/>
        <v>0</v>
      </c>
      <c r="H58" s="1395" t="str">
        <f t="shared" si="11"/>
        <v>X</v>
      </c>
      <c r="I58" s="1375" t="s">
        <v>1281</v>
      </c>
      <c r="J58" s="350" t="str">
        <f>IF(B58&lt;&gt;"",+VLOOKUP(I58,Recursos!C:F,2,FALSE),"")</f>
        <v>Mezclado in Situ de Cemento y Suelo</v>
      </c>
      <c r="K58" s="351" t="str">
        <f>IF(B58&lt;&gt;"",+VLOOKUP(I58,Recursos!C:F,3,FALSE),"")</f>
        <v>m3</v>
      </c>
      <c r="L58" s="349">
        <f>IF(B58&lt;&gt;"",+VLOOKUP(I58,Recursos!C:F,4,FALSE),"")</f>
        <v>314.91031268746093</v>
      </c>
      <c r="M58" s="331">
        <v>1</v>
      </c>
      <c r="N58" s="331">
        <v>1.05</v>
      </c>
      <c r="O58" s="362">
        <v>1.05</v>
      </c>
      <c r="P58" s="352">
        <f t="shared" si="13"/>
        <v>330.65582832183401</v>
      </c>
      <c r="Q58" s="349">
        <f t="shared" si="14"/>
        <v>0</v>
      </c>
      <c r="R58" s="353">
        <f t="shared" si="15"/>
        <v>0</v>
      </c>
      <c r="S58" s="354">
        <f t="shared" si="2"/>
        <v>0</v>
      </c>
      <c r="T58" s="354">
        <f t="shared" si="3"/>
        <v>0</v>
      </c>
      <c r="U58" s="355">
        <f t="shared" si="4"/>
        <v>12.600000000000001</v>
      </c>
      <c r="V58" s="355">
        <f t="shared" si="5"/>
        <v>0</v>
      </c>
      <c r="W58" s="355">
        <f t="shared" si="6"/>
        <v>0</v>
      </c>
      <c r="X58" s="355">
        <f t="shared" si="7"/>
        <v>1194.1668870859367</v>
      </c>
      <c r="Y58" s="396"/>
      <c r="Z58" s="346" t="str">
        <f t="shared" si="16"/>
        <v>0-BTRATAA</v>
      </c>
      <c r="AA58" s="346" t="str">
        <f t="shared" si="17"/>
        <v>0-BTRATAE</v>
      </c>
      <c r="AB58" s="346" t="str">
        <f t="shared" si="18"/>
        <v>0-BTRATAM</v>
      </c>
      <c r="AC58" s="346" t="str">
        <f t="shared" si="19"/>
        <v>0-BTRATAT</v>
      </c>
      <c r="AD58" s="346" t="str">
        <f t="shared" si="20"/>
        <v>0-BTRATAS</v>
      </c>
      <c r="AE58" s="346" t="str">
        <f t="shared" si="21"/>
        <v>0-BTRATAX</v>
      </c>
      <c r="AF58" s="346" t="str">
        <f t="shared" si="22"/>
        <v>0-BTRATAX</v>
      </c>
      <c r="AG58" s="346">
        <f t="shared" si="8"/>
        <v>7</v>
      </c>
      <c r="AH58" s="346">
        <f>IF(B58&lt;&gt;"",+IF(H58="x",+VLOOKUP(I58,'AUX-NIV2'!B:AG,32,FALSE),0),"")</f>
        <v>7</v>
      </c>
      <c r="AI58" s="346" t="str">
        <f t="shared" si="23"/>
        <v>0-BTRATA</v>
      </c>
      <c r="AK58" s="347">
        <f t="shared" si="9"/>
        <v>54</v>
      </c>
      <c r="AL58" s="348">
        <f t="shared" si="24"/>
        <v>60</v>
      </c>
      <c r="AM58" s="347">
        <f t="shared" si="25"/>
        <v>5</v>
      </c>
      <c r="AN58" s="382">
        <f>IF(AND(AH58&gt;0,B58&lt;&gt;""),VLOOKUP(I58,'AUX-NIV2'!$B:$AP,40,FALSE)*O58,0)</f>
        <v>0.36049999999999999</v>
      </c>
      <c r="AO58" s="382">
        <f t="shared" si="10"/>
        <v>0.91778646969696975</v>
      </c>
      <c r="AQ58" s="395">
        <f>(IF($H58="x",VLOOKUP($I58,'AUX-NIV2'!$B:$X,'AUX-NIV1'!AQ$3,FALSE),0)+($AV58*'AUX-NIV3'!S$4))*$O58+IF($H58=AQ$4,$P58,0)</f>
        <v>168.67195559456124</v>
      </c>
      <c r="AR58" s="395">
        <f>(IF($H58="x",VLOOKUP($I58,'AUX-NIV2'!$B:$X,'AUX-NIV1'!AR$3,FALSE),0)+($AV58*'AUX-NIV3'!T$4))*$O58+IF($H58=AR$4,$P58,0)</f>
        <v>161.85262272727275</v>
      </c>
      <c r="AS58" s="395">
        <f>(IF($H58="x",VLOOKUP($I58,'AUX-NIV2'!$B:$X,'AUX-NIV1'!AS$3,FALSE),0)+($AV58*'AUX-NIV3'!U$4))*$O58+IF($H58=AS$4,$P58,0)</f>
        <v>0.13125000000000001</v>
      </c>
      <c r="AT58" s="395">
        <f>(IF($H58="x",VLOOKUP($I58,'AUX-NIV2'!$B:$X,'AUX-NIV1'!AT$3,FALSE),0)+($AV58*'AUX-NIV3'!V$4))*$O58+IF($H58=AT$4,$P58,0)</f>
        <v>0</v>
      </c>
      <c r="AU58" s="395">
        <f>(IF($H58="x",VLOOKUP($I58,'AUX-NIV2'!$B:$X,'AUX-NIV1'!AU$3,FALSE),0)+($AV58*'AUX-NIV3'!W$4))*$O58+IF($H58=AU$4,$P58,0)</f>
        <v>0</v>
      </c>
      <c r="AV58" s="395">
        <f>+IF($H58="x",VLOOKUP($I58,'AUX-NIV2'!$B:$X,'AUX-NIV1'!AV$3,FALSE),0)</f>
        <v>0</v>
      </c>
    </row>
    <row r="59" spans="2:48" ht="13.8" hidden="1" thickBot="1">
      <c r="B59" s="324" t="s">
        <v>77</v>
      </c>
      <c r="C59" s="325" t="s">
        <v>129</v>
      </c>
      <c r="D59" s="326" t="s">
        <v>1160</v>
      </c>
      <c r="E59" s="349">
        <f>IF(B59&lt;&gt;"",+SUMIF(Items!C:C,'AUX-NIV1'!B59,Items!H:H),"")</f>
        <v>0</v>
      </c>
      <c r="F59" s="349">
        <f t="shared" si="0"/>
        <v>1206.7668870859366</v>
      </c>
      <c r="G59" s="349">
        <f t="shared" si="1"/>
        <v>0</v>
      </c>
      <c r="H59" s="1395" t="str">
        <f t="shared" si="11"/>
        <v>X</v>
      </c>
      <c r="I59" s="1375" t="s">
        <v>1285</v>
      </c>
      <c r="J59" s="350" t="str">
        <f>IF(B59&lt;&gt;"",+VLOOKUP(I59,Recursos!C:F,2,FALSE),"")</f>
        <v>Terminación Corte con Moto</v>
      </c>
      <c r="K59" s="351" t="str">
        <f>IF(B59&lt;&gt;"",+VLOOKUP(I59,Recursos!C:F,3,FALSE),"")</f>
        <v>m3</v>
      </c>
      <c r="L59" s="349">
        <f>IF(B59&lt;&gt;"",+VLOOKUP(I59,Recursos!C:F,4,FALSE),"")</f>
        <v>206.36682596349667</v>
      </c>
      <c r="M59" s="331">
        <v>1</v>
      </c>
      <c r="N59" s="331">
        <v>1.05</v>
      </c>
      <c r="O59" s="362">
        <v>1.05</v>
      </c>
      <c r="P59" s="352">
        <f t="shared" si="13"/>
        <v>216.68516726167149</v>
      </c>
      <c r="Q59" s="349">
        <f t="shared" si="14"/>
        <v>0</v>
      </c>
      <c r="R59" s="353">
        <f t="shared" si="15"/>
        <v>0</v>
      </c>
      <c r="S59" s="354">
        <f t="shared" si="2"/>
        <v>0</v>
      </c>
      <c r="T59" s="354">
        <f t="shared" si="3"/>
        <v>0</v>
      </c>
      <c r="U59" s="355">
        <f t="shared" si="4"/>
        <v>12.600000000000001</v>
      </c>
      <c r="V59" s="355">
        <f t="shared" si="5"/>
        <v>0</v>
      </c>
      <c r="W59" s="355">
        <f t="shared" si="6"/>
        <v>0</v>
      </c>
      <c r="X59" s="355">
        <f t="shared" si="7"/>
        <v>1194.1668870859367</v>
      </c>
      <c r="Y59" s="396"/>
      <c r="Z59" s="346" t="str">
        <f t="shared" si="16"/>
        <v>0-BTRATAA</v>
      </c>
      <c r="AA59" s="346" t="str">
        <f t="shared" si="17"/>
        <v>0-BTRATAE</v>
      </c>
      <c r="AB59" s="346" t="str">
        <f t="shared" si="18"/>
        <v>0-BTRATAM</v>
      </c>
      <c r="AC59" s="346" t="str">
        <f t="shared" si="19"/>
        <v>0-BTRATAT</v>
      </c>
      <c r="AD59" s="346" t="str">
        <f t="shared" si="20"/>
        <v>0-BTRATAS</v>
      </c>
      <c r="AE59" s="346" t="str">
        <f t="shared" si="21"/>
        <v>0-BTRATAX</v>
      </c>
      <c r="AF59" s="346" t="str">
        <f t="shared" si="22"/>
        <v>0-BTRATAX</v>
      </c>
      <c r="AG59" s="346">
        <f t="shared" si="8"/>
        <v>7</v>
      </c>
      <c r="AH59" s="346">
        <f>IF(B59&lt;&gt;"",+IF(H59="x",+VLOOKUP(I59,'AUX-NIV2'!B:AG,32,FALSE),0),"")</f>
        <v>4</v>
      </c>
      <c r="AI59" s="346" t="str">
        <f t="shared" si="23"/>
        <v>0-BTRATA</v>
      </c>
      <c r="AK59" s="347">
        <f t="shared" si="9"/>
        <v>54</v>
      </c>
      <c r="AL59" s="348">
        <f t="shared" si="24"/>
        <v>60</v>
      </c>
      <c r="AM59" s="347">
        <f t="shared" si="25"/>
        <v>6</v>
      </c>
      <c r="AN59" s="382">
        <f>IF(AND(AH59&gt;0,B59&lt;&gt;""),VLOOKUP(I59,'AUX-NIV2'!$B:$AP,40,FALSE)*O59,0)</f>
        <v>0.1176</v>
      </c>
      <c r="AO59" s="382">
        <f t="shared" si="10"/>
        <v>0.91778646969696975</v>
      </c>
      <c r="AQ59" s="395">
        <f>(IF($H59="x",VLOOKUP($I59,'AUX-NIV2'!$B:$X,'AUX-NIV1'!AQ$3,FALSE),0)+($AV59*'AUX-NIV3'!S$4))*$O59+IF($H59=AQ$4,$P59,0)</f>
        <v>59.008247988944227</v>
      </c>
      <c r="AR59" s="395">
        <f>(IF($H59="x",VLOOKUP($I59,'AUX-NIV2'!$B:$X,'AUX-NIV1'!AR$3,FALSE),0)+($AV59*'AUX-NIV3'!T$4))*$O59+IF($H59=AR$4,$P59,0)</f>
        <v>157.5194192727273</v>
      </c>
      <c r="AS59" s="395">
        <f>(IF($H59="x",VLOOKUP($I59,'AUX-NIV2'!$B:$X,'AUX-NIV1'!AS$3,FALSE),0)+($AV59*'AUX-NIV3'!U$4))*$O59+IF($H59=AS$4,$P59,0)</f>
        <v>0.1575</v>
      </c>
      <c r="AT59" s="395">
        <f>(IF($H59="x",VLOOKUP($I59,'AUX-NIV2'!$B:$X,'AUX-NIV1'!AT$3,FALSE),0)+($AV59*'AUX-NIV3'!V$4))*$O59+IF($H59=AT$4,$P59,0)</f>
        <v>0</v>
      </c>
      <c r="AU59" s="395">
        <f>(IF($H59="x",VLOOKUP($I59,'AUX-NIV2'!$B:$X,'AUX-NIV1'!AU$3,FALSE),0)+($AV59*'AUX-NIV3'!W$4))*$O59+IF($H59=AU$4,$P59,0)</f>
        <v>0</v>
      </c>
      <c r="AV59" s="395">
        <f>+IF($H59="x",VLOOKUP($I59,'AUX-NIV2'!$B:$X,'AUX-NIV1'!AV$3,FALSE),0)</f>
        <v>0</v>
      </c>
    </row>
    <row r="60" spans="2:48" ht="13.8" hidden="1" thickBot="1">
      <c r="B60" s="324" t="s">
        <v>77</v>
      </c>
      <c r="C60" s="325" t="s">
        <v>129</v>
      </c>
      <c r="D60" s="326" t="s">
        <v>1160</v>
      </c>
      <c r="E60" s="349">
        <f>IF(B60&lt;&gt;"",+SUMIF(Items!C:C,'AUX-NIV1'!B60,Items!H:H),"")</f>
        <v>0</v>
      </c>
      <c r="F60" s="349">
        <f t="shared" si="0"/>
        <v>1206.7668870859366</v>
      </c>
      <c r="G60" s="349">
        <f t="shared" si="1"/>
        <v>0</v>
      </c>
      <c r="H60" s="1395" t="str">
        <f t="shared" si="11"/>
        <v>X</v>
      </c>
      <c r="I60" s="1375" t="s">
        <v>1283</v>
      </c>
      <c r="J60" s="350" t="str">
        <f>IF(B60&lt;&gt;"",+VLOOKUP(I60,Recursos!C:F,2,FALSE),"")</f>
        <v>Tratamiento de Subrasante-Escarificado y Riego</v>
      </c>
      <c r="K60" s="351" t="str">
        <f>IF(B60&lt;&gt;"",+VLOOKUP(I60,Recursos!C:F,3,FALSE),"")</f>
        <v>m3</v>
      </c>
      <c r="L60" s="349">
        <f>IF(B60&lt;&gt;"",+VLOOKUP(I60,Recursos!C:F,4,FALSE),"")</f>
        <v>125.70553823996164</v>
      </c>
      <c r="M60" s="331">
        <v>1</v>
      </c>
      <c r="N60" s="331">
        <v>1.05</v>
      </c>
      <c r="O60" s="362">
        <v>1.05</v>
      </c>
      <c r="P60" s="352">
        <f t="shared" si="13"/>
        <v>131.99081515195974</v>
      </c>
      <c r="Q60" s="349">
        <f t="shared" si="14"/>
        <v>0</v>
      </c>
      <c r="R60" s="353">
        <f t="shared" si="15"/>
        <v>0</v>
      </c>
      <c r="S60" s="354">
        <f t="shared" si="2"/>
        <v>0</v>
      </c>
      <c r="T60" s="354">
        <f t="shared" si="3"/>
        <v>0</v>
      </c>
      <c r="U60" s="355">
        <f t="shared" si="4"/>
        <v>12.600000000000001</v>
      </c>
      <c r="V60" s="355">
        <f t="shared" si="5"/>
        <v>0</v>
      </c>
      <c r="W60" s="355">
        <f t="shared" si="6"/>
        <v>0</v>
      </c>
      <c r="X60" s="355">
        <f t="shared" si="7"/>
        <v>1194.1668870859367</v>
      </c>
      <c r="Y60" s="396"/>
      <c r="Z60" s="346" t="str">
        <f t="shared" si="16"/>
        <v>0-BTRATAA</v>
      </c>
      <c r="AA60" s="346" t="str">
        <f t="shared" si="17"/>
        <v>0-BTRATAE</v>
      </c>
      <c r="AB60" s="346" t="str">
        <f t="shared" si="18"/>
        <v>0-BTRATAM</v>
      </c>
      <c r="AC60" s="346" t="str">
        <f t="shared" si="19"/>
        <v>0-BTRATAT</v>
      </c>
      <c r="AD60" s="346" t="str">
        <f t="shared" si="20"/>
        <v>0-BTRATAS</v>
      </c>
      <c r="AE60" s="346" t="str">
        <f t="shared" si="21"/>
        <v>0-BTRATAX</v>
      </c>
      <c r="AF60" s="346" t="str">
        <f t="shared" si="22"/>
        <v>0-BTRATAX</v>
      </c>
      <c r="AG60" s="346">
        <f t="shared" si="8"/>
        <v>7</v>
      </c>
      <c r="AH60" s="346">
        <f>IF(B60&lt;&gt;"",+IF(H60="x",+VLOOKUP(I60,'AUX-NIV2'!B:AG,32,FALSE),0),"")</f>
        <v>6</v>
      </c>
      <c r="AI60" s="346" t="str">
        <f t="shared" si="23"/>
        <v>0-BTRATA</v>
      </c>
      <c r="AK60" s="347">
        <f t="shared" si="9"/>
        <v>54</v>
      </c>
      <c r="AL60" s="348">
        <f t="shared" si="24"/>
        <v>60</v>
      </c>
      <c r="AM60" s="347">
        <f t="shared" si="25"/>
        <v>7</v>
      </c>
      <c r="AN60" s="382">
        <f>IF(AND(AH60&gt;0,B60&lt;&gt;""),VLOOKUP(I60,'AUX-NIV2'!$B:$AP,40,FALSE)*O60,0)</f>
        <v>6.9299999999999987E-2</v>
      </c>
      <c r="AO60" s="382">
        <f t="shared" si="10"/>
        <v>0.91778646969696975</v>
      </c>
      <c r="AQ60" s="395">
        <f>(IF($H60="x",VLOOKUP($I60,'AUX-NIV2'!$B:$X,'AUX-NIV1'!AQ$3,FALSE),0)+($AV60*'AUX-NIV3'!S$4))*$O60+IF($H60=AQ$4,$P60,0)</f>
        <v>34.721741515596072</v>
      </c>
      <c r="AR60" s="395">
        <f>(IF($H60="x",VLOOKUP($I60,'AUX-NIV2'!$B:$X,'AUX-NIV1'!AR$3,FALSE),0)+($AV60*'AUX-NIV3'!T$4))*$O60+IF($H60=AR$4,$P60,0)</f>
        <v>97.111573636363644</v>
      </c>
      <c r="AS60" s="395">
        <f>(IF($H60="x",VLOOKUP($I60,'AUX-NIV2'!$B:$X,'AUX-NIV1'!AS$3,FALSE),0)+($AV60*'AUX-NIV3'!U$4))*$O60+IF($H60=AS$4,$P60,0)</f>
        <v>0.1575</v>
      </c>
      <c r="AT60" s="395">
        <f>(IF($H60="x",VLOOKUP($I60,'AUX-NIV2'!$B:$X,'AUX-NIV1'!AT$3,FALSE),0)+($AV60*'AUX-NIV3'!V$4))*$O60+IF($H60=AT$4,$P60,0)</f>
        <v>0</v>
      </c>
      <c r="AU60" s="395">
        <f>(IF($H60="x",VLOOKUP($I60,'AUX-NIV2'!$B:$X,'AUX-NIV1'!AU$3,FALSE),0)+($AV60*'AUX-NIV3'!W$4))*$O60+IF($H60=AU$4,$P60,0)</f>
        <v>0</v>
      </c>
      <c r="AV60" s="395">
        <f>+IF($H60="x",VLOOKUP($I60,'AUX-NIV2'!$B:$X,'AUX-NIV1'!AV$3,FALSE),0)</f>
        <v>0</v>
      </c>
    </row>
    <row r="61" spans="2:48" ht="13.8" hidden="1" thickBot="1">
      <c r="B61" s="324" t="s">
        <v>78</v>
      </c>
      <c r="C61" s="325" t="s">
        <v>130</v>
      </c>
      <c r="D61" s="326" t="s">
        <v>1160</v>
      </c>
      <c r="E61" s="349">
        <f>IF(B61&lt;&gt;"",+SUMIF(Items!C:C,'AUX-NIV1'!B61,Items!H:H),"")</f>
        <v>0</v>
      </c>
      <c r="F61" s="349">
        <f t="shared" si="0"/>
        <v>936230.31191632373</v>
      </c>
      <c r="G61" s="349">
        <f t="shared" si="1"/>
        <v>0</v>
      </c>
      <c r="H61" s="1395" t="str">
        <f t="shared" si="11"/>
        <v>S</v>
      </c>
      <c r="I61" s="1375" t="s">
        <v>747</v>
      </c>
      <c r="J61" s="350" t="str">
        <f>IF(B61&lt;&gt;"",+VLOOKUP(I61,Recursos!C:F,2,FALSE),"")</f>
        <v>ASERRADO DE JUNTAS</v>
      </c>
      <c r="K61" s="351" t="str">
        <f>IF(B61&lt;&gt;"",+VLOOKUP(I61,Recursos!C:F,3,FALSE),"")</f>
        <v>M</v>
      </c>
      <c r="L61" s="349">
        <f>IF(B61&lt;&gt;"",+VLOOKUP(I61,Recursos!C:F,4,FALSE),"")</f>
        <v>10</v>
      </c>
      <c r="M61" s="331">
        <v>1</v>
      </c>
      <c r="N61" s="331">
        <v>1.05</v>
      </c>
      <c r="O61" s="362">
        <v>1.05</v>
      </c>
      <c r="P61" s="352">
        <f t="shared" si="13"/>
        <v>10.5</v>
      </c>
      <c r="Q61" s="349">
        <f t="shared" si="14"/>
        <v>0</v>
      </c>
      <c r="R61" s="353">
        <f t="shared" si="15"/>
        <v>0</v>
      </c>
      <c r="S61" s="354">
        <f t="shared" si="2"/>
        <v>0</v>
      </c>
      <c r="T61" s="354">
        <f t="shared" si="3"/>
        <v>0</v>
      </c>
      <c r="U61" s="355">
        <f t="shared" si="4"/>
        <v>0</v>
      </c>
      <c r="V61" s="355">
        <f t="shared" si="5"/>
        <v>0</v>
      </c>
      <c r="W61" s="355">
        <f t="shared" si="6"/>
        <v>10.5</v>
      </c>
      <c r="X61" s="355">
        <f t="shared" si="7"/>
        <v>936219.81191632373</v>
      </c>
      <c r="Y61" s="396"/>
      <c r="Z61" s="346" t="str">
        <f t="shared" si="16"/>
        <v>0-HORMH25A</v>
      </c>
      <c r="AA61" s="346" t="str">
        <f t="shared" si="17"/>
        <v>0-HORMH25E</v>
      </c>
      <c r="AB61" s="346" t="str">
        <f t="shared" si="18"/>
        <v>0-HORMH25M</v>
      </c>
      <c r="AC61" s="346" t="str">
        <f t="shared" si="19"/>
        <v>0-HORMH25T</v>
      </c>
      <c r="AD61" s="346" t="str">
        <f t="shared" si="20"/>
        <v>0-HORMH25S</v>
      </c>
      <c r="AE61" s="346" t="str">
        <f t="shared" si="21"/>
        <v>0-HORMH25X</v>
      </c>
      <c r="AF61" s="346" t="str">
        <f t="shared" si="22"/>
        <v>0-HORMH25S</v>
      </c>
      <c r="AG61" s="346">
        <f t="shared" si="8"/>
        <v>13</v>
      </c>
      <c r="AH61" s="346">
        <f>IF(B61&lt;&gt;"",+IF(H61="x",+VLOOKUP(I61,'AUX-NIV2'!B:AG,32,FALSE),0),"")</f>
        <v>0</v>
      </c>
      <c r="AI61" s="346" t="str">
        <f t="shared" si="23"/>
        <v>0-HORMH25</v>
      </c>
      <c r="AK61" s="347">
        <f t="shared" si="9"/>
        <v>61</v>
      </c>
      <c r="AL61" s="348">
        <f t="shared" si="24"/>
        <v>73</v>
      </c>
      <c r="AM61" s="347">
        <f t="shared" si="25"/>
        <v>1</v>
      </c>
      <c r="AN61" s="382">
        <f>IF(AND(AH61&gt;0,B61&lt;&gt;""),VLOOKUP(I61,'AUX-NIV2'!$B:$AP,40,FALSE)*O61,0)</f>
        <v>0</v>
      </c>
      <c r="AO61" s="382">
        <f t="shared" si="10"/>
        <v>64.670637208744594</v>
      </c>
      <c r="AQ61" s="395">
        <f>(IF($H61="x",VLOOKUP($I61,'AUX-NIV2'!$B:$X,'AUX-NIV1'!AQ$3,FALSE),0)+($AV61*'AUX-NIV3'!S$4))*$O61+IF($H61=AQ$4,$P61,0)</f>
        <v>0</v>
      </c>
      <c r="AR61" s="395">
        <f>(IF($H61="x",VLOOKUP($I61,'AUX-NIV2'!$B:$X,'AUX-NIV1'!AR$3,FALSE),0)+($AV61*'AUX-NIV3'!T$4))*$O61+IF($H61=AR$4,$P61,0)</f>
        <v>0</v>
      </c>
      <c r="AS61" s="395">
        <f>(IF($H61="x",VLOOKUP($I61,'AUX-NIV2'!$B:$X,'AUX-NIV1'!AS$3,FALSE),0)+($AV61*'AUX-NIV3'!U$4))*$O61+IF($H61=AS$4,$P61,0)</f>
        <v>0</v>
      </c>
      <c r="AT61" s="395">
        <f>(IF($H61="x",VLOOKUP($I61,'AUX-NIV2'!$B:$X,'AUX-NIV1'!AT$3,FALSE),0)+($AV61*'AUX-NIV3'!V$4))*$O61+IF($H61=AT$4,$P61,0)</f>
        <v>0</v>
      </c>
      <c r="AU61" s="395">
        <f>(IF($H61="x",VLOOKUP($I61,'AUX-NIV2'!$B:$X,'AUX-NIV1'!AU$3,FALSE),0)+($AV61*'AUX-NIV3'!W$4))*$O61+IF($H61=AU$4,$P61,0)</f>
        <v>10.5</v>
      </c>
      <c r="AV61" s="395">
        <f>+IF($H61="x",VLOOKUP($I61,'AUX-NIV2'!$B:$X,'AUX-NIV1'!AV$3,FALSE),0)</f>
        <v>0</v>
      </c>
    </row>
    <row r="62" spans="2:48" ht="13.8" hidden="1" thickBot="1">
      <c r="B62" s="324" t="s">
        <v>78</v>
      </c>
      <c r="C62" s="325" t="s">
        <v>130</v>
      </c>
      <c r="D62" s="326" t="s">
        <v>1160</v>
      </c>
      <c r="E62" s="349">
        <f>IF(B62&lt;&gt;"",+SUMIF(Items!C:C,'AUX-NIV1'!B62,Items!H:H),"")</f>
        <v>0</v>
      </c>
      <c r="F62" s="349">
        <f t="shared" si="0"/>
        <v>936230.31191632373</v>
      </c>
      <c r="G62" s="349">
        <f t="shared" si="1"/>
        <v>0</v>
      </c>
      <c r="H62" s="1395" t="str">
        <f t="shared" si="11"/>
        <v>X</v>
      </c>
      <c r="I62" s="1375" t="s">
        <v>1258</v>
      </c>
      <c r="J62" s="350" t="str">
        <f>IF(B62&lt;&gt;"",+VLOOKUP(I62,Recursos!C:F,2,FALSE),"")</f>
        <v>Cortado y Doblado de Acero - ADN 420</v>
      </c>
      <c r="K62" s="351" t="str">
        <f>IF(B62&lt;&gt;"",+VLOOKUP(I62,Recursos!C:F,3,FALSE),"")</f>
        <v>tn</v>
      </c>
      <c r="L62" s="349">
        <f>IF(B62&lt;&gt;"",+VLOOKUP(I62,Recursos!C:F,4,FALSE),"")</f>
        <v>5738.4992568333619</v>
      </c>
      <c r="M62" s="331">
        <v>1</v>
      </c>
      <c r="N62" s="331">
        <v>1.05</v>
      </c>
      <c r="O62" s="362">
        <v>1.0500000000000002E-3</v>
      </c>
      <c r="P62" s="352">
        <f t="shared" si="13"/>
        <v>6.0254242196750312</v>
      </c>
      <c r="Q62" s="349">
        <f t="shared" si="14"/>
        <v>0</v>
      </c>
      <c r="R62" s="353">
        <f t="shared" si="15"/>
        <v>0</v>
      </c>
      <c r="S62" s="354">
        <f t="shared" si="2"/>
        <v>0</v>
      </c>
      <c r="T62" s="354">
        <f t="shared" si="3"/>
        <v>0</v>
      </c>
      <c r="U62" s="355">
        <f t="shared" si="4"/>
        <v>0</v>
      </c>
      <c r="V62" s="355">
        <f t="shared" si="5"/>
        <v>0</v>
      </c>
      <c r="W62" s="355">
        <f t="shared" si="6"/>
        <v>10.5</v>
      </c>
      <c r="X62" s="355">
        <f t="shared" si="7"/>
        <v>936219.81191632373</v>
      </c>
      <c r="Y62" s="396"/>
      <c r="Z62" s="346" t="str">
        <f t="shared" si="16"/>
        <v>0-HORMH25A</v>
      </c>
      <c r="AA62" s="346" t="str">
        <f t="shared" si="17"/>
        <v>0-HORMH25E</v>
      </c>
      <c r="AB62" s="346" t="str">
        <f t="shared" si="18"/>
        <v>0-HORMH25M</v>
      </c>
      <c r="AC62" s="346" t="str">
        <f t="shared" si="19"/>
        <v>0-HORMH25T</v>
      </c>
      <c r="AD62" s="346" t="str">
        <f t="shared" si="20"/>
        <v>0-HORMH25S</v>
      </c>
      <c r="AE62" s="346" t="str">
        <f t="shared" si="21"/>
        <v>0-HORMH25X</v>
      </c>
      <c r="AF62" s="346" t="str">
        <f t="shared" si="22"/>
        <v>0-HORMH25X</v>
      </c>
      <c r="AG62" s="346">
        <f t="shared" si="8"/>
        <v>13</v>
      </c>
      <c r="AH62" s="346">
        <f>IF(B62&lt;&gt;"",+IF(H62="x",+VLOOKUP(I62,'AUX-NIV2'!B:AG,32,FALSE),0),"")</f>
        <v>5</v>
      </c>
      <c r="AI62" s="346" t="str">
        <f t="shared" si="23"/>
        <v>0-HORMH25</v>
      </c>
      <c r="AK62" s="347">
        <f t="shared" si="9"/>
        <v>61</v>
      </c>
      <c r="AL62" s="348">
        <f t="shared" si="24"/>
        <v>73</v>
      </c>
      <c r="AM62" s="347">
        <f t="shared" si="25"/>
        <v>2</v>
      </c>
      <c r="AN62" s="382">
        <f>IF(AND(AH62&gt;0,B62&lt;&gt;""),VLOOKUP(I62,'AUX-NIV2'!$B:$AP,40,FALSE)*O62,0)</f>
        <v>1.2600000000000002E-2</v>
      </c>
      <c r="AO62" s="382">
        <f t="shared" si="10"/>
        <v>64.670637208744594</v>
      </c>
      <c r="AQ62" s="395">
        <f>(IF($H62="x",VLOOKUP($I62,'AUX-NIV2'!$B:$X,'AUX-NIV1'!AQ$3,FALSE),0)+($AV62*'AUX-NIV3'!S$4))*$O62+IF($H62=AQ$4,$P62,0)</f>
        <v>5.7896887196750306</v>
      </c>
      <c r="AR62" s="395">
        <f>(IF($H62="x",VLOOKUP($I62,'AUX-NIV2'!$B:$X,'AUX-NIV1'!AR$3,FALSE),0)+($AV62*'AUX-NIV3'!T$4))*$O62+IF($H62=AR$4,$P62,0)</f>
        <v>0.23573550000000001</v>
      </c>
      <c r="AS62" s="395">
        <f>(IF($H62="x",VLOOKUP($I62,'AUX-NIV2'!$B:$X,'AUX-NIV1'!AS$3,FALSE),0)+($AV62*'AUX-NIV3'!U$4))*$O62+IF($H62=AS$4,$P62,0)</f>
        <v>0</v>
      </c>
      <c r="AT62" s="395">
        <f>(IF($H62="x",VLOOKUP($I62,'AUX-NIV2'!$B:$X,'AUX-NIV1'!AT$3,FALSE),0)+($AV62*'AUX-NIV3'!V$4))*$O62+IF($H62=AT$4,$P62,0)</f>
        <v>0</v>
      </c>
      <c r="AU62" s="395">
        <f>(IF($H62="x",VLOOKUP($I62,'AUX-NIV2'!$B:$X,'AUX-NIV1'!AU$3,FALSE),0)+($AV62*'AUX-NIV3'!W$4))*$O62+IF($H62=AU$4,$P62,0)</f>
        <v>0</v>
      </c>
      <c r="AV62" s="395">
        <f>+IF($H62="x",VLOOKUP($I62,'AUX-NIV2'!$B:$X,'AUX-NIV1'!AV$3,FALSE),0)</f>
        <v>0</v>
      </c>
    </row>
    <row r="63" spans="2:48" ht="13.8" hidden="1" thickBot="1">
      <c r="B63" s="324" t="s">
        <v>78</v>
      </c>
      <c r="C63" s="325" t="s">
        <v>130</v>
      </c>
      <c r="D63" s="326" t="s">
        <v>1160</v>
      </c>
      <c r="E63" s="349">
        <f>IF(B63&lt;&gt;"",+SUMIF(Items!C:C,'AUX-NIV1'!B63,Items!H:H),"")</f>
        <v>0</v>
      </c>
      <c r="F63" s="349">
        <f t="shared" si="0"/>
        <v>936230.31191632373</v>
      </c>
      <c r="G63" s="349">
        <f t="shared" si="1"/>
        <v>0</v>
      </c>
      <c r="H63" s="1395" t="str">
        <f t="shared" si="11"/>
        <v>X</v>
      </c>
      <c r="I63" s="1375" t="s">
        <v>1261</v>
      </c>
      <c r="J63" s="350" t="str">
        <f>IF(B63&lt;&gt;"",+VLOOKUP(I63,Recursos!C:F,2,FALSE),"")</f>
        <v>Colocación de Armadura con Grúa</v>
      </c>
      <c r="K63" s="351" t="str">
        <f>IF(B63&lt;&gt;"",+VLOOKUP(I63,Recursos!C:F,3,FALSE),"")</f>
        <v>tn</v>
      </c>
      <c r="L63" s="349">
        <f>IF(B63&lt;&gt;"",+VLOOKUP(I63,Recursos!C:F,4,FALSE),"")</f>
        <v>54186.239776046117</v>
      </c>
      <c r="M63" s="331">
        <v>1.4222222222222223</v>
      </c>
      <c r="N63" s="331">
        <v>0</v>
      </c>
      <c r="O63" s="362">
        <v>0</v>
      </c>
      <c r="P63" s="352">
        <f t="shared" si="13"/>
        <v>0</v>
      </c>
      <c r="Q63" s="349">
        <f t="shared" si="14"/>
        <v>0</v>
      </c>
      <c r="R63" s="353">
        <f t="shared" si="15"/>
        <v>0</v>
      </c>
      <c r="S63" s="354">
        <f t="shared" si="2"/>
        <v>0</v>
      </c>
      <c r="T63" s="354">
        <f t="shared" si="3"/>
        <v>0</v>
      </c>
      <c r="U63" s="355">
        <f t="shared" si="4"/>
        <v>0</v>
      </c>
      <c r="V63" s="355">
        <f t="shared" si="5"/>
        <v>0</v>
      </c>
      <c r="W63" s="355">
        <f t="shared" si="6"/>
        <v>10.5</v>
      </c>
      <c r="X63" s="355">
        <f t="shared" si="7"/>
        <v>936219.81191632373</v>
      </c>
      <c r="Y63" s="396"/>
      <c r="Z63" s="346" t="str">
        <f t="shared" si="16"/>
        <v>0-HORMH25A</v>
      </c>
      <c r="AA63" s="346" t="str">
        <f t="shared" si="17"/>
        <v>0-HORMH25E</v>
      </c>
      <c r="AB63" s="346" t="str">
        <f t="shared" si="18"/>
        <v>0-HORMH25M</v>
      </c>
      <c r="AC63" s="346" t="str">
        <f t="shared" si="19"/>
        <v>0-HORMH25T</v>
      </c>
      <c r="AD63" s="346" t="str">
        <f t="shared" si="20"/>
        <v>0-HORMH25S</v>
      </c>
      <c r="AE63" s="346" t="str">
        <f t="shared" si="21"/>
        <v>0-HORMH25X</v>
      </c>
      <c r="AF63" s="346" t="str">
        <f t="shared" si="22"/>
        <v>0-HORMH25X</v>
      </c>
      <c r="AG63" s="346">
        <f t="shared" si="8"/>
        <v>13</v>
      </c>
      <c r="AH63" s="346">
        <f>IF(B63&lt;&gt;"",+IF(H63="x",+VLOOKUP(I63,'AUX-NIV2'!B:AG,32,FALSE),0),"")</f>
        <v>8</v>
      </c>
      <c r="AI63" s="346" t="str">
        <f t="shared" si="23"/>
        <v>0-HORMH25</v>
      </c>
      <c r="AK63" s="347">
        <f t="shared" si="9"/>
        <v>61</v>
      </c>
      <c r="AL63" s="348">
        <f t="shared" si="24"/>
        <v>73</v>
      </c>
      <c r="AM63" s="347">
        <f t="shared" si="25"/>
        <v>3</v>
      </c>
      <c r="AN63" s="382">
        <f>IF(AND(AH63&gt;0,B63&lt;&gt;""),VLOOKUP(I63,'AUX-NIV2'!$B:$AP,40,FALSE)*O63,0)</f>
        <v>0</v>
      </c>
      <c r="AO63" s="382">
        <f t="shared" si="10"/>
        <v>64.670637208744594</v>
      </c>
      <c r="AQ63" s="395">
        <f>(IF($H63="x",VLOOKUP($I63,'AUX-NIV2'!$B:$X,'AUX-NIV1'!AQ$3,FALSE),0)+($AV63*'AUX-NIV3'!S$4))*$O63+IF($H63=AQ$4,$P63,0)</f>
        <v>0</v>
      </c>
      <c r="AR63" s="395">
        <f>(IF($H63="x",VLOOKUP($I63,'AUX-NIV2'!$B:$X,'AUX-NIV1'!AR$3,FALSE),0)+($AV63*'AUX-NIV3'!T$4))*$O63+IF($H63=AR$4,$P63,0)</f>
        <v>0</v>
      </c>
      <c r="AS63" s="395">
        <f>(IF($H63="x",VLOOKUP($I63,'AUX-NIV2'!$B:$X,'AUX-NIV1'!AS$3,FALSE),0)+($AV63*'AUX-NIV3'!U$4))*$O63+IF($H63=AS$4,$P63,0)</f>
        <v>0</v>
      </c>
      <c r="AT63" s="395">
        <f>(IF($H63="x",VLOOKUP($I63,'AUX-NIV2'!$B:$X,'AUX-NIV1'!AT$3,FALSE),0)+($AV63*'AUX-NIV3'!V$4))*$O63+IF($H63=AT$4,$P63,0)</f>
        <v>0</v>
      </c>
      <c r="AU63" s="395">
        <f>(IF($H63="x",VLOOKUP($I63,'AUX-NIV2'!$B:$X,'AUX-NIV1'!AU$3,FALSE),0)+($AV63*'AUX-NIV3'!W$4))*$O63+IF($H63=AU$4,$P63,0)</f>
        <v>0</v>
      </c>
      <c r="AV63" s="395">
        <f>+IF($H63="x",VLOOKUP($I63,'AUX-NIV2'!$B:$X,'AUX-NIV1'!AV$3,FALSE),0)</f>
        <v>0</v>
      </c>
    </row>
    <row r="64" spans="2:48" ht="13.8" hidden="1" thickBot="1">
      <c r="B64" s="324" t="s">
        <v>78</v>
      </c>
      <c r="C64" s="325" t="s">
        <v>130</v>
      </c>
      <c r="D64" s="326" t="s">
        <v>1160</v>
      </c>
      <c r="E64" s="349">
        <f>IF(B64&lt;&gt;"",+SUMIF(Items!C:C,'AUX-NIV1'!B64,Items!H:H),"")</f>
        <v>0</v>
      </c>
      <c r="F64" s="349">
        <f t="shared" si="0"/>
        <v>936230.31191632373</v>
      </c>
      <c r="G64" s="349">
        <f t="shared" si="1"/>
        <v>0</v>
      </c>
      <c r="H64" s="1395" t="str">
        <f t="shared" si="11"/>
        <v>X</v>
      </c>
      <c r="I64" s="1375" t="s">
        <v>1260</v>
      </c>
      <c r="J64" s="350" t="str">
        <f>IF(B64&lt;&gt;"",+VLOOKUP(I64,Recursos!C:F,2,FALSE),"")</f>
        <v>Colocación Manual de Armaduras</v>
      </c>
      <c r="K64" s="351" t="str">
        <f>IF(B64&lt;&gt;"",+VLOOKUP(I64,Recursos!C:F,3,FALSE),"")</f>
        <v>tn</v>
      </c>
      <c r="L64" s="349">
        <f>IF(B64&lt;&gt;"",+VLOOKUP(I64,Recursos!C:F,4,FALSE),"")</f>
        <v>57070.536358063975</v>
      </c>
      <c r="M64" s="331">
        <v>10</v>
      </c>
      <c r="N64" s="331">
        <v>1.05</v>
      </c>
      <c r="O64" s="362">
        <v>1.0500000000000001E-2</v>
      </c>
      <c r="P64" s="352">
        <f t="shared" si="13"/>
        <v>599.24063175967183</v>
      </c>
      <c r="Q64" s="349">
        <f t="shared" si="14"/>
        <v>0</v>
      </c>
      <c r="R64" s="353">
        <f t="shared" si="15"/>
        <v>0</v>
      </c>
      <c r="S64" s="354">
        <f t="shared" si="2"/>
        <v>0</v>
      </c>
      <c r="T64" s="354">
        <f t="shared" si="3"/>
        <v>0</v>
      </c>
      <c r="U64" s="355">
        <f t="shared" si="4"/>
        <v>0</v>
      </c>
      <c r="V64" s="355">
        <f t="shared" si="5"/>
        <v>0</v>
      </c>
      <c r="W64" s="355">
        <f t="shared" si="6"/>
        <v>10.5</v>
      </c>
      <c r="X64" s="355">
        <f t="shared" si="7"/>
        <v>936219.81191632373</v>
      </c>
      <c r="Y64" s="396"/>
      <c r="Z64" s="346" t="str">
        <f t="shared" si="16"/>
        <v>0-HORMH25A</v>
      </c>
      <c r="AA64" s="346" t="str">
        <f t="shared" si="17"/>
        <v>0-HORMH25E</v>
      </c>
      <c r="AB64" s="346" t="str">
        <f t="shared" si="18"/>
        <v>0-HORMH25M</v>
      </c>
      <c r="AC64" s="346" t="str">
        <f t="shared" si="19"/>
        <v>0-HORMH25T</v>
      </c>
      <c r="AD64" s="346" t="str">
        <f t="shared" si="20"/>
        <v>0-HORMH25S</v>
      </c>
      <c r="AE64" s="346" t="str">
        <f t="shared" si="21"/>
        <v>0-HORMH25X</v>
      </c>
      <c r="AF64" s="346" t="str">
        <f t="shared" si="22"/>
        <v>0-HORMH25X</v>
      </c>
      <c r="AG64" s="346">
        <f t="shared" si="8"/>
        <v>13</v>
      </c>
      <c r="AH64" s="346">
        <f>IF(B64&lt;&gt;"",+IF(H64="x",+VLOOKUP(I64,'AUX-NIV2'!B:AG,32,FALSE),0),"")</f>
        <v>7</v>
      </c>
      <c r="AI64" s="346" t="str">
        <f t="shared" si="23"/>
        <v>0-HORMH25</v>
      </c>
      <c r="AK64" s="347">
        <f t="shared" si="9"/>
        <v>61</v>
      </c>
      <c r="AL64" s="348">
        <f t="shared" si="24"/>
        <v>73</v>
      </c>
      <c r="AM64" s="347">
        <f t="shared" si="25"/>
        <v>4</v>
      </c>
      <c r="AN64" s="382">
        <f>IF(AND(AH64&gt;0,B64&lt;&gt;""),VLOOKUP(I64,'AUX-NIV2'!$B:$AP,40,FALSE)*O64,0)</f>
        <v>0.9870000000000001</v>
      </c>
      <c r="AO64" s="382">
        <f t="shared" si="10"/>
        <v>64.670637208744594</v>
      </c>
      <c r="AQ64" s="395">
        <f>(IF($H64="x",VLOOKUP($I64,'AUX-NIV2'!$B:$X,'AUX-NIV1'!AQ$3,FALSE),0)+($AV64*'AUX-NIV3'!S$4))*$O64+IF($H64=AQ$4,$P64,0)</f>
        <v>480.27230449353021</v>
      </c>
      <c r="AR64" s="395">
        <f>(IF($H64="x",VLOOKUP($I64,'AUX-NIV2'!$B:$X,'AUX-NIV1'!AR$3,FALSE),0)+($AV64*'AUX-NIV3'!T$4))*$O64+IF($H64=AR$4,$P64,0)</f>
        <v>3.1212198281250005</v>
      </c>
      <c r="AS64" s="395">
        <f>(IF($H64="x",VLOOKUP($I64,'AUX-NIV2'!$B:$X,'AUX-NIV1'!AS$3,FALSE),0)+($AV64*'AUX-NIV3'!U$4))*$O64+IF($H64=AS$4,$P64,0)</f>
        <v>115.84710743801654</v>
      </c>
      <c r="AT64" s="395">
        <f>(IF($H64="x",VLOOKUP($I64,'AUX-NIV2'!$B:$X,'AUX-NIV1'!AT$3,FALSE),0)+($AV64*'AUX-NIV3'!V$4))*$O64+IF($H64=AT$4,$P64,0)</f>
        <v>0</v>
      </c>
      <c r="AU64" s="395">
        <f>(IF($H64="x",VLOOKUP($I64,'AUX-NIV2'!$B:$X,'AUX-NIV1'!AU$3,FALSE),0)+($AV64*'AUX-NIV3'!W$4))*$O64+IF($H64=AU$4,$P64,0)</f>
        <v>0</v>
      </c>
      <c r="AV64" s="395">
        <f>+IF($H64="x",VLOOKUP($I64,'AUX-NIV2'!$B:$X,'AUX-NIV1'!AV$3,FALSE),0)</f>
        <v>0</v>
      </c>
    </row>
    <row r="65" spans="2:48" ht="13.8" hidden="1" thickBot="1">
      <c r="B65" s="324" t="s">
        <v>78</v>
      </c>
      <c r="C65" s="325" t="s">
        <v>130</v>
      </c>
      <c r="D65" s="326" t="s">
        <v>1160</v>
      </c>
      <c r="E65" s="349">
        <f>IF(B65&lt;&gt;"",+SUMIF(Items!C:C,'AUX-NIV1'!B65,Items!H:H),"")</f>
        <v>0</v>
      </c>
      <c r="F65" s="349">
        <f t="shared" si="0"/>
        <v>936230.31191632373</v>
      </c>
      <c r="G65" s="349">
        <f t="shared" si="1"/>
        <v>0</v>
      </c>
      <c r="H65" s="1395" t="str">
        <f t="shared" si="11"/>
        <v>X</v>
      </c>
      <c r="I65" s="1375" t="s">
        <v>180</v>
      </c>
      <c r="J65" s="350" t="str">
        <f>IF(B65&lt;&gt;"",+VLOOKUP(I65,Recursos!C:F,2,FALSE),"")</f>
        <v>Acero puesto en Obra</v>
      </c>
      <c r="K65" s="351" t="str">
        <f>IF(B65&lt;&gt;"",+VLOOKUP(I65,Recursos!C:F,3,FALSE),"")</f>
        <v>tn</v>
      </c>
      <c r="L65" s="349">
        <f>IF(B65&lt;&gt;"",+VLOOKUP(I65,Recursos!C:F,4,FALSE),"")</f>
        <v>196905.98153277466</v>
      </c>
      <c r="M65" s="331">
        <v>10</v>
      </c>
      <c r="N65" s="331">
        <v>1.05</v>
      </c>
      <c r="O65" s="362">
        <v>1.0500000000000001E-2</v>
      </c>
      <c r="P65" s="352">
        <f t="shared" si="13"/>
        <v>2067.5128060941342</v>
      </c>
      <c r="Q65" s="349">
        <f t="shared" si="14"/>
        <v>0</v>
      </c>
      <c r="R65" s="353">
        <f t="shared" si="15"/>
        <v>0</v>
      </c>
      <c r="S65" s="354">
        <f t="shared" si="2"/>
        <v>0</v>
      </c>
      <c r="T65" s="354">
        <f t="shared" si="3"/>
        <v>0</v>
      </c>
      <c r="U65" s="355">
        <f t="shared" si="4"/>
        <v>0</v>
      </c>
      <c r="V65" s="355">
        <f t="shared" si="5"/>
        <v>0</v>
      </c>
      <c r="W65" s="355">
        <f t="shared" si="6"/>
        <v>10.5</v>
      </c>
      <c r="X65" s="355">
        <f t="shared" si="7"/>
        <v>936219.81191632373</v>
      </c>
      <c r="Y65" s="396"/>
      <c r="Z65" s="346" t="str">
        <f t="shared" si="16"/>
        <v>0-HORMH25A</v>
      </c>
      <c r="AA65" s="346" t="str">
        <f t="shared" si="17"/>
        <v>0-HORMH25E</v>
      </c>
      <c r="AB65" s="346" t="str">
        <f t="shared" si="18"/>
        <v>0-HORMH25M</v>
      </c>
      <c r="AC65" s="346" t="str">
        <f t="shared" si="19"/>
        <v>0-HORMH25T</v>
      </c>
      <c r="AD65" s="346" t="str">
        <f t="shared" si="20"/>
        <v>0-HORMH25S</v>
      </c>
      <c r="AE65" s="346" t="str">
        <f t="shared" si="21"/>
        <v>0-HORMH25X</v>
      </c>
      <c r="AF65" s="346" t="str">
        <f t="shared" si="22"/>
        <v>0-HORMH25X</v>
      </c>
      <c r="AG65" s="346">
        <f t="shared" si="8"/>
        <v>13</v>
      </c>
      <c r="AH65" s="346">
        <f>IF(B65&lt;&gt;"",+IF(H65="x",+VLOOKUP(I65,'AUX-NIV2'!B:AG,32,FALSE),0),"")</f>
        <v>6</v>
      </c>
      <c r="AI65" s="346" t="str">
        <f t="shared" si="23"/>
        <v>0-HORMH25</v>
      </c>
      <c r="AK65" s="347">
        <f t="shared" si="9"/>
        <v>61</v>
      </c>
      <c r="AL65" s="348">
        <f t="shared" si="24"/>
        <v>73</v>
      </c>
      <c r="AM65" s="347">
        <f t="shared" si="25"/>
        <v>5</v>
      </c>
      <c r="AN65" s="382">
        <f>IF(AND(AH65&gt;0,B65&lt;&gt;""),VLOOKUP(I65,'AUX-NIV2'!$B:$AP,40,FALSE)*O65,0)</f>
        <v>0.1683675</v>
      </c>
      <c r="AO65" s="382">
        <f t="shared" si="10"/>
        <v>64.670637208744594</v>
      </c>
      <c r="AQ65" s="395">
        <f>(IF($H65="x",VLOOKUP($I65,'AUX-NIV2'!$B:$X,'AUX-NIV1'!AQ$3,FALSE),0)+($AV65*'AUX-NIV3'!S$4))*$O65+IF($H65=AQ$4,$P65,0)</f>
        <v>71.1593284662803</v>
      </c>
      <c r="AR65" s="395">
        <f>(IF($H65="x",VLOOKUP($I65,'AUX-NIV2'!$B:$X,'AUX-NIV1'!AR$3,FALSE),0)+($AV65*'AUX-NIV3'!T$4))*$O65+IF($H65=AR$4,$P65,0)</f>
        <v>0.48570903281250005</v>
      </c>
      <c r="AS65" s="395">
        <f>(IF($H65="x",VLOOKUP($I65,'AUX-NIV2'!$B:$X,'AUX-NIV1'!AS$3,FALSE),0)+($AV65*'AUX-NIV3'!U$4))*$O65+IF($H65=AS$4,$P65,0)</f>
        <v>1995.8677685950413</v>
      </c>
      <c r="AT65" s="395">
        <f>(IF($H65="x",VLOOKUP($I65,'AUX-NIV2'!$B:$X,'AUX-NIV1'!AT$3,FALSE),0)+($AV65*'AUX-NIV3'!V$4))*$O65+IF($H65=AT$4,$P65,0)</f>
        <v>0</v>
      </c>
      <c r="AU65" s="395">
        <f>(IF($H65="x",VLOOKUP($I65,'AUX-NIV2'!$B:$X,'AUX-NIV1'!AU$3,FALSE),0)+($AV65*'AUX-NIV3'!W$4))*$O65+IF($H65=AU$4,$P65,0)</f>
        <v>0</v>
      </c>
      <c r="AV65" s="395">
        <f>+IF($H65="x",VLOOKUP($I65,'AUX-NIV2'!$B:$X,'AUX-NIV1'!AV$3,FALSE),0)</f>
        <v>0</v>
      </c>
    </row>
    <row r="66" spans="2:48" ht="13.8" hidden="1" thickBot="1">
      <c r="B66" s="324" t="s">
        <v>78</v>
      </c>
      <c r="C66" s="325" t="s">
        <v>130</v>
      </c>
      <c r="D66" s="326" t="s">
        <v>1160</v>
      </c>
      <c r="E66" s="349">
        <f>IF(B66&lt;&gt;"",+SUMIF(Items!C:C,'AUX-NIV1'!B66,Items!H:H),"")</f>
        <v>0</v>
      </c>
      <c r="F66" s="349">
        <f t="shared" si="0"/>
        <v>936230.31191632373</v>
      </c>
      <c r="G66" s="349">
        <f t="shared" si="1"/>
        <v>0</v>
      </c>
      <c r="H66" s="1395" t="str">
        <f t="shared" si="11"/>
        <v>X</v>
      </c>
      <c r="I66" s="1375" t="s">
        <v>1259</v>
      </c>
      <c r="J66" s="350" t="str">
        <f>IF(B66&lt;&gt;"",+VLOOKUP(I66,Recursos!C:F,2,FALSE),"")</f>
        <v>Transporte de Armaduras (Incluye carga y descarga)</v>
      </c>
      <c r="K66" s="351" t="str">
        <f>IF(B66&lt;&gt;"",+VLOOKUP(I66,Recursos!C:F,3,FALSE),"")</f>
        <v>tn</v>
      </c>
      <c r="L66" s="349">
        <f>IF(B66&lt;&gt;"",+VLOOKUP(I66,Recursos!C:F,4,FALSE),"")</f>
        <v>1468.5768159616337</v>
      </c>
      <c r="M66" s="331">
        <v>10</v>
      </c>
      <c r="N66" s="331">
        <v>1.05</v>
      </c>
      <c r="O66" s="362">
        <v>1.0500000000000001E-2</v>
      </c>
      <c r="P66" s="352">
        <f t="shared" si="13"/>
        <v>15.420056567597154</v>
      </c>
      <c r="Q66" s="349">
        <f t="shared" si="14"/>
        <v>0</v>
      </c>
      <c r="R66" s="353">
        <f t="shared" si="15"/>
        <v>0</v>
      </c>
      <c r="S66" s="354">
        <f t="shared" si="2"/>
        <v>0</v>
      </c>
      <c r="T66" s="354">
        <f t="shared" si="3"/>
        <v>0</v>
      </c>
      <c r="U66" s="355">
        <f t="shared" si="4"/>
        <v>0</v>
      </c>
      <c r="V66" s="355">
        <f t="shared" si="5"/>
        <v>0</v>
      </c>
      <c r="W66" s="355">
        <f t="shared" si="6"/>
        <v>10.5</v>
      </c>
      <c r="X66" s="355">
        <f t="shared" si="7"/>
        <v>936219.81191632373</v>
      </c>
      <c r="Y66" s="396"/>
      <c r="Z66" s="346" t="str">
        <f t="shared" si="16"/>
        <v>0-HORMH25A</v>
      </c>
      <c r="AA66" s="346" t="str">
        <f t="shared" si="17"/>
        <v>0-HORMH25E</v>
      </c>
      <c r="AB66" s="346" t="str">
        <f t="shared" si="18"/>
        <v>0-HORMH25M</v>
      </c>
      <c r="AC66" s="346" t="str">
        <f t="shared" si="19"/>
        <v>0-HORMH25T</v>
      </c>
      <c r="AD66" s="346" t="str">
        <f t="shared" si="20"/>
        <v>0-HORMH25S</v>
      </c>
      <c r="AE66" s="346" t="str">
        <f t="shared" si="21"/>
        <v>0-HORMH25X</v>
      </c>
      <c r="AF66" s="346" t="str">
        <f t="shared" si="22"/>
        <v>0-HORMH25X</v>
      </c>
      <c r="AG66" s="346">
        <f t="shared" si="8"/>
        <v>13</v>
      </c>
      <c r="AH66" s="346">
        <f>IF(B66&lt;&gt;"",+IF(H66="x",+VLOOKUP(I66,'AUX-NIV2'!B:AG,32,FALSE),0),"")</f>
        <v>5</v>
      </c>
      <c r="AI66" s="346" t="str">
        <f t="shared" si="23"/>
        <v>0-HORMH25</v>
      </c>
      <c r="AK66" s="347">
        <f t="shared" si="9"/>
        <v>61</v>
      </c>
      <c r="AL66" s="348">
        <f t="shared" si="24"/>
        <v>73</v>
      </c>
      <c r="AM66" s="347">
        <f t="shared" si="25"/>
        <v>6</v>
      </c>
      <c r="AN66" s="382">
        <f>IF(AND(AH66&gt;0,B66&lt;&gt;""),VLOOKUP(I66,'AUX-NIV2'!$B:$AP,40,FALSE)*O66,0)</f>
        <v>6.3E-3</v>
      </c>
      <c r="AO66" s="382">
        <f t="shared" si="10"/>
        <v>64.670637208744594</v>
      </c>
      <c r="AQ66" s="395">
        <f>(IF($H66="x",VLOOKUP($I66,'AUX-NIV2'!$B:$X,'AUX-NIV1'!AQ$3,FALSE),0)+($AV66*'AUX-NIV3'!S$4))*$O66+IF($H66=AQ$4,$P66,0)</f>
        <v>2.9351772550971513</v>
      </c>
      <c r="AR66" s="395">
        <f>(IF($H66="x",VLOOKUP($I66,'AUX-NIV2'!$B:$X,'AUX-NIV1'!AR$3,FALSE),0)+($AV66*'AUX-NIV3'!T$4))*$O66+IF($H66=AR$4,$P66,0)</f>
        <v>12.484879312500002</v>
      </c>
      <c r="AS66" s="395">
        <f>(IF($H66="x",VLOOKUP($I66,'AUX-NIV2'!$B:$X,'AUX-NIV1'!AS$3,FALSE),0)+($AV66*'AUX-NIV3'!U$4))*$O66+IF($H66=AS$4,$P66,0)</f>
        <v>0</v>
      </c>
      <c r="AT66" s="395">
        <f>(IF($H66="x",VLOOKUP($I66,'AUX-NIV2'!$B:$X,'AUX-NIV1'!AT$3,FALSE),0)+($AV66*'AUX-NIV3'!V$4))*$O66+IF($H66=AT$4,$P66,0)</f>
        <v>0</v>
      </c>
      <c r="AU66" s="395">
        <f>(IF($H66="x",VLOOKUP($I66,'AUX-NIV2'!$B:$X,'AUX-NIV1'!AU$3,FALSE),0)+($AV66*'AUX-NIV3'!W$4))*$O66+IF($H66=AU$4,$P66,0)</f>
        <v>0</v>
      </c>
      <c r="AV66" s="395">
        <f>+IF($H66="x",VLOOKUP($I66,'AUX-NIV2'!$B:$X,'AUX-NIV1'!AV$3,FALSE),0)</f>
        <v>0</v>
      </c>
    </row>
    <row r="67" spans="2:48" ht="13.8" hidden="1" thickBot="1">
      <c r="B67" s="324" t="s">
        <v>78</v>
      </c>
      <c r="C67" s="325" t="s">
        <v>130</v>
      </c>
      <c r="D67" s="326" t="s">
        <v>1160</v>
      </c>
      <c r="E67" s="349">
        <f>IF(B67&lt;&gt;"",+SUMIF(Items!C:C,'AUX-NIV1'!B67,Items!H:H),"")</f>
        <v>0</v>
      </c>
      <c r="F67" s="349">
        <f t="shared" si="0"/>
        <v>936230.31191632373</v>
      </c>
      <c r="G67" s="349">
        <f t="shared" si="1"/>
        <v>0</v>
      </c>
      <c r="H67" s="1395" t="str">
        <f t="shared" si="11"/>
        <v>X</v>
      </c>
      <c r="I67" s="1375" t="s">
        <v>1253</v>
      </c>
      <c r="J67" s="350" t="str">
        <f>IF(B67&lt;&gt;"",+VLOOKUP(I67,Recursos!C:F,2,FALSE),"")</f>
        <v>Obt-Transp. de Agua p/Hormigones</v>
      </c>
      <c r="K67" s="351" t="str">
        <f>IF(B67&lt;&gt;"",+VLOOKUP(I67,Recursos!C:F,3,FALSE),"")</f>
        <v>m3</v>
      </c>
      <c r="L67" s="349">
        <f>IF(B67&lt;&gt;"",+VLOOKUP(I67,Recursos!C:F,4,FALSE),"")</f>
        <v>352.16492140392978</v>
      </c>
      <c r="M67" s="331">
        <v>10</v>
      </c>
      <c r="N67" s="331">
        <v>1.05</v>
      </c>
      <c r="O67" s="362">
        <v>1.0500000000000001E-2</v>
      </c>
      <c r="P67" s="352">
        <f t="shared" si="13"/>
        <v>3.697731674741263</v>
      </c>
      <c r="Q67" s="349">
        <f t="shared" si="14"/>
        <v>0</v>
      </c>
      <c r="R67" s="353">
        <f t="shared" si="15"/>
        <v>0</v>
      </c>
      <c r="S67" s="354">
        <f t="shared" si="2"/>
        <v>0</v>
      </c>
      <c r="T67" s="354">
        <f t="shared" si="3"/>
        <v>0</v>
      </c>
      <c r="U67" s="355">
        <f t="shared" si="4"/>
        <v>0</v>
      </c>
      <c r="V67" s="355">
        <f t="shared" si="5"/>
        <v>0</v>
      </c>
      <c r="W67" s="355">
        <f t="shared" si="6"/>
        <v>10.5</v>
      </c>
      <c r="X67" s="355">
        <f t="shared" si="7"/>
        <v>936219.81191632373</v>
      </c>
      <c r="Y67" s="396"/>
      <c r="Z67" s="346" t="str">
        <f t="shared" si="16"/>
        <v>0-HORMH25A</v>
      </c>
      <c r="AA67" s="346" t="str">
        <f t="shared" si="17"/>
        <v>0-HORMH25E</v>
      </c>
      <c r="AB67" s="346" t="str">
        <f t="shared" si="18"/>
        <v>0-HORMH25M</v>
      </c>
      <c r="AC67" s="346" t="str">
        <f t="shared" si="19"/>
        <v>0-HORMH25T</v>
      </c>
      <c r="AD67" s="346" t="str">
        <f t="shared" si="20"/>
        <v>0-HORMH25S</v>
      </c>
      <c r="AE67" s="346" t="str">
        <f t="shared" si="21"/>
        <v>0-HORMH25X</v>
      </c>
      <c r="AF67" s="346" t="str">
        <f t="shared" si="22"/>
        <v>0-HORMH25X</v>
      </c>
      <c r="AG67" s="346">
        <f t="shared" si="8"/>
        <v>13</v>
      </c>
      <c r="AH67" s="346">
        <f>IF(B67&lt;&gt;"",+IF(H67="x",+VLOOKUP(I67,'AUX-NIV2'!B:AG,32,FALSE),0),"")</f>
        <v>7</v>
      </c>
      <c r="AI67" s="346" t="str">
        <f t="shared" si="23"/>
        <v>0-HORMH25</v>
      </c>
      <c r="AK67" s="347">
        <f t="shared" si="9"/>
        <v>61</v>
      </c>
      <c r="AL67" s="348">
        <f t="shared" si="24"/>
        <v>73</v>
      </c>
      <c r="AM67" s="347">
        <f t="shared" si="25"/>
        <v>7</v>
      </c>
      <c r="AN67" s="382">
        <f>IF(AND(AH67&gt;0,B67&lt;&gt;""),VLOOKUP(I67,'AUX-NIV2'!$B:$AP,40,FALSE)*O67,0)</f>
        <v>2.8636363636363638E-3</v>
      </c>
      <c r="AO67" s="382">
        <f t="shared" si="10"/>
        <v>64.670637208744594</v>
      </c>
      <c r="AQ67" s="395">
        <f>(IF($H67="x",VLOOKUP($I67,'AUX-NIV2'!$B:$X,'AUX-NIV1'!AQ$3,FALSE),0)+($AV67*'AUX-NIV3'!S$4))*$O67+IF($H67=AQ$4,$P67,0)</f>
        <v>1.3519345030057257</v>
      </c>
      <c r="AR67" s="395">
        <f>(IF($H67="x",VLOOKUP($I67,'AUX-NIV2'!$B:$X,'AUX-NIV1'!AR$3,FALSE),0)+($AV67*'AUX-NIV3'!T$4))*$O67+IF($H67=AR$4,$P67,0)</f>
        <v>2.3457971717355375</v>
      </c>
      <c r="AS67" s="395">
        <f>(IF($H67="x",VLOOKUP($I67,'AUX-NIV2'!$B:$X,'AUX-NIV1'!AS$3,FALSE),0)+($AV67*'AUX-NIV3'!U$4))*$O67+IF($H67=AS$4,$P67,0)</f>
        <v>0</v>
      </c>
      <c r="AT67" s="395">
        <f>(IF($H67="x",VLOOKUP($I67,'AUX-NIV2'!$B:$X,'AUX-NIV1'!AT$3,FALSE),0)+($AV67*'AUX-NIV3'!V$4))*$O67+IF($H67=AT$4,$P67,0)</f>
        <v>0</v>
      </c>
      <c r="AU67" s="395">
        <f>(IF($H67="x",VLOOKUP($I67,'AUX-NIV2'!$B:$X,'AUX-NIV1'!AU$3,FALSE),0)+($AV67*'AUX-NIV3'!W$4))*$O67+IF($H67=AU$4,$P67,0)</f>
        <v>0</v>
      </c>
      <c r="AV67" s="395">
        <f>+IF($H67="x",VLOOKUP($I67,'AUX-NIV2'!$B:$X,'AUX-NIV1'!AV$3,FALSE),0)</f>
        <v>0</v>
      </c>
    </row>
    <row r="68" spans="2:48" ht="13.8" hidden="1" thickBot="1">
      <c r="B68" s="324" t="s">
        <v>78</v>
      </c>
      <c r="C68" s="325" t="s">
        <v>130</v>
      </c>
      <c r="D68" s="326" t="s">
        <v>1160</v>
      </c>
      <c r="E68" s="349">
        <f>IF(B68&lt;&gt;"",+SUMIF(Items!C:C,'AUX-NIV1'!B68,Items!H:H),"")</f>
        <v>0</v>
      </c>
      <c r="F68" s="349">
        <f t="shared" si="0"/>
        <v>936230.31191632373</v>
      </c>
      <c r="G68" s="349">
        <f t="shared" si="1"/>
        <v>0</v>
      </c>
      <c r="H68" s="1395" t="str">
        <f t="shared" si="11"/>
        <v>X</v>
      </c>
      <c r="I68" s="1375" t="s">
        <v>1264</v>
      </c>
      <c r="J68" s="350" t="str">
        <f>IF(B68&lt;&gt;"",+VLOOKUP(I68,Recursos!C:F,2,FALSE),"")</f>
        <v>Curado de estructuras de hgón.</v>
      </c>
      <c r="K68" s="351" t="str">
        <f>IF(B68&lt;&gt;"",+VLOOKUP(I68,Recursos!C:F,3,FALSE),"")</f>
        <v>m2</v>
      </c>
      <c r="L68" s="349">
        <f>IF(B68&lt;&gt;"",+VLOOKUP(I68,Recursos!C:F,4,FALSE),"")</f>
        <v>134.41940461611205</v>
      </c>
      <c r="M68" s="331">
        <v>10</v>
      </c>
      <c r="N68" s="331">
        <v>1.05</v>
      </c>
      <c r="O68" s="362">
        <v>10.5</v>
      </c>
      <c r="P68" s="352">
        <f t="shared" si="13"/>
        <v>1411.4037484691764</v>
      </c>
      <c r="Q68" s="349">
        <f t="shared" si="14"/>
        <v>0</v>
      </c>
      <c r="R68" s="353">
        <f t="shared" si="15"/>
        <v>0</v>
      </c>
      <c r="S68" s="354">
        <f t="shared" si="2"/>
        <v>0</v>
      </c>
      <c r="T68" s="354">
        <f t="shared" si="3"/>
        <v>0</v>
      </c>
      <c r="U68" s="355">
        <f t="shared" si="4"/>
        <v>0</v>
      </c>
      <c r="V68" s="355">
        <f t="shared" si="5"/>
        <v>0</v>
      </c>
      <c r="W68" s="355">
        <f t="shared" si="6"/>
        <v>10.5</v>
      </c>
      <c r="X68" s="355">
        <f t="shared" si="7"/>
        <v>936219.81191632373</v>
      </c>
      <c r="Y68" s="396"/>
      <c r="Z68" s="346" t="str">
        <f t="shared" si="16"/>
        <v>0-HORMH25A</v>
      </c>
      <c r="AA68" s="346" t="str">
        <f t="shared" si="17"/>
        <v>0-HORMH25E</v>
      </c>
      <c r="AB68" s="346" t="str">
        <f t="shared" si="18"/>
        <v>0-HORMH25M</v>
      </c>
      <c r="AC68" s="346" t="str">
        <f t="shared" si="19"/>
        <v>0-HORMH25T</v>
      </c>
      <c r="AD68" s="346" t="str">
        <f t="shared" si="20"/>
        <v>0-HORMH25S</v>
      </c>
      <c r="AE68" s="346" t="str">
        <f t="shared" si="21"/>
        <v>0-HORMH25X</v>
      </c>
      <c r="AF68" s="346" t="str">
        <f t="shared" si="22"/>
        <v>0-HORMH25X</v>
      </c>
      <c r="AG68" s="346">
        <f t="shared" si="8"/>
        <v>13</v>
      </c>
      <c r="AH68" s="346">
        <f>IF(B68&lt;&gt;"",+IF(H68="x",+VLOOKUP(I68,'AUX-NIV2'!B:AG,32,FALSE),0),"")</f>
        <v>3</v>
      </c>
      <c r="AI68" s="346" t="str">
        <f t="shared" si="23"/>
        <v>0-HORMH25</v>
      </c>
      <c r="AK68" s="347">
        <f t="shared" si="9"/>
        <v>61</v>
      </c>
      <c r="AL68" s="348">
        <f t="shared" si="24"/>
        <v>73</v>
      </c>
      <c r="AM68" s="347">
        <f t="shared" si="25"/>
        <v>8</v>
      </c>
      <c r="AN68" s="382">
        <f>IF(AND(AH68&gt;0,B68&lt;&gt;""),VLOOKUP(I68,'AUX-NIV2'!$B:$AP,40,FALSE)*O68,0)</f>
        <v>1.75</v>
      </c>
      <c r="AO68" s="382">
        <f t="shared" si="10"/>
        <v>64.670637208744594</v>
      </c>
      <c r="AQ68" s="395">
        <f>(IF($H68="x",VLOOKUP($I68,'AUX-NIV2'!$B:$X,'AUX-NIV1'!AQ$3,FALSE),0)+($AV68*'AUX-NIV3'!S$4))*$O68+IF($H68=AQ$4,$P68,0)</f>
        <v>739.34074846917645</v>
      </c>
      <c r="AR68" s="395">
        <f>(IF($H68="x",VLOOKUP($I68,'AUX-NIV2'!$B:$X,'AUX-NIV1'!AR$3,FALSE),0)+($AV68*'AUX-NIV3'!T$4))*$O68+IF($H68=AR$4,$P68,0)</f>
        <v>0</v>
      </c>
      <c r="AS68" s="395">
        <f>(IF($H68="x",VLOOKUP($I68,'AUX-NIV2'!$B:$X,'AUX-NIV1'!AS$3,FALSE),0)+($AV68*'AUX-NIV3'!U$4))*$O68+IF($H68=AS$4,$P68,0)</f>
        <v>672.06299999999999</v>
      </c>
      <c r="AT68" s="395">
        <f>(IF($H68="x",VLOOKUP($I68,'AUX-NIV2'!$B:$X,'AUX-NIV1'!AT$3,FALSE),0)+($AV68*'AUX-NIV3'!V$4))*$O68+IF($H68=AT$4,$P68,0)</f>
        <v>0</v>
      </c>
      <c r="AU68" s="395">
        <f>(IF($H68="x",VLOOKUP($I68,'AUX-NIV2'!$B:$X,'AUX-NIV1'!AU$3,FALSE),0)+($AV68*'AUX-NIV3'!W$4))*$O68+IF($H68=AU$4,$P68,0)</f>
        <v>0</v>
      </c>
      <c r="AV68" s="395">
        <f>+IF($H68="x",VLOOKUP($I68,'AUX-NIV2'!$B:$X,'AUX-NIV1'!AV$3,FALSE),0)</f>
        <v>0</v>
      </c>
    </row>
    <row r="69" spans="2:48" ht="13.8" hidden="1" thickBot="1">
      <c r="B69" s="324" t="s">
        <v>78</v>
      </c>
      <c r="C69" s="325" t="s">
        <v>130</v>
      </c>
      <c r="D69" s="326" t="s">
        <v>1160</v>
      </c>
      <c r="E69" s="349">
        <f>IF(B69&lt;&gt;"",+SUMIF(Items!C:C,'AUX-NIV1'!B69,Items!H:H),"")</f>
        <v>0</v>
      </c>
      <c r="F69" s="349">
        <f t="shared" si="0"/>
        <v>936230.31191632373</v>
      </c>
      <c r="G69" s="349">
        <f t="shared" si="1"/>
        <v>0</v>
      </c>
      <c r="H69" s="1395" t="str">
        <f t="shared" si="11"/>
        <v>X</v>
      </c>
      <c r="I69" s="1375" t="s">
        <v>1286</v>
      </c>
      <c r="J69" s="350" t="str">
        <f>IF(B69&lt;&gt;"",+VLOOKUP(I69,Recursos!C:F,2,FALSE),"")</f>
        <v>Materiales Dosificación Hormigón H25</v>
      </c>
      <c r="K69" s="351" t="str">
        <f>IF(B69&lt;&gt;"",+VLOOKUP(I69,Recursos!C:F,3,FALSE),"")</f>
        <v>m3</v>
      </c>
      <c r="L69" s="349">
        <f>IF(B69&lt;&gt;"",+VLOOKUP(I69,Recursos!C:F,4,FALSE),"")</f>
        <v>4802.3886495012812</v>
      </c>
      <c r="M69" s="331">
        <v>180</v>
      </c>
      <c r="N69" s="331">
        <v>1.05</v>
      </c>
      <c r="O69" s="362">
        <v>189</v>
      </c>
      <c r="P69" s="352">
        <f t="shared" si="13"/>
        <v>907651.4547557421</v>
      </c>
      <c r="Q69" s="349">
        <f t="shared" si="14"/>
        <v>0</v>
      </c>
      <c r="R69" s="353">
        <f t="shared" si="15"/>
        <v>0</v>
      </c>
      <c r="S69" s="354">
        <f t="shared" si="2"/>
        <v>0</v>
      </c>
      <c r="T69" s="354">
        <f t="shared" si="3"/>
        <v>0</v>
      </c>
      <c r="U69" s="355">
        <f t="shared" si="4"/>
        <v>0</v>
      </c>
      <c r="V69" s="355">
        <f t="shared" si="5"/>
        <v>0</v>
      </c>
      <c r="W69" s="355">
        <f t="shared" si="6"/>
        <v>10.5</v>
      </c>
      <c r="X69" s="355">
        <f t="shared" si="7"/>
        <v>936219.81191632373</v>
      </c>
      <c r="Y69" s="396"/>
      <c r="Z69" s="346" t="str">
        <f t="shared" si="16"/>
        <v>0-HORMH25A</v>
      </c>
      <c r="AA69" s="346" t="str">
        <f t="shared" si="17"/>
        <v>0-HORMH25E</v>
      </c>
      <c r="AB69" s="346" t="str">
        <f t="shared" si="18"/>
        <v>0-HORMH25M</v>
      </c>
      <c r="AC69" s="346" t="str">
        <f t="shared" si="19"/>
        <v>0-HORMH25T</v>
      </c>
      <c r="AD69" s="346" t="str">
        <f t="shared" si="20"/>
        <v>0-HORMH25S</v>
      </c>
      <c r="AE69" s="346" t="str">
        <f t="shared" si="21"/>
        <v>0-HORMH25X</v>
      </c>
      <c r="AF69" s="346" t="str">
        <f t="shared" si="22"/>
        <v>0-HORMH25X</v>
      </c>
      <c r="AG69" s="346">
        <f t="shared" si="8"/>
        <v>13</v>
      </c>
      <c r="AH69" s="346">
        <f>IF(B69&lt;&gt;"",+IF(H69="x",+VLOOKUP(I69,'AUX-NIV2'!B:AG,32,FALSE),0),"")</f>
        <v>13</v>
      </c>
      <c r="AI69" s="346" t="str">
        <f t="shared" si="23"/>
        <v>0-HORMH25</v>
      </c>
      <c r="AK69" s="347">
        <f t="shared" si="9"/>
        <v>61</v>
      </c>
      <c r="AL69" s="348">
        <f t="shared" si="24"/>
        <v>73</v>
      </c>
      <c r="AM69" s="347">
        <f t="shared" si="25"/>
        <v>9</v>
      </c>
      <c r="AN69" s="382">
        <f>IF(AND(AH69&gt;0,B69&lt;&gt;""),VLOOKUP(I69,'AUX-NIV2'!$B:$AP,40,FALSE)*O69,0)</f>
        <v>38.008125119999995</v>
      </c>
      <c r="AO69" s="382">
        <f t="shared" si="10"/>
        <v>64.670637208744594</v>
      </c>
      <c r="AQ69" s="395">
        <f>(IF($H69="x",VLOOKUP($I69,'AUX-NIV2'!$B:$X,'AUX-NIV1'!AQ$3,FALSE),0)+($AV69*'AUX-NIV3'!S$4))*$O69+IF($H69=AQ$4,$P69,0)</f>
        <v>19455.316960078475</v>
      </c>
      <c r="AR69" s="395">
        <f>(IF($H69="x",VLOOKUP($I69,'AUX-NIV2'!$B:$X,'AUX-NIV1'!AR$3,FALSE),0)+($AV69*'AUX-NIV3'!T$4))*$O69+IF($H69=AR$4,$P69,0)</f>
        <v>122478.85399566371</v>
      </c>
      <c r="AS69" s="395">
        <f>(IF($H69="x",VLOOKUP($I69,'AUX-NIV2'!$B:$X,'AUX-NIV1'!AS$3,FALSE),0)+($AV69*'AUX-NIV3'!U$4))*$O69+IF($H69=AS$4,$P69,0)</f>
        <v>765717.28379999998</v>
      </c>
      <c r="AT69" s="395">
        <f>(IF($H69="x",VLOOKUP($I69,'AUX-NIV2'!$B:$X,'AUX-NIV1'!AT$3,FALSE),0)+($AV69*'AUX-NIV3'!V$4))*$O69+IF($H69=AT$4,$P69,0)</f>
        <v>0</v>
      </c>
      <c r="AU69" s="395">
        <f>(IF($H69="x",VLOOKUP($I69,'AUX-NIV2'!$B:$X,'AUX-NIV1'!AU$3,FALSE),0)+($AV69*'AUX-NIV3'!W$4))*$O69+IF($H69=AU$4,$P69,0)</f>
        <v>0</v>
      </c>
      <c r="AV69" s="395">
        <f>+IF($H69="x",VLOOKUP($I69,'AUX-NIV2'!$B:$X,'AUX-NIV1'!AV$3,FALSE),0)</f>
        <v>468.35802705851029</v>
      </c>
    </row>
    <row r="70" spans="2:48" ht="13.8" hidden="1" thickBot="1">
      <c r="B70" s="324" t="s">
        <v>78</v>
      </c>
      <c r="C70" s="325" t="s">
        <v>130</v>
      </c>
      <c r="D70" s="326" t="s">
        <v>1160</v>
      </c>
      <c r="E70" s="349">
        <f>IF(B70&lt;&gt;"",+SUMIF(Items!C:C,'AUX-NIV1'!B70,Items!H:H),"")</f>
        <v>0</v>
      </c>
      <c r="F70" s="349">
        <f t="shared" si="0"/>
        <v>936230.31191632373</v>
      </c>
      <c r="G70" s="349">
        <f t="shared" si="1"/>
        <v>0</v>
      </c>
      <c r="H70" s="1395" t="str">
        <f t="shared" si="11"/>
        <v>X</v>
      </c>
      <c r="I70" s="1375" t="s">
        <v>1256</v>
      </c>
      <c r="J70" s="350" t="str">
        <f>IF(B70&lt;&gt;"",+VLOOKUP(I70,Recursos!C:F,2,FALSE),"")</f>
        <v xml:space="preserve">Encofrados para Hormigones </v>
      </c>
      <c r="K70" s="351" t="str">
        <f>IF(B70&lt;&gt;"",+VLOOKUP(I70,Recursos!C:F,3,FALSE),"")</f>
        <v>m2</v>
      </c>
      <c r="L70" s="349">
        <f>IF(B70&lt;&gt;"",+VLOOKUP(I70,Recursos!C:F,4,FALSE),"")</f>
        <v>5261.6988424670626</v>
      </c>
      <c r="M70" s="331">
        <v>4</v>
      </c>
      <c r="N70" s="331">
        <v>1.1000000000000001</v>
      </c>
      <c r="O70" s="362">
        <v>4.4000000000000004</v>
      </c>
      <c r="P70" s="352">
        <f t="shared" si="13"/>
        <v>23151.474906855077</v>
      </c>
      <c r="Q70" s="349">
        <f t="shared" si="14"/>
        <v>0</v>
      </c>
      <c r="R70" s="353">
        <f t="shared" si="15"/>
        <v>0</v>
      </c>
      <c r="S70" s="354">
        <f t="shared" si="2"/>
        <v>0</v>
      </c>
      <c r="T70" s="354">
        <f t="shared" si="3"/>
        <v>0</v>
      </c>
      <c r="U70" s="355">
        <f t="shared" si="4"/>
        <v>0</v>
      </c>
      <c r="V70" s="355">
        <f t="shared" si="5"/>
        <v>0</v>
      </c>
      <c r="W70" s="355">
        <f t="shared" si="6"/>
        <v>10.5</v>
      </c>
      <c r="X70" s="355">
        <f t="shared" si="7"/>
        <v>936219.81191632373</v>
      </c>
      <c r="Y70" s="396"/>
      <c r="Z70" s="346" t="str">
        <f t="shared" si="16"/>
        <v>0-HORMH25A</v>
      </c>
      <c r="AA70" s="346" t="str">
        <f t="shared" si="17"/>
        <v>0-HORMH25E</v>
      </c>
      <c r="AB70" s="346" t="str">
        <f t="shared" si="18"/>
        <v>0-HORMH25M</v>
      </c>
      <c r="AC70" s="346" t="str">
        <f t="shared" si="19"/>
        <v>0-HORMH25T</v>
      </c>
      <c r="AD70" s="346" t="str">
        <f t="shared" si="20"/>
        <v>0-HORMH25S</v>
      </c>
      <c r="AE70" s="346" t="str">
        <f t="shared" si="21"/>
        <v>0-HORMH25X</v>
      </c>
      <c r="AF70" s="346" t="str">
        <f t="shared" si="22"/>
        <v>0-HORMH25X</v>
      </c>
      <c r="AG70" s="346">
        <f t="shared" si="8"/>
        <v>13</v>
      </c>
      <c r="AH70" s="346">
        <f>IF(B70&lt;&gt;"",+IF(H70="x",+VLOOKUP(I70,'AUX-NIV2'!B:AG,32,FALSE),0),"")</f>
        <v>13</v>
      </c>
      <c r="AI70" s="346" t="str">
        <f t="shared" si="23"/>
        <v>0-HORMH25</v>
      </c>
      <c r="AK70" s="347">
        <f t="shared" si="9"/>
        <v>61</v>
      </c>
      <c r="AL70" s="348">
        <f t="shared" si="24"/>
        <v>73</v>
      </c>
      <c r="AM70" s="347">
        <f t="shared" si="25"/>
        <v>10</v>
      </c>
      <c r="AN70" s="382">
        <f>IF(AND(AH70&gt;0,B70&lt;&gt;""),VLOOKUP(I70,'AUX-NIV2'!$B:$AP,40,FALSE)*O70,0)</f>
        <v>22.308000000000003</v>
      </c>
      <c r="AO70" s="382">
        <f t="shared" si="10"/>
        <v>64.670637208744594</v>
      </c>
      <c r="AQ70" s="395">
        <f>(IF($H70="x",VLOOKUP($I70,'AUX-NIV2'!$B:$X,'AUX-NIV1'!AQ$3,FALSE),0)+($AV70*'AUX-NIV3'!S$4))*$O70+IF($H70=AQ$4,$P70,0)</f>
        <v>10263.782377663161</v>
      </c>
      <c r="AR70" s="395">
        <f>(IF($H70="x",VLOOKUP($I70,'AUX-NIV2'!$B:$X,'AUX-NIV1'!AR$3,FALSE),0)+($AV70*'AUX-NIV3'!T$4))*$O70+IF($H70=AR$4,$P70,0)</f>
        <v>193.71739200000005</v>
      </c>
      <c r="AS70" s="395">
        <f>(IF($H70="x",VLOOKUP($I70,'AUX-NIV2'!$B:$X,'AUX-NIV1'!AS$3,FALSE),0)+($AV70*'AUX-NIV3'!U$4))*$O70+IF($H70=AS$4,$P70,0)</f>
        <v>12693.975137191917</v>
      </c>
      <c r="AT70" s="395">
        <f>(IF($H70="x",VLOOKUP($I70,'AUX-NIV2'!$B:$X,'AUX-NIV1'!AT$3,FALSE),0)+($AV70*'AUX-NIV3'!V$4))*$O70+IF($H70=AT$4,$P70,0)</f>
        <v>0</v>
      </c>
      <c r="AU70" s="395">
        <f>(IF($H70="x",VLOOKUP($I70,'AUX-NIV2'!$B:$X,'AUX-NIV1'!AU$3,FALSE),0)+($AV70*'AUX-NIV3'!W$4))*$O70+IF($H70=AU$4,$P70,0)</f>
        <v>0</v>
      </c>
      <c r="AV70" s="395">
        <f>+IF($H70="x",VLOOKUP($I70,'AUX-NIV2'!$B:$X,'AUX-NIV1'!AV$3,FALSE),0)</f>
        <v>0</v>
      </c>
    </row>
    <row r="71" spans="2:48" ht="13.8" hidden="1" thickBot="1">
      <c r="B71" s="324" t="s">
        <v>78</v>
      </c>
      <c r="C71" s="325" t="s">
        <v>130</v>
      </c>
      <c r="D71" s="326" t="s">
        <v>1160</v>
      </c>
      <c r="E71" s="349">
        <f>IF(B71&lt;&gt;"",+SUMIF(Items!C:C,'AUX-NIV1'!B71,Items!H:H),"")</f>
        <v>0</v>
      </c>
      <c r="F71" s="349">
        <f t="shared" ref="F71:F134" si="28">IF(B71&lt;&gt;"",+SUMIF(B:B,B71,P:P),"")</f>
        <v>936230.31191632373</v>
      </c>
      <c r="G71" s="349">
        <f t="shared" ref="G71:G134" si="29">IF(B71&lt;&gt;"",+SUMIF(B:B,B71,R:R),"")</f>
        <v>0</v>
      </c>
      <c r="H71" s="1395" t="str">
        <f t="shared" si="11"/>
        <v>X</v>
      </c>
      <c r="I71" s="1375" t="s">
        <v>1287</v>
      </c>
      <c r="J71" s="350" t="str">
        <f>IF(B71&lt;&gt;"",+VLOOKUP(I71,Recursos!C:F,2,FALSE),"")</f>
        <v>Producción de Hgón en Planta</v>
      </c>
      <c r="K71" s="351" t="str">
        <f>IF(B71&lt;&gt;"",+VLOOKUP(I71,Recursos!C:F,3,FALSE),"")</f>
        <v>m3</v>
      </c>
      <c r="L71" s="349">
        <f>IF(B71&lt;&gt;"",+VLOOKUP(I71,Recursos!C:F,4,FALSE),"")</f>
        <v>419.65958991896258</v>
      </c>
      <c r="M71" s="331">
        <v>1.25</v>
      </c>
      <c r="N71" s="331">
        <v>1</v>
      </c>
      <c r="O71" s="362">
        <v>1.25</v>
      </c>
      <c r="P71" s="352">
        <f t="shared" si="13"/>
        <v>524.57448739870324</v>
      </c>
      <c r="Q71" s="349">
        <f t="shared" si="14"/>
        <v>0</v>
      </c>
      <c r="R71" s="353">
        <f t="shared" si="15"/>
        <v>0</v>
      </c>
      <c r="S71" s="354">
        <f t="shared" ref="S71:S134" si="30">IF(B71&lt;&gt;"",+SUMIF($AF:$AF,Z71,$P:$P),"")</f>
        <v>0</v>
      </c>
      <c r="T71" s="354">
        <f t="shared" ref="T71:T134" si="31">IF(B71&lt;&gt;"",+SUMIF($AF:$AF,AA71,$P:$P),"")</f>
        <v>0</v>
      </c>
      <c r="U71" s="355">
        <f t="shared" ref="U71:U134" si="32">IF(B71&lt;&gt;"",+SUMIF($AF:$AF,AB71,$P:$P),"")</f>
        <v>0</v>
      </c>
      <c r="V71" s="355">
        <f t="shared" ref="V71:V134" si="33">IF(B71&lt;&gt;"",+SUMIF($AF:$AF,AC71,$P:$P),"")</f>
        <v>0</v>
      </c>
      <c r="W71" s="355">
        <f t="shared" ref="W71:W134" si="34">IF(B71&lt;&gt;"",+SUMIF($AF:$AF,AD71,$P:$P),"")</f>
        <v>10.5</v>
      </c>
      <c r="X71" s="355">
        <f t="shared" ref="X71:X134" si="35">IF(B71&lt;&gt;"",+SUMIF($AF:$AF,AE71,$P:$P),"")</f>
        <v>936219.81191632373</v>
      </c>
      <c r="Y71" s="396"/>
      <c r="Z71" s="346" t="str">
        <f t="shared" si="16"/>
        <v>0-HORMH25A</v>
      </c>
      <c r="AA71" s="346" t="str">
        <f t="shared" si="17"/>
        <v>0-HORMH25E</v>
      </c>
      <c r="AB71" s="346" t="str">
        <f t="shared" si="18"/>
        <v>0-HORMH25M</v>
      </c>
      <c r="AC71" s="346" t="str">
        <f t="shared" si="19"/>
        <v>0-HORMH25T</v>
      </c>
      <c r="AD71" s="346" t="str">
        <f t="shared" si="20"/>
        <v>0-HORMH25S</v>
      </c>
      <c r="AE71" s="346" t="str">
        <f t="shared" si="21"/>
        <v>0-HORMH25X</v>
      </c>
      <c r="AF71" s="346" t="str">
        <f t="shared" si="22"/>
        <v>0-HORMH25X</v>
      </c>
      <c r="AG71" s="346">
        <f t="shared" ref="AG71:AG134" si="36">IF(B71&lt;&gt;"",+COUNTIF(B:B,B71),"")</f>
        <v>13</v>
      </c>
      <c r="AH71" s="346">
        <f>IF(B71&lt;&gt;"",+IF(H71="x",+VLOOKUP(I71,'AUX-NIV2'!B:AG,32,FALSE),0),"")</f>
        <v>9</v>
      </c>
      <c r="AI71" s="346" t="str">
        <f t="shared" si="23"/>
        <v>0-HORMH25</v>
      </c>
      <c r="AK71" s="347">
        <f t="shared" ref="AK71:AK134" si="37">IF(B71&lt;&gt;"",+MATCH(B71,B:B,0),"")</f>
        <v>61</v>
      </c>
      <c r="AL71" s="348">
        <f t="shared" si="24"/>
        <v>73</v>
      </c>
      <c r="AM71" s="347">
        <f t="shared" si="25"/>
        <v>11</v>
      </c>
      <c r="AN71" s="382">
        <f>IF(AND(AH71&gt;0,B71&lt;&gt;""),VLOOKUP(I71,'AUX-NIV2'!$B:$AP,40,FALSE)*O71,0)</f>
        <v>0.38571428571428568</v>
      </c>
      <c r="AO71" s="382">
        <f t="shared" ref="AO71:AO134" si="38">+IF(B71&lt;&gt;"",SUMIF(AF:AF,Z71,O:O)+SUMIF(Z:Z,Z71,AN:AN),0)</f>
        <v>64.670637208744594</v>
      </c>
      <c r="AQ71" s="395">
        <f>(IF($H71="x",VLOOKUP($I71,'AUX-NIV2'!$B:$X,'AUX-NIV1'!AQ$3,FALSE),0)+($AV71*'AUX-NIV3'!S$4))*$O71+IF($H71=AQ$4,$P71,0)</f>
        <v>189.44846077532662</v>
      </c>
      <c r="AR71" s="395">
        <f>(IF($H71="x",VLOOKUP($I71,'AUX-NIV2'!$B:$X,'AUX-NIV1'!AR$3,FALSE),0)+($AV71*'AUX-NIV3'!T$4))*$O71+IF($H71=AR$4,$P71,0)</f>
        <v>334.50102662337662</v>
      </c>
      <c r="AS71" s="395">
        <f>(IF($H71="x",VLOOKUP($I71,'AUX-NIV2'!$B:$X,'AUX-NIV1'!AS$3,FALSE),0)+($AV71*'AUX-NIV3'!U$4))*$O71+IF($H71=AS$4,$P71,0)</f>
        <v>0.625</v>
      </c>
      <c r="AT71" s="395">
        <f>(IF($H71="x",VLOOKUP($I71,'AUX-NIV2'!$B:$X,'AUX-NIV1'!AT$3,FALSE),0)+($AV71*'AUX-NIV3'!V$4))*$O71+IF($H71=AT$4,$P71,0)</f>
        <v>0</v>
      </c>
      <c r="AU71" s="395">
        <f>(IF($H71="x",VLOOKUP($I71,'AUX-NIV2'!$B:$X,'AUX-NIV1'!AU$3,FALSE),0)+($AV71*'AUX-NIV3'!W$4))*$O71+IF($H71=AU$4,$P71,0)</f>
        <v>0</v>
      </c>
      <c r="AV71" s="395">
        <f>+IF($H71="x",VLOOKUP($I71,'AUX-NIV2'!$B:$X,'AUX-NIV1'!AV$3,FALSE),0)</f>
        <v>0</v>
      </c>
    </row>
    <row r="72" spans="2:48" ht="13.8" hidden="1" thickBot="1">
      <c r="B72" s="324" t="s">
        <v>78</v>
      </c>
      <c r="C72" s="325" t="s">
        <v>130</v>
      </c>
      <c r="D72" s="326" t="s">
        <v>1160</v>
      </c>
      <c r="E72" s="349">
        <f>IF(B72&lt;&gt;"",+SUMIF(Items!C:C,'AUX-NIV1'!B72,Items!H:H),"")</f>
        <v>0</v>
      </c>
      <c r="F72" s="349">
        <f t="shared" si="28"/>
        <v>936230.31191632373</v>
      </c>
      <c r="G72" s="349">
        <f t="shared" si="29"/>
        <v>0</v>
      </c>
      <c r="H72" s="1395" t="str">
        <f t="shared" ref="H72:H135" si="39">IF(B72&lt;&gt;"",+LEFT(I72,1),"")</f>
        <v>X</v>
      </c>
      <c r="I72" s="1375" t="s">
        <v>1266</v>
      </c>
      <c r="J72" s="350" t="str">
        <f>IF(B72&lt;&gt;"",+VLOOKUP(I72,Recursos!C:F,2,FALSE),"")</f>
        <v>Terminación Superficial de Plateas</v>
      </c>
      <c r="K72" s="351" t="str">
        <f>IF(B72&lt;&gt;"",+VLOOKUP(I72,Recursos!C:F,3,FALSE),"")</f>
        <v>m2</v>
      </c>
      <c r="L72" s="349">
        <f>IF(B72&lt;&gt;"",+VLOOKUP(I72,Recursos!C:F,4,FALSE),"")</f>
        <v>390.39586911319242</v>
      </c>
      <c r="M72" s="331">
        <v>1</v>
      </c>
      <c r="N72" s="331">
        <v>1</v>
      </c>
      <c r="O72" s="362">
        <v>1</v>
      </c>
      <c r="P72" s="352">
        <f t="shared" ref="P72:P135" si="40">IF(B72&lt;&gt;"",O72*L72,"")</f>
        <v>390.39586911319242</v>
      </c>
      <c r="Q72" s="349">
        <f t="shared" ref="Q72:Q135" si="41">IF(B72&lt;&gt;"",+O72*E72,"")</f>
        <v>0</v>
      </c>
      <c r="R72" s="353">
        <f t="shared" ref="R72:R135" si="42">IF(B72&lt;&gt;"",Q72*L72,"")</f>
        <v>0</v>
      </c>
      <c r="S72" s="354">
        <f t="shared" si="30"/>
        <v>0</v>
      </c>
      <c r="T72" s="354">
        <f t="shared" si="31"/>
        <v>0</v>
      </c>
      <c r="U72" s="355">
        <f t="shared" si="32"/>
        <v>0</v>
      </c>
      <c r="V72" s="355">
        <f t="shared" si="33"/>
        <v>0</v>
      </c>
      <c r="W72" s="355">
        <f t="shared" si="34"/>
        <v>10.5</v>
      </c>
      <c r="X72" s="355">
        <f t="shared" si="35"/>
        <v>936219.81191632373</v>
      </c>
      <c r="Y72" s="396"/>
      <c r="Z72" s="346" t="str">
        <f t="shared" ref="Z72:Z135" si="43">IF(B72&lt;&gt;"",+$B72&amp;"A","")</f>
        <v>0-HORMH25A</v>
      </c>
      <c r="AA72" s="346" t="str">
        <f t="shared" ref="AA72:AA135" si="44">IF(B72&lt;&gt;"",+$B72&amp;"E","")</f>
        <v>0-HORMH25E</v>
      </c>
      <c r="AB72" s="346" t="str">
        <f t="shared" ref="AB72:AB135" si="45">IF(B72&lt;&gt;"",++$B72&amp;"M","")</f>
        <v>0-HORMH25M</v>
      </c>
      <c r="AC72" s="346" t="str">
        <f t="shared" ref="AC72:AC135" si="46">IF(B72&lt;&gt;"",+$B72&amp;"T","")</f>
        <v>0-HORMH25T</v>
      </c>
      <c r="AD72" s="346" t="str">
        <f t="shared" ref="AD72:AD135" si="47">IF(B72&lt;&gt;"",+$B72&amp;"S","")</f>
        <v>0-HORMH25S</v>
      </c>
      <c r="AE72" s="346" t="str">
        <f t="shared" ref="AE72:AE135" si="48">IF(B72&lt;&gt;"",+$B72&amp;"X","")</f>
        <v>0-HORMH25X</v>
      </c>
      <c r="AF72" s="346" t="str">
        <f t="shared" ref="AF72:AF135" si="49">IF(B72&lt;&gt;"",+B72&amp;H72,"")</f>
        <v>0-HORMH25X</v>
      </c>
      <c r="AG72" s="346">
        <f t="shared" si="36"/>
        <v>13</v>
      </c>
      <c r="AH72" s="346">
        <f>IF(B72&lt;&gt;"",+IF(H72="x",+VLOOKUP(I72,'AUX-NIV2'!B:AG,32,FALSE),0),"")</f>
        <v>4</v>
      </c>
      <c r="AI72" s="346" t="str">
        <f t="shared" ref="AI72:AI135" si="50">IF(B72&lt;&gt;"",+B72,"")</f>
        <v>0-HORMH25</v>
      </c>
      <c r="AK72" s="347">
        <f t="shared" si="37"/>
        <v>61</v>
      </c>
      <c r="AL72" s="348">
        <f t="shared" ref="AL72:AL135" si="51">IF(B72&lt;&gt;"",+AK72+AG72-1,"")</f>
        <v>73</v>
      </c>
      <c r="AM72" s="347">
        <f t="shared" ref="AM72:AM135" si="52">IF(B72&lt;&gt;"",IF(B72=B71,1+AM71,1),"")</f>
        <v>12</v>
      </c>
      <c r="AN72" s="382">
        <f>IF(AND(AH72&gt;0,B72&lt;&gt;""),VLOOKUP(I72,'AUX-NIV2'!$B:$AP,40,FALSE)*O72,0)</f>
        <v>0.75</v>
      </c>
      <c r="AO72" s="382">
        <f t="shared" si="38"/>
        <v>64.670637208744594</v>
      </c>
      <c r="AQ72" s="395">
        <f>(IF($H72="x",VLOOKUP($I72,'AUX-NIV2'!$B:$X,'AUX-NIV1'!AQ$3,FALSE),0)+($AV72*'AUX-NIV3'!S$4))*$O72+IF($H72=AQ$4,$P72,0)</f>
        <v>335.46920244652574</v>
      </c>
      <c r="AR72" s="395">
        <f>(IF($H72="x",VLOOKUP($I72,'AUX-NIV2'!$B:$X,'AUX-NIV1'!AR$3,FALSE),0)+($AV72*'AUX-NIV3'!T$4))*$O72+IF($H72=AR$4,$P72,0)</f>
        <v>54.426666666666655</v>
      </c>
      <c r="AS72" s="395">
        <f>(IF($H72="x",VLOOKUP($I72,'AUX-NIV2'!$B:$X,'AUX-NIV1'!AS$3,FALSE),0)+($AV72*'AUX-NIV3'!U$4))*$O72+IF($H72=AS$4,$P72,0)</f>
        <v>0.5</v>
      </c>
      <c r="AT72" s="395">
        <f>(IF($H72="x",VLOOKUP($I72,'AUX-NIV2'!$B:$X,'AUX-NIV1'!AT$3,FALSE),0)+($AV72*'AUX-NIV3'!V$4))*$O72+IF($H72=AT$4,$P72,0)</f>
        <v>0</v>
      </c>
      <c r="AU72" s="395">
        <f>(IF($H72="x",VLOOKUP($I72,'AUX-NIV2'!$B:$X,'AUX-NIV1'!AU$3,FALSE),0)+($AV72*'AUX-NIV3'!W$4))*$O72+IF($H72=AU$4,$P72,0)</f>
        <v>0</v>
      </c>
      <c r="AV72" s="395">
        <f>+IF($H72="x",VLOOKUP($I72,'AUX-NIV2'!$B:$X,'AUX-NIV1'!AV$3,FALSE),0)</f>
        <v>0</v>
      </c>
    </row>
    <row r="73" spans="2:48" ht="13.8" hidden="1" thickBot="1">
      <c r="B73" s="324" t="s">
        <v>78</v>
      </c>
      <c r="C73" s="325" t="s">
        <v>130</v>
      </c>
      <c r="D73" s="326" t="s">
        <v>1160</v>
      </c>
      <c r="E73" s="349">
        <f>IF(B73&lt;&gt;"",+SUMIF(Items!C:C,'AUX-NIV1'!B73,Items!H:H),"")</f>
        <v>0</v>
      </c>
      <c r="F73" s="349">
        <f t="shared" si="28"/>
        <v>936230.31191632373</v>
      </c>
      <c r="G73" s="349">
        <f t="shared" si="29"/>
        <v>0</v>
      </c>
      <c r="H73" s="1395" t="str">
        <f t="shared" si="39"/>
        <v>X</v>
      </c>
      <c r="I73" s="1375" t="s">
        <v>1288</v>
      </c>
      <c r="J73" s="350" t="str">
        <f>IF(B73&lt;&gt;"",+VLOOKUP(I73,Recursos!C:F,2,FALSE),"")</f>
        <v>Tte y colado de Hgón - Pta</v>
      </c>
      <c r="K73" s="351" t="str">
        <f>IF(B73&lt;&gt;"",+VLOOKUP(I73,Recursos!C:F,3,FALSE),"")</f>
        <v>m3</v>
      </c>
      <c r="L73" s="349">
        <f>IF(B73&lt;&gt;"",+VLOOKUP(I73,Recursos!C:F,4,FALSE),"")</f>
        <v>318.88919874376688</v>
      </c>
      <c r="M73" s="331">
        <v>1.25</v>
      </c>
      <c r="N73" s="331">
        <v>1</v>
      </c>
      <c r="O73" s="362">
        <v>1.25</v>
      </c>
      <c r="P73" s="352">
        <f t="shared" si="40"/>
        <v>398.6114984297086</v>
      </c>
      <c r="Q73" s="349">
        <f t="shared" si="41"/>
        <v>0</v>
      </c>
      <c r="R73" s="353">
        <f t="shared" si="42"/>
        <v>0</v>
      </c>
      <c r="S73" s="354">
        <f t="shared" si="30"/>
        <v>0</v>
      </c>
      <c r="T73" s="354">
        <f t="shared" si="31"/>
        <v>0</v>
      </c>
      <c r="U73" s="355">
        <f t="shared" si="32"/>
        <v>0</v>
      </c>
      <c r="V73" s="355">
        <f t="shared" si="33"/>
        <v>0</v>
      </c>
      <c r="W73" s="355">
        <f t="shared" si="34"/>
        <v>10.5</v>
      </c>
      <c r="X73" s="355">
        <f t="shared" si="35"/>
        <v>936219.81191632373</v>
      </c>
      <c r="Y73" s="396"/>
      <c r="Z73" s="346" t="str">
        <f t="shared" si="43"/>
        <v>0-HORMH25A</v>
      </c>
      <c r="AA73" s="346" t="str">
        <f t="shared" si="44"/>
        <v>0-HORMH25E</v>
      </c>
      <c r="AB73" s="346" t="str">
        <f t="shared" si="45"/>
        <v>0-HORMH25M</v>
      </c>
      <c r="AC73" s="346" t="str">
        <f t="shared" si="46"/>
        <v>0-HORMH25T</v>
      </c>
      <c r="AD73" s="346" t="str">
        <f t="shared" si="47"/>
        <v>0-HORMH25S</v>
      </c>
      <c r="AE73" s="346" t="str">
        <f t="shared" si="48"/>
        <v>0-HORMH25X</v>
      </c>
      <c r="AF73" s="346" t="str">
        <f t="shared" si="49"/>
        <v>0-HORMH25X</v>
      </c>
      <c r="AG73" s="346">
        <f t="shared" si="36"/>
        <v>13</v>
      </c>
      <c r="AH73" s="346">
        <f>IF(B73&lt;&gt;"",+IF(H73="x",+VLOOKUP(I73,'AUX-NIV2'!B:AG,32,FALSE),0),"")</f>
        <v>4</v>
      </c>
      <c r="AI73" s="346" t="str">
        <f t="shared" si="50"/>
        <v>0-HORMH25</v>
      </c>
      <c r="AK73" s="347">
        <f t="shared" si="37"/>
        <v>61</v>
      </c>
      <c r="AL73" s="348">
        <f t="shared" si="51"/>
        <v>73</v>
      </c>
      <c r="AM73" s="347">
        <f t="shared" si="52"/>
        <v>13</v>
      </c>
      <c r="AN73" s="382">
        <f>IF(AND(AH73&gt;0,B73&lt;&gt;""),VLOOKUP(I73,'AUX-NIV2'!$B:$AP,40,FALSE)*O73,0)</f>
        <v>0.29166666666666663</v>
      </c>
      <c r="AO73" s="382">
        <f t="shared" si="38"/>
        <v>64.670637208744594</v>
      </c>
      <c r="AQ73" s="395">
        <f>(IF($H73="x",VLOOKUP($I73,'AUX-NIV2'!$B:$X,'AUX-NIV1'!AQ$3,FALSE),0)+($AV73*'AUX-NIV3'!S$4))*$O73+IF($H73=AQ$4,$P73,0)</f>
        <v>134.07863905470862</v>
      </c>
      <c r="AR73" s="395">
        <f>(IF($H73="x",VLOOKUP($I73,'AUX-NIV2'!$B:$X,'AUX-NIV1'!AR$3,FALSE),0)+($AV73*'AUX-NIV3'!T$4))*$O73+IF($H73=AR$4,$P73,0)</f>
        <v>264.22035937499993</v>
      </c>
      <c r="AS73" s="395">
        <f>(IF($H73="x",VLOOKUP($I73,'AUX-NIV2'!$B:$X,'AUX-NIV1'!AS$3,FALSE),0)+($AV73*'AUX-NIV3'!U$4))*$O73+IF($H73=AS$4,$P73,0)</f>
        <v>0.3125</v>
      </c>
      <c r="AT73" s="395">
        <f>(IF($H73="x",VLOOKUP($I73,'AUX-NIV2'!$B:$X,'AUX-NIV1'!AT$3,FALSE),0)+($AV73*'AUX-NIV3'!V$4))*$O73+IF($H73=AT$4,$P73,0)</f>
        <v>0</v>
      </c>
      <c r="AU73" s="395">
        <f>(IF($H73="x",VLOOKUP($I73,'AUX-NIV2'!$B:$X,'AUX-NIV1'!AU$3,FALSE),0)+($AV73*'AUX-NIV3'!W$4))*$O73+IF($H73=AU$4,$P73,0)</f>
        <v>0</v>
      </c>
      <c r="AV73" s="395">
        <f>+IF($H73="x",VLOOKUP($I73,'AUX-NIV2'!$B:$X,'AUX-NIV1'!AV$3,FALSE),0)</f>
        <v>0</v>
      </c>
    </row>
    <row r="74" spans="2:48" ht="13.8" hidden="1" thickBot="1">
      <c r="B74" s="324" t="s">
        <v>79</v>
      </c>
      <c r="C74" s="325" t="s">
        <v>207</v>
      </c>
      <c r="D74" s="326" t="s">
        <v>1160</v>
      </c>
      <c r="E74" s="349">
        <f>IF(B74&lt;&gt;"",+SUMIF(Items!C:C,'AUX-NIV1'!B74,Items!H:H),"")</f>
        <v>0</v>
      </c>
      <c r="F74" s="349">
        <f t="shared" si="28"/>
        <v>152.96070680765376</v>
      </c>
      <c r="G74" s="349">
        <f t="shared" si="29"/>
        <v>0</v>
      </c>
      <c r="H74" s="1395" t="str">
        <f t="shared" si="39"/>
        <v>A</v>
      </c>
      <c r="I74" s="1375" t="s">
        <v>3311</v>
      </c>
      <c r="J74" s="350" t="str">
        <f>IF(B74&lt;&gt;"",+VLOOKUP(I74,Recursos!C:F,2,FALSE),"")</f>
        <v>OPER. EQUIPO</v>
      </c>
      <c r="K74" s="351" t="str">
        <f>IF(B74&lt;&gt;"",+VLOOKUP(I74,Recursos!C:F,3,FALSE),"")</f>
        <v>hh</v>
      </c>
      <c r="L74" s="349">
        <f>IF(B74&lt;&gt;"",+VLOOKUP(I74,Recursos!C:F,4,FALSE),"")</f>
        <v>581.06120476836554</v>
      </c>
      <c r="M74" s="331">
        <v>8.3000000000000001E-3</v>
      </c>
      <c r="N74" s="331">
        <v>1.25</v>
      </c>
      <c r="O74" s="362">
        <v>1.0375000000000001E-2</v>
      </c>
      <c r="P74" s="352">
        <f t="shared" si="40"/>
        <v>6.028509999471793</v>
      </c>
      <c r="Q74" s="349">
        <f t="shared" si="41"/>
        <v>0</v>
      </c>
      <c r="R74" s="353">
        <f t="shared" si="42"/>
        <v>0</v>
      </c>
      <c r="S74" s="354">
        <f t="shared" si="30"/>
        <v>10.464554490286853</v>
      </c>
      <c r="T74" s="354">
        <f t="shared" si="31"/>
        <v>43.608076000000004</v>
      </c>
      <c r="U74" s="355">
        <f t="shared" si="32"/>
        <v>0</v>
      </c>
      <c r="V74" s="355">
        <f t="shared" si="33"/>
        <v>0</v>
      </c>
      <c r="W74" s="355">
        <f t="shared" si="34"/>
        <v>0</v>
      </c>
      <c r="X74" s="355">
        <f t="shared" si="35"/>
        <v>98.88807631736691</v>
      </c>
      <c r="Y74" s="396"/>
      <c r="Z74" s="346" t="str">
        <f t="shared" si="43"/>
        <v>0-EXSS1A</v>
      </c>
      <c r="AA74" s="346" t="str">
        <f t="shared" si="44"/>
        <v>0-EXSS1E</v>
      </c>
      <c r="AB74" s="346" t="str">
        <f t="shared" si="45"/>
        <v>0-EXSS1M</v>
      </c>
      <c r="AC74" s="346" t="str">
        <f t="shared" si="46"/>
        <v>0-EXSS1T</v>
      </c>
      <c r="AD74" s="346" t="str">
        <f t="shared" si="47"/>
        <v>0-EXSS1S</v>
      </c>
      <c r="AE74" s="346" t="str">
        <f t="shared" si="48"/>
        <v>0-EXSS1X</v>
      </c>
      <c r="AF74" s="346" t="str">
        <f t="shared" si="49"/>
        <v>0-EXSS1A</v>
      </c>
      <c r="AG74" s="346">
        <f t="shared" si="36"/>
        <v>5</v>
      </c>
      <c r="AH74" s="346">
        <f>IF(B74&lt;&gt;"",+IF(H74="x",+VLOOKUP(I74,'AUX-NIV2'!B:AG,32,FALSE),0),"")</f>
        <v>0</v>
      </c>
      <c r="AI74" s="346" t="str">
        <f t="shared" si="50"/>
        <v>0-EXSS1</v>
      </c>
      <c r="AK74" s="347">
        <f t="shared" si="37"/>
        <v>74</v>
      </c>
      <c r="AL74" s="348">
        <f t="shared" si="51"/>
        <v>78</v>
      </c>
      <c r="AM74" s="347">
        <f t="shared" si="52"/>
        <v>1</v>
      </c>
      <c r="AN74" s="382">
        <f>IF(AND(AH74&gt;0,B74&lt;&gt;""),VLOOKUP(I74,'AUX-NIV2'!$B:$AP,40,FALSE)*O74,0)</f>
        <v>0</v>
      </c>
      <c r="AO74" s="382">
        <f t="shared" si="38"/>
        <v>7.5284999999999991E-2</v>
      </c>
      <c r="AQ74" s="395">
        <f>(IF($H74="x",VLOOKUP($I74,'AUX-NIV2'!$B:$X,'AUX-NIV1'!AQ$3,FALSE),0)+($AV74*'AUX-NIV3'!S$4))*$O74+IF($H74=AQ$4,$P74,0)</f>
        <v>6.028509999471793</v>
      </c>
      <c r="AR74" s="395">
        <f>(IF($H74="x",VLOOKUP($I74,'AUX-NIV2'!$B:$X,'AUX-NIV1'!AR$3,FALSE),0)+($AV74*'AUX-NIV3'!T$4))*$O74+IF($H74=AR$4,$P74,0)</f>
        <v>0</v>
      </c>
      <c r="AS74" s="395">
        <f>(IF($H74="x",VLOOKUP($I74,'AUX-NIV2'!$B:$X,'AUX-NIV1'!AS$3,FALSE),0)+($AV74*'AUX-NIV3'!U$4))*$O74+IF($H74=AS$4,$P74,0)</f>
        <v>0</v>
      </c>
      <c r="AT74" s="395">
        <f>(IF($H74="x",VLOOKUP($I74,'AUX-NIV2'!$B:$X,'AUX-NIV1'!AT$3,FALSE),0)+($AV74*'AUX-NIV3'!V$4))*$O74+IF($H74=AT$4,$P74,0)</f>
        <v>0</v>
      </c>
      <c r="AU74" s="395">
        <f>(IF($H74="x",VLOOKUP($I74,'AUX-NIV2'!$B:$X,'AUX-NIV1'!AU$3,FALSE),0)+($AV74*'AUX-NIV3'!W$4))*$O74+IF($H74=AU$4,$P74,0)</f>
        <v>0</v>
      </c>
      <c r="AV74" s="395">
        <f>+IF($H74="x",VLOOKUP($I74,'AUX-NIV2'!$B:$X,'AUX-NIV1'!AV$3,FALSE),0)</f>
        <v>0</v>
      </c>
    </row>
    <row r="75" spans="2:48" ht="13.8" hidden="1" thickBot="1">
      <c r="B75" s="324" t="s">
        <v>79</v>
      </c>
      <c r="C75" s="325" t="s">
        <v>207</v>
      </c>
      <c r="D75" s="326" t="s">
        <v>1160</v>
      </c>
      <c r="E75" s="349">
        <f>IF(B75&lt;&gt;"",+SUMIF(Items!C:C,'AUX-NIV1'!B75,Items!H:H),"")</f>
        <v>0</v>
      </c>
      <c r="F75" s="349">
        <f t="shared" si="28"/>
        <v>152.96070680765376</v>
      </c>
      <c r="G75" s="349">
        <f t="shared" si="29"/>
        <v>0</v>
      </c>
      <c r="H75" s="1395" t="str">
        <f t="shared" si="39"/>
        <v>A</v>
      </c>
      <c r="I75" s="1375" t="s">
        <v>1745</v>
      </c>
      <c r="J75" s="350" t="str">
        <f>IF(B75&lt;&gt;"",+VLOOKUP(I75,Recursos!C:F,2,FALSE),"")</f>
        <v>AYUDANTE</v>
      </c>
      <c r="K75" s="351" t="str">
        <f>IF(B75&lt;&gt;"",+VLOOKUP(I75,Recursos!C:F,3,FALSE),"")</f>
        <v>hh</v>
      </c>
      <c r="L75" s="349">
        <f>IF(B75&lt;&gt;"",+VLOOKUP(I75,Recursos!C:F,4,FALSE),"")</f>
        <v>422.48042769667234</v>
      </c>
      <c r="M75" s="331">
        <v>1.0500000000000001E-2</v>
      </c>
      <c r="N75" s="331">
        <v>1</v>
      </c>
      <c r="O75" s="362">
        <v>1.0500000000000001E-2</v>
      </c>
      <c r="P75" s="352">
        <f t="shared" si="40"/>
        <v>4.4360444908150596</v>
      </c>
      <c r="Q75" s="349">
        <f t="shared" si="41"/>
        <v>0</v>
      </c>
      <c r="R75" s="353">
        <f t="shared" si="42"/>
        <v>0</v>
      </c>
      <c r="S75" s="354">
        <f t="shared" si="30"/>
        <v>10.464554490286853</v>
      </c>
      <c r="T75" s="354">
        <f t="shared" si="31"/>
        <v>43.608076000000004</v>
      </c>
      <c r="U75" s="355">
        <f t="shared" si="32"/>
        <v>0</v>
      </c>
      <c r="V75" s="355">
        <f t="shared" si="33"/>
        <v>0</v>
      </c>
      <c r="W75" s="355">
        <f t="shared" si="34"/>
        <v>0</v>
      </c>
      <c r="X75" s="355">
        <f t="shared" si="35"/>
        <v>98.88807631736691</v>
      </c>
      <c r="Y75" s="396"/>
      <c r="Z75" s="346" t="str">
        <f t="shared" si="43"/>
        <v>0-EXSS1A</v>
      </c>
      <c r="AA75" s="346" t="str">
        <f t="shared" si="44"/>
        <v>0-EXSS1E</v>
      </c>
      <c r="AB75" s="346" t="str">
        <f t="shared" si="45"/>
        <v>0-EXSS1M</v>
      </c>
      <c r="AC75" s="346" t="str">
        <f t="shared" si="46"/>
        <v>0-EXSS1T</v>
      </c>
      <c r="AD75" s="346" t="str">
        <f t="shared" si="47"/>
        <v>0-EXSS1S</v>
      </c>
      <c r="AE75" s="346" t="str">
        <f t="shared" si="48"/>
        <v>0-EXSS1X</v>
      </c>
      <c r="AF75" s="346" t="str">
        <f t="shared" si="49"/>
        <v>0-EXSS1A</v>
      </c>
      <c r="AG75" s="346">
        <f t="shared" si="36"/>
        <v>5</v>
      </c>
      <c r="AH75" s="346">
        <f>IF(B75&lt;&gt;"",+IF(H75="x",+VLOOKUP(I75,'AUX-NIV2'!B:AG,32,FALSE),0),"")</f>
        <v>0</v>
      </c>
      <c r="AI75" s="346" t="str">
        <f t="shared" si="50"/>
        <v>0-EXSS1</v>
      </c>
      <c r="AK75" s="347">
        <f t="shared" si="37"/>
        <v>74</v>
      </c>
      <c r="AL75" s="348">
        <f t="shared" si="51"/>
        <v>78</v>
      </c>
      <c r="AM75" s="347">
        <f t="shared" si="52"/>
        <v>2</v>
      </c>
      <c r="AN75" s="382">
        <f>IF(AND(AH75&gt;0,B75&lt;&gt;""),VLOOKUP(I75,'AUX-NIV2'!$B:$AP,40,FALSE)*O75,0)</f>
        <v>0</v>
      </c>
      <c r="AO75" s="382">
        <f t="shared" si="38"/>
        <v>7.5284999999999991E-2</v>
      </c>
      <c r="AQ75" s="395">
        <f>(IF($H75="x",VLOOKUP($I75,'AUX-NIV2'!$B:$X,'AUX-NIV1'!AQ$3,FALSE),0)+($AV75*'AUX-NIV3'!S$4))*$O75+IF($H75=AQ$4,$P75,0)</f>
        <v>4.4360444908150596</v>
      </c>
      <c r="AR75" s="395">
        <f>(IF($H75="x",VLOOKUP($I75,'AUX-NIV2'!$B:$X,'AUX-NIV1'!AR$3,FALSE),0)+($AV75*'AUX-NIV3'!T$4))*$O75+IF($H75=AR$4,$P75,0)</f>
        <v>0</v>
      </c>
      <c r="AS75" s="395">
        <f>(IF($H75="x",VLOOKUP($I75,'AUX-NIV2'!$B:$X,'AUX-NIV1'!AS$3,FALSE),0)+($AV75*'AUX-NIV3'!U$4))*$O75+IF($H75=AS$4,$P75,0)</f>
        <v>0</v>
      </c>
      <c r="AT75" s="395">
        <f>(IF($H75="x",VLOOKUP($I75,'AUX-NIV2'!$B:$X,'AUX-NIV1'!AT$3,FALSE),0)+($AV75*'AUX-NIV3'!V$4))*$O75+IF($H75=AT$4,$P75,0)</f>
        <v>0</v>
      </c>
      <c r="AU75" s="395">
        <f>(IF($H75="x",VLOOKUP($I75,'AUX-NIV2'!$B:$X,'AUX-NIV1'!AU$3,FALSE),0)+($AV75*'AUX-NIV3'!W$4))*$O75+IF($H75=AU$4,$P75,0)</f>
        <v>0</v>
      </c>
      <c r="AV75" s="395">
        <f>+IF($H75="x",VLOOKUP($I75,'AUX-NIV2'!$B:$X,'AUX-NIV1'!AV$3,FALSE),0)</f>
        <v>0</v>
      </c>
    </row>
    <row r="76" spans="2:48" ht="13.8" hidden="1" thickBot="1">
      <c r="B76" s="324" t="s">
        <v>79</v>
      </c>
      <c r="C76" s="325" t="s">
        <v>207</v>
      </c>
      <c r="D76" s="326" t="s">
        <v>1160</v>
      </c>
      <c r="E76" s="349">
        <f>IF(B76&lt;&gt;"",+SUMIF(Items!C:C,'AUX-NIV1'!B76,Items!H:H),"")</f>
        <v>0</v>
      </c>
      <c r="F76" s="349">
        <f t="shared" si="28"/>
        <v>152.96070680765376</v>
      </c>
      <c r="G76" s="349">
        <f t="shared" si="29"/>
        <v>0</v>
      </c>
      <c r="H76" s="1395" t="str">
        <f t="shared" si="39"/>
        <v>E</v>
      </c>
      <c r="I76" s="1375" t="s">
        <v>1554</v>
      </c>
      <c r="J76" s="350" t="str">
        <f>IF(B76&lt;&gt;"",+VLOOKUP(I76,Recursos!C:F,2,FALSE),"")</f>
        <v>RETROEXCAVADORA S/CARRILES  1,6 M3</v>
      </c>
      <c r="K76" s="351" t="str">
        <f>IF(B76&lt;&gt;"",+VLOOKUP(I76,Recursos!C:F,3,FALSE),"")</f>
        <v>HR</v>
      </c>
      <c r="L76" s="349">
        <f>IF(B76&lt;&gt;"",+VLOOKUP(I76,Recursos!C:F,4,FALSE),"")</f>
        <v>4360.8076000000001</v>
      </c>
      <c r="M76" s="331">
        <v>0.01</v>
      </c>
      <c r="N76" s="331">
        <v>1</v>
      </c>
      <c r="O76" s="362">
        <v>0.01</v>
      </c>
      <c r="P76" s="352">
        <f t="shared" si="40"/>
        <v>43.608076000000004</v>
      </c>
      <c r="Q76" s="349">
        <f t="shared" si="41"/>
        <v>0</v>
      </c>
      <c r="R76" s="353">
        <f t="shared" si="42"/>
        <v>0</v>
      </c>
      <c r="S76" s="354">
        <f t="shared" si="30"/>
        <v>10.464554490286853</v>
      </c>
      <c r="T76" s="354">
        <f t="shared" si="31"/>
        <v>43.608076000000004</v>
      </c>
      <c r="U76" s="355">
        <f t="shared" si="32"/>
        <v>0</v>
      </c>
      <c r="V76" s="355">
        <f t="shared" si="33"/>
        <v>0</v>
      </c>
      <c r="W76" s="355">
        <f t="shared" si="34"/>
        <v>0</v>
      </c>
      <c r="X76" s="355">
        <f t="shared" si="35"/>
        <v>98.88807631736691</v>
      </c>
      <c r="Y76" s="396"/>
      <c r="Z76" s="346" t="str">
        <f t="shared" si="43"/>
        <v>0-EXSS1A</v>
      </c>
      <c r="AA76" s="346" t="str">
        <f t="shared" si="44"/>
        <v>0-EXSS1E</v>
      </c>
      <c r="AB76" s="346" t="str">
        <f t="shared" si="45"/>
        <v>0-EXSS1M</v>
      </c>
      <c r="AC76" s="346" t="str">
        <f t="shared" si="46"/>
        <v>0-EXSS1T</v>
      </c>
      <c r="AD76" s="346" t="str">
        <f t="shared" si="47"/>
        <v>0-EXSS1S</v>
      </c>
      <c r="AE76" s="346" t="str">
        <f t="shared" si="48"/>
        <v>0-EXSS1X</v>
      </c>
      <c r="AF76" s="346" t="str">
        <f t="shared" si="49"/>
        <v>0-EXSS1E</v>
      </c>
      <c r="AG76" s="346">
        <f t="shared" si="36"/>
        <v>5</v>
      </c>
      <c r="AH76" s="346">
        <f>IF(B76&lt;&gt;"",+IF(H76="x",+VLOOKUP(I76,'AUX-NIV2'!B:AG,32,FALSE),0),"")</f>
        <v>0</v>
      </c>
      <c r="AI76" s="346" t="str">
        <f t="shared" si="50"/>
        <v>0-EXSS1</v>
      </c>
      <c r="AK76" s="347">
        <f t="shared" si="37"/>
        <v>74</v>
      </c>
      <c r="AL76" s="348">
        <f t="shared" si="51"/>
        <v>78</v>
      </c>
      <c r="AM76" s="347">
        <f t="shared" si="52"/>
        <v>3</v>
      </c>
      <c r="AN76" s="382">
        <f>IF(AND(AH76&gt;0,B76&lt;&gt;""),VLOOKUP(I76,'AUX-NIV2'!$B:$AP,40,FALSE)*O76,0)</f>
        <v>0</v>
      </c>
      <c r="AO76" s="382">
        <f t="shared" si="38"/>
        <v>7.5284999999999991E-2</v>
      </c>
      <c r="AQ76" s="395">
        <f>(IF($H76="x",VLOOKUP($I76,'AUX-NIV2'!$B:$X,'AUX-NIV1'!AQ$3,FALSE),0)+($AV76*'AUX-NIV3'!S$4))*$O76+IF($H76=AQ$4,$P76,0)</f>
        <v>0</v>
      </c>
      <c r="AR76" s="395">
        <f>(IF($H76="x",VLOOKUP($I76,'AUX-NIV2'!$B:$X,'AUX-NIV1'!AR$3,FALSE),0)+($AV76*'AUX-NIV3'!T$4))*$O76+IF($H76=AR$4,$P76,0)</f>
        <v>43.608076000000004</v>
      </c>
      <c r="AS76" s="395">
        <f>(IF($H76="x",VLOOKUP($I76,'AUX-NIV2'!$B:$X,'AUX-NIV1'!AS$3,FALSE),0)+($AV76*'AUX-NIV3'!U$4))*$O76+IF($H76=AS$4,$P76,0)</f>
        <v>0</v>
      </c>
      <c r="AT76" s="395">
        <f>(IF($H76="x",VLOOKUP($I76,'AUX-NIV2'!$B:$X,'AUX-NIV1'!AT$3,FALSE),0)+($AV76*'AUX-NIV3'!V$4))*$O76+IF($H76=AT$4,$P76,0)</f>
        <v>0</v>
      </c>
      <c r="AU76" s="395">
        <f>(IF($H76="x",VLOOKUP($I76,'AUX-NIV2'!$B:$X,'AUX-NIV1'!AU$3,FALSE),0)+($AV76*'AUX-NIV3'!W$4))*$O76+IF($H76=AU$4,$P76,0)</f>
        <v>0</v>
      </c>
      <c r="AV76" s="395">
        <f>+IF($H76="x",VLOOKUP($I76,'AUX-NIV2'!$B:$X,'AUX-NIV1'!AV$3,FALSE),0)</f>
        <v>0</v>
      </c>
    </row>
    <row r="77" spans="2:48" ht="13.8" hidden="1" thickBot="1">
      <c r="B77" s="324" t="s">
        <v>79</v>
      </c>
      <c r="C77" s="325" t="s">
        <v>207</v>
      </c>
      <c r="D77" s="326" t="s">
        <v>1160</v>
      </c>
      <c r="E77" s="349">
        <f>IF(B77&lt;&gt;"",+SUMIF(Items!C:C,'AUX-NIV1'!B77,Items!H:H),"")</f>
        <v>0</v>
      </c>
      <c r="F77" s="349">
        <f t="shared" si="28"/>
        <v>152.96070680765376</v>
      </c>
      <c r="G77" s="349">
        <f t="shared" si="29"/>
        <v>0</v>
      </c>
      <c r="H77" s="1395" t="str">
        <f t="shared" si="39"/>
        <v>X</v>
      </c>
      <c r="I77" s="1375" t="s">
        <v>783</v>
      </c>
      <c r="J77" s="350" t="str">
        <f>IF(B77&lt;&gt;"",+VLOOKUP(I77,Recursos!C:F,2,FALSE),"")</f>
        <v>Destape en Yacimiento/Excavación - Arreglo Botaderos</v>
      </c>
      <c r="K77" s="351" t="str">
        <f>IF(B77&lt;&gt;"",+VLOOKUP(I77,Recursos!C:F,3,FALSE),"")</f>
        <v>m3</v>
      </c>
      <c r="L77" s="349">
        <f>IF(B77&lt;&gt;"",+VLOOKUP(I77,Recursos!C:F,4,FALSE),"")</f>
        <v>25.141870487134625</v>
      </c>
      <c r="M77" s="331">
        <v>0.1</v>
      </c>
      <c r="N77" s="331">
        <v>1</v>
      </c>
      <c r="O77" s="362">
        <v>0.1</v>
      </c>
      <c r="P77" s="352">
        <f t="shared" si="40"/>
        <v>2.5141870487134628</v>
      </c>
      <c r="Q77" s="349">
        <f t="shared" si="41"/>
        <v>0</v>
      </c>
      <c r="R77" s="353">
        <f t="shared" si="42"/>
        <v>0</v>
      </c>
      <c r="S77" s="354">
        <f t="shared" si="30"/>
        <v>10.464554490286853</v>
      </c>
      <c r="T77" s="354">
        <f t="shared" si="31"/>
        <v>43.608076000000004</v>
      </c>
      <c r="U77" s="355">
        <f t="shared" si="32"/>
        <v>0</v>
      </c>
      <c r="V77" s="355">
        <f t="shared" si="33"/>
        <v>0</v>
      </c>
      <c r="W77" s="355">
        <f t="shared" si="34"/>
        <v>0</v>
      </c>
      <c r="X77" s="355">
        <f t="shared" si="35"/>
        <v>98.88807631736691</v>
      </c>
      <c r="Y77" s="396"/>
      <c r="Z77" s="346" t="str">
        <f t="shared" si="43"/>
        <v>0-EXSS1A</v>
      </c>
      <c r="AA77" s="346" t="str">
        <f t="shared" si="44"/>
        <v>0-EXSS1E</v>
      </c>
      <c r="AB77" s="346" t="str">
        <f t="shared" si="45"/>
        <v>0-EXSS1M</v>
      </c>
      <c r="AC77" s="346" t="str">
        <f t="shared" si="46"/>
        <v>0-EXSS1T</v>
      </c>
      <c r="AD77" s="346" t="str">
        <f t="shared" si="47"/>
        <v>0-EXSS1S</v>
      </c>
      <c r="AE77" s="346" t="str">
        <f t="shared" si="48"/>
        <v>0-EXSS1X</v>
      </c>
      <c r="AF77" s="346" t="str">
        <f t="shared" si="49"/>
        <v>0-EXSS1X</v>
      </c>
      <c r="AG77" s="346">
        <f t="shared" si="36"/>
        <v>5</v>
      </c>
      <c r="AH77" s="346">
        <f>IF(B77&lt;&gt;"",+IF(H77="x",+VLOOKUP(I77,'AUX-NIV2'!B:AG,32,FALSE),0),"")</f>
        <v>3</v>
      </c>
      <c r="AI77" s="346" t="str">
        <f t="shared" si="50"/>
        <v>0-EXSS1</v>
      </c>
      <c r="AK77" s="347">
        <f t="shared" si="37"/>
        <v>74</v>
      </c>
      <c r="AL77" s="348">
        <f t="shared" si="51"/>
        <v>78</v>
      </c>
      <c r="AM77" s="347">
        <f t="shared" si="52"/>
        <v>4</v>
      </c>
      <c r="AN77" s="382">
        <f>IF(AND(AH77&gt;0,B77&lt;&gt;""),VLOOKUP(I77,'AUX-NIV2'!$B:$AP,40,FALSE)*O77,0)</f>
        <v>6.6E-4</v>
      </c>
      <c r="AO77" s="382">
        <f t="shared" si="38"/>
        <v>7.5284999999999991E-2</v>
      </c>
      <c r="AQ77" s="395">
        <f>(IF($H77="x",VLOOKUP($I77,'AUX-NIV2'!$B:$X,'AUX-NIV1'!AQ$3,FALSE),0)+($AV77*'AUX-NIV3'!S$4))*$O77+IF($H77=AQ$4,$P77,0)</f>
        <v>0.33116873871346253</v>
      </c>
      <c r="AR77" s="395">
        <f>(IF($H77="x",VLOOKUP($I77,'AUX-NIV2'!$B:$X,'AUX-NIV1'!AR$3,FALSE),0)+($AV77*'AUX-NIV3'!T$4))*$O77+IF($H77=AR$4,$P77,0)</f>
        <v>2.18301831</v>
      </c>
      <c r="AS77" s="395">
        <f>(IF($H77="x",VLOOKUP($I77,'AUX-NIV2'!$B:$X,'AUX-NIV1'!AS$3,FALSE),0)+($AV77*'AUX-NIV3'!U$4))*$O77+IF($H77=AS$4,$P77,0)</f>
        <v>0</v>
      </c>
      <c r="AT77" s="395">
        <f>(IF($H77="x",VLOOKUP($I77,'AUX-NIV2'!$B:$X,'AUX-NIV1'!AT$3,FALSE),0)+($AV77*'AUX-NIV3'!V$4))*$O77+IF($H77=AT$4,$P77,0)</f>
        <v>0</v>
      </c>
      <c r="AU77" s="395">
        <f>(IF($H77="x",VLOOKUP($I77,'AUX-NIV2'!$B:$X,'AUX-NIV1'!AU$3,FALSE),0)+($AV77*'AUX-NIV3'!W$4))*$O77+IF($H77=AU$4,$P77,0)</f>
        <v>0</v>
      </c>
      <c r="AV77" s="395">
        <f>+IF($H77="x",VLOOKUP($I77,'AUX-NIV2'!$B:$X,'AUX-NIV1'!AV$3,FALSE),0)</f>
        <v>0</v>
      </c>
    </row>
    <row r="78" spans="2:48" ht="13.8" hidden="1" thickBot="1">
      <c r="B78" s="324" t="s">
        <v>79</v>
      </c>
      <c r="C78" s="325" t="s">
        <v>207</v>
      </c>
      <c r="D78" s="326" t="s">
        <v>1160</v>
      </c>
      <c r="E78" s="349">
        <f>IF(B78&lt;&gt;"",+SUMIF(Items!C:C,'AUX-NIV1'!B78,Items!H:H),"")</f>
        <v>0</v>
      </c>
      <c r="F78" s="349">
        <f t="shared" si="28"/>
        <v>152.96070680765376</v>
      </c>
      <c r="G78" s="349">
        <f t="shared" si="29"/>
        <v>0</v>
      </c>
      <c r="H78" s="1395" t="str">
        <f t="shared" si="39"/>
        <v>X</v>
      </c>
      <c r="I78" s="1375" t="s">
        <v>840</v>
      </c>
      <c r="J78" s="350" t="str">
        <f>IF(B78&lt;&gt;"",+VLOOKUP(I78,Recursos!C:F,2,FALSE),"")</f>
        <v>Transporte de Materiales-Camiones Astra</v>
      </c>
      <c r="K78" s="351" t="str">
        <f>IF(B78&lt;&gt;"",+VLOOKUP(I78,Recursos!C:F,3,FALSE),"")</f>
        <v>m3</v>
      </c>
      <c r="L78" s="349">
        <f>IF(B78&lt;&gt;"",+VLOOKUP(I78,Recursos!C:F,4,FALSE),"")</f>
        <v>77.09911141492276</v>
      </c>
      <c r="M78" s="331">
        <v>1.25</v>
      </c>
      <c r="N78" s="331">
        <v>1</v>
      </c>
      <c r="O78" s="362">
        <v>1.25</v>
      </c>
      <c r="P78" s="352">
        <f t="shared" si="40"/>
        <v>96.373889268653443</v>
      </c>
      <c r="Q78" s="349">
        <f t="shared" si="41"/>
        <v>0</v>
      </c>
      <c r="R78" s="353">
        <f t="shared" si="42"/>
        <v>0</v>
      </c>
      <c r="S78" s="354">
        <f t="shared" si="30"/>
        <v>10.464554490286853</v>
      </c>
      <c r="T78" s="354">
        <f t="shared" si="31"/>
        <v>43.608076000000004</v>
      </c>
      <c r="U78" s="355">
        <f t="shared" si="32"/>
        <v>0</v>
      </c>
      <c r="V78" s="355">
        <f t="shared" si="33"/>
        <v>0</v>
      </c>
      <c r="W78" s="355">
        <f t="shared" si="34"/>
        <v>0</v>
      </c>
      <c r="X78" s="355">
        <f t="shared" si="35"/>
        <v>98.88807631736691</v>
      </c>
      <c r="Y78" s="396"/>
      <c r="Z78" s="346" t="str">
        <f t="shared" si="43"/>
        <v>0-EXSS1A</v>
      </c>
      <c r="AA78" s="346" t="str">
        <f t="shared" si="44"/>
        <v>0-EXSS1E</v>
      </c>
      <c r="AB78" s="346" t="str">
        <f t="shared" si="45"/>
        <v>0-EXSS1M</v>
      </c>
      <c r="AC78" s="346" t="str">
        <f t="shared" si="46"/>
        <v>0-EXSS1T</v>
      </c>
      <c r="AD78" s="346" t="str">
        <f t="shared" si="47"/>
        <v>0-EXSS1S</v>
      </c>
      <c r="AE78" s="346" t="str">
        <f t="shared" si="48"/>
        <v>0-EXSS1X</v>
      </c>
      <c r="AF78" s="346" t="str">
        <f t="shared" si="49"/>
        <v>0-EXSS1X</v>
      </c>
      <c r="AG78" s="346">
        <f t="shared" si="36"/>
        <v>5</v>
      </c>
      <c r="AH78" s="346">
        <f>IF(B78&lt;&gt;"",+IF(H78="x",+VLOOKUP(I78,'AUX-NIV2'!B:AG,32,FALSE),0),"")</f>
        <v>3</v>
      </c>
      <c r="AI78" s="346" t="str">
        <f t="shared" si="50"/>
        <v>0-EXSS1</v>
      </c>
      <c r="AK78" s="347">
        <f t="shared" si="37"/>
        <v>74</v>
      </c>
      <c r="AL78" s="348">
        <f t="shared" si="51"/>
        <v>78</v>
      </c>
      <c r="AM78" s="347">
        <f t="shared" si="52"/>
        <v>5</v>
      </c>
      <c r="AN78" s="382">
        <f>IF(AND(AH78&gt;0,B78&lt;&gt;""),VLOOKUP(I78,'AUX-NIV2'!$B:$AP,40,FALSE)*O78,0)</f>
        <v>5.3749999999999992E-2</v>
      </c>
      <c r="AO78" s="382">
        <f t="shared" si="38"/>
        <v>7.5284999999999991E-2</v>
      </c>
      <c r="AQ78" s="395">
        <f>(IF($H78="x",VLOOKUP($I78,'AUX-NIV2'!$B:$X,'AUX-NIV1'!AQ$3,FALSE),0)+($AV78*'AUX-NIV3'!S$4))*$O78+IF($H78=AQ$4,$P78,0)</f>
        <v>24.708777768653441</v>
      </c>
      <c r="AR78" s="395">
        <f>(IF($H78="x",VLOOKUP($I78,'AUX-NIV2'!$B:$X,'AUX-NIV1'!AR$3,FALSE),0)+($AV78*'AUX-NIV3'!T$4))*$O78+IF($H78=AR$4,$P78,0)</f>
        <v>71.665111499999995</v>
      </c>
      <c r="AS78" s="395">
        <f>(IF($H78="x",VLOOKUP($I78,'AUX-NIV2'!$B:$X,'AUX-NIV1'!AS$3,FALSE),0)+($AV78*'AUX-NIV3'!U$4))*$O78+IF($H78=AS$4,$P78,0)</f>
        <v>0</v>
      </c>
      <c r="AT78" s="395">
        <f>(IF($H78="x",VLOOKUP($I78,'AUX-NIV2'!$B:$X,'AUX-NIV1'!AT$3,FALSE),0)+($AV78*'AUX-NIV3'!V$4))*$O78+IF($H78=AT$4,$P78,0)</f>
        <v>0</v>
      </c>
      <c r="AU78" s="395">
        <f>(IF($H78="x",VLOOKUP($I78,'AUX-NIV2'!$B:$X,'AUX-NIV1'!AU$3,FALSE),0)+($AV78*'AUX-NIV3'!W$4))*$O78+IF($H78=AU$4,$P78,0)</f>
        <v>0</v>
      </c>
      <c r="AV78" s="395">
        <f>+IF($H78="x",VLOOKUP($I78,'AUX-NIV2'!$B:$X,'AUX-NIV1'!AV$3,FALSE),0)</f>
        <v>0</v>
      </c>
    </row>
    <row r="79" spans="2:48" ht="13.8" hidden="1" thickBot="1">
      <c r="B79" s="324" t="s">
        <v>80</v>
      </c>
      <c r="C79" s="325" t="s">
        <v>208</v>
      </c>
      <c r="D79" s="326" t="s">
        <v>1160</v>
      </c>
      <c r="E79" s="349">
        <f>IF(B79&lt;&gt;"",+SUMIF(Items!C:C,'AUX-NIV1'!B79,Items!H:H),"")</f>
        <v>0</v>
      </c>
      <c r="F79" s="349">
        <f t="shared" si="28"/>
        <v>139.95943331992265</v>
      </c>
      <c r="G79" s="349">
        <f t="shared" si="29"/>
        <v>0</v>
      </c>
      <c r="H79" s="1395" t="str">
        <f t="shared" si="39"/>
        <v>A</v>
      </c>
      <c r="I79" s="1375" t="s">
        <v>3311</v>
      </c>
      <c r="J79" s="350" t="str">
        <f>IF(B79&lt;&gt;"",+VLOOKUP(I79,Recursos!C:F,2,FALSE),"")</f>
        <v>OPER. EQUIPO</v>
      </c>
      <c r="K79" s="351" t="str">
        <f>IF(B79&lt;&gt;"",+VLOOKUP(I79,Recursos!C:F,3,FALSE),"")</f>
        <v>hh</v>
      </c>
      <c r="L79" s="349">
        <f>IF(B79&lt;&gt;"",+VLOOKUP(I79,Recursos!C:F,4,FALSE),"")</f>
        <v>581.06120476836554</v>
      </c>
      <c r="M79" s="331">
        <v>5.7999999999999996E-3</v>
      </c>
      <c r="N79" s="331">
        <v>1.25</v>
      </c>
      <c r="O79" s="362">
        <v>7.2500000000000004E-3</v>
      </c>
      <c r="P79" s="352">
        <f t="shared" si="40"/>
        <v>4.2126937345706503</v>
      </c>
      <c r="Q79" s="349">
        <f t="shared" si="41"/>
        <v>0</v>
      </c>
      <c r="R79" s="353">
        <f t="shared" si="42"/>
        <v>0</v>
      </c>
      <c r="S79" s="354">
        <f t="shared" si="30"/>
        <v>7.2756768353715255</v>
      </c>
      <c r="T79" s="354">
        <f t="shared" si="31"/>
        <v>36.961080000000003</v>
      </c>
      <c r="U79" s="355">
        <f t="shared" si="32"/>
        <v>0</v>
      </c>
      <c r="V79" s="355">
        <f t="shared" si="33"/>
        <v>0</v>
      </c>
      <c r="W79" s="355">
        <f t="shared" si="34"/>
        <v>0</v>
      </c>
      <c r="X79" s="355">
        <f t="shared" si="35"/>
        <v>95.72267648455113</v>
      </c>
      <c r="Y79" s="396"/>
      <c r="Z79" s="346" t="str">
        <f t="shared" si="43"/>
        <v>0-EXSS2A</v>
      </c>
      <c r="AA79" s="346" t="str">
        <f t="shared" si="44"/>
        <v>0-EXSS2E</v>
      </c>
      <c r="AB79" s="346" t="str">
        <f t="shared" si="45"/>
        <v>0-EXSS2M</v>
      </c>
      <c r="AC79" s="346" t="str">
        <f t="shared" si="46"/>
        <v>0-EXSS2T</v>
      </c>
      <c r="AD79" s="346" t="str">
        <f t="shared" si="47"/>
        <v>0-EXSS2S</v>
      </c>
      <c r="AE79" s="346" t="str">
        <f t="shared" si="48"/>
        <v>0-EXSS2X</v>
      </c>
      <c r="AF79" s="346" t="str">
        <f t="shared" si="49"/>
        <v>0-EXSS2A</v>
      </c>
      <c r="AG79" s="346">
        <f t="shared" si="36"/>
        <v>5</v>
      </c>
      <c r="AH79" s="346">
        <f>IF(B79&lt;&gt;"",+IF(H79="x",+VLOOKUP(I79,'AUX-NIV2'!B:AG,32,FALSE),0),"")</f>
        <v>0</v>
      </c>
      <c r="AI79" s="346" t="str">
        <f t="shared" si="50"/>
        <v>0-EXSS2</v>
      </c>
      <c r="AK79" s="347">
        <f t="shared" si="37"/>
        <v>79</v>
      </c>
      <c r="AL79" s="348">
        <f t="shared" si="51"/>
        <v>83</v>
      </c>
      <c r="AM79" s="347">
        <f t="shared" si="52"/>
        <v>1</v>
      </c>
      <c r="AN79" s="382">
        <f>IF(AND(AH79&gt;0,B79&lt;&gt;""),VLOOKUP(I79,'AUX-NIV2'!$B:$AP,40,FALSE)*O79,0)</f>
        <v>0</v>
      </c>
      <c r="AO79" s="382">
        <f t="shared" si="38"/>
        <v>4.641E-2</v>
      </c>
      <c r="AQ79" s="395">
        <f>(IF($H79="x",VLOOKUP($I79,'AUX-NIV2'!$B:$X,'AUX-NIV1'!AQ$3,FALSE),0)+($AV79*'AUX-NIV3'!S$4))*$O79+IF($H79=AQ$4,$P79,0)</f>
        <v>4.2126937345706503</v>
      </c>
      <c r="AR79" s="395">
        <f>(IF($H79="x",VLOOKUP($I79,'AUX-NIV2'!$B:$X,'AUX-NIV1'!AR$3,FALSE),0)+($AV79*'AUX-NIV3'!T$4))*$O79+IF($H79=AR$4,$P79,0)</f>
        <v>0</v>
      </c>
      <c r="AS79" s="395">
        <f>(IF($H79="x",VLOOKUP($I79,'AUX-NIV2'!$B:$X,'AUX-NIV1'!AS$3,FALSE),0)+($AV79*'AUX-NIV3'!U$4))*$O79+IF($H79=AS$4,$P79,0)</f>
        <v>0</v>
      </c>
      <c r="AT79" s="395">
        <f>(IF($H79="x",VLOOKUP($I79,'AUX-NIV2'!$B:$X,'AUX-NIV1'!AT$3,FALSE),0)+($AV79*'AUX-NIV3'!V$4))*$O79+IF($H79=AT$4,$P79,0)</f>
        <v>0</v>
      </c>
      <c r="AU79" s="395">
        <f>(IF($H79="x",VLOOKUP($I79,'AUX-NIV2'!$B:$X,'AUX-NIV1'!AU$3,FALSE),0)+($AV79*'AUX-NIV3'!W$4))*$O79+IF($H79=AU$4,$P79,0)</f>
        <v>0</v>
      </c>
      <c r="AV79" s="395">
        <f>+IF($H79="x",VLOOKUP($I79,'AUX-NIV2'!$B:$X,'AUX-NIV1'!AV$3,FALSE),0)</f>
        <v>0</v>
      </c>
    </row>
    <row r="80" spans="2:48" ht="13.8" hidden="1" thickBot="1">
      <c r="B80" s="324" t="s">
        <v>80</v>
      </c>
      <c r="C80" s="325" t="s">
        <v>208</v>
      </c>
      <c r="D80" s="326" t="s">
        <v>1160</v>
      </c>
      <c r="E80" s="349">
        <f>IF(B80&lt;&gt;"",+SUMIF(Items!C:C,'AUX-NIV1'!B80,Items!H:H),"")</f>
        <v>0</v>
      </c>
      <c r="F80" s="349">
        <f t="shared" si="28"/>
        <v>139.95943331992265</v>
      </c>
      <c r="G80" s="349">
        <f t="shared" si="29"/>
        <v>0</v>
      </c>
      <c r="H80" s="1395" t="str">
        <f t="shared" si="39"/>
        <v>X</v>
      </c>
      <c r="I80" s="1375" t="s">
        <v>783</v>
      </c>
      <c r="J80" s="350" t="str">
        <f>IF(B80&lt;&gt;"",+VLOOKUP(I80,Recursos!C:F,2,FALSE),"")</f>
        <v>Destape en Yacimiento/Excavación - Arreglo Botaderos</v>
      </c>
      <c r="K80" s="351" t="str">
        <f>IF(B80&lt;&gt;"",+VLOOKUP(I80,Recursos!C:F,3,FALSE),"")</f>
        <v>m3</v>
      </c>
      <c r="L80" s="349">
        <f>IF(B80&lt;&gt;"",+VLOOKUP(I80,Recursos!C:F,4,FALSE),"")</f>
        <v>25.141870487134625</v>
      </c>
      <c r="M80" s="331">
        <v>0.1</v>
      </c>
      <c r="N80" s="331">
        <v>1</v>
      </c>
      <c r="O80" s="362">
        <v>0.1</v>
      </c>
      <c r="P80" s="352">
        <f t="shared" si="40"/>
        <v>2.5141870487134628</v>
      </c>
      <c r="Q80" s="349">
        <f t="shared" si="41"/>
        <v>0</v>
      </c>
      <c r="R80" s="353">
        <f t="shared" si="42"/>
        <v>0</v>
      </c>
      <c r="S80" s="354">
        <f t="shared" si="30"/>
        <v>7.2756768353715255</v>
      </c>
      <c r="T80" s="354">
        <f t="shared" si="31"/>
        <v>36.961080000000003</v>
      </c>
      <c r="U80" s="355">
        <f t="shared" si="32"/>
        <v>0</v>
      </c>
      <c r="V80" s="355">
        <f t="shared" si="33"/>
        <v>0</v>
      </c>
      <c r="W80" s="355">
        <f t="shared" si="34"/>
        <v>0</v>
      </c>
      <c r="X80" s="355">
        <f t="shared" si="35"/>
        <v>95.72267648455113</v>
      </c>
      <c r="Y80" s="396"/>
      <c r="Z80" s="346" t="str">
        <f t="shared" si="43"/>
        <v>0-EXSS2A</v>
      </c>
      <c r="AA80" s="346" t="str">
        <f t="shared" si="44"/>
        <v>0-EXSS2E</v>
      </c>
      <c r="AB80" s="346" t="str">
        <f t="shared" si="45"/>
        <v>0-EXSS2M</v>
      </c>
      <c r="AC80" s="346" t="str">
        <f t="shared" si="46"/>
        <v>0-EXSS2T</v>
      </c>
      <c r="AD80" s="346" t="str">
        <f t="shared" si="47"/>
        <v>0-EXSS2S</v>
      </c>
      <c r="AE80" s="346" t="str">
        <f t="shared" si="48"/>
        <v>0-EXSS2X</v>
      </c>
      <c r="AF80" s="346" t="str">
        <f t="shared" si="49"/>
        <v>0-EXSS2X</v>
      </c>
      <c r="AG80" s="346">
        <f t="shared" si="36"/>
        <v>5</v>
      </c>
      <c r="AH80" s="346">
        <f>IF(B80&lt;&gt;"",+IF(H80="x",+VLOOKUP(I80,'AUX-NIV2'!B:AG,32,FALSE),0),"")</f>
        <v>3</v>
      </c>
      <c r="AI80" s="346" t="str">
        <f t="shared" si="50"/>
        <v>0-EXSS2</v>
      </c>
      <c r="AK80" s="347">
        <f t="shared" si="37"/>
        <v>79</v>
      </c>
      <c r="AL80" s="348">
        <f t="shared" si="51"/>
        <v>83</v>
      </c>
      <c r="AM80" s="347">
        <f t="shared" si="52"/>
        <v>2</v>
      </c>
      <c r="AN80" s="382">
        <f>IF(AND(AH80&gt;0,B80&lt;&gt;""),VLOOKUP(I80,'AUX-NIV2'!$B:$AP,40,FALSE)*O80,0)</f>
        <v>6.6E-4</v>
      </c>
      <c r="AO80" s="382">
        <f t="shared" si="38"/>
        <v>4.641E-2</v>
      </c>
      <c r="AQ80" s="395">
        <f>(IF($H80="x",VLOOKUP($I80,'AUX-NIV2'!$B:$X,'AUX-NIV1'!AQ$3,FALSE),0)+($AV80*'AUX-NIV3'!S$4))*$O80+IF($H80=AQ$4,$P80,0)</f>
        <v>0.33116873871346253</v>
      </c>
      <c r="AR80" s="395">
        <f>(IF($H80="x",VLOOKUP($I80,'AUX-NIV2'!$B:$X,'AUX-NIV1'!AR$3,FALSE),0)+($AV80*'AUX-NIV3'!T$4))*$O80+IF($H80=AR$4,$P80,0)</f>
        <v>2.18301831</v>
      </c>
      <c r="AS80" s="395">
        <f>(IF($H80="x",VLOOKUP($I80,'AUX-NIV2'!$B:$X,'AUX-NIV1'!AS$3,FALSE),0)+($AV80*'AUX-NIV3'!U$4))*$O80+IF($H80=AS$4,$P80,0)</f>
        <v>0</v>
      </c>
      <c r="AT80" s="395">
        <f>(IF($H80="x",VLOOKUP($I80,'AUX-NIV2'!$B:$X,'AUX-NIV1'!AT$3,FALSE),0)+($AV80*'AUX-NIV3'!V$4))*$O80+IF($H80=AT$4,$P80,0)</f>
        <v>0</v>
      </c>
      <c r="AU80" s="395">
        <f>(IF($H80="x",VLOOKUP($I80,'AUX-NIV2'!$B:$X,'AUX-NIV1'!AU$3,FALSE),0)+($AV80*'AUX-NIV3'!W$4))*$O80+IF($H80=AU$4,$P80,0)</f>
        <v>0</v>
      </c>
      <c r="AV80" s="395">
        <f>+IF($H80="x",VLOOKUP($I80,'AUX-NIV2'!$B:$X,'AUX-NIV1'!AV$3,FALSE),0)</f>
        <v>0</v>
      </c>
    </row>
    <row r="81" spans="2:48" ht="13.8" hidden="1" thickBot="1">
      <c r="B81" s="324" t="s">
        <v>80</v>
      </c>
      <c r="C81" s="325" t="s">
        <v>208</v>
      </c>
      <c r="D81" s="326" t="s">
        <v>1160</v>
      </c>
      <c r="E81" s="349">
        <f>IF(B81&lt;&gt;"",+SUMIF(Items!C:C,'AUX-NIV1'!B81,Items!H:H),"")</f>
        <v>0</v>
      </c>
      <c r="F81" s="349">
        <f t="shared" si="28"/>
        <v>139.95943331992265</v>
      </c>
      <c r="G81" s="349">
        <f t="shared" si="29"/>
        <v>0</v>
      </c>
      <c r="H81" s="1395" t="str">
        <f t="shared" si="39"/>
        <v>A</v>
      </c>
      <c r="I81" s="1375" t="s">
        <v>1745</v>
      </c>
      <c r="J81" s="350" t="str">
        <f>IF(B81&lt;&gt;"",+VLOOKUP(I81,Recursos!C:F,2,FALSE),"")</f>
        <v>AYUDANTE</v>
      </c>
      <c r="K81" s="351" t="str">
        <f>IF(B81&lt;&gt;"",+VLOOKUP(I81,Recursos!C:F,3,FALSE),"")</f>
        <v>hh</v>
      </c>
      <c r="L81" s="349">
        <f>IF(B81&lt;&gt;"",+VLOOKUP(I81,Recursos!C:F,4,FALSE),"")</f>
        <v>422.48042769667234</v>
      </c>
      <c r="M81" s="331">
        <v>5.7999999999999996E-3</v>
      </c>
      <c r="N81" s="331">
        <v>1.25</v>
      </c>
      <c r="O81" s="362">
        <v>7.2500000000000004E-3</v>
      </c>
      <c r="P81" s="352">
        <f t="shared" si="40"/>
        <v>3.0629831008008748</v>
      </c>
      <c r="Q81" s="349">
        <f t="shared" si="41"/>
        <v>0</v>
      </c>
      <c r="R81" s="353">
        <f t="shared" si="42"/>
        <v>0</v>
      </c>
      <c r="S81" s="354">
        <f t="shared" si="30"/>
        <v>7.2756768353715255</v>
      </c>
      <c r="T81" s="354">
        <f t="shared" si="31"/>
        <v>36.961080000000003</v>
      </c>
      <c r="U81" s="355">
        <f t="shared" si="32"/>
        <v>0</v>
      </c>
      <c r="V81" s="355">
        <f t="shared" si="33"/>
        <v>0</v>
      </c>
      <c r="W81" s="355">
        <f t="shared" si="34"/>
        <v>0</v>
      </c>
      <c r="X81" s="355">
        <f t="shared" si="35"/>
        <v>95.72267648455113</v>
      </c>
      <c r="Y81" s="396"/>
      <c r="Z81" s="346" t="str">
        <f t="shared" si="43"/>
        <v>0-EXSS2A</v>
      </c>
      <c r="AA81" s="346" t="str">
        <f t="shared" si="44"/>
        <v>0-EXSS2E</v>
      </c>
      <c r="AB81" s="346" t="str">
        <f t="shared" si="45"/>
        <v>0-EXSS2M</v>
      </c>
      <c r="AC81" s="346" t="str">
        <f t="shared" si="46"/>
        <v>0-EXSS2T</v>
      </c>
      <c r="AD81" s="346" t="str">
        <f t="shared" si="47"/>
        <v>0-EXSS2S</v>
      </c>
      <c r="AE81" s="346" t="str">
        <f t="shared" si="48"/>
        <v>0-EXSS2X</v>
      </c>
      <c r="AF81" s="346" t="str">
        <f t="shared" si="49"/>
        <v>0-EXSS2A</v>
      </c>
      <c r="AG81" s="346">
        <f t="shared" si="36"/>
        <v>5</v>
      </c>
      <c r="AH81" s="346">
        <f>IF(B81&lt;&gt;"",+IF(H81="x",+VLOOKUP(I81,'AUX-NIV2'!B:AG,32,FALSE),0),"")</f>
        <v>0</v>
      </c>
      <c r="AI81" s="346" t="str">
        <f t="shared" si="50"/>
        <v>0-EXSS2</v>
      </c>
      <c r="AK81" s="347">
        <f t="shared" si="37"/>
        <v>79</v>
      </c>
      <c r="AL81" s="348">
        <f t="shared" si="51"/>
        <v>83</v>
      </c>
      <c r="AM81" s="347">
        <f t="shared" si="52"/>
        <v>3</v>
      </c>
      <c r="AN81" s="382">
        <f>IF(AND(AH81&gt;0,B81&lt;&gt;""),VLOOKUP(I81,'AUX-NIV2'!$B:$AP,40,FALSE)*O81,0)</f>
        <v>0</v>
      </c>
      <c r="AO81" s="382">
        <f t="shared" si="38"/>
        <v>4.641E-2</v>
      </c>
      <c r="AQ81" s="395">
        <f>(IF($H81="x",VLOOKUP($I81,'AUX-NIV2'!$B:$X,'AUX-NIV1'!AQ$3,FALSE),0)+($AV81*'AUX-NIV3'!S$4))*$O81+IF($H81=AQ$4,$P81,0)</f>
        <v>3.0629831008008748</v>
      </c>
      <c r="AR81" s="395">
        <f>(IF($H81="x",VLOOKUP($I81,'AUX-NIV2'!$B:$X,'AUX-NIV1'!AR$3,FALSE),0)+($AV81*'AUX-NIV3'!T$4))*$O81+IF($H81=AR$4,$P81,0)</f>
        <v>0</v>
      </c>
      <c r="AS81" s="395">
        <f>(IF($H81="x",VLOOKUP($I81,'AUX-NIV2'!$B:$X,'AUX-NIV1'!AS$3,FALSE),0)+($AV81*'AUX-NIV3'!U$4))*$O81+IF($H81=AS$4,$P81,0)</f>
        <v>0</v>
      </c>
      <c r="AT81" s="395">
        <f>(IF($H81="x",VLOOKUP($I81,'AUX-NIV2'!$B:$X,'AUX-NIV1'!AT$3,FALSE),0)+($AV81*'AUX-NIV3'!V$4))*$O81+IF($H81=AT$4,$P81,0)</f>
        <v>0</v>
      </c>
      <c r="AU81" s="395">
        <f>(IF($H81="x",VLOOKUP($I81,'AUX-NIV2'!$B:$X,'AUX-NIV1'!AU$3,FALSE),0)+($AV81*'AUX-NIV3'!W$4))*$O81+IF($H81=AU$4,$P81,0)</f>
        <v>0</v>
      </c>
      <c r="AV81" s="395">
        <f>+IF($H81="x",VLOOKUP($I81,'AUX-NIV2'!$B:$X,'AUX-NIV1'!AV$3,FALSE),0)</f>
        <v>0</v>
      </c>
    </row>
    <row r="82" spans="2:48" ht="13.8" hidden="1" thickBot="1">
      <c r="B82" s="324" t="s">
        <v>80</v>
      </c>
      <c r="C82" s="325" t="s">
        <v>208</v>
      </c>
      <c r="D82" s="326" t="s">
        <v>1160</v>
      </c>
      <c r="E82" s="349">
        <f>IF(B82&lt;&gt;"",+SUMIF(Items!C:C,'AUX-NIV1'!B82,Items!H:H),"")</f>
        <v>0</v>
      </c>
      <c r="F82" s="349">
        <f t="shared" si="28"/>
        <v>139.95943331992265</v>
      </c>
      <c r="G82" s="349">
        <f t="shared" si="29"/>
        <v>0</v>
      </c>
      <c r="H82" s="1395" t="str">
        <f t="shared" si="39"/>
        <v>E</v>
      </c>
      <c r="I82" s="1375" t="s">
        <v>1641</v>
      </c>
      <c r="J82" s="350" t="str">
        <f>IF(B82&lt;&gt;"",+VLOOKUP(I82,Recursos!C:F,2,FALSE),"")</f>
        <v>RETROEXCAVADORA S/CARRILES  2,5 M3</v>
      </c>
      <c r="K82" s="351" t="str">
        <f>IF(B82&lt;&gt;"",+VLOOKUP(I82,Recursos!C:F,3,FALSE),"")</f>
        <v>HR</v>
      </c>
      <c r="L82" s="349">
        <f>IF(B82&lt;&gt;"",+VLOOKUP(I82,Recursos!C:F,4,FALSE),"")</f>
        <v>6372.6</v>
      </c>
      <c r="M82" s="331">
        <v>5.7999999999999996E-3</v>
      </c>
      <c r="N82" s="331">
        <v>1</v>
      </c>
      <c r="O82" s="362">
        <v>5.7999999999999996E-3</v>
      </c>
      <c r="P82" s="352">
        <f t="shared" si="40"/>
        <v>36.961080000000003</v>
      </c>
      <c r="Q82" s="349">
        <f t="shared" si="41"/>
        <v>0</v>
      </c>
      <c r="R82" s="353">
        <f t="shared" si="42"/>
        <v>0</v>
      </c>
      <c r="S82" s="354">
        <f t="shared" si="30"/>
        <v>7.2756768353715255</v>
      </c>
      <c r="T82" s="354">
        <f t="shared" si="31"/>
        <v>36.961080000000003</v>
      </c>
      <c r="U82" s="355">
        <f t="shared" si="32"/>
        <v>0</v>
      </c>
      <c r="V82" s="355">
        <f t="shared" si="33"/>
        <v>0</v>
      </c>
      <c r="W82" s="355">
        <f t="shared" si="34"/>
        <v>0</v>
      </c>
      <c r="X82" s="355">
        <f t="shared" si="35"/>
        <v>95.72267648455113</v>
      </c>
      <c r="Y82" s="396"/>
      <c r="Z82" s="346" t="str">
        <f t="shared" si="43"/>
        <v>0-EXSS2A</v>
      </c>
      <c r="AA82" s="346" t="str">
        <f t="shared" si="44"/>
        <v>0-EXSS2E</v>
      </c>
      <c r="AB82" s="346" t="str">
        <f t="shared" si="45"/>
        <v>0-EXSS2M</v>
      </c>
      <c r="AC82" s="346" t="str">
        <f t="shared" si="46"/>
        <v>0-EXSS2T</v>
      </c>
      <c r="AD82" s="346" t="str">
        <f t="shared" si="47"/>
        <v>0-EXSS2S</v>
      </c>
      <c r="AE82" s="346" t="str">
        <f t="shared" si="48"/>
        <v>0-EXSS2X</v>
      </c>
      <c r="AF82" s="346" t="str">
        <f t="shared" si="49"/>
        <v>0-EXSS2E</v>
      </c>
      <c r="AG82" s="346">
        <f t="shared" si="36"/>
        <v>5</v>
      </c>
      <c r="AH82" s="346">
        <f>IF(B82&lt;&gt;"",+IF(H82="x",+VLOOKUP(I82,'AUX-NIV2'!B:AG,32,FALSE),0),"")</f>
        <v>0</v>
      </c>
      <c r="AI82" s="346" t="str">
        <f t="shared" si="50"/>
        <v>0-EXSS2</v>
      </c>
      <c r="AK82" s="347">
        <f t="shared" si="37"/>
        <v>79</v>
      </c>
      <c r="AL82" s="348">
        <f t="shared" si="51"/>
        <v>83</v>
      </c>
      <c r="AM82" s="347">
        <f t="shared" si="52"/>
        <v>4</v>
      </c>
      <c r="AN82" s="382">
        <f>IF(AND(AH82&gt;0,B82&lt;&gt;""),VLOOKUP(I82,'AUX-NIV2'!$B:$AP,40,FALSE)*O82,0)</f>
        <v>0</v>
      </c>
      <c r="AO82" s="382">
        <f t="shared" si="38"/>
        <v>4.641E-2</v>
      </c>
      <c r="AQ82" s="395">
        <f>(IF($H82="x",VLOOKUP($I82,'AUX-NIV2'!$B:$X,'AUX-NIV1'!AQ$3,FALSE),0)+($AV82*'AUX-NIV3'!S$4))*$O82+IF($H82=AQ$4,$P82,0)</f>
        <v>0</v>
      </c>
      <c r="AR82" s="395">
        <f>(IF($H82="x",VLOOKUP($I82,'AUX-NIV2'!$B:$X,'AUX-NIV1'!AR$3,FALSE),0)+($AV82*'AUX-NIV3'!T$4))*$O82+IF($H82=AR$4,$P82,0)</f>
        <v>36.961080000000003</v>
      </c>
      <c r="AS82" s="395">
        <f>(IF($H82="x",VLOOKUP($I82,'AUX-NIV2'!$B:$X,'AUX-NIV1'!AS$3,FALSE),0)+($AV82*'AUX-NIV3'!U$4))*$O82+IF($H82=AS$4,$P82,0)</f>
        <v>0</v>
      </c>
      <c r="AT82" s="395">
        <f>(IF($H82="x",VLOOKUP($I82,'AUX-NIV2'!$B:$X,'AUX-NIV1'!AT$3,FALSE),0)+($AV82*'AUX-NIV3'!V$4))*$O82+IF($H82=AT$4,$P82,0)</f>
        <v>0</v>
      </c>
      <c r="AU82" s="395">
        <f>(IF($H82="x",VLOOKUP($I82,'AUX-NIV2'!$B:$X,'AUX-NIV1'!AU$3,FALSE),0)+($AV82*'AUX-NIV3'!W$4))*$O82+IF($H82=AU$4,$P82,0)</f>
        <v>0</v>
      </c>
      <c r="AV82" s="395">
        <f>+IF($H82="x",VLOOKUP($I82,'AUX-NIV2'!$B:$X,'AUX-NIV1'!AV$3,FALSE),0)</f>
        <v>0</v>
      </c>
    </row>
    <row r="83" spans="2:48" ht="13.8" hidden="1" thickBot="1">
      <c r="B83" s="324" t="s">
        <v>80</v>
      </c>
      <c r="C83" s="325" t="s">
        <v>208</v>
      </c>
      <c r="D83" s="326" t="s">
        <v>1160</v>
      </c>
      <c r="E83" s="349">
        <f>IF(B83&lt;&gt;"",+SUMIF(Items!C:C,'AUX-NIV1'!B83,Items!H:H),"")</f>
        <v>0</v>
      </c>
      <c r="F83" s="349">
        <f t="shared" si="28"/>
        <v>139.95943331992265</v>
      </c>
      <c r="G83" s="349">
        <f t="shared" si="29"/>
        <v>0</v>
      </c>
      <c r="H83" s="1395" t="str">
        <f t="shared" si="39"/>
        <v>X</v>
      </c>
      <c r="I83" s="1375" t="s">
        <v>845</v>
      </c>
      <c r="J83" s="350" t="str">
        <f>IF(B83&lt;&gt;"",+VLOOKUP(I83,Recursos!C:F,2,FALSE),"")</f>
        <v>Transporte de Materiales con Camiones Fuera de Ruta</v>
      </c>
      <c r="K83" s="351" t="str">
        <f>IF(B83&lt;&gt;"",+VLOOKUP(I83,Recursos!C:F,3,FALSE),"")</f>
        <v>m3</v>
      </c>
      <c r="L83" s="349">
        <f>IF(B83&lt;&gt;"",+VLOOKUP(I83,Recursos!C:F,4,FALSE),"")</f>
        <v>74.566791548670125</v>
      </c>
      <c r="M83" s="331">
        <v>1</v>
      </c>
      <c r="N83" s="331">
        <v>1.25</v>
      </c>
      <c r="O83" s="362">
        <v>1.25</v>
      </c>
      <c r="P83" s="352">
        <f t="shared" si="40"/>
        <v>93.208489435837663</v>
      </c>
      <c r="Q83" s="349">
        <f t="shared" si="41"/>
        <v>0</v>
      </c>
      <c r="R83" s="353">
        <f t="shared" si="42"/>
        <v>0</v>
      </c>
      <c r="S83" s="354">
        <f t="shared" si="30"/>
        <v>7.2756768353715255</v>
      </c>
      <c r="T83" s="354">
        <f t="shared" si="31"/>
        <v>36.961080000000003</v>
      </c>
      <c r="U83" s="355">
        <f t="shared" si="32"/>
        <v>0</v>
      </c>
      <c r="V83" s="355">
        <f t="shared" si="33"/>
        <v>0</v>
      </c>
      <c r="W83" s="355">
        <f t="shared" si="34"/>
        <v>0</v>
      </c>
      <c r="X83" s="355">
        <f t="shared" si="35"/>
        <v>95.72267648455113</v>
      </c>
      <c r="Y83" s="396"/>
      <c r="Z83" s="346" t="str">
        <f t="shared" si="43"/>
        <v>0-EXSS2A</v>
      </c>
      <c r="AA83" s="346" t="str">
        <f t="shared" si="44"/>
        <v>0-EXSS2E</v>
      </c>
      <c r="AB83" s="346" t="str">
        <f t="shared" si="45"/>
        <v>0-EXSS2M</v>
      </c>
      <c r="AC83" s="346" t="str">
        <f t="shared" si="46"/>
        <v>0-EXSS2T</v>
      </c>
      <c r="AD83" s="346" t="str">
        <f t="shared" si="47"/>
        <v>0-EXSS2S</v>
      </c>
      <c r="AE83" s="346" t="str">
        <f t="shared" si="48"/>
        <v>0-EXSS2X</v>
      </c>
      <c r="AF83" s="346" t="str">
        <f t="shared" si="49"/>
        <v>0-EXSS2X</v>
      </c>
      <c r="AG83" s="346">
        <f t="shared" si="36"/>
        <v>5</v>
      </c>
      <c r="AH83" s="346">
        <f>IF(B83&lt;&gt;"",+IF(H83="x",+VLOOKUP(I83,'AUX-NIV2'!B:AG,32,FALSE),0),"")</f>
        <v>3</v>
      </c>
      <c r="AI83" s="346" t="str">
        <f t="shared" si="50"/>
        <v>0-EXSS2</v>
      </c>
      <c r="AK83" s="347">
        <f t="shared" si="37"/>
        <v>79</v>
      </c>
      <c r="AL83" s="348">
        <f t="shared" si="51"/>
        <v>83</v>
      </c>
      <c r="AM83" s="347">
        <f t="shared" si="52"/>
        <v>5</v>
      </c>
      <c r="AN83" s="382">
        <f>IF(AND(AH83&gt;0,B83&lt;&gt;""),VLOOKUP(I83,'AUX-NIV2'!$B:$AP,40,FALSE)*O83,0)</f>
        <v>3.125E-2</v>
      </c>
      <c r="AO83" s="382">
        <f t="shared" si="38"/>
        <v>4.641E-2</v>
      </c>
      <c r="AQ83" s="395">
        <f>(IF($H83="x",VLOOKUP($I83,'AUX-NIV2'!$B:$X,'AUX-NIV1'!AQ$3,FALSE),0)+($AV83*'AUX-NIV3'!S$4))*$O83+IF($H83=AQ$4,$P83,0)</f>
        <v>15.680338007266217</v>
      </c>
      <c r="AR83" s="395">
        <f>(IF($H83="x",VLOOKUP($I83,'AUX-NIV2'!$B:$X,'AUX-NIV1'!AR$3,FALSE),0)+($AV83*'AUX-NIV3'!T$4))*$O83+IF($H83=AR$4,$P83,0)</f>
        <v>77.528151428571434</v>
      </c>
      <c r="AS83" s="395">
        <f>(IF($H83="x",VLOOKUP($I83,'AUX-NIV2'!$B:$X,'AUX-NIV1'!AS$3,FALSE),0)+($AV83*'AUX-NIV3'!U$4))*$O83+IF($H83=AS$4,$P83,0)</f>
        <v>0</v>
      </c>
      <c r="AT83" s="395">
        <f>(IF($H83="x",VLOOKUP($I83,'AUX-NIV2'!$B:$X,'AUX-NIV1'!AT$3,FALSE),0)+($AV83*'AUX-NIV3'!V$4))*$O83+IF($H83=AT$4,$P83,0)</f>
        <v>0</v>
      </c>
      <c r="AU83" s="395">
        <f>(IF($H83="x",VLOOKUP($I83,'AUX-NIV2'!$B:$X,'AUX-NIV1'!AU$3,FALSE),0)+($AV83*'AUX-NIV3'!W$4))*$O83+IF($H83=AU$4,$P83,0)</f>
        <v>0</v>
      </c>
      <c r="AV83" s="395">
        <f>+IF($H83="x",VLOOKUP($I83,'AUX-NIV2'!$B:$X,'AUX-NIV1'!AV$3,FALSE),0)</f>
        <v>0</v>
      </c>
    </row>
    <row r="84" spans="2:48" ht="13.8" hidden="1" thickBot="1">
      <c r="B84" s="324" t="s">
        <v>81</v>
      </c>
      <c r="C84" s="325" t="s">
        <v>209</v>
      </c>
      <c r="D84" s="326" t="s">
        <v>1160</v>
      </c>
      <c r="E84" s="349">
        <f>IF(B84&lt;&gt;"",+SUMIF(Items!C:C,'AUX-NIV1'!B84,Items!H:H),"")</f>
        <v>0</v>
      </c>
      <c r="F84" s="349">
        <f t="shared" si="28"/>
        <v>52.632390093265741</v>
      </c>
      <c r="G84" s="349">
        <f t="shared" si="29"/>
        <v>0</v>
      </c>
      <c r="H84" s="1395" t="str">
        <f t="shared" si="39"/>
        <v>A</v>
      </c>
      <c r="I84" s="1375" t="s">
        <v>3311</v>
      </c>
      <c r="J84" s="350" t="str">
        <f>IF(B84&lt;&gt;"",+VLOOKUP(I84,Recursos!C:F,2,FALSE),"")</f>
        <v>OPER. EQUIPO</v>
      </c>
      <c r="K84" s="351" t="str">
        <f>IF(B84&lt;&gt;"",+VLOOKUP(I84,Recursos!C:F,3,FALSE),"")</f>
        <v>hh</v>
      </c>
      <c r="L84" s="349">
        <f>IF(B84&lt;&gt;"",+VLOOKUP(I84,Recursos!C:F,4,FALSE),"")</f>
        <v>581.06120476836554</v>
      </c>
      <c r="M84" s="331">
        <v>1.43E-2</v>
      </c>
      <c r="N84" s="331">
        <v>1.25</v>
      </c>
      <c r="O84" s="362">
        <v>1.7874999999999999E-2</v>
      </c>
      <c r="P84" s="352">
        <f t="shared" si="40"/>
        <v>10.386469035234533</v>
      </c>
      <c r="Q84" s="349">
        <f t="shared" si="41"/>
        <v>0</v>
      </c>
      <c r="R84" s="353">
        <f t="shared" si="42"/>
        <v>0</v>
      </c>
      <c r="S84" s="354">
        <f t="shared" si="30"/>
        <v>13.40720409326574</v>
      </c>
      <c r="T84" s="354">
        <f t="shared" si="31"/>
        <v>39.225186000000001</v>
      </c>
      <c r="U84" s="355">
        <f t="shared" si="32"/>
        <v>0</v>
      </c>
      <c r="V84" s="355">
        <f t="shared" si="33"/>
        <v>0</v>
      </c>
      <c r="W84" s="355">
        <f t="shared" si="34"/>
        <v>0</v>
      </c>
      <c r="X84" s="355">
        <f t="shared" si="35"/>
        <v>0</v>
      </c>
      <c r="Y84" s="396"/>
      <c r="Z84" s="346" t="str">
        <f t="shared" si="43"/>
        <v>0-EXSS3A</v>
      </c>
      <c r="AA84" s="346" t="str">
        <f t="shared" si="44"/>
        <v>0-EXSS3E</v>
      </c>
      <c r="AB84" s="346" t="str">
        <f t="shared" si="45"/>
        <v>0-EXSS3M</v>
      </c>
      <c r="AC84" s="346" t="str">
        <f t="shared" si="46"/>
        <v>0-EXSS3T</v>
      </c>
      <c r="AD84" s="346" t="str">
        <f t="shared" si="47"/>
        <v>0-EXSS3S</v>
      </c>
      <c r="AE84" s="346" t="str">
        <f t="shared" si="48"/>
        <v>0-EXSS3X</v>
      </c>
      <c r="AF84" s="346" t="str">
        <f t="shared" si="49"/>
        <v>0-EXSS3A</v>
      </c>
      <c r="AG84" s="346">
        <f t="shared" si="36"/>
        <v>5</v>
      </c>
      <c r="AH84" s="346">
        <f>IF(B84&lt;&gt;"",+IF(H84="x",+VLOOKUP(I84,'AUX-NIV2'!B:AG,32,FALSE),0),"")</f>
        <v>0</v>
      </c>
      <c r="AI84" s="346" t="str">
        <f t="shared" si="50"/>
        <v>0-EXSS3</v>
      </c>
      <c r="AK84" s="347">
        <f t="shared" si="37"/>
        <v>84</v>
      </c>
      <c r="AL84" s="348">
        <f t="shared" si="51"/>
        <v>88</v>
      </c>
      <c r="AM84" s="347">
        <f t="shared" si="52"/>
        <v>1</v>
      </c>
      <c r="AN84" s="382">
        <f>IF(AND(AH84&gt;0,B84&lt;&gt;""),VLOOKUP(I84,'AUX-NIV2'!$B:$AP,40,FALSE)*O84,0)</f>
        <v>0</v>
      </c>
      <c r="AO84" s="382">
        <f t="shared" si="38"/>
        <v>2.5024999999999999E-2</v>
      </c>
      <c r="AQ84" s="395">
        <f>(IF($H84="x",VLOOKUP($I84,'AUX-NIV2'!$B:$X,'AUX-NIV1'!AQ$3,FALSE),0)+($AV84*'AUX-NIV3'!S$4))*$O84+IF($H84=AQ$4,$P84,0)</f>
        <v>10.386469035234533</v>
      </c>
      <c r="AR84" s="395">
        <f>(IF($H84="x",VLOOKUP($I84,'AUX-NIV2'!$B:$X,'AUX-NIV1'!AR$3,FALSE),0)+($AV84*'AUX-NIV3'!T$4))*$O84+IF($H84=AR$4,$P84,0)</f>
        <v>0</v>
      </c>
      <c r="AS84" s="395">
        <f>(IF($H84="x",VLOOKUP($I84,'AUX-NIV2'!$B:$X,'AUX-NIV1'!AS$3,FALSE),0)+($AV84*'AUX-NIV3'!U$4))*$O84+IF($H84=AS$4,$P84,0)</f>
        <v>0</v>
      </c>
      <c r="AT84" s="395">
        <f>(IF($H84="x",VLOOKUP($I84,'AUX-NIV2'!$B:$X,'AUX-NIV1'!AT$3,FALSE),0)+($AV84*'AUX-NIV3'!V$4))*$O84+IF($H84=AT$4,$P84,0)</f>
        <v>0</v>
      </c>
      <c r="AU84" s="395">
        <f>(IF($H84="x",VLOOKUP($I84,'AUX-NIV2'!$B:$X,'AUX-NIV1'!AU$3,FALSE),0)+($AV84*'AUX-NIV3'!W$4))*$O84+IF($H84=AU$4,$P84,0)</f>
        <v>0</v>
      </c>
      <c r="AV84" s="395">
        <f>+IF($H84="x",VLOOKUP($I84,'AUX-NIV2'!$B:$X,'AUX-NIV1'!AV$3,FALSE),0)</f>
        <v>0</v>
      </c>
    </row>
    <row r="85" spans="2:48" ht="13.8" hidden="1" thickBot="1">
      <c r="B85" s="324" t="s">
        <v>81</v>
      </c>
      <c r="C85" s="325" t="s">
        <v>209</v>
      </c>
      <c r="D85" s="326" t="s">
        <v>1160</v>
      </c>
      <c r="E85" s="349">
        <f>IF(B85&lt;&gt;"",+SUMIF(Items!C:C,'AUX-NIV1'!B85,Items!H:H),"")</f>
        <v>0</v>
      </c>
      <c r="F85" s="349">
        <f t="shared" si="28"/>
        <v>52.632390093265741</v>
      </c>
      <c r="G85" s="349">
        <f t="shared" si="29"/>
        <v>0</v>
      </c>
      <c r="H85" s="1395" t="str">
        <f t="shared" si="39"/>
        <v>A</v>
      </c>
      <c r="I85" s="1375" t="s">
        <v>1746</v>
      </c>
      <c r="J85" s="350" t="str">
        <f>IF(B85&lt;&gt;"",+VLOOKUP(I85,Recursos!C:F,2,FALSE),"")</f>
        <v>OFICIAL</v>
      </c>
      <c r="K85" s="351" t="str">
        <f>IF(B85&lt;&gt;"",+VLOOKUP(I85,Recursos!C:F,3,FALSE),"")</f>
        <v>hh</v>
      </c>
      <c r="L85" s="349">
        <f>IF(B85&lt;&gt;"",+VLOOKUP(I85,Recursos!C:F,4,FALSE),"")</f>
        <v>496.91595439275824</v>
      </c>
      <c r="M85" s="331">
        <v>2</v>
      </c>
      <c r="N85" s="331">
        <v>0</v>
      </c>
      <c r="O85" s="362">
        <v>0</v>
      </c>
      <c r="P85" s="352">
        <f t="shared" si="40"/>
        <v>0</v>
      </c>
      <c r="Q85" s="349">
        <f t="shared" si="41"/>
        <v>0</v>
      </c>
      <c r="R85" s="353">
        <f t="shared" si="42"/>
        <v>0</v>
      </c>
      <c r="S85" s="354">
        <f t="shared" si="30"/>
        <v>13.40720409326574</v>
      </c>
      <c r="T85" s="354">
        <f t="shared" si="31"/>
        <v>39.225186000000001</v>
      </c>
      <c r="U85" s="355">
        <f t="shared" si="32"/>
        <v>0</v>
      </c>
      <c r="V85" s="355">
        <f t="shared" si="33"/>
        <v>0</v>
      </c>
      <c r="W85" s="355">
        <f t="shared" si="34"/>
        <v>0</v>
      </c>
      <c r="X85" s="355">
        <f t="shared" si="35"/>
        <v>0</v>
      </c>
      <c r="Y85" s="396"/>
      <c r="Z85" s="346" t="str">
        <f t="shared" si="43"/>
        <v>0-EXSS3A</v>
      </c>
      <c r="AA85" s="346" t="str">
        <f t="shared" si="44"/>
        <v>0-EXSS3E</v>
      </c>
      <c r="AB85" s="346" t="str">
        <f t="shared" si="45"/>
        <v>0-EXSS3M</v>
      </c>
      <c r="AC85" s="346" t="str">
        <f t="shared" si="46"/>
        <v>0-EXSS3T</v>
      </c>
      <c r="AD85" s="346" t="str">
        <f t="shared" si="47"/>
        <v>0-EXSS3S</v>
      </c>
      <c r="AE85" s="346" t="str">
        <f t="shared" si="48"/>
        <v>0-EXSS3X</v>
      </c>
      <c r="AF85" s="346" t="str">
        <f t="shared" si="49"/>
        <v>0-EXSS3A</v>
      </c>
      <c r="AG85" s="346">
        <f t="shared" si="36"/>
        <v>5</v>
      </c>
      <c r="AH85" s="346">
        <f>IF(B85&lt;&gt;"",+IF(H85="x",+VLOOKUP(I85,'AUX-NIV2'!B:AG,32,FALSE),0),"")</f>
        <v>0</v>
      </c>
      <c r="AI85" s="346" t="str">
        <f t="shared" si="50"/>
        <v>0-EXSS3</v>
      </c>
      <c r="AK85" s="347">
        <f t="shared" si="37"/>
        <v>84</v>
      </c>
      <c r="AL85" s="348">
        <f t="shared" si="51"/>
        <v>88</v>
      </c>
      <c r="AM85" s="347">
        <f t="shared" si="52"/>
        <v>2</v>
      </c>
      <c r="AN85" s="382">
        <f>IF(AND(AH85&gt;0,B85&lt;&gt;""),VLOOKUP(I85,'AUX-NIV2'!$B:$AP,40,FALSE)*O85,0)</f>
        <v>0</v>
      </c>
      <c r="AO85" s="382">
        <f t="shared" si="38"/>
        <v>2.5024999999999999E-2</v>
      </c>
      <c r="AQ85" s="395">
        <f>(IF($H85="x",VLOOKUP($I85,'AUX-NIV2'!$B:$X,'AUX-NIV1'!AQ$3,FALSE),0)+($AV85*'AUX-NIV3'!S$4))*$O85+IF($H85=AQ$4,$P85,0)</f>
        <v>0</v>
      </c>
      <c r="AR85" s="395">
        <f>(IF($H85="x",VLOOKUP($I85,'AUX-NIV2'!$B:$X,'AUX-NIV1'!AR$3,FALSE),0)+($AV85*'AUX-NIV3'!T$4))*$O85+IF($H85=AR$4,$P85,0)</f>
        <v>0</v>
      </c>
      <c r="AS85" s="395">
        <f>(IF($H85="x",VLOOKUP($I85,'AUX-NIV2'!$B:$X,'AUX-NIV1'!AS$3,FALSE),0)+($AV85*'AUX-NIV3'!U$4))*$O85+IF($H85=AS$4,$P85,0)</f>
        <v>0</v>
      </c>
      <c r="AT85" s="395">
        <f>(IF($H85="x",VLOOKUP($I85,'AUX-NIV2'!$B:$X,'AUX-NIV1'!AT$3,FALSE),0)+($AV85*'AUX-NIV3'!V$4))*$O85+IF($H85=AT$4,$P85,0)</f>
        <v>0</v>
      </c>
      <c r="AU85" s="395">
        <f>(IF($H85="x",VLOOKUP($I85,'AUX-NIV2'!$B:$X,'AUX-NIV1'!AU$3,FALSE),0)+($AV85*'AUX-NIV3'!W$4))*$O85+IF($H85=AU$4,$P85,0)</f>
        <v>0</v>
      </c>
      <c r="AV85" s="395">
        <f>+IF($H85="x",VLOOKUP($I85,'AUX-NIV2'!$B:$X,'AUX-NIV1'!AV$3,FALSE),0)</f>
        <v>0</v>
      </c>
    </row>
    <row r="86" spans="2:48" ht="13.8" hidden="1" thickBot="1">
      <c r="B86" s="324" t="s">
        <v>81</v>
      </c>
      <c r="C86" s="325" t="s">
        <v>209</v>
      </c>
      <c r="D86" s="326" t="s">
        <v>1160</v>
      </c>
      <c r="E86" s="349">
        <f>IF(B86&lt;&gt;"",+SUMIF(Items!C:C,'AUX-NIV1'!B86,Items!H:H),"")</f>
        <v>0</v>
      </c>
      <c r="F86" s="349">
        <f t="shared" si="28"/>
        <v>52.632390093265741</v>
      </c>
      <c r="G86" s="349">
        <f t="shared" si="29"/>
        <v>0</v>
      </c>
      <c r="H86" s="1395" t="str">
        <f t="shared" si="39"/>
        <v>A</v>
      </c>
      <c r="I86" s="1375" t="s">
        <v>1745</v>
      </c>
      <c r="J86" s="350" t="str">
        <f>IF(B86&lt;&gt;"",+VLOOKUP(I86,Recursos!C:F,2,FALSE),"")</f>
        <v>AYUDANTE</v>
      </c>
      <c r="K86" s="351" t="str">
        <f>IF(B86&lt;&gt;"",+VLOOKUP(I86,Recursos!C:F,3,FALSE),"")</f>
        <v>hh</v>
      </c>
      <c r="L86" s="349">
        <f>IF(B86&lt;&gt;"",+VLOOKUP(I86,Recursos!C:F,4,FALSE),"")</f>
        <v>422.48042769667234</v>
      </c>
      <c r="M86" s="331">
        <v>1.43E-2</v>
      </c>
      <c r="N86" s="331">
        <v>0.5</v>
      </c>
      <c r="O86" s="362">
        <v>7.1500000000000001E-3</v>
      </c>
      <c r="P86" s="352">
        <f t="shared" si="40"/>
        <v>3.0207350580312071</v>
      </c>
      <c r="Q86" s="349">
        <f t="shared" si="41"/>
        <v>0</v>
      </c>
      <c r="R86" s="353">
        <f t="shared" si="42"/>
        <v>0</v>
      </c>
      <c r="S86" s="354">
        <f t="shared" si="30"/>
        <v>13.40720409326574</v>
      </c>
      <c r="T86" s="354">
        <f t="shared" si="31"/>
        <v>39.225186000000001</v>
      </c>
      <c r="U86" s="355">
        <f t="shared" si="32"/>
        <v>0</v>
      </c>
      <c r="V86" s="355">
        <f t="shared" si="33"/>
        <v>0</v>
      </c>
      <c r="W86" s="355">
        <f t="shared" si="34"/>
        <v>0</v>
      </c>
      <c r="X86" s="355">
        <f t="shared" si="35"/>
        <v>0</v>
      </c>
      <c r="Y86" s="396"/>
      <c r="Z86" s="346" t="str">
        <f t="shared" si="43"/>
        <v>0-EXSS3A</v>
      </c>
      <c r="AA86" s="346" t="str">
        <f t="shared" si="44"/>
        <v>0-EXSS3E</v>
      </c>
      <c r="AB86" s="346" t="str">
        <f t="shared" si="45"/>
        <v>0-EXSS3M</v>
      </c>
      <c r="AC86" s="346" t="str">
        <f t="shared" si="46"/>
        <v>0-EXSS3T</v>
      </c>
      <c r="AD86" s="346" t="str">
        <f t="shared" si="47"/>
        <v>0-EXSS3S</v>
      </c>
      <c r="AE86" s="346" t="str">
        <f t="shared" si="48"/>
        <v>0-EXSS3X</v>
      </c>
      <c r="AF86" s="346" t="str">
        <f t="shared" si="49"/>
        <v>0-EXSS3A</v>
      </c>
      <c r="AG86" s="346">
        <f t="shared" si="36"/>
        <v>5</v>
      </c>
      <c r="AH86" s="346">
        <f>IF(B86&lt;&gt;"",+IF(H86="x",+VLOOKUP(I86,'AUX-NIV2'!B:AG,32,FALSE),0),"")</f>
        <v>0</v>
      </c>
      <c r="AI86" s="346" t="str">
        <f t="shared" si="50"/>
        <v>0-EXSS3</v>
      </c>
      <c r="AK86" s="347">
        <f t="shared" si="37"/>
        <v>84</v>
      </c>
      <c r="AL86" s="348">
        <f t="shared" si="51"/>
        <v>88</v>
      </c>
      <c r="AM86" s="347">
        <f t="shared" si="52"/>
        <v>3</v>
      </c>
      <c r="AN86" s="382">
        <f>IF(AND(AH86&gt;0,B86&lt;&gt;""),VLOOKUP(I86,'AUX-NIV2'!$B:$AP,40,FALSE)*O86,0)</f>
        <v>0</v>
      </c>
      <c r="AO86" s="382">
        <f t="shared" si="38"/>
        <v>2.5024999999999999E-2</v>
      </c>
      <c r="AQ86" s="395">
        <f>(IF($H86="x",VLOOKUP($I86,'AUX-NIV2'!$B:$X,'AUX-NIV1'!AQ$3,FALSE),0)+($AV86*'AUX-NIV3'!S$4))*$O86+IF($H86=AQ$4,$P86,0)</f>
        <v>3.0207350580312071</v>
      </c>
      <c r="AR86" s="395">
        <f>(IF($H86="x",VLOOKUP($I86,'AUX-NIV2'!$B:$X,'AUX-NIV1'!AR$3,FALSE),0)+($AV86*'AUX-NIV3'!T$4))*$O86+IF($H86=AR$4,$P86,0)</f>
        <v>0</v>
      </c>
      <c r="AS86" s="395">
        <f>(IF($H86="x",VLOOKUP($I86,'AUX-NIV2'!$B:$X,'AUX-NIV1'!AS$3,FALSE),0)+($AV86*'AUX-NIV3'!U$4))*$O86+IF($H86=AS$4,$P86,0)</f>
        <v>0</v>
      </c>
      <c r="AT86" s="395">
        <f>(IF($H86="x",VLOOKUP($I86,'AUX-NIV2'!$B:$X,'AUX-NIV1'!AT$3,FALSE),0)+($AV86*'AUX-NIV3'!V$4))*$O86+IF($H86=AT$4,$P86,0)</f>
        <v>0</v>
      </c>
      <c r="AU86" s="395">
        <f>(IF($H86="x",VLOOKUP($I86,'AUX-NIV2'!$B:$X,'AUX-NIV1'!AU$3,FALSE),0)+($AV86*'AUX-NIV3'!W$4))*$O86+IF($H86=AU$4,$P86,0)</f>
        <v>0</v>
      </c>
      <c r="AV86" s="395">
        <f>+IF($H86="x",VLOOKUP($I86,'AUX-NIV2'!$B:$X,'AUX-NIV1'!AV$3,FALSE),0)</f>
        <v>0</v>
      </c>
    </row>
    <row r="87" spans="2:48" ht="13.8" hidden="1" thickBot="1">
      <c r="B87" s="324" t="s">
        <v>81</v>
      </c>
      <c r="C87" s="325" t="s">
        <v>209</v>
      </c>
      <c r="D87" s="326" t="s">
        <v>1160</v>
      </c>
      <c r="E87" s="349">
        <f>IF(B87&lt;&gt;"",+SUMIF(Items!C:C,'AUX-NIV1'!B87,Items!H:H),"")</f>
        <v>0</v>
      </c>
      <c r="F87" s="349">
        <f t="shared" si="28"/>
        <v>52.632390093265741</v>
      </c>
      <c r="G87" s="349">
        <f t="shared" si="29"/>
        <v>0</v>
      </c>
      <c r="H87" s="1395" t="str">
        <f t="shared" si="39"/>
        <v>E</v>
      </c>
      <c r="I87" s="1375" t="s">
        <v>1552</v>
      </c>
      <c r="J87" s="350" t="str">
        <f>IF(B87&lt;&gt;"",+VLOOKUP(I87,Recursos!C:F,2,FALSE),"")</f>
        <v>RETROEXCAVADORA S/CARRILES  0,9 M2</v>
      </c>
      <c r="K87" s="351" t="str">
        <f>IF(B87&lt;&gt;"",+VLOOKUP(I87,Recursos!C:F,3,FALSE),"")</f>
        <v>HR</v>
      </c>
      <c r="L87" s="349">
        <f>IF(B87&lt;&gt;"",+VLOOKUP(I87,Recursos!C:F,4,FALSE),"")</f>
        <v>2743.02</v>
      </c>
      <c r="M87" s="331">
        <v>1.43E-2</v>
      </c>
      <c r="N87" s="331">
        <v>1</v>
      </c>
      <c r="O87" s="362">
        <v>1.43E-2</v>
      </c>
      <c r="P87" s="352">
        <f t="shared" si="40"/>
        <v>39.225186000000001</v>
      </c>
      <c r="Q87" s="349">
        <f t="shared" si="41"/>
        <v>0</v>
      </c>
      <c r="R87" s="353">
        <f t="shared" si="42"/>
        <v>0</v>
      </c>
      <c r="S87" s="354">
        <f t="shared" si="30"/>
        <v>13.40720409326574</v>
      </c>
      <c r="T87" s="354">
        <f t="shared" si="31"/>
        <v>39.225186000000001</v>
      </c>
      <c r="U87" s="355">
        <f t="shared" si="32"/>
        <v>0</v>
      </c>
      <c r="V87" s="355">
        <f t="shared" si="33"/>
        <v>0</v>
      </c>
      <c r="W87" s="355">
        <f t="shared" si="34"/>
        <v>0</v>
      </c>
      <c r="X87" s="355">
        <f t="shared" si="35"/>
        <v>0</v>
      </c>
      <c r="Y87" s="396"/>
      <c r="Z87" s="346" t="str">
        <f t="shared" si="43"/>
        <v>0-EXSS3A</v>
      </c>
      <c r="AA87" s="346" t="str">
        <f t="shared" si="44"/>
        <v>0-EXSS3E</v>
      </c>
      <c r="AB87" s="346" t="str">
        <f t="shared" si="45"/>
        <v>0-EXSS3M</v>
      </c>
      <c r="AC87" s="346" t="str">
        <f t="shared" si="46"/>
        <v>0-EXSS3T</v>
      </c>
      <c r="AD87" s="346" t="str">
        <f t="shared" si="47"/>
        <v>0-EXSS3S</v>
      </c>
      <c r="AE87" s="346" t="str">
        <f t="shared" si="48"/>
        <v>0-EXSS3X</v>
      </c>
      <c r="AF87" s="346" t="str">
        <f t="shared" si="49"/>
        <v>0-EXSS3E</v>
      </c>
      <c r="AG87" s="346">
        <f t="shared" si="36"/>
        <v>5</v>
      </c>
      <c r="AH87" s="346">
        <f>IF(B87&lt;&gt;"",+IF(H87="x",+VLOOKUP(I87,'AUX-NIV2'!B:AG,32,FALSE),0),"")</f>
        <v>0</v>
      </c>
      <c r="AI87" s="346" t="str">
        <f t="shared" si="50"/>
        <v>0-EXSS3</v>
      </c>
      <c r="AK87" s="347">
        <f t="shared" si="37"/>
        <v>84</v>
      </c>
      <c r="AL87" s="348">
        <f t="shared" si="51"/>
        <v>88</v>
      </c>
      <c r="AM87" s="347">
        <f t="shared" si="52"/>
        <v>4</v>
      </c>
      <c r="AN87" s="382">
        <f>IF(AND(AH87&gt;0,B87&lt;&gt;""),VLOOKUP(I87,'AUX-NIV2'!$B:$AP,40,FALSE)*O87,0)</f>
        <v>0</v>
      </c>
      <c r="AO87" s="382">
        <f t="shared" si="38"/>
        <v>2.5024999999999999E-2</v>
      </c>
      <c r="AQ87" s="395">
        <f>(IF($H87="x",VLOOKUP($I87,'AUX-NIV2'!$B:$X,'AUX-NIV1'!AQ$3,FALSE),0)+($AV87*'AUX-NIV3'!S$4))*$O87+IF($H87=AQ$4,$P87,0)</f>
        <v>0</v>
      </c>
      <c r="AR87" s="395">
        <f>(IF($H87="x",VLOOKUP($I87,'AUX-NIV2'!$B:$X,'AUX-NIV1'!AR$3,FALSE),0)+($AV87*'AUX-NIV3'!T$4))*$O87+IF($H87=AR$4,$P87,0)</f>
        <v>39.225186000000001</v>
      </c>
      <c r="AS87" s="395">
        <f>(IF($H87="x",VLOOKUP($I87,'AUX-NIV2'!$B:$X,'AUX-NIV1'!AS$3,FALSE),0)+($AV87*'AUX-NIV3'!U$4))*$O87+IF($H87=AS$4,$P87,0)</f>
        <v>0</v>
      </c>
      <c r="AT87" s="395">
        <f>(IF($H87="x",VLOOKUP($I87,'AUX-NIV2'!$B:$X,'AUX-NIV1'!AT$3,FALSE),0)+($AV87*'AUX-NIV3'!V$4))*$O87+IF($H87=AT$4,$P87,0)</f>
        <v>0</v>
      </c>
      <c r="AU87" s="395">
        <f>(IF($H87="x",VLOOKUP($I87,'AUX-NIV2'!$B:$X,'AUX-NIV1'!AU$3,FALSE),0)+($AV87*'AUX-NIV3'!W$4))*$O87+IF($H87=AU$4,$P87,0)</f>
        <v>0</v>
      </c>
      <c r="AV87" s="395">
        <f>+IF($H87="x",VLOOKUP($I87,'AUX-NIV2'!$B:$X,'AUX-NIV1'!AV$3,FALSE),0)</f>
        <v>0</v>
      </c>
    </row>
    <row r="88" spans="2:48" ht="13.8" hidden="1" thickBot="1">
      <c r="B88" s="324" t="s">
        <v>81</v>
      </c>
      <c r="C88" s="325" t="s">
        <v>209</v>
      </c>
      <c r="D88" s="326" t="s">
        <v>1160</v>
      </c>
      <c r="E88" s="349">
        <f>IF(B88&lt;&gt;"",+SUMIF(Items!C:C,'AUX-NIV1'!B88,Items!H:H),"")</f>
        <v>0</v>
      </c>
      <c r="F88" s="349">
        <f t="shared" si="28"/>
        <v>52.632390093265741</v>
      </c>
      <c r="G88" s="349">
        <f t="shared" si="29"/>
        <v>0</v>
      </c>
      <c r="H88" s="1395" t="str">
        <f t="shared" si="39"/>
        <v>M</v>
      </c>
      <c r="I88" s="1375" t="s">
        <v>621</v>
      </c>
      <c r="J88" s="350" t="str">
        <f>IF(B88&lt;&gt;"",+VLOOKUP(I88,Recursos!C:F,2,FALSE),"")</f>
        <v>MATERIALES VARIOS</v>
      </c>
      <c r="K88" s="351" t="str">
        <f>IF(B88&lt;&gt;"",+VLOOKUP(I88,Recursos!C:F,3,FALSE),"")</f>
        <v>GL</v>
      </c>
      <c r="L88" s="349">
        <f>IF(B88&lt;&gt;"",+VLOOKUP(I88,Recursos!C:F,4,FALSE),"")</f>
        <v>0.5</v>
      </c>
      <c r="M88" s="331">
        <v>42</v>
      </c>
      <c r="N88" s="331">
        <v>0</v>
      </c>
      <c r="O88" s="362">
        <v>0</v>
      </c>
      <c r="P88" s="352">
        <f t="shared" si="40"/>
        <v>0</v>
      </c>
      <c r="Q88" s="349">
        <f t="shared" si="41"/>
        <v>0</v>
      </c>
      <c r="R88" s="353">
        <f t="shared" si="42"/>
        <v>0</v>
      </c>
      <c r="S88" s="354">
        <f t="shared" si="30"/>
        <v>13.40720409326574</v>
      </c>
      <c r="T88" s="354">
        <f t="shared" si="31"/>
        <v>39.225186000000001</v>
      </c>
      <c r="U88" s="355">
        <f t="shared" si="32"/>
        <v>0</v>
      </c>
      <c r="V88" s="355">
        <f t="shared" si="33"/>
        <v>0</v>
      </c>
      <c r="W88" s="355">
        <f t="shared" si="34"/>
        <v>0</v>
      </c>
      <c r="X88" s="355">
        <f t="shared" si="35"/>
        <v>0</v>
      </c>
      <c r="Y88" s="396"/>
      <c r="Z88" s="346" t="str">
        <f t="shared" si="43"/>
        <v>0-EXSS3A</v>
      </c>
      <c r="AA88" s="346" t="str">
        <f t="shared" si="44"/>
        <v>0-EXSS3E</v>
      </c>
      <c r="AB88" s="346" t="str">
        <f t="shared" si="45"/>
        <v>0-EXSS3M</v>
      </c>
      <c r="AC88" s="346" t="str">
        <f t="shared" si="46"/>
        <v>0-EXSS3T</v>
      </c>
      <c r="AD88" s="346" t="str">
        <f t="shared" si="47"/>
        <v>0-EXSS3S</v>
      </c>
      <c r="AE88" s="346" t="str">
        <f t="shared" si="48"/>
        <v>0-EXSS3X</v>
      </c>
      <c r="AF88" s="346" t="str">
        <f t="shared" si="49"/>
        <v>0-EXSS3M</v>
      </c>
      <c r="AG88" s="346">
        <f t="shared" si="36"/>
        <v>5</v>
      </c>
      <c r="AH88" s="346">
        <f>IF(B88&lt;&gt;"",+IF(H88="x",+VLOOKUP(I88,'AUX-NIV2'!B:AG,32,FALSE),0),"")</f>
        <v>0</v>
      </c>
      <c r="AI88" s="346" t="str">
        <f t="shared" si="50"/>
        <v>0-EXSS3</v>
      </c>
      <c r="AK88" s="347">
        <f t="shared" si="37"/>
        <v>84</v>
      </c>
      <c r="AL88" s="348">
        <f t="shared" si="51"/>
        <v>88</v>
      </c>
      <c r="AM88" s="347">
        <f t="shared" si="52"/>
        <v>5</v>
      </c>
      <c r="AN88" s="382">
        <f>IF(AND(AH88&gt;0,B88&lt;&gt;""),VLOOKUP(I88,'AUX-NIV2'!$B:$AP,40,FALSE)*O88,0)</f>
        <v>0</v>
      </c>
      <c r="AO88" s="382">
        <f t="shared" si="38"/>
        <v>2.5024999999999999E-2</v>
      </c>
      <c r="AQ88" s="395">
        <f>(IF($H88="x",VLOOKUP($I88,'AUX-NIV2'!$B:$X,'AUX-NIV1'!AQ$3,FALSE),0)+($AV88*'AUX-NIV3'!S$4))*$O88+IF($H88=AQ$4,$P88,0)</f>
        <v>0</v>
      </c>
      <c r="AR88" s="395">
        <f>(IF($H88="x",VLOOKUP($I88,'AUX-NIV2'!$B:$X,'AUX-NIV1'!AR$3,FALSE),0)+($AV88*'AUX-NIV3'!T$4))*$O88+IF($H88=AR$4,$P88,0)</f>
        <v>0</v>
      </c>
      <c r="AS88" s="395">
        <f>(IF($H88="x",VLOOKUP($I88,'AUX-NIV2'!$B:$X,'AUX-NIV1'!AS$3,FALSE),0)+($AV88*'AUX-NIV3'!U$4))*$O88+IF($H88=AS$4,$P88,0)</f>
        <v>0</v>
      </c>
      <c r="AT88" s="395">
        <f>(IF($H88="x",VLOOKUP($I88,'AUX-NIV2'!$B:$X,'AUX-NIV1'!AT$3,FALSE),0)+($AV88*'AUX-NIV3'!V$4))*$O88+IF($H88=AT$4,$P88,0)</f>
        <v>0</v>
      </c>
      <c r="AU88" s="395">
        <f>(IF($H88="x",VLOOKUP($I88,'AUX-NIV2'!$B:$X,'AUX-NIV1'!AU$3,FALSE),0)+($AV88*'AUX-NIV3'!W$4))*$O88+IF($H88=AU$4,$P88,0)</f>
        <v>0</v>
      </c>
      <c r="AV88" s="395">
        <f>+IF($H88="x",VLOOKUP($I88,'AUX-NIV2'!$B:$X,'AUX-NIV1'!AV$3,FALSE),0)</f>
        <v>0</v>
      </c>
    </row>
    <row r="89" spans="2:48" ht="13.8" hidden="1" thickBot="1">
      <c r="B89" s="324" t="s">
        <v>82</v>
      </c>
      <c r="C89" s="325" t="s">
        <v>167</v>
      </c>
      <c r="D89" s="326" t="s">
        <v>1160</v>
      </c>
      <c r="E89" s="349">
        <f>IF(B89&lt;&gt;"",+SUMIF(Items!C:C,'AUX-NIV1'!B89,Items!H:H),"")</f>
        <v>0</v>
      </c>
      <c r="F89" s="349">
        <f t="shared" si="28"/>
        <v>1207.9686395621425</v>
      </c>
      <c r="G89" s="349">
        <f t="shared" si="29"/>
        <v>0</v>
      </c>
      <c r="H89" s="1395" t="str">
        <f t="shared" si="39"/>
        <v>A</v>
      </c>
      <c r="I89" s="1375" t="s">
        <v>3311</v>
      </c>
      <c r="J89" s="350" t="str">
        <f>IF(B89&lt;&gt;"",+VLOOKUP(I89,Recursos!C:F,2,FALSE),"")</f>
        <v>OPER. EQUIPO</v>
      </c>
      <c r="K89" s="351" t="str">
        <f>IF(B89&lt;&gt;"",+VLOOKUP(I89,Recursos!C:F,3,FALSE),"")</f>
        <v>hh</v>
      </c>
      <c r="L89" s="349">
        <f>IF(B89&lt;&gt;"",+VLOOKUP(I89,Recursos!C:F,4,FALSE),"")</f>
        <v>581.06120476836554</v>
      </c>
      <c r="M89" s="331">
        <v>30</v>
      </c>
      <c r="N89" s="331">
        <v>1</v>
      </c>
      <c r="O89" s="362">
        <v>3.3333333333333333E-2</v>
      </c>
      <c r="P89" s="352">
        <f t="shared" si="40"/>
        <v>19.368706825612186</v>
      </c>
      <c r="Q89" s="349">
        <f t="shared" si="41"/>
        <v>0</v>
      </c>
      <c r="R89" s="353">
        <f t="shared" si="42"/>
        <v>0</v>
      </c>
      <c r="S89" s="354">
        <f t="shared" si="30"/>
        <v>1036.8595195621424</v>
      </c>
      <c r="T89" s="354">
        <f t="shared" si="31"/>
        <v>153.60911999999999</v>
      </c>
      <c r="U89" s="355">
        <f t="shared" si="32"/>
        <v>17.5</v>
      </c>
      <c r="V89" s="355">
        <f t="shared" si="33"/>
        <v>0</v>
      </c>
      <c r="W89" s="355">
        <f t="shared" si="34"/>
        <v>0</v>
      </c>
      <c r="X89" s="355">
        <f t="shared" si="35"/>
        <v>0</v>
      </c>
      <c r="Y89" s="396"/>
      <c r="Z89" s="346" t="str">
        <f t="shared" si="43"/>
        <v>0-EXSS4A</v>
      </c>
      <c r="AA89" s="346" t="str">
        <f t="shared" si="44"/>
        <v>0-EXSS4E</v>
      </c>
      <c r="AB89" s="346" t="str">
        <f t="shared" si="45"/>
        <v>0-EXSS4M</v>
      </c>
      <c r="AC89" s="346" t="str">
        <f t="shared" si="46"/>
        <v>0-EXSS4T</v>
      </c>
      <c r="AD89" s="346" t="str">
        <f t="shared" si="47"/>
        <v>0-EXSS4S</v>
      </c>
      <c r="AE89" s="346" t="str">
        <f t="shared" si="48"/>
        <v>0-EXSS4X</v>
      </c>
      <c r="AF89" s="346" t="str">
        <f t="shared" si="49"/>
        <v>0-EXSS4A</v>
      </c>
      <c r="AG89" s="346">
        <f t="shared" si="36"/>
        <v>5</v>
      </c>
      <c r="AH89" s="346">
        <f>IF(B89&lt;&gt;"",+IF(H89="x",+VLOOKUP(I89,'AUX-NIV2'!B:AG,32,FALSE),0),"")</f>
        <v>0</v>
      </c>
      <c r="AI89" s="346" t="str">
        <f t="shared" si="50"/>
        <v>0-EXSS4</v>
      </c>
      <c r="AK89" s="347">
        <f t="shared" si="37"/>
        <v>89</v>
      </c>
      <c r="AL89" s="348">
        <f t="shared" si="51"/>
        <v>93</v>
      </c>
      <c r="AM89" s="347">
        <f t="shared" si="52"/>
        <v>1</v>
      </c>
      <c r="AN89" s="382">
        <f>IF(AND(AH89&gt;0,B89&lt;&gt;""),VLOOKUP(I89,'AUX-NIV2'!$B:$AP,40,FALSE)*O89,0)</f>
        <v>0</v>
      </c>
      <c r="AO89" s="382">
        <f t="shared" si="38"/>
        <v>2.0893333333333333</v>
      </c>
      <c r="AQ89" s="395">
        <f>(IF($H89="x",VLOOKUP($I89,'AUX-NIV2'!$B:$X,'AUX-NIV1'!AQ$3,FALSE),0)+($AV89*'AUX-NIV3'!S$4))*$O89+IF($H89=AQ$4,$P89,0)</f>
        <v>19.368706825612186</v>
      </c>
      <c r="AR89" s="395">
        <f>(IF($H89="x",VLOOKUP($I89,'AUX-NIV2'!$B:$X,'AUX-NIV1'!AR$3,FALSE),0)+($AV89*'AUX-NIV3'!T$4))*$O89+IF($H89=AR$4,$P89,0)</f>
        <v>0</v>
      </c>
      <c r="AS89" s="395">
        <f>(IF($H89="x",VLOOKUP($I89,'AUX-NIV2'!$B:$X,'AUX-NIV1'!AS$3,FALSE),0)+($AV89*'AUX-NIV3'!U$4))*$O89+IF($H89=AS$4,$P89,0)</f>
        <v>0</v>
      </c>
      <c r="AT89" s="395">
        <f>(IF($H89="x",VLOOKUP($I89,'AUX-NIV2'!$B:$X,'AUX-NIV1'!AT$3,FALSE),0)+($AV89*'AUX-NIV3'!V$4))*$O89+IF($H89=AT$4,$P89,0)</f>
        <v>0</v>
      </c>
      <c r="AU89" s="395">
        <f>(IF($H89="x",VLOOKUP($I89,'AUX-NIV2'!$B:$X,'AUX-NIV1'!AU$3,FALSE),0)+($AV89*'AUX-NIV3'!W$4))*$O89+IF($H89=AU$4,$P89,0)</f>
        <v>0</v>
      </c>
      <c r="AV89" s="395">
        <f>+IF($H89="x",VLOOKUP($I89,'AUX-NIV2'!$B:$X,'AUX-NIV1'!AV$3,FALSE),0)</f>
        <v>0</v>
      </c>
    </row>
    <row r="90" spans="2:48" ht="13.8" hidden="1" thickBot="1">
      <c r="B90" s="324" t="s">
        <v>82</v>
      </c>
      <c r="C90" s="325" t="s">
        <v>167</v>
      </c>
      <c r="D90" s="326" t="s">
        <v>1160</v>
      </c>
      <c r="E90" s="349">
        <f>IF(B90&lt;&gt;"",+SUMIF(Items!C:C,'AUX-NIV1'!B90,Items!H:H),"")</f>
        <v>0</v>
      </c>
      <c r="F90" s="349">
        <f t="shared" si="28"/>
        <v>1207.9686395621425</v>
      </c>
      <c r="G90" s="349">
        <f t="shared" si="29"/>
        <v>0</v>
      </c>
      <c r="H90" s="1395" t="str">
        <f t="shared" si="39"/>
        <v>A</v>
      </c>
      <c r="I90" s="1375" t="s">
        <v>1746</v>
      </c>
      <c r="J90" s="350" t="str">
        <f>IF(B90&lt;&gt;"",+VLOOKUP(I90,Recursos!C:F,2,FALSE),"")</f>
        <v>OFICIAL</v>
      </c>
      <c r="K90" s="351" t="str">
        <f>IF(B90&lt;&gt;"",+VLOOKUP(I90,Recursos!C:F,3,FALSE),"")</f>
        <v>hh</v>
      </c>
      <c r="L90" s="349">
        <f>IF(B90&lt;&gt;"",+VLOOKUP(I90,Recursos!C:F,4,FALSE),"")</f>
        <v>496.91595439275824</v>
      </c>
      <c r="M90" s="331">
        <v>0.5</v>
      </c>
      <c r="N90" s="331">
        <v>1</v>
      </c>
      <c r="O90" s="362">
        <v>2</v>
      </c>
      <c r="P90" s="352">
        <f t="shared" si="40"/>
        <v>993.83190878551648</v>
      </c>
      <c r="Q90" s="349">
        <f t="shared" si="41"/>
        <v>0</v>
      </c>
      <c r="R90" s="353">
        <f t="shared" si="42"/>
        <v>0</v>
      </c>
      <c r="S90" s="354">
        <f t="shared" si="30"/>
        <v>1036.8595195621424</v>
      </c>
      <c r="T90" s="354">
        <f t="shared" si="31"/>
        <v>153.60911999999999</v>
      </c>
      <c r="U90" s="355">
        <f t="shared" si="32"/>
        <v>17.5</v>
      </c>
      <c r="V90" s="355">
        <f t="shared" si="33"/>
        <v>0</v>
      </c>
      <c r="W90" s="355">
        <f t="shared" si="34"/>
        <v>0</v>
      </c>
      <c r="X90" s="355">
        <f t="shared" si="35"/>
        <v>0</v>
      </c>
      <c r="Y90" s="396"/>
      <c r="Z90" s="346" t="str">
        <f t="shared" si="43"/>
        <v>0-EXSS4A</v>
      </c>
      <c r="AA90" s="346" t="str">
        <f t="shared" si="44"/>
        <v>0-EXSS4E</v>
      </c>
      <c r="AB90" s="346" t="str">
        <f t="shared" si="45"/>
        <v>0-EXSS4M</v>
      </c>
      <c r="AC90" s="346" t="str">
        <f t="shared" si="46"/>
        <v>0-EXSS4T</v>
      </c>
      <c r="AD90" s="346" t="str">
        <f t="shared" si="47"/>
        <v>0-EXSS4S</v>
      </c>
      <c r="AE90" s="346" t="str">
        <f t="shared" si="48"/>
        <v>0-EXSS4X</v>
      </c>
      <c r="AF90" s="346" t="str">
        <f t="shared" si="49"/>
        <v>0-EXSS4A</v>
      </c>
      <c r="AG90" s="346">
        <f t="shared" si="36"/>
        <v>5</v>
      </c>
      <c r="AH90" s="346">
        <f>IF(B90&lt;&gt;"",+IF(H90="x",+VLOOKUP(I90,'AUX-NIV2'!B:AG,32,FALSE),0),"")</f>
        <v>0</v>
      </c>
      <c r="AI90" s="346" t="str">
        <f t="shared" si="50"/>
        <v>0-EXSS4</v>
      </c>
      <c r="AK90" s="347">
        <f t="shared" si="37"/>
        <v>89</v>
      </c>
      <c r="AL90" s="348">
        <f t="shared" si="51"/>
        <v>93</v>
      </c>
      <c r="AM90" s="347">
        <f t="shared" si="52"/>
        <v>2</v>
      </c>
      <c r="AN90" s="382">
        <f>IF(AND(AH90&gt;0,B90&lt;&gt;""),VLOOKUP(I90,'AUX-NIV2'!$B:$AP,40,FALSE)*O90,0)</f>
        <v>0</v>
      </c>
      <c r="AO90" s="382">
        <f t="shared" si="38"/>
        <v>2.0893333333333333</v>
      </c>
      <c r="AQ90" s="395">
        <f>(IF($H90="x",VLOOKUP($I90,'AUX-NIV2'!$B:$X,'AUX-NIV1'!AQ$3,FALSE),0)+($AV90*'AUX-NIV3'!S$4))*$O90+IF($H90=AQ$4,$P90,0)</f>
        <v>993.83190878551648</v>
      </c>
      <c r="AR90" s="395">
        <f>(IF($H90="x",VLOOKUP($I90,'AUX-NIV2'!$B:$X,'AUX-NIV1'!AR$3,FALSE),0)+($AV90*'AUX-NIV3'!T$4))*$O90+IF($H90=AR$4,$P90,0)</f>
        <v>0</v>
      </c>
      <c r="AS90" s="395">
        <f>(IF($H90="x",VLOOKUP($I90,'AUX-NIV2'!$B:$X,'AUX-NIV1'!AS$3,FALSE),0)+($AV90*'AUX-NIV3'!U$4))*$O90+IF($H90=AS$4,$P90,0)</f>
        <v>0</v>
      </c>
      <c r="AT90" s="395">
        <f>(IF($H90="x",VLOOKUP($I90,'AUX-NIV2'!$B:$X,'AUX-NIV1'!AT$3,FALSE),0)+($AV90*'AUX-NIV3'!V$4))*$O90+IF($H90=AT$4,$P90,0)</f>
        <v>0</v>
      </c>
      <c r="AU90" s="395">
        <f>(IF($H90="x",VLOOKUP($I90,'AUX-NIV2'!$B:$X,'AUX-NIV1'!AU$3,FALSE),0)+($AV90*'AUX-NIV3'!W$4))*$O90+IF($H90=AU$4,$P90,0)</f>
        <v>0</v>
      </c>
      <c r="AV90" s="395">
        <f>+IF($H90="x",VLOOKUP($I90,'AUX-NIV2'!$B:$X,'AUX-NIV1'!AV$3,FALSE),0)</f>
        <v>0</v>
      </c>
    </row>
    <row r="91" spans="2:48" ht="13.8" hidden="1" thickBot="1">
      <c r="B91" s="324" t="s">
        <v>82</v>
      </c>
      <c r="C91" s="325" t="s">
        <v>167</v>
      </c>
      <c r="D91" s="326" t="s">
        <v>1160</v>
      </c>
      <c r="E91" s="349">
        <f>IF(B91&lt;&gt;"",+SUMIF(Items!C:C,'AUX-NIV1'!B91,Items!H:H),"")</f>
        <v>0</v>
      </c>
      <c r="F91" s="349">
        <f t="shared" si="28"/>
        <v>1207.9686395621425</v>
      </c>
      <c r="G91" s="349">
        <f t="shared" si="29"/>
        <v>0</v>
      </c>
      <c r="H91" s="1395" t="str">
        <f t="shared" si="39"/>
        <v>A</v>
      </c>
      <c r="I91" s="1375" t="s">
        <v>1745</v>
      </c>
      <c r="J91" s="350" t="str">
        <f>IF(B91&lt;&gt;"",+VLOOKUP(I91,Recursos!C:F,2,FALSE),"")</f>
        <v>AYUDANTE</v>
      </c>
      <c r="K91" s="351" t="str">
        <f>IF(B91&lt;&gt;"",+VLOOKUP(I91,Recursos!C:F,3,FALSE),"")</f>
        <v>hh</v>
      </c>
      <c r="L91" s="349">
        <f>IF(B91&lt;&gt;"",+VLOOKUP(I91,Recursos!C:F,4,FALSE),"")</f>
        <v>422.48042769667234</v>
      </c>
      <c r="M91" s="331">
        <v>25</v>
      </c>
      <c r="N91" s="331">
        <v>1.4</v>
      </c>
      <c r="O91" s="362">
        <v>5.5999999999999994E-2</v>
      </c>
      <c r="P91" s="352">
        <f t="shared" si="40"/>
        <v>23.658903951013649</v>
      </c>
      <c r="Q91" s="349">
        <f t="shared" si="41"/>
        <v>0</v>
      </c>
      <c r="R91" s="353">
        <f t="shared" si="42"/>
        <v>0</v>
      </c>
      <c r="S91" s="354">
        <f t="shared" si="30"/>
        <v>1036.8595195621424</v>
      </c>
      <c r="T91" s="354">
        <f t="shared" si="31"/>
        <v>153.60911999999999</v>
      </c>
      <c r="U91" s="355">
        <f t="shared" si="32"/>
        <v>17.5</v>
      </c>
      <c r="V91" s="355">
        <f t="shared" si="33"/>
        <v>0</v>
      </c>
      <c r="W91" s="355">
        <f t="shared" si="34"/>
        <v>0</v>
      </c>
      <c r="X91" s="355">
        <f t="shared" si="35"/>
        <v>0</v>
      </c>
      <c r="Y91" s="396"/>
      <c r="Z91" s="346" t="str">
        <f t="shared" si="43"/>
        <v>0-EXSS4A</v>
      </c>
      <c r="AA91" s="346" t="str">
        <f t="shared" si="44"/>
        <v>0-EXSS4E</v>
      </c>
      <c r="AB91" s="346" t="str">
        <f t="shared" si="45"/>
        <v>0-EXSS4M</v>
      </c>
      <c r="AC91" s="346" t="str">
        <f t="shared" si="46"/>
        <v>0-EXSS4T</v>
      </c>
      <c r="AD91" s="346" t="str">
        <f t="shared" si="47"/>
        <v>0-EXSS4S</v>
      </c>
      <c r="AE91" s="346" t="str">
        <f t="shared" si="48"/>
        <v>0-EXSS4X</v>
      </c>
      <c r="AF91" s="346" t="str">
        <f t="shared" si="49"/>
        <v>0-EXSS4A</v>
      </c>
      <c r="AG91" s="346">
        <f t="shared" si="36"/>
        <v>5</v>
      </c>
      <c r="AH91" s="346">
        <f>IF(B91&lt;&gt;"",+IF(H91="x",+VLOOKUP(I91,'AUX-NIV2'!B:AG,32,FALSE),0),"")</f>
        <v>0</v>
      </c>
      <c r="AI91" s="346" t="str">
        <f t="shared" si="50"/>
        <v>0-EXSS4</v>
      </c>
      <c r="AK91" s="347">
        <f t="shared" si="37"/>
        <v>89</v>
      </c>
      <c r="AL91" s="348">
        <f t="shared" si="51"/>
        <v>93</v>
      </c>
      <c r="AM91" s="347">
        <f t="shared" si="52"/>
        <v>3</v>
      </c>
      <c r="AN91" s="382">
        <f>IF(AND(AH91&gt;0,B91&lt;&gt;""),VLOOKUP(I91,'AUX-NIV2'!$B:$AP,40,FALSE)*O91,0)</f>
        <v>0</v>
      </c>
      <c r="AO91" s="382">
        <f t="shared" si="38"/>
        <v>2.0893333333333333</v>
      </c>
      <c r="AQ91" s="395">
        <f>(IF($H91="x",VLOOKUP($I91,'AUX-NIV2'!$B:$X,'AUX-NIV1'!AQ$3,FALSE),0)+($AV91*'AUX-NIV3'!S$4))*$O91+IF($H91=AQ$4,$P91,0)</f>
        <v>23.658903951013649</v>
      </c>
      <c r="AR91" s="395">
        <f>(IF($H91="x",VLOOKUP($I91,'AUX-NIV2'!$B:$X,'AUX-NIV1'!AR$3,FALSE),0)+($AV91*'AUX-NIV3'!T$4))*$O91+IF($H91=AR$4,$P91,0)</f>
        <v>0</v>
      </c>
      <c r="AS91" s="395">
        <f>(IF($H91="x",VLOOKUP($I91,'AUX-NIV2'!$B:$X,'AUX-NIV1'!AS$3,FALSE),0)+($AV91*'AUX-NIV3'!U$4))*$O91+IF($H91=AS$4,$P91,0)</f>
        <v>0</v>
      </c>
      <c r="AT91" s="395">
        <f>(IF($H91="x",VLOOKUP($I91,'AUX-NIV2'!$B:$X,'AUX-NIV1'!AT$3,FALSE),0)+($AV91*'AUX-NIV3'!V$4))*$O91+IF($H91=AT$4,$P91,0)</f>
        <v>0</v>
      </c>
      <c r="AU91" s="395">
        <f>(IF($H91="x",VLOOKUP($I91,'AUX-NIV2'!$B:$X,'AUX-NIV1'!AU$3,FALSE),0)+($AV91*'AUX-NIV3'!W$4))*$O91+IF($H91=AU$4,$P91,0)</f>
        <v>0</v>
      </c>
      <c r="AV91" s="395">
        <f>+IF($H91="x",VLOOKUP($I91,'AUX-NIV2'!$B:$X,'AUX-NIV1'!AV$3,FALSE),0)</f>
        <v>0</v>
      </c>
    </row>
    <row r="92" spans="2:48" ht="13.8" hidden="1" thickBot="1">
      <c r="B92" s="324" t="s">
        <v>82</v>
      </c>
      <c r="C92" s="325" t="s">
        <v>167</v>
      </c>
      <c r="D92" s="326" t="s">
        <v>1160</v>
      </c>
      <c r="E92" s="349">
        <f>IF(B92&lt;&gt;"",+SUMIF(Items!C:C,'AUX-NIV1'!B92,Items!H:H),"")</f>
        <v>0</v>
      </c>
      <c r="F92" s="349">
        <f t="shared" si="28"/>
        <v>1207.9686395621425</v>
      </c>
      <c r="G92" s="349">
        <f t="shared" si="29"/>
        <v>0</v>
      </c>
      <c r="H92" s="1395" t="str">
        <f t="shared" si="39"/>
        <v>E</v>
      </c>
      <c r="I92" s="1375" t="s">
        <v>1552</v>
      </c>
      <c r="J92" s="350" t="str">
        <f>IF(B92&lt;&gt;"",+VLOOKUP(I92,Recursos!C:F,2,FALSE),"")</f>
        <v>RETROEXCAVADORA S/CARRILES  0,9 M2</v>
      </c>
      <c r="K92" s="351" t="str">
        <f>IF(B92&lt;&gt;"",+VLOOKUP(I92,Recursos!C:F,3,FALSE),"")</f>
        <v>HR</v>
      </c>
      <c r="L92" s="349">
        <f>IF(B92&lt;&gt;"",+VLOOKUP(I92,Recursos!C:F,4,FALSE),"")</f>
        <v>2743.02</v>
      </c>
      <c r="M92" s="331">
        <v>25</v>
      </c>
      <c r="N92" s="331">
        <v>1.4</v>
      </c>
      <c r="O92" s="362">
        <v>5.5999999999999994E-2</v>
      </c>
      <c r="P92" s="352">
        <f t="shared" si="40"/>
        <v>153.60911999999999</v>
      </c>
      <c r="Q92" s="349">
        <f t="shared" si="41"/>
        <v>0</v>
      </c>
      <c r="R92" s="353">
        <f t="shared" si="42"/>
        <v>0</v>
      </c>
      <c r="S92" s="354">
        <f t="shared" si="30"/>
        <v>1036.8595195621424</v>
      </c>
      <c r="T92" s="354">
        <f t="shared" si="31"/>
        <v>153.60911999999999</v>
      </c>
      <c r="U92" s="355">
        <f t="shared" si="32"/>
        <v>17.5</v>
      </c>
      <c r="V92" s="355">
        <f t="shared" si="33"/>
        <v>0</v>
      </c>
      <c r="W92" s="355">
        <f t="shared" si="34"/>
        <v>0</v>
      </c>
      <c r="X92" s="355">
        <f t="shared" si="35"/>
        <v>0</v>
      </c>
      <c r="Y92" s="396"/>
      <c r="Z92" s="346" t="str">
        <f t="shared" si="43"/>
        <v>0-EXSS4A</v>
      </c>
      <c r="AA92" s="346" t="str">
        <f t="shared" si="44"/>
        <v>0-EXSS4E</v>
      </c>
      <c r="AB92" s="346" t="str">
        <f t="shared" si="45"/>
        <v>0-EXSS4M</v>
      </c>
      <c r="AC92" s="346" t="str">
        <f t="shared" si="46"/>
        <v>0-EXSS4T</v>
      </c>
      <c r="AD92" s="346" t="str">
        <f t="shared" si="47"/>
        <v>0-EXSS4S</v>
      </c>
      <c r="AE92" s="346" t="str">
        <f t="shared" si="48"/>
        <v>0-EXSS4X</v>
      </c>
      <c r="AF92" s="346" t="str">
        <f t="shared" si="49"/>
        <v>0-EXSS4E</v>
      </c>
      <c r="AG92" s="346">
        <f t="shared" si="36"/>
        <v>5</v>
      </c>
      <c r="AH92" s="346">
        <f>IF(B92&lt;&gt;"",+IF(H92="x",+VLOOKUP(I92,'AUX-NIV2'!B:AG,32,FALSE),0),"")</f>
        <v>0</v>
      </c>
      <c r="AI92" s="346" t="str">
        <f t="shared" si="50"/>
        <v>0-EXSS4</v>
      </c>
      <c r="AK92" s="347">
        <f t="shared" si="37"/>
        <v>89</v>
      </c>
      <c r="AL92" s="348">
        <f t="shared" si="51"/>
        <v>93</v>
      </c>
      <c r="AM92" s="347">
        <f t="shared" si="52"/>
        <v>4</v>
      </c>
      <c r="AN92" s="382">
        <f>IF(AND(AH92&gt;0,B92&lt;&gt;""),VLOOKUP(I92,'AUX-NIV2'!$B:$AP,40,FALSE)*O92,0)</f>
        <v>0</v>
      </c>
      <c r="AO92" s="382">
        <f t="shared" si="38"/>
        <v>2.0893333333333333</v>
      </c>
      <c r="AQ92" s="395">
        <f>(IF($H92="x",VLOOKUP($I92,'AUX-NIV2'!$B:$X,'AUX-NIV1'!AQ$3,FALSE),0)+($AV92*'AUX-NIV3'!S$4))*$O92+IF($H92=AQ$4,$P92,0)</f>
        <v>0</v>
      </c>
      <c r="AR92" s="395">
        <f>(IF($H92="x",VLOOKUP($I92,'AUX-NIV2'!$B:$X,'AUX-NIV1'!AR$3,FALSE),0)+($AV92*'AUX-NIV3'!T$4))*$O92+IF($H92=AR$4,$P92,0)</f>
        <v>153.60911999999999</v>
      </c>
      <c r="AS92" s="395">
        <f>(IF($H92="x",VLOOKUP($I92,'AUX-NIV2'!$B:$X,'AUX-NIV1'!AS$3,FALSE),0)+($AV92*'AUX-NIV3'!U$4))*$O92+IF($H92=AS$4,$P92,0)</f>
        <v>0</v>
      </c>
      <c r="AT92" s="395">
        <f>(IF($H92="x",VLOOKUP($I92,'AUX-NIV2'!$B:$X,'AUX-NIV1'!AT$3,FALSE),0)+($AV92*'AUX-NIV3'!V$4))*$O92+IF($H92=AT$4,$P92,0)</f>
        <v>0</v>
      </c>
      <c r="AU92" s="395">
        <f>(IF($H92="x",VLOOKUP($I92,'AUX-NIV2'!$B:$X,'AUX-NIV1'!AU$3,FALSE),0)+($AV92*'AUX-NIV3'!W$4))*$O92+IF($H92=AU$4,$P92,0)</f>
        <v>0</v>
      </c>
      <c r="AV92" s="395">
        <f>+IF($H92="x",VLOOKUP($I92,'AUX-NIV2'!$B:$X,'AUX-NIV1'!AV$3,FALSE),0)</f>
        <v>0</v>
      </c>
    </row>
    <row r="93" spans="2:48" ht="13.8" hidden="1" thickBot="1">
      <c r="B93" s="324" t="s">
        <v>82</v>
      </c>
      <c r="C93" s="325" t="s">
        <v>167</v>
      </c>
      <c r="D93" s="326" t="s">
        <v>1160</v>
      </c>
      <c r="E93" s="349">
        <f>IF(B93&lt;&gt;"",+SUMIF(Items!C:C,'AUX-NIV1'!B93,Items!H:H),"")</f>
        <v>0</v>
      </c>
      <c r="F93" s="349">
        <f t="shared" si="28"/>
        <v>1207.9686395621425</v>
      </c>
      <c r="G93" s="349">
        <f t="shared" si="29"/>
        <v>0</v>
      </c>
      <c r="H93" s="1395" t="str">
        <f t="shared" si="39"/>
        <v>M</v>
      </c>
      <c r="I93" s="1375" t="s">
        <v>621</v>
      </c>
      <c r="J93" s="350" t="str">
        <f>IF(B93&lt;&gt;"",+VLOOKUP(I93,Recursos!C:F,2,FALSE),"")</f>
        <v>MATERIALES VARIOS</v>
      </c>
      <c r="K93" s="351" t="str">
        <f>IF(B93&lt;&gt;"",+VLOOKUP(I93,Recursos!C:F,3,FALSE),"")</f>
        <v>GL</v>
      </c>
      <c r="L93" s="349">
        <f>IF(B93&lt;&gt;"",+VLOOKUP(I93,Recursos!C:F,4,FALSE),"")</f>
        <v>0.5</v>
      </c>
      <c r="M93" s="331">
        <v>25</v>
      </c>
      <c r="N93" s="331">
        <v>1.4</v>
      </c>
      <c r="O93" s="362">
        <v>35</v>
      </c>
      <c r="P93" s="352">
        <f t="shared" si="40"/>
        <v>17.5</v>
      </c>
      <c r="Q93" s="349">
        <f t="shared" si="41"/>
        <v>0</v>
      </c>
      <c r="R93" s="353">
        <f t="shared" si="42"/>
        <v>0</v>
      </c>
      <c r="S93" s="354">
        <f t="shared" si="30"/>
        <v>1036.8595195621424</v>
      </c>
      <c r="T93" s="354">
        <f t="shared" si="31"/>
        <v>153.60911999999999</v>
      </c>
      <c r="U93" s="355">
        <f t="shared" si="32"/>
        <v>17.5</v>
      </c>
      <c r="V93" s="355">
        <f t="shared" si="33"/>
        <v>0</v>
      </c>
      <c r="W93" s="355">
        <f t="shared" si="34"/>
        <v>0</v>
      </c>
      <c r="X93" s="355">
        <f t="shared" si="35"/>
        <v>0</v>
      </c>
      <c r="Y93" s="396"/>
      <c r="Z93" s="346" t="str">
        <f t="shared" si="43"/>
        <v>0-EXSS4A</v>
      </c>
      <c r="AA93" s="346" t="str">
        <f t="shared" si="44"/>
        <v>0-EXSS4E</v>
      </c>
      <c r="AB93" s="346" t="str">
        <f t="shared" si="45"/>
        <v>0-EXSS4M</v>
      </c>
      <c r="AC93" s="346" t="str">
        <f t="shared" si="46"/>
        <v>0-EXSS4T</v>
      </c>
      <c r="AD93" s="346" t="str">
        <f t="shared" si="47"/>
        <v>0-EXSS4S</v>
      </c>
      <c r="AE93" s="346" t="str">
        <f t="shared" si="48"/>
        <v>0-EXSS4X</v>
      </c>
      <c r="AF93" s="346" t="str">
        <f t="shared" si="49"/>
        <v>0-EXSS4M</v>
      </c>
      <c r="AG93" s="346">
        <f t="shared" si="36"/>
        <v>5</v>
      </c>
      <c r="AH93" s="346">
        <f>IF(B93&lt;&gt;"",+IF(H93="x",+VLOOKUP(I93,'AUX-NIV2'!B:AG,32,FALSE),0),"")</f>
        <v>0</v>
      </c>
      <c r="AI93" s="346" t="str">
        <f t="shared" si="50"/>
        <v>0-EXSS4</v>
      </c>
      <c r="AK93" s="347">
        <f t="shared" si="37"/>
        <v>89</v>
      </c>
      <c r="AL93" s="348">
        <f t="shared" si="51"/>
        <v>93</v>
      </c>
      <c r="AM93" s="347">
        <f t="shared" si="52"/>
        <v>5</v>
      </c>
      <c r="AN93" s="382">
        <f>IF(AND(AH93&gt;0,B93&lt;&gt;""),VLOOKUP(I93,'AUX-NIV2'!$B:$AP,40,FALSE)*O93,0)</f>
        <v>0</v>
      </c>
      <c r="AO93" s="382">
        <f t="shared" si="38"/>
        <v>2.0893333333333333</v>
      </c>
      <c r="AQ93" s="395">
        <f>(IF($H93="x",VLOOKUP($I93,'AUX-NIV2'!$B:$X,'AUX-NIV1'!AQ$3,FALSE),0)+($AV93*'AUX-NIV3'!S$4))*$O93+IF($H93=AQ$4,$P93,0)</f>
        <v>0</v>
      </c>
      <c r="AR93" s="395">
        <f>(IF($H93="x",VLOOKUP($I93,'AUX-NIV2'!$B:$X,'AUX-NIV1'!AR$3,FALSE),0)+($AV93*'AUX-NIV3'!T$4))*$O93+IF($H93=AR$4,$P93,0)</f>
        <v>0</v>
      </c>
      <c r="AS93" s="395">
        <f>(IF($H93="x",VLOOKUP($I93,'AUX-NIV2'!$B:$X,'AUX-NIV1'!AS$3,FALSE),0)+($AV93*'AUX-NIV3'!U$4))*$O93+IF($H93=AS$4,$P93,0)</f>
        <v>17.5</v>
      </c>
      <c r="AT93" s="395">
        <f>(IF($H93="x",VLOOKUP($I93,'AUX-NIV2'!$B:$X,'AUX-NIV1'!AT$3,FALSE),0)+($AV93*'AUX-NIV3'!V$4))*$O93+IF($H93=AT$4,$P93,0)</f>
        <v>0</v>
      </c>
      <c r="AU93" s="395">
        <f>(IF($H93="x",VLOOKUP($I93,'AUX-NIV2'!$B:$X,'AUX-NIV1'!AU$3,FALSE),0)+($AV93*'AUX-NIV3'!W$4))*$O93+IF($H93=AU$4,$P93,0)</f>
        <v>0</v>
      </c>
      <c r="AV93" s="395">
        <f>+IF($H93="x",VLOOKUP($I93,'AUX-NIV2'!$B:$X,'AUX-NIV1'!AV$3,FALSE),0)</f>
        <v>0</v>
      </c>
    </row>
    <row r="94" spans="2:48" ht="13.8" hidden="1" thickBot="1">
      <c r="B94" s="324" t="s">
        <v>83</v>
      </c>
      <c r="C94" s="325" t="s">
        <v>168</v>
      </c>
      <c r="D94" s="326" t="s">
        <v>1160</v>
      </c>
      <c r="E94" s="349">
        <f>IF(B94&lt;&gt;"",+SUMIF(Items!C:C,'AUX-NIV1'!B94,Items!H:H),"")</f>
        <v>0</v>
      </c>
      <c r="F94" s="349">
        <f t="shared" si="28"/>
        <v>641998.73904913932</v>
      </c>
      <c r="G94" s="349">
        <f t="shared" si="29"/>
        <v>0</v>
      </c>
      <c r="H94" s="1395" t="str">
        <f t="shared" si="39"/>
        <v>A</v>
      </c>
      <c r="I94" s="1375" t="s">
        <v>3311</v>
      </c>
      <c r="J94" s="350" t="str">
        <f>IF(B94&lt;&gt;"",+VLOOKUP(I94,Recursos!C:F,2,FALSE),"")</f>
        <v>OPER. EQUIPO</v>
      </c>
      <c r="K94" s="351" t="str">
        <f>IF(B94&lt;&gt;"",+VLOOKUP(I94,Recursos!C:F,3,FALSE),"")</f>
        <v>hh</v>
      </c>
      <c r="L94" s="349">
        <f>IF(B94&lt;&gt;"",+VLOOKUP(I94,Recursos!C:F,4,FALSE),"")</f>
        <v>581.06120476836554</v>
      </c>
      <c r="M94" s="331">
        <v>25</v>
      </c>
      <c r="N94" s="331">
        <v>1</v>
      </c>
      <c r="O94" s="362">
        <v>0.04</v>
      </c>
      <c r="P94" s="352">
        <f t="shared" si="40"/>
        <v>23.242448190734621</v>
      </c>
      <c r="Q94" s="349">
        <f t="shared" si="41"/>
        <v>0</v>
      </c>
      <c r="R94" s="353">
        <f t="shared" si="42"/>
        <v>0</v>
      </c>
      <c r="S94" s="354">
        <f t="shared" si="30"/>
        <v>1067.7720082998519</v>
      </c>
      <c r="T94" s="354">
        <f t="shared" si="31"/>
        <v>161.4384</v>
      </c>
      <c r="U94" s="355">
        <f t="shared" si="32"/>
        <v>17.5</v>
      </c>
      <c r="V94" s="355">
        <f t="shared" si="33"/>
        <v>0</v>
      </c>
      <c r="W94" s="355">
        <f t="shared" si="34"/>
        <v>0</v>
      </c>
      <c r="X94" s="355">
        <f t="shared" si="35"/>
        <v>640752.0286408395</v>
      </c>
      <c r="Y94" s="396"/>
      <c r="Z94" s="346" t="str">
        <f t="shared" si="43"/>
        <v>0-EXSS1aA</v>
      </c>
      <c r="AA94" s="346" t="str">
        <f t="shared" si="44"/>
        <v>0-EXSS1aE</v>
      </c>
      <c r="AB94" s="346" t="str">
        <f t="shared" si="45"/>
        <v>0-EXSS1aM</v>
      </c>
      <c r="AC94" s="346" t="str">
        <f t="shared" si="46"/>
        <v>0-EXSS1aT</v>
      </c>
      <c r="AD94" s="346" t="str">
        <f t="shared" si="47"/>
        <v>0-EXSS1aS</v>
      </c>
      <c r="AE94" s="346" t="str">
        <f t="shared" si="48"/>
        <v>0-EXSS1aX</v>
      </c>
      <c r="AF94" s="346" t="str">
        <f t="shared" si="49"/>
        <v>0-EXSS1aA</v>
      </c>
      <c r="AG94" s="346">
        <f t="shared" si="36"/>
        <v>8</v>
      </c>
      <c r="AH94" s="346">
        <f>IF(B94&lt;&gt;"",+IF(H94="x",+VLOOKUP(I94,'AUX-NIV2'!B:AG,32,FALSE),0),"")</f>
        <v>0</v>
      </c>
      <c r="AI94" s="346" t="str">
        <f t="shared" si="50"/>
        <v>0-EXSS1a</v>
      </c>
      <c r="AK94" s="347">
        <f t="shared" si="37"/>
        <v>94</v>
      </c>
      <c r="AL94" s="348">
        <f t="shared" si="51"/>
        <v>101</v>
      </c>
      <c r="AM94" s="347">
        <f t="shared" si="52"/>
        <v>1</v>
      </c>
      <c r="AN94" s="382">
        <f>IF(AND(AH94&gt;0,B94&lt;&gt;""),VLOOKUP(I94,'AUX-NIV2'!$B:$AP,40,FALSE)*O94,0)</f>
        <v>0</v>
      </c>
      <c r="AO94" s="382">
        <f t="shared" si="38"/>
        <v>309.16000000000003</v>
      </c>
      <c r="AQ94" s="395">
        <f>(IF($H94="x",VLOOKUP($I94,'AUX-NIV2'!$B:$X,'AUX-NIV1'!AQ$3,FALSE),0)+($AV94*'AUX-NIV3'!S$4))*$O94+IF($H94=AQ$4,$P94,0)</f>
        <v>23.242448190734621</v>
      </c>
      <c r="AR94" s="395">
        <f>(IF($H94="x",VLOOKUP($I94,'AUX-NIV2'!$B:$X,'AUX-NIV1'!AR$3,FALSE),0)+($AV94*'AUX-NIV3'!T$4))*$O94+IF($H94=AR$4,$P94,0)</f>
        <v>0</v>
      </c>
      <c r="AS94" s="395">
        <f>(IF($H94="x",VLOOKUP($I94,'AUX-NIV2'!$B:$X,'AUX-NIV1'!AS$3,FALSE),0)+($AV94*'AUX-NIV3'!U$4))*$O94+IF($H94=AS$4,$P94,0)</f>
        <v>0</v>
      </c>
      <c r="AT94" s="395">
        <f>(IF($H94="x",VLOOKUP($I94,'AUX-NIV2'!$B:$X,'AUX-NIV1'!AT$3,FALSE),0)+($AV94*'AUX-NIV3'!V$4))*$O94+IF($H94=AT$4,$P94,0)</f>
        <v>0</v>
      </c>
      <c r="AU94" s="395">
        <f>(IF($H94="x",VLOOKUP($I94,'AUX-NIV2'!$B:$X,'AUX-NIV1'!AU$3,FALSE),0)+($AV94*'AUX-NIV3'!W$4))*$O94+IF($H94=AU$4,$P94,0)</f>
        <v>0</v>
      </c>
      <c r="AV94" s="395">
        <f>+IF($H94="x",VLOOKUP($I94,'AUX-NIV2'!$B:$X,'AUX-NIV1'!AV$3,FALSE),0)</f>
        <v>0</v>
      </c>
    </row>
    <row r="95" spans="2:48" ht="13.8" hidden="1" thickBot="1">
      <c r="B95" s="324" t="s">
        <v>83</v>
      </c>
      <c r="C95" s="325" t="s">
        <v>168</v>
      </c>
      <c r="D95" s="326" t="s">
        <v>1160</v>
      </c>
      <c r="E95" s="349">
        <f>IF(B95&lt;&gt;"",+SUMIF(Items!C:C,'AUX-NIV1'!B95,Items!H:H),"")</f>
        <v>0</v>
      </c>
      <c r="F95" s="349">
        <f t="shared" si="28"/>
        <v>641998.73904913932</v>
      </c>
      <c r="G95" s="349">
        <f t="shared" si="29"/>
        <v>0</v>
      </c>
      <c r="H95" s="1395" t="str">
        <f t="shared" si="39"/>
        <v>A</v>
      </c>
      <c r="I95" s="1375" t="s">
        <v>1746</v>
      </c>
      <c r="J95" s="350" t="str">
        <f>IF(B95&lt;&gt;"",+VLOOKUP(I95,Recursos!C:F,2,FALSE),"")</f>
        <v>OFICIAL</v>
      </c>
      <c r="K95" s="351" t="str">
        <f>IF(B95&lt;&gt;"",+VLOOKUP(I95,Recursos!C:F,3,FALSE),"")</f>
        <v>hh</v>
      </c>
      <c r="L95" s="349">
        <f>IF(B95&lt;&gt;"",+VLOOKUP(I95,Recursos!C:F,4,FALSE),"")</f>
        <v>496.91595439275824</v>
      </c>
      <c r="M95" s="331">
        <v>0.5</v>
      </c>
      <c r="N95" s="331">
        <v>1</v>
      </c>
      <c r="O95" s="362">
        <v>2</v>
      </c>
      <c r="P95" s="352">
        <f t="shared" si="40"/>
        <v>993.83190878551648</v>
      </c>
      <c r="Q95" s="349">
        <f t="shared" si="41"/>
        <v>0</v>
      </c>
      <c r="R95" s="353">
        <f t="shared" si="42"/>
        <v>0</v>
      </c>
      <c r="S95" s="354">
        <f t="shared" si="30"/>
        <v>1067.7720082998519</v>
      </c>
      <c r="T95" s="354">
        <f t="shared" si="31"/>
        <v>161.4384</v>
      </c>
      <c r="U95" s="355">
        <f t="shared" si="32"/>
        <v>17.5</v>
      </c>
      <c r="V95" s="355">
        <f t="shared" si="33"/>
        <v>0</v>
      </c>
      <c r="W95" s="355">
        <f t="shared" si="34"/>
        <v>0</v>
      </c>
      <c r="X95" s="355">
        <f t="shared" si="35"/>
        <v>640752.0286408395</v>
      </c>
      <c r="Y95" s="396"/>
      <c r="Z95" s="346" t="str">
        <f t="shared" si="43"/>
        <v>0-EXSS1aA</v>
      </c>
      <c r="AA95" s="346" t="str">
        <f t="shared" si="44"/>
        <v>0-EXSS1aE</v>
      </c>
      <c r="AB95" s="346" t="str">
        <f t="shared" si="45"/>
        <v>0-EXSS1aM</v>
      </c>
      <c r="AC95" s="346" t="str">
        <f t="shared" si="46"/>
        <v>0-EXSS1aT</v>
      </c>
      <c r="AD95" s="346" t="str">
        <f t="shared" si="47"/>
        <v>0-EXSS1aS</v>
      </c>
      <c r="AE95" s="346" t="str">
        <f t="shared" si="48"/>
        <v>0-EXSS1aX</v>
      </c>
      <c r="AF95" s="346" t="str">
        <f t="shared" si="49"/>
        <v>0-EXSS1aA</v>
      </c>
      <c r="AG95" s="346">
        <f t="shared" si="36"/>
        <v>8</v>
      </c>
      <c r="AH95" s="346">
        <f>IF(B95&lt;&gt;"",+IF(H95="x",+VLOOKUP(I95,'AUX-NIV2'!B:AG,32,FALSE),0),"")</f>
        <v>0</v>
      </c>
      <c r="AI95" s="346" t="str">
        <f t="shared" si="50"/>
        <v>0-EXSS1a</v>
      </c>
      <c r="AK95" s="347">
        <f t="shared" si="37"/>
        <v>94</v>
      </c>
      <c r="AL95" s="348">
        <f t="shared" si="51"/>
        <v>101</v>
      </c>
      <c r="AM95" s="347">
        <f t="shared" si="52"/>
        <v>2</v>
      </c>
      <c r="AN95" s="382">
        <f>IF(AND(AH95&gt;0,B95&lt;&gt;""),VLOOKUP(I95,'AUX-NIV2'!$B:$AP,40,FALSE)*O95,0)</f>
        <v>0</v>
      </c>
      <c r="AO95" s="382">
        <f t="shared" si="38"/>
        <v>309.16000000000003</v>
      </c>
      <c r="AQ95" s="395">
        <f>(IF($H95="x",VLOOKUP($I95,'AUX-NIV2'!$B:$X,'AUX-NIV1'!AQ$3,FALSE),0)+($AV95*'AUX-NIV3'!S$4))*$O95+IF($H95=AQ$4,$P95,0)</f>
        <v>993.83190878551648</v>
      </c>
      <c r="AR95" s="395">
        <f>(IF($H95="x",VLOOKUP($I95,'AUX-NIV2'!$B:$X,'AUX-NIV1'!AR$3,FALSE),0)+($AV95*'AUX-NIV3'!T$4))*$O95+IF($H95=AR$4,$P95,0)</f>
        <v>0</v>
      </c>
      <c r="AS95" s="395">
        <f>(IF($H95="x",VLOOKUP($I95,'AUX-NIV2'!$B:$X,'AUX-NIV1'!AS$3,FALSE),0)+($AV95*'AUX-NIV3'!U$4))*$O95+IF($H95=AS$4,$P95,0)</f>
        <v>0</v>
      </c>
      <c r="AT95" s="395">
        <f>(IF($H95="x",VLOOKUP($I95,'AUX-NIV2'!$B:$X,'AUX-NIV1'!AT$3,FALSE),0)+($AV95*'AUX-NIV3'!V$4))*$O95+IF($H95=AT$4,$P95,0)</f>
        <v>0</v>
      </c>
      <c r="AU95" s="395">
        <f>(IF($H95="x",VLOOKUP($I95,'AUX-NIV2'!$B:$X,'AUX-NIV1'!AU$3,FALSE),0)+($AV95*'AUX-NIV3'!W$4))*$O95+IF($H95=AU$4,$P95,0)</f>
        <v>0</v>
      </c>
      <c r="AV95" s="395">
        <f>+IF($H95="x",VLOOKUP($I95,'AUX-NIV2'!$B:$X,'AUX-NIV1'!AV$3,FALSE),0)</f>
        <v>0</v>
      </c>
    </row>
    <row r="96" spans="2:48" ht="13.8" hidden="1" thickBot="1">
      <c r="B96" s="324" t="s">
        <v>83</v>
      </c>
      <c r="C96" s="325" t="s">
        <v>168</v>
      </c>
      <c r="D96" s="326" t="s">
        <v>1160</v>
      </c>
      <c r="E96" s="349">
        <f>IF(B96&lt;&gt;"",+SUMIF(Items!C:C,'AUX-NIV1'!B96,Items!H:H),"")</f>
        <v>0</v>
      </c>
      <c r="F96" s="349">
        <f t="shared" si="28"/>
        <v>641998.73904913932</v>
      </c>
      <c r="G96" s="349">
        <f t="shared" si="29"/>
        <v>0</v>
      </c>
      <c r="H96" s="1395" t="str">
        <f t="shared" si="39"/>
        <v>A</v>
      </c>
      <c r="I96" s="1375" t="s">
        <v>1745</v>
      </c>
      <c r="J96" s="350" t="str">
        <f>IF(B96&lt;&gt;"",+VLOOKUP(I96,Recursos!C:F,2,FALSE),"")</f>
        <v>AYUDANTE</v>
      </c>
      <c r="K96" s="351" t="str">
        <f>IF(B96&lt;&gt;"",+VLOOKUP(I96,Recursos!C:F,3,FALSE),"")</f>
        <v>hh</v>
      </c>
      <c r="L96" s="349">
        <f>IF(B96&lt;&gt;"",+VLOOKUP(I96,Recursos!C:F,4,FALSE),"")</f>
        <v>422.48042769667234</v>
      </c>
      <c r="M96" s="331">
        <v>35</v>
      </c>
      <c r="N96" s="331">
        <v>1.4</v>
      </c>
      <c r="O96" s="362">
        <v>0.04</v>
      </c>
      <c r="P96" s="352">
        <f t="shared" si="40"/>
        <v>16.899217107866892</v>
      </c>
      <c r="Q96" s="349">
        <f t="shared" si="41"/>
        <v>0</v>
      </c>
      <c r="R96" s="353">
        <f t="shared" si="42"/>
        <v>0</v>
      </c>
      <c r="S96" s="354">
        <f t="shared" si="30"/>
        <v>1067.7720082998519</v>
      </c>
      <c r="T96" s="354">
        <f t="shared" si="31"/>
        <v>161.4384</v>
      </c>
      <c r="U96" s="355">
        <f t="shared" si="32"/>
        <v>17.5</v>
      </c>
      <c r="V96" s="355">
        <f t="shared" si="33"/>
        <v>0</v>
      </c>
      <c r="W96" s="355">
        <f t="shared" si="34"/>
        <v>0</v>
      </c>
      <c r="X96" s="355">
        <f t="shared" si="35"/>
        <v>640752.0286408395</v>
      </c>
      <c r="Y96" s="396"/>
      <c r="Z96" s="346" t="str">
        <f t="shared" si="43"/>
        <v>0-EXSS1aA</v>
      </c>
      <c r="AA96" s="346" t="str">
        <f t="shared" si="44"/>
        <v>0-EXSS1aE</v>
      </c>
      <c r="AB96" s="346" t="str">
        <f t="shared" si="45"/>
        <v>0-EXSS1aM</v>
      </c>
      <c r="AC96" s="346" t="str">
        <f t="shared" si="46"/>
        <v>0-EXSS1aT</v>
      </c>
      <c r="AD96" s="346" t="str">
        <f t="shared" si="47"/>
        <v>0-EXSS1aS</v>
      </c>
      <c r="AE96" s="346" t="str">
        <f t="shared" si="48"/>
        <v>0-EXSS1aX</v>
      </c>
      <c r="AF96" s="346" t="str">
        <f t="shared" si="49"/>
        <v>0-EXSS1aA</v>
      </c>
      <c r="AG96" s="346">
        <f t="shared" si="36"/>
        <v>8</v>
      </c>
      <c r="AH96" s="346">
        <f>IF(B96&lt;&gt;"",+IF(H96="x",+VLOOKUP(I96,'AUX-NIV2'!B:AG,32,FALSE),0),"")</f>
        <v>0</v>
      </c>
      <c r="AI96" s="346" t="str">
        <f t="shared" si="50"/>
        <v>0-EXSS1a</v>
      </c>
      <c r="AK96" s="347">
        <f t="shared" si="37"/>
        <v>94</v>
      </c>
      <c r="AL96" s="348">
        <f t="shared" si="51"/>
        <v>101</v>
      </c>
      <c r="AM96" s="347">
        <f t="shared" si="52"/>
        <v>3</v>
      </c>
      <c r="AN96" s="382">
        <f>IF(AND(AH96&gt;0,B96&lt;&gt;""),VLOOKUP(I96,'AUX-NIV2'!$B:$AP,40,FALSE)*O96,0)</f>
        <v>0</v>
      </c>
      <c r="AO96" s="382">
        <f t="shared" si="38"/>
        <v>309.16000000000003</v>
      </c>
      <c r="AQ96" s="395">
        <f>(IF($H96="x",VLOOKUP($I96,'AUX-NIV2'!$B:$X,'AUX-NIV1'!AQ$3,FALSE),0)+($AV96*'AUX-NIV3'!S$4))*$O96+IF($H96=AQ$4,$P96,0)</f>
        <v>16.899217107866892</v>
      </c>
      <c r="AR96" s="395">
        <f>(IF($H96="x",VLOOKUP($I96,'AUX-NIV2'!$B:$X,'AUX-NIV1'!AR$3,FALSE),0)+($AV96*'AUX-NIV3'!T$4))*$O96+IF($H96=AR$4,$P96,0)</f>
        <v>0</v>
      </c>
      <c r="AS96" s="395">
        <f>(IF($H96="x",VLOOKUP($I96,'AUX-NIV2'!$B:$X,'AUX-NIV1'!AS$3,FALSE),0)+($AV96*'AUX-NIV3'!U$4))*$O96+IF($H96=AS$4,$P96,0)</f>
        <v>0</v>
      </c>
      <c r="AT96" s="395">
        <f>(IF($H96="x",VLOOKUP($I96,'AUX-NIV2'!$B:$X,'AUX-NIV1'!AT$3,FALSE),0)+($AV96*'AUX-NIV3'!V$4))*$O96+IF($H96=AT$4,$P96,0)</f>
        <v>0</v>
      </c>
      <c r="AU96" s="395">
        <f>(IF($H96="x",VLOOKUP($I96,'AUX-NIV2'!$B:$X,'AUX-NIV1'!AU$3,FALSE),0)+($AV96*'AUX-NIV3'!W$4))*$O96+IF($H96=AU$4,$P96,0)</f>
        <v>0</v>
      </c>
      <c r="AV96" s="395">
        <f>+IF($H96="x",VLOOKUP($I96,'AUX-NIV2'!$B:$X,'AUX-NIV1'!AV$3,FALSE),0)</f>
        <v>0</v>
      </c>
    </row>
    <row r="97" spans="2:48" ht="13.8" hidden="1" thickBot="1">
      <c r="B97" s="324" t="s">
        <v>83</v>
      </c>
      <c r="C97" s="325" t="s">
        <v>168</v>
      </c>
      <c r="D97" s="326" t="s">
        <v>1160</v>
      </c>
      <c r="E97" s="349">
        <f>IF(B97&lt;&gt;"",+SUMIF(Items!C:C,'AUX-NIV1'!B97,Items!H:H),"")</f>
        <v>0</v>
      </c>
      <c r="F97" s="349">
        <f t="shared" si="28"/>
        <v>641998.73904913932</v>
      </c>
      <c r="G97" s="349">
        <f t="shared" si="29"/>
        <v>0</v>
      </c>
      <c r="H97" s="1395" t="str">
        <f t="shared" si="39"/>
        <v>A</v>
      </c>
      <c r="I97" s="1375" t="s">
        <v>1745</v>
      </c>
      <c r="J97" s="350" t="str">
        <f>IF(B97&lt;&gt;"",+VLOOKUP(I97,Recursos!C:F,2,FALSE),"")</f>
        <v>AYUDANTE</v>
      </c>
      <c r="K97" s="351" t="str">
        <f>IF(B97&lt;&gt;"",+VLOOKUP(I97,Recursos!C:F,3,FALSE),"")</f>
        <v>hh</v>
      </c>
      <c r="L97" s="349">
        <f>IF(B97&lt;&gt;"",+VLOOKUP(I97,Recursos!C:F,4,FALSE),"")</f>
        <v>422.48042769667234</v>
      </c>
      <c r="M97" s="331">
        <v>35</v>
      </c>
      <c r="N97" s="331">
        <v>2.8</v>
      </c>
      <c r="O97" s="362">
        <v>0.08</v>
      </c>
      <c r="P97" s="352">
        <f t="shared" si="40"/>
        <v>33.798434215733785</v>
      </c>
      <c r="Q97" s="349">
        <f t="shared" si="41"/>
        <v>0</v>
      </c>
      <c r="R97" s="353">
        <f t="shared" si="42"/>
        <v>0</v>
      </c>
      <c r="S97" s="354">
        <f t="shared" si="30"/>
        <v>1067.7720082998519</v>
      </c>
      <c r="T97" s="354">
        <f t="shared" si="31"/>
        <v>161.4384</v>
      </c>
      <c r="U97" s="355">
        <f t="shared" si="32"/>
        <v>17.5</v>
      </c>
      <c r="V97" s="355">
        <f t="shared" si="33"/>
        <v>0</v>
      </c>
      <c r="W97" s="355">
        <f t="shared" si="34"/>
        <v>0</v>
      </c>
      <c r="X97" s="355">
        <f t="shared" si="35"/>
        <v>640752.0286408395</v>
      </c>
      <c r="Y97" s="396"/>
      <c r="Z97" s="346" t="str">
        <f t="shared" si="43"/>
        <v>0-EXSS1aA</v>
      </c>
      <c r="AA97" s="346" t="str">
        <f t="shared" si="44"/>
        <v>0-EXSS1aE</v>
      </c>
      <c r="AB97" s="346" t="str">
        <f t="shared" si="45"/>
        <v>0-EXSS1aM</v>
      </c>
      <c r="AC97" s="346" t="str">
        <f t="shared" si="46"/>
        <v>0-EXSS1aT</v>
      </c>
      <c r="AD97" s="346" t="str">
        <f t="shared" si="47"/>
        <v>0-EXSS1aS</v>
      </c>
      <c r="AE97" s="346" t="str">
        <f t="shared" si="48"/>
        <v>0-EXSS1aX</v>
      </c>
      <c r="AF97" s="346" t="str">
        <f t="shared" si="49"/>
        <v>0-EXSS1aA</v>
      </c>
      <c r="AG97" s="346">
        <f t="shared" si="36"/>
        <v>8</v>
      </c>
      <c r="AH97" s="346">
        <f>IF(B97&lt;&gt;"",+IF(H97="x",+VLOOKUP(I97,'AUX-NIV2'!B:AG,32,FALSE),0),"")</f>
        <v>0</v>
      </c>
      <c r="AI97" s="346" t="str">
        <f t="shared" si="50"/>
        <v>0-EXSS1a</v>
      </c>
      <c r="AK97" s="347">
        <f t="shared" si="37"/>
        <v>94</v>
      </c>
      <c r="AL97" s="348">
        <f t="shared" si="51"/>
        <v>101</v>
      </c>
      <c r="AM97" s="347">
        <f t="shared" si="52"/>
        <v>4</v>
      </c>
      <c r="AN97" s="382">
        <f>IF(AND(AH97&gt;0,B97&lt;&gt;""),VLOOKUP(I97,'AUX-NIV2'!$B:$AP,40,FALSE)*O97,0)</f>
        <v>0</v>
      </c>
      <c r="AO97" s="382">
        <f t="shared" si="38"/>
        <v>309.16000000000003</v>
      </c>
      <c r="AQ97" s="395">
        <f>(IF($H97="x",VLOOKUP($I97,'AUX-NIV2'!$B:$X,'AUX-NIV1'!AQ$3,FALSE),0)+($AV97*'AUX-NIV3'!S$4))*$O97+IF($H97=AQ$4,$P97,0)</f>
        <v>33.798434215733785</v>
      </c>
      <c r="AR97" s="395">
        <f>(IF($H97="x",VLOOKUP($I97,'AUX-NIV2'!$B:$X,'AUX-NIV1'!AR$3,FALSE),0)+($AV97*'AUX-NIV3'!T$4))*$O97+IF($H97=AR$4,$P97,0)</f>
        <v>0</v>
      </c>
      <c r="AS97" s="395">
        <f>(IF($H97="x",VLOOKUP($I97,'AUX-NIV2'!$B:$X,'AUX-NIV1'!AS$3,FALSE),0)+($AV97*'AUX-NIV3'!U$4))*$O97+IF($H97=AS$4,$P97,0)</f>
        <v>0</v>
      </c>
      <c r="AT97" s="395">
        <f>(IF($H97="x",VLOOKUP($I97,'AUX-NIV2'!$B:$X,'AUX-NIV1'!AT$3,FALSE),0)+($AV97*'AUX-NIV3'!V$4))*$O97+IF($H97=AT$4,$P97,0)</f>
        <v>0</v>
      </c>
      <c r="AU97" s="395">
        <f>(IF($H97="x",VLOOKUP($I97,'AUX-NIV2'!$B:$X,'AUX-NIV1'!AU$3,FALSE),0)+($AV97*'AUX-NIV3'!W$4))*$O97+IF($H97=AU$4,$P97,0)</f>
        <v>0</v>
      </c>
      <c r="AV97" s="395">
        <f>+IF($H97="x",VLOOKUP($I97,'AUX-NIV2'!$B:$X,'AUX-NIV1'!AV$3,FALSE),0)</f>
        <v>0</v>
      </c>
    </row>
    <row r="98" spans="2:48" ht="13.8" hidden="1" thickBot="1">
      <c r="B98" s="324" t="s">
        <v>83</v>
      </c>
      <c r="C98" s="325" t="s">
        <v>168</v>
      </c>
      <c r="D98" s="326" t="s">
        <v>1160</v>
      </c>
      <c r="E98" s="349">
        <f>IF(B98&lt;&gt;"",+SUMIF(Items!C:C,'AUX-NIV1'!B98,Items!H:H),"")</f>
        <v>0</v>
      </c>
      <c r="F98" s="349">
        <f t="shared" si="28"/>
        <v>641998.73904913932</v>
      </c>
      <c r="G98" s="349">
        <f t="shared" si="29"/>
        <v>0</v>
      </c>
      <c r="H98" s="1395" t="str">
        <f t="shared" si="39"/>
        <v>E</v>
      </c>
      <c r="I98" s="1375" t="s">
        <v>1552</v>
      </c>
      <c r="J98" s="350" t="str">
        <f>IF(B98&lt;&gt;"",+VLOOKUP(I98,Recursos!C:F,2,FALSE),"")</f>
        <v>RETROEXCAVADORA S/CARRILES  0,9 M2</v>
      </c>
      <c r="K98" s="351" t="str">
        <f>IF(B98&lt;&gt;"",+VLOOKUP(I98,Recursos!C:F,3,FALSE),"")</f>
        <v>HR</v>
      </c>
      <c r="L98" s="349">
        <f>IF(B98&lt;&gt;"",+VLOOKUP(I98,Recursos!C:F,4,FALSE),"")</f>
        <v>2743.02</v>
      </c>
      <c r="M98" s="331">
        <v>50</v>
      </c>
      <c r="N98" s="331">
        <v>2.8</v>
      </c>
      <c r="O98" s="362">
        <v>5.5999999999999994E-2</v>
      </c>
      <c r="P98" s="352">
        <f t="shared" si="40"/>
        <v>153.60911999999999</v>
      </c>
      <c r="Q98" s="349">
        <f t="shared" si="41"/>
        <v>0</v>
      </c>
      <c r="R98" s="353">
        <f t="shared" si="42"/>
        <v>0</v>
      </c>
      <c r="S98" s="354">
        <f t="shared" si="30"/>
        <v>1067.7720082998519</v>
      </c>
      <c r="T98" s="354">
        <f t="shared" si="31"/>
        <v>161.4384</v>
      </c>
      <c r="U98" s="355">
        <f t="shared" si="32"/>
        <v>17.5</v>
      </c>
      <c r="V98" s="355">
        <f t="shared" si="33"/>
        <v>0</v>
      </c>
      <c r="W98" s="355">
        <f t="shared" si="34"/>
        <v>0</v>
      </c>
      <c r="X98" s="355">
        <f t="shared" si="35"/>
        <v>640752.0286408395</v>
      </c>
      <c r="Y98" s="396"/>
      <c r="Z98" s="346" t="str">
        <f t="shared" si="43"/>
        <v>0-EXSS1aA</v>
      </c>
      <c r="AA98" s="346" t="str">
        <f t="shared" si="44"/>
        <v>0-EXSS1aE</v>
      </c>
      <c r="AB98" s="346" t="str">
        <f t="shared" si="45"/>
        <v>0-EXSS1aM</v>
      </c>
      <c r="AC98" s="346" t="str">
        <f t="shared" si="46"/>
        <v>0-EXSS1aT</v>
      </c>
      <c r="AD98" s="346" t="str">
        <f t="shared" si="47"/>
        <v>0-EXSS1aS</v>
      </c>
      <c r="AE98" s="346" t="str">
        <f t="shared" si="48"/>
        <v>0-EXSS1aX</v>
      </c>
      <c r="AF98" s="346" t="str">
        <f t="shared" si="49"/>
        <v>0-EXSS1aE</v>
      </c>
      <c r="AG98" s="346">
        <f t="shared" si="36"/>
        <v>8</v>
      </c>
      <c r="AH98" s="346">
        <f>IF(B98&lt;&gt;"",+IF(H98="x",+VLOOKUP(I98,'AUX-NIV2'!B:AG,32,FALSE),0),"")</f>
        <v>0</v>
      </c>
      <c r="AI98" s="346" t="str">
        <f t="shared" si="50"/>
        <v>0-EXSS1a</v>
      </c>
      <c r="AK98" s="347">
        <f t="shared" si="37"/>
        <v>94</v>
      </c>
      <c r="AL98" s="348">
        <f t="shared" si="51"/>
        <v>101</v>
      </c>
      <c r="AM98" s="347">
        <f t="shared" si="52"/>
        <v>5</v>
      </c>
      <c r="AN98" s="382">
        <f>IF(AND(AH98&gt;0,B98&lt;&gt;""),VLOOKUP(I98,'AUX-NIV2'!$B:$AP,40,FALSE)*O98,0)</f>
        <v>0</v>
      </c>
      <c r="AO98" s="382">
        <f t="shared" si="38"/>
        <v>309.16000000000003</v>
      </c>
      <c r="AQ98" s="395">
        <f>(IF($H98="x",VLOOKUP($I98,'AUX-NIV2'!$B:$X,'AUX-NIV1'!AQ$3,FALSE),0)+($AV98*'AUX-NIV3'!S$4))*$O98+IF($H98=AQ$4,$P98,0)</f>
        <v>0</v>
      </c>
      <c r="AR98" s="395">
        <f>(IF($H98="x",VLOOKUP($I98,'AUX-NIV2'!$B:$X,'AUX-NIV1'!AR$3,FALSE),0)+($AV98*'AUX-NIV3'!T$4))*$O98+IF($H98=AR$4,$P98,0)</f>
        <v>153.60911999999999</v>
      </c>
      <c r="AS98" s="395">
        <f>(IF($H98="x",VLOOKUP($I98,'AUX-NIV2'!$B:$X,'AUX-NIV1'!AS$3,FALSE),0)+($AV98*'AUX-NIV3'!U$4))*$O98+IF($H98=AS$4,$P98,0)</f>
        <v>0</v>
      </c>
      <c r="AT98" s="395">
        <f>(IF($H98="x",VLOOKUP($I98,'AUX-NIV2'!$B:$X,'AUX-NIV1'!AT$3,FALSE),0)+($AV98*'AUX-NIV3'!V$4))*$O98+IF($H98=AT$4,$P98,0)</f>
        <v>0</v>
      </c>
      <c r="AU98" s="395">
        <f>(IF($H98="x",VLOOKUP($I98,'AUX-NIV2'!$B:$X,'AUX-NIV1'!AU$3,FALSE),0)+($AV98*'AUX-NIV3'!W$4))*$O98+IF($H98=AU$4,$P98,0)</f>
        <v>0</v>
      </c>
      <c r="AV98" s="395">
        <f>+IF($H98="x",VLOOKUP($I98,'AUX-NIV2'!$B:$X,'AUX-NIV1'!AV$3,FALSE),0)</f>
        <v>0</v>
      </c>
    </row>
    <row r="99" spans="2:48" ht="13.8" hidden="1" thickBot="1">
      <c r="B99" s="324" t="s">
        <v>83</v>
      </c>
      <c r="C99" s="325" t="s">
        <v>168</v>
      </c>
      <c r="D99" s="326" t="s">
        <v>1160</v>
      </c>
      <c r="E99" s="349">
        <f>IF(B99&lt;&gt;"",+SUMIF(Items!C:C,'AUX-NIV1'!B99,Items!H:H),"")</f>
        <v>0</v>
      </c>
      <c r="F99" s="349">
        <f t="shared" si="28"/>
        <v>641998.73904913932</v>
      </c>
      <c r="G99" s="349">
        <f t="shared" si="29"/>
        <v>0</v>
      </c>
      <c r="H99" s="1395" t="str">
        <f t="shared" si="39"/>
        <v>E</v>
      </c>
      <c r="I99" s="1375" t="s">
        <v>1602</v>
      </c>
      <c r="J99" s="350" t="str">
        <f>IF(B99&lt;&gt;"",+VLOOKUP(I99,Recursos!C:F,2,FALSE),"")</f>
        <v>MOTOBOMBA 10 HP (100 M3/HORA)</v>
      </c>
      <c r="K99" s="351" t="str">
        <f>IF(B99&lt;&gt;"",+VLOOKUP(I99,Recursos!C:F,3,FALSE),"")</f>
        <v>HR</v>
      </c>
      <c r="L99" s="349">
        <f>IF(B99&lt;&gt;"",+VLOOKUP(I99,Recursos!C:F,4,FALSE),"")</f>
        <v>195.732</v>
      </c>
      <c r="M99" s="331">
        <v>35</v>
      </c>
      <c r="N99" s="331">
        <v>1.4</v>
      </c>
      <c r="O99" s="362">
        <v>0.04</v>
      </c>
      <c r="P99" s="352">
        <f t="shared" si="40"/>
        <v>7.8292799999999998</v>
      </c>
      <c r="Q99" s="349">
        <f t="shared" si="41"/>
        <v>0</v>
      </c>
      <c r="R99" s="353">
        <f t="shared" si="42"/>
        <v>0</v>
      </c>
      <c r="S99" s="354">
        <f t="shared" si="30"/>
        <v>1067.7720082998519</v>
      </c>
      <c r="T99" s="354">
        <f t="shared" si="31"/>
        <v>161.4384</v>
      </c>
      <c r="U99" s="355">
        <f t="shared" si="32"/>
        <v>17.5</v>
      </c>
      <c r="V99" s="355">
        <f t="shared" si="33"/>
        <v>0</v>
      </c>
      <c r="W99" s="355">
        <f t="shared" si="34"/>
        <v>0</v>
      </c>
      <c r="X99" s="355">
        <f t="shared" si="35"/>
        <v>640752.0286408395</v>
      </c>
      <c r="Y99" s="396"/>
      <c r="Z99" s="346" t="str">
        <f t="shared" si="43"/>
        <v>0-EXSS1aA</v>
      </c>
      <c r="AA99" s="346" t="str">
        <f t="shared" si="44"/>
        <v>0-EXSS1aE</v>
      </c>
      <c r="AB99" s="346" t="str">
        <f t="shared" si="45"/>
        <v>0-EXSS1aM</v>
      </c>
      <c r="AC99" s="346" t="str">
        <f t="shared" si="46"/>
        <v>0-EXSS1aT</v>
      </c>
      <c r="AD99" s="346" t="str">
        <f t="shared" si="47"/>
        <v>0-EXSS1aS</v>
      </c>
      <c r="AE99" s="346" t="str">
        <f t="shared" si="48"/>
        <v>0-EXSS1aX</v>
      </c>
      <c r="AF99" s="346" t="str">
        <f t="shared" si="49"/>
        <v>0-EXSS1aE</v>
      </c>
      <c r="AG99" s="346">
        <f t="shared" si="36"/>
        <v>8</v>
      </c>
      <c r="AH99" s="346">
        <f>IF(B99&lt;&gt;"",+IF(H99="x",+VLOOKUP(I99,'AUX-NIV2'!B:AG,32,FALSE),0),"")</f>
        <v>0</v>
      </c>
      <c r="AI99" s="346" t="str">
        <f t="shared" si="50"/>
        <v>0-EXSS1a</v>
      </c>
      <c r="AK99" s="347">
        <f t="shared" si="37"/>
        <v>94</v>
      </c>
      <c r="AL99" s="348">
        <f t="shared" si="51"/>
        <v>101</v>
      </c>
      <c r="AM99" s="347">
        <f t="shared" si="52"/>
        <v>6</v>
      </c>
      <c r="AN99" s="382">
        <f>IF(AND(AH99&gt;0,B99&lt;&gt;""),VLOOKUP(I99,'AUX-NIV2'!$B:$AP,40,FALSE)*O99,0)</f>
        <v>0</v>
      </c>
      <c r="AO99" s="382">
        <f t="shared" si="38"/>
        <v>309.16000000000003</v>
      </c>
      <c r="AQ99" s="395">
        <f>(IF($H99="x",VLOOKUP($I99,'AUX-NIV2'!$B:$X,'AUX-NIV1'!AQ$3,FALSE),0)+($AV99*'AUX-NIV3'!S$4))*$O99+IF($H99=AQ$4,$P99,0)</f>
        <v>0</v>
      </c>
      <c r="AR99" s="395">
        <f>(IF($H99="x",VLOOKUP($I99,'AUX-NIV2'!$B:$X,'AUX-NIV1'!AR$3,FALSE),0)+($AV99*'AUX-NIV3'!T$4))*$O99+IF($H99=AR$4,$P99,0)</f>
        <v>7.8292799999999998</v>
      </c>
      <c r="AS99" s="395">
        <f>(IF($H99="x",VLOOKUP($I99,'AUX-NIV2'!$B:$X,'AUX-NIV1'!AS$3,FALSE),0)+($AV99*'AUX-NIV3'!U$4))*$O99+IF($H99=AS$4,$P99,0)</f>
        <v>0</v>
      </c>
      <c r="AT99" s="395">
        <f>(IF($H99="x",VLOOKUP($I99,'AUX-NIV2'!$B:$X,'AUX-NIV1'!AT$3,FALSE),0)+($AV99*'AUX-NIV3'!V$4))*$O99+IF($H99=AT$4,$P99,0)</f>
        <v>0</v>
      </c>
      <c r="AU99" s="395">
        <f>(IF($H99="x",VLOOKUP($I99,'AUX-NIV2'!$B:$X,'AUX-NIV1'!AU$3,FALSE),0)+($AV99*'AUX-NIV3'!W$4))*$O99+IF($H99=AU$4,$P99,0)</f>
        <v>0</v>
      </c>
      <c r="AV99" s="395">
        <f>+IF($H99="x",VLOOKUP($I99,'AUX-NIV2'!$B:$X,'AUX-NIV1'!AV$3,FALSE),0)</f>
        <v>0</v>
      </c>
    </row>
    <row r="100" spans="2:48" ht="13.8" hidden="1" thickBot="1">
      <c r="B100" s="324" t="s">
        <v>83</v>
      </c>
      <c r="C100" s="325" t="s">
        <v>168</v>
      </c>
      <c r="D100" s="326" t="s">
        <v>1160</v>
      </c>
      <c r="E100" s="349">
        <f>IF(B100&lt;&gt;"",+SUMIF(Items!C:C,'AUX-NIV1'!B100,Items!H:H),"")</f>
        <v>0</v>
      </c>
      <c r="F100" s="349">
        <f t="shared" si="28"/>
        <v>641998.73904913932</v>
      </c>
      <c r="G100" s="349">
        <f t="shared" si="29"/>
        <v>0</v>
      </c>
      <c r="H100" s="1395" t="str">
        <f t="shared" si="39"/>
        <v>M</v>
      </c>
      <c r="I100" s="1375" t="s">
        <v>621</v>
      </c>
      <c r="J100" s="350" t="str">
        <f>IF(B100&lt;&gt;"",+VLOOKUP(I100,Recursos!C:F,2,FALSE),"")</f>
        <v>MATERIALES VARIOS</v>
      </c>
      <c r="K100" s="351" t="str">
        <f>IF(B100&lt;&gt;"",+VLOOKUP(I100,Recursos!C:F,3,FALSE),"")</f>
        <v>GL</v>
      </c>
      <c r="L100" s="349">
        <f>IF(B100&lt;&gt;"",+VLOOKUP(I100,Recursos!C:F,4,FALSE),"")</f>
        <v>0.5</v>
      </c>
      <c r="M100" s="331">
        <v>35</v>
      </c>
      <c r="N100" s="331">
        <v>1</v>
      </c>
      <c r="O100" s="362">
        <v>35</v>
      </c>
      <c r="P100" s="352">
        <f t="shared" si="40"/>
        <v>17.5</v>
      </c>
      <c r="Q100" s="349">
        <f t="shared" si="41"/>
        <v>0</v>
      </c>
      <c r="R100" s="353">
        <f t="shared" si="42"/>
        <v>0</v>
      </c>
      <c r="S100" s="354">
        <f t="shared" si="30"/>
        <v>1067.7720082998519</v>
      </c>
      <c r="T100" s="354">
        <f t="shared" si="31"/>
        <v>161.4384</v>
      </c>
      <c r="U100" s="355">
        <f t="shared" si="32"/>
        <v>17.5</v>
      </c>
      <c r="V100" s="355">
        <f t="shared" si="33"/>
        <v>0</v>
      </c>
      <c r="W100" s="355">
        <f t="shared" si="34"/>
        <v>0</v>
      </c>
      <c r="X100" s="355">
        <f t="shared" si="35"/>
        <v>640752.0286408395</v>
      </c>
      <c r="Y100" s="396"/>
      <c r="Z100" s="346" t="str">
        <f t="shared" si="43"/>
        <v>0-EXSS1aA</v>
      </c>
      <c r="AA100" s="346" t="str">
        <f t="shared" si="44"/>
        <v>0-EXSS1aE</v>
      </c>
      <c r="AB100" s="346" t="str">
        <f t="shared" si="45"/>
        <v>0-EXSS1aM</v>
      </c>
      <c r="AC100" s="346" t="str">
        <f t="shared" si="46"/>
        <v>0-EXSS1aT</v>
      </c>
      <c r="AD100" s="346" t="str">
        <f t="shared" si="47"/>
        <v>0-EXSS1aS</v>
      </c>
      <c r="AE100" s="346" t="str">
        <f t="shared" si="48"/>
        <v>0-EXSS1aX</v>
      </c>
      <c r="AF100" s="346" t="str">
        <f t="shared" si="49"/>
        <v>0-EXSS1aM</v>
      </c>
      <c r="AG100" s="346">
        <f t="shared" si="36"/>
        <v>8</v>
      </c>
      <c r="AH100" s="346">
        <f>IF(B100&lt;&gt;"",+IF(H100="x",+VLOOKUP(I100,'AUX-NIV2'!B:AG,32,FALSE),0),"")</f>
        <v>0</v>
      </c>
      <c r="AI100" s="346" t="str">
        <f t="shared" si="50"/>
        <v>0-EXSS1a</v>
      </c>
      <c r="AK100" s="347">
        <f t="shared" si="37"/>
        <v>94</v>
      </c>
      <c r="AL100" s="348">
        <f t="shared" si="51"/>
        <v>101</v>
      </c>
      <c r="AM100" s="347">
        <f t="shared" si="52"/>
        <v>7</v>
      </c>
      <c r="AN100" s="382">
        <f>IF(AND(AH100&gt;0,B100&lt;&gt;""),VLOOKUP(I100,'AUX-NIV2'!$B:$AP,40,FALSE)*O100,0)</f>
        <v>0</v>
      </c>
      <c r="AO100" s="382">
        <f t="shared" si="38"/>
        <v>309.16000000000003</v>
      </c>
      <c r="AQ100" s="395">
        <f>(IF($H100="x",VLOOKUP($I100,'AUX-NIV2'!$B:$X,'AUX-NIV1'!AQ$3,FALSE),0)+($AV100*'AUX-NIV3'!S$4))*$O100+IF($H100=AQ$4,$P100,0)</f>
        <v>0</v>
      </c>
      <c r="AR100" s="395">
        <f>(IF($H100="x",VLOOKUP($I100,'AUX-NIV2'!$B:$X,'AUX-NIV1'!AR$3,FALSE),0)+($AV100*'AUX-NIV3'!T$4))*$O100+IF($H100=AR$4,$P100,0)</f>
        <v>0</v>
      </c>
      <c r="AS100" s="395">
        <f>(IF($H100="x",VLOOKUP($I100,'AUX-NIV2'!$B:$X,'AUX-NIV1'!AS$3,FALSE),0)+($AV100*'AUX-NIV3'!U$4))*$O100+IF($H100=AS$4,$P100,0)</f>
        <v>17.5</v>
      </c>
      <c r="AT100" s="395">
        <f>(IF($H100="x",VLOOKUP($I100,'AUX-NIV2'!$B:$X,'AUX-NIV1'!AT$3,FALSE),0)+($AV100*'AUX-NIV3'!V$4))*$O100+IF($H100=AT$4,$P100,0)</f>
        <v>0</v>
      </c>
      <c r="AU100" s="395">
        <f>(IF($H100="x",VLOOKUP($I100,'AUX-NIV2'!$B:$X,'AUX-NIV1'!AU$3,FALSE),0)+($AV100*'AUX-NIV3'!W$4))*$O100+IF($H100=AU$4,$P100,0)</f>
        <v>0</v>
      </c>
      <c r="AV100" s="395">
        <f>+IF($H100="x",VLOOKUP($I100,'AUX-NIV2'!$B:$X,'AUX-NIV1'!AV$3,FALSE),0)</f>
        <v>0</v>
      </c>
    </row>
    <row r="101" spans="2:48" ht="13.8" hidden="1" thickBot="1">
      <c r="B101" s="324" t="s">
        <v>83</v>
      </c>
      <c r="C101" s="325" t="s">
        <v>168</v>
      </c>
      <c r="D101" s="326" t="s">
        <v>1160</v>
      </c>
      <c r="E101" s="349">
        <f>IF(B101&lt;&gt;"",+SUMIF(Items!C:C,'AUX-NIV1'!B101,Items!H:H),"")</f>
        <v>0</v>
      </c>
      <c r="F101" s="349">
        <f t="shared" si="28"/>
        <v>641998.73904913932</v>
      </c>
      <c r="G101" s="349">
        <f t="shared" si="29"/>
        <v>0</v>
      </c>
      <c r="H101" s="1395" t="str">
        <f t="shared" si="39"/>
        <v>X</v>
      </c>
      <c r="I101" s="1375" t="s">
        <v>1289</v>
      </c>
      <c r="J101" s="350" t="str">
        <f>IF(B101&lt;&gt;"",+VLOOKUP(I101,Recursos!C:F,2,FALSE),"")</f>
        <v>Sostenimiento de Excavación con Agua</v>
      </c>
      <c r="K101" s="351" t="str">
        <f>IF(B101&lt;&gt;"",+VLOOKUP(I101,Recursos!C:F,3,FALSE),"")</f>
        <v>m2</v>
      </c>
      <c r="L101" s="349">
        <f>IF(B101&lt;&gt;"",+VLOOKUP(I101,Recursos!C:F,4,FALSE),"")</f>
        <v>6407.5202864083949</v>
      </c>
      <c r="M101" s="331">
        <v>50</v>
      </c>
      <c r="N101" s="331">
        <v>2</v>
      </c>
      <c r="O101" s="362">
        <v>100</v>
      </c>
      <c r="P101" s="352">
        <f t="shared" si="40"/>
        <v>640752.0286408395</v>
      </c>
      <c r="Q101" s="349">
        <f t="shared" si="41"/>
        <v>0</v>
      </c>
      <c r="R101" s="353">
        <f t="shared" si="42"/>
        <v>0</v>
      </c>
      <c r="S101" s="354">
        <f t="shared" si="30"/>
        <v>1067.7720082998519</v>
      </c>
      <c r="T101" s="354">
        <f t="shared" si="31"/>
        <v>161.4384</v>
      </c>
      <c r="U101" s="355">
        <f t="shared" si="32"/>
        <v>17.5</v>
      </c>
      <c r="V101" s="355">
        <f t="shared" si="33"/>
        <v>0</v>
      </c>
      <c r="W101" s="355">
        <f t="shared" si="34"/>
        <v>0</v>
      </c>
      <c r="X101" s="355">
        <f t="shared" si="35"/>
        <v>640752.0286408395</v>
      </c>
      <c r="Y101" s="396"/>
      <c r="Z101" s="346" t="str">
        <f t="shared" si="43"/>
        <v>0-EXSS1aA</v>
      </c>
      <c r="AA101" s="346" t="str">
        <f t="shared" si="44"/>
        <v>0-EXSS1aE</v>
      </c>
      <c r="AB101" s="346" t="str">
        <f t="shared" si="45"/>
        <v>0-EXSS1aM</v>
      </c>
      <c r="AC101" s="346" t="str">
        <f t="shared" si="46"/>
        <v>0-EXSS1aT</v>
      </c>
      <c r="AD101" s="346" t="str">
        <f t="shared" si="47"/>
        <v>0-EXSS1aS</v>
      </c>
      <c r="AE101" s="346" t="str">
        <f t="shared" si="48"/>
        <v>0-EXSS1aX</v>
      </c>
      <c r="AF101" s="346" t="str">
        <f t="shared" si="49"/>
        <v>0-EXSS1aX</v>
      </c>
      <c r="AG101" s="346">
        <f t="shared" si="36"/>
        <v>8</v>
      </c>
      <c r="AH101" s="346">
        <f>IF(B101&lt;&gt;"",+IF(H101="x",+VLOOKUP(I101,'AUX-NIV2'!B:AG,32,FALSE),0),"")</f>
        <v>12</v>
      </c>
      <c r="AI101" s="346" t="str">
        <f t="shared" si="50"/>
        <v>0-EXSS1a</v>
      </c>
      <c r="AK101" s="347">
        <f t="shared" si="37"/>
        <v>94</v>
      </c>
      <c r="AL101" s="348">
        <f t="shared" si="51"/>
        <v>101</v>
      </c>
      <c r="AM101" s="347">
        <f t="shared" si="52"/>
        <v>8</v>
      </c>
      <c r="AN101" s="382">
        <f>IF(AND(AH101&gt;0,B101&lt;&gt;""),VLOOKUP(I101,'AUX-NIV2'!$B:$AP,40,FALSE)*O101,0)</f>
        <v>307</v>
      </c>
      <c r="AO101" s="382">
        <f t="shared" si="38"/>
        <v>309.16000000000003</v>
      </c>
      <c r="AQ101" s="395">
        <f>(IF($H101="x",VLOOKUP($I101,'AUX-NIV2'!$B:$X,'AUX-NIV1'!AQ$3,FALSE),0)+($AV101*'AUX-NIV3'!S$4))*$O101+IF($H101=AQ$4,$P101,0)</f>
        <v>141328.14310158335</v>
      </c>
      <c r="AR101" s="395">
        <f>(IF($H101="x",VLOOKUP($I101,'AUX-NIV2'!$B:$X,'AUX-NIV1'!AR$3,FALSE),0)+($AV101*'AUX-NIV3'!T$4))*$O101+IF($H101=AR$4,$P101,0)</f>
        <v>11890.361250000002</v>
      </c>
      <c r="AS101" s="395">
        <f>(IF($H101="x",VLOOKUP($I101,'AUX-NIV2'!$B:$X,'AUX-NIV1'!AS$3,FALSE),0)+($AV101*'AUX-NIV3'!U$4))*$O101+IF($H101=AS$4,$P101,0)</f>
        <v>487533.52428925619</v>
      </c>
      <c r="AT101" s="395">
        <f>(IF($H101="x",VLOOKUP($I101,'AUX-NIV2'!$B:$X,'AUX-NIV1'!AT$3,FALSE),0)+($AV101*'AUX-NIV3'!V$4))*$O101+IF($H101=AT$4,$P101,0)</f>
        <v>0</v>
      </c>
      <c r="AU101" s="395">
        <f>(IF($H101="x",VLOOKUP($I101,'AUX-NIV2'!$B:$X,'AUX-NIV1'!AU$3,FALSE),0)+($AV101*'AUX-NIV3'!W$4))*$O101+IF($H101=AU$4,$P101,0)</f>
        <v>0</v>
      </c>
      <c r="AV101" s="395">
        <f>+IF($H101="x",VLOOKUP($I101,'AUX-NIV2'!$B:$X,'AUX-NIV1'!AV$3,FALSE),0)</f>
        <v>0</v>
      </c>
    </row>
    <row r="102" spans="2:48" ht="13.8" hidden="1" thickBot="1">
      <c r="B102" s="324" t="s">
        <v>84</v>
      </c>
      <c r="C102" s="325" t="s">
        <v>169</v>
      </c>
      <c r="D102" s="326" t="s">
        <v>1160</v>
      </c>
      <c r="E102" s="349">
        <f>IF(B102&lt;&gt;"",+SUMIF(Items!C:C,'AUX-NIV1'!B102,Items!H:H),"")</f>
        <v>0</v>
      </c>
      <c r="F102" s="349">
        <f t="shared" si="28"/>
        <v>642523.72855604836</v>
      </c>
      <c r="G102" s="349">
        <f t="shared" si="29"/>
        <v>0</v>
      </c>
      <c r="H102" s="1395" t="str">
        <f t="shared" si="39"/>
        <v>A</v>
      </c>
      <c r="I102" s="1375" t="s">
        <v>3311</v>
      </c>
      <c r="J102" s="350" t="str">
        <f>IF(B102&lt;&gt;"",+VLOOKUP(I102,Recursos!C:F,2,FALSE),"")</f>
        <v>OPER. EQUIPO</v>
      </c>
      <c r="K102" s="351" t="str">
        <f>IF(B102&lt;&gt;"",+VLOOKUP(I102,Recursos!C:F,3,FALSE),"")</f>
        <v>hh</v>
      </c>
      <c r="L102" s="349">
        <f>IF(B102&lt;&gt;"",+VLOOKUP(I102,Recursos!C:F,4,FALSE),"")</f>
        <v>581.06120476836554</v>
      </c>
      <c r="M102" s="331">
        <v>0.5</v>
      </c>
      <c r="N102" s="331">
        <v>1</v>
      </c>
      <c r="O102" s="362">
        <v>2</v>
      </c>
      <c r="P102" s="352">
        <f t="shared" si="40"/>
        <v>1162.1224095367311</v>
      </c>
      <c r="Q102" s="349">
        <f t="shared" si="41"/>
        <v>0</v>
      </c>
      <c r="R102" s="353">
        <f t="shared" si="42"/>
        <v>0</v>
      </c>
      <c r="S102" s="354">
        <f t="shared" si="30"/>
        <v>1593.9566352088339</v>
      </c>
      <c r="T102" s="354">
        <f t="shared" si="31"/>
        <v>162.74328</v>
      </c>
      <c r="U102" s="355">
        <f t="shared" si="32"/>
        <v>15</v>
      </c>
      <c r="V102" s="355">
        <f t="shared" si="33"/>
        <v>0</v>
      </c>
      <c r="W102" s="355">
        <f t="shared" si="34"/>
        <v>0</v>
      </c>
      <c r="X102" s="355">
        <f t="shared" si="35"/>
        <v>640752.0286408395</v>
      </c>
      <c r="Y102" s="396"/>
      <c r="Z102" s="346" t="str">
        <f t="shared" si="43"/>
        <v>0-EXSS2aA</v>
      </c>
      <c r="AA102" s="346" t="str">
        <f t="shared" si="44"/>
        <v>0-EXSS2aE</v>
      </c>
      <c r="AB102" s="346" t="str">
        <f t="shared" si="45"/>
        <v>0-EXSS2aM</v>
      </c>
      <c r="AC102" s="346" t="str">
        <f t="shared" si="46"/>
        <v>0-EXSS2aT</v>
      </c>
      <c r="AD102" s="346" t="str">
        <f t="shared" si="47"/>
        <v>0-EXSS2aS</v>
      </c>
      <c r="AE102" s="346" t="str">
        <f t="shared" si="48"/>
        <v>0-EXSS2aX</v>
      </c>
      <c r="AF102" s="346" t="str">
        <f t="shared" si="49"/>
        <v>0-EXSS2aA</v>
      </c>
      <c r="AG102" s="346">
        <f t="shared" si="36"/>
        <v>8</v>
      </c>
      <c r="AH102" s="346">
        <f>IF(B102&lt;&gt;"",+IF(H102="x",+VLOOKUP(I102,'AUX-NIV2'!B:AG,32,FALSE),0),"")</f>
        <v>0</v>
      </c>
      <c r="AI102" s="346" t="str">
        <f t="shared" si="50"/>
        <v>0-EXSS2a</v>
      </c>
      <c r="AK102" s="347">
        <f t="shared" si="37"/>
        <v>102</v>
      </c>
      <c r="AL102" s="348">
        <f t="shared" si="51"/>
        <v>109</v>
      </c>
      <c r="AM102" s="347">
        <f t="shared" si="52"/>
        <v>1</v>
      </c>
      <c r="AN102" s="382">
        <f>IF(AND(AH102&gt;0,B102&lt;&gt;""),VLOOKUP(I102,'AUX-NIV2'!$B:$AP,40,FALSE)*O102,0)</f>
        <v>0</v>
      </c>
      <c r="AO102" s="382">
        <f t="shared" si="38"/>
        <v>309.89</v>
      </c>
      <c r="AQ102" s="395">
        <f>(IF($H102="x",VLOOKUP($I102,'AUX-NIV2'!$B:$X,'AUX-NIV1'!AQ$3,FALSE),0)+($AV102*'AUX-NIV3'!S$4))*$O102+IF($H102=AQ$4,$P102,0)</f>
        <v>1162.1224095367311</v>
      </c>
      <c r="AR102" s="395">
        <f>(IF($H102="x",VLOOKUP($I102,'AUX-NIV2'!$B:$X,'AUX-NIV1'!AR$3,FALSE),0)+($AV102*'AUX-NIV3'!T$4))*$O102+IF($H102=AR$4,$P102,0)</f>
        <v>0</v>
      </c>
      <c r="AS102" s="395">
        <f>(IF($H102="x",VLOOKUP($I102,'AUX-NIV2'!$B:$X,'AUX-NIV1'!AS$3,FALSE),0)+($AV102*'AUX-NIV3'!U$4))*$O102+IF($H102=AS$4,$P102,0)</f>
        <v>0</v>
      </c>
      <c r="AT102" s="395">
        <f>(IF($H102="x",VLOOKUP($I102,'AUX-NIV2'!$B:$X,'AUX-NIV1'!AT$3,FALSE),0)+($AV102*'AUX-NIV3'!V$4))*$O102+IF($H102=AT$4,$P102,0)</f>
        <v>0</v>
      </c>
      <c r="AU102" s="395">
        <f>(IF($H102="x",VLOOKUP($I102,'AUX-NIV2'!$B:$X,'AUX-NIV1'!AU$3,FALSE),0)+($AV102*'AUX-NIV3'!W$4))*$O102+IF($H102=AU$4,$P102,0)</f>
        <v>0</v>
      </c>
      <c r="AV102" s="395">
        <f>+IF($H102="x",VLOOKUP($I102,'AUX-NIV2'!$B:$X,'AUX-NIV1'!AV$3,FALSE),0)</f>
        <v>0</v>
      </c>
    </row>
    <row r="103" spans="2:48" ht="13.8" hidden="1" thickBot="1">
      <c r="B103" s="324" t="s">
        <v>84</v>
      </c>
      <c r="C103" s="325" t="s">
        <v>169</v>
      </c>
      <c r="D103" s="326" t="s">
        <v>1160</v>
      </c>
      <c r="E103" s="349">
        <f>IF(B103&lt;&gt;"",+SUMIF(Items!C:C,'AUX-NIV1'!B103,Items!H:H),"")</f>
        <v>0</v>
      </c>
      <c r="F103" s="349">
        <f t="shared" si="28"/>
        <v>642523.72855604836</v>
      </c>
      <c r="G103" s="349">
        <f t="shared" si="29"/>
        <v>0</v>
      </c>
      <c r="H103" s="1395" t="str">
        <f t="shared" si="39"/>
        <v>A</v>
      </c>
      <c r="I103" s="1375" t="s">
        <v>1746</v>
      </c>
      <c r="J103" s="350" t="str">
        <f>IF(B103&lt;&gt;"",+VLOOKUP(I103,Recursos!C:F,2,FALSE),"")</f>
        <v>OFICIAL</v>
      </c>
      <c r="K103" s="351" t="str">
        <f>IF(B103&lt;&gt;"",+VLOOKUP(I103,Recursos!C:F,3,FALSE),"")</f>
        <v>hh</v>
      </c>
      <c r="L103" s="349">
        <f>IF(B103&lt;&gt;"",+VLOOKUP(I103,Recursos!C:F,4,FALSE),"")</f>
        <v>496.91595439275824</v>
      </c>
      <c r="M103" s="331">
        <v>1.3333333333333333</v>
      </c>
      <c r="N103" s="331">
        <v>1</v>
      </c>
      <c r="O103" s="362">
        <v>0.75</v>
      </c>
      <c r="P103" s="352">
        <f t="shared" si="40"/>
        <v>372.68696579456866</v>
      </c>
      <c r="Q103" s="349">
        <f t="shared" si="41"/>
        <v>0</v>
      </c>
      <c r="R103" s="353">
        <f t="shared" si="42"/>
        <v>0</v>
      </c>
      <c r="S103" s="354">
        <f t="shared" si="30"/>
        <v>1593.9566352088339</v>
      </c>
      <c r="T103" s="354">
        <f t="shared" si="31"/>
        <v>162.74328</v>
      </c>
      <c r="U103" s="355">
        <f t="shared" si="32"/>
        <v>15</v>
      </c>
      <c r="V103" s="355">
        <f t="shared" si="33"/>
        <v>0</v>
      </c>
      <c r="W103" s="355">
        <f t="shared" si="34"/>
        <v>0</v>
      </c>
      <c r="X103" s="355">
        <f t="shared" si="35"/>
        <v>640752.0286408395</v>
      </c>
      <c r="Y103" s="396"/>
      <c r="Z103" s="346" t="str">
        <f t="shared" si="43"/>
        <v>0-EXSS2aA</v>
      </c>
      <c r="AA103" s="346" t="str">
        <f t="shared" si="44"/>
        <v>0-EXSS2aE</v>
      </c>
      <c r="AB103" s="346" t="str">
        <f t="shared" si="45"/>
        <v>0-EXSS2aM</v>
      </c>
      <c r="AC103" s="346" t="str">
        <f t="shared" si="46"/>
        <v>0-EXSS2aT</v>
      </c>
      <c r="AD103" s="346" t="str">
        <f t="shared" si="47"/>
        <v>0-EXSS2aS</v>
      </c>
      <c r="AE103" s="346" t="str">
        <f t="shared" si="48"/>
        <v>0-EXSS2aX</v>
      </c>
      <c r="AF103" s="346" t="str">
        <f t="shared" si="49"/>
        <v>0-EXSS2aA</v>
      </c>
      <c r="AG103" s="346">
        <f t="shared" si="36"/>
        <v>8</v>
      </c>
      <c r="AH103" s="346">
        <f>IF(B103&lt;&gt;"",+IF(H103="x",+VLOOKUP(I103,'AUX-NIV2'!B:AG,32,FALSE),0),"")</f>
        <v>0</v>
      </c>
      <c r="AI103" s="346" t="str">
        <f t="shared" si="50"/>
        <v>0-EXSS2a</v>
      </c>
      <c r="AK103" s="347">
        <f t="shared" si="37"/>
        <v>102</v>
      </c>
      <c r="AL103" s="348">
        <f t="shared" si="51"/>
        <v>109</v>
      </c>
      <c r="AM103" s="347">
        <f t="shared" si="52"/>
        <v>2</v>
      </c>
      <c r="AN103" s="382">
        <f>IF(AND(AH103&gt;0,B103&lt;&gt;""),VLOOKUP(I103,'AUX-NIV2'!$B:$AP,40,FALSE)*O103,0)</f>
        <v>0</v>
      </c>
      <c r="AO103" s="382">
        <f t="shared" si="38"/>
        <v>309.89</v>
      </c>
      <c r="AQ103" s="395">
        <f>(IF($H103="x",VLOOKUP($I103,'AUX-NIV2'!$B:$X,'AUX-NIV1'!AQ$3,FALSE),0)+($AV103*'AUX-NIV3'!S$4))*$O103+IF($H103=AQ$4,$P103,0)</f>
        <v>372.68696579456866</v>
      </c>
      <c r="AR103" s="395">
        <f>(IF($H103="x",VLOOKUP($I103,'AUX-NIV2'!$B:$X,'AUX-NIV1'!AR$3,FALSE),0)+($AV103*'AUX-NIV3'!T$4))*$O103+IF($H103=AR$4,$P103,0)</f>
        <v>0</v>
      </c>
      <c r="AS103" s="395">
        <f>(IF($H103="x",VLOOKUP($I103,'AUX-NIV2'!$B:$X,'AUX-NIV1'!AS$3,FALSE),0)+($AV103*'AUX-NIV3'!U$4))*$O103+IF($H103=AS$4,$P103,0)</f>
        <v>0</v>
      </c>
      <c r="AT103" s="395">
        <f>(IF($H103="x",VLOOKUP($I103,'AUX-NIV2'!$B:$X,'AUX-NIV1'!AT$3,FALSE),0)+($AV103*'AUX-NIV3'!V$4))*$O103+IF($H103=AT$4,$P103,0)</f>
        <v>0</v>
      </c>
      <c r="AU103" s="395">
        <f>(IF($H103="x",VLOOKUP($I103,'AUX-NIV2'!$B:$X,'AUX-NIV1'!AU$3,FALSE),0)+($AV103*'AUX-NIV3'!W$4))*$O103+IF($H103=AU$4,$P103,0)</f>
        <v>0</v>
      </c>
      <c r="AV103" s="395">
        <f>+IF($H103="x",VLOOKUP($I103,'AUX-NIV2'!$B:$X,'AUX-NIV1'!AV$3,FALSE),0)</f>
        <v>0</v>
      </c>
    </row>
    <row r="104" spans="2:48" ht="13.8" hidden="1" thickBot="1">
      <c r="B104" s="324" t="s">
        <v>84</v>
      </c>
      <c r="C104" s="325" t="s">
        <v>169</v>
      </c>
      <c r="D104" s="326" t="s">
        <v>1160</v>
      </c>
      <c r="E104" s="349">
        <f>IF(B104&lt;&gt;"",+SUMIF(Items!C:C,'AUX-NIV1'!B104,Items!H:H),"")</f>
        <v>0</v>
      </c>
      <c r="F104" s="349">
        <f t="shared" si="28"/>
        <v>642523.72855604836</v>
      </c>
      <c r="G104" s="349">
        <f t="shared" si="29"/>
        <v>0</v>
      </c>
      <c r="H104" s="1395" t="str">
        <f t="shared" si="39"/>
        <v>A</v>
      </c>
      <c r="I104" s="1375" t="s">
        <v>1745</v>
      </c>
      <c r="J104" s="350" t="str">
        <f>IF(B104&lt;&gt;"",+VLOOKUP(I104,Recursos!C:F,2,FALSE),"")</f>
        <v>AYUDANTE</v>
      </c>
      <c r="K104" s="351" t="str">
        <f>IF(B104&lt;&gt;"",+VLOOKUP(I104,Recursos!C:F,3,FALSE),"")</f>
        <v>hh</v>
      </c>
      <c r="L104" s="349">
        <f>IF(B104&lt;&gt;"",+VLOOKUP(I104,Recursos!C:F,4,FALSE),"")</f>
        <v>422.48042769667234</v>
      </c>
      <c r="M104" s="331">
        <v>30</v>
      </c>
      <c r="N104" s="331">
        <v>1.4</v>
      </c>
      <c r="O104" s="362">
        <v>4.6666666666666662E-2</v>
      </c>
      <c r="P104" s="352">
        <f t="shared" si="40"/>
        <v>19.715753292511373</v>
      </c>
      <c r="Q104" s="349">
        <f t="shared" si="41"/>
        <v>0</v>
      </c>
      <c r="R104" s="353">
        <f t="shared" si="42"/>
        <v>0</v>
      </c>
      <c r="S104" s="354">
        <f t="shared" si="30"/>
        <v>1593.9566352088339</v>
      </c>
      <c r="T104" s="354">
        <f t="shared" si="31"/>
        <v>162.74328</v>
      </c>
      <c r="U104" s="355">
        <f t="shared" si="32"/>
        <v>15</v>
      </c>
      <c r="V104" s="355">
        <f t="shared" si="33"/>
        <v>0</v>
      </c>
      <c r="W104" s="355">
        <f t="shared" si="34"/>
        <v>0</v>
      </c>
      <c r="X104" s="355">
        <f t="shared" si="35"/>
        <v>640752.0286408395</v>
      </c>
      <c r="Y104" s="396"/>
      <c r="Z104" s="346" t="str">
        <f t="shared" si="43"/>
        <v>0-EXSS2aA</v>
      </c>
      <c r="AA104" s="346" t="str">
        <f t="shared" si="44"/>
        <v>0-EXSS2aE</v>
      </c>
      <c r="AB104" s="346" t="str">
        <f t="shared" si="45"/>
        <v>0-EXSS2aM</v>
      </c>
      <c r="AC104" s="346" t="str">
        <f t="shared" si="46"/>
        <v>0-EXSS2aT</v>
      </c>
      <c r="AD104" s="346" t="str">
        <f t="shared" si="47"/>
        <v>0-EXSS2aS</v>
      </c>
      <c r="AE104" s="346" t="str">
        <f t="shared" si="48"/>
        <v>0-EXSS2aX</v>
      </c>
      <c r="AF104" s="346" t="str">
        <f t="shared" si="49"/>
        <v>0-EXSS2aA</v>
      </c>
      <c r="AG104" s="346">
        <f t="shared" si="36"/>
        <v>8</v>
      </c>
      <c r="AH104" s="346">
        <f>IF(B104&lt;&gt;"",+IF(H104="x",+VLOOKUP(I104,'AUX-NIV2'!B:AG,32,FALSE),0),"")</f>
        <v>0</v>
      </c>
      <c r="AI104" s="346" t="str">
        <f t="shared" si="50"/>
        <v>0-EXSS2a</v>
      </c>
      <c r="AK104" s="347">
        <f t="shared" si="37"/>
        <v>102</v>
      </c>
      <c r="AL104" s="348">
        <f t="shared" si="51"/>
        <v>109</v>
      </c>
      <c r="AM104" s="347">
        <f t="shared" si="52"/>
        <v>3</v>
      </c>
      <c r="AN104" s="382">
        <f>IF(AND(AH104&gt;0,B104&lt;&gt;""),VLOOKUP(I104,'AUX-NIV2'!$B:$AP,40,FALSE)*O104,0)</f>
        <v>0</v>
      </c>
      <c r="AO104" s="382">
        <f t="shared" si="38"/>
        <v>309.89</v>
      </c>
      <c r="AQ104" s="395">
        <f>(IF($H104="x",VLOOKUP($I104,'AUX-NIV2'!$B:$X,'AUX-NIV1'!AQ$3,FALSE),0)+($AV104*'AUX-NIV3'!S$4))*$O104+IF($H104=AQ$4,$P104,0)</f>
        <v>19.715753292511373</v>
      </c>
      <c r="AR104" s="395">
        <f>(IF($H104="x",VLOOKUP($I104,'AUX-NIV2'!$B:$X,'AUX-NIV1'!AR$3,FALSE),0)+($AV104*'AUX-NIV3'!T$4))*$O104+IF($H104=AR$4,$P104,0)</f>
        <v>0</v>
      </c>
      <c r="AS104" s="395">
        <f>(IF($H104="x",VLOOKUP($I104,'AUX-NIV2'!$B:$X,'AUX-NIV1'!AS$3,FALSE),0)+($AV104*'AUX-NIV3'!U$4))*$O104+IF($H104=AS$4,$P104,0)</f>
        <v>0</v>
      </c>
      <c r="AT104" s="395">
        <f>(IF($H104="x",VLOOKUP($I104,'AUX-NIV2'!$B:$X,'AUX-NIV1'!AT$3,FALSE),0)+($AV104*'AUX-NIV3'!V$4))*$O104+IF($H104=AT$4,$P104,0)</f>
        <v>0</v>
      </c>
      <c r="AU104" s="395">
        <f>(IF($H104="x",VLOOKUP($I104,'AUX-NIV2'!$B:$X,'AUX-NIV1'!AU$3,FALSE),0)+($AV104*'AUX-NIV3'!W$4))*$O104+IF($H104=AU$4,$P104,0)</f>
        <v>0</v>
      </c>
      <c r="AV104" s="395">
        <f>+IF($H104="x",VLOOKUP($I104,'AUX-NIV2'!$B:$X,'AUX-NIV1'!AV$3,FALSE),0)</f>
        <v>0</v>
      </c>
    </row>
    <row r="105" spans="2:48" ht="13.8" hidden="1" thickBot="1">
      <c r="B105" s="324" t="s">
        <v>84</v>
      </c>
      <c r="C105" s="325" t="s">
        <v>169</v>
      </c>
      <c r="D105" s="326" t="s">
        <v>1160</v>
      </c>
      <c r="E105" s="349">
        <f>IF(B105&lt;&gt;"",+SUMIF(Items!C:C,'AUX-NIV1'!B105,Items!H:H),"")</f>
        <v>0</v>
      </c>
      <c r="F105" s="349">
        <f t="shared" si="28"/>
        <v>642523.72855604836</v>
      </c>
      <c r="G105" s="349">
        <f t="shared" si="29"/>
        <v>0</v>
      </c>
      <c r="H105" s="1395" t="str">
        <f t="shared" si="39"/>
        <v>A</v>
      </c>
      <c r="I105" s="1375" t="s">
        <v>1745</v>
      </c>
      <c r="J105" s="350" t="str">
        <f>IF(B105&lt;&gt;"",+VLOOKUP(I105,Recursos!C:F,2,FALSE),"")</f>
        <v>AYUDANTE</v>
      </c>
      <c r="K105" s="351" t="str">
        <f>IF(B105&lt;&gt;"",+VLOOKUP(I105,Recursos!C:F,3,FALSE),"")</f>
        <v>hh</v>
      </c>
      <c r="L105" s="349">
        <f>IF(B105&lt;&gt;"",+VLOOKUP(I105,Recursos!C:F,4,FALSE),"")</f>
        <v>422.48042769667234</v>
      </c>
      <c r="M105" s="331">
        <v>30</v>
      </c>
      <c r="N105" s="331">
        <v>2.8</v>
      </c>
      <c r="O105" s="362">
        <v>9.3333333333333324E-2</v>
      </c>
      <c r="P105" s="352">
        <f t="shared" si="40"/>
        <v>39.431506585022746</v>
      </c>
      <c r="Q105" s="349">
        <f t="shared" si="41"/>
        <v>0</v>
      </c>
      <c r="R105" s="353">
        <f t="shared" si="42"/>
        <v>0</v>
      </c>
      <c r="S105" s="354">
        <f t="shared" si="30"/>
        <v>1593.9566352088339</v>
      </c>
      <c r="T105" s="354">
        <f t="shared" si="31"/>
        <v>162.74328</v>
      </c>
      <c r="U105" s="355">
        <f t="shared" si="32"/>
        <v>15</v>
      </c>
      <c r="V105" s="355">
        <f t="shared" si="33"/>
        <v>0</v>
      </c>
      <c r="W105" s="355">
        <f t="shared" si="34"/>
        <v>0</v>
      </c>
      <c r="X105" s="355">
        <f t="shared" si="35"/>
        <v>640752.0286408395</v>
      </c>
      <c r="Y105" s="396"/>
      <c r="Z105" s="346" t="str">
        <f t="shared" si="43"/>
        <v>0-EXSS2aA</v>
      </c>
      <c r="AA105" s="346" t="str">
        <f t="shared" si="44"/>
        <v>0-EXSS2aE</v>
      </c>
      <c r="AB105" s="346" t="str">
        <f t="shared" si="45"/>
        <v>0-EXSS2aM</v>
      </c>
      <c r="AC105" s="346" t="str">
        <f t="shared" si="46"/>
        <v>0-EXSS2aT</v>
      </c>
      <c r="AD105" s="346" t="str">
        <f t="shared" si="47"/>
        <v>0-EXSS2aS</v>
      </c>
      <c r="AE105" s="346" t="str">
        <f t="shared" si="48"/>
        <v>0-EXSS2aX</v>
      </c>
      <c r="AF105" s="346" t="str">
        <f t="shared" si="49"/>
        <v>0-EXSS2aA</v>
      </c>
      <c r="AG105" s="346">
        <f t="shared" si="36"/>
        <v>8</v>
      </c>
      <c r="AH105" s="346">
        <f>IF(B105&lt;&gt;"",+IF(H105="x",+VLOOKUP(I105,'AUX-NIV2'!B:AG,32,FALSE),0),"")</f>
        <v>0</v>
      </c>
      <c r="AI105" s="346" t="str">
        <f t="shared" si="50"/>
        <v>0-EXSS2a</v>
      </c>
      <c r="AK105" s="347">
        <f t="shared" si="37"/>
        <v>102</v>
      </c>
      <c r="AL105" s="348">
        <f t="shared" si="51"/>
        <v>109</v>
      </c>
      <c r="AM105" s="347">
        <f t="shared" si="52"/>
        <v>4</v>
      </c>
      <c r="AN105" s="382">
        <f>IF(AND(AH105&gt;0,B105&lt;&gt;""),VLOOKUP(I105,'AUX-NIV2'!$B:$AP,40,FALSE)*O105,0)</f>
        <v>0</v>
      </c>
      <c r="AO105" s="382">
        <f t="shared" si="38"/>
        <v>309.89</v>
      </c>
      <c r="AQ105" s="395">
        <f>(IF($H105="x",VLOOKUP($I105,'AUX-NIV2'!$B:$X,'AUX-NIV1'!AQ$3,FALSE),0)+($AV105*'AUX-NIV3'!S$4))*$O105+IF($H105=AQ$4,$P105,0)</f>
        <v>39.431506585022746</v>
      </c>
      <c r="AR105" s="395">
        <f>(IF($H105="x",VLOOKUP($I105,'AUX-NIV2'!$B:$X,'AUX-NIV1'!AR$3,FALSE),0)+($AV105*'AUX-NIV3'!T$4))*$O105+IF($H105=AR$4,$P105,0)</f>
        <v>0</v>
      </c>
      <c r="AS105" s="395">
        <f>(IF($H105="x",VLOOKUP($I105,'AUX-NIV2'!$B:$X,'AUX-NIV1'!AS$3,FALSE),0)+($AV105*'AUX-NIV3'!U$4))*$O105+IF($H105=AS$4,$P105,0)</f>
        <v>0</v>
      </c>
      <c r="AT105" s="395">
        <f>(IF($H105="x",VLOOKUP($I105,'AUX-NIV2'!$B:$X,'AUX-NIV1'!AT$3,FALSE),0)+($AV105*'AUX-NIV3'!V$4))*$O105+IF($H105=AT$4,$P105,0)</f>
        <v>0</v>
      </c>
      <c r="AU105" s="395">
        <f>(IF($H105="x",VLOOKUP($I105,'AUX-NIV2'!$B:$X,'AUX-NIV1'!AU$3,FALSE),0)+($AV105*'AUX-NIV3'!W$4))*$O105+IF($H105=AU$4,$P105,0)</f>
        <v>0</v>
      </c>
      <c r="AV105" s="395">
        <f>+IF($H105="x",VLOOKUP($I105,'AUX-NIV2'!$B:$X,'AUX-NIV1'!AV$3,FALSE),0)</f>
        <v>0</v>
      </c>
    </row>
    <row r="106" spans="2:48" ht="13.8" hidden="1" thickBot="1">
      <c r="B106" s="324" t="s">
        <v>84</v>
      </c>
      <c r="C106" s="325" t="s">
        <v>169</v>
      </c>
      <c r="D106" s="326" t="s">
        <v>1160</v>
      </c>
      <c r="E106" s="349">
        <f>IF(B106&lt;&gt;"",+SUMIF(Items!C:C,'AUX-NIV1'!B106,Items!H:H),"")</f>
        <v>0</v>
      </c>
      <c r="F106" s="349">
        <f t="shared" si="28"/>
        <v>642523.72855604836</v>
      </c>
      <c r="G106" s="349">
        <f t="shared" si="29"/>
        <v>0</v>
      </c>
      <c r="H106" s="1395" t="str">
        <f t="shared" si="39"/>
        <v>E</v>
      </c>
      <c r="I106" s="1375" t="s">
        <v>1552</v>
      </c>
      <c r="J106" s="350" t="str">
        <f>IF(B106&lt;&gt;"",+VLOOKUP(I106,Recursos!C:F,2,FALSE),"")</f>
        <v>RETROEXCAVADORA S/CARRILES  0,9 M2</v>
      </c>
      <c r="K106" s="351" t="str">
        <f>IF(B106&lt;&gt;"",+VLOOKUP(I106,Recursos!C:F,3,FALSE),"")</f>
        <v>HR</v>
      </c>
      <c r="L106" s="349">
        <f>IF(B106&lt;&gt;"",+VLOOKUP(I106,Recursos!C:F,4,FALSE),"")</f>
        <v>2743.02</v>
      </c>
      <c r="M106" s="331">
        <v>50</v>
      </c>
      <c r="N106" s="331">
        <v>2.8</v>
      </c>
      <c r="O106" s="362">
        <v>5.5999999999999994E-2</v>
      </c>
      <c r="P106" s="352">
        <f t="shared" si="40"/>
        <v>153.60911999999999</v>
      </c>
      <c r="Q106" s="349">
        <f t="shared" si="41"/>
        <v>0</v>
      </c>
      <c r="R106" s="353">
        <f t="shared" si="42"/>
        <v>0</v>
      </c>
      <c r="S106" s="354">
        <f t="shared" si="30"/>
        <v>1593.9566352088339</v>
      </c>
      <c r="T106" s="354">
        <f t="shared" si="31"/>
        <v>162.74328</v>
      </c>
      <c r="U106" s="355">
        <f t="shared" si="32"/>
        <v>15</v>
      </c>
      <c r="V106" s="355">
        <f t="shared" si="33"/>
        <v>0</v>
      </c>
      <c r="W106" s="355">
        <f t="shared" si="34"/>
        <v>0</v>
      </c>
      <c r="X106" s="355">
        <f t="shared" si="35"/>
        <v>640752.0286408395</v>
      </c>
      <c r="Y106" s="396"/>
      <c r="Z106" s="346" t="str">
        <f t="shared" si="43"/>
        <v>0-EXSS2aA</v>
      </c>
      <c r="AA106" s="346" t="str">
        <f t="shared" si="44"/>
        <v>0-EXSS2aE</v>
      </c>
      <c r="AB106" s="346" t="str">
        <f t="shared" si="45"/>
        <v>0-EXSS2aM</v>
      </c>
      <c r="AC106" s="346" t="str">
        <f t="shared" si="46"/>
        <v>0-EXSS2aT</v>
      </c>
      <c r="AD106" s="346" t="str">
        <f t="shared" si="47"/>
        <v>0-EXSS2aS</v>
      </c>
      <c r="AE106" s="346" t="str">
        <f t="shared" si="48"/>
        <v>0-EXSS2aX</v>
      </c>
      <c r="AF106" s="346" t="str">
        <f t="shared" si="49"/>
        <v>0-EXSS2aE</v>
      </c>
      <c r="AG106" s="346">
        <f t="shared" si="36"/>
        <v>8</v>
      </c>
      <c r="AH106" s="346">
        <f>IF(B106&lt;&gt;"",+IF(H106="x",+VLOOKUP(I106,'AUX-NIV2'!B:AG,32,FALSE),0),"")</f>
        <v>0</v>
      </c>
      <c r="AI106" s="346" t="str">
        <f t="shared" si="50"/>
        <v>0-EXSS2a</v>
      </c>
      <c r="AK106" s="347">
        <f t="shared" si="37"/>
        <v>102</v>
      </c>
      <c r="AL106" s="348">
        <f t="shared" si="51"/>
        <v>109</v>
      </c>
      <c r="AM106" s="347">
        <f t="shared" si="52"/>
        <v>5</v>
      </c>
      <c r="AN106" s="382">
        <f>IF(AND(AH106&gt;0,B106&lt;&gt;""),VLOOKUP(I106,'AUX-NIV2'!$B:$AP,40,FALSE)*O106,0)</f>
        <v>0</v>
      </c>
      <c r="AO106" s="382">
        <f t="shared" si="38"/>
        <v>309.89</v>
      </c>
      <c r="AQ106" s="395">
        <f>(IF($H106="x",VLOOKUP($I106,'AUX-NIV2'!$B:$X,'AUX-NIV1'!AQ$3,FALSE),0)+($AV106*'AUX-NIV3'!S$4))*$O106+IF($H106=AQ$4,$P106,0)</f>
        <v>0</v>
      </c>
      <c r="AR106" s="395">
        <f>(IF($H106="x",VLOOKUP($I106,'AUX-NIV2'!$B:$X,'AUX-NIV1'!AR$3,FALSE),0)+($AV106*'AUX-NIV3'!T$4))*$O106+IF($H106=AR$4,$P106,0)</f>
        <v>153.60911999999999</v>
      </c>
      <c r="AS106" s="395">
        <f>(IF($H106="x",VLOOKUP($I106,'AUX-NIV2'!$B:$X,'AUX-NIV1'!AS$3,FALSE),0)+($AV106*'AUX-NIV3'!U$4))*$O106+IF($H106=AS$4,$P106,0)</f>
        <v>0</v>
      </c>
      <c r="AT106" s="395">
        <f>(IF($H106="x",VLOOKUP($I106,'AUX-NIV2'!$B:$X,'AUX-NIV1'!AT$3,FALSE),0)+($AV106*'AUX-NIV3'!V$4))*$O106+IF($H106=AT$4,$P106,0)</f>
        <v>0</v>
      </c>
      <c r="AU106" s="395">
        <f>(IF($H106="x",VLOOKUP($I106,'AUX-NIV2'!$B:$X,'AUX-NIV1'!AU$3,FALSE),0)+($AV106*'AUX-NIV3'!W$4))*$O106+IF($H106=AU$4,$P106,0)</f>
        <v>0</v>
      </c>
      <c r="AV106" s="395">
        <f>+IF($H106="x",VLOOKUP($I106,'AUX-NIV2'!$B:$X,'AUX-NIV1'!AV$3,FALSE),0)</f>
        <v>0</v>
      </c>
    </row>
    <row r="107" spans="2:48" ht="13.8" hidden="1" thickBot="1">
      <c r="B107" s="324" t="s">
        <v>84</v>
      </c>
      <c r="C107" s="325" t="s">
        <v>169</v>
      </c>
      <c r="D107" s="326" t="s">
        <v>1160</v>
      </c>
      <c r="E107" s="349">
        <f>IF(B107&lt;&gt;"",+SUMIF(Items!C:C,'AUX-NIV1'!B107,Items!H:H),"")</f>
        <v>0</v>
      </c>
      <c r="F107" s="349">
        <f t="shared" si="28"/>
        <v>642523.72855604836</v>
      </c>
      <c r="G107" s="349">
        <f t="shared" si="29"/>
        <v>0</v>
      </c>
      <c r="H107" s="1395" t="str">
        <f t="shared" si="39"/>
        <v>E</v>
      </c>
      <c r="I107" s="1375" t="s">
        <v>1602</v>
      </c>
      <c r="J107" s="350" t="str">
        <f>IF(B107&lt;&gt;"",+VLOOKUP(I107,Recursos!C:F,2,FALSE),"")</f>
        <v>MOTOBOMBA 10 HP (100 M3/HORA)</v>
      </c>
      <c r="K107" s="351" t="str">
        <f>IF(B107&lt;&gt;"",+VLOOKUP(I107,Recursos!C:F,3,FALSE),"")</f>
        <v>HR</v>
      </c>
      <c r="L107" s="349">
        <f>IF(B107&lt;&gt;"",+VLOOKUP(I107,Recursos!C:F,4,FALSE),"")</f>
        <v>195.732</v>
      </c>
      <c r="M107" s="331">
        <v>30</v>
      </c>
      <c r="N107" s="331">
        <v>1.4</v>
      </c>
      <c r="O107" s="362">
        <v>4.6666666666666662E-2</v>
      </c>
      <c r="P107" s="352">
        <f t="shared" si="40"/>
        <v>9.1341599999999996</v>
      </c>
      <c r="Q107" s="349">
        <f t="shared" si="41"/>
        <v>0</v>
      </c>
      <c r="R107" s="353">
        <f t="shared" si="42"/>
        <v>0</v>
      </c>
      <c r="S107" s="354">
        <f t="shared" si="30"/>
        <v>1593.9566352088339</v>
      </c>
      <c r="T107" s="354">
        <f t="shared" si="31"/>
        <v>162.74328</v>
      </c>
      <c r="U107" s="355">
        <f t="shared" si="32"/>
        <v>15</v>
      </c>
      <c r="V107" s="355">
        <f t="shared" si="33"/>
        <v>0</v>
      </c>
      <c r="W107" s="355">
        <f t="shared" si="34"/>
        <v>0</v>
      </c>
      <c r="X107" s="355">
        <f t="shared" si="35"/>
        <v>640752.0286408395</v>
      </c>
      <c r="Y107" s="396"/>
      <c r="Z107" s="346" t="str">
        <f t="shared" si="43"/>
        <v>0-EXSS2aA</v>
      </c>
      <c r="AA107" s="346" t="str">
        <f t="shared" si="44"/>
        <v>0-EXSS2aE</v>
      </c>
      <c r="AB107" s="346" t="str">
        <f t="shared" si="45"/>
        <v>0-EXSS2aM</v>
      </c>
      <c r="AC107" s="346" t="str">
        <f t="shared" si="46"/>
        <v>0-EXSS2aT</v>
      </c>
      <c r="AD107" s="346" t="str">
        <f t="shared" si="47"/>
        <v>0-EXSS2aS</v>
      </c>
      <c r="AE107" s="346" t="str">
        <f t="shared" si="48"/>
        <v>0-EXSS2aX</v>
      </c>
      <c r="AF107" s="346" t="str">
        <f t="shared" si="49"/>
        <v>0-EXSS2aE</v>
      </c>
      <c r="AG107" s="346">
        <f t="shared" si="36"/>
        <v>8</v>
      </c>
      <c r="AH107" s="346">
        <f>IF(B107&lt;&gt;"",+IF(H107="x",+VLOOKUP(I107,'AUX-NIV2'!B:AG,32,FALSE),0),"")</f>
        <v>0</v>
      </c>
      <c r="AI107" s="346" t="str">
        <f t="shared" si="50"/>
        <v>0-EXSS2a</v>
      </c>
      <c r="AK107" s="347">
        <f t="shared" si="37"/>
        <v>102</v>
      </c>
      <c r="AL107" s="348">
        <f t="shared" si="51"/>
        <v>109</v>
      </c>
      <c r="AM107" s="347">
        <f t="shared" si="52"/>
        <v>6</v>
      </c>
      <c r="AN107" s="382">
        <f>IF(AND(AH107&gt;0,B107&lt;&gt;""),VLOOKUP(I107,'AUX-NIV2'!$B:$AP,40,FALSE)*O107,0)</f>
        <v>0</v>
      </c>
      <c r="AO107" s="382">
        <f t="shared" si="38"/>
        <v>309.89</v>
      </c>
      <c r="AQ107" s="395">
        <f>(IF($H107="x",VLOOKUP($I107,'AUX-NIV2'!$B:$X,'AUX-NIV1'!AQ$3,FALSE),0)+($AV107*'AUX-NIV3'!S$4))*$O107+IF($H107=AQ$4,$P107,0)</f>
        <v>0</v>
      </c>
      <c r="AR107" s="395">
        <f>(IF($H107="x",VLOOKUP($I107,'AUX-NIV2'!$B:$X,'AUX-NIV1'!AR$3,FALSE),0)+($AV107*'AUX-NIV3'!T$4))*$O107+IF($H107=AR$4,$P107,0)</f>
        <v>9.1341599999999996</v>
      </c>
      <c r="AS107" s="395">
        <f>(IF($H107="x",VLOOKUP($I107,'AUX-NIV2'!$B:$X,'AUX-NIV1'!AS$3,FALSE),0)+($AV107*'AUX-NIV3'!U$4))*$O107+IF($H107=AS$4,$P107,0)</f>
        <v>0</v>
      </c>
      <c r="AT107" s="395">
        <f>(IF($H107="x",VLOOKUP($I107,'AUX-NIV2'!$B:$X,'AUX-NIV1'!AT$3,FALSE),0)+($AV107*'AUX-NIV3'!V$4))*$O107+IF($H107=AT$4,$P107,0)</f>
        <v>0</v>
      </c>
      <c r="AU107" s="395">
        <f>(IF($H107="x",VLOOKUP($I107,'AUX-NIV2'!$B:$X,'AUX-NIV1'!AU$3,FALSE),0)+($AV107*'AUX-NIV3'!W$4))*$O107+IF($H107=AU$4,$P107,0)</f>
        <v>0</v>
      </c>
      <c r="AV107" s="395">
        <f>+IF($H107="x",VLOOKUP($I107,'AUX-NIV2'!$B:$X,'AUX-NIV1'!AV$3,FALSE),0)</f>
        <v>0</v>
      </c>
    </row>
    <row r="108" spans="2:48" ht="13.8" hidden="1" thickBot="1">
      <c r="B108" s="324" t="s">
        <v>84</v>
      </c>
      <c r="C108" s="325" t="s">
        <v>169</v>
      </c>
      <c r="D108" s="326" t="s">
        <v>1160</v>
      </c>
      <c r="E108" s="349">
        <f>IF(B108&lt;&gt;"",+SUMIF(Items!C:C,'AUX-NIV1'!B108,Items!H:H),"")</f>
        <v>0</v>
      </c>
      <c r="F108" s="349">
        <f t="shared" si="28"/>
        <v>642523.72855604836</v>
      </c>
      <c r="G108" s="349">
        <f t="shared" si="29"/>
        <v>0</v>
      </c>
      <c r="H108" s="1395" t="str">
        <f t="shared" si="39"/>
        <v>M</v>
      </c>
      <c r="I108" s="1375" t="s">
        <v>621</v>
      </c>
      <c r="J108" s="350" t="str">
        <f>IF(B108&lt;&gt;"",+VLOOKUP(I108,Recursos!C:F,2,FALSE),"")</f>
        <v>MATERIALES VARIOS</v>
      </c>
      <c r="K108" s="351" t="str">
        <f>IF(B108&lt;&gt;"",+VLOOKUP(I108,Recursos!C:F,3,FALSE),"")</f>
        <v>GL</v>
      </c>
      <c r="L108" s="349">
        <f>IF(B108&lt;&gt;"",+VLOOKUP(I108,Recursos!C:F,4,FALSE),"")</f>
        <v>0.5</v>
      </c>
      <c r="M108" s="331">
        <v>30</v>
      </c>
      <c r="N108" s="331">
        <v>1</v>
      </c>
      <c r="O108" s="362">
        <v>30</v>
      </c>
      <c r="P108" s="352">
        <f t="shared" si="40"/>
        <v>15</v>
      </c>
      <c r="Q108" s="349">
        <f t="shared" si="41"/>
        <v>0</v>
      </c>
      <c r="R108" s="353">
        <f t="shared" si="42"/>
        <v>0</v>
      </c>
      <c r="S108" s="354">
        <f t="shared" si="30"/>
        <v>1593.9566352088339</v>
      </c>
      <c r="T108" s="354">
        <f t="shared" si="31"/>
        <v>162.74328</v>
      </c>
      <c r="U108" s="355">
        <f t="shared" si="32"/>
        <v>15</v>
      </c>
      <c r="V108" s="355">
        <f t="shared" si="33"/>
        <v>0</v>
      </c>
      <c r="W108" s="355">
        <f t="shared" si="34"/>
        <v>0</v>
      </c>
      <c r="X108" s="355">
        <f t="shared" si="35"/>
        <v>640752.0286408395</v>
      </c>
      <c r="Y108" s="396"/>
      <c r="Z108" s="346" t="str">
        <f t="shared" si="43"/>
        <v>0-EXSS2aA</v>
      </c>
      <c r="AA108" s="346" t="str">
        <f t="shared" si="44"/>
        <v>0-EXSS2aE</v>
      </c>
      <c r="AB108" s="346" t="str">
        <f t="shared" si="45"/>
        <v>0-EXSS2aM</v>
      </c>
      <c r="AC108" s="346" t="str">
        <f t="shared" si="46"/>
        <v>0-EXSS2aT</v>
      </c>
      <c r="AD108" s="346" t="str">
        <f t="shared" si="47"/>
        <v>0-EXSS2aS</v>
      </c>
      <c r="AE108" s="346" t="str">
        <f t="shared" si="48"/>
        <v>0-EXSS2aX</v>
      </c>
      <c r="AF108" s="346" t="str">
        <f t="shared" si="49"/>
        <v>0-EXSS2aM</v>
      </c>
      <c r="AG108" s="346">
        <f t="shared" si="36"/>
        <v>8</v>
      </c>
      <c r="AH108" s="346">
        <f>IF(B108&lt;&gt;"",+IF(H108="x",+VLOOKUP(I108,'AUX-NIV2'!B:AG,32,FALSE),0),"")</f>
        <v>0</v>
      </c>
      <c r="AI108" s="346" t="str">
        <f t="shared" si="50"/>
        <v>0-EXSS2a</v>
      </c>
      <c r="AK108" s="347">
        <f t="shared" si="37"/>
        <v>102</v>
      </c>
      <c r="AL108" s="348">
        <f t="shared" si="51"/>
        <v>109</v>
      </c>
      <c r="AM108" s="347">
        <f t="shared" si="52"/>
        <v>7</v>
      </c>
      <c r="AN108" s="382">
        <f>IF(AND(AH108&gt;0,B108&lt;&gt;""),VLOOKUP(I108,'AUX-NIV2'!$B:$AP,40,FALSE)*O108,0)</f>
        <v>0</v>
      </c>
      <c r="AO108" s="382">
        <f t="shared" si="38"/>
        <v>309.89</v>
      </c>
      <c r="AQ108" s="395">
        <f>(IF($H108="x",VLOOKUP($I108,'AUX-NIV2'!$B:$X,'AUX-NIV1'!AQ$3,FALSE),0)+($AV108*'AUX-NIV3'!S$4))*$O108+IF($H108=AQ$4,$P108,0)</f>
        <v>0</v>
      </c>
      <c r="AR108" s="395">
        <f>(IF($H108="x",VLOOKUP($I108,'AUX-NIV2'!$B:$X,'AUX-NIV1'!AR$3,FALSE),0)+($AV108*'AUX-NIV3'!T$4))*$O108+IF($H108=AR$4,$P108,0)</f>
        <v>0</v>
      </c>
      <c r="AS108" s="395">
        <f>(IF($H108="x",VLOOKUP($I108,'AUX-NIV2'!$B:$X,'AUX-NIV1'!AS$3,FALSE),0)+($AV108*'AUX-NIV3'!U$4))*$O108+IF($H108=AS$4,$P108,0)</f>
        <v>15</v>
      </c>
      <c r="AT108" s="395">
        <f>(IF($H108="x",VLOOKUP($I108,'AUX-NIV2'!$B:$X,'AUX-NIV1'!AT$3,FALSE),0)+($AV108*'AUX-NIV3'!V$4))*$O108+IF($H108=AT$4,$P108,0)</f>
        <v>0</v>
      </c>
      <c r="AU108" s="395">
        <f>(IF($H108="x",VLOOKUP($I108,'AUX-NIV2'!$B:$X,'AUX-NIV1'!AU$3,FALSE),0)+($AV108*'AUX-NIV3'!W$4))*$O108+IF($H108=AU$4,$P108,0)</f>
        <v>0</v>
      </c>
      <c r="AV108" s="395">
        <f>+IF($H108="x",VLOOKUP($I108,'AUX-NIV2'!$B:$X,'AUX-NIV1'!AV$3,FALSE),0)</f>
        <v>0</v>
      </c>
    </row>
    <row r="109" spans="2:48" ht="13.8" hidden="1" thickBot="1">
      <c r="B109" s="324" t="s">
        <v>84</v>
      </c>
      <c r="C109" s="325" t="s">
        <v>169</v>
      </c>
      <c r="D109" s="326" t="s">
        <v>1160</v>
      </c>
      <c r="E109" s="349">
        <f>IF(B109&lt;&gt;"",+SUMIF(Items!C:C,'AUX-NIV1'!B109,Items!H:H),"")</f>
        <v>0</v>
      </c>
      <c r="F109" s="349">
        <f t="shared" si="28"/>
        <v>642523.72855604836</v>
      </c>
      <c r="G109" s="349">
        <f t="shared" si="29"/>
        <v>0</v>
      </c>
      <c r="H109" s="1395" t="str">
        <f t="shared" si="39"/>
        <v>X</v>
      </c>
      <c r="I109" s="1375" t="s">
        <v>1289</v>
      </c>
      <c r="J109" s="350" t="str">
        <f>IF(B109&lt;&gt;"",+VLOOKUP(I109,Recursos!C:F,2,FALSE),"")</f>
        <v>Sostenimiento de Excavación con Agua</v>
      </c>
      <c r="K109" s="351" t="str">
        <f>IF(B109&lt;&gt;"",+VLOOKUP(I109,Recursos!C:F,3,FALSE),"")</f>
        <v>m2</v>
      </c>
      <c r="L109" s="349">
        <f>IF(B109&lt;&gt;"",+VLOOKUP(I109,Recursos!C:F,4,FALSE),"")</f>
        <v>6407.5202864083949</v>
      </c>
      <c r="M109" s="331">
        <v>50</v>
      </c>
      <c r="N109" s="331">
        <v>2</v>
      </c>
      <c r="O109" s="362">
        <v>100</v>
      </c>
      <c r="P109" s="352">
        <f t="shared" si="40"/>
        <v>640752.0286408395</v>
      </c>
      <c r="Q109" s="349">
        <f t="shared" si="41"/>
        <v>0</v>
      </c>
      <c r="R109" s="353">
        <f t="shared" si="42"/>
        <v>0</v>
      </c>
      <c r="S109" s="354">
        <f t="shared" si="30"/>
        <v>1593.9566352088339</v>
      </c>
      <c r="T109" s="354">
        <f t="shared" si="31"/>
        <v>162.74328</v>
      </c>
      <c r="U109" s="355">
        <f t="shared" si="32"/>
        <v>15</v>
      </c>
      <c r="V109" s="355">
        <f t="shared" si="33"/>
        <v>0</v>
      </c>
      <c r="W109" s="355">
        <f t="shared" si="34"/>
        <v>0</v>
      </c>
      <c r="X109" s="355">
        <f t="shared" si="35"/>
        <v>640752.0286408395</v>
      </c>
      <c r="Y109" s="396"/>
      <c r="Z109" s="346" t="str">
        <f t="shared" si="43"/>
        <v>0-EXSS2aA</v>
      </c>
      <c r="AA109" s="346" t="str">
        <f t="shared" si="44"/>
        <v>0-EXSS2aE</v>
      </c>
      <c r="AB109" s="346" t="str">
        <f t="shared" si="45"/>
        <v>0-EXSS2aM</v>
      </c>
      <c r="AC109" s="346" t="str">
        <f t="shared" si="46"/>
        <v>0-EXSS2aT</v>
      </c>
      <c r="AD109" s="346" t="str">
        <f t="shared" si="47"/>
        <v>0-EXSS2aS</v>
      </c>
      <c r="AE109" s="346" t="str">
        <f t="shared" si="48"/>
        <v>0-EXSS2aX</v>
      </c>
      <c r="AF109" s="346" t="str">
        <f t="shared" si="49"/>
        <v>0-EXSS2aX</v>
      </c>
      <c r="AG109" s="346">
        <f t="shared" si="36"/>
        <v>8</v>
      </c>
      <c r="AH109" s="346">
        <f>IF(B109&lt;&gt;"",+IF(H109="x",+VLOOKUP(I109,'AUX-NIV2'!B:AG,32,FALSE),0),"")</f>
        <v>12</v>
      </c>
      <c r="AI109" s="346" t="str">
        <f t="shared" si="50"/>
        <v>0-EXSS2a</v>
      </c>
      <c r="AK109" s="347">
        <f t="shared" si="37"/>
        <v>102</v>
      </c>
      <c r="AL109" s="348">
        <f t="shared" si="51"/>
        <v>109</v>
      </c>
      <c r="AM109" s="347">
        <f t="shared" si="52"/>
        <v>8</v>
      </c>
      <c r="AN109" s="382">
        <f>IF(AND(AH109&gt;0,B109&lt;&gt;""),VLOOKUP(I109,'AUX-NIV2'!$B:$AP,40,FALSE)*O109,0)</f>
        <v>307</v>
      </c>
      <c r="AO109" s="382">
        <f t="shared" si="38"/>
        <v>309.89</v>
      </c>
      <c r="AQ109" s="395">
        <f>(IF($H109="x",VLOOKUP($I109,'AUX-NIV2'!$B:$X,'AUX-NIV1'!AQ$3,FALSE),0)+($AV109*'AUX-NIV3'!S$4))*$O109+IF($H109=AQ$4,$P109,0)</f>
        <v>141328.14310158335</v>
      </c>
      <c r="AR109" s="395">
        <f>(IF($H109="x",VLOOKUP($I109,'AUX-NIV2'!$B:$X,'AUX-NIV1'!AR$3,FALSE),0)+($AV109*'AUX-NIV3'!T$4))*$O109+IF($H109=AR$4,$P109,0)</f>
        <v>11890.361250000002</v>
      </c>
      <c r="AS109" s="395">
        <f>(IF($H109="x",VLOOKUP($I109,'AUX-NIV2'!$B:$X,'AUX-NIV1'!AS$3,FALSE),0)+($AV109*'AUX-NIV3'!U$4))*$O109+IF($H109=AS$4,$P109,0)</f>
        <v>487533.52428925619</v>
      </c>
      <c r="AT109" s="395">
        <f>(IF($H109="x",VLOOKUP($I109,'AUX-NIV2'!$B:$X,'AUX-NIV1'!AT$3,FALSE),0)+($AV109*'AUX-NIV3'!V$4))*$O109+IF($H109=AT$4,$P109,0)</f>
        <v>0</v>
      </c>
      <c r="AU109" s="395">
        <f>(IF($H109="x",VLOOKUP($I109,'AUX-NIV2'!$B:$X,'AUX-NIV1'!AU$3,FALSE),0)+($AV109*'AUX-NIV3'!W$4))*$O109+IF($H109=AU$4,$P109,0)</f>
        <v>0</v>
      </c>
      <c r="AV109" s="395">
        <f>+IF($H109="x",VLOOKUP($I109,'AUX-NIV2'!$B:$X,'AUX-NIV1'!AV$3,FALSE),0)</f>
        <v>0</v>
      </c>
    </row>
    <row r="110" spans="2:48" ht="13.8" hidden="1" thickBot="1">
      <c r="B110" s="324" t="s">
        <v>85</v>
      </c>
      <c r="C110" s="325" t="s">
        <v>170</v>
      </c>
      <c r="D110" s="326" t="s">
        <v>1160</v>
      </c>
      <c r="E110" s="349">
        <f>IF(B110&lt;&gt;"",+SUMIF(Items!C:C,'AUX-NIV1'!B110,Items!H:H),"")</f>
        <v>0</v>
      </c>
      <c r="F110" s="349">
        <f t="shared" si="28"/>
        <v>642534.88484002382</v>
      </c>
      <c r="G110" s="349">
        <f t="shared" si="29"/>
        <v>0</v>
      </c>
      <c r="H110" s="1395" t="str">
        <f t="shared" si="39"/>
        <v>A</v>
      </c>
      <c r="I110" s="1375" t="s">
        <v>3311</v>
      </c>
      <c r="J110" s="350" t="str">
        <f>IF(B110&lt;&gt;"",+VLOOKUP(I110,Recursos!C:F,2,FALSE),"")</f>
        <v>OPER. EQUIPO</v>
      </c>
      <c r="K110" s="351" t="str">
        <f>IF(B110&lt;&gt;"",+VLOOKUP(I110,Recursos!C:F,3,FALSE),"")</f>
        <v>hh</v>
      </c>
      <c r="L110" s="349">
        <f>IF(B110&lt;&gt;"",+VLOOKUP(I110,Recursos!C:F,4,FALSE),"")</f>
        <v>581.06120476836554</v>
      </c>
      <c r="M110" s="331">
        <v>0.5</v>
      </c>
      <c r="N110" s="331">
        <v>1</v>
      </c>
      <c r="O110" s="362">
        <v>2</v>
      </c>
      <c r="P110" s="352">
        <f t="shared" si="40"/>
        <v>1162.1224095367311</v>
      </c>
      <c r="Q110" s="349">
        <f t="shared" si="41"/>
        <v>0</v>
      </c>
      <c r="R110" s="353">
        <f t="shared" si="42"/>
        <v>0</v>
      </c>
      <c r="S110" s="354">
        <f t="shared" si="30"/>
        <v>1605.7860871843404</v>
      </c>
      <c r="T110" s="354">
        <f t="shared" si="31"/>
        <v>164.57011199999999</v>
      </c>
      <c r="U110" s="355">
        <f t="shared" si="32"/>
        <v>12.5</v>
      </c>
      <c r="V110" s="355">
        <f t="shared" si="33"/>
        <v>0</v>
      </c>
      <c r="W110" s="355">
        <f t="shared" si="34"/>
        <v>0</v>
      </c>
      <c r="X110" s="355">
        <f t="shared" si="35"/>
        <v>640752.0286408395</v>
      </c>
      <c r="Y110" s="396"/>
      <c r="Z110" s="346" t="str">
        <f t="shared" si="43"/>
        <v>0-EXSS3aA</v>
      </c>
      <c r="AA110" s="346" t="str">
        <f t="shared" si="44"/>
        <v>0-EXSS3aE</v>
      </c>
      <c r="AB110" s="346" t="str">
        <f t="shared" si="45"/>
        <v>0-EXSS3aM</v>
      </c>
      <c r="AC110" s="346" t="str">
        <f t="shared" si="46"/>
        <v>0-EXSS3aT</v>
      </c>
      <c r="AD110" s="346" t="str">
        <f t="shared" si="47"/>
        <v>0-EXSS3aS</v>
      </c>
      <c r="AE110" s="346" t="str">
        <f t="shared" si="48"/>
        <v>0-EXSS3aX</v>
      </c>
      <c r="AF110" s="346" t="str">
        <f t="shared" si="49"/>
        <v>0-EXSS3aA</v>
      </c>
      <c r="AG110" s="346">
        <f t="shared" si="36"/>
        <v>8</v>
      </c>
      <c r="AH110" s="346">
        <f>IF(B110&lt;&gt;"",+IF(H110="x",+VLOOKUP(I110,'AUX-NIV2'!B:AG,32,FALSE),0),"")</f>
        <v>0</v>
      </c>
      <c r="AI110" s="346" t="str">
        <f t="shared" si="50"/>
        <v>0-EXSS3a</v>
      </c>
      <c r="AK110" s="347">
        <f t="shared" si="37"/>
        <v>110</v>
      </c>
      <c r="AL110" s="348">
        <f t="shared" si="51"/>
        <v>117</v>
      </c>
      <c r="AM110" s="347">
        <f t="shared" si="52"/>
        <v>1</v>
      </c>
      <c r="AN110" s="382">
        <f>IF(AND(AH110&gt;0,B110&lt;&gt;""),VLOOKUP(I110,'AUX-NIV2'!$B:$AP,40,FALSE)*O110,0)</f>
        <v>0</v>
      </c>
      <c r="AO110" s="382">
        <f t="shared" si="38"/>
        <v>309.91800000000001</v>
      </c>
      <c r="AQ110" s="395">
        <f>(IF($H110="x",VLOOKUP($I110,'AUX-NIV2'!$B:$X,'AUX-NIV1'!AQ$3,FALSE),0)+($AV110*'AUX-NIV3'!S$4))*$O110+IF($H110=AQ$4,$P110,0)</f>
        <v>1162.1224095367311</v>
      </c>
      <c r="AR110" s="395">
        <f>(IF($H110="x",VLOOKUP($I110,'AUX-NIV2'!$B:$X,'AUX-NIV1'!AR$3,FALSE),0)+($AV110*'AUX-NIV3'!T$4))*$O110+IF($H110=AR$4,$P110,0)</f>
        <v>0</v>
      </c>
      <c r="AS110" s="395">
        <f>(IF($H110="x",VLOOKUP($I110,'AUX-NIV2'!$B:$X,'AUX-NIV1'!AS$3,FALSE),0)+($AV110*'AUX-NIV3'!U$4))*$O110+IF($H110=AS$4,$P110,0)</f>
        <v>0</v>
      </c>
      <c r="AT110" s="395">
        <f>(IF($H110="x",VLOOKUP($I110,'AUX-NIV2'!$B:$X,'AUX-NIV1'!AT$3,FALSE),0)+($AV110*'AUX-NIV3'!V$4))*$O110+IF($H110=AT$4,$P110,0)</f>
        <v>0</v>
      </c>
      <c r="AU110" s="395">
        <f>(IF($H110="x",VLOOKUP($I110,'AUX-NIV2'!$B:$X,'AUX-NIV1'!AU$3,FALSE),0)+($AV110*'AUX-NIV3'!W$4))*$O110+IF($H110=AU$4,$P110,0)</f>
        <v>0</v>
      </c>
      <c r="AV110" s="395">
        <f>+IF($H110="x",VLOOKUP($I110,'AUX-NIV2'!$B:$X,'AUX-NIV1'!AV$3,FALSE),0)</f>
        <v>0</v>
      </c>
    </row>
    <row r="111" spans="2:48" ht="13.8" hidden="1" thickBot="1">
      <c r="B111" s="324" t="s">
        <v>85</v>
      </c>
      <c r="C111" s="325" t="s">
        <v>170</v>
      </c>
      <c r="D111" s="326" t="s">
        <v>1160</v>
      </c>
      <c r="E111" s="349">
        <f>IF(B111&lt;&gt;"",+SUMIF(Items!C:C,'AUX-NIV1'!B111,Items!H:H),"")</f>
        <v>0</v>
      </c>
      <c r="F111" s="349">
        <f t="shared" si="28"/>
        <v>642534.88484002382</v>
      </c>
      <c r="G111" s="349">
        <f t="shared" si="29"/>
        <v>0</v>
      </c>
      <c r="H111" s="1395" t="str">
        <f t="shared" si="39"/>
        <v>A</v>
      </c>
      <c r="I111" s="1375" t="s">
        <v>1746</v>
      </c>
      <c r="J111" s="350" t="str">
        <f>IF(B111&lt;&gt;"",+VLOOKUP(I111,Recursos!C:F,2,FALSE),"")</f>
        <v>OFICIAL</v>
      </c>
      <c r="K111" s="351" t="str">
        <f>IF(B111&lt;&gt;"",+VLOOKUP(I111,Recursos!C:F,3,FALSE),"")</f>
        <v>hh</v>
      </c>
      <c r="L111" s="349">
        <f>IF(B111&lt;&gt;"",+VLOOKUP(I111,Recursos!C:F,4,FALSE),"")</f>
        <v>496.91595439275824</v>
      </c>
      <c r="M111" s="331">
        <v>1.3333333333333333</v>
      </c>
      <c r="N111" s="331">
        <v>1</v>
      </c>
      <c r="O111" s="362">
        <v>0.75</v>
      </c>
      <c r="P111" s="352">
        <f t="shared" si="40"/>
        <v>372.68696579456866</v>
      </c>
      <c r="Q111" s="349">
        <f t="shared" si="41"/>
        <v>0</v>
      </c>
      <c r="R111" s="353">
        <f t="shared" si="42"/>
        <v>0</v>
      </c>
      <c r="S111" s="354">
        <f t="shared" si="30"/>
        <v>1605.7860871843404</v>
      </c>
      <c r="T111" s="354">
        <f t="shared" si="31"/>
        <v>164.57011199999999</v>
      </c>
      <c r="U111" s="355">
        <f t="shared" si="32"/>
        <v>12.5</v>
      </c>
      <c r="V111" s="355">
        <f t="shared" si="33"/>
        <v>0</v>
      </c>
      <c r="W111" s="355">
        <f t="shared" si="34"/>
        <v>0</v>
      </c>
      <c r="X111" s="355">
        <f t="shared" si="35"/>
        <v>640752.0286408395</v>
      </c>
      <c r="Y111" s="396"/>
      <c r="Z111" s="346" t="str">
        <f t="shared" si="43"/>
        <v>0-EXSS3aA</v>
      </c>
      <c r="AA111" s="346" t="str">
        <f t="shared" si="44"/>
        <v>0-EXSS3aE</v>
      </c>
      <c r="AB111" s="346" t="str">
        <f t="shared" si="45"/>
        <v>0-EXSS3aM</v>
      </c>
      <c r="AC111" s="346" t="str">
        <f t="shared" si="46"/>
        <v>0-EXSS3aT</v>
      </c>
      <c r="AD111" s="346" t="str">
        <f t="shared" si="47"/>
        <v>0-EXSS3aS</v>
      </c>
      <c r="AE111" s="346" t="str">
        <f t="shared" si="48"/>
        <v>0-EXSS3aX</v>
      </c>
      <c r="AF111" s="346" t="str">
        <f t="shared" si="49"/>
        <v>0-EXSS3aA</v>
      </c>
      <c r="AG111" s="346">
        <f t="shared" si="36"/>
        <v>8</v>
      </c>
      <c r="AH111" s="346">
        <f>IF(B111&lt;&gt;"",+IF(H111="x",+VLOOKUP(I111,'AUX-NIV2'!B:AG,32,FALSE),0),"")</f>
        <v>0</v>
      </c>
      <c r="AI111" s="346" t="str">
        <f t="shared" si="50"/>
        <v>0-EXSS3a</v>
      </c>
      <c r="AK111" s="347">
        <f t="shared" si="37"/>
        <v>110</v>
      </c>
      <c r="AL111" s="348">
        <f t="shared" si="51"/>
        <v>117</v>
      </c>
      <c r="AM111" s="347">
        <f t="shared" si="52"/>
        <v>2</v>
      </c>
      <c r="AN111" s="382">
        <f>IF(AND(AH111&gt;0,B111&lt;&gt;""),VLOOKUP(I111,'AUX-NIV2'!$B:$AP,40,FALSE)*O111,0)</f>
        <v>0</v>
      </c>
      <c r="AO111" s="382">
        <f t="shared" si="38"/>
        <v>309.91800000000001</v>
      </c>
      <c r="AQ111" s="395">
        <f>(IF($H111="x",VLOOKUP($I111,'AUX-NIV2'!$B:$X,'AUX-NIV1'!AQ$3,FALSE),0)+($AV111*'AUX-NIV3'!S$4))*$O111+IF($H111=AQ$4,$P111,0)</f>
        <v>372.68696579456866</v>
      </c>
      <c r="AR111" s="395">
        <f>(IF($H111="x",VLOOKUP($I111,'AUX-NIV2'!$B:$X,'AUX-NIV1'!AR$3,FALSE),0)+($AV111*'AUX-NIV3'!T$4))*$O111+IF($H111=AR$4,$P111,0)</f>
        <v>0</v>
      </c>
      <c r="AS111" s="395">
        <f>(IF($H111="x",VLOOKUP($I111,'AUX-NIV2'!$B:$X,'AUX-NIV1'!AS$3,FALSE),0)+($AV111*'AUX-NIV3'!U$4))*$O111+IF($H111=AS$4,$P111,0)</f>
        <v>0</v>
      </c>
      <c r="AT111" s="395">
        <f>(IF($H111="x",VLOOKUP($I111,'AUX-NIV2'!$B:$X,'AUX-NIV1'!AT$3,FALSE),0)+($AV111*'AUX-NIV3'!V$4))*$O111+IF($H111=AT$4,$P111,0)</f>
        <v>0</v>
      </c>
      <c r="AU111" s="395">
        <f>(IF($H111="x",VLOOKUP($I111,'AUX-NIV2'!$B:$X,'AUX-NIV1'!AU$3,FALSE),0)+($AV111*'AUX-NIV3'!W$4))*$O111+IF($H111=AU$4,$P111,0)</f>
        <v>0</v>
      </c>
      <c r="AV111" s="395">
        <f>+IF($H111="x",VLOOKUP($I111,'AUX-NIV2'!$B:$X,'AUX-NIV1'!AV$3,FALSE),0)</f>
        <v>0</v>
      </c>
    </row>
    <row r="112" spans="2:48" ht="13.8" hidden="1" thickBot="1">
      <c r="B112" s="324" t="s">
        <v>85</v>
      </c>
      <c r="C112" s="325" t="s">
        <v>170</v>
      </c>
      <c r="D112" s="326" t="s">
        <v>1160</v>
      </c>
      <c r="E112" s="349">
        <f>IF(B112&lt;&gt;"",+SUMIF(Items!C:C,'AUX-NIV1'!B112,Items!H:H),"")</f>
        <v>0</v>
      </c>
      <c r="F112" s="349">
        <f t="shared" si="28"/>
        <v>642534.88484002382</v>
      </c>
      <c r="G112" s="349">
        <f t="shared" si="29"/>
        <v>0</v>
      </c>
      <c r="H112" s="1395" t="str">
        <f t="shared" si="39"/>
        <v>A</v>
      </c>
      <c r="I112" s="1375" t="s">
        <v>1745</v>
      </c>
      <c r="J112" s="350" t="str">
        <f>IF(B112&lt;&gt;"",+VLOOKUP(I112,Recursos!C:F,2,FALSE),"")</f>
        <v>AYUDANTE</v>
      </c>
      <c r="K112" s="351" t="str">
        <f>IF(B112&lt;&gt;"",+VLOOKUP(I112,Recursos!C:F,3,FALSE),"")</f>
        <v>hh</v>
      </c>
      <c r="L112" s="349">
        <f>IF(B112&lt;&gt;"",+VLOOKUP(I112,Recursos!C:F,4,FALSE),"")</f>
        <v>422.48042769667234</v>
      </c>
      <c r="M112" s="331">
        <v>25</v>
      </c>
      <c r="N112" s="331">
        <v>1.4</v>
      </c>
      <c r="O112" s="362">
        <v>5.5999999999999994E-2</v>
      </c>
      <c r="P112" s="352">
        <f t="shared" si="40"/>
        <v>23.658903951013649</v>
      </c>
      <c r="Q112" s="349">
        <f t="shared" si="41"/>
        <v>0</v>
      </c>
      <c r="R112" s="353">
        <f t="shared" si="42"/>
        <v>0</v>
      </c>
      <c r="S112" s="354">
        <f t="shared" si="30"/>
        <v>1605.7860871843404</v>
      </c>
      <c r="T112" s="354">
        <f t="shared" si="31"/>
        <v>164.57011199999999</v>
      </c>
      <c r="U112" s="355">
        <f t="shared" si="32"/>
        <v>12.5</v>
      </c>
      <c r="V112" s="355">
        <f t="shared" si="33"/>
        <v>0</v>
      </c>
      <c r="W112" s="355">
        <f t="shared" si="34"/>
        <v>0</v>
      </c>
      <c r="X112" s="355">
        <f t="shared" si="35"/>
        <v>640752.0286408395</v>
      </c>
      <c r="Y112" s="396"/>
      <c r="Z112" s="346" t="str">
        <f t="shared" si="43"/>
        <v>0-EXSS3aA</v>
      </c>
      <c r="AA112" s="346" t="str">
        <f t="shared" si="44"/>
        <v>0-EXSS3aE</v>
      </c>
      <c r="AB112" s="346" t="str">
        <f t="shared" si="45"/>
        <v>0-EXSS3aM</v>
      </c>
      <c r="AC112" s="346" t="str">
        <f t="shared" si="46"/>
        <v>0-EXSS3aT</v>
      </c>
      <c r="AD112" s="346" t="str">
        <f t="shared" si="47"/>
        <v>0-EXSS3aS</v>
      </c>
      <c r="AE112" s="346" t="str">
        <f t="shared" si="48"/>
        <v>0-EXSS3aX</v>
      </c>
      <c r="AF112" s="346" t="str">
        <f t="shared" si="49"/>
        <v>0-EXSS3aA</v>
      </c>
      <c r="AG112" s="346">
        <f t="shared" si="36"/>
        <v>8</v>
      </c>
      <c r="AH112" s="346">
        <f>IF(B112&lt;&gt;"",+IF(H112="x",+VLOOKUP(I112,'AUX-NIV2'!B:AG,32,FALSE),0),"")</f>
        <v>0</v>
      </c>
      <c r="AI112" s="346" t="str">
        <f t="shared" si="50"/>
        <v>0-EXSS3a</v>
      </c>
      <c r="AK112" s="347">
        <f t="shared" si="37"/>
        <v>110</v>
      </c>
      <c r="AL112" s="348">
        <f t="shared" si="51"/>
        <v>117</v>
      </c>
      <c r="AM112" s="347">
        <f t="shared" si="52"/>
        <v>3</v>
      </c>
      <c r="AN112" s="382">
        <f>IF(AND(AH112&gt;0,B112&lt;&gt;""),VLOOKUP(I112,'AUX-NIV2'!$B:$AP,40,FALSE)*O112,0)</f>
        <v>0</v>
      </c>
      <c r="AO112" s="382">
        <f t="shared" si="38"/>
        <v>309.91800000000001</v>
      </c>
      <c r="AQ112" s="395">
        <f>(IF($H112="x",VLOOKUP($I112,'AUX-NIV2'!$B:$X,'AUX-NIV1'!AQ$3,FALSE),0)+($AV112*'AUX-NIV3'!S$4))*$O112+IF($H112=AQ$4,$P112,0)</f>
        <v>23.658903951013649</v>
      </c>
      <c r="AR112" s="395">
        <f>(IF($H112="x",VLOOKUP($I112,'AUX-NIV2'!$B:$X,'AUX-NIV1'!AR$3,FALSE),0)+($AV112*'AUX-NIV3'!T$4))*$O112+IF($H112=AR$4,$P112,0)</f>
        <v>0</v>
      </c>
      <c r="AS112" s="395">
        <f>(IF($H112="x",VLOOKUP($I112,'AUX-NIV2'!$B:$X,'AUX-NIV1'!AS$3,FALSE),0)+($AV112*'AUX-NIV3'!U$4))*$O112+IF($H112=AS$4,$P112,0)</f>
        <v>0</v>
      </c>
      <c r="AT112" s="395">
        <f>(IF($H112="x",VLOOKUP($I112,'AUX-NIV2'!$B:$X,'AUX-NIV1'!AT$3,FALSE),0)+($AV112*'AUX-NIV3'!V$4))*$O112+IF($H112=AT$4,$P112,0)</f>
        <v>0</v>
      </c>
      <c r="AU112" s="395">
        <f>(IF($H112="x",VLOOKUP($I112,'AUX-NIV2'!$B:$X,'AUX-NIV1'!AU$3,FALSE),0)+($AV112*'AUX-NIV3'!W$4))*$O112+IF($H112=AU$4,$P112,0)</f>
        <v>0</v>
      </c>
      <c r="AV112" s="395">
        <f>+IF($H112="x",VLOOKUP($I112,'AUX-NIV2'!$B:$X,'AUX-NIV1'!AV$3,FALSE),0)</f>
        <v>0</v>
      </c>
    </row>
    <row r="113" spans="2:48" ht="13.8" hidden="1" thickBot="1">
      <c r="B113" s="324" t="s">
        <v>85</v>
      </c>
      <c r="C113" s="325" t="s">
        <v>170</v>
      </c>
      <c r="D113" s="326" t="s">
        <v>1160</v>
      </c>
      <c r="E113" s="349">
        <f>IF(B113&lt;&gt;"",+SUMIF(Items!C:C,'AUX-NIV1'!B113,Items!H:H),"")</f>
        <v>0</v>
      </c>
      <c r="F113" s="349">
        <f t="shared" si="28"/>
        <v>642534.88484002382</v>
      </c>
      <c r="G113" s="349">
        <f t="shared" si="29"/>
        <v>0</v>
      </c>
      <c r="H113" s="1395" t="str">
        <f t="shared" si="39"/>
        <v>A</v>
      </c>
      <c r="I113" s="1375" t="s">
        <v>1745</v>
      </c>
      <c r="J113" s="350" t="str">
        <f>IF(B113&lt;&gt;"",+VLOOKUP(I113,Recursos!C:F,2,FALSE),"")</f>
        <v>AYUDANTE</v>
      </c>
      <c r="K113" s="351" t="str">
        <f>IF(B113&lt;&gt;"",+VLOOKUP(I113,Recursos!C:F,3,FALSE),"")</f>
        <v>hh</v>
      </c>
      <c r="L113" s="349">
        <f>IF(B113&lt;&gt;"",+VLOOKUP(I113,Recursos!C:F,4,FALSE),"")</f>
        <v>422.48042769667234</v>
      </c>
      <c r="M113" s="331">
        <v>25</v>
      </c>
      <c r="N113" s="331">
        <v>2.8</v>
      </c>
      <c r="O113" s="362">
        <v>0.11199999999999999</v>
      </c>
      <c r="P113" s="352">
        <f t="shared" si="40"/>
        <v>47.317807902027297</v>
      </c>
      <c r="Q113" s="349">
        <f t="shared" si="41"/>
        <v>0</v>
      </c>
      <c r="R113" s="353">
        <f t="shared" si="42"/>
        <v>0</v>
      </c>
      <c r="S113" s="354">
        <f t="shared" si="30"/>
        <v>1605.7860871843404</v>
      </c>
      <c r="T113" s="354">
        <f t="shared" si="31"/>
        <v>164.57011199999999</v>
      </c>
      <c r="U113" s="355">
        <f t="shared" si="32"/>
        <v>12.5</v>
      </c>
      <c r="V113" s="355">
        <f t="shared" si="33"/>
        <v>0</v>
      </c>
      <c r="W113" s="355">
        <f t="shared" si="34"/>
        <v>0</v>
      </c>
      <c r="X113" s="355">
        <f t="shared" si="35"/>
        <v>640752.0286408395</v>
      </c>
      <c r="Y113" s="396"/>
      <c r="Z113" s="346" t="str">
        <f t="shared" si="43"/>
        <v>0-EXSS3aA</v>
      </c>
      <c r="AA113" s="346" t="str">
        <f t="shared" si="44"/>
        <v>0-EXSS3aE</v>
      </c>
      <c r="AB113" s="346" t="str">
        <f t="shared" si="45"/>
        <v>0-EXSS3aM</v>
      </c>
      <c r="AC113" s="346" t="str">
        <f t="shared" si="46"/>
        <v>0-EXSS3aT</v>
      </c>
      <c r="AD113" s="346" t="str">
        <f t="shared" si="47"/>
        <v>0-EXSS3aS</v>
      </c>
      <c r="AE113" s="346" t="str">
        <f t="shared" si="48"/>
        <v>0-EXSS3aX</v>
      </c>
      <c r="AF113" s="346" t="str">
        <f t="shared" si="49"/>
        <v>0-EXSS3aA</v>
      </c>
      <c r="AG113" s="346">
        <f t="shared" si="36"/>
        <v>8</v>
      </c>
      <c r="AH113" s="346">
        <f>IF(B113&lt;&gt;"",+IF(H113="x",+VLOOKUP(I113,'AUX-NIV2'!B:AG,32,FALSE),0),"")</f>
        <v>0</v>
      </c>
      <c r="AI113" s="346" t="str">
        <f t="shared" si="50"/>
        <v>0-EXSS3a</v>
      </c>
      <c r="AK113" s="347">
        <f t="shared" si="37"/>
        <v>110</v>
      </c>
      <c r="AL113" s="348">
        <f t="shared" si="51"/>
        <v>117</v>
      </c>
      <c r="AM113" s="347">
        <f t="shared" si="52"/>
        <v>4</v>
      </c>
      <c r="AN113" s="382">
        <f>IF(AND(AH113&gt;0,B113&lt;&gt;""),VLOOKUP(I113,'AUX-NIV2'!$B:$AP,40,FALSE)*O113,0)</f>
        <v>0</v>
      </c>
      <c r="AO113" s="382">
        <f t="shared" si="38"/>
        <v>309.91800000000001</v>
      </c>
      <c r="AQ113" s="395">
        <f>(IF($H113="x",VLOOKUP($I113,'AUX-NIV2'!$B:$X,'AUX-NIV1'!AQ$3,FALSE),0)+($AV113*'AUX-NIV3'!S$4))*$O113+IF($H113=AQ$4,$P113,0)</f>
        <v>47.317807902027297</v>
      </c>
      <c r="AR113" s="395">
        <f>(IF($H113="x",VLOOKUP($I113,'AUX-NIV2'!$B:$X,'AUX-NIV1'!AR$3,FALSE),0)+($AV113*'AUX-NIV3'!T$4))*$O113+IF($H113=AR$4,$P113,0)</f>
        <v>0</v>
      </c>
      <c r="AS113" s="395">
        <f>(IF($H113="x",VLOOKUP($I113,'AUX-NIV2'!$B:$X,'AUX-NIV1'!AS$3,FALSE),0)+($AV113*'AUX-NIV3'!U$4))*$O113+IF($H113=AS$4,$P113,0)</f>
        <v>0</v>
      </c>
      <c r="AT113" s="395">
        <f>(IF($H113="x",VLOOKUP($I113,'AUX-NIV2'!$B:$X,'AUX-NIV1'!AT$3,FALSE),0)+($AV113*'AUX-NIV3'!V$4))*$O113+IF($H113=AT$4,$P113,0)</f>
        <v>0</v>
      </c>
      <c r="AU113" s="395">
        <f>(IF($H113="x",VLOOKUP($I113,'AUX-NIV2'!$B:$X,'AUX-NIV1'!AU$3,FALSE),0)+($AV113*'AUX-NIV3'!W$4))*$O113+IF($H113=AU$4,$P113,0)</f>
        <v>0</v>
      </c>
      <c r="AV113" s="395">
        <f>+IF($H113="x",VLOOKUP($I113,'AUX-NIV2'!$B:$X,'AUX-NIV1'!AV$3,FALSE),0)</f>
        <v>0</v>
      </c>
    </row>
    <row r="114" spans="2:48" ht="13.8" hidden="1" thickBot="1">
      <c r="B114" s="324" t="s">
        <v>85</v>
      </c>
      <c r="C114" s="325" t="s">
        <v>170</v>
      </c>
      <c r="D114" s="326" t="s">
        <v>1160</v>
      </c>
      <c r="E114" s="349">
        <f>IF(B114&lt;&gt;"",+SUMIF(Items!C:C,'AUX-NIV1'!B114,Items!H:H),"")</f>
        <v>0</v>
      </c>
      <c r="F114" s="349">
        <f t="shared" si="28"/>
        <v>642534.88484002382</v>
      </c>
      <c r="G114" s="349">
        <f t="shared" si="29"/>
        <v>0</v>
      </c>
      <c r="H114" s="1395" t="str">
        <f t="shared" si="39"/>
        <v>E</v>
      </c>
      <c r="I114" s="1375" t="s">
        <v>1552</v>
      </c>
      <c r="J114" s="350" t="str">
        <f>IF(B114&lt;&gt;"",+VLOOKUP(I114,Recursos!C:F,2,FALSE),"")</f>
        <v>RETROEXCAVADORA S/CARRILES  0,9 M2</v>
      </c>
      <c r="K114" s="351" t="str">
        <f>IF(B114&lt;&gt;"",+VLOOKUP(I114,Recursos!C:F,3,FALSE),"")</f>
        <v>HR</v>
      </c>
      <c r="L114" s="349">
        <f>IF(B114&lt;&gt;"",+VLOOKUP(I114,Recursos!C:F,4,FALSE),"")</f>
        <v>2743.02</v>
      </c>
      <c r="M114" s="331">
        <v>50</v>
      </c>
      <c r="N114" s="331">
        <v>2.8</v>
      </c>
      <c r="O114" s="362">
        <v>5.5999999999999994E-2</v>
      </c>
      <c r="P114" s="352">
        <f t="shared" si="40"/>
        <v>153.60911999999999</v>
      </c>
      <c r="Q114" s="349">
        <f t="shared" si="41"/>
        <v>0</v>
      </c>
      <c r="R114" s="353">
        <f t="shared" si="42"/>
        <v>0</v>
      </c>
      <c r="S114" s="354">
        <f t="shared" si="30"/>
        <v>1605.7860871843404</v>
      </c>
      <c r="T114" s="354">
        <f t="shared" si="31"/>
        <v>164.57011199999999</v>
      </c>
      <c r="U114" s="355">
        <f t="shared" si="32"/>
        <v>12.5</v>
      </c>
      <c r="V114" s="355">
        <f t="shared" si="33"/>
        <v>0</v>
      </c>
      <c r="W114" s="355">
        <f t="shared" si="34"/>
        <v>0</v>
      </c>
      <c r="X114" s="355">
        <f t="shared" si="35"/>
        <v>640752.0286408395</v>
      </c>
      <c r="Y114" s="396"/>
      <c r="Z114" s="346" t="str">
        <f t="shared" si="43"/>
        <v>0-EXSS3aA</v>
      </c>
      <c r="AA114" s="346" t="str">
        <f t="shared" si="44"/>
        <v>0-EXSS3aE</v>
      </c>
      <c r="AB114" s="346" t="str">
        <f t="shared" si="45"/>
        <v>0-EXSS3aM</v>
      </c>
      <c r="AC114" s="346" t="str">
        <f t="shared" si="46"/>
        <v>0-EXSS3aT</v>
      </c>
      <c r="AD114" s="346" t="str">
        <f t="shared" si="47"/>
        <v>0-EXSS3aS</v>
      </c>
      <c r="AE114" s="346" t="str">
        <f t="shared" si="48"/>
        <v>0-EXSS3aX</v>
      </c>
      <c r="AF114" s="346" t="str">
        <f t="shared" si="49"/>
        <v>0-EXSS3aE</v>
      </c>
      <c r="AG114" s="346">
        <f t="shared" si="36"/>
        <v>8</v>
      </c>
      <c r="AH114" s="346">
        <f>IF(B114&lt;&gt;"",+IF(H114="x",+VLOOKUP(I114,'AUX-NIV2'!B:AG,32,FALSE),0),"")</f>
        <v>0</v>
      </c>
      <c r="AI114" s="346" t="str">
        <f t="shared" si="50"/>
        <v>0-EXSS3a</v>
      </c>
      <c r="AK114" s="347">
        <f t="shared" si="37"/>
        <v>110</v>
      </c>
      <c r="AL114" s="348">
        <f t="shared" si="51"/>
        <v>117</v>
      </c>
      <c r="AM114" s="347">
        <f t="shared" si="52"/>
        <v>5</v>
      </c>
      <c r="AN114" s="382">
        <f>IF(AND(AH114&gt;0,B114&lt;&gt;""),VLOOKUP(I114,'AUX-NIV2'!$B:$AP,40,FALSE)*O114,0)</f>
        <v>0</v>
      </c>
      <c r="AO114" s="382">
        <f t="shared" si="38"/>
        <v>309.91800000000001</v>
      </c>
      <c r="AQ114" s="395">
        <f>(IF($H114="x",VLOOKUP($I114,'AUX-NIV2'!$B:$X,'AUX-NIV1'!AQ$3,FALSE),0)+($AV114*'AUX-NIV3'!S$4))*$O114+IF($H114=AQ$4,$P114,0)</f>
        <v>0</v>
      </c>
      <c r="AR114" s="395">
        <f>(IF($H114="x",VLOOKUP($I114,'AUX-NIV2'!$B:$X,'AUX-NIV1'!AR$3,FALSE),0)+($AV114*'AUX-NIV3'!T$4))*$O114+IF($H114=AR$4,$P114,0)</f>
        <v>153.60911999999999</v>
      </c>
      <c r="AS114" s="395">
        <f>(IF($H114="x",VLOOKUP($I114,'AUX-NIV2'!$B:$X,'AUX-NIV1'!AS$3,FALSE),0)+($AV114*'AUX-NIV3'!U$4))*$O114+IF($H114=AS$4,$P114,0)</f>
        <v>0</v>
      </c>
      <c r="AT114" s="395">
        <f>(IF($H114="x",VLOOKUP($I114,'AUX-NIV2'!$B:$X,'AUX-NIV1'!AT$3,FALSE),0)+($AV114*'AUX-NIV3'!V$4))*$O114+IF($H114=AT$4,$P114,0)</f>
        <v>0</v>
      </c>
      <c r="AU114" s="395">
        <f>(IF($H114="x",VLOOKUP($I114,'AUX-NIV2'!$B:$X,'AUX-NIV1'!AU$3,FALSE),0)+($AV114*'AUX-NIV3'!W$4))*$O114+IF($H114=AU$4,$P114,0)</f>
        <v>0</v>
      </c>
      <c r="AV114" s="395">
        <f>+IF($H114="x",VLOOKUP($I114,'AUX-NIV2'!$B:$X,'AUX-NIV1'!AV$3,FALSE),0)</f>
        <v>0</v>
      </c>
    </row>
    <row r="115" spans="2:48" ht="13.8" hidden="1" thickBot="1">
      <c r="B115" s="324" t="s">
        <v>85</v>
      </c>
      <c r="C115" s="325" t="s">
        <v>170</v>
      </c>
      <c r="D115" s="326" t="s">
        <v>1160</v>
      </c>
      <c r="E115" s="349">
        <f>IF(B115&lt;&gt;"",+SUMIF(Items!C:C,'AUX-NIV1'!B115,Items!H:H),"")</f>
        <v>0</v>
      </c>
      <c r="F115" s="349">
        <f t="shared" si="28"/>
        <v>642534.88484002382</v>
      </c>
      <c r="G115" s="349">
        <f t="shared" si="29"/>
        <v>0</v>
      </c>
      <c r="H115" s="1395" t="str">
        <f t="shared" si="39"/>
        <v>E</v>
      </c>
      <c r="I115" s="1375" t="s">
        <v>1602</v>
      </c>
      <c r="J115" s="350" t="str">
        <f>IF(B115&lt;&gt;"",+VLOOKUP(I115,Recursos!C:F,2,FALSE),"")</f>
        <v>MOTOBOMBA 10 HP (100 M3/HORA)</v>
      </c>
      <c r="K115" s="351" t="str">
        <f>IF(B115&lt;&gt;"",+VLOOKUP(I115,Recursos!C:F,3,FALSE),"")</f>
        <v>HR</v>
      </c>
      <c r="L115" s="349">
        <f>IF(B115&lt;&gt;"",+VLOOKUP(I115,Recursos!C:F,4,FALSE),"")</f>
        <v>195.732</v>
      </c>
      <c r="M115" s="331">
        <v>25</v>
      </c>
      <c r="N115" s="331">
        <v>1.4</v>
      </c>
      <c r="O115" s="362">
        <v>5.5999999999999994E-2</v>
      </c>
      <c r="P115" s="352">
        <f t="shared" si="40"/>
        <v>10.960991999999999</v>
      </c>
      <c r="Q115" s="349">
        <f t="shared" si="41"/>
        <v>0</v>
      </c>
      <c r="R115" s="353">
        <f t="shared" si="42"/>
        <v>0</v>
      </c>
      <c r="S115" s="354">
        <f t="shared" si="30"/>
        <v>1605.7860871843404</v>
      </c>
      <c r="T115" s="354">
        <f t="shared" si="31"/>
        <v>164.57011199999999</v>
      </c>
      <c r="U115" s="355">
        <f t="shared" si="32"/>
        <v>12.5</v>
      </c>
      <c r="V115" s="355">
        <f t="shared" si="33"/>
        <v>0</v>
      </c>
      <c r="W115" s="355">
        <f t="shared" si="34"/>
        <v>0</v>
      </c>
      <c r="X115" s="355">
        <f t="shared" si="35"/>
        <v>640752.0286408395</v>
      </c>
      <c r="Y115" s="396"/>
      <c r="Z115" s="346" t="str">
        <f t="shared" si="43"/>
        <v>0-EXSS3aA</v>
      </c>
      <c r="AA115" s="346" t="str">
        <f t="shared" si="44"/>
        <v>0-EXSS3aE</v>
      </c>
      <c r="AB115" s="346" t="str">
        <f t="shared" si="45"/>
        <v>0-EXSS3aM</v>
      </c>
      <c r="AC115" s="346" t="str">
        <f t="shared" si="46"/>
        <v>0-EXSS3aT</v>
      </c>
      <c r="AD115" s="346" t="str">
        <f t="shared" si="47"/>
        <v>0-EXSS3aS</v>
      </c>
      <c r="AE115" s="346" t="str">
        <f t="shared" si="48"/>
        <v>0-EXSS3aX</v>
      </c>
      <c r="AF115" s="346" t="str">
        <f t="shared" si="49"/>
        <v>0-EXSS3aE</v>
      </c>
      <c r="AG115" s="346">
        <f t="shared" si="36"/>
        <v>8</v>
      </c>
      <c r="AH115" s="346">
        <f>IF(B115&lt;&gt;"",+IF(H115="x",+VLOOKUP(I115,'AUX-NIV2'!B:AG,32,FALSE),0),"")</f>
        <v>0</v>
      </c>
      <c r="AI115" s="346" t="str">
        <f t="shared" si="50"/>
        <v>0-EXSS3a</v>
      </c>
      <c r="AK115" s="347">
        <f t="shared" si="37"/>
        <v>110</v>
      </c>
      <c r="AL115" s="348">
        <f t="shared" si="51"/>
        <v>117</v>
      </c>
      <c r="AM115" s="347">
        <f t="shared" si="52"/>
        <v>6</v>
      </c>
      <c r="AN115" s="382">
        <f>IF(AND(AH115&gt;0,B115&lt;&gt;""),VLOOKUP(I115,'AUX-NIV2'!$B:$AP,40,FALSE)*O115,0)</f>
        <v>0</v>
      </c>
      <c r="AO115" s="382">
        <f t="shared" si="38"/>
        <v>309.91800000000001</v>
      </c>
      <c r="AQ115" s="395">
        <f>(IF($H115="x",VLOOKUP($I115,'AUX-NIV2'!$B:$X,'AUX-NIV1'!AQ$3,FALSE),0)+($AV115*'AUX-NIV3'!S$4))*$O115+IF($H115=AQ$4,$P115,0)</f>
        <v>0</v>
      </c>
      <c r="AR115" s="395">
        <f>(IF($H115="x",VLOOKUP($I115,'AUX-NIV2'!$B:$X,'AUX-NIV1'!AR$3,FALSE),0)+($AV115*'AUX-NIV3'!T$4))*$O115+IF($H115=AR$4,$P115,0)</f>
        <v>10.960991999999999</v>
      </c>
      <c r="AS115" s="395">
        <f>(IF($H115="x",VLOOKUP($I115,'AUX-NIV2'!$B:$X,'AUX-NIV1'!AS$3,FALSE),0)+($AV115*'AUX-NIV3'!U$4))*$O115+IF($H115=AS$4,$P115,0)</f>
        <v>0</v>
      </c>
      <c r="AT115" s="395">
        <f>(IF($H115="x",VLOOKUP($I115,'AUX-NIV2'!$B:$X,'AUX-NIV1'!AT$3,FALSE),0)+($AV115*'AUX-NIV3'!V$4))*$O115+IF($H115=AT$4,$P115,0)</f>
        <v>0</v>
      </c>
      <c r="AU115" s="395">
        <f>(IF($H115="x",VLOOKUP($I115,'AUX-NIV2'!$B:$X,'AUX-NIV1'!AU$3,FALSE),0)+($AV115*'AUX-NIV3'!W$4))*$O115+IF($H115=AU$4,$P115,0)</f>
        <v>0</v>
      </c>
      <c r="AV115" s="395">
        <f>+IF($H115="x",VLOOKUP($I115,'AUX-NIV2'!$B:$X,'AUX-NIV1'!AV$3,FALSE),0)</f>
        <v>0</v>
      </c>
    </row>
    <row r="116" spans="2:48" ht="13.8" hidden="1" thickBot="1">
      <c r="B116" s="324" t="s">
        <v>85</v>
      </c>
      <c r="C116" s="325" t="s">
        <v>170</v>
      </c>
      <c r="D116" s="326" t="s">
        <v>1160</v>
      </c>
      <c r="E116" s="349">
        <f>IF(B116&lt;&gt;"",+SUMIF(Items!C:C,'AUX-NIV1'!B116,Items!H:H),"")</f>
        <v>0</v>
      </c>
      <c r="F116" s="349">
        <f t="shared" si="28"/>
        <v>642534.88484002382</v>
      </c>
      <c r="G116" s="349">
        <f t="shared" si="29"/>
        <v>0</v>
      </c>
      <c r="H116" s="1395" t="str">
        <f t="shared" si="39"/>
        <v>M</v>
      </c>
      <c r="I116" s="1375" t="s">
        <v>621</v>
      </c>
      <c r="J116" s="350" t="str">
        <f>IF(B116&lt;&gt;"",+VLOOKUP(I116,Recursos!C:F,2,FALSE),"")</f>
        <v>MATERIALES VARIOS</v>
      </c>
      <c r="K116" s="351" t="str">
        <f>IF(B116&lt;&gt;"",+VLOOKUP(I116,Recursos!C:F,3,FALSE),"")</f>
        <v>GL</v>
      </c>
      <c r="L116" s="349">
        <f>IF(B116&lt;&gt;"",+VLOOKUP(I116,Recursos!C:F,4,FALSE),"")</f>
        <v>0.5</v>
      </c>
      <c r="M116" s="331">
        <v>25</v>
      </c>
      <c r="N116" s="331">
        <v>1</v>
      </c>
      <c r="O116" s="362">
        <v>25</v>
      </c>
      <c r="P116" s="352">
        <f t="shared" si="40"/>
        <v>12.5</v>
      </c>
      <c r="Q116" s="349">
        <f t="shared" si="41"/>
        <v>0</v>
      </c>
      <c r="R116" s="353">
        <f t="shared" si="42"/>
        <v>0</v>
      </c>
      <c r="S116" s="354">
        <f t="shared" si="30"/>
        <v>1605.7860871843404</v>
      </c>
      <c r="T116" s="354">
        <f t="shared" si="31"/>
        <v>164.57011199999999</v>
      </c>
      <c r="U116" s="355">
        <f t="shared" si="32"/>
        <v>12.5</v>
      </c>
      <c r="V116" s="355">
        <f t="shared" si="33"/>
        <v>0</v>
      </c>
      <c r="W116" s="355">
        <f t="shared" si="34"/>
        <v>0</v>
      </c>
      <c r="X116" s="355">
        <f t="shared" si="35"/>
        <v>640752.0286408395</v>
      </c>
      <c r="Y116" s="396"/>
      <c r="Z116" s="346" t="str">
        <f t="shared" si="43"/>
        <v>0-EXSS3aA</v>
      </c>
      <c r="AA116" s="346" t="str">
        <f t="shared" si="44"/>
        <v>0-EXSS3aE</v>
      </c>
      <c r="AB116" s="346" t="str">
        <f t="shared" si="45"/>
        <v>0-EXSS3aM</v>
      </c>
      <c r="AC116" s="346" t="str">
        <f t="shared" si="46"/>
        <v>0-EXSS3aT</v>
      </c>
      <c r="AD116" s="346" t="str">
        <f t="shared" si="47"/>
        <v>0-EXSS3aS</v>
      </c>
      <c r="AE116" s="346" t="str">
        <f t="shared" si="48"/>
        <v>0-EXSS3aX</v>
      </c>
      <c r="AF116" s="346" t="str">
        <f t="shared" si="49"/>
        <v>0-EXSS3aM</v>
      </c>
      <c r="AG116" s="346">
        <f t="shared" si="36"/>
        <v>8</v>
      </c>
      <c r="AH116" s="346">
        <f>IF(B116&lt;&gt;"",+IF(H116="x",+VLOOKUP(I116,'AUX-NIV2'!B:AG,32,FALSE),0),"")</f>
        <v>0</v>
      </c>
      <c r="AI116" s="346" t="str">
        <f t="shared" si="50"/>
        <v>0-EXSS3a</v>
      </c>
      <c r="AK116" s="347">
        <f t="shared" si="37"/>
        <v>110</v>
      </c>
      <c r="AL116" s="348">
        <f t="shared" si="51"/>
        <v>117</v>
      </c>
      <c r="AM116" s="347">
        <f t="shared" si="52"/>
        <v>7</v>
      </c>
      <c r="AN116" s="382">
        <f>IF(AND(AH116&gt;0,B116&lt;&gt;""),VLOOKUP(I116,'AUX-NIV2'!$B:$AP,40,FALSE)*O116,0)</f>
        <v>0</v>
      </c>
      <c r="AO116" s="382">
        <f t="shared" si="38"/>
        <v>309.91800000000001</v>
      </c>
      <c r="AQ116" s="395">
        <f>(IF($H116="x",VLOOKUP($I116,'AUX-NIV2'!$B:$X,'AUX-NIV1'!AQ$3,FALSE),0)+($AV116*'AUX-NIV3'!S$4))*$O116+IF($H116=AQ$4,$P116,0)</f>
        <v>0</v>
      </c>
      <c r="AR116" s="395">
        <f>(IF($H116="x",VLOOKUP($I116,'AUX-NIV2'!$B:$X,'AUX-NIV1'!AR$3,FALSE),0)+($AV116*'AUX-NIV3'!T$4))*$O116+IF($H116=AR$4,$P116,0)</f>
        <v>0</v>
      </c>
      <c r="AS116" s="395">
        <f>(IF($H116="x",VLOOKUP($I116,'AUX-NIV2'!$B:$X,'AUX-NIV1'!AS$3,FALSE),0)+($AV116*'AUX-NIV3'!U$4))*$O116+IF($H116=AS$4,$P116,0)</f>
        <v>12.5</v>
      </c>
      <c r="AT116" s="395">
        <f>(IF($H116="x",VLOOKUP($I116,'AUX-NIV2'!$B:$X,'AUX-NIV1'!AT$3,FALSE),0)+($AV116*'AUX-NIV3'!V$4))*$O116+IF($H116=AT$4,$P116,0)</f>
        <v>0</v>
      </c>
      <c r="AU116" s="395">
        <f>(IF($H116="x",VLOOKUP($I116,'AUX-NIV2'!$B:$X,'AUX-NIV1'!AU$3,FALSE),0)+($AV116*'AUX-NIV3'!W$4))*$O116+IF($H116=AU$4,$P116,0)</f>
        <v>0</v>
      </c>
      <c r="AV116" s="395">
        <f>+IF($H116="x",VLOOKUP($I116,'AUX-NIV2'!$B:$X,'AUX-NIV1'!AV$3,FALSE),0)</f>
        <v>0</v>
      </c>
    </row>
    <row r="117" spans="2:48" ht="13.8" hidden="1" thickBot="1">
      <c r="B117" s="324" t="s">
        <v>85</v>
      </c>
      <c r="C117" s="325" t="s">
        <v>170</v>
      </c>
      <c r="D117" s="326" t="s">
        <v>1160</v>
      </c>
      <c r="E117" s="349">
        <f>IF(B117&lt;&gt;"",+SUMIF(Items!C:C,'AUX-NIV1'!B117,Items!H:H),"")</f>
        <v>0</v>
      </c>
      <c r="F117" s="349">
        <f t="shared" si="28"/>
        <v>642534.88484002382</v>
      </c>
      <c r="G117" s="349">
        <f t="shared" si="29"/>
        <v>0</v>
      </c>
      <c r="H117" s="1395" t="str">
        <f t="shared" si="39"/>
        <v>X</v>
      </c>
      <c r="I117" s="1375" t="s">
        <v>1289</v>
      </c>
      <c r="J117" s="350" t="str">
        <f>IF(B117&lt;&gt;"",+VLOOKUP(I117,Recursos!C:F,2,FALSE),"")</f>
        <v>Sostenimiento de Excavación con Agua</v>
      </c>
      <c r="K117" s="351" t="str">
        <f>IF(B117&lt;&gt;"",+VLOOKUP(I117,Recursos!C:F,3,FALSE),"")</f>
        <v>m2</v>
      </c>
      <c r="L117" s="349">
        <f>IF(B117&lt;&gt;"",+VLOOKUP(I117,Recursos!C:F,4,FALSE),"")</f>
        <v>6407.5202864083949</v>
      </c>
      <c r="M117" s="331">
        <v>50</v>
      </c>
      <c r="N117" s="331">
        <v>2</v>
      </c>
      <c r="O117" s="362">
        <v>100</v>
      </c>
      <c r="P117" s="352">
        <f t="shared" si="40"/>
        <v>640752.0286408395</v>
      </c>
      <c r="Q117" s="349">
        <f t="shared" si="41"/>
        <v>0</v>
      </c>
      <c r="R117" s="353">
        <f t="shared" si="42"/>
        <v>0</v>
      </c>
      <c r="S117" s="354">
        <f t="shared" si="30"/>
        <v>1605.7860871843404</v>
      </c>
      <c r="T117" s="354">
        <f t="shared" si="31"/>
        <v>164.57011199999999</v>
      </c>
      <c r="U117" s="355">
        <f t="shared" si="32"/>
        <v>12.5</v>
      </c>
      <c r="V117" s="355">
        <f t="shared" si="33"/>
        <v>0</v>
      </c>
      <c r="W117" s="355">
        <f t="shared" si="34"/>
        <v>0</v>
      </c>
      <c r="X117" s="355">
        <f t="shared" si="35"/>
        <v>640752.0286408395</v>
      </c>
      <c r="Y117" s="396"/>
      <c r="Z117" s="346" t="str">
        <f t="shared" si="43"/>
        <v>0-EXSS3aA</v>
      </c>
      <c r="AA117" s="346" t="str">
        <f t="shared" si="44"/>
        <v>0-EXSS3aE</v>
      </c>
      <c r="AB117" s="346" t="str">
        <f t="shared" si="45"/>
        <v>0-EXSS3aM</v>
      </c>
      <c r="AC117" s="346" t="str">
        <f t="shared" si="46"/>
        <v>0-EXSS3aT</v>
      </c>
      <c r="AD117" s="346" t="str">
        <f t="shared" si="47"/>
        <v>0-EXSS3aS</v>
      </c>
      <c r="AE117" s="346" t="str">
        <f t="shared" si="48"/>
        <v>0-EXSS3aX</v>
      </c>
      <c r="AF117" s="346" t="str">
        <f t="shared" si="49"/>
        <v>0-EXSS3aX</v>
      </c>
      <c r="AG117" s="346">
        <f t="shared" si="36"/>
        <v>8</v>
      </c>
      <c r="AH117" s="346">
        <f>IF(B117&lt;&gt;"",+IF(H117="x",+VLOOKUP(I117,'AUX-NIV2'!B:AG,32,FALSE),0),"")</f>
        <v>12</v>
      </c>
      <c r="AI117" s="346" t="str">
        <f t="shared" si="50"/>
        <v>0-EXSS3a</v>
      </c>
      <c r="AK117" s="347">
        <f t="shared" si="37"/>
        <v>110</v>
      </c>
      <c r="AL117" s="348">
        <f t="shared" si="51"/>
        <v>117</v>
      </c>
      <c r="AM117" s="347">
        <f t="shared" si="52"/>
        <v>8</v>
      </c>
      <c r="AN117" s="382">
        <f>IF(AND(AH117&gt;0,B117&lt;&gt;""),VLOOKUP(I117,'AUX-NIV2'!$B:$AP,40,FALSE)*O117,0)</f>
        <v>307</v>
      </c>
      <c r="AO117" s="382">
        <f t="shared" si="38"/>
        <v>309.91800000000001</v>
      </c>
      <c r="AQ117" s="395">
        <f>(IF($H117="x",VLOOKUP($I117,'AUX-NIV2'!$B:$X,'AUX-NIV1'!AQ$3,FALSE),0)+($AV117*'AUX-NIV3'!S$4))*$O117+IF($H117=AQ$4,$P117,0)</f>
        <v>141328.14310158335</v>
      </c>
      <c r="AR117" s="395">
        <f>(IF($H117="x",VLOOKUP($I117,'AUX-NIV2'!$B:$X,'AUX-NIV1'!AR$3,FALSE),0)+($AV117*'AUX-NIV3'!T$4))*$O117+IF($H117=AR$4,$P117,0)</f>
        <v>11890.361250000002</v>
      </c>
      <c r="AS117" s="395">
        <f>(IF($H117="x",VLOOKUP($I117,'AUX-NIV2'!$B:$X,'AUX-NIV1'!AS$3,FALSE),0)+($AV117*'AUX-NIV3'!U$4))*$O117+IF($H117=AS$4,$P117,0)</f>
        <v>487533.52428925619</v>
      </c>
      <c r="AT117" s="395">
        <f>(IF($H117="x",VLOOKUP($I117,'AUX-NIV2'!$B:$X,'AUX-NIV1'!AT$3,FALSE),0)+($AV117*'AUX-NIV3'!V$4))*$O117+IF($H117=AT$4,$P117,0)</f>
        <v>0</v>
      </c>
      <c r="AU117" s="395">
        <f>(IF($H117="x",VLOOKUP($I117,'AUX-NIV2'!$B:$X,'AUX-NIV1'!AU$3,FALSE),0)+($AV117*'AUX-NIV3'!W$4))*$O117+IF($H117=AU$4,$P117,0)</f>
        <v>0</v>
      </c>
      <c r="AV117" s="395">
        <f>+IF($H117="x",VLOOKUP($I117,'AUX-NIV2'!$B:$X,'AUX-NIV1'!AV$3,FALSE),0)</f>
        <v>0</v>
      </c>
    </row>
    <row r="118" spans="2:48" ht="13.8" hidden="1" thickBot="1">
      <c r="B118" s="324" t="s">
        <v>86</v>
      </c>
      <c r="C118" s="325" t="s">
        <v>171</v>
      </c>
      <c r="D118" s="326" t="s">
        <v>1160</v>
      </c>
      <c r="E118" s="349">
        <f>IF(B118&lt;&gt;"",+SUMIF(Items!C:C,'AUX-NIV1'!B118,Items!H:H),"")</f>
        <v>0</v>
      </c>
      <c r="F118" s="349">
        <f t="shared" si="28"/>
        <v>642552.86926598707</v>
      </c>
      <c r="G118" s="349">
        <f t="shared" si="29"/>
        <v>0</v>
      </c>
      <c r="H118" s="1395" t="str">
        <f t="shared" si="39"/>
        <v>A</v>
      </c>
      <c r="I118" s="1375" t="s">
        <v>3311</v>
      </c>
      <c r="J118" s="350" t="str">
        <f>IF(B118&lt;&gt;"",+VLOOKUP(I118,Recursos!C:F,2,FALSE),"")</f>
        <v>OPER. EQUIPO</v>
      </c>
      <c r="K118" s="351" t="str">
        <f>IF(B118&lt;&gt;"",+VLOOKUP(I118,Recursos!C:F,3,FALSE),"")</f>
        <v>hh</v>
      </c>
      <c r="L118" s="349">
        <f>IF(B118&lt;&gt;"",+VLOOKUP(I118,Recursos!C:F,4,FALSE),"")</f>
        <v>581.06120476836554</v>
      </c>
      <c r="M118" s="331">
        <v>0.5</v>
      </c>
      <c r="N118" s="331">
        <v>1</v>
      </c>
      <c r="O118" s="362">
        <v>2</v>
      </c>
      <c r="P118" s="352">
        <f t="shared" si="40"/>
        <v>1162.1224095367311</v>
      </c>
      <c r="Q118" s="349">
        <f t="shared" si="41"/>
        <v>0</v>
      </c>
      <c r="R118" s="353">
        <f t="shared" si="42"/>
        <v>0</v>
      </c>
      <c r="S118" s="354">
        <f t="shared" si="30"/>
        <v>1623.5302651476009</v>
      </c>
      <c r="T118" s="354">
        <f t="shared" si="31"/>
        <v>167.31036</v>
      </c>
      <c r="U118" s="355">
        <f t="shared" si="32"/>
        <v>10</v>
      </c>
      <c r="V118" s="355">
        <f t="shared" si="33"/>
        <v>0</v>
      </c>
      <c r="W118" s="355">
        <f t="shared" si="34"/>
        <v>0</v>
      </c>
      <c r="X118" s="355">
        <f t="shared" si="35"/>
        <v>640752.0286408395</v>
      </c>
      <c r="Y118" s="396"/>
      <c r="Z118" s="346" t="str">
        <f t="shared" si="43"/>
        <v>0-EXSS4aA</v>
      </c>
      <c r="AA118" s="346" t="str">
        <f t="shared" si="44"/>
        <v>0-EXSS4aE</v>
      </c>
      <c r="AB118" s="346" t="str">
        <f t="shared" si="45"/>
        <v>0-EXSS4aM</v>
      </c>
      <c r="AC118" s="346" t="str">
        <f t="shared" si="46"/>
        <v>0-EXSS4aT</v>
      </c>
      <c r="AD118" s="346" t="str">
        <f t="shared" si="47"/>
        <v>0-EXSS4aS</v>
      </c>
      <c r="AE118" s="346" t="str">
        <f t="shared" si="48"/>
        <v>0-EXSS4aX</v>
      </c>
      <c r="AF118" s="346" t="str">
        <f t="shared" si="49"/>
        <v>0-EXSS4aA</v>
      </c>
      <c r="AG118" s="346">
        <f t="shared" si="36"/>
        <v>8</v>
      </c>
      <c r="AH118" s="346">
        <f>IF(B118&lt;&gt;"",+IF(H118="x",+VLOOKUP(I118,'AUX-NIV2'!B:AG,32,FALSE),0),"")</f>
        <v>0</v>
      </c>
      <c r="AI118" s="346" t="str">
        <f t="shared" si="50"/>
        <v>0-EXSS4a</v>
      </c>
      <c r="AK118" s="347">
        <f t="shared" si="37"/>
        <v>118</v>
      </c>
      <c r="AL118" s="348">
        <f t="shared" si="51"/>
        <v>125</v>
      </c>
      <c r="AM118" s="347">
        <f t="shared" si="52"/>
        <v>1</v>
      </c>
      <c r="AN118" s="382">
        <f>IF(AND(AH118&gt;0,B118&lt;&gt;""),VLOOKUP(I118,'AUX-NIV2'!$B:$AP,40,FALSE)*O118,0)</f>
        <v>0</v>
      </c>
      <c r="AO118" s="382">
        <f t="shared" si="38"/>
        <v>309.95999999999998</v>
      </c>
      <c r="AQ118" s="395">
        <f>(IF($H118="x",VLOOKUP($I118,'AUX-NIV2'!$B:$X,'AUX-NIV1'!AQ$3,FALSE),0)+($AV118*'AUX-NIV3'!S$4))*$O118+IF($H118=AQ$4,$P118,0)</f>
        <v>1162.1224095367311</v>
      </c>
      <c r="AR118" s="395">
        <f>(IF($H118="x",VLOOKUP($I118,'AUX-NIV2'!$B:$X,'AUX-NIV1'!AR$3,FALSE),0)+($AV118*'AUX-NIV3'!T$4))*$O118+IF($H118=AR$4,$P118,0)</f>
        <v>0</v>
      </c>
      <c r="AS118" s="395">
        <f>(IF($H118="x",VLOOKUP($I118,'AUX-NIV2'!$B:$X,'AUX-NIV1'!AS$3,FALSE),0)+($AV118*'AUX-NIV3'!U$4))*$O118+IF($H118=AS$4,$P118,0)</f>
        <v>0</v>
      </c>
      <c r="AT118" s="395">
        <f>(IF($H118="x",VLOOKUP($I118,'AUX-NIV2'!$B:$X,'AUX-NIV1'!AT$3,FALSE),0)+($AV118*'AUX-NIV3'!V$4))*$O118+IF($H118=AT$4,$P118,0)</f>
        <v>0</v>
      </c>
      <c r="AU118" s="395">
        <f>(IF($H118="x",VLOOKUP($I118,'AUX-NIV2'!$B:$X,'AUX-NIV1'!AU$3,FALSE),0)+($AV118*'AUX-NIV3'!W$4))*$O118+IF($H118=AU$4,$P118,0)</f>
        <v>0</v>
      </c>
      <c r="AV118" s="395">
        <f>+IF($H118="x",VLOOKUP($I118,'AUX-NIV2'!$B:$X,'AUX-NIV1'!AV$3,FALSE),0)</f>
        <v>0</v>
      </c>
    </row>
    <row r="119" spans="2:48" ht="13.8" hidden="1" thickBot="1">
      <c r="B119" s="324" t="s">
        <v>86</v>
      </c>
      <c r="C119" s="325" t="s">
        <v>171</v>
      </c>
      <c r="D119" s="326" t="s">
        <v>1160</v>
      </c>
      <c r="E119" s="349">
        <f>IF(B119&lt;&gt;"",+SUMIF(Items!C:C,'AUX-NIV1'!B119,Items!H:H),"")</f>
        <v>0</v>
      </c>
      <c r="F119" s="349">
        <f t="shared" si="28"/>
        <v>642552.86926598707</v>
      </c>
      <c r="G119" s="349">
        <f t="shared" si="29"/>
        <v>0</v>
      </c>
      <c r="H119" s="1395" t="str">
        <f t="shared" si="39"/>
        <v>A</v>
      </c>
      <c r="I119" s="1375" t="s">
        <v>1746</v>
      </c>
      <c r="J119" s="350" t="str">
        <f>IF(B119&lt;&gt;"",+VLOOKUP(I119,Recursos!C:F,2,FALSE),"")</f>
        <v>OFICIAL</v>
      </c>
      <c r="K119" s="351" t="str">
        <f>IF(B119&lt;&gt;"",+VLOOKUP(I119,Recursos!C:F,3,FALSE),"")</f>
        <v>hh</v>
      </c>
      <c r="L119" s="349">
        <f>IF(B119&lt;&gt;"",+VLOOKUP(I119,Recursos!C:F,4,FALSE),"")</f>
        <v>496.91595439275824</v>
      </c>
      <c r="M119" s="331">
        <v>1.3333333333333333</v>
      </c>
      <c r="N119" s="331">
        <v>1</v>
      </c>
      <c r="O119" s="362">
        <v>0.75</v>
      </c>
      <c r="P119" s="352">
        <f t="shared" si="40"/>
        <v>372.68696579456866</v>
      </c>
      <c r="Q119" s="349">
        <f t="shared" si="41"/>
        <v>0</v>
      </c>
      <c r="R119" s="353">
        <f t="shared" si="42"/>
        <v>0</v>
      </c>
      <c r="S119" s="354">
        <f t="shared" si="30"/>
        <v>1623.5302651476009</v>
      </c>
      <c r="T119" s="354">
        <f t="shared" si="31"/>
        <v>167.31036</v>
      </c>
      <c r="U119" s="355">
        <f t="shared" si="32"/>
        <v>10</v>
      </c>
      <c r="V119" s="355">
        <f t="shared" si="33"/>
        <v>0</v>
      </c>
      <c r="W119" s="355">
        <f t="shared" si="34"/>
        <v>0</v>
      </c>
      <c r="X119" s="355">
        <f t="shared" si="35"/>
        <v>640752.0286408395</v>
      </c>
      <c r="Y119" s="396"/>
      <c r="Z119" s="346" t="str">
        <f t="shared" si="43"/>
        <v>0-EXSS4aA</v>
      </c>
      <c r="AA119" s="346" t="str">
        <f t="shared" si="44"/>
        <v>0-EXSS4aE</v>
      </c>
      <c r="AB119" s="346" t="str">
        <f t="shared" si="45"/>
        <v>0-EXSS4aM</v>
      </c>
      <c r="AC119" s="346" t="str">
        <f t="shared" si="46"/>
        <v>0-EXSS4aT</v>
      </c>
      <c r="AD119" s="346" t="str">
        <f t="shared" si="47"/>
        <v>0-EXSS4aS</v>
      </c>
      <c r="AE119" s="346" t="str">
        <f t="shared" si="48"/>
        <v>0-EXSS4aX</v>
      </c>
      <c r="AF119" s="346" t="str">
        <f t="shared" si="49"/>
        <v>0-EXSS4aA</v>
      </c>
      <c r="AG119" s="346">
        <f t="shared" si="36"/>
        <v>8</v>
      </c>
      <c r="AH119" s="346">
        <f>IF(B119&lt;&gt;"",+IF(H119="x",+VLOOKUP(I119,'AUX-NIV2'!B:AG,32,FALSE),0),"")</f>
        <v>0</v>
      </c>
      <c r="AI119" s="346" t="str">
        <f t="shared" si="50"/>
        <v>0-EXSS4a</v>
      </c>
      <c r="AK119" s="347">
        <f t="shared" si="37"/>
        <v>118</v>
      </c>
      <c r="AL119" s="348">
        <f t="shared" si="51"/>
        <v>125</v>
      </c>
      <c r="AM119" s="347">
        <f t="shared" si="52"/>
        <v>2</v>
      </c>
      <c r="AN119" s="382">
        <f>IF(AND(AH119&gt;0,B119&lt;&gt;""),VLOOKUP(I119,'AUX-NIV2'!$B:$AP,40,FALSE)*O119,0)</f>
        <v>0</v>
      </c>
      <c r="AO119" s="382">
        <f t="shared" si="38"/>
        <v>309.95999999999998</v>
      </c>
      <c r="AQ119" s="395">
        <f>(IF($H119="x",VLOOKUP($I119,'AUX-NIV2'!$B:$X,'AUX-NIV1'!AQ$3,FALSE),0)+($AV119*'AUX-NIV3'!S$4))*$O119+IF($H119=AQ$4,$P119,0)</f>
        <v>372.68696579456866</v>
      </c>
      <c r="AR119" s="395">
        <f>(IF($H119="x",VLOOKUP($I119,'AUX-NIV2'!$B:$X,'AUX-NIV1'!AR$3,FALSE),0)+($AV119*'AUX-NIV3'!T$4))*$O119+IF($H119=AR$4,$P119,0)</f>
        <v>0</v>
      </c>
      <c r="AS119" s="395">
        <f>(IF($H119="x",VLOOKUP($I119,'AUX-NIV2'!$B:$X,'AUX-NIV1'!AS$3,FALSE),0)+($AV119*'AUX-NIV3'!U$4))*$O119+IF($H119=AS$4,$P119,0)</f>
        <v>0</v>
      </c>
      <c r="AT119" s="395">
        <f>(IF($H119="x",VLOOKUP($I119,'AUX-NIV2'!$B:$X,'AUX-NIV1'!AT$3,FALSE),0)+($AV119*'AUX-NIV3'!V$4))*$O119+IF($H119=AT$4,$P119,0)</f>
        <v>0</v>
      </c>
      <c r="AU119" s="395">
        <f>(IF($H119="x",VLOOKUP($I119,'AUX-NIV2'!$B:$X,'AUX-NIV1'!AU$3,FALSE),0)+($AV119*'AUX-NIV3'!W$4))*$O119+IF($H119=AU$4,$P119,0)</f>
        <v>0</v>
      </c>
      <c r="AV119" s="395">
        <f>+IF($H119="x",VLOOKUP($I119,'AUX-NIV2'!$B:$X,'AUX-NIV1'!AV$3,FALSE),0)</f>
        <v>0</v>
      </c>
    </row>
    <row r="120" spans="2:48" ht="13.8" hidden="1" thickBot="1">
      <c r="B120" s="324" t="s">
        <v>86</v>
      </c>
      <c r="C120" s="325" t="s">
        <v>171</v>
      </c>
      <c r="D120" s="326" t="s">
        <v>1160</v>
      </c>
      <c r="E120" s="349">
        <f>IF(B120&lt;&gt;"",+SUMIF(Items!C:C,'AUX-NIV1'!B120,Items!H:H),"")</f>
        <v>0</v>
      </c>
      <c r="F120" s="349">
        <f t="shared" si="28"/>
        <v>642552.86926598707</v>
      </c>
      <c r="G120" s="349">
        <f t="shared" si="29"/>
        <v>0</v>
      </c>
      <c r="H120" s="1395" t="str">
        <f t="shared" si="39"/>
        <v>A</v>
      </c>
      <c r="I120" s="1375" t="s">
        <v>1745</v>
      </c>
      <c r="J120" s="350" t="str">
        <f>IF(B120&lt;&gt;"",+VLOOKUP(I120,Recursos!C:F,2,FALSE),"")</f>
        <v>AYUDANTE</v>
      </c>
      <c r="K120" s="351" t="str">
        <f>IF(B120&lt;&gt;"",+VLOOKUP(I120,Recursos!C:F,3,FALSE),"")</f>
        <v>hh</v>
      </c>
      <c r="L120" s="349">
        <f>IF(B120&lt;&gt;"",+VLOOKUP(I120,Recursos!C:F,4,FALSE),"")</f>
        <v>422.48042769667234</v>
      </c>
      <c r="M120" s="331">
        <v>20</v>
      </c>
      <c r="N120" s="331">
        <v>1.4</v>
      </c>
      <c r="O120" s="362">
        <v>7.0000000000000007E-2</v>
      </c>
      <c r="P120" s="352">
        <f t="shared" si="40"/>
        <v>29.573629938767066</v>
      </c>
      <c r="Q120" s="349">
        <f t="shared" si="41"/>
        <v>0</v>
      </c>
      <c r="R120" s="353">
        <f t="shared" si="42"/>
        <v>0</v>
      </c>
      <c r="S120" s="354">
        <f t="shared" si="30"/>
        <v>1623.5302651476009</v>
      </c>
      <c r="T120" s="354">
        <f t="shared" si="31"/>
        <v>167.31036</v>
      </c>
      <c r="U120" s="355">
        <f t="shared" si="32"/>
        <v>10</v>
      </c>
      <c r="V120" s="355">
        <f t="shared" si="33"/>
        <v>0</v>
      </c>
      <c r="W120" s="355">
        <f t="shared" si="34"/>
        <v>0</v>
      </c>
      <c r="X120" s="355">
        <f t="shared" si="35"/>
        <v>640752.0286408395</v>
      </c>
      <c r="Y120" s="396"/>
      <c r="Z120" s="346" t="str">
        <f t="shared" si="43"/>
        <v>0-EXSS4aA</v>
      </c>
      <c r="AA120" s="346" t="str">
        <f t="shared" si="44"/>
        <v>0-EXSS4aE</v>
      </c>
      <c r="AB120" s="346" t="str">
        <f t="shared" si="45"/>
        <v>0-EXSS4aM</v>
      </c>
      <c r="AC120" s="346" t="str">
        <f t="shared" si="46"/>
        <v>0-EXSS4aT</v>
      </c>
      <c r="AD120" s="346" t="str">
        <f t="shared" si="47"/>
        <v>0-EXSS4aS</v>
      </c>
      <c r="AE120" s="346" t="str">
        <f t="shared" si="48"/>
        <v>0-EXSS4aX</v>
      </c>
      <c r="AF120" s="346" t="str">
        <f t="shared" si="49"/>
        <v>0-EXSS4aA</v>
      </c>
      <c r="AG120" s="346">
        <f t="shared" si="36"/>
        <v>8</v>
      </c>
      <c r="AH120" s="346">
        <f>IF(B120&lt;&gt;"",+IF(H120="x",+VLOOKUP(I120,'AUX-NIV2'!B:AG,32,FALSE),0),"")</f>
        <v>0</v>
      </c>
      <c r="AI120" s="346" t="str">
        <f t="shared" si="50"/>
        <v>0-EXSS4a</v>
      </c>
      <c r="AK120" s="347">
        <f t="shared" si="37"/>
        <v>118</v>
      </c>
      <c r="AL120" s="348">
        <f t="shared" si="51"/>
        <v>125</v>
      </c>
      <c r="AM120" s="347">
        <f t="shared" si="52"/>
        <v>3</v>
      </c>
      <c r="AN120" s="382">
        <f>IF(AND(AH120&gt;0,B120&lt;&gt;""),VLOOKUP(I120,'AUX-NIV2'!$B:$AP,40,FALSE)*O120,0)</f>
        <v>0</v>
      </c>
      <c r="AO120" s="382">
        <f t="shared" si="38"/>
        <v>309.95999999999998</v>
      </c>
      <c r="AQ120" s="395">
        <f>(IF($H120="x",VLOOKUP($I120,'AUX-NIV2'!$B:$X,'AUX-NIV1'!AQ$3,FALSE),0)+($AV120*'AUX-NIV3'!S$4))*$O120+IF($H120=AQ$4,$P120,0)</f>
        <v>29.573629938767066</v>
      </c>
      <c r="AR120" s="395">
        <f>(IF($H120="x",VLOOKUP($I120,'AUX-NIV2'!$B:$X,'AUX-NIV1'!AR$3,FALSE),0)+($AV120*'AUX-NIV3'!T$4))*$O120+IF($H120=AR$4,$P120,0)</f>
        <v>0</v>
      </c>
      <c r="AS120" s="395">
        <f>(IF($H120="x",VLOOKUP($I120,'AUX-NIV2'!$B:$X,'AUX-NIV1'!AS$3,FALSE),0)+($AV120*'AUX-NIV3'!U$4))*$O120+IF($H120=AS$4,$P120,0)</f>
        <v>0</v>
      </c>
      <c r="AT120" s="395">
        <f>(IF($H120="x",VLOOKUP($I120,'AUX-NIV2'!$B:$X,'AUX-NIV1'!AT$3,FALSE),0)+($AV120*'AUX-NIV3'!V$4))*$O120+IF($H120=AT$4,$P120,0)</f>
        <v>0</v>
      </c>
      <c r="AU120" s="395">
        <f>(IF($H120="x",VLOOKUP($I120,'AUX-NIV2'!$B:$X,'AUX-NIV1'!AU$3,FALSE),0)+($AV120*'AUX-NIV3'!W$4))*$O120+IF($H120=AU$4,$P120,0)</f>
        <v>0</v>
      </c>
      <c r="AV120" s="395">
        <f>+IF($H120="x",VLOOKUP($I120,'AUX-NIV2'!$B:$X,'AUX-NIV1'!AV$3,FALSE),0)</f>
        <v>0</v>
      </c>
    </row>
    <row r="121" spans="2:48" ht="13.8" hidden="1" thickBot="1">
      <c r="B121" s="324" t="s">
        <v>86</v>
      </c>
      <c r="C121" s="325" t="s">
        <v>171</v>
      </c>
      <c r="D121" s="326" t="s">
        <v>1160</v>
      </c>
      <c r="E121" s="349">
        <f>IF(B121&lt;&gt;"",+SUMIF(Items!C:C,'AUX-NIV1'!B121,Items!H:H),"")</f>
        <v>0</v>
      </c>
      <c r="F121" s="349">
        <f t="shared" si="28"/>
        <v>642552.86926598707</v>
      </c>
      <c r="G121" s="349">
        <f t="shared" si="29"/>
        <v>0</v>
      </c>
      <c r="H121" s="1395" t="str">
        <f t="shared" si="39"/>
        <v>A</v>
      </c>
      <c r="I121" s="1375" t="s">
        <v>1745</v>
      </c>
      <c r="J121" s="350" t="str">
        <f>IF(B121&lt;&gt;"",+VLOOKUP(I121,Recursos!C:F,2,FALSE),"")</f>
        <v>AYUDANTE</v>
      </c>
      <c r="K121" s="351" t="str">
        <f>IF(B121&lt;&gt;"",+VLOOKUP(I121,Recursos!C:F,3,FALSE),"")</f>
        <v>hh</v>
      </c>
      <c r="L121" s="349">
        <f>IF(B121&lt;&gt;"",+VLOOKUP(I121,Recursos!C:F,4,FALSE),"")</f>
        <v>422.48042769667234</v>
      </c>
      <c r="M121" s="331">
        <v>20</v>
      </c>
      <c r="N121" s="331">
        <v>2.8</v>
      </c>
      <c r="O121" s="362">
        <v>0.14000000000000001</v>
      </c>
      <c r="P121" s="352">
        <f t="shared" si="40"/>
        <v>59.147259877534132</v>
      </c>
      <c r="Q121" s="349">
        <f t="shared" si="41"/>
        <v>0</v>
      </c>
      <c r="R121" s="353">
        <f t="shared" si="42"/>
        <v>0</v>
      </c>
      <c r="S121" s="354">
        <f t="shared" si="30"/>
        <v>1623.5302651476009</v>
      </c>
      <c r="T121" s="354">
        <f t="shared" si="31"/>
        <v>167.31036</v>
      </c>
      <c r="U121" s="355">
        <f t="shared" si="32"/>
        <v>10</v>
      </c>
      <c r="V121" s="355">
        <f t="shared" si="33"/>
        <v>0</v>
      </c>
      <c r="W121" s="355">
        <f t="shared" si="34"/>
        <v>0</v>
      </c>
      <c r="X121" s="355">
        <f t="shared" si="35"/>
        <v>640752.0286408395</v>
      </c>
      <c r="Y121" s="396"/>
      <c r="Z121" s="346" t="str">
        <f t="shared" si="43"/>
        <v>0-EXSS4aA</v>
      </c>
      <c r="AA121" s="346" t="str">
        <f t="shared" si="44"/>
        <v>0-EXSS4aE</v>
      </c>
      <c r="AB121" s="346" t="str">
        <f t="shared" si="45"/>
        <v>0-EXSS4aM</v>
      </c>
      <c r="AC121" s="346" t="str">
        <f t="shared" si="46"/>
        <v>0-EXSS4aT</v>
      </c>
      <c r="AD121" s="346" t="str">
        <f t="shared" si="47"/>
        <v>0-EXSS4aS</v>
      </c>
      <c r="AE121" s="346" t="str">
        <f t="shared" si="48"/>
        <v>0-EXSS4aX</v>
      </c>
      <c r="AF121" s="346" t="str">
        <f t="shared" si="49"/>
        <v>0-EXSS4aA</v>
      </c>
      <c r="AG121" s="346">
        <f t="shared" si="36"/>
        <v>8</v>
      </c>
      <c r="AH121" s="346">
        <f>IF(B121&lt;&gt;"",+IF(H121="x",+VLOOKUP(I121,'AUX-NIV2'!B:AG,32,FALSE),0),"")</f>
        <v>0</v>
      </c>
      <c r="AI121" s="346" t="str">
        <f t="shared" si="50"/>
        <v>0-EXSS4a</v>
      </c>
      <c r="AK121" s="347">
        <f t="shared" si="37"/>
        <v>118</v>
      </c>
      <c r="AL121" s="348">
        <f t="shared" si="51"/>
        <v>125</v>
      </c>
      <c r="AM121" s="347">
        <f t="shared" si="52"/>
        <v>4</v>
      </c>
      <c r="AN121" s="382">
        <f>IF(AND(AH121&gt;0,B121&lt;&gt;""),VLOOKUP(I121,'AUX-NIV2'!$B:$AP,40,FALSE)*O121,0)</f>
        <v>0</v>
      </c>
      <c r="AO121" s="382">
        <f t="shared" si="38"/>
        <v>309.95999999999998</v>
      </c>
      <c r="AQ121" s="395">
        <f>(IF($H121="x",VLOOKUP($I121,'AUX-NIV2'!$B:$X,'AUX-NIV1'!AQ$3,FALSE),0)+($AV121*'AUX-NIV3'!S$4))*$O121+IF($H121=AQ$4,$P121,0)</f>
        <v>59.147259877534132</v>
      </c>
      <c r="AR121" s="395">
        <f>(IF($H121="x",VLOOKUP($I121,'AUX-NIV2'!$B:$X,'AUX-NIV1'!AR$3,FALSE),0)+($AV121*'AUX-NIV3'!T$4))*$O121+IF($H121=AR$4,$P121,0)</f>
        <v>0</v>
      </c>
      <c r="AS121" s="395">
        <f>(IF($H121="x",VLOOKUP($I121,'AUX-NIV2'!$B:$X,'AUX-NIV1'!AS$3,FALSE),0)+($AV121*'AUX-NIV3'!U$4))*$O121+IF($H121=AS$4,$P121,0)</f>
        <v>0</v>
      </c>
      <c r="AT121" s="395">
        <f>(IF($H121="x",VLOOKUP($I121,'AUX-NIV2'!$B:$X,'AUX-NIV1'!AT$3,FALSE),0)+($AV121*'AUX-NIV3'!V$4))*$O121+IF($H121=AT$4,$P121,0)</f>
        <v>0</v>
      </c>
      <c r="AU121" s="395">
        <f>(IF($H121="x",VLOOKUP($I121,'AUX-NIV2'!$B:$X,'AUX-NIV1'!AU$3,FALSE),0)+($AV121*'AUX-NIV3'!W$4))*$O121+IF($H121=AU$4,$P121,0)</f>
        <v>0</v>
      </c>
      <c r="AV121" s="395">
        <f>+IF($H121="x",VLOOKUP($I121,'AUX-NIV2'!$B:$X,'AUX-NIV1'!AV$3,FALSE),0)</f>
        <v>0</v>
      </c>
    </row>
    <row r="122" spans="2:48" ht="13.8" hidden="1" thickBot="1">
      <c r="B122" s="324" t="s">
        <v>86</v>
      </c>
      <c r="C122" s="325" t="s">
        <v>171</v>
      </c>
      <c r="D122" s="326" t="s">
        <v>1160</v>
      </c>
      <c r="E122" s="349">
        <f>IF(B122&lt;&gt;"",+SUMIF(Items!C:C,'AUX-NIV1'!B122,Items!H:H),"")</f>
        <v>0</v>
      </c>
      <c r="F122" s="349">
        <f t="shared" si="28"/>
        <v>642552.86926598707</v>
      </c>
      <c r="G122" s="349">
        <f t="shared" si="29"/>
        <v>0</v>
      </c>
      <c r="H122" s="1395" t="str">
        <f t="shared" si="39"/>
        <v>E</v>
      </c>
      <c r="I122" s="1375" t="s">
        <v>1552</v>
      </c>
      <c r="J122" s="350" t="str">
        <f>IF(B122&lt;&gt;"",+VLOOKUP(I122,Recursos!C:F,2,FALSE),"")</f>
        <v>RETROEXCAVADORA S/CARRILES  0,9 M2</v>
      </c>
      <c r="K122" s="351" t="str">
        <f>IF(B122&lt;&gt;"",+VLOOKUP(I122,Recursos!C:F,3,FALSE),"")</f>
        <v>HR</v>
      </c>
      <c r="L122" s="349">
        <f>IF(B122&lt;&gt;"",+VLOOKUP(I122,Recursos!C:F,4,FALSE),"")</f>
        <v>2743.02</v>
      </c>
      <c r="M122" s="331">
        <v>50</v>
      </c>
      <c r="N122" s="331">
        <v>2.8</v>
      </c>
      <c r="O122" s="362">
        <v>5.5999999999999994E-2</v>
      </c>
      <c r="P122" s="352">
        <f t="shared" si="40"/>
        <v>153.60911999999999</v>
      </c>
      <c r="Q122" s="349">
        <f t="shared" si="41"/>
        <v>0</v>
      </c>
      <c r="R122" s="353">
        <f t="shared" si="42"/>
        <v>0</v>
      </c>
      <c r="S122" s="354">
        <f t="shared" si="30"/>
        <v>1623.5302651476009</v>
      </c>
      <c r="T122" s="354">
        <f t="shared" si="31"/>
        <v>167.31036</v>
      </c>
      <c r="U122" s="355">
        <f t="shared" si="32"/>
        <v>10</v>
      </c>
      <c r="V122" s="355">
        <f t="shared" si="33"/>
        <v>0</v>
      </c>
      <c r="W122" s="355">
        <f t="shared" si="34"/>
        <v>0</v>
      </c>
      <c r="X122" s="355">
        <f t="shared" si="35"/>
        <v>640752.0286408395</v>
      </c>
      <c r="Y122" s="396"/>
      <c r="Z122" s="346" t="str">
        <f t="shared" si="43"/>
        <v>0-EXSS4aA</v>
      </c>
      <c r="AA122" s="346" t="str">
        <f t="shared" si="44"/>
        <v>0-EXSS4aE</v>
      </c>
      <c r="AB122" s="346" t="str">
        <f t="shared" si="45"/>
        <v>0-EXSS4aM</v>
      </c>
      <c r="AC122" s="346" t="str">
        <f t="shared" si="46"/>
        <v>0-EXSS4aT</v>
      </c>
      <c r="AD122" s="346" t="str">
        <f t="shared" si="47"/>
        <v>0-EXSS4aS</v>
      </c>
      <c r="AE122" s="346" t="str">
        <f t="shared" si="48"/>
        <v>0-EXSS4aX</v>
      </c>
      <c r="AF122" s="346" t="str">
        <f t="shared" si="49"/>
        <v>0-EXSS4aE</v>
      </c>
      <c r="AG122" s="346">
        <f t="shared" si="36"/>
        <v>8</v>
      </c>
      <c r="AH122" s="346">
        <f>IF(B122&lt;&gt;"",+IF(H122="x",+VLOOKUP(I122,'AUX-NIV2'!B:AG,32,FALSE),0),"")</f>
        <v>0</v>
      </c>
      <c r="AI122" s="346" t="str">
        <f t="shared" si="50"/>
        <v>0-EXSS4a</v>
      </c>
      <c r="AK122" s="347">
        <f t="shared" si="37"/>
        <v>118</v>
      </c>
      <c r="AL122" s="348">
        <f t="shared" si="51"/>
        <v>125</v>
      </c>
      <c r="AM122" s="347">
        <f t="shared" si="52"/>
        <v>5</v>
      </c>
      <c r="AN122" s="382">
        <f>IF(AND(AH122&gt;0,B122&lt;&gt;""),VLOOKUP(I122,'AUX-NIV2'!$B:$AP,40,FALSE)*O122,0)</f>
        <v>0</v>
      </c>
      <c r="AO122" s="382">
        <f t="shared" si="38"/>
        <v>309.95999999999998</v>
      </c>
      <c r="AQ122" s="395">
        <f>(IF($H122="x",VLOOKUP($I122,'AUX-NIV2'!$B:$X,'AUX-NIV1'!AQ$3,FALSE),0)+($AV122*'AUX-NIV3'!S$4))*$O122+IF($H122=AQ$4,$P122,0)</f>
        <v>0</v>
      </c>
      <c r="AR122" s="395">
        <f>(IF($H122="x",VLOOKUP($I122,'AUX-NIV2'!$B:$X,'AUX-NIV1'!AR$3,FALSE),0)+($AV122*'AUX-NIV3'!T$4))*$O122+IF($H122=AR$4,$P122,0)</f>
        <v>153.60911999999999</v>
      </c>
      <c r="AS122" s="395">
        <f>(IF($H122="x",VLOOKUP($I122,'AUX-NIV2'!$B:$X,'AUX-NIV1'!AS$3,FALSE),0)+($AV122*'AUX-NIV3'!U$4))*$O122+IF($H122=AS$4,$P122,0)</f>
        <v>0</v>
      </c>
      <c r="AT122" s="395">
        <f>(IF($H122="x",VLOOKUP($I122,'AUX-NIV2'!$B:$X,'AUX-NIV1'!AT$3,FALSE),0)+($AV122*'AUX-NIV3'!V$4))*$O122+IF($H122=AT$4,$P122,0)</f>
        <v>0</v>
      </c>
      <c r="AU122" s="395">
        <f>(IF($H122="x",VLOOKUP($I122,'AUX-NIV2'!$B:$X,'AUX-NIV1'!AU$3,FALSE),0)+($AV122*'AUX-NIV3'!W$4))*$O122+IF($H122=AU$4,$P122,0)</f>
        <v>0</v>
      </c>
      <c r="AV122" s="395">
        <f>+IF($H122="x",VLOOKUP($I122,'AUX-NIV2'!$B:$X,'AUX-NIV1'!AV$3,FALSE),0)</f>
        <v>0</v>
      </c>
    </row>
    <row r="123" spans="2:48" ht="13.8" hidden="1" thickBot="1">
      <c r="B123" s="324" t="s">
        <v>86</v>
      </c>
      <c r="C123" s="325" t="s">
        <v>171</v>
      </c>
      <c r="D123" s="326" t="s">
        <v>1160</v>
      </c>
      <c r="E123" s="349">
        <f>IF(B123&lt;&gt;"",+SUMIF(Items!C:C,'AUX-NIV1'!B123,Items!H:H),"")</f>
        <v>0</v>
      </c>
      <c r="F123" s="349">
        <f t="shared" si="28"/>
        <v>642552.86926598707</v>
      </c>
      <c r="G123" s="349">
        <f t="shared" si="29"/>
        <v>0</v>
      </c>
      <c r="H123" s="1395" t="str">
        <f t="shared" si="39"/>
        <v>E</v>
      </c>
      <c r="I123" s="1375" t="s">
        <v>1602</v>
      </c>
      <c r="J123" s="350" t="str">
        <f>IF(B123&lt;&gt;"",+VLOOKUP(I123,Recursos!C:F,2,FALSE),"")</f>
        <v>MOTOBOMBA 10 HP (100 M3/HORA)</v>
      </c>
      <c r="K123" s="351" t="str">
        <f>IF(B123&lt;&gt;"",+VLOOKUP(I123,Recursos!C:F,3,FALSE),"")</f>
        <v>HR</v>
      </c>
      <c r="L123" s="349">
        <f>IF(B123&lt;&gt;"",+VLOOKUP(I123,Recursos!C:F,4,FALSE),"")</f>
        <v>195.732</v>
      </c>
      <c r="M123" s="331">
        <v>20</v>
      </c>
      <c r="N123" s="331">
        <v>1.4</v>
      </c>
      <c r="O123" s="362">
        <v>7.0000000000000007E-2</v>
      </c>
      <c r="P123" s="352">
        <f t="shared" si="40"/>
        <v>13.701240000000002</v>
      </c>
      <c r="Q123" s="349">
        <f t="shared" si="41"/>
        <v>0</v>
      </c>
      <c r="R123" s="353">
        <f t="shared" si="42"/>
        <v>0</v>
      </c>
      <c r="S123" s="354">
        <f t="shared" si="30"/>
        <v>1623.5302651476009</v>
      </c>
      <c r="T123" s="354">
        <f t="shared" si="31"/>
        <v>167.31036</v>
      </c>
      <c r="U123" s="355">
        <f t="shared" si="32"/>
        <v>10</v>
      </c>
      <c r="V123" s="355">
        <f t="shared" si="33"/>
        <v>0</v>
      </c>
      <c r="W123" s="355">
        <f t="shared" si="34"/>
        <v>0</v>
      </c>
      <c r="X123" s="355">
        <f t="shared" si="35"/>
        <v>640752.0286408395</v>
      </c>
      <c r="Y123" s="396"/>
      <c r="Z123" s="346" t="str">
        <f t="shared" si="43"/>
        <v>0-EXSS4aA</v>
      </c>
      <c r="AA123" s="346" t="str">
        <f t="shared" si="44"/>
        <v>0-EXSS4aE</v>
      </c>
      <c r="AB123" s="346" t="str">
        <f t="shared" si="45"/>
        <v>0-EXSS4aM</v>
      </c>
      <c r="AC123" s="346" t="str">
        <f t="shared" si="46"/>
        <v>0-EXSS4aT</v>
      </c>
      <c r="AD123" s="346" t="str">
        <f t="shared" si="47"/>
        <v>0-EXSS4aS</v>
      </c>
      <c r="AE123" s="346" t="str">
        <f t="shared" si="48"/>
        <v>0-EXSS4aX</v>
      </c>
      <c r="AF123" s="346" t="str">
        <f t="shared" si="49"/>
        <v>0-EXSS4aE</v>
      </c>
      <c r="AG123" s="346">
        <f t="shared" si="36"/>
        <v>8</v>
      </c>
      <c r="AH123" s="346">
        <f>IF(B123&lt;&gt;"",+IF(H123="x",+VLOOKUP(I123,'AUX-NIV2'!B:AG,32,FALSE),0),"")</f>
        <v>0</v>
      </c>
      <c r="AI123" s="346" t="str">
        <f t="shared" si="50"/>
        <v>0-EXSS4a</v>
      </c>
      <c r="AK123" s="347">
        <f t="shared" si="37"/>
        <v>118</v>
      </c>
      <c r="AL123" s="348">
        <f t="shared" si="51"/>
        <v>125</v>
      </c>
      <c r="AM123" s="347">
        <f t="shared" si="52"/>
        <v>6</v>
      </c>
      <c r="AN123" s="382">
        <f>IF(AND(AH123&gt;0,B123&lt;&gt;""),VLOOKUP(I123,'AUX-NIV2'!$B:$AP,40,FALSE)*O123,0)</f>
        <v>0</v>
      </c>
      <c r="AO123" s="382">
        <f t="shared" si="38"/>
        <v>309.95999999999998</v>
      </c>
      <c r="AQ123" s="395">
        <f>(IF($H123="x",VLOOKUP($I123,'AUX-NIV2'!$B:$X,'AUX-NIV1'!AQ$3,FALSE),0)+($AV123*'AUX-NIV3'!S$4))*$O123+IF($H123=AQ$4,$P123,0)</f>
        <v>0</v>
      </c>
      <c r="AR123" s="395">
        <f>(IF($H123="x",VLOOKUP($I123,'AUX-NIV2'!$B:$X,'AUX-NIV1'!AR$3,FALSE),0)+($AV123*'AUX-NIV3'!T$4))*$O123+IF($H123=AR$4,$P123,0)</f>
        <v>13.701240000000002</v>
      </c>
      <c r="AS123" s="395">
        <f>(IF($H123="x",VLOOKUP($I123,'AUX-NIV2'!$B:$X,'AUX-NIV1'!AS$3,FALSE),0)+($AV123*'AUX-NIV3'!U$4))*$O123+IF($H123=AS$4,$P123,0)</f>
        <v>0</v>
      </c>
      <c r="AT123" s="395">
        <f>(IF($H123="x",VLOOKUP($I123,'AUX-NIV2'!$B:$X,'AUX-NIV1'!AT$3,FALSE),0)+($AV123*'AUX-NIV3'!V$4))*$O123+IF($H123=AT$4,$P123,0)</f>
        <v>0</v>
      </c>
      <c r="AU123" s="395">
        <f>(IF($H123="x",VLOOKUP($I123,'AUX-NIV2'!$B:$X,'AUX-NIV1'!AU$3,FALSE),0)+($AV123*'AUX-NIV3'!W$4))*$O123+IF($H123=AU$4,$P123,0)</f>
        <v>0</v>
      </c>
      <c r="AV123" s="395">
        <f>+IF($H123="x",VLOOKUP($I123,'AUX-NIV2'!$B:$X,'AUX-NIV1'!AV$3,FALSE),0)</f>
        <v>0</v>
      </c>
    </row>
    <row r="124" spans="2:48" ht="13.8" hidden="1" thickBot="1">
      <c r="B124" s="324" t="s">
        <v>86</v>
      </c>
      <c r="C124" s="325" t="s">
        <v>171</v>
      </c>
      <c r="D124" s="326" t="s">
        <v>1160</v>
      </c>
      <c r="E124" s="349">
        <f>IF(B124&lt;&gt;"",+SUMIF(Items!C:C,'AUX-NIV1'!B124,Items!H:H),"")</f>
        <v>0</v>
      </c>
      <c r="F124" s="349">
        <f t="shared" si="28"/>
        <v>642552.86926598707</v>
      </c>
      <c r="G124" s="349">
        <f t="shared" si="29"/>
        <v>0</v>
      </c>
      <c r="H124" s="1395" t="str">
        <f t="shared" si="39"/>
        <v>M</v>
      </c>
      <c r="I124" s="1375" t="s">
        <v>621</v>
      </c>
      <c r="J124" s="350" t="str">
        <f>IF(B124&lt;&gt;"",+VLOOKUP(I124,Recursos!C:F,2,FALSE),"")</f>
        <v>MATERIALES VARIOS</v>
      </c>
      <c r="K124" s="351" t="str">
        <f>IF(B124&lt;&gt;"",+VLOOKUP(I124,Recursos!C:F,3,FALSE),"")</f>
        <v>GL</v>
      </c>
      <c r="L124" s="349">
        <f>IF(B124&lt;&gt;"",+VLOOKUP(I124,Recursos!C:F,4,FALSE),"")</f>
        <v>0.5</v>
      </c>
      <c r="M124" s="331">
        <v>20</v>
      </c>
      <c r="N124" s="331">
        <v>1</v>
      </c>
      <c r="O124" s="362">
        <v>20</v>
      </c>
      <c r="P124" s="352">
        <f t="shared" si="40"/>
        <v>10</v>
      </c>
      <c r="Q124" s="349">
        <f t="shared" si="41"/>
        <v>0</v>
      </c>
      <c r="R124" s="353">
        <f t="shared" si="42"/>
        <v>0</v>
      </c>
      <c r="S124" s="354">
        <f t="shared" si="30"/>
        <v>1623.5302651476009</v>
      </c>
      <c r="T124" s="354">
        <f t="shared" si="31"/>
        <v>167.31036</v>
      </c>
      <c r="U124" s="355">
        <f t="shared" si="32"/>
        <v>10</v>
      </c>
      <c r="V124" s="355">
        <f t="shared" si="33"/>
        <v>0</v>
      </c>
      <c r="W124" s="355">
        <f t="shared" si="34"/>
        <v>0</v>
      </c>
      <c r="X124" s="355">
        <f t="shared" si="35"/>
        <v>640752.0286408395</v>
      </c>
      <c r="Y124" s="396"/>
      <c r="Z124" s="346" t="str">
        <f t="shared" si="43"/>
        <v>0-EXSS4aA</v>
      </c>
      <c r="AA124" s="346" t="str">
        <f t="shared" si="44"/>
        <v>0-EXSS4aE</v>
      </c>
      <c r="AB124" s="346" t="str">
        <f t="shared" si="45"/>
        <v>0-EXSS4aM</v>
      </c>
      <c r="AC124" s="346" t="str">
        <f t="shared" si="46"/>
        <v>0-EXSS4aT</v>
      </c>
      <c r="AD124" s="346" t="str">
        <f t="shared" si="47"/>
        <v>0-EXSS4aS</v>
      </c>
      <c r="AE124" s="346" t="str">
        <f t="shared" si="48"/>
        <v>0-EXSS4aX</v>
      </c>
      <c r="AF124" s="346" t="str">
        <f t="shared" si="49"/>
        <v>0-EXSS4aM</v>
      </c>
      <c r="AG124" s="346">
        <f t="shared" si="36"/>
        <v>8</v>
      </c>
      <c r="AH124" s="346">
        <f>IF(B124&lt;&gt;"",+IF(H124="x",+VLOOKUP(I124,'AUX-NIV2'!B:AG,32,FALSE),0),"")</f>
        <v>0</v>
      </c>
      <c r="AI124" s="346" t="str">
        <f t="shared" si="50"/>
        <v>0-EXSS4a</v>
      </c>
      <c r="AK124" s="347">
        <f t="shared" si="37"/>
        <v>118</v>
      </c>
      <c r="AL124" s="348">
        <f t="shared" si="51"/>
        <v>125</v>
      </c>
      <c r="AM124" s="347">
        <f t="shared" si="52"/>
        <v>7</v>
      </c>
      <c r="AN124" s="382">
        <f>IF(AND(AH124&gt;0,B124&lt;&gt;""),VLOOKUP(I124,'AUX-NIV2'!$B:$AP,40,FALSE)*O124,0)</f>
        <v>0</v>
      </c>
      <c r="AO124" s="382">
        <f t="shared" si="38"/>
        <v>309.95999999999998</v>
      </c>
      <c r="AQ124" s="395">
        <f>(IF($H124="x",VLOOKUP($I124,'AUX-NIV2'!$B:$X,'AUX-NIV1'!AQ$3,FALSE),0)+($AV124*'AUX-NIV3'!S$4))*$O124+IF($H124=AQ$4,$P124,0)</f>
        <v>0</v>
      </c>
      <c r="AR124" s="395">
        <f>(IF($H124="x",VLOOKUP($I124,'AUX-NIV2'!$B:$X,'AUX-NIV1'!AR$3,FALSE),0)+($AV124*'AUX-NIV3'!T$4))*$O124+IF($H124=AR$4,$P124,0)</f>
        <v>0</v>
      </c>
      <c r="AS124" s="395">
        <f>(IF($H124="x",VLOOKUP($I124,'AUX-NIV2'!$B:$X,'AUX-NIV1'!AS$3,FALSE),0)+($AV124*'AUX-NIV3'!U$4))*$O124+IF($H124=AS$4,$P124,0)</f>
        <v>10</v>
      </c>
      <c r="AT124" s="395">
        <f>(IF($H124="x",VLOOKUP($I124,'AUX-NIV2'!$B:$X,'AUX-NIV1'!AT$3,FALSE),0)+($AV124*'AUX-NIV3'!V$4))*$O124+IF($H124=AT$4,$P124,0)</f>
        <v>0</v>
      </c>
      <c r="AU124" s="395">
        <f>(IF($H124="x",VLOOKUP($I124,'AUX-NIV2'!$B:$X,'AUX-NIV1'!AU$3,FALSE),0)+($AV124*'AUX-NIV3'!W$4))*$O124+IF($H124=AU$4,$P124,0)</f>
        <v>0</v>
      </c>
      <c r="AV124" s="395">
        <f>+IF($H124="x",VLOOKUP($I124,'AUX-NIV2'!$B:$X,'AUX-NIV1'!AV$3,FALSE),0)</f>
        <v>0</v>
      </c>
    </row>
    <row r="125" spans="2:48" ht="13.8" hidden="1" thickBot="1">
      <c r="B125" s="324" t="s">
        <v>86</v>
      </c>
      <c r="C125" s="325" t="s">
        <v>171</v>
      </c>
      <c r="D125" s="326" t="s">
        <v>1160</v>
      </c>
      <c r="E125" s="349">
        <f>IF(B125&lt;&gt;"",+SUMIF(Items!C:C,'AUX-NIV1'!B125,Items!H:H),"")</f>
        <v>0</v>
      </c>
      <c r="F125" s="349">
        <f t="shared" si="28"/>
        <v>642552.86926598707</v>
      </c>
      <c r="G125" s="349">
        <f t="shared" si="29"/>
        <v>0</v>
      </c>
      <c r="H125" s="1395" t="str">
        <f t="shared" si="39"/>
        <v>X</v>
      </c>
      <c r="I125" s="1375" t="s">
        <v>1289</v>
      </c>
      <c r="J125" s="350" t="str">
        <f>IF(B125&lt;&gt;"",+VLOOKUP(I125,Recursos!C:F,2,FALSE),"")</f>
        <v>Sostenimiento de Excavación con Agua</v>
      </c>
      <c r="K125" s="351" t="str">
        <f>IF(B125&lt;&gt;"",+VLOOKUP(I125,Recursos!C:F,3,FALSE),"")</f>
        <v>m2</v>
      </c>
      <c r="L125" s="349">
        <f>IF(B125&lt;&gt;"",+VLOOKUP(I125,Recursos!C:F,4,FALSE),"")</f>
        <v>6407.5202864083949</v>
      </c>
      <c r="M125" s="331">
        <v>50</v>
      </c>
      <c r="N125" s="331">
        <v>2</v>
      </c>
      <c r="O125" s="362">
        <v>100</v>
      </c>
      <c r="P125" s="352">
        <f t="shared" si="40"/>
        <v>640752.0286408395</v>
      </c>
      <c r="Q125" s="349">
        <f t="shared" si="41"/>
        <v>0</v>
      </c>
      <c r="R125" s="353">
        <f t="shared" si="42"/>
        <v>0</v>
      </c>
      <c r="S125" s="354">
        <f t="shared" si="30"/>
        <v>1623.5302651476009</v>
      </c>
      <c r="T125" s="354">
        <f t="shared" si="31"/>
        <v>167.31036</v>
      </c>
      <c r="U125" s="355">
        <f t="shared" si="32"/>
        <v>10</v>
      </c>
      <c r="V125" s="355">
        <f t="shared" si="33"/>
        <v>0</v>
      </c>
      <c r="W125" s="355">
        <f t="shared" si="34"/>
        <v>0</v>
      </c>
      <c r="X125" s="355">
        <f t="shared" si="35"/>
        <v>640752.0286408395</v>
      </c>
      <c r="Y125" s="396"/>
      <c r="Z125" s="346" t="str">
        <f t="shared" si="43"/>
        <v>0-EXSS4aA</v>
      </c>
      <c r="AA125" s="346" t="str">
        <f t="shared" si="44"/>
        <v>0-EXSS4aE</v>
      </c>
      <c r="AB125" s="346" t="str">
        <f t="shared" si="45"/>
        <v>0-EXSS4aM</v>
      </c>
      <c r="AC125" s="346" t="str">
        <f t="shared" si="46"/>
        <v>0-EXSS4aT</v>
      </c>
      <c r="AD125" s="346" t="str">
        <f t="shared" si="47"/>
        <v>0-EXSS4aS</v>
      </c>
      <c r="AE125" s="346" t="str">
        <f t="shared" si="48"/>
        <v>0-EXSS4aX</v>
      </c>
      <c r="AF125" s="346" t="str">
        <f t="shared" si="49"/>
        <v>0-EXSS4aX</v>
      </c>
      <c r="AG125" s="346">
        <f t="shared" si="36"/>
        <v>8</v>
      </c>
      <c r="AH125" s="346">
        <f>IF(B125&lt;&gt;"",+IF(H125="x",+VLOOKUP(I125,'AUX-NIV2'!B:AG,32,FALSE),0),"")</f>
        <v>12</v>
      </c>
      <c r="AI125" s="346" t="str">
        <f t="shared" si="50"/>
        <v>0-EXSS4a</v>
      </c>
      <c r="AK125" s="347">
        <f t="shared" si="37"/>
        <v>118</v>
      </c>
      <c r="AL125" s="348">
        <f t="shared" si="51"/>
        <v>125</v>
      </c>
      <c r="AM125" s="347">
        <f t="shared" si="52"/>
        <v>8</v>
      </c>
      <c r="AN125" s="382">
        <f>IF(AND(AH125&gt;0,B125&lt;&gt;""),VLOOKUP(I125,'AUX-NIV2'!$B:$AP,40,FALSE)*O125,0)</f>
        <v>307</v>
      </c>
      <c r="AO125" s="382">
        <f t="shared" si="38"/>
        <v>309.95999999999998</v>
      </c>
      <c r="AQ125" s="395">
        <f>(IF($H125="x",VLOOKUP($I125,'AUX-NIV2'!$B:$X,'AUX-NIV1'!AQ$3,FALSE),0)+($AV125*'AUX-NIV3'!S$4))*$O125+IF($H125=AQ$4,$P125,0)</f>
        <v>141328.14310158335</v>
      </c>
      <c r="AR125" s="395">
        <f>(IF($H125="x",VLOOKUP($I125,'AUX-NIV2'!$B:$X,'AUX-NIV1'!AR$3,FALSE),0)+($AV125*'AUX-NIV3'!T$4))*$O125+IF($H125=AR$4,$P125,0)</f>
        <v>11890.361250000002</v>
      </c>
      <c r="AS125" s="395">
        <f>(IF($H125="x",VLOOKUP($I125,'AUX-NIV2'!$B:$X,'AUX-NIV1'!AS$3,FALSE),0)+($AV125*'AUX-NIV3'!U$4))*$O125+IF($H125=AS$4,$P125,0)</f>
        <v>487533.52428925619</v>
      </c>
      <c r="AT125" s="395">
        <f>(IF($H125="x",VLOOKUP($I125,'AUX-NIV2'!$B:$X,'AUX-NIV1'!AT$3,FALSE),0)+($AV125*'AUX-NIV3'!V$4))*$O125+IF($H125=AT$4,$P125,0)</f>
        <v>0</v>
      </c>
      <c r="AU125" s="395">
        <f>(IF($H125="x",VLOOKUP($I125,'AUX-NIV2'!$B:$X,'AUX-NIV1'!AU$3,FALSE),0)+($AV125*'AUX-NIV3'!W$4))*$O125+IF($H125=AU$4,$P125,0)</f>
        <v>0</v>
      </c>
      <c r="AV125" s="395">
        <f>+IF($H125="x",VLOOKUP($I125,'AUX-NIV2'!$B:$X,'AUX-NIV1'!AV$3,FALSE),0)</f>
        <v>0</v>
      </c>
    </row>
    <row r="126" spans="2:48" ht="13.8" hidden="1" thickBot="1">
      <c r="B126" s="324" t="s">
        <v>87</v>
      </c>
      <c r="C126" s="325" t="s">
        <v>175</v>
      </c>
      <c r="D126" s="326" t="s">
        <v>1160</v>
      </c>
      <c r="E126" s="349">
        <f>IF(B126&lt;&gt;"",+SUMIF(Items!C:C,'AUX-NIV1'!B126,Items!H:H),"")</f>
        <v>0</v>
      </c>
      <c r="F126" s="349">
        <f t="shared" si="28"/>
        <v>91226.754521960873</v>
      </c>
      <c r="G126" s="349">
        <f t="shared" si="29"/>
        <v>0</v>
      </c>
      <c r="H126" s="1395" t="str">
        <f t="shared" si="39"/>
        <v>M</v>
      </c>
      <c r="I126" s="1375" t="s">
        <v>499</v>
      </c>
      <c r="J126" s="350" t="str">
        <f>IF(B126&lt;&gt;"",+VLOOKUP(I126,Recursos!C:F,2,FALSE),"")</f>
        <v>MEMBRANA DE POLIETILENO 2 mm</v>
      </c>
      <c r="K126" s="351" t="str">
        <f>IF(B126&lt;&gt;"",+VLOOKUP(I126,Recursos!C:F,3,FALSE),"")</f>
        <v>m2</v>
      </c>
      <c r="L126" s="349">
        <f>IF(B126&lt;&gt;"",+VLOOKUP(I126,Recursos!C:F,4,FALSE),"")</f>
        <v>0.7</v>
      </c>
      <c r="M126" s="331">
        <v>63</v>
      </c>
      <c r="N126" s="331">
        <v>0</v>
      </c>
      <c r="O126" s="362">
        <v>0</v>
      </c>
      <c r="P126" s="352">
        <f t="shared" si="40"/>
        <v>0</v>
      </c>
      <c r="Q126" s="349">
        <f t="shared" si="41"/>
        <v>0</v>
      </c>
      <c r="R126" s="353">
        <f t="shared" si="42"/>
        <v>0</v>
      </c>
      <c r="S126" s="354">
        <f t="shared" si="30"/>
        <v>0</v>
      </c>
      <c r="T126" s="354">
        <f t="shared" si="31"/>
        <v>0</v>
      </c>
      <c r="U126" s="355">
        <f t="shared" si="32"/>
        <v>0</v>
      </c>
      <c r="V126" s="355">
        <f t="shared" si="33"/>
        <v>0</v>
      </c>
      <c r="W126" s="355">
        <f t="shared" si="34"/>
        <v>0</v>
      </c>
      <c r="X126" s="355">
        <f t="shared" si="35"/>
        <v>91226.754521960873</v>
      </c>
      <c r="Y126" s="396"/>
      <c r="Z126" s="346" t="str">
        <f t="shared" si="43"/>
        <v>0-HORMH21bA</v>
      </c>
      <c r="AA126" s="346" t="str">
        <f t="shared" si="44"/>
        <v>0-HORMH21bE</v>
      </c>
      <c r="AB126" s="346" t="str">
        <f t="shared" si="45"/>
        <v>0-HORMH21bM</v>
      </c>
      <c r="AC126" s="346" t="str">
        <f t="shared" si="46"/>
        <v>0-HORMH21bT</v>
      </c>
      <c r="AD126" s="346" t="str">
        <f t="shared" si="47"/>
        <v>0-HORMH21bS</v>
      </c>
      <c r="AE126" s="346" t="str">
        <f t="shared" si="48"/>
        <v>0-HORMH21bX</v>
      </c>
      <c r="AF126" s="346" t="str">
        <f t="shared" si="49"/>
        <v>0-HORMH21bM</v>
      </c>
      <c r="AG126" s="346">
        <f t="shared" si="36"/>
        <v>7</v>
      </c>
      <c r="AH126" s="346">
        <f>IF(B126&lt;&gt;"",+IF(H126="x",+VLOOKUP(I126,'AUX-NIV2'!B:AG,32,FALSE),0),"")</f>
        <v>0</v>
      </c>
      <c r="AI126" s="346" t="str">
        <f t="shared" si="50"/>
        <v>0-HORMH21b</v>
      </c>
      <c r="AK126" s="347">
        <f t="shared" si="37"/>
        <v>126</v>
      </c>
      <c r="AL126" s="348">
        <f t="shared" si="51"/>
        <v>132</v>
      </c>
      <c r="AM126" s="347">
        <f t="shared" si="52"/>
        <v>1</v>
      </c>
      <c r="AN126" s="382">
        <f>IF(AND(AH126&gt;0,B126&lt;&gt;""),VLOOKUP(I126,'AUX-NIV2'!$B:$AP,40,FALSE)*O126,0)</f>
        <v>0</v>
      </c>
      <c r="AO126" s="382">
        <f t="shared" si="38"/>
        <v>65.509818501010088</v>
      </c>
      <c r="AQ126" s="395">
        <f>(IF($H126="x",VLOOKUP($I126,'AUX-NIV2'!$B:$X,'AUX-NIV1'!AQ$3,FALSE),0)+($AV126*'AUX-NIV3'!S$4))*$O126+IF($H126=AQ$4,$P126,0)</f>
        <v>0</v>
      </c>
      <c r="AR126" s="395">
        <f>(IF($H126="x",VLOOKUP($I126,'AUX-NIV2'!$B:$X,'AUX-NIV1'!AR$3,FALSE),0)+($AV126*'AUX-NIV3'!T$4))*$O126+IF($H126=AR$4,$P126,0)</f>
        <v>0</v>
      </c>
      <c r="AS126" s="395">
        <f>(IF($H126="x",VLOOKUP($I126,'AUX-NIV2'!$B:$X,'AUX-NIV1'!AS$3,FALSE),0)+($AV126*'AUX-NIV3'!U$4))*$O126+IF($H126=AS$4,$P126,0)</f>
        <v>0</v>
      </c>
      <c r="AT126" s="395">
        <f>(IF($H126="x",VLOOKUP($I126,'AUX-NIV2'!$B:$X,'AUX-NIV1'!AT$3,FALSE),0)+($AV126*'AUX-NIV3'!V$4))*$O126+IF($H126=AT$4,$P126,0)</f>
        <v>0</v>
      </c>
      <c r="AU126" s="395">
        <f>(IF($H126="x",VLOOKUP($I126,'AUX-NIV2'!$B:$X,'AUX-NIV1'!AU$3,FALSE),0)+($AV126*'AUX-NIV3'!W$4))*$O126+IF($H126=AU$4,$P126,0)</f>
        <v>0</v>
      </c>
      <c r="AV126" s="395">
        <f>+IF($H126="x",VLOOKUP($I126,'AUX-NIV2'!$B:$X,'AUX-NIV1'!AV$3,FALSE),0)</f>
        <v>0</v>
      </c>
    </row>
    <row r="127" spans="2:48" ht="13.8" hidden="1" thickBot="1">
      <c r="B127" s="324" t="s">
        <v>87</v>
      </c>
      <c r="C127" s="325" t="s">
        <v>175</v>
      </c>
      <c r="D127" s="326" t="s">
        <v>1160</v>
      </c>
      <c r="E127" s="349">
        <f>IF(B127&lt;&gt;"",+SUMIF(Items!C:C,'AUX-NIV1'!B127,Items!H:H),"")</f>
        <v>0</v>
      </c>
      <c r="F127" s="349">
        <f t="shared" si="28"/>
        <v>91226.754521960873</v>
      </c>
      <c r="G127" s="349">
        <f t="shared" si="29"/>
        <v>0</v>
      </c>
      <c r="H127" s="1395" t="str">
        <f t="shared" si="39"/>
        <v>X</v>
      </c>
      <c r="I127" s="1375" t="s">
        <v>1253</v>
      </c>
      <c r="J127" s="350" t="str">
        <f>IF(B127&lt;&gt;"",+VLOOKUP(I127,Recursos!C:F,2,FALSE),"")</f>
        <v>Obt-Transp. de Agua p/Hormigones</v>
      </c>
      <c r="K127" s="351" t="str">
        <f>IF(B127&lt;&gt;"",+VLOOKUP(I127,Recursos!C:F,3,FALSE),"")</f>
        <v>m3</v>
      </c>
      <c r="L127" s="349">
        <f>IF(B127&lt;&gt;"",+VLOOKUP(I127,Recursos!C:F,4,FALSE),"")</f>
        <v>352.16492140392978</v>
      </c>
      <c r="M127" s="331">
        <v>4.05</v>
      </c>
      <c r="N127" s="331">
        <v>1</v>
      </c>
      <c r="O127" s="362">
        <v>4.0499999999999998E-3</v>
      </c>
      <c r="P127" s="352">
        <f t="shared" si="40"/>
        <v>1.4262679316859155</v>
      </c>
      <c r="Q127" s="349">
        <f t="shared" si="41"/>
        <v>0</v>
      </c>
      <c r="R127" s="353">
        <f t="shared" si="42"/>
        <v>0</v>
      </c>
      <c r="S127" s="354">
        <f t="shared" si="30"/>
        <v>0</v>
      </c>
      <c r="T127" s="354">
        <f t="shared" si="31"/>
        <v>0</v>
      </c>
      <c r="U127" s="355">
        <f t="shared" si="32"/>
        <v>0</v>
      </c>
      <c r="V127" s="355">
        <f t="shared" si="33"/>
        <v>0</v>
      </c>
      <c r="W127" s="355">
        <f t="shared" si="34"/>
        <v>0</v>
      </c>
      <c r="X127" s="355">
        <f t="shared" si="35"/>
        <v>91226.754521960873</v>
      </c>
      <c r="Y127" s="396"/>
      <c r="Z127" s="346" t="str">
        <f t="shared" si="43"/>
        <v>0-HORMH21bA</v>
      </c>
      <c r="AA127" s="346" t="str">
        <f t="shared" si="44"/>
        <v>0-HORMH21bE</v>
      </c>
      <c r="AB127" s="346" t="str">
        <f t="shared" si="45"/>
        <v>0-HORMH21bM</v>
      </c>
      <c r="AC127" s="346" t="str">
        <f t="shared" si="46"/>
        <v>0-HORMH21bT</v>
      </c>
      <c r="AD127" s="346" t="str">
        <f t="shared" si="47"/>
        <v>0-HORMH21bS</v>
      </c>
      <c r="AE127" s="346" t="str">
        <f t="shared" si="48"/>
        <v>0-HORMH21bX</v>
      </c>
      <c r="AF127" s="346" t="str">
        <f t="shared" si="49"/>
        <v>0-HORMH21bX</v>
      </c>
      <c r="AG127" s="346">
        <f t="shared" si="36"/>
        <v>7</v>
      </c>
      <c r="AH127" s="346">
        <f>IF(B127&lt;&gt;"",+IF(H127="x",+VLOOKUP(I127,'AUX-NIV2'!B:AG,32,FALSE),0),"")</f>
        <v>7</v>
      </c>
      <c r="AI127" s="346" t="str">
        <f t="shared" si="50"/>
        <v>0-HORMH21b</v>
      </c>
      <c r="AK127" s="347">
        <f t="shared" si="37"/>
        <v>126</v>
      </c>
      <c r="AL127" s="348">
        <f t="shared" si="51"/>
        <v>132</v>
      </c>
      <c r="AM127" s="347">
        <f t="shared" si="52"/>
        <v>2</v>
      </c>
      <c r="AN127" s="382">
        <f>IF(AND(AH127&gt;0,B127&lt;&gt;""),VLOOKUP(I127,'AUX-NIV2'!$B:$AP,40,FALSE)*O127,0)</f>
        <v>1.1045454545454544E-3</v>
      </c>
      <c r="AO127" s="382">
        <f t="shared" si="38"/>
        <v>65.509818501010088</v>
      </c>
      <c r="AQ127" s="395">
        <f>(IF($H127="x",VLOOKUP($I127,'AUX-NIV2'!$B:$X,'AUX-NIV1'!AQ$3,FALSE),0)+($AV127*'AUX-NIV3'!S$4))*$O127+IF($H127=AQ$4,$P127,0)</f>
        <v>0.52146045115935125</v>
      </c>
      <c r="AR127" s="395">
        <f>(IF($H127="x",VLOOKUP($I127,'AUX-NIV2'!$B:$X,'AUX-NIV1'!AR$3,FALSE),0)+($AV127*'AUX-NIV3'!T$4))*$O127+IF($H127=AR$4,$P127,0)</f>
        <v>0.90480748052656434</v>
      </c>
      <c r="AS127" s="395">
        <f>(IF($H127="x",VLOOKUP($I127,'AUX-NIV2'!$B:$X,'AUX-NIV1'!AS$3,FALSE),0)+($AV127*'AUX-NIV3'!U$4))*$O127+IF($H127=AS$4,$P127,0)</f>
        <v>0</v>
      </c>
      <c r="AT127" s="395">
        <f>(IF($H127="x",VLOOKUP($I127,'AUX-NIV2'!$B:$X,'AUX-NIV1'!AT$3,FALSE),0)+($AV127*'AUX-NIV3'!V$4))*$O127+IF($H127=AT$4,$P127,0)</f>
        <v>0</v>
      </c>
      <c r="AU127" s="395">
        <f>(IF($H127="x",VLOOKUP($I127,'AUX-NIV2'!$B:$X,'AUX-NIV1'!AU$3,FALSE),0)+($AV127*'AUX-NIV3'!W$4))*$O127+IF($H127=AU$4,$P127,0)</f>
        <v>0</v>
      </c>
      <c r="AV127" s="395">
        <f>+IF($H127="x",VLOOKUP($I127,'AUX-NIV2'!$B:$X,'AUX-NIV1'!AV$3,FALSE),0)</f>
        <v>0</v>
      </c>
    </row>
    <row r="128" spans="2:48" ht="13.8" hidden="1" thickBot="1">
      <c r="B128" s="324" t="s">
        <v>87</v>
      </c>
      <c r="C128" s="325" t="s">
        <v>175</v>
      </c>
      <c r="D128" s="326" t="s">
        <v>1160</v>
      </c>
      <c r="E128" s="349">
        <f>IF(B128&lt;&gt;"",+SUMIF(Items!C:C,'AUX-NIV1'!B128,Items!H:H),"")</f>
        <v>0</v>
      </c>
      <c r="F128" s="349">
        <f t="shared" si="28"/>
        <v>91226.754521960873</v>
      </c>
      <c r="G128" s="349">
        <f t="shared" si="29"/>
        <v>0</v>
      </c>
      <c r="H128" s="1395" t="str">
        <f t="shared" si="39"/>
        <v>X</v>
      </c>
      <c r="I128" s="1375" t="s">
        <v>1251</v>
      </c>
      <c r="J128" s="350" t="str">
        <f>IF(B128&lt;&gt;"",+VLOOKUP(I128,Recursos!C:F,2,FALSE),"")</f>
        <v>Materiales Dosificación Hormigón H21</v>
      </c>
      <c r="K128" s="351" t="str">
        <f>IF(B128&lt;&gt;"",+VLOOKUP(I128,Recursos!C:F,3,FALSE),"")</f>
        <v>M3</v>
      </c>
      <c r="L128" s="349">
        <f>IF(B128&lt;&gt;"",+VLOOKUP(I128,Recursos!C:F,4,FALSE),"")</f>
        <v>716.31423187834969</v>
      </c>
      <c r="M128" s="331">
        <v>5</v>
      </c>
      <c r="N128" s="331">
        <v>1.6</v>
      </c>
      <c r="O128" s="362">
        <v>8</v>
      </c>
      <c r="P128" s="352">
        <f t="shared" si="40"/>
        <v>5730.5138550267975</v>
      </c>
      <c r="Q128" s="349">
        <f t="shared" si="41"/>
        <v>0</v>
      </c>
      <c r="R128" s="353">
        <f t="shared" si="42"/>
        <v>0</v>
      </c>
      <c r="S128" s="354">
        <f t="shared" si="30"/>
        <v>0</v>
      </c>
      <c r="T128" s="354">
        <f t="shared" si="31"/>
        <v>0</v>
      </c>
      <c r="U128" s="355">
        <f t="shared" si="32"/>
        <v>0</v>
      </c>
      <c r="V128" s="355">
        <f t="shared" si="33"/>
        <v>0</v>
      </c>
      <c r="W128" s="355">
        <f t="shared" si="34"/>
        <v>0</v>
      </c>
      <c r="X128" s="355">
        <f t="shared" si="35"/>
        <v>91226.754521960873</v>
      </c>
      <c r="Y128" s="396"/>
      <c r="Z128" s="346" t="str">
        <f t="shared" si="43"/>
        <v>0-HORMH21bA</v>
      </c>
      <c r="AA128" s="346" t="str">
        <f t="shared" si="44"/>
        <v>0-HORMH21bE</v>
      </c>
      <c r="AB128" s="346" t="str">
        <f t="shared" si="45"/>
        <v>0-HORMH21bM</v>
      </c>
      <c r="AC128" s="346" t="str">
        <f t="shared" si="46"/>
        <v>0-HORMH21bT</v>
      </c>
      <c r="AD128" s="346" t="str">
        <f t="shared" si="47"/>
        <v>0-HORMH21bS</v>
      </c>
      <c r="AE128" s="346" t="str">
        <f t="shared" si="48"/>
        <v>0-HORMH21bX</v>
      </c>
      <c r="AF128" s="346" t="str">
        <f t="shared" si="49"/>
        <v>0-HORMH21bX</v>
      </c>
      <c r="AG128" s="346">
        <f t="shared" si="36"/>
        <v>7</v>
      </c>
      <c r="AH128" s="346">
        <f>IF(B128&lt;&gt;"",+IF(H128="x",+VLOOKUP(I128,'AUX-NIV2'!B:AG,32,FALSE),0),"")</f>
        <v>13</v>
      </c>
      <c r="AI128" s="346" t="str">
        <f t="shared" si="50"/>
        <v>0-HORMH21b</v>
      </c>
      <c r="AK128" s="347">
        <f t="shared" si="37"/>
        <v>126</v>
      </c>
      <c r="AL128" s="348">
        <f t="shared" si="51"/>
        <v>132</v>
      </c>
      <c r="AM128" s="347">
        <f t="shared" si="52"/>
        <v>3</v>
      </c>
      <c r="AN128" s="382">
        <f>IF(AND(AH128&gt;0,B128&lt;&gt;""),VLOOKUP(I128,'AUX-NIV2'!$B:$AP,40,FALSE)*O128,0)</f>
        <v>1.3487139555555556</v>
      </c>
      <c r="AO128" s="382">
        <f t="shared" si="38"/>
        <v>65.509818501010088</v>
      </c>
      <c r="AQ128" s="395">
        <f>(IF($H128="x",VLOOKUP($I128,'AUX-NIV2'!$B:$X,'AUX-NIV1'!AQ$3,FALSE),0)+($AV128*'AUX-NIV3'!S$4))*$O128+IF($H128=AQ$4,$P128,0)</f>
        <v>709.35764923382669</v>
      </c>
      <c r="AR128" s="395">
        <f>(IF($H128="x",VLOOKUP($I128,'AUX-NIV2'!$B:$X,'AUX-NIV1'!AR$3,FALSE),0)+($AV128*'AUX-NIV3'!T$4))*$O128+IF($H128=AR$4,$P128,0)</f>
        <v>5015.5402057929705</v>
      </c>
      <c r="AS128" s="395">
        <f>(IF($H128="x",VLOOKUP($I128,'AUX-NIV2'!$B:$X,'AUX-NIV1'!AS$3,FALSE),0)+($AV128*'AUX-NIV3'!U$4))*$O128+IF($H128=AS$4,$P128,0)</f>
        <v>5.6160000000000014</v>
      </c>
      <c r="AT128" s="395">
        <f>(IF($H128="x",VLOOKUP($I128,'AUX-NIV2'!$B:$X,'AUX-NIV1'!AT$3,FALSE),0)+($AV128*'AUX-NIV3'!V$4))*$O128+IF($H128=AT$4,$P128,0)</f>
        <v>0</v>
      </c>
      <c r="AU128" s="395">
        <f>(IF($H128="x",VLOOKUP($I128,'AUX-NIV2'!$B:$X,'AUX-NIV1'!AU$3,FALSE),0)+($AV128*'AUX-NIV3'!W$4))*$O128+IF($H128=AU$4,$P128,0)</f>
        <v>0</v>
      </c>
      <c r="AV128" s="395">
        <f>+IF($H128="x",VLOOKUP($I128,'AUX-NIV2'!$B:$X,'AUX-NIV1'!AV$3,FALSE),0)</f>
        <v>444.78806141108532</v>
      </c>
    </row>
    <row r="129" spans="2:48" ht="13.8" hidden="1" thickBot="1">
      <c r="B129" s="324" t="s">
        <v>87</v>
      </c>
      <c r="C129" s="325" t="s">
        <v>175</v>
      </c>
      <c r="D129" s="326" t="s">
        <v>1160</v>
      </c>
      <c r="E129" s="349">
        <f>IF(B129&lt;&gt;"",+SUMIF(Items!C:C,'AUX-NIV1'!B129,Items!H:H),"")</f>
        <v>0</v>
      </c>
      <c r="F129" s="349">
        <f t="shared" si="28"/>
        <v>91226.754521960873</v>
      </c>
      <c r="G129" s="349">
        <f t="shared" si="29"/>
        <v>0</v>
      </c>
      <c r="H129" s="1395" t="str">
        <f t="shared" si="39"/>
        <v>X</v>
      </c>
      <c r="I129" s="1375" t="s">
        <v>1287</v>
      </c>
      <c r="J129" s="350" t="str">
        <f>IF(B129&lt;&gt;"",+VLOOKUP(I129,Recursos!C:F,2,FALSE),"")</f>
        <v>Producción de Hgón en Planta</v>
      </c>
      <c r="K129" s="351" t="str">
        <f>IF(B129&lt;&gt;"",+VLOOKUP(I129,Recursos!C:F,3,FALSE),"")</f>
        <v>m3</v>
      </c>
      <c r="L129" s="349">
        <f>IF(B129&lt;&gt;"",+VLOOKUP(I129,Recursos!C:F,4,FALSE),"")</f>
        <v>419.65958991896258</v>
      </c>
      <c r="M129" s="331">
        <v>180</v>
      </c>
      <c r="N129" s="331">
        <v>1.05</v>
      </c>
      <c r="O129" s="362">
        <v>189</v>
      </c>
      <c r="P129" s="352">
        <f t="shared" si="40"/>
        <v>79315.662494683929</v>
      </c>
      <c r="Q129" s="349">
        <f t="shared" si="41"/>
        <v>0</v>
      </c>
      <c r="R129" s="353">
        <f t="shared" si="42"/>
        <v>0</v>
      </c>
      <c r="S129" s="354">
        <f t="shared" si="30"/>
        <v>0</v>
      </c>
      <c r="T129" s="354">
        <f t="shared" si="31"/>
        <v>0</v>
      </c>
      <c r="U129" s="355">
        <f t="shared" si="32"/>
        <v>0</v>
      </c>
      <c r="V129" s="355">
        <f t="shared" si="33"/>
        <v>0</v>
      </c>
      <c r="W129" s="355">
        <f t="shared" si="34"/>
        <v>0</v>
      </c>
      <c r="X129" s="355">
        <f t="shared" si="35"/>
        <v>91226.754521960873</v>
      </c>
      <c r="Y129" s="396"/>
      <c r="Z129" s="346" t="str">
        <f t="shared" si="43"/>
        <v>0-HORMH21bA</v>
      </c>
      <c r="AA129" s="346" t="str">
        <f t="shared" si="44"/>
        <v>0-HORMH21bE</v>
      </c>
      <c r="AB129" s="346" t="str">
        <f t="shared" si="45"/>
        <v>0-HORMH21bM</v>
      </c>
      <c r="AC129" s="346" t="str">
        <f t="shared" si="46"/>
        <v>0-HORMH21bT</v>
      </c>
      <c r="AD129" s="346" t="str">
        <f t="shared" si="47"/>
        <v>0-HORMH21bS</v>
      </c>
      <c r="AE129" s="346" t="str">
        <f t="shared" si="48"/>
        <v>0-HORMH21bX</v>
      </c>
      <c r="AF129" s="346" t="str">
        <f t="shared" si="49"/>
        <v>0-HORMH21bX</v>
      </c>
      <c r="AG129" s="346">
        <f t="shared" si="36"/>
        <v>7</v>
      </c>
      <c r="AH129" s="346">
        <f>IF(B129&lt;&gt;"",+IF(H129="x",+VLOOKUP(I129,'AUX-NIV2'!B:AG,32,FALSE),0),"")</f>
        <v>9</v>
      </c>
      <c r="AI129" s="346" t="str">
        <f t="shared" si="50"/>
        <v>0-HORMH21b</v>
      </c>
      <c r="AK129" s="347">
        <f t="shared" si="37"/>
        <v>126</v>
      </c>
      <c r="AL129" s="348">
        <f t="shared" si="51"/>
        <v>132</v>
      </c>
      <c r="AM129" s="347">
        <f t="shared" si="52"/>
        <v>4</v>
      </c>
      <c r="AN129" s="382">
        <f>IF(AND(AH129&gt;0,B129&lt;&gt;""),VLOOKUP(I129,'AUX-NIV2'!$B:$AP,40,FALSE)*O129,0)</f>
        <v>58.319999999999993</v>
      </c>
      <c r="AO129" s="382">
        <f t="shared" si="38"/>
        <v>65.509818501010088</v>
      </c>
      <c r="AQ129" s="395">
        <f>(IF($H129="x",VLOOKUP($I129,'AUX-NIV2'!$B:$X,'AUX-NIV1'!AQ$3,FALSE),0)+($AV129*'AUX-NIV3'!S$4))*$O129+IF($H129=AQ$4,$P129,0)</f>
        <v>28644.607269229386</v>
      </c>
      <c r="AR129" s="395">
        <f>(IF($H129="x",VLOOKUP($I129,'AUX-NIV2'!$B:$X,'AUX-NIV1'!AR$3,FALSE),0)+($AV129*'AUX-NIV3'!T$4))*$O129+IF($H129=AR$4,$P129,0)</f>
        <v>50576.555225454547</v>
      </c>
      <c r="AS129" s="395">
        <f>(IF($H129="x",VLOOKUP($I129,'AUX-NIV2'!$B:$X,'AUX-NIV1'!AS$3,FALSE),0)+($AV129*'AUX-NIV3'!U$4))*$O129+IF($H129=AS$4,$P129,0)</f>
        <v>94.5</v>
      </c>
      <c r="AT129" s="395">
        <f>(IF($H129="x",VLOOKUP($I129,'AUX-NIV2'!$B:$X,'AUX-NIV1'!AT$3,FALSE),0)+($AV129*'AUX-NIV3'!V$4))*$O129+IF($H129=AT$4,$P129,0)</f>
        <v>0</v>
      </c>
      <c r="AU129" s="395">
        <f>(IF($H129="x",VLOOKUP($I129,'AUX-NIV2'!$B:$X,'AUX-NIV1'!AU$3,FALSE),0)+($AV129*'AUX-NIV3'!W$4))*$O129+IF($H129=AU$4,$P129,0)</f>
        <v>0</v>
      </c>
      <c r="AV129" s="395">
        <f>+IF($H129="x",VLOOKUP($I129,'AUX-NIV2'!$B:$X,'AUX-NIV1'!AV$3,FALSE),0)</f>
        <v>0</v>
      </c>
    </row>
    <row r="130" spans="2:48" ht="13.8" hidden="1" thickBot="1">
      <c r="B130" s="324" t="s">
        <v>87</v>
      </c>
      <c r="C130" s="325" t="s">
        <v>175</v>
      </c>
      <c r="D130" s="326" t="s">
        <v>1160</v>
      </c>
      <c r="E130" s="349">
        <f>IF(B130&lt;&gt;"",+SUMIF(Items!C:C,'AUX-NIV1'!B130,Items!H:H),"")</f>
        <v>0</v>
      </c>
      <c r="F130" s="349">
        <f t="shared" si="28"/>
        <v>91226.754521960873</v>
      </c>
      <c r="G130" s="349">
        <f t="shared" si="29"/>
        <v>0</v>
      </c>
      <c r="H130" s="1395" t="str">
        <f t="shared" si="39"/>
        <v>X</v>
      </c>
      <c r="I130" s="1375" t="s">
        <v>1255</v>
      </c>
      <c r="J130" s="350" t="str">
        <f>IF(B130&lt;&gt;"",+VLOOKUP(I130,Recursos!C:F,2,FALSE),"")</f>
        <v>Colado de Hgón Elaborado con mixer</v>
      </c>
      <c r="K130" s="351" t="str">
        <f>IF(B130&lt;&gt;"",+VLOOKUP(I130,Recursos!C:F,3,FALSE),"")</f>
        <v>m3</v>
      </c>
      <c r="L130" s="349">
        <f>IF(B130&lt;&gt;"",+VLOOKUP(I130,Recursos!C:F,4,FALSE),"")</f>
        <v>699.62883343063208</v>
      </c>
      <c r="M130" s="331">
        <v>1.1000000000000001</v>
      </c>
      <c r="N130" s="331">
        <v>1</v>
      </c>
      <c r="O130" s="362">
        <v>1.1000000000000001</v>
      </c>
      <c r="P130" s="352">
        <f t="shared" si="40"/>
        <v>769.59171677369534</v>
      </c>
      <c r="Q130" s="349">
        <f t="shared" si="41"/>
        <v>0</v>
      </c>
      <c r="R130" s="353">
        <f t="shared" si="42"/>
        <v>0</v>
      </c>
      <c r="S130" s="354">
        <f t="shared" si="30"/>
        <v>0</v>
      </c>
      <c r="T130" s="354">
        <f t="shared" si="31"/>
        <v>0</v>
      </c>
      <c r="U130" s="355">
        <f t="shared" si="32"/>
        <v>0</v>
      </c>
      <c r="V130" s="355">
        <f t="shared" si="33"/>
        <v>0</v>
      </c>
      <c r="W130" s="355">
        <f t="shared" si="34"/>
        <v>0</v>
      </c>
      <c r="X130" s="355">
        <f t="shared" si="35"/>
        <v>91226.754521960873</v>
      </c>
      <c r="Y130" s="396"/>
      <c r="Z130" s="346" t="str">
        <f t="shared" si="43"/>
        <v>0-HORMH21bA</v>
      </c>
      <c r="AA130" s="346" t="str">
        <f t="shared" si="44"/>
        <v>0-HORMH21bE</v>
      </c>
      <c r="AB130" s="346" t="str">
        <f t="shared" si="45"/>
        <v>0-HORMH21bM</v>
      </c>
      <c r="AC130" s="346" t="str">
        <f t="shared" si="46"/>
        <v>0-HORMH21bT</v>
      </c>
      <c r="AD130" s="346" t="str">
        <f t="shared" si="47"/>
        <v>0-HORMH21bS</v>
      </c>
      <c r="AE130" s="346" t="str">
        <f t="shared" si="48"/>
        <v>0-HORMH21bX</v>
      </c>
      <c r="AF130" s="346" t="str">
        <f t="shared" si="49"/>
        <v>0-HORMH21bX</v>
      </c>
      <c r="AG130" s="346">
        <f t="shared" si="36"/>
        <v>7</v>
      </c>
      <c r="AH130" s="346">
        <f>IF(B130&lt;&gt;"",+IF(H130="x",+VLOOKUP(I130,'AUX-NIV2'!B:AG,32,FALSE),0),"")</f>
        <v>9</v>
      </c>
      <c r="AI130" s="346" t="str">
        <f t="shared" si="50"/>
        <v>0-HORMH21b</v>
      </c>
      <c r="AK130" s="347">
        <f t="shared" si="37"/>
        <v>126</v>
      </c>
      <c r="AL130" s="348">
        <f t="shared" si="51"/>
        <v>132</v>
      </c>
      <c r="AM130" s="347">
        <f t="shared" si="52"/>
        <v>5</v>
      </c>
      <c r="AN130" s="382">
        <f>IF(AND(AH130&gt;0,B130&lt;&gt;""),VLOOKUP(I130,'AUX-NIV2'!$B:$AP,40,FALSE)*O130,0)</f>
        <v>0.58666666666666667</v>
      </c>
      <c r="AO130" s="382">
        <f t="shared" si="38"/>
        <v>65.509818501010088</v>
      </c>
      <c r="AQ130" s="395">
        <f>(IF($H130="x",VLOOKUP($I130,'AUX-NIV2'!$B:$X,'AUX-NIV1'!AQ$3,FALSE),0)+($AV130*'AUX-NIV3'!S$4))*$O130+IF($H130=AQ$4,$P130,0)</f>
        <v>273.0871554736953</v>
      </c>
      <c r="AR130" s="395">
        <f>(IF($H130="x",VLOOKUP($I130,'AUX-NIV2'!$B:$X,'AUX-NIV1'!AR$3,FALSE),0)+($AV130*'AUX-NIV3'!T$4))*$O130+IF($H130=AR$4,$P130,0)</f>
        <v>496.39456130000008</v>
      </c>
      <c r="AS130" s="395">
        <f>(IF($H130="x",VLOOKUP($I130,'AUX-NIV2'!$B:$X,'AUX-NIV1'!AS$3,FALSE),0)+($AV130*'AUX-NIV3'!U$4))*$O130+IF($H130=AS$4,$P130,0)</f>
        <v>0.11000000000000001</v>
      </c>
      <c r="AT130" s="395">
        <f>(IF($H130="x",VLOOKUP($I130,'AUX-NIV2'!$B:$X,'AUX-NIV1'!AT$3,FALSE),0)+($AV130*'AUX-NIV3'!V$4))*$O130+IF($H130=AT$4,$P130,0)</f>
        <v>0</v>
      </c>
      <c r="AU130" s="395">
        <f>(IF($H130="x",VLOOKUP($I130,'AUX-NIV2'!$B:$X,'AUX-NIV1'!AU$3,FALSE),0)+($AV130*'AUX-NIV3'!W$4))*$O130+IF($H130=AU$4,$P130,0)</f>
        <v>0</v>
      </c>
      <c r="AV130" s="395">
        <f>+IF($H130="x",VLOOKUP($I130,'AUX-NIV2'!$B:$X,'AUX-NIV1'!AV$3,FALSE),0)</f>
        <v>0</v>
      </c>
    </row>
    <row r="131" spans="2:48" ht="13.8" hidden="1" thickBot="1">
      <c r="B131" s="324" t="s">
        <v>87</v>
      </c>
      <c r="C131" s="325" t="s">
        <v>175</v>
      </c>
      <c r="D131" s="326" t="s">
        <v>1160</v>
      </c>
      <c r="E131" s="349">
        <f>IF(B131&lt;&gt;"",+SUMIF(Items!C:C,'AUX-NIV1'!B131,Items!H:H),"")</f>
        <v>0</v>
      </c>
      <c r="F131" s="349">
        <f t="shared" si="28"/>
        <v>91226.754521960873</v>
      </c>
      <c r="G131" s="349">
        <f t="shared" si="29"/>
        <v>0</v>
      </c>
      <c r="H131" s="1395" t="str">
        <f t="shared" si="39"/>
        <v>X</v>
      </c>
      <c r="I131" s="1375" t="s">
        <v>1264</v>
      </c>
      <c r="J131" s="350" t="str">
        <f>IF(B131&lt;&gt;"",+VLOOKUP(I131,Recursos!C:F,2,FALSE),"")</f>
        <v>Curado de estructuras de hgón.</v>
      </c>
      <c r="K131" s="351" t="str">
        <f>IF(B131&lt;&gt;"",+VLOOKUP(I131,Recursos!C:F,3,FALSE),"")</f>
        <v>m2</v>
      </c>
      <c r="L131" s="349">
        <f>IF(B131&lt;&gt;"",+VLOOKUP(I131,Recursos!C:F,4,FALSE),"")</f>
        <v>134.41940461611205</v>
      </c>
      <c r="M131" s="331">
        <v>1.1000000000000001</v>
      </c>
      <c r="N131" s="331">
        <v>1</v>
      </c>
      <c r="O131" s="362">
        <v>1.1000000000000001</v>
      </c>
      <c r="P131" s="352">
        <f t="shared" si="40"/>
        <v>147.86134507772326</v>
      </c>
      <c r="Q131" s="349">
        <f t="shared" si="41"/>
        <v>0</v>
      </c>
      <c r="R131" s="353">
        <f t="shared" si="42"/>
        <v>0</v>
      </c>
      <c r="S131" s="354">
        <f t="shared" si="30"/>
        <v>0</v>
      </c>
      <c r="T131" s="354">
        <f t="shared" si="31"/>
        <v>0</v>
      </c>
      <c r="U131" s="355">
        <f t="shared" si="32"/>
        <v>0</v>
      </c>
      <c r="V131" s="355">
        <f t="shared" si="33"/>
        <v>0</v>
      </c>
      <c r="W131" s="355">
        <f t="shared" si="34"/>
        <v>0</v>
      </c>
      <c r="X131" s="355">
        <f t="shared" si="35"/>
        <v>91226.754521960873</v>
      </c>
      <c r="Y131" s="396"/>
      <c r="Z131" s="346" t="str">
        <f t="shared" si="43"/>
        <v>0-HORMH21bA</v>
      </c>
      <c r="AA131" s="346" t="str">
        <f t="shared" si="44"/>
        <v>0-HORMH21bE</v>
      </c>
      <c r="AB131" s="346" t="str">
        <f t="shared" si="45"/>
        <v>0-HORMH21bM</v>
      </c>
      <c r="AC131" s="346" t="str">
        <f t="shared" si="46"/>
        <v>0-HORMH21bT</v>
      </c>
      <c r="AD131" s="346" t="str">
        <f t="shared" si="47"/>
        <v>0-HORMH21bS</v>
      </c>
      <c r="AE131" s="346" t="str">
        <f t="shared" si="48"/>
        <v>0-HORMH21bX</v>
      </c>
      <c r="AF131" s="346" t="str">
        <f t="shared" si="49"/>
        <v>0-HORMH21bX</v>
      </c>
      <c r="AG131" s="346">
        <f t="shared" si="36"/>
        <v>7</v>
      </c>
      <c r="AH131" s="346">
        <f>IF(B131&lt;&gt;"",+IF(H131="x",+VLOOKUP(I131,'AUX-NIV2'!B:AG,32,FALSE),0),"")</f>
        <v>3</v>
      </c>
      <c r="AI131" s="346" t="str">
        <f t="shared" si="50"/>
        <v>0-HORMH21b</v>
      </c>
      <c r="AK131" s="347">
        <f t="shared" si="37"/>
        <v>126</v>
      </c>
      <c r="AL131" s="348">
        <f t="shared" si="51"/>
        <v>132</v>
      </c>
      <c r="AM131" s="347">
        <f t="shared" si="52"/>
        <v>6</v>
      </c>
      <c r="AN131" s="382">
        <f>IF(AND(AH131&gt;0,B131&lt;&gt;""),VLOOKUP(I131,'AUX-NIV2'!$B:$AP,40,FALSE)*O131,0)</f>
        <v>0.18333333333333335</v>
      </c>
      <c r="AO131" s="382">
        <f t="shared" si="38"/>
        <v>65.509818501010088</v>
      </c>
      <c r="AQ131" s="395">
        <f>(IF($H131="x",VLOOKUP($I131,'AUX-NIV2'!$B:$X,'AUX-NIV1'!AQ$3,FALSE),0)+($AV131*'AUX-NIV3'!S$4))*$O131+IF($H131=AQ$4,$P131,0)</f>
        <v>77.45474507772326</v>
      </c>
      <c r="AR131" s="395">
        <f>(IF($H131="x",VLOOKUP($I131,'AUX-NIV2'!$B:$X,'AUX-NIV1'!AR$3,FALSE),0)+($AV131*'AUX-NIV3'!T$4))*$O131+IF($H131=AR$4,$P131,0)</f>
        <v>0</v>
      </c>
      <c r="AS131" s="395">
        <f>(IF($H131="x",VLOOKUP($I131,'AUX-NIV2'!$B:$X,'AUX-NIV1'!AS$3,FALSE),0)+($AV131*'AUX-NIV3'!U$4))*$O131+IF($H131=AS$4,$P131,0)</f>
        <v>70.406600000000012</v>
      </c>
      <c r="AT131" s="395">
        <f>(IF($H131="x",VLOOKUP($I131,'AUX-NIV2'!$B:$X,'AUX-NIV1'!AT$3,FALSE),0)+($AV131*'AUX-NIV3'!V$4))*$O131+IF($H131=AT$4,$P131,0)</f>
        <v>0</v>
      </c>
      <c r="AU131" s="395">
        <f>(IF($H131="x",VLOOKUP($I131,'AUX-NIV2'!$B:$X,'AUX-NIV1'!AU$3,FALSE),0)+($AV131*'AUX-NIV3'!W$4))*$O131+IF($H131=AU$4,$P131,0)</f>
        <v>0</v>
      </c>
      <c r="AV131" s="395">
        <f>+IF($H131="x",VLOOKUP($I131,'AUX-NIV2'!$B:$X,'AUX-NIV1'!AV$3,FALSE),0)</f>
        <v>0</v>
      </c>
    </row>
    <row r="132" spans="2:48" ht="13.8" hidden="1" thickBot="1">
      <c r="B132" s="324" t="s">
        <v>87</v>
      </c>
      <c r="C132" s="325" t="s">
        <v>175</v>
      </c>
      <c r="D132" s="326" t="s">
        <v>1160</v>
      </c>
      <c r="E132" s="349">
        <f>IF(B132&lt;&gt;"",+SUMIF(Items!C:C,'AUX-NIV1'!B132,Items!H:H),"")</f>
        <v>0</v>
      </c>
      <c r="F132" s="349">
        <f t="shared" si="28"/>
        <v>91226.754521960873</v>
      </c>
      <c r="G132" s="349">
        <f t="shared" si="29"/>
        <v>0</v>
      </c>
      <c r="H132" s="1395" t="str">
        <f t="shared" si="39"/>
        <v>X</v>
      </c>
      <c r="I132" s="1375" t="s">
        <v>1256</v>
      </c>
      <c r="J132" s="350" t="str">
        <f>IF(B132&lt;&gt;"",+VLOOKUP(I132,Recursos!C:F,2,FALSE),"")</f>
        <v xml:space="preserve">Encofrados para Hormigones </v>
      </c>
      <c r="K132" s="351" t="str">
        <f>IF(B132&lt;&gt;"",+VLOOKUP(I132,Recursos!C:F,3,FALSE),"")</f>
        <v>m2</v>
      </c>
      <c r="L132" s="349">
        <f>IF(B132&lt;&gt;"",+VLOOKUP(I132,Recursos!C:F,4,FALSE),"")</f>
        <v>5261.6988424670626</v>
      </c>
      <c r="M132" s="331">
        <v>1</v>
      </c>
      <c r="N132" s="331">
        <v>1</v>
      </c>
      <c r="O132" s="362">
        <v>1</v>
      </c>
      <c r="P132" s="352">
        <f t="shared" si="40"/>
        <v>5261.6988424670626</v>
      </c>
      <c r="Q132" s="349">
        <f t="shared" si="41"/>
        <v>0</v>
      </c>
      <c r="R132" s="353">
        <f t="shared" si="42"/>
        <v>0</v>
      </c>
      <c r="S132" s="354">
        <f t="shared" si="30"/>
        <v>0</v>
      </c>
      <c r="T132" s="354">
        <f t="shared" si="31"/>
        <v>0</v>
      </c>
      <c r="U132" s="355">
        <f t="shared" si="32"/>
        <v>0</v>
      </c>
      <c r="V132" s="355">
        <f t="shared" si="33"/>
        <v>0</v>
      </c>
      <c r="W132" s="355">
        <f t="shared" si="34"/>
        <v>0</v>
      </c>
      <c r="X132" s="355">
        <f t="shared" si="35"/>
        <v>91226.754521960873</v>
      </c>
      <c r="Y132" s="396"/>
      <c r="Z132" s="346" t="str">
        <f t="shared" si="43"/>
        <v>0-HORMH21bA</v>
      </c>
      <c r="AA132" s="346" t="str">
        <f t="shared" si="44"/>
        <v>0-HORMH21bE</v>
      </c>
      <c r="AB132" s="346" t="str">
        <f t="shared" si="45"/>
        <v>0-HORMH21bM</v>
      </c>
      <c r="AC132" s="346" t="str">
        <f t="shared" si="46"/>
        <v>0-HORMH21bT</v>
      </c>
      <c r="AD132" s="346" t="str">
        <f t="shared" si="47"/>
        <v>0-HORMH21bS</v>
      </c>
      <c r="AE132" s="346" t="str">
        <f t="shared" si="48"/>
        <v>0-HORMH21bX</v>
      </c>
      <c r="AF132" s="346" t="str">
        <f t="shared" si="49"/>
        <v>0-HORMH21bX</v>
      </c>
      <c r="AG132" s="346">
        <f t="shared" si="36"/>
        <v>7</v>
      </c>
      <c r="AH132" s="346">
        <f>IF(B132&lt;&gt;"",+IF(H132="x",+VLOOKUP(I132,'AUX-NIV2'!B:AG,32,FALSE),0),"")</f>
        <v>13</v>
      </c>
      <c r="AI132" s="346" t="str">
        <f t="shared" si="50"/>
        <v>0-HORMH21b</v>
      </c>
      <c r="AK132" s="347">
        <f t="shared" si="37"/>
        <v>126</v>
      </c>
      <c r="AL132" s="348">
        <f t="shared" si="51"/>
        <v>132</v>
      </c>
      <c r="AM132" s="347">
        <f t="shared" si="52"/>
        <v>7</v>
      </c>
      <c r="AN132" s="382">
        <f>IF(AND(AH132&gt;0,B132&lt;&gt;""),VLOOKUP(I132,'AUX-NIV2'!$B:$AP,40,FALSE)*O132,0)</f>
        <v>5.07</v>
      </c>
      <c r="AO132" s="382">
        <f t="shared" si="38"/>
        <v>65.509818501010088</v>
      </c>
      <c r="AQ132" s="395">
        <f>(IF($H132="x",VLOOKUP($I132,'AUX-NIV2'!$B:$X,'AUX-NIV1'!AQ$3,FALSE),0)+($AV132*'AUX-NIV3'!S$4))*$O132+IF($H132=AQ$4,$P132,0)</f>
        <v>2332.6778131052638</v>
      </c>
      <c r="AR132" s="395">
        <f>(IF($H132="x",VLOOKUP($I132,'AUX-NIV2'!$B:$X,'AUX-NIV1'!AR$3,FALSE),0)+($AV132*'AUX-NIV3'!T$4))*$O132+IF($H132=AR$4,$P132,0)</f>
        <v>44.026680000000006</v>
      </c>
      <c r="AS132" s="395">
        <f>(IF($H132="x",VLOOKUP($I132,'AUX-NIV2'!$B:$X,'AUX-NIV1'!AS$3,FALSE),0)+($AV132*'AUX-NIV3'!U$4))*$O132+IF($H132=AS$4,$P132,0)</f>
        <v>2884.9943493617993</v>
      </c>
      <c r="AT132" s="395">
        <f>(IF($H132="x",VLOOKUP($I132,'AUX-NIV2'!$B:$X,'AUX-NIV1'!AT$3,FALSE),0)+($AV132*'AUX-NIV3'!V$4))*$O132+IF($H132=AT$4,$P132,0)</f>
        <v>0</v>
      </c>
      <c r="AU132" s="395">
        <f>(IF($H132="x",VLOOKUP($I132,'AUX-NIV2'!$B:$X,'AUX-NIV1'!AU$3,FALSE),0)+($AV132*'AUX-NIV3'!W$4))*$O132+IF($H132=AU$4,$P132,0)</f>
        <v>0</v>
      </c>
      <c r="AV132" s="395">
        <f>+IF($H132="x",VLOOKUP($I132,'AUX-NIV2'!$B:$X,'AUX-NIV1'!AV$3,FALSE),0)</f>
        <v>0</v>
      </c>
    </row>
    <row r="133" spans="2:48" ht="13.8" hidden="1" thickBot="1">
      <c r="B133" s="324" t="s">
        <v>88</v>
      </c>
      <c r="C133" s="325" t="s">
        <v>176</v>
      </c>
      <c r="D133" s="326" t="s">
        <v>1160</v>
      </c>
      <c r="E133" s="349">
        <f>IF(B133&lt;&gt;"",+SUMIF(Items!C:C,'AUX-NIV1'!B133,Items!H:H),"")</f>
        <v>0</v>
      </c>
      <c r="F133" s="349">
        <f t="shared" si="28"/>
        <v>315.7371985540903</v>
      </c>
      <c r="G133" s="349">
        <f t="shared" si="29"/>
        <v>0</v>
      </c>
      <c r="H133" s="1395" t="str">
        <f t="shared" si="39"/>
        <v>X</v>
      </c>
      <c r="I133" s="1375" t="s">
        <v>1253</v>
      </c>
      <c r="J133" s="350" t="str">
        <f>IF(B133&lt;&gt;"",+VLOOKUP(I133,Recursos!C:F,2,FALSE),"")</f>
        <v>Obt-Transp. de Agua p/Hormigones</v>
      </c>
      <c r="K133" s="351" t="str">
        <f>IF(B133&lt;&gt;"",+VLOOKUP(I133,Recursos!C:F,3,FALSE),"")</f>
        <v>m3</v>
      </c>
      <c r="L133" s="349">
        <f>IF(B133&lt;&gt;"",+VLOOKUP(I133,Recursos!C:F,4,FALSE),"")</f>
        <v>352.16492140392978</v>
      </c>
      <c r="M133" s="331">
        <v>1.2</v>
      </c>
      <c r="N133" s="331">
        <v>0.2</v>
      </c>
      <c r="O133" s="362">
        <f t="shared" ref="O133:O134" si="53">+M133*N133</f>
        <v>0.24</v>
      </c>
      <c r="P133" s="352">
        <f t="shared" si="40"/>
        <v>84.519581136943145</v>
      </c>
      <c r="Q133" s="349">
        <f t="shared" si="41"/>
        <v>0</v>
      </c>
      <c r="R133" s="353">
        <f t="shared" si="42"/>
        <v>0</v>
      </c>
      <c r="S133" s="354">
        <f t="shared" si="30"/>
        <v>0</v>
      </c>
      <c r="T133" s="354">
        <f t="shared" si="31"/>
        <v>0</v>
      </c>
      <c r="U133" s="355">
        <f t="shared" si="32"/>
        <v>0</v>
      </c>
      <c r="V133" s="355">
        <f t="shared" si="33"/>
        <v>0</v>
      </c>
      <c r="W133" s="355">
        <f t="shared" si="34"/>
        <v>0</v>
      </c>
      <c r="X133" s="355">
        <f t="shared" si="35"/>
        <v>315.7371985540903</v>
      </c>
      <c r="Y133" s="396"/>
      <c r="Z133" s="346" t="str">
        <f t="shared" si="43"/>
        <v>0-RELLaccA</v>
      </c>
      <c r="AA133" s="346" t="str">
        <f t="shared" si="44"/>
        <v>0-RELLaccE</v>
      </c>
      <c r="AB133" s="346" t="str">
        <f t="shared" si="45"/>
        <v>0-RELLaccM</v>
      </c>
      <c r="AC133" s="346" t="str">
        <f t="shared" si="46"/>
        <v>0-RELLaccT</v>
      </c>
      <c r="AD133" s="346" t="str">
        <f t="shared" si="47"/>
        <v>0-RELLaccS</v>
      </c>
      <c r="AE133" s="346" t="str">
        <f t="shared" si="48"/>
        <v>0-RELLaccX</v>
      </c>
      <c r="AF133" s="346" t="str">
        <f t="shared" si="49"/>
        <v>0-RELLaccX</v>
      </c>
      <c r="AG133" s="346">
        <f t="shared" si="36"/>
        <v>2</v>
      </c>
      <c r="AH133" s="346">
        <f>IF(B133&lt;&gt;"",+IF(H133="x",+VLOOKUP(I133,'AUX-NIV2'!B:AG,32,FALSE),0),"")</f>
        <v>7</v>
      </c>
      <c r="AI133" s="346" t="str">
        <f t="shared" si="50"/>
        <v>0-RELLacc</v>
      </c>
      <c r="AK133" s="347">
        <f t="shared" si="37"/>
        <v>133</v>
      </c>
      <c r="AL133" s="348">
        <f t="shared" si="51"/>
        <v>134</v>
      </c>
      <c r="AM133" s="347">
        <f t="shared" si="52"/>
        <v>1</v>
      </c>
      <c r="AN133" s="382">
        <f>IF(AND(AH133&gt;0,B133&lt;&gt;""),VLOOKUP(I133,'AUX-NIV2'!$B:$AP,40,FALSE)*O133,0)</f>
        <v>6.5454545454545446E-2</v>
      </c>
      <c r="AO133" s="382">
        <f t="shared" si="38"/>
        <v>0.18065454545454546</v>
      </c>
      <c r="AQ133" s="395">
        <f>(IF($H133="x",VLOOKUP($I133,'AUX-NIV2'!$B:$X,'AUX-NIV1'!AQ$3,FALSE),0)+($AV133*'AUX-NIV3'!S$4))*$O133+IF($H133=AQ$4,$P133,0)</f>
        <v>30.901360068702299</v>
      </c>
      <c r="AR133" s="395">
        <f>(IF($H133="x",VLOOKUP($I133,'AUX-NIV2'!$B:$X,'AUX-NIV1'!AR$3,FALSE),0)+($AV133*'AUX-NIV3'!T$4))*$O133+IF($H133=AR$4,$P133,0)</f>
        <v>53.61822106824085</v>
      </c>
      <c r="AS133" s="395">
        <f>(IF($H133="x",VLOOKUP($I133,'AUX-NIV2'!$B:$X,'AUX-NIV1'!AS$3,FALSE),0)+($AV133*'AUX-NIV3'!U$4))*$O133+IF($H133=AS$4,$P133,0)</f>
        <v>0</v>
      </c>
      <c r="AT133" s="395">
        <f>(IF($H133="x",VLOOKUP($I133,'AUX-NIV2'!$B:$X,'AUX-NIV1'!AT$3,FALSE),0)+($AV133*'AUX-NIV3'!V$4))*$O133+IF($H133=AT$4,$P133,0)</f>
        <v>0</v>
      </c>
      <c r="AU133" s="395">
        <f>(IF($H133="x",VLOOKUP($I133,'AUX-NIV2'!$B:$X,'AUX-NIV1'!AU$3,FALSE),0)+($AV133*'AUX-NIV3'!W$4))*$O133+IF($H133=AU$4,$P133,0)</f>
        <v>0</v>
      </c>
      <c r="AV133" s="395">
        <f>+IF($H133="x",VLOOKUP($I133,'AUX-NIV2'!$B:$X,'AUX-NIV1'!AV$3,FALSE),0)</f>
        <v>0</v>
      </c>
    </row>
    <row r="134" spans="2:48" ht="13.8" hidden="1" thickBot="1">
      <c r="B134" s="324" t="s">
        <v>88</v>
      </c>
      <c r="C134" s="325" t="s">
        <v>176</v>
      </c>
      <c r="D134" s="326" t="s">
        <v>1160</v>
      </c>
      <c r="E134" s="349">
        <f>IF(B134&lt;&gt;"",+SUMIF(Items!C:C,'AUX-NIV1'!B134,Items!H:H),"")</f>
        <v>0</v>
      </c>
      <c r="F134" s="349">
        <f t="shared" si="28"/>
        <v>315.7371985540903</v>
      </c>
      <c r="G134" s="349">
        <f t="shared" si="29"/>
        <v>0</v>
      </c>
      <c r="H134" s="1395" t="str">
        <f t="shared" si="39"/>
        <v>X</v>
      </c>
      <c r="I134" s="1375" t="s">
        <v>1292</v>
      </c>
      <c r="J134" s="350" t="str">
        <f>IF(B134&lt;&gt;"",+VLOOKUP(I134,Recursos!C:F,2,FALSE),"")</f>
        <v>Relleno y perfilado con Motoniveladora Accesos</v>
      </c>
      <c r="K134" s="351" t="str">
        <f>IF(B134&lt;&gt;"",+VLOOKUP(I134,Recursos!C:F,3,FALSE),"")</f>
        <v>m3</v>
      </c>
      <c r="L134" s="349">
        <f>IF(B134&lt;&gt;"",+VLOOKUP(I134,Recursos!C:F,4,FALSE),"")</f>
        <v>192.68134784762265</v>
      </c>
      <c r="M134" s="331">
        <v>1.2</v>
      </c>
      <c r="N134" s="331">
        <v>1</v>
      </c>
      <c r="O134" s="362">
        <f t="shared" si="53"/>
        <v>1.2</v>
      </c>
      <c r="P134" s="352">
        <f t="shared" si="40"/>
        <v>231.21761741714715</v>
      </c>
      <c r="Q134" s="349">
        <f t="shared" si="41"/>
        <v>0</v>
      </c>
      <c r="R134" s="353">
        <f t="shared" si="42"/>
        <v>0</v>
      </c>
      <c r="S134" s="354">
        <f t="shared" si="30"/>
        <v>0</v>
      </c>
      <c r="T134" s="354">
        <f t="shared" si="31"/>
        <v>0</v>
      </c>
      <c r="U134" s="355">
        <f t="shared" si="32"/>
        <v>0</v>
      </c>
      <c r="V134" s="355">
        <f t="shared" si="33"/>
        <v>0</v>
      </c>
      <c r="W134" s="355">
        <f t="shared" si="34"/>
        <v>0</v>
      </c>
      <c r="X134" s="355">
        <f t="shared" si="35"/>
        <v>315.7371985540903</v>
      </c>
      <c r="Y134" s="396"/>
      <c r="Z134" s="346" t="str">
        <f t="shared" si="43"/>
        <v>0-RELLaccA</v>
      </c>
      <c r="AA134" s="346" t="str">
        <f t="shared" si="44"/>
        <v>0-RELLaccE</v>
      </c>
      <c r="AB134" s="346" t="str">
        <f t="shared" si="45"/>
        <v>0-RELLaccM</v>
      </c>
      <c r="AC134" s="346" t="str">
        <f t="shared" si="46"/>
        <v>0-RELLaccT</v>
      </c>
      <c r="AD134" s="346" t="str">
        <f t="shared" si="47"/>
        <v>0-RELLaccS</v>
      </c>
      <c r="AE134" s="346" t="str">
        <f t="shared" si="48"/>
        <v>0-RELLaccX</v>
      </c>
      <c r="AF134" s="346" t="str">
        <f t="shared" si="49"/>
        <v>0-RELLaccX</v>
      </c>
      <c r="AG134" s="346">
        <f t="shared" si="36"/>
        <v>2</v>
      </c>
      <c r="AH134" s="346">
        <f>IF(B134&lt;&gt;"",+IF(H134="x",+VLOOKUP(I134,'AUX-NIV2'!B:AG,32,FALSE),0),"")</f>
        <v>9</v>
      </c>
      <c r="AI134" s="346" t="str">
        <f t="shared" si="50"/>
        <v>0-RELLacc</v>
      </c>
      <c r="AK134" s="347">
        <f t="shared" si="37"/>
        <v>133</v>
      </c>
      <c r="AL134" s="348">
        <f t="shared" si="51"/>
        <v>134</v>
      </c>
      <c r="AM134" s="347">
        <f t="shared" si="52"/>
        <v>2</v>
      </c>
      <c r="AN134" s="382">
        <f>IF(AND(AH134&gt;0,B134&lt;&gt;""),VLOOKUP(I134,'AUX-NIV2'!$B:$AP,40,FALSE)*O134,0)</f>
        <v>0.1152</v>
      </c>
      <c r="AO134" s="382">
        <f t="shared" si="38"/>
        <v>0.18065454545454546</v>
      </c>
      <c r="AQ134" s="395">
        <f>(IF($H134="x",VLOOKUP($I134,'AUX-NIV2'!$B:$X,'AUX-NIV1'!AQ$3,FALSE),0)+($AV134*'AUX-NIV3'!S$4))*$O134+IF($H134=AQ$4,$P134,0)</f>
        <v>59.326373489874435</v>
      </c>
      <c r="AR134" s="395">
        <f>(IF($H134="x",VLOOKUP($I134,'AUX-NIV2'!$B:$X,'AUX-NIV1'!AR$3,FALSE),0)+($AV134*'AUX-NIV3'!T$4))*$O134+IF($H134=AR$4,$P134,0)</f>
        <v>170.69124392727272</v>
      </c>
      <c r="AS134" s="395">
        <f>(IF($H134="x",VLOOKUP($I134,'AUX-NIV2'!$B:$X,'AUX-NIV1'!AS$3,FALSE),0)+($AV134*'AUX-NIV3'!U$4))*$O134+IF($H134=AS$4,$P134,0)</f>
        <v>1.2</v>
      </c>
      <c r="AT134" s="395">
        <f>(IF($H134="x",VLOOKUP($I134,'AUX-NIV2'!$B:$X,'AUX-NIV1'!AT$3,FALSE),0)+($AV134*'AUX-NIV3'!V$4))*$O134+IF($H134=AT$4,$P134,0)</f>
        <v>0</v>
      </c>
      <c r="AU134" s="395">
        <f>(IF($H134="x",VLOOKUP($I134,'AUX-NIV2'!$B:$X,'AUX-NIV1'!AU$3,FALSE),0)+($AV134*'AUX-NIV3'!W$4))*$O134+IF($H134=AU$4,$P134,0)</f>
        <v>0</v>
      </c>
      <c r="AV134" s="395">
        <f>+IF($H134="x",VLOOKUP($I134,'AUX-NIV2'!$B:$X,'AUX-NIV1'!AV$3,FALSE),0)</f>
        <v>0</v>
      </c>
    </row>
    <row r="135" spans="2:48" ht="13.8" hidden="1" thickBot="1">
      <c r="B135" s="324" t="s">
        <v>90</v>
      </c>
      <c r="C135" s="325" t="s">
        <v>177</v>
      </c>
      <c r="D135" s="326" t="s">
        <v>477</v>
      </c>
      <c r="E135" s="349">
        <f>IF(B135&lt;&gt;"",+SUMIF(Items!C:C,'AUX-NIV1'!B135,Items!H:H),"")</f>
        <v>0</v>
      </c>
      <c r="F135" s="349">
        <f t="shared" ref="F135:F198" si="54">IF(B135&lt;&gt;"",+SUMIF(B:B,B135,P:P),"")</f>
        <v>4181.5420601617097</v>
      </c>
      <c r="G135" s="349">
        <f t="shared" ref="G135:G198" si="55">IF(B135&lt;&gt;"",+SUMIF(B:B,B135,R:R),"")</f>
        <v>0</v>
      </c>
      <c r="H135" s="1395" t="str">
        <f t="shared" si="39"/>
        <v>A</v>
      </c>
      <c r="I135" s="1375" t="s">
        <v>3311</v>
      </c>
      <c r="J135" s="350" t="str">
        <f>IF(B135&lt;&gt;"",+VLOOKUP(I135,Recursos!C:F,2,FALSE),"")</f>
        <v>OPER. EQUIPO</v>
      </c>
      <c r="K135" s="351" t="str">
        <f>IF(B135&lt;&gt;"",+VLOOKUP(I135,Recursos!C:F,3,FALSE),"")</f>
        <v>hh</v>
      </c>
      <c r="L135" s="349">
        <f>IF(B135&lt;&gt;"",+VLOOKUP(I135,Recursos!C:F,4,FALSE),"")</f>
        <v>581.06120476836554</v>
      </c>
      <c r="M135" s="331">
        <v>1</v>
      </c>
      <c r="N135" s="331">
        <v>1</v>
      </c>
      <c r="O135" s="362">
        <f>+M135*N135</f>
        <v>1</v>
      </c>
      <c r="P135" s="352">
        <f t="shared" si="40"/>
        <v>581.06120476836554</v>
      </c>
      <c r="Q135" s="349">
        <f t="shared" si="41"/>
        <v>0</v>
      </c>
      <c r="R135" s="353">
        <f t="shared" si="42"/>
        <v>0</v>
      </c>
      <c r="S135" s="354">
        <f t="shared" ref="S135:S198" si="56">IF(B135&lt;&gt;"",+SUMIF($AF:$AF,Z135,$P:$P),"")</f>
        <v>1426.0220601617102</v>
      </c>
      <c r="T135" s="354">
        <f t="shared" ref="T135:T198" si="57">IF(B135&lt;&gt;"",+SUMIF($AF:$AF,AA135,$P:$P),"")</f>
        <v>2743.02</v>
      </c>
      <c r="U135" s="355">
        <f t="shared" ref="U135:U198" si="58">IF(B135&lt;&gt;"",+SUMIF($AF:$AF,AB135,$P:$P),"")</f>
        <v>12.5</v>
      </c>
      <c r="V135" s="355">
        <f t="shared" ref="V135:V198" si="59">IF(B135&lt;&gt;"",+SUMIF($AF:$AF,AC135,$P:$P),"")</f>
        <v>0</v>
      </c>
      <c r="W135" s="355">
        <f t="shared" ref="W135:W198" si="60">IF(B135&lt;&gt;"",+SUMIF($AF:$AF,AD135,$P:$P),"")</f>
        <v>0</v>
      </c>
      <c r="X135" s="355">
        <f t="shared" ref="X135:X198" si="61">IF(B135&lt;&gt;"",+SUMIF($AF:$AF,AE135,$P:$P),"")</f>
        <v>0</v>
      </c>
      <c r="Y135" s="396"/>
      <c r="Z135" s="346" t="str">
        <f t="shared" si="43"/>
        <v>0-OARTEA</v>
      </c>
      <c r="AA135" s="346" t="str">
        <f t="shared" si="44"/>
        <v>0-OARTEE</v>
      </c>
      <c r="AB135" s="346" t="str">
        <f t="shared" si="45"/>
        <v>0-OARTEM</v>
      </c>
      <c r="AC135" s="346" t="str">
        <f t="shared" si="46"/>
        <v>0-OARTET</v>
      </c>
      <c r="AD135" s="346" t="str">
        <f t="shared" si="47"/>
        <v>0-OARTES</v>
      </c>
      <c r="AE135" s="346" t="str">
        <f t="shared" si="48"/>
        <v>0-OARTEX</v>
      </c>
      <c r="AF135" s="346" t="str">
        <f t="shared" si="49"/>
        <v>0-OARTEA</v>
      </c>
      <c r="AG135" s="346">
        <f t="shared" ref="AG135:AG198" si="62">IF(B135&lt;&gt;"",+COUNTIF(B:B,B135),"")</f>
        <v>5</v>
      </c>
      <c r="AH135" s="346">
        <f>IF(B135&lt;&gt;"",+IF(H135="x",+VLOOKUP(I135,'AUX-NIV2'!B:AG,32,FALSE),0),"")</f>
        <v>0</v>
      </c>
      <c r="AI135" s="346" t="str">
        <f t="shared" si="50"/>
        <v>0-OARTE</v>
      </c>
      <c r="AK135" s="347">
        <f t="shared" ref="AK135:AK198" si="63">IF(B135&lt;&gt;"",+MATCH(B135,B:B,0),"")</f>
        <v>135</v>
      </c>
      <c r="AL135" s="348">
        <f t="shared" si="51"/>
        <v>139</v>
      </c>
      <c r="AM135" s="347">
        <f t="shared" si="52"/>
        <v>1</v>
      </c>
      <c r="AN135" s="382">
        <f>IF(AND(AH135&gt;0,B135&lt;&gt;""),VLOOKUP(I135,'AUX-NIV2'!$B:$AP,40,FALSE)*O135,0)</f>
        <v>0</v>
      </c>
      <c r="AO135" s="382">
        <f t="shared" ref="AO135:AO198" si="64">+IF(B135&lt;&gt;"",SUMIF(AF:AF,Z135,O:O)+SUMIF(Z:Z,Z135,AN:AN),0)</f>
        <v>3</v>
      </c>
      <c r="AQ135" s="395">
        <f>(IF($H135="x",VLOOKUP($I135,'AUX-NIV2'!$B:$X,'AUX-NIV1'!AQ$3,FALSE),0)+($AV135*'AUX-NIV3'!S$4))*$O135+IF($H135=AQ$4,$P135,0)</f>
        <v>581.06120476836554</v>
      </c>
      <c r="AR135" s="395">
        <f>(IF($H135="x",VLOOKUP($I135,'AUX-NIV2'!$B:$X,'AUX-NIV1'!AR$3,FALSE),0)+($AV135*'AUX-NIV3'!T$4))*$O135+IF($H135=AR$4,$P135,0)</f>
        <v>0</v>
      </c>
      <c r="AS135" s="395">
        <f>(IF($H135="x",VLOOKUP($I135,'AUX-NIV2'!$B:$X,'AUX-NIV1'!AS$3,FALSE),0)+($AV135*'AUX-NIV3'!U$4))*$O135+IF($H135=AS$4,$P135,0)</f>
        <v>0</v>
      </c>
      <c r="AT135" s="395">
        <f>(IF($H135="x",VLOOKUP($I135,'AUX-NIV2'!$B:$X,'AUX-NIV1'!AT$3,FALSE),0)+($AV135*'AUX-NIV3'!V$4))*$O135+IF($H135=AT$4,$P135,0)</f>
        <v>0</v>
      </c>
      <c r="AU135" s="395">
        <f>(IF($H135="x",VLOOKUP($I135,'AUX-NIV2'!$B:$X,'AUX-NIV1'!AU$3,FALSE),0)+($AV135*'AUX-NIV3'!W$4))*$O135+IF($H135=AU$4,$P135,0)</f>
        <v>0</v>
      </c>
      <c r="AV135" s="395">
        <f>+IF($H135="x",VLOOKUP($I135,'AUX-NIV2'!$B:$X,'AUX-NIV1'!AV$3,FALSE),0)</f>
        <v>0</v>
      </c>
    </row>
    <row r="136" spans="2:48" ht="13.8" hidden="1" thickBot="1">
      <c r="B136" s="324" t="s">
        <v>90</v>
      </c>
      <c r="C136" s="325" t="s">
        <v>177</v>
      </c>
      <c r="D136" s="326" t="s">
        <v>477</v>
      </c>
      <c r="E136" s="349">
        <f>IF(B136&lt;&gt;"",+SUMIF(Items!C:C,'AUX-NIV1'!B136,Items!H:H),"")</f>
        <v>0</v>
      </c>
      <c r="F136" s="349">
        <f t="shared" si="54"/>
        <v>4181.5420601617097</v>
      </c>
      <c r="G136" s="349">
        <f t="shared" si="55"/>
        <v>0</v>
      </c>
      <c r="H136" s="1395" t="str">
        <f t="shared" ref="H136:H199" si="65">IF(B136&lt;&gt;"",+LEFT(I136,1),"")</f>
        <v>A</v>
      </c>
      <c r="I136" s="1375" t="s">
        <v>1745</v>
      </c>
      <c r="J136" s="350" t="str">
        <f>IF(B136&lt;&gt;"",+VLOOKUP(I136,Recursos!C:F,2,FALSE),"")</f>
        <v>AYUDANTE</v>
      </c>
      <c r="K136" s="351" t="str">
        <f>IF(B136&lt;&gt;"",+VLOOKUP(I136,Recursos!C:F,3,FALSE),"")</f>
        <v>hh</v>
      </c>
      <c r="L136" s="349">
        <f>IF(B136&lt;&gt;"",+VLOOKUP(I136,Recursos!C:F,4,FALSE),"")</f>
        <v>422.48042769667234</v>
      </c>
      <c r="M136" s="331">
        <v>2</v>
      </c>
      <c r="N136" s="331">
        <v>1</v>
      </c>
      <c r="O136" s="362">
        <f>+M136*N136</f>
        <v>2</v>
      </c>
      <c r="P136" s="352">
        <f t="shared" ref="P136:P199" si="66">IF(B136&lt;&gt;"",O136*L136,"")</f>
        <v>844.96085539334467</v>
      </c>
      <c r="Q136" s="349">
        <f t="shared" ref="Q136:Q199" si="67">IF(B136&lt;&gt;"",+O136*E136,"")</f>
        <v>0</v>
      </c>
      <c r="R136" s="353">
        <f t="shared" ref="R136:R199" si="68">IF(B136&lt;&gt;"",Q136*L136,"")</f>
        <v>0</v>
      </c>
      <c r="S136" s="354">
        <f t="shared" si="56"/>
        <v>1426.0220601617102</v>
      </c>
      <c r="T136" s="354">
        <f t="shared" si="57"/>
        <v>2743.02</v>
      </c>
      <c r="U136" s="355">
        <f t="shared" si="58"/>
        <v>12.5</v>
      </c>
      <c r="V136" s="355">
        <f t="shared" si="59"/>
        <v>0</v>
      </c>
      <c r="W136" s="355">
        <f t="shared" si="60"/>
        <v>0</v>
      </c>
      <c r="X136" s="355">
        <f t="shared" si="61"/>
        <v>0</v>
      </c>
      <c r="Y136" s="396"/>
      <c r="Z136" s="346" t="str">
        <f t="shared" ref="Z136:Z199" si="69">IF(B136&lt;&gt;"",+$B136&amp;"A","")</f>
        <v>0-OARTEA</v>
      </c>
      <c r="AA136" s="346" t="str">
        <f t="shared" ref="AA136:AA199" si="70">IF(B136&lt;&gt;"",+$B136&amp;"E","")</f>
        <v>0-OARTEE</v>
      </c>
      <c r="AB136" s="346" t="str">
        <f t="shared" ref="AB136:AB199" si="71">IF(B136&lt;&gt;"",++$B136&amp;"M","")</f>
        <v>0-OARTEM</v>
      </c>
      <c r="AC136" s="346" t="str">
        <f t="shared" ref="AC136:AC199" si="72">IF(B136&lt;&gt;"",+$B136&amp;"T","")</f>
        <v>0-OARTET</v>
      </c>
      <c r="AD136" s="346" t="str">
        <f t="shared" ref="AD136:AD199" si="73">IF(B136&lt;&gt;"",+$B136&amp;"S","")</f>
        <v>0-OARTES</v>
      </c>
      <c r="AE136" s="346" t="str">
        <f t="shared" ref="AE136:AE199" si="74">IF(B136&lt;&gt;"",+$B136&amp;"X","")</f>
        <v>0-OARTEX</v>
      </c>
      <c r="AF136" s="346" t="str">
        <f t="shared" ref="AF136:AF199" si="75">IF(B136&lt;&gt;"",+B136&amp;H136,"")</f>
        <v>0-OARTEA</v>
      </c>
      <c r="AG136" s="346">
        <f t="shared" si="62"/>
        <v>5</v>
      </c>
      <c r="AH136" s="346">
        <f>IF(B136&lt;&gt;"",+IF(H136="x",+VLOOKUP(I136,'AUX-NIV2'!B:AG,32,FALSE),0),"")</f>
        <v>0</v>
      </c>
      <c r="AI136" s="346" t="str">
        <f t="shared" ref="AI136:AI199" si="76">IF(B136&lt;&gt;"",+B136,"")</f>
        <v>0-OARTE</v>
      </c>
      <c r="AK136" s="347">
        <f t="shared" si="63"/>
        <v>135</v>
      </c>
      <c r="AL136" s="348">
        <f t="shared" ref="AL136:AL199" si="77">IF(B136&lt;&gt;"",+AK136+AG136-1,"")</f>
        <v>139</v>
      </c>
      <c r="AM136" s="347">
        <f t="shared" ref="AM136:AM199" si="78">IF(B136&lt;&gt;"",IF(B136=B135,1+AM135,1),"")</f>
        <v>2</v>
      </c>
      <c r="AN136" s="382">
        <f>IF(AND(AH136&gt;0,B136&lt;&gt;""),VLOOKUP(I136,'AUX-NIV2'!$B:$AP,40,FALSE)*O136,0)</f>
        <v>0</v>
      </c>
      <c r="AO136" s="382">
        <f t="shared" si="64"/>
        <v>3</v>
      </c>
      <c r="AQ136" s="395">
        <f>(IF($H136="x",VLOOKUP($I136,'AUX-NIV2'!$B:$X,'AUX-NIV1'!AQ$3,FALSE),0)+($AV136*'AUX-NIV3'!S$4))*$O136+IF($H136=AQ$4,$P136,0)</f>
        <v>844.96085539334467</v>
      </c>
      <c r="AR136" s="395">
        <f>(IF($H136="x",VLOOKUP($I136,'AUX-NIV2'!$B:$X,'AUX-NIV1'!AR$3,FALSE),0)+($AV136*'AUX-NIV3'!T$4))*$O136+IF($H136=AR$4,$P136,0)</f>
        <v>0</v>
      </c>
      <c r="AS136" s="395">
        <f>(IF($H136="x",VLOOKUP($I136,'AUX-NIV2'!$B:$X,'AUX-NIV1'!AS$3,FALSE),0)+($AV136*'AUX-NIV3'!U$4))*$O136+IF($H136=AS$4,$P136,0)</f>
        <v>0</v>
      </c>
      <c r="AT136" s="395">
        <f>(IF($H136="x",VLOOKUP($I136,'AUX-NIV2'!$B:$X,'AUX-NIV1'!AT$3,FALSE),0)+($AV136*'AUX-NIV3'!V$4))*$O136+IF($H136=AT$4,$P136,0)</f>
        <v>0</v>
      </c>
      <c r="AU136" s="395">
        <f>(IF($H136="x",VLOOKUP($I136,'AUX-NIV2'!$B:$X,'AUX-NIV1'!AU$3,FALSE),0)+($AV136*'AUX-NIV3'!W$4))*$O136+IF($H136=AU$4,$P136,0)</f>
        <v>0</v>
      </c>
      <c r="AV136" s="395">
        <f>+IF($H136="x",VLOOKUP($I136,'AUX-NIV2'!$B:$X,'AUX-NIV1'!AV$3,FALSE),0)</f>
        <v>0</v>
      </c>
    </row>
    <row r="137" spans="2:48" ht="13.8" hidden="1" thickBot="1">
      <c r="B137" s="324" t="s">
        <v>90</v>
      </c>
      <c r="C137" s="325" t="s">
        <v>177</v>
      </c>
      <c r="D137" s="326" t="s">
        <v>477</v>
      </c>
      <c r="E137" s="349">
        <f>IF(B137&lt;&gt;"",+SUMIF(Items!C:C,'AUX-NIV1'!B137,Items!H:H),"")</f>
        <v>0</v>
      </c>
      <c r="F137" s="349">
        <f t="shared" si="54"/>
        <v>4181.5420601617097</v>
      </c>
      <c r="G137" s="349">
        <f t="shared" si="55"/>
        <v>0</v>
      </c>
      <c r="H137" s="1395" t="str">
        <f t="shared" si="65"/>
        <v>E</v>
      </c>
      <c r="I137" s="1375" t="s">
        <v>1552</v>
      </c>
      <c r="J137" s="350" t="str">
        <f>IF(B137&lt;&gt;"",+VLOOKUP(I137,Recursos!C:F,2,FALSE),"")</f>
        <v>RETROEXCAVADORA S/CARRILES  0,9 M2</v>
      </c>
      <c r="K137" s="351" t="str">
        <f>IF(B137&lt;&gt;"",+VLOOKUP(I137,Recursos!C:F,3,FALSE),"")</f>
        <v>HR</v>
      </c>
      <c r="L137" s="349">
        <f>IF(B137&lt;&gt;"",+VLOOKUP(I137,Recursos!C:F,4,FALSE),"")</f>
        <v>2743.02</v>
      </c>
      <c r="M137" s="331">
        <v>1</v>
      </c>
      <c r="N137" s="331">
        <v>1</v>
      </c>
      <c r="O137" s="362">
        <f>+M137*N137</f>
        <v>1</v>
      </c>
      <c r="P137" s="352">
        <f t="shared" si="66"/>
        <v>2743.02</v>
      </c>
      <c r="Q137" s="349">
        <f t="shared" si="67"/>
        <v>0</v>
      </c>
      <c r="R137" s="353">
        <f t="shared" si="68"/>
        <v>0</v>
      </c>
      <c r="S137" s="354">
        <f t="shared" si="56"/>
        <v>1426.0220601617102</v>
      </c>
      <c r="T137" s="354">
        <f t="shared" si="57"/>
        <v>2743.02</v>
      </c>
      <c r="U137" s="355">
        <f t="shared" si="58"/>
        <v>12.5</v>
      </c>
      <c r="V137" s="355">
        <f t="shared" si="59"/>
        <v>0</v>
      </c>
      <c r="W137" s="355">
        <f t="shared" si="60"/>
        <v>0</v>
      </c>
      <c r="X137" s="355">
        <f t="shared" si="61"/>
        <v>0</v>
      </c>
      <c r="Y137" s="396"/>
      <c r="Z137" s="346" t="str">
        <f t="shared" si="69"/>
        <v>0-OARTEA</v>
      </c>
      <c r="AA137" s="346" t="str">
        <f t="shared" si="70"/>
        <v>0-OARTEE</v>
      </c>
      <c r="AB137" s="346" t="str">
        <f t="shared" si="71"/>
        <v>0-OARTEM</v>
      </c>
      <c r="AC137" s="346" t="str">
        <f t="shared" si="72"/>
        <v>0-OARTET</v>
      </c>
      <c r="AD137" s="346" t="str">
        <f t="shared" si="73"/>
        <v>0-OARTES</v>
      </c>
      <c r="AE137" s="346" t="str">
        <f t="shared" si="74"/>
        <v>0-OARTEX</v>
      </c>
      <c r="AF137" s="346" t="str">
        <f t="shared" si="75"/>
        <v>0-OARTEE</v>
      </c>
      <c r="AG137" s="346">
        <f t="shared" si="62"/>
        <v>5</v>
      </c>
      <c r="AH137" s="346">
        <f>IF(B137&lt;&gt;"",+IF(H137="x",+VLOOKUP(I137,'AUX-NIV2'!B:AG,32,FALSE),0),"")</f>
        <v>0</v>
      </c>
      <c r="AI137" s="346" t="str">
        <f t="shared" si="76"/>
        <v>0-OARTE</v>
      </c>
      <c r="AK137" s="347">
        <f t="shared" si="63"/>
        <v>135</v>
      </c>
      <c r="AL137" s="348">
        <f t="shared" si="77"/>
        <v>139</v>
      </c>
      <c r="AM137" s="347">
        <f t="shared" si="78"/>
        <v>3</v>
      </c>
      <c r="AN137" s="382">
        <f>IF(AND(AH137&gt;0,B137&lt;&gt;""),VLOOKUP(I137,'AUX-NIV2'!$B:$AP,40,FALSE)*O137,0)</f>
        <v>0</v>
      </c>
      <c r="AO137" s="382">
        <f t="shared" si="64"/>
        <v>3</v>
      </c>
      <c r="AQ137" s="395">
        <f>(IF($H137="x",VLOOKUP($I137,'AUX-NIV2'!$B:$X,'AUX-NIV1'!AQ$3,FALSE),0)+($AV137*'AUX-NIV3'!S$4))*$O137+IF($H137=AQ$4,$P137,0)</f>
        <v>0</v>
      </c>
      <c r="AR137" s="395">
        <f>(IF($H137="x",VLOOKUP($I137,'AUX-NIV2'!$B:$X,'AUX-NIV1'!AR$3,FALSE),0)+($AV137*'AUX-NIV3'!T$4))*$O137+IF($H137=AR$4,$P137,0)</f>
        <v>2743.02</v>
      </c>
      <c r="AS137" s="395">
        <f>(IF($H137="x",VLOOKUP($I137,'AUX-NIV2'!$B:$X,'AUX-NIV1'!AS$3,FALSE),0)+($AV137*'AUX-NIV3'!U$4))*$O137+IF($H137=AS$4,$P137,0)</f>
        <v>0</v>
      </c>
      <c r="AT137" s="395">
        <f>(IF($H137="x",VLOOKUP($I137,'AUX-NIV2'!$B:$X,'AUX-NIV1'!AT$3,FALSE),0)+($AV137*'AUX-NIV3'!V$4))*$O137+IF($H137=AT$4,$P137,0)</f>
        <v>0</v>
      </c>
      <c r="AU137" s="395">
        <f>(IF($H137="x",VLOOKUP($I137,'AUX-NIV2'!$B:$X,'AUX-NIV1'!AU$3,FALSE),0)+($AV137*'AUX-NIV3'!W$4))*$O137+IF($H137=AU$4,$P137,0)</f>
        <v>0</v>
      </c>
      <c r="AV137" s="395">
        <f>+IF($H137="x",VLOOKUP($I137,'AUX-NIV2'!$B:$X,'AUX-NIV1'!AV$3,FALSE),0)</f>
        <v>0</v>
      </c>
    </row>
    <row r="138" spans="2:48" ht="13.8" hidden="1" thickBot="1">
      <c r="B138" s="324" t="s">
        <v>90</v>
      </c>
      <c r="C138" s="325" t="s">
        <v>177</v>
      </c>
      <c r="D138" s="326" t="s">
        <v>477</v>
      </c>
      <c r="E138" s="349">
        <f>IF(B138&lt;&gt;"",+SUMIF(Items!C:C,'AUX-NIV1'!B138,Items!H:H),"")</f>
        <v>0</v>
      </c>
      <c r="F138" s="349">
        <f t="shared" si="54"/>
        <v>4181.5420601617097</v>
      </c>
      <c r="G138" s="349">
        <f t="shared" si="55"/>
        <v>0</v>
      </c>
      <c r="H138" s="1395" t="str">
        <f t="shared" si="65"/>
        <v>M</v>
      </c>
      <c r="I138" s="1375" t="s">
        <v>617</v>
      </c>
      <c r="J138" s="350" t="str">
        <f>IF(B138&lt;&gt;"",+VLOOKUP(I138,Recursos!C:F,2,FALSE),"")</f>
        <v>TUBO DE ACERO DE 1,20 DE DIAMETRO</v>
      </c>
      <c r="K138" s="351" t="str">
        <f>IF(B138&lt;&gt;"",+VLOOKUP(I138,Recursos!C:F,3,FALSE),"")</f>
        <v>m</v>
      </c>
      <c r="L138" s="349">
        <f>IF(B138&lt;&gt;"",+VLOOKUP(I138,Recursos!C:F,4,FALSE),"")</f>
        <v>0</v>
      </c>
      <c r="M138" s="331">
        <v>1</v>
      </c>
      <c r="N138" s="331">
        <v>1.1000000000000001</v>
      </c>
      <c r="O138" s="362">
        <f>+M138*N138</f>
        <v>1.1000000000000001</v>
      </c>
      <c r="P138" s="352">
        <f t="shared" si="66"/>
        <v>0</v>
      </c>
      <c r="Q138" s="349">
        <f t="shared" si="67"/>
        <v>0</v>
      </c>
      <c r="R138" s="353">
        <f t="shared" si="68"/>
        <v>0</v>
      </c>
      <c r="S138" s="354">
        <f t="shared" si="56"/>
        <v>1426.0220601617102</v>
      </c>
      <c r="T138" s="354">
        <f t="shared" si="57"/>
        <v>2743.02</v>
      </c>
      <c r="U138" s="355">
        <f t="shared" si="58"/>
        <v>12.5</v>
      </c>
      <c r="V138" s="355">
        <f t="shared" si="59"/>
        <v>0</v>
      </c>
      <c r="W138" s="355">
        <f t="shared" si="60"/>
        <v>0</v>
      </c>
      <c r="X138" s="355">
        <f t="shared" si="61"/>
        <v>0</v>
      </c>
      <c r="Y138" s="396"/>
      <c r="Z138" s="346" t="str">
        <f t="shared" si="69"/>
        <v>0-OARTEA</v>
      </c>
      <c r="AA138" s="346" t="str">
        <f t="shared" si="70"/>
        <v>0-OARTEE</v>
      </c>
      <c r="AB138" s="346" t="str">
        <f t="shared" si="71"/>
        <v>0-OARTEM</v>
      </c>
      <c r="AC138" s="346" t="str">
        <f t="shared" si="72"/>
        <v>0-OARTET</v>
      </c>
      <c r="AD138" s="346" t="str">
        <f t="shared" si="73"/>
        <v>0-OARTES</v>
      </c>
      <c r="AE138" s="346" t="str">
        <f t="shared" si="74"/>
        <v>0-OARTEX</v>
      </c>
      <c r="AF138" s="346" t="str">
        <f t="shared" si="75"/>
        <v>0-OARTEM</v>
      </c>
      <c r="AG138" s="346">
        <f t="shared" si="62"/>
        <v>5</v>
      </c>
      <c r="AH138" s="346">
        <f>IF(B138&lt;&gt;"",+IF(H138="x",+VLOOKUP(I138,'AUX-NIV2'!B:AG,32,FALSE),0),"")</f>
        <v>0</v>
      </c>
      <c r="AI138" s="346" t="str">
        <f t="shared" si="76"/>
        <v>0-OARTE</v>
      </c>
      <c r="AK138" s="347">
        <f t="shared" si="63"/>
        <v>135</v>
      </c>
      <c r="AL138" s="348">
        <f t="shared" si="77"/>
        <v>139</v>
      </c>
      <c r="AM138" s="347">
        <f t="shared" si="78"/>
        <v>4</v>
      </c>
      <c r="AN138" s="382">
        <f>IF(AND(AH138&gt;0,B138&lt;&gt;""),VLOOKUP(I138,'AUX-NIV2'!$B:$AP,40,FALSE)*O138,0)</f>
        <v>0</v>
      </c>
      <c r="AO138" s="382">
        <f t="shared" si="64"/>
        <v>3</v>
      </c>
      <c r="AQ138" s="395">
        <f>(IF($H138="x",VLOOKUP($I138,'AUX-NIV2'!$B:$X,'AUX-NIV1'!AQ$3,FALSE),0)+($AV138*'AUX-NIV3'!S$4))*$O138+IF($H138=AQ$4,$P138,0)</f>
        <v>0</v>
      </c>
      <c r="AR138" s="395">
        <f>(IF($H138="x",VLOOKUP($I138,'AUX-NIV2'!$B:$X,'AUX-NIV1'!AR$3,FALSE),0)+($AV138*'AUX-NIV3'!T$4))*$O138+IF($H138=AR$4,$P138,0)</f>
        <v>0</v>
      </c>
      <c r="AS138" s="395">
        <f>(IF($H138="x",VLOOKUP($I138,'AUX-NIV2'!$B:$X,'AUX-NIV1'!AS$3,FALSE),0)+($AV138*'AUX-NIV3'!U$4))*$O138+IF($H138=AS$4,$P138,0)</f>
        <v>0</v>
      </c>
      <c r="AT138" s="395">
        <f>(IF($H138="x",VLOOKUP($I138,'AUX-NIV2'!$B:$X,'AUX-NIV1'!AT$3,FALSE),0)+($AV138*'AUX-NIV3'!V$4))*$O138+IF($H138=AT$4,$P138,0)</f>
        <v>0</v>
      </c>
      <c r="AU138" s="395">
        <f>(IF($H138="x",VLOOKUP($I138,'AUX-NIV2'!$B:$X,'AUX-NIV1'!AU$3,FALSE),0)+($AV138*'AUX-NIV3'!W$4))*$O138+IF($H138=AU$4,$P138,0)</f>
        <v>0</v>
      </c>
      <c r="AV138" s="395">
        <f>+IF($H138="x",VLOOKUP($I138,'AUX-NIV2'!$B:$X,'AUX-NIV1'!AV$3,FALSE),0)</f>
        <v>0</v>
      </c>
    </row>
    <row r="139" spans="2:48" ht="13.8" hidden="1" thickBot="1">
      <c r="B139" s="324" t="s">
        <v>90</v>
      </c>
      <c r="C139" s="325" t="s">
        <v>177</v>
      </c>
      <c r="D139" s="326" t="s">
        <v>477</v>
      </c>
      <c r="E139" s="349">
        <f>IF(B139&lt;&gt;"",+SUMIF(Items!C:C,'AUX-NIV1'!B139,Items!H:H),"")</f>
        <v>0</v>
      </c>
      <c r="F139" s="349">
        <f t="shared" si="54"/>
        <v>4181.5420601617097</v>
      </c>
      <c r="G139" s="349">
        <f t="shared" si="55"/>
        <v>0</v>
      </c>
      <c r="H139" s="1395" t="str">
        <f t="shared" si="65"/>
        <v>M</v>
      </c>
      <c r="I139" s="1375" t="s">
        <v>621</v>
      </c>
      <c r="J139" s="350" t="str">
        <f>IF(B139&lt;&gt;"",+VLOOKUP(I139,Recursos!C:F,2,FALSE),"")</f>
        <v>MATERIALES VARIOS</v>
      </c>
      <c r="K139" s="351" t="str">
        <f>IF(B139&lt;&gt;"",+VLOOKUP(I139,Recursos!C:F,3,FALSE),"")</f>
        <v>GL</v>
      </c>
      <c r="L139" s="349">
        <f>IF(B139&lt;&gt;"",+VLOOKUP(I139,Recursos!C:F,4,FALSE),"")</f>
        <v>0.5</v>
      </c>
      <c r="M139" s="1491">
        <v>25</v>
      </c>
      <c r="N139" s="1491">
        <v>1</v>
      </c>
      <c r="O139" s="362">
        <f>+M139*N139</f>
        <v>25</v>
      </c>
      <c r="P139" s="352">
        <f t="shared" si="66"/>
        <v>12.5</v>
      </c>
      <c r="Q139" s="349">
        <f t="shared" si="67"/>
        <v>0</v>
      </c>
      <c r="R139" s="353">
        <f t="shared" si="68"/>
        <v>0</v>
      </c>
      <c r="S139" s="354">
        <f t="shared" si="56"/>
        <v>1426.0220601617102</v>
      </c>
      <c r="T139" s="354">
        <f t="shared" si="57"/>
        <v>2743.02</v>
      </c>
      <c r="U139" s="355">
        <f t="shared" si="58"/>
        <v>12.5</v>
      </c>
      <c r="V139" s="355">
        <f t="shared" si="59"/>
        <v>0</v>
      </c>
      <c r="W139" s="355">
        <f t="shared" si="60"/>
        <v>0</v>
      </c>
      <c r="X139" s="355">
        <f t="shared" si="61"/>
        <v>0</v>
      </c>
      <c r="Y139" s="396"/>
      <c r="Z139" s="346" t="str">
        <f t="shared" si="69"/>
        <v>0-OARTEA</v>
      </c>
      <c r="AA139" s="346" t="str">
        <f t="shared" si="70"/>
        <v>0-OARTEE</v>
      </c>
      <c r="AB139" s="346" t="str">
        <f t="shared" si="71"/>
        <v>0-OARTEM</v>
      </c>
      <c r="AC139" s="346" t="str">
        <f t="shared" si="72"/>
        <v>0-OARTET</v>
      </c>
      <c r="AD139" s="346" t="str">
        <f t="shared" si="73"/>
        <v>0-OARTES</v>
      </c>
      <c r="AE139" s="346" t="str">
        <f t="shared" si="74"/>
        <v>0-OARTEX</v>
      </c>
      <c r="AF139" s="346" t="str">
        <f t="shared" si="75"/>
        <v>0-OARTEM</v>
      </c>
      <c r="AG139" s="346">
        <f t="shared" si="62"/>
        <v>5</v>
      </c>
      <c r="AH139" s="346">
        <f>IF(B139&lt;&gt;"",+IF(H139="x",+VLOOKUP(I139,'AUX-NIV2'!B:AG,32,FALSE),0),"")</f>
        <v>0</v>
      </c>
      <c r="AI139" s="346" t="str">
        <f t="shared" si="76"/>
        <v>0-OARTE</v>
      </c>
      <c r="AK139" s="347">
        <f t="shared" si="63"/>
        <v>135</v>
      </c>
      <c r="AL139" s="348">
        <f t="shared" si="77"/>
        <v>139</v>
      </c>
      <c r="AM139" s="347">
        <f t="shared" si="78"/>
        <v>5</v>
      </c>
      <c r="AN139" s="382">
        <f>IF(AND(AH139&gt;0,B139&lt;&gt;""),VLOOKUP(I139,'AUX-NIV2'!$B:$AP,40,FALSE)*O139,0)</f>
        <v>0</v>
      </c>
      <c r="AO139" s="382">
        <f t="shared" si="64"/>
        <v>3</v>
      </c>
      <c r="AQ139" s="395">
        <f>(IF($H139="x",VLOOKUP($I139,'AUX-NIV2'!$B:$X,'AUX-NIV1'!AQ$3,FALSE),0)+($AV139*'AUX-NIV3'!S$4))*$O139+IF($H139=AQ$4,$P139,0)</f>
        <v>0</v>
      </c>
      <c r="AR139" s="395">
        <f>(IF($H139="x",VLOOKUP($I139,'AUX-NIV2'!$B:$X,'AUX-NIV1'!AR$3,FALSE),0)+($AV139*'AUX-NIV3'!T$4))*$O139+IF($H139=AR$4,$P139,0)</f>
        <v>0</v>
      </c>
      <c r="AS139" s="395">
        <f>(IF($H139="x",VLOOKUP($I139,'AUX-NIV2'!$B:$X,'AUX-NIV1'!AS$3,FALSE),0)+($AV139*'AUX-NIV3'!U$4))*$O139+IF($H139=AS$4,$P139,0)</f>
        <v>12.5</v>
      </c>
      <c r="AT139" s="395">
        <f>(IF($H139="x",VLOOKUP($I139,'AUX-NIV2'!$B:$X,'AUX-NIV1'!AT$3,FALSE),0)+($AV139*'AUX-NIV3'!V$4))*$O139+IF($H139=AT$4,$P139,0)</f>
        <v>0</v>
      </c>
      <c r="AU139" s="395">
        <f>(IF($H139="x",VLOOKUP($I139,'AUX-NIV2'!$B:$X,'AUX-NIV1'!AU$3,FALSE),0)+($AV139*'AUX-NIV3'!W$4))*$O139+IF($H139=AU$4,$P139,0)</f>
        <v>0</v>
      </c>
      <c r="AV139" s="395">
        <f>+IF($H139="x",VLOOKUP($I139,'AUX-NIV2'!$B:$X,'AUX-NIV1'!AV$3,FALSE),0)</f>
        <v>0</v>
      </c>
    </row>
    <row r="140" spans="2:48" ht="13.8" thickTop="1">
      <c r="B140" s="324" t="s">
        <v>94</v>
      </c>
      <c r="C140" s="325" t="s">
        <v>1167</v>
      </c>
      <c r="D140" s="326" t="s">
        <v>1168</v>
      </c>
      <c r="E140" s="349">
        <f>IF(B140&lt;&gt;"",+SUMIF(Items!C:C,'AUX-NIV1'!B140,Items!H:H),"")</f>
        <v>2</v>
      </c>
      <c r="F140" s="349">
        <f t="shared" si="54"/>
        <v>97901.978339700348</v>
      </c>
      <c r="G140" s="349">
        <f t="shared" si="55"/>
        <v>195803.9566794007</v>
      </c>
      <c r="H140" s="1395" t="str">
        <f t="shared" si="65"/>
        <v>A</v>
      </c>
      <c r="I140" s="1375" t="s">
        <v>397</v>
      </c>
      <c r="J140" s="350" t="str">
        <f>IF(B140&lt;&gt;"",+VLOOKUP(I140,Recursos!C:F,2,FALSE),"")</f>
        <v>Director de Obra</v>
      </c>
      <c r="K140" s="351" t="str">
        <f>IF(B140&lt;&gt;"",+VLOOKUP(I140,Recursos!C:F,3,FALSE),"")</f>
        <v>hh</v>
      </c>
      <c r="L140" s="1475">
        <f>IF(B140&lt;&gt;"",+VLOOKUP(I140,Recursos!C:F,4,FALSE),"")</f>
        <v>363.00420460475482</v>
      </c>
      <c r="M140" s="705">
        <f>ROUND(Datos!N40,0)</f>
        <v>190</v>
      </c>
      <c r="N140" s="1492">
        <f>Organig!L9</f>
        <v>1</v>
      </c>
      <c r="O140" s="1490">
        <f>+M140*N140*plazo/plaef</f>
        <v>190</v>
      </c>
      <c r="P140" s="352">
        <f t="shared" si="66"/>
        <v>68970.798874903412</v>
      </c>
      <c r="Q140" s="349">
        <f t="shared" si="67"/>
        <v>380</v>
      </c>
      <c r="R140" s="353">
        <f t="shared" si="68"/>
        <v>137941.59774980682</v>
      </c>
      <c r="S140" s="354">
        <f t="shared" si="56"/>
        <v>97901.978339700348</v>
      </c>
      <c r="T140" s="354">
        <f t="shared" si="57"/>
        <v>0</v>
      </c>
      <c r="U140" s="355">
        <f t="shared" si="58"/>
        <v>0</v>
      </c>
      <c r="V140" s="355">
        <f t="shared" si="59"/>
        <v>0</v>
      </c>
      <c r="W140" s="355">
        <f t="shared" si="60"/>
        <v>0</v>
      </c>
      <c r="X140" s="355">
        <f t="shared" si="61"/>
        <v>0</v>
      </c>
      <c r="Y140" s="396"/>
      <c r="Z140" s="346" t="str">
        <f t="shared" si="69"/>
        <v>I-PERSONALA</v>
      </c>
      <c r="AA140" s="346" t="str">
        <f t="shared" si="70"/>
        <v>I-PERSONALE</v>
      </c>
      <c r="AB140" s="346" t="str">
        <f t="shared" si="71"/>
        <v>I-PERSONALM</v>
      </c>
      <c r="AC140" s="346" t="str">
        <f t="shared" si="72"/>
        <v>I-PERSONALT</v>
      </c>
      <c r="AD140" s="346" t="str">
        <f t="shared" si="73"/>
        <v>I-PERSONALS</v>
      </c>
      <c r="AE140" s="346" t="str">
        <f t="shared" si="74"/>
        <v>I-PERSONALX</v>
      </c>
      <c r="AF140" s="346" t="str">
        <f t="shared" si="75"/>
        <v>I-PERSONALA</v>
      </c>
      <c r="AG140" s="346">
        <f t="shared" si="62"/>
        <v>62</v>
      </c>
      <c r="AH140" s="346">
        <f>IF(B140&lt;&gt;"",+IF(H140="x",+VLOOKUP(I140,'AUX-NIV2'!B:AG,32,FALSE),0),"")</f>
        <v>0</v>
      </c>
      <c r="AI140" s="346" t="str">
        <f t="shared" si="76"/>
        <v>I-PERSONAL</v>
      </c>
      <c r="AK140" s="347">
        <f t="shared" si="63"/>
        <v>140</v>
      </c>
      <c r="AL140" s="348">
        <f t="shared" si="77"/>
        <v>201</v>
      </c>
      <c r="AM140" s="347">
        <f t="shared" si="78"/>
        <v>1</v>
      </c>
      <c r="AN140" s="382">
        <f>IF(AND(AH140&gt;0,B140&lt;&gt;""),VLOOKUP(I140,'AUX-NIV2'!$B:$AP,40,FALSE)*O140,0)</f>
        <v>0</v>
      </c>
      <c r="AO140" s="382">
        <f t="shared" si="64"/>
        <v>285</v>
      </c>
      <c r="AQ140" s="395">
        <f>(IF($H140="x",VLOOKUP($I140,'AUX-NIV2'!$B:$X,'AUX-NIV1'!AQ$3,FALSE),0)+($AV140*'AUX-NIV3'!S$4))*$O140+IF($H140=AQ$4,$P140,0)</f>
        <v>68970.798874903412</v>
      </c>
      <c r="AR140" s="395">
        <f>(IF($H140="x",VLOOKUP($I140,'AUX-NIV2'!$B:$X,'AUX-NIV1'!AR$3,FALSE),0)+($AV140*'AUX-NIV3'!T$4))*$O140+IF($H140=AR$4,$P140,0)</f>
        <v>0</v>
      </c>
      <c r="AS140" s="395">
        <f>(IF($H140="x",VLOOKUP($I140,'AUX-NIV2'!$B:$X,'AUX-NIV1'!AS$3,FALSE),0)+($AV140*'AUX-NIV3'!U$4))*$O140+IF($H140=AS$4,$P140,0)</f>
        <v>0</v>
      </c>
      <c r="AT140" s="395">
        <f>(IF($H140="x",VLOOKUP($I140,'AUX-NIV2'!$B:$X,'AUX-NIV1'!AT$3,FALSE),0)+($AV140*'AUX-NIV3'!V$4))*$O140+IF($H140=AT$4,$P140,0)</f>
        <v>0</v>
      </c>
      <c r="AU140" s="395">
        <f>(IF($H140="x",VLOOKUP($I140,'AUX-NIV2'!$B:$X,'AUX-NIV1'!AU$3,FALSE),0)+($AV140*'AUX-NIV3'!W$4))*$O140+IF($H140=AU$4,$P140,0)</f>
        <v>0</v>
      </c>
      <c r="AV140" s="395">
        <f>+IF($H140="x",VLOOKUP($I140,'AUX-NIV2'!$B:$X,'AUX-NIV1'!AV$3,FALSE),0)</f>
        <v>0</v>
      </c>
    </row>
    <row r="141" spans="2:48">
      <c r="B141" s="324" t="s">
        <v>94</v>
      </c>
      <c r="C141" s="325" t="s">
        <v>1167</v>
      </c>
      <c r="D141" s="326" t="s">
        <v>1168</v>
      </c>
      <c r="E141" s="349">
        <f>IF(B141&lt;&gt;"",+SUMIF(Items!C:C,'AUX-NIV1'!B141,Items!H:H),"")</f>
        <v>2</v>
      </c>
      <c r="F141" s="349">
        <f t="shared" si="54"/>
        <v>97901.978339700348</v>
      </c>
      <c r="G141" s="349">
        <f t="shared" si="55"/>
        <v>195803.9566794007</v>
      </c>
      <c r="H141" s="1395" t="str">
        <f t="shared" si="65"/>
        <v>A</v>
      </c>
      <c r="I141" s="1375" t="s">
        <v>400</v>
      </c>
      <c r="J141" s="350" t="str">
        <f>IF(B141&lt;&gt;"",+VLOOKUP(I141,Recursos!C:F,2,FALSE),"")</f>
        <v>Asesores Externos</v>
      </c>
      <c r="K141" s="351" t="str">
        <f>IF(B141&lt;&gt;"",+VLOOKUP(I141,Recursos!C:F,3,FALSE),"")</f>
        <v>hh</v>
      </c>
      <c r="L141" s="1475">
        <f>IF(B141&lt;&gt;"",+VLOOKUP(I141,Recursos!C:F,4,FALSE),"")</f>
        <v>1473.8481991357087</v>
      </c>
      <c r="M141" s="1493">
        <f>M140</f>
        <v>190</v>
      </c>
      <c r="N141" s="1494">
        <f>Organig!H13</f>
        <v>0</v>
      </c>
      <c r="O141" s="1490">
        <f t="shared" ref="O141:O203" si="79">+M141*N141</f>
        <v>0</v>
      </c>
      <c r="P141" s="352">
        <f t="shared" si="66"/>
        <v>0</v>
      </c>
      <c r="Q141" s="349">
        <f t="shared" si="67"/>
        <v>0</v>
      </c>
      <c r="R141" s="353">
        <f t="shared" si="68"/>
        <v>0</v>
      </c>
      <c r="S141" s="354">
        <f t="shared" si="56"/>
        <v>97901.978339700348</v>
      </c>
      <c r="T141" s="354">
        <f t="shared" si="57"/>
        <v>0</v>
      </c>
      <c r="U141" s="355">
        <f t="shared" si="58"/>
        <v>0</v>
      </c>
      <c r="V141" s="355">
        <f t="shared" si="59"/>
        <v>0</v>
      </c>
      <c r="W141" s="355">
        <f t="shared" si="60"/>
        <v>0</v>
      </c>
      <c r="X141" s="355">
        <f t="shared" si="61"/>
        <v>0</v>
      </c>
      <c r="Y141" s="396"/>
      <c r="Z141" s="346" t="str">
        <f t="shared" si="69"/>
        <v>I-PERSONALA</v>
      </c>
      <c r="AA141" s="346" t="str">
        <f t="shared" si="70"/>
        <v>I-PERSONALE</v>
      </c>
      <c r="AB141" s="346" t="str">
        <f t="shared" si="71"/>
        <v>I-PERSONALM</v>
      </c>
      <c r="AC141" s="346" t="str">
        <f t="shared" si="72"/>
        <v>I-PERSONALT</v>
      </c>
      <c r="AD141" s="346" t="str">
        <f t="shared" si="73"/>
        <v>I-PERSONALS</v>
      </c>
      <c r="AE141" s="346" t="str">
        <f t="shared" si="74"/>
        <v>I-PERSONALX</v>
      </c>
      <c r="AF141" s="346" t="str">
        <f t="shared" si="75"/>
        <v>I-PERSONALA</v>
      </c>
      <c r="AG141" s="346">
        <f t="shared" si="62"/>
        <v>62</v>
      </c>
      <c r="AH141" s="346">
        <f>IF(B141&lt;&gt;"",+IF(H141="x",+VLOOKUP(I141,'AUX-NIV2'!B:AG,32,FALSE),0),"")</f>
        <v>0</v>
      </c>
      <c r="AI141" s="346" t="str">
        <f t="shared" si="76"/>
        <v>I-PERSONAL</v>
      </c>
      <c r="AK141" s="347">
        <f t="shared" si="63"/>
        <v>140</v>
      </c>
      <c r="AL141" s="348">
        <f t="shared" si="77"/>
        <v>201</v>
      </c>
      <c r="AM141" s="347">
        <f t="shared" si="78"/>
        <v>2</v>
      </c>
      <c r="AN141" s="382">
        <f>IF(AND(AH141&gt;0,B141&lt;&gt;""),VLOOKUP(I141,'AUX-NIV2'!$B:$AP,40,FALSE)*O141,0)</f>
        <v>0</v>
      </c>
      <c r="AO141" s="382">
        <f t="shared" si="64"/>
        <v>285</v>
      </c>
      <c r="AQ141" s="395">
        <f>(IF($H141="x",VLOOKUP($I141,'AUX-NIV2'!$B:$X,'AUX-NIV1'!AQ$3,FALSE),0)+($AV141*'AUX-NIV3'!S$4))*$O141+IF($H141=AQ$4,$P141,0)</f>
        <v>0</v>
      </c>
      <c r="AR141" s="395">
        <f>(IF($H141="x",VLOOKUP($I141,'AUX-NIV2'!$B:$X,'AUX-NIV1'!AR$3,FALSE),0)+($AV141*'AUX-NIV3'!T$4))*$O141+IF($H141=AR$4,$P141,0)</f>
        <v>0</v>
      </c>
      <c r="AS141" s="395">
        <f>(IF($H141="x",VLOOKUP($I141,'AUX-NIV2'!$B:$X,'AUX-NIV1'!AS$3,FALSE),0)+($AV141*'AUX-NIV3'!U$4))*$O141+IF($H141=AS$4,$P141,0)</f>
        <v>0</v>
      </c>
      <c r="AT141" s="395">
        <f>(IF($H141="x",VLOOKUP($I141,'AUX-NIV2'!$B:$X,'AUX-NIV1'!AT$3,FALSE),0)+($AV141*'AUX-NIV3'!V$4))*$O141+IF($H141=AT$4,$P141,0)</f>
        <v>0</v>
      </c>
      <c r="AU141" s="395">
        <f>(IF($H141="x",VLOOKUP($I141,'AUX-NIV2'!$B:$X,'AUX-NIV1'!AU$3,FALSE),0)+($AV141*'AUX-NIV3'!W$4))*$O141+IF($H141=AU$4,$P141,0)</f>
        <v>0</v>
      </c>
      <c r="AV141" s="395">
        <f>+IF($H141="x",VLOOKUP($I141,'AUX-NIV2'!$B:$X,'AUX-NIV1'!AV$3,FALSE),0)</f>
        <v>0</v>
      </c>
    </row>
    <row r="142" spans="2:48">
      <c r="B142" s="324" t="s">
        <v>94</v>
      </c>
      <c r="C142" s="325" t="s">
        <v>1167</v>
      </c>
      <c r="D142" s="326" t="s">
        <v>1168</v>
      </c>
      <c r="E142" s="349">
        <f>IF(B142&lt;&gt;"",+SUMIF(Items!C:C,'AUX-NIV1'!B142,Items!H:H),"")</f>
        <v>2</v>
      </c>
      <c r="F142" s="349">
        <f t="shared" si="54"/>
        <v>97901.978339700348</v>
      </c>
      <c r="G142" s="349">
        <f t="shared" si="55"/>
        <v>195803.9566794007</v>
      </c>
      <c r="H142" s="1395" t="str">
        <f t="shared" si="65"/>
        <v>A</v>
      </c>
      <c r="I142" s="1375" t="s">
        <v>401</v>
      </c>
      <c r="J142" s="350" t="str">
        <f>IF(B142&lt;&gt;"",+VLOOKUP(I142,Recursos!C:F,2,FALSE),"")</f>
        <v>Secretaría</v>
      </c>
      <c r="K142" s="351" t="str">
        <f>IF(B142&lt;&gt;"",+VLOOKUP(I142,Recursos!C:F,3,FALSE),"")</f>
        <v>hh</v>
      </c>
      <c r="L142" s="1475">
        <f>IF(B142&lt;&gt;"",+VLOOKUP(I142,Recursos!C:F,4,FALSE),"")</f>
        <v>281.15254184984235</v>
      </c>
      <c r="M142" s="1493">
        <f t="shared" ref="M142:M198" si="80">M141</f>
        <v>190</v>
      </c>
      <c r="N142" s="1494">
        <f>Organig!P13</f>
        <v>0</v>
      </c>
      <c r="O142" s="1490">
        <f t="shared" si="79"/>
        <v>0</v>
      </c>
      <c r="P142" s="352">
        <f t="shared" si="66"/>
        <v>0</v>
      </c>
      <c r="Q142" s="349">
        <f t="shared" si="67"/>
        <v>0</v>
      </c>
      <c r="R142" s="353">
        <f t="shared" si="68"/>
        <v>0</v>
      </c>
      <c r="S142" s="354">
        <f t="shared" si="56"/>
        <v>97901.978339700348</v>
      </c>
      <c r="T142" s="354">
        <f t="shared" si="57"/>
        <v>0</v>
      </c>
      <c r="U142" s="355">
        <f t="shared" si="58"/>
        <v>0</v>
      </c>
      <c r="V142" s="355">
        <f t="shared" si="59"/>
        <v>0</v>
      </c>
      <c r="W142" s="355">
        <f t="shared" si="60"/>
        <v>0</v>
      </c>
      <c r="X142" s="355">
        <f t="shared" si="61"/>
        <v>0</v>
      </c>
      <c r="Y142" s="396"/>
      <c r="Z142" s="346" t="str">
        <f t="shared" si="69"/>
        <v>I-PERSONALA</v>
      </c>
      <c r="AA142" s="346" t="str">
        <f t="shared" si="70"/>
        <v>I-PERSONALE</v>
      </c>
      <c r="AB142" s="346" t="str">
        <f t="shared" si="71"/>
        <v>I-PERSONALM</v>
      </c>
      <c r="AC142" s="346" t="str">
        <f t="shared" si="72"/>
        <v>I-PERSONALT</v>
      </c>
      <c r="AD142" s="346" t="str">
        <f t="shared" si="73"/>
        <v>I-PERSONALS</v>
      </c>
      <c r="AE142" s="346" t="str">
        <f t="shared" si="74"/>
        <v>I-PERSONALX</v>
      </c>
      <c r="AF142" s="346" t="str">
        <f t="shared" si="75"/>
        <v>I-PERSONALA</v>
      </c>
      <c r="AG142" s="346">
        <f t="shared" si="62"/>
        <v>62</v>
      </c>
      <c r="AH142" s="346">
        <f>IF(B142&lt;&gt;"",+IF(H142="x",+VLOOKUP(I142,'AUX-NIV2'!B:AG,32,FALSE),0),"")</f>
        <v>0</v>
      </c>
      <c r="AI142" s="346" t="str">
        <f t="shared" si="76"/>
        <v>I-PERSONAL</v>
      </c>
      <c r="AK142" s="347">
        <f t="shared" si="63"/>
        <v>140</v>
      </c>
      <c r="AL142" s="348">
        <f t="shared" si="77"/>
        <v>201</v>
      </c>
      <c r="AM142" s="347">
        <f t="shared" si="78"/>
        <v>3</v>
      </c>
      <c r="AN142" s="382">
        <f>IF(AND(AH142&gt;0,B142&lt;&gt;""),VLOOKUP(I142,'AUX-NIV2'!$B:$AP,40,FALSE)*O142,0)</f>
        <v>0</v>
      </c>
      <c r="AO142" s="382">
        <f t="shared" si="64"/>
        <v>285</v>
      </c>
      <c r="AQ142" s="395">
        <f>(IF($H142="x",VLOOKUP($I142,'AUX-NIV2'!$B:$X,'AUX-NIV1'!AQ$3,FALSE),0)+($AV142*'AUX-NIV3'!S$4))*$O142+IF($H142=AQ$4,$P142,0)</f>
        <v>0</v>
      </c>
      <c r="AR142" s="395">
        <f>(IF($H142="x",VLOOKUP($I142,'AUX-NIV2'!$B:$X,'AUX-NIV1'!AR$3,FALSE),0)+($AV142*'AUX-NIV3'!T$4))*$O142+IF($H142=AR$4,$P142,0)</f>
        <v>0</v>
      </c>
      <c r="AS142" s="395">
        <f>(IF($H142="x",VLOOKUP($I142,'AUX-NIV2'!$B:$X,'AUX-NIV1'!AS$3,FALSE),0)+($AV142*'AUX-NIV3'!U$4))*$O142+IF($H142=AS$4,$P142,0)</f>
        <v>0</v>
      </c>
      <c r="AT142" s="395">
        <f>(IF($H142="x",VLOOKUP($I142,'AUX-NIV2'!$B:$X,'AUX-NIV1'!AT$3,FALSE),0)+($AV142*'AUX-NIV3'!V$4))*$O142+IF($H142=AT$4,$P142,0)</f>
        <v>0</v>
      </c>
      <c r="AU142" s="395">
        <f>(IF($H142="x",VLOOKUP($I142,'AUX-NIV2'!$B:$X,'AUX-NIV1'!AU$3,FALSE),0)+($AV142*'AUX-NIV3'!W$4))*$O142+IF($H142=AU$4,$P142,0)</f>
        <v>0</v>
      </c>
      <c r="AV142" s="395">
        <f>+IF($H142="x",VLOOKUP($I142,'AUX-NIV2'!$B:$X,'AUX-NIV1'!AV$3,FALSE),0)</f>
        <v>0</v>
      </c>
    </row>
    <row r="143" spans="2:48">
      <c r="B143" s="324" t="s">
        <v>94</v>
      </c>
      <c r="C143" s="325" t="s">
        <v>1167</v>
      </c>
      <c r="D143" s="326" t="s">
        <v>1168</v>
      </c>
      <c r="E143" s="349">
        <f>IF(B143&lt;&gt;"",+SUMIF(Items!C:C,'AUX-NIV1'!B143,Items!H:H),"")</f>
        <v>2</v>
      </c>
      <c r="F143" s="349">
        <f t="shared" si="54"/>
        <v>97901.978339700348</v>
      </c>
      <c r="G143" s="349">
        <f t="shared" si="55"/>
        <v>195803.9566794007</v>
      </c>
      <c r="H143" s="1395" t="str">
        <f t="shared" si="65"/>
        <v>A</v>
      </c>
      <c r="I143" s="1375" t="s">
        <v>402</v>
      </c>
      <c r="J143" s="350" t="str">
        <f>IF(B143&lt;&gt;"",+VLOOKUP(I143,Recursos!C:F,2,FALSE),"")</f>
        <v>Jefe de Obra</v>
      </c>
      <c r="K143" s="351" t="str">
        <f>IF(B143&lt;&gt;"",+VLOOKUP(I143,Recursos!C:F,3,FALSE),"")</f>
        <v>hh</v>
      </c>
      <c r="L143" s="1475">
        <f>IF(B143&lt;&gt;"",+VLOOKUP(I143,Recursos!C:F,4,FALSE),"")</f>
        <v>713.79704498295087</v>
      </c>
      <c r="M143" s="1493">
        <f t="shared" si="80"/>
        <v>190</v>
      </c>
      <c r="N143" s="1494">
        <f>Organig!L17</f>
        <v>0</v>
      </c>
      <c r="O143" s="1490">
        <f t="shared" si="79"/>
        <v>0</v>
      </c>
      <c r="P143" s="352">
        <f t="shared" si="66"/>
        <v>0</v>
      </c>
      <c r="Q143" s="349">
        <f t="shared" si="67"/>
        <v>0</v>
      </c>
      <c r="R143" s="353">
        <f t="shared" si="68"/>
        <v>0</v>
      </c>
      <c r="S143" s="354">
        <f t="shared" si="56"/>
        <v>97901.978339700348</v>
      </c>
      <c r="T143" s="354">
        <f t="shared" si="57"/>
        <v>0</v>
      </c>
      <c r="U143" s="355">
        <f t="shared" si="58"/>
        <v>0</v>
      </c>
      <c r="V143" s="355">
        <f t="shared" si="59"/>
        <v>0</v>
      </c>
      <c r="W143" s="355">
        <f t="shared" si="60"/>
        <v>0</v>
      </c>
      <c r="X143" s="355">
        <f t="shared" si="61"/>
        <v>0</v>
      </c>
      <c r="Y143" s="396"/>
      <c r="Z143" s="346" t="str">
        <f t="shared" si="69"/>
        <v>I-PERSONALA</v>
      </c>
      <c r="AA143" s="346" t="str">
        <f t="shared" si="70"/>
        <v>I-PERSONALE</v>
      </c>
      <c r="AB143" s="346" t="str">
        <f t="shared" si="71"/>
        <v>I-PERSONALM</v>
      </c>
      <c r="AC143" s="346" t="str">
        <f t="shared" si="72"/>
        <v>I-PERSONALT</v>
      </c>
      <c r="AD143" s="346" t="str">
        <f t="shared" si="73"/>
        <v>I-PERSONALS</v>
      </c>
      <c r="AE143" s="346" t="str">
        <f t="shared" si="74"/>
        <v>I-PERSONALX</v>
      </c>
      <c r="AF143" s="346" t="str">
        <f t="shared" si="75"/>
        <v>I-PERSONALA</v>
      </c>
      <c r="AG143" s="346">
        <f t="shared" si="62"/>
        <v>62</v>
      </c>
      <c r="AH143" s="346">
        <f>IF(B143&lt;&gt;"",+IF(H143="x",+VLOOKUP(I143,'AUX-NIV2'!B:AG,32,FALSE),0),"")</f>
        <v>0</v>
      </c>
      <c r="AI143" s="346" t="str">
        <f t="shared" si="76"/>
        <v>I-PERSONAL</v>
      </c>
      <c r="AK143" s="347">
        <f t="shared" si="63"/>
        <v>140</v>
      </c>
      <c r="AL143" s="348">
        <f t="shared" si="77"/>
        <v>201</v>
      </c>
      <c r="AM143" s="347">
        <f t="shared" si="78"/>
        <v>4</v>
      </c>
      <c r="AN143" s="382">
        <f>IF(AND(AH143&gt;0,B143&lt;&gt;""),VLOOKUP(I143,'AUX-NIV2'!$B:$AP,40,FALSE)*O143,0)</f>
        <v>0</v>
      </c>
      <c r="AO143" s="382">
        <f t="shared" si="64"/>
        <v>285</v>
      </c>
      <c r="AQ143" s="395">
        <f>(IF($H143="x",VLOOKUP($I143,'AUX-NIV2'!$B:$X,'AUX-NIV1'!AQ$3,FALSE),0)+($AV143*'AUX-NIV3'!S$4))*$O143+IF($H143=AQ$4,$P143,0)</f>
        <v>0</v>
      </c>
      <c r="AR143" s="395">
        <f>(IF($H143="x",VLOOKUP($I143,'AUX-NIV2'!$B:$X,'AUX-NIV1'!AR$3,FALSE),0)+($AV143*'AUX-NIV3'!T$4))*$O143+IF($H143=AR$4,$P143,0)</f>
        <v>0</v>
      </c>
      <c r="AS143" s="395">
        <f>(IF($H143="x",VLOOKUP($I143,'AUX-NIV2'!$B:$X,'AUX-NIV1'!AS$3,FALSE),0)+($AV143*'AUX-NIV3'!U$4))*$O143+IF($H143=AS$4,$P143,0)</f>
        <v>0</v>
      </c>
      <c r="AT143" s="395">
        <f>(IF($H143="x",VLOOKUP($I143,'AUX-NIV2'!$B:$X,'AUX-NIV1'!AT$3,FALSE),0)+($AV143*'AUX-NIV3'!V$4))*$O143+IF($H143=AT$4,$P143,0)</f>
        <v>0</v>
      </c>
      <c r="AU143" s="395">
        <f>(IF($H143="x",VLOOKUP($I143,'AUX-NIV2'!$B:$X,'AUX-NIV1'!AU$3,FALSE),0)+($AV143*'AUX-NIV3'!W$4))*$O143+IF($H143=AU$4,$P143,0)</f>
        <v>0</v>
      </c>
      <c r="AV143" s="395">
        <f>+IF($H143="x",VLOOKUP($I143,'AUX-NIV2'!$B:$X,'AUX-NIV1'!AV$3,FALSE),0)</f>
        <v>0</v>
      </c>
    </row>
    <row r="144" spans="2:48">
      <c r="B144" s="324" t="s">
        <v>94</v>
      </c>
      <c r="C144" s="325" t="s">
        <v>1167</v>
      </c>
      <c r="D144" s="326" t="s">
        <v>1168</v>
      </c>
      <c r="E144" s="349">
        <f>IF(B144&lt;&gt;"",+SUMIF(Items!C:C,'AUX-NIV1'!B144,Items!H:H),"")</f>
        <v>2</v>
      </c>
      <c r="F144" s="349">
        <f t="shared" si="54"/>
        <v>97901.978339700348</v>
      </c>
      <c r="G144" s="349">
        <f t="shared" si="55"/>
        <v>195803.9566794007</v>
      </c>
      <c r="H144" s="1395" t="str">
        <f t="shared" si="65"/>
        <v>A</v>
      </c>
      <c r="I144" s="1375" t="s">
        <v>403</v>
      </c>
      <c r="J144" s="350" t="str">
        <f>IF(B144&lt;&gt;"",+VLOOKUP(I144,Recursos!C:F,2,FALSE),"")</f>
        <v>Jefe de Seguridad Industrial y Patrimonial</v>
      </c>
      <c r="K144" s="351" t="str">
        <f>IF(B144&lt;&gt;"",+VLOOKUP(I144,Recursos!C:F,3,FALSE),"")</f>
        <v>hh</v>
      </c>
      <c r="L144" s="1475">
        <f>IF(B144&lt;&gt;"",+VLOOKUP(I144,Recursos!C:F,4,FALSE),"")</f>
        <v>538.4006247938529</v>
      </c>
      <c r="M144" s="1493">
        <f t="shared" si="80"/>
        <v>190</v>
      </c>
      <c r="N144" s="1494">
        <f>Organig!D23</f>
        <v>0</v>
      </c>
      <c r="O144" s="1490">
        <f>+M144*N144*plazo/plaef</f>
        <v>0</v>
      </c>
      <c r="P144" s="352">
        <f t="shared" si="66"/>
        <v>0</v>
      </c>
      <c r="Q144" s="349">
        <f t="shared" si="67"/>
        <v>0</v>
      </c>
      <c r="R144" s="353">
        <f t="shared" si="68"/>
        <v>0</v>
      </c>
      <c r="S144" s="354">
        <f t="shared" si="56"/>
        <v>97901.978339700348</v>
      </c>
      <c r="T144" s="354">
        <f t="shared" si="57"/>
        <v>0</v>
      </c>
      <c r="U144" s="355">
        <f t="shared" si="58"/>
        <v>0</v>
      </c>
      <c r="V144" s="355">
        <f t="shared" si="59"/>
        <v>0</v>
      </c>
      <c r="W144" s="355">
        <f t="shared" si="60"/>
        <v>0</v>
      </c>
      <c r="X144" s="355">
        <f t="shared" si="61"/>
        <v>0</v>
      </c>
      <c r="Y144" s="396"/>
      <c r="Z144" s="346" t="str">
        <f t="shared" si="69"/>
        <v>I-PERSONALA</v>
      </c>
      <c r="AA144" s="346" t="str">
        <f t="shared" si="70"/>
        <v>I-PERSONALE</v>
      </c>
      <c r="AB144" s="346" t="str">
        <f t="shared" si="71"/>
        <v>I-PERSONALM</v>
      </c>
      <c r="AC144" s="346" t="str">
        <f t="shared" si="72"/>
        <v>I-PERSONALT</v>
      </c>
      <c r="AD144" s="346" t="str">
        <f t="shared" si="73"/>
        <v>I-PERSONALS</v>
      </c>
      <c r="AE144" s="346" t="str">
        <f t="shared" si="74"/>
        <v>I-PERSONALX</v>
      </c>
      <c r="AF144" s="346" t="str">
        <f t="shared" si="75"/>
        <v>I-PERSONALA</v>
      </c>
      <c r="AG144" s="346">
        <f t="shared" si="62"/>
        <v>62</v>
      </c>
      <c r="AH144" s="346">
        <f>IF(B144&lt;&gt;"",+IF(H144="x",+VLOOKUP(I144,'AUX-NIV2'!B:AG,32,FALSE),0),"")</f>
        <v>0</v>
      </c>
      <c r="AI144" s="346" t="str">
        <f t="shared" si="76"/>
        <v>I-PERSONAL</v>
      </c>
      <c r="AK144" s="347">
        <f t="shared" si="63"/>
        <v>140</v>
      </c>
      <c r="AL144" s="348">
        <f t="shared" si="77"/>
        <v>201</v>
      </c>
      <c r="AM144" s="347">
        <f t="shared" si="78"/>
        <v>5</v>
      </c>
      <c r="AN144" s="382">
        <f>IF(AND(AH144&gt;0,B144&lt;&gt;""),VLOOKUP(I144,'AUX-NIV2'!$B:$AP,40,FALSE)*O144,0)</f>
        <v>0</v>
      </c>
      <c r="AO144" s="382">
        <f t="shared" si="64"/>
        <v>285</v>
      </c>
      <c r="AQ144" s="395">
        <f>(IF($H144="x",VLOOKUP($I144,'AUX-NIV2'!$B:$X,'AUX-NIV1'!AQ$3,FALSE),0)+($AV144*'AUX-NIV3'!S$4))*$O144+IF($H144=AQ$4,$P144,0)</f>
        <v>0</v>
      </c>
      <c r="AR144" s="395">
        <f>(IF($H144="x",VLOOKUP($I144,'AUX-NIV2'!$B:$X,'AUX-NIV1'!AR$3,FALSE),0)+($AV144*'AUX-NIV3'!T$4))*$O144+IF($H144=AR$4,$P144,0)</f>
        <v>0</v>
      </c>
      <c r="AS144" s="395">
        <f>(IF($H144="x",VLOOKUP($I144,'AUX-NIV2'!$B:$X,'AUX-NIV1'!AS$3,FALSE),0)+($AV144*'AUX-NIV3'!U$4))*$O144+IF($H144=AS$4,$P144,0)</f>
        <v>0</v>
      </c>
      <c r="AT144" s="395">
        <f>(IF($H144="x",VLOOKUP($I144,'AUX-NIV2'!$B:$X,'AUX-NIV1'!AT$3,FALSE),0)+($AV144*'AUX-NIV3'!V$4))*$O144+IF($H144=AT$4,$P144,0)</f>
        <v>0</v>
      </c>
      <c r="AU144" s="395">
        <f>(IF($H144="x",VLOOKUP($I144,'AUX-NIV2'!$B:$X,'AUX-NIV1'!AU$3,FALSE),0)+($AV144*'AUX-NIV3'!W$4))*$O144+IF($H144=AU$4,$P144,0)</f>
        <v>0</v>
      </c>
      <c r="AV144" s="395">
        <f>+IF($H144="x",VLOOKUP($I144,'AUX-NIV2'!$B:$X,'AUX-NIV1'!AV$3,FALSE),0)</f>
        <v>0</v>
      </c>
    </row>
    <row r="145" spans="2:48">
      <c r="B145" s="324" t="s">
        <v>94</v>
      </c>
      <c r="C145" s="325" t="s">
        <v>1167</v>
      </c>
      <c r="D145" s="326" t="s">
        <v>1168</v>
      </c>
      <c r="E145" s="349">
        <f>IF(B145&lt;&gt;"",+SUMIF(Items!C:C,'AUX-NIV1'!B145,Items!H:H),"")</f>
        <v>2</v>
      </c>
      <c r="F145" s="349">
        <f t="shared" si="54"/>
        <v>97901.978339700348</v>
      </c>
      <c r="G145" s="349">
        <f t="shared" si="55"/>
        <v>195803.9566794007</v>
      </c>
      <c r="H145" s="1395" t="str">
        <f t="shared" si="65"/>
        <v>A</v>
      </c>
      <c r="I145" s="1375" t="s">
        <v>417</v>
      </c>
      <c r="J145" s="350" t="str">
        <f>IF(B145&lt;&gt;"",+VLOOKUP(I145,Recursos!C:F,2,FALSE),"")</f>
        <v>Jefe de Seguridad Industrial</v>
      </c>
      <c r="K145" s="351" t="str">
        <f>IF(B145&lt;&gt;"",+VLOOKUP(I145,Recursos!C:F,3,FALSE),"")</f>
        <v>hh</v>
      </c>
      <c r="L145" s="1475">
        <f>IF(B145&lt;&gt;"",+VLOOKUP(I145,Recursos!C:F,4,FALSE),"")</f>
        <v>503.32134075603324</v>
      </c>
      <c r="M145" s="1493">
        <f t="shared" si="80"/>
        <v>190</v>
      </c>
      <c r="N145" s="1494">
        <f>Organig!D27</f>
        <v>0</v>
      </c>
      <c r="O145" s="1490">
        <f t="shared" si="79"/>
        <v>0</v>
      </c>
      <c r="P145" s="352">
        <f t="shared" si="66"/>
        <v>0</v>
      </c>
      <c r="Q145" s="349">
        <f t="shared" si="67"/>
        <v>0</v>
      </c>
      <c r="R145" s="353">
        <f t="shared" si="68"/>
        <v>0</v>
      </c>
      <c r="S145" s="354">
        <f t="shared" si="56"/>
        <v>97901.978339700348</v>
      </c>
      <c r="T145" s="354">
        <f t="shared" si="57"/>
        <v>0</v>
      </c>
      <c r="U145" s="355">
        <f t="shared" si="58"/>
        <v>0</v>
      </c>
      <c r="V145" s="355">
        <f t="shared" si="59"/>
        <v>0</v>
      </c>
      <c r="W145" s="355">
        <f t="shared" si="60"/>
        <v>0</v>
      </c>
      <c r="X145" s="355">
        <f t="shared" si="61"/>
        <v>0</v>
      </c>
      <c r="Y145" s="396"/>
      <c r="Z145" s="346" t="str">
        <f t="shared" si="69"/>
        <v>I-PERSONALA</v>
      </c>
      <c r="AA145" s="346" t="str">
        <f t="shared" si="70"/>
        <v>I-PERSONALE</v>
      </c>
      <c r="AB145" s="346" t="str">
        <f t="shared" si="71"/>
        <v>I-PERSONALM</v>
      </c>
      <c r="AC145" s="346" t="str">
        <f t="shared" si="72"/>
        <v>I-PERSONALT</v>
      </c>
      <c r="AD145" s="346" t="str">
        <f t="shared" si="73"/>
        <v>I-PERSONALS</v>
      </c>
      <c r="AE145" s="346" t="str">
        <f t="shared" si="74"/>
        <v>I-PERSONALX</v>
      </c>
      <c r="AF145" s="346" t="str">
        <f t="shared" si="75"/>
        <v>I-PERSONALA</v>
      </c>
      <c r="AG145" s="346">
        <f t="shared" si="62"/>
        <v>62</v>
      </c>
      <c r="AH145" s="346">
        <f>IF(B145&lt;&gt;"",+IF(H145="x",+VLOOKUP(I145,'AUX-NIV2'!B:AG,32,FALSE),0),"")</f>
        <v>0</v>
      </c>
      <c r="AI145" s="346" t="str">
        <f t="shared" si="76"/>
        <v>I-PERSONAL</v>
      </c>
      <c r="AK145" s="347">
        <f t="shared" si="63"/>
        <v>140</v>
      </c>
      <c r="AL145" s="348">
        <f t="shared" si="77"/>
        <v>201</v>
      </c>
      <c r="AM145" s="347">
        <f t="shared" si="78"/>
        <v>6</v>
      </c>
      <c r="AN145" s="382">
        <f>IF(AND(AH145&gt;0,B145&lt;&gt;""),VLOOKUP(I145,'AUX-NIV2'!$B:$AP,40,FALSE)*O145,0)</f>
        <v>0</v>
      </c>
      <c r="AO145" s="382">
        <f t="shared" si="64"/>
        <v>285</v>
      </c>
      <c r="AQ145" s="395">
        <f>(IF($H145="x",VLOOKUP($I145,'AUX-NIV2'!$B:$X,'AUX-NIV1'!AQ$3,FALSE),0)+($AV145*'AUX-NIV3'!S$4))*$O145+IF($H145=AQ$4,$P145,0)</f>
        <v>0</v>
      </c>
      <c r="AR145" s="395">
        <f>(IF($H145="x",VLOOKUP($I145,'AUX-NIV2'!$B:$X,'AUX-NIV1'!AR$3,FALSE),0)+($AV145*'AUX-NIV3'!T$4))*$O145+IF($H145=AR$4,$P145,0)</f>
        <v>0</v>
      </c>
      <c r="AS145" s="395">
        <f>(IF($H145="x",VLOOKUP($I145,'AUX-NIV2'!$B:$X,'AUX-NIV1'!AS$3,FALSE),0)+($AV145*'AUX-NIV3'!U$4))*$O145+IF($H145=AS$4,$P145,0)</f>
        <v>0</v>
      </c>
      <c r="AT145" s="395">
        <f>(IF($H145="x",VLOOKUP($I145,'AUX-NIV2'!$B:$X,'AUX-NIV1'!AT$3,FALSE),0)+($AV145*'AUX-NIV3'!V$4))*$O145+IF($H145=AT$4,$P145,0)</f>
        <v>0</v>
      </c>
      <c r="AU145" s="395">
        <f>(IF($H145="x",VLOOKUP($I145,'AUX-NIV2'!$B:$X,'AUX-NIV1'!AU$3,FALSE),0)+($AV145*'AUX-NIV3'!W$4))*$O145+IF($H145=AU$4,$P145,0)</f>
        <v>0</v>
      </c>
      <c r="AV145" s="395">
        <f>+IF($H145="x",VLOOKUP($I145,'AUX-NIV2'!$B:$X,'AUX-NIV1'!AV$3,FALSE),0)</f>
        <v>0</v>
      </c>
    </row>
    <row r="146" spans="2:48">
      <c r="B146" s="324" t="s">
        <v>94</v>
      </c>
      <c r="C146" s="325" t="s">
        <v>1167</v>
      </c>
      <c r="D146" s="326" t="s">
        <v>1168</v>
      </c>
      <c r="E146" s="349">
        <f>IF(B146&lt;&gt;"",+SUMIF(Items!C:C,'AUX-NIV1'!B146,Items!H:H),"")</f>
        <v>2</v>
      </c>
      <c r="F146" s="349">
        <f t="shared" si="54"/>
        <v>97901.978339700348</v>
      </c>
      <c r="G146" s="349">
        <f t="shared" si="55"/>
        <v>195803.9566794007</v>
      </c>
      <c r="H146" s="1395" t="str">
        <f t="shared" si="65"/>
        <v>A</v>
      </c>
      <c r="I146" s="1375" t="s">
        <v>418</v>
      </c>
      <c r="J146" s="350" t="str">
        <f>IF(B146&lt;&gt;"",+VLOOKUP(I146,Recursos!C:F,2,FALSE),"")</f>
        <v>Jefe de Seguridad Patrimonial</v>
      </c>
      <c r="K146" s="351" t="str">
        <f>IF(B146&lt;&gt;"",+VLOOKUP(I146,Recursos!C:F,3,FALSE),"")</f>
        <v>hh</v>
      </c>
      <c r="L146" s="1475">
        <f>IF(B146&lt;&gt;"",+VLOOKUP(I146,Recursos!C:F,4,FALSE),"")</f>
        <v>538.4006247938529</v>
      </c>
      <c r="M146" s="1493">
        <f t="shared" si="80"/>
        <v>190</v>
      </c>
      <c r="N146" s="1494">
        <f>Organig!D31</f>
        <v>0</v>
      </c>
      <c r="O146" s="1490">
        <f t="shared" si="79"/>
        <v>0</v>
      </c>
      <c r="P146" s="352">
        <f t="shared" si="66"/>
        <v>0</v>
      </c>
      <c r="Q146" s="349">
        <f t="shared" si="67"/>
        <v>0</v>
      </c>
      <c r="R146" s="353">
        <f t="shared" si="68"/>
        <v>0</v>
      </c>
      <c r="S146" s="354">
        <f t="shared" si="56"/>
        <v>97901.978339700348</v>
      </c>
      <c r="T146" s="354">
        <f t="shared" si="57"/>
        <v>0</v>
      </c>
      <c r="U146" s="355">
        <f t="shared" si="58"/>
        <v>0</v>
      </c>
      <c r="V146" s="355">
        <f t="shared" si="59"/>
        <v>0</v>
      </c>
      <c r="W146" s="355">
        <f t="shared" si="60"/>
        <v>0</v>
      </c>
      <c r="X146" s="355">
        <f t="shared" si="61"/>
        <v>0</v>
      </c>
      <c r="Y146" s="396"/>
      <c r="Z146" s="346" t="str">
        <f t="shared" si="69"/>
        <v>I-PERSONALA</v>
      </c>
      <c r="AA146" s="346" t="str">
        <f t="shared" si="70"/>
        <v>I-PERSONALE</v>
      </c>
      <c r="AB146" s="346" t="str">
        <f t="shared" si="71"/>
        <v>I-PERSONALM</v>
      </c>
      <c r="AC146" s="346" t="str">
        <f t="shared" si="72"/>
        <v>I-PERSONALT</v>
      </c>
      <c r="AD146" s="346" t="str">
        <f t="shared" si="73"/>
        <v>I-PERSONALS</v>
      </c>
      <c r="AE146" s="346" t="str">
        <f t="shared" si="74"/>
        <v>I-PERSONALX</v>
      </c>
      <c r="AF146" s="346" t="str">
        <f t="shared" si="75"/>
        <v>I-PERSONALA</v>
      </c>
      <c r="AG146" s="346">
        <f t="shared" si="62"/>
        <v>62</v>
      </c>
      <c r="AH146" s="346">
        <f>IF(B146&lt;&gt;"",+IF(H146="x",+VLOOKUP(I146,'AUX-NIV2'!B:AG,32,FALSE),0),"")</f>
        <v>0</v>
      </c>
      <c r="AI146" s="346" t="str">
        <f t="shared" si="76"/>
        <v>I-PERSONAL</v>
      </c>
      <c r="AK146" s="347">
        <f t="shared" si="63"/>
        <v>140</v>
      </c>
      <c r="AL146" s="348">
        <f t="shared" si="77"/>
        <v>201</v>
      </c>
      <c r="AM146" s="347">
        <f t="shared" si="78"/>
        <v>7</v>
      </c>
      <c r="AN146" s="382">
        <f>IF(AND(AH146&gt;0,B146&lt;&gt;""),VLOOKUP(I146,'AUX-NIV2'!$B:$AP,40,FALSE)*O146,0)</f>
        <v>0</v>
      </c>
      <c r="AO146" s="382">
        <f t="shared" si="64"/>
        <v>285</v>
      </c>
      <c r="AQ146" s="395">
        <f>(IF($H146="x",VLOOKUP($I146,'AUX-NIV2'!$B:$X,'AUX-NIV1'!AQ$3,FALSE),0)+($AV146*'AUX-NIV3'!S$4))*$O146+IF($H146=AQ$4,$P146,0)</f>
        <v>0</v>
      </c>
      <c r="AR146" s="395">
        <f>(IF($H146="x",VLOOKUP($I146,'AUX-NIV2'!$B:$X,'AUX-NIV1'!AR$3,FALSE),0)+($AV146*'AUX-NIV3'!T$4))*$O146+IF($H146=AR$4,$P146,0)</f>
        <v>0</v>
      </c>
      <c r="AS146" s="395">
        <f>(IF($H146="x",VLOOKUP($I146,'AUX-NIV2'!$B:$X,'AUX-NIV1'!AS$3,FALSE),0)+($AV146*'AUX-NIV3'!U$4))*$O146+IF($H146=AS$4,$P146,0)</f>
        <v>0</v>
      </c>
      <c r="AT146" s="395">
        <f>(IF($H146="x",VLOOKUP($I146,'AUX-NIV2'!$B:$X,'AUX-NIV1'!AT$3,FALSE),0)+($AV146*'AUX-NIV3'!V$4))*$O146+IF($H146=AT$4,$P146,0)</f>
        <v>0</v>
      </c>
      <c r="AU146" s="395">
        <f>(IF($H146="x",VLOOKUP($I146,'AUX-NIV2'!$B:$X,'AUX-NIV1'!AU$3,FALSE),0)+($AV146*'AUX-NIV3'!W$4))*$O146+IF($H146=AU$4,$P146,0)</f>
        <v>0</v>
      </c>
      <c r="AV146" s="395">
        <f>+IF($H146="x",VLOOKUP($I146,'AUX-NIV2'!$B:$X,'AUX-NIV1'!AV$3,FALSE),0)</f>
        <v>0</v>
      </c>
    </row>
    <row r="147" spans="2:48">
      <c r="B147" s="324" t="s">
        <v>94</v>
      </c>
      <c r="C147" s="325" t="s">
        <v>1167</v>
      </c>
      <c r="D147" s="326" t="s">
        <v>1168</v>
      </c>
      <c r="E147" s="349">
        <f>IF(B147&lt;&gt;"",+SUMIF(Items!C:C,'AUX-NIV1'!B147,Items!H:H),"")</f>
        <v>2</v>
      </c>
      <c r="F147" s="349">
        <f t="shared" si="54"/>
        <v>97901.978339700348</v>
      </c>
      <c r="G147" s="349">
        <f t="shared" si="55"/>
        <v>195803.9566794007</v>
      </c>
      <c r="H147" s="1395" t="str">
        <f t="shared" si="65"/>
        <v>A</v>
      </c>
      <c r="I147" s="1375" t="s">
        <v>419</v>
      </c>
      <c r="J147" s="350" t="str">
        <f>IF(B147&lt;&gt;"",+VLOOKUP(I147,Recursos!C:F,2,FALSE),"")</f>
        <v>Prevencionistas</v>
      </c>
      <c r="K147" s="351" t="str">
        <f>IF(B147&lt;&gt;"",+VLOOKUP(I147,Recursos!C:F,3,FALSE),"")</f>
        <v>hh</v>
      </c>
      <c r="L147" s="1475">
        <f>IF(B147&lt;&gt;"",+VLOOKUP(I147,Recursos!C:F,4,FALSE),"")</f>
        <v>304.5387312083887</v>
      </c>
      <c r="M147" s="1493">
        <f t="shared" si="80"/>
        <v>190</v>
      </c>
      <c r="N147" s="1494">
        <f>Organig!D35</f>
        <v>0.25</v>
      </c>
      <c r="O147" s="1490">
        <f t="shared" si="79"/>
        <v>47.5</v>
      </c>
      <c r="P147" s="352">
        <f t="shared" si="66"/>
        <v>14465.589732398463</v>
      </c>
      <c r="Q147" s="349">
        <f t="shared" si="67"/>
        <v>95</v>
      </c>
      <c r="R147" s="353">
        <f t="shared" si="68"/>
        <v>28931.179464796925</v>
      </c>
      <c r="S147" s="354">
        <f t="shared" si="56"/>
        <v>97901.978339700348</v>
      </c>
      <c r="T147" s="354">
        <f t="shared" si="57"/>
        <v>0</v>
      </c>
      <c r="U147" s="355">
        <f t="shared" si="58"/>
        <v>0</v>
      </c>
      <c r="V147" s="355">
        <f t="shared" si="59"/>
        <v>0</v>
      </c>
      <c r="W147" s="355">
        <f t="shared" si="60"/>
        <v>0</v>
      </c>
      <c r="X147" s="355">
        <f t="shared" si="61"/>
        <v>0</v>
      </c>
      <c r="Y147" s="396"/>
      <c r="Z147" s="346" t="str">
        <f t="shared" si="69"/>
        <v>I-PERSONALA</v>
      </c>
      <c r="AA147" s="346" t="str">
        <f t="shared" si="70"/>
        <v>I-PERSONALE</v>
      </c>
      <c r="AB147" s="346" t="str">
        <f t="shared" si="71"/>
        <v>I-PERSONALM</v>
      </c>
      <c r="AC147" s="346" t="str">
        <f t="shared" si="72"/>
        <v>I-PERSONALT</v>
      </c>
      <c r="AD147" s="346" t="str">
        <f t="shared" si="73"/>
        <v>I-PERSONALS</v>
      </c>
      <c r="AE147" s="346" t="str">
        <f t="shared" si="74"/>
        <v>I-PERSONALX</v>
      </c>
      <c r="AF147" s="346" t="str">
        <f t="shared" si="75"/>
        <v>I-PERSONALA</v>
      </c>
      <c r="AG147" s="346">
        <f t="shared" si="62"/>
        <v>62</v>
      </c>
      <c r="AH147" s="346">
        <f>IF(B147&lt;&gt;"",+IF(H147="x",+VLOOKUP(I147,'AUX-NIV2'!B:AG,32,FALSE),0),"")</f>
        <v>0</v>
      </c>
      <c r="AI147" s="346" t="str">
        <f t="shared" si="76"/>
        <v>I-PERSONAL</v>
      </c>
      <c r="AK147" s="347">
        <f t="shared" si="63"/>
        <v>140</v>
      </c>
      <c r="AL147" s="348">
        <f t="shared" si="77"/>
        <v>201</v>
      </c>
      <c r="AM147" s="347">
        <f t="shared" si="78"/>
        <v>8</v>
      </c>
      <c r="AN147" s="382">
        <f>IF(AND(AH147&gt;0,B147&lt;&gt;""),VLOOKUP(I147,'AUX-NIV2'!$B:$AP,40,FALSE)*O147,0)</f>
        <v>0</v>
      </c>
      <c r="AO147" s="382">
        <f t="shared" si="64"/>
        <v>285</v>
      </c>
      <c r="AQ147" s="395">
        <f>(IF($H147="x",VLOOKUP($I147,'AUX-NIV2'!$B:$X,'AUX-NIV1'!AQ$3,FALSE),0)+($AV147*'AUX-NIV3'!S$4))*$O147+IF($H147=AQ$4,$P147,0)</f>
        <v>14465.589732398463</v>
      </c>
      <c r="AR147" s="395">
        <f>(IF($H147="x",VLOOKUP($I147,'AUX-NIV2'!$B:$X,'AUX-NIV1'!AR$3,FALSE),0)+($AV147*'AUX-NIV3'!T$4))*$O147+IF($H147=AR$4,$P147,0)</f>
        <v>0</v>
      </c>
      <c r="AS147" s="395">
        <f>(IF($H147="x",VLOOKUP($I147,'AUX-NIV2'!$B:$X,'AUX-NIV1'!AS$3,FALSE),0)+($AV147*'AUX-NIV3'!U$4))*$O147+IF($H147=AS$4,$P147,0)</f>
        <v>0</v>
      </c>
      <c r="AT147" s="395">
        <f>(IF($H147="x",VLOOKUP($I147,'AUX-NIV2'!$B:$X,'AUX-NIV1'!AT$3,FALSE),0)+($AV147*'AUX-NIV3'!V$4))*$O147+IF($H147=AT$4,$P147,0)</f>
        <v>0</v>
      </c>
      <c r="AU147" s="395">
        <f>(IF($H147="x",VLOOKUP($I147,'AUX-NIV2'!$B:$X,'AUX-NIV1'!AU$3,FALSE),0)+($AV147*'AUX-NIV3'!W$4))*$O147+IF($H147=AU$4,$P147,0)</f>
        <v>0</v>
      </c>
      <c r="AV147" s="395">
        <f>+IF($H147="x",VLOOKUP($I147,'AUX-NIV2'!$B:$X,'AUX-NIV1'!AV$3,FALSE),0)</f>
        <v>0</v>
      </c>
    </row>
    <row r="148" spans="2:48">
      <c r="B148" s="324" t="s">
        <v>94</v>
      </c>
      <c r="C148" s="325" t="s">
        <v>1167</v>
      </c>
      <c r="D148" s="326" t="s">
        <v>1168</v>
      </c>
      <c r="E148" s="349">
        <f>IF(B148&lt;&gt;"",+SUMIF(Items!C:C,'AUX-NIV1'!B148,Items!H:H),"")</f>
        <v>2</v>
      </c>
      <c r="F148" s="349">
        <f t="shared" si="54"/>
        <v>97901.978339700348</v>
      </c>
      <c r="G148" s="349">
        <f t="shared" si="55"/>
        <v>195803.9566794007</v>
      </c>
      <c r="H148" s="1395" t="str">
        <f t="shared" si="65"/>
        <v>A</v>
      </c>
      <c r="I148" s="1375" t="s">
        <v>420</v>
      </c>
      <c r="J148" s="350" t="str">
        <f>IF(B148&lt;&gt;"",+VLOOKUP(I148,Recursos!C:F,2,FALSE),"")</f>
        <v xml:space="preserve">Medicos </v>
      </c>
      <c r="K148" s="351" t="str">
        <f>IF(B148&lt;&gt;"",+VLOOKUP(I148,Recursos!C:F,3,FALSE),"")</f>
        <v>hh</v>
      </c>
      <c r="L148" s="1475">
        <f>IF(B148&lt;&gt;"",+VLOOKUP(I148,Recursos!C:F,4,FALSE),"")</f>
        <v>462.39550937857706</v>
      </c>
      <c r="M148" s="1493">
        <f t="shared" si="80"/>
        <v>190</v>
      </c>
      <c r="N148" s="1494">
        <f>Organig!D39</f>
        <v>0</v>
      </c>
      <c r="O148" s="1490">
        <f t="shared" si="79"/>
        <v>0</v>
      </c>
      <c r="P148" s="352">
        <f t="shared" si="66"/>
        <v>0</v>
      </c>
      <c r="Q148" s="349">
        <f t="shared" si="67"/>
        <v>0</v>
      </c>
      <c r="R148" s="353">
        <f t="shared" si="68"/>
        <v>0</v>
      </c>
      <c r="S148" s="354">
        <f t="shared" si="56"/>
        <v>97901.978339700348</v>
      </c>
      <c r="T148" s="354">
        <f t="shared" si="57"/>
        <v>0</v>
      </c>
      <c r="U148" s="355">
        <f t="shared" si="58"/>
        <v>0</v>
      </c>
      <c r="V148" s="355">
        <f t="shared" si="59"/>
        <v>0</v>
      </c>
      <c r="W148" s="355">
        <f t="shared" si="60"/>
        <v>0</v>
      </c>
      <c r="X148" s="355">
        <f t="shared" si="61"/>
        <v>0</v>
      </c>
      <c r="Y148" s="396"/>
      <c r="Z148" s="346" t="str">
        <f t="shared" si="69"/>
        <v>I-PERSONALA</v>
      </c>
      <c r="AA148" s="346" t="str">
        <f t="shared" si="70"/>
        <v>I-PERSONALE</v>
      </c>
      <c r="AB148" s="346" t="str">
        <f t="shared" si="71"/>
        <v>I-PERSONALM</v>
      </c>
      <c r="AC148" s="346" t="str">
        <f t="shared" si="72"/>
        <v>I-PERSONALT</v>
      </c>
      <c r="AD148" s="346" t="str">
        <f t="shared" si="73"/>
        <v>I-PERSONALS</v>
      </c>
      <c r="AE148" s="346" t="str">
        <f t="shared" si="74"/>
        <v>I-PERSONALX</v>
      </c>
      <c r="AF148" s="346" t="str">
        <f t="shared" si="75"/>
        <v>I-PERSONALA</v>
      </c>
      <c r="AG148" s="346">
        <f t="shared" si="62"/>
        <v>62</v>
      </c>
      <c r="AH148" s="346">
        <f>IF(B148&lt;&gt;"",+IF(H148="x",+VLOOKUP(I148,'AUX-NIV2'!B:AG,32,FALSE),0),"")</f>
        <v>0</v>
      </c>
      <c r="AI148" s="346" t="str">
        <f t="shared" si="76"/>
        <v>I-PERSONAL</v>
      </c>
      <c r="AK148" s="347">
        <f t="shared" si="63"/>
        <v>140</v>
      </c>
      <c r="AL148" s="348">
        <f t="shared" si="77"/>
        <v>201</v>
      </c>
      <c r="AM148" s="347">
        <f t="shared" si="78"/>
        <v>9</v>
      </c>
      <c r="AN148" s="382">
        <f>IF(AND(AH148&gt;0,B148&lt;&gt;""),VLOOKUP(I148,'AUX-NIV2'!$B:$AP,40,FALSE)*O148,0)</f>
        <v>0</v>
      </c>
      <c r="AO148" s="382">
        <f t="shared" si="64"/>
        <v>285</v>
      </c>
      <c r="AQ148" s="395">
        <f>(IF($H148="x",VLOOKUP($I148,'AUX-NIV2'!$B:$X,'AUX-NIV1'!AQ$3,FALSE),0)+($AV148*'AUX-NIV3'!S$4))*$O148+IF($H148=AQ$4,$P148,0)</f>
        <v>0</v>
      </c>
      <c r="AR148" s="395">
        <f>(IF($H148="x",VLOOKUP($I148,'AUX-NIV2'!$B:$X,'AUX-NIV1'!AR$3,FALSE),0)+($AV148*'AUX-NIV3'!T$4))*$O148+IF($H148=AR$4,$P148,0)</f>
        <v>0</v>
      </c>
      <c r="AS148" s="395">
        <f>(IF($H148="x",VLOOKUP($I148,'AUX-NIV2'!$B:$X,'AUX-NIV1'!AS$3,FALSE),0)+($AV148*'AUX-NIV3'!U$4))*$O148+IF($H148=AS$4,$P148,0)</f>
        <v>0</v>
      </c>
      <c r="AT148" s="395">
        <f>(IF($H148="x",VLOOKUP($I148,'AUX-NIV2'!$B:$X,'AUX-NIV1'!AT$3,FALSE),0)+($AV148*'AUX-NIV3'!V$4))*$O148+IF($H148=AT$4,$P148,0)</f>
        <v>0</v>
      </c>
      <c r="AU148" s="395">
        <f>(IF($H148="x",VLOOKUP($I148,'AUX-NIV2'!$B:$X,'AUX-NIV1'!AU$3,FALSE),0)+($AV148*'AUX-NIV3'!W$4))*$O148+IF($H148=AU$4,$P148,0)</f>
        <v>0</v>
      </c>
      <c r="AV148" s="395">
        <f>+IF($H148="x",VLOOKUP($I148,'AUX-NIV2'!$B:$X,'AUX-NIV1'!AV$3,FALSE),0)</f>
        <v>0</v>
      </c>
    </row>
    <row r="149" spans="2:48">
      <c r="B149" s="324" t="s">
        <v>94</v>
      </c>
      <c r="C149" s="325" t="s">
        <v>1167</v>
      </c>
      <c r="D149" s="326" t="s">
        <v>1168</v>
      </c>
      <c r="E149" s="349">
        <f>IF(B149&lt;&gt;"",+SUMIF(Items!C:C,'AUX-NIV1'!B149,Items!H:H),"")</f>
        <v>2</v>
      </c>
      <c r="F149" s="349">
        <f t="shared" si="54"/>
        <v>97901.978339700348</v>
      </c>
      <c r="G149" s="349">
        <f t="shared" si="55"/>
        <v>195803.9566794007</v>
      </c>
      <c r="H149" s="1395" t="str">
        <f t="shared" si="65"/>
        <v>A</v>
      </c>
      <c r="I149" s="1375" t="s">
        <v>421</v>
      </c>
      <c r="J149" s="350" t="str">
        <f>IF(B149&lt;&gt;"",+VLOOKUP(I149,Recursos!C:F,2,FALSE),"")</f>
        <v>Enfermeros</v>
      </c>
      <c r="K149" s="351" t="str">
        <f>IF(B149&lt;&gt;"",+VLOOKUP(I149,Recursos!C:F,3,FALSE),"")</f>
        <v>hh</v>
      </c>
      <c r="L149" s="1475">
        <f>IF(B149&lt;&gt;"",+VLOOKUP(I149,Recursos!C:F,4,FALSE),"")</f>
        <v>380.54384662366459</v>
      </c>
      <c r="M149" s="1493">
        <f t="shared" si="80"/>
        <v>190</v>
      </c>
      <c r="N149" s="1494">
        <f>Organig!D43</f>
        <v>0</v>
      </c>
      <c r="O149" s="1490">
        <f t="shared" si="79"/>
        <v>0</v>
      </c>
      <c r="P149" s="352">
        <f t="shared" si="66"/>
        <v>0</v>
      </c>
      <c r="Q149" s="349">
        <f t="shared" si="67"/>
        <v>0</v>
      </c>
      <c r="R149" s="353">
        <f t="shared" si="68"/>
        <v>0</v>
      </c>
      <c r="S149" s="354">
        <f t="shared" si="56"/>
        <v>97901.978339700348</v>
      </c>
      <c r="T149" s="354">
        <f t="shared" si="57"/>
        <v>0</v>
      </c>
      <c r="U149" s="355">
        <f t="shared" si="58"/>
        <v>0</v>
      </c>
      <c r="V149" s="355">
        <f t="shared" si="59"/>
        <v>0</v>
      </c>
      <c r="W149" s="355">
        <f t="shared" si="60"/>
        <v>0</v>
      </c>
      <c r="X149" s="355">
        <f t="shared" si="61"/>
        <v>0</v>
      </c>
      <c r="Y149" s="396"/>
      <c r="Z149" s="346" t="str">
        <f t="shared" si="69"/>
        <v>I-PERSONALA</v>
      </c>
      <c r="AA149" s="346" t="str">
        <f t="shared" si="70"/>
        <v>I-PERSONALE</v>
      </c>
      <c r="AB149" s="346" t="str">
        <f t="shared" si="71"/>
        <v>I-PERSONALM</v>
      </c>
      <c r="AC149" s="346" t="str">
        <f t="shared" si="72"/>
        <v>I-PERSONALT</v>
      </c>
      <c r="AD149" s="346" t="str">
        <f t="shared" si="73"/>
        <v>I-PERSONALS</v>
      </c>
      <c r="AE149" s="346" t="str">
        <f t="shared" si="74"/>
        <v>I-PERSONALX</v>
      </c>
      <c r="AF149" s="346" t="str">
        <f t="shared" si="75"/>
        <v>I-PERSONALA</v>
      </c>
      <c r="AG149" s="346">
        <f t="shared" si="62"/>
        <v>62</v>
      </c>
      <c r="AH149" s="346">
        <f>IF(B149&lt;&gt;"",+IF(H149="x",+VLOOKUP(I149,'AUX-NIV2'!B:AG,32,FALSE),0),"")</f>
        <v>0</v>
      </c>
      <c r="AI149" s="346" t="str">
        <f t="shared" si="76"/>
        <v>I-PERSONAL</v>
      </c>
      <c r="AK149" s="347">
        <f t="shared" si="63"/>
        <v>140</v>
      </c>
      <c r="AL149" s="348">
        <f t="shared" si="77"/>
        <v>201</v>
      </c>
      <c r="AM149" s="347">
        <f t="shared" si="78"/>
        <v>10</v>
      </c>
      <c r="AN149" s="382">
        <f>IF(AND(AH149&gt;0,B149&lt;&gt;""),VLOOKUP(I149,'AUX-NIV2'!$B:$AP,40,FALSE)*O149,0)</f>
        <v>0</v>
      </c>
      <c r="AO149" s="382">
        <f t="shared" si="64"/>
        <v>285</v>
      </c>
      <c r="AQ149" s="395">
        <f>(IF($H149="x",VLOOKUP($I149,'AUX-NIV2'!$B:$X,'AUX-NIV1'!AQ$3,FALSE),0)+($AV149*'AUX-NIV3'!S$4))*$O149+IF($H149=AQ$4,$P149,0)</f>
        <v>0</v>
      </c>
      <c r="AR149" s="395">
        <f>(IF($H149="x",VLOOKUP($I149,'AUX-NIV2'!$B:$X,'AUX-NIV1'!AR$3,FALSE),0)+($AV149*'AUX-NIV3'!T$4))*$O149+IF($H149=AR$4,$P149,0)</f>
        <v>0</v>
      </c>
      <c r="AS149" s="395">
        <f>(IF($H149="x",VLOOKUP($I149,'AUX-NIV2'!$B:$X,'AUX-NIV1'!AS$3,FALSE),0)+($AV149*'AUX-NIV3'!U$4))*$O149+IF($H149=AS$4,$P149,0)</f>
        <v>0</v>
      </c>
      <c r="AT149" s="395">
        <f>(IF($H149="x",VLOOKUP($I149,'AUX-NIV2'!$B:$X,'AUX-NIV1'!AT$3,FALSE),0)+($AV149*'AUX-NIV3'!V$4))*$O149+IF($H149=AT$4,$P149,0)</f>
        <v>0</v>
      </c>
      <c r="AU149" s="395">
        <f>(IF($H149="x",VLOOKUP($I149,'AUX-NIV2'!$B:$X,'AUX-NIV1'!AU$3,FALSE),0)+($AV149*'AUX-NIV3'!W$4))*$O149+IF($H149=AU$4,$P149,0)</f>
        <v>0</v>
      </c>
      <c r="AV149" s="395">
        <f>+IF($H149="x",VLOOKUP($I149,'AUX-NIV2'!$B:$X,'AUX-NIV1'!AV$3,FALSE),0)</f>
        <v>0</v>
      </c>
    </row>
    <row r="150" spans="2:48">
      <c r="B150" s="324" t="s">
        <v>94</v>
      </c>
      <c r="C150" s="325" t="s">
        <v>1167</v>
      </c>
      <c r="D150" s="326" t="s">
        <v>1168</v>
      </c>
      <c r="E150" s="349">
        <f>IF(B150&lt;&gt;"",+SUMIF(Items!C:C,'AUX-NIV1'!B150,Items!H:H),"")</f>
        <v>2</v>
      </c>
      <c r="F150" s="349">
        <f t="shared" si="54"/>
        <v>97901.978339700348</v>
      </c>
      <c r="G150" s="349">
        <f t="shared" si="55"/>
        <v>195803.9566794007</v>
      </c>
      <c r="H150" s="1395" t="str">
        <f t="shared" si="65"/>
        <v>A</v>
      </c>
      <c r="I150" s="1375" t="s">
        <v>422</v>
      </c>
      <c r="J150" s="350" t="str">
        <f>IF(B150&lt;&gt;"",+VLOOKUP(I150,Recursos!C:F,2,FALSE),"")</f>
        <v>Auxiliares Generales</v>
      </c>
      <c r="K150" s="351" t="str">
        <f>IF(B150&lt;&gt;"",+VLOOKUP(I150,Recursos!C:F,3,FALSE),"")</f>
        <v>hh</v>
      </c>
      <c r="L150" s="1475">
        <f>IF(B150&lt;&gt;"",+VLOOKUP(I150,Recursos!C:F,4,FALSE),"")</f>
        <v>281.15254184984235</v>
      </c>
      <c r="M150" s="1493">
        <f t="shared" si="80"/>
        <v>190</v>
      </c>
      <c r="N150" s="1494">
        <f>Organig!D47</f>
        <v>0</v>
      </c>
      <c r="O150" s="1490">
        <f t="shared" si="79"/>
        <v>0</v>
      </c>
      <c r="P150" s="352">
        <f t="shared" si="66"/>
        <v>0</v>
      </c>
      <c r="Q150" s="349">
        <f t="shared" si="67"/>
        <v>0</v>
      </c>
      <c r="R150" s="353">
        <f t="shared" si="68"/>
        <v>0</v>
      </c>
      <c r="S150" s="354">
        <f t="shared" si="56"/>
        <v>97901.978339700348</v>
      </c>
      <c r="T150" s="354">
        <f t="shared" si="57"/>
        <v>0</v>
      </c>
      <c r="U150" s="355">
        <f t="shared" si="58"/>
        <v>0</v>
      </c>
      <c r="V150" s="355">
        <f t="shared" si="59"/>
        <v>0</v>
      </c>
      <c r="W150" s="355">
        <f t="shared" si="60"/>
        <v>0</v>
      </c>
      <c r="X150" s="355">
        <f t="shared" si="61"/>
        <v>0</v>
      </c>
      <c r="Y150" s="396"/>
      <c r="Z150" s="346" t="str">
        <f t="shared" si="69"/>
        <v>I-PERSONALA</v>
      </c>
      <c r="AA150" s="346" t="str">
        <f t="shared" si="70"/>
        <v>I-PERSONALE</v>
      </c>
      <c r="AB150" s="346" t="str">
        <f t="shared" si="71"/>
        <v>I-PERSONALM</v>
      </c>
      <c r="AC150" s="346" t="str">
        <f t="shared" si="72"/>
        <v>I-PERSONALT</v>
      </c>
      <c r="AD150" s="346" t="str">
        <f t="shared" si="73"/>
        <v>I-PERSONALS</v>
      </c>
      <c r="AE150" s="346" t="str">
        <f t="shared" si="74"/>
        <v>I-PERSONALX</v>
      </c>
      <c r="AF150" s="346" t="str">
        <f t="shared" si="75"/>
        <v>I-PERSONALA</v>
      </c>
      <c r="AG150" s="346">
        <f t="shared" si="62"/>
        <v>62</v>
      </c>
      <c r="AH150" s="346">
        <f>IF(B150&lt;&gt;"",+IF(H150="x",+VLOOKUP(I150,'AUX-NIV2'!B:AG,32,FALSE),0),"")</f>
        <v>0</v>
      </c>
      <c r="AI150" s="346" t="str">
        <f t="shared" si="76"/>
        <v>I-PERSONAL</v>
      </c>
      <c r="AK150" s="347">
        <f t="shared" si="63"/>
        <v>140</v>
      </c>
      <c r="AL150" s="348">
        <f t="shared" si="77"/>
        <v>201</v>
      </c>
      <c r="AM150" s="347">
        <f t="shared" si="78"/>
        <v>11</v>
      </c>
      <c r="AN150" s="382">
        <f>IF(AND(AH150&gt;0,B150&lt;&gt;""),VLOOKUP(I150,'AUX-NIV2'!$B:$AP,40,FALSE)*O150,0)</f>
        <v>0</v>
      </c>
      <c r="AO150" s="382">
        <f t="shared" si="64"/>
        <v>285</v>
      </c>
      <c r="AQ150" s="395">
        <f>(IF($H150="x",VLOOKUP($I150,'AUX-NIV2'!$B:$X,'AUX-NIV1'!AQ$3,FALSE),0)+($AV150*'AUX-NIV3'!S$4))*$O150+IF($H150=AQ$4,$P150,0)</f>
        <v>0</v>
      </c>
      <c r="AR150" s="395">
        <f>(IF($H150="x",VLOOKUP($I150,'AUX-NIV2'!$B:$X,'AUX-NIV1'!AR$3,FALSE),0)+($AV150*'AUX-NIV3'!T$4))*$O150+IF($H150=AR$4,$P150,0)</f>
        <v>0</v>
      </c>
      <c r="AS150" s="395">
        <f>(IF($H150="x",VLOOKUP($I150,'AUX-NIV2'!$B:$X,'AUX-NIV1'!AS$3,FALSE),0)+($AV150*'AUX-NIV3'!U$4))*$O150+IF($H150=AS$4,$P150,0)</f>
        <v>0</v>
      </c>
      <c r="AT150" s="395">
        <f>(IF($H150="x",VLOOKUP($I150,'AUX-NIV2'!$B:$X,'AUX-NIV1'!AT$3,FALSE),0)+($AV150*'AUX-NIV3'!V$4))*$O150+IF($H150=AT$4,$P150,0)</f>
        <v>0</v>
      </c>
      <c r="AU150" s="395">
        <f>(IF($H150="x",VLOOKUP($I150,'AUX-NIV2'!$B:$X,'AUX-NIV1'!AU$3,FALSE),0)+($AV150*'AUX-NIV3'!W$4))*$O150+IF($H150=AU$4,$P150,0)</f>
        <v>0</v>
      </c>
      <c r="AV150" s="395">
        <f>+IF($H150="x",VLOOKUP($I150,'AUX-NIV2'!$B:$X,'AUX-NIV1'!AV$3,FALSE),0)</f>
        <v>0</v>
      </c>
    </row>
    <row r="151" spans="2:48">
      <c r="B151" s="324" t="s">
        <v>94</v>
      </c>
      <c r="C151" s="325" t="s">
        <v>1167</v>
      </c>
      <c r="D151" s="326" t="s">
        <v>1168</v>
      </c>
      <c r="E151" s="349">
        <f>IF(B151&lt;&gt;"",+SUMIF(Items!C:C,'AUX-NIV1'!B151,Items!H:H),"")</f>
        <v>2</v>
      </c>
      <c r="F151" s="349">
        <f t="shared" si="54"/>
        <v>97901.978339700348</v>
      </c>
      <c r="G151" s="349">
        <f t="shared" si="55"/>
        <v>195803.9566794007</v>
      </c>
      <c r="H151" s="1395" t="str">
        <f t="shared" si="65"/>
        <v>A</v>
      </c>
      <c r="I151" s="1375" t="s">
        <v>423</v>
      </c>
      <c r="J151" s="350" t="str">
        <f>IF(B151&lt;&gt;"",+VLOOKUP(I151,Recursos!C:F,2,FALSE),"")</f>
        <v>Auxiliares de Vigilancia</v>
      </c>
      <c r="K151" s="351" t="str">
        <f>IF(B151&lt;&gt;"",+VLOOKUP(I151,Recursos!C:F,3,FALSE),"")</f>
        <v>hh</v>
      </c>
      <c r="L151" s="1475">
        <f>IF(B151&lt;&gt;"",+VLOOKUP(I151,Recursos!C:F,4,FALSE),"")</f>
        <v>281.15254184984235</v>
      </c>
      <c r="M151" s="1493">
        <f t="shared" si="80"/>
        <v>190</v>
      </c>
      <c r="N151" s="1494">
        <f>Organig!D51</f>
        <v>0</v>
      </c>
      <c r="O151" s="1490">
        <f t="shared" si="79"/>
        <v>0</v>
      </c>
      <c r="P151" s="352">
        <f t="shared" si="66"/>
        <v>0</v>
      </c>
      <c r="Q151" s="349">
        <f t="shared" si="67"/>
        <v>0</v>
      </c>
      <c r="R151" s="353">
        <f t="shared" si="68"/>
        <v>0</v>
      </c>
      <c r="S151" s="354">
        <f t="shared" si="56"/>
        <v>97901.978339700348</v>
      </c>
      <c r="T151" s="354">
        <f t="shared" si="57"/>
        <v>0</v>
      </c>
      <c r="U151" s="355">
        <f t="shared" si="58"/>
        <v>0</v>
      </c>
      <c r="V151" s="355">
        <f t="shared" si="59"/>
        <v>0</v>
      </c>
      <c r="W151" s="355">
        <f t="shared" si="60"/>
        <v>0</v>
      </c>
      <c r="X151" s="355">
        <f t="shared" si="61"/>
        <v>0</v>
      </c>
      <c r="Y151" s="396"/>
      <c r="Z151" s="346" t="str">
        <f t="shared" si="69"/>
        <v>I-PERSONALA</v>
      </c>
      <c r="AA151" s="346" t="str">
        <f t="shared" si="70"/>
        <v>I-PERSONALE</v>
      </c>
      <c r="AB151" s="346" t="str">
        <f t="shared" si="71"/>
        <v>I-PERSONALM</v>
      </c>
      <c r="AC151" s="346" t="str">
        <f t="shared" si="72"/>
        <v>I-PERSONALT</v>
      </c>
      <c r="AD151" s="346" t="str">
        <f t="shared" si="73"/>
        <v>I-PERSONALS</v>
      </c>
      <c r="AE151" s="346" t="str">
        <f t="shared" si="74"/>
        <v>I-PERSONALX</v>
      </c>
      <c r="AF151" s="346" t="str">
        <f t="shared" si="75"/>
        <v>I-PERSONALA</v>
      </c>
      <c r="AG151" s="346">
        <f t="shared" si="62"/>
        <v>62</v>
      </c>
      <c r="AH151" s="346">
        <f>IF(B151&lt;&gt;"",+IF(H151="x",+VLOOKUP(I151,'AUX-NIV2'!B:AG,32,FALSE),0),"")</f>
        <v>0</v>
      </c>
      <c r="AI151" s="346" t="str">
        <f t="shared" si="76"/>
        <v>I-PERSONAL</v>
      </c>
      <c r="AK151" s="347">
        <f t="shared" si="63"/>
        <v>140</v>
      </c>
      <c r="AL151" s="348">
        <f t="shared" si="77"/>
        <v>201</v>
      </c>
      <c r="AM151" s="347">
        <f t="shared" si="78"/>
        <v>12</v>
      </c>
      <c r="AN151" s="382">
        <f>IF(AND(AH151&gt;0,B151&lt;&gt;""),VLOOKUP(I151,'AUX-NIV2'!$B:$AP,40,FALSE)*O151,0)</f>
        <v>0</v>
      </c>
      <c r="AO151" s="382">
        <f t="shared" si="64"/>
        <v>285</v>
      </c>
      <c r="AQ151" s="395">
        <f>(IF($H151="x",VLOOKUP($I151,'AUX-NIV2'!$B:$X,'AUX-NIV1'!AQ$3,FALSE),0)+($AV151*'AUX-NIV3'!S$4))*$O151+IF($H151=AQ$4,$P151,0)</f>
        <v>0</v>
      </c>
      <c r="AR151" s="395">
        <f>(IF($H151="x",VLOOKUP($I151,'AUX-NIV2'!$B:$X,'AUX-NIV1'!AR$3,FALSE),0)+($AV151*'AUX-NIV3'!T$4))*$O151+IF($H151=AR$4,$P151,0)</f>
        <v>0</v>
      </c>
      <c r="AS151" s="395">
        <f>(IF($H151="x",VLOOKUP($I151,'AUX-NIV2'!$B:$X,'AUX-NIV1'!AS$3,FALSE),0)+($AV151*'AUX-NIV3'!U$4))*$O151+IF($H151=AS$4,$P151,0)</f>
        <v>0</v>
      </c>
      <c r="AT151" s="395">
        <f>(IF($H151="x",VLOOKUP($I151,'AUX-NIV2'!$B:$X,'AUX-NIV1'!AT$3,FALSE),0)+($AV151*'AUX-NIV3'!V$4))*$O151+IF($H151=AT$4,$P151,0)</f>
        <v>0</v>
      </c>
      <c r="AU151" s="395">
        <f>(IF($H151="x",VLOOKUP($I151,'AUX-NIV2'!$B:$X,'AUX-NIV1'!AU$3,FALSE),0)+($AV151*'AUX-NIV3'!W$4))*$O151+IF($H151=AU$4,$P151,0)</f>
        <v>0</v>
      </c>
      <c r="AV151" s="395">
        <f>+IF($H151="x",VLOOKUP($I151,'AUX-NIV2'!$B:$X,'AUX-NIV1'!AV$3,FALSE),0)</f>
        <v>0</v>
      </c>
    </row>
    <row r="152" spans="2:48">
      <c r="B152" s="324" t="s">
        <v>94</v>
      </c>
      <c r="C152" s="325" t="s">
        <v>1167</v>
      </c>
      <c r="D152" s="326" t="s">
        <v>1168</v>
      </c>
      <c r="E152" s="349">
        <f>IF(B152&lt;&gt;"",+SUMIF(Items!C:C,'AUX-NIV1'!B152,Items!H:H),"")</f>
        <v>2</v>
      </c>
      <c r="F152" s="349">
        <f t="shared" si="54"/>
        <v>97901.978339700348</v>
      </c>
      <c r="G152" s="349">
        <f t="shared" si="55"/>
        <v>195803.9566794007</v>
      </c>
      <c r="H152" s="1395" t="str">
        <f t="shared" si="65"/>
        <v>A</v>
      </c>
      <c r="I152" s="1375" t="s">
        <v>424</v>
      </c>
      <c r="J152" s="350" t="str">
        <f>IF(B152&lt;&gt;"",+VLOOKUP(I152,Recursos!C:F,2,FALSE),"")</f>
        <v>Otros</v>
      </c>
      <c r="K152" s="351" t="str">
        <f>IF(B152&lt;&gt;"",+VLOOKUP(I152,Recursos!C:F,3,FALSE),"")</f>
        <v>hh</v>
      </c>
      <c r="L152" s="1475">
        <f>IF(B152&lt;&gt;"",+VLOOKUP(I152,Recursos!C:F,4,FALSE),"")</f>
        <v>281.15254184984235</v>
      </c>
      <c r="M152" s="1493">
        <f t="shared" si="80"/>
        <v>190</v>
      </c>
      <c r="N152" s="1494">
        <f>Organig!D55</f>
        <v>0</v>
      </c>
      <c r="O152" s="1490">
        <f t="shared" si="79"/>
        <v>0</v>
      </c>
      <c r="P152" s="352">
        <f t="shared" si="66"/>
        <v>0</v>
      </c>
      <c r="Q152" s="349">
        <f t="shared" si="67"/>
        <v>0</v>
      </c>
      <c r="R152" s="353">
        <f t="shared" si="68"/>
        <v>0</v>
      </c>
      <c r="S152" s="354">
        <f t="shared" si="56"/>
        <v>97901.978339700348</v>
      </c>
      <c r="T152" s="354">
        <f t="shared" si="57"/>
        <v>0</v>
      </c>
      <c r="U152" s="355">
        <f t="shared" si="58"/>
        <v>0</v>
      </c>
      <c r="V152" s="355">
        <f t="shared" si="59"/>
        <v>0</v>
      </c>
      <c r="W152" s="355">
        <f t="shared" si="60"/>
        <v>0</v>
      </c>
      <c r="X152" s="355">
        <f t="shared" si="61"/>
        <v>0</v>
      </c>
      <c r="Y152" s="396"/>
      <c r="Z152" s="346" t="str">
        <f t="shared" si="69"/>
        <v>I-PERSONALA</v>
      </c>
      <c r="AA152" s="346" t="str">
        <f t="shared" si="70"/>
        <v>I-PERSONALE</v>
      </c>
      <c r="AB152" s="346" t="str">
        <f t="shared" si="71"/>
        <v>I-PERSONALM</v>
      </c>
      <c r="AC152" s="346" t="str">
        <f t="shared" si="72"/>
        <v>I-PERSONALT</v>
      </c>
      <c r="AD152" s="346" t="str">
        <f t="shared" si="73"/>
        <v>I-PERSONALS</v>
      </c>
      <c r="AE152" s="346" t="str">
        <f t="shared" si="74"/>
        <v>I-PERSONALX</v>
      </c>
      <c r="AF152" s="346" t="str">
        <f t="shared" si="75"/>
        <v>I-PERSONALA</v>
      </c>
      <c r="AG152" s="346">
        <f t="shared" si="62"/>
        <v>62</v>
      </c>
      <c r="AH152" s="346">
        <f>IF(B152&lt;&gt;"",+IF(H152="x",+VLOOKUP(I152,'AUX-NIV2'!B:AG,32,FALSE),0),"")</f>
        <v>0</v>
      </c>
      <c r="AI152" s="346" t="str">
        <f t="shared" si="76"/>
        <v>I-PERSONAL</v>
      </c>
      <c r="AK152" s="347">
        <f t="shared" si="63"/>
        <v>140</v>
      </c>
      <c r="AL152" s="348">
        <f t="shared" si="77"/>
        <v>201</v>
      </c>
      <c r="AM152" s="347">
        <f t="shared" si="78"/>
        <v>13</v>
      </c>
      <c r="AN152" s="382">
        <f>IF(AND(AH152&gt;0,B152&lt;&gt;""),VLOOKUP(I152,'AUX-NIV2'!$B:$AP,40,FALSE)*O152,0)</f>
        <v>0</v>
      </c>
      <c r="AO152" s="382">
        <f t="shared" si="64"/>
        <v>285</v>
      </c>
      <c r="AQ152" s="395">
        <f>(IF($H152="x",VLOOKUP($I152,'AUX-NIV2'!$B:$X,'AUX-NIV1'!AQ$3,FALSE),0)+($AV152*'AUX-NIV3'!S$4))*$O152+IF($H152=AQ$4,$P152,0)</f>
        <v>0</v>
      </c>
      <c r="AR152" s="395">
        <f>(IF($H152="x",VLOOKUP($I152,'AUX-NIV2'!$B:$X,'AUX-NIV1'!AR$3,FALSE),0)+($AV152*'AUX-NIV3'!T$4))*$O152+IF($H152=AR$4,$P152,0)</f>
        <v>0</v>
      </c>
      <c r="AS152" s="395">
        <f>(IF($H152="x",VLOOKUP($I152,'AUX-NIV2'!$B:$X,'AUX-NIV1'!AS$3,FALSE),0)+($AV152*'AUX-NIV3'!U$4))*$O152+IF($H152=AS$4,$P152,0)</f>
        <v>0</v>
      </c>
      <c r="AT152" s="395">
        <f>(IF($H152="x",VLOOKUP($I152,'AUX-NIV2'!$B:$X,'AUX-NIV1'!AT$3,FALSE),0)+($AV152*'AUX-NIV3'!V$4))*$O152+IF($H152=AT$4,$P152,0)</f>
        <v>0</v>
      </c>
      <c r="AU152" s="395">
        <f>(IF($H152="x",VLOOKUP($I152,'AUX-NIV2'!$B:$X,'AUX-NIV1'!AU$3,FALSE),0)+($AV152*'AUX-NIV3'!W$4))*$O152+IF($H152=AU$4,$P152,0)</f>
        <v>0</v>
      </c>
      <c r="AV152" s="395">
        <f>+IF($H152="x",VLOOKUP($I152,'AUX-NIV2'!$B:$X,'AUX-NIV1'!AV$3,FALSE),0)</f>
        <v>0</v>
      </c>
    </row>
    <row r="153" spans="2:48">
      <c r="B153" s="324" t="s">
        <v>94</v>
      </c>
      <c r="C153" s="325" t="s">
        <v>1167</v>
      </c>
      <c r="D153" s="326" t="s">
        <v>1168</v>
      </c>
      <c r="E153" s="349">
        <f>IF(B153&lt;&gt;"",+SUMIF(Items!C:C,'AUX-NIV1'!B153,Items!H:H),"")</f>
        <v>2</v>
      </c>
      <c r="F153" s="349">
        <f t="shared" si="54"/>
        <v>97901.978339700348</v>
      </c>
      <c r="G153" s="349">
        <f t="shared" si="55"/>
        <v>195803.9566794007</v>
      </c>
      <c r="H153" s="1395" t="str">
        <f t="shared" si="65"/>
        <v>A</v>
      </c>
      <c r="I153" s="1375" t="s">
        <v>425</v>
      </c>
      <c r="J153" s="350" t="str">
        <f>IF(B153&lt;&gt;"",+VLOOKUP(I153,Recursos!C:F,2,FALSE),"")</f>
        <v>Otros</v>
      </c>
      <c r="K153" s="351" t="str">
        <f>IF(B153&lt;&gt;"",+VLOOKUP(I153,Recursos!C:F,3,FALSE),"")</f>
        <v>hh</v>
      </c>
      <c r="L153" s="1475">
        <f>IF(B153&lt;&gt;"",+VLOOKUP(I153,Recursos!C:F,4,FALSE),"")</f>
        <v>281.15254184984235</v>
      </c>
      <c r="M153" s="1493">
        <f t="shared" si="80"/>
        <v>190</v>
      </c>
      <c r="N153" s="1494">
        <f>Organig!D59</f>
        <v>0</v>
      </c>
      <c r="O153" s="1490">
        <f t="shared" si="79"/>
        <v>0</v>
      </c>
      <c r="P153" s="352">
        <f t="shared" si="66"/>
        <v>0</v>
      </c>
      <c r="Q153" s="349">
        <f t="shared" si="67"/>
        <v>0</v>
      </c>
      <c r="R153" s="353">
        <f t="shared" si="68"/>
        <v>0</v>
      </c>
      <c r="S153" s="354">
        <f t="shared" si="56"/>
        <v>97901.978339700348</v>
      </c>
      <c r="T153" s="354">
        <f t="shared" si="57"/>
        <v>0</v>
      </c>
      <c r="U153" s="355">
        <f t="shared" si="58"/>
        <v>0</v>
      </c>
      <c r="V153" s="355">
        <f t="shared" si="59"/>
        <v>0</v>
      </c>
      <c r="W153" s="355">
        <f t="shared" si="60"/>
        <v>0</v>
      </c>
      <c r="X153" s="355">
        <f t="shared" si="61"/>
        <v>0</v>
      </c>
      <c r="Y153" s="396"/>
      <c r="Z153" s="346" t="str">
        <f t="shared" si="69"/>
        <v>I-PERSONALA</v>
      </c>
      <c r="AA153" s="346" t="str">
        <f t="shared" si="70"/>
        <v>I-PERSONALE</v>
      </c>
      <c r="AB153" s="346" t="str">
        <f t="shared" si="71"/>
        <v>I-PERSONALM</v>
      </c>
      <c r="AC153" s="346" t="str">
        <f t="shared" si="72"/>
        <v>I-PERSONALT</v>
      </c>
      <c r="AD153" s="346" t="str">
        <f t="shared" si="73"/>
        <v>I-PERSONALS</v>
      </c>
      <c r="AE153" s="346" t="str">
        <f t="shared" si="74"/>
        <v>I-PERSONALX</v>
      </c>
      <c r="AF153" s="346" t="str">
        <f t="shared" si="75"/>
        <v>I-PERSONALA</v>
      </c>
      <c r="AG153" s="346">
        <f t="shared" si="62"/>
        <v>62</v>
      </c>
      <c r="AH153" s="346">
        <f>IF(B153&lt;&gt;"",+IF(H153="x",+VLOOKUP(I153,'AUX-NIV2'!B:AG,32,FALSE),0),"")</f>
        <v>0</v>
      </c>
      <c r="AI153" s="346" t="str">
        <f t="shared" si="76"/>
        <v>I-PERSONAL</v>
      </c>
      <c r="AK153" s="347">
        <f t="shared" si="63"/>
        <v>140</v>
      </c>
      <c r="AL153" s="348">
        <f t="shared" si="77"/>
        <v>201</v>
      </c>
      <c r="AM153" s="347">
        <f t="shared" si="78"/>
        <v>14</v>
      </c>
      <c r="AN153" s="382">
        <f>IF(AND(AH153&gt;0,B153&lt;&gt;""),VLOOKUP(I153,'AUX-NIV2'!$B:$AP,40,FALSE)*O153,0)</f>
        <v>0</v>
      </c>
      <c r="AO153" s="382">
        <f t="shared" si="64"/>
        <v>285</v>
      </c>
      <c r="AQ153" s="395">
        <f>(IF($H153="x",VLOOKUP($I153,'AUX-NIV2'!$B:$X,'AUX-NIV1'!AQ$3,FALSE),0)+($AV153*'AUX-NIV3'!S$4))*$O153+IF($H153=AQ$4,$P153,0)</f>
        <v>0</v>
      </c>
      <c r="AR153" s="395">
        <f>(IF($H153="x",VLOOKUP($I153,'AUX-NIV2'!$B:$X,'AUX-NIV1'!AR$3,FALSE),0)+($AV153*'AUX-NIV3'!T$4))*$O153+IF($H153=AR$4,$P153,0)</f>
        <v>0</v>
      </c>
      <c r="AS153" s="395">
        <f>(IF($H153="x",VLOOKUP($I153,'AUX-NIV2'!$B:$X,'AUX-NIV1'!AS$3,FALSE),0)+($AV153*'AUX-NIV3'!U$4))*$O153+IF($H153=AS$4,$P153,0)</f>
        <v>0</v>
      </c>
      <c r="AT153" s="395">
        <f>(IF($H153="x",VLOOKUP($I153,'AUX-NIV2'!$B:$X,'AUX-NIV1'!AT$3,FALSE),0)+($AV153*'AUX-NIV3'!V$4))*$O153+IF($H153=AT$4,$P153,0)</f>
        <v>0</v>
      </c>
      <c r="AU153" s="395">
        <f>(IF($H153="x",VLOOKUP($I153,'AUX-NIV2'!$B:$X,'AUX-NIV1'!AU$3,FALSE),0)+($AV153*'AUX-NIV3'!W$4))*$O153+IF($H153=AU$4,$P153,0)</f>
        <v>0</v>
      </c>
      <c r="AV153" s="395">
        <f>+IF($H153="x",VLOOKUP($I153,'AUX-NIV2'!$B:$X,'AUX-NIV1'!AV$3,FALSE),0)</f>
        <v>0</v>
      </c>
    </row>
    <row r="154" spans="2:48">
      <c r="B154" s="324" t="s">
        <v>94</v>
      </c>
      <c r="C154" s="325" t="s">
        <v>1167</v>
      </c>
      <c r="D154" s="326" t="s">
        <v>1168</v>
      </c>
      <c r="E154" s="349">
        <f>IF(B154&lt;&gt;"",+SUMIF(Items!C:C,'AUX-NIV1'!B154,Items!H:H),"")</f>
        <v>2</v>
      </c>
      <c r="F154" s="349">
        <f t="shared" si="54"/>
        <v>97901.978339700348</v>
      </c>
      <c r="G154" s="349">
        <f t="shared" si="55"/>
        <v>195803.9566794007</v>
      </c>
      <c r="H154" s="1395" t="str">
        <f t="shared" si="65"/>
        <v>A</v>
      </c>
      <c r="I154" s="1375" t="s">
        <v>426</v>
      </c>
      <c r="J154" s="350" t="str">
        <f>IF(B154&lt;&gt;"",+VLOOKUP(I154,Recursos!C:F,2,FALSE),"")</f>
        <v>Jefe Servicios Técnicos</v>
      </c>
      <c r="K154" s="351" t="str">
        <f>IF(B154&lt;&gt;"",+VLOOKUP(I154,Recursos!C:F,3,FALSE),"")</f>
        <v>hh</v>
      </c>
      <c r="L154" s="1475">
        <f>IF(B154&lt;&gt;"",+VLOOKUP(I154,Recursos!C:F,4,FALSE),"")</f>
        <v>503.32134075603324</v>
      </c>
      <c r="M154" s="1493">
        <f t="shared" si="80"/>
        <v>190</v>
      </c>
      <c r="N154" s="1494">
        <f>Organig!H23</f>
        <v>0</v>
      </c>
      <c r="O154" s="1490">
        <f>+M154*N154*plazo/plaef</f>
        <v>0</v>
      </c>
      <c r="P154" s="352">
        <f t="shared" si="66"/>
        <v>0</v>
      </c>
      <c r="Q154" s="349">
        <f t="shared" si="67"/>
        <v>0</v>
      </c>
      <c r="R154" s="353">
        <f t="shared" si="68"/>
        <v>0</v>
      </c>
      <c r="S154" s="354">
        <f t="shared" si="56"/>
        <v>97901.978339700348</v>
      </c>
      <c r="T154" s="354">
        <f t="shared" si="57"/>
        <v>0</v>
      </c>
      <c r="U154" s="355">
        <f t="shared" si="58"/>
        <v>0</v>
      </c>
      <c r="V154" s="355">
        <f t="shared" si="59"/>
        <v>0</v>
      </c>
      <c r="W154" s="355">
        <f t="shared" si="60"/>
        <v>0</v>
      </c>
      <c r="X154" s="355">
        <f t="shared" si="61"/>
        <v>0</v>
      </c>
      <c r="Y154" s="396"/>
      <c r="Z154" s="346" t="str">
        <f t="shared" si="69"/>
        <v>I-PERSONALA</v>
      </c>
      <c r="AA154" s="346" t="str">
        <f t="shared" si="70"/>
        <v>I-PERSONALE</v>
      </c>
      <c r="AB154" s="346" t="str">
        <f t="shared" si="71"/>
        <v>I-PERSONALM</v>
      </c>
      <c r="AC154" s="346" t="str">
        <f t="shared" si="72"/>
        <v>I-PERSONALT</v>
      </c>
      <c r="AD154" s="346" t="str">
        <f t="shared" si="73"/>
        <v>I-PERSONALS</v>
      </c>
      <c r="AE154" s="346" t="str">
        <f t="shared" si="74"/>
        <v>I-PERSONALX</v>
      </c>
      <c r="AF154" s="346" t="str">
        <f t="shared" si="75"/>
        <v>I-PERSONALA</v>
      </c>
      <c r="AG154" s="346">
        <f t="shared" si="62"/>
        <v>62</v>
      </c>
      <c r="AH154" s="346">
        <f>IF(B154&lt;&gt;"",+IF(H154="x",+VLOOKUP(I154,'AUX-NIV2'!B:AG,32,FALSE),0),"")</f>
        <v>0</v>
      </c>
      <c r="AI154" s="346" t="str">
        <f t="shared" si="76"/>
        <v>I-PERSONAL</v>
      </c>
      <c r="AK154" s="347">
        <f t="shared" si="63"/>
        <v>140</v>
      </c>
      <c r="AL154" s="348">
        <f t="shared" si="77"/>
        <v>201</v>
      </c>
      <c r="AM154" s="347">
        <f t="shared" si="78"/>
        <v>15</v>
      </c>
      <c r="AN154" s="382">
        <f>IF(AND(AH154&gt;0,B154&lt;&gt;""),VLOOKUP(I154,'AUX-NIV2'!$B:$AP,40,FALSE)*O154,0)</f>
        <v>0</v>
      </c>
      <c r="AO154" s="382">
        <f t="shared" si="64"/>
        <v>285</v>
      </c>
      <c r="AQ154" s="395">
        <f>(IF($H154="x",VLOOKUP($I154,'AUX-NIV2'!$B:$X,'AUX-NIV1'!AQ$3,FALSE),0)+($AV154*'AUX-NIV3'!S$4))*$O154+IF($H154=AQ$4,$P154,0)</f>
        <v>0</v>
      </c>
      <c r="AR154" s="395">
        <f>(IF($H154="x",VLOOKUP($I154,'AUX-NIV2'!$B:$X,'AUX-NIV1'!AR$3,FALSE),0)+($AV154*'AUX-NIV3'!T$4))*$O154+IF($H154=AR$4,$P154,0)</f>
        <v>0</v>
      </c>
      <c r="AS154" s="395">
        <f>(IF($H154="x",VLOOKUP($I154,'AUX-NIV2'!$B:$X,'AUX-NIV1'!AS$3,FALSE),0)+($AV154*'AUX-NIV3'!U$4))*$O154+IF($H154=AS$4,$P154,0)</f>
        <v>0</v>
      </c>
      <c r="AT154" s="395">
        <f>(IF($H154="x",VLOOKUP($I154,'AUX-NIV2'!$B:$X,'AUX-NIV1'!AT$3,FALSE),0)+($AV154*'AUX-NIV3'!V$4))*$O154+IF($H154=AT$4,$P154,0)</f>
        <v>0</v>
      </c>
      <c r="AU154" s="395">
        <f>(IF($H154="x",VLOOKUP($I154,'AUX-NIV2'!$B:$X,'AUX-NIV1'!AU$3,FALSE),0)+($AV154*'AUX-NIV3'!W$4))*$O154+IF($H154=AU$4,$P154,0)</f>
        <v>0</v>
      </c>
      <c r="AV154" s="395">
        <f>+IF($H154="x",VLOOKUP($I154,'AUX-NIV2'!$B:$X,'AUX-NIV1'!AV$3,FALSE),0)</f>
        <v>0</v>
      </c>
    </row>
    <row r="155" spans="2:48">
      <c r="B155" s="324" t="s">
        <v>94</v>
      </c>
      <c r="C155" s="325" t="s">
        <v>1167</v>
      </c>
      <c r="D155" s="326" t="s">
        <v>1168</v>
      </c>
      <c r="E155" s="349">
        <f>IF(B155&lt;&gt;"",+SUMIF(Items!C:C,'AUX-NIV1'!B155,Items!H:H),"")</f>
        <v>2</v>
      </c>
      <c r="F155" s="349">
        <f t="shared" si="54"/>
        <v>97901.978339700348</v>
      </c>
      <c r="G155" s="349">
        <f t="shared" si="55"/>
        <v>195803.9566794007</v>
      </c>
      <c r="H155" s="1395" t="str">
        <f t="shared" si="65"/>
        <v>A</v>
      </c>
      <c r="I155" s="1375" t="s">
        <v>427</v>
      </c>
      <c r="J155" s="350" t="str">
        <f>IF(B155&lt;&gt;"",+VLOOKUP(I155,Recursos!C:F,2,FALSE),"")</f>
        <v>Jefe Ingeniería</v>
      </c>
      <c r="K155" s="351" t="str">
        <f>IF(B155&lt;&gt;"",+VLOOKUP(I155,Recursos!C:F,3,FALSE),"")</f>
        <v>hh</v>
      </c>
      <c r="L155" s="1475">
        <f>IF(B155&lt;&gt;"",+VLOOKUP(I155,Recursos!C:F,4,FALSE),"")</f>
        <v>458.88758097479513</v>
      </c>
      <c r="M155" s="1493">
        <f t="shared" si="80"/>
        <v>190</v>
      </c>
      <c r="N155" s="1494">
        <f>Organig!H27</f>
        <v>0</v>
      </c>
      <c r="O155" s="1490">
        <f t="shared" si="79"/>
        <v>0</v>
      </c>
      <c r="P155" s="352">
        <f t="shared" si="66"/>
        <v>0</v>
      </c>
      <c r="Q155" s="349">
        <f t="shared" si="67"/>
        <v>0</v>
      </c>
      <c r="R155" s="353">
        <f t="shared" si="68"/>
        <v>0</v>
      </c>
      <c r="S155" s="354">
        <f t="shared" si="56"/>
        <v>97901.978339700348</v>
      </c>
      <c r="T155" s="354">
        <f t="shared" si="57"/>
        <v>0</v>
      </c>
      <c r="U155" s="355">
        <f t="shared" si="58"/>
        <v>0</v>
      </c>
      <c r="V155" s="355">
        <f t="shared" si="59"/>
        <v>0</v>
      </c>
      <c r="W155" s="355">
        <f t="shared" si="60"/>
        <v>0</v>
      </c>
      <c r="X155" s="355">
        <f t="shared" si="61"/>
        <v>0</v>
      </c>
      <c r="Y155" s="396"/>
      <c r="Z155" s="346" t="str">
        <f t="shared" si="69"/>
        <v>I-PERSONALA</v>
      </c>
      <c r="AA155" s="346" t="str">
        <f t="shared" si="70"/>
        <v>I-PERSONALE</v>
      </c>
      <c r="AB155" s="346" t="str">
        <f t="shared" si="71"/>
        <v>I-PERSONALM</v>
      </c>
      <c r="AC155" s="346" t="str">
        <f t="shared" si="72"/>
        <v>I-PERSONALT</v>
      </c>
      <c r="AD155" s="346" t="str">
        <f t="shared" si="73"/>
        <v>I-PERSONALS</v>
      </c>
      <c r="AE155" s="346" t="str">
        <f t="shared" si="74"/>
        <v>I-PERSONALX</v>
      </c>
      <c r="AF155" s="346" t="str">
        <f t="shared" si="75"/>
        <v>I-PERSONALA</v>
      </c>
      <c r="AG155" s="346">
        <f t="shared" si="62"/>
        <v>62</v>
      </c>
      <c r="AH155" s="346">
        <f>IF(B155&lt;&gt;"",+IF(H155="x",+VLOOKUP(I155,'AUX-NIV2'!B:AG,32,FALSE),0),"")</f>
        <v>0</v>
      </c>
      <c r="AI155" s="346" t="str">
        <f t="shared" si="76"/>
        <v>I-PERSONAL</v>
      </c>
      <c r="AK155" s="347">
        <f t="shared" si="63"/>
        <v>140</v>
      </c>
      <c r="AL155" s="348">
        <f t="shared" si="77"/>
        <v>201</v>
      </c>
      <c r="AM155" s="347">
        <f t="shared" si="78"/>
        <v>16</v>
      </c>
      <c r="AN155" s="382">
        <f>IF(AND(AH155&gt;0,B155&lt;&gt;""),VLOOKUP(I155,'AUX-NIV2'!$B:$AP,40,FALSE)*O155,0)</f>
        <v>0</v>
      </c>
      <c r="AO155" s="382">
        <f t="shared" si="64"/>
        <v>285</v>
      </c>
      <c r="AQ155" s="395">
        <f>(IF($H155="x",VLOOKUP($I155,'AUX-NIV2'!$B:$X,'AUX-NIV1'!AQ$3,FALSE),0)+($AV155*'AUX-NIV3'!S$4))*$O155+IF($H155=AQ$4,$P155,0)</f>
        <v>0</v>
      </c>
      <c r="AR155" s="395">
        <f>(IF($H155="x",VLOOKUP($I155,'AUX-NIV2'!$B:$X,'AUX-NIV1'!AR$3,FALSE),0)+($AV155*'AUX-NIV3'!T$4))*$O155+IF($H155=AR$4,$P155,0)</f>
        <v>0</v>
      </c>
      <c r="AS155" s="395">
        <f>(IF($H155="x",VLOOKUP($I155,'AUX-NIV2'!$B:$X,'AUX-NIV1'!AS$3,FALSE),0)+($AV155*'AUX-NIV3'!U$4))*$O155+IF($H155=AS$4,$P155,0)</f>
        <v>0</v>
      </c>
      <c r="AT155" s="395">
        <f>(IF($H155="x",VLOOKUP($I155,'AUX-NIV2'!$B:$X,'AUX-NIV1'!AT$3,FALSE),0)+($AV155*'AUX-NIV3'!V$4))*$O155+IF($H155=AT$4,$P155,0)</f>
        <v>0</v>
      </c>
      <c r="AU155" s="395">
        <f>(IF($H155="x",VLOOKUP($I155,'AUX-NIV2'!$B:$X,'AUX-NIV1'!AU$3,FALSE),0)+($AV155*'AUX-NIV3'!W$4))*$O155+IF($H155=AU$4,$P155,0)</f>
        <v>0</v>
      </c>
      <c r="AV155" s="395">
        <f>+IF($H155="x",VLOOKUP($I155,'AUX-NIV2'!$B:$X,'AUX-NIV1'!AV$3,FALSE),0)</f>
        <v>0</v>
      </c>
    </row>
    <row r="156" spans="2:48">
      <c r="B156" s="324" t="s">
        <v>94</v>
      </c>
      <c r="C156" s="325" t="s">
        <v>1167</v>
      </c>
      <c r="D156" s="326" t="s">
        <v>1168</v>
      </c>
      <c r="E156" s="349">
        <f>IF(B156&lt;&gt;"",+SUMIF(Items!C:C,'AUX-NIV1'!B156,Items!H:H),"")</f>
        <v>2</v>
      </c>
      <c r="F156" s="349">
        <f t="shared" si="54"/>
        <v>97901.978339700348</v>
      </c>
      <c r="G156" s="349">
        <f t="shared" si="55"/>
        <v>195803.9566794007</v>
      </c>
      <c r="H156" s="1395" t="str">
        <f t="shared" si="65"/>
        <v>A</v>
      </c>
      <c r="I156" s="1375" t="s">
        <v>428</v>
      </c>
      <c r="J156" s="350" t="str">
        <f>IF(B156&lt;&gt;"",+VLOOKUP(I156,Recursos!C:F,2,FALSE),"")</f>
        <v>Encargado de Contratos y Subc.</v>
      </c>
      <c r="K156" s="351" t="str">
        <f>IF(B156&lt;&gt;"",+VLOOKUP(I156,Recursos!C:F,3,FALSE),"")</f>
        <v>hh</v>
      </c>
      <c r="L156" s="1475">
        <f>IF(B156&lt;&gt;"",+VLOOKUP(I156,Recursos!C:F,4,FALSE),"")</f>
        <v>392.23694130293785</v>
      </c>
      <c r="M156" s="1493">
        <f t="shared" si="80"/>
        <v>190</v>
      </c>
      <c r="N156" s="1494">
        <v>0</v>
      </c>
      <c r="O156" s="1490">
        <f t="shared" si="79"/>
        <v>0</v>
      </c>
      <c r="P156" s="352">
        <f t="shared" si="66"/>
        <v>0</v>
      </c>
      <c r="Q156" s="349">
        <f t="shared" si="67"/>
        <v>0</v>
      </c>
      <c r="R156" s="353">
        <f t="shared" si="68"/>
        <v>0</v>
      </c>
      <c r="S156" s="354">
        <f t="shared" si="56"/>
        <v>97901.978339700348</v>
      </c>
      <c r="T156" s="354">
        <f t="shared" si="57"/>
        <v>0</v>
      </c>
      <c r="U156" s="355">
        <f t="shared" si="58"/>
        <v>0</v>
      </c>
      <c r="V156" s="355">
        <f t="shared" si="59"/>
        <v>0</v>
      </c>
      <c r="W156" s="355">
        <f t="shared" si="60"/>
        <v>0</v>
      </c>
      <c r="X156" s="355">
        <f t="shared" si="61"/>
        <v>0</v>
      </c>
      <c r="Y156" s="396"/>
      <c r="Z156" s="346" t="str">
        <f t="shared" si="69"/>
        <v>I-PERSONALA</v>
      </c>
      <c r="AA156" s="346" t="str">
        <f t="shared" si="70"/>
        <v>I-PERSONALE</v>
      </c>
      <c r="AB156" s="346" t="str">
        <f t="shared" si="71"/>
        <v>I-PERSONALM</v>
      </c>
      <c r="AC156" s="346" t="str">
        <f t="shared" si="72"/>
        <v>I-PERSONALT</v>
      </c>
      <c r="AD156" s="346" t="str">
        <f t="shared" si="73"/>
        <v>I-PERSONALS</v>
      </c>
      <c r="AE156" s="346" t="str">
        <f t="shared" si="74"/>
        <v>I-PERSONALX</v>
      </c>
      <c r="AF156" s="346" t="str">
        <f t="shared" si="75"/>
        <v>I-PERSONALA</v>
      </c>
      <c r="AG156" s="346">
        <f t="shared" si="62"/>
        <v>62</v>
      </c>
      <c r="AH156" s="346">
        <f>IF(B156&lt;&gt;"",+IF(H156="x",+VLOOKUP(I156,'AUX-NIV2'!B:AG,32,FALSE),0),"")</f>
        <v>0</v>
      </c>
      <c r="AI156" s="346" t="str">
        <f t="shared" si="76"/>
        <v>I-PERSONAL</v>
      </c>
      <c r="AK156" s="347">
        <f t="shared" si="63"/>
        <v>140</v>
      </c>
      <c r="AL156" s="348">
        <f t="shared" si="77"/>
        <v>201</v>
      </c>
      <c r="AM156" s="347">
        <f t="shared" si="78"/>
        <v>17</v>
      </c>
      <c r="AN156" s="382">
        <f>IF(AND(AH156&gt;0,B156&lt;&gt;""),VLOOKUP(I156,'AUX-NIV2'!$B:$AP,40,FALSE)*O156,0)</f>
        <v>0</v>
      </c>
      <c r="AO156" s="382">
        <f t="shared" si="64"/>
        <v>285</v>
      </c>
      <c r="AQ156" s="395">
        <f>(IF($H156="x",VLOOKUP($I156,'AUX-NIV2'!$B:$X,'AUX-NIV1'!AQ$3,FALSE),0)+($AV156*'AUX-NIV3'!S$4))*$O156+IF($H156=AQ$4,$P156,0)</f>
        <v>0</v>
      </c>
      <c r="AR156" s="395">
        <f>(IF($H156="x",VLOOKUP($I156,'AUX-NIV2'!$B:$X,'AUX-NIV1'!AR$3,FALSE),0)+($AV156*'AUX-NIV3'!T$4))*$O156+IF($H156=AR$4,$P156,0)</f>
        <v>0</v>
      </c>
      <c r="AS156" s="395">
        <f>(IF($H156="x",VLOOKUP($I156,'AUX-NIV2'!$B:$X,'AUX-NIV1'!AS$3,FALSE),0)+($AV156*'AUX-NIV3'!U$4))*$O156+IF($H156=AS$4,$P156,0)</f>
        <v>0</v>
      </c>
      <c r="AT156" s="395">
        <f>(IF($H156="x",VLOOKUP($I156,'AUX-NIV2'!$B:$X,'AUX-NIV1'!AT$3,FALSE),0)+($AV156*'AUX-NIV3'!V$4))*$O156+IF($H156=AT$4,$P156,0)</f>
        <v>0</v>
      </c>
      <c r="AU156" s="395">
        <f>(IF($H156="x",VLOOKUP($I156,'AUX-NIV2'!$B:$X,'AUX-NIV1'!AU$3,FALSE),0)+($AV156*'AUX-NIV3'!W$4))*$O156+IF($H156=AU$4,$P156,0)</f>
        <v>0</v>
      </c>
      <c r="AV156" s="395">
        <f>+IF($H156="x",VLOOKUP($I156,'AUX-NIV2'!$B:$X,'AUX-NIV1'!AV$3,FALSE),0)</f>
        <v>0</v>
      </c>
    </row>
    <row r="157" spans="2:48">
      <c r="B157" s="324" t="s">
        <v>94</v>
      </c>
      <c r="C157" s="325" t="s">
        <v>1167</v>
      </c>
      <c r="D157" s="326" t="s">
        <v>1168</v>
      </c>
      <c r="E157" s="349">
        <f>IF(B157&lt;&gt;"",+SUMIF(Items!C:C,'AUX-NIV1'!B157,Items!H:H),"")</f>
        <v>2</v>
      </c>
      <c r="F157" s="349">
        <f t="shared" si="54"/>
        <v>97901.978339700348</v>
      </c>
      <c r="G157" s="349">
        <f t="shared" si="55"/>
        <v>195803.9566794007</v>
      </c>
      <c r="H157" s="1395" t="str">
        <f t="shared" si="65"/>
        <v>A</v>
      </c>
      <c r="I157" s="1375" t="s">
        <v>429</v>
      </c>
      <c r="J157" s="350" t="str">
        <f>IF(B157&lt;&gt;"",+VLOOKUP(I157,Recursos!C:F,2,FALSE),"")</f>
        <v>Certificación, Programac. y CG.</v>
      </c>
      <c r="K157" s="351" t="str">
        <f>IF(B157&lt;&gt;"",+VLOOKUP(I157,Recursos!C:F,3,FALSE),"")</f>
        <v>hh</v>
      </c>
      <c r="L157" s="1475">
        <f>IF(B157&lt;&gt;"",+VLOOKUP(I157,Recursos!C:F,4,FALSE),"")</f>
        <v>414.45382119355685</v>
      </c>
      <c r="M157" s="1493">
        <f t="shared" si="80"/>
        <v>190</v>
      </c>
      <c r="N157" s="1494">
        <f>Organig!H35</f>
        <v>0</v>
      </c>
      <c r="O157" s="1490">
        <f t="shared" si="79"/>
        <v>0</v>
      </c>
      <c r="P157" s="352">
        <f t="shared" si="66"/>
        <v>0</v>
      </c>
      <c r="Q157" s="349">
        <f t="shared" si="67"/>
        <v>0</v>
      </c>
      <c r="R157" s="353">
        <f t="shared" si="68"/>
        <v>0</v>
      </c>
      <c r="S157" s="354">
        <f t="shared" si="56"/>
        <v>97901.978339700348</v>
      </c>
      <c r="T157" s="354">
        <f t="shared" si="57"/>
        <v>0</v>
      </c>
      <c r="U157" s="355">
        <f t="shared" si="58"/>
        <v>0</v>
      </c>
      <c r="V157" s="355">
        <f t="shared" si="59"/>
        <v>0</v>
      </c>
      <c r="W157" s="355">
        <f t="shared" si="60"/>
        <v>0</v>
      </c>
      <c r="X157" s="355">
        <f t="shared" si="61"/>
        <v>0</v>
      </c>
      <c r="Y157" s="396"/>
      <c r="Z157" s="346" t="str">
        <f t="shared" si="69"/>
        <v>I-PERSONALA</v>
      </c>
      <c r="AA157" s="346" t="str">
        <f t="shared" si="70"/>
        <v>I-PERSONALE</v>
      </c>
      <c r="AB157" s="346" t="str">
        <f t="shared" si="71"/>
        <v>I-PERSONALM</v>
      </c>
      <c r="AC157" s="346" t="str">
        <f t="shared" si="72"/>
        <v>I-PERSONALT</v>
      </c>
      <c r="AD157" s="346" t="str">
        <f t="shared" si="73"/>
        <v>I-PERSONALS</v>
      </c>
      <c r="AE157" s="346" t="str">
        <f t="shared" si="74"/>
        <v>I-PERSONALX</v>
      </c>
      <c r="AF157" s="346" t="str">
        <f t="shared" si="75"/>
        <v>I-PERSONALA</v>
      </c>
      <c r="AG157" s="346">
        <f t="shared" si="62"/>
        <v>62</v>
      </c>
      <c r="AH157" s="346">
        <f>IF(B157&lt;&gt;"",+IF(H157="x",+VLOOKUP(I157,'AUX-NIV2'!B:AG,32,FALSE),0),"")</f>
        <v>0</v>
      </c>
      <c r="AI157" s="346" t="str">
        <f t="shared" si="76"/>
        <v>I-PERSONAL</v>
      </c>
      <c r="AK157" s="347">
        <f t="shared" si="63"/>
        <v>140</v>
      </c>
      <c r="AL157" s="348">
        <f t="shared" si="77"/>
        <v>201</v>
      </c>
      <c r="AM157" s="347">
        <f t="shared" si="78"/>
        <v>18</v>
      </c>
      <c r="AN157" s="382">
        <f>IF(AND(AH157&gt;0,B157&lt;&gt;""),VLOOKUP(I157,'AUX-NIV2'!$B:$AP,40,FALSE)*O157,0)</f>
        <v>0</v>
      </c>
      <c r="AO157" s="382">
        <f t="shared" si="64"/>
        <v>285</v>
      </c>
      <c r="AQ157" s="395">
        <f>(IF($H157="x",VLOOKUP($I157,'AUX-NIV2'!$B:$X,'AUX-NIV1'!AQ$3,FALSE),0)+($AV157*'AUX-NIV3'!S$4))*$O157+IF($H157=AQ$4,$P157,0)</f>
        <v>0</v>
      </c>
      <c r="AR157" s="395">
        <f>(IF($H157="x",VLOOKUP($I157,'AUX-NIV2'!$B:$X,'AUX-NIV1'!AR$3,FALSE),0)+($AV157*'AUX-NIV3'!T$4))*$O157+IF($H157=AR$4,$P157,0)</f>
        <v>0</v>
      </c>
      <c r="AS157" s="395">
        <f>(IF($H157="x",VLOOKUP($I157,'AUX-NIV2'!$B:$X,'AUX-NIV1'!AS$3,FALSE),0)+($AV157*'AUX-NIV3'!U$4))*$O157+IF($H157=AS$4,$P157,0)</f>
        <v>0</v>
      </c>
      <c r="AT157" s="395">
        <f>(IF($H157="x",VLOOKUP($I157,'AUX-NIV2'!$B:$X,'AUX-NIV1'!AT$3,FALSE),0)+($AV157*'AUX-NIV3'!V$4))*$O157+IF($H157=AT$4,$P157,0)</f>
        <v>0</v>
      </c>
      <c r="AU157" s="395">
        <f>(IF($H157="x",VLOOKUP($I157,'AUX-NIV2'!$B:$X,'AUX-NIV1'!AU$3,FALSE),0)+($AV157*'AUX-NIV3'!W$4))*$O157+IF($H157=AU$4,$P157,0)</f>
        <v>0</v>
      </c>
      <c r="AV157" s="395">
        <f>+IF($H157="x",VLOOKUP($I157,'AUX-NIV2'!$B:$X,'AUX-NIV1'!AV$3,FALSE),0)</f>
        <v>0</v>
      </c>
    </row>
    <row r="158" spans="2:48">
      <c r="B158" s="324" t="s">
        <v>94</v>
      </c>
      <c r="C158" s="325" t="s">
        <v>1167</v>
      </c>
      <c r="D158" s="326" t="s">
        <v>1168</v>
      </c>
      <c r="E158" s="349">
        <f>IF(B158&lt;&gt;"",+SUMIF(Items!C:C,'AUX-NIV1'!B158,Items!H:H),"")</f>
        <v>2</v>
      </c>
      <c r="F158" s="349">
        <f t="shared" si="54"/>
        <v>97901.978339700348</v>
      </c>
      <c r="G158" s="349">
        <f t="shared" si="55"/>
        <v>195803.9566794007</v>
      </c>
      <c r="H158" s="1395" t="str">
        <f t="shared" si="65"/>
        <v>A</v>
      </c>
      <c r="I158" s="1375" t="s">
        <v>430</v>
      </c>
      <c r="J158" s="350" t="str">
        <f>IF(B158&lt;&gt;"",+VLOOKUP(I158,Recursos!C:F,2,FALSE),"")</f>
        <v>Jefe de Topografía</v>
      </c>
      <c r="K158" s="351" t="str">
        <f>IF(B158&lt;&gt;"",+VLOOKUP(I158,Recursos!C:F,3,FALSE),"")</f>
        <v>hh</v>
      </c>
      <c r="L158" s="1475">
        <f>IF(B158&lt;&gt;"",+VLOOKUP(I158,Recursos!C:F,4,FALSE),"")</f>
        <v>414.45382119355685</v>
      </c>
      <c r="M158" s="1493">
        <f t="shared" si="80"/>
        <v>190</v>
      </c>
      <c r="N158" s="1494">
        <f>Organig!H39</f>
        <v>0</v>
      </c>
      <c r="O158" s="1490">
        <f t="shared" si="79"/>
        <v>0</v>
      </c>
      <c r="P158" s="352">
        <f t="shared" si="66"/>
        <v>0</v>
      </c>
      <c r="Q158" s="349">
        <f t="shared" si="67"/>
        <v>0</v>
      </c>
      <c r="R158" s="353">
        <f t="shared" si="68"/>
        <v>0</v>
      </c>
      <c r="S158" s="354">
        <f t="shared" si="56"/>
        <v>97901.978339700348</v>
      </c>
      <c r="T158" s="354">
        <f t="shared" si="57"/>
        <v>0</v>
      </c>
      <c r="U158" s="355">
        <f t="shared" si="58"/>
        <v>0</v>
      </c>
      <c r="V158" s="355">
        <f t="shared" si="59"/>
        <v>0</v>
      </c>
      <c r="W158" s="355">
        <f t="shared" si="60"/>
        <v>0</v>
      </c>
      <c r="X158" s="355">
        <f t="shared" si="61"/>
        <v>0</v>
      </c>
      <c r="Y158" s="396"/>
      <c r="Z158" s="346" t="str">
        <f t="shared" si="69"/>
        <v>I-PERSONALA</v>
      </c>
      <c r="AA158" s="346" t="str">
        <f t="shared" si="70"/>
        <v>I-PERSONALE</v>
      </c>
      <c r="AB158" s="346" t="str">
        <f t="shared" si="71"/>
        <v>I-PERSONALM</v>
      </c>
      <c r="AC158" s="346" t="str">
        <f t="shared" si="72"/>
        <v>I-PERSONALT</v>
      </c>
      <c r="AD158" s="346" t="str">
        <f t="shared" si="73"/>
        <v>I-PERSONALS</v>
      </c>
      <c r="AE158" s="346" t="str">
        <f t="shared" si="74"/>
        <v>I-PERSONALX</v>
      </c>
      <c r="AF158" s="346" t="str">
        <f t="shared" si="75"/>
        <v>I-PERSONALA</v>
      </c>
      <c r="AG158" s="346">
        <f t="shared" si="62"/>
        <v>62</v>
      </c>
      <c r="AH158" s="346">
        <f>IF(B158&lt;&gt;"",+IF(H158="x",+VLOOKUP(I158,'AUX-NIV2'!B:AG,32,FALSE),0),"")</f>
        <v>0</v>
      </c>
      <c r="AI158" s="346" t="str">
        <f t="shared" si="76"/>
        <v>I-PERSONAL</v>
      </c>
      <c r="AK158" s="347">
        <f t="shared" si="63"/>
        <v>140</v>
      </c>
      <c r="AL158" s="348">
        <f t="shared" si="77"/>
        <v>201</v>
      </c>
      <c r="AM158" s="347">
        <f t="shared" si="78"/>
        <v>19</v>
      </c>
      <c r="AN158" s="382">
        <f>IF(AND(AH158&gt;0,B158&lt;&gt;""),VLOOKUP(I158,'AUX-NIV2'!$B:$AP,40,FALSE)*O158,0)</f>
        <v>0</v>
      </c>
      <c r="AO158" s="382">
        <f t="shared" si="64"/>
        <v>285</v>
      </c>
      <c r="AQ158" s="395">
        <f>(IF($H158="x",VLOOKUP($I158,'AUX-NIV2'!$B:$X,'AUX-NIV1'!AQ$3,FALSE),0)+($AV158*'AUX-NIV3'!S$4))*$O158+IF($H158=AQ$4,$P158,0)</f>
        <v>0</v>
      </c>
      <c r="AR158" s="395">
        <f>(IF($H158="x",VLOOKUP($I158,'AUX-NIV2'!$B:$X,'AUX-NIV1'!AR$3,FALSE),0)+($AV158*'AUX-NIV3'!T$4))*$O158+IF($H158=AR$4,$P158,0)</f>
        <v>0</v>
      </c>
      <c r="AS158" s="395">
        <f>(IF($H158="x",VLOOKUP($I158,'AUX-NIV2'!$B:$X,'AUX-NIV1'!AS$3,FALSE),0)+($AV158*'AUX-NIV3'!U$4))*$O158+IF($H158=AS$4,$P158,0)</f>
        <v>0</v>
      </c>
      <c r="AT158" s="395">
        <f>(IF($H158="x",VLOOKUP($I158,'AUX-NIV2'!$B:$X,'AUX-NIV1'!AT$3,FALSE),0)+($AV158*'AUX-NIV3'!V$4))*$O158+IF($H158=AT$4,$P158,0)</f>
        <v>0</v>
      </c>
      <c r="AU158" s="395">
        <f>(IF($H158="x",VLOOKUP($I158,'AUX-NIV2'!$B:$X,'AUX-NIV1'!AU$3,FALSE),0)+($AV158*'AUX-NIV3'!W$4))*$O158+IF($H158=AU$4,$P158,0)</f>
        <v>0</v>
      </c>
      <c r="AV158" s="395">
        <f>+IF($H158="x",VLOOKUP($I158,'AUX-NIV2'!$B:$X,'AUX-NIV1'!AV$3,FALSE),0)</f>
        <v>0</v>
      </c>
    </row>
    <row r="159" spans="2:48">
      <c r="B159" s="324" t="s">
        <v>94</v>
      </c>
      <c r="C159" s="325" t="s">
        <v>1167</v>
      </c>
      <c r="D159" s="326" t="s">
        <v>1168</v>
      </c>
      <c r="E159" s="349">
        <f>IF(B159&lt;&gt;"",+SUMIF(Items!C:C,'AUX-NIV1'!B159,Items!H:H),"")</f>
        <v>2</v>
      </c>
      <c r="F159" s="349">
        <f t="shared" si="54"/>
        <v>97901.978339700348</v>
      </c>
      <c r="G159" s="349">
        <f t="shared" si="55"/>
        <v>195803.9566794007</v>
      </c>
      <c r="H159" s="1395" t="str">
        <f t="shared" si="65"/>
        <v>A</v>
      </c>
      <c r="I159" s="1375" t="s">
        <v>431</v>
      </c>
      <c r="J159" s="350" t="str">
        <f>IF(B159&lt;&gt;"",+VLOOKUP(I159,Recursos!C:F,2,FALSE),"")</f>
        <v>Materiales Permanentes</v>
      </c>
      <c r="K159" s="351" t="str">
        <f>IF(B159&lt;&gt;"",+VLOOKUP(I159,Recursos!C:F,3,FALSE),"")</f>
        <v>hh</v>
      </c>
      <c r="L159" s="1475">
        <f>IF(B159&lt;&gt;"",+VLOOKUP(I159,Recursos!C:F,4,FALSE),"")</f>
        <v>403.34538124824735</v>
      </c>
      <c r="M159" s="1493">
        <f t="shared" si="80"/>
        <v>190</v>
      </c>
      <c r="N159" s="1494">
        <f>Organig!H43</f>
        <v>0</v>
      </c>
      <c r="O159" s="1490">
        <f t="shared" si="79"/>
        <v>0</v>
      </c>
      <c r="P159" s="352">
        <f t="shared" si="66"/>
        <v>0</v>
      </c>
      <c r="Q159" s="349">
        <f t="shared" si="67"/>
        <v>0</v>
      </c>
      <c r="R159" s="353">
        <f t="shared" si="68"/>
        <v>0</v>
      </c>
      <c r="S159" s="354">
        <f t="shared" si="56"/>
        <v>97901.978339700348</v>
      </c>
      <c r="T159" s="354">
        <f t="shared" si="57"/>
        <v>0</v>
      </c>
      <c r="U159" s="355">
        <f t="shared" si="58"/>
        <v>0</v>
      </c>
      <c r="V159" s="355">
        <f t="shared" si="59"/>
        <v>0</v>
      </c>
      <c r="W159" s="355">
        <f t="shared" si="60"/>
        <v>0</v>
      </c>
      <c r="X159" s="355">
        <f t="shared" si="61"/>
        <v>0</v>
      </c>
      <c r="Y159" s="396"/>
      <c r="Z159" s="346" t="str">
        <f t="shared" si="69"/>
        <v>I-PERSONALA</v>
      </c>
      <c r="AA159" s="346" t="str">
        <f t="shared" si="70"/>
        <v>I-PERSONALE</v>
      </c>
      <c r="AB159" s="346" t="str">
        <f t="shared" si="71"/>
        <v>I-PERSONALM</v>
      </c>
      <c r="AC159" s="346" t="str">
        <f t="shared" si="72"/>
        <v>I-PERSONALT</v>
      </c>
      <c r="AD159" s="346" t="str">
        <f t="shared" si="73"/>
        <v>I-PERSONALS</v>
      </c>
      <c r="AE159" s="346" t="str">
        <f t="shared" si="74"/>
        <v>I-PERSONALX</v>
      </c>
      <c r="AF159" s="346" t="str">
        <f t="shared" si="75"/>
        <v>I-PERSONALA</v>
      </c>
      <c r="AG159" s="346">
        <f t="shared" si="62"/>
        <v>62</v>
      </c>
      <c r="AH159" s="346">
        <f>IF(B159&lt;&gt;"",+IF(H159="x",+VLOOKUP(I159,'AUX-NIV2'!B:AG,32,FALSE),0),"")</f>
        <v>0</v>
      </c>
      <c r="AI159" s="346" t="str">
        <f t="shared" si="76"/>
        <v>I-PERSONAL</v>
      </c>
      <c r="AK159" s="347">
        <f t="shared" si="63"/>
        <v>140</v>
      </c>
      <c r="AL159" s="348">
        <f t="shared" si="77"/>
        <v>201</v>
      </c>
      <c r="AM159" s="347">
        <f t="shared" si="78"/>
        <v>20</v>
      </c>
      <c r="AN159" s="382">
        <f>IF(AND(AH159&gt;0,B159&lt;&gt;""),VLOOKUP(I159,'AUX-NIV2'!$B:$AP,40,FALSE)*O159,0)</f>
        <v>0</v>
      </c>
      <c r="AO159" s="382">
        <f t="shared" si="64"/>
        <v>285</v>
      </c>
      <c r="AQ159" s="395">
        <f>(IF($H159="x",VLOOKUP($I159,'AUX-NIV2'!$B:$X,'AUX-NIV1'!AQ$3,FALSE),0)+($AV159*'AUX-NIV3'!S$4))*$O159+IF($H159=AQ$4,$P159,0)</f>
        <v>0</v>
      </c>
      <c r="AR159" s="395">
        <f>(IF($H159="x",VLOOKUP($I159,'AUX-NIV2'!$B:$X,'AUX-NIV1'!AR$3,FALSE),0)+($AV159*'AUX-NIV3'!T$4))*$O159+IF($H159=AR$4,$P159,0)</f>
        <v>0</v>
      </c>
      <c r="AS159" s="395">
        <f>(IF($H159="x",VLOOKUP($I159,'AUX-NIV2'!$B:$X,'AUX-NIV1'!AS$3,FALSE),0)+($AV159*'AUX-NIV3'!U$4))*$O159+IF($H159=AS$4,$P159,0)</f>
        <v>0</v>
      </c>
      <c r="AT159" s="395">
        <f>(IF($H159="x",VLOOKUP($I159,'AUX-NIV2'!$B:$X,'AUX-NIV1'!AT$3,FALSE),0)+($AV159*'AUX-NIV3'!V$4))*$O159+IF($H159=AT$4,$P159,0)</f>
        <v>0</v>
      </c>
      <c r="AU159" s="395">
        <f>(IF($H159="x",VLOOKUP($I159,'AUX-NIV2'!$B:$X,'AUX-NIV1'!AU$3,FALSE),0)+($AV159*'AUX-NIV3'!W$4))*$O159+IF($H159=AU$4,$P159,0)</f>
        <v>0</v>
      </c>
      <c r="AV159" s="395">
        <f>+IF($H159="x",VLOOKUP($I159,'AUX-NIV2'!$B:$X,'AUX-NIV1'!AV$3,FALSE),0)</f>
        <v>0</v>
      </c>
    </row>
    <row r="160" spans="2:48">
      <c r="B160" s="324" t="s">
        <v>94</v>
      </c>
      <c r="C160" s="325" t="s">
        <v>1167</v>
      </c>
      <c r="D160" s="326" t="s">
        <v>1168</v>
      </c>
      <c r="E160" s="349">
        <f>IF(B160&lt;&gt;"",+SUMIF(Items!C:C,'AUX-NIV1'!B160,Items!H:H),"")</f>
        <v>2</v>
      </c>
      <c r="F160" s="349">
        <f t="shared" si="54"/>
        <v>97901.978339700348</v>
      </c>
      <c r="G160" s="349">
        <f t="shared" si="55"/>
        <v>195803.9566794007</v>
      </c>
      <c r="H160" s="1395" t="str">
        <f t="shared" si="65"/>
        <v>A</v>
      </c>
      <c r="I160" s="1375" t="s">
        <v>432</v>
      </c>
      <c r="J160" s="350" t="str">
        <f>IF(B160&lt;&gt;"",+VLOOKUP(I160,Recursos!C:F,2,FALSE),"")</f>
        <v xml:space="preserve">Topografos </v>
      </c>
      <c r="K160" s="351" t="str">
        <f>IF(B160&lt;&gt;"",+VLOOKUP(I160,Recursos!C:F,3,FALSE),"")</f>
        <v>hh</v>
      </c>
      <c r="L160" s="1475">
        <f>IF(B160&lt;&gt;"",+VLOOKUP(I160,Recursos!C:F,4,FALSE),"")</f>
        <v>370.02006141231874</v>
      </c>
      <c r="M160" s="1493">
        <f t="shared" si="80"/>
        <v>190</v>
      </c>
      <c r="N160" s="1494">
        <f>Organig!H47</f>
        <v>0</v>
      </c>
      <c r="O160" s="1490">
        <f t="shared" si="79"/>
        <v>0</v>
      </c>
      <c r="P160" s="352">
        <f t="shared" si="66"/>
        <v>0</v>
      </c>
      <c r="Q160" s="349">
        <f t="shared" si="67"/>
        <v>0</v>
      </c>
      <c r="R160" s="353">
        <f t="shared" si="68"/>
        <v>0</v>
      </c>
      <c r="S160" s="354">
        <f t="shared" si="56"/>
        <v>97901.978339700348</v>
      </c>
      <c r="T160" s="354">
        <f t="shared" si="57"/>
        <v>0</v>
      </c>
      <c r="U160" s="355">
        <f t="shared" si="58"/>
        <v>0</v>
      </c>
      <c r="V160" s="355">
        <f t="shared" si="59"/>
        <v>0</v>
      </c>
      <c r="W160" s="355">
        <f t="shared" si="60"/>
        <v>0</v>
      </c>
      <c r="X160" s="355">
        <f t="shared" si="61"/>
        <v>0</v>
      </c>
      <c r="Y160" s="396"/>
      <c r="Z160" s="346" t="str">
        <f t="shared" si="69"/>
        <v>I-PERSONALA</v>
      </c>
      <c r="AA160" s="346" t="str">
        <f t="shared" si="70"/>
        <v>I-PERSONALE</v>
      </c>
      <c r="AB160" s="346" t="str">
        <f t="shared" si="71"/>
        <v>I-PERSONALM</v>
      </c>
      <c r="AC160" s="346" t="str">
        <f t="shared" si="72"/>
        <v>I-PERSONALT</v>
      </c>
      <c r="AD160" s="346" t="str">
        <f t="shared" si="73"/>
        <v>I-PERSONALS</v>
      </c>
      <c r="AE160" s="346" t="str">
        <f t="shared" si="74"/>
        <v>I-PERSONALX</v>
      </c>
      <c r="AF160" s="346" t="str">
        <f t="shared" si="75"/>
        <v>I-PERSONALA</v>
      </c>
      <c r="AG160" s="346">
        <f t="shared" si="62"/>
        <v>62</v>
      </c>
      <c r="AH160" s="346">
        <f>IF(B160&lt;&gt;"",+IF(H160="x",+VLOOKUP(I160,'AUX-NIV2'!B:AG,32,FALSE),0),"")</f>
        <v>0</v>
      </c>
      <c r="AI160" s="346" t="str">
        <f t="shared" si="76"/>
        <v>I-PERSONAL</v>
      </c>
      <c r="AK160" s="347">
        <f t="shared" si="63"/>
        <v>140</v>
      </c>
      <c r="AL160" s="348">
        <f t="shared" si="77"/>
        <v>201</v>
      </c>
      <c r="AM160" s="347">
        <f t="shared" si="78"/>
        <v>21</v>
      </c>
      <c r="AN160" s="382">
        <f>IF(AND(AH160&gt;0,B160&lt;&gt;""),VLOOKUP(I160,'AUX-NIV2'!$B:$AP,40,FALSE)*O160,0)</f>
        <v>0</v>
      </c>
      <c r="AO160" s="382">
        <f t="shared" si="64"/>
        <v>285</v>
      </c>
      <c r="AQ160" s="395">
        <f>(IF($H160="x",VLOOKUP($I160,'AUX-NIV2'!$B:$X,'AUX-NIV1'!AQ$3,FALSE),0)+($AV160*'AUX-NIV3'!S$4))*$O160+IF($H160=AQ$4,$P160,0)</f>
        <v>0</v>
      </c>
      <c r="AR160" s="395">
        <f>(IF($H160="x",VLOOKUP($I160,'AUX-NIV2'!$B:$X,'AUX-NIV1'!AR$3,FALSE),0)+($AV160*'AUX-NIV3'!T$4))*$O160+IF($H160=AR$4,$P160,0)</f>
        <v>0</v>
      </c>
      <c r="AS160" s="395">
        <f>(IF($H160="x",VLOOKUP($I160,'AUX-NIV2'!$B:$X,'AUX-NIV1'!AS$3,FALSE),0)+($AV160*'AUX-NIV3'!U$4))*$O160+IF($H160=AS$4,$P160,0)</f>
        <v>0</v>
      </c>
      <c r="AT160" s="395">
        <f>(IF($H160="x",VLOOKUP($I160,'AUX-NIV2'!$B:$X,'AUX-NIV1'!AT$3,FALSE),0)+($AV160*'AUX-NIV3'!V$4))*$O160+IF($H160=AT$4,$P160,0)</f>
        <v>0</v>
      </c>
      <c r="AU160" s="395">
        <f>(IF($H160="x",VLOOKUP($I160,'AUX-NIV2'!$B:$X,'AUX-NIV1'!AU$3,FALSE),0)+($AV160*'AUX-NIV3'!W$4))*$O160+IF($H160=AU$4,$P160,0)</f>
        <v>0</v>
      </c>
      <c r="AV160" s="395">
        <f>+IF($H160="x",VLOOKUP($I160,'AUX-NIV2'!$B:$X,'AUX-NIV1'!AV$3,FALSE),0)</f>
        <v>0</v>
      </c>
    </row>
    <row r="161" spans="2:48">
      <c r="B161" s="324" t="s">
        <v>94</v>
      </c>
      <c r="C161" s="325" t="s">
        <v>1167</v>
      </c>
      <c r="D161" s="326" t="s">
        <v>1168</v>
      </c>
      <c r="E161" s="349">
        <f>IF(B161&lt;&gt;"",+SUMIF(Items!C:C,'AUX-NIV1'!B161,Items!H:H),"")</f>
        <v>2</v>
      </c>
      <c r="F161" s="349">
        <f t="shared" si="54"/>
        <v>97901.978339700348</v>
      </c>
      <c r="G161" s="349">
        <f t="shared" si="55"/>
        <v>195803.9566794007</v>
      </c>
      <c r="H161" s="1395" t="str">
        <f t="shared" si="65"/>
        <v>A</v>
      </c>
      <c r="I161" s="1375" t="s">
        <v>433</v>
      </c>
      <c r="J161" s="350" t="str">
        <f>IF(B161&lt;&gt;"",+VLOOKUP(I161,Recursos!C:F,2,FALSE),"")</f>
        <v>Auxiliares de Topografía</v>
      </c>
      <c r="K161" s="351" t="str">
        <f>IF(B161&lt;&gt;"",+VLOOKUP(I161,Recursos!C:F,3,FALSE),"")</f>
        <v>hh</v>
      </c>
      <c r="L161" s="1475">
        <f>IF(B161&lt;&gt;"",+VLOOKUP(I161,Recursos!C:F,4,FALSE),"")</f>
        <v>281.15254184984235</v>
      </c>
      <c r="M161" s="1493">
        <f t="shared" si="80"/>
        <v>190</v>
      </c>
      <c r="N161" s="1494">
        <f>Organig!H51</f>
        <v>0</v>
      </c>
      <c r="O161" s="1490">
        <f t="shared" si="79"/>
        <v>0</v>
      </c>
      <c r="P161" s="352">
        <f t="shared" si="66"/>
        <v>0</v>
      </c>
      <c r="Q161" s="349">
        <f t="shared" si="67"/>
        <v>0</v>
      </c>
      <c r="R161" s="353">
        <f t="shared" si="68"/>
        <v>0</v>
      </c>
      <c r="S161" s="354">
        <f t="shared" si="56"/>
        <v>97901.978339700348</v>
      </c>
      <c r="T161" s="354">
        <f t="shared" si="57"/>
        <v>0</v>
      </c>
      <c r="U161" s="355">
        <f t="shared" si="58"/>
        <v>0</v>
      </c>
      <c r="V161" s="355">
        <f t="shared" si="59"/>
        <v>0</v>
      </c>
      <c r="W161" s="355">
        <f t="shared" si="60"/>
        <v>0</v>
      </c>
      <c r="X161" s="355">
        <f t="shared" si="61"/>
        <v>0</v>
      </c>
      <c r="Y161" s="396"/>
      <c r="Z161" s="346" t="str">
        <f t="shared" si="69"/>
        <v>I-PERSONALA</v>
      </c>
      <c r="AA161" s="346" t="str">
        <f t="shared" si="70"/>
        <v>I-PERSONALE</v>
      </c>
      <c r="AB161" s="346" t="str">
        <f t="shared" si="71"/>
        <v>I-PERSONALM</v>
      </c>
      <c r="AC161" s="346" t="str">
        <f t="shared" si="72"/>
        <v>I-PERSONALT</v>
      </c>
      <c r="AD161" s="346" t="str">
        <f t="shared" si="73"/>
        <v>I-PERSONALS</v>
      </c>
      <c r="AE161" s="346" t="str">
        <f t="shared" si="74"/>
        <v>I-PERSONALX</v>
      </c>
      <c r="AF161" s="346" t="str">
        <f t="shared" si="75"/>
        <v>I-PERSONALA</v>
      </c>
      <c r="AG161" s="346">
        <f t="shared" si="62"/>
        <v>62</v>
      </c>
      <c r="AH161" s="346">
        <f>IF(B161&lt;&gt;"",+IF(H161="x",+VLOOKUP(I161,'AUX-NIV2'!B:AG,32,FALSE),0),"")</f>
        <v>0</v>
      </c>
      <c r="AI161" s="346" t="str">
        <f t="shared" si="76"/>
        <v>I-PERSONAL</v>
      </c>
      <c r="AK161" s="347">
        <f t="shared" si="63"/>
        <v>140</v>
      </c>
      <c r="AL161" s="348">
        <f t="shared" si="77"/>
        <v>201</v>
      </c>
      <c r="AM161" s="347">
        <f t="shared" si="78"/>
        <v>22</v>
      </c>
      <c r="AN161" s="382">
        <f>IF(AND(AH161&gt;0,B161&lt;&gt;""),VLOOKUP(I161,'AUX-NIV2'!$B:$AP,40,FALSE)*O161,0)</f>
        <v>0</v>
      </c>
      <c r="AO161" s="382">
        <f t="shared" si="64"/>
        <v>285</v>
      </c>
      <c r="AQ161" s="395">
        <f>(IF($H161="x",VLOOKUP($I161,'AUX-NIV2'!$B:$X,'AUX-NIV1'!AQ$3,FALSE),0)+($AV161*'AUX-NIV3'!S$4))*$O161+IF($H161=AQ$4,$P161,0)</f>
        <v>0</v>
      </c>
      <c r="AR161" s="395">
        <f>(IF($H161="x",VLOOKUP($I161,'AUX-NIV2'!$B:$X,'AUX-NIV1'!AR$3,FALSE),0)+($AV161*'AUX-NIV3'!T$4))*$O161+IF($H161=AR$4,$P161,0)</f>
        <v>0</v>
      </c>
      <c r="AS161" s="395">
        <f>(IF($H161="x",VLOOKUP($I161,'AUX-NIV2'!$B:$X,'AUX-NIV1'!AS$3,FALSE),0)+($AV161*'AUX-NIV3'!U$4))*$O161+IF($H161=AS$4,$P161,0)</f>
        <v>0</v>
      </c>
      <c r="AT161" s="395">
        <f>(IF($H161="x",VLOOKUP($I161,'AUX-NIV2'!$B:$X,'AUX-NIV1'!AT$3,FALSE),0)+($AV161*'AUX-NIV3'!V$4))*$O161+IF($H161=AT$4,$P161,0)</f>
        <v>0</v>
      </c>
      <c r="AU161" s="395">
        <f>(IF($H161="x",VLOOKUP($I161,'AUX-NIV2'!$B:$X,'AUX-NIV1'!AU$3,FALSE),0)+($AV161*'AUX-NIV3'!W$4))*$O161+IF($H161=AU$4,$P161,0)</f>
        <v>0</v>
      </c>
      <c r="AV161" s="395">
        <f>+IF($H161="x",VLOOKUP($I161,'AUX-NIV2'!$B:$X,'AUX-NIV1'!AV$3,FALSE),0)</f>
        <v>0</v>
      </c>
    </row>
    <row r="162" spans="2:48">
      <c r="B162" s="324" t="s">
        <v>94</v>
      </c>
      <c r="C162" s="325" t="s">
        <v>1167</v>
      </c>
      <c r="D162" s="326" t="s">
        <v>1168</v>
      </c>
      <c r="E162" s="349">
        <f>IF(B162&lt;&gt;"",+SUMIF(Items!C:C,'AUX-NIV1'!B162,Items!H:H),"")</f>
        <v>2</v>
      </c>
      <c r="F162" s="349">
        <f t="shared" si="54"/>
        <v>97901.978339700348</v>
      </c>
      <c r="G162" s="349">
        <f t="shared" si="55"/>
        <v>195803.9566794007</v>
      </c>
      <c r="H162" s="1395" t="str">
        <f t="shared" si="65"/>
        <v>A</v>
      </c>
      <c r="I162" s="1375" t="s">
        <v>434</v>
      </c>
      <c r="J162" s="350" t="str">
        <f>IF(B162&lt;&gt;"",+VLOOKUP(I162,Recursos!C:F,2,FALSE),"")</f>
        <v>Dibujantes</v>
      </c>
      <c r="K162" s="351" t="str">
        <f>IF(B162&lt;&gt;"",+VLOOKUP(I162,Recursos!C:F,3,FALSE),"")</f>
        <v>hh</v>
      </c>
      <c r="L162" s="1475">
        <f>IF(B162&lt;&gt;"",+VLOOKUP(I162,Recursos!C:F,4,FALSE),"")</f>
        <v>358.91162146700918</v>
      </c>
      <c r="M162" s="1493">
        <f t="shared" si="80"/>
        <v>190</v>
      </c>
      <c r="N162" s="1494">
        <f>Organig!H55</f>
        <v>0</v>
      </c>
      <c r="O162" s="1490">
        <f t="shared" si="79"/>
        <v>0</v>
      </c>
      <c r="P162" s="352">
        <f t="shared" si="66"/>
        <v>0</v>
      </c>
      <c r="Q162" s="349">
        <f t="shared" si="67"/>
        <v>0</v>
      </c>
      <c r="R162" s="353">
        <f t="shared" si="68"/>
        <v>0</v>
      </c>
      <c r="S162" s="354">
        <f t="shared" si="56"/>
        <v>97901.978339700348</v>
      </c>
      <c r="T162" s="354">
        <f t="shared" si="57"/>
        <v>0</v>
      </c>
      <c r="U162" s="355">
        <f t="shared" si="58"/>
        <v>0</v>
      </c>
      <c r="V162" s="355">
        <f t="shared" si="59"/>
        <v>0</v>
      </c>
      <c r="W162" s="355">
        <f t="shared" si="60"/>
        <v>0</v>
      </c>
      <c r="X162" s="355">
        <f t="shared" si="61"/>
        <v>0</v>
      </c>
      <c r="Y162" s="396"/>
      <c r="Z162" s="346" t="str">
        <f t="shared" si="69"/>
        <v>I-PERSONALA</v>
      </c>
      <c r="AA162" s="346" t="str">
        <f t="shared" si="70"/>
        <v>I-PERSONALE</v>
      </c>
      <c r="AB162" s="346" t="str">
        <f t="shared" si="71"/>
        <v>I-PERSONALM</v>
      </c>
      <c r="AC162" s="346" t="str">
        <f t="shared" si="72"/>
        <v>I-PERSONALT</v>
      </c>
      <c r="AD162" s="346" t="str">
        <f t="shared" si="73"/>
        <v>I-PERSONALS</v>
      </c>
      <c r="AE162" s="346" t="str">
        <f t="shared" si="74"/>
        <v>I-PERSONALX</v>
      </c>
      <c r="AF162" s="346" t="str">
        <f t="shared" si="75"/>
        <v>I-PERSONALA</v>
      </c>
      <c r="AG162" s="346">
        <f t="shared" si="62"/>
        <v>62</v>
      </c>
      <c r="AH162" s="346">
        <f>IF(B162&lt;&gt;"",+IF(H162="x",+VLOOKUP(I162,'AUX-NIV2'!B:AG,32,FALSE),0),"")</f>
        <v>0</v>
      </c>
      <c r="AI162" s="346" t="str">
        <f t="shared" si="76"/>
        <v>I-PERSONAL</v>
      </c>
      <c r="AK162" s="347">
        <f t="shared" si="63"/>
        <v>140</v>
      </c>
      <c r="AL162" s="348">
        <f t="shared" si="77"/>
        <v>201</v>
      </c>
      <c r="AM162" s="347">
        <f t="shared" si="78"/>
        <v>23</v>
      </c>
      <c r="AN162" s="382">
        <f>IF(AND(AH162&gt;0,B162&lt;&gt;""),VLOOKUP(I162,'AUX-NIV2'!$B:$AP,40,FALSE)*O162,0)</f>
        <v>0</v>
      </c>
      <c r="AO162" s="382">
        <f t="shared" si="64"/>
        <v>285</v>
      </c>
      <c r="AQ162" s="395">
        <f>(IF($H162="x",VLOOKUP($I162,'AUX-NIV2'!$B:$X,'AUX-NIV1'!AQ$3,FALSE),0)+($AV162*'AUX-NIV3'!S$4))*$O162+IF($H162=AQ$4,$P162,0)</f>
        <v>0</v>
      </c>
      <c r="AR162" s="395">
        <f>(IF($H162="x",VLOOKUP($I162,'AUX-NIV2'!$B:$X,'AUX-NIV1'!AR$3,FALSE),0)+($AV162*'AUX-NIV3'!T$4))*$O162+IF($H162=AR$4,$P162,0)</f>
        <v>0</v>
      </c>
      <c r="AS162" s="395">
        <f>(IF($H162="x",VLOOKUP($I162,'AUX-NIV2'!$B:$X,'AUX-NIV1'!AS$3,FALSE),0)+($AV162*'AUX-NIV3'!U$4))*$O162+IF($H162=AS$4,$P162,0)</f>
        <v>0</v>
      </c>
      <c r="AT162" s="395">
        <f>(IF($H162="x",VLOOKUP($I162,'AUX-NIV2'!$B:$X,'AUX-NIV1'!AT$3,FALSE),0)+($AV162*'AUX-NIV3'!V$4))*$O162+IF($H162=AT$4,$P162,0)</f>
        <v>0</v>
      </c>
      <c r="AU162" s="395">
        <f>(IF($H162="x",VLOOKUP($I162,'AUX-NIV2'!$B:$X,'AUX-NIV1'!AU$3,FALSE),0)+($AV162*'AUX-NIV3'!W$4))*$O162+IF($H162=AU$4,$P162,0)</f>
        <v>0</v>
      </c>
      <c r="AV162" s="395">
        <f>+IF($H162="x",VLOOKUP($I162,'AUX-NIV2'!$B:$X,'AUX-NIV1'!AV$3,FALSE),0)</f>
        <v>0</v>
      </c>
    </row>
    <row r="163" spans="2:48">
      <c r="B163" s="324" t="s">
        <v>94</v>
      </c>
      <c r="C163" s="325" t="s">
        <v>1167</v>
      </c>
      <c r="D163" s="326" t="s">
        <v>1168</v>
      </c>
      <c r="E163" s="349">
        <f>IF(B163&lt;&gt;"",+SUMIF(Items!C:C,'AUX-NIV1'!B163,Items!H:H),"")</f>
        <v>2</v>
      </c>
      <c r="F163" s="349">
        <f t="shared" si="54"/>
        <v>97901.978339700348</v>
      </c>
      <c r="G163" s="349">
        <f t="shared" si="55"/>
        <v>195803.9566794007</v>
      </c>
      <c r="H163" s="1395" t="str">
        <f t="shared" si="65"/>
        <v>A</v>
      </c>
      <c r="I163" s="1375" t="s">
        <v>435</v>
      </c>
      <c r="J163" s="350" t="str">
        <f>IF(B163&lt;&gt;"",+VLOOKUP(I163,Recursos!C:F,2,FALSE),"")</f>
        <v>Apuntadores</v>
      </c>
      <c r="K163" s="351" t="str">
        <f>IF(B163&lt;&gt;"",+VLOOKUP(I163,Recursos!C:F,3,FALSE),"")</f>
        <v>hh</v>
      </c>
      <c r="L163" s="1475">
        <f>IF(B163&lt;&gt;"",+VLOOKUP(I163,Recursos!C:F,4,FALSE),"")</f>
        <v>281.15254184984235</v>
      </c>
      <c r="M163" s="1493">
        <f t="shared" si="80"/>
        <v>190</v>
      </c>
      <c r="N163" s="1494">
        <f>Organig!H59</f>
        <v>0</v>
      </c>
      <c r="O163" s="1490">
        <f t="shared" si="79"/>
        <v>0</v>
      </c>
      <c r="P163" s="352">
        <f t="shared" si="66"/>
        <v>0</v>
      </c>
      <c r="Q163" s="349">
        <f t="shared" si="67"/>
        <v>0</v>
      </c>
      <c r="R163" s="353">
        <f t="shared" si="68"/>
        <v>0</v>
      </c>
      <c r="S163" s="354">
        <f t="shared" si="56"/>
        <v>97901.978339700348</v>
      </c>
      <c r="T163" s="354">
        <f t="shared" si="57"/>
        <v>0</v>
      </c>
      <c r="U163" s="355">
        <f t="shared" si="58"/>
        <v>0</v>
      </c>
      <c r="V163" s="355">
        <f t="shared" si="59"/>
        <v>0</v>
      </c>
      <c r="W163" s="355">
        <f t="shared" si="60"/>
        <v>0</v>
      </c>
      <c r="X163" s="355">
        <f t="shared" si="61"/>
        <v>0</v>
      </c>
      <c r="Y163" s="396"/>
      <c r="Z163" s="346" t="str">
        <f t="shared" si="69"/>
        <v>I-PERSONALA</v>
      </c>
      <c r="AA163" s="346" t="str">
        <f t="shared" si="70"/>
        <v>I-PERSONALE</v>
      </c>
      <c r="AB163" s="346" t="str">
        <f t="shared" si="71"/>
        <v>I-PERSONALM</v>
      </c>
      <c r="AC163" s="346" t="str">
        <f t="shared" si="72"/>
        <v>I-PERSONALT</v>
      </c>
      <c r="AD163" s="346" t="str">
        <f t="shared" si="73"/>
        <v>I-PERSONALS</v>
      </c>
      <c r="AE163" s="346" t="str">
        <f t="shared" si="74"/>
        <v>I-PERSONALX</v>
      </c>
      <c r="AF163" s="346" t="str">
        <f t="shared" si="75"/>
        <v>I-PERSONALA</v>
      </c>
      <c r="AG163" s="346">
        <f t="shared" si="62"/>
        <v>62</v>
      </c>
      <c r="AH163" s="346">
        <f>IF(B163&lt;&gt;"",+IF(H163="x",+VLOOKUP(I163,'AUX-NIV2'!B:AG,32,FALSE),0),"")</f>
        <v>0</v>
      </c>
      <c r="AI163" s="346" t="str">
        <f t="shared" si="76"/>
        <v>I-PERSONAL</v>
      </c>
      <c r="AK163" s="347">
        <f t="shared" si="63"/>
        <v>140</v>
      </c>
      <c r="AL163" s="348">
        <f t="shared" si="77"/>
        <v>201</v>
      </c>
      <c r="AM163" s="347">
        <f t="shared" si="78"/>
        <v>24</v>
      </c>
      <c r="AN163" s="382">
        <f>IF(AND(AH163&gt;0,B163&lt;&gt;""),VLOOKUP(I163,'AUX-NIV2'!$B:$AP,40,FALSE)*O163,0)</f>
        <v>0</v>
      </c>
      <c r="AO163" s="382">
        <f t="shared" si="64"/>
        <v>285</v>
      </c>
      <c r="AQ163" s="395">
        <f>(IF($H163="x",VLOOKUP($I163,'AUX-NIV2'!$B:$X,'AUX-NIV1'!AQ$3,FALSE),0)+($AV163*'AUX-NIV3'!S$4))*$O163+IF($H163=AQ$4,$P163,0)</f>
        <v>0</v>
      </c>
      <c r="AR163" s="395">
        <f>(IF($H163="x",VLOOKUP($I163,'AUX-NIV2'!$B:$X,'AUX-NIV1'!AR$3,FALSE),0)+($AV163*'AUX-NIV3'!T$4))*$O163+IF($H163=AR$4,$P163,0)</f>
        <v>0</v>
      </c>
      <c r="AS163" s="395">
        <f>(IF($H163="x",VLOOKUP($I163,'AUX-NIV2'!$B:$X,'AUX-NIV1'!AS$3,FALSE),0)+($AV163*'AUX-NIV3'!U$4))*$O163+IF($H163=AS$4,$P163,0)</f>
        <v>0</v>
      </c>
      <c r="AT163" s="395">
        <f>(IF($H163="x",VLOOKUP($I163,'AUX-NIV2'!$B:$X,'AUX-NIV1'!AT$3,FALSE),0)+($AV163*'AUX-NIV3'!V$4))*$O163+IF($H163=AT$4,$P163,0)</f>
        <v>0</v>
      </c>
      <c r="AU163" s="395">
        <f>(IF($H163="x",VLOOKUP($I163,'AUX-NIV2'!$B:$X,'AUX-NIV1'!AU$3,FALSE),0)+($AV163*'AUX-NIV3'!W$4))*$O163+IF($H163=AU$4,$P163,0)</f>
        <v>0</v>
      </c>
      <c r="AV163" s="395">
        <f>+IF($H163="x",VLOOKUP($I163,'AUX-NIV2'!$B:$X,'AUX-NIV1'!AV$3,FALSE),0)</f>
        <v>0</v>
      </c>
    </row>
    <row r="164" spans="2:48">
      <c r="B164" s="324" t="s">
        <v>94</v>
      </c>
      <c r="C164" s="325" t="s">
        <v>1167</v>
      </c>
      <c r="D164" s="326" t="s">
        <v>1168</v>
      </c>
      <c r="E164" s="349">
        <f>IF(B164&lt;&gt;"",+SUMIF(Items!C:C,'AUX-NIV1'!B164,Items!H:H),"")</f>
        <v>2</v>
      </c>
      <c r="F164" s="349">
        <f t="shared" si="54"/>
        <v>97901.978339700348</v>
      </c>
      <c r="G164" s="349">
        <f t="shared" si="55"/>
        <v>195803.9566794007</v>
      </c>
      <c r="H164" s="1395" t="str">
        <f t="shared" si="65"/>
        <v>A</v>
      </c>
      <c r="I164" s="1375" t="s">
        <v>436</v>
      </c>
      <c r="J164" s="350" t="str">
        <f>IF(B164&lt;&gt;"",+VLOOKUP(I164,Recursos!C:F,2,FALSE),"")</f>
        <v>Jefe Producción</v>
      </c>
      <c r="K164" s="351" t="str">
        <f>IF(B164&lt;&gt;"",+VLOOKUP(I164,Recursos!C:F,3,FALSE),"")</f>
        <v>hh</v>
      </c>
      <c r="L164" s="1475">
        <f>IF(B164&lt;&gt;"",+VLOOKUP(I164,Recursos!C:F,4,FALSE),"")</f>
        <v>538.4006247938529</v>
      </c>
      <c r="M164" s="1493">
        <f t="shared" si="80"/>
        <v>190</v>
      </c>
      <c r="N164" s="1494">
        <f>Organig!L23</f>
        <v>0</v>
      </c>
      <c r="O164" s="1490">
        <f>+M164*N164*plazo/plaef</f>
        <v>0</v>
      </c>
      <c r="P164" s="352">
        <f t="shared" si="66"/>
        <v>0</v>
      </c>
      <c r="Q164" s="349">
        <f t="shared" si="67"/>
        <v>0</v>
      </c>
      <c r="R164" s="353">
        <f t="shared" si="68"/>
        <v>0</v>
      </c>
      <c r="S164" s="354">
        <f t="shared" si="56"/>
        <v>97901.978339700348</v>
      </c>
      <c r="T164" s="354">
        <f t="shared" si="57"/>
        <v>0</v>
      </c>
      <c r="U164" s="355">
        <f t="shared" si="58"/>
        <v>0</v>
      </c>
      <c r="V164" s="355">
        <f t="shared" si="59"/>
        <v>0</v>
      </c>
      <c r="W164" s="355">
        <f t="shared" si="60"/>
        <v>0</v>
      </c>
      <c r="X164" s="355">
        <f t="shared" si="61"/>
        <v>0</v>
      </c>
      <c r="Y164" s="396"/>
      <c r="Z164" s="346" t="str">
        <f t="shared" si="69"/>
        <v>I-PERSONALA</v>
      </c>
      <c r="AA164" s="346" t="str">
        <f t="shared" si="70"/>
        <v>I-PERSONALE</v>
      </c>
      <c r="AB164" s="346" t="str">
        <f t="shared" si="71"/>
        <v>I-PERSONALM</v>
      </c>
      <c r="AC164" s="346" t="str">
        <f t="shared" si="72"/>
        <v>I-PERSONALT</v>
      </c>
      <c r="AD164" s="346" t="str">
        <f t="shared" si="73"/>
        <v>I-PERSONALS</v>
      </c>
      <c r="AE164" s="346" t="str">
        <f t="shared" si="74"/>
        <v>I-PERSONALX</v>
      </c>
      <c r="AF164" s="346" t="str">
        <f t="shared" si="75"/>
        <v>I-PERSONALA</v>
      </c>
      <c r="AG164" s="346">
        <f t="shared" si="62"/>
        <v>62</v>
      </c>
      <c r="AH164" s="346">
        <f>IF(B164&lt;&gt;"",+IF(H164="x",+VLOOKUP(I164,'AUX-NIV2'!B:AG,32,FALSE),0),"")</f>
        <v>0</v>
      </c>
      <c r="AI164" s="346" t="str">
        <f t="shared" si="76"/>
        <v>I-PERSONAL</v>
      </c>
      <c r="AK164" s="347">
        <f t="shared" si="63"/>
        <v>140</v>
      </c>
      <c r="AL164" s="348">
        <f t="shared" si="77"/>
        <v>201</v>
      </c>
      <c r="AM164" s="347">
        <f t="shared" si="78"/>
        <v>25</v>
      </c>
      <c r="AN164" s="382">
        <f>IF(AND(AH164&gt;0,B164&lt;&gt;""),VLOOKUP(I164,'AUX-NIV2'!$B:$AP,40,FALSE)*O164,0)</f>
        <v>0</v>
      </c>
      <c r="AO164" s="382">
        <f t="shared" si="64"/>
        <v>285</v>
      </c>
      <c r="AQ164" s="395">
        <f>(IF($H164="x",VLOOKUP($I164,'AUX-NIV2'!$B:$X,'AUX-NIV1'!AQ$3,FALSE),0)+($AV164*'AUX-NIV3'!S$4))*$O164+IF($H164=AQ$4,$P164,0)</f>
        <v>0</v>
      </c>
      <c r="AR164" s="395">
        <f>(IF($H164="x",VLOOKUP($I164,'AUX-NIV2'!$B:$X,'AUX-NIV1'!AR$3,FALSE),0)+($AV164*'AUX-NIV3'!T$4))*$O164+IF($H164=AR$4,$P164,0)</f>
        <v>0</v>
      </c>
      <c r="AS164" s="395">
        <f>(IF($H164="x",VLOOKUP($I164,'AUX-NIV2'!$B:$X,'AUX-NIV1'!AS$3,FALSE),0)+($AV164*'AUX-NIV3'!U$4))*$O164+IF($H164=AS$4,$P164,0)</f>
        <v>0</v>
      </c>
      <c r="AT164" s="395">
        <f>(IF($H164="x",VLOOKUP($I164,'AUX-NIV2'!$B:$X,'AUX-NIV1'!AT$3,FALSE),0)+($AV164*'AUX-NIV3'!V$4))*$O164+IF($H164=AT$4,$P164,0)</f>
        <v>0</v>
      </c>
      <c r="AU164" s="395">
        <f>(IF($H164="x",VLOOKUP($I164,'AUX-NIV2'!$B:$X,'AUX-NIV1'!AU$3,FALSE),0)+($AV164*'AUX-NIV3'!W$4))*$O164+IF($H164=AU$4,$P164,0)</f>
        <v>0</v>
      </c>
      <c r="AV164" s="395">
        <f>+IF($H164="x",VLOOKUP($I164,'AUX-NIV2'!$B:$X,'AUX-NIV1'!AV$3,FALSE),0)</f>
        <v>0</v>
      </c>
    </row>
    <row r="165" spans="2:48">
      <c r="B165" s="324" t="s">
        <v>94</v>
      </c>
      <c r="C165" s="325" t="s">
        <v>1167</v>
      </c>
      <c r="D165" s="326" t="s">
        <v>1168</v>
      </c>
      <c r="E165" s="349">
        <f>IF(B165&lt;&gt;"",+SUMIF(Items!C:C,'AUX-NIV1'!B165,Items!H:H),"")</f>
        <v>2</v>
      </c>
      <c r="F165" s="349">
        <f t="shared" si="54"/>
        <v>97901.978339700348</v>
      </c>
      <c r="G165" s="349">
        <f t="shared" si="55"/>
        <v>195803.9566794007</v>
      </c>
      <c r="H165" s="1395" t="str">
        <f t="shared" si="65"/>
        <v>A</v>
      </c>
      <c r="I165" s="1375" t="s">
        <v>437</v>
      </c>
      <c r="J165" s="350" t="str">
        <f>IF(B165&lt;&gt;"",+VLOOKUP(I165,Recursos!C:F,2,FALSE),"")</f>
        <v>Jefe de Minería Subt. Y C.Abierto</v>
      </c>
      <c r="K165" s="351" t="str">
        <f>IF(B165&lt;&gt;"",+VLOOKUP(I165,Recursos!C:F,3,FALSE),"")</f>
        <v>hh</v>
      </c>
      <c r="L165" s="1475">
        <f>IF(B165&lt;&gt;"",+VLOOKUP(I165,Recursos!C:F,4,FALSE),"")</f>
        <v>537.23131532592549</v>
      </c>
      <c r="M165" s="1493">
        <f t="shared" si="80"/>
        <v>190</v>
      </c>
      <c r="N165" s="1494">
        <f>Organig!L27</f>
        <v>0</v>
      </c>
      <c r="O165" s="1490">
        <f t="shared" si="79"/>
        <v>0</v>
      </c>
      <c r="P165" s="352">
        <f t="shared" si="66"/>
        <v>0</v>
      </c>
      <c r="Q165" s="349">
        <f t="shared" si="67"/>
        <v>0</v>
      </c>
      <c r="R165" s="353">
        <f t="shared" si="68"/>
        <v>0</v>
      </c>
      <c r="S165" s="354">
        <f t="shared" si="56"/>
        <v>97901.978339700348</v>
      </c>
      <c r="T165" s="354">
        <f t="shared" si="57"/>
        <v>0</v>
      </c>
      <c r="U165" s="355">
        <f t="shared" si="58"/>
        <v>0</v>
      </c>
      <c r="V165" s="355">
        <f t="shared" si="59"/>
        <v>0</v>
      </c>
      <c r="W165" s="355">
        <f t="shared" si="60"/>
        <v>0</v>
      </c>
      <c r="X165" s="355">
        <f t="shared" si="61"/>
        <v>0</v>
      </c>
      <c r="Y165" s="396"/>
      <c r="Z165" s="346" t="str">
        <f t="shared" si="69"/>
        <v>I-PERSONALA</v>
      </c>
      <c r="AA165" s="346" t="str">
        <f t="shared" si="70"/>
        <v>I-PERSONALE</v>
      </c>
      <c r="AB165" s="346" t="str">
        <f t="shared" si="71"/>
        <v>I-PERSONALM</v>
      </c>
      <c r="AC165" s="346" t="str">
        <f t="shared" si="72"/>
        <v>I-PERSONALT</v>
      </c>
      <c r="AD165" s="346" t="str">
        <f t="shared" si="73"/>
        <v>I-PERSONALS</v>
      </c>
      <c r="AE165" s="346" t="str">
        <f t="shared" si="74"/>
        <v>I-PERSONALX</v>
      </c>
      <c r="AF165" s="346" t="str">
        <f t="shared" si="75"/>
        <v>I-PERSONALA</v>
      </c>
      <c r="AG165" s="346">
        <f t="shared" si="62"/>
        <v>62</v>
      </c>
      <c r="AH165" s="346">
        <f>IF(B165&lt;&gt;"",+IF(H165="x",+VLOOKUP(I165,'AUX-NIV2'!B:AG,32,FALSE),0),"")</f>
        <v>0</v>
      </c>
      <c r="AI165" s="346" t="str">
        <f t="shared" si="76"/>
        <v>I-PERSONAL</v>
      </c>
      <c r="AK165" s="347">
        <f t="shared" si="63"/>
        <v>140</v>
      </c>
      <c r="AL165" s="348">
        <f t="shared" si="77"/>
        <v>201</v>
      </c>
      <c r="AM165" s="347">
        <f t="shared" si="78"/>
        <v>26</v>
      </c>
      <c r="AN165" s="382">
        <f>IF(AND(AH165&gt;0,B165&lt;&gt;""),VLOOKUP(I165,'AUX-NIV2'!$B:$AP,40,FALSE)*O165,0)</f>
        <v>0</v>
      </c>
      <c r="AO165" s="382">
        <f t="shared" si="64"/>
        <v>285</v>
      </c>
      <c r="AQ165" s="395">
        <f>(IF($H165="x",VLOOKUP($I165,'AUX-NIV2'!$B:$X,'AUX-NIV1'!AQ$3,FALSE),0)+($AV165*'AUX-NIV3'!S$4))*$O165+IF($H165=AQ$4,$P165,0)</f>
        <v>0</v>
      </c>
      <c r="AR165" s="395">
        <f>(IF($H165="x",VLOOKUP($I165,'AUX-NIV2'!$B:$X,'AUX-NIV1'!AR$3,FALSE),0)+($AV165*'AUX-NIV3'!T$4))*$O165+IF($H165=AR$4,$P165,0)</f>
        <v>0</v>
      </c>
      <c r="AS165" s="395">
        <f>(IF($H165="x",VLOOKUP($I165,'AUX-NIV2'!$B:$X,'AUX-NIV1'!AS$3,FALSE),0)+($AV165*'AUX-NIV3'!U$4))*$O165+IF($H165=AS$4,$P165,0)</f>
        <v>0</v>
      </c>
      <c r="AT165" s="395">
        <f>(IF($H165="x",VLOOKUP($I165,'AUX-NIV2'!$B:$X,'AUX-NIV1'!AT$3,FALSE),0)+($AV165*'AUX-NIV3'!V$4))*$O165+IF($H165=AT$4,$P165,0)</f>
        <v>0</v>
      </c>
      <c r="AU165" s="395">
        <f>(IF($H165="x",VLOOKUP($I165,'AUX-NIV2'!$B:$X,'AUX-NIV1'!AU$3,FALSE),0)+($AV165*'AUX-NIV3'!W$4))*$O165+IF($H165=AU$4,$P165,0)</f>
        <v>0</v>
      </c>
      <c r="AV165" s="395">
        <f>+IF($H165="x",VLOOKUP($I165,'AUX-NIV2'!$B:$X,'AUX-NIV1'!AV$3,FALSE),0)</f>
        <v>0</v>
      </c>
    </row>
    <row r="166" spans="2:48">
      <c r="B166" s="324" t="s">
        <v>94</v>
      </c>
      <c r="C166" s="325" t="s">
        <v>1167</v>
      </c>
      <c r="D166" s="326" t="s">
        <v>1168</v>
      </c>
      <c r="E166" s="349">
        <f>IF(B166&lt;&gt;"",+SUMIF(Items!C:C,'AUX-NIV1'!B166,Items!H:H),"")</f>
        <v>2</v>
      </c>
      <c r="F166" s="349">
        <f t="shared" si="54"/>
        <v>97901.978339700348</v>
      </c>
      <c r="G166" s="349">
        <f t="shared" si="55"/>
        <v>195803.9566794007</v>
      </c>
      <c r="H166" s="1395" t="str">
        <f t="shared" si="65"/>
        <v>A</v>
      </c>
      <c r="I166" s="1375" t="s">
        <v>7</v>
      </c>
      <c r="J166" s="350" t="str">
        <f>IF(B166&lt;&gt;"",+VLOOKUP(I166,Recursos!C:F,2,FALSE),"")</f>
        <v>Jefe de Planteles</v>
      </c>
      <c r="K166" s="351" t="str">
        <f>IF(B166&lt;&gt;"",+VLOOKUP(I166,Recursos!C:F,3,FALSE),"")</f>
        <v>hh</v>
      </c>
      <c r="L166" s="1475">
        <f>IF(B166&lt;&gt;"",+VLOOKUP(I166,Recursos!C:F,4,FALSE),"")</f>
        <v>536.6466605919619</v>
      </c>
      <c r="M166" s="1493">
        <f t="shared" si="80"/>
        <v>190</v>
      </c>
      <c r="N166" s="1494">
        <f>Organig!L31</f>
        <v>0</v>
      </c>
      <c r="O166" s="1490">
        <f t="shared" si="79"/>
        <v>0</v>
      </c>
      <c r="P166" s="352">
        <f t="shared" si="66"/>
        <v>0</v>
      </c>
      <c r="Q166" s="349">
        <f t="shared" si="67"/>
        <v>0</v>
      </c>
      <c r="R166" s="353">
        <f t="shared" si="68"/>
        <v>0</v>
      </c>
      <c r="S166" s="354">
        <f t="shared" si="56"/>
        <v>97901.978339700348</v>
      </c>
      <c r="T166" s="354">
        <f t="shared" si="57"/>
        <v>0</v>
      </c>
      <c r="U166" s="355">
        <f t="shared" si="58"/>
        <v>0</v>
      </c>
      <c r="V166" s="355">
        <f t="shared" si="59"/>
        <v>0</v>
      </c>
      <c r="W166" s="355">
        <f t="shared" si="60"/>
        <v>0</v>
      </c>
      <c r="X166" s="355">
        <f t="shared" si="61"/>
        <v>0</v>
      </c>
      <c r="Y166" s="396"/>
      <c r="Z166" s="346" t="str">
        <f t="shared" si="69"/>
        <v>I-PERSONALA</v>
      </c>
      <c r="AA166" s="346" t="str">
        <f t="shared" si="70"/>
        <v>I-PERSONALE</v>
      </c>
      <c r="AB166" s="346" t="str">
        <f t="shared" si="71"/>
        <v>I-PERSONALM</v>
      </c>
      <c r="AC166" s="346" t="str">
        <f t="shared" si="72"/>
        <v>I-PERSONALT</v>
      </c>
      <c r="AD166" s="346" t="str">
        <f t="shared" si="73"/>
        <v>I-PERSONALS</v>
      </c>
      <c r="AE166" s="346" t="str">
        <f t="shared" si="74"/>
        <v>I-PERSONALX</v>
      </c>
      <c r="AF166" s="346" t="str">
        <f t="shared" si="75"/>
        <v>I-PERSONALA</v>
      </c>
      <c r="AG166" s="346">
        <f t="shared" si="62"/>
        <v>62</v>
      </c>
      <c r="AH166" s="346">
        <f>IF(B166&lt;&gt;"",+IF(H166="x",+VLOOKUP(I166,'AUX-NIV2'!B:AG,32,FALSE),0),"")</f>
        <v>0</v>
      </c>
      <c r="AI166" s="346" t="str">
        <f t="shared" si="76"/>
        <v>I-PERSONAL</v>
      </c>
      <c r="AK166" s="347">
        <f t="shared" si="63"/>
        <v>140</v>
      </c>
      <c r="AL166" s="348">
        <f t="shared" si="77"/>
        <v>201</v>
      </c>
      <c r="AM166" s="347">
        <f t="shared" si="78"/>
        <v>27</v>
      </c>
      <c r="AN166" s="382">
        <f>IF(AND(AH166&gt;0,B166&lt;&gt;""),VLOOKUP(I166,'AUX-NIV2'!$B:$AP,40,FALSE)*O166,0)</f>
        <v>0</v>
      </c>
      <c r="AO166" s="382">
        <f t="shared" si="64"/>
        <v>285</v>
      </c>
      <c r="AQ166" s="395">
        <f>(IF($H166="x",VLOOKUP($I166,'AUX-NIV2'!$B:$X,'AUX-NIV1'!AQ$3,FALSE),0)+($AV166*'AUX-NIV3'!S$4))*$O166+IF($H166=AQ$4,$P166,0)</f>
        <v>0</v>
      </c>
      <c r="AR166" s="395">
        <f>(IF($H166="x",VLOOKUP($I166,'AUX-NIV2'!$B:$X,'AUX-NIV1'!AR$3,FALSE),0)+($AV166*'AUX-NIV3'!T$4))*$O166+IF($H166=AR$4,$P166,0)</f>
        <v>0</v>
      </c>
      <c r="AS166" s="395">
        <f>(IF($H166="x",VLOOKUP($I166,'AUX-NIV2'!$B:$X,'AUX-NIV1'!AS$3,FALSE),0)+($AV166*'AUX-NIV3'!U$4))*$O166+IF($H166=AS$4,$P166,0)</f>
        <v>0</v>
      </c>
      <c r="AT166" s="395">
        <f>(IF($H166="x",VLOOKUP($I166,'AUX-NIV2'!$B:$X,'AUX-NIV1'!AT$3,FALSE),0)+($AV166*'AUX-NIV3'!V$4))*$O166+IF($H166=AT$4,$P166,0)</f>
        <v>0</v>
      </c>
      <c r="AU166" s="395">
        <f>(IF($H166="x",VLOOKUP($I166,'AUX-NIV2'!$B:$X,'AUX-NIV1'!AU$3,FALSE),0)+($AV166*'AUX-NIV3'!W$4))*$O166+IF($H166=AU$4,$P166,0)</f>
        <v>0</v>
      </c>
      <c r="AV166" s="395">
        <f>+IF($H166="x",VLOOKUP($I166,'AUX-NIV2'!$B:$X,'AUX-NIV1'!AV$3,FALSE),0)</f>
        <v>0</v>
      </c>
    </row>
    <row r="167" spans="2:48">
      <c r="B167" s="324" t="s">
        <v>94</v>
      </c>
      <c r="C167" s="325" t="s">
        <v>1167</v>
      </c>
      <c r="D167" s="326" t="s">
        <v>1168</v>
      </c>
      <c r="E167" s="349">
        <f>IF(B167&lt;&gt;"",+SUMIF(Items!C:C,'AUX-NIV1'!B167,Items!H:H),"")</f>
        <v>2</v>
      </c>
      <c r="F167" s="349">
        <f t="shared" si="54"/>
        <v>97901.978339700348</v>
      </c>
      <c r="G167" s="349">
        <f t="shared" si="55"/>
        <v>195803.9566794007</v>
      </c>
      <c r="H167" s="1395" t="str">
        <f t="shared" si="65"/>
        <v>A</v>
      </c>
      <c r="I167" s="1375" t="s">
        <v>3180</v>
      </c>
      <c r="J167" s="350" t="str">
        <f>IF(B167&lt;&gt;"",+VLOOKUP(I167,Recursos!C:F,2,FALSE),"")</f>
        <v>Jefe de Mov. de Suelos</v>
      </c>
      <c r="K167" s="351" t="str">
        <f>IF(B167&lt;&gt;"",+VLOOKUP(I167,Recursos!C:F,3,FALSE),"")</f>
        <v>hh</v>
      </c>
      <c r="L167" s="1475">
        <f>IF(B167&lt;&gt;"",+VLOOKUP(I167,Recursos!C:F,4,FALSE),"")</f>
        <v>537.23131532592549</v>
      </c>
      <c r="M167" s="1493">
        <f t="shared" si="80"/>
        <v>190</v>
      </c>
      <c r="N167" s="1494">
        <f>Organig!L35</f>
        <v>0</v>
      </c>
      <c r="O167" s="1490">
        <f t="shared" si="79"/>
        <v>0</v>
      </c>
      <c r="P167" s="352">
        <f t="shared" si="66"/>
        <v>0</v>
      </c>
      <c r="Q167" s="349">
        <f t="shared" si="67"/>
        <v>0</v>
      </c>
      <c r="R167" s="353">
        <f t="shared" si="68"/>
        <v>0</v>
      </c>
      <c r="S167" s="354">
        <f t="shared" si="56"/>
        <v>97901.978339700348</v>
      </c>
      <c r="T167" s="354">
        <f t="shared" si="57"/>
        <v>0</v>
      </c>
      <c r="U167" s="355">
        <f t="shared" si="58"/>
        <v>0</v>
      </c>
      <c r="V167" s="355">
        <f t="shared" si="59"/>
        <v>0</v>
      </c>
      <c r="W167" s="355">
        <f t="shared" si="60"/>
        <v>0</v>
      </c>
      <c r="X167" s="355">
        <f t="shared" si="61"/>
        <v>0</v>
      </c>
      <c r="Y167" s="396"/>
      <c r="Z167" s="346" t="str">
        <f t="shared" si="69"/>
        <v>I-PERSONALA</v>
      </c>
      <c r="AA167" s="346" t="str">
        <f t="shared" si="70"/>
        <v>I-PERSONALE</v>
      </c>
      <c r="AB167" s="346" t="str">
        <f t="shared" si="71"/>
        <v>I-PERSONALM</v>
      </c>
      <c r="AC167" s="346" t="str">
        <f t="shared" si="72"/>
        <v>I-PERSONALT</v>
      </c>
      <c r="AD167" s="346" t="str">
        <f t="shared" si="73"/>
        <v>I-PERSONALS</v>
      </c>
      <c r="AE167" s="346" t="str">
        <f t="shared" si="74"/>
        <v>I-PERSONALX</v>
      </c>
      <c r="AF167" s="346" t="str">
        <f t="shared" si="75"/>
        <v>I-PERSONALA</v>
      </c>
      <c r="AG167" s="346">
        <f t="shared" si="62"/>
        <v>62</v>
      </c>
      <c r="AH167" s="346">
        <f>IF(B167&lt;&gt;"",+IF(H167="x",+VLOOKUP(I167,'AUX-NIV2'!B:AG,32,FALSE),0),"")</f>
        <v>0</v>
      </c>
      <c r="AI167" s="346" t="str">
        <f t="shared" si="76"/>
        <v>I-PERSONAL</v>
      </c>
      <c r="AK167" s="347">
        <f t="shared" si="63"/>
        <v>140</v>
      </c>
      <c r="AL167" s="348">
        <f t="shared" si="77"/>
        <v>201</v>
      </c>
      <c r="AM167" s="347">
        <f t="shared" si="78"/>
        <v>28</v>
      </c>
      <c r="AN167" s="382">
        <f>IF(AND(AH167&gt;0,B167&lt;&gt;""),VLOOKUP(I167,'AUX-NIV2'!$B:$AP,40,FALSE)*O167,0)</f>
        <v>0</v>
      </c>
      <c r="AO167" s="382">
        <f t="shared" si="64"/>
        <v>285</v>
      </c>
      <c r="AQ167" s="395">
        <f>(IF($H167="x",VLOOKUP($I167,'AUX-NIV2'!$B:$X,'AUX-NIV1'!AQ$3,FALSE),0)+($AV167*'AUX-NIV3'!S$4))*$O167+IF($H167=AQ$4,$P167,0)</f>
        <v>0</v>
      </c>
      <c r="AR167" s="395">
        <f>(IF($H167="x",VLOOKUP($I167,'AUX-NIV2'!$B:$X,'AUX-NIV1'!AR$3,FALSE),0)+($AV167*'AUX-NIV3'!T$4))*$O167+IF($H167=AR$4,$P167,0)</f>
        <v>0</v>
      </c>
      <c r="AS167" s="395">
        <f>(IF($H167="x",VLOOKUP($I167,'AUX-NIV2'!$B:$X,'AUX-NIV1'!AS$3,FALSE),0)+($AV167*'AUX-NIV3'!U$4))*$O167+IF($H167=AS$4,$P167,0)</f>
        <v>0</v>
      </c>
      <c r="AT167" s="395">
        <f>(IF($H167="x",VLOOKUP($I167,'AUX-NIV2'!$B:$X,'AUX-NIV1'!AT$3,FALSE),0)+($AV167*'AUX-NIV3'!V$4))*$O167+IF($H167=AT$4,$P167,0)</f>
        <v>0</v>
      </c>
      <c r="AU167" s="395">
        <f>(IF($H167="x",VLOOKUP($I167,'AUX-NIV2'!$B:$X,'AUX-NIV1'!AU$3,FALSE),0)+($AV167*'AUX-NIV3'!W$4))*$O167+IF($H167=AU$4,$P167,0)</f>
        <v>0</v>
      </c>
      <c r="AV167" s="395">
        <f>+IF($H167="x",VLOOKUP($I167,'AUX-NIV2'!$B:$X,'AUX-NIV1'!AV$3,FALSE),0)</f>
        <v>0</v>
      </c>
    </row>
    <row r="168" spans="2:48">
      <c r="B168" s="324" t="s">
        <v>94</v>
      </c>
      <c r="C168" s="325" t="s">
        <v>1167</v>
      </c>
      <c r="D168" s="326" t="s">
        <v>1168</v>
      </c>
      <c r="E168" s="349">
        <f>IF(B168&lt;&gt;"",+SUMIF(Items!C:C,'AUX-NIV1'!B168,Items!H:H),"")</f>
        <v>2</v>
      </c>
      <c r="F168" s="349">
        <f t="shared" si="54"/>
        <v>97901.978339700348</v>
      </c>
      <c r="G168" s="349">
        <f t="shared" si="55"/>
        <v>195803.9566794007</v>
      </c>
      <c r="H168" s="1395" t="str">
        <f t="shared" si="65"/>
        <v>A</v>
      </c>
      <c r="I168" s="1375" t="s">
        <v>8</v>
      </c>
      <c r="J168" s="350" t="str">
        <f>IF(B168&lt;&gt;"",+VLOOKUP(I168,Recursos!C:F,2,FALSE),"")</f>
        <v>Jefe de Hormigones</v>
      </c>
      <c r="K168" s="351" t="str">
        <f>IF(B168&lt;&gt;"",+VLOOKUP(I168,Recursos!C:F,3,FALSE),"")</f>
        <v>hh</v>
      </c>
      <c r="L168" s="1475">
        <f>IF(B168&lt;&gt;"",+VLOOKUP(I168,Recursos!C:F,4,FALSE),"")</f>
        <v>537.23131532592549</v>
      </c>
      <c r="M168" s="1493">
        <f t="shared" si="80"/>
        <v>190</v>
      </c>
      <c r="N168" s="1494">
        <f>Organig!L39</f>
        <v>0</v>
      </c>
      <c r="O168" s="1490">
        <f t="shared" si="79"/>
        <v>0</v>
      </c>
      <c r="P168" s="352">
        <f t="shared" si="66"/>
        <v>0</v>
      </c>
      <c r="Q168" s="349">
        <f t="shared" si="67"/>
        <v>0</v>
      </c>
      <c r="R168" s="353">
        <f t="shared" si="68"/>
        <v>0</v>
      </c>
      <c r="S168" s="354">
        <f t="shared" si="56"/>
        <v>97901.978339700348</v>
      </c>
      <c r="T168" s="354">
        <f t="shared" si="57"/>
        <v>0</v>
      </c>
      <c r="U168" s="355">
        <f t="shared" si="58"/>
        <v>0</v>
      </c>
      <c r="V168" s="355">
        <f t="shared" si="59"/>
        <v>0</v>
      </c>
      <c r="W168" s="355">
        <f t="shared" si="60"/>
        <v>0</v>
      </c>
      <c r="X168" s="355">
        <f t="shared" si="61"/>
        <v>0</v>
      </c>
      <c r="Y168" s="396"/>
      <c r="Z168" s="346" t="str">
        <f t="shared" si="69"/>
        <v>I-PERSONALA</v>
      </c>
      <c r="AA168" s="346" t="str">
        <f t="shared" si="70"/>
        <v>I-PERSONALE</v>
      </c>
      <c r="AB168" s="346" t="str">
        <f t="shared" si="71"/>
        <v>I-PERSONALM</v>
      </c>
      <c r="AC168" s="346" t="str">
        <f t="shared" si="72"/>
        <v>I-PERSONALT</v>
      </c>
      <c r="AD168" s="346" t="str">
        <f t="shared" si="73"/>
        <v>I-PERSONALS</v>
      </c>
      <c r="AE168" s="346" t="str">
        <f t="shared" si="74"/>
        <v>I-PERSONALX</v>
      </c>
      <c r="AF168" s="346" t="str">
        <f t="shared" si="75"/>
        <v>I-PERSONALA</v>
      </c>
      <c r="AG168" s="346">
        <f t="shared" si="62"/>
        <v>62</v>
      </c>
      <c r="AH168" s="346">
        <f>IF(B168&lt;&gt;"",+IF(H168="x",+VLOOKUP(I168,'AUX-NIV2'!B:AG,32,FALSE),0),"")</f>
        <v>0</v>
      </c>
      <c r="AI168" s="346" t="str">
        <f t="shared" si="76"/>
        <v>I-PERSONAL</v>
      </c>
      <c r="AK168" s="347">
        <f t="shared" si="63"/>
        <v>140</v>
      </c>
      <c r="AL168" s="348">
        <f t="shared" si="77"/>
        <v>201</v>
      </c>
      <c r="AM168" s="347">
        <f t="shared" si="78"/>
        <v>29</v>
      </c>
      <c r="AN168" s="382">
        <f>IF(AND(AH168&gt;0,B168&lt;&gt;""),VLOOKUP(I168,'AUX-NIV2'!$B:$AP,40,FALSE)*O168,0)</f>
        <v>0</v>
      </c>
      <c r="AO168" s="382">
        <f t="shared" si="64"/>
        <v>285</v>
      </c>
      <c r="AQ168" s="395">
        <f>(IF($H168="x",VLOOKUP($I168,'AUX-NIV2'!$B:$X,'AUX-NIV1'!AQ$3,FALSE),0)+($AV168*'AUX-NIV3'!S$4))*$O168+IF($H168=AQ$4,$P168,0)</f>
        <v>0</v>
      </c>
      <c r="AR168" s="395">
        <f>(IF($H168="x",VLOOKUP($I168,'AUX-NIV2'!$B:$X,'AUX-NIV1'!AR$3,FALSE),0)+($AV168*'AUX-NIV3'!T$4))*$O168+IF($H168=AR$4,$P168,0)</f>
        <v>0</v>
      </c>
      <c r="AS168" s="395">
        <f>(IF($H168="x",VLOOKUP($I168,'AUX-NIV2'!$B:$X,'AUX-NIV1'!AS$3,FALSE),0)+($AV168*'AUX-NIV3'!U$4))*$O168+IF($H168=AS$4,$P168,0)</f>
        <v>0</v>
      </c>
      <c r="AT168" s="395">
        <f>(IF($H168="x",VLOOKUP($I168,'AUX-NIV2'!$B:$X,'AUX-NIV1'!AT$3,FALSE),0)+($AV168*'AUX-NIV3'!V$4))*$O168+IF($H168=AT$4,$P168,0)</f>
        <v>0</v>
      </c>
      <c r="AU168" s="395">
        <f>(IF($H168="x",VLOOKUP($I168,'AUX-NIV2'!$B:$X,'AUX-NIV1'!AU$3,FALSE),0)+($AV168*'AUX-NIV3'!W$4))*$O168+IF($H168=AU$4,$P168,0)</f>
        <v>0</v>
      </c>
      <c r="AV168" s="395">
        <f>+IF($H168="x",VLOOKUP($I168,'AUX-NIV2'!$B:$X,'AUX-NIV1'!AV$3,FALSE),0)</f>
        <v>0</v>
      </c>
    </row>
    <row r="169" spans="2:48">
      <c r="B169" s="324" t="s">
        <v>94</v>
      </c>
      <c r="C169" s="325" t="s">
        <v>1167</v>
      </c>
      <c r="D169" s="326" t="s">
        <v>1168</v>
      </c>
      <c r="E169" s="349">
        <f>IF(B169&lt;&gt;"",+SUMIF(Items!C:C,'AUX-NIV1'!B169,Items!H:H),"")</f>
        <v>2</v>
      </c>
      <c r="F169" s="349">
        <f t="shared" si="54"/>
        <v>97901.978339700348</v>
      </c>
      <c r="G169" s="349">
        <f t="shared" si="55"/>
        <v>195803.9566794007</v>
      </c>
      <c r="H169" s="1395" t="str">
        <f t="shared" si="65"/>
        <v>A</v>
      </c>
      <c r="I169" s="1375" t="s">
        <v>1067</v>
      </c>
      <c r="J169" s="350" t="str">
        <f>IF(B169&lt;&gt;"",+VLOOKUP(I169,Recursos!C:F,2,FALSE),"")</f>
        <v>Jefe de Armaduras y Playa Hierro</v>
      </c>
      <c r="K169" s="351" t="str">
        <f>IF(B169&lt;&gt;"",+VLOOKUP(I169,Recursos!C:F,3,FALSE),"")</f>
        <v>hh</v>
      </c>
      <c r="L169" s="1475">
        <f>IF(B169&lt;&gt;"",+VLOOKUP(I169,Recursos!C:F,4,FALSE),"")</f>
        <v>537.23131532592549</v>
      </c>
      <c r="M169" s="1493">
        <f t="shared" si="80"/>
        <v>190</v>
      </c>
      <c r="N169" s="1494">
        <f>Organig!L43</f>
        <v>0</v>
      </c>
      <c r="O169" s="1490">
        <f t="shared" si="79"/>
        <v>0</v>
      </c>
      <c r="P169" s="352">
        <f t="shared" si="66"/>
        <v>0</v>
      </c>
      <c r="Q169" s="349">
        <f t="shared" si="67"/>
        <v>0</v>
      </c>
      <c r="R169" s="353">
        <f t="shared" si="68"/>
        <v>0</v>
      </c>
      <c r="S169" s="354">
        <f t="shared" si="56"/>
        <v>97901.978339700348</v>
      </c>
      <c r="T169" s="354">
        <f t="shared" si="57"/>
        <v>0</v>
      </c>
      <c r="U169" s="355">
        <f t="shared" si="58"/>
        <v>0</v>
      </c>
      <c r="V169" s="355">
        <f t="shared" si="59"/>
        <v>0</v>
      </c>
      <c r="W169" s="355">
        <f t="shared" si="60"/>
        <v>0</v>
      </c>
      <c r="X169" s="355">
        <f t="shared" si="61"/>
        <v>0</v>
      </c>
      <c r="Y169" s="396"/>
      <c r="Z169" s="346" t="str">
        <f t="shared" si="69"/>
        <v>I-PERSONALA</v>
      </c>
      <c r="AA169" s="346" t="str">
        <f t="shared" si="70"/>
        <v>I-PERSONALE</v>
      </c>
      <c r="AB169" s="346" t="str">
        <f t="shared" si="71"/>
        <v>I-PERSONALM</v>
      </c>
      <c r="AC169" s="346" t="str">
        <f t="shared" si="72"/>
        <v>I-PERSONALT</v>
      </c>
      <c r="AD169" s="346" t="str">
        <f t="shared" si="73"/>
        <v>I-PERSONALS</v>
      </c>
      <c r="AE169" s="346" t="str">
        <f t="shared" si="74"/>
        <v>I-PERSONALX</v>
      </c>
      <c r="AF169" s="346" t="str">
        <f t="shared" si="75"/>
        <v>I-PERSONALA</v>
      </c>
      <c r="AG169" s="346">
        <f t="shared" si="62"/>
        <v>62</v>
      </c>
      <c r="AH169" s="346">
        <f>IF(B169&lt;&gt;"",+IF(H169="x",+VLOOKUP(I169,'AUX-NIV2'!B:AG,32,FALSE),0),"")</f>
        <v>0</v>
      </c>
      <c r="AI169" s="346" t="str">
        <f t="shared" si="76"/>
        <v>I-PERSONAL</v>
      </c>
      <c r="AK169" s="347">
        <f t="shared" si="63"/>
        <v>140</v>
      </c>
      <c r="AL169" s="348">
        <f t="shared" si="77"/>
        <v>201</v>
      </c>
      <c r="AM169" s="347">
        <f t="shared" si="78"/>
        <v>30</v>
      </c>
      <c r="AN169" s="382">
        <f>IF(AND(AH169&gt;0,B169&lt;&gt;""),VLOOKUP(I169,'AUX-NIV2'!$B:$AP,40,FALSE)*O169,0)</f>
        <v>0</v>
      </c>
      <c r="AO169" s="382">
        <f t="shared" si="64"/>
        <v>285</v>
      </c>
      <c r="AQ169" s="395">
        <f>(IF($H169="x",VLOOKUP($I169,'AUX-NIV2'!$B:$X,'AUX-NIV1'!AQ$3,FALSE),0)+($AV169*'AUX-NIV3'!S$4))*$O169+IF($H169=AQ$4,$P169,0)</f>
        <v>0</v>
      </c>
      <c r="AR169" s="395">
        <f>(IF($H169="x",VLOOKUP($I169,'AUX-NIV2'!$B:$X,'AUX-NIV1'!AR$3,FALSE),0)+($AV169*'AUX-NIV3'!T$4))*$O169+IF($H169=AR$4,$P169,0)</f>
        <v>0</v>
      </c>
      <c r="AS169" s="395">
        <f>(IF($H169="x",VLOOKUP($I169,'AUX-NIV2'!$B:$X,'AUX-NIV1'!AS$3,FALSE),0)+($AV169*'AUX-NIV3'!U$4))*$O169+IF($H169=AS$4,$P169,0)</f>
        <v>0</v>
      </c>
      <c r="AT169" s="395">
        <f>(IF($H169="x",VLOOKUP($I169,'AUX-NIV2'!$B:$X,'AUX-NIV1'!AT$3,FALSE),0)+($AV169*'AUX-NIV3'!V$4))*$O169+IF($H169=AT$4,$P169,0)</f>
        <v>0</v>
      </c>
      <c r="AU169" s="395">
        <f>(IF($H169="x",VLOOKUP($I169,'AUX-NIV2'!$B:$X,'AUX-NIV1'!AU$3,FALSE),0)+($AV169*'AUX-NIV3'!W$4))*$O169+IF($H169=AU$4,$P169,0)</f>
        <v>0</v>
      </c>
      <c r="AV169" s="395">
        <f>+IF($H169="x",VLOOKUP($I169,'AUX-NIV2'!$B:$X,'AUX-NIV1'!AV$3,FALSE),0)</f>
        <v>0</v>
      </c>
    </row>
    <row r="170" spans="2:48">
      <c r="B170" s="324" t="s">
        <v>94</v>
      </c>
      <c r="C170" s="325" t="s">
        <v>1167</v>
      </c>
      <c r="D170" s="326" t="s">
        <v>1168</v>
      </c>
      <c r="E170" s="349">
        <f>IF(B170&lt;&gt;"",+SUMIF(Items!C:C,'AUX-NIV1'!B170,Items!H:H),"")</f>
        <v>2</v>
      </c>
      <c r="F170" s="349">
        <f t="shared" si="54"/>
        <v>97901.978339700348</v>
      </c>
      <c r="G170" s="349">
        <f t="shared" si="55"/>
        <v>195803.9566794007</v>
      </c>
      <c r="H170" s="1395" t="str">
        <f t="shared" si="65"/>
        <v>A</v>
      </c>
      <c r="I170" s="1375" t="s">
        <v>1068</v>
      </c>
      <c r="J170" s="350" t="str">
        <f>IF(B170&lt;&gt;"",+VLOOKUP(I170,Recursos!C:F,2,FALSE),"")</f>
        <v>Jefe Encofrados y Carpinterias</v>
      </c>
      <c r="K170" s="351" t="str">
        <f>IF(B170&lt;&gt;"",+VLOOKUP(I170,Recursos!C:F,3,FALSE),"")</f>
        <v>hh</v>
      </c>
      <c r="L170" s="1475">
        <f>IF(B170&lt;&gt;"",+VLOOKUP(I170,Recursos!C:F,4,FALSE),"")</f>
        <v>537.23131532592549</v>
      </c>
      <c r="M170" s="1493">
        <f t="shared" si="80"/>
        <v>190</v>
      </c>
      <c r="N170" s="1494">
        <f>Organig!L47</f>
        <v>0</v>
      </c>
      <c r="O170" s="1490">
        <f t="shared" si="79"/>
        <v>0</v>
      </c>
      <c r="P170" s="352">
        <f t="shared" si="66"/>
        <v>0</v>
      </c>
      <c r="Q170" s="349">
        <f t="shared" si="67"/>
        <v>0</v>
      </c>
      <c r="R170" s="353">
        <f t="shared" si="68"/>
        <v>0</v>
      </c>
      <c r="S170" s="354">
        <f t="shared" si="56"/>
        <v>97901.978339700348</v>
      </c>
      <c r="T170" s="354">
        <f t="shared" si="57"/>
        <v>0</v>
      </c>
      <c r="U170" s="355">
        <f t="shared" si="58"/>
        <v>0</v>
      </c>
      <c r="V170" s="355">
        <f t="shared" si="59"/>
        <v>0</v>
      </c>
      <c r="W170" s="355">
        <f t="shared" si="60"/>
        <v>0</v>
      </c>
      <c r="X170" s="355">
        <f t="shared" si="61"/>
        <v>0</v>
      </c>
      <c r="Y170" s="396"/>
      <c r="Z170" s="346" t="str">
        <f t="shared" si="69"/>
        <v>I-PERSONALA</v>
      </c>
      <c r="AA170" s="346" t="str">
        <f t="shared" si="70"/>
        <v>I-PERSONALE</v>
      </c>
      <c r="AB170" s="346" t="str">
        <f t="shared" si="71"/>
        <v>I-PERSONALM</v>
      </c>
      <c r="AC170" s="346" t="str">
        <f t="shared" si="72"/>
        <v>I-PERSONALT</v>
      </c>
      <c r="AD170" s="346" t="str">
        <f t="shared" si="73"/>
        <v>I-PERSONALS</v>
      </c>
      <c r="AE170" s="346" t="str">
        <f t="shared" si="74"/>
        <v>I-PERSONALX</v>
      </c>
      <c r="AF170" s="346" t="str">
        <f t="shared" si="75"/>
        <v>I-PERSONALA</v>
      </c>
      <c r="AG170" s="346">
        <f t="shared" si="62"/>
        <v>62</v>
      </c>
      <c r="AH170" s="346">
        <f>IF(B170&lt;&gt;"",+IF(H170="x",+VLOOKUP(I170,'AUX-NIV2'!B:AG,32,FALSE),0),"")</f>
        <v>0</v>
      </c>
      <c r="AI170" s="346" t="str">
        <f t="shared" si="76"/>
        <v>I-PERSONAL</v>
      </c>
      <c r="AK170" s="347">
        <f t="shared" si="63"/>
        <v>140</v>
      </c>
      <c r="AL170" s="348">
        <f t="shared" si="77"/>
        <v>201</v>
      </c>
      <c r="AM170" s="347">
        <f t="shared" si="78"/>
        <v>31</v>
      </c>
      <c r="AN170" s="382">
        <f>IF(AND(AH170&gt;0,B170&lt;&gt;""),VLOOKUP(I170,'AUX-NIV2'!$B:$AP,40,FALSE)*O170,0)</f>
        <v>0</v>
      </c>
      <c r="AO170" s="382">
        <f t="shared" si="64"/>
        <v>285</v>
      </c>
      <c r="AQ170" s="395">
        <f>(IF($H170="x",VLOOKUP($I170,'AUX-NIV2'!$B:$X,'AUX-NIV1'!AQ$3,FALSE),0)+($AV170*'AUX-NIV3'!S$4))*$O170+IF($H170=AQ$4,$P170,0)</f>
        <v>0</v>
      </c>
      <c r="AR170" s="395">
        <f>(IF($H170="x",VLOOKUP($I170,'AUX-NIV2'!$B:$X,'AUX-NIV1'!AR$3,FALSE),0)+($AV170*'AUX-NIV3'!T$4))*$O170+IF($H170=AR$4,$P170,0)</f>
        <v>0</v>
      </c>
      <c r="AS170" s="395">
        <f>(IF($H170="x",VLOOKUP($I170,'AUX-NIV2'!$B:$X,'AUX-NIV1'!AS$3,FALSE),0)+($AV170*'AUX-NIV3'!U$4))*$O170+IF($H170=AS$4,$P170,0)</f>
        <v>0</v>
      </c>
      <c r="AT170" s="395">
        <f>(IF($H170="x",VLOOKUP($I170,'AUX-NIV2'!$B:$X,'AUX-NIV1'!AT$3,FALSE),0)+($AV170*'AUX-NIV3'!V$4))*$O170+IF($H170=AT$4,$P170,0)</f>
        <v>0</v>
      </c>
      <c r="AU170" s="395">
        <f>(IF($H170="x",VLOOKUP($I170,'AUX-NIV2'!$B:$X,'AUX-NIV1'!AU$3,FALSE),0)+($AV170*'AUX-NIV3'!W$4))*$O170+IF($H170=AU$4,$P170,0)</f>
        <v>0</v>
      </c>
      <c r="AV170" s="395">
        <f>+IF($H170="x",VLOOKUP($I170,'AUX-NIV2'!$B:$X,'AUX-NIV1'!AV$3,FALSE),0)</f>
        <v>0</v>
      </c>
    </row>
    <row r="171" spans="2:48">
      <c r="B171" s="324" t="s">
        <v>94</v>
      </c>
      <c r="C171" s="325" t="s">
        <v>1167</v>
      </c>
      <c r="D171" s="326" t="s">
        <v>1168</v>
      </c>
      <c r="E171" s="349">
        <f>IF(B171&lt;&gt;"",+SUMIF(Items!C:C,'AUX-NIV1'!B171,Items!H:H),"")</f>
        <v>2</v>
      </c>
      <c r="F171" s="349">
        <f t="shared" si="54"/>
        <v>97901.978339700348</v>
      </c>
      <c r="G171" s="349">
        <f t="shared" si="55"/>
        <v>195803.9566794007</v>
      </c>
      <c r="H171" s="1395" t="str">
        <f t="shared" si="65"/>
        <v>A</v>
      </c>
      <c r="I171" s="1375" t="s">
        <v>1069</v>
      </c>
      <c r="J171" s="350" t="str">
        <f>IF(B171&lt;&gt;"",+VLOOKUP(I171,Recursos!C:F,2,FALSE),"")</f>
        <v>Jefe Tuberias</v>
      </c>
      <c r="K171" s="351" t="str">
        <f>IF(B171&lt;&gt;"",+VLOOKUP(I171,Recursos!C:F,3,FALSE),"")</f>
        <v>hh</v>
      </c>
      <c r="L171" s="1475">
        <f>IF(B171&lt;&gt;"",+VLOOKUP(I171,Recursos!C:F,4,FALSE),"")</f>
        <v>537.23131532592549</v>
      </c>
      <c r="M171" s="1493">
        <f t="shared" si="80"/>
        <v>190</v>
      </c>
      <c r="N171" s="1494">
        <f>Organig!L51</f>
        <v>0</v>
      </c>
      <c r="O171" s="1490">
        <f t="shared" si="79"/>
        <v>0</v>
      </c>
      <c r="P171" s="352">
        <f t="shared" si="66"/>
        <v>0</v>
      </c>
      <c r="Q171" s="349">
        <f t="shared" si="67"/>
        <v>0</v>
      </c>
      <c r="R171" s="353">
        <f t="shared" si="68"/>
        <v>0</v>
      </c>
      <c r="S171" s="354">
        <f t="shared" si="56"/>
        <v>97901.978339700348</v>
      </c>
      <c r="T171" s="354">
        <f t="shared" si="57"/>
        <v>0</v>
      </c>
      <c r="U171" s="355">
        <f t="shared" si="58"/>
        <v>0</v>
      </c>
      <c r="V171" s="355">
        <f t="shared" si="59"/>
        <v>0</v>
      </c>
      <c r="W171" s="355">
        <f t="shared" si="60"/>
        <v>0</v>
      </c>
      <c r="X171" s="355">
        <f t="shared" si="61"/>
        <v>0</v>
      </c>
      <c r="Y171" s="396"/>
      <c r="Z171" s="346" t="str">
        <f t="shared" si="69"/>
        <v>I-PERSONALA</v>
      </c>
      <c r="AA171" s="346" t="str">
        <f t="shared" si="70"/>
        <v>I-PERSONALE</v>
      </c>
      <c r="AB171" s="346" t="str">
        <f t="shared" si="71"/>
        <v>I-PERSONALM</v>
      </c>
      <c r="AC171" s="346" t="str">
        <f t="shared" si="72"/>
        <v>I-PERSONALT</v>
      </c>
      <c r="AD171" s="346" t="str">
        <f t="shared" si="73"/>
        <v>I-PERSONALS</v>
      </c>
      <c r="AE171" s="346" t="str">
        <f t="shared" si="74"/>
        <v>I-PERSONALX</v>
      </c>
      <c r="AF171" s="346" t="str">
        <f t="shared" si="75"/>
        <v>I-PERSONALA</v>
      </c>
      <c r="AG171" s="346">
        <f t="shared" si="62"/>
        <v>62</v>
      </c>
      <c r="AH171" s="346">
        <f>IF(B171&lt;&gt;"",+IF(H171="x",+VLOOKUP(I171,'AUX-NIV2'!B:AG,32,FALSE),0),"")</f>
        <v>0</v>
      </c>
      <c r="AI171" s="346" t="str">
        <f t="shared" si="76"/>
        <v>I-PERSONAL</v>
      </c>
      <c r="AK171" s="347">
        <f t="shared" si="63"/>
        <v>140</v>
      </c>
      <c r="AL171" s="348">
        <f t="shared" si="77"/>
        <v>201</v>
      </c>
      <c r="AM171" s="347">
        <f t="shared" si="78"/>
        <v>32</v>
      </c>
      <c r="AN171" s="382">
        <f>IF(AND(AH171&gt;0,B171&lt;&gt;""),VLOOKUP(I171,'AUX-NIV2'!$B:$AP,40,FALSE)*O171,0)</f>
        <v>0</v>
      </c>
      <c r="AO171" s="382">
        <f t="shared" si="64"/>
        <v>285</v>
      </c>
      <c r="AQ171" s="395">
        <f>(IF($H171="x",VLOOKUP($I171,'AUX-NIV2'!$B:$X,'AUX-NIV1'!AQ$3,FALSE),0)+($AV171*'AUX-NIV3'!S$4))*$O171+IF($H171=AQ$4,$P171,0)</f>
        <v>0</v>
      </c>
      <c r="AR171" s="395">
        <f>(IF($H171="x",VLOOKUP($I171,'AUX-NIV2'!$B:$X,'AUX-NIV1'!AR$3,FALSE),0)+($AV171*'AUX-NIV3'!T$4))*$O171+IF($H171=AR$4,$P171,0)</f>
        <v>0</v>
      </c>
      <c r="AS171" s="395">
        <f>(IF($H171="x",VLOOKUP($I171,'AUX-NIV2'!$B:$X,'AUX-NIV1'!AS$3,FALSE),0)+($AV171*'AUX-NIV3'!U$4))*$O171+IF($H171=AS$4,$P171,0)</f>
        <v>0</v>
      </c>
      <c r="AT171" s="395">
        <f>(IF($H171="x",VLOOKUP($I171,'AUX-NIV2'!$B:$X,'AUX-NIV1'!AT$3,FALSE),0)+($AV171*'AUX-NIV3'!V$4))*$O171+IF($H171=AT$4,$P171,0)</f>
        <v>0</v>
      </c>
      <c r="AU171" s="395">
        <f>(IF($H171="x",VLOOKUP($I171,'AUX-NIV2'!$B:$X,'AUX-NIV1'!AU$3,FALSE),0)+($AV171*'AUX-NIV3'!W$4))*$O171+IF($H171=AU$4,$P171,0)</f>
        <v>0</v>
      </c>
      <c r="AV171" s="395">
        <f>+IF($H171="x",VLOOKUP($I171,'AUX-NIV2'!$B:$X,'AUX-NIV1'!AV$3,FALSE),0)</f>
        <v>0</v>
      </c>
    </row>
    <row r="172" spans="2:48">
      <c r="B172" s="324" t="s">
        <v>94</v>
      </c>
      <c r="C172" s="325" t="s">
        <v>1167</v>
      </c>
      <c r="D172" s="326" t="s">
        <v>1168</v>
      </c>
      <c r="E172" s="349">
        <f>IF(B172&lt;&gt;"",+SUMIF(Items!C:C,'AUX-NIV1'!B172,Items!H:H),"")</f>
        <v>2</v>
      </c>
      <c r="F172" s="349">
        <f t="shared" si="54"/>
        <v>97901.978339700348</v>
      </c>
      <c r="G172" s="349">
        <f t="shared" si="55"/>
        <v>195803.9566794007</v>
      </c>
      <c r="H172" s="1395" t="str">
        <f t="shared" si="65"/>
        <v>A</v>
      </c>
      <c r="I172" s="1375" t="s">
        <v>1072</v>
      </c>
      <c r="J172" s="350" t="str">
        <f>IF(B172&lt;&gt;"",+VLOOKUP(I172,Recursos!C:F,2,FALSE),"")</f>
        <v>Capataces Generales</v>
      </c>
      <c r="K172" s="351" t="str">
        <f>IF(B172&lt;&gt;"",+VLOOKUP(I172,Recursos!C:F,3,FALSE),"")</f>
        <v>hh</v>
      </c>
      <c r="L172" s="1475">
        <f>IF(B172&lt;&gt;"",+VLOOKUP(I172,Recursos!C:F,4,FALSE),"")</f>
        <v>479.93515139748689</v>
      </c>
      <c r="M172" s="1493">
        <f t="shared" si="80"/>
        <v>190</v>
      </c>
      <c r="N172" s="1494">
        <f>Organig!L55</f>
        <v>0</v>
      </c>
      <c r="O172" s="1490">
        <f t="shared" si="79"/>
        <v>0</v>
      </c>
      <c r="P172" s="352">
        <f t="shared" si="66"/>
        <v>0</v>
      </c>
      <c r="Q172" s="349">
        <f t="shared" si="67"/>
        <v>0</v>
      </c>
      <c r="R172" s="353">
        <f t="shared" si="68"/>
        <v>0</v>
      </c>
      <c r="S172" s="354">
        <f t="shared" si="56"/>
        <v>97901.978339700348</v>
      </c>
      <c r="T172" s="354">
        <f t="shared" si="57"/>
        <v>0</v>
      </c>
      <c r="U172" s="355">
        <f t="shared" si="58"/>
        <v>0</v>
      </c>
      <c r="V172" s="355">
        <f t="shared" si="59"/>
        <v>0</v>
      </c>
      <c r="W172" s="355">
        <f t="shared" si="60"/>
        <v>0</v>
      </c>
      <c r="X172" s="355">
        <f t="shared" si="61"/>
        <v>0</v>
      </c>
      <c r="Y172" s="396"/>
      <c r="Z172" s="346" t="str">
        <f t="shared" si="69"/>
        <v>I-PERSONALA</v>
      </c>
      <c r="AA172" s="346" t="str">
        <f t="shared" si="70"/>
        <v>I-PERSONALE</v>
      </c>
      <c r="AB172" s="346" t="str">
        <f t="shared" si="71"/>
        <v>I-PERSONALM</v>
      </c>
      <c r="AC172" s="346" t="str">
        <f t="shared" si="72"/>
        <v>I-PERSONALT</v>
      </c>
      <c r="AD172" s="346" t="str">
        <f t="shared" si="73"/>
        <v>I-PERSONALS</v>
      </c>
      <c r="AE172" s="346" t="str">
        <f t="shared" si="74"/>
        <v>I-PERSONALX</v>
      </c>
      <c r="AF172" s="346" t="str">
        <f t="shared" si="75"/>
        <v>I-PERSONALA</v>
      </c>
      <c r="AG172" s="346">
        <f t="shared" si="62"/>
        <v>62</v>
      </c>
      <c r="AH172" s="346">
        <f>IF(B172&lt;&gt;"",+IF(H172="x",+VLOOKUP(I172,'AUX-NIV2'!B:AG,32,FALSE),0),"")</f>
        <v>0</v>
      </c>
      <c r="AI172" s="346" t="str">
        <f t="shared" si="76"/>
        <v>I-PERSONAL</v>
      </c>
      <c r="AK172" s="347">
        <f t="shared" si="63"/>
        <v>140</v>
      </c>
      <c r="AL172" s="348">
        <f t="shared" si="77"/>
        <v>201</v>
      </c>
      <c r="AM172" s="347">
        <f t="shared" si="78"/>
        <v>33</v>
      </c>
      <c r="AN172" s="382">
        <f>IF(AND(AH172&gt;0,B172&lt;&gt;""),VLOOKUP(I172,'AUX-NIV2'!$B:$AP,40,FALSE)*O172,0)</f>
        <v>0</v>
      </c>
      <c r="AO172" s="382">
        <f t="shared" si="64"/>
        <v>285</v>
      </c>
      <c r="AQ172" s="395">
        <f>(IF($H172="x",VLOOKUP($I172,'AUX-NIV2'!$B:$X,'AUX-NIV1'!AQ$3,FALSE),0)+($AV172*'AUX-NIV3'!S$4))*$O172+IF($H172=AQ$4,$P172,0)</f>
        <v>0</v>
      </c>
      <c r="AR172" s="395">
        <f>(IF($H172="x",VLOOKUP($I172,'AUX-NIV2'!$B:$X,'AUX-NIV1'!AR$3,FALSE),0)+($AV172*'AUX-NIV3'!T$4))*$O172+IF($H172=AR$4,$P172,0)</f>
        <v>0</v>
      </c>
      <c r="AS172" s="395">
        <f>(IF($H172="x",VLOOKUP($I172,'AUX-NIV2'!$B:$X,'AUX-NIV1'!AS$3,FALSE),0)+($AV172*'AUX-NIV3'!U$4))*$O172+IF($H172=AS$4,$P172,0)</f>
        <v>0</v>
      </c>
      <c r="AT172" s="395">
        <f>(IF($H172="x",VLOOKUP($I172,'AUX-NIV2'!$B:$X,'AUX-NIV1'!AT$3,FALSE),0)+($AV172*'AUX-NIV3'!V$4))*$O172+IF($H172=AT$4,$P172,0)</f>
        <v>0</v>
      </c>
      <c r="AU172" s="395">
        <f>(IF($H172="x",VLOOKUP($I172,'AUX-NIV2'!$B:$X,'AUX-NIV1'!AU$3,FALSE),0)+($AV172*'AUX-NIV3'!W$4))*$O172+IF($H172=AU$4,$P172,0)</f>
        <v>0</v>
      </c>
      <c r="AV172" s="395">
        <f>+IF($H172="x",VLOOKUP($I172,'AUX-NIV2'!$B:$X,'AUX-NIV1'!AV$3,FALSE),0)</f>
        <v>0</v>
      </c>
    </row>
    <row r="173" spans="2:48">
      <c r="B173" s="324" t="s">
        <v>94</v>
      </c>
      <c r="C173" s="325" t="s">
        <v>1167</v>
      </c>
      <c r="D173" s="326" t="s">
        <v>1168</v>
      </c>
      <c r="E173" s="349">
        <f>IF(B173&lt;&gt;"",+SUMIF(Items!C:C,'AUX-NIV1'!B173,Items!H:H),"")</f>
        <v>2</v>
      </c>
      <c r="F173" s="349">
        <f t="shared" si="54"/>
        <v>97901.978339700348</v>
      </c>
      <c r="G173" s="349">
        <f t="shared" si="55"/>
        <v>195803.9566794007</v>
      </c>
      <c r="H173" s="1395" t="str">
        <f t="shared" si="65"/>
        <v>A</v>
      </c>
      <c r="I173" s="1375" t="s">
        <v>3181</v>
      </c>
      <c r="J173" s="350" t="str">
        <f>IF(B173&lt;&gt;"",+VLOOKUP(I173,Recursos!C:F,2,FALSE),"")</f>
        <v>Capataces de Obra, Plantas</v>
      </c>
      <c r="K173" s="351" t="str">
        <f>IF(B173&lt;&gt;"",+VLOOKUP(I173,Recursos!C:F,3,FALSE),"")</f>
        <v>hh</v>
      </c>
      <c r="L173" s="1475">
        <f>IF(B173&lt;&gt;"",+VLOOKUP(I173,Recursos!C:F,4,FALSE),"")</f>
        <v>532.55407745421633</v>
      </c>
      <c r="M173" s="1493">
        <f t="shared" si="80"/>
        <v>190</v>
      </c>
      <c r="N173" s="1494">
        <f>Organig!L59</f>
        <v>0</v>
      </c>
      <c r="O173" s="1490">
        <f t="shared" si="79"/>
        <v>0</v>
      </c>
      <c r="P173" s="352">
        <f t="shared" si="66"/>
        <v>0</v>
      </c>
      <c r="Q173" s="349">
        <f t="shared" si="67"/>
        <v>0</v>
      </c>
      <c r="R173" s="353">
        <f t="shared" si="68"/>
        <v>0</v>
      </c>
      <c r="S173" s="354">
        <f t="shared" si="56"/>
        <v>97901.978339700348</v>
      </c>
      <c r="T173" s="354">
        <f t="shared" si="57"/>
        <v>0</v>
      </c>
      <c r="U173" s="355">
        <f t="shared" si="58"/>
        <v>0</v>
      </c>
      <c r="V173" s="355">
        <f t="shared" si="59"/>
        <v>0</v>
      </c>
      <c r="W173" s="355">
        <f t="shared" si="60"/>
        <v>0</v>
      </c>
      <c r="X173" s="355">
        <f t="shared" si="61"/>
        <v>0</v>
      </c>
      <c r="Y173" s="396"/>
      <c r="Z173" s="346" t="str">
        <f t="shared" si="69"/>
        <v>I-PERSONALA</v>
      </c>
      <c r="AA173" s="346" t="str">
        <f t="shared" si="70"/>
        <v>I-PERSONALE</v>
      </c>
      <c r="AB173" s="346" t="str">
        <f t="shared" si="71"/>
        <v>I-PERSONALM</v>
      </c>
      <c r="AC173" s="346" t="str">
        <f t="shared" si="72"/>
        <v>I-PERSONALT</v>
      </c>
      <c r="AD173" s="346" t="str">
        <f t="shared" si="73"/>
        <v>I-PERSONALS</v>
      </c>
      <c r="AE173" s="346" t="str">
        <f t="shared" si="74"/>
        <v>I-PERSONALX</v>
      </c>
      <c r="AF173" s="346" t="str">
        <f t="shared" si="75"/>
        <v>I-PERSONALA</v>
      </c>
      <c r="AG173" s="346">
        <f t="shared" si="62"/>
        <v>62</v>
      </c>
      <c r="AH173" s="346">
        <f>IF(B173&lt;&gt;"",+IF(H173="x",+VLOOKUP(I173,'AUX-NIV2'!B:AG,32,FALSE),0),"")</f>
        <v>0</v>
      </c>
      <c r="AI173" s="346" t="str">
        <f t="shared" si="76"/>
        <v>I-PERSONAL</v>
      </c>
      <c r="AK173" s="347">
        <f t="shared" si="63"/>
        <v>140</v>
      </c>
      <c r="AL173" s="348">
        <f t="shared" si="77"/>
        <v>201</v>
      </c>
      <c r="AM173" s="347">
        <f t="shared" si="78"/>
        <v>34</v>
      </c>
      <c r="AN173" s="382">
        <f>IF(AND(AH173&gt;0,B173&lt;&gt;""),VLOOKUP(I173,'AUX-NIV2'!$B:$AP,40,FALSE)*O173,0)</f>
        <v>0</v>
      </c>
      <c r="AO173" s="382">
        <f t="shared" si="64"/>
        <v>285</v>
      </c>
      <c r="AQ173" s="395">
        <f>(IF($H173="x",VLOOKUP($I173,'AUX-NIV2'!$B:$X,'AUX-NIV1'!AQ$3,FALSE),0)+($AV173*'AUX-NIV3'!S$4))*$O173+IF($H173=AQ$4,$P173,0)</f>
        <v>0</v>
      </c>
      <c r="AR173" s="395">
        <f>(IF($H173="x",VLOOKUP($I173,'AUX-NIV2'!$B:$X,'AUX-NIV1'!AR$3,FALSE),0)+($AV173*'AUX-NIV3'!T$4))*$O173+IF($H173=AR$4,$P173,0)</f>
        <v>0</v>
      </c>
      <c r="AS173" s="395">
        <f>(IF($H173="x",VLOOKUP($I173,'AUX-NIV2'!$B:$X,'AUX-NIV1'!AS$3,FALSE),0)+($AV173*'AUX-NIV3'!U$4))*$O173+IF($H173=AS$4,$P173,0)</f>
        <v>0</v>
      </c>
      <c r="AT173" s="395">
        <f>(IF($H173="x",VLOOKUP($I173,'AUX-NIV2'!$B:$X,'AUX-NIV1'!AT$3,FALSE),0)+($AV173*'AUX-NIV3'!V$4))*$O173+IF($H173=AT$4,$P173,0)</f>
        <v>0</v>
      </c>
      <c r="AU173" s="395">
        <f>(IF($H173="x",VLOOKUP($I173,'AUX-NIV2'!$B:$X,'AUX-NIV1'!AU$3,FALSE),0)+($AV173*'AUX-NIV3'!W$4))*$O173+IF($H173=AU$4,$P173,0)</f>
        <v>0</v>
      </c>
      <c r="AV173" s="395">
        <f>+IF($H173="x",VLOOKUP($I173,'AUX-NIV2'!$B:$X,'AUX-NIV1'!AV$3,FALSE),0)</f>
        <v>0</v>
      </c>
    </row>
    <row r="174" spans="2:48">
      <c r="B174" s="324" t="s">
        <v>94</v>
      </c>
      <c r="C174" s="325" t="s">
        <v>1167</v>
      </c>
      <c r="D174" s="326" t="s">
        <v>1168</v>
      </c>
      <c r="E174" s="349">
        <f>IF(B174&lt;&gt;"",+SUMIF(Items!C:C,'AUX-NIV1'!B174,Items!H:H),"")</f>
        <v>2</v>
      </c>
      <c r="F174" s="349">
        <f t="shared" si="54"/>
        <v>97901.978339700348</v>
      </c>
      <c r="G174" s="349">
        <f t="shared" si="55"/>
        <v>195803.9566794007</v>
      </c>
      <c r="H174" s="1395" t="str">
        <f t="shared" si="65"/>
        <v>A</v>
      </c>
      <c r="I174" s="1375" t="s">
        <v>3182</v>
      </c>
      <c r="J174" s="350" t="str">
        <f>IF(B174&lt;&gt;"",+VLOOKUP(I174,Recursos!C:F,2,FALSE),"")</f>
        <v>Jefe Administrativo Contable</v>
      </c>
      <c r="K174" s="351" t="str">
        <f>IF(B174&lt;&gt;"",+VLOOKUP(I174,Recursos!C:F,3,FALSE),"")</f>
        <v>hh</v>
      </c>
      <c r="L174" s="1475">
        <f>IF(B174&lt;&gt;"",+VLOOKUP(I174,Recursos!C:F,4,FALSE),"")</f>
        <v>433.16277268039403</v>
      </c>
      <c r="M174" s="1493">
        <f t="shared" si="80"/>
        <v>190</v>
      </c>
      <c r="N174" s="1494">
        <f>Organig!P23</f>
        <v>0</v>
      </c>
      <c r="O174" s="1490">
        <f>+M174*N174*plazo/plaef</f>
        <v>0</v>
      </c>
      <c r="P174" s="352">
        <f t="shared" si="66"/>
        <v>0</v>
      </c>
      <c r="Q174" s="349">
        <f t="shared" si="67"/>
        <v>0</v>
      </c>
      <c r="R174" s="353">
        <f t="shared" si="68"/>
        <v>0</v>
      </c>
      <c r="S174" s="354">
        <f t="shared" si="56"/>
        <v>97901.978339700348</v>
      </c>
      <c r="T174" s="354">
        <f t="shared" si="57"/>
        <v>0</v>
      </c>
      <c r="U174" s="355">
        <f t="shared" si="58"/>
        <v>0</v>
      </c>
      <c r="V174" s="355">
        <f t="shared" si="59"/>
        <v>0</v>
      </c>
      <c r="W174" s="355">
        <f t="shared" si="60"/>
        <v>0</v>
      </c>
      <c r="X174" s="355">
        <f t="shared" si="61"/>
        <v>0</v>
      </c>
      <c r="Y174" s="396"/>
      <c r="Z174" s="346" t="str">
        <f t="shared" si="69"/>
        <v>I-PERSONALA</v>
      </c>
      <c r="AA174" s="346" t="str">
        <f t="shared" si="70"/>
        <v>I-PERSONALE</v>
      </c>
      <c r="AB174" s="346" t="str">
        <f t="shared" si="71"/>
        <v>I-PERSONALM</v>
      </c>
      <c r="AC174" s="346" t="str">
        <f t="shared" si="72"/>
        <v>I-PERSONALT</v>
      </c>
      <c r="AD174" s="346" t="str">
        <f t="shared" si="73"/>
        <v>I-PERSONALS</v>
      </c>
      <c r="AE174" s="346" t="str">
        <f t="shared" si="74"/>
        <v>I-PERSONALX</v>
      </c>
      <c r="AF174" s="346" t="str">
        <f t="shared" si="75"/>
        <v>I-PERSONALA</v>
      </c>
      <c r="AG174" s="346">
        <f t="shared" si="62"/>
        <v>62</v>
      </c>
      <c r="AH174" s="346">
        <f>IF(B174&lt;&gt;"",+IF(H174="x",+VLOOKUP(I174,'AUX-NIV2'!B:AG,32,FALSE),0),"")</f>
        <v>0</v>
      </c>
      <c r="AI174" s="346" t="str">
        <f t="shared" si="76"/>
        <v>I-PERSONAL</v>
      </c>
      <c r="AK174" s="347">
        <f t="shared" si="63"/>
        <v>140</v>
      </c>
      <c r="AL174" s="348">
        <f t="shared" si="77"/>
        <v>201</v>
      </c>
      <c r="AM174" s="347">
        <f t="shared" si="78"/>
        <v>35</v>
      </c>
      <c r="AN174" s="382">
        <f>IF(AND(AH174&gt;0,B174&lt;&gt;""),VLOOKUP(I174,'AUX-NIV2'!$B:$AP,40,FALSE)*O174,0)</f>
        <v>0</v>
      </c>
      <c r="AO174" s="382">
        <f t="shared" si="64"/>
        <v>285</v>
      </c>
      <c r="AQ174" s="395">
        <f>(IF($H174="x",VLOOKUP($I174,'AUX-NIV2'!$B:$X,'AUX-NIV1'!AQ$3,FALSE),0)+($AV174*'AUX-NIV3'!S$4))*$O174+IF($H174=AQ$4,$P174,0)</f>
        <v>0</v>
      </c>
      <c r="AR174" s="395">
        <f>(IF($H174="x",VLOOKUP($I174,'AUX-NIV2'!$B:$X,'AUX-NIV1'!AR$3,FALSE),0)+($AV174*'AUX-NIV3'!T$4))*$O174+IF($H174=AR$4,$P174,0)</f>
        <v>0</v>
      </c>
      <c r="AS174" s="395">
        <f>(IF($H174="x",VLOOKUP($I174,'AUX-NIV2'!$B:$X,'AUX-NIV1'!AS$3,FALSE),0)+($AV174*'AUX-NIV3'!U$4))*$O174+IF($H174=AS$4,$P174,0)</f>
        <v>0</v>
      </c>
      <c r="AT174" s="395">
        <f>(IF($H174="x",VLOOKUP($I174,'AUX-NIV2'!$B:$X,'AUX-NIV1'!AT$3,FALSE),0)+($AV174*'AUX-NIV3'!V$4))*$O174+IF($H174=AT$4,$P174,0)</f>
        <v>0</v>
      </c>
      <c r="AU174" s="395">
        <f>(IF($H174="x",VLOOKUP($I174,'AUX-NIV2'!$B:$X,'AUX-NIV1'!AU$3,FALSE),0)+($AV174*'AUX-NIV3'!W$4))*$O174+IF($H174=AU$4,$P174,0)</f>
        <v>0</v>
      </c>
      <c r="AV174" s="395">
        <f>+IF($H174="x",VLOOKUP($I174,'AUX-NIV2'!$B:$X,'AUX-NIV1'!AV$3,FALSE),0)</f>
        <v>0</v>
      </c>
    </row>
    <row r="175" spans="2:48">
      <c r="B175" s="324" t="s">
        <v>94</v>
      </c>
      <c r="C175" s="325" t="s">
        <v>1167</v>
      </c>
      <c r="D175" s="326" t="s">
        <v>1168</v>
      </c>
      <c r="E175" s="349">
        <f>IF(B175&lt;&gt;"",+SUMIF(Items!C:C,'AUX-NIV1'!B175,Items!H:H),"")</f>
        <v>2</v>
      </c>
      <c r="F175" s="349">
        <f t="shared" si="54"/>
        <v>97901.978339700348</v>
      </c>
      <c r="G175" s="349">
        <f t="shared" si="55"/>
        <v>195803.9566794007</v>
      </c>
      <c r="H175" s="1395" t="str">
        <f t="shared" si="65"/>
        <v>A</v>
      </c>
      <c r="I175" s="1375" t="s">
        <v>3183</v>
      </c>
      <c r="J175" s="350" t="str">
        <f>IF(B175&lt;&gt;"",+VLOOKUP(I175,Recursos!C:F,2,FALSE),"")</f>
        <v>Jefe de Compras</v>
      </c>
      <c r="K175" s="351" t="str">
        <f>IF(B175&lt;&gt;"",+VLOOKUP(I175,Recursos!C:F,3,FALSE),"")</f>
        <v>hh</v>
      </c>
      <c r="L175" s="1475">
        <f>IF(B175&lt;&gt;"",+VLOOKUP(I175,Recursos!C:F,4,FALSE),"")</f>
        <v>304.5387312083887</v>
      </c>
      <c r="M175" s="1493">
        <f t="shared" si="80"/>
        <v>190</v>
      </c>
      <c r="N175" s="1494">
        <f>Organig!P27</f>
        <v>0.25</v>
      </c>
      <c r="O175" s="1490">
        <f>+M175*N175*plazo/plaef</f>
        <v>47.5</v>
      </c>
      <c r="P175" s="352">
        <f t="shared" si="66"/>
        <v>14465.589732398463</v>
      </c>
      <c r="Q175" s="349">
        <f t="shared" si="67"/>
        <v>95</v>
      </c>
      <c r="R175" s="353">
        <f t="shared" si="68"/>
        <v>28931.179464796925</v>
      </c>
      <c r="S175" s="354">
        <f t="shared" si="56"/>
        <v>97901.978339700348</v>
      </c>
      <c r="T175" s="354">
        <f t="shared" si="57"/>
        <v>0</v>
      </c>
      <c r="U175" s="355">
        <f t="shared" si="58"/>
        <v>0</v>
      </c>
      <c r="V175" s="355">
        <f t="shared" si="59"/>
        <v>0</v>
      </c>
      <c r="W175" s="355">
        <f t="shared" si="60"/>
        <v>0</v>
      </c>
      <c r="X175" s="355">
        <f t="shared" si="61"/>
        <v>0</v>
      </c>
      <c r="Y175" s="396"/>
      <c r="Z175" s="346" t="str">
        <f t="shared" si="69"/>
        <v>I-PERSONALA</v>
      </c>
      <c r="AA175" s="346" t="str">
        <f t="shared" si="70"/>
        <v>I-PERSONALE</v>
      </c>
      <c r="AB175" s="346" t="str">
        <f t="shared" si="71"/>
        <v>I-PERSONALM</v>
      </c>
      <c r="AC175" s="346" t="str">
        <f t="shared" si="72"/>
        <v>I-PERSONALT</v>
      </c>
      <c r="AD175" s="346" t="str">
        <f t="shared" si="73"/>
        <v>I-PERSONALS</v>
      </c>
      <c r="AE175" s="346" t="str">
        <f t="shared" si="74"/>
        <v>I-PERSONALX</v>
      </c>
      <c r="AF175" s="346" t="str">
        <f t="shared" si="75"/>
        <v>I-PERSONALA</v>
      </c>
      <c r="AG175" s="346">
        <f t="shared" si="62"/>
        <v>62</v>
      </c>
      <c r="AH175" s="346">
        <f>IF(B175&lt;&gt;"",+IF(H175="x",+VLOOKUP(I175,'AUX-NIV2'!B:AG,32,FALSE),0),"")</f>
        <v>0</v>
      </c>
      <c r="AI175" s="346" t="str">
        <f t="shared" si="76"/>
        <v>I-PERSONAL</v>
      </c>
      <c r="AK175" s="347">
        <f t="shared" si="63"/>
        <v>140</v>
      </c>
      <c r="AL175" s="348">
        <f t="shared" si="77"/>
        <v>201</v>
      </c>
      <c r="AM175" s="347">
        <f t="shared" si="78"/>
        <v>36</v>
      </c>
      <c r="AN175" s="382">
        <f>IF(AND(AH175&gt;0,B175&lt;&gt;""),VLOOKUP(I175,'AUX-NIV2'!$B:$AP,40,FALSE)*O175,0)</f>
        <v>0</v>
      </c>
      <c r="AO175" s="382">
        <f t="shared" si="64"/>
        <v>285</v>
      </c>
      <c r="AQ175" s="395">
        <f>(IF($H175="x",VLOOKUP($I175,'AUX-NIV2'!$B:$X,'AUX-NIV1'!AQ$3,FALSE),0)+($AV175*'AUX-NIV3'!S$4))*$O175+IF($H175=AQ$4,$P175,0)</f>
        <v>14465.589732398463</v>
      </c>
      <c r="AR175" s="395">
        <f>(IF($H175="x",VLOOKUP($I175,'AUX-NIV2'!$B:$X,'AUX-NIV1'!AR$3,FALSE),0)+($AV175*'AUX-NIV3'!T$4))*$O175+IF($H175=AR$4,$P175,0)</f>
        <v>0</v>
      </c>
      <c r="AS175" s="395">
        <f>(IF($H175="x",VLOOKUP($I175,'AUX-NIV2'!$B:$X,'AUX-NIV1'!AS$3,FALSE),0)+($AV175*'AUX-NIV3'!U$4))*$O175+IF($H175=AS$4,$P175,0)</f>
        <v>0</v>
      </c>
      <c r="AT175" s="395">
        <f>(IF($H175="x",VLOOKUP($I175,'AUX-NIV2'!$B:$X,'AUX-NIV1'!AT$3,FALSE),0)+($AV175*'AUX-NIV3'!V$4))*$O175+IF($H175=AT$4,$P175,0)</f>
        <v>0</v>
      </c>
      <c r="AU175" s="395">
        <f>(IF($H175="x",VLOOKUP($I175,'AUX-NIV2'!$B:$X,'AUX-NIV1'!AU$3,FALSE),0)+($AV175*'AUX-NIV3'!W$4))*$O175+IF($H175=AU$4,$P175,0)</f>
        <v>0</v>
      </c>
      <c r="AV175" s="395">
        <f>+IF($H175="x",VLOOKUP($I175,'AUX-NIV2'!$B:$X,'AUX-NIV1'!AV$3,FALSE),0)</f>
        <v>0</v>
      </c>
    </row>
    <row r="176" spans="2:48">
      <c r="B176" s="324" t="s">
        <v>94</v>
      </c>
      <c r="C176" s="325" t="s">
        <v>1167</v>
      </c>
      <c r="D176" s="326" t="s">
        <v>1168</v>
      </c>
      <c r="E176" s="349">
        <f>IF(B176&lt;&gt;"",+SUMIF(Items!C:C,'AUX-NIV1'!B176,Items!H:H),"")</f>
        <v>2</v>
      </c>
      <c r="F176" s="349">
        <f t="shared" si="54"/>
        <v>97901.978339700348</v>
      </c>
      <c r="G176" s="349">
        <f t="shared" si="55"/>
        <v>195803.9566794007</v>
      </c>
      <c r="H176" s="1395" t="str">
        <f t="shared" si="65"/>
        <v>A</v>
      </c>
      <c r="I176" s="1375" t="s">
        <v>3184</v>
      </c>
      <c r="J176" s="350" t="str">
        <f>IF(B176&lt;&gt;"",+VLOOKUP(I176,Recursos!C:F,2,FALSE),"")</f>
        <v>Jefe de Deposito</v>
      </c>
      <c r="K176" s="351" t="str">
        <f>IF(B176&lt;&gt;"",+VLOOKUP(I176,Recursos!C:F,3,FALSE),"")</f>
        <v>hh</v>
      </c>
      <c r="L176" s="1475">
        <f>IF(B176&lt;&gt;"",+VLOOKUP(I176,Recursos!C:F,4,FALSE),"")</f>
        <v>341.95663418206294</v>
      </c>
      <c r="M176" s="1493">
        <f t="shared" si="80"/>
        <v>190</v>
      </c>
      <c r="N176" s="1494">
        <f>Organig!P31</f>
        <v>0</v>
      </c>
      <c r="O176" s="1490">
        <f t="shared" si="79"/>
        <v>0</v>
      </c>
      <c r="P176" s="352">
        <f t="shared" si="66"/>
        <v>0</v>
      </c>
      <c r="Q176" s="349">
        <f t="shared" si="67"/>
        <v>0</v>
      </c>
      <c r="R176" s="353">
        <f t="shared" si="68"/>
        <v>0</v>
      </c>
      <c r="S176" s="354">
        <f t="shared" si="56"/>
        <v>97901.978339700348</v>
      </c>
      <c r="T176" s="354">
        <f t="shared" si="57"/>
        <v>0</v>
      </c>
      <c r="U176" s="355">
        <f t="shared" si="58"/>
        <v>0</v>
      </c>
      <c r="V176" s="355">
        <f t="shared" si="59"/>
        <v>0</v>
      </c>
      <c r="W176" s="355">
        <f t="shared" si="60"/>
        <v>0</v>
      </c>
      <c r="X176" s="355">
        <f t="shared" si="61"/>
        <v>0</v>
      </c>
      <c r="Y176" s="396"/>
      <c r="Z176" s="346" t="str">
        <f t="shared" si="69"/>
        <v>I-PERSONALA</v>
      </c>
      <c r="AA176" s="346" t="str">
        <f t="shared" si="70"/>
        <v>I-PERSONALE</v>
      </c>
      <c r="AB176" s="346" t="str">
        <f t="shared" si="71"/>
        <v>I-PERSONALM</v>
      </c>
      <c r="AC176" s="346" t="str">
        <f t="shared" si="72"/>
        <v>I-PERSONALT</v>
      </c>
      <c r="AD176" s="346" t="str">
        <f t="shared" si="73"/>
        <v>I-PERSONALS</v>
      </c>
      <c r="AE176" s="346" t="str">
        <f t="shared" si="74"/>
        <v>I-PERSONALX</v>
      </c>
      <c r="AF176" s="346" t="str">
        <f t="shared" si="75"/>
        <v>I-PERSONALA</v>
      </c>
      <c r="AG176" s="346">
        <f t="shared" si="62"/>
        <v>62</v>
      </c>
      <c r="AH176" s="346">
        <f>IF(B176&lt;&gt;"",+IF(H176="x",+VLOOKUP(I176,'AUX-NIV2'!B:AG,32,FALSE),0),"")</f>
        <v>0</v>
      </c>
      <c r="AI176" s="346" t="str">
        <f t="shared" si="76"/>
        <v>I-PERSONAL</v>
      </c>
      <c r="AK176" s="347">
        <f t="shared" si="63"/>
        <v>140</v>
      </c>
      <c r="AL176" s="348">
        <f t="shared" si="77"/>
        <v>201</v>
      </c>
      <c r="AM176" s="347">
        <f t="shared" si="78"/>
        <v>37</v>
      </c>
      <c r="AN176" s="382">
        <f>IF(AND(AH176&gt;0,B176&lt;&gt;""),VLOOKUP(I176,'AUX-NIV2'!$B:$AP,40,FALSE)*O176,0)</f>
        <v>0</v>
      </c>
      <c r="AO176" s="382">
        <f t="shared" si="64"/>
        <v>285</v>
      </c>
      <c r="AQ176" s="395">
        <f>(IF($H176="x",VLOOKUP($I176,'AUX-NIV2'!$B:$X,'AUX-NIV1'!AQ$3,FALSE),0)+($AV176*'AUX-NIV3'!S$4))*$O176+IF($H176=AQ$4,$P176,0)</f>
        <v>0</v>
      </c>
      <c r="AR176" s="395">
        <f>(IF($H176="x",VLOOKUP($I176,'AUX-NIV2'!$B:$X,'AUX-NIV1'!AR$3,FALSE),0)+($AV176*'AUX-NIV3'!T$4))*$O176+IF($H176=AR$4,$P176,0)</f>
        <v>0</v>
      </c>
      <c r="AS176" s="395">
        <f>(IF($H176="x",VLOOKUP($I176,'AUX-NIV2'!$B:$X,'AUX-NIV1'!AS$3,FALSE),0)+($AV176*'AUX-NIV3'!U$4))*$O176+IF($H176=AS$4,$P176,0)</f>
        <v>0</v>
      </c>
      <c r="AT176" s="395">
        <f>(IF($H176="x",VLOOKUP($I176,'AUX-NIV2'!$B:$X,'AUX-NIV1'!AT$3,FALSE),0)+($AV176*'AUX-NIV3'!V$4))*$O176+IF($H176=AT$4,$P176,0)</f>
        <v>0</v>
      </c>
      <c r="AU176" s="395">
        <f>(IF($H176="x",VLOOKUP($I176,'AUX-NIV2'!$B:$X,'AUX-NIV1'!AU$3,FALSE),0)+($AV176*'AUX-NIV3'!W$4))*$O176+IF($H176=AU$4,$P176,0)</f>
        <v>0</v>
      </c>
      <c r="AV176" s="395">
        <f>+IF($H176="x",VLOOKUP($I176,'AUX-NIV2'!$B:$X,'AUX-NIV1'!AV$3,FALSE),0)</f>
        <v>0</v>
      </c>
    </row>
    <row r="177" spans="2:48">
      <c r="B177" s="324" t="s">
        <v>94</v>
      </c>
      <c r="C177" s="325" t="s">
        <v>1167</v>
      </c>
      <c r="D177" s="326" t="s">
        <v>1168</v>
      </c>
      <c r="E177" s="349">
        <f>IF(B177&lt;&gt;"",+SUMIF(Items!C:C,'AUX-NIV1'!B177,Items!H:H),"")</f>
        <v>2</v>
      </c>
      <c r="F177" s="349">
        <f t="shared" si="54"/>
        <v>97901.978339700348</v>
      </c>
      <c r="G177" s="349">
        <f t="shared" si="55"/>
        <v>195803.9566794007</v>
      </c>
      <c r="H177" s="1395" t="str">
        <f t="shared" si="65"/>
        <v>A</v>
      </c>
      <c r="I177" s="1375" t="s">
        <v>3185</v>
      </c>
      <c r="J177" s="350" t="str">
        <f>IF(B177&lt;&gt;"",+VLOOKUP(I177,Recursos!C:F,2,FALSE),"")</f>
        <v>Jefe de Campamento</v>
      </c>
      <c r="K177" s="351" t="str">
        <f>IF(B177&lt;&gt;"",+VLOOKUP(I177,Recursos!C:F,3,FALSE),"")</f>
        <v>hh</v>
      </c>
      <c r="L177" s="1475">
        <f>IF(B177&lt;&gt;"",+VLOOKUP(I177,Recursos!C:F,4,FALSE),"")</f>
        <v>341.95663418206294</v>
      </c>
      <c r="M177" s="1493">
        <f t="shared" si="80"/>
        <v>190</v>
      </c>
      <c r="N177" s="1494">
        <f>Organig!P35</f>
        <v>0</v>
      </c>
      <c r="O177" s="1490">
        <f t="shared" si="79"/>
        <v>0</v>
      </c>
      <c r="P177" s="352">
        <f t="shared" si="66"/>
        <v>0</v>
      </c>
      <c r="Q177" s="349">
        <f t="shared" si="67"/>
        <v>0</v>
      </c>
      <c r="R177" s="353">
        <f t="shared" si="68"/>
        <v>0</v>
      </c>
      <c r="S177" s="354">
        <f t="shared" si="56"/>
        <v>97901.978339700348</v>
      </c>
      <c r="T177" s="354">
        <f t="shared" si="57"/>
        <v>0</v>
      </c>
      <c r="U177" s="355">
        <f t="shared" si="58"/>
        <v>0</v>
      </c>
      <c r="V177" s="355">
        <f t="shared" si="59"/>
        <v>0</v>
      </c>
      <c r="W177" s="355">
        <f t="shared" si="60"/>
        <v>0</v>
      </c>
      <c r="X177" s="355">
        <f t="shared" si="61"/>
        <v>0</v>
      </c>
      <c r="Y177" s="396"/>
      <c r="Z177" s="346" t="str">
        <f t="shared" si="69"/>
        <v>I-PERSONALA</v>
      </c>
      <c r="AA177" s="346" t="str">
        <f t="shared" si="70"/>
        <v>I-PERSONALE</v>
      </c>
      <c r="AB177" s="346" t="str">
        <f t="shared" si="71"/>
        <v>I-PERSONALM</v>
      </c>
      <c r="AC177" s="346" t="str">
        <f t="shared" si="72"/>
        <v>I-PERSONALT</v>
      </c>
      <c r="AD177" s="346" t="str">
        <f t="shared" si="73"/>
        <v>I-PERSONALS</v>
      </c>
      <c r="AE177" s="346" t="str">
        <f t="shared" si="74"/>
        <v>I-PERSONALX</v>
      </c>
      <c r="AF177" s="346" t="str">
        <f t="shared" si="75"/>
        <v>I-PERSONALA</v>
      </c>
      <c r="AG177" s="346">
        <f t="shared" si="62"/>
        <v>62</v>
      </c>
      <c r="AH177" s="346">
        <f>IF(B177&lt;&gt;"",+IF(H177="x",+VLOOKUP(I177,'AUX-NIV2'!B:AG,32,FALSE),0),"")</f>
        <v>0</v>
      </c>
      <c r="AI177" s="346" t="str">
        <f t="shared" si="76"/>
        <v>I-PERSONAL</v>
      </c>
      <c r="AK177" s="347">
        <f t="shared" si="63"/>
        <v>140</v>
      </c>
      <c r="AL177" s="348">
        <f t="shared" si="77"/>
        <v>201</v>
      </c>
      <c r="AM177" s="347">
        <f t="shared" si="78"/>
        <v>38</v>
      </c>
      <c r="AN177" s="382">
        <f>IF(AND(AH177&gt;0,B177&lt;&gt;""),VLOOKUP(I177,'AUX-NIV2'!$B:$AP,40,FALSE)*O177,0)</f>
        <v>0</v>
      </c>
      <c r="AO177" s="382">
        <f t="shared" si="64"/>
        <v>285</v>
      </c>
      <c r="AQ177" s="395">
        <f>(IF($H177="x",VLOOKUP($I177,'AUX-NIV2'!$B:$X,'AUX-NIV1'!AQ$3,FALSE),0)+($AV177*'AUX-NIV3'!S$4))*$O177+IF($H177=AQ$4,$P177,0)</f>
        <v>0</v>
      </c>
      <c r="AR177" s="395">
        <f>(IF($H177="x",VLOOKUP($I177,'AUX-NIV2'!$B:$X,'AUX-NIV1'!AR$3,FALSE),0)+($AV177*'AUX-NIV3'!T$4))*$O177+IF($H177=AR$4,$P177,0)</f>
        <v>0</v>
      </c>
      <c r="AS177" s="395">
        <f>(IF($H177="x",VLOOKUP($I177,'AUX-NIV2'!$B:$X,'AUX-NIV1'!AS$3,FALSE),0)+($AV177*'AUX-NIV3'!U$4))*$O177+IF($H177=AS$4,$P177,0)</f>
        <v>0</v>
      </c>
      <c r="AT177" s="395">
        <f>(IF($H177="x",VLOOKUP($I177,'AUX-NIV2'!$B:$X,'AUX-NIV1'!AT$3,FALSE),0)+($AV177*'AUX-NIV3'!V$4))*$O177+IF($H177=AT$4,$P177,0)</f>
        <v>0</v>
      </c>
      <c r="AU177" s="395">
        <f>(IF($H177="x",VLOOKUP($I177,'AUX-NIV2'!$B:$X,'AUX-NIV1'!AU$3,FALSE),0)+($AV177*'AUX-NIV3'!W$4))*$O177+IF($H177=AU$4,$P177,0)</f>
        <v>0</v>
      </c>
      <c r="AV177" s="395">
        <f>+IF($H177="x",VLOOKUP($I177,'AUX-NIV2'!$B:$X,'AUX-NIV1'!AV$3,FALSE),0)</f>
        <v>0</v>
      </c>
    </row>
    <row r="178" spans="2:48">
      <c r="B178" s="324" t="s">
        <v>94</v>
      </c>
      <c r="C178" s="325" t="s">
        <v>1167</v>
      </c>
      <c r="D178" s="326" t="s">
        <v>1168</v>
      </c>
      <c r="E178" s="349">
        <f>IF(B178&lt;&gt;"",+SUMIF(Items!C:C,'AUX-NIV1'!B178,Items!H:H),"")</f>
        <v>2</v>
      </c>
      <c r="F178" s="349">
        <f t="shared" si="54"/>
        <v>97901.978339700348</v>
      </c>
      <c r="G178" s="349">
        <f t="shared" si="55"/>
        <v>195803.9566794007</v>
      </c>
      <c r="H178" s="1395" t="str">
        <f t="shared" si="65"/>
        <v>A</v>
      </c>
      <c r="I178" s="1375" t="s">
        <v>3186</v>
      </c>
      <c r="J178" s="350" t="str">
        <f>IF(B178&lt;&gt;"",+VLOOKUP(I178,Recursos!C:F,2,FALSE),"")</f>
        <v>Enc.Servicios Generales</v>
      </c>
      <c r="K178" s="351" t="str">
        <f>IF(B178&lt;&gt;"",+VLOOKUP(I178,Recursos!C:F,3,FALSE),"")</f>
        <v>hh</v>
      </c>
      <c r="L178" s="1475">
        <f>IF(B178&lt;&gt;"",+VLOOKUP(I178,Recursos!C:F,4,FALSE),"")</f>
        <v>341.95663418206294</v>
      </c>
      <c r="M178" s="1493">
        <f t="shared" si="80"/>
        <v>190</v>
      </c>
      <c r="N178" s="1494">
        <f>Organig!P39</f>
        <v>0</v>
      </c>
      <c r="O178" s="1490">
        <f t="shared" si="79"/>
        <v>0</v>
      </c>
      <c r="P178" s="352">
        <f t="shared" si="66"/>
        <v>0</v>
      </c>
      <c r="Q178" s="349">
        <f t="shared" si="67"/>
        <v>0</v>
      </c>
      <c r="R178" s="353">
        <f t="shared" si="68"/>
        <v>0</v>
      </c>
      <c r="S178" s="354">
        <f t="shared" si="56"/>
        <v>97901.978339700348</v>
      </c>
      <c r="T178" s="354">
        <f t="shared" si="57"/>
        <v>0</v>
      </c>
      <c r="U178" s="355">
        <f t="shared" si="58"/>
        <v>0</v>
      </c>
      <c r="V178" s="355">
        <f t="shared" si="59"/>
        <v>0</v>
      </c>
      <c r="W178" s="355">
        <f t="shared" si="60"/>
        <v>0</v>
      </c>
      <c r="X178" s="355">
        <f t="shared" si="61"/>
        <v>0</v>
      </c>
      <c r="Y178" s="396"/>
      <c r="Z178" s="346" t="str">
        <f t="shared" si="69"/>
        <v>I-PERSONALA</v>
      </c>
      <c r="AA178" s="346" t="str">
        <f t="shared" si="70"/>
        <v>I-PERSONALE</v>
      </c>
      <c r="AB178" s="346" t="str">
        <f t="shared" si="71"/>
        <v>I-PERSONALM</v>
      </c>
      <c r="AC178" s="346" t="str">
        <f t="shared" si="72"/>
        <v>I-PERSONALT</v>
      </c>
      <c r="AD178" s="346" t="str">
        <f t="shared" si="73"/>
        <v>I-PERSONALS</v>
      </c>
      <c r="AE178" s="346" t="str">
        <f t="shared" si="74"/>
        <v>I-PERSONALX</v>
      </c>
      <c r="AF178" s="346" t="str">
        <f t="shared" si="75"/>
        <v>I-PERSONALA</v>
      </c>
      <c r="AG178" s="346">
        <f t="shared" si="62"/>
        <v>62</v>
      </c>
      <c r="AH178" s="346">
        <f>IF(B178&lt;&gt;"",+IF(H178="x",+VLOOKUP(I178,'AUX-NIV2'!B:AG,32,FALSE),0),"")</f>
        <v>0</v>
      </c>
      <c r="AI178" s="346" t="str">
        <f t="shared" si="76"/>
        <v>I-PERSONAL</v>
      </c>
      <c r="AK178" s="347">
        <f t="shared" si="63"/>
        <v>140</v>
      </c>
      <c r="AL178" s="348">
        <f t="shared" si="77"/>
        <v>201</v>
      </c>
      <c r="AM178" s="347">
        <f t="shared" si="78"/>
        <v>39</v>
      </c>
      <c r="AN178" s="382">
        <f>IF(AND(AH178&gt;0,B178&lt;&gt;""),VLOOKUP(I178,'AUX-NIV2'!$B:$AP,40,FALSE)*O178,0)</f>
        <v>0</v>
      </c>
      <c r="AO178" s="382">
        <f t="shared" si="64"/>
        <v>285</v>
      </c>
      <c r="AQ178" s="395">
        <f>(IF($H178="x",VLOOKUP($I178,'AUX-NIV2'!$B:$X,'AUX-NIV1'!AQ$3,FALSE),0)+($AV178*'AUX-NIV3'!S$4))*$O178+IF($H178=AQ$4,$P178,0)</f>
        <v>0</v>
      </c>
      <c r="AR178" s="395">
        <f>(IF($H178="x",VLOOKUP($I178,'AUX-NIV2'!$B:$X,'AUX-NIV1'!AR$3,FALSE),0)+($AV178*'AUX-NIV3'!T$4))*$O178+IF($H178=AR$4,$P178,0)</f>
        <v>0</v>
      </c>
      <c r="AS178" s="395">
        <f>(IF($H178="x",VLOOKUP($I178,'AUX-NIV2'!$B:$X,'AUX-NIV1'!AS$3,FALSE),0)+($AV178*'AUX-NIV3'!U$4))*$O178+IF($H178=AS$4,$P178,0)</f>
        <v>0</v>
      </c>
      <c r="AT178" s="395">
        <f>(IF($H178="x",VLOOKUP($I178,'AUX-NIV2'!$B:$X,'AUX-NIV1'!AT$3,FALSE),0)+($AV178*'AUX-NIV3'!V$4))*$O178+IF($H178=AT$4,$P178,0)</f>
        <v>0</v>
      </c>
      <c r="AU178" s="395">
        <f>(IF($H178="x",VLOOKUP($I178,'AUX-NIV2'!$B:$X,'AUX-NIV1'!AU$3,FALSE),0)+($AV178*'AUX-NIV3'!W$4))*$O178+IF($H178=AU$4,$P178,0)</f>
        <v>0</v>
      </c>
      <c r="AV178" s="395">
        <f>+IF($H178="x",VLOOKUP($I178,'AUX-NIV2'!$B:$X,'AUX-NIV1'!AV$3,FALSE),0)</f>
        <v>0</v>
      </c>
    </row>
    <row r="179" spans="2:48">
      <c r="B179" s="324" t="s">
        <v>94</v>
      </c>
      <c r="C179" s="325" t="s">
        <v>1167</v>
      </c>
      <c r="D179" s="326" t="s">
        <v>1168</v>
      </c>
      <c r="E179" s="349">
        <f>IF(B179&lt;&gt;"",+SUMIF(Items!C:C,'AUX-NIV1'!B179,Items!H:H),"")</f>
        <v>2</v>
      </c>
      <c r="F179" s="349">
        <f t="shared" si="54"/>
        <v>97901.978339700348</v>
      </c>
      <c r="G179" s="349">
        <f t="shared" si="55"/>
        <v>195803.9566794007</v>
      </c>
      <c r="H179" s="1395" t="str">
        <f t="shared" si="65"/>
        <v>A</v>
      </c>
      <c r="I179" s="1375" t="s">
        <v>3187</v>
      </c>
      <c r="J179" s="350" t="str">
        <f>IF(B179&lt;&gt;"",+VLOOKUP(I179,Recursos!C:F,2,FALSE),"")</f>
        <v>Enc. Administrativo</v>
      </c>
      <c r="K179" s="351" t="str">
        <f>IF(B179&lt;&gt;"",+VLOOKUP(I179,Recursos!C:F,3,FALSE),"")</f>
        <v>hh</v>
      </c>
      <c r="L179" s="1475">
        <f>IF(B179&lt;&gt;"",+VLOOKUP(I179,Recursos!C:F,4,FALSE),"")</f>
        <v>387.55970343122851</v>
      </c>
      <c r="M179" s="1493">
        <f t="shared" si="80"/>
        <v>190</v>
      </c>
      <c r="N179" s="1494">
        <f>Organig!P43</f>
        <v>0</v>
      </c>
      <c r="O179" s="1490">
        <f t="shared" si="79"/>
        <v>0</v>
      </c>
      <c r="P179" s="352">
        <f t="shared" si="66"/>
        <v>0</v>
      </c>
      <c r="Q179" s="349">
        <f t="shared" si="67"/>
        <v>0</v>
      </c>
      <c r="R179" s="353">
        <f t="shared" si="68"/>
        <v>0</v>
      </c>
      <c r="S179" s="354">
        <f t="shared" si="56"/>
        <v>97901.978339700348</v>
      </c>
      <c r="T179" s="354">
        <f t="shared" si="57"/>
        <v>0</v>
      </c>
      <c r="U179" s="355">
        <f t="shared" si="58"/>
        <v>0</v>
      </c>
      <c r="V179" s="355">
        <f t="shared" si="59"/>
        <v>0</v>
      </c>
      <c r="W179" s="355">
        <f t="shared" si="60"/>
        <v>0</v>
      </c>
      <c r="X179" s="355">
        <f t="shared" si="61"/>
        <v>0</v>
      </c>
      <c r="Y179" s="396"/>
      <c r="Z179" s="346" t="str">
        <f t="shared" si="69"/>
        <v>I-PERSONALA</v>
      </c>
      <c r="AA179" s="346" t="str">
        <f t="shared" si="70"/>
        <v>I-PERSONALE</v>
      </c>
      <c r="AB179" s="346" t="str">
        <f t="shared" si="71"/>
        <v>I-PERSONALM</v>
      </c>
      <c r="AC179" s="346" t="str">
        <f t="shared" si="72"/>
        <v>I-PERSONALT</v>
      </c>
      <c r="AD179" s="346" t="str">
        <f t="shared" si="73"/>
        <v>I-PERSONALS</v>
      </c>
      <c r="AE179" s="346" t="str">
        <f t="shared" si="74"/>
        <v>I-PERSONALX</v>
      </c>
      <c r="AF179" s="346" t="str">
        <f t="shared" si="75"/>
        <v>I-PERSONALA</v>
      </c>
      <c r="AG179" s="346">
        <f t="shared" si="62"/>
        <v>62</v>
      </c>
      <c r="AH179" s="346">
        <f>IF(B179&lt;&gt;"",+IF(H179="x",+VLOOKUP(I179,'AUX-NIV2'!B:AG,32,FALSE),0),"")</f>
        <v>0</v>
      </c>
      <c r="AI179" s="346" t="str">
        <f t="shared" si="76"/>
        <v>I-PERSONAL</v>
      </c>
      <c r="AK179" s="347">
        <f t="shared" si="63"/>
        <v>140</v>
      </c>
      <c r="AL179" s="348">
        <f t="shared" si="77"/>
        <v>201</v>
      </c>
      <c r="AM179" s="347">
        <f t="shared" si="78"/>
        <v>40</v>
      </c>
      <c r="AN179" s="382">
        <f>IF(AND(AH179&gt;0,B179&lt;&gt;""),VLOOKUP(I179,'AUX-NIV2'!$B:$AP,40,FALSE)*O179,0)</f>
        <v>0</v>
      </c>
      <c r="AO179" s="382">
        <f t="shared" si="64"/>
        <v>285</v>
      </c>
      <c r="AQ179" s="395">
        <f>(IF($H179="x",VLOOKUP($I179,'AUX-NIV2'!$B:$X,'AUX-NIV1'!AQ$3,FALSE),0)+($AV179*'AUX-NIV3'!S$4))*$O179+IF($H179=AQ$4,$P179,0)</f>
        <v>0</v>
      </c>
      <c r="AR179" s="395">
        <f>(IF($H179="x",VLOOKUP($I179,'AUX-NIV2'!$B:$X,'AUX-NIV1'!AR$3,FALSE),0)+($AV179*'AUX-NIV3'!T$4))*$O179+IF($H179=AR$4,$P179,0)</f>
        <v>0</v>
      </c>
      <c r="AS179" s="395">
        <f>(IF($H179="x",VLOOKUP($I179,'AUX-NIV2'!$B:$X,'AUX-NIV1'!AS$3,FALSE),0)+($AV179*'AUX-NIV3'!U$4))*$O179+IF($H179=AS$4,$P179,0)</f>
        <v>0</v>
      </c>
      <c r="AT179" s="395">
        <f>(IF($H179="x",VLOOKUP($I179,'AUX-NIV2'!$B:$X,'AUX-NIV1'!AT$3,FALSE),0)+($AV179*'AUX-NIV3'!V$4))*$O179+IF($H179=AT$4,$P179,0)</f>
        <v>0</v>
      </c>
      <c r="AU179" s="395">
        <f>(IF($H179="x",VLOOKUP($I179,'AUX-NIV2'!$B:$X,'AUX-NIV1'!AU$3,FALSE),0)+($AV179*'AUX-NIV3'!W$4))*$O179+IF($H179=AU$4,$P179,0)</f>
        <v>0</v>
      </c>
      <c r="AV179" s="395">
        <f>+IF($H179="x",VLOOKUP($I179,'AUX-NIV2'!$B:$X,'AUX-NIV1'!AV$3,FALSE),0)</f>
        <v>0</v>
      </c>
    </row>
    <row r="180" spans="2:48">
      <c r="B180" s="324" t="s">
        <v>94</v>
      </c>
      <c r="C180" s="325" t="s">
        <v>1167</v>
      </c>
      <c r="D180" s="326" t="s">
        <v>1168</v>
      </c>
      <c r="E180" s="349">
        <f>IF(B180&lt;&gt;"",+SUMIF(Items!C:C,'AUX-NIV1'!B180,Items!H:H),"")</f>
        <v>2</v>
      </c>
      <c r="F180" s="349">
        <f t="shared" si="54"/>
        <v>97901.978339700348</v>
      </c>
      <c r="G180" s="349">
        <f t="shared" si="55"/>
        <v>195803.9566794007</v>
      </c>
      <c r="H180" s="1395" t="str">
        <f t="shared" si="65"/>
        <v>A</v>
      </c>
      <c r="I180" s="1375" t="s">
        <v>3188</v>
      </c>
      <c r="J180" s="350" t="str">
        <f>IF(B180&lt;&gt;"",+VLOOKUP(I180,Recursos!C:F,2,FALSE),"")</f>
        <v>Encargado Financiero</v>
      </c>
      <c r="K180" s="351" t="str">
        <f>IF(B180&lt;&gt;"",+VLOOKUP(I180,Recursos!C:F,3,FALSE),"")</f>
        <v>hh</v>
      </c>
      <c r="L180" s="1475">
        <f>IF(B180&lt;&gt;"",+VLOOKUP(I180,Recursos!C:F,4,FALSE),"")</f>
        <v>387.55970343122851</v>
      </c>
      <c r="M180" s="1493">
        <f t="shared" si="80"/>
        <v>190</v>
      </c>
      <c r="N180" s="1494">
        <f>Organig!P47</f>
        <v>0</v>
      </c>
      <c r="O180" s="1490">
        <f t="shared" si="79"/>
        <v>0</v>
      </c>
      <c r="P180" s="352">
        <f t="shared" si="66"/>
        <v>0</v>
      </c>
      <c r="Q180" s="349">
        <f t="shared" si="67"/>
        <v>0</v>
      </c>
      <c r="R180" s="353">
        <f t="shared" si="68"/>
        <v>0</v>
      </c>
      <c r="S180" s="354">
        <f t="shared" si="56"/>
        <v>97901.978339700348</v>
      </c>
      <c r="T180" s="354">
        <f t="shared" si="57"/>
        <v>0</v>
      </c>
      <c r="U180" s="355">
        <f t="shared" si="58"/>
        <v>0</v>
      </c>
      <c r="V180" s="355">
        <f t="shared" si="59"/>
        <v>0</v>
      </c>
      <c r="W180" s="355">
        <f t="shared" si="60"/>
        <v>0</v>
      </c>
      <c r="X180" s="355">
        <f t="shared" si="61"/>
        <v>0</v>
      </c>
      <c r="Y180" s="396"/>
      <c r="Z180" s="346" t="str">
        <f t="shared" si="69"/>
        <v>I-PERSONALA</v>
      </c>
      <c r="AA180" s="346" t="str">
        <f t="shared" si="70"/>
        <v>I-PERSONALE</v>
      </c>
      <c r="AB180" s="346" t="str">
        <f t="shared" si="71"/>
        <v>I-PERSONALM</v>
      </c>
      <c r="AC180" s="346" t="str">
        <f t="shared" si="72"/>
        <v>I-PERSONALT</v>
      </c>
      <c r="AD180" s="346" t="str">
        <f t="shared" si="73"/>
        <v>I-PERSONALS</v>
      </c>
      <c r="AE180" s="346" t="str">
        <f t="shared" si="74"/>
        <v>I-PERSONALX</v>
      </c>
      <c r="AF180" s="346" t="str">
        <f t="shared" si="75"/>
        <v>I-PERSONALA</v>
      </c>
      <c r="AG180" s="346">
        <f t="shared" si="62"/>
        <v>62</v>
      </c>
      <c r="AH180" s="346">
        <f>IF(B180&lt;&gt;"",+IF(H180="x",+VLOOKUP(I180,'AUX-NIV2'!B:AG,32,FALSE),0),"")</f>
        <v>0</v>
      </c>
      <c r="AI180" s="346" t="str">
        <f t="shared" si="76"/>
        <v>I-PERSONAL</v>
      </c>
      <c r="AK180" s="347">
        <f t="shared" si="63"/>
        <v>140</v>
      </c>
      <c r="AL180" s="348">
        <f t="shared" si="77"/>
        <v>201</v>
      </c>
      <c r="AM180" s="347">
        <f t="shared" si="78"/>
        <v>41</v>
      </c>
      <c r="AN180" s="382">
        <f>IF(AND(AH180&gt;0,B180&lt;&gt;""),VLOOKUP(I180,'AUX-NIV2'!$B:$AP,40,FALSE)*O180,0)</f>
        <v>0</v>
      </c>
      <c r="AO180" s="382">
        <f t="shared" si="64"/>
        <v>285</v>
      </c>
      <c r="AQ180" s="395">
        <f>(IF($H180="x",VLOOKUP($I180,'AUX-NIV2'!$B:$X,'AUX-NIV1'!AQ$3,FALSE),0)+($AV180*'AUX-NIV3'!S$4))*$O180+IF($H180=AQ$4,$P180,0)</f>
        <v>0</v>
      </c>
      <c r="AR180" s="395">
        <f>(IF($H180="x",VLOOKUP($I180,'AUX-NIV2'!$B:$X,'AUX-NIV1'!AR$3,FALSE),0)+($AV180*'AUX-NIV3'!T$4))*$O180+IF($H180=AR$4,$P180,0)</f>
        <v>0</v>
      </c>
      <c r="AS180" s="395">
        <f>(IF($H180="x",VLOOKUP($I180,'AUX-NIV2'!$B:$X,'AUX-NIV1'!AS$3,FALSE),0)+($AV180*'AUX-NIV3'!U$4))*$O180+IF($H180=AS$4,$P180,0)</f>
        <v>0</v>
      </c>
      <c r="AT180" s="395">
        <f>(IF($H180="x",VLOOKUP($I180,'AUX-NIV2'!$B:$X,'AUX-NIV1'!AT$3,FALSE),0)+($AV180*'AUX-NIV3'!V$4))*$O180+IF($H180=AT$4,$P180,0)</f>
        <v>0</v>
      </c>
      <c r="AU180" s="395">
        <f>(IF($H180="x",VLOOKUP($I180,'AUX-NIV2'!$B:$X,'AUX-NIV1'!AU$3,FALSE),0)+($AV180*'AUX-NIV3'!W$4))*$O180+IF($H180=AU$4,$P180,0)</f>
        <v>0</v>
      </c>
      <c r="AV180" s="395">
        <f>+IF($H180="x",VLOOKUP($I180,'AUX-NIV2'!$B:$X,'AUX-NIV1'!AV$3,FALSE),0)</f>
        <v>0</v>
      </c>
    </row>
    <row r="181" spans="2:48">
      <c r="B181" s="324" t="s">
        <v>94</v>
      </c>
      <c r="C181" s="325" t="s">
        <v>1167</v>
      </c>
      <c r="D181" s="326" t="s">
        <v>1168</v>
      </c>
      <c r="E181" s="349">
        <f>IF(B181&lt;&gt;"",+SUMIF(Items!C:C,'AUX-NIV1'!B181,Items!H:H),"")</f>
        <v>2</v>
      </c>
      <c r="F181" s="349">
        <f t="shared" si="54"/>
        <v>97901.978339700348</v>
      </c>
      <c r="G181" s="349">
        <f t="shared" si="55"/>
        <v>195803.9566794007</v>
      </c>
      <c r="H181" s="1395" t="str">
        <f t="shared" si="65"/>
        <v>A</v>
      </c>
      <c r="I181" s="1375" t="s">
        <v>3189</v>
      </c>
      <c r="J181" s="350" t="str">
        <f>IF(B181&lt;&gt;"",+VLOOKUP(I181,Recursos!C:F,2,FALSE),"")</f>
        <v>Jefe de Personal</v>
      </c>
      <c r="K181" s="351" t="str">
        <f>IF(B181&lt;&gt;"",+VLOOKUP(I181,Recursos!C:F,3,FALSE),"")</f>
        <v>hh</v>
      </c>
      <c r="L181" s="1475">
        <f>IF(B181&lt;&gt;"",+VLOOKUP(I181,Recursos!C:F,4,FALSE),"")</f>
        <v>357.15765726511808</v>
      </c>
      <c r="M181" s="1493">
        <f t="shared" si="80"/>
        <v>190</v>
      </c>
      <c r="N181" s="1494">
        <f>Organig!P51</f>
        <v>0</v>
      </c>
      <c r="O181" s="1490">
        <f>+M181*N181*plazo/plaef</f>
        <v>0</v>
      </c>
      <c r="P181" s="352">
        <f t="shared" si="66"/>
        <v>0</v>
      </c>
      <c r="Q181" s="349">
        <f t="shared" si="67"/>
        <v>0</v>
      </c>
      <c r="R181" s="353">
        <f t="shared" si="68"/>
        <v>0</v>
      </c>
      <c r="S181" s="354">
        <f t="shared" si="56"/>
        <v>97901.978339700348</v>
      </c>
      <c r="T181" s="354">
        <f t="shared" si="57"/>
        <v>0</v>
      </c>
      <c r="U181" s="355">
        <f t="shared" si="58"/>
        <v>0</v>
      </c>
      <c r="V181" s="355">
        <f t="shared" si="59"/>
        <v>0</v>
      </c>
      <c r="W181" s="355">
        <f t="shared" si="60"/>
        <v>0</v>
      </c>
      <c r="X181" s="355">
        <f t="shared" si="61"/>
        <v>0</v>
      </c>
      <c r="Y181" s="396"/>
      <c r="Z181" s="346" t="str">
        <f t="shared" si="69"/>
        <v>I-PERSONALA</v>
      </c>
      <c r="AA181" s="346" t="str">
        <f t="shared" si="70"/>
        <v>I-PERSONALE</v>
      </c>
      <c r="AB181" s="346" t="str">
        <f t="shared" si="71"/>
        <v>I-PERSONALM</v>
      </c>
      <c r="AC181" s="346" t="str">
        <f t="shared" si="72"/>
        <v>I-PERSONALT</v>
      </c>
      <c r="AD181" s="346" t="str">
        <f t="shared" si="73"/>
        <v>I-PERSONALS</v>
      </c>
      <c r="AE181" s="346" t="str">
        <f t="shared" si="74"/>
        <v>I-PERSONALX</v>
      </c>
      <c r="AF181" s="346" t="str">
        <f t="shared" si="75"/>
        <v>I-PERSONALA</v>
      </c>
      <c r="AG181" s="346">
        <f t="shared" si="62"/>
        <v>62</v>
      </c>
      <c r="AH181" s="346">
        <f>IF(B181&lt;&gt;"",+IF(H181="x",+VLOOKUP(I181,'AUX-NIV2'!B:AG,32,FALSE),0),"")</f>
        <v>0</v>
      </c>
      <c r="AI181" s="346" t="str">
        <f t="shared" si="76"/>
        <v>I-PERSONAL</v>
      </c>
      <c r="AK181" s="347">
        <f t="shared" si="63"/>
        <v>140</v>
      </c>
      <c r="AL181" s="348">
        <f t="shared" si="77"/>
        <v>201</v>
      </c>
      <c r="AM181" s="347">
        <f t="shared" si="78"/>
        <v>42</v>
      </c>
      <c r="AN181" s="382">
        <f>IF(AND(AH181&gt;0,B181&lt;&gt;""),VLOOKUP(I181,'AUX-NIV2'!$B:$AP,40,FALSE)*O181,0)</f>
        <v>0</v>
      </c>
      <c r="AO181" s="382">
        <f t="shared" si="64"/>
        <v>285</v>
      </c>
      <c r="AQ181" s="395">
        <f>(IF($H181="x",VLOOKUP($I181,'AUX-NIV2'!$B:$X,'AUX-NIV1'!AQ$3,FALSE),0)+($AV181*'AUX-NIV3'!S$4))*$O181+IF($H181=AQ$4,$P181,0)</f>
        <v>0</v>
      </c>
      <c r="AR181" s="395">
        <f>(IF($H181="x",VLOOKUP($I181,'AUX-NIV2'!$B:$X,'AUX-NIV1'!AR$3,FALSE),0)+($AV181*'AUX-NIV3'!T$4))*$O181+IF($H181=AR$4,$P181,0)</f>
        <v>0</v>
      </c>
      <c r="AS181" s="395">
        <f>(IF($H181="x",VLOOKUP($I181,'AUX-NIV2'!$B:$X,'AUX-NIV1'!AS$3,FALSE),0)+($AV181*'AUX-NIV3'!U$4))*$O181+IF($H181=AS$4,$P181,0)</f>
        <v>0</v>
      </c>
      <c r="AT181" s="395">
        <f>(IF($H181="x",VLOOKUP($I181,'AUX-NIV2'!$B:$X,'AUX-NIV1'!AT$3,FALSE),0)+($AV181*'AUX-NIV3'!V$4))*$O181+IF($H181=AT$4,$P181,0)</f>
        <v>0</v>
      </c>
      <c r="AU181" s="395">
        <f>(IF($H181="x",VLOOKUP($I181,'AUX-NIV2'!$B:$X,'AUX-NIV1'!AU$3,FALSE),0)+($AV181*'AUX-NIV3'!W$4))*$O181+IF($H181=AU$4,$P181,0)</f>
        <v>0</v>
      </c>
      <c r="AV181" s="395">
        <f>+IF($H181="x",VLOOKUP($I181,'AUX-NIV2'!$B:$X,'AUX-NIV1'!AV$3,FALSE),0)</f>
        <v>0</v>
      </c>
    </row>
    <row r="182" spans="2:48">
      <c r="B182" s="324" t="s">
        <v>94</v>
      </c>
      <c r="C182" s="325" t="s">
        <v>1167</v>
      </c>
      <c r="D182" s="326" t="s">
        <v>1168</v>
      </c>
      <c r="E182" s="349">
        <f>IF(B182&lt;&gt;"",+SUMIF(Items!C:C,'AUX-NIV1'!B182,Items!H:H),"")</f>
        <v>2</v>
      </c>
      <c r="F182" s="349">
        <f t="shared" si="54"/>
        <v>97901.978339700348</v>
      </c>
      <c r="G182" s="349">
        <f t="shared" si="55"/>
        <v>195803.9566794007</v>
      </c>
      <c r="H182" s="1395" t="str">
        <f t="shared" si="65"/>
        <v>A</v>
      </c>
      <c r="I182" s="1375" t="s">
        <v>3190</v>
      </c>
      <c r="J182" s="350" t="str">
        <f>IF(B182&lt;&gt;"",+VLOOKUP(I182,Recursos!C:F,2,FALSE),"")</f>
        <v>Administrativos</v>
      </c>
      <c r="K182" s="351" t="str">
        <f>IF(B182&lt;&gt;"",+VLOOKUP(I182,Recursos!C:F,3,FALSE),"")</f>
        <v>hh</v>
      </c>
      <c r="L182" s="1475">
        <f>IF(B182&lt;&gt;"",+VLOOKUP(I182,Recursos!C:F,4,FALSE),"")</f>
        <v>304.5387312083887</v>
      </c>
      <c r="M182" s="1493">
        <f t="shared" si="80"/>
        <v>190</v>
      </c>
      <c r="N182" s="1494">
        <f>Organig!P52</f>
        <v>0</v>
      </c>
      <c r="O182" s="1490">
        <f t="shared" si="79"/>
        <v>0</v>
      </c>
      <c r="P182" s="352">
        <f t="shared" si="66"/>
        <v>0</v>
      </c>
      <c r="Q182" s="349">
        <f t="shared" si="67"/>
        <v>0</v>
      </c>
      <c r="R182" s="353">
        <f t="shared" si="68"/>
        <v>0</v>
      </c>
      <c r="S182" s="354">
        <f t="shared" si="56"/>
        <v>97901.978339700348</v>
      </c>
      <c r="T182" s="354">
        <f t="shared" si="57"/>
        <v>0</v>
      </c>
      <c r="U182" s="355">
        <f t="shared" si="58"/>
        <v>0</v>
      </c>
      <c r="V182" s="355">
        <f t="shared" si="59"/>
        <v>0</v>
      </c>
      <c r="W182" s="355">
        <f t="shared" si="60"/>
        <v>0</v>
      </c>
      <c r="X182" s="355">
        <f t="shared" si="61"/>
        <v>0</v>
      </c>
      <c r="Y182" s="396"/>
      <c r="Z182" s="346" t="str">
        <f t="shared" si="69"/>
        <v>I-PERSONALA</v>
      </c>
      <c r="AA182" s="346" t="str">
        <f t="shared" si="70"/>
        <v>I-PERSONALE</v>
      </c>
      <c r="AB182" s="346" t="str">
        <f t="shared" si="71"/>
        <v>I-PERSONALM</v>
      </c>
      <c r="AC182" s="346" t="str">
        <f t="shared" si="72"/>
        <v>I-PERSONALT</v>
      </c>
      <c r="AD182" s="346" t="str">
        <f t="shared" si="73"/>
        <v>I-PERSONALS</v>
      </c>
      <c r="AE182" s="346" t="str">
        <f t="shared" si="74"/>
        <v>I-PERSONALX</v>
      </c>
      <c r="AF182" s="346" t="str">
        <f t="shared" si="75"/>
        <v>I-PERSONALA</v>
      </c>
      <c r="AG182" s="346">
        <f t="shared" si="62"/>
        <v>62</v>
      </c>
      <c r="AH182" s="346">
        <f>IF(B182&lt;&gt;"",+IF(H182="x",+VLOOKUP(I182,'AUX-NIV2'!B:AG,32,FALSE),0),"")</f>
        <v>0</v>
      </c>
      <c r="AI182" s="346" t="str">
        <f t="shared" si="76"/>
        <v>I-PERSONAL</v>
      </c>
      <c r="AK182" s="347">
        <f t="shared" si="63"/>
        <v>140</v>
      </c>
      <c r="AL182" s="348">
        <f t="shared" si="77"/>
        <v>201</v>
      </c>
      <c r="AM182" s="347">
        <f t="shared" si="78"/>
        <v>43</v>
      </c>
      <c r="AN182" s="382">
        <f>IF(AND(AH182&gt;0,B182&lt;&gt;""),VLOOKUP(I182,'AUX-NIV2'!$B:$AP,40,FALSE)*O182,0)</f>
        <v>0</v>
      </c>
      <c r="AO182" s="382">
        <f t="shared" si="64"/>
        <v>285</v>
      </c>
      <c r="AQ182" s="395">
        <f>(IF($H182="x",VLOOKUP($I182,'AUX-NIV2'!$B:$X,'AUX-NIV1'!AQ$3,FALSE),0)+($AV182*'AUX-NIV3'!S$4))*$O182+IF($H182=AQ$4,$P182,0)</f>
        <v>0</v>
      </c>
      <c r="AR182" s="395">
        <f>(IF($H182="x",VLOOKUP($I182,'AUX-NIV2'!$B:$X,'AUX-NIV1'!AR$3,FALSE),0)+($AV182*'AUX-NIV3'!T$4))*$O182+IF($H182=AR$4,$P182,0)</f>
        <v>0</v>
      </c>
      <c r="AS182" s="395">
        <f>(IF($H182="x",VLOOKUP($I182,'AUX-NIV2'!$B:$X,'AUX-NIV1'!AS$3,FALSE),0)+($AV182*'AUX-NIV3'!U$4))*$O182+IF($H182=AS$4,$P182,0)</f>
        <v>0</v>
      </c>
      <c r="AT182" s="395">
        <f>(IF($H182="x",VLOOKUP($I182,'AUX-NIV2'!$B:$X,'AUX-NIV1'!AT$3,FALSE),0)+($AV182*'AUX-NIV3'!V$4))*$O182+IF($H182=AT$4,$P182,0)</f>
        <v>0</v>
      </c>
      <c r="AU182" s="395">
        <f>(IF($H182="x",VLOOKUP($I182,'AUX-NIV2'!$B:$X,'AUX-NIV1'!AU$3,FALSE),0)+($AV182*'AUX-NIV3'!W$4))*$O182+IF($H182=AU$4,$P182,0)</f>
        <v>0</v>
      </c>
      <c r="AV182" s="395">
        <f>+IF($H182="x",VLOOKUP($I182,'AUX-NIV2'!$B:$X,'AUX-NIV1'!AV$3,FALSE),0)</f>
        <v>0</v>
      </c>
    </row>
    <row r="183" spans="2:48">
      <c r="B183" s="324" t="s">
        <v>94</v>
      </c>
      <c r="C183" s="325" t="s">
        <v>1167</v>
      </c>
      <c r="D183" s="326" t="s">
        <v>1168</v>
      </c>
      <c r="E183" s="349">
        <f>IF(B183&lt;&gt;"",+SUMIF(Items!C:C,'AUX-NIV1'!B183,Items!H:H),"")</f>
        <v>2</v>
      </c>
      <c r="F183" s="349">
        <f t="shared" si="54"/>
        <v>97901.978339700348</v>
      </c>
      <c r="G183" s="349">
        <f t="shared" si="55"/>
        <v>195803.9566794007</v>
      </c>
      <c r="H183" s="1395" t="str">
        <f t="shared" si="65"/>
        <v>A</v>
      </c>
      <c r="I183" s="1375" t="s">
        <v>3191</v>
      </c>
      <c r="J183" s="350" t="str">
        <f>IF(B183&lt;&gt;"",+VLOOKUP(I183,Recursos!C:F,2,FALSE),"")</f>
        <v>Auxiliares</v>
      </c>
      <c r="K183" s="351" t="str">
        <f>IF(B183&lt;&gt;"",+VLOOKUP(I183,Recursos!C:F,3,FALSE),"")</f>
        <v>hh</v>
      </c>
      <c r="L183" s="1475">
        <f>IF(B183&lt;&gt;"",+VLOOKUP(I183,Recursos!C:F,4,FALSE),"")</f>
        <v>281.15254184984235</v>
      </c>
      <c r="M183" s="1493">
        <f t="shared" si="80"/>
        <v>190</v>
      </c>
      <c r="N183" s="1494">
        <f>Organig!P59</f>
        <v>0</v>
      </c>
      <c r="O183" s="1490">
        <f t="shared" si="79"/>
        <v>0</v>
      </c>
      <c r="P183" s="352">
        <f t="shared" si="66"/>
        <v>0</v>
      </c>
      <c r="Q183" s="349">
        <f t="shared" si="67"/>
        <v>0</v>
      </c>
      <c r="R183" s="353">
        <f t="shared" si="68"/>
        <v>0</v>
      </c>
      <c r="S183" s="354">
        <f t="shared" si="56"/>
        <v>97901.978339700348</v>
      </c>
      <c r="T183" s="354">
        <f t="shared" si="57"/>
        <v>0</v>
      </c>
      <c r="U183" s="355">
        <f t="shared" si="58"/>
        <v>0</v>
      </c>
      <c r="V183" s="355">
        <f t="shared" si="59"/>
        <v>0</v>
      </c>
      <c r="W183" s="355">
        <f t="shared" si="60"/>
        <v>0</v>
      </c>
      <c r="X183" s="355">
        <f t="shared" si="61"/>
        <v>0</v>
      </c>
      <c r="Y183" s="396"/>
      <c r="Z183" s="346" t="str">
        <f t="shared" si="69"/>
        <v>I-PERSONALA</v>
      </c>
      <c r="AA183" s="346" t="str">
        <f t="shared" si="70"/>
        <v>I-PERSONALE</v>
      </c>
      <c r="AB183" s="346" t="str">
        <f t="shared" si="71"/>
        <v>I-PERSONALM</v>
      </c>
      <c r="AC183" s="346" t="str">
        <f t="shared" si="72"/>
        <v>I-PERSONALT</v>
      </c>
      <c r="AD183" s="346" t="str">
        <f t="shared" si="73"/>
        <v>I-PERSONALS</v>
      </c>
      <c r="AE183" s="346" t="str">
        <f t="shared" si="74"/>
        <v>I-PERSONALX</v>
      </c>
      <c r="AF183" s="346" t="str">
        <f t="shared" si="75"/>
        <v>I-PERSONALA</v>
      </c>
      <c r="AG183" s="346">
        <f t="shared" si="62"/>
        <v>62</v>
      </c>
      <c r="AH183" s="346">
        <f>IF(B183&lt;&gt;"",+IF(H183="x",+VLOOKUP(I183,'AUX-NIV2'!B:AG,32,FALSE),0),"")</f>
        <v>0</v>
      </c>
      <c r="AI183" s="346" t="str">
        <f t="shared" si="76"/>
        <v>I-PERSONAL</v>
      </c>
      <c r="AK183" s="347">
        <f t="shared" si="63"/>
        <v>140</v>
      </c>
      <c r="AL183" s="348">
        <f t="shared" si="77"/>
        <v>201</v>
      </c>
      <c r="AM183" s="347">
        <f t="shared" si="78"/>
        <v>44</v>
      </c>
      <c r="AN183" s="382">
        <f>IF(AND(AH183&gt;0,B183&lt;&gt;""),VLOOKUP(I183,'AUX-NIV2'!$B:$AP,40,FALSE)*O183,0)</f>
        <v>0</v>
      </c>
      <c r="AO183" s="382">
        <f t="shared" si="64"/>
        <v>285</v>
      </c>
      <c r="AQ183" s="395">
        <f>(IF($H183="x",VLOOKUP($I183,'AUX-NIV2'!$B:$X,'AUX-NIV1'!AQ$3,FALSE),0)+($AV183*'AUX-NIV3'!S$4))*$O183+IF($H183=AQ$4,$P183,0)</f>
        <v>0</v>
      </c>
      <c r="AR183" s="395">
        <f>(IF($H183="x",VLOOKUP($I183,'AUX-NIV2'!$B:$X,'AUX-NIV1'!AR$3,FALSE),0)+($AV183*'AUX-NIV3'!T$4))*$O183+IF($H183=AR$4,$P183,0)</f>
        <v>0</v>
      </c>
      <c r="AS183" s="395">
        <f>(IF($H183="x",VLOOKUP($I183,'AUX-NIV2'!$B:$X,'AUX-NIV1'!AS$3,FALSE),0)+($AV183*'AUX-NIV3'!U$4))*$O183+IF($H183=AS$4,$P183,0)</f>
        <v>0</v>
      </c>
      <c r="AT183" s="395">
        <f>(IF($H183="x",VLOOKUP($I183,'AUX-NIV2'!$B:$X,'AUX-NIV1'!AT$3,FALSE),0)+($AV183*'AUX-NIV3'!V$4))*$O183+IF($H183=AT$4,$P183,0)</f>
        <v>0</v>
      </c>
      <c r="AU183" s="395">
        <f>(IF($H183="x",VLOOKUP($I183,'AUX-NIV2'!$B:$X,'AUX-NIV1'!AU$3,FALSE),0)+($AV183*'AUX-NIV3'!W$4))*$O183+IF($H183=AU$4,$P183,0)</f>
        <v>0</v>
      </c>
      <c r="AV183" s="395">
        <f>+IF($H183="x",VLOOKUP($I183,'AUX-NIV2'!$B:$X,'AUX-NIV1'!AV$3,FALSE),0)</f>
        <v>0</v>
      </c>
    </row>
    <row r="184" spans="2:48">
      <c r="B184" s="324" t="s">
        <v>94</v>
      </c>
      <c r="C184" s="325" t="s">
        <v>1167</v>
      </c>
      <c r="D184" s="326" t="s">
        <v>1168</v>
      </c>
      <c r="E184" s="349">
        <f>IF(B184&lt;&gt;"",+SUMIF(Items!C:C,'AUX-NIV1'!B184,Items!H:H),"")</f>
        <v>2</v>
      </c>
      <c r="F184" s="349">
        <f t="shared" si="54"/>
        <v>97901.978339700348</v>
      </c>
      <c r="G184" s="349">
        <f t="shared" si="55"/>
        <v>195803.9566794007</v>
      </c>
      <c r="H184" s="1395" t="str">
        <f t="shared" si="65"/>
        <v>A</v>
      </c>
      <c r="I184" s="1375" t="s">
        <v>3192</v>
      </c>
      <c r="J184" s="350" t="str">
        <f>IF(B184&lt;&gt;"",+VLOOKUP(I184,Recursos!C:F,2,FALSE),"")</f>
        <v>Jefe de Taller</v>
      </c>
      <c r="K184" s="351" t="str">
        <f>IF(B184&lt;&gt;"",+VLOOKUP(I184,Recursos!C:F,3,FALSE),"")</f>
        <v>hh</v>
      </c>
      <c r="L184" s="1475">
        <f>IF(B184&lt;&gt;"",+VLOOKUP(I184,Recursos!C:F,4,FALSE),"")</f>
        <v>503.32134075603324</v>
      </c>
      <c r="M184" s="1493">
        <f t="shared" si="80"/>
        <v>190</v>
      </c>
      <c r="N184" s="1494">
        <f>Organig!T23</f>
        <v>0</v>
      </c>
      <c r="O184" s="1490">
        <f t="shared" si="79"/>
        <v>0</v>
      </c>
      <c r="P184" s="352">
        <f t="shared" si="66"/>
        <v>0</v>
      </c>
      <c r="Q184" s="349">
        <f t="shared" si="67"/>
        <v>0</v>
      </c>
      <c r="R184" s="353">
        <f t="shared" si="68"/>
        <v>0</v>
      </c>
      <c r="S184" s="354">
        <f t="shared" si="56"/>
        <v>97901.978339700348</v>
      </c>
      <c r="T184" s="354">
        <f t="shared" si="57"/>
        <v>0</v>
      </c>
      <c r="U184" s="355">
        <f t="shared" si="58"/>
        <v>0</v>
      </c>
      <c r="V184" s="355">
        <f t="shared" si="59"/>
        <v>0</v>
      </c>
      <c r="W184" s="355">
        <f t="shared" si="60"/>
        <v>0</v>
      </c>
      <c r="X184" s="355">
        <f t="shared" si="61"/>
        <v>0</v>
      </c>
      <c r="Y184" s="396"/>
      <c r="Z184" s="346" t="str">
        <f t="shared" si="69"/>
        <v>I-PERSONALA</v>
      </c>
      <c r="AA184" s="346" t="str">
        <f t="shared" si="70"/>
        <v>I-PERSONALE</v>
      </c>
      <c r="AB184" s="346" t="str">
        <f t="shared" si="71"/>
        <v>I-PERSONALM</v>
      </c>
      <c r="AC184" s="346" t="str">
        <f t="shared" si="72"/>
        <v>I-PERSONALT</v>
      </c>
      <c r="AD184" s="346" t="str">
        <f t="shared" si="73"/>
        <v>I-PERSONALS</v>
      </c>
      <c r="AE184" s="346" t="str">
        <f t="shared" si="74"/>
        <v>I-PERSONALX</v>
      </c>
      <c r="AF184" s="346" t="str">
        <f t="shared" si="75"/>
        <v>I-PERSONALA</v>
      </c>
      <c r="AG184" s="346">
        <f t="shared" si="62"/>
        <v>62</v>
      </c>
      <c r="AH184" s="346">
        <f>IF(B184&lt;&gt;"",+IF(H184="x",+VLOOKUP(I184,'AUX-NIV2'!B:AG,32,FALSE),0),"")</f>
        <v>0</v>
      </c>
      <c r="AI184" s="346" t="str">
        <f t="shared" si="76"/>
        <v>I-PERSONAL</v>
      </c>
      <c r="AK184" s="347">
        <f t="shared" si="63"/>
        <v>140</v>
      </c>
      <c r="AL184" s="348">
        <f t="shared" si="77"/>
        <v>201</v>
      </c>
      <c r="AM184" s="347">
        <f t="shared" si="78"/>
        <v>45</v>
      </c>
      <c r="AN184" s="382">
        <f>IF(AND(AH184&gt;0,B184&lt;&gt;""),VLOOKUP(I184,'AUX-NIV2'!$B:$AP,40,FALSE)*O184,0)</f>
        <v>0</v>
      </c>
      <c r="AO184" s="382">
        <f t="shared" si="64"/>
        <v>285</v>
      </c>
      <c r="AQ184" s="395">
        <f>(IF($H184="x",VLOOKUP($I184,'AUX-NIV2'!$B:$X,'AUX-NIV1'!AQ$3,FALSE),0)+($AV184*'AUX-NIV3'!S$4))*$O184+IF($H184=AQ$4,$P184,0)</f>
        <v>0</v>
      </c>
      <c r="AR184" s="395">
        <f>(IF($H184="x",VLOOKUP($I184,'AUX-NIV2'!$B:$X,'AUX-NIV1'!AR$3,FALSE),0)+($AV184*'AUX-NIV3'!T$4))*$O184+IF($H184=AR$4,$P184,0)</f>
        <v>0</v>
      </c>
      <c r="AS184" s="395">
        <f>(IF($H184="x",VLOOKUP($I184,'AUX-NIV2'!$B:$X,'AUX-NIV1'!AS$3,FALSE),0)+($AV184*'AUX-NIV3'!U$4))*$O184+IF($H184=AS$4,$P184,0)</f>
        <v>0</v>
      </c>
      <c r="AT184" s="395">
        <f>(IF($H184="x",VLOOKUP($I184,'AUX-NIV2'!$B:$X,'AUX-NIV1'!AT$3,FALSE),0)+($AV184*'AUX-NIV3'!V$4))*$O184+IF($H184=AT$4,$P184,0)</f>
        <v>0</v>
      </c>
      <c r="AU184" s="395">
        <f>(IF($H184="x",VLOOKUP($I184,'AUX-NIV2'!$B:$X,'AUX-NIV1'!AU$3,FALSE),0)+($AV184*'AUX-NIV3'!W$4))*$O184+IF($H184=AU$4,$P184,0)</f>
        <v>0</v>
      </c>
      <c r="AV184" s="395">
        <f>+IF($H184="x",VLOOKUP($I184,'AUX-NIV2'!$B:$X,'AUX-NIV1'!AV$3,FALSE),0)</f>
        <v>0</v>
      </c>
    </row>
    <row r="185" spans="2:48">
      <c r="B185" s="324" t="s">
        <v>94</v>
      </c>
      <c r="C185" s="325" t="s">
        <v>1167</v>
      </c>
      <c r="D185" s="326" t="s">
        <v>1168</v>
      </c>
      <c r="E185" s="349">
        <f>IF(B185&lt;&gt;"",+SUMIF(Items!C:C,'AUX-NIV1'!B185,Items!H:H),"")</f>
        <v>2</v>
      </c>
      <c r="F185" s="349">
        <f t="shared" si="54"/>
        <v>97901.978339700348</v>
      </c>
      <c r="G185" s="349">
        <f t="shared" si="55"/>
        <v>195803.9566794007</v>
      </c>
      <c r="H185" s="1395" t="str">
        <f t="shared" si="65"/>
        <v>A</v>
      </c>
      <c r="I185" s="1375" t="s">
        <v>3193</v>
      </c>
      <c r="J185" s="350" t="str">
        <f>IF(B185&lt;&gt;"",+VLOOKUP(I185,Recursos!C:F,2,FALSE),"")</f>
        <v>Taller Mecanico</v>
      </c>
      <c r="K185" s="351" t="str">
        <f>IF(B185&lt;&gt;"",+VLOOKUP(I185,Recursos!C:F,3,FALSE),"")</f>
        <v>hh</v>
      </c>
      <c r="L185" s="1475">
        <f>IF(B185&lt;&gt;"",+VLOOKUP(I185,Recursos!C:F,4,FALSE),"")</f>
        <v>447.77914102948546</v>
      </c>
      <c r="M185" s="1493">
        <f t="shared" si="80"/>
        <v>190</v>
      </c>
      <c r="N185" s="1494">
        <f>Organig!T27</f>
        <v>0</v>
      </c>
      <c r="O185" s="1490">
        <f t="shared" si="79"/>
        <v>0</v>
      </c>
      <c r="P185" s="352">
        <f t="shared" si="66"/>
        <v>0</v>
      </c>
      <c r="Q185" s="349">
        <f t="shared" si="67"/>
        <v>0</v>
      </c>
      <c r="R185" s="353">
        <f t="shared" si="68"/>
        <v>0</v>
      </c>
      <c r="S185" s="354">
        <f t="shared" si="56"/>
        <v>97901.978339700348</v>
      </c>
      <c r="T185" s="354">
        <f t="shared" si="57"/>
        <v>0</v>
      </c>
      <c r="U185" s="355">
        <f t="shared" si="58"/>
        <v>0</v>
      </c>
      <c r="V185" s="355">
        <f t="shared" si="59"/>
        <v>0</v>
      </c>
      <c r="W185" s="355">
        <f t="shared" si="60"/>
        <v>0</v>
      </c>
      <c r="X185" s="355">
        <f t="shared" si="61"/>
        <v>0</v>
      </c>
      <c r="Y185" s="396"/>
      <c r="Z185" s="346" t="str">
        <f t="shared" si="69"/>
        <v>I-PERSONALA</v>
      </c>
      <c r="AA185" s="346" t="str">
        <f t="shared" si="70"/>
        <v>I-PERSONALE</v>
      </c>
      <c r="AB185" s="346" t="str">
        <f t="shared" si="71"/>
        <v>I-PERSONALM</v>
      </c>
      <c r="AC185" s="346" t="str">
        <f t="shared" si="72"/>
        <v>I-PERSONALT</v>
      </c>
      <c r="AD185" s="346" t="str">
        <f t="shared" si="73"/>
        <v>I-PERSONALS</v>
      </c>
      <c r="AE185" s="346" t="str">
        <f t="shared" si="74"/>
        <v>I-PERSONALX</v>
      </c>
      <c r="AF185" s="346" t="str">
        <f t="shared" si="75"/>
        <v>I-PERSONALA</v>
      </c>
      <c r="AG185" s="346">
        <f t="shared" si="62"/>
        <v>62</v>
      </c>
      <c r="AH185" s="346">
        <f>IF(B185&lt;&gt;"",+IF(H185="x",+VLOOKUP(I185,'AUX-NIV2'!B:AG,32,FALSE),0),"")</f>
        <v>0</v>
      </c>
      <c r="AI185" s="346" t="str">
        <f t="shared" si="76"/>
        <v>I-PERSONAL</v>
      </c>
      <c r="AK185" s="347">
        <f t="shared" si="63"/>
        <v>140</v>
      </c>
      <c r="AL185" s="348">
        <f t="shared" si="77"/>
        <v>201</v>
      </c>
      <c r="AM185" s="347">
        <f t="shared" si="78"/>
        <v>46</v>
      </c>
      <c r="AN185" s="382">
        <f>IF(AND(AH185&gt;0,B185&lt;&gt;""),VLOOKUP(I185,'AUX-NIV2'!$B:$AP,40,FALSE)*O185,0)</f>
        <v>0</v>
      </c>
      <c r="AO185" s="382">
        <f t="shared" si="64"/>
        <v>285</v>
      </c>
      <c r="AQ185" s="395">
        <f>(IF($H185="x",VLOOKUP($I185,'AUX-NIV2'!$B:$X,'AUX-NIV1'!AQ$3,FALSE),0)+($AV185*'AUX-NIV3'!S$4))*$O185+IF($H185=AQ$4,$P185,0)</f>
        <v>0</v>
      </c>
      <c r="AR185" s="395">
        <f>(IF($H185="x",VLOOKUP($I185,'AUX-NIV2'!$B:$X,'AUX-NIV1'!AR$3,FALSE),0)+($AV185*'AUX-NIV3'!T$4))*$O185+IF($H185=AR$4,$P185,0)</f>
        <v>0</v>
      </c>
      <c r="AS185" s="395">
        <f>(IF($H185="x",VLOOKUP($I185,'AUX-NIV2'!$B:$X,'AUX-NIV1'!AS$3,FALSE),0)+($AV185*'AUX-NIV3'!U$4))*$O185+IF($H185=AS$4,$P185,0)</f>
        <v>0</v>
      </c>
      <c r="AT185" s="395">
        <f>(IF($H185="x",VLOOKUP($I185,'AUX-NIV2'!$B:$X,'AUX-NIV1'!AT$3,FALSE),0)+($AV185*'AUX-NIV3'!V$4))*$O185+IF($H185=AT$4,$P185,0)</f>
        <v>0</v>
      </c>
      <c r="AU185" s="395">
        <f>(IF($H185="x",VLOOKUP($I185,'AUX-NIV2'!$B:$X,'AUX-NIV1'!AU$3,FALSE),0)+($AV185*'AUX-NIV3'!W$4))*$O185+IF($H185=AU$4,$P185,0)</f>
        <v>0</v>
      </c>
      <c r="AV185" s="395">
        <f>+IF($H185="x",VLOOKUP($I185,'AUX-NIV2'!$B:$X,'AUX-NIV1'!AV$3,FALSE),0)</f>
        <v>0</v>
      </c>
    </row>
    <row r="186" spans="2:48">
      <c r="B186" s="324" t="s">
        <v>94</v>
      </c>
      <c r="C186" s="325" t="s">
        <v>1167</v>
      </c>
      <c r="D186" s="326" t="s">
        <v>1168</v>
      </c>
      <c r="E186" s="349">
        <f>IF(B186&lt;&gt;"",+SUMIF(Items!C:C,'AUX-NIV1'!B186,Items!H:H),"")</f>
        <v>2</v>
      </c>
      <c r="F186" s="349">
        <f t="shared" si="54"/>
        <v>97901.978339700348</v>
      </c>
      <c r="G186" s="349">
        <f t="shared" si="55"/>
        <v>195803.9566794007</v>
      </c>
      <c r="H186" s="1395" t="str">
        <f t="shared" si="65"/>
        <v>A</v>
      </c>
      <c r="I186" s="1375" t="s">
        <v>3194</v>
      </c>
      <c r="J186" s="350" t="str">
        <f>IF(B186&lt;&gt;"",+VLOOKUP(I186,Recursos!C:F,2,FALSE),"")</f>
        <v>Taller Eléctrico</v>
      </c>
      <c r="K186" s="351" t="str">
        <f>IF(B186&lt;&gt;"",+VLOOKUP(I186,Recursos!C:F,3,FALSE),"")</f>
        <v>hh</v>
      </c>
      <c r="L186" s="1475">
        <f>IF(B186&lt;&gt;"",+VLOOKUP(I186,Recursos!C:F,4,FALSE),"")</f>
        <v>447.77914102948546</v>
      </c>
      <c r="M186" s="1493">
        <f t="shared" si="80"/>
        <v>190</v>
      </c>
      <c r="N186" s="1494">
        <f>Organig!T31</f>
        <v>0</v>
      </c>
      <c r="O186" s="1490">
        <f t="shared" si="79"/>
        <v>0</v>
      </c>
      <c r="P186" s="352">
        <f t="shared" si="66"/>
        <v>0</v>
      </c>
      <c r="Q186" s="349">
        <f t="shared" si="67"/>
        <v>0</v>
      </c>
      <c r="R186" s="353">
        <f t="shared" si="68"/>
        <v>0</v>
      </c>
      <c r="S186" s="354">
        <f t="shared" si="56"/>
        <v>97901.978339700348</v>
      </c>
      <c r="T186" s="354">
        <f t="shared" si="57"/>
        <v>0</v>
      </c>
      <c r="U186" s="355">
        <f t="shared" si="58"/>
        <v>0</v>
      </c>
      <c r="V186" s="355">
        <f t="shared" si="59"/>
        <v>0</v>
      </c>
      <c r="W186" s="355">
        <f t="shared" si="60"/>
        <v>0</v>
      </c>
      <c r="X186" s="355">
        <f t="shared" si="61"/>
        <v>0</v>
      </c>
      <c r="Y186" s="396"/>
      <c r="Z186" s="346" t="str">
        <f t="shared" si="69"/>
        <v>I-PERSONALA</v>
      </c>
      <c r="AA186" s="346" t="str">
        <f t="shared" si="70"/>
        <v>I-PERSONALE</v>
      </c>
      <c r="AB186" s="346" t="str">
        <f t="shared" si="71"/>
        <v>I-PERSONALM</v>
      </c>
      <c r="AC186" s="346" t="str">
        <f t="shared" si="72"/>
        <v>I-PERSONALT</v>
      </c>
      <c r="AD186" s="346" t="str">
        <f t="shared" si="73"/>
        <v>I-PERSONALS</v>
      </c>
      <c r="AE186" s="346" t="str">
        <f t="shared" si="74"/>
        <v>I-PERSONALX</v>
      </c>
      <c r="AF186" s="346" t="str">
        <f t="shared" si="75"/>
        <v>I-PERSONALA</v>
      </c>
      <c r="AG186" s="346">
        <f t="shared" si="62"/>
        <v>62</v>
      </c>
      <c r="AH186" s="346">
        <f>IF(B186&lt;&gt;"",+IF(H186="x",+VLOOKUP(I186,'AUX-NIV2'!B:AG,32,FALSE),0),"")</f>
        <v>0</v>
      </c>
      <c r="AI186" s="346" t="str">
        <f t="shared" si="76"/>
        <v>I-PERSONAL</v>
      </c>
      <c r="AK186" s="347">
        <f t="shared" si="63"/>
        <v>140</v>
      </c>
      <c r="AL186" s="348">
        <f t="shared" si="77"/>
        <v>201</v>
      </c>
      <c r="AM186" s="347">
        <f t="shared" si="78"/>
        <v>47</v>
      </c>
      <c r="AN186" s="382">
        <f>IF(AND(AH186&gt;0,B186&lt;&gt;""),VLOOKUP(I186,'AUX-NIV2'!$B:$AP,40,FALSE)*O186,0)</f>
        <v>0</v>
      </c>
      <c r="AO186" s="382">
        <f t="shared" si="64"/>
        <v>285</v>
      </c>
      <c r="AQ186" s="395">
        <f>(IF($H186="x",VLOOKUP($I186,'AUX-NIV2'!$B:$X,'AUX-NIV1'!AQ$3,FALSE),0)+($AV186*'AUX-NIV3'!S$4))*$O186+IF($H186=AQ$4,$P186,0)</f>
        <v>0</v>
      </c>
      <c r="AR186" s="395">
        <f>(IF($H186="x",VLOOKUP($I186,'AUX-NIV2'!$B:$X,'AUX-NIV1'!AR$3,FALSE),0)+($AV186*'AUX-NIV3'!T$4))*$O186+IF($H186=AR$4,$P186,0)</f>
        <v>0</v>
      </c>
      <c r="AS186" s="395">
        <f>(IF($H186="x",VLOOKUP($I186,'AUX-NIV2'!$B:$X,'AUX-NIV1'!AS$3,FALSE),0)+($AV186*'AUX-NIV3'!U$4))*$O186+IF($H186=AS$4,$P186,0)</f>
        <v>0</v>
      </c>
      <c r="AT186" s="395">
        <f>(IF($H186="x",VLOOKUP($I186,'AUX-NIV2'!$B:$X,'AUX-NIV1'!AT$3,FALSE),0)+($AV186*'AUX-NIV3'!V$4))*$O186+IF($H186=AT$4,$P186,0)</f>
        <v>0</v>
      </c>
      <c r="AU186" s="395">
        <f>(IF($H186="x",VLOOKUP($I186,'AUX-NIV2'!$B:$X,'AUX-NIV1'!AU$3,FALSE),0)+($AV186*'AUX-NIV3'!W$4))*$O186+IF($H186=AU$4,$P186,0)</f>
        <v>0</v>
      </c>
      <c r="AV186" s="395">
        <f>+IF($H186="x",VLOOKUP($I186,'AUX-NIV2'!$B:$X,'AUX-NIV1'!AV$3,FALSE),0)</f>
        <v>0</v>
      </c>
    </row>
    <row r="187" spans="2:48">
      <c r="B187" s="324" t="s">
        <v>94</v>
      </c>
      <c r="C187" s="325" t="s">
        <v>1167</v>
      </c>
      <c r="D187" s="326" t="s">
        <v>1168</v>
      </c>
      <c r="E187" s="349">
        <f>IF(B187&lt;&gt;"",+SUMIF(Items!C:C,'AUX-NIV1'!B187,Items!H:H),"")</f>
        <v>2</v>
      </c>
      <c r="F187" s="349">
        <f t="shared" si="54"/>
        <v>97901.978339700348</v>
      </c>
      <c r="G187" s="349">
        <f t="shared" si="55"/>
        <v>195803.9566794007</v>
      </c>
      <c r="H187" s="1395" t="str">
        <f t="shared" si="65"/>
        <v>A</v>
      </c>
      <c r="I187" s="1375" t="s">
        <v>3195</v>
      </c>
      <c r="J187" s="350" t="str">
        <f>IF(B187&lt;&gt;"",+VLOOKUP(I187,Recursos!C:F,2,FALSE),"")</f>
        <v>Gruas</v>
      </c>
      <c r="K187" s="351" t="str">
        <f>IF(B187&lt;&gt;"",+VLOOKUP(I187,Recursos!C:F,3,FALSE),"")</f>
        <v>hh</v>
      </c>
      <c r="L187" s="1475">
        <f>IF(B187&lt;&gt;"",+VLOOKUP(I187,Recursos!C:F,4,FALSE),"")</f>
        <v>425.56226113886646</v>
      </c>
      <c r="M187" s="1493">
        <f t="shared" si="80"/>
        <v>190</v>
      </c>
      <c r="N187" s="1494">
        <f>Organig!T35</f>
        <v>0</v>
      </c>
      <c r="O187" s="1490">
        <f t="shared" si="79"/>
        <v>0</v>
      </c>
      <c r="P187" s="352">
        <f t="shared" si="66"/>
        <v>0</v>
      </c>
      <c r="Q187" s="349">
        <f t="shared" si="67"/>
        <v>0</v>
      </c>
      <c r="R187" s="353">
        <f t="shared" si="68"/>
        <v>0</v>
      </c>
      <c r="S187" s="354">
        <f t="shared" si="56"/>
        <v>97901.978339700348</v>
      </c>
      <c r="T187" s="354">
        <f t="shared" si="57"/>
        <v>0</v>
      </c>
      <c r="U187" s="355">
        <f t="shared" si="58"/>
        <v>0</v>
      </c>
      <c r="V187" s="355">
        <f t="shared" si="59"/>
        <v>0</v>
      </c>
      <c r="W187" s="355">
        <f t="shared" si="60"/>
        <v>0</v>
      </c>
      <c r="X187" s="355">
        <f t="shared" si="61"/>
        <v>0</v>
      </c>
      <c r="Y187" s="396"/>
      <c r="Z187" s="346" t="str">
        <f t="shared" si="69"/>
        <v>I-PERSONALA</v>
      </c>
      <c r="AA187" s="346" t="str">
        <f t="shared" si="70"/>
        <v>I-PERSONALE</v>
      </c>
      <c r="AB187" s="346" t="str">
        <f t="shared" si="71"/>
        <v>I-PERSONALM</v>
      </c>
      <c r="AC187" s="346" t="str">
        <f t="shared" si="72"/>
        <v>I-PERSONALT</v>
      </c>
      <c r="AD187" s="346" t="str">
        <f t="shared" si="73"/>
        <v>I-PERSONALS</v>
      </c>
      <c r="AE187" s="346" t="str">
        <f t="shared" si="74"/>
        <v>I-PERSONALX</v>
      </c>
      <c r="AF187" s="346" t="str">
        <f t="shared" si="75"/>
        <v>I-PERSONALA</v>
      </c>
      <c r="AG187" s="346">
        <f t="shared" si="62"/>
        <v>62</v>
      </c>
      <c r="AH187" s="346">
        <f>IF(B187&lt;&gt;"",+IF(H187="x",+VLOOKUP(I187,'AUX-NIV2'!B:AG,32,FALSE),0),"")</f>
        <v>0</v>
      </c>
      <c r="AI187" s="346" t="str">
        <f t="shared" si="76"/>
        <v>I-PERSONAL</v>
      </c>
      <c r="AK187" s="347">
        <f t="shared" si="63"/>
        <v>140</v>
      </c>
      <c r="AL187" s="348">
        <f t="shared" si="77"/>
        <v>201</v>
      </c>
      <c r="AM187" s="347">
        <f t="shared" si="78"/>
        <v>48</v>
      </c>
      <c r="AN187" s="382">
        <f>IF(AND(AH187&gt;0,B187&lt;&gt;""),VLOOKUP(I187,'AUX-NIV2'!$B:$AP,40,FALSE)*O187,0)</f>
        <v>0</v>
      </c>
      <c r="AO187" s="382">
        <f t="shared" si="64"/>
        <v>285</v>
      </c>
      <c r="AQ187" s="395">
        <f>(IF($H187="x",VLOOKUP($I187,'AUX-NIV2'!$B:$X,'AUX-NIV1'!AQ$3,FALSE),0)+($AV187*'AUX-NIV3'!S$4))*$O187+IF($H187=AQ$4,$P187,0)</f>
        <v>0</v>
      </c>
      <c r="AR187" s="395">
        <f>(IF($H187="x",VLOOKUP($I187,'AUX-NIV2'!$B:$X,'AUX-NIV1'!AR$3,FALSE),0)+($AV187*'AUX-NIV3'!T$4))*$O187+IF($H187=AR$4,$P187,0)</f>
        <v>0</v>
      </c>
      <c r="AS187" s="395">
        <f>(IF($H187="x",VLOOKUP($I187,'AUX-NIV2'!$B:$X,'AUX-NIV1'!AS$3,FALSE),0)+($AV187*'AUX-NIV3'!U$4))*$O187+IF($H187=AS$4,$P187,0)</f>
        <v>0</v>
      </c>
      <c r="AT187" s="395">
        <f>(IF($H187="x",VLOOKUP($I187,'AUX-NIV2'!$B:$X,'AUX-NIV1'!AT$3,FALSE),0)+($AV187*'AUX-NIV3'!V$4))*$O187+IF($H187=AT$4,$P187,0)</f>
        <v>0</v>
      </c>
      <c r="AU187" s="395">
        <f>(IF($H187="x",VLOOKUP($I187,'AUX-NIV2'!$B:$X,'AUX-NIV1'!AU$3,FALSE),0)+($AV187*'AUX-NIV3'!W$4))*$O187+IF($H187=AU$4,$P187,0)</f>
        <v>0</v>
      </c>
      <c r="AV187" s="395">
        <f>+IF($H187="x",VLOOKUP($I187,'AUX-NIV2'!$B:$X,'AUX-NIV1'!AV$3,FALSE),0)</f>
        <v>0</v>
      </c>
    </row>
    <row r="188" spans="2:48">
      <c r="B188" s="324" t="s">
        <v>94</v>
      </c>
      <c r="C188" s="325" t="s">
        <v>1167</v>
      </c>
      <c r="D188" s="326" t="s">
        <v>1168</v>
      </c>
      <c r="E188" s="349">
        <f>IF(B188&lt;&gt;"",+SUMIF(Items!C:C,'AUX-NIV1'!B188,Items!H:H),"")</f>
        <v>2</v>
      </c>
      <c r="F188" s="349">
        <f t="shared" si="54"/>
        <v>97901.978339700348</v>
      </c>
      <c r="G188" s="349">
        <f t="shared" si="55"/>
        <v>195803.9566794007</v>
      </c>
      <c r="H188" s="1395" t="str">
        <f t="shared" si="65"/>
        <v>A</v>
      </c>
      <c r="I188" s="1375" t="s">
        <v>3196</v>
      </c>
      <c r="J188" s="350" t="str">
        <f>IF(B188&lt;&gt;"",+VLOOKUP(I188,Recursos!C:F,2,FALSE),"")</f>
        <v>Gomerías</v>
      </c>
      <c r="K188" s="351" t="str">
        <f>IF(B188&lt;&gt;"",+VLOOKUP(I188,Recursos!C:F,3,FALSE),"")</f>
        <v>hh</v>
      </c>
      <c r="L188" s="1475">
        <f>IF(B188&lt;&gt;"",+VLOOKUP(I188,Recursos!C:F,4,FALSE),"")</f>
        <v>325.58630163108046</v>
      </c>
      <c r="M188" s="1493">
        <f t="shared" si="80"/>
        <v>190</v>
      </c>
      <c r="N188" s="1494">
        <f>+Organig!T39</f>
        <v>0</v>
      </c>
      <c r="O188" s="1490">
        <f t="shared" si="79"/>
        <v>0</v>
      </c>
      <c r="P188" s="352">
        <f t="shared" si="66"/>
        <v>0</v>
      </c>
      <c r="Q188" s="349">
        <f t="shared" si="67"/>
        <v>0</v>
      </c>
      <c r="R188" s="353">
        <f t="shared" si="68"/>
        <v>0</v>
      </c>
      <c r="S188" s="354">
        <f t="shared" si="56"/>
        <v>97901.978339700348</v>
      </c>
      <c r="T188" s="354">
        <f t="shared" si="57"/>
        <v>0</v>
      </c>
      <c r="U188" s="355">
        <f t="shared" si="58"/>
        <v>0</v>
      </c>
      <c r="V188" s="355">
        <f t="shared" si="59"/>
        <v>0</v>
      </c>
      <c r="W188" s="355">
        <f t="shared" si="60"/>
        <v>0</v>
      </c>
      <c r="X188" s="355">
        <f t="shared" si="61"/>
        <v>0</v>
      </c>
      <c r="Y188" s="396"/>
      <c r="Z188" s="346" t="str">
        <f t="shared" si="69"/>
        <v>I-PERSONALA</v>
      </c>
      <c r="AA188" s="346" t="str">
        <f t="shared" si="70"/>
        <v>I-PERSONALE</v>
      </c>
      <c r="AB188" s="346" t="str">
        <f t="shared" si="71"/>
        <v>I-PERSONALM</v>
      </c>
      <c r="AC188" s="346" t="str">
        <f t="shared" si="72"/>
        <v>I-PERSONALT</v>
      </c>
      <c r="AD188" s="346" t="str">
        <f t="shared" si="73"/>
        <v>I-PERSONALS</v>
      </c>
      <c r="AE188" s="346" t="str">
        <f t="shared" si="74"/>
        <v>I-PERSONALX</v>
      </c>
      <c r="AF188" s="346" t="str">
        <f t="shared" si="75"/>
        <v>I-PERSONALA</v>
      </c>
      <c r="AG188" s="346">
        <f t="shared" si="62"/>
        <v>62</v>
      </c>
      <c r="AH188" s="346">
        <f>IF(B188&lt;&gt;"",+IF(H188="x",+VLOOKUP(I188,'AUX-NIV2'!B:AG,32,FALSE),0),"")</f>
        <v>0</v>
      </c>
      <c r="AI188" s="346" t="str">
        <f t="shared" si="76"/>
        <v>I-PERSONAL</v>
      </c>
      <c r="AK188" s="347">
        <f t="shared" si="63"/>
        <v>140</v>
      </c>
      <c r="AL188" s="348">
        <f t="shared" si="77"/>
        <v>201</v>
      </c>
      <c r="AM188" s="347">
        <f t="shared" si="78"/>
        <v>49</v>
      </c>
      <c r="AN188" s="382">
        <f>IF(AND(AH188&gt;0,B188&lt;&gt;""),VLOOKUP(I188,'AUX-NIV2'!$B:$AP,40,FALSE)*O188,0)</f>
        <v>0</v>
      </c>
      <c r="AO188" s="382">
        <f t="shared" si="64"/>
        <v>285</v>
      </c>
      <c r="AQ188" s="395">
        <f>(IF($H188="x",VLOOKUP($I188,'AUX-NIV2'!$B:$X,'AUX-NIV1'!AQ$3,FALSE),0)+($AV188*'AUX-NIV3'!S$4))*$O188+IF($H188=AQ$4,$P188,0)</f>
        <v>0</v>
      </c>
      <c r="AR188" s="395">
        <f>(IF($H188="x",VLOOKUP($I188,'AUX-NIV2'!$B:$X,'AUX-NIV1'!AR$3,FALSE),0)+($AV188*'AUX-NIV3'!T$4))*$O188+IF($H188=AR$4,$P188,0)</f>
        <v>0</v>
      </c>
      <c r="AS188" s="395">
        <f>(IF($H188="x",VLOOKUP($I188,'AUX-NIV2'!$B:$X,'AUX-NIV1'!AS$3,FALSE),0)+($AV188*'AUX-NIV3'!U$4))*$O188+IF($H188=AS$4,$P188,0)</f>
        <v>0</v>
      </c>
      <c r="AT188" s="395">
        <f>(IF($H188="x",VLOOKUP($I188,'AUX-NIV2'!$B:$X,'AUX-NIV1'!AT$3,FALSE),0)+($AV188*'AUX-NIV3'!V$4))*$O188+IF($H188=AT$4,$P188,0)</f>
        <v>0</v>
      </c>
      <c r="AU188" s="395">
        <f>(IF($H188="x",VLOOKUP($I188,'AUX-NIV2'!$B:$X,'AUX-NIV1'!AU$3,FALSE),0)+($AV188*'AUX-NIV3'!W$4))*$O188+IF($H188=AU$4,$P188,0)</f>
        <v>0</v>
      </c>
      <c r="AV188" s="395">
        <f>+IF($H188="x",VLOOKUP($I188,'AUX-NIV2'!$B:$X,'AUX-NIV1'!AV$3,FALSE),0)</f>
        <v>0</v>
      </c>
    </row>
    <row r="189" spans="2:48">
      <c r="B189" s="324" t="s">
        <v>94</v>
      </c>
      <c r="C189" s="325" t="s">
        <v>1167</v>
      </c>
      <c r="D189" s="326" t="s">
        <v>1168</v>
      </c>
      <c r="E189" s="349">
        <f>IF(B189&lt;&gt;"",+SUMIF(Items!C:C,'AUX-NIV1'!B189,Items!H:H),"")</f>
        <v>2</v>
      </c>
      <c r="F189" s="349">
        <f t="shared" si="54"/>
        <v>97901.978339700348</v>
      </c>
      <c r="G189" s="349">
        <f t="shared" si="55"/>
        <v>195803.9566794007</v>
      </c>
      <c r="H189" s="1395" t="str">
        <f t="shared" si="65"/>
        <v>A</v>
      </c>
      <c r="I189" s="1375" t="s">
        <v>3197</v>
      </c>
      <c r="J189" s="350" t="str">
        <f>IF(B189&lt;&gt;"",+VLOOKUP(I189,Recursos!C:F,2,FALSE),"")</f>
        <v>Taller Hidráulico</v>
      </c>
      <c r="K189" s="351" t="str">
        <f>IF(B189&lt;&gt;"",+VLOOKUP(I189,Recursos!C:F,3,FALSE),"")</f>
        <v>hh</v>
      </c>
      <c r="L189" s="1475">
        <f>IF(B189&lt;&gt;"",+VLOOKUP(I189,Recursos!C:F,4,FALSE),"")</f>
        <v>370.02006141231874</v>
      </c>
      <c r="M189" s="1493">
        <f t="shared" si="80"/>
        <v>190</v>
      </c>
      <c r="N189" s="1494">
        <f>Organig!T43</f>
        <v>0</v>
      </c>
      <c r="O189" s="1490">
        <f t="shared" si="79"/>
        <v>0</v>
      </c>
      <c r="P189" s="352">
        <f t="shared" si="66"/>
        <v>0</v>
      </c>
      <c r="Q189" s="349">
        <f t="shared" si="67"/>
        <v>0</v>
      </c>
      <c r="R189" s="353">
        <f t="shared" si="68"/>
        <v>0</v>
      </c>
      <c r="S189" s="354">
        <f t="shared" si="56"/>
        <v>97901.978339700348</v>
      </c>
      <c r="T189" s="354">
        <f t="shared" si="57"/>
        <v>0</v>
      </c>
      <c r="U189" s="355">
        <f t="shared" si="58"/>
        <v>0</v>
      </c>
      <c r="V189" s="355">
        <f t="shared" si="59"/>
        <v>0</v>
      </c>
      <c r="W189" s="355">
        <f t="shared" si="60"/>
        <v>0</v>
      </c>
      <c r="X189" s="355">
        <f t="shared" si="61"/>
        <v>0</v>
      </c>
      <c r="Y189" s="396"/>
      <c r="Z189" s="346" t="str">
        <f t="shared" si="69"/>
        <v>I-PERSONALA</v>
      </c>
      <c r="AA189" s="346" t="str">
        <f t="shared" si="70"/>
        <v>I-PERSONALE</v>
      </c>
      <c r="AB189" s="346" t="str">
        <f t="shared" si="71"/>
        <v>I-PERSONALM</v>
      </c>
      <c r="AC189" s="346" t="str">
        <f t="shared" si="72"/>
        <v>I-PERSONALT</v>
      </c>
      <c r="AD189" s="346" t="str">
        <f t="shared" si="73"/>
        <v>I-PERSONALS</v>
      </c>
      <c r="AE189" s="346" t="str">
        <f t="shared" si="74"/>
        <v>I-PERSONALX</v>
      </c>
      <c r="AF189" s="346" t="str">
        <f t="shared" si="75"/>
        <v>I-PERSONALA</v>
      </c>
      <c r="AG189" s="346">
        <f t="shared" si="62"/>
        <v>62</v>
      </c>
      <c r="AH189" s="346">
        <f>IF(B189&lt;&gt;"",+IF(H189="x",+VLOOKUP(I189,'AUX-NIV2'!B:AG,32,FALSE),0),"")</f>
        <v>0</v>
      </c>
      <c r="AI189" s="346" t="str">
        <f t="shared" si="76"/>
        <v>I-PERSONAL</v>
      </c>
      <c r="AK189" s="347">
        <f t="shared" si="63"/>
        <v>140</v>
      </c>
      <c r="AL189" s="348">
        <f t="shared" si="77"/>
        <v>201</v>
      </c>
      <c r="AM189" s="347">
        <f t="shared" si="78"/>
        <v>50</v>
      </c>
      <c r="AN189" s="382">
        <f>IF(AND(AH189&gt;0,B189&lt;&gt;""),VLOOKUP(I189,'AUX-NIV2'!$B:$AP,40,FALSE)*O189,0)</f>
        <v>0</v>
      </c>
      <c r="AO189" s="382">
        <f t="shared" si="64"/>
        <v>285</v>
      </c>
      <c r="AQ189" s="395">
        <f>(IF($H189="x",VLOOKUP($I189,'AUX-NIV2'!$B:$X,'AUX-NIV1'!AQ$3,FALSE),0)+($AV189*'AUX-NIV3'!S$4))*$O189+IF($H189=AQ$4,$P189,0)</f>
        <v>0</v>
      </c>
      <c r="AR189" s="395">
        <f>(IF($H189="x",VLOOKUP($I189,'AUX-NIV2'!$B:$X,'AUX-NIV1'!AR$3,FALSE),0)+($AV189*'AUX-NIV3'!T$4))*$O189+IF($H189=AR$4,$P189,0)</f>
        <v>0</v>
      </c>
      <c r="AS189" s="395">
        <f>(IF($H189="x",VLOOKUP($I189,'AUX-NIV2'!$B:$X,'AUX-NIV1'!AS$3,FALSE),0)+($AV189*'AUX-NIV3'!U$4))*$O189+IF($H189=AS$4,$P189,0)</f>
        <v>0</v>
      </c>
      <c r="AT189" s="395">
        <f>(IF($H189="x",VLOOKUP($I189,'AUX-NIV2'!$B:$X,'AUX-NIV1'!AT$3,FALSE),0)+($AV189*'AUX-NIV3'!V$4))*$O189+IF($H189=AT$4,$P189,0)</f>
        <v>0</v>
      </c>
      <c r="AU189" s="395">
        <f>(IF($H189="x",VLOOKUP($I189,'AUX-NIV2'!$B:$X,'AUX-NIV1'!AU$3,FALSE),0)+($AV189*'AUX-NIV3'!W$4))*$O189+IF($H189=AU$4,$P189,0)</f>
        <v>0</v>
      </c>
      <c r="AV189" s="395">
        <f>+IF($H189="x",VLOOKUP($I189,'AUX-NIV2'!$B:$X,'AUX-NIV1'!AV$3,FALSE),0)</f>
        <v>0</v>
      </c>
    </row>
    <row r="190" spans="2:48">
      <c r="B190" s="324" t="s">
        <v>94</v>
      </c>
      <c r="C190" s="325" t="s">
        <v>1167</v>
      </c>
      <c r="D190" s="326" t="s">
        <v>1168</v>
      </c>
      <c r="E190" s="349">
        <f>IF(B190&lt;&gt;"",+SUMIF(Items!C:C,'AUX-NIV1'!B190,Items!H:H),"")</f>
        <v>2</v>
      </c>
      <c r="F190" s="349">
        <f t="shared" si="54"/>
        <v>97901.978339700348</v>
      </c>
      <c r="G190" s="349">
        <f t="shared" si="55"/>
        <v>195803.9566794007</v>
      </c>
      <c r="H190" s="1395" t="str">
        <f t="shared" si="65"/>
        <v>A</v>
      </c>
      <c r="I190" s="1375" t="s">
        <v>3198</v>
      </c>
      <c r="J190" s="350" t="str">
        <f>IF(B190&lt;&gt;"",+VLOOKUP(I190,Recursos!C:F,2,FALSE),"")</f>
        <v>Electromecánica y Bombas</v>
      </c>
      <c r="K190" s="351" t="str">
        <f>IF(B190&lt;&gt;"",+VLOOKUP(I190,Recursos!C:F,3,FALSE),"")</f>
        <v>hh</v>
      </c>
      <c r="L190" s="1475">
        <f>IF(B190&lt;&gt;"",+VLOOKUP(I190,Recursos!C:F,4,FALSE),"")</f>
        <v>370.02006141231874</v>
      </c>
      <c r="M190" s="1493">
        <f t="shared" si="80"/>
        <v>190</v>
      </c>
      <c r="N190" s="1494">
        <f>Organig!T47</f>
        <v>0</v>
      </c>
      <c r="O190" s="1490">
        <f t="shared" si="79"/>
        <v>0</v>
      </c>
      <c r="P190" s="352">
        <f t="shared" si="66"/>
        <v>0</v>
      </c>
      <c r="Q190" s="349">
        <f t="shared" si="67"/>
        <v>0</v>
      </c>
      <c r="R190" s="353">
        <f t="shared" si="68"/>
        <v>0</v>
      </c>
      <c r="S190" s="354">
        <f t="shared" si="56"/>
        <v>97901.978339700348</v>
      </c>
      <c r="T190" s="354">
        <f t="shared" si="57"/>
        <v>0</v>
      </c>
      <c r="U190" s="355">
        <f t="shared" si="58"/>
        <v>0</v>
      </c>
      <c r="V190" s="355">
        <f t="shared" si="59"/>
        <v>0</v>
      </c>
      <c r="W190" s="355">
        <f t="shared" si="60"/>
        <v>0</v>
      </c>
      <c r="X190" s="355">
        <f t="shared" si="61"/>
        <v>0</v>
      </c>
      <c r="Y190" s="396"/>
      <c r="Z190" s="346" t="str">
        <f t="shared" si="69"/>
        <v>I-PERSONALA</v>
      </c>
      <c r="AA190" s="346" t="str">
        <f t="shared" si="70"/>
        <v>I-PERSONALE</v>
      </c>
      <c r="AB190" s="346" t="str">
        <f t="shared" si="71"/>
        <v>I-PERSONALM</v>
      </c>
      <c r="AC190" s="346" t="str">
        <f t="shared" si="72"/>
        <v>I-PERSONALT</v>
      </c>
      <c r="AD190" s="346" t="str">
        <f t="shared" si="73"/>
        <v>I-PERSONALS</v>
      </c>
      <c r="AE190" s="346" t="str">
        <f t="shared" si="74"/>
        <v>I-PERSONALX</v>
      </c>
      <c r="AF190" s="346" t="str">
        <f t="shared" si="75"/>
        <v>I-PERSONALA</v>
      </c>
      <c r="AG190" s="346">
        <f t="shared" si="62"/>
        <v>62</v>
      </c>
      <c r="AH190" s="346">
        <f>IF(B190&lt;&gt;"",+IF(H190="x",+VLOOKUP(I190,'AUX-NIV2'!B:AG,32,FALSE),0),"")</f>
        <v>0</v>
      </c>
      <c r="AI190" s="346" t="str">
        <f t="shared" si="76"/>
        <v>I-PERSONAL</v>
      </c>
      <c r="AK190" s="347">
        <f t="shared" si="63"/>
        <v>140</v>
      </c>
      <c r="AL190" s="348">
        <f t="shared" si="77"/>
        <v>201</v>
      </c>
      <c r="AM190" s="347">
        <f t="shared" si="78"/>
        <v>51</v>
      </c>
      <c r="AN190" s="382">
        <f>IF(AND(AH190&gt;0,B190&lt;&gt;""),VLOOKUP(I190,'AUX-NIV2'!$B:$AP,40,FALSE)*O190,0)</f>
        <v>0</v>
      </c>
      <c r="AO190" s="382">
        <f t="shared" si="64"/>
        <v>285</v>
      </c>
      <c r="AQ190" s="395">
        <f>(IF($H190="x",VLOOKUP($I190,'AUX-NIV2'!$B:$X,'AUX-NIV1'!AQ$3,FALSE),0)+($AV190*'AUX-NIV3'!S$4))*$O190+IF($H190=AQ$4,$P190,0)</f>
        <v>0</v>
      </c>
      <c r="AR190" s="395">
        <f>(IF($H190="x",VLOOKUP($I190,'AUX-NIV2'!$B:$X,'AUX-NIV1'!AR$3,FALSE),0)+($AV190*'AUX-NIV3'!T$4))*$O190+IF($H190=AR$4,$P190,0)</f>
        <v>0</v>
      </c>
      <c r="AS190" s="395">
        <f>(IF($H190="x",VLOOKUP($I190,'AUX-NIV2'!$B:$X,'AUX-NIV1'!AS$3,FALSE),0)+($AV190*'AUX-NIV3'!U$4))*$O190+IF($H190=AS$4,$P190,0)</f>
        <v>0</v>
      </c>
      <c r="AT190" s="395">
        <f>(IF($H190="x",VLOOKUP($I190,'AUX-NIV2'!$B:$X,'AUX-NIV1'!AT$3,FALSE),0)+($AV190*'AUX-NIV3'!V$4))*$O190+IF($H190=AT$4,$P190,0)</f>
        <v>0</v>
      </c>
      <c r="AU190" s="395">
        <f>(IF($H190="x",VLOOKUP($I190,'AUX-NIV2'!$B:$X,'AUX-NIV1'!AU$3,FALSE),0)+($AV190*'AUX-NIV3'!W$4))*$O190+IF($H190=AU$4,$P190,0)</f>
        <v>0</v>
      </c>
      <c r="AV190" s="395">
        <f>+IF($H190="x",VLOOKUP($I190,'AUX-NIV2'!$B:$X,'AUX-NIV1'!AV$3,FALSE),0)</f>
        <v>0</v>
      </c>
    </row>
    <row r="191" spans="2:48">
      <c r="B191" s="324" t="s">
        <v>94</v>
      </c>
      <c r="C191" s="325" t="s">
        <v>1167</v>
      </c>
      <c r="D191" s="326" t="s">
        <v>1168</v>
      </c>
      <c r="E191" s="349">
        <f>IF(B191&lt;&gt;"",+SUMIF(Items!C:C,'AUX-NIV1'!B191,Items!H:H),"")</f>
        <v>2</v>
      </c>
      <c r="F191" s="349">
        <f t="shared" si="54"/>
        <v>97901.978339700348</v>
      </c>
      <c r="G191" s="349">
        <f t="shared" si="55"/>
        <v>195803.9566794007</v>
      </c>
      <c r="H191" s="1395" t="str">
        <f t="shared" si="65"/>
        <v>A</v>
      </c>
      <c r="I191" s="1375" t="s">
        <v>3199</v>
      </c>
      <c r="J191" s="350" t="str">
        <f>IF(B191&lt;&gt;"",+VLOOKUP(I191,Recursos!C:F,2,FALSE),"")</f>
        <v>Mecanicos y/o Electricos de 1°</v>
      </c>
      <c r="K191" s="351" t="str">
        <f>IF(B191&lt;&gt;"",+VLOOKUP(I191,Recursos!C:F,3,FALSE),"")</f>
        <v>hh</v>
      </c>
      <c r="L191" s="1475">
        <f>IF(B191&lt;&gt;"",+VLOOKUP(I191,Recursos!C:F,4,FALSE),"")</f>
        <v>381.12850135762824</v>
      </c>
      <c r="M191" s="1493">
        <f t="shared" si="80"/>
        <v>190</v>
      </c>
      <c r="N191" s="1494">
        <f>+Organig!T51</f>
        <v>0</v>
      </c>
      <c r="O191" s="1490">
        <f t="shared" si="79"/>
        <v>0</v>
      </c>
      <c r="P191" s="352">
        <f t="shared" si="66"/>
        <v>0</v>
      </c>
      <c r="Q191" s="349">
        <f t="shared" si="67"/>
        <v>0</v>
      </c>
      <c r="R191" s="353">
        <f t="shared" si="68"/>
        <v>0</v>
      </c>
      <c r="S191" s="354">
        <f t="shared" si="56"/>
        <v>97901.978339700348</v>
      </c>
      <c r="T191" s="354">
        <f t="shared" si="57"/>
        <v>0</v>
      </c>
      <c r="U191" s="355">
        <f t="shared" si="58"/>
        <v>0</v>
      </c>
      <c r="V191" s="355">
        <f t="shared" si="59"/>
        <v>0</v>
      </c>
      <c r="W191" s="355">
        <f t="shared" si="60"/>
        <v>0</v>
      </c>
      <c r="X191" s="355">
        <f t="shared" si="61"/>
        <v>0</v>
      </c>
      <c r="Y191" s="396"/>
      <c r="Z191" s="346" t="str">
        <f t="shared" si="69"/>
        <v>I-PERSONALA</v>
      </c>
      <c r="AA191" s="346" t="str">
        <f t="shared" si="70"/>
        <v>I-PERSONALE</v>
      </c>
      <c r="AB191" s="346" t="str">
        <f t="shared" si="71"/>
        <v>I-PERSONALM</v>
      </c>
      <c r="AC191" s="346" t="str">
        <f t="shared" si="72"/>
        <v>I-PERSONALT</v>
      </c>
      <c r="AD191" s="346" t="str">
        <f t="shared" si="73"/>
        <v>I-PERSONALS</v>
      </c>
      <c r="AE191" s="346" t="str">
        <f t="shared" si="74"/>
        <v>I-PERSONALX</v>
      </c>
      <c r="AF191" s="346" t="str">
        <f t="shared" si="75"/>
        <v>I-PERSONALA</v>
      </c>
      <c r="AG191" s="346">
        <f t="shared" si="62"/>
        <v>62</v>
      </c>
      <c r="AH191" s="346">
        <f>IF(B191&lt;&gt;"",+IF(H191="x",+VLOOKUP(I191,'AUX-NIV2'!B:AG,32,FALSE),0),"")</f>
        <v>0</v>
      </c>
      <c r="AI191" s="346" t="str">
        <f t="shared" si="76"/>
        <v>I-PERSONAL</v>
      </c>
      <c r="AK191" s="347">
        <f t="shared" si="63"/>
        <v>140</v>
      </c>
      <c r="AL191" s="348">
        <f t="shared" si="77"/>
        <v>201</v>
      </c>
      <c r="AM191" s="347">
        <f t="shared" si="78"/>
        <v>52</v>
      </c>
      <c r="AN191" s="382">
        <f>IF(AND(AH191&gt;0,B191&lt;&gt;""),VLOOKUP(I191,'AUX-NIV2'!$B:$AP,40,FALSE)*O191,0)</f>
        <v>0</v>
      </c>
      <c r="AO191" s="382">
        <f t="shared" si="64"/>
        <v>285</v>
      </c>
      <c r="AQ191" s="395">
        <f>(IF($H191="x",VLOOKUP($I191,'AUX-NIV2'!$B:$X,'AUX-NIV1'!AQ$3,FALSE),0)+($AV191*'AUX-NIV3'!S$4))*$O191+IF($H191=AQ$4,$P191,0)</f>
        <v>0</v>
      </c>
      <c r="AR191" s="395">
        <f>(IF($H191="x",VLOOKUP($I191,'AUX-NIV2'!$B:$X,'AUX-NIV1'!AR$3,FALSE),0)+($AV191*'AUX-NIV3'!T$4))*$O191+IF($H191=AR$4,$P191,0)</f>
        <v>0</v>
      </c>
      <c r="AS191" s="395">
        <f>(IF($H191="x",VLOOKUP($I191,'AUX-NIV2'!$B:$X,'AUX-NIV1'!AS$3,FALSE),0)+($AV191*'AUX-NIV3'!U$4))*$O191+IF($H191=AS$4,$P191,0)</f>
        <v>0</v>
      </c>
      <c r="AT191" s="395">
        <f>(IF($H191="x",VLOOKUP($I191,'AUX-NIV2'!$B:$X,'AUX-NIV1'!AT$3,FALSE),0)+($AV191*'AUX-NIV3'!V$4))*$O191+IF($H191=AT$4,$P191,0)</f>
        <v>0</v>
      </c>
      <c r="AU191" s="395">
        <f>(IF($H191="x",VLOOKUP($I191,'AUX-NIV2'!$B:$X,'AUX-NIV1'!AU$3,FALSE),0)+($AV191*'AUX-NIV3'!W$4))*$O191+IF($H191=AU$4,$P191,0)</f>
        <v>0</v>
      </c>
      <c r="AV191" s="395">
        <f>+IF($H191="x",VLOOKUP($I191,'AUX-NIV2'!$B:$X,'AUX-NIV1'!AV$3,FALSE),0)</f>
        <v>0</v>
      </c>
    </row>
    <row r="192" spans="2:48">
      <c r="B192" s="324" t="s">
        <v>94</v>
      </c>
      <c r="C192" s="325" t="s">
        <v>1167</v>
      </c>
      <c r="D192" s="326" t="s">
        <v>1168</v>
      </c>
      <c r="E192" s="349">
        <f>IF(B192&lt;&gt;"",+SUMIF(Items!C:C,'AUX-NIV1'!B192,Items!H:H),"")</f>
        <v>2</v>
      </c>
      <c r="F192" s="349">
        <f t="shared" si="54"/>
        <v>97901.978339700348</v>
      </c>
      <c r="G192" s="349">
        <f t="shared" si="55"/>
        <v>195803.9566794007</v>
      </c>
      <c r="H192" s="1395" t="str">
        <f t="shared" si="65"/>
        <v>A</v>
      </c>
      <c r="I192" s="1375" t="s">
        <v>3200</v>
      </c>
      <c r="J192" s="350" t="str">
        <f>IF(B192&lt;&gt;"",+VLOOKUP(I192,Recursos!C:F,2,FALSE),"")</f>
        <v>Mecanicos y/o Electricos de 2°</v>
      </c>
      <c r="K192" s="351" t="str">
        <f>IF(B192&lt;&gt;"",+VLOOKUP(I192,Recursos!C:F,3,FALSE),"")</f>
        <v>hh</v>
      </c>
      <c r="L192" s="1475">
        <f>IF(B192&lt;&gt;"",+VLOOKUP(I192,Recursos!C:F,4,FALSE),"")</f>
        <v>358.91162146700918</v>
      </c>
      <c r="M192" s="1493">
        <f t="shared" si="80"/>
        <v>190</v>
      </c>
      <c r="N192" s="1494">
        <f>+Organig!T55</f>
        <v>0</v>
      </c>
      <c r="O192" s="1490">
        <f t="shared" si="79"/>
        <v>0</v>
      </c>
      <c r="P192" s="352">
        <f t="shared" si="66"/>
        <v>0</v>
      </c>
      <c r="Q192" s="349">
        <f t="shared" si="67"/>
        <v>0</v>
      </c>
      <c r="R192" s="353">
        <f t="shared" si="68"/>
        <v>0</v>
      </c>
      <c r="S192" s="354">
        <f t="shared" si="56"/>
        <v>97901.978339700348</v>
      </c>
      <c r="T192" s="354">
        <f t="shared" si="57"/>
        <v>0</v>
      </c>
      <c r="U192" s="355">
        <f t="shared" si="58"/>
        <v>0</v>
      </c>
      <c r="V192" s="355">
        <f t="shared" si="59"/>
        <v>0</v>
      </c>
      <c r="W192" s="355">
        <f t="shared" si="60"/>
        <v>0</v>
      </c>
      <c r="X192" s="355">
        <f t="shared" si="61"/>
        <v>0</v>
      </c>
      <c r="Y192" s="396"/>
      <c r="Z192" s="346" t="str">
        <f t="shared" si="69"/>
        <v>I-PERSONALA</v>
      </c>
      <c r="AA192" s="346" t="str">
        <f t="shared" si="70"/>
        <v>I-PERSONALE</v>
      </c>
      <c r="AB192" s="346" t="str">
        <f t="shared" si="71"/>
        <v>I-PERSONALM</v>
      </c>
      <c r="AC192" s="346" t="str">
        <f t="shared" si="72"/>
        <v>I-PERSONALT</v>
      </c>
      <c r="AD192" s="346" t="str">
        <f t="shared" si="73"/>
        <v>I-PERSONALS</v>
      </c>
      <c r="AE192" s="346" t="str">
        <f t="shared" si="74"/>
        <v>I-PERSONALX</v>
      </c>
      <c r="AF192" s="346" t="str">
        <f t="shared" si="75"/>
        <v>I-PERSONALA</v>
      </c>
      <c r="AG192" s="346">
        <f t="shared" si="62"/>
        <v>62</v>
      </c>
      <c r="AH192" s="346">
        <f>IF(B192&lt;&gt;"",+IF(H192="x",+VLOOKUP(I192,'AUX-NIV2'!B:AG,32,FALSE),0),"")</f>
        <v>0</v>
      </c>
      <c r="AI192" s="346" t="str">
        <f t="shared" si="76"/>
        <v>I-PERSONAL</v>
      </c>
      <c r="AK192" s="347">
        <f t="shared" si="63"/>
        <v>140</v>
      </c>
      <c r="AL192" s="348">
        <f t="shared" si="77"/>
        <v>201</v>
      </c>
      <c r="AM192" s="347">
        <f t="shared" si="78"/>
        <v>53</v>
      </c>
      <c r="AN192" s="382">
        <f>IF(AND(AH192&gt;0,B192&lt;&gt;""),VLOOKUP(I192,'AUX-NIV2'!$B:$AP,40,FALSE)*O192,0)</f>
        <v>0</v>
      </c>
      <c r="AO192" s="382">
        <f t="shared" si="64"/>
        <v>285</v>
      </c>
      <c r="AQ192" s="395">
        <f>(IF($H192="x",VLOOKUP($I192,'AUX-NIV2'!$B:$X,'AUX-NIV1'!AQ$3,FALSE),0)+($AV192*'AUX-NIV3'!S$4))*$O192+IF($H192=AQ$4,$P192,0)</f>
        <v>0</v>
      </c>
      <c r="AR192" s="395">
        <f>(IF($H192="x",VLOOKUP($I192,'AUX-NIV2'!$B:$X,'AUX-NIV1'!AR$3,FALSE),0)+($AV192*'AUX-NIV3'!T$4))*$O192+IF($H192=AR$4,$P192,0)</f>
        <v>0</v>
      </c>
      <c r="AS192" s="395">
        <f>(IF($H192="x",VLOOKUP($I192,'AUX-NIV2'!$B:$X,'AUX-NIV1'!AS$3,FALSE),0)+($AV192*'AUX-NIV3'!U$4))*$O192+IF($H192=AS$4,$P192,0)</f>
        <v>0</v>
      </c>
      <c r="AT192" s="395">
        <f>(IF($H192="x",VLOOKUP($I192,'AUX-NIV2'!$B:$X,'AUX-NIV1'!AT$3,FALSE),0)+($AV192*'AUX-NIV3'!V$4))*$O192+IF($H192=AT$4,$P192,0)</f>
        <v>0</v>
      </c>
      <c r="AU192" s="395">
        <f>(IF($H192="x",VLOOKUP($I192,'AUX-NIV2'!$B:$X,'AUX-NIV1'!AU$3,FALSE),0)+($AV192*'AUX-NIV3'!W$4))*$O192+IF($H192=AU$4,$P192,0)</f>
        <v>0</v>
      </c>
      <c r="AV192" s="395">
        <f>+IF($H192="x",VLOOKUP($I192,'AUX-NIV2'!$B:$X,'AUX-NIV1'!AV$3,FALSE),0)</f>
        <v>0</v>
      </c>
    </row>
    <row r="193" spans="2:48">
      <c r="B193" s="324" t="s">
        <v>94</v>
      </c>
      <c r="C193" s="325" t="s">
        <v>1167</v>
      </c>
      <c r="D193" s="326" t="s">
        <v>1168</v>
      </c>
      <c r="E193" s="349">
        <f>IF(B193&lt;&gt;"",+SUMIF(Items!C:C,'AUX-NIV1'!B193,Items!H:H),"")</f>
        <v>2</v>
      </c>
      <c r="F193" s="349">
        <f t="shared" si="54"/>
        <v>97901.978339700348</v>
      </c>
      <c r="G193" s="349">
        <f t="shared" si="55"/>
        <v>195803.9566794007</v>
      </c>
      <c r="H193" s="1395" t="str">
        <f t="shared" si="65"/>
        <v>A</v>
      </c>
      <c r="I193" s="1375" t="s">
        <v>3201</v>
      </c>
      <c r="J193" s="350" t="str">
        <f>IF(B193&lt;&gt;"",+VLOOKUP(I193,Recursos!C:F,2,FALSE),"")</f>
        <v>Auxiliares de Taller</v>
      </c>
      <c r="K193" s="351" t="str">
        <f>IF(B193&lt;&gt;"",+VLOOKUP(I193,Recursos!C:F,3,FALSE),"")</f>
        <v>hh</v>
      </c>
      <c r="L193" s="1475">
        <f>IF(B193&lt;&gt;"",+VLOOKUP(I193,Recursos!C:F,4,FALSE),"")</f>
        <v>281.15254184984235</v>
      </c>
      <c r="M193" s="1493">
        <f t="shared" si="80"/>
        <v>190</v>
      </c>
      <c r="N193" s="1494">
        <f>Organig!T59</f>
        <v>0</v>
      </c>
      <c r="O193" s="1490">
        <f t="shared" si="79"/>
        <v>0</v>
      </c>
      <c r="P193" s="352">
        <f t="shared" si="66"/>
        <v>0</v>
      </c>
      <c r="Q193" s="349">
        <f t="shared" si="67"/>
        <v>0</v>
      </c>
      <c r="R193" s="353">
        <f t="shared" si="68"/>
        <v>0</v>
      </c>
      <c r="S193" s="354">
        <f t="shared" si="56"/>
        <v>97901.978339700348</v>
      </c>
      <c r="T193" s="354">
        <f t="shared" si="57"/>
        <v>0</v>
      </c>
      <c r="U193" s="355">
        <f t="shared" si="58"/>
        <v>0</v>
      </c>
      <c r="V193" s="355">
        <f t="shared" si="59"/>
        <v>0</v>
      </c>
      <c r="W193" s="355">
        <f t="shared" si="60"/>
        <v>0</v>
      </c>
      <c r="X193" s="355">
        <f t="shared" si="61"/>
        <v>0</v>
      </c>
      <c r="Y193" s="396"/>
      <c r="Z193" s="346" t="str">
        <f t="shared" si="69"/>
        <v>I-PERSONALA</v>
      </c>
      <c r="AA193" s="346" t="str">
        <f t="shared" si="70"/>
        <v>I-PERSONALE</v>
      </c>
      <c r="AB193" s="346" t="str">
        <f t="shared" si="71"/>
        <v>I-PERSONALM</v>
      </c>
      <c r="AC193" s="346" t="str">
        <f t="shared" si="72"/>
        <v>I-PERSONALT</v>
      </c>
      <c r="AD193" s="346" t="str">
        <f t="shared" si="73"/>
        <v>I-PERSONALS</v>
      </c>
      <c r="AE193" s="346" t="str">
        <f t="shared" si="74"/>
        <v>I-PERSONALX</v>
      </c>
      <c r="AF193" s="346" t="str">
        <f t="shared" si="75"/>
        <v>I-PERSONALA</v>
      </c>
      <c r="AG193" s="346">
        <f t="shared" si="62"/>
        <v>62</v>
      </c>
      <c r="AH193" s="346">
        <f>IF(B193&lt;&gt;"",+IF(H193="x",+VLOOKUP(I193,'AUX-NIV2'!B:AG,32,FALSE),0),"")</f>
        <v>0</v>
      </c>
      <c r="AI193" s="346" t="str">
        <f t="shared" si="76"/>
        <v>I-PERSONAL</v>
      </c>
      <c r="AK193" s="347">
        <f t="shared" si="63"/>
        <v>140</v>
      </c>
      <c r="AL193" s="348">
        <f t="shared" si="77"/>
        <v>201</v>
      </c>
      <c r="AM193" s="347">
        <f t="shared" si="78"/>
        <v>54</v>
      </c>
      <c r="AN193" s="382">
        <f>IF(AND(AH193&gt;0,B193&lt;&gt;""),VLOOKUP(I193,'AUX-NIV2'!$B:$AP,40,FALSE)*O193,0)</f>
        <v>0</v>
      </c>
      <c r="AO193" s="382">
        <f t="shared" si="64"/>
        <v>285</v>
      </c>
      <c r="AQ193" s="395">
        <f>(IF($H193="x",VLOOKUP($I193,'AUX-NIV2'!$B:$X,'AUX-NIV1'!AQ$3,FALSE),0)+($AV193*'AUX-NIV3'!S$4))*$O193+IF($H193=AQ$4,$P193,0)</f>
        <v>0</v>
      </c>
      <c r="AR193" s="395">
        <f>(IF($H193="x",VLOOKUP($I193,'AUX-NIV2'!$B:$X,'AUX-NIV1'!AR$3,FALSE),0)+($AV193*'AUX-NIV3'!T$4))*$O193+IF($H193=AR$4,$P193,0)</f>
        <v>0</v>
      </c>
      <c r="AS193" s="395">
        <f>(IF($H193="x",VLOOKUP($I193,'AUX-NIV2'!$B:$X,'AUX-NIV1'!AS$3,FALSE),0)+($AV193*'AUX-NIV3'!U$4))*$O193+IF($H193=AS$4,$P193,0)</f>
        <v>0</v>
      </c>
      <c r="AT193" s="395">
        <f>(IF($H193="x",VLOOKUP($I193,'AUX-NIV2'!$B:$X,'AUX-NIV1'!AT$3,FALSE),0)+($AV193*'AUX-NIV3'!V$4))*$O193+IF($H193=AT$4,$P193,0)</f>
        <v>0</v>
      </c>
      <c r="AU193" s="395">
        <f>(IF($H193="x",VLOOKUP($I193,'AUX-NIV2'!$B:$X,'AUX-NIV1'!AU$3,FALSE),0)+($AV193*'AUX-NIV3'!W$4))*$O193+IF($H193=AU$4,$P193,0)</f>
        <v>0</v>
      </c>
      <c r="AV193" s="395">
        <f>+IF($H193="x",VLOOKUP($I193,'AUX-NIV2'!$B:$X,'AUX-NIV1'!AV$3,FALSE),0)</f>
        <v>0</v>
      </c>
    </row>
    <row r="194" spans="2:48">
      <c r="B194" s="324" t="s">
        <v>94</v>
      </c>
      <c r="C194" s="325" t="s">
        <v>1167</v>
      </c>
      <c r="D194" s="326" t="s">
        <v>1168</v>
      </c>
      <c r="E194" s="349">
        <f>IF(B194&lt;&gt;"",+SUMIF(Items!C:C,'AUX-NIV1'!B194,Items!H:H),"")</f>
        <v>2</v>
      </c>
      <c r="F194" s="349">
        <f t="shared" si="54"/>
        <v>97901.978339700348</v>
      </c>
      <c r="G194" s="349">
        <f t="shared" si="55"/>
        <v>195803.9566794007</v>
      </c>
      <c r="H194" s="1395" t="str">
        <f t="shared" si="65"/>
        <v>A</v>
      </c>
      <c r="I194" s="1375" t="s">
        <v>3202</v>
      </c>
      <c r="J194" s="350" t="str">
        <f>IF(B194&lt;&gt;"",+VLOOKUP(I194,Recursos!C:F,2,FALSE),"")</f>
        <v>Jefe de Calidad</v>
      </c>
      <c r="K194" s="351" t="str">
        <f>IF(B194&lt;&gt;"",+VLOOKUP(I194,Recursos!C:F,3,FALSE),"")</f>
        <v>hh</v>
      </c>
      <c r="L194" s="1475">
        <f>IF(B194&lt;&gt;"",+VLOOKUP(I194,Recursos!C:F,4,FALSE),"")</f>
        <v>433.16277268039403</v>
      </c>
      <c r="M194" s="1493">
        <f t="shared" si="80"/>
        <v>190</v>
      </c>
      <c r="N194" s="1494">
        <f>Organig!X23</f>
        <v>0</v>
      </c>
      <c r="O194" s="1490">
        <f t="shared" si="79"/>
        <v>0</v>
      </c>
      <c r="P194" s="352">
        <f t="shared" si="66"/>
        <v>0</v>
      </c>
      <c r="Q194" s="349">
        <f t="shared" si="67"/>
        <v>0</v>
      </c>
      <c r="R194" s="353">
        <f t="shared" si="68"/>
        <v>0</v>
      </c>
      <c r="S194" s="354">
        <f t="shared" si="56"/>
        <v>97901.978339700348</v>
      </c>
      <c r="T194" s="354">
        <f t="shared" si="57"/>
        <v>0</v>
      </c>
      <c r="U194" s="355">
        <f t="shared" si="58"/>
        <v>0</v>
      </c>
      <c r="V194" s="355">
        <f t="shared" si="59"/>
        <v>0</v>
      </c>
      <c r="W194" s="355">
        <f t="shared" si="60"/>
        <v>0</v>
      </c>
      <c r="X194" s="355">
        <f t="shared" si="61"/>
        <v>0</v>
      </c>
      <c r="Y194" s="396"/>
      <c r="Z194" s="346" t="str">
        <f t="shared" si="69"/>
        <v>I-PERSONALA</v>
      </c>
      <c r="AA194" s="346" t="str">
        <f t="shared" si="70"/>
        <v>I-PERSONALE</v>
      </c>
      <c r="AB194" s="346" t="str">
        <f t="shared" si="71"/>
        <v>I-PERSONALM</v>
      </c>
      <c r="AC194" s="346" t="str">
        <f t="shared" si="72"/>
        <v>I-PERSONALT</v>
      </c>
      <c r="AD194" s="346" t="str">
        <f t="shared" si="73"/>
        <v>I-PERSONALS</v>
      </c>
      <c r="AE194" s="346" t="str">
        <f t="shared" si="74"/>
        <v>I-PERSONALX</v>
      </c>
      <c r="AF194" s="346" t="str">
        <f t="shared" si="75"/>
        <v>I-PERSONALA</v>
      </c>
      <c r="AG194" s="346">
        <f t="shared" si="62"/>
        <v>62</v>
      </c>
      <c r="AH194" s="346">
        <f>IF(B194&lt;&gt;"",+IF(H194="x",+VLOOKUP(I194,'AUX-NIV2'!B:AG,32,FALSE),0),"")</f>
        <v>0</v>
      </c>
      <c r="AI194" s="346" t="str">
        <f t="shared" si="76"/>
        <v>I-PERSONAL</v>
      </c>
      <c r="AK194" s="347">
        <f t="shared" si="63"/>
        <v>140</v>
      </c>
      <c r="AL194" s="348">
        <f t="shared" si="77"/>
        <v>201</v>
      </c>
      <c r="AM194" s="347">
        <f t="shared" si="78"/>
        <v>55</v>
      </c>
      <c r="AN194" s="382">
        <f>IF(AND(AH194&gt;0,B194&lt;&gt;""),VLOOKUP(I194,'AUX-NIV2'!$B:$AP,40,FALSE)*O194,0)</f>
        <v>0</v>
      </c>
      <c r="AO194" s="382">
        <f t="shared" si="64"/>
        <v>285</v>
      </c>
      <c r="AQ194" s="395">
        <f>(IF($H194="x",VLOOKUP($I194,'AUX-NIV2'!$B:$X,'AUX-NIV1'!AQ$3,FALSE),0)+($AV194*'AUX-NIV3'!S$4))*$O194+IF($H194=AQ$4,$P194,0)</f>
        <v>0</v>
      </c>
      <c r="AR194" s="395">
        <f>(IF($H194="x",VLOOKUP($I194,'AUX-NIV2'!$B:$X,'AUX-NIV1'!AR$3,FALSE),0)+($AV194*'AUX-NIV3'!T$4))*$O194+IF($H194=AR$4,$P194,0)</f>
        <v>0</v>
      </c>
      <c r="AS194" s="395">
        <f>(IF($H194="x",VLOOKUP($I194,'AUX-NIV2'!$B:$X,'AUX-NIV1'!AS$3,FALSE),0)+($AV194*'AUX-NIV3'!U$4))*$O194+IF($H194=AS$4,$P194,0)</f>
        <v>0</v>
      </c>
      <c r="AT194" s="395">
        <f>(IF($H194="x",VLOOKUP($I194,'AUX-NIV2'!$B:$X,'AUX-NIV1'!AT$3,FALSE),0)+($AV194*'AUX-NIV3'!V$4))*$O194+IF($H194=AT$4,$P194,0)</f>
        <v>0</v>
      </c>
      <c r="AU194" s="395">
        <f>(IF($H194="x",VLOOKUP($I194,'AUX-NIV2'!$B:$X,'AUX-NIV1'!AU$3,FALSE),0)+($AV194*'AUX-NIV3'!W$4))*$O194+IF($H194=AU$4,$P194,0)</f>
        <v>0</v>
      </c>
      <c r="AV194" s="395">
        <f>+IF($H194="x",VLOOKUP($I194,'AUX-NIV2'!$B:$X,'AUX-NIV1'!AV$3,FALSE),0)</f>
        <v>0</v>
      </c>
    </row>
    <row r="195" spans="2:48">
      <c r="B195" s="324" t="s">
        <v>94</v>
      </c>
      <c r="C195" s="325" t="s">
        <v>1167</v>
      </c>
      <c r="D195" s="326" t="s">
        <v>1168</v>
      </c>
      <c r="E195" s="349">
        <f>IF(B195&lt;&gt;"",+SUMIF(Items!C:C,'AUX-NIV1'!B195,Items!H:H),"")</f>
        <v>2</v>
      </c>
      <c r="F195" s="349">
        <f t="shared" si="54"/>
        <v>97901.978339700348</v>
      </c>
      <c r="G195" s="349">
        <f t="shared" si="55"/>
        <v>195803.9566794007</v>
      </c>
      <c r="H195" s="1395" t="str">
        <f t="shared" si="65"/>
        <v>A</v>
      </c>
      <c r="I195" s="1375" t="s">
        <v>3203</v>
      </c>
      <c r="J195" s="350" t="str">
        <f>IF(B195&lt;&gt;"",+VLOOKUP(I195,Recursos!C:F,2,FALSE),"")</f>
        <v>Jefe de Laboratorio</v>
      </c>
      <c r="K195" s="351" t="str">
        <f>IF(B195&lt;&gt;"",+VLOOKUP(I195,Recursos!C:F,3,FALSE),"")</f>
        <v>hh</v>
      </c>
      <c r="L195" s="1475">
        <f>IF(B195&lt;&gt;"",+VLOOKUP(I195,Recursos!C:F,4,FALSE),"")</f>
        <v>379.959191889701</v>
      </c>
      <c r="M195" s="1493">
        <f t="shared" si="80"/>
        <v>190</v>
      </c>
      <c r="N195" s="1494">
        <f>Organig!X27</f>
        <v>0</v>
      </c>
      <c r="O195" s="1490">
        <f t="shared" si="79"/>
        <v>0</v>
      </c>
      <c r="P195" s="352">
        <f t="shared" si="66"/>
        <v>0</v>
      </c>
      <c r="Q195" s="349">
        <f t="shared" si="67"/>
        <v>0</v>
      </c>
      <c r="R195" s="353">
        <f t="shared" si="68"/>
        <v>0</v>
      </c>
      <c r="S195" s="354">
        <f t="shared" si="56"/>
        <v>97901.978339700348</v>
      </c>
      <c r="T195" s="354">
        <f t="shared" si="57"/>
        <v>0</v>
      </c>
      <c r="U195" s="355">
        <f t="shared" si="58"/>
        <v>0</v>
      </c>
      <c r="V195" s="355">
        <f t="shared" si="59"/>
        <v>0</v>
      </c>
      <c r="W195" s="355">
        <f t="shared" si="60"/>
        <v>0</v>
      </c>
      <c r="X195" s="355">
        <f t="shared" si="61"/>
        <v>0</v>
      </c>
      <c r="Y195" s="396"/>
      <c r="Z195" s="346" t="str">
        <f t="shared" si="69"/>
        <v>I-PERSONALA</v>
      </c>
      <c r="AA195" s="346" t="str">
        <f t="shared" si="70"/>
        <v>I-PERSONALE</v>
      </c>
      <c r="AB195" s="346" t="str">
        <f t="shared" si="71"/>
        <v>I-PERSONALM</v>
      </c>
      <c r="AC195" s="346" t="str">
        <f t="shared" si="72"/>
        <v>I-PERSONALT</v>
      </c>
      <c r="AD195" s="346" t="str">
        <f t="shared" si="73"/>
        <v>I-PERSONALS</v>
      </c>
      <c r="AE195" s="346" t="str">
        <f t="shared" si="74"/>
        <v>I-PERSONALX</v>
      </c>
      <c r="AF195" s="346" t="str">
        <f t="shared" si="75"/>
        <v>I-PERSONALA</v>
      </c>
      <c r="AG195" s="346">
        <f t="shared" si="62"/>
        <v>62</v>
      </c>
      <c r="AH195" s="346">
        <f>IF(B195&lt;&gt;"",+IF(H195="x",+VLOOKUP(I195,'AUX-NIV2'!B:AG,32,FALSE),0),"")</f>
        <v>0</v>
      </c>
      <c r="AI195" s="346" t="str">
        <f t="shared" si="76"/>
        <v>I-PERSONAL</v>
      </c>
      <c r="AK195" s="347">
        <f t="shared" si="63"/>
        <v>140</v>
      </c>
      <c r="AL195" s="348">
        <f t="shared" si="77"/>
        <v>201</v>
      </c>
      <c r="AM195" s="347">
        <f t="shared" si="78"/>
        <v>56</v>
      </c>
      <c r="AN195" s="382">
        <f>IF(AND(AH195&gt;0,B195&lt;&gt;""),VLOOKUP(I195,'AUX-NIV2'!$B:$AP,40,FALSE)*O195,0)</f>
        <v>0</v>
      </c>
      <c r="AO195" s="382">
        <f t="shared" si="64"/>
        <v>285</v>
      </c>
      <c r="AQ195" s="395">
        <f>(IF($H195="x",VLOOKUP($I195,'AUX-NIV2'!$B:$X,'AUX-NIV1'!AQ$3,FALSE),0)+($AV195*'AUX-NIV3'!S$4))*$O195+IF($H195=AQ$4,$P195,0)</f>
        <v>0</v>
      </c>
      <c r="AR195" s="395">
        <f>(IF($H195="x",VLOOKUP($I195,'AUX-NIV2'!$B:$X,'AUX-NIV1'!AR$3,FALSE),0)+($AV195*'AUX-NIV3'!T$4))*$O195+IF($H195=AR$4,$P195,0)</f>
        <v>0</v>
      </c>
      <c r="AS195" s="395">
        <f>(IF($H195="x",VLOOKUP($I195,'AUX-NIV2'!$B:$X,'AUX-NIV1'!AS$3,FALSE),0)+($AV195*'AUX-NIV3'!U$4))*$O195+IF($H195=AS$4,$P195,0)</f>
        <v>0</v>
      </c>
      <c r="AT195" s="395">
        <f>(IF($H195="x",VLOOKUP($I195,'AUX-NIV2'!$B:$X,'AUX-NIV1'!AT$3,FALSE),0)+($AV195*'AUX-NIV3'!V$4))*$O195+IF($H195=AT$4,$P195,0)</f>
        <v>0</v>
      </c>
      <c r="AU195" s="395">
        <f>(IF($H195="x",VLOOKUP($I195,'AUX-NIV2'!$B:$X,'AUX-NIV1'!AU$3,FALSE),0)+($AV195*'AUX-NIV3'!W$4))*$O195+IF($H195=AU$4,$P195,0)</f>
        <v>0</v>
      </c>
      <c r="AV195" s="395">
        <f>+IF($H195="x",VLOOKUP($I195,'AUX-NIV2'!$B:$X,'AUX-NIV1'!AV$3,FALSE),0)</f>
        <v>0</v>
      </c>
    </row>
    <row r="196" spans="2:48">
      <c r="B196" s="324" t="s">
        <v>94</v>
      </c>
      <c r="C196" s="325" t="s">
        <v>1167</v>
      </c>
      <c r="D196" s="326" t="s">
        <v>1168</v>
      </c>
      <c r="E196" s="349">
        <f>IF(B196&lt;&gt;"",+SUMIF(Items!C:C,'AUX-NIV1'!B196,Items!H:H),"")</f>
        <v>2</v>
      </c>
      <c r="F196" s="349">
        <f t="shared" si="54"/>
        <v>97901.978339700348</v>
      </c>
      <c r="G196" s="349">
        <f t="shared" si="55"/>
        <v>195803.9566794007</v>
      </c>
      <c r="H196" s="1395" t="str">
        <f t="shared" si="65"/>
        <v>A</v>
      </c>
      <c r="I196" s="1375" t="s">
        <v>3204</v>
      </c>
      <c r="J196" s="350" t="str">
        <f>IF(B196&lt;&gt;"",+VLOOKUP(I196,Recursos!C:F,2,FALSE),"")</f>
        <v>Personal de Calidad</v>
      </c>
      <c r="K196" s="351" t="str">
        <f>IF(B196&lt;&gt;"",+VLOOKUP(I196,Recursos!C:F,3,FALSE),"")</f>
        <v>hh</v>
      </c>
      <c r="L196" s="1475">
        <f>IF(B196&lt;&gt;"",+VLOOKUP(I196,Recursos!C:F,4,FALSE),"")</f>
        <v>349.55714572359057</v>
      </c>
      <c r="M196" s="1493">
        <f t="shared" si="80"/>
        <v>190</v>
      </c>
      <c r="N196" s="1494">
        <f>Organig!X31</f>
        <v>0</v>
      </c>
      <c r="O196" s="1490">
        <f t="shared" si="79"/>
        <v>0</v>
      </c>
      <c r="P196" s="352">
        <f t="shared" si="66"/>
        <v>0</v>
      </c>
      <c r="Q196" s="349">
        <f t="shared" si="67"/>
        <v>0</v>
      </c>
      <c r="R196" s="353">
        <f t="shared" si="68"/>
        <v>0</v>
      </c>
      <c r="S196" s="354">
        <f t="shared" si="56"/>
        <v>97901.978339700348</v>
      </c>
      <c r="T196" s="354">
        <f t="shared" si="57"/>
        <v>0</v>
      </c>
      <c r="U196" s="355">
        <f t="shared" si="58"/>
        <v>0</v>
      </c>
      <c r="V196" s="355">
        <f t="shared" si="59"/>
        <v>0</v>
      </c>
      <c r="W196" s="355">
        <f t="shared" si="60"/>
        <v>0</v>
      </c>
      <c r="X196" s="355">
        <f t="shared" si="61"/>
        <v>0</v>
      </c>
      <c r="Y196" s="396"/>
      <c r="Z196" s="346" t="str">
        <f t="shared" si="69"/>
        <v>I-PERSONALA</v>
      </c>
      <c r="AA196" s="346" t="str">
        <f t="shared" si="70"/>
        <v>I-PERSONALE</v>
      </c>
      <c r="AB196" s="346" t="str">
        <f t="shared" si="71"/>
        <v>I-PERSONALM</v>
      </c>
      <c r="AC196" s="346" t="str">
        <f t="shared" si="72"/>
        <v>I-PERSONALT</v>
      </c>
      <c r="AD196" s="346" t="str">
        <f t="shared" si="73"/>
        <v>I-PERSONALS</v>
      </c>
      <c r="AE196" s="346" t="str">
        <f t="shared" si="74"/>
        <v>I-PERSONALX</v>
      </c>
      <c r="AF196" s="346" t="str">
        <f t="shared" si="75"/>
        <v>I-PERSONALA</v>
      </c>
      <c r="AG196" s="346">
        <f t="shared" si="62"/>
        <v>62</v>
      </c>
      <c r="AH196" s="346">
        <f>IF(B196&lt;&gt;"",+IF(H196="x",+VLOOKUP(I196,'AUX-NIV2'!B:AG,32,FALSE),0),"")</f>
        <v>0</v>
      </c>
      <c r="AI196" s="346" t="str">
        <f t="shared" si="76"/>
        <v>I-PERSONAL</v>
      </c>
      <c r="AK196" s="347">
        <f t="shared" si="63"/>
        <v>140</v>
      </c>
      <c r="AL196" s="348">
        <f t="shared" si="77"/>
        <v>201</v>
      </c>
      <c r="AM196" s="347">
        <f t="shared" si="78"/>
        <v>57</v>
      </c>
      <c r="AN196" s="382">
        <f>IF(AND(AH196&gt;0,B196&lt;&gt;""),VLOOKUP(I196,'AUX-NIV2'!$B:$AP,40,FALSE)*O196,0)</f>
        <v>0</v>
      </c>
      <c r="AO196" s="382">
        <f t="shared" si="64"/>
        <v>285</v>
      </c>
      <c r="AQ196" s="395">
        <f>(IF($H196="x",VLOOKUP($I196,'AUX-NIV2'!$B:$X,'AUX-NIV1'!AQ$3,FALSE),0)+($AV196*'AUX-NIV3'!S$4))*$O196+IF($H196=AQ$4,$P196,0)</f>
        <v>0</v>
      </c>
      <c r="AR196" s="395">
        <f>(IF($H196="x",VLOOKUP($I196,'AUX-NIV2'!$B:$X,'AUX-NIV1'!AR$3,FALSE),0)+($AV196*'AUX-NIV3'!T$4))*$O196+IF($H196=AR$4,$P196,0)</f>
        <v>0</v>
      </c>
      <c r="AS196" s="395">
        <f>(IF($H196="x",VLOOKUP($I196,'AUX-NIV2'!$B:$X,'AUX-NIV1'!AS$3,FALSE),0)+($AV196*'AUX-NIV3'!U$4))*$O196+IF($H196=AS$4,$P196,0)</f>
        <v>0</v>
      </c>
      <c r="AT196" s="395">
        <f>(IF($H196="x",VLOOKUP($I196,'AUX-NIV2'!$B:$X,'AUX-NIV1'!AT$3,FALSE),0)+($AV196*'AUX-NIV3'!V$4))*$O196+IF($H196=AT$4,$P196,0)</f>
        <v>0</v>
      </c>
      <c r="AU196" s="395">
        <f>(IF($H196="x",VLOOKUP($I196,'AUX-NIV2'!$B:$X,'AUX-NIV1'!AU$3,FALSE),0)+($AV196*'AUX-NIV3'!W$4))*$O196+IF($H196=AU$4,$P196,0)</f>
        <v>0</v>
      </c>
      <c r="AV196" s="395">
        <f>+IF($H196="x",VLOOKUP($I196,'AUX-NIV2'!$B:$X,'AUX-NIV1'!AV$3,FALSE),0)</f>
        <v>0</v>
      </c>
    </row>
    <row r="197" spans="2:48">
      <c r="B197" s="324" t="s">
        <v>94</v>
      </c>
      <c r="C197" s="325" t="s">
        <v>1167</v>
      </c>
      <c r="D197" s="326" t="s">
        <v>1168</v>
      </c>
      <c r="E197" s="349">
        <f>IF(B197&lt;&gt;"",+SUMIF(Items!C:C,'AUX-NIV1'!B197,Items!H:H),"")</f>
        <v>2</v>
      </c>
      <c r="F197" s="349">
        <f t="shared" si="54"/>
        <v>97901.978339700348</v>
      </c>
      <c r="G197" s="349">
        <f t="shared" si="55"/>
        <v>195803.9566794007</v>
      </c>
      <c r="H197" s="1395" t="str">
        <f t="shared" si="65"/>
        <v>A</v>
      </c>
      <c r="I197" s="1375" t="s">
        <v>3205</v>
      </c>
      <c r="J197" s="350" t="str">
        <f>IF(B197&lt;&gt;"",+VLOOKUP(I197,Recursos!C:F,2,FALSE),"")</f>
        <v>Personal de Medio Ambiente</v>
      </c>
      <c r="K197" s="351" t="str">
        <f>IF(B197&lt;&gt;"",+VLOOKUP(I197,Recursos!C:F,3,FALSE),"")</f>
        <v>hh</v>
      </c>
      <c r="L197" s="1475">
        <f>IF(B197&lt;&gt;"",+VLOOKUP(I197,Recursos!C:F,4,FALSE),"")</f>
        <v>349.55714572359057</v>
      </c>
      <c r="M197" s="1493">
        <f t="shared" si="80"/>
        <v>190</v>
      </c>
      <c r="N197" s="1494">
        <f>Organig!X35</f>
        <v>0</v>
      </c>
      <c r="O197" s="1490">
        <f t="shared" si="79"/>
        <v>0</v>
      </c>
      <c r="P197" s="352">
        <f t="shared" si="66"/>
        <v>0</v>
      </c>
      <c r="Q197" s="349">
        <f t="shared" si="67"/>
        <v>0</v>
      </c>
      <c r="R197" s="353">
        <f t="shared" si="68"/>
        <v>0</v>
      </c>
      <c r="S197" s="354">
        <f t="shared" si="56"/>
        <v>97901.978339700348</v>
      </c>
      <c r="T197" s="354">
        <f t="shared" si="57"/>
        <v>0</v>
      </c>
      <c r="U197" s="355">
        <f t="shared" si="58"/>
        <v>0</v>
      </c>
      <c r="V197" s="355">
        <f t="shared" si="59"/>
        <v>0</v>
      </c>
      <c r="W197" s="355">
        <f t="shared" si="60"/>
        <v>0</v>
      </c>
      <c r="X197" s="355">
        <f t="shared" si="61"/>
        <v>0</v>
      </c>
      <c r="Y197" s="396"/>
      <c r="Z197" s="346" t="str">
        <f t="shared" si="69"/>
        <v>I-PERSONALA</v>
      </c>
      <c r="AA197" s="346" t="str">
        <f t="shared" si="70"/>
        <v>I-PERSONALE</v>
      </c>
      <c r="AB197" s="346" t="str">
        <f t="shared" si="71"/>
        <v>I-PERSONALM</v>
      </c>
      <c r="AC197" s="346" t="str">
        <f t="shared" si="72"/>
        <v>I-PERSONALT</v>
      </c>
      <c r="AD197" s="346" t="str">
        <f t="shared" si="73"/>
        <v>I-PERSONALS</v>
      </c>
      <c r="AE197" s="346" t="str">
        <f t="shared" si="74"/>
        <v>I-PERSONALX</v>
      </c>
      <c r="AF197" s="346" t="str">
        <f t="shared" si="75"/>
        <v>I-PERSONALA</v>
      </c>
      <c r="AG197" s="346">
        <f t="shared" si="62"/>
        <v>62</v>
      </c>
      <c r="AH197" s="346">
        <f>IF(B197&lt;&gt;"",+IF(H197="x",+VLOOKUP(I197,'AUX-NIV2'!B:AG,32,FALSE),0),"")</f>
        <v>0</v>
      </c>
      <c r="AI197" s="346" t="str">
        <f t="shared" si="76"/>
        <v>I-PERSONAL</v>
      </c>
      <c r="AK197" s="347">
        <f t="shared" si="63"/>
        <v>140</v>
      </c>
      <c r="AL197" s="348">
        <f t="shared" si="77"/>
        <v>201</v>
      </c>
      <c r="AM197" s="347">
        <f t="shared" si="78"/>
        <v>58</v>
      </c>
      <c r="AN197" s="382">
        <f>IF(AND(AH197&gt;0,B197&lt;&gt;""),VLOOKUP(I197,'AUX-NIV2'!$B:$AP,40,FALSE)*O197,0)</f>
        <v>0</v>
      </c>
      <c r="AO197" s="382">
        <f t="shared" si="64"/>
        <v>285</v>
      </c>
      <c r="AQ197" s="395">
        <f>(IF($H197="x",VLOOKUP($I197,'AUX-NIV2'!$B:$X,'AUX-NIV1'!AQ$3,FALSE),0)+($AV197*'AUX-NIV3'!S$4))*$O197+IF($H197=AQ$4,$P197,0)</f>
        <v>0</v>
      </c>
      <c r="AR197" s="395">
        <f>(IF($H197="x",VLOOKUP($I197,'AUX-NIV2'!$B:$X,'AUX-NIV1'!AR$3,FALSE),0)+($AV197*'AUX-NIV3'!T$4))*$O197+IF($H197=AR$4,$P197,0)</f>
        <v>0</v>
      </c>
      <c r="AS197" s="395">
        <f>(IF($H197="x",VLOOKUP($I197,'AUX-NIV2'!$B:$X,'AUX-NIV1'!AS$3,FALSE),0)+($AV197*'AUX-NIV3'!U$4))*$O197+IF($H197=AS$4,$P197,0)</f>
        <v>0</v>
      </c>
      <c r="AT197" s="395">
        <f>(IF($H197="x",VLOOKUP($I197,'AUX-NIV2'!$B:$X,'AUX-NIV1'!AT$3,FALSE),0)+($AV197*'AUX-NIV3'!V$4))*$O197+IF($H197=AT$4,$P197,0)</f>
        <v>0</v>
      </c>
      <c r="AU197" s="395">
        <f>(IF($H197="x",VLOOKUP($I197,'AUX-NIV2'!$B:$X,'AUX-NIV1'!AU$3,FALSE),0)+($AV197*'AUX-NIV3'!W$4))*$O197+IF($H197=AU$4,$P197,0)</f>
        <v>0</v>
      </c>
      <c r="AV197" s="395">
        <f>+IF($H197="x",VLOOKUP($I197,'AUX-NIV2'!$B:$X,'AUX-NIV1'!AV$3,FALSE),0)</f>
        <v>0</v>
      </c>
    </row>
    <row r="198" spans="2:48">
      <c r="B198" s="324" t="s">
        <v>94</v>
      </c>
      <c r="C198" s="325" t="s">
        <v>1167</v>
      </c>
      <c r="D198" s="326" t="s">
        <v>1168</v>
      </c>
      <c r="E198" s="349">
        <f>IF(B198&lt;&gt;"",+SUMIF(Items!C:C,'AUX-NIV1'!B198,Items!H:H),"")</f>
        <v>2</v>
      </c>
      <c r="F198" s="349">
        <f t="shared" si="54"/>
        <v>97901.978339700348</v>
      </c>
      <c r="G198" s="349">
        <f t="shared" si="55"/>
        <v>195803.9566794007</v>
      </c>
      <c r="H198" s="1395" t="str">
        <f t="shared" si="65"/>
        <v>A</v>
      </c>
      <c r="I198" s="1375" t="s">
        <v>3206</v>
      </c>
      <c r="J198" s="350" t="str">
        <f>IF(B198&lt;&gt;"",+VLOOKUP(I198,Recursos!C:F,2,FALSE),"")</f>
        <v>Laboratoristas</v>
      </c>
      <c r="K198" s="351" t="str">
        <f>IF(B198&lt;&gt;"",+VLOOKUP(I198,Recursos!C:F,3,FALSE),"")</f>
        <v>hh</v>
      </c>
      <c r="L198" s="1475">
        <f>IF(B198&lt;&gt;"",+VLOOKUP(I198,Recursos!C:F,4,FALSE),"")</f>
        <v>349.55714572359057</v>
      </c>
      <c r="M198" s="1493">
        <f t="shared" si="80"/>
        <v>190</v>
      </c>
      <c r="N198" s="1494">
        <f>Organig!X39</f>
        <v>0</v>
      </c>
      <c r="O198" s="1490">
        <f t="shared" si="79"/>
        <v>0</v>
      </c>
      <c r="P198" s="352">
        <f t="shared" si="66"/>
        <v>0</v>
      </c>
      <c r="Q198" s="349">
        <f t="shared" si="67"/>
        <v>0</v>
      </c>
      <c r="R198" s="353">
        <f t="shared" si="68"/>
        <v>0</v>
      </c>
      <c r="S198" s="354">
        <f t="shared" si="56"/>
        <v>97901.978339700348</v>
      </c>
      <c r="T198" s="354">
        <f t="shared" si="57"/>
        <v>0</v>
      </c>
      <c r="U198" s="355">
        <f t="shared" si="58"/>
        <v>0</v>
      </c>
      <c r="V198" s="355">
        <f t="shared" si="59"/>
        <v>0</v>
      </c>
      <c r="W198" s="355">
        <f t="shared" si="60"/>
        <v>0</v>
      </c>
      <c r="X198" s="355">
        <f t="shared" si="61"/>
        <v>0</v>
      </c>
      <c r="Y198" s="396"/>
      <c r="Z198" s="346" t="str">
        <f t="shared" si="69"/>
        <v>I-PERSONALA</v>
      </c>
      <c r="AA198" s="346" t="str">
        <f t="shared" si="70"/>
        <v>I-PERSONALE</v>
      </c>
      <c r="AB198" s="346" t="str">
        <f t="shared" si="71"/>
        <v>I-PERSONALM</v>
      </c>
      <c r="AC198" s="346" t="str">
        <f t="shared" si="72"/>
        <v>I-PERSONALT</v>
      </c>
      <c r="AD198" s="346" t="str">
        <f t="shared" si="73"/>
        <v>I-PERSONALS</v>
      </c>
      <c r="AE198" s="346" t="str">
        <f t="shared" si="74"/>
        <v>I-PERSONALX</v>
      </c>
      <c r="AF198" s="346" t="str">
        <f t="shared" si="75"/>
        <v>I-PERSONALA</v>
      </c>
      <c r="AG198" s="346">
        <f t="shared" si="62"/>
        <v>62</v>
      </c>
      <c r="AH198" s="346">
        <f>IF(B198&lt;&gt;"",+IF(H198="x",+VLOOKUP(I198,'AUX-NIV2'!B:AG,32,FALSE),0),"")</f>
        <v>0</v>
      </c>
      <c r="AI198" s="346" t="str">
        <f t="shared" si="76"/>
        <v>I-PERSONAL</v>
      </c>
      <c r="AK198" s="347">
        <f t="shared" si="63"/>
        <v>140</v>
      </c>
      <c r="AL198" s="348">
        <f t="shared" si="77"/>
        <v>201</v>
      </c>
      <c r="AM198" s="347">
        <f t="shared" si="78"/>
        <v>59</v>
      </c>
      <c r="AN198" s="382">
        <f>IF(AND(AH198&gt;0,B198&lt;&gt;""),VLOOKUP(I198,'AUX-NIV2'!$B:$AP,40,FALSE)*O198,0)</f>
        <v>0</v>
      </c>
      <c r="AO198" s="382">
        <f t="shared" si="64"/>
        <v>285</v>
      </c>
      <c r="AQ198" s="395">
        <f>(IF($H198="x",VLOOKUP($I198,'AUX-NIV2'!$B:$X,'AUX-NIV1'!AQ$3,FALSE),0)+($AV198*'AUX-NIV3'!S$4))*$O198+IF($H198=AQ$4,$P198,0)</f>
        <v>0</v>
      </c>
      <c r="AR198" s="395">
        <f>(IF($H198="x",VLOOKUP($I198,'AUX-NIV2'!$B:$X,'AUX-NIV1'!AR$3,FALSE),0)+($AV198*'AUX-NIV3'!T$4))*$O198+IF($H198=AR$4,$P198,0)</f>
        <v>0</v>
      </c>
      <c r="AS198" s="395">
        <f>(IF($H198="x",VLOOKUP($I198,'AUX-NIV2'!$B:$X,'AUX-NIV1'!AS$3,FALSE),0)+($AV198*'AUX-NIV3'!U$4))*$O198+IF($H198=AS$4,$P198,0)</f>
        <v>0</v>
      </c>
      <c r="AT198" s="395">
        <f>(IF($H198="x",VLOOKUP($I198,'AUX-NIV2'!$B:$X,'AUX-NIV1'!AT$3,FALSE),0)+($AV198*'AUX-NIV3'!V$4))*$O198+IF($H198=AT$4,$P198,0)</f>
        <v>0</v>
      </c>
      <c r="AU198" s="395">
        <f>(IF($H198="x",VLOOKUP($I198,'AUX-NIV2'!$B:$X,'AUX-NIV1'!AU$3,FALSE),0)+($AV198*'AUX-NIV3'!W$4))*$O198+IF($H198=AU$4,$P198,0)</f>
        <v>0</v>
      </c>
      <c r="AV198" s="395">
        <f>+IF($H198="x",VLOOKUP($I198,'AUX-NIV2'!$B:$X,'AUX-NIV1'!AV$3,FALSE),0)</f>
        <v>0</v>
      </c>
    </row>
    <row r="199" spans="2:48">
      <c r="B199" s="324" t="s">
        <v>94</v>
      </c>
      <c r="C199" s="325" t="s">
        <v>1167</v>
      </c>
      <c r="D199" s="326" t="s">
        <v>1168</v>
      </c>
      <c r="E199" s="349">
        <f>IF(B199&lt;&gt;"",+SUMIF(Items!C:C,'AUX-NIV1'!B199,Items!H:H),"")</f>
        <v>2</v>
      </c>
      <c r="F199" s="349">
        <f t="shared" ref="F199:F262" si="81">IF(B199&lt;&gt;"",+SUMIF(B:B,B199,P:P),"")</f>
        <v>97901.978339700348</v>
      </c>
      <c r="G199" s="349">
        <f t="shared" ref="G199:G262" si="82">IF(B199&lt;&gt;"",+SUMIF(B:B,B199,R:R),"")</f>
        <v>195803.9566794007</v>
      </c>
      <c r="H199" s="1395" t="str">
        <f t="shared" si="65"/>
        <v>A</v>
      </c>
      <c r="I199" s="1375" t="s">
        <v>3207</v>
      </c>
      <c r="J199" s="350" t="str">
        <f>IF(B199&lt;&gt;"",+VLOOKUP(I199,Recursos!C:F,2,FALSE),"")</f>
        <v>Auxiliares</v>
      </c>
      <c r="K199" s="351" t="str">
        <f>IF(B199&lt;&gt;"",+VLOOKUP(I199,Recursos!C:F,3,FALSE),"")</f>
        <v>hh</v>
      </c>
      <c r="L199" s="1475">
        <f>IF(B199&lt;&gt;"",+VLOOKUP(I199,Recursos!C:F,4,FALSE),"")</f>
        <v>281.15254184984235</v>
      </c>
      <c r="M199" s="1493">
        <f>M198</f>
        <v>190</v>
      </c>
      <c r="N199" s="1494">
        <f>Organig!X43</f>
        <v>0</v>
      </c>
      <c r="O199" s="1490">
        <f>+M199*N199</f>
        <v>0</v>
      </c>
      <c r="P199" s="352">
        <f t="shared" si="66"/>
        <v>0</v>
      </c>
      <c r="Q199" s="349">
        <f t="shared" si="67"/>
        <v>0</v>
      </c>
      <c r="R199" s="353">
        <f t="shared" si="68"/>
        <v>0</v>
      </c>
      <c r="S199" s="354">
        <f t="shared" ref="S199:S262" si="83">IF(B199&lt;&gt;"",+SUMIF($AF:$AF,Z199,$P:$P),"")</f>
        <v>97901.978339700348</v>
      </c>
      <c r="T199" s="354">
        <f t="shared" ref="T199:T262" si="84">IF(B199&lt;&gt;"",+SUMIF($AF:$AF,AA199,$P:$P),"")</f>
        <v>0</v>
      </c>
      <c r="U199" s="355">
        <f t="shared" ref="U199:U262" si="85">IF(B199&lt;&gt;"",+SUMIF($AF:$AF,AB199,$P:$P),"")</f>
        <v>0</v>
      </c>
      <c r="V199" s="355">
        <f t="shared" ref="V199:V262" si="86">IF(B199&lt;&gt;"",+SUMIF($AF:$AF,AC199,$P:$P),"")</f>
        <v>0</v>
      </c>
      <c r="W199" s="355">
        <f t="shared" ref="W199:W262" si="87">IF(B199&lt;&gt;"",+SUMIF($AF:$AF,AD199,$P:$P),"")</f>
        <v>0</v>
      </c>
      <c r="X199" s="355">
        <f t="shared" ref="X199:X262" si="88">IF(B199&lt;&gt;"",+SUMIF($AF:$AF,AE199,$P:$P),"")</f>
        <v>0</v>
      </c>
      <c r="Y199" s="396"/>
      <c r="Z199" s="346" t="str">
        <f t="shared" si="69"/>
        <v>I-PERSONALA</v>
      </c>
      <c r="AA199" s="346" t="str">
        <f t="shared" si="70"/>
        <v>I-PERSONALE</v>
      </c>
      <c r="AB199" s="346" t="str">
        <f t="shared" si="71"/>
        <v>I-PERSONALM</v>
      </c>
      <c r="AC199" s="346" t="str">
        <f t="shared" si="72"/>
        <v>I-PERSONALT</v>
      </c>
      <c r="AD199" s="346" t="str">
        <f t="shared" si="73"/>
        <v>I-PERSONALS</v>
      </c>
      <c r="AE199" s="346" t="str">
        <f t="shared" si="74"/>
        <v>I-PERSONALX</v>
      </c>
      <c r="AF199" s="346" t="str">
        <f t="shared" si="75"/>
        <v>I-PERSONALA</v>
      </c>
      <c r="AG199" s="346">
        <f t="shared" ref="AG199:AG262" si="89">IF(B199&lt;&gt;"",+COUNTIF(B:B,B199),"")</f>
        <v>62</v>
      </c>
      <c r="AH199" s="346">
        <f>IF(B199&lt;&gt;"",+IF(H199="x",+VLOOKUP(I199,'AUX-NIV2'!B:AG,32,FALSE),0),"")</f>
        <v>0</v>
      </c>
      <c r="AI199" s="346" t="str">
        <f t="shared" si="76"/>
        <v>I-PERSONAL</v>
      </c>
      <c r="AK199" s="347">
        <f t="shared" ref="AK199:AK262" si="90">IF(B199&lt;&gt;"",+MATCH(B199,B:B,0),"")</f>
        <v>140</v>
      </c>
      <c r="AL199" s="348">
        <f t="shared" si="77"/>
        <v>201</v>
      </c>
      <c r="AM199" s="347">
        <f t="shared" si="78"/>
        <v>60</v>
      </c>
      <c r="AN199" s="382">
        <f>IF(AND(AH199&gt;0,B199&lt;&gt;""),VLOOKUP(I199,'AUX-NIV2'!$B:$AP,40,FALSE)*O199,0)</f>
        <v>0</v>
      </c>
      <c r="AO199" s="382">
        <f t="shared" ref="AO199:AO262" si="91">+IF(B199&lt;&gt;"",SUMIF(AF:AF,Z199,O:O)+SUMIF(Z:Z,Z199,AN:AN),0)</f>
        <v>285</v>
      </c>
      <c r="AQ199" s="395">
        <f>(IF($H199="x",VLOOKUP($I199,'AUX-NIV2'!$B:$X,'AUX-NIV1'!AQ$3,FALSE),0)+($AV199*'AUX-NIV3'!S$4))*$O199+IF($H199=AQ$4,$P199,0)</f>
        <v>0</v>
      </c>
      <c r="AR199" s="395">
        <f>(IF($H199="x",VLOOKUP($I199,'AUX-NIV2'!$B:$X,'AUX-NIV1'!AR$3,FALSE),0)+($AV199*'AUX-NIV3'!T$4))*$O199+IF($H199=AR$4,$P199,0)</f>
        <v>0</v>
      </c>
      <c r="AS199" s="395">
        <f>(IF($H199="x",VLOOKUP($I199,'AUX-NIV2'!$B:$X,'AUX-NIV1'!AS$3,FALSE),0)+($AV199*'AUX-NIV3'!U$4))*$O199+IF($H199=AS$4,$P199,0)</f>
        <v>0</v>
      </c>
      <c r="AT199" s="395">
        <f>(IF($H199="x",VLOOKUP($I199,'AUX-NIV2'!$B:$X,'AUX-NIV1'!AT$3,FALSE),0)+($AV199*'AUX-NIV3'!V$4))*$O199+IF($H199=AT$4,$P199,0)</f>
        <v>0</v>
      </c>
      <c r="AU199" s="395">
        <f>(IF($H199="x",VLOOKUP($I199,'AUX-NIV2'!$B:$X,'AUX-NIV1'!AU$3,FALSE),0)+($AV199*'AUX-NIV3'!W$4))*$O199+IF($H199=AU$4,$P199,0)</f>
        <v>0</v>
      </c>
      <c r="AV199" s="395">
        <f>+IF($H199="x",VLOOKUP($I199,'AUX-NIV2'!$B:$X,'AUX-NIV1'!AV$3,FALSE),0)</f>
        <v>0</v>
      </c>
    </row>
    <row r="200" spans="2:48">
      <c r="B200" s="324" t="s">
        <v>94</v>
      </c>
      <c r="C200" s="325" t="s">
        <v>1167</v>
      </c>
      <c r="D200" s="326" t="s">
        <v>1168</v>
      </c>
      <c r="E200" s="349">
        <f>IF(B200&lt;&gt;"",+SUMIF(Items!C:C,'AUX-NIV1'!B200,Items!H:H),"")</f>
        <v>2</v>
      </c>
      <c r="F200" s="349">
        <f t="shared" si="81"/>
        <v>97901.978339700348</v>
      </c>
      <c r="G200" s="349">
        <f t="shared" si="82"/>
        <v>195803.9566794007</v>
      </c>
      <c r="H200" s="1395" t="str">
        <f t="shared" ref="H200:H271" si="92">IF(B200&lt;&gt;"",+LEFT(I200,1),"")</f>
        <v>E</v>
      </c>
      <c r="I200" s="1375" t="s">
        <v>1582</v>
      </c>
      <c r="J200" s="350" t="str">
        <f>IF(B200&lt;&gt;"",+VLOOKUP(I200,Recursos!C:F,2,FALSE),"")</f>
        <v>CAMIONETA CABINA DOBLE 4x4</v>
      </c>
      <c r="K200" s="351" t="str">
        <f>IF(B200&lt;&gt;"",+VLOOKUP(I200,Recursos!C:F,3,FALSE),"")</f>
        <v>HR</v>
      </c>
      <c r="L200" s="1475">
        <f>IF(B200&lt;&gt;"",+VLOOKUP(I200,Recursos!C:F,4,FALSE),"")</f>
        <v>924.5053333333334</v>
      </c>
      <c r="M200" s="1493">
        <v>50</v>
      </c>
      <c r="N200" s="1494">
        <f>Organig!H62</f>
        <v>0</v>
      </c>
      <c r="O200" s="1490">
        <f t="shared" si="79"/>
        <v>0</v>
      </c>
      <c r="P200" s="352">
        <f t="shared" ref="P200:P271" si="93">IF(B200&lt;&gt;"",O200*L200,"")</f>
        <v>0</v>
      </c>
      <c r="Q200" s="349">
        <f t="shared" ref="Q200:Q271" si="94">IF(B200&lt;&gt;"",+O200*E200,"")</f>
        <v>0</v>
      </c>
      <c r="R200" s="353">
        <f t="shared" ref="R200:R271" si="95">IF(B200&lt;&gt;"",Q200*L200,"")</f>
        <v>0</v>
      </c>
      <c r="S200" s="354">
        <f t="shared" si="83"/>
        <v>97901.978339700348</v>
      </c>
      <c r="T200" s="354">
        <f t="shared" si="84"/>
        <v>0</v>
      </c>
      <c r="U200" s="355">
        <f t="shared" si="85"/>
        <v>0</v>
      </c>
      <c r="V200" s="355">
        <f t="shared" si="86"/>
        <v>0</v>
      </c>
      <c r="W200" s="355">
        <f t="shared" si="87"/>
        <v>0</v>
      </c>
      <c r="X200" s="355">
        <f t="shared" si="88"/>
        <v>0</v>
      </c>
      <c r="Y200" s="396"/>
      <c r="Z200" s="346" t="str">
        <f t="shared" ref="Z200:Z271" si="96">IF(B200&lt;&gt;"",+$B200&amp;"A","")</f>
        <v>I-PERSONALA</v>
      </c>
      <c r="AA200" s="346" t="str">
        <f t="shared" ref="AA200:AA271" si="97">IF(B200&lt;&gt;"",+$B200&amp;"E","")</f>
        <v>I-PERSONALE</v>
      </c>
      <c r="AB200" s="346" t="str">
        <f t="shared" ref="AB200:AB271" si="98">IF(B200&lt;&gt;"",++$B200&amp;"M","")</f>
        <v>I-PERSONALM</v>
      </c>
      <c r="AC200" s="346" t="str">
        <f t="shared" ref="AC200:AC271" si="99">IF(B200&lt;&gt;"",+$B200&amp;"T","")</f>
        <v>I-PERSONALT</v>
      </c>
      <c r="AD200" s="346" t="str">
        <f t="shared" ref="AD200:AD271" si="100">IF(B200&lt;&gt;"",+$B200&amp;"S","")</f>
        <v>I-PERSONALS</v>
      </c>
      <c r="AE200" s="346" t="str">
        <f t="shared" ref="AE200:AE271" si="101">IF(B200&lt;&gt;"",+$B200&amp;"X","")</f>
        <v>I-PERSONALX</v>
      </c>
      <c r="AF200" s="346" t="str">
        <f t="shared" ref="AF200:AF271" si="102">IF(B200&lt;&gt;"",+B200&amp;H200,"")</f>
        <v>I-PERSONALE</v>
      </c>
      <c r="AG200" s="346">
        <f t="shared" si="89"/>
        <v>62</v>
      </c>
      <c r="AH200" s="346">
        <f>IF(B200&lt;&gt;"",+IF(H200="x",+VLOOKUP(I200,'AUX-NIV2'!B:AG,32,FALSE),0),"")</f>
        <v>0</v>
      </c>
      <c r="AI200" s="346" t="str">
        <f t="shared" ref="AI200:AI271" si="103">IF(B200&lt;&gt;"",+B200,"")</f>
        <v>I-PERSONAL</v>
      </c>
      <c r="AK200" s="347">
        <f t="shared" si="90"/>
        <v>140</v>
      </c>
      <c r="AL200" s="348">
        <f t="shared" ref="AL200:AL271" si="104">IF(B200&lt;&gt;"",+AK200+AG200-1,"")</f>
        <v>201</v>
      </c>
      <c r="AM200" s="347">
        <f t="shared" ref="AM200:AM271" si="105">IF(B200&lt;&gt;"",IF(B200=B199,1+AM199,1),"")</f>
        <v>61</v>
      </c>
      <c r="AN200" s="382">
        <f>IF(AND(AH200&gt;0,B200&lt;&gt;""),VLOOKUP(I200,'AUX-NIV2'!$B:$AP,40,FALSE)*O200,0)</f>
        <v>0</v>
      </c>
      <c r="AO200" s="382">
        <f t="shared" si="91"/>
        <v>285</v>
      </c>
      <c r="AQ200" s="395">
        <f>(IF($H200="x",VLOOKUP($I200,'AUX-NIV2'!$B:$X,'AUX-NIV1'!AQ$3,FALSE),0)+($AV200*'AUX-NIV3'!S$4))*$O200+IF($H200=AQ$4,$P200,0)</f>
        <v>0</v>
      </c>
      <c r="AR200" s="395">
        <f>(IF($H200="x",VLOOKUP($I200,'AUX-NIV2'!$B:$X,'AUX-NIV1'!AR$3,FALSE),0)+($AV200*'AUX-NIV3'!T$4))*$O200+IF($H200=AR$4,$P200,0)</f>
        <v>0</v>
      </c>
      <c r="AS200" s="395">
        <f>(IF($H200="x",VLOOKUP($I200,'AUX-NIV2'!$B:$X,'AUX-NIV1'!AS$3,FALSE),0)+($AV200*'AUX-NIV3'!U$4))*$O200+IF($H200=AS$4,$P200,0)</f>
        <v>0</v>
      </c>
      <c r="AT200" s="395">
        <f>(IF($H200="x",VLOOKUP($I200,'AUX-NIV2'!$B:$X,'AUX-NIV1'!AT$3,FALSE),0)+($AV200*'AUX-NIV3'!V$4))*$O200+IF($H200=AT$4,$P200,0)</f>
        <v>0</v>
      </c>
      <c r="AU200" s="395">
        <f>(IF($H200="x",VLOOKUP($I200,'AUX-NIV2'!$B:$X,'AUX-NIV1'!AU$3,FALSE),0)+($AV200*'AUX-NIV3'!W$4))*$O200+IF($H200=AU$4,$P200,0)</f>
        <v>0</v>
      </c>
      <c r="AV200" s="395">
        <f>+IF($H200="x",VLOOKUP($I200,'AUX-NIV2'!$B:$X,'AUX-NIV1'!AV$3,FALSE),0)</f>
        <v>0</v>
      </c>
    </row>
    <row r="201" spans="2:48" ht="13.8" thickBot="1">
      <c r="B201" s="324" t="s">
        <v>94</v>
      </c>
      <c r="C201" s="325" t="s">
        <v>1167</v>
      </c>
      <c r="D201" s="326" t="s">
        <v>1168</v>
      </c>
      <c r="E201" s="349">
        <f>IF(B201&lt;&gt;"",+SUMIF(Items!C:C,'AUX-NIV1'!B201,Items!H:H),"")</f>
        <v>2</v>
      </c>
      <c r="F201" s="349">
        <f t="shared" si="81"/>
        <v>97901.978339700348</v>
      </c>
      <c r="G201" s="349">
        <f t="shared" si="82"/>
        <v>195803.9566794007</v>
      </c>
      <c r="H201" s="1395" t="str">
        <f t="shared" si="92"/>
        <v>M</v>
      </c>
      <c r="I201" s="1375" t="s">
        <v>451</v>
      </c>
      <c r="J201" s="350" t="str">
        <f>IF(B201&lt;&gt;"",+VLOOKUP(I201,Recursos!C:F,2,FALSE),"")</f>
        <v>ALQUILER DE CASAS</v>
      </c>
      <c r="K201" s="351" t="str">
        <f>IF(B201&lt;&gt;"",+VLOOKUP(I201,Recursos!C:F,3,FALSE),"")</f>
        <v>MES</v>
      </c>
      <c r="L201" s="1475">
        <f>IF(B201&lt;&gt;"",+VLOOKUP(I201,Recursos!C:F,4,FALSE),"")</f>
        <v>25000</v>
      </c>
      <c r="M201" s="1495">
        <v>1</v>
      </c>
      <c r="N201" s="1496">
        <f>+Organig!D63+Organig!H63+Organig!L63+Organig!P63+Organig!T63+Organig!X63</f>
        <v>0</v>
      </c>
      <c r="O201" s="1490">
        <f t="shared" si="79"/>
        <v>0</v>
      </c>
      <c r="P201" s="352">
        <f t="shared" si="93"/>
        <v>0</v>
      </c>
      <c r="Q201" s="349">
        <f t="shared" si="94"/>
        <v>0</v>
      </c>
      <c r="R201" s="353">
        <f t="shared" si="95"/>
        <v>0</v>
      </c>
      <c r="S201" s="354">
        <f t="shared" si="83"/>
        <v>97901.978339700348</v>
      </c>
      <c r="T201" s="354">
        <f t="shared" si="84"/>
        <v>0</v>
      </c>
      <c r="U201" s="355">
        <f t="shared" si="85"/>
        <v>0</v>
      </c>
      <c r="V201" s="355">
        <f t="shared" si="86"/>
        <v>0</v>
      </c>
      <c r="W201" s="355">
        <f t="shared" si="87"/>
        <v>0</v>
      </c>
      <c r="X201" s="355">
        <f t="shared" si="88"/>
        <v>0</v>
      </c>
      <c r="Y201" s="396"/>
      <c r="Z201" s="346" t="str">
        <f t="shared" si="96"/>
        <v>I-PERSONALA</v>
      </c>
      <c r="AA201" s="346" t="str">
        <f t="shared" si="97"/>
        <v>I-PERSONALE</v>
      </c>
      <c r="AB201" s="346" t="str">
        <f t="shared" si="98"/>
        <v>I-PERSONALM</v>
      </c>
      <c r="AC201" s="346" t="str">
        <f t="shared" si="99"/>
        <v>I-PERSONALT</v>
      </c>
      <c r="AD201" s="346" t="str">
        <f t="shared" si="100"/>
        <v>I-PERSONALS</v>
      </c>
      <c r="AE201" s="346" t="str">
        <f t="shared" si="101"/>
        <v>I-PERSONALX</v>
      </c>
      <c r="AF201" s="346" t="str">
        <f t="shared" si="102"/>
        <v>I-PERSONALM</v>
      </c>
      <c r="AG201" s="346">
        <f t="shared" si="89"/>
        <v>62</v>
      </c>
      <c r="AH201" s="346">
        <f>IF(B201&lt;&gt;"",+IF(H201="x",+VLOOKUP(I201,'AUX-NIV2'!B:AG,32,FALSE),0),"")</f>
        <v>0</v>
      </c>
      <c r="AI201" s="346" t="str">
        <f t="shared" si="103"/>
        <v>I-PERSONAL</v>
      </c>
      <c r="AK201" s="347">
        <f t="shared" si="90"/>
        <v>140</v>
      </c>
      <c r="AL201" s="348">
        <f t="shared" si="104"/>
        <v>201</v>
      </c>
      <c r="AM201" s="347">
        <f t="shared" si="105"/>
        <v>62</v>
      </c>
      <c r="AN201" s="382">
        <f>IF(AND(AH201&gt;0,B201&lt;&gt;""),VLOOKUP(I201,'AUX-NIV2'!$B:$AP,40,FALSE)*O201,0)</f>
        <v>0</v>
      </c>
      <c r="AO201" s="382">
        <f t="shared" si="91"/>
        <v>285</v>
      </c>
      <c r="AQ201" s="395">
        <f>(IF($H201="x",VLOOKUP($I201,'AUX-NIV2'!$B:$X,'AUX-NIV1'!AQ$3,FALSE),0)+($AV201*'AUX-NIV3'!S$4))*$O201+IF($H201=AQ$4,$P201,0)</f>
        <v>0</v>
      </c>
      <c r="AR201" s="395">
        <f>(IF($H201="x",VLOOKUP($I201,'AUX-NIV2'!$B:$X,'AUX-NIV1'!AR$3,FALSE),0)+($AV201*'AUX-NIV3'!T$4))*$O201+IF($H201=AR$4,$P201,0)</f>
        <v>0</v>
      </c>
      <c r="AS201" s="395">
        <f>(IF($H201="x",VLOOKUP($I201,'AUX-NIV2'!$B:$X,'AUX-NIV1'!AS$3,FALSE),0)+($AV201*'AUX-NIV3'!U$4))*$O201+IF($H201=AS$4,$P201,0)</f>
        <v>0</v>
      </c>
      <c r="AT201" s="395">
        <f>(IF($H201="x",VLOOKUP($I201,'AUX-NIV2'!$B:$X,'AUX-NIV1'!AT$3,FALSE),0)+($AV201*'AUX-NIV3'!V$4))*$O201+IF($H201=AT$4,$P201,0)</f>
        <v>0</v>
      </c>
      <c r="AU201" s="395">
        <f>(IF($H201="x",VLOOKUP($I201,'AUX-NIV2'!$B:$X,'AUX-NIV1'!AU$3,FALSE),0)+($AV201*'AUX-NIV3'!W$4))*$O201+IF($H201=AU$4,$P201,0)</f>
        <v>0</v>
      </c>
      <c r="AV201" s="395">
        <f>+IF($H201="x",VLOOKUP($I201,'AUX-NIV2'!$B:$X,'AUX-NIV1'!AV$3,FALSE),0)</f>
        <v>0</v>
      </c>
    </row>
    <row r="202" spans="2:48" ht="14.4" thickTop="1" thickBot="1">
      <c r="B202" s="324" t="s">
        <v>95</v>
      </c>
      <c r="C202" s="325" t="s">
        <v>1169</v>
      </c>
      <c r="D202" s="326" t="s">
        <v>1168</v>
      </c>
      <c r="E202" s="349">
        <f>IF(B202&lt;&gt;"",+SUMIF(Items!C:C,'AUX-NIV1'!B202,Items!H:H),"")</f>
        <v>0</v>
      </c>
      <c r="F202" s="349">
        <f t="shared" si="81"/>
        <v>0</v>
      </c>
      <c r="G202" s="349">
        <f t="shared" si="82"/>
        <v>0</v>
      </c>
      <c r="H202" s="1395" t="str">
        <f t="shared" si="92"/>
        <v>S</v>
      </c>
      <c r="I202" s="1375" t="s">
        <v>690</v>
      </c>
      <c r="J202" s="350" t="str">
        <f>IF(B202&lt;&gt;"",+VLOOKUP(I202,Recursos!C:F,2,FALSE),"")</f>
        <v>ASESORIAS EN OBRADORES</v>
      </c>
      <c r="K202" s="351" t="str">
        <f>IF(B202&lt;&gt;"",+VLOOKUP(I202,Recursos!C:F,3,FALSE),"")</f>
        <v>MES</v>
      </c>
      <c r="L202" s="1475">
        <f>IF(B202&lt;&gt;"",+VLOOKUP(I202,Recursos!C:F,4,FALSE),"")</f>
        <v>1000</v>
      </c>
      <c r="M202" s="1497">
        <v>0</v>
      </c>
      <c r="N202" s="1498"/>
      <c r="O202" s="1490">
        <f>M202</f>
        <v>0</v>
      </c>
      <c r="P202" s="352">
        <f t="shared" si="93"/>
        <v>0</v>
      </c>
      <c r="Q202" s="349">
        <f t="shared" si="94"/>
        <v>0</v>
      </c>
      <c r="R202" s="353">
        <f t="shared" si="95"/>
        <v>0</v>
      </c>
      <c r="S202" s="354">
        <f t="shared" si="83"/>
        <v>0</v>
      </c>
      <c r="T202" s="354">
        <f t="shared" si="84"/>
        <v>0</v>
      </c>
      <c r="U202" s="355">
        <f t="shared" si="85"/>
        <v>0</v>
      </c>
      <c r="V202" s="355">
        <f t="shared" si="86"/>
        <v>0</v>
      </c>
      <c r="W202" s="355">
        <f t="shared" si="87"/>
        <v>0</v>
      </c>
      <c r="X202" s="355">
        <f t="shared" si="88"/>
        <v>0</v>
      </c>
      <c r="Y202" s="396"/>
      <c r="Z202" s="346" t="str">
        <f t="shared" si="96"/>
        <v>I-ASESORA</v>
      </c>
      <c r="AA202" s="346" t="str">
        <f t="shared" si="97"/>
        <v>I-ASESORE</v>
      </c>
      <c r="AB202" s="346" t="str">
        <f t="shared" si="98"/>
        <v>I-ASESORM</v>
      </c>
      <c r="AC202" s="346" t="str">
        <f t="shared" si="99"/>
        <v>I-ASESORT</v>
      </c>
      <c r="AD202" s="346" t="str">
        <f t="shared" si="100"/>
        <v>I-ASESORS</v>
      </c>
      <c r="AE202" s="346" t="str">
        <f t="shared" si="101"/>
        <v>I-ASESORX</v>
      </c>
      <c r="AF202" s="346" t="str">
        <f t="shared" si="102"/>
        <v>I-ASESORS</v>
      </c>
      <c r="AG202" s="346">
        <f t="shared" si="89"/>
        <v>1</v>
      </c>
      <c r="AH202" s="346">
        <f>IF(B202&lt;&gt;"",+IF(H202="x",+VLOOKUP(I202,'AUX-NIV2'!B:AG,32,FALSE),0),"")</f>
        <v>0</v>
      </c>
      <c r="AI202" s="346" t="str">
        <f t="shared" si="103"/>
        <v>I-ASESOR</v>
      </c>
      <c r="AK202" s="347">
        <f t="shared" si="90"/>
        <v>202</v>
      </c>
      <c r="AL202" s="348">
        <f t="shared" si="104"/>
        <v>202</v>
      </c>
      <c r="AM202" s="347">
        <f t="shared" si="105"/>
        <v>1</v>
      </c>
      <c r="AN202" s="382">
        <f>IF(AND(AH202&gt;0,B202&lt;&gt;""),VLOOKUP(I202,'AUX-NIV2'!$B:$AP,40,FALSE)*O202,0)</f>
        <v>0</v>
      </c>
      <c r="AO202" s="382">
        <f t="shared" si="91"/>
        <v>0</v>
      </c>
      <c r="AQ202" s="395">
        <f>(IF($H202="x",VLOOKUP($I202,'AUX-NIV2'!$B:$X,'AUX-NIV1'!AQ$3,FALSE),0)+($AV202*'AUX-NIV3'!S$4))*$O202+IF($H202=AQ$4,$P202,0)</f>
        <v>0</v>
      </c>
      <c r="AR202" s="395">
        <f>(IF($H202="x",VLOOKUP($I202,'AUX-NIV2'!$B:$X,'AUX-NIV1'!AR$3,FALSE),0)+($AV202*'AUX-NIV3'!T$4))*$O202+IF($H202=AR$4,$P202,0)</f>
        <v>0</v>
      </c>
      <c r="AS202" s="395">
        <f>(IF($H202="x",VLOOKUP($I202,'AUX-NIV2'!$B:$X,'AUX-NIV1'!AS$3,FALSE),0)+($AV202*'AUX-NIV3'!U$4))*$O202+IF($H202=AS$4,$P202,0)</f>
        <v>0</v>
      </c>
      <c r="AT202" s="395">
        <f>(IF($H202="x",VLOOKUP($I202,'AUX-NIV2'!$B:$X,'AUX-NIV1'!AT$3,FALSE),0)+($AV202*'AUX-NIV3'!V$4))*$O202+IF($H202=AT$4,$P202,0)</f>
        <v>0</v>
      </c>
      <c r="AU202" s="395">
        <f>(IF($H202="x",VLOOKUP($I202,'AUX-NIV2'!$B:$X,'AUX-NIV1'!AU$3,FALSE),0)+($AV202*'AUX-NIV3'!W$4))*$O202+IF($H202=AU$4,$P202,0)</f>
        <v>0</v>
      </c>
      <c r="AV202" s="395">
        <f>+IF($H202="x",VLOOKUP($I202,'AUX-NIV2'!$B:$X,'AUX-NIV1'!AV$3,FALSE),0)</f>
        <v>0</v>
      </c>
    </row>
    <row r="203" spans="2:48" ht="14.4" hidden="1" thickTop="1" thickBot="1">
      <c r="B203" s="324" t="s">
        <v>96</v>
      </c>
      <c r="C203" s="325" t="s">
        <v>1171</v>
      </c>
      <c r="D203" s="326" t="s">
        <v>1172</v>
      </c>
      <c r="E203" s="349">
        <f>IF(B203&lt;&gt;"",+SUMIF(Items!C:C,'AUX-NIV1'!B203,Items!H:H),"")</f>
        <v>0</v>
      </c>
      <c r="F203" s="349">
        <f t="shared" si="81"/>
        <v>95000</v>
      </c>
      <c r="G203" s="349">
        <f t="shared" si="82"/>
        <v>0</v>
      </c>
      <c r="H203" s="1395" t="str">
        <f t="shared" si="92"/>
        <v>M</v>
      </c>
      <c r="I203" s="1375" t="s">
        <v>621</v>
      </c>
      <c r="J203" s="350" t="str">
        <f>IF(B203&lt;&gt;"",+VLOOKUP(I203,Recursos!C:F,2,FALSE),"")</f>
        <v>MATERIALES VARIOS</v>
      </c>
      <c r="K203" s="351" t="str">
        <f>IF(B203&lt;&gt;"",+VLOOKUP(I203,Recursos!C:F,3,FALSE),"")</f>
        <v>GL</v>
      </c>
      <c r="L203" s="1475">
        <f>IF(B203&lt;&gt;"",+VLOOKUP(I203,Recursos!C:F,4,FALSE),"")</f>
        <v>0.5</v>
      </c>
      <c r="M203" s="1499">
        <v>5000</v>
      </c>
      <c r="N203" s="1500">
        <f>+plazo</f>
        <v>2</v>
      </c>
      <c r="O203" s="1490">
        <f t="shared" si="79"/>
        <v>10000</v>
      </c>
      <c r="P203" s="352">
        <f t="shared" si="93"/>
        <v>5000</v>
      </c>
      <c r="Q203" s="349">
        <f t="shared" si="94"/>
        <v>0</v>
      </c>
      <c r="R203" s="353">
        <f t="shared" si="95"/>
        <v>0</v>
      </c>
      <c r="S203" s="354">
        <f t="shared" si="83"/>
        <v>0</v>
      </c>
      <c r="T203" s="354">
        <f t="shared" si="84"/>
        <v>0</v>
      </c>
      <c r="U203" s="355">
        <f t="shared" si="85"/>
        <v>5000</v>
      </c>
      <c r="V203" s="355">
        <f t="shared" si="86"/>
        <v>0</v>
      </c>
      <c r="W203" s="355">
        <f t="shared" si="87"/>
        <v>90000</v>
      </c>
      <c r="X203" s="355">
        <f t="shared" si="88"/>
        <v>0</v>
      </c>
      <c r="Y203" s="396"/>
      <c r="Z203" s="346" t="str">
        <f t="shared" si="96"/>
        <v>I-CAMPA</v>
      </c>
      <c r="AA203" s="346" t="str">
        <f t="shared" si="97"/>
        <v>I-CAMPE</v>
      </c>
      <c r="AB203" s="346" t="str">
        <f t="shared" si="98"/>
        <v>I-CAMPM</v>
      </c>
      <c r="AC203" s="346" t="str">
        <f t="shared" si="99"/>
        <v>I-CAMPT</v>
      </c>
      <c r="AD203" s="346" t="str">
        <f t="shared" si="100"/>
        <v>I-CAMPS</v>
      </c>
      <c r="AE203" s="346" t="str">
        <f t="shared" si="101"/>
        <v>I-CAMPX</v>
      </c>
      <c r="AF203" s="346" t="str">
        <f t="shared" si="102"/>
        <v>I-CAMPM</v>
      </c>
      <c r="AG203" s="346">
        <f t="shared" si="89"/>
        <v>18</v>
      </c>
      <c r="AH203" s="346">
        <f>IF(B203&lt;&gt;"",+IF(H203="x",+VLOOKUP(I203,'AUX-NIV2'!B:AG,32,FALSE),0),"")</f>
        <v>0</v>
      </c>
      <c r="AI203" s="346" t="str">
        <f t="shared" si="103"/>
        <v>I-CAMP</v>
      </c>
      <c r="AK203" s="347">
        <f t="shared" si="90"/>
        <v>203</v>
      </c>
      <c r="AL203" s="348">
        <f t="shared" si="104"/>
        <v>220</v>
      </c>
      <c r="AM203" s="347">
        <f>IF(B203&lt;&gt;"",IF(B203=B202,1+AM202,1),"")</f>
        <v>1</v>
      </c>
      <c r="AN203" s="382">
        <f>IF(AND(AH203&gt;0,B203&lt;&gt;""),VLOOKUP(I203,'AUX-NIV2'!$B:$AP,40,FALSE)*O203,0)</f>
        <v>0</v>
      </c>
      <c r="AO203" s="382">
        <f t="shared" si="91"/>
        <v>0</v>
      </c>
      <c r="AQ203" s="395">
        <f>(IF($H203="x",VLOOKUP($I203,'AUX-NIV2'!$B:$X,'AUX-NIV1'!AQ$3,FALSE),0)+($AV203*'AUX-NIV3'!S$4))*$O203+IF($H203=AQ$4,$P203,0)</f>
        <v>0</v>
      </c>
      <c r="AR203" s="395">
        <f>(IF($H203="x",VLOOKUP($I203,'AUX-NIV2'!$B:$X,'AUX-NIV1'!AR$3,FALSE),0)+($AV203*'AUX-NIV3'!T$4))*$O203+IF($H203=AR$4,$P203,0)</f>
        <v>0</v>
      </c>
      <c r="AS203" s="395">
        <f>(IF($H203="x",VLOOKUP($I203,'AUX-NIV2'!$B:$X,'AUX-NIV1'!AS$3,FALSE),0)+($AV203*'AUX-NIV3'!U$4))*$O203+IF($H203=AS$4,$P203,0)</f>
        <v>5000</v>
      </c>
      <c r="AT203" s="395">
        <f>(IF($H203="x",VLOOKUP($I203,'AUX-NIV2'!$B:$X,'AUX-NIV1'!AT$3,FALSE),0)+($AV203*'AUX-NIV3'!V$4))*$O203+IF($H203=AT$4,$P203,0)</f>
        <v>0</v>
      </c>
      <c r="AU203" s="395">
        <f>(IF($H203="x",VLOOKUP($I203,'AUX-NIV2'!$B:$X,'AUX-NIV1'!AU$3,FALSE),0)+($AV203*'AUX-NIV3'!W$4))*$O203+IF($H203=AU$4,$P203,0)</f>
        <v>0</v>
      </c>
      <c r="AV203" s="395">
        <f>+IF($H203="x",VLOOKUP($I203,'AUX-NIV2'!$B:$X,'AUX-NIV1'!AV$3,FALSE),0)</f>
        <v>0</v>
      </c>
    </row>
    <row r="204" spans="2:48" ht="14.4" hidden="1" thickTop="1" thickBot="1">
      <c r="B204" s="324" t="s">
        <v>96</v>
      </c>
      <c r="C204" s="325" t="s">
        <v>1171</v>
      </c>
      <c r="D204" s="326" t="s">
        <v>1172</v>
      </c>
      <c r="E204" s="349">
        <f>IF(B204&lt;&gt;"",+SUMIF(Items!C:C,'AUX-NIV1'!B204,Items!H:H),"")</f>
        <v>0</v>
      </c>
      <c r="F204" s="349">
        <f t="shared" si="81"/>
        <v>95000</v>
      </c>
      <c r="G204" s="349">
        <f t="shared" si="82"/>
        <v>0</v>
      </c>
      <c r="H204" s="1395" t="str">
        <f t="shared" si="92"/>
        <v>S</v>
      </c>
      <c r="I204" s="1375" t="s">
        <v>698</v>
      </c>
      <c r="J204" s="350" t="str">
        <f>IF(B204&lt;&gt;"",+VLOOKUP(I204,Recursos!C:F,2,FALSE),"")</f>
        <v>ALQUILER DE CAMPAMENTOS</v>
      </c>
      <c r="K204" s="351" t="str">
        <f>IF(B204&lt;&gt;"",+VLOOKUP(I204,Recursos!C:F,3,FALSE),"")</f>
        <v>m2/MES</v>
      </c>
      <c r="L204" s="1475">
        <f>IF(B204&lt;&gt;"",+VLOOKUP(I204,Recursos!C:F,4,FALSE),"")</f>
        <v>2551.25</v>
      </c>
      <c r="M204" s="1501">
        <f>+IF(Organig!T70="si",1,0)</f>
        <v>0</v>
      </c>
      <c r="N204" s="1502">
        <f>(plaef+1)*Organig!T69</f>
        <v>37.5</v>
      </c>
      <c r="O204" s="1490">
        <f>N204*M204</f>
        <v>0</v>
      </c>
      <c r="P204" s="352">
        <f t="shared" si="93"/>
        <v>0</v>
      </c>
      <c r="Q204" s="349">
        <f t="shared" si="94"/>
        <v>0</v>
      </c>
      <c r="R204" s="353">
        <f t="shared" si="95"/>
        <v>0</v>
      </c>
      <c r="S204" s="354">
        <f t="shared" si="83"/>
        <v>0</v>
      </c>
      <c r="T204" s="354">
        <f t="shared" si="84"/>
        <v>0</v>
      </c>
      <c r="U204" s="355">
        <f t="shared" si="85"/>
        <v>5000</v>
      </c>
      <c r="V204" s="355">
        <f t="shared" si="86"/>
        <v>0</v>
      </c>
      <c r="W204" s="355">
        <f t="shared" si="87"/>
        <v>90000</v>
      </c>
      <c r="X204" s="355">
        <f t="shared" si="88"/>
        <v>0</v>
      </c>
      <c r="Y204" s="396"/>
      <c r="Z204" s="346" t="str">
        <f t="shared" si="96"/>
        <v>I-CAMPA</v>
      </c>
      <c r="AA204" s="346" t="str">
        <f t="shared" si="97"/>
        <v>I-CAMPE</v>
      </c>
      <c r="AB204" s="346" t="str">
        <f t="shared" si="98"/>
        <v>I-CAMPM</v>
      </c>
      <c r="AC204" s="346" t="str">
        <f t="shared" si="99"/>
        <v>I-CAMPT</v>
      </c>
      <c r="AD204" s="346" t="str">
        <f t="shared" si="100"/>
        <v>I-CAMPS</v>
      </c>
      <c r="AE204" s="346" t="str">
        <f t="shared" si="101"/>
        <v>I-CAMPX</v>
      </c>
      <c r="AF204" s="346" t="str">
        <f t="shared" si="102"/>
        <v>I-CAMPS</v>
      </c>
      <c r="AG204" s="346">
        <f t="shared" si="89"/>
        <v>18</v>
      </c>
      <c r="AH204" s="346">
        <f>IF(B204&lt;&gt;"",+IF(H204="x",+VLOOKUP(I204,'AUX-NIV2'!B:AG,32,FALSE),0),"")</f>
        <v>0</v>
      </c>
      <c r="AI204" s="346" t="str">
        <f t="shared" si="103"/>
        <v>I-CAMP</v>
      </c>
      <c r="AK204" s="347">
        <f t="shared" si="90"/>
        <v>203</v>
      </c>
      <c r="AL204" s="348">
        <f t="shared" si="104"/>
        <v>220</v>
      </c>
      <c r="AM204" s="347">
        <f t="shared" si="105"/>
        <v>2</v>
      </c>
      <c r="AN204" s="382">
        <f>IF(AND(AH204&gt;0,B204&lt;&gt;""),VLOOKUP(I204,'AUX-NIV2'!$B:$AP,40,FALSE)*O204,0)</f>
        <v>0</v>
      </c>
      <c r="AO204" s="382">
        <f t="shared" si="91"/>
        <v>0</v>
      </c>
      <c r="AQ204" s="395">
        <f>(IF($H204="x",VLOOKUP($I204,'AUX-NIV2'!$B:$X,'AUX-NIV1'!AQ$3,FALSE),0)+($AV204*'AUX-NIV3'!S$4))*$O204+IF($H204=AQ$4,$P204,0)</f>
        <v>0</v>
      </c>
      <c r="AR204" s="395">
        <f>(IF($H204="x",VLOOKUP($I204,'AUX-NIV2'!$B:$X,'AUX-NIV1'!AR$3,FALSE),0)+($AV204*'AUX-NIV3'!T$4))*$O204+IF($H204=AR$4,$P204,0)</f>
        <v>0</v>
      </c>
      <c r="AS204" s="395">
        <f>(IF($H204="x",VLOOKUP($I204,'AUX-NIV2'!$B:$X,'AUX-NIV1'!AS$3,FALSE),0)+($AV204*'AUX-NIV3'!U$4))*$O204+IF($H204=AS$4,$P204,0)</f>
        <v>0</v>
      </c>
      <c r="AT204" s="395">
        <f>(IF($H204="x",VLOOKUP($I204,'AUX-NIV2'!$B:$X,'AUX-NIV1'!AT$3,FALSE),0)+($AV204*'AUX-NIV3'!V$4))*$O204+IF($H204=AT$4,$P204,0)</f>
        <v>0</v>
      </c>
      <c r="AU204" s="395">
        <f>(IF($H204="x",VLOOKUP($I204,'AUX-NIV2'!$B:$X,'AUX-NIV1'!AU$3,FALSE),0)+($AV204*'AUX-NIV3'!W$4))*$O204+IF($H204=AU$4,$P204,0)</f>
        <v>0</v>
      </c>
      <c r="AV204" s="395">
        <f>+IF($H204="x",VLOOKUP($I204,'AUX-NIV2'!$B:$X,'AUX-NIV1'!AV$3,FALSE),0)</f>
        <v>0</v>
      </c>
    </row>
    <row r="205" spans="2:48" ht="14.4" hidden="1" thickTop="1" thickBot="1">
      <c r="B205" s="324" t="s">
        <v>96</v>
      </c>
      <c r="C205" s="325" t="s">
        <v>1171</v>
      </c>
      <c r="D205" s="326" t="s">
        <v>1172</v>
      </c>
      <c r="E205" s="349">
        <f>IF(B205&lt;&gt;"",+SUMIF(Items!C:C,'AUX-NIV1'!B205,Items!H:H),"")</f>
        <v>0</v>
      </c>
      <c r="F205" s="349">
        <f t="shared" si="81"/>
        <v>95000</v>
      </c>
      <c r="G205" s="349">
        <f t="shared" si="82"/>
        <v>0</v>
      </c>
      <c r="H205" s="1395" t="str">
        <f t="shared" si="92"/>
        <v>S</v>
      </c>
      <c r="I205" s="1375" t="s">
        <v>696</v>
      </c>
      <c r="J205" s="350" t="str">
        <f>IF(B205&lt;&gt;"",+VLOOKUP(I205,Recursos!C:F,2,FALSE),"")</f>
        <v>EDIFICIOS DE CAMPAMENTOS</v>
      </c>
      <c r="K205" s="351" t="str">
        <f>IF(B205&lt;&gt;"",+VLOOKUP(I205,Recursos!C:F,3,FALSE),"")</f>
        <v>M2</v>
      </c>
      <c r="L205" s="1475">
        <f>IF(B205&lt;&gt;"",+VLOOKUP(I205,Recursos!C:F,4,FALSE),"")</f>
        <v>1530.75</v>
      </c>
      <c r="M205" s="1501">
        <f>+Organig!T69</f>
        <v>12.5</v>
      </c>
      <c r="N205" s="1502">
        <f>15*usd*plaef*0</f>
        <v>0</v>
      </c>
      <c r="O205" s="1490">
        <f>N205</f>
        <v>0</v>
      </c>
      <c r="P205" s="352">
        <f t="shared" si="93"/>
        <v>0</v>
      </c>
      <c r="Q205" s="349">
        <f t="shared" si="94"/>
        <v>0</v>
      </c>
      <c r="R205" s="353">
        <f t="shared" si="95"/>
        <v>0</v>
      </c>
      <c r="S205" s="354">
        <f t="shared" si="83"/>
        <v>0</v>
      </c>
      <c r="T205" s="354">
        <f t="shared" si="84"/>
        <v>0</v>
      </c>
      <c r="U205" s="355">
        <f t="shared" si="85"/>
        <v>5000</v>
      </c>
      <c r="V205" s="355">
        <f t="shared" si="86"/>
        <v>0</v>
      </c>
      <c r="W205" s="355">
        <f t="shared" si="87"/>
        <v>90000</v>
      </c>
      <c r="X205" s="355">
        <f t="shared" si="88"/>
        <v>0</v>
      </c>
      <c r="Y205" s="396"/>
      <c r="Z205" s="346" t="str">
        <f t="shared" si="96"/>
        <v>I-CAMPA</v>
      </c>
      <c r="AA205" s="346" t="str">
        <f t="shared" si="97"/>
        <v>I-CAMPE</v>
      </c>
      <c r="AB205" s="346" t="str">
        <f t="shared" si="98"/>
        <v>I-CAMPM</v>
      </c>
      <c r="AC205" s="346" t="str">
        <f t="shared" si="99"/>
        <v>I-CAMPT</v>
      </c>
      <c r="AD205" s="346" t="str">
        <f t="shared" si="100"/>
        <v>I-CAMPS</v>
      </c>
      <c r="AE205" s="346" t="str">
        <f t="shared" si="101"/>
        <v>I-CAMPX</v>
      </c>
      <c r="AF205" s="346" t="str">
        <f t="shared" si="102"/>
        <v>I-CAMPS</v>
      </c>
      <c r="AG205" s="346">
        <f t="shared" si="89"/>
        <v>18</v>
      </c>
      <c r="AH205" s="346">
        <f>IF(B205&lt;&gt;"",+IF(H205="x",+VLOOKUP(I205,'AUX-NIV2'!B:AG,32,FALSE),0),"")</f>
        <v>0</v>
      </c>
      <c r="AI205" s="346" t="str">
        <f t="shared" si="103"/>
        <v>I-CAMP</v>
      </c>
      <c r="AK205" s="347">
        <f t="shared" si="90"/>
        <v>203</v>
      </c>
      <c r="AL205" s="348">
        <f t="shared" si="104"/>
        <v>220</v>
      </c>
      <c r="AM205" s="347">
        <f t="shared" si="105"/>
        <v>3</v>
      </c>
      <c r="AN205" s="382">
        <f>IF(AND(AH205&gt;0,B205&lt;&gt;""),VLOOKUP(I205,'AUX-NIV2'!$B:$AP,40,FALSE)*O205,0)</f>
        <v>0</v>
      </c>
      <c r="AO205" s="382">
        <f t="shared" si="91"/>
        <v>0</v>
      </c>
      <c r="AQ205" s="395">
        <f>(IF($H205="x",VLOOKUP($I205,'AUX-NIV2'!$B:$X,'AUX-NIV1'!AQ$3,FALSE),0)+($AV205*'AUX-NIV3'!S$4))*$O205+IF($H205=AQ$4,$P205,0)</f>
        <v>0</v>
      </c>
      <c r="AR205" s="395">
        <f>(IF($H205="x",VLOOKUP($I205,'AUX-NIV2'!$B:$X,'AUX-NIV1'!AR$3,FALSE),0)+($AV205*'AUX-NIV3'!T$4))*$O205+IF($H205=AR$4,$P205,0)</f>
        <v>0</v>
      </c>
      <c r="AS205" s="395">
        <f>(IF($H205="x",VLOOKUP($I205,'AUX-NIV2'!$B:$X,'AUX-NIV1'!AS$3,FALSE),0)+($AV205*'AUX-NIV3'!U$4))*$O205+IF($H205=AS$4,$P205,0)</f>
        <v>0</v>
      </c>
      <c r="AT205" s="395">
        <f>(IF($H205="x",VLOOKUP($I205,'AUX-NIV2'!$B:$X,'AUX-NIV1'!AT$3,FALSE),0)+($AV205*'AUX-NIV3'!V$4))*$O205+IF($H205=AT$4,$P205,0)</f>
        <v>0</v>
      </c>
      <c r="AU205" s="395">
        <f>(IF($H205="x",VLOOKUP($I205,'AUX-NIV2'!$B:$X,'AUX-NIV1'!AU$3,FALSE),0)+($AV205*'AUX-NIV3'!W$4))*$O205+IF($H205=AU$4,$P205,0)</f>
        <v>0</v>
      </c>
      <c r="AV205" s="395">
        <f>+IF($H205="x",VLOOKUP($I205,'AUX-NIV2'!$B:$X,'AUX-NIV1'!AV$3,FALSE),0)</f>
        <v>0</v>
      </c>
    </row>
    <row r="206" spans="2:48" ht="14.4" hidden="1" thickTop="1" thickBot="1">
      <c r="B206" s="324" t="s">
        <v>96</v>
      </c>
      <c r="C206" s="325" t="s">
        <v>1171</v>
      </c>
      <c r="D206" s="326" t="s">
        <v>1172</v>
      </c>
      <c r="E206" s="349">
        <f>IF(B206&lt;&gt;"",+SUMIF(Items!C:C,'AUX-NIV1'!B206,Items!H:H),"")</f>
        <v>0</v>
      </c>
      <c r="F206" s="349">
        <f t="shared" si="81"/>
        <v>95000</v>
      </c>
      <c r="G206" s="349">
        <f t="shared" si="82"/>
        <v>0</v>
      </c>
      <c r="H206" s="1395" t="str">
        <f t="shared" si="92"/>
        <v>S</v>
      </c>
      <c r="I206" s="1375" t="s">
        <v>650</v>
      </c>
      <c r="J206" s="350" t="str">
        <f>IF(B206&lt;&gt;"",+VLOOKUP(I206,Recursos!C:F,2,FALSE),"")</f>
        <v>CONSTRUCCION DE CERO PERIMETRAL</v>
      </c>
      <c r="K206" s="351" t="str">
        <f>IF(B206&lt;&gt;"",+VLOOKUP(I206,Recursos!C:F,3,FALSE),"")</f>
        <v>M</v>
      </c>
      <c r="L206" s="1475">
        <f>IF(B206&lt;&gt;"",+VLOOKUP(I206,Recursos!C:F,4,FALSE),"")</f>
        <v>1500</v>
      </c>
      <c r="M206" s="1501"/>
      <c r="N206" s="1502">
        <v>60</v>
      </c>
      <c r="O206" s="1490">
        <f>N206</f>
        <v>60</v>
      </c>
      <c r="P206" s="352">
        <f t="shared" si="93"/>
        <v>90000</v>
      </c>
      <c r="Q206" s="349">
        <f t="shared" si="94"/>
        <v>0</v>
      </c>
      <c r="R206" s="353">
        <f t="shared" si="95"/>
        <v>0</v>
      </c>
      <c r="S206" s="354">
        <f t="shared" si="83"/>
        <v>0</v>
      </c>
      <c r="T206" s="354">
        <f t="shared" si="84"/>
        <v>0</v>
      </c>
      <c r="U206" s="355">
        <f t="shared" si="85"/>
        <v>5000</v>
      </c>
      <c r="V206" s="355">
        <f t="shared" si="86"/>
        <v>0</v>
      </c>
      <c r="W206" s="355">
        <f t="shared" si="87"/>
        <v>90000</v>
      </c>
      <c r="X206" s="355">
        <f t="shared" si="88"/>
        <v>0</v>
      </c>
      <c r="Y206" s="396"/>
      <c r="Z206" s="346" t="str">
        <f t="shared" si="96"/>
        <v>I-CAMPA</v>
      </c>
      <c r="AA206" s="346" t="str">
        <f t="shared" si="97"/>
        <v>I-CAMPE</v>
      </c>
      <c r="AB206" s="346" t="str">
        <f t="shared" si="98"/>
        <v>I-CAMPM</v>
      </c>
      <c r="AC206" s="346" t="str">
        <f t="shared" si="99"/>
        <v>I-CAMPT</v>
      </c>
      <c r="AD206" s="346" t="str">
        <f t="shared" si="100"/>
        <v>I-CAMPS</v>
      </c>
      <c r="AE206" s="346" t="str">
        <f t="shared" si="101"/>
        <v>I-CAMPX</v>
      </c>
      <c r="AF206" s="346" t="str">
        <f t="shared" si="102"/>
        <v>I-CAMPS</v>
      </c>
      <c r="AG206" s="346">
        <f t="shared" si="89"/>
        <v>18</v>
      </c>
      <c r="AH206" s="346">
        <f>IF(B206&lt;&gt;"",+IF(H206="x",+VLOOKUP(I206,'AUX-NIV2'!B:AG,32,FALSE),0),"")</f>
        <v>0</v>
      </c>
      <c r="AI206" s="346" t="str">
        <f t="shared" si="103"/>
        <v>I-CAMP</v>
      </c>
      <c r="AK206" s="347">
        <f t="shared" si="90"/>
        <v>203</v>
      </c>
      <c r="AL206" s="348">
        <f t="shared" si="104"/>
        <v>220</v>
      </c>
      <c r="AM206" s="347">
        <f t="shared" si="105"/>
        <v>4</v>
      </c>
      <c r="AN206" s="382">
        <f>IF(AND(AH206&gt;0,B206&lt;&gt;""),VLOOKUP(I206,'AUX-NIV2'!$B:$AP,40,FALSE)*O206,0)</f>
        <v>0</v>
      </c>
      <c r="AO206" s="382">
        <f t="shared" si="91"/>
        <v>0</v>
      </c>
      <c r="AQ206" s="395">
        <f>(IF($H206="x",VLOOKUP($I206,'AUX-NIV2'!$B:$X,'AUX-NIV1'!AQ$3,FALSE),0)+($AV206*'AUX-NIV3'!S$4))*$O206+IF($H206=AQ$4,$P206,0)</f>
        <v>0</v>
      </c>
      <c r="AR206" s="395">
        <f>(IF($H206="x",VLOOKUP($I206,'AUX-NIV2'!$B:$X,'AUX-NIV1'!AR$3,FALSE),0)+($AV206*'AUX-NIV3'!T$4))*$O206+IF($H206=AR$4,$P206,0)</f>
        <v>0</v>
      </c>
      <c r="AS206" s="395">
        <f>(IF($H206="x",VLOOKUP($I206,'AUX-NIV2'!$B:$X,'AUX-NIV1'!AS$3,FALSE),0)+($AV206*'AUX-NIV3'!U$4))*$O206+IF($H206=AS$4,$P206,0)</f>
        <v>0</v>
      </c>
      <c r="AT206" s="395">
        <f>(IF($H206="x",VLOOKUP($I206,'AUX-NIV2'!$B:$X,'AUX-NIV1'!AT$3,FALSE),0)+($AV206*'AUX-NIV3'!V$4))*$O206+IF($H206=AT$4,$P206,0)</f>
        <v>0</v>
      </c>
      <c r="AU206" s="395">
        <f>(IF($H206="x",VLOOKUP($I206,'AUX-NIV2'!$B:$X,'AUX-NIV1'!AU$3,FALSE),0)+($AV206*'AUX-NIV3'!W$4))*$O206+IF($H206=AU$4,$P206,0)</f>
        <v>90000</v>
      </c>
      <c r="AV206" s="395">
        <f>+IF($H206="x",VLOOKUP($I206,'AUX-NIV2'!$B:$X,'AUX-NIV1'!AV$3,FALSE),0)</f>
        <v>0</v>
      </c>
    </row>
    <row r="207" spans="2:48" ht="14.4" hidden="1" thickTop="1" thickBot="1">
      <c r="B207" s="324" t="s">
        <v>96</v>
      </c>
      <c r="C207" s="325" t="s">
        <v>1171</v>
      </c>
      <c r="D207" s="326" t="s">
        <v>1172</v>
      </c>
      <c r="E207" s="349">
        <f>IF(B207&lt;&gt;"",+SUMIF(Items!C:C,'AUX-NIV1'!B207,Items!H:H),"")</f>
        <v>0</v>
      </c>
      <c r="F207" s="349">
        <f t="shared" si="81"/>
        <v>95000</v>
      </c>
      <c r="G207" s="349">
        <f t="shared" si="82"/>
        <v>0</v>
      </c>
      <c r="H207" s="1395" t="str">
        <f t="shared" si="92"/>
        <v>S</v>
      </c>
      <c r="I207" s="1375" t="s">
        <v>704</v>
      </c>
      <c r="J207" s="350" t="str">
        <f>IF(B207&lt;&gt;"",+VLOOKUP(I207,Recursos!C:F,2,FALSE),"")</f>
        <v>EQUIPAMIENTO PARA OFICINAS</v>
      </c>
      <c r="K207" s="351" t="str">
        <f>IF(B207&lt;&gt;"",+VLOOKUP(I207,Recursos!C:F,3,FALSE),"")</f>
        <v>UN</v>
      </c>
      <c r="L207" s="1475">
        <f>IF(B207&lt;&gt;"",+VLOOKUP(I207,Recursos!C:F,4,FALSE),"")</f>
        <v>10000</v>
      </c>
      <c r="M207" s="1501">
        <f>+SUM(Organig!D65:X65)/10</f>
        <v>1.25</v>
      </c>
      <c r="N207" s="1502">
        <v>0</v>
      </c>
      <c r="O207" s="1490">
        <f>N207*M207</f>
        <v>0</v>
      </c>
      <c r="P207" s="352">
        <f t="shared" si="93"/>
        <v>0</v>
      </c>
      <c r="Q207" s="349">
        <f t="shared" si="94"/>
        <v>0</v>
      </c>
      <c r="R207" s="353">
        <f t="shared" si="95"/>
        <v>0</v>
      </c>
      <c r="S207" s="354">
        <f t="shared" si="83"/>
        <v>0</v>
      </c>
      <c r="T207" s="354">
        <f t="shared" si="84"/>
        <v>0</v>
      </c>
      <c r="U207" s="355">
        <f t="shared" si="85"/>
        <v>5000</v>
      </c>
      <c r="V207" s="355">
        <f t="shared" si="86"/>
        <v>0</v>
      </c>
      <c r="W207" s="355">
        <f t="shared" si="87"/>
        <v>90000</v>
      </c>
      <c r="X207" s="355">
        <f t="shared" si="88"/>
        <v>0</v>
      </c>
      <c r="Y207" s="396"/>
      <c r="Z207" s="346" t="str">
        <f t="shared" si="96"/>
        <v>I-CAMPA</v>
      </c>
      <c r="AA207" s="346" t="str">
        <f t="shared" si="97"/>
        <v>I-CAMPE</v>
      </c>
      <c r="AB207" s="346" t="str">
        <f t="shared" si="98"/>
        <v>I-CAMPM</v>
      </c>
      <c r="AC207" s="346" t="str">
        <f t="shared" si="99"/>
        <v>I-CAMPT</v>
      </c>
      <c r="AD207" s="346" t="str">
        <f t="shared" si="100"/>
        <v>I-CAMPS</v>
      </c>
      <c r="AE207" s="346" t="str">
        <f t="shared" si="101"/>
        <v>I-CAMPX</v>
      </c>
      <c r="AF207" s="346" t="str">
        <f t="shared" si="102"/>
        <v>I-CAMPS</v>
      </c>
      <c r="AG207" s="346">
        <f t="shared" si="89"/>
        <v>18</v>
      </c>
      <c r="AH207" s="346">
        <f>IF(B207&lt;&gt;"",+IF(H207="x",+VLOOKUP(I207,'AUX-NIV2'!B:AG,32,FALSE),0),"")</f>
        <v>0</v>
      </c>
      <c r="AI207" s="346" t="str">
        <f t="shared" si="103"/>
        <v>I-CAMP</v>
      </c>
      <c r="AK207" s="347">
        <f t="shared" si="90"/>
        <v>203</v>
      </c>
      <c r="AL207" s="348">
        <f t="shared" si="104"/>
        <v>220</v>
      </c>
      <c r="AM207" s="347">
        <f t="shared" si="105"/>
        <v>5</v>
      </c>
      <c r="AN207" s="382">
        <f>IF(AND(AH207&gt;0,B207&lt;&gt;""),VLOOKUP(I207,'AUX-NIV2'!$B:$AP,40,FALSE)*O207,0)</f>
        <v>0</v>
      </c>
      <c r="AO207" s="382">
        <f t="shared" si="91"/>
        <v>0</v>
      </c>
      <c r="AQ207" s="395">
        <f>(IF($H207="x",VLOOKUP($I207,'AUX-NIV2'!$B:$X,'AUX-NIV1'!AQ$3,FALSE),0)+($AV207*'AUX-NIV3'!S$4))*$O207+IF($H207=AQ$4,$P207,0)</f>
        <v>0</v>
      </c>
      <c r="AR207" s="395">
        <f>(IF($H207="x",VLOOKUP($I207,'AUX-NIV2'!$B:$X,'AUX-NIV1'!AR$3,FALSE),0)+($AV207*'AUX-NIV3'!T$4))*$O207+IF($H207=AR$4,$P207,0)</f>
        <v>0</v>
      </c>
      <c r="AS207" s="395">
        <f>(IF($H207="x",VLOOKUP($I207,'AUX-NIV2'!$B:$X,'AUX-NIV1'!AS$3,FALSE),0)+($AV207*'AUX-NIV3'!U$4))*$O207+IF($H207=AS$4,$P207,0)</f>
        <v>0</v>
      </c>
      <c r="AT207" s="395">
        <f>(IF($H207="x",VLOOKUP($I207,'AUX-NIV2'!$B:$X,'AUX-NIV1'!AT$3,FALSE),0)+($AV207*'AUX-NIV3'!V$4))*$O207+IF($H207=AT$4,$P207,0)</f>
        <v>0</v>
      </c>
      <c r="AU207" s="395">
        <f>(IF($H207="x",VLOOKUP($I207,'AUX-NIV2'!$B:$X,'AUX-NIV1'!AU$3,FALSE),0)+($AV207*'AUX-NIV3'!W$4))*$O207+IF($H207=AU$4,$P207,0)</f>
        <v>0</v>
      </c>
      <c r="AV207" s="395">
        <f>+IF($H207="x",VLOOKUP($I207,'AUX-NIV2'!$B:$X,'AUX-NIV1'!AV$3,FALSE),0)</f>
        <v>0</v>
      </c>
    </row>
    <row r="208" spans="2:48" ht="14.4" hidden="1" thickTop="1" thickBot="1">
      <c r="B208" s="324" t="s">
        <v>96</v>
      </c>
      <c r="C208" s="325" t="s">
        <v>1171</v>
      </c>
      <c r="D208" s="326" t="s">
        <v>1172</v>
      </c>
      <c r="E208" s="349">
        <f>IF(B208&lt;&gt;"",+SUMIF(Items!C:C,'AUX-NIV1'!B208,Items!H:H),"")</f>
        <v>0</v>
      </c>
      <c r="F208" s="349">
        <f t="shared" si="81"/>
        <v>95000</v>
      </c>
      <c r="G208" s="349">
        <f t="shared" si="82"/>
        <v>0</v>
      </c>
      <c r="H208" s="1395" t="str">
        <f t="shared" si="92"/>
        <v>S</v>
      </c>
      <c r="I208" s="1375" t="s">
        <v>722</v>
      </c>
      <c r="J208" s="350" t="str">
        <f>IF(B208&lt;&gt;"",+VLOOKUP(I208,Recursos!C:F,2,FALSE),"")</f>
        <v>EQUIPAMIENTO TECNICO PARA TALLER</v>
      </c>
      <c r="K208" s="351" t="str">
        <f>IF(B208&lt;&gt;"",+VLOOKUP(I208,Recursos!C:F,3,FALSE),"")</f>
        <v>UN</v>
      </c>
      <c r="L208" s="1475">
        <f>IF(B208&lt;&gt;"",+VLOOKUP(I208,Recursos!C:F,4,FALSE),"")</f>
        <v>10000</v>
      </c>
      <c r="M208" s="1501">
        <f>+Organig!T66</f>
        <v>1</v>
      </c>
      <c r="N208" s="1502">
        <v>0</v>
      </c>
      <c r="O208" s="1490">
        <f t="shared" ref="O208:O213" si="106">N208*M208</f>
        <v>0</v>
      </c>
      <c r="P208" s="352">
        <f t="shared" si="93"/>
        <v>0</v>
      </c>
      <c r="Q208" s="349">
        <f t="shared" si="94"/>
        <v>0</v>
      </c>
      <c r="R208" s="353">
        <f t="shared" si="95"/>
        <v>0</v>
      </c>
      <c r="S208" s="354">
        <f t="shared" si="83"/>
        <v>0</v>
      </c>
      <c r="T208" s="354">
        <f t="shared" si="84"/>
        <v>0</v>
      </c>
      <c r="U208" s="355">
        <f t="shared" si="85"/>
        <v>5000</v>
      </c>
      <c r="V208" s="355">
        <f t="shared" si="86"/>
        <v>0</v>
      </c>
      <c r="W208" s="355">
        <f t="shared" si="87"/>
        <v>90000</v>
      </c>
      <c r="X208" s="355">
        <f t="shared" si="88"/>
        <v>0</v>
      </c>
      <c r="Y208" s="396"/>
      <c r="Z208" s="346" t="str">
        <f t="shared" si="96"/>
        <v>I-CAMPA</v>
      </c>
      <c r="AA208" s="346" t="str">
        <f t="shared" si="97"/>
        <v>I-CAMPE</v>
      </c>
      <c r="AB208" s="346" t="str">
        <f t="shared" si="98"/>
        <v>I-CAMPM</v>
      </c>
      <c r="AC208" s="346" t="str">
        <f t="shared" si="99"/>
        <v>I-CAMPT</v>
      </c>
      <c r="AD208" s="346" t="str">
        <f t="shared" si="100"/>
        <v>I-CAMPS</v>
      </c>
      <c r="AE208" s="346" t="str">
        <f t="shared" si="101"/>
        <v>I-CAMPX</v>
      </c>
      <c r="AF208" s="346" t="str">
        <f t="shared" si="102"/>
        <v>I-CAMPS</v>
      </c>
      <c r="AG208" s="346">
        <f t="shared" si="89"/>
        <v>18</v>
      </c>
      <c r="AH208" s="346">
        <f>IF(B208&lt;&gt;"",+IF(H208="x",+VLOOKUP(I208,'AUX-NIV2'!B:AG,32,FALSE),0),"")</f>
        <v>0</v>
      </c>
      <c r="AI208" s="346" t="str">
        <f t="shared" si="103"/>
        <v>I-CAMP</v>
      </c>
      <c r="AK208" s="347">
        <f t="shared" si="90"/>
        <v>203</v>
      </c>
      <c r="AL208" s="348">
        <f t="shared" si="104"/>
        <v>220</v>
      </c>
      <c r="AM208" s="347">
        <f t="shared" si="105"/>
        <v>6</v>
      </c>
      <c r="AN208" s="382">
        <f>IF(AND(AH208&gt;0,B208&lt;&gt;""),VLOOKUP(I208,'AUX-NIV2'!$B:$AP,40,FALSE)*O208,0)</f>
        <v>0</v>
      </c>
      <c r="AO208" s="382">
        <f t="shared" si="91"/>
        <v>0</v>
      </c>
      <c r="AQ208" s="395">
        <f>(IF($H208="x",VLOOKUP($I208,'AUX-NIV2'!$B:$X,'AUX-NIV1'!AQ$3,FALSE),0)+($AV208*'AUX-NIV3'!S$4))*$O208+IF($H208=AQ$4,$P208,0)</f>
        <v>0</v>
      </c>
      <c r="AR208" s="395">
        <f>(IF($H208="x",VLOOKUP($I208,'AUX-NIV2'!$B:$X,'AUX-NIV1'!AR$3,FALSE),0)+($AV208*'AUX-NIV3'!T$4))*$O208+IF($H208=AR$4,$P208,0)</f>
        <v>0</v>
      </c>
      <c r="AS208" s="395">
        <f>(IF($H208="x",VLOOKUP($I208,'AUX-NIV2'!$B:$X,'AUX-NIV1'!AS$3,FALSE),0)+($AV208*'AUX-NIV3'!U$4))*$O208+IF($H208=AS$4,$P208,0)</f>
        <v>0</v>
      </c>
      <c r="AT208" s="395">
        <f>(IF($H208="x",VLOOKUP($I208,'AUX-NIV2'!$B:$X,'AUX-NIV1'!AT$3,FALSE),0)+($AV208*'AUX-NIV3'!V$4))*$O208+IF($H208=AT$4,$P208,0)</f>
        <v>0</v>
      </c>
      <c r="AU208" s="395">
        <f>(IF($H208="x",VLOOKUP($I208,'AUX-NIV2'!$B:$X,'AUX-NIV1'!AU$3,FALSE),0)+($AV208*'AUX-NIV3'!W$4))*$O208+IF($H208=AU$4,$P208,0)</f>
        <v>0</v>
      </c>
      <c r="AV208" s="395">
        <f>+IF($H208="x",VLOOKUP($I208,'AUX-NIV2'!$B:$X,'AUX-NIV1'!AV$3,FALSE),0)</f>
        <v>0</v>
      </c>
    </row>
    <row r="209" spans="2:48" ht="14.4" hidden="1" thickTop="1" thickBot="1">
      <c r="B209" s="324" t="s">
        <v>96</v>
      </c>
      <c r="C209" s="325" t="s">
        <v>1171</v>
      </c>
      <c r="D209" s="326" t="s">
        <v>1172</v>
      </c>
      <c r="E209" s="349">
        <f>IF(B209&lt;&gt;"",+SUMIF(Items!C:C,'AUX-NIV1'!B209,Items!H:H),"")</f>
        <v>0</v>
      </c>
      <c r="F209" s="349">
        <f t="shared" si="81"/>
        <v>95000</v>
      </c>
      <c r="G209" s="349">
        <f t="shared" si="82"/>
        <v>0</v>
      </c>
      <c r="H209" s="1395" t="str">
        <f t="shared" si="92"/>
        <v>S</v>
      </c>
      <c r="I209" s="1375" t="s">
        <v>706</v>
      </c>
      <c r="J209" s="350" t="str">
        <f>IF(B209&lt;&gt;"",+VLOOKUP(I209,Recursos!C:F,2,FALSE),"")</f>
        <v>EQUIPAMIENTO PARA LABORATORIO</v>
      </c>
      <c r="K209" s="351" t="str">
        <f>IF(B209&lt;&gt;"",+VLOOKUP(I209,Recursos!C:F,3,FALSE),"")</f>
        <v>UN</v>
      </c>
      <c r="L209" s="1475">
        <f>IF(B209&lt;&gt;"",+VLOOKUP(I209,Recursos!C:F,4,FALSE),"")</f>
        <v>10000</v>
      </c>
      <c r="M209" s="1501">
        <f>+Organig!X66</f>
        <v>1</v>
      </c>
      <c r="N209" s="1502">
        <v>0</v>
      </c>
      <c r="O209" s="1490">
        <f t="shared" si="106"/>
        <v>0</v>
      </c>
      <c r="P209" s="352">
        <f t="shared" si="93"/>
        <v>0</v>
      </c>
      <c r="Q209" s="349">
        <f t="shared" si="94"/>
        <v>0</v>
      </c>
      <c r="R209" s="353">
        <f t="shared" si="95"/>
        <v>0</v>
      </c>
      <c r="S209" s="354">
        <f t="shared" si="83"/>
        <v>0</v>
      </c>
      <c r="T209" s="354">
        <f t="shared" si="84"/>
        <v>0</v>
      </c>
      <c r="U209" s="355">
        <f t="shared" si="85"/>
        <v>5000</v>
      </c>
      <c r="V209" s="355">
        <f t="shared" si="86"/>
        <v>0</v>
      </c>
      <c r="W209" s="355">
        <f t="shared" si="87"/>
        <v>90000</v>
      </c>
      <c r="X209" s="355">
        <f t="shared" si="88"/>
        <v>0</v>
      </c>
      <c r="Y209" s="396"/>
      <c r="Z209" s="346" t="str">
        <f t="shared" si="96"/>
        <v>I-CAMPA</v>
      </c>
      <c r="AA209" s="346" t="str">
        <f t="shared" si="97"/>
        <v>I-CAMPE</v>
      </c>
      <c r="AB209" s="346" t="str">
        <f t="shared" si="98"/>
        <v>I-CAMPM</v>
      </c>
      <c r="AC209" s="346" t="str">
        <f t="shared" si="99"/>
        <v>I-CAMPT</v>
      </c>
      <c r="AD209" s="346" t="str">
        <f t="shared" si="100"/>
        <v>I-CAMPS</v>
      </c>
      <c r="AE209" s="346" t="str">
        <f t="shared" si="101"/>
        <v>I-CAMPX</v>
      </c>
      <c r="AF209" s="346" t="str">
        <f t="shared" si="102"/>
        <v>I-CAMPS</v>
      </c>
      <c r="AG209" s="346">
        <f t="shared" si="89"/>
        <v>18</v>
      </c>
      <c r="AH209" s="346">
        <f>IF(B209&lt;&gt;"",+IF(H209="x",+VLOOKUP(I209,'AUX-NIV2'!B:AG,32,FALSE),0),"")</f>
        <v>0</v>
      </c>
      <c r="AI209" s="346" t="str">
        <f t="shared" si="103"/>
        <v>I-CAMP</v>
      </c>
      <c r="AK209" s="347">
        <f t="shared" si="90"/>
        <v>203</v>
      </c>
      <c r="AL209" s="348">
        <f t="shared" si="104"/>
        <v>220</v>
      </c>
      <c r="AM209" s="347">
        <f t="shared" si="105"/>
        <v>7</v>
      </c>
      <c r="AN209" s="382">
        <f>IF(AND(AH209&gt;0,B209&lt;&gt;""),VLOOKUP(I209,'AUX-NIV2'!$B:$AP,40,FALSE)*O209,0)</f>
        <v>0</v>
      </c>
      <c r="AO209" s="382">
        <f t="shared" si="91"/>
        <v>0</v>
      </c>
      <c r="AQ209" s="395">
        <f>(IF($H209="x",VLOOKUP($I209,'AUX-NIV2'!$B:$X,'AUX-NIV1'!AQ$3,FALSE),0)+($AV209*'AUX-NIV3'!S$4))*$O209+IF($H209=AQ$4,$P209,0)</f>
        <v>0</v>
      </c>
      <c r="AR209" s="395">
        <f>(IF($H209="x",VLOOKUP($I209,'AUX-NIV2'!$B:$X,'AUX-NIV1'!AR$3,FALSE),0)+($AV209*'AUX-NIV3'!T$4))*$O209+IF($H209=AR$4,$P209,0)</f>
        <v>0</v>
      </c>
      <c r="AS209" s="395">
        <f>(IF($H209="x",VLOOKUP($I209,'AUX-NIV2'!$B:$X,'AUX-NIV1'!AS$3,FALSE),0)+($AV209*'AUX-NIV3'!U$4))*$O209+IF($H209=AS$4,$P209,0)</f>
        <v>0</v>
      </c>
      <c r="AT209" s="395">
        <f>(IF($H209="x",VLOOKUP($I209,'AUX-NIV2'!$B:$X,'AUX-NIV1'!AT$3,FALSE),0)+($AV209*'AUX-NIV3'!V$4))*$O209+IF($H209=AT$4,$P209,0)</f>
        <v>0</v>
      </c>
      <c r="AU209" s="395">
        <f>(IF($H209="x",VLOOKUP($I209,'AUX-NIV2'!$B:$X,'AUX-NIV1'!AU$3,FALSE),0)+($AV209*'AUX-NIV3'!W$4))*$O209+IF($H209=AU$4,$P209,0)</f>
        <v>0</v>
      </c>
      <c r="AV209" s="395">
        <f>+IF($H209="x",VLOOKUP($I209,'AUX-NIV2'!$B:$X,'AUX-NIV1'!AV$3,FALSE),0)</f>
        <v>0</v>
      </c>
    </row>
    <row r="210" spans="2:48" ht="14.4" hidden="1" thickTop="1" thickBot="1">
      <c r="B210" s="324" t="s">
        <v>96</v>
      </c>
      <c r="C210" s="325" t="s">
        <v>1171</v>
      </c>
      <c r="D210" s="326" t="s">
        <v>1172</v>
      </c>
      <c r="E210" s="349">
        <f>IF(B210&lt;&gt;"",+SUMIF(Items!C:C,'AUX-NIV1'!B210,Items!H:H),"")</f>
        <v>0</v>
      </c>
      <c r="F210" s="349">
        <f t="shared" si="81"/>
        <v>95000</v>
      </c>
      <c r="G210" s="349">
        <f t="shared" si="82"/>
        <v>0</v>
      </c>
      <c r="H210" s="1395" t="str">
        <f t="shared" si="92"/>
        <v>S</v>
      </c>
      <c r="I210" s="1375" t="s">
        <v>708</v>
      </c>
      <c r="J210" s="350" t="str">
        <f>IF(B210&lt;&gt;"",+VLOOKUP(I210,Recursos!C:F,2,FALSE),"")</f>
        <v>EQUIPAMIENTO PARA ENFERMERIA</v>
      </c>
      <c r="K210" s="351" t="str">
        <f>IF(B210&lt;&gt;"",+VLOOKUP(I210,Recursos!C:F,3,FALSE),"")</f>
        <v>UN</v>
      </c>
      <c r="L210" s="1475">
        <f>IF(B210&lt;&gt;"",+VLOOKUP(I210,Recursos!C:F,4,FALSE),"")</f>
        <v>10000</v>
      </c>
      <c r="M210" s="1501">
        <f>+Organig!D66</f>
        <v>0</v>
      </c>
      <c r="N210" s="1502">
        <v>0</v>
      </c>
      <c r="O210" s="1490">
        <f t="shared" si="106"/>
        <v>0</v>
      </c>
      <c r="P210" s="352">
        <f t="shared" si="93"/>
        <v>0</v>
      </c>
      <c r="Q210" s="349">
        <f t="shared" si="94"/>
        <v>0</v>
      </c>
      <c r="R210" s="353">
        <f t="shared" si="95"/>
        <v>0</v>
      </c>
      <c r="S210" s="354">
        <f t="shared" si="83"/>
        <v>0</v>
      </c>
      <c r="T210" s="354">
        <f t="shared" si="84"/>
        <v>0</v>
      </c>
      <c r="U210" s="355">
        <f t="shared" si="85"/>
        <v>5000</v>
      </c>
      <c r="V210" s="355">
        <f t="shared" si="86"/>
        <v>0</v>
      </c>
      <c r="W210" s="355">
        <f t="shared" si="87"/>
        <v>90000</v>
      </c>
      <c r="X210" s="355">
        <f t="shared" si="88"/>
        <v>0</v>
      </c>
      <c r="Y210" s="396"/>
      <c r="Z210" s="346" t="str">
        <f t="shared" si="96"/>
        <v>I-CAMPA</v>
      </c>
      <c r="AA210" s="346" t="str">
        <f t="shared" si="97"/>
        <v>I-CAMPE</v>
      </c>
      <c r="AB210" s="346" t="str">
        <f t="shared" si="98"/>
        <v>I-CAMPM</v>
      </c>
      <c r="AC210" s="346" t="str">
        <f t="shared" si="99"/>
        <v>I-CAMPT</v>
      </c>
      <c r="AD210" s="346" t="str">
        <f t="shared" si="100"/>
        <v>I-CAMPS</v>
      </c>
      <c r="AE210" s="346" t="str">
        <f t="shared" si="101"/>
        <v>I-CAMPX</v>
      </c>
      <c r="AF210" s="346" t="str">
        <f t="shared" si="102"/>
        <v>I-CAMPS</v>
      </c>
      <c r="AG210" s="346">
        <f t="shared" si="89"/>
        <v>18</v>
      </c>
      <c r="AH210" s="346">
        <f>IF(B210&lt;&gt;"",+IF(H210="x",+VLOOKUP(I210,'AUX-NIV2'!B:AG,32,FALSE),0),"")</f>
        <v>0</v>
      </c>
      <c r="AI210" s="346" t="str">
        <f t="shared" si="103"/>
        <v>I-CAMP</v>
      </c>
      <c r="AK210" s="347">
        <f t="shared" si="90"/>
        <v>203</v>
      </c>
      <c r="AL210" s="348">
        <f t="shared" si="104"/>
        <v>220</v>
      </c>
      <c r="AM210" s="347">
        <f t="shared" si="105"/>
        <v>8</v>
      </c>
      <c r="AN210" s="382">
        <f>IF(AND(AH210&gt;0,B210&lt;&gt;""),VLOOKUP(I210,'AUX-NIV2'!$B:$AP,40,FALSE)*O210,0)</f>
        <v>0</v>
      </c>
      <c r="AO210" s="382">
        <f t="shared" si="91"/>
        <v>0</v>
      </c>
      <c r="AQ210" s="395">
        <f>(IF($H210="x",VLOOKUP($I210,'AUX-NIV2'!$B:$X,'AUX-NIV1'!AQ$3,FALSE),0)+($AV210*'AUX-NIV3'!S$4))*$O210+IF($H210=AQ$4,$P210,0)</f>
        <v>0</v>
      </c>
      <c r="AR210" s="395">
        <f>(IF($H210="x",VLOOKUP($I210,'AUX-NIV2'!$B:$X,'AUX-NIV1'!AR$3,FALSE),0)+($AV210*'AUX-NIV3'!T$4))*$O210+IF($H210=AR$4,$P210,0)</f>
        <v>0</v>
      </c>
      <c r="AS210" s="395">
        <f>(IF($H210="x",VLOOKUP($I210,'AUX-NIV2'!$B:$X,'AUX-NIV1'!AS$3,FALSE),0)+($AV210*'AUX-NIV3'!U$4))*$O210+IF($H210=AS$4,$P210,0)</f>
        <v>0</v>
      </c>
      <c r="AT210" s="395">
        <f>(IF($H210="x",VLOOKUP($I210,'AUX-NIV2'!$B:$X,'AUX-NIV1'!AT$3,FALSE),0)+($AV210*'AUX-NIV3'!V$4))*$O210+IF($H210=AT$4,$P210,0)</f>
        <v>0</v>
      </c>
      <c r="AU210" s="395">
        <f>(IF($H210="x",VLOOKUP($I210,'AUX-NIV2'!$B:$X,'AUX-NIV1'!AU$3,FALSE),0)+($AV210*'AUX-NIV3'!W$4))*$O210+IF($H210=AU$4,$P210,0)</f>
        <v>0</v>
      </c>
      <c r="AV210" s="395">
        <f>+IF($H210="x",VLOOKUP($I210,'AUX-NIV2'!$B:$X,'AUX-NIV1'!AV$3,FALSE),0)</f>
        <v>0</v>
      </c>
    </row>
    <row r="211" spans="2:48" ht="14.4" hidden="1" thickTop="1" thickBot="1">
      <c r="B211" s="324" t="s">
        <v>96</v>
      </c>
      <c r="C211" s="325" t="s">
        <v>1171</v>
      </c>
      <c r="D211" s="326" t="s">
        <v>1172</v>
      </c>
      <c r="E211" s="349">
        <f>IF(B211&lt;&gt;"",+SUMIF(Items!C:C,'AUX-NIV1'!B211,Items!H:H),"")</f>
        <v>0</v>
      </c>
      <c r="F211" s="349">
        <f t="shared" si="81"/>
        <v>95000</v>
      </c>
      <c r="G211" s="349">
        <f t="shared" si="82"/>
        <v>0</v>
      </c>
      <c r="H211" s="1395" t="str">
        <f t="shared" si="92"/>
        <v>S</v>
      </c>
      <c r="I211" s="1375" t="s">
        <v>710</v>
      </c>
      <c r="J211" s="350" t="str">
        <f>IF(B211&lt;&gt;"",+VLOOKUP(I211,Recursos!C:F,2,FALSE),"")</f>
        <v>EQUIPAMIENTO PARA DORMITORIOS</v>
      </c>
      <c r="K211" s="351" t="str">
        <f>IF(B211&lt;&gt;"",+VLOOKUP(I211,Recursos!C:F,3,FALSE),"")</f>
        <v>UN</v>
      </c>
      <c r="L211" s="1475">
        <f>IF(B211&lt;&gt;"",+VLOOKUP(I211,Recursos!C:F,4,FALSE),"")</f>
        <v>500</v>
      </c>
      <c r="M211" s="1501">
        <v>0</v>
      </c>
      <c r="N211" s="1502">
        <v>0</v>
      </c>
      <c r="O211" s="1490">
        <f t="shared" si="106"/>
        <v>0</v>
      </c>
      <c r="P211" s="352">
        <f t="shared" si="93"/>
        <v>0</v>
      </c>
      <c r="Q211" s="349">
        <f t="shared" si="94"/>
        <v>0</v>
      </c>
      <c r="R211" s="353">
        <f t="shared" si="95"/>
        <v>0</v>
      </c>
      <c r="S211" s="354">
        <f t="shared" si="83"/>
        <v>0</v>
      </c>
      <c r="T211" s="354">
        <f t="shared" si="84"/>
        <v>0</v>
      </c>
      <c r="U211" s="355">
        <f t="shared" si="85"/>
        <v>5000</v>
      </c>
      <c r="V211" s="355">
        <f t="shared" si="86"/>
        <v>0</v>
      </c>
      <c r="W211" s="355">
        <f t="shared" si="87"/>
        <v>90000</v>
      </c>
      <c r="X211" s="355">
        <f t="shared" si="88"/>
        <v>0</v>
      </c>
      <c r="Y211" s="396"/>
      <c r="Z211" s="346" t="str">
        <f t="shared" si="96"/>
        <v>I-CAMPA</v>
      </c>
      <c r="AA211" s="346" t="str">
        <f t="shared" si="97"/>
        <v>I-CAMPE</v>
      </c>
      <c r="AB211" s="346" t="str">
        <f t="shared" si="98"/>
        <v>I-CAMPM</v>
      </c>
      <c r="AC211" s="346" t="str">
        <f t="shared" si="99"/>
        <v>I-CAMPT</v>
      </c>
      <c r="AD211" s="346" t="str">
        <f t="shared" si="100"/>
        <v>I-CAMPS</v>
      </c>
      <c r="AE211" s="346" t="str">
        <f t="shared" si="101"/>
        <v>I-CAMPX</v>
      </c>
      <c r="AF211" s="346" t="str">
        <f t="shared" si="102"/>
        <v>I-CAMPS</v>
      </c>
      <c r="AG211" s="346">
        <f t="shared" si="89"/>
        <v>18</v>
      </c>
      <c r="AH211" s="346">
        <f>IF(B211&lt;&gt;"",+IF(H211="x",+VLOOKUP(I211,'AUX-NIV2'!B:AG,32,FALSE),0),"")</f>
        <v>0</v>
      </c>
      <c r="AI211" s="346" t="str">
        <f t="shared" si="103"/>
        <v>I-CAMP</v>
      </c>
      <c r="AK211" s="347">
        <f t="shared" si="90"/>
        <v>203</v>
      </c>
      <c r="AL211" s="348">
        <f t="shared" si="104"/>
        <v>220</v>
      </c>
      <c r="AM211" s="347">
        <f t="shared" si="105"/>
        <v>9</v>
      </c>
      <c r="AN211" s="382">
        <f>IF(AND(AH211&gt;0,B211&lt;&gt;""),VLOOKUP(I211,'AUX-NIV2'!$B:$AP,40,FALSE)*O211,0)</f>
        <v>0</v>
      </c>
      <c r="AO211" s="382">
        <f t="shared" si="91"/>
        <v>0</v>
      </c>
      <c r="AQ211" s="395">
        <f>(IF($H211="x",VLOOKUP($I211,'AUX-NIV2'!$B:$X,'AUX-NIV1'!AQ$3,FALSE),0)+($AV211*'AUX-NIV3'!S$4))*$O211+IF($H211=AQ$4,$P211,0)</f>
        <v>0</v>
      </c>
      <c r="AR211" s="395">
        <f>(IF($H211="x",VLOOKUP($I211,'AUX-NIV2'!$B:$X,'AUX-NIV1'!AR$3,FALSE),0)+($AV211*'AUX-NIV3'!T$4))*$O211+IF($H211=AR$4,$P211,0)</f>
        <v>0</v>
      </c>
      <c r="AS211" s="395">
        <f>(IF($H211="x",VLOOKUP($I211,'AUX-NIV2'!$B:$X,'AUX-NIV1'!AS$3,FALSE),0)+($AV211*'AUX-NIV3'!U$4))*$O211+IF($H211=AS$4,$P211,0)</f>
        <v>0</v>
      </c>
      <c r="AT211" s="395">
        <f>(IF($H211="x",VLOOKUP($I211,'AUX-NIV2'!$B:$X,'AUX-NIV1'!AT$3,FALSE),0)+($AV211*'AUX-NIV3'!V$4))*$O211+IF($H211=AT$4,$P211,0)</f>
        <v>0</v>
      </c>
      <c r="AU211" s="395">
        <f>(IF($H211="x",VLOOKUP($I211,'AUX-NIV2'!$B:$X,'AUX-NIV1'!AU$3,FALSE),0)+($AV211*'AUX-NIV3'!W$4))*$O211+IF($H211=AU$4,$P211,0)</f>
        <v>0</v>
      </c>
      <c r="AV211" s="395">
        <f>+IF($H211="x",VLOOKUP($I211,'AUX-NIV2'!$B:$X,'AUX-NIV1'!AV$3,FALSE),0)</f>
        <v>0</v>
      </c>
    </row>
    <row r="212" spans="2:48" ht="14.4" hidden="1" thickTop="1" thickBot="1">
      <c r="B212" s="324" t="s">
        <v>96</v>
      </c>
      <c r="C212" s="325" t="s">
        <v>1171</v>
      </c>
      <c r="D212" s="326" t="s">
        <v>1172</v>
      </c>
      <c r="E212" s="349">
        <f>IF(B212&lt;&gt;"",+SUMIF(Items!C:C,'AUX-NIV1'!B212,Items!H:H),"")</f>
        <v>0</v>
      </c>
      <c r="F212" s="349">
        <f t="shared" si="81"/>
        <v>95000</v>
      </c>
      <c r="G212" s="349">
        <f t="shared" si="82"/>
        <v>0</v>
      </c>
      <c r="H212" s="1395" t="str">
        <f t="shared" si="92"/>
        <v>S</v>
      </c>
      <c r="I212" s="1375" t="s">
        <v>712</v>
      </c>
      <c r="J212" s="350" t="str">
        <f>IF(B212&lt;&gt;"",+VLOOKUP(I212,Recursos!C:F,2,FALSE),"")</f>
        <v>EQUIPAMIENTOS PARA CASAS</v>
      </c>
      <c r="K212" s="351" t="str">
        <f>IF(B212&lt;&gt;"",+VLOOKUP(I212,Recursos!C:F,3,FALSE),"")</f>
        <v>UN</v>
      </c>
      <c r="L212" s="1475">
        <f>IF(B212&lt;&gt;"",+VLOOKUP(I212,Recursos!C:F,4,FALSE),"")</f>
        <v>100000</v>
      </c>
      <c r="M212" s="1501">
        <f>+N201</f>
        <v>0</v>
      </c>
      <c r="N212" s="1502">
        <v>0</v>
      </c>
      <c r="O212" s="1490">
        <f t="shared" si="106"/>
        <v>0</v>
      </c>
      <c r="P212" s="352">
        <f t="shared" si="93"/>
        <v>0</v>
      </c>
      <c r="Q212" s="349">
        <f t="shared" si="94"/>
        <v>0</v>
      </c>
      <c r="R212" s="353">
        <f t="shared" si="95"/>
        <v>0</v>
      </c>
      <c r="S212" s="354">
        <f t="shared" si="83"/>
        <v>0</v>
      </c>
      <c r="T212" s="354">
        <f t="shared" si="84"/>
        <v>0</v>
      </c>
      <c r="U212" s="355">
        <f t="shared" si="85"/>
        <v>5000</v>
      </c>
      <c r="V212" s="355">
        <f t="shared" si="86"/>
        <v>0</v>
      </c>
      <c r="W212" s="355">
        <f t="shared" si="87"/>
        <v>90000</v>
      </c>
      <c r="X212" s="355">
        <f t="shared" si="88"/>
        <v>0</v>
      </c>
      <c r="Y212" s="396"/>
      <c r="Z212" s="346" t="str">
        <f t="shared" si="96"/>
        <v>I-CAMPA</v>
      </c>
      <c r="AA212" s="346" t="str">
        <f t="shared" si="97"/>
        <v>I-CAMPE</v>
      </c>
      <c r="AB212" s="346" t="str">
        <f t="shared" si="98"/>
        <v>I-CAMPM</v>
      </c>
      <c r="AC212" s="346" t="str">
        <f t="shared" si="99"/>
        <v>I-CAMPT</v>
      </c>
      <c r="AD212" s="346" t="str">
        <f t="shared" si="100"/>
        <v>I-CAMPS</v>
      </c>
      <c r="AE212" s="346" t="str">
        <f t="shared" si="101"/>
        <v>I-CAMPX</v>
      </c>
      <c r="AF212" s="346" t="str">
        <f t="shared" si="102"/>
        <v>I-CAMPS</v>
      </c>
      <c r="AG212" s="346">
        <f t="shared" si="89"/>
        <v>18</v>
      </c>
      <c r="AH212" s="346">
        <f>IF(B212&lt;&gt;"",+IF(H212="x",+VLOOKUP(I212,'AUX-NIV2'!B:AG,32,FALSE),0),"")</f>
        <v>0</v>
      </c>
      <c r="AI212" s="346" t="str">
        <f t="shared" si="103"/>
        <v>I-CAMP</v>
      </c>
      <c r="AK212" s="347">
        <f t="shared" si="90"/>
        <v>203</v>
      </c>
      <c r="AL212" s="348">
        <f t="shared" si="104"/>
        <v>220</v>
      </c>
      <c r="AM212" s="347">
        <f t="shared" si="105"/>
        <v>10</v>
      </c>
      <c r="AN212" s="382">
        <f>IF(AND(AH212&gt;0,B212&lt;&gt;""),VLOOKUP(I212,'AUX-NIV2'!$B:$AP,40,FALSE)*O212,0)</f>
        <v>0</v>
      </c>
      <c r="AO212" s="382">
        <f t="shared" si="91"/>
        <v>0</v>
      </c>
      <c r="AQ212" s="395">
        <f>(IF($H212="x",VLOOKUP($I212,'AUX-NIV2'!$B:$X,'AUX-NIV1'!AQ$3,FALSE),0)+($AV212*'AUX-NIV3'!S$4))*$O212+IF($H212=AQ$4,$P212,0)</f>
        <v>0</v>
      </c>
      <c r="AR212" s="395">
        <f>(IF($H212="x",VLOOKUP($I212,'AUX-NIV2'!$B:$X,'AUX-NIV1'!AR$3,FALSE),0)+($AV212*'AUX-NIV3'!T$4))*$O212+IF($H212=AR$4,$P212,0)</f>
        <v>0</v>
      </c>
      <c r="AS212" s="395">
        <f>(IF($H212="x",VLOOKUP($I212,'AUX-NIV2'!$B:$X,'AUX-NIV1'!AS$3,FALSE),0)+($AV212*'AUX-NIV3'!U$4))*$O212+IF($H212=AS$4,$P212,0)</f>
        <v>0</v>
      </c>
      <c r="AT212" s="395">
        <f>(IF($H212="x",VLOOKUP($I212,'AUX-NIV2'!$B:$X,'AUX-NIV1'!AT$3,FALSE),0)+($AV212*'AUX-NIV3'!V$4))*$O212+IF($H212=AT$4,$P212,0)</f>
        <v>0</v>
      </c>
      <c r="AU212" s="395">
        <f>(IF($H212="x",VLOOKUP($I212,'AUX-NIV2'!$B:$X,'AUX-NIV1'!AU$3,FALSE),0)+($AV212*'AUX-NIV3'!W$4))*$O212+IF($H212=AU$4,$P212,0)</f>
        <v>0</v>
      </c>
      <c r="AV212" s="395">
        <f>+IF($H212="x",VLOOKUP($I212,'AUX-NIV2'!$B:$X,'AUX-NIV1'!AV$3,FALSE),0)</f>
        <v>0</v>
      </c>
    </row>
    <row r="213" spans="2:48" ht="14.4" hidden="1" thickTop="1" thickBot="1">
      <c r="B213" s="324" t="s">
        <v>96</v>
      </c>
      <c r="C213" s="325" t="s">
        <v>1171</v>
      </c>
      <c r="D213" s="326" t="s">
        <v>1172</v>
      </c>
      <c r="E213" s="349">
        <f>IF(B213&lt;&gt;"",+SUMIF(Items!C:C,'AUX-NIV1'!B213,Items!H:H),"")</f>
        <v>0</v>
      </c>
      <c r="F213" s="349">
        <f t="shared" si="81"/>
        <v>95000</v>
      </c>
      <c r="G213" s="349">
        <f t="shared" si="82"/>
        <v>0</v>
      </c>
      <c r="H213" s="1395" t="str">
        <f t="shared" si="92"/>
        <v>S</v>
      </c>
      <c r="I213" s="1375" t="s">
        <v>714</v>
      </c>
      <c r="J213" s="350" t="str">
        <f>IF(B213&lt;&gt;"",+VLOOKUP(I213,Recursos!C:F,2,FALSE),"")</f>
        <v>EQUIPAMIENTO TECNICO PARA PRODUCCION</v>
      </c>
      <c r="K213" s="351" t="str">
        <f>IF(B213&lt;&gt;"",+VLOOKUP(I213,Recursos!C:F,3,FALSE),"")</f>
        <v>UN</v>
      </c>
      <c r="L213" s="1475">
        <f>IF(B213&lt;&gt;"",+VLOOKUP(I213,Recursos!C:F,4,FALSE),"")</f>
        <v>10000</v>
      </c>
      <c r="M213" s="1501">
        <f>+Organig!D64+Organig!H64+Organig!L64+Organig!P64+Organig!T64+Organig!X64</f>
        <v>0</v>
      </c>
      <c r="N213" s="1502">
        <v>0</v>
      </c>
      <c r="O213" s="1490">
        <f t="shared" si="106"/>
        <v>0</v>
      </c>
      <c r="P213" s="352">
        <f t="shared" si="93"/>
        <v>0</v>
      </c>
      <c r="Q213" s="349">
        <f t="shared" si="94"/>
        <v>0</v>
      </c>
      <c r="R213" s="353">
        <f t="shared" si="95"/>
        <v>0</v>
      </c>
      <c r="S213" s="354">
        <f t="shared" si="83"/>
        <v>0</v>
      </c>
      <c r="T213" s="354">
        <f t="shared" si="84"/>
        <v>0</v>
      </c>
      <c r="U213" s="355">
        <f t="shared" si="85"/>
        <v>5000</v>
      </c>
      <c r="V213" s="355">
        <f t="shared" si="86"/>
        <v>0</v>
      </c>
      <c r="W213" s="355">
        <f t="shared" si="87"/>
        <v>90000</v>
      </c>
      <c r="X213" s="355">
        <f t="shared" si="88"/>
        <v>0</v>
      </c>
      <c r="Y213" s="396"/>
      <c r="Z213" s="346" t="str">
        <f t="shared" si="96"/>
        <v>I-CAMPA</v>
      </c>
      <c r="AA213" s="346" t="str">
        <f t="shared" si="97"/>
        <v>I-CAMPE</v>
      </c>
      <c r="AB213" s="346" t="str">
        <f t="shared" si="98"/>
        <v>I-CAMPM</v>
      </c>
      <c r="AC213" s="346" t="str">
        <f t="shared" si="99"/>
        <v>I-CAMPT</v>
      </c>
      <c r="AD213" s="346" t="str">
        <f t="shared" si="100"/>
        <v>I-CAMPS</v>
      </c>
      <c r="AE213" s="346" t="str">
        <f t="shared" si="101"/>
        <v>I-CAMPX</v>
      </c>
      <c r="AF213" s="346" t="str">
        <f t="shared" si="102"/>
        <v>I-CAMPS</v>
      </c>
      <c r="AG213" s="346">
        <f t="shared" si="89"/>
        <v>18</v>
      </c>
      <c r="AH213" s="346">
        <f>IF(B213&lt;&gt;"",+IF(H213="x",+VLOOKUP(I213,'AUX-NIV2'!B:AG,32,FALSE),0),"")</f>
        <v>0</v>
      </c>
      <c r="AI213" s="346" t="str">
        <f t="shared" si="103"/>
        <v>I-CAMP</v>
      </c>
      <c r="AK213" s="347">
        <f t="shared" si="90"/>
        <v>203</v>
      </c>
      <c r="AL213" s="348">
        <f t="shared" si="104"/>
        <v>220</v>
      </c>
      <c r="AM213" s="347">
        <f t="shared" si="105"/>
        <v>11</v>
      </c>
      <c r="AN213" s="382">
        <f>IF(AND(AH213&gt;0,B213&lt;&gt;""),VLOOKUP(I213,'AUX-NIV2'!$B:$AP,40,FALSE)*O213,0)</f>
        <v>0</v>
      </c>
      <c r="AO213" s="382">
        <f t="shared" si="91"/>
        <v>0</v>
      </c>
      <c r="AQ213" s="395">
        <f>(IF($H213="x",VLOOKUP($I213,'AUX-NIV2'!$B:$X,'AUX-NIV1'!AQ$3,FALSE),0)+($AV213*'AUX-NIV3'!S$4))*$O213+IF($H213=AQ$4,$P213,0)</f>
        <v>0</v>
      </c>
      <c r="AR213" s="395">
        <f>(IF($H213="x",VLOOKUP($I213,'AUX-NIV2'!$B:$X,'AUX-NIV1'!AR$3,FALSE),0)+($AV213*'AUX-NIV3'!T$4))*$O213+IF($H213=AR$4,$P213,0)</f>
        <v>0</v>
      </c>
      <c r="AS213" s="395">
        <f>(IF($H213="x",VLOOKUP($I213,'AUX-NIV2'!$B:$X,'AUX-NIV1'!AS$3,FALSE),0)+($AV213*'AUX-NIV3'!U$4))*$O213+IF($H213=AS$4,$P213,0)</f>
        <v>0</v>
      </c>
      <c r="AT213" s="395">
        <f>(IF($H213="x",VLOOKUP($I213,'AUX-NIV2'!$B:$X,'AUX-NIV1'!AT$3,FALSE),0)+($AV213*'AUX-NIV3'!V$4))*$O213+IF($H213=AT$4,$P213,0)</f>
        <v>0</v>
      </c>
      <c r="AU213" s="395">
        <f>(IF($H213="x",VLOOKUP($I213,'AUX-NIV2'!$B:$X,'AUX-NIV1'!AU$3,FALSE),0)+($AV213*'AUX-NIV3'!W$4))*$O213+IF($H213=AU$4,$P213,0)</f>
        <v>0</v>
      </c>
      <c r="AV213" s="395">
        <f>+IF($H213="x",VLOOKUP($I213,'AUX-NIV2'!$B:$X,'AUX-NIV1'!AV$3,FALSE),0)</f>
        <v>0</v>
      </c>
    </row>
    <row r="214" spans="2:48" ht="14.4" hidden="1" thickTop="1" thickBot="1">
      <c r="B214" s="324" t="s">
        <v>96</v>
      </c>
      <c r="C214" s="325" t="s">
        <v>1171</v>
      </c>
      <c r="D214" s="326" t="s">
        <v>1172</v>
      </c>
      <c r="E214" s="349">
        <f>IF(B214&lt;&gt;"",+SUMIF(Items!C:C,'AUX-NIV1'!B214,Items!H:H),"")</f>
        <v>0</v>
      </c>
      <c r="F214" s="349">
        <f t="shared" si="81"/>
        <v>95000</v>
      </c>
      <c r="G214" s="349">
        <f t="shared" si="82"/>
        <v>0</v>
      </c>
      <c r="H214" s="1395" t="str">
        <f t="shared" si="92"/>
        <v>S</v>
      </c>
      <c r="I214" s="1375" t="s">
        <v>716</v>
      </c>
      <c r="J214" s="350" t="str">
        <f>IF(B214&lt;&gt;"",+VLOOKUP(I214,Recursos!C:F,2,FALSE),"")</f>
        <v>EQUIPAMIENTO TECNICO PARA TOPOGRAFIA</v>
      </c>
      <c r="K214" s="351" t="str">
        <f>IF(B214&lt;&gt;"",+VLOOKUP(I214,Recursos!C:F,3,FALSE),"")</f>
        <v>UN</v>
      </c>
      <c r="L214" s="1475">
        <f>IF(B214&lt;&gt;"",+VLOOKUP(I214,Recursos!C:F,4,FALSE),"")</f>
        <v>10000</v>
      </c>
      <c r="M214" s="1501">
        <f>+Organig!H66</f>
        <v>1</v>
      </c>
      <c r="N214" s="1502">
        <v>0</v>
      </c>
      <c r="O214" s="1490">
        <f>N214*M214</f>
        <v>0</v>
      </c>
      <c r="P214" s="352">
        <f t="shared" si="93"/>
        <v>0</v>
      </c>
      <c r="Q214" s="349">
        <f t="shared" si="94"/>
        <v>0</v>
      </c>
      <c r="R214" s="353">
        <f t="shared" si="95"/>
        <v>0</v>
      </c>
      <c r="S214" s="354">
        <f t="shared" si="83"/>
        <v>0</v>
      </c>
      <c r="T214" s="354">
        <f t="shared" si="84"/>
        <v>0</v>
      </c>
      <c r="U214" s="355">
        <f t="shared" si="85"/>
        <v>5000</v>
      </c>
      <c r="V214" s="355">
        <f t="shared" si="86"/>
        <v>0</v>
      </c>
      <c r="W214" s="355">
        <f t="shared" si="87"/>
        <v>90000</v>
      </c>
      <c r="X214" s="355">
        <f t="shared" si="88"/>
        <v>0</v>
      </c>
      <c r="Y214" s="396"/>
      <c r="Z214" s="346" t="str">
        <f t="shared" si="96"/>
        <v>I-CAMPA</v>
      </c>
      <c r="AA214" s="346" t="str">
        <f t="shared" si="97"/>
        <v>I-CAMPE</v>
      </c>
      <c r="AB214" s="346" t="str">
        <f t="shared" si="98"/>
        <v>I-CAMPM</v>
      </c>
      <c r="AC214" s="346" t="str">
        <f t="shared" si="99"/>
        <v>I-CAMPT</v>
      </c>
      <c r="AD214" s="346" t="str">
        <f t="shared" si="100"/>
        <v>I-CAMPS</v>
      </c>
      <c r="AE214" s="346" t="str">
        <f t="shared" si="101"/>
        <v>I-CAMPX</v>
      </c>
      <c r="AF214" s="346" t="str">
        <f t="shared" si="102"/>
        <v>I-CAMPS</v>
      </c>
      <c r="AG214" s="346">
        <f t="shared" si="89"/>
        <v>18</v>
      </c>
      <c r="AH214" s="346">
        <f>IF(B214&lt;&gt;"",+IF(H214="x",+VLOOKUP(I214,'AUX-NIV2'!B:AG,32,FALSE),0),"")</f>
        <v>0</v>
      </c>
      <c r="AI214" s="346" t="str">
        <f t="shared" si="103"/>
        <v>I-CAMP</v>
      </c>
      <c r="AK214" s="347">
        <f t="shared" si="90"/>
        <v>203</v>
      </c>
      <c r="AL214" s="348">
        <f t="shared" si="104"/>
        <v>220</v>
      </c>
      <c r="AM214" s="347">
        <f t="shared" si="105"/>
        <v>12</v>
      </c>
      <c r="AN214" s="382">
        <f>IF(AND(AH214&gt;0,B214&lt;&gt;""),VLOOKUP(I214,'AUX-NIV2'!$B:$AP,40,FALSE)*O214,0)</f>
        <v>0</v>
      </c>
      <c r="AO214" s="382">
        <f t="shared" si="91"/>
        <v>0</v>
      </c>
      <c r="AQ214" s="395">
        <f>(IF($H214="x",VLOOKUP($I214,'AUX-NIV2'!$B:$X,'AUX-NIV1'!AQ$3,FALSE),0)+($AV214*'AUX-NIV3'!S$4))*$O214+IF($H214=AQ$4,$P214,0)</f>
        <v>0</v>
      </c>
      <c r="AR214" s="395">
        <f>(IF($H214="x",VLOOKUP($I214,'AUX-NIV2'!$B:$X,'AUX-NIV1'!AR$3,FALSE),0)+($AV214*'AUX-NIV3'!T$4))*$O214+IF($H214=AR$4,$P214,0)</f>
        <v>0</v>
      </c>
      <c r="AS214" s="395">
        <f>(IF($H214="x",VLOOKUP($I214,'AUX-NIV2'!$B:$X,'AUX-NIV1'!AS$3,FALSE),0)+($AV214*'AUX-NIV3'!U$4))*$O214+IF($H214=AS$4,$P214,0)</f>
        <v>0</v>
      </c>
      <c r="AT214" s="395">
        <f>(IF($H214="x",VLOOKUP($I214,'AUX-NIV2'!$B:$X,'AUX-NIV1'!AT$3,FALSE),0)+($AV214*'AUX-NIV3'!V$4))*$O214+IF($H214=AT$4,$P214,0)</f>
        <v>0</v>
      </c>
      <c r="AU214" s="395">
        <f>(IF($H214="x",VLOOKUP($I214,'AUX-NIV2'!$B:$X,'AUX-NIV1'!AU$3,FALSE),0)+($AV214*'AUX-NIV3'!W$4))*$O214+IF($H214=AU$4,$P214,0)</f>
        <v>0</v>
      </c>
      <c r="AV214" s="395">
        <f>+IF($H214="x",VLOOKUP($I214,'AUX-NIV2'!$B:$X,'AUX-NIV1'!AV$3,FALSE),0)</f>
        <v>0</v>
      </c>
    </row>
    <row r="215" spans="2:48" ht="14.4" hidden="1" thickTop="1" thickBot="1">
      <c r="B215" s="324" t="s">
        <v>96</v>
      </c>
      <c r="C215" s="325" t="s">
        <v>1171</v>
      </c>
      <c r="D215" s="326" t="s">
        <v>1172</v>
      </c>
      <c r="E215" s="349">
        <f>IF(B215&lt;&gt;"",+SUMIF(Items!C:C,'AUX-NIV1'!B215,Items!H:H),"")</f>
        <v>0</v>
      </c>
      <c r="F215" s="349">
        <f t="shared" si="81"/>
        <v>95000</v>
      </c>
      <c r="G215" s="349">
        <f t="shared" si="82"/>
        <v>0</v>
      </c>
      <c r="H215" s="1395" t="str">
        <f t="shared" si="92"/>
        <v>S</v>
      </c>
      <c r="I215" s="1375" t="s">
        <v>718</v>
      </c>
      <c r="J215" s="350" t="str">
        <f>IF(B215&lt;&gt;"",+VLOOKUP(I215,Recursos!C:F,2,FALSE),"")</f>
        <v xml:space="preserve">EQUIPAMIENTO TECNICO PARA LABORATORIO </v>
      </c>
      <c r="K215" s="351" t="str">
        <f>IF(B215&lt;&gt;"",+VLOOKUP(I215,Recursos!C:F,3,FALSE),"")</f>
        <v>UN</v>
      </c>
      <c r="L215" s="1475">
        <f>IF(B215&lt;&gt;"",+VLOOKUP(I215,Recursos!C:F,4,FALSE),"")</f>
        <v>10000</v>
      </c>
      <c r="M215" s="1501">
        <f>+M209</f>
        <v>1</v>
      </c>
      <c r="N215" s="1502">
        <v>0</v>
      </c>
      <c r="O215" s="1490">
        <f>N215*M215</f>
        <v>0</v>
      </c>
      <c r="P215" s="352">
        <f t="shared" si="93"/>
        <v>0</v>
      </c>
      <c r="Q215" s="349">
        <f t="shared" si="94"/>
        <v>0</v>
      </c>
      <c r="R215" s="353">
        <f t="shared" si="95"/>
        <v>0</v>
      </c>
      <c r="S215" s="354">
        <f t="shared" si="83"/>
        <v>0</v>
      </c>
      <c r="T215" s="354">
        <f t="shared" si="84"/>
        <v>0</v>
      </c>
      <c r="U215" s="355">
        <f t="shared" si="85"/>
        <v>5000</v>
      </c>
      <c r="V215" s="355">
        <f t="shared" si="86"/>
        <v>0</v>
      </c>
      <c r="W215" s="355">
        <f t="shared" si="87"/>
        <v>90000</v>
      </c>
      <c r="X215" s="355">
        <f t="shared" si="88"/>
        <v>0</v>
      </c>
      <c r="Y215" s="396"/>
      <c r="Z215" s="346" t="str">
        <f t="shared" si="96"/>
        <v>I-CAMPA</v>
      </c>
      <c r="AA215" s="346" t="str">
        <f t="shared" si="97"/>
        <v>I-CAMPE</v>
      </c>
      <c r="AB215" s="346" t="str">
        <f t="shared" si="98"/>
        <v>I-CAMPM</v>
      </c>
      <c r="AC215" s="346" t="str">
        <f t="shared" si="99"/>
        <v>I-CAMPT</v>
      </c>
      <c r="AD215" s="346" t="str">
        <f t="shared" si="100"/>
        <v>I-CAMPS</v>
      </c>
      <c r="AE215" s="346" t="str">
        <f t="shared" si="101"/>
        <v>I-CAMPX</v>
      </c>
      <c r="AF215" s="346" t="str">
        <f t="shared" si="102"/>
        <v>I-CAMPS</v>
      </c>
      <c r="AG215" s="346">
        <f t="shared" si="89"/>
        <v>18</v>
      </c>
      <c r="AH215" s="346">
        <f>IF(B215&lt;&gt;"",+IF(H215="x",+VLOOKUP(I215,'AUX-NIV2'!B:AG,32,FALSE),0),"")</f>
        <v>0</v>
      </c>
      <c r="AI215" s="346" t="str">
        <f t="shared" si="103"/>
        <v>I-CAMP</v>
      </c>
      <c r="AK215" s="347">
        <f t="shared" si="90"/>
        <v>203</v>
      </c>
      <c r="AL215" s="348">
        <f t="shared" si="104"/>
        <v>220</v>
      </c>
      <c r="AM215" s="347">
        <f t="shared" si="105"/>
        <v>13</v>
      </c>
      <c r="AN215" s="382">
        <f>IF(AND(AH215&gt;0,B215&lt;&gt;""),VLOOKUP(I215,'AUX-NIV2'!$B:$AP,40,FALSE)*O215,0)</f>
        <v>0</v>
      </c>
      <c r="AO215" s="382">
        <f t="shared" si="91"/>
        <v>0</v>
      </c>
      <c r="AQ215" s="395">
        <f>(IF($H215="x",VLOOKUP($I215,'AUX-NIV2'!$B:$X,'AUX-NIV1'!AQ$3,FALSE),0)+($AV215*'AUX-NIV3'!S$4))*$O215+IF($H215=AQ$4,$P215,0)</f>
        <v>0</v>
      </c>
      <c r="AR215" s="395">
        <f>(IF($H215="x",VLOOKUP($I215,'AUX-NIV2'!$B:$X,'AUX-NIV1'!AR$3,FALSE),0)+($AV215*'AUX-NIV3'!T$4))*$O215+IF($H215=AR$4,$P215,0)</f>
        <v>0</v>
      </c>
      <c r="AS215" s="395">
        <f>(IF($H215="x",VLOOKUP($I215,'AUX-NIV2'!$B:$X,'AUX-NIV1'!AS$3,FALSE),0)+($AV215*'AUX-NIV3'!U$4))*$O215+IF($H215=AS$4,$P215,0)</f>
        <v>0</v>
      </c>
      <c r="AT215" s="395">
        <f>(IF($H215="x",VLOOKUP($I215,'AUX-NIV2'!$B:$X,'AUX-NIV1'!AT$3,FALSE),0)+($AV215*'AUX-NIV3'!V$4))*$O215+IF($H215=AT$4,$P215,0)</f>
        <v>0</v>
      </c>
      <c r="AU215" s="395">
        <f>(IF($H215="x",VLOOKUP($I215,'AUX-NIV2'!$B:$X,'AUX-NIV1'!AU$3,FALSE),0)+($AV215*'AUX-NIV3'!W$4))*$O215+IF($H215=AU$4,$P215,0)</f>
        <v>0</v>
      </c>
      <c r="AV215" s="395">
        <f>+IF($H215="x",VLOOKUP($I215,'AUX-NIV2'!$B:$X,'AUX-NIV1'!AV$3,FALSE),0)</f>
        <v>0</v>
      </c>
    </row>
    <row r="216" spans="2:48" ht="14.4" hidden="1" thickTop="1" thickBot="1">
      <c r="B216" s="324" t="s">
        <v>96</v>
      </c>
      <c r="C216" s="325" t="s">
        <v>1171</v>
      </c>
      <c r="D216" s="326" t="s">
        <v>1172</v>
      </c>
      <c r="E216" s="349">
        <f>IF(B216&lt;&gt;"",+SUMIF(Items!C:C,'AUX-NIV1'!B216,Items!H:H),"")</f>
        <v>0</v>
      </c>
      <c r="F216" s="349">
        <f t="shared" si="81"/>
        <v>95000</v>
      </c>
      <c r="G216" s="349">
        <f t="shared" si="82"/>
        <v>0</v>
      </c>
      <c r="H216" s="1395" t="str">
        <f t="shared" si="92"/>
        <v>S</v>
      </c>
      <c r="I216" s="1375" t="s">
        <v>720</v>
      </c>
      <c r="J216" s="350" t="str">
        <f>IF(B216&lt;&gt;"",+VLOOKUP(I216,Recursos!C:F,2,FALSE),"")</f>
        <v>EQUIPAMIENTO TECNICO PARA SEGURIDAD</v>
      </c>
      <c r="K216" s="351" t="str">
        <f>IF(B216&lt;&gt;"",+VLOOKUP(I216,Recursos!C:F,3,FALSE),"")</f>
        <v>UN</v>
      </c>
      <c r="L216" s="1475">
        <f>IF(B216&lt;&gt;"",+VLOOKUP(I216,Recursos!C:F,4,FALSE),"")</f>
        <v>10000</v>
      </c>
      <c r="M216" s="1501">
        <f>4*Organig!D35+2*Organig!D27</f>
        <v>1</v>
      </c>
      <c r="N216" s="1502">
        <v>0</v>
      </c>
      <c r="O216" s="1490">
        <f>N216*M216</f>
        <v>0</v>
      </c>
      <c r="P216" s="352">
        <f t="shared" si="93"/>
        <v>0</v>
      </c>
      <c r="Q216" s="349">
        <f t="shared" si="94"/>
        <v>0</v>
      </c>
      <c r="R216" s="353">
        <f t="shared" si="95"/>
        <v>0</v>
      </c>
      <c r="S216" s="354">
        <f t="shared" si="83"/>
        <v>0</v>
      </c>
      <c r="T216" s="354">
        <f t="shared" si="84"/>
        <v>0</v>
      </c>
      <c r="U216" s="355">
        <f t="shared" si="85"/>
        <v>5000</v>
      </c>
      <c r="V216" s="355">
        <f t="shared" si="86"/>
        <v>0</v>
      </c>
      <c r="W216" s="355">
        <f t="shared" si="87"/>
        <v>90000</v>
      </c>
      <c r="X216" s="355">
        <f t="shared" si="88"/>
        <v>0</v>
      </c>
      <c r="Y216" s="396"/>
      <c r="Z216" s="346" t="str">
        <f t="shared" si="96"/>
        <v>I-CAMPA</v>
      </c>
      <c r="AA216" s="346" t="str">
        <f t="shared" si="97"/>
        <v>I-CAMPE</v>
      </c>
      <c r="AB216" s="346" t="str">
        <f t="shared" si="98"/>
        <v>I-CAMPM</v>
      </c>
      <c r="AC216" s="346" t="str">
        <f t="shared" si="99"/>
        <v>I-CAMPT</v>
      </c>
      <c r="AD216" s="346" t="str">
        <f t="shared" si="100"/>
        <v>I-CAMPS</v>
      </c>
      <c r="AE216" s="346" t="str">
        <f t="shared" si="101"/>
        <v>I-CAMPX</v>
      </c>
      <c r="AF216" s="346" t="str">
        <f t="shared" si="102"/>
        <v>I-CAMPS</v>
      </c>
      <c r="AG216" s="346">
        <f t="shared" si="89"/>
        <v>18</v>
      </c>
      <c r="AH216" s="346">
        <f>IF(B216&lt;&gt;"",+IF(H216="x",+VLOOKUP(I216,'AUX-NIV2'!B:AG,32,FALSE),0),"")</f>
        <v>0</v>
      </c>
      <c r="AI216" s="346" t="str">
        <f t="shared" si="103"/>
        <v>I-CAMP</v>
      </c>
      <c r="AK216" s="347">
        <f t="shared" si="90"/>
        <v>203</v>
      </c>
      <c r="AL216" s="348">
        <f t="shared" si="104"/>
        <v>220</v>
      </c>
      <c r="AM216" s="347">
        <f t="shared" si="105"/>
        <v>14</v>
      </c>
      <c r="AN216" s="382">
        <f>IF(AND(AH216&gt;0,B216&lt;&gt;""),VLOOKUP(I216,'AUX-NIV2'!$B:$AP,40,FALSE)*O216,0)</f>
        <v>0</v>
      </c>
      <c r="AO216" s="382">
        <f t="shared" si="91"/>
        <v>0</v>
      </c>
      <c r="AQ216" s="395">
        <f>(IF($H216="x",VLOOKUP($I216,'AUX-NIV2'!$B:$X,'AUX-NIV1'!AQ$3,FALSE),0)+($AV216*'AUX-NIV3'!S$4))*$O216+IF($H216=AQ$4,$P216,0)</f>
        <v>0</v>
      </c>
      <c r="AR216" s="395">
        <f>(IF($H216="x",VLOOKUP($I216,'AUX-NIV2'!$B:$X,'AUX-NIV1'!AR$3,FALSE),0)+($AV216*'AUX-NIV3'!T$4))*$O216+IF($H216=AR$4,$P216,0)</f>
        <v>0</v>
      </c>
      <c r="AS216" s="395">
        <f>(IF($H216="x",VLOOKUP($I216,'AUX-NIV2'!$B:$X,'AUX-NIV1'!AS$3,FALSE),0)+($AV216*'AUX-NIV3'!U$4))*$O216+IF($H216=AS$4,$P216,0)</f>
        <v>0</v>
      </c>
      <c r="AT216" s="395">
        <f>(IF($H216="x",VLOOKUP($I216,'AUX-NIV2'!$B:$X,'AUX-NIV1'!AT$3,FALSE),0)+($AV216*'AUX-NIV3'!V$4))*$O216+IF($H216=AT$4,$P216,0)</f>
        <v>0</v>
      </c>
      <c r="AU216" s="395">
        <f>(IF($H216="x",VLOOKUP($I216,'AUX-NIV2'!$B:$X,'AUX-NIV1'!AU$3,FALSE),0)+($AV216*'AUX-NIV3'!W$4))*$O216+IF($H216=AU$4,$P216,0)</f>
        <v>0</v>
      </c>
      <c r="AV216" s="395">
        <f>+IF($H216="x",VLOOKUP($I216,'AUX-NIV2'!$B:$X,'AUX-NIV1'!AV$3,FALSE),0)</f>
        <v>0</v>
      </c>
    </row>
    <row r="217" spans="2:48" ht="14.4" hidden="1" thickTop="1" thickBot="1">
      <c r="B217" s="324" t="s">
        <v>96</v>
      </c>
      <c r="C217" s="325" t="s">
        <v>1171</v>
      </c>
      <c r="D217" s="326" t="s">
        <v>1172</v>
      </c>
      <c r="E217" s="349">
        <f>IF(B217&lt;&gt;"",+SUMIF(Items!C:C,'AUX-NIV1'!B217,Items!H:H),"")</f>
        <v>0</v>
      </c>
      <c r="F217" s="349">
        <f t="shared" si="81"/>
        <v>95000</v>
      </c>
      <c r="G217" s="349">
        <f t="shared" si="82"/>
        <v>0</v>
      </c>
      <c r="H217" s="1395" t="str">
        <f t="shared" si="92"/>
        <v>S</v>
      </c>
      <c r="I217" s="1375" t="s">
        <v>700</v>
      </c>
      <c r="J217" s="350" t="str">
        <f>IF(B217&lt;&gt;"",+VLOOKUP(I217,Recursos!C:F,2,FALSE),"")</f>
        <v>GALPONES METALICOS</v>
      </c>
      <c r="K217" s="351" t="str">
        <f>IF(B217&lt;&gt;"",+VLOOKUP(I217,Recursos!C:F,3,FALSE),"")</f>
        <v>M2</v>
      </c>
      <c r="L217" s="1475">
        <f>IF(B217&lt;&gt;"",+VLOOKUP(I217,Recursos!C:F,4,FALSE),"")</f>
        <v>25512.5</v>
      </c>
      <c r="M217" s="1501">
        <f>+SUM(Organig!D69:D75)</f>
        <v>100</v>
      </c>
      <c r="N217" s="1502">
        <v>0</v>
      </c>
      <c r="O217" s="1490">
        <f>N217*M217</f>
        <v>0</v>
      </c>
      <c r="P217" s="352">
        <f t="shared" si="93"/>
        <v>0</v>
      </c>
      <c r="Q217" s="349">
        <f t="shared" si="94"/>
        <v>0</v>
      </c>
      <c r="R217" s="353">
        <f t="shared" si="95"/>
        <v>0</v>
      </c>
      <c r="S217" s="354">
        <f t="shared" si="83"/>
        <v>0</v>
      </c>
      <c r="T217" s="354">
        <f t="shared" si="84"/>
        <v>0</v>
      </c>
      <c r="U217" s="355">
        <f t="shared" si="85"/>
        <v>5000</v>
      </c>
      <c r="V217" s="355">
        <f t="shared" si="86"/>
        <v>0</v>
      </c>
      <c r="W217" s="355">
        <f t="shared" si="87"/>
        <v>90000</v>
      </c>
      <c r="X217" s="355">
        <f t="shared" si="88"/>
        <v>0</v>
      </c>
      <c r="Y217" s="396"/>
      <c r="Z217" s="346" t="str">
        <f t="shared" si="96"/>
        <v>I-CAMPA</v>
      </c>
      <c r="AA217" s="346" t="str">
        <f t="shared" si="97"/>
        <v>I-CAMPE</v>
      </c>
      <c r="AB217" s="346" t="str">
        <f t="shared" si="98"/>
        <v>I-CAMPM</v>
      </c>
      <c r="AC217" s="346" t="str">
        <f t="shared" si="99"/>
        <v>I-CAMPT</v>
      </c>
      <c r="AD217" s="346" t="str">
        <f t="shared" si="100"/>
        <v>I-CAMPS</v>
      </c>
      <c r="AE217" s="346" t="str">
        <f t="shared" si="101"/>
        <v>I-CAMPX</v>
      </c>
      <c r="AF217" s="346" t="str">
        <f t="shared" si="102"/>
        <v>I-CAMPS</v>
      </c>
      <c r="AG217" s="346">
        <f t="shared" si="89"/>
        <v>18</v>
      </c>
      <c r="AH217" s="346">
        <f>IF(B217&lt;&gt;"",+IF(H217="x",+VLOOKUP(I217,'AUX-NIV2'!B:AG,32,FALSE),0),"")</f>
        <v>0</v>
      </c>
      <c r="AI217" s="346" t="str">
        <f t="shared" si="103"/>
        <v>I-CAMP</v>
      </c>
      <c r="AK217" s="347">
        <f t="shared" si="90"/>
        <v>203</v>
      </c>
      <c r="AL217" s="348">
        <f t="shared" si="104"/>
        <v>220</v>
      </c>
      <c r="AM217" s="347">
        <f t="shared" si="105"/>
        <v>15</v>
      </c>
      <c r="AN217" s="382">
        <f>IF(AND(AH217&gt;0,B217&lt;&gt;""),VLOOKUP(I217,'AUX-NIV2'!$B:$AP,40,FALSE)*O217,0)</f>
        <v>0</v>
      </c>
      <c r="AO217" s="382">
        <f t="shared" si="91"/>
        <v>0</v>
      </c>
      <c r="AQ217" s="395">
        <f>(IF($H217="x",VLOOKUP($I217,'AUX-NIV2'!$B:$X,'AUX-NIV1'!AQ$3,FALSE),0)+($AV217*'AUX-NIV3'!S$4))*$O217+IF($H217=AQ$4,$P217,0)</f>
        <v>0</v>
      </c>
      <c r="AR217" s="395">
        <f>(IF($H217="x",VLOOKUP($I217,'AUX-NIV2'!$B:$X,'AUX-NIV1'!AR$3,FALSE),0)+($AV217*'AUX-NIV3'!T$4))*$O217+IF($H217=AR$4,$P217,0)</f>
        <v>0</v>
      </c>
      <c r="AS217" s="395">
        <f>(IF($H217="x",VLOOKUP($I217,'AUX-NIV2'!$B:$X,'AUX-NIV1'!AS$3,FALSE),0)+($AV217*'AUX-NIV3'!U$4))*$O217+IF($H217=AS$4,$P217,0)</f>
        <v>0</v>
      </c>
      <c r="AT217" s="395">
        <f>(IF($H217="x",VLOOKUP($I217,'AUX-NIV2'!$B:$X,'AUX-NIV1'!AT$3,FALSE),0)+($AV217*'AUX-NIV3'!V$4))*$O217+IF($H217=AT$4,$P217,0)</f>
        <v>0</v>
      </c>
      <c r="AU217" s="395">
        <f>(IF($H217="x",VLOOKUP($I217,'AUX-NIV2'!$B:$X,'AUX-NIV1'!AU$3,FALSE),0)+($AV217*'AUX-NIV3'!W$4))*$O217+IF($H217=AU$4,$P217,0)</f>
        <v>0</v>
      </c>
      <c r="AV217" s="395">
        <f>+IF($H217="x",VLOOKUP($I217,'AUX-NIV2'!$B:$X,'AUX-NIV1'!AV$3,FALSE),0)</f>
        <v>0</v>
      </c>
    </row>
    <row r="218" spans="2:48" ht="14.4" hidden="1" thickTop="1" thickBot="1">
      <c r="B218" s="324" t="s">
        <v>96</v>
      </c>
      <c r="C218" s="325" t="s">
        <v>1171</v>
      </c>
      <c r="D218" s="326" t="s">
        <v>1172</v>
      </c>
      <c r="E218" s="349">
        <f>IF(B218&lt;&gt;"",+SUMIF(Items!C:C,'AUX-NIV1'!B218,Items!H:H),"")</f>
        <v>0</v>
      </c>
      <c r="F218" s="349">
        <f t="shared" si="81"/>
        <v>95000</v>
      </c>
      <c r="G218" s="349">
        <f t="shared" si="82"/>
        <v>0</v>
      </c>
      <c r="H218" s="1395" t="str">
        <f t="shared" si="92"/>
        <v>S</v>
      </c>
      <c r="I218" s="1375" t="s">
        <v>694</v>
      </c>
      <c r="J218" s="350" t="str">
        <f>IF(B218&lt;&gt;"",+VLOOKUP(I218,Recursos!C:F,2,FALSE),"")</f>
        <v>INSTALACIONES EN CAMPAMENTO (ELEC.SANIT.ETC)</v>
      </c>
      <c r="K218" s="351" t="str">
        <f>IF(B218&lt;&gt;"",+VLOOKUP(I218,Recursos!C:F,3,FALSE),"")</f>
        <v>M2</v>
      </c>
      <c r="L218" s="1475">
        <f>IF(B218&lt;&gt;"",+VLOOKUP(I218,Recursos!C:F,4,FALSE),"")</f>
        <v>150</v>
      </c>
      <c r="M218" s="1501">
        <f>+M205</f>
        <v>12.5</v>
      </c>
      <c r="N218" s="1502">
        <v>0</v>
      </c>
      <c r="O218" s="1490">
        <f>N218*M218</f>
        <v>0</v>
      </c>
      <c r="P218" s="352">
        <f t="shared" si="93"/>
        <v>0</v>
      </c>
      <c r="Q218" s="349">
        <f t="shared" si="94"/>
        <v>0</v>
      </c>
      <c r="R218" s="353">
        <f t="shared" si="95"/>
        <v>0</v>
      </c>
      <c r="S218" s="354">
        <f t="shared" si="83"/>
        <v>0</v>
      </c>
      <c r="T218" s="354">
        <f t="shared" si="84"/>
        <v>0</v>
      </c>
      <c r="U218" s="355">
        <f t="shared" si="85"/>
        <v>5000</v>
      </c>
      <c r="V218" s="355">
        <f t="shared" si="86"/>
        <v>0</v>
      </c>
      <c r="W218" s="355">
        <f t="shared" si="87"/>
        <v>90000</v>
      </c>
      <c r="X218" s="355">
        <f t="shared" si="88"/>
        <v>0</v>
      </c>
      <c r="Y218" s="396"/>
      <c r="Z218" s="346" t="str">
        <f t="shared" si="96"/>
        <v>I-CAMPA</v>
      </c>
      <c r="AA218" s="346" t="str">
        <f t="shared" si="97"/>
        <v>I-CAMPE</v>
      </c>
      <c r="AB218" s="346" t="str">
        <f t="shared" si="98"/>
        <v>I-CAMPM</v>
      </c>
      <c r="AC218" s="346" t="str">
        <f t="shared" si="99"/>
        <v>I-CAMPT</v>
      </c>
      <c r="AD218" s="346" t="str">
        <f t="shared" si="100"/>
        <v>I-CAMPS</v>
      </c>
      <c r="AE218" s="346" t="str">
        <f t="shared" si="101"/>
        <v>I-CAMPX</v>
      </c>
      <c r="AF218" s="346" t="str">
        <f t="shared" si="102"/>
        <v>I-CAMPS</v>
      </c>
      <c r="AG218" s="346">
        <f t="shared" si="89"/>
        <v>18</v>
      </c>
      <c r="AH218" s="346">
        <f>IF(B218&lt;&gt;"",+IF(H218="x",+VLOOKUP(I218,'AUX-NIV2'!B:AG,32,FALSE),0),"")</f>
        <v>0</v>
      </c>
      <c r="AI218" s="346" t="str">
        <f t="shared" si="103"/>
        <v>I-CAMP</v>
      </c>
      <c r="AK218" s="347">
        <f t="shared" si="90"/>
        <v>203</v>
      </c>
      <c r="AL218" s="348">
        <f t="shared" si="104"/>
        <v>220</v>
      </c>
      <c r="AM218" s="347">
        <f t="shared" si="105"/>
        <v>16</v>
      </c>
      <c r="AN218" s="382">
        <f>IF(AND(AH218&gt;0,B218&lt;&gt;""),VLOOKUP(I218,'AUX-NIV2'!$B:$AP,40,FALSE)*O218,0)</f>
        <v>0</v>
      </c>
      <c r="AO218" s="382">
        <f t="shared" si="91"/>
        <v>0</v>
      </c>
      <c r="AQ218" s="395">
        <f>(IF($H218="x",VLOOKUP($I218,'AUX-NIV2'!$B:$X,'AUX-NIV1'!AQ$3,FALSE),0)+($AV218*'AUX-NIV3'!S$4))*$O218+IF($H218=AQ$4,$P218,0)</f>
        <v>0</v>
      </c>
      <c r="AR218" s="395">
        <f>(IF($H218="x",VLOOKUP($I218,'AUX-NIV2'!$B:$X,'AUX-NIV1'!AR$3,FALSE),0)+($AV218*'AUX-NIV3'!T$4))*$O218+IF($H218=AR$4,$P218,0)</f>
        <v>0</v>
      </c>
      <c r="AS218" s="395">
        <f>(IF($H218="x",VLOOKUP($I218,'AUX-NIV2'!$B:$X,'AUX-NIV1'!AS$3,FALSE),0)+($AV218*'AUX-NIV3'!U$4))*$O218+IF($H218=AS$4,$P218,0)</f>
        <v>0</v>
      </c>
      <c r="AT218" s="395">
        <f>(IF($H218="x",VLOOKUP($I218,'AUX-NIV2'!$B:$X,'AUX-NIV1'!AT$3,FALSE),0)+($AV218*'AUX-NIV3'!V$4))*$O218+IF($H218=AT$4,$P218,0)</f>
        <v>0</v>
      </c>
      <c r="AU218" s="395">
        <f>(IF($H218="x",VLOOKUP($I218,'AUX-NIV2'!$B:$X,'AUX-NIV1'!AU$3,FALSE),0)+($AV218*'AUX-NIV3'!W$4))*$O218+IF($H218=AU$4,$P218,0)</f>
        <v>0</v>
      </c>
      <c r="AV218" s="395">
        <f>+IF($H218="x",VLOOKUP($I218,'AUX-NIV2'!$B:$X,'AUX-NIV1'!AV$3,FALSE),0)</f>
        <v>0</v>
      </c>
    </row>
    <row r="219" spans="2:48" ht="14.4" hidden="1" thickTop="1" thickBot="1">
      <c r="B219" s="324" t="s">
        <v>96</v>
      </c>
      <c r="C219" s="325" t="s">
        <v>1171</v>
      </c>
      <c r="D219" s="326" t="s">
        <v>1172</v>
      </c>
      <c r="E219" s="349">
        <f>IF(B219&lt;&gt;"",+SUMIF(Items!C:C,'AUX-NIV1'!B219,Items!H:H),"")</f>
        <v>0</v>
      </c>
      <c r="F219" s="349">
        <f t="shared" si="81"/>
        <v>95000</v>
      </c>
      <c r="G219" s="349">
        <f t="shared" si="82"/>
        <v>0</v>
      </c>
      <c r="H219" s="1395" t="str">
        <f t="shared" si="92"/>
        <v>S</v>
      </c>
      <c r="I219" s="1375" t="s">
        <v>702</v>
      </c>
      <c r="J219" s="350" t="str">
        <f>IF(B219&lt;&gt;"",+VLOOKUP(I219,Recursos!C:F,2,FALSE),"")</f>
        <v>INSTALACIONES DE PLANTAS DE HGON Y OTRAS</v>
      </c>
      <c r="K219" s="351" t="str">
        <f>IF(B219&lt;&gt;"",+VLOOKUP(I219,Recursos!C:F,3,FALSE),"")</f>
        <v>M2</v>
      </c>
      <c r="L219" s="1475">
        <f>IF(B219&lt;&gt;"",+VLOOKUP(I219,Recursos!C:F,4,FALSE),"")</f>
        <v>250</v>
      </c>
      <c r="M219" s="1501">
        <f>+SUM(Organig!L69:L71)</f>
        <v>0</v>
      </c>
      <c r="N219" s="1515">
        <v>0</v>
      </c>
      <c r="O219" s="1490">
        <f t="shared" ref="O219:O251" si="107">+M219*N219</f>
        <v>0</v>
      </c>
      <c r="P219" s="352">
        <f t="shared" si="93"/>
        <v>0</v>
      </c>
      <c r="Q219" s="349">
        <f t="shared" si="94"/>
        <v>0</v>
      </c>
      <c r="R219" s="353">
        <f t="shared" si="95"/>
        <v>0</v>
      </c>
      <c r="S219" s="354">
        <f t="shared" si="83"/>
        <v>0</v>
      </c>
      <c r="T219" s="354">
        <f t="shared" si="84"/>
        <v>0</v>
      </c>
      <c r="U219" s="355">
        <f t="shared" si="85"/>
        <v>5000</v>
      </c>
      <c r="V219" s="355">
        <f t="shared" si="86"/>
        <v>0</v>
      </c>
      <c r="W219" s="355">
        <f t="shared" si="87"/>
        <v>90000</v>
      </c>
      <c r="X219" s="355">
        <f t="shared" si="88"/>
        <v>0</v>
      </c>
      <c r="Y219" s="396"/>
      <c r="Z219" s="346" t="str">
        <f t="shared" si="96"/>
        <v>I-CAMPA</v>
      </c>
      <c r="AA219" s="346" t="str">
        <f t="shared" si="97"/>
        <v>I-CAMPE</v>
      </c>
      <c r="AB219" s="346" t="str">
        <f t="shared" si="98"/>
        <v>I-CAMPM</v>
      </c>
      <c r="AC219" s="346" t="str">
        <f t="shared" si="99"/>
        <v>I-CAMPT</v>
      </c>
      <c r="AD219" s="346" t="str">
        <f t="shared" si="100"/>
        <v>I-CAMPS</v>
      </c>
      <c r="AE219" s="346" t="str">
        <f t="shared" si="101"/>
        <v>I-CAMPX</v>
      </c>
      <c r="AF219" s="346" t="str">
        <f t="shared" si="102"/>
        <v>I-CAMPS</v>
      </c>
      <c r="AG219" s="346">
        <f t="shared" si="89"/>
        <v>18</v>
      </c>
      <c r="AH219" s="346">
        <f>IF(B219&lt;&gt;"",+IF(H219="x",+VLOOKUP(I219,'AUX-NIV2'!B:AG,32,FALSE),0),"")</f>
        <v>0</v>
      </c>
      <c r="AI219" s="346" t="str">
        <f t="shared" si="103"/>
        <v>I-CAMP</v>
      </c>
      <c r="AK219" s="347">
        <f t="shared" si="90"/>
        <v>203</v>
      </c>
      <c r="AL219" s="348">
        <f t="shared" si="104"/>
        <v>220</v>
      </c>
      <c r="AM219" s="347">
        <f t="shared" si="105"/>
        <v>17</v>
      </c>
      <c r="AN219" s="382">
        <f>IF(AND(AH219&gt;0,B219&lt;&gt;""),VLOOKUP(I219,'AUX-NIV2'!$B:$AP,40,FALSE)*O219,0)</f>
        <v>0</v>
      </c>
      <c r="AO219" s="382">
        <f t="shared" si="91"/>
        <v>0</v>
      </c>
      <c r="AQ219" s="395">
        <f>(IF($H219="x",VLOOKUP($I219,'AUX-NIV2'!$B:$X,'AUX-NIV1'!AQ$3,FALSE),0)+($AV219*'AUX-NIV3'!S$4))*$O219+IF($H219=AQ$4,$P219,0)</f>
        <v>0</v>
      </c>
      <c r="AR219" s="395">
        <f>(IF($H219="x",VLOOKUP($I219,'AUX-NIV2'!$B:$X,'AUX-NIV1'!AR$3,FALSE),0)+($AV219*'AUX-NIV3'!T$4))*$O219+IF($H219=AR$4,$P219,0)</f>
        <v>0</v>
      </c>
      <c r="AS219" s="395">
        <f>(IF($H219="x",VLOOKUP($I219,'AUX-NIV2'!$B:$X,'AUX-NIV1'!AS$3,FALSE),0)+($AV219*'AUX-NIV3'!U$4))*$O219+IF($H219=AS$4,$P219,0)</f>
        <v>0</v>
      </c>
      <c r="AT219" s="395">
        <f>(IF($H219="x",VLOOKUP($I219,'AUX-NIV2'!$B:$X,'AUX-NIV1'!AT$3,FALSE),0)+($AV219*'AUX-NIV3'!V$4))*$O219+IF($H219=AT$4,$P219,0)</f>
        <v>0</v>
      </c>
      <c r="AU219" s="395">
        <f>(IF($H219="x",VLOOKUP($I219,'AUX-NIV2'!$B:$X,'AUX-NIV1'!AU$3,FALSE),0)+($AV219*'AUX-NIV3'!W$4))*$O219+IF($H219=AU$4,$P219,0)</f>
        <v>0</v>
      </c>
      <c r="AV219" s="395">
        <f>+IF($H219="x",VLOOKUP($I219,'AUX-NIV2'!$B:$X,'AUX-NIV1'!AV$3,FALSE),0)</f>
        <v>0</v>
      </c>
    </row>
    <row r="220" spans="2:48" ht="14.4" hidden="1" thickTop="1" thickBot="1">
      <c r="B220" s="324" t="s">
        <v>96</v>
      </c>
      <c r="C220" s="325" t="s">
        <v>1171</v>
      </c>
      <c r="D220" s="326" t="s">
        <v>1172</v>
      </c>
      <c r="E220" s="349">
        <f>IF(B220&lt;&gt;"",+SUMIF(Items!C:C,'AUX-NIV1'!B220,Items!H:H),"")</f>
        <v>0</v>
      </c>
      <c r="F220" s="349">
        <f t="shared" si="81"/>
        <v>95000</v>
      </c>
      <c r="G220" s="349">
        <f t="shared" si="82"/>
        <v>0</v>
      </c>
      <c r="H220" s="1395" t="str">
        <f t="shared" si="92"/>
        <v>X</v>
      </c>
      <c r="I220" s="1375" t="s">
        <v>1292</v>
      </c>
      <c r="J220" s="350" t="str">
        <f>IF(B220&lt;&gt;"",+VLOOKUP(I220,Recursos!C:F,2,FALSE),"")</f>
        <v>Relleno y perfilado con Motoniveladora Accesos</v>
      </c>
      <c r="K220" s="351" t="str">
        <f>IF(B220&lt;&gt;"",+VLOOKUP(I220,Recursos!C:F,3,FALSE),"")</f>
        <v>m3</v>
      </c>
      <c r="L220" s="1475">
        <f>IF(B220&lt;&gt;"",+VLOOKUP(I220,Recursos!C:F,4,FALSE),"")</f>
        <v>192.68134784762265</v>
      </c>
      <c r="M220" s="1503">
        <v>10000</v>
      </c>
      <c r="N220" s="1516">
        <v>0</v>
      </c>
      <c r="O220" s="1490"/>
      <c r="P220" s="352">
        <f t="shared" si="93"/>
        <v>0</v>
      </c>
      <c r="Q220" s="349">
        <f t="shared" si="94"/>
        <v>0</v>
      </c>
      <c r="R220" s="353">
        <f t="shared" si="95"/>
        <v>0</v>
      </c>
      <c r="S220" s="354">
        <f t="shared" si="83"/>
        <v>0</v>
      </c>
      <c r="T220" s="354">
        <f t="shared" si="84"/>
        <v>0</v>
      </c>
      <c r="U220" s="355">
        <f t="shared" si="85"/>
        <v>5000</v>
      </c>
      <c r="V220" s="355">
        <f t="shared" si="86"/>
        <v>0</v>
      </c>
      <c r="W220" s="355">
        <f t="shared" si="87"/>
        <v>90000</v>
      </c>
      <c r="X220" s="355">
        <f t="shared" si="88"/>
        <v>0</v>
      </c>
      <c r="Y220" s="396"/>
      <c r="Z220" s="346" t="str">
        <f t="shared" si="96"/>
        <v>I-CAMPA</v>
      </c>
      <c r="AA220" s="346" t="str">
        <f t="shared" si="97"/>
        <v>I-CAMPE</v>
      </c>
      <c r="AB220" s="346" t="str">
        <f t="shared" si="98"/>
        <v>I-CAMPM</v>
      </c>
      <c r="AC220" s="346" t="str">
        <f t="shared" si="99"/>
        <v>I-CAMPT</v>
      </c>
      <c r="AD220" s="346" t="str">
        <f t="shared" si="100"/>
        <v>I-CAMPS</v>
      </c>
      <c r="AE220" s="346" t="str">
        <f t="shared" si="101"/>
        <v>I-CAMPX</v>
      </c>
      <c r="AF220" s="346" t="str">
        <f t="shared" si="102"/>
        <v>I-CAMPX</v>
      </c>
      <c r="AG220" s="346">
        <f t="shared" si="89"/>
        <v>18</v>
      </c>
      <c r="AH220" s="346">
        <f>IF(B220&lt;&gt;"",+IF(H220="x",+VLOOKUP(I220,'AUX-NIV2'!B:AG,32,FALSE),0),"")</f>
        <v>9</v>
      </c>
      <c r="AI220" s="346" t="str">
        <f t="shared" si="103"/>
        <v>I-CAMP</v>
      </c>
      <c r="AK220" s="347">
        <f t="shared" si="90"/>
        <v>203</v>
      </c>
      <c r="AL220" s="348">
        <f t="shared" si="104"/>
        <v>220</v>
      </c>
      <c r="AM220" s="347">
        <f t="shared" si="105"/>
        <v>18</v>
      </c>
      <c r="AN220" s="382">
        <f>IF(AND(AH220&gt;0,B220&lt;&gt;""),VLOOKUP(I220,'AUX-NIV2'!$B:$AP,40,FALSE)*O220,0)</f>
        <v>0</v>
      </c>
      <c r="AO220" s="382">
        <f t="shared" si="91"/>
        <v>0</v>
      </c>
      <c r="AQ220" s="395">
        <f>(IF($H220="x",VLOOKUP($I220,'AUX-NIV2'!$B:$X,'AUX-NIV1'!AQ$3,FALSE),0)+($AV220*'AUX-NIV3'!S$4))*$O220+IF($H220=AQ$4,$P220,0)</f>
        <v>0</v>
      </c>
      <c r="AR220" s="395">
        <f>(IF($H220="x",VLOOKUP($I220,'AUX-NIV2'!$B:$X,'AUX-NIV1'!AR$3,FALSE),0)+($AV220*'AUX-NIV3'!T$4))*$O220+IF($H220=AR$4,$P220,0)</f>
        <v>0</v>
      </c>
      <c r="AS220" s="395">
        <f>(IF($H220="x",VLOOKUP($I220,'AUX-NIV2'!$B:$X,'AUX-NIV1'!AS$3,FALSE),0)+($AV220*'AUX-NIV3'!U$4))*$O220+IF($H220=AS$4,$P220,0)</f>
        <v>0</v>
      </c>
      <c r="AT220" s="395">
        <f>(IF($H220="x",VLOOKUP($I220,'AUX-NIV2'!$B:$X,'AUX-NIV1'!AT$3,FALSE),0)+($AV220*'AUX-NIV3'!V$4))*$O220+IF($H220=AT$4,$P220,0)</f>
        <v>0</v>
      </c>
      <c r="AU220" s="395">
        <f>(IF($H220="x",VLOOKUP($I220,'AUX-NIV2'!$B:$X,'AUX-NIV1'!AU$3,FALSE),0)+($AV220*'AUX-NIV3'!W$4))*$O220+IF($H220=AU$4,$P220,0)</f>
        <v>0</v>
      </c>
      <c r="AV220" s="395">
        <f>+IF($H220="x",VLOOKUP($I220,'AUX-NIV2'!$B:$X,'AUX-NIV1'!AV$3,FALSE),0)</f>
        <v>0</v>
      </c>
    </row>
    <row r="221" spans="2:48" ht="14.4" hidden="1" thickTop="1" thickBot="1">
      <c r="B221" s="324" t="s">
        <v>97</v>
      </c>
      <c r="C221" s="325" t="s">
        <v>1173</v>
      </c>
      <c r="D221" s="326" t="s">
        <v>1172</v>
      </c>
      <c r="E221" s="349">
        <f>IF(B221&lt;&gt;"",+SUMIF(Items!C:C,'AUX-NIV1'!B221,Items!H:H),"")</f>
        <v>0</v>
      </c>
      <c r="F221" s="349">
        <f t="shared" si="81"/>
        <v>0</v>
      </c>
      <c r="G221" s="349">
        <f t="shared" si="82"/>
        <v>0</v>
      </c>
      <c r="H221" s="1395" t="str">
        <f t="shared" si="92"/>
        <v>S</v>
      </c>
      <c r="I221" s="1375" t="s">
        <v>724</v>
      </c>
      <c r="J221" s="350" t="str">
        <f>IF(B221&lt;&gt;"",+VLOOKUP(I221,Recursos!C:F,2,FALSE),"")</f>
        <v>INSTALACION DE SISTEMAS DE COMUNICACIÓN</v>
      </c>
      <c r="K221" s="351" t="str">
        <f>IF(B221&lt;&gt;"",+VLOOKUP(I221,Recursos!C:F,3,FALSE),"")</f>
        <v>GL</v>
      </c>
      <c r="L221" s="1475">
        <f>IF(B221&lt;&gt;"",+VLOOKUP(I221,Recursos!C:F,4,FALSE),"")</f>
        <v>153075</v>
      </c>
      <c r="M221" s="1505">
        <f>+Organig!D79</f>
        <v>0</v>
      </c>
      <c r="N221" s="706">
        <v>0</v>
      </c>
      <c r="O221" s="1490">
        <f t="shared" si="107"/>
        <v>0</v>
      </c>
      <c r="P221" s="352">
        <f t="shared" si="93"/>
        <v>0</v>
      </c>
      <c r="Q221" s="349">
        <f t="shared" si="94"/>
        <v>0</v>
      </c>
      <c r="R221" s="353">
        <f t="shared" si="95"/>
        <v>0</v>
      </c>
      <c r="S221" s="354">
        <f t="shared" si="83"/>
        <v>0</v>
      </c>
      <c r="T221" s="354">
        <f t="shared" si="84"/>
        <v>0</v>
      </c>
      <c r="U221" s="355">
        <f t="shared" si="85"/>
        <v>0</v>
      </c>
      <c r="V221" s="355">
        <f t="shared" si="86"/>
        <v>0</v>
      </c>
      <c r="W221" s="355">
        <f t="shared" si="87"/>
        <v>0</v>
      </c>
      <c r="X221" s="355">
        <f t="shared" si="88"/>
        <v>0</v>
      </c>
      <c r="Y221" s="396"/>
      <c r="Z221" s="346" t="str">
        <f t="shared" si="96"/>
        <v>I-COMUNA</v>
      </c>
      <c r="AA221" s="346" t="str">
        <f t="shared" si="97"/>
        <v>I-COMUNE</v>
      </c>
      <c r="AB221" s="346" t="str">
        <f t="shared" si="98"/>
        <v>I-COMUNM</v>
      </c>
      <c r="AC221" s="346" t="str">
        <f t="shared" si="99"/>
        <v>I-COMUNT</v>
      </c>
      <c r="AD221" s="346" t="str">
        <f t="shared" si="100"/>
        <v>I-COMUNS</v>
      </c>
      <c r="AE221" s="346" t="str">
        <f t="shared" si="101"/>
        <v>I-COMUNX</v>
      </c>
      <c r="AF221" s="346" t="str">
        <f t="shared" si="102"/>
        <v>I-COMUNS</v>
      </c>
      <c r="AG221" s="346">
        <f t="shared" si="89"/>
        <v>3</v>
      </c>
      <c r="AH221" s="346">
        <f>IF(B221&lt;&gt;"",+IF(H221="x",+VLOOKUP(I221,'AUX-NIV2'!B:AG,32,FALSE),0),"")</f>
        <v>0</v>
      </c>
      <c r="AI221" s="346" t="str">
        <f t="shared" si="103"/>
        <v>I-COMUN</v>
      </c>
      <c r="AK221" s="347">
        <f t="shared" si="90"/>
        <v>221</v>
      </c>
      <c r="AL221" s="348">
        <f t="shared" si="104"/>
        <v>223</v>
      </c>
      <c r="AM221" s="347">
        <f t="shared" si="105"/>
        <v>1</v>
      </c>
      <c r="AN221" s="382">
        <f>IF(AND(AH221&gt;0,B221&lt;&gt;""),VLOOKUP(I221,'AUX-NIV2'!$B:$AP,40,FALSE)*O221,0)</f>
        <v>0</v>
      </c>
      <c r="AO221" s="382">
        <f t="shared" si="91"/>
        <v>0</v>
      </c>
      <c r="AQ221" s="395">
        <f>(IF($H221="x",VLOOKUP($I221,'AUX-NIV2'!$B:$X,'AUX-NIV1'!AQ$3,FALSE),0)+($AV221*'AUX-NIV3'!S$4))*$O221+IF($H221=AQ$4,$P221,0)</f>
        <v>0</v>
      </c>
      <c r="AR221" s="395">
        <f>(IF($H221="x",VLOOKUP($I221,'AUX-NIV2'!$B:$X,'AUX-NIV1'!AR$3,FALSE),0)+($AV221*'AUX-NIV3'!T$4))*$O221+IF($H221=AR$4,$P221,0)</f>
        <v>0</v>
      </c>
      <c r="AS221" s="395">
        <f>(IF($H221="x",VLOOKUP($I221,'AUX-NIV2'!$B:$X,'AUX-NIV1'!AS$3,FALSE),0)+($AV221*'AUX-NIV3'!U$4))*$O221+IF($H221=AS$4,$P221,0)</f>
        <v>0</v>
      </c>
      <c r="AT221" s="395">
        <f>(IF($H221="x",VLOOKUP($I221,'AUX-NIV2'!$B:$X,'AUX-NIV1'!AT$3,FALSE),0)+($AV221*'AUX-NIV3'!V$4))*$O221+IF($H221=AT$4,$P221,0)</f>
        <v>0</v>
      </c>
      <c r="AU221" s="395">
        <f>(IF($H221="x",VLOOKUP($I221,'AUX-NIV2'!$B:$X,'AUX-NIV1'!AU$3,FALSE),0)+($AV221*'AUX-NIV3'!W$4))*$O221+IF($H221=AU$4,$P221,0)</f>
        <v>0</v>
      </c>
      <c r="AV221" s="395">
        <f>+IF($H221="x",VLOOKUP($I221,'AUX-NIV2'!$B:$X,'AUX-NIV1'!AV$3,FALSE),0)</f>
        <v>0</v>
      </c>
    </row>
    <row r="222" spans="2:48" ht="14.4" hidden="1" thickTop="1" thickBot="1">
      <c r="B222" s="324" t="s">
        <v>97</v>
      </c>
      <c r="C222" s="325" t="s">
        <v>1173</v>
      </c>
      <c r="D222" s="326" t="s">
        <v>1172</v>
      </c>
      <c r="E222" s="349">
        <f>IF(B222&lt;&gt;"",+SUMIF(Items!C:C,'AUX-NIV1'!B222,Items!H:H),"")</f>
        <v>0</v>
      </c>
      <c r="F222" s="349">
        <f t="shared" si="81"/>
        <v>0</v>
      </c>
      <c r="G222" s="349">
        <f t="shared" si="82"/>
        <v>0</v>
      </c>
      <c r="H222" s="1395" t="str">
        <f t="shared" si="92"/>
        <v>S</v>
      </c>
      <c r="I222" s="1375" t="s">
        <v>728</v>
      </c>
      <c r="J222" s="350" t="str">
        <f>IF(B222&lt;&gt;"",+VLOOKUP(I222,Recursos!C:F,2,FALSE),"")</f>
        <v>HANDYES-BASES Y REPETIDORAS</v>
      </c>
      <c r="K222" s="351" t="str">
        <f>IF(B222&lt;&gt;"",+VLOOKUP(I222,Recursos!C:F,3,FALSE),"")</f>
        <v>GL</v>
      </c>
      <c r="L222" s="1475">
        <f>IF(B222&lt;&gt;"",+VLOOKUP(I222,Recursos!C:F,4,FALSE),"")</f>
        <v>1</v>
      </c>
      <c r="M222" s="1506">
        <f>+Organig!D78</f>
        <v>0</v>
      </c>
      <c r="N222" s="1507">
        <v>0</v>
      </c>
      <c r="O222" s="1490">
        <f t="shared" si="107"/>
        <v>0</v>
      </c>
      <c r="P222" s="352">
        <f t="shared" si="93"/>
        <v>0</v>
      </c>
      <c r="Q222" s="349">
        <f t="shared" si="94"/>
        <v>0</v>
      </c>
      <c r="R222" s="353">
        <f t="shared" si="95"/>
        <v>0</v>
      </c>
      <c r="S222" s="354">
        <f t="shared" si="83"/>
        <v>0</v>
      </c>
      <c r="T222" s="354">
        <f t="shared" si="84"/>
        <v>0</v>
      </c>
      <c r="U222" s="355">
        <f t="shared" si="85"/>
        <v>0</v>
      </c>
      <c r="V222" s="355">
        <f t="shared" si="86"/>
        <v>0</v>
      </c>
      <c r="W222" s="355">
        <f t="shared" si="87"/>
        <v>0</v>
      </c>
      <c r="X222" s="355">
        <f t="shared" si="88"/>
        <v>0</v>
      </c>
      <c r="Y222" s="396"/>
      <c r="Z222" s="346" t="str">
        <f t="shared" si="96"/>
        <v>I-COMUNA</v>
      </c>
      <c r="AA222" s="346" t="str">
        <f t="shared" si="97"/>
        <v>I-COMUNE</v>
      </c>
      <c r="AB222" s="346" t="str">
        <f t="shared" si="98"/>
        <v>I-COMUNM</v>
      </c>
      <c r="AC222" s="346" t="str">
        <f t="shared" si="99"/>
        <v>I-COMUNT</v>
      </c>
      <c r="AD222" s="346" t="str">
        <f t="shared" si="100"/>
        <v>I-COMUNS</v>
      </c>
      <c r="AE222" s="346" t="str">
        <f t="shared" si="101"/>
        <v>I-COMUNX</v>
      </c>
      <c r="AF222" s="346" t="str">
        <f t="shared" si="102"/>
        <v>I-COMUNS</v>
      </c>
      <c r="AG222" s="346">
        <f t="shared" si="89"/>
        <v>3</v>
      </c>
      <c r="AH222" s="346">
        <f>IF(B222&lt;&gt;"",+IF(H222="x",+VLOOKUP(I222,'AUX-NIV2'!B:AG,32,FALSE),0),"")</f>
        <v>0</v>
      </c>
      <c r="AI222" s="346" t="str">
        <f t="shared" si="103"/>
        <v>I-COMUN</v>
      </c>
      <c r="AK222" s="347">
        <f t="shared" si="90"/>
        <v>221</v>
      </c>
      <c r="AL222" s="348">
        <f t="shared" si="104"/>
        <v>223</v>
      </c>
      <c r="AM222" s="347">
        <f t="shared" si="105"/>
        <v>2</v>
      </c>
      <c r="AN222" s="382">
        <f>IF(AND(AH222&gt;0,B222&lt;&gt;""),VLOOKUP(I222,'AUX-NIV2'!$B:$AP,40,FALSE)*O222,0)</f>
        <v>0</v>
      </c>
      <c r="AO222" s="382">
        <f t="shared" si="91"/>
        <v>0</v>
      </c>
      <c r="AQ222" s="395">
        <f>(IF($H222="x",VLOOKUP($I222,'AUX-NIV2'!$B:$X,'AUX-NIV1'!AQ$3,FALSE),0)+($AV222*'AUX-NIV3'!S$4))*$O222+IF($H222=AQ$4,$P222,0)</f>
        <v>0</v>
      </c>
      <c r="AR222" s="395">
        <f>(IF($H222="x",VLOOKUP($I222,'AUX-NIV2'!$B:$X,'AUX-NIV1'!AR$3,FALSE),0)+($AV222*'AUX-NIV3'!T$4))*$O222+IF($H222=AR$4,$P222,0)</f>
        <v>0</v>
      </c>
      <c r="AS222" s="395">
        <f>(IF($H222="x",VLOOKUP($I222,'AUX-NIV2'!$B:$X,'AUX-NIV1'!AS$3,FALSE),0)+($AV222*'AUX-NIV3'!U$4))*$O222+IF($H222=AS$4,$P222,0)</f>
        <v>0</v>
      </c>
      <c r="AT222" s="395">
        <f>(IF($H222="x",VLOOKUP($I222,'AUX-NIV2'!$B:$X,'AUX-NIV1'!AT$3,FALSE),0)+($AV222*'AUX-NIV3'!V$4))*$O222+IF($H222=AT$4,$P222,0)</f>
        <v>0</v>
      </c>
      <c r="AU222" s="395">
        <f>(IF($H222="x",VLOOKUP($I222,'AUX-NIV2'!$B:$X,'AUX-NIV1'!AU$3,FALSE),0)+($AV222*'AUX-NIV3'!W$4))*$O222+IF($H222=AU$4,$P222,0)</f>
        <v>0</v>
      </c>
      <c r="AV222" s="395">
        <f>+IF($H222="x",VLOOKUP($I222,'AUX-NIV2'!$B:$X,'AUX-NIV1'!AV$3,FALSE),0)</f>
        <v>0</v>
      </c>
    </row>
    <row r="223" spans="2:48" ht="14.4" hidden="1" thickTop="1" thickBot="1">
      <c r="B223" s="324" t="s">
        <v>97</v>
      </c>
      <c r="C223" s="325" t="s">
        <v>1173</v>
      </c>
      <c r="D223" s="326" t="s">
        <v>1172</v>
      </c>
      <c r="E223" s="349">
        <f>IF(B223&lt;&gt;"",+SUMIF(Items!C:C,'AUX-NIV1'!B223,Items!H:H),"")</f>
        <v>0</v>
      </c>
      <c r="F223" s="349">
        <f t="shared" si="81"/>
        <v>0</v>
      </c>
      <c r="G223" s="349">
        <f t="shared" si="82"/>
        <v>0</v>
      </c>
      <c r="H223" s="1395" t="str">
        <f t="shared" si="92"/>
        <v>S</v>
      </c>
      <c r="I223" s="1375" t="s">
        <v>726</v>
      </c>
      <c r="J223" s="350" t="str">
        <f>IF(B223&lt;&gt;"",+VLOOKUP(I223,Recursos!C:F,2,FALSE),"")</f>
        <v>MANTENIMIENTO Y ALQUILER</v>
      </c>
      <c r="K223" s="351" t="str">
        <f>IF(B223&lt;&gt;"",+VLOOKUP(I223,Recursos!C:F,3,FALSE),"")</f>
        <v>MES</v>
      </c>
      <c r="L223" s="1475">
        <f>IF(B223&lt;&gt;"",+VLOOKUP(I223,Recursos!C:F,4,FALSE),"")</f>
        <v>1</v>
      </c>
      <c r="M223" s="1508">
        <f>+plaef+1</f>
        <v>3</v>
      </c>
      <c r="N223" s="1509">
        <v>0</v>
      </c>
      <c r="O223" s="1490">
        <f t="shared" si="107"/>
        <v>0</v>
      </c>
      <c r="P223" s="352">
        <f t="shared" si="93"/>
        <v>0</v>
      </c>
      <c r="Q223" s="349">
        <f t="shared" si="94"/>
        <v>0</v>
      </c>
      <c r="R223" s="353">
        <f t="shared" si="95"/>
        <v>0</v>
      </c>
      <c r="S223" s="354">
        <f t="shared" si="83"/>
        <v>0</v>
      </c>
      <c r="T223" s="354">
        <f t="shared" si="84"/>
        <v>0</v>
      </c>
      <c r="U223" s="355">
        <f t="shared" si="85"/>
        <v>0</v>
      </c>
      <c r="V223" s="355">
        <f t="shared" si="86"/>
        <v>0</v>
      </c>
      <c r="W223" s="355">
        <f t="shared" si="87"/>
        <v>0</v>
      </c>
      <c r="X223" s="355">
        <f t="shared" si="88"/>
        <v>0</v>
      </c>
      <c r="Y223" s="396"/>
      <c r="Z223" s="346" t="str">
        <f t="shared" si="96"/>
        <v>I-COMUNA</v>
      </c>
      <c r="AA223" s="346" t="str">
        <f t="shared" si="97"/>
        <v>I-COMUNE</v>
      </c>
      <c r="AB223" s="346" t="str">
        <f t="shared" si="98"/>
        <v>I-COMUNM</v>
      </c>
      <c r="AC223" s="346" t="str">
        <f t="shared" si="99"/>
        <v>I-COMUNT</v>
      </c>
      <c r="AD223" s="346" t="str">
        <f t="shared" si="100"/>
        <v>I-COMUNS</v>
      </c>
      <c r="AE223" s="346" t="str">
        <f t="shared" si="101"/>
        <v>I-COMUNX</v>
      </c>
      <c r="AF223" s="346" t="str">
        <f t="shared" si="102"/>
        <v>I-COMUNS</v>
      </c>
      <c r="AG223" s="346">
        <f t="shared" si="89"/>
        <v>3</v>
      </c>
      <c r="AH223" s="346">
        <f>IF(B223&lt;&gt;"",+IF(H223="x",+VLOOKUP(I223,'AUX-NIV2'!B:AG,32,FALSE),0),"")</f>
        <v>0</v>
      </c>
      <c r="AI223" s="346" t="str">
        <f t="shared" si="103"/>
        <v>I-COMUN</v>
      </c>
      <c r="AK223" s="347">
        <f t="shared" si="90"/>
        <v>221</v>
      </c>
      <c r="AL223" s="348">
        <f t="shared" si="104"/>
        <v>223</v>
      </c>
      <c r="AM223" s="347">
        <f t="shared" si="105"/>
        <v>3</v>
      </c>
      <c r="AN223" s="382">
        <f>IF(AND(AH223&gt;0,B223&lt;&gt;""),VLOOKUP(I223,'AUX-NIV2'!$B:$AP,40,FALSE)*O223,0)</f>
        <v>0</v>
      </c>
      <c r="AO223" s="382">
        <f t="shared" si="91"/>
        <v>0</v>
      </c>
      <c r="AQ223" s="395">
        <f>(IF($H223="x",VLOOKUP($I223,'AUX-NIV2'!$B:$X,'AUX-NIV1'!AQ$3,FALSE),0)+($AV223*'AUX-NIV3'!S$4))*$O223+IF($H223=AQ$4,$P223,0)</f>
        <v>0</v>
      </c>
      <c r="AR223" s="395">
        <f>(IF($H223="x",VLOOKUP($I223,'AUX-NIV2'!$B:$X,'AUX-NIV1'!AR$3,FALSE),0)+($AV223*'AUX-NIV3'!T$4))*$O223+IF($H223=AR$4,$P223,0)</f>
        <v>0</v>
      </c>
      <c r="AS223" s="395">
        <f>(IF($H223="x",VLOOKUP($I223,'AUX-NIV2'!$B:$X,'AUX-NIV1'!AS$3,FALSE),0)+($AV223*'AUX-NIV3'!U$4))*$O223+IF($H223=AS$4,$P223,0)</f>
        <v>0</v>
      </c>
      <c r="AT223" s="395">
        <f>(IF($H223="x",VLOOKUP($I223,'AUX-NIV2'!$B:$X,'AUX-NIV1'!AT$3,FALSE),0)+($AV223*'AUX-NIV3'!V$4))*$O223+IF($H223=AT$4,$P223,0)</f>
        <v>0</v>
      </c>
      <c r="AU223" s="395">
        <f>(IF($H223="x",VLOOKUP($I223,'AUX-NIV2'!$B:$X,'AUX-NIV1'!AU$3,FALSE),0)+($AV223*'AUX-NIV3'!W$4))*$O223+IF($H223=AU$4,$P223,0)</f>
        <v>0</v>
      </c>
      <c r="AV223" s="395">
        <f>+IF($H223="x",VLOOKUP($I223,'AUX-NIV2'!$B:$X,'AUX-NIV1'!AV$3,FALSE),0)</f>
        <v>0</v>
      </c>
    </row>
    <row r="224" spans="2:48" ht="14.4" hidden="1" thickTop="1" thickBot="1">
      <c r="B224" s="324" t="s">
        <v>98</v>
      </c>
      <c r="C224" s="325" t="s">
        <v>1174</v>
      </c>
      <c r="D224" s="326" t="s">
        <v>1168</v>
      </c>
      <c r="E224" s="349">
        <f>IF(B224&lt;&gt;"",+SUMIF(Items!C:C,'AUX-NIV1'!B224,Items!H:H),"")</f>
        <v>0</v>
      </c>
      <c r="F224" s="349">
        <f t="shared" si="81"/>
        <v>18000</v>
      </c>
      <c r="G224" s="349">
        <f t="shared" si="82"/>
        <v>0</v>
      </c>
      <c r="H224" s="1395" t="str">
        <f t="shared" si="92"/>
        <v>E</v>
      </c>
      <c r="I224" s="1375" t="s">
        <v>1540</v>
      </c>
      <c r="J224" s="350" t="str">
        <f>IF(B224&lt;&gt;"",+VLOOKUP(I224,Recursos!C:F,2,FALSE),"")</f>
        <v>MINICARG. BOBCAT S/NEUM. (0,40 M3)</v>
      </c>
      <c r="K224" s="351" t="str">
        <f>IF(B224&lt;&gt;"",+VLOOKUP(I224,Recursos!C:F,3,FALSE),"")</f>
        <v>HR</v>
      </c>
      <c r="L224" s="1475">
        <f>IF(B224&lt;&gt;"",+VLOOKUP(I224,Recursos!C:F,4,FALSE),"")</f>
        <v>1346.0740000000001</v>
      </c>
      <c r="M224" s="705">
        <v>50</v>
      </c>
      <c r="N224" s="706">
        <v>0</v>
      </c>
      <c r="O224" s="1490">
        <f>N224*M224</f>
        <v>0</v>
      </c>
      <c r="P224" s="352">
        <f t="shared" si="93"/>
        <v>0</v>
      </c>
      <c r="Q224" s="349">
        <f t="shared" si="94"/>
        <v>0</v>
      </c>
      <c r="R224" s="353">
        <f t="shared" si="95"/>
        <v>0</v>
      </c>
      <c r="S224" s="354">
        <f t="shared" si="83"/>
        <v>0</v>
      </c>
      <c r="T224" s="354">
        <f t="shared" si="84"/>
        <v>0</v>
      </c>
      <c r="U224" s="355">
        <f t="shared" si="85"/>
        <v>1000</v>
      </c>
      <c r="V224" s="355">
        <f t="shared" si="86"/>
        <v>0</v>
      </c>
      <c r="W224" s="355">
        <f t="shared" si="87"/>
        <v>17000</v>
      </c>
      <c r="X224" s="355">
        <f t="shared" si="88"/>
        <v>0</v>
      </c>
      <c r="Y224" s="396"/>
      <c r="Z224" s="346" t="str">
        <f t="shared" si="96"/>
        <v>I-OYMA</v>
      </c>
      <c r="AA224" s="346" t="str">
        <f t="shared" si="97"/>
        <v>I-OYME</v>
      </c>
      <c r="AB224" s="346" t="str">
        <f t="shared" si="98"/>
        <v>I-OYMM</v>
      </c>
      <c r="AC224" s="346" t="str">
        <f t="shared" si="99"/>
        <v>I-OYMT</v>
      </c>
      <c r="AD224" s="346" t="str">
        <f t="shared" si="100"/>
        <v>I-OYMS</v>
      </c>
      <c r="AE224" s="346" t="str">
        <f t="shared" si="101"/>
        <v>I-OYMX</v>
      </c>
      <c r="AF224" s="346" t="str">
        <f t="shared" si="102"/>
        <v>I-OYME</v>
      </c>
      <c r="AG224" s="346">
        <f t="shared" si="89"/>
        <v>17</v>
      </c>
      <c r="AH224" s="346">
        <f>IF(B224&lt;&gt;"",+IF(H224="x",+VLOOKUP(I224,'AUX-NIV2'!B:AG,32,FALSE),0),"")</f>
        <v>0</v>
      </c>
      <c r="AI224" s="346" t="str">
        <f t="shared" si="103"/>
        <v>I-OYM</v>
      </c>
      <c r="AK224" s="347">
        <f t="shared" si="90"/>
        <v>224</v>
      </c>
      <c r="AL224" s="348">
        <f t="shared" si="104"/>
        <v>240</v>
      </c>
      <c r="AM224" s="347">
        <f t="shared" si="105"/>
        <v>1</v>
      </c>
      <c r="AN224" s="382">
        <f>IF(AND(AH224&gt;0,B224&lt;&gt;""),VLOOKUP(I224,'AUX-NIV2'!$B:$AP,40,FALSE)*O224,0)</f>
        <v>0</v>
      </c>
      <c r="AO224" s="382">
        <f t="shared" si="91"/>
        <v>0</v>
      </c>
      <c r="AQ224" s="395">
        <f>(IF($H224="x",VLOOKUP($I224,'AUX-NIV2'!$B:$X,'AUX-NIV1'!AQ$3,FALSE),0)+($AV224*'AUX-NIV3'!S$4))*$O224+IF($H224=AQ$4,$P224,0)</f>
        <v>0</v>
      </c>
      <c r="AR224" s="395">
        <f>(IF($H224="x",VLOOKUP($I224,'AUX-NIV2'!$B:$X,'AUX-NIV1'!AR$3,FALSE),0)+($AV224*'AUX-NIV3'!T$4))*$O224+IF($H224=AR$4,$P224,0)</f>
        <v>0</v>
      </c>
      <c r="AS224" s="395">
        <f>(IF($H224="x",VLOOKUP($I224,'AUX-NIV2'!$B:$X,'AUX-NIV1'!AS$3,FALSE),0)+($AV224*'AUX-NIV3'!U$4))*$O224+IF($H224=AS$4,$P224,0)</f>
        <v>0</v>
      </c>
      <c r="AT224" s="395">
        <f>(IF($H224="x",VLOOKUP($I224,'AUX-NIV2'!$B:$X,'AUX-NIV1'!AT$3,FALSE),0)+($AV224*'AUX-NIV3'!V$4))*$O224+IF($H224=AT$4,$P224,0)</f>
        <v>0</v>
      </c>
      <c r="AU224" s="395">
        <f>(IF($H224="x",VLOOKUP($I224,'AUX-NIV2'!$B:$X,'AUX-NIV1'!AU$3,FALSE),0)+($AV224*'AUX-NIV3'!W$4))*$O224+IF($H224=AU$4,$P224,0)</f>
        <v>0</v>
      </c>
      <c r="AV224" s="395">
        <f>+IF($H224="x",VLOOKUP($I224,'AUX-NIV2'!$B:$X,'AUX-NIV1'!AV$3,FALSE),0)</f>
        <v>0</v>
      </c>
    </row>
    <row r="225" spans="2:48" ht="14.4" hidden="1" thickTop="1" thickBot="1">
      <c r="B225" s="324" t="s">
        <v>98</v>
      </c>
      <c r="C225" s="325" t="s">
        <v>1174</v>
      </c>
      <c r="D225" s="326" t="s">
        <v>1168</v>
      </c>
      <c r="E225" s="349">
        <f>IF(B225&lt;&gt;"",+SUMIF(Items!C:C,'AUX-NIV1'!B225,Items!H:H),"")</f>
        <v>0</v>
      </c>
      <c r="F225" s="349">
        <f t="shared" si="81"/>
        <v>18000</v>
      </c>
      <c r="G225" s="349">
        <f t="shared" si="82"/>
        <v>0</v>
      </c>
      <c r="H225" s="1395" t="str">
        <f t="shared" si="92"/>
        <v>E</v>
      </c>
      <c r="I225" s="1375" t="s">
        <v>1549</v>
      </c>
      <c r="J225" s="350" t="str">
        <f>IF(B225&lt;&gt;"",+VLOOKUP(I225,Recursos!C:F,2,FALSE),"")</f>
        <v>RETROEXC. CARG. S/ROD.NEUM. 0.24 M3</v>
      </c>
      <c r="K225" s="351" t="str">
        <f>IF(B225&lt;&gt;"",+VLOOKUP(I225,Recursos!C:F,3,FALSE),"")</f>
        <v>HR</v>
      </c>
      <c r="L225" s="1475">
        <f>IF(B225&lt;&gt;"",+VLOOKUP(I225,Recursos!C:F,4,FALSE),"")</f>
        <v>1761.0672000000002</v>
      </c>
      <c r="M225" s="1493">
        <v>200</v>
      </c>
      <c r="N225" s="1507">
        <v>0</v>
      </c>
      <c r="O225" s="1490">
        <f t="shared" si="107"/>
        <v>0</v>
      </c>
      <c r="P225" s="352">
        <f t="shared" si="93"/>
        <v>0</v>
      </c>
      <c r="Q225" s="349">
        <f t="shared" si="94"/>
        <v>0</v>
      </c>
      <c r="R225" s="353">
        <f t="shared" si="95"/>
        <v>0</v>
      </c>
      <c r="S225" s="354">
        <f t="shared" si="83"/>
        <v>0</v>
      </c>
      <c r="T225" s="354">
        <f t="shared" si="84"/>
        <v>0</v>
      </c>
      <c r="U225" s="355">
        <f t="shared" si="85"/>
        <v>1000</v>
      </c>
      <c r="V225" s="355">
        <f t="shared" si="86"/>
        <v>0</v>
      </c>
      <c r="W225" s="355">
        <f t="shared" si="87"/>
        <v>17000</v>
      </c>
      <c r="X225" s="355">
        <f t="shared" si="88"/>
        <v>0</v>
      </c>
      <c r="Y225" s="396"/>
      <c r="Z225" s="346" t="str">
        <f t="shared" si="96"/>
        <v>I-OYMA</v>
      </c>
      <c r="AA225" s="346" t="str">
        <f t="shared" si="97"/>
        <v>I-OYME</v>
      </c>
      <c r="AB225" s="346" t="str">
        <f t="shared" si="98"/>
        <v>I-OYMM</v>
      </c>
      <c r="AC225" s="346" t="str">
        <f t="shared" si="99"/>
        <v>I-OYMT</v>
      </c>
      <c r="AD225" s="346" t="str">
        <f t="shared" si="100"/>
        <v>I-OYMS</v>
      </c>
      <c r="AE225" s="346" t="str">
        <f t="shared" si="101"/>
        <v>I-OYMX</v>
      </c>
      <c r="AF225" s="346" t="str">
        <f t="shared" si="102"/>
        <v>I-OYME</v>
      </c>
      <c r="AG225" s="346">
        <f t="shared" si="89"/>
        <v>17</v>
      </c>
      <c r="AH225" s="346">
        <f>IF(B225&lt;&gt;"",+IF(H225="x",+VLOOKUP(I225,'AUX-NIV2'!B:AG,32,FALSE),0),"")</f>
        <v>0</v>
      </c>
      <c r="AI225" s="346" t="str">
        <f t="shared" si="103"/>
        <v>I-OYM</v>
      </c>
      <c r="AK225" s="347">
        <f t="shared" si="90"/>
        <v>224</v>
      </c>
      <c r="AL225" s="348">
        <f t="shared" si="104"/>
        <v>240</v>
      </c>
      <c r="AM225" s="347">
        <f t="shared" si="105"/>
        <v>2</v>
      </c>
      <c r="AN225" s="382">
        <f>IF(AND(AH225&gt;0,B225&lt;&gt;""),VLOOKUP(I225,'AUX-NIV2'!$B:$AP,40,FALSE)*O225,0)</f>
        <v>0</v>
      </c>
      <c r="AO225" s="382">
        <f t="shared" si="91"/>
        <v>0</v>
      </c>
      <c r="AQ225" s="395">
        <f>(IF($H225="x",VLOOKUP($I225,'AUX-NIV2'!$B:$X,'AUX-NIV1'!AQ$3,FALSE),0)+($AV225*'AUX-NIV3'!S$4))*$O225+IF($H225=AQ$4,$P225,0)</f>
        <v>0</v>
      </c>
      <c r="AR225" s="395">
        <f>(IF($H225="x",VLOOKUP($I225,'AUX-NIV2'!$B:$X,'AUX-NIV1'!AR$3,FALSE),0)+($AV225*'AUX-NIV3'!T$4))*$O225+IF($H225=AR$4,$P225,0)</f>
        <v>0</v>
      </c>
      <c r="AS225" s="395">
        <f>(IF($H225="x",VLOOKUP($I225,'AUX-NIV2'!$B:$X,'AUX-NIV1'!AS$3,FALSE),0)+($AV225*'AUX-NIV3'!U$4))*$O225+IF($H225=AS$4,$P225,0)</f>
        <v>0</v>
      </c>
      <c r="AT225" s="395">
        <f>(IF($H225="x",VLOOKUP($I225,'AUX-NIV2'!$B:$X,'AUX-NIV1'!AT$3,FALSE),0)+($AV225*'AUX-NIV3'!V$4))*$O225+IF($H225=AT$4,$P225,0)</f>
        <v>0</v>
      </c>
      <c r="AU225" s="395">
        <f>(IF($H225="x",VLOOKUP($I225,'AUX-NIV2'!$B:$X,'AUX-NIV1'!AU$3,FALSE),0)+($AV225*'AUX-NIV3'!W$4))*$O225+IF($H225=AU$4,$P225,0)</f>
        <v>0</v>
      </c>
      <c r="AV225" s="395">
        <f>+IF($H225="x",VLOOKUP($I225,'AUX-NIV2'!$B:$X,'AUX-NIV1'!AV$3,FALSE),0)</f>
        <v>0</v>
      </c>
    </row>
    <row r="226" spans="2:48" ht="14.4" hidden="1" thickTop="1" thickBot="1">
      <c r="B226" s="324" t="s">
        <v>98</v>
      </c>
      <c r="C226" s="325" t="s">
        <v>1174</v>
      </c>
      <c r="D226" s="326" t="s">
        <v>1168</v>
      </c>
      <c r="E226" s="349">
        <f>IF(B226&lt;&gt;"",+SUMIF(Items!C:C,'AUX-NIV1'!B226,Items!H:H),"")</f>
        <v>0</v>
      </c>
      <c r="F226" s="349">
        <f t="shared" si="81"/>
        <v>18000</v>
      </c>
      <c r="G226" s="349">
        <f t="shared" si="82"/>
        <v>0</v>
      </c>
      <c r="H226" s="1395" t="str">
        <f t="shared" si="92"/>
        <v>E</v>
      </c>
      <c r="I226" s="1375" t="s">
        <v>1557</v>
      </c>
      <c r="J226" s="350" t="str">
        <f>IF(B226&lt;&gt;"",+VLOOKUP(I226,Recursos!C:F,2,FALSE),"")</f>
        <v>CAMION SEMIRREMOLQUE CAP. 30 T 6x4</v>
      </c>
      <c r="K226" s="351" t="str">
        <f>IF(B226&lt;&gt;"",+VLOOKUP(I226,Recursos!C:F,3,FALSE),"")</f>
        <v>HR</v>
      </c>
      <c r="L226" s="1475">
        <f>IF(B226&lt;&gt;"",+VLOOKUP(I226,Recursos!C:F,4,FALSE),"")</f>
        <v>3156.8051111111108</v>
      </c>
      <c r="M226" s="1493">
        <v>50</v>
      </c>
      <c r="N226" s="1507">
        <v>0</v>
      </c>
      <c r="O226" s="1490">
        <f t="shared" si="107"/>
        <v>0</v>
      </c>
      <c r="P226" s="352">
        <f t="shared" si="93"/>
        <v>0</v>
      </c>
      <c r="Q226" s="349">
        <f t="shared" si="94"/>
        <v>0</v>
      </c>
      <c r="R226" s="353">
        <f t="shared" si="95"/>
        <v>0</v>
      </c>
      <c r="S226" s="354">
        <f t="shared" si="83"/>
        <v>0</v>
      </c>
      <c r="T226" s="354">
        <f t="shared" si="84"/>
        <v>0</v>
      </c>
      <c r="U226" s="355">
        <f t="shared" si="85"/>
        <v>1000</v>
      </c>
      <c r="V226" s="355">
        <f t="shared" si="86"/>
        <v>0</v>
      </c>
      <c r="W226" s="355">
        <f t="shared" si="87"/>
        <v>17000</v>
      </c>
      <c r="X226" s="355">
        <f t="shared" si="88"/>
        <v>0</v>
      </c>
      <c r="Y226" s="396"/>
      <c r="Z226" s="346" t="str">
        <f t="shared" si="96"/>
        <v>I-OYMA</v>
      </c>
      <c r="AA226" s="346" t="str">
        <f t="shared" si="97"/>
        <v>I-OYME</v>
      </c>
      <c r="AB226" s="346" t="str">
        <f t="shared" si="98"/>
        <v>I-OYMM</v>
      </c>
      <c r="AC226" s="346" t="str">
        <f t="shared" si="99"/>
        <v>I-OYMT</v>
      </c>
      <c r="AD226" s="346" t="str">
        <f t="shared" si="100"/>
        <v>I-OYMS</v>
      </c>
      <c r="AE226" s="346" t="str">
        <f t="shared" si="101"/>
        <v>I-OYMX</v>
      </c>
      <c r="AF226" s="346" t="str">
        <f t="shared" si="102"/>
        <v>I-OYME</v>
      </c>
      <c r="AG226" s="346">
        <f t="shared" si="89"/>
        <v>17</v>
      </c>
      <c r="AH226" s="346">
        <f>IF(B226&lt;&gt;"",+IF(H226="x",+VLOOKUP(I226,'AUX-NIV2'!B:AG,32,FALSE),0),"")</f>
        <v>0</v>
      </c>
      <c r="AI226" s="346" t="str">
        <f t="shared" si="103"/>
        <v>I-OYM</v>
      </c>
      <c r="AK226" s="347">
        <f t="shared" si="90"/>
        <v>224</v>
      </c>
      <c r="AL226" s="348">
        <f t="shared" si="104"/>
        <v>240</v>
      </c>
      <c r="AM226" s="347">
        <f t="shared" si="105"/>
        <v>3</v>
      </c>
      <c r="AN226" s="382">
        <f>IF(AND(AH226&gt;0,B226&lt;&gt;""),VLOOKUP(I226,'AUX-NIV2'!$B:$AP,40,FALSE)*O226,0)</f>
        <v>0</v>
      </c>
      <c r="AO226" s="382">
        <f t="shared" si="91"/>
        <v>0</v>
      </c>
      <c r="AQ226" s="395">
        <f>(IF($H226="x",VLOOKUP($I226,'AUX-NIV2'!$B:$X,'AUX-NIV1'!AQ$3,FALSE),0)+($AV226*'AUX-NIV3'!S$4))*$O226+IF($H226=AQ$4,$P226,0)</f>
        <v>0</v>
      </c>
      <c r="AR226" s="395">
        <f>(IF($H226="x",VLOOKUP($I226,'AUX-NIV2'!$B:$X,'AUX-NIV1'!AR$3,FALSE),0)+($AV226*'AUX-NIV3'!T$4))*$O226+IF($H226=AR$4,$P226,0)</f>
        <v>0</v>
      </c>
      <c r="AS226" s="395">
        <f>(IF($H226="x",VLOOKUP($I226,'AUX-NIV2'!$B:$X,'AUX-NIV1'!AS$3,FALSE),0)+($AV226*'AUX-NIV3'!U$4))*$O226+IF($H226=AS$4,$P226,0)</f>
        <v>0</v>
      </c>
      <c r="AT226" s="395">
        <f>(IF($H226="x",VLOOKUP($I226,'AUX-NIV2'!$B:$X,'AUX-NIV1'!AT$3,FALSE),0)+($AV226*'AUX-NIV3'!V$4))*$O226+IF($H226=AT$4,$P226,0)</f>
        <v>0</v>
      </c>
      <c r="AU226" s="395">
        <f>(IF($H226="x",VLOOKUP($I226,'AUX-NIV2'!$B:$X,'AUX-NIV1'!AU$3,FALSE),0)+($AV226*'AUX-NIV3'!W$4))*$O226+IF($H226=AU$4,$P226,0)</f>
        <v>0</v>
      </c>
      <c r="AV226" s="395">
        <f>+IF($H226="x",VLOOKUP($I226,'AUX-NIV2'!$B:$X,'AUX-NIV1'!AV$3,FALSE),0)</f>
        <v>0</v>
      </c>
    </row>
    <row r="227" spans="2:48" ht="14.4" hidden="1" thickTop="1" thickBot="1">
      <c r="B227" s="324" t="s">
        <v>98</v>
      </c>
      <c r="C227" s="325" t="s">
        <v>1174</v>
      </c>
      <c r="D227" s="326" t="s">
        <v>1168</v>
      </c>
      <c r="E227" s="349">
        <f>IF(B227&lt;&gt;"",+SUMIF(Items!C:C,'AUX-NIV1'!B227,Items!H:H),"")</f>
        <v>0</v>
      </c>
      <c r="F227" s="349">
        <f t="shared" si="81"/>
        <v>18000</v>
      </c>
      <c r="G227" s="349">
        <f t="shared" si="82"/>
        <v>0</v>
      </c>
      <c r="H227" s="1395" t="str">
        <f t="shared" si="92"/>
        <v>E</v>
      </c>
      <c r="I227" s="1375" t="s">
        <v>1581</v>
      </c>
      <c r="J227" s="350" t="str">
        <f>IF(B227&lt;&gt;"",+VLOOKUP(I227,Recursos!C:F,2,FALSE),"")</f>
        <v>MOTOCOMPRESOR 5 M3/MIN-175 CFM</v>
      </c>
      <c r="K227" s="351" t="str">
        <f>IF(B227&lt;&gt;"",+VLOOKUP(I227,Recursos!C:F,3,FALSE),"")</f>
        <v>HR</v>
      </c>
      <c r="L227" s="1475">
        <f>IF(B227&lt;&gt;"",+VLOOKUP(I227,Recursos!C:F,4,FALSE),"")</f>
        <v>1186.33205</v>
      </c>
      <c r="M227" s="1493">
        <v>50</v>
      </c>
      <c r="N227" s="1507">
        <v>0</v>
      </c>
      <c r="O227" s="1490">
        <f t="shared" si="107"/>
        <v>0</v>
      </c>
      <c r="P227" s="352">
        <f t="shared" si="93"/>
        <v>0</v>
      </c>
      <c r="Q227" s="349">
        <f t="shared" si="94"/>
        <v>0</v>
      </c>
      <c r="R227" s="353">
        <f t="shared" si="95"/>
        <v>0</v>
      </c>
      <c r="S227" s="354">
        <f t="shared" si="83"/>
        <v>0</v>
      </c>
      <c r="T227" s="354">
        <f t="shared" si="84"/>
        <v>0</v>
      </c>
      <c r="U227" s="355">
        <f t="shared" si="85"/>
        <v>1000</v>
      </c>
      <c r="V227" s="355">
        <f t="shared" si="86"/>
        <v>0</v>
      </c>
      <c r="W227" s="355">
        <f t="shared" si="87"/>
        <v>17000</v>
      </c>
      <c r="X227" s="355">
        <f t="shared" si="88"/>
        <v>0</v>
      </c>
      <c r="Y227" s="396"/>
      <c r="Z227" s="346" t="str">
        <f t="shared" si="96"/>
        <v>I-OYMA</v>
      </c>
      <c r="AA227" s="346" t="str">
        <f t="shared" si="97"/>
        <v>I-OYME</v>
      </c>
      <c r="AB227" s="346" t="str">
        <f t="shared" si="98"/>
        <v>I-OYMM</v>
      </c>
      <c r="AC227" s="346" t="str">
        <f t="shared" si="99"/>
        <v>I-OYMT</v>
      </c>
      <c r="AD227" s="346" t="str">
        <f t="shared" si="100"/>
        <v>I-OYMS</v>
      </c>
      <c r="AE227" s="346" t="str">
        <f t="shared" si="101"/>
        <v>I-OYMX</v>
      </c>
      <c r="AF227" s="346" t="str">
        <f t="shared" si="102"/>
        <v>I-OYME</v>
      </c>
      <c r="AG227" s="346">
        <f t="shared" si="89"/>
        <v>17</v>
      </c>
      <c r="AH227" s="346">
        <f>IF(B227&lt;&gt;"",+IF(H227="x",+VLOOKUP(I227,'AUX-NIV2'!B:AG,32,FALSE),0),"")</f>
        <v>0</v>
      </c>
      <c r="AI227" s="346" t="str">
        <f t="shared" si="103"/>
        <v>I-OYM</v>
      </c>
      <c r="AK227" s="347">
        <f t="shared" si="90"/>
        <v>224</v>
      </c>
      <c r="AL227" s="348">
        <f t="shared" si="104"/>
        <v>240</v>
      </c>
      <c r="AM227" s="347">
        <f t="shared" si="105"/>
        <v>4</v>
      </c>
      <c r="AN227" s="382">
        <f>IF(AND(AH227&gt;0,B227&lt;&gt;""),VLOOKUP(I227,'AUX-NIV2'!$B:$AP,40,FALSE)*O227,0)</f>
        <v>0</v>
      </c>
      <c r="AO227" s="382">
        <f t="shared" si="91"/>
        <v>0</v>
      </c>
      <c r="AQ227" s="395">
        <f>(IF($H227="x",VLOOKUP($I227,'AUX-NIV2'!$B:$X,'AUX-NIV1'!AQ$3,FALSE),0)+($AV227*'AUX-NIV3'!S$4))*$O227+IF($H227=AQ$4,$P227,0)</f>
        <v>0</v>
      </c>
      <c r="AR227" s="395">
        <f>(IF($H227="x",VLOOKUP($I227,'AUX-NIV2'!$B:$X,'AUX-NIV1'!AR$3,FALSE),0)+($AV227*'AUX-NIV3'!T$4))*$O227+IF($H227=AR$4,$P227,0)</f>
        <v>0</v>
      </c>
      <c r="AS227" s="395">
        <f>(IF($H227="x",VLOOKUP($I227,'AUX-NIV2'!$B:$X,'AUX-NIV1'!AS$3,FALSE),0)+($AV227*'AUX-NIV3'!U$4))*$O227+IF($H227=AS$4,$P227,0)</f>
        <v>0</v>
      </c>
      <c r="AT227" s="395">
        <f>(IF($H227="x",VLOOKUP($I227,'AUX-NIV2'!$B:$X,'AUX-NIV1'!AT$3,FALSE),0)+($AV227*'AUX-NIV3'!V$4))*$O227+IF($H227=AT$4,$P227,0)</f>
        <v>0</v>
      </c>
      <c r="AU227" s="395">
        <f>(IF($H227="x",VLOOKUP($I227,'AUX-NIV2'!$B:$X,'AUX-NIV1'!AU$3,FALSE),0)+($AV227*'AUX-NIV3'!W$4))*$O227+IF($H227=AU$4,$P227,0)</f>
        <v>0</v>
      </c>
      <c r="AV227" s="395">
        <f>+IF($H227="x",VLOOKUP($I227,'AUX-NIV2'!$B:$X,'AUX-NIV1'!AV$3,FALSE),0)</f>
        <v>0</v>
      </c>
    </row>
    <row r="228" spans="2:48" ht="14.4" hidden="1" thickTop="1" thickBot="1">
      <c r="B228" s="324" t="s">
        <v>98</v>
      </c>
      <c r="C228" s="325" t="s">
        <v>1174</v>
      </c>
      <c r="D228" s="326" t="s">
        <v>1168</v>
      </c>
      <c r="E228" s="349">
        <f>IF(B228&lt;&gt;"",+SUMIF(Items!C:C,'AUX-NIV1'!B228,Items!H:H),"")</f>
        <v>0</v>
      </c>
      <c r="F228" s="349">
        <f t="shared" si="81"/>
        <v>18000</v>
      </c>
      <c r="G228" s="349">
        <f t="shared" si="82"/>
        <v>0</v>
      </c>
      <c r="H228" s="1395" t="str">
        <f t="shared" si="92"/>
        <v>E</v>
      </c>
      <c r="I228" s="1375" t="s">
        <v>1584</v>
      </c>
      <c r="J228" s="350" t="str">
        <f>IF(B228&lt;&gt;"",+VLOOKUP(I228,Recursos!C:F,2,FALSE),"")</f>
        <v>ELECTROCOMPRESOR 16 M3/MIN-570 CFM</v>
      </c>
      <c r="K228" s="351" t="str">
        <f>IF(B228&lt;&gt;"",+VLOOKUP(I228,Recursos!C:F,3,FALSE),"")</f>
        <v>HR</v>
      </c>
      <c r="L228" s="1475">
        <f>IF(B228&lt;&gt;"",+VLOOKUP(I228,Recursos!C:F,4,FALSE),"")</f>
        <v>391.87199999999996</v>
      </c>
      <c r="M228" s="1493">
        <v>100</v>
      </c>
      <c r="N228" s="1507">
        <v>0</v>
      </c>
      <c r="O228" s="1490">
        <f t="shared" si="107"/>
        <v>0</v>
      </c>
      <c r="P228" s="352">
        <f t="shared" si="93"/>
        <v>0</v>
      </c>
      <c r="Q228" s="349">
        <f t="shared" si="94"/>
        <v>0</v>
      </c>
      <c r="R228" s="353">
        <f t="shared" si="95"/>
        <v>0</v>
      </c>
      <c r="S228" s="354">
        <f t="shared" si="83"/>
        <v>0</v>
      </c>
      <c r="T228" s="354">
        <f t="shared" si="84"/>
        <v>0</v>
      </c>
      <c r="U228" s="355">
        <f t="shared" si="85"/>
        <v>1000</v>
      </c>
      <c r="V228" s="355">
        <f t="shared" si="86"/>
        <v>0</v>
      </c>
      <c r="W228" s="355">
        <f t="shared" si="87"/>
        <v>17000</v>
      </c>
      <c r="X228" s="355">
        <f t="shared" si="88"/>
        <v>0</v>
      </c>
      <c r="Y228" s="396"/>
      <c r="Z228" s="346" t="str">
        <f t="shared" si="96"/>
        <v>I-OYMA</v>
      </c>
      <c r="AA228" s="346" t="str">
        <f t="shared" si="97"/>
        <v>I-OYME</v>
      </c>
      <c r="AB228" s="346" t="str">
        <f t="shared" si="98"/>
        <v>I-OYMM</v>
      </c>
      <c r="AC228" s="346" t="str">
        <f t="shared" si="99"/>
        <v>I-OYMT</v>
      </c>
      <c r="AD228" s="346" t="str">
        <f t="shared" si="100"/>
        <v>I-OYMS</v>
      </c>
      <c r="AE228" s="346" t="str">
        <f t="shared" si="101"/>
        <v>I-OYMX</v>
      </c>
      <c r="AF228" s="346" t="str">
        <f t="shared" si="102"/>
        <v>I-OYME</v>
      </c>
      <c r="AG228" s="346">
        <f t="shared" si="89"/>
        <v>17</v>
      </c>
      <c r="AH228" s="346">
        <f>IF(B228&lt;&gt;"",+IF(H228="x",+VLOOKUP(I228,'AUX-NIV2'!B:AG,32,FALSE),0),"")</f>
        <v>0</v>
      </c>
      <c r="AI228" s="346" t="str">
        <f t="shared" si="103"/>
        <v>I-OYM</v>
      </c>
      <c r="AK228" s="347">
        <f t="shared" si="90"/>
        <v>224</v>
      </c>
      <c r="AL228" s="348">
        <f t="shared" si="104"/>
        <v>240</v>
      </c>
      <c r="AM228" s="347">
        <f t="shared" si="105"/>
        <v>5</v>
      </c>
      <c r="AN228" s="382">
        <f>IF(AND(AH228&gt;0,B228&lt;&gt;""),VLOOKUP(I228,'AUX-NIV2'!$B:$AP,40,FALSE)*O228,0)</f>
        <v>0</v>
      </c>
      <c r="AO228" s="382">
        <f t="shared" si="91"/>
        <v>0</v>
      </c>
      <c r="AQ228" s="395">
        <f>(IF($H228="x",VLOOKUP($I228,'AUX-NIV2'!$B:$X,'AUX-NIV1'!AQ$3,FALSE),0)+($AV228*'AUX-NIV3'!S$4))*$O228+IF($H228=AQ$4,$P228,0)</f>
        <v>0</v>
      </c>
      <c r="AR228" s="395">
        <f>(IF($H228="x",VLOOKUP($I228,'AUX-NIV2'!$B:$X,'AUX-NIV1'!AR$3,FALSE),0)+($AV228*'AUX-NIV3'!T$4))*$O228+IF($H228=AR$4,$P228,0)</f>
        <v>0</v>
      </c>
      <c r="AS228" s="395">
        <f>(IF($H228="x",VLOOKUP($I228,'AUX-NIV2'!$B:$X,'AUX-NIV1'!AS$3,FALSE),0)+($AV228*'AUX-NIV3'!U$4))*$O228+IF($H228=AS$4,$P228,0)</f>
        <v>0</v>
      </c>
      <c r="AT228" s="395">
        <f>(IF($H228="x",VLOOKUP($I228,'AUX-NIV2'!$B:$X,'AUX-NIV1'!AT$3,FALSE),0)+($AV228*'AUX-NIV3'!V$4))*$O228+IF($H228=AT$4,$P228,0)</f>
        <v>0</v>
      </c>
      <c r="AU228" s="395">
        <f>(IF($H228="x",VLOOKUP($I228,'AUX-NIV2'!$B:$X,'AUX-NIV1'!AU$3,FALSE),0)+($AV228*'AUX-NIV3'!W$4))*$O228+IF($H228=AU$4,$P228,0)</f>
        <v>0</v>
      </c>
      <c r="AV228" s="395">
        <f>+IF($H228="x",VLOOKUP($I228,'AUX-NIV2'!$B:$X,'AUX-NIV1'!AV$3,FALSE),0)</f>
        <v>0</v>
      </c>
    </row>
    <row r="229" spans="2:48" ht="14.4" hidden="1" thickTop="1" thickBot="1">
      <c r="B229" s="324" t="s">
        <v>98</v>
      </c>
      <c r="C229" s="325" t="s">
        <v>1174</v>
      </c>
      <c r="D229" s="326" t="s">
        <v>1168</v>
      </c>
      <c r="E229" s="349">
        <f>IF(B229&lt;&gt;"",+SUMIF(Items!C:C,'AUX-NIV1'!B229,Items!H:H),"")</f>
        <v>0</v>
      </c>
      <c r="F229" s="349">
        <f t="shared" si="81"/>
        <v>18000</v>
      </c>
      <c r="G229" s="349">
        <f t="shared" si="82"/>
        <v>0</v>
      </c>
      <c r="H229" s="1395" t="str">
        <f t="shared" si="92"/>
        <v>E</v>
      </c>
      <c r="I229" s="1375" t="s">
        <v>1588</v>
      </c>
      <c r="J229" s="350" t="str">
        <f>IF(B229&lt;&gt;"",+VLOOKUP(I229,Recursos!C:F,2,FALSE),"")</f>
        <v>GRUPO ELECTROGENO 64 KVA-50 KW</v>
      </c>
      <c r="K229" s="351" t="str">
        <f>IF(B229&lt;&gt;"",+VLOOKUP(I229,Recursos!C:F,3,FALSE),"")</f>
        <v>HR</v>
      </c>
      <c r="L229" s="1475">
        <f>IF(B229&lt;&gt;"",+VLOOKUP(I229,Recursos!C:F,4,FALSE),"")</f>
        <v>1214.3448000000001</v>
      </c>
      <c r="M229" s="1493">
        <v>50</v>
      </c>
      <c r="N229" s="1507">
        <v>0</v>
      </c>
      <c r="O229" s="1490">
        <f t="shared" si="107"/>
        <v>0</v>
      </c>
      <c r="P229" s="352">
        <f t="shared" si="93"/>
        <v>0</v>
      </c>
      <c r="Q229" s="349">
        <f t="shared" si="94"/>
        <v>0</v>
      </c>
      <c r="R229" s="353">
        <f t="shared" si="95"/>
        <v>0</v>
      </c>
      <c r="S229" s="354">
        <f t="shared" si="83"/>
        <v>0</v>
      </c>
      <c r="T229" s="354">
        <f t="shared" si="84"/>
        <v>0</v>
      </c>
      <c r="U229" s="355">
        <f t="shared" si="85"/>
        <v>1000</v>
      </c>
      <c r="V229" s="355">
        <f t="shared" si="86"/>
        <v>0</v>
      </c>
      <c r="W229" s="355">
        <f t="shared" si="87"/>
        <v>17000</v>
      </c>
      <c r="X229" s="355">
        <f t="shared" si="88"/>
        <v>0</v>
      </c>
      <c r="Y229" s="396"/>
      <c r="Z229" s="346" t="str">
        <f t="shared" si="96"/>
        <v>I-OYMA</v>
      </c>
      <c r="AA229" s="346" t="str">
        <f t="shared" si="97"/>
        <v>I-OYME</v>
      </c>
      <c r="AB229" s="346" t="str">
        <f t="shared" si="98"/>
        <v>I-OYMM</v>
      </c>
      <c r="AC229" s="346" t="str">
        <f t="shared" si="99"/>
        <v>I-OYMT</v>
      </c>
      <c r="AD229" s="346" t="str">
        <f t="shared" si="100"/>
        <v>I-OYMS</v>
      </c>
      <c r="AE229" s="346" t="str">
        <f t="shared" si="101"/>
        <v>I-OYMX</v>
      </c>
      <c r="AF229" s="346" t="str">
        <f t="shared" si="102"/>
        <v>I-OYME</v>
      </c>
      <c r="AG229" s="346">
        <f t="shared" si="89"/>
        <v>17</v>
      </c>
      <c r="AH229" s="346">
        <f>IF(B229&lt;&gt;"",+IF(H229="x",+VLOOKUP(I229,'AUX-NIV2'!B:AG,32,FALSE),0),"")</f>
        <v>0</v>
      </c>
      <c r="AI229" s="346" t="str">
        <f t="shared" si="103"/>
        <v>I-OYM</v>
      </c>
      <c r="AK229" s="347">
        <f t="shared" si="90"/>
        <v>224</v>
      </c>
      <c r="AL229" s="348">
        <f t="shared" si="104"/>
        <v>240</v>
      </c>
      <c r="AM229" s="347">
        <f t="shared" si="105"/>
        <v>6</v>
      </c>
      <c r="AN229" s="382">
        <f>IF(AND(AH229&gt;0,B229&lt;&gt;""),VLOOKUP(I229,'AUX-NIV2'!$B:$AP,40,FALSE)*O229,0)</f>
        <v>0</v>
      </c>
      <c r="AO229" s="382">
        <f t="shared" si="91"/>
        <v>0</v>
      </c>
      <c r="AQ229" s="395">
        <f>(IF($H229="x",VLOOKUP($I229,'AUX-NIV2'!$B:$X,'AUX-NIV1'!AQ$3,FALSE),0)+($AV229*'AUX-NIV3'!S$4))*$O229+IF($H229=AQ$4,$P229,0)</f>
        <v>0</v>
      </c>
      <c r="AR229" s="395">
        <f>(IF($H229="x",VLOOKUP($I229,'AUX-NIV2'!$B:$X,'AUX-NIV1'!AR$3,FALSE),0)+($AV229*'AUX-NIV3'!T$4))*$O229+IF($H229=AR$4,$P229,0)</f>
        <v>0</v>
      </c>
      <c r="AS229" s="395">
        <f>(IF($H229="x",VLOOKUP($I229,'AUX-NIV2'!$B:$X,'AUX-NIV1'!AS$3,FALSE),0)+($AV229*'AUX-NIV3'!U$4))*$O229+IF($H229=AS$4,$P229,0)</f>
        <v>0</v>
      </c>
      <c r="AT229" s="395">
        <f>(IF($H229="x",VLOOKUP($I229,'AUX-NIV2'!$B:$X,'AUX-NIV1'!AT$3,FALSE),0)+($AV229*'AUX-NIV3'!V$4))*$O229+IF($H229=AT$4,$P229,0)</f>
        <v>0</v>
      </c>
      <c r="AU229" s="395">
        <f>(IF($H229="x",VLOOKUP($I229,'AUX-NIV2'!$B:$X,'AUX-NIV1'!AU$3,FALSE),0)+($AV229*'AUX-NIV3'!W$4))*$O229+IF($H229=AU$4,$P229,0)</f>
        <v>0</v>
      </c>
      <c r="AV229" s="395">
        <f>+IF($H229="x",VLOOKUP($I229,'AUX-NIV2'!$B:$X,'AUX-NIV1'!AV$3,FALSE),0)</f>
        <v>0</v>
      </c>
    </row>
    <row r="230" spans="2:48" ht="14.4" hidden="1" thickTop="1" thickBot="1">
      <c r="B230" s="324" t="s">
        <v>98</v>
      </c>
      <c r="C230" s="325" t="s">
        <v>1174</v>
      </c>
      <c r="D230" s="326" t="s">
        <v>1168</v>
      </c>
      <c r="E230" s="349">
        <f>IF(B230&lt;&gt;"",+SUMIF(Items!C:C,'AUX-NIV1'!B230,Items!H:H),"")</f>
        <v>0</v>
      </c>
      <c r="F230" s="349">
        <f t="shared" si="81"/>
        <v>18000</v>
      </c>
      <c r="G230" s="349">
        <f t="shared" si="82"/>
        <v>0</v>
      </c>
      <c r="H230" s="1395" t="str">
        <f t="shared" si="92"/>
        <v>E</v>
      </c>
      <c r="I230" s="1375" t="s">
        <v>1642</v>
      </c>
      <c r="J230" s="350" t="str">
        <f>IF(B230&lt;&gt;"",+VLOOKUP(I230,Recursos!C:F,2,FALSE),"")</f>
        <v>GRUA TORRE S/RIELES (50 TM)</v>
      </c>
      <c r="K230" s="351" t="str">
        <f>IF(B230&lt;&gt;"",+VLOOKUP(I230,Recursos!C:F,3,FALSE),"")</f>
        <v>HR</v>
      </c>
      <c r="L230" s="1475">
        <f>IF(B230&lt;&gt;"",+VLOOKUP(I230,Recursos!C:F,4,FALSE),"")</f>
        <v>1322.568</v>
      </c>
      <c r="M230" s="1493">
        <v>100</v>
      </c>
      <c r="N230" s="1507">
        <v>0</v>
      </c>
      <c r="O230" s="1490">
        <f t="shared" si="107"/>
        <v>0</v>
      </c>
      <c r="P230" s="352">
        <f t="shared" si="93"/>
        <v>0</v>
      </c>
      <c r="Q230" s="349">
        <f t="shared" si="94"/>
        <v>0</v>
      </c>
      <c r="R230" s="353">
        <f t="shared" si="95"/>
        <v>0</v>
      </c>
      <c r="S230" s="354">
        <f t="shared" si="83"/>
        <v>0</v>
      </c>
      <c r="T230" s="354">
        <f t="shared" si="84"/>
        <v>0</v>
      </c>
      <c r="U230" s="355">
        <f t="shared" si="85"/>
        <v>1000</v>
      </c>
      <c r="V230" s="355">
        <f t="shared" si="86"/>
        <v>0</v>
      </c>
      <c r="W230" s="355">
        <f t="shared" si="87"/>
        <v>17000</v>
      </c>
      <c r="X230" s="355">
        <f t="shared" si="88"/>
        <v>0</v>
      </c>
      <c r="Y230" s="396"/>
      <c r="Z230" s="346" t="str">
        <f t="shared" si="96"/>
        <v>I-OYMA</v>
      </c>
      <c r="AA230" s="346" t="str">
        <f t="shared" si="97"/>
        <v>I-OYME</v>
      </c>
      <c r="AB230" s="346" t="str">
        <f t="shared" si="98"/>
        <v>I-OYMM</v>
      </c>
      <c r="AC230" s="346" t="str">
        <f t="shared" si="99"/>
        <v>I-OYMT</v>
      </c>
      <c r="AD230" s="346" t="str">
        <f t="shared" si="100"/>
        <v>I-OYMS</v>
      </c>
      <c r="AE230" s="346" t="str">
        <f t="shared" si="101"/>
        <v>I-OYMX</v>
      </c>
      <c r="AF230" s="346" t="str">
        <f t="shared" si="102"/>
        <v>I-OYME</v>
      </c>
      <c r="AG230" s="346">
        <f t="shared" si="89"/>
        <v>17</v>
      </c>
      <c r="AH230" s="346">
        <f>IF(B230&lt;&gt;"",+IF(H230="x",+VLOOKUP(I230,'AUX-NIV2'!B:AG,32,FALSE),0),"")</f>
        <v>0</v>
      </c>
      <c r="AI230" s="346" t="str">
        <f t="shared" si="103"/>
        <v>I-OYM</v>
      </c>
      <c r="AK230" s="347">
        <f t="shared" si="90"/>
        <v>224</v>
      </c>
      <c r="AL230" s="348">
        <f t="shared" si="104"/>
        <v>240</v>
      </c>
      <c r="AM230" s="347">
        <f t="shared" si="105"/>
        <v>7</v>
      </c>
      <c r="AN230" s="382">
        <f>IF(AND(AH230&gt;0,B230&lt;&gt;""),VLOOKUP(I230,'AUX-NIV2'!$B:$AP,40,FALSE)*O230,0)</f>
        <v>0</v>
      </c>
      <c r="AO230" s="382">
        <f t="shared" si="91"/>
        <v>0</v>
      </c>
      <c r="AQ230" s="395">
        <f>(IF($H230="x",VLOOKUP($I230,'AUX-NIV2'!$B:$X,'AUX-NIV1'!AQ$3,FALSE),0)+($AV230*'AUX-NIV3'!S$4))*$O230+IF($H230=AQ$4,$P230,0)</f>
        <v>0</v>
      </c>
      <c r="AR230" s="395">
        <f>(IF($H230="x",VLOOKUP($I230,'AUX-NIV2'!$B:$X,'AUX-NIV1'!AR$3,FALSE),0)+($AV230*'AUX-NIV3'!T$4))*$O230+IF($H230=AR$4,$P230,0)</f>
        <v>0</v>
      </c>
      <c r="AS230" s="395">
        <f>(IF($H230="x",VLOOKUP($I230,'AUX-NIV2'!$B:$X,'AUX-NIV1'!AS$3,FALSE),0)+($AV230*'AUX-NIV3'!U$4))*$O230+IF($H230=AS$4,$P230,0)</f>
        <v>0</v>
      </c>
      <c r="AT230" s="395">
        <f>(IF($H230="x",VLOOKUP($I230,'AUX-NIV2'!$B:$X,'AUX-NIV1'!AT$3,FALSE),0)+($AV230*'AUX-NIV3'!V$4))*$O230+IF($H230=AT$4,$P230,0)</f>
        <v>0</v>
      </c>
      <c r="AU230" s="395">
        <f>(IF($H230="x",VLOOKUP($I230,'AUX-NIV2'!$B:$X,'AUX-NIV1'!AU$3,FALSE),0)+($AV230*'AUX-NIV3'!W$4))*$O230+IF($H230=AU$4,$P230,0)</f>
        <v>0</v>
      </c>
      <c r="AV230" s="395">
        <f>+IF($H230="x",VLOOKUP($I230,'AUX-NIV2'!$B:$X,'AUX-NIV1'!AV$3,FALSE),0)</f>
        <v>0</v>
      </c>
    </row>
    <row r="231" spans="2:48" ht="14.4" hidden="1" thickTop="1" thickBot="1">
      <c r="B231" s="324" t="s">
        <v>98</v>
      </c>
      <c r="C231" s="325" t="s">
        <v>1174</v>
      </c>
      <c r="D231" s="326" t="s">
        <v>1168</v>
      </c>
      <c r="E231" s="349">
        <f>IF(B231&lt;&gt;"",+SUMIF(Items!C:C,'AUX-NIV1'!B231,Items!H:H),"")</f>
        <v>0</v>
      </c>
      <c r="F231" s="349">
        <f t="shared" si="81"/>
        <v>18000</v>
      </c>
      <c r="G231" s="349">
        <f t="shared" si="82"/>
        <v>0</v>
      </c>
      <c r="H231" s="1395" t="str">
        <f t="shared" si="92"/>
        <v>E</v>
      </c>
      <c r="I231" s="1375" t="s">
        <v>1590</v>
      </c>
      <c r="J231" s="350" t="str">
        <f>IF(B231&lt;&gt;"",+VLOOKUP(I231,Recursos!C:F,2,FALSE),"")</f>
        <v>MOTOBOMBA 5 HP (52 m3/h)</v>
      </c>
      <c r="K231" s="351" t="str">
        <f>IF(B231&lt;&gt;"",+VLOOKUP(I231,Recursos!C:F,3,FALSE),"")</f>
        <v>HR</v>
      </c>
      <c r="L231" s="1475">
        <f>IF(B231&lt;&gt;"",+VLOOKUP(I231,Recursos!C:F,4,FALSE),"")</f>
        <v>122.358</v>
      </c>
      <c r="M231" s="1493">
        <v>50</v>
      </c>
      <c r="N231" s="1507">
        <v>0</v>
      </c>
      <c r="O231" s="1490">
        <f t="shared" si="107"/>
        <v>0</v>
      </c>
      <c r="P231" s="352">
        <f t="shared" si="93"/>
        <v>0</v>
      </c>
      <c r="Q231" s="349">
        <f t="shared" si="94"/>
        <v>0</v>
      </c>
      <c r="R231" s="353">
        <f t="shared" si="95"/>
        <v>0</v>
      </c>
      <c r="S231" s="354">
        <f t="shared" si="83"/>
        <v>0</v>
      </c>
      <c r="T231" s="354">
        <f t="shared" si="84"/>
        <v>0</v>
      </c>
      <c r="U231" s="355">
        <f t="shared" si="85"/>
        <v>1000</v>
      </c>
      <c r="V231" s="355">
        <f t="shared" si="86"/>
        <v>0</v>
      </c>
      <c r="W231" s="355">
        <f t="shared" si="87"/>
        <v>17000</v>
      </c>
      <c r="X231" s="355">
        <f t="shared" si="88"/>
        <v>0</v>
      </c>
      <c r="Y231" s="396"/>
      <c r="Z231" s="346" t="str">
        <f t="shared" si="96"/>
        <v>I-OYMA</v>
      </c>
      <c r="AA231" s="346" t="str">
        <f t="shared" si="97"/>
        <v>I-OYME</v>
      </c>
      <c r="AB231" s="346" t="str">
        <f t="shared" si="98"/>
        <v>I-OYMM</v>
      </c>
      <c r="AC231" s="346" t="str">
        <f t="shared" si="99"/>
        <v>I-OYMT</v>
      </c>
      <c r="AD231" s="346" t="str">
        <f t="shared" si="100"/>
        <v>I-OYMS</v>
      </c>
      <c r="AE231" s="346" t="str">
        <f t="shared" si="101"/>
        <v>I-OYMX</v>
      </c>
      <c r="AF231" s="346" t="str">
        <f t="shared" si="102"/>
        <v>I-OYME</v>
      </c>
      <c r="AG231" s="346">
        <f t="shared" si="89"/>
        <v>17</v>
      </c>
      <c r="AH231" s="346">
        <f>IF(B231&lt;&gt;"",+IF(H231="x",+VLOOKUP(I231,'AUX-NIV2'!B:AG,32,FALSE),0),"")</f>
        <v>0</v>
      </c>
      <c r="AI231" s="346" t="str">
        <f t="shared" si="103"/>
        <v>I-OYM</v>
      </c>
      <c r="AK231" s="347">
        <f t="shared" si="90"/>
        <v>224</v>
      </c>
      <c r="AL231" s="348">
        <f t="shared" si="104"/>
        <v>240</v>
      </c>
      <c r="AM231" s="347">
        <f t="shared" si="105"/>
        <v>8</v>
      </c>
      <c r="AN231" s="382">
        <f>IF(AND(AH231&gt;0,B231&lt;&gt;""),VLOOKUP(I231,'AUX-NIV2'!$B:$AP,40,FALSE)*O231,0)</f>
        <v>0</v>
      </c>
      <c r="AO231" s="382">
        <f t="shared" si="91"/>
        <v>0</v>
      </c>
      <c r="AQ231" s="395">
        <f>(IF($H231="x",VLOOKUP($I231,'AUX-NIV2'!$B:$X,'AUX-NIV1'!AQ$3,FALSE),0)+($AV231*'AUX-NIV3'!S$4))*$O231+IF($H231=AQ$4,$P231,0)</f>
        <v>0</v>
      </c>
      <c r="AR231" s="395">
        <f>(IF($H231="x",VLOOKUP($I231,'AUX-NIV2'!$B:$X,'AUX-NIV1'!AR$3,FALSE),0)+($AV231*'AUX-NIV3'!T$4))*$O231+IF($H231=AR$4,$P231,0)</f>
        <v>0</v>
      </c>
      <c r="AS231" s="395">
        <f>(IF($H231="x",VLOOKUP($I231,'AUX-NIV2'!$B:$X,'AUX-NIV1'!AS$3,FALSE),0)+($AV231*'AUX-NIV3'!U$4))*$O231+IF($H231=AS$4,$P231,0)</f>
        <v>0</v>
      </c>
      <c r="AT231" s="395">
        <f>(IF($H231="x",VLOOKUP($I231,'AUX-NIV2'!$B:$X,'AUX-NIV1'!AT$3,FALSE),0)+($AV231*'AUX-NIV3'!V$4))*$O231+IF($H231=AT$4,$P231,0)</f>
        <v>0</v>
      </c>
      <c r="AU231" s="395">
        <f>(IF($H231="x",VLOOKUP($I231,'AUX-NIV2'!$B:$X,'AUX-NIV1'!AU$3,FALSE),0)+($AV231*'AUX-NIV3'!W$4))*$O231+IF($H231=AU$4,$P231,0)</f>
        <v>0</v>
      </c>
      <c r="AV231" s="395">
        <f>+IF($H231="x",VLOOKUP($I231,'AUX-NIV2'!$B:$X,'AUX-NIV1'!AV$3,FALSE),0)</f>
        <v>0</v>
      </c>
    </row>
    <row r="232" spans="2:48" ht="14.4" hidden="1" thickTop="1" thickBot="1">
      <c r="B232" s="324" t="s">
        <v>98</v>
      </c>
      <c r="C232" s="325" t="s">
        <v>1174</v>
      </c>
      <c r="D232" s="326" t="s">
        <v>1168</v>
      </c>
      <c r="E232" s="349">
        <f>IF(B232&lt;&gt;"",+SUMIF(Items!C:C,'AUX-NIV1'!B232,Items!H:H),"")</f>
        <v>0</v>
      </c>
      <c r="F232" s="349">
        <f t="shared" si="81"/>
        <v>18000</v>
      </c>
      <c r="G232" s="349">
        <f t="shared" si="82"/>
        <v>0</v>
      </c>
      <c r="H232" s="1395" t="str">
        <f t="shared" si="92"/>
        <v>E</v>
      </c>
      <c r="I232" s="1375" t="s">
        <v>1544</v>
      </c>
      <c r="J232" s="350" t="str">
        <f>IF(B232&lt;&gt;"",+VLOOKUP(I232,Recursos!C:F,2,FALSE),"")</f>
        <v>CARRETON DE 50 TN CON CAMION</v>
      </c>
      <c r="K232" s="351" t="str">
        <f>IF(B232&lt;&gt;"",+VLOOKUP(I232,Recursos!C:F,3,FALSE),"")</f>
        <v>HR</v>
      </c>
      <c r="L232" s="1475">
        <f>IF(B232&lt;&gt;"",+VLOOKUP(I232,Recursos!C:F,4,FALSE),"")</f>
        <v>3982.1633333333334</v>
      </c>
      <c r="M232" s="1493">
        <v>50</v>
      </c>
      <c r="N232" s="1507">
        <v>0</v>
      </c>
      <c r="O232" s="1490">
        <f t="shared" si="107"/>
        <v>0</v>
      </c>
      <c r="P232" s="352">
        <f t="shared" si="93"/>
        <v>0</v>
      </c>
      <c r="Q232" s="349">
        <f t="shared" si="94"/>
        <v>0</v>
      </c>
      <c r="R232" s="353">
        <f t="shared" si="95"/>
        <v>0</v>
      </c>
      <c r="S232" s="354">
        <f t="shared" si="83"/>
        <v>0</v>
      </c>
      <c r="T232" s="354">
        <f t="shared" si="84"/>
        <v>0</v>
      </c>
      <c r="U232" s="355">
        <f t="shared" si="85"/>
        <v>1000</v>
      </c>
      <c r="V232" s="355">
        <f t="shared" si="86"/>
        <v>0</v>
      </c>
      <c r="W232" s="355">
        <f t="shared" si="87"/>
        <v>17000</v>
      </c>
      <c r="X232" s="355">
        <f t="shared" si="88"/>
        <v>0</v>
      </c>
      <c r="Y232" s="396"/>
      <c r="Z232" s="346" t="str">
        <f t="shared" si="96"/>
        <v>I-OYMA</v>
      </c>
      <c r="AA232" s="346" t="str">
        <f t="shared" si="97"/>
        <v>I-OYME</v>
      </c>
      <c r="AB232" s="346" t="str">
        <f t="shared" si="98"/>
        <v>I-OYMM</v>
      </c>
      <c r="AC232" s="346" t="str">
        <f t="shared" si="99"/>
        <v>I-OYMT</v>
      </c>
      <c r="AD232" s="346" t="str">
        <f t="shared" si="100"/>
        <v>I-OYMS</v>
      </c>
      <c r="AE232" s="346" t="str">
        <f t="shared" si="101"/>
        <v>I-OYMX</v>
      </c>
      <c r="AF232" s="346" t="str">
        <f t="shared" si="102"/>
        <v>I-OYME</v>
      </c>
      <c r="AG232" s="346">
        <f t="shared" si="89"/>
        <v>17</v>
      </c>
      <c r="AH232" s="346">
        <f>IF(B232&lt;&gt;"",+IF(H232="x",+VLOOKUP(I232,'AUX-NIV2'!B:AG,32,FALSE),0),"")</f>
        <v>0</v>
      </c>
      <c r="AI232" s="346" t="str">
        <f t="shared" si="103"/>
        <v>I-OYM</v>
      </c>
      <c r="AK232" s="347">
        <f t="shared" si="90"/>
        <v>224</v>
      </c>
      <c r="AL232" s="348">
        <f t="shared" si="104"/>
        <v>240</v>
      </c>
      <c r="AM232" s="347">
        <f t="shared" si="105"/>
        <v>9</v>
      </c>
      <c r="AN232" s="382">
        <f>IF(AND(AH232&gt;0,B232&lt;&gt;""),VLOOKUP(I232,'AUX-NIV2'!$B:$AP,40,FALSE)*O232,0)</f>
        <v>0</v>
      </c>
      <c r="AO232" s="382">
        <f t="shared" si="91"/>
        <v>0</v>
      </c>
      <c r="AQ232" s="395">
        <f>(IF($H232="x",VLOOKUP($I232,'AUX-NIV2'!$B:$X,'AUX-NIV1'!AQ$3,FALSE),0)+($AV232*'AUX-NIV3'!S$4))*$O232+IF($H232=AQ$4,$P232,0)</f>
        <v>0</v>
      </c>
      <c r="AR232" s="395">
        <f>(IF($H232="x",VLOOKUP($I232,'AUX-NIV2'!$B:$X,'AUX-NIV1'!AR$3,FALSE),0)+($AV232*'AUX-NIV3'!T$4))*$O232+IF($H232=AR$4,$P232,0)</f>
        <v>0</v>
      </c>
      <c r="AS232" s="395">
        <f>(IF($H232="x",VLOOKUP($I232,'AUX-NIV2'!$B:$X,'AUX-NIV1'!AS$3,FALSE),0)+($AV232*'AUX-NIV3'!U$4))*$O232+IF($H232=AS$4,$P232,0)</f>
        <v>0</v>
      </c>
      <c r="AT232" s="395">
        <f>(IF($H232="x",VLOOKUP($I232,'AUX-NIV2'!$B:$X,'AUX-NIV1'!AT$3,FALSE),0)+($AV232*'AUX-NIV3'!V$4))*$O232+IF($H232=AT$4,$P232,0)</f>
        <v>0</v>
      </c>
      <c r="AU232" s="395">
        <f>(IF($H232="x",VLOOKUP($I232,'AUX-NIV2'!$B:$X,'AUX-NIV1'!AU$3,FALSE),0)+($AV232*'AUX-NIV3'!W$4))*$O232+IF($H232=AU$4,$P232,0)</f>
        <v>0</v>
      </c>
      <c r="AV232" s="395">
        <f>+IF($H232="x",VLOOKUP($I232,'AUX-NIV2'!$B:$X,'AUX-NIV1'!AV$3,FALSE),0)</f>
        <v>0</v>
      </c>
    </row>
    <row r="233" spans="2:48" ht="14.4" hidden="1" thickTop="1" thickBot="1">
      <c r="B233" s="324" t="s">
        <v>98</v>
      </c>
      <c r="C233" s="325" t="s">
        <v>1174</v>
      </c>
      <c r="D233" s="326" t="s">
        <v>1168</v>
      </c>
      <c r="E233" s="349">
        <f>IF(B233&lt;&gt;"",+SUMIF(Items!C:C,'AUX-NIV1'!B233,Items!H:H),"")</f>
        <v>0</v>
      </c>
      <c r="F233" s="349">
        <f t="shared" si="81"/>
        <v>18000</v>
      </c>
      <c r="G233" s="349">
        <f t="shared" si="82"/>
        <v>0</v>
      </c>
      <c r="H233" s="1395" t="str">
        <f t="shared" si="92"/>
        <v>E</v>
      </c>
      <c r="I233" s="1375" t="s">
        <v>3300</v>
      </c>
      <c r="J233" s="350" t="str">
        <f>IF(B233&lt;&gt;"",+VLOOKUP(I233,Recursos!C:F,2,FALSE),"")</f>
        <v>PERFORADORA HIDRÁULICA ROTATIVA LO DRILL</v>
      </c>
      <c r="K233" s="351" t="str">
        <f>IF(B233&lt;&gt;"",+VLOOKUP(I233,Recursos!C:F,3,FALSE),"")</f>
        <v>HR</v>
      </c>
      <c r="L233" s="1475">
        <f>IF(B233&lt;&gt;"",+VLOOKUP(I233,Recursos!C:F,4,FALSE),"")</f>
        <v>1224.5999999999999</v>
      </c>
      <c r="M233" s="1493">
        <v>50</v>
      </c>
      <c r="N233" s="1507">
        <v>0</v>
      </c>
      <c r="O233" s="1490">
        <f t="shared" si="107"/>
        <v>0</v>
      </c>
      <c r="P233" s="352">
        <f t="shared" si="93"/>
        <v>0</v>
      </c>
      <c r="Q233" s="349">
        <f t="shared" si="94"/>
        <v>0</v>
      </c>
      <c r="R233" s="353">
        <f t="shared" si="95"/>
        <v>0</v>
      </c>
      <c r="S233" s="354">
        <f t="shared" si="83"/>
        <v>0</v>
      </c>
      <c r="T233" s="354">
        <f t="shared" si="84"/>
        <v>0</v>
      </c>
      <c r="U233" s="355">
        <f t="shared" si="85"/>
        <v>1000</v>
      </c>
      <c r="V233" s="355">
        <f t="shared" si="86"/>
        <v>0</v>
      </c>
      <c r="W233" s="355">
        <f t="shared" si="87"/>
        <v>17000</v>
      </c>
      <c r="X233" s="355">
        <f t="shared" si="88"/>
        <v>0</v>
      </c>
      <c r="Y233" s="396"/>
      <c r="Z233" s="346" t="str">
        <f t="shared" si="96"/>
        <v>I-OYMA</v>
      </c>
      <c r="AA233" s="346" t="str">
        <f t="shared" si="97"/>
        <v>I-OYME</v>
      </c>
      <c r="AB233" s="346" t="str">
        <f t="shared" si="98"/>
        <v>I-OYMM</v>
      </c>
      <c r="AC233" s="346" t="str">
        <f t="shared" si="99"/>
        <v>I-OYMT</v>
      </c>
      <c r="AD233" s="346" t="str">
        <f t="shared" si="100"/>
        <v>I-OYMS</v>
      </c>
      <c r="AE233" s="346" t="str">
        <f t="shared" si="101"/>
        <v>I-OYMX</v>
      </c>
      <c r="AF233" s="346" t="str">
        <f t="shared" si="102"/>
        <v>I-OYME</v>
      </c>
      <c r="AG233" s="346">
        <f t="shared" si="89"/>
        <v>17</v>
      </c>
      <c r="AH233" s="346">
        <f>IF(B233&lt;&gt;"",+IF(H233="x",+VLOOKUP(I233,'AUX-NIV2'!B:AG,32,FALSE),0),"")</f>
        <v>0</v>
      </c>
      <c r="AI233" s="346" t="str">
        <f t="shared" si="103"/>
        <v>I-OYM</v>
      </c>
      <c r="AK233" s="347">
        <f t="shared" si="90"/>
        <v>224</v>
      </c>
      <c r="AL233" s="348">
        <f t="shared" si="104"/>
        <v>240</v>
      </c>
      <c r="AM233" s="347">
        <f t="shared" si="105"/>
        <v>10</v>
      </c>
      <c r="AN233" s="382">
        <f>IF(AND(AH233&gt;0,B233&lt;&gt;""),VLOOKUP(I233,'AUX-NIV2'!$B:$AP,40,FALSE)*O233,0)</f>
        <v>0</v>
      </c>
      <c r="AO233" s="382">
        <f t="shared" si="91"/>
        <v>0</v>
      </c>
      <c r="AQ233" s="395">
        <f>(IF($H233="x",VLOOKUP($I233,'AUX-NIV2'!$B:$X,'AUX-NIV1'!AQ$3,FALSE),0)+($AV233*'AUX-NIV3'!S$4))*$O233+IF($H233=AQ$4,$P233,0)</f>
        <v>0</v>
      </c>
      <c r="AR233" s="395">
        <f>(IF($H233="x",VLOOKUP($I233,'AUX-NIV2'!$B:$X,'AUX-NIV1'!AR$3,FALSE),0)+($AV233*'AUX-NIV3'!T$4))*$O233+IF($H233=AR$4,$P233,0)</f>
        <v>0</v>
      </c>
      <c r="AS233" s="395">
        <f>(IF($H233="x",VLOOKUP($I233,'AUX-NIV2'!$B:$X,'AUX-NIV1'!AS$3,FALSE),0)+($AV233*'AUX-NIV3'!U$4))*$O233+IF($H233=AS$4,$P233,0)</f>
        <v>0</v>
      </c>
      <c r="AT233" s="395">
        <f>(IF($H233="x",VLOOKUP($I233,'AUX-NIV2'!$B:$X,'AUX-NIV1'!AT$3,FALSE),0)+($AV233*'AUX-NIV3'!V$4))*$O233+IF($H233=AT$4,$P233,0)</f>
        <v>0</v>
      </c>
      <c r="AU233" s="395">
        <f>(IF($H233="x",VLOOKUP($I233,'AUX-NIV2'!$B:$X,'AUX-NIV1'!AU$3,FALSE),0)+($AV233*'AUX-NIV3'!W$4))*$O233+IF($H233=AU$4,$P233,0)</f>
        <v>0</v>
      </c>
      <c r="AV233" s="395">
        <f>+IF($H233="x",VLOOKUP($I233,'AUX-NIV2'!$B:$X,'AUX-NIV1'!AV$3,FALSE),0)</f>
        <v>0</v>
      </c>
    </row>
    <row r="234" spans="2:48" ht="14.4" hidden="1" thickTop="1" thickBot="1">
      <c r="B234" s="324" t="s">
        <v>98</v>
      </c>
      <c r="C234" s="325" t="s">
        <v>1174</v>
      </c>
      <c r="D234" s="326" t="s">
        <v>1168</v>
      </c>
      <c r="E234" s="349">
        <f>IF(B234&lt;&gt;"",+SUMIF(Items!C:C,'AUX-NIV1'!B234,Items!H:H),"")</f>
        <v>0</v>
      </c>
      <c r="F234" s="349">
        <f t="shared" si="81"/>
        <v>18000</v>
      </c>
      <c r="G234" s="349">
        <f t="shared" si="82"/>
        <v>0</v>
      </c>
      <c r="H234" s="1395" t="str">
        <f t="shared" si="92"/>
        <v>M</v>
      </c>
      <c r="I234" s="1375" t="s">
        <v>621</v>
      </c>
      <c r="J234" s="350" t="str">
        <f>IF(B234&lt;&gt;"",+VLOOKUP(I234,Recursos!C:F,2,FALSE),"")</f>
        <v>MATERIALES VARIOS</v>
      </c>
      <c r="K234" s="351" t="str">
        <f>IF(B234&lt;&gt;"",+VLOOKUP(I234,Recursos!C:F,3,FALSE),"")</f>
        <v>GL</v>
      </c>
      <c r="L234" s="1475">
        <f>IF(B234&lt;&gt;"",+VLOOKUP(I234,Recursos!C:F,4,FALSE),"")</f>
        <v>0.5</v>
      </c>
      <c r="M234" s="1493">
        <v>1000</v>
      </c>
      <c r="N234" s="1507">
        <f>+plaef</f>
        <v>2</v>
      </c>
      <c r="O234" s="1490">
        <f t="shared" si="107"/>
        <v>2000</v>
      </c>
      <c r="P234" s="352">
        <f t="shared" si="93"/>
        <v>1000</v>
      </c>
      <c r="Q234" s="349">
        <f t="shared" si="94"/>
        <v>0</v>
      </c>
      <c r="R234" s="353">
        <f t="shared" si="95"/>
        <v>0</v>
      </c>
      <c r="S234" s="354">
        <f t="shared" si="83"/>
        <v>0</v>
      </c>
      <c r="T234" s="354">
        <f t="shared" si="84"/>
        <v>0</v>
      </c>
      <c r="U234" s="355">
        <f t="shared" si="85"/>
        <v>1000</v>
      </c>
      <c r="V234" s="355">
        <f t="shared" si="86"/>
        <v>0</v>
      </c>
      <c r="W234" s="355">
        <f t="shared" si="87"/>
        <v>17000</v>
      </c>
      <c r="X234" s="355">
        <f t="shared" si="88"/>
        <v>0</v>
      </c>
      <c r="Y234" s="396"/>
      <c r="Z234" s="346" t="str">
        <f t="shared" si="96"/>
        <v>I-OYMA</v>
      </c>
      <c r="AA234" s="346" t="str">
        <f t="shared" si="97"/>
        <v>I-OYME</v>
      </c>
      <c r="AB234" s="346" t="str">
        <f t="shared" si="98"/>
        <v>I-OYMM</v>
      </c>
      <c r="AC234" s="346" t="str">
        <f t="shared" si="99"/>
        <v>I-OYMT</v>
      </c>
      <c r="AD234" s="346" t="str">
        <f t="shared" si="100"/>
        <v>I-OYMS</v>
      </c>
      <c r="AE234" s="346" t="str">
        <f t="shared" si="101"/>
        <v>I-OYMX</v>
      </c>
      <c r="AF234" s="346" t="str">
        <f t="shared" si="102"/>
        <v>I-OYMM</v>
      </c>
      <c r="AG234" s="346">
        <f t="shared" si="89"/>
        <v>17</v>
      </c>
      <c r="AH234" s="346">
        <f>IF(B234&lt;&gt;"",+IF(H234="x",+VLOOKUP(I234,'AUX-NIV2'!B:AG,32,FALSE),0),"")</f>
        <v>0</v>
      </c>
      <c r="AI234" s="346" t="str">
        <f t="shared" si="103"/>
        <v>I-OYM</v>
      </c>
      <c r="AK234" s="347">
        <f t="shared" si="90"/>
        <v>224</v>
      </c>
      <c r="AL234" s="348">
        <f t="shared" si="104"/>
        <v>240</v>
      </c>
      <c r="AM234" s="347">
        <f t="shared" si="105"/>
        <v>11</v>
      </c>
      <c r="AN234" s="382">
        <f>IF(AND(AH234&gt;0,B234&lt;&gt;""),VLOOKUP(I234,'AUX-NIV2'!$B:$AP,40,FALSE)*O234,0)</f>
        <v>0</v>
      </c>
      <c r="AO234" s="382">
        <f t="shared" si="91"/>
        <v>0</v>
      </c>
      <c r="AQ234" s="395">
        <f>(IF($H234="x",VLOOKUP($I234,'AUX-NIV2'!$B:$X,'AUX-NIV1'!AQ$3,FALSE),0)+($AV234*'AUX-NIV3'!S$4))*$O234+IF($H234=AQ$4,$P234,0)</f>
        <v>0</v>
      </c>
      <c r="AR234" s="395">
        <f>(IF($H234="x",VLOOKUP($I234,'AUX-NIV2'!$B:$X,'AUX-NIV1'!AR$3,FALSE),0)+($AV234*'AUX-NIV3'!T$4))*$O234+IF($H234=AR$4,$P234,0)</f>
        <v>0</v>
      </c>
      <c r="AS234" s="395">
        <f>(IF($H234="x",VLOOKUP($I234,'AUX-NIV2'!$B:$X,'AUX-NIV1'!AS$3,FALSE),0)+($AV234*'AUX-NIV3'!U$4))*$O234+IF($H234=AS$4,$P234,0)</f>
        <v>1000</v>
      </c>
      <c r="AT234" s="395">
        <f>(IF($H234="x",VLOOKUP($I234,'AUX-NIV2'!$B:$X,'AUX-NIV1'!AT$3,FALSE),0)+($AV234*'AUX-NIV3'!V$4))*$O234+IF($H234=AT$4,$P234,0)</f>
        <v>0</v>
      </c>
      <c r="AU234" s="395">
        <f>(IF($H234="x",VLOOKUP($I234,'AUX-NIV2'!$B:$X,'AUX-NIV1'!AU$3,FALSE),0)+($AV234*'AUX-NIV3'!W$4))*$O234+IF($H234=AU$4,$P234,0)</f>
        <v>0</v>
      </c>
      <c r="AV234" s="395">
        <f>+IF($H234="x",VLOOKUP($I234,'AUX-NIV2'!$B:$X,'AUX-NIV1'!AV$3,FALSE),0)</f>
        <v>0</v>
      </c>
    </row>
    <row r="235" spans="2:48" ht="14.4" hidden="1" thickTop="1" thickBot="1">
      <c r="B235" s="324" t="s">
        <v>98</v>
      </c>
      <c r="C235" s="325" t="s">
        <v>1174</v>
      </c>
      <c r="D235" s="326" t="s">
        <v>1168</v>
      </c>
      <c r="E235" s="349">
        <f>IF(B235&lt;&gt;"",+SUMIF(Items!C:C,'AUX-NIV1'!B235,Items!H:H),"")</f>
        <v>0</v>
      </c>
      <c r="F235" s="349">
        <f t="shared" si="81"/>
        <v>18000</v>
      </c>
      <c r="G235" s="349">
        <f t="shared" si="82"/>
        <v>0</v>
      </c>
      <c r="H235" s="1395" t="str">
        <f t="shared" ref="H235" si="108">IF(B235&lt;&gt;"",+LEFT(I235,1),"")</f>
        <v>S</v>
      </c>
      <c r="I235" s="1375" t="s">
        <v>4243</v>
      </c>
      <c r="J235" s="350" t="str">
        <f>IF(B235&lt;&gt;"",+VLOOKUP(I235,Recursos!C:F,2,FALSE),"")</f>
        <v>TELEFONIA CELULAR</v>
      </c>
      <c r="K235" s="351" t="str">
        <f>IF(B235&lt;&gt;"",+VLOOKUP(I235,Recursos!C:F,3,FALSE),"")</f>
        <v>MES</v>
      </c>
      <c r="L235" s="1475">
        <f>IF(B235&lt;&gt;"",+VLOOKUP(I235,Recursos!C:F,4,FALSE),"")</f>
        <v>1000</v>
      </c>
      <c r="M235" s="1493"/>
      <c r="N235" s="1507">
        <v>2</v>
      </c>
      <c r="O235" s="1490">
        <f>N235</f>
        <v>2</v>
      </c>
      <c r="P235" s="352">
        <f t="shared" ref="P235" si="109">IF(B235&lt;&gt;"",O235*L235,"")</f>
        <v>2000</v>
      </c>
      <c r="Q235" s="349">
        <f t="shared" ref="Q235" si="110">IF(B235&lt;&gt;"",+O235*E235,"")</f>
        <v>0</v>
      </c>
      <c r="R235" s="353">
        <f t="shared" ref="R235" si="111">IF(B235&lt;&gt;"",Q235*L235,"")</f>
        <v>0</v>
      </c>
      <c r="S235" s="354">
        <f t="shared" si="83"/>
        <v>0</v>
      </c>
      <c r="T235" s="354">
        <f t="shared" si="84"/>
        <v>0</v>
      </c>
      <c r="U235" s="355">
        <f t="shared" si="85"/>
        <v>1000</v>
      </c>
      <c r="V235" s="355">
        <f t="shared" si="86"/>
        <v>0</v>
      </c>
      <c r="W235" s="355">
        <f t="shared" si="87"/>
        <v>17000</v>
      </c>
      <c r="X235" s="355">
        <f t="shared" si="88"/>
        <v>0</v>
      </c>
      <c r="Y235" s="396"/>
      <c r="Z235" s="346" t="str">
        <f t="shared" ref="Z235" si="112">IF(B235&lt;&gt;"",+$B235&amp;"A","")</f>
        <v>I-OYMA</v>
      </c>
      <c r="AA235" s="346" t="str">
        <f t="shared" ref="AA235" si="113">IF(B235&lt;&gt;"",+$B235&amp;"E","")</f>
        <v>I-OYME</v>
      </c>
      <c r="AB235" s="346" t="str">
        <f t="shared" ref="AB235" si="114">IF(B235&lt;&gt;"",++$B235&amp;"M","")</f>
        <v>I-OYMM</v>
      </c>
      <c r="AC235" s="346" t="str">
        <f t="shared" ref="AC235" si="115">IF(B235&lt;&gt;"",+$B235&amp;"T","")</f>
        <v>I-OYMT</v>
      </c>
      <c r="AD235" s="346" t="str">
        <f t="shared" ref="AD235" si="116">IF(B235&lt;&gt;"",+$B235&amp;"S","")</f>
        <v>I-OYMS</v>
      </c>
      <c r="AE235" s="346" t="str">
        <f t="shared" ref="AE235" si="117">IF(B235&lt;&gt;"",+$B235&amp;"X","")</f>
        <v>I-OYMX</v>
      </c>
      <c r="AF235" s="346" t="str">
        <f t="shared" ref="AF235" si="118">IF(B235&lt;&gt;"",+B235&amp;H235,"")</f>
        <v>I-OYMS</v>
      </c>
      <c r="AG235" s="346">
        <f t="shared" si="89"/>
        <v>17</v>
      </c>
      <c r="AH235" s="346">
        <f>IF(B235&lt;&gt;"",+IF(H235="x",+VLOOKUP(I235,'AUX-NIV2'!B:AG,32,FALSE),0),"")</f>
        <v>0</v>
      </c>
      <c r="AI235" s="346" t="str">
        <f t="shared" ref="AI235" si="119">IF(B235&lt;&gt;"",+B235,"")</f>
        <v>I-OYM</v>
      </c>
      <c r="AK235" s="347">
        <f t="shared" si="90"/>
        <v>224</v>
      </c>
      <c r="AL235" s="348">
        <f t="shared" ref="AL235" si="120">IF(B235&lt;&gt;"",+AK235+AG235-1,"")</f>
        <v>240</v>
      </c>
      <c r="AM235" s="347">
        <f t="shared" ref="AM235" si="121">IF(B235&lt;&gt;"",IF(B235=B234,1+AM234,1),"")</f>
        <v>12</v>
      </c>
      <c r="AN235" s="382">
        <f>IF(AND(AH235&gt;0,B235&lt;&gt;""),VLOOKUP(I235,'AUX-NIV2'!$B:$AP,40,FALSE)*O235,0)</f>
        <v>0</v>
      </c>
      <c r="AO235" s="382">
        <f t="shared" si="91"/>
        <v>0</v>
      </c>
      <c r="AQ235" s="395">
        <f>(IF($H235="x",VLOOKUP($I235,'AUX-NIV2'!$B:$X,'AUX-NIV1'!AQ$3,FALSE),0)+($AV235*'AUX-NIV3'!S$4))*$O235+IF($H235=AQ$4,$P235,0)</f>
        <v>0</v>
      </c>
      <c r="AR235" s="395">
        <f>(IF($H235="x",VLOOKUP($I235,'AUX-NIV2'!$B:$X,'AUX-NIV1'!AR$3,FALSE),0)+($AV235*'AUX-NIV3'!T$4))*$O235+IF($H235=AR$4,$P235,0)</f>
        <v>0</v>
      </c>
      <c r="AS235" s="395">
        <f>(IF($H235="x",VLOOKUP($I235,'AUX-NIV2'!$B:$X,'AUX-NIV1'!AS$3,FALSE),0)+($AV235*'AUX-NIV3'!U$4))*$O235+IF($H235=AS$4,$P235,0)</f>
        <v>0</v>
      </c>
      <c r="AT235" s="395">
        <f>(IF($H235="x",VLOOKUP($I235,'AUX-NIV2'!$B:$X,'AUX-NIV1'!AT$3,FALSE),0)+($AV235*'AUX-NIV3'!V$4))*$O235+IF($H235=AT$4,$P235,0)</f>
        <v>0</v>
      </c>
      <c r="AU235" s="395">
        <f>(IF($H235="x",VLOOKUP($I235,'AUX-NIV2'!$B:$X,'AUX-NIV1'!AU$3,FALSE),0)+($AV235*'AUX-NIV3'!W$4))*$O235+IF($H235=AU$4,$P235,0)</f>
        <v>2000</v>
      </c>
      <c r="AV235" s="395">
        <f>+IF($H235="x",VLOOKUP($I235,'AUX-NIV2'!$B:$X,'AUX-NIV1'!AV$3,FALSE),0)</f>
        <v>0</v>
      </c>
    </row>
    <row r="236" spans="2:48" ht="14.4" hidden="1" thickTop="1" thickBot="1">
      <c r="B236" s="324" t="s">
        <v>98</v>
      </c>
      <c r="C236" s="325" t="s">
        <v>1174</v>
      </c>
      <c r="D236" s="326" t="s">
        <v>1168</v>
      </c>
      <c r="E236" s="349">
        <f>IF(B236&lt;&gt;"",+SUMIF(Items!C:C,'AUX-NIV1'!B236,Items!H:H),"")</f>
        <v>0</v>
      </c>
      <c r="F236" s="349">
        <f t="shared" si="81"/>
        <v>18000</v>
      </c>
      <c r="G236" s="349">
        <f t="shared" si="82"/>
        <v>0</v>
      </c>
      <c r="H236" s="1395" t="str">
        <f t="shared" si="92"/>
        <v>S</v>
      </c>
      <c r="I236" s="1375" t="s">
        <v>733</v>
      </c>
      <c r="J236" s="350" t="str">
        <f>IF(B236&lt;&gt;"",+VLOOKUP(I236,Recursos!C:F,2,FALSE),"")</f>
        <v>CONSUMIBLES CAMPAMENTO (OFIC-SG-SEG-MA)</v>
      </c>
      <c r="K236" s="351" t="str">
        <f>IF(B236&lt;&gt;"",+VLOOKUP(I236,Recursos!C:F,3,FALSE),"")</f>
        <v>MES</v>
      </c>
      <c r="L236" s="1475">
        <f>IF(B236&lt;&gt;"",+VLOOKUP(I236,Recursos!C:F,4,FALSE),"")</f>
        <v>1</v>
      </c>
      <c r="M236" s="1493">
        <v>1</v>
      </c>
      <c r="N236" s="1507">
        <v>10000</v>
      </c>
      <c r="O236" s="1490">
        <f t="shared" si="107"/>
        <v>10000</v>
      </c>
      <c r="P236" s="352">
        <f t="shared" si="93"/>
        <v>10000</v>
      </c>
      <c r="Q236" s="349">
        <f t="shared" si="94"/>
        <v>0</v>
      </c>
      <c r="R236" s="353">
        <f t="shared" si="95"/>
        <v>0</v>
      </c>
      <c r="S236" s="354">
        <f t="shared" si="83"/>
        <v>0</v>
      </c>
      <c r="T236" s="354">
        <f t="shared" si="84"/>
        <v>0</v>
      </c>
      <c r="U236" s="355">
        <f t="shared" si="85"/>
        <v>1000</v>
      </c>
      <c r="V236" s="355">
        <f t="shared" si="86"/>
        <v>0</v>
      </c>
      <c r="W236" s="355">
        <f t="shared" si="87"/>
        <v>17000</v>
      </c>
      <c r="X236" s="355">
        <f t="shared" si="88"/>
        <v>0</v>
      </c>
      <c r="Y236" s="396"/>
      <c r="Z236" s="346" t="str">
        <f t="shared" si="96"/>
        <v>I-OYMA</v>
      </c>
      <c r="AA236" s="346" t="str">
        <f t="shared" si="97"/>
        <v>I-OYME</v>
      </c>
      <c r="AB236" s="346" t="str">
        <f t="shared" si="98"/>
        <v>I-OYMM</v>
      </c>
      <c r="AC236" s="346" t="str">
        <f t="shared" si="99"/>
        <v>I-OYMT</v>
      </c>
      <c r="AD236" s="346" t="str">
        <f t="shared" si="100"/>
        <v>I-OYMS</v>
      </c>
      <c r="AE236" s="346" t="str">
        <f t="shared" si="101"/>
        <v>I-OYMX</v>
      </c>
      <c r="AF236" s="346" t="str">
        <f t="shared" si="102"/>
        <v>I-OYMS</v>
      </c>
      <c r="AG236" s="346">
        <f t="shared" si="89"/>
        <v>17</v>
      </c>
      <c r="AH236" s="346">
        <f>IF(B236&lt;&gt;"",+IF(H236="x",+VLOOKUP(I236,'AUX-NIV2'!B:AG,32,FALSE),0),"")</f>
        <v>0</v>
      </c>
      <c r="AI236" s="346" t="str">
        <f t="shared" si="103"/>
        <v>I-OYM</v>
      </c>
      <c r="AK236" s="347">
        <f t="shared" si="90"/>
        <v>224</v>
      </c>
      <c r="AL236" s="348">
        <f t="shared" si="104"/>
        <v>240</v>
      </c>
      <c r="AM236" s="347">
        <f>IF(B236&lt;&gt;"",IF(B236=B234,1+AM234,1),"")</f>
        <v>12</v>
      </c>
      <c r="AN236" s="382">
        <f>IF(AND(AH236&gt;0,B236&lt;&gt;""),VLOOKUP(I236,'AUX-NIV2'!$B:$AP,40,FALSE)*O236,0)</f>
        <v>0</v>
      </c>
      <c r="AO236" s="382">
        <f t="shared" si="91"/>
        <v>0</v>
      </c>
      <c r="AQ236" s="395">
        <f>(IF($H236="x",VLOOKUP($I236,'AUX-NIV2'!$B:$X,'AUX-NIV1'!AQ$3,FALSE),0)+($AV236*'AUX-NIV3'!S$4))*$O236+IF($H236=AQ$4,$P236,0)</f>
        <v>0</v>
      </c>
      <c r="AR236" s="395">
        <f>(IF($H236="x",VLOOKUP($I236,'AUX-NIV2'!$B:$X,'AUX-NIV1'!AR$3,FALSE),0)+($AV236*'AUX-NIV3'!T$4))*$O236+IF($H236=AR$4,$P236,0)</f>
        <v>0</v>
      </c>
      <c r="AS236" s="395">
        <f>(IF($H236="x",VLOOKUP($I236,'AUX-NIV2'!$B:$X,'AUX-NIV1'!AS$3,FALSE),0)+($AV236*'AUX-NIV3'!U$4))*$O236+IF($H236=AS$4,$P236,0)</f>
        <v>0</v>
      </c>
      <c r="AT236" s="395">
        <f>(IF($H236="x",VLOOKUP($I236,'AUX-NIV2'!$B:$X,'AUX-NIV1'!AT$3,FALSE),0)+($AV236*'AUX-NIV3'!V$4))*$O236+IF($H236=AT$4,$P236,0)</f>
        <v>0</v>
      </c>
      <c r="AU236" s="395">
        <f>(IF($H236="x",VLOOKUP($I236,'AUX-NIV2'!$B:$X,'AUX-NIV1'!AU$3,FALSE),0)+($AV236*'AUX-NIV3'!W$4))*$O236+IF($H236=AU$4,$P236,0)</f>
        <v>10000</v>
      </c>
      <c r="AV236" s="395">
        <f>+IF($H236="x",VLOOKUP($I236,'AUX-NIV2'!$B:$X,'AUX-NIV1'!AV$3,FALSE),0)</f>
        <v>0</v>
      </c>
    </row>
    <row r="237" spans="2:48" ht="14.4" hidden="1" thickTop="1" thickBot="1">
      <c r="B237" s="324" t="s">
        <v>98</v>
      </c>
      <c r="C237" s="325" t="s">
        <v>1174</v>
      </c>
      <c r="D237" s="326" t="s">
        <v>1168</v>
      </c>
      <c r="E237" s="349">
        <f>IF(B237&lt;&gt;"",+SUMIF(Items!C:C,'AUX-NIV1'!B237,Items!H:H),"")</f>
        <v>0</v>
      </c>
      <c r="F237" s="349">
        <f t="shared" si="81"/>
        <v>18000</v>
      </c>
      <c r="G237" s="349">
        <f t="shared" si="82"/>
        <v>0</v>
      </c>
      <c r="H237" s="1395" t="str">
        <f t="shared" si="92"/>
        <v>S</v>
      </c>
      <c r="I237" s="1375" t="s">
        <v>737</v>
      </c>
      <c r="J237" s="350" t="str">
        <f>IF(B237&lt;&gt;"",+VLOOKUP(I237,Recursos!C:F,2,FALSE),"")</f>
        <v>CARTEL DE OBRA</v>
      </c>
      <c r="K237" s="351" t="str">
        <f>IF(B237&lt;&gt;"",+VLOOKUP(I237,Recursos!C:F,3,FALSE),"")</f>
        <v>GL</v>
      </c>
      <c r="L237" s="1475">
        <f>IF(B237&lt;&gt;"",+VLOOKUP(I237,Recursos!C:F,4,FALSE),"")</f>
        <v>10000</v>
      </c>
      <c r="M237" s="1493">
        <v>2</v>
      </c>
      <c r="N237" s="1507">
        <v>0</v>
      </c>
      <c r="O237" s="1490">
        <f t="shared" si="107"/>
        <v>0</v>
      </c>
      <c r="P237" s="352">
        <f t="shared" si="93"/>
        <v>0</v>
      </c>
      <c r="Q237" s="349">
        <f t="shared" si="94"/>
        <v>0</v>
      </c>
      <c r="R237" s="353">
        <f t="shared" si="95"/>
        <v>0</v>
      </c>
      <c r="S237" s="354">
        <f t="shared" si="83"/>
        <v>0</v>
      </c>
      <c r="T237" s="354">
        <f t="shared" si="84"/>
        <v>0</v>
      </c>
      <c r="U237" s="355">
        <f t="shared" si="85"/>
        <v>1000</v>
      </c>
      <c r="V237" s="355">
        <f t="shared" si="86"/>
        <v>0</v>
      </c>
      <c r="W237" s="355">
        <f t="shared" si="87"/>
        <v>17000</v>
      </c>
      <c r="X237" s="355">
        <f t="shared" si="88"/>
        <v>0</v>
      </c>
      <c r="Y237" s="396"/>
      <c r="Z237" s="346" t="str">
        <f t="shared" si="96"/>
        <v>I-OYMA</v>
      </c>
      <c r="AA237" s="346" t="str">
        <f t="shared" si="97"/>
        <v>I-OYME</v>
      </c>
      <c r="AB237" s="346" t="str">
        <f t="shared" si="98"/>
        <v>I-OYMM</v>
      </c>
      <c r="AC237" s="346" t="str">
        <f t="shared" si="99"/>
        <v>I-OYMT</v>
      </c>
      <c r="AD237" s="346" t="str">
        <f t="shared" si="100"/>
        <v>I-OYMS</v>
      </c>
      <c r="AE237" s="346" t="str">
        <f t="shared" si="101"/>
        <v>I-OYMX</v>
      </c>
      <c r="AF237" s="346" t="str">
        <f t="shared" si="102"/>
        <v>I-OYMS</v>
      </c>
      <c r="AG237" s="346">
        <f t="shared" si="89"/>
        <v>17</v>
      </c>
      <c r="AH237" s="346">
        <f>IF(B237&lt;&gt;"",+IF(H237="x",+VLOOKUP(I237,'AUX-NIV2'!B:AG,32,FALSE),0),"")</f>
        <v>0</v>
      </c>
      <c r="AI237" s="346" t="str">
        <f t="shared" si="103"/>
        <v>I-OYM</v>
      </c>
      <c r="AK237" s="347">
        <f t="shared" si="90"/>
        <v>224</v>
      </c>
      <c r="AL237" s="348">
        <f t="shared" si="104"/>
        <v>240</v>
      </c>
      <c r="AM237" s="347">
        <f t="shared" si="105"/>
        <v>13</v>
      </c>
      <c r="AN237" s="382">
        <f>IF(AND(AH237&gt;0,B237&lt;&gt;""),VLOOKUP(I237,'AUX-NIV2'!$B:$AP,40,FALSE)*O237,0)</f>
        <v>0</v>
      </c>
      <c r="AO237" s="382">
        <f t="shared" si="91"/>
        <v>0</v>
      </c>
      <c r="AQ237" s="395">
        <f>(IF($H237="x",VLOOKUP($I237,'AUX-NIV2'!$B:$X,'AUX-NIV1'!AQ$3,FALSE),0)+($AV237*'AUX-NIV3'!S$4))*$O237+IF($H237=AQ$4,$P237,0)</f>
        <v>0</v>
      </c>
      <c r="AR237" s="395">
        <f>(IF($H237="x",VLOOKUP($I237,'AUX-NIV2'!$B:$X,'AUX-NIV1'!AR$3,FALSE),0)+($AV237*'AUX-NIV3'!T$4))*$O237+IF($H237=AR$4,$P237,0)</f>
        <v>0</v>
      </c>
      <c r="AS237" s="395">
        <f>(IF($H237="x",VLOOKUP($I237,'AUX-NIV2'!$B:$X,'AUX-NIV1'!AS$3,FALSE),0)+($AV237*'AUX-NIV3'!U$4))*$O237+IF($H237=AS$4,$P237,0)</f>
        <v>0</v>
      </c>
      <c r="AT237" s="395">
        <f>(IF($H237="x",VLOOKUP($I237,'AUX-NIV2'!$B:$X,'AUX-NIV1'!AT$3,FALSE),0)+($AV237*'AUX-NIV3'!V$4))*$O237+IF($H237=AT$4,$P237,0)</f>
        <v>0</v>
      </c>
      <c r="AU237" s="395">
        <f>(IF($H237="x",VLOOKUP($I237,'AUX-NIV2'!$B:$X,'AUX-NIV1'!AU$3,FALSE),0)+($AV237*'AUX-NIV3'!W$4))*$O237+IF($H237=AU$4,$P237,0)</f>
        <v>0</v>
      </c>
      <c r="AV237" s="395">
        <f>+IF($H237="x",VLOOKUP($I237,'AUX-NIV2'!$B:$X,'AUX-NIV1'!AV$3,FALSE),0)</f>
        <v>0</v>
      </c>
    </row>
    <row r="238" spans="2:48" ht="14.4" hidden="1" thickTop="1" thickBot="1">
      <c r="B238" s="324" t="s">
        <v>98</v>
      </c>
      <c r="C238" s="325" t="s">
        <v>1174</v>
      </c>
      <c r="D238" s="326" t="s">
        <v>1168</v>
      </c>
      <c r="E238" s="349">
        <f>IF(B238&lt;&gt;"",+SUMIF(Items!C:C,'AUX-NIV1'!B238,Items!H:H),"")</f>
        <v>0</v>
      </c>
      <c r="F238" s="349">
        <f t="shared" si="81"/>
        <v>18000</v>
      </c>
      <c r="G238" s="349">
        <f t="shared" si="82"/>
        <v>0</v>
      </c>
      <c r="H238" s="1395" t="str">
        <f t="shared" si="92"/>
        <v>S</v>
      </c>
      <c r="I238" s="1375" t="s">
        <v>739</v>
      </c>
      <c r="J238" s="350" t="str">
        <f>IF(B238&lt;&gt;"",+VLOOKUP(I238,Recursos!C:F,2,FALSE),"")</f>
        <v>SEGUROS DE OBRA (EQUIPOS-PERSONAL-ETC)</v>
      </c>
      <c r="K238" s="351" t="str">
        <f>IF(B238&lt;&gt;"",+VLOOKUP(I238,Recursos!C:F,3,FALSE),"")</f>
        <v>MES</v>
      </c>
      <c r="L238" s="1475">
        <f>IF(B238&lt;&gt;"",+VLOOKUP(I238,Recursos!C:F,4,FALSE),"")</f>
        <v>1</v>
      </c>
      <c r="M238" s="1493">
        <v>1</v>
      </c>
      <c r="N238" s="1507"/>
      <c r="O238" s="1490">
        <f t="shared" si="107"/>
        <v>0</v>
      </c>
      <c r="P238" s="352">
        <f t="shared" si="93"/>
        <v>0</v>
      </c>
      <c r="Q238" s="349">
        <f t="shared" si="94"/>
        <v>0</v>
      </c>
      <c r="R238" s="353">
        <f t="shared" si="95"/>
        <v>0</v>
      </c>
      <c r="S238" s="354">
        <f t="shared" si="83"/>
        <v>0</v>
      </c>
      <c r="T238" s="354">
        <f t="shared" si="84"/>
        <v>0</v>
      </c>
      <c r="U238" s="355">
        <f t="shared" si="85"/>
        <v>1000</v>
      </c>
      <c r="V238" s="355">
        <f t="shared" si="86"/>
        <v>0</v>
      </c>
      <c r="W238" s="355">
        <f t="shared" si="87"/>
        <v>17000</v>
      </c>
      <c r="X238" s="355">
        <f t="shared" si="88"/>
        <v>0</v>
      </c>
      <c r="Y238" s="396"/>
      <c r="Z238" s="346" t="str">
        <f t="shared" si="96"/>
        <v>I-OYMA</v>
      </c>
      <c r="AA238" s="346" t="str">
        <f t="shared" si="97"/>
        <v>I-OYME</v>
      </c>
      <c r="AB238" s="346" t="str">
        <f t="shared" si="98"/>
        <v>I-OYMM</v>
      </c>
      <c r="AC238" s="346" t="str">
        <f t="shared" si="99"/>
        <v>I-OYMT</v>
      </c>
      <c r="AD238" s="346" t="str">
        <f t="shared" si="100"/>
        <v>I-OYMS</v>
      </c>
      <c r="AE238" s="346" t="str">
        <f t="shared" si="101"/>
        <v>I-OYMX</v>
      </c>
      <c r="AF238" s="346" t="str">
        <f t="shared" si="102"/>
        <v>I-OYMS</v>
      </c>
      <c r="AG238" s="346">
        <f t="shared" si="89"/>
        <v>17</v>
      </c>
      <c r="AH238" s="346">
        <f>IF(B238&lt;&gt;"",+IF(H238="x",+VLOOKUP(I238,'AUX-NIV2'!B:AG,32,FALSE),0),"")</f>
        <v>0</v>
      </c>
      <c r="AI238" s="346" t="str">
        <f t="shared" si="103"/>
        <v>I-OYM</v>
      </c>
      <c r="AK238" s="347">
        <f t="shared" si="90"/>
        <v>224</v>
      </c>
      <c r="AL238" s="348">
        <f t="shared" si="104"/>
        <v>240</v>
      </c>
      <c r="AM238" s="347">
        <f t="shared" si="105"/>
        <v>14</v>
      </c>
      <c r="AN238" s="382">
        <f>IF(AND(AH238&gt;0,B238&lt;&gt;""),VLOOKUP(I238,'AUX-NIV2'!$B:$AP,40,FALSE)*O238,0)</f>
        <v>0</v>
      </c>
      <c r="AO238" s="382">
        <f t="shared" si="91"/>
        <v>0</v>
      </c>
      <c r="AQ238" s="395">
        <f>(IF($H238="x",VLOOKUP($I238,'AUX-NIV2'!$B:$X,'AUX-NIV1'!AQ$3,FALSE),0)+($AV238*'AUX-NIV3'!S$4))*$O238+IF($H238=AQ$4,$P238,0)</f>
        <v>0</v>
      </c>
      <c r="AR238" s="395">
        <f>(IF($H238="x",VLOOKUP($I238,'AUX-NIV2'!$B:$X,'AUX-NIV1'!AR$3,FALSE),0)+($AV238*'AUX-NIV3'!T$4))*$O238+IF($H238=AR$4,$P238,0)</f>
        <v>0</v>
      </c>
      <c r="AS238" s="395">
        <f>(IF($H238="x",VLOOKUP($I238,'AUX-NIV2'!$B:$X,'AUX-NIV1'!AS$3,FALSE),0)+($AV238*'AUX-NIV3'!U$4))*$O238+IF($H238=AS$4,$P238,0)</f>
        <v>0</v>
      </c>
      <c r="AT238" s="395">
        <f>(IF($H238="x",VLOOKUP($I238,'AUX-NIV2'!$B:$X,'AUX-NIV1'!AT$3,FALSE),0)+($AV238*'AUX-NIV3'!V$4))*$O238+IF($H238=AT$4,$P238,0)</f>
        <v>0</v>
      </c>
      <c r="AU238" s="395">
        <f>(IF($H238="x",VLOOKUP($I238,'AUX-NIV2'!$B:$X,'AUX-NIV1'!AU$3,FALSE),0)+($AV238*'AUX-NIV3'!W$4))*$O238+IF($H238=AU$4,$P238,0)</f>
        <v>0</v>
      </c>
      <c r="AV238" s="395">
        <f>+IF($H238="x",VLOOKUP($I238,'AUX-NIV2'!$B:$X,'AUX-NIV1'!AV$3,FALSE),0)</f>
        <v>0</v>
      </c>
    </row>
    <row r="239" spans="2:48" ht="14.4" hidden="1" thickTop="1" thickBot="1">
      <c r="B239" s="324" t="s">
        <v>98</v>
      </c>
      <c r="C239" s="325" t="s">
        <v>1174</v>
      </c>
      <c r="D239" s="326" t="s">
        <v>1168</v>
      </c>
      <c r="E239" s="349">
        <f>IF(B239&lt;&gt;"",+SUMIF(Items!C:C,'AUX-NIV1'!B239,Items!H:H),"")</f>
        <v>0</v>
      </c>
      <c r="F239" s="349">
        <f t="shared" si="81"/>
        <v>18000</v>
      </c>
      <c r="G239" s="349">
        <f t="shared" si="82"/>
        <v>0</v>
      </c>
      <c r="H239" s="1395" t="str">
        <f t="shared" si="92"/>
        <v>S</v>
      </c>
      <c r="I239" s="1375" t="s">
        <v>730</v>
      </c>
      <c r="J239" s="350" t="str">
        <f>IF(B239&lt;&gt;"",+VLOOKUP(I239,Recursos!C:F,2,FALSE),"")</f>
        <v>SERVICIOS PUBLICOS EN OBRADOR (LUZ-TELEF-AGUA-ETC)</v>
      </c>
      <c r="K239" s="351" t="str">
        <f>IF(B239&lt;&gt;"",+VLOOKUP(I239,Recursos!C:F,3,FALSE),"")</f>
        <v>MES</v>
      </c>
      <c r="L239" s="1475">
        <f>IF(B239&lt;&gt;"",+VLOOKUP(I239,Recursos!C:F,4,FALSE),"")</f>
        <v>1</v>
      </c>
      <c r="M239" s="1493">
        <v>1</v>
      </c>
      <c r="N239" s="1507">
        <v>5000</v>
      </c>
      <c r="O239" s="1490">
        <f t="shared" si="107"/>
        <v>5000</v>
      </c>
      <c r="P239" s="352">
        <f t="shared" si="93"/>
        <v>5000</v>
      </c>
      <c r="Q239" s="349">
        <f t="shared" si="94"/>
        <v>0</v>
      </c>
      <c r="R239" s="353">
        <f t="shared" si="95"/>
        <v>0</v>
      </c>
      <c r="S239" s="354">
        <f t="shared" si="83"/>
        <v>0</v>
      </c>
      <c r="T239" s="354">
        <f t="shared" si="84"/>
        <v>0</v>
      </c>
      <c r="U239" s="355">
        <f t="shared" si="85"/>
        <v>1000</v>
      </c>
      <c r="V239" s="355">
        <f t="shared" si="86"/>
        <v>0</v>
      </c>
      <c r="W239" s="355">
        <f t="shared" si="87"/>
        <v>17000</v>
      </c>
      <c r="X239" s="355">
        <f t="shared" si="88"/>
        <v>0</v>
      </c>
      <c r="Y239" s="396"/>
      <c r="Z239" s="346" t="str">
        <f t="shared" si="96"/>
        <v>I-OYMA</v>
      </c>
      <c r="AA239" s="346" t="str">
        <f t="shared" si="97"/>
        <v>I-OYME</v>
      </c>
      <c r="AB239" s="346" t="str">
        <f t="shared" si="98"/>
        <v>I-OYMM</v>
      </c>
      <c r="AC239" s="346" t="str">
        <f t="shared" si="99"/>
        <v>I-OYMT</v>
      </c>
      <c r="AD239" s="346" t="str">
        <f t="shared" si="100"/>
        <v>I-OYMS</v>
      </c>
      <c r="AE239" s="346" t="str">
        <f t="shared" si="101"/>
        <v>I-OYMX</v>
      </c>
      <c r="AF239" s="346" t="str">
        <f t="shared" si="102"/>
        <v>I-OYMS</v>
      </c>
      <c r="AG239" s="346">
        <f t="shared" si="89"/>
        <v>17</v>
      </c>
      <c r="AH239" s="346">
        <f>IF(B239&lt;&gt;"",+IF(H239="x",+VLOOKUP(I239,'AUX-NIV2'!B:AG,32,FALSE),0),"")</f>
        <v>0</v>
      </c>
      <c r="AI239" s="346" t="str">
        <f t="shared" si="103"/>
        <v>I-OYM</v>
      </c>
      <c r="AK239" s="347">
        <f t="shared" si="90"/>
        <v>224</v>
      </c>
      <c r="AL239" s="348">
        <f t="shared" si="104"/>
        <v>240</v>
      </c>
      <c r="AM239" s="347">
        <f t="shared" si="105"/>
        <v>15</v>
      </c>
      <c r="AN239" s="382">
        <f>IF(AND(AH239&gt;0,B239&lt;&gt;""),VLOOKUP(I239,'AUX-NIV2'!$B:$AP,40,FALSE)*O239,0)</f>
        <v>0</v>
      </c>
      <c r="AO239" s="382">
        <f t="shared" si="91"/>
        <v>0</v>
      </c>
      <c r="AQ239" s="395">
        <f>(IF($H239="x",VLOOKUP($I239,'AUX-NIV2'!$B:$X,'AUX-NIV1'!AQ$3,FALSE),0)+($AV239*'AUX-NIV3'!S$4))*$O239+IF($H239=AQ$4,$P239,0)</f>
        <v>0</v>
      </c>
      <c r="AR239" s="395">
        <f>(IF($H239="x",VLOOKUP($I239,'AUX-NIV2'!$B:$X,'AUX-NIV1'!AR$3,FALSE),0)+($AV239*'AUX-NIV3'!T$4))*$O239+IF($H239=AR$4,$P239,0)</f>
        <v>0</v>
      </c>
      <c r="AS239" s="395">
        <f>(IF($H239="x",VLOOKUP($I239,'AUX-NIV2'!$B:$X,'AUX-NIV1'!AS$3,FALSE),0)+($AV239*'AUX-NIV3'!U$4))*$O239+IF($H239=AS$4,$P239,0)</f>
        <v>0</v>
      </c>
      <c r="AT239" s="395">
        <f>(IF($H239="x",VLOOKUP($I239,'AUX-NIV2'!$B:$X,'AUX-NIV1'!AT$3,FALSE),0)+($AV239*'AUX-NIV3'!V$4))*$O239+IF($H239=AT$4,$P239,0)</f>
        <v>0</v>
      </c>
      <c r="AU239" s="395">
        <f>(IF($H239="x",VLOOKUP($I239,'AUX-NIV2'!$B:$X,'AUX-NIV1'!AU$3,FALSE),0)+($AV239*'AUX-NIV3'!W$4))*$O239+IF($H239=AU$4,$P239,0)</f>
        <v>5000</v>
      </c>
      <c r="AV239" s="395">
        <f>+IF($H239="x",VLOOKUP($I239,'AUX-NIV2'!$B:$X,'AUX-NIV1'!AV$3,FALSE),0)</f>
        <v>0</v>
      </c>
    </row>
    <row r="240" spans="2:48" ht="14.4" hidden="1" thickTop="1" thickBot="1">
      <c r="B240" s="324" t="s">
        <v>98</v>
      </c>
      <c r="C240" s="325" t="s">
        <v>1174</v>
      </c>
      <c r="D240" s="326" t="s">
        <v>1168</v>
      </c>
      <c r="E240" s="349">
        <f>IF(B240&lt;&gt;"",+SUMIF(Items!C:C,'AUX-NIV1'!B240,Items!H:H),"")</f>
        <v>0</v>
      </c>
      <c r="F240" s="349">
        <f t="shared" si="81"/>
        <v>18000</v>
      </c>
      <c r="G240" s="349">
        <f t="shared" si="82"/>
        <v>0</v>
      </c>
      <c r="H240" s="1395" t="str">
        <f t="shared" si="92"/>
        <v>S</v>
      </c>
      <c r="I240" s="1375" t="s">
        <v>735</v>
      </c>
      <c r="J240" s="350" t="str">
        <f>IF(B240&lt;&gt;"",+VLOOKUP(I240,Recursos!C:F,2,FALSE),"")</f>
        <v>VIAJES Y HOTELES</v>
      </c>
      <c r="K240" s="351" t="str">
        <f>IF(B240&lt;&gt;"",+VLOOKUP(I240,Recursos!C:F,3,FALSE),"")</f>
        <v>MES</v>
      </c>
      <c r="L240" s="1475">
        <f>IF(B240&lt;&gt;"",+VLOOKUP(I240,Recursos!C:F,4,FALSE),"")</f>
        <v>1</v>
      </c>
      <c r="M240" s="1495">
        <v>1</v>
      </c>
      <c r="N240" s="1509"/>
      <c r="O240" s="1490">
        <f t="shared" si="107"/>
        <v>0</v>
      </c>
      <c r="P240" s="352">
        <f t="shared" si="93"/>
        <v>0</v>
      </c>
      <c r="Q240" s="349">
        <f t="shared" si="94"/>
        <v>0</v>
      </c>
      <c r="R240" s="353">
        <f t="shared" si="95"/>
        <v>0</v>
      </c>
      <c r="S240" s="354">
        <f t="shared" si="83"/>
        <v>0</v>
      </c>
      <c r="T240" s="354">
        <f t="shared" si="84"/>
        <v>0</v>
      </c>
      <c r="U240" s="355">
        <f t="shared" si="85"/>
        <v>1000</v>
      </c>
      <c r="V240" s="355">
        <f t="shared" si="86"/>
        <v>0</v>
      </c>
      <c r="W240" s="355">
        <f t="shared" si="87"/>
        <v>17000</v>
      </c>
      <c r="X240" s="355">
        <f t="shared" si="88"/>
        <v>0</v>
      </c>
      <c r="Y240" s="396"/>
      <c r="Z240" s="346" t="str">
        <f t="shared" si="96"/>
        <v>I-OYMA</v>
      </c>
      <c r="AA240" s="346" t="str">
        <f t="shared" si="97"/>
        <v>I-OYME</v>
      </c>
      <c r="AB240" s="346" t="str">
        <f t="shared" si="98"/>
        <v>I-OYMM</v>
      </c>
      <c r="AC240" s="346" t="str">
        <f t="shared" si="99"/>
        <v>I-OYMT</v>
      </c>
      <c r="AD240" s="346" t="str">
        <f t="shared" si="100"/>
        <v>I-OYMS</v>
      </c>
      <c r="AE240" s="346" t="str">
        <f t="shared" si="101"/>
        <v>I-OYMX</v>
      </c>
      <c r="AF240" s="346" t="str">
        <f t="shared" si="102"/>
        <v>I-OYMS</v>
      </c>
      <c r="AG240" s="346">
        <f t="shared" si="89"/>
        <v>17</v>
      </c>
      <c r="AH240" s="346">
        <f>IF(B240&lt;&gt;"",+IF(H240="x",+VLOOKUP(I240,'AUX-NIV2'!B:AG,32,FALSE),0),"")</f>
        <v>0</v>
      </c>
      <c r="AI240" s="346" t="str">
        <f t="shared" si="103"/>
        <v>I-OYM</v>
      </c>
      <c r="AK240" s="347">
        <f t="shared" si="90"/>
        <v>224</v>
      </c>
      <c r="AL240" s="348">
        <f t="shared" si="104"/>
        <v>240</v>
      </c>
      <c r="AM240" s="347">
        <f t="shared" si="105"/>
        <v>16</v>
      </c>
      <c r="AN240" s="382">
        <f>IF(AND(AH240&gt;0,B240&lt;&gt;""),VLOOKUP(I240,'AUX-NIV2'!$B:$AP,40,FALSE)*O240,0)</f>
        <v>0</v>
      </c>
      <c r="AO240" s="382">
        <f t="shared" si="91"/>
        <v>0</v>
      </c>
      <c r="AQ240" s="395">
        <f>(IF($H240="x",VLOOKUP($I240,'AUX-NIV2'!$B:$X,'AUX-NIV1'!AQ$3,FALSE),0)+($AV240*'AUX-NIV3'!S$4))*$O240+IF($H240=AQ$4,$P240,0)</f>
        <v>0</v>
      </c>
      <c r="AR240" s="395">
        <f>(IF($H240="x",VLOOKUP($I240,'AUX-NIV2'!$B:$X,'AUX-NIV1'!AR$3,FALSE),0)+($AV240*'AUX-NIV3'!T$4))*$O240+IF($H240=AR$4,$P240,0)</f>
        <v>0</v>
      </c>
      <c r="AS240" s="395">
        <f>(IF($H240="x",VLOOKUP($I240,'AUX-NIV2'!$B:$X,'AUX-NIV1'!AS$3,FALSE),0)+($AV240*'AUX-NIV3'!U$4))*$O240+IF($H240=AS$4,$P240,0)</f>
        <v>0</v>
      </c>
      <c r="AT240" s="395">
        <f>(IF($H240="x",VLOOKUP($I240,'AUX-NIV2'!$B:$X,'AUX-NIV1'!AT$3,FALSE),0)+($AV240*'AUX-NIV3'!V$4))*$O240+IF($H240=AT$4,$P240,0)</f>
        <v>0</v>
      </c>
      <c r="AU240" s="395">
        <f>(IF($H240="x",VLOOKUP($I240,'AUX-NIV2'!$B:$X,'AUX-NIV1'!AU$3,FALSE),0)+($AV240*'AUX-NIV3'!W$4))*$O240+IF($H240=AU$4,$P240,0)</f>
        <v>0</v>
      </c>
      <c r="AV240" s="395">
        <f>+IF($H240="x",VLOOKUP($I240,'AUX-NIV2'!$B:$X,'AUX-NIV1'!AV$3,FALSE),0)</f>
        <v>0</v>
      </c>
    </row>
    <row r="241" spans="2:48" ht="13.8" thickTop="1">
      <c r="B241" s="324" t="s">
        <v>99</v>
      </c>
      <c r="C241" s="325" t="s">
        <v>1175</v>
      </c>
      <c r="D241" s="326" t="s">
        <v>1168</v>
      </c>
      <c r="E241" s="349">
        <f>IF(B241&lt;&gt;"",+SUMIF(Items!C:C,'AUX-NIV1'!B241,Items!H:H),"")</f>
        <v>0</v>
      </c>
      <c r="F241" s="349">
        <f t="shared" si="81"/>
        <v>0</v>
      </c>
      <c r="G241" s="349">
        <f t="shared" si="82"/>
        <v>0</v>
      </c>
      <c r="H241" s="1395" t="str">
        <f t="shared" si="92"/>
        <v>E</v>
      </c>
      <c r="I241" s="1375" t="s">
        <v>1592</v>
      </c>
      <c r="J241" s="350" t="str">
        <f>IF(B241&lt;&gt;"",+VLOOKUP(I241,Recursos!C:F,2,FALSE),"")</f>
        <v>OMNIBUS DE 40 PASAJEROS</v>
      </c>
      <c r="K241" s="351" t="str">
        <f>IF(B241&lt;&gt;"",+VLOOKUP(I241,Recursos!C:F,3,FALSE),"")</f>
        <v>HR</v>
      </c>
      <c r="L241" s="1475">
        <f>IF(B241&lt;&gt;"",+VLOOKUP(I241,Recursos!C:F,4,FALSE),"")</f>
        <v>1845.7450000000003</v>
      </c>
      <c r="M241" s="705">
        <v>90</v>
      </c>
      <c r="N241" s="1510">
        <v>0</v>
      </c>
      <c r="O241" s="1490">
        <f t="shared" si="107"/>
        <v>0</v>
      </c>
      <c r="P241" s="352">
        <f t="shared" si="93"/>
        <v>0</v>
      </c>
      <c r="Q241" s="349">
        <f t="shared" si="94"/>
        <v>0</v>
      </c>
      <c r="R241" s="353">
        <f t="shared" si="95"/>
        <v>0</v>
      </c>
      <c r="S241" s="354">
        <f t="shared" si="83"/>
        <v>0</v>
      </c>
      <c r="T241" s="354">
        <f t="shared" si="84"/>
        <v>0</v>
      </c>
      <c r="U241" s="355">
        <f t="shared" si="85"/>
        <v>0</v>
      </c>
      <c r="V241" s="355">
        <f t="shared" si="86"/>
        <v>0</v>
      </c>
      <c r="W241" s="355">
        <f t="shared" si="87"/>
        <v>0</v>
      </c>
      <c r="X241" s="355">
        <f t="shared" si="88"/>
        <v>0</v>
      </c>
      <c r="Y241" s="396"/>
      <c r="Z241" s="346" t="str">
        <f t="shared" si="96"/>
        <v>I-MOVA</v>
      </c>
      <c r="AA241" s="346" t="str">
        <f t="shared" si="97"/>
        <v>I-MOVE</v>
      </c>
      <c r="AB241" s="346" t="str">
        <f t="shared" si="98"/>
        <v>I-MOVM</v>
      </c>
      <c r="AC241" s="346" t="str">
        <f t="shared" si="99"/>
        <v>I-MOVT</v>
      </c>
      <c r="AD241" s="346" t="str">
        <f t="shared" si="100"/>
        <v>I-MOVS</v>
      </c>
      <c r="AE241" s="346" t="str">
        <f t="shared" si="101"/>
        <v>I-MOVX</v>
      </c>
      <c r="AF241" s="346" t="str">
        <f t="shared" si="102"/>
        <v>I-MOVE</v>
      </c>
      <c r="AG241" s="346">
        <f t="shared" si="89"/>
        <v>7</v>
      </c>
      <c r="AH241" s="346">
        <f>IF(B241&lt;&gt;"",+IF(H241="x",+VLOOKUP(I241,'AUX-NIV2'!B:AG,32,FALSE),0),"")</f>
        <v>0</v>
      </c>
      <c r="AI241" s="346" t="str">
        <f t="shared" si="103"/>
        <v>I-MOV</v>
      </c>
      <c r="AK241" s="347">
        <f t="shared" si="90"/>
        <v>241</v>
      </c>
      <c r="AL241" s="348">
        <f t="shared" si="104"/>
        <v>247</v>
      </c>
      <c r="AM241" s="347">
        <f t="shared" si="105"/>
        <v>1</v>
      </c>
      <c r="AN241" s="382">
        <f>IF(AND(AH241&gt;0,B241&lt;&gt;""),VLOOKUP(I241,'AUX-NIV2'!$B:$AP,40,FALSE)*O241,0)</f>
        <v>0</v>
      </c>
      <c r="AO241" s="382">
        <f t="shared" si="91"/>
        <v>0</v>
      </c>
      <c r="AQ241" s="395">
        <f>(IF($H241="x",VLOOKUP($I241,'AUX-NIV2'!$B:$X,'AUX-NIV1'!AQ$3,FALSE),0)+($AV241*'AUX-NIV3'!S$4))*$O241+IF($H241=AQ$4,$P241,0)</f>
        <v>0</v>
      </c>
      <c r="AR241" s="395">
        <f>(IF($H241="x",VLOOKUP($I241,'AUX-NIV2'!$B:$X,'AUX-NIV1'!AR$3,FALSE),0)+($AV241*'AUX-NIV3'!T$4))*$O241+IF($H241=AR$4,$P241,0)</f>
        <v>0</v>
      </c>
      <c r="AS241" s="395">
        <f>(IF($H241="x",VLOOKUP($I241,'AUX-NIV2'!$B:$X,'AUX-NIV1'!AS$3,FALSE),0)+($AV241*'AUX-NIV3'!U$4))*$O241+IF($H241=AS$4,$P241,0)</f>
        <v>0</v>
      </c>
      <c r="AT241" s="395">
        <f>(IF($H241="x",VLOOKUP($I241,'AUX-NIV2'!$B:$X,'AUX-NIV1'!AT$3,FALSE),0)+($AV241*'AUX-NIV3'!V$4))*$O241+IF($H241=AT$4,$P241,0)</f>
        <v>0</v>
      </c>
      <c r="AU241" s="395">
        <f>(IF($H241="x",VLOOKUP($I241,'AUX-NIV2'!$B:$X,'AUX-NIV1'!AU$3,FALSE),0)+($AV241*'AUX-NIV3'!W$4))*$O241+IF($H241=AU$4,$P241,0)</f>
        <v>0</v>
      </c>
      <c r="AV241" s="395">
        <f>+IF($H241="x",VLOOKUP($I241,'AUX-NIV2'!$B:$X,'AUX-NIV1'!AV$3,FALSE),0)</f>
        <v>0</v>
      </c>
    </row>
    <row r="242" spans="2:48">
      <c r="B242" s="324" t="s">
        <v>99</v>
      </c>
      <c r="C242" s="325" t="s">
        <v>1175</v>
      </c>
      <c r="D242" s="326" t="s">
        <v>1168</v>
      </c>
      <c r="E242" s="349">
        <f>IF(B242&lt;&gt;"",+SUMIF(Items!C:C,'AUX-NIV1'!B242,Items!H:H),"")</f>
        <v>0</v>
      </c>
      <c r="F242" s="349">
        <f t="shared" si="81"/>
        <v>0</v>
      </c>
      <c r="G242" s="349">
        <f t="shared" si="82"/>
        <v>0</v>
      </c>
      <c r="H242" s="1395" t="str">
        <f t="shared" si="92"/>
        <v>E</v>
      </c>
      <c r="I242" s="1375" t="s">
        <v>1593</v>
      </c>
      <c r="J242" s="350" t="str">
        <f>IF(B242&lt;&gt;"",+VLOOKUP(I242,Recursos!C:F,2,FALSE),"")</f>
        <v>MINIBUS DE 12 PASAJEROS</v>
      </c>
      <c r="K242" s="351" t="str">
        <f>IF(B242&lt;&gt;"",+VLOOKUP(I242,Recursos!C:F,3,FALSE),"")</f>
        <v>HR</v>
      </c>
      <c r="L242" s="1475">
        <f>IF(B242&lt;&gt;"",+VLOOKUP(I242,Recursos!C:F,4,FALSE),"")</f>
        <v>1000.6346666666667</v>
      </c>
      <c r="M242" s="1493">
        <v>90</v>
      </c>
      <c r="N242" s="1511">
        <v>0</v>
      </c>
      <c r="O242" s="1490">
        <f t="shared" si="107"/>
        <v>0</v>
      </c>
      <c r="P242" s="352">
        <f t="shared" si="93"/>
        <v>0</v>
      </c>
      <c r="Q242" s="349">
        <f t="shared" si="94"/>
        <v>0</v>
      </c>
      <c r="R242" s="353">
        <f t="shared" si="95"/>
        <v>0</v>
      </c>
      <c r="S242" s="354">
        <f t="shared" si="83"/>
        <v>0</v>
      </c>
      <c r="T242" s="354">
        <f t="shared" si="84"/>
        <v>0</v>
      </c>
      <c r="U242" s="355">
        <f t="shared" si="85"/>
        <v>0</v>
      </c>
      <c r="V242" s="355">
        <f t="shared" si="86"/>
        <v>0</v>
      </c>
      <c r="W242" s="355">
        <f t="shared" si="87"/>
        <v>0</v>
      </c>
      <c r="X242" s="355">
        <f t="shared" si="88"/>
        <v>0</v>
      </c>
      <c r="Y242" s="396"/>
      <c r="Z242" s="346" t="str">
        <f t="shared" si="96"/>
        <v>I-MOVA</v>
      </c>
      <c r="AA242" s="346" t="str">
        <f t="shared" si="97"/>
        <v>I-MOVE</v>
      </c>
      <c r="AB242" s="346" t="str">
        <f t="shared" si="98"/>
        <v>I-MOVM</v>
      </c>
      <c r="AC242" s="346" t="str">
        <f t="shared" si="99"/>
        <v>I-MOVT</v>
      </c>
      <c r="AD242" s="346" t="str">
        <f t="shared" si="100"/>
        <v>I-MOVS</v>
      </c>
      <c r="AE242" s="346" t="str">
        <f t="shared" si="101"/>
        <v>I-MOVX</v>
      </c>
      <c r="AF242" s="346" t="str">
        <f t="shared" si="102"/>
        <v>I-MOVE</v>
      </c>
      <c r="AG242" s="346">
        <f t="shared" si="89"/>
        <v>7</v>
      </c>
      <c r="AH242" s="346">
        <f>IF(B242&lt;&gt;"",+IF(H242="x",+VLOOKUP(I242,'AUX-NIV2'!B:AG,32,FALSE),0),"")</f>
        <v>0</v>
      </c>
      <c r="AI242" s="346" t="str">
        <f t="shared" si="103"/>
        <v>I-MOV</v>
      </c>
      <c r="AK242" s="347">
        <f t="shared" si="90"/>
        <v>241</v>
      </c>
      <c r="AL242" s="348">
        <f t="shared" si="104"/>
        <v>247</v>
      </c>
      <c r="AM242" s="347">
        <f t="shared" si="105"/>
        <v>2</v>
      </c>
      <c r="AN242" s="382">
        <f>IF(AND(AH242&gt;0,B242&lt;&gt;""),VLOOKUP(I242,'AUX-NIV2'!$B:$AP,40,FALSE)*O242,0)</f>
        <v>0</v>
      </c>
      <c r="AO242" s="382">
        <f t="shared" si="91"/>
        <v>0</v>
      </c>
      <c r="AQ242" s="395">
        <f>(IF($H242="x",VLOOKUP($I242,'AUX-NIV2'!$B:$X,'AUX-NIV1'!AQ$3,FALSE),0)+($AV242*'AUX-NIV3'!S$4))*$O242+IF($H242=AQ$4,$P242,0)</f>
        <v>0</v>
      </c>
      <c r="AR242" s="395">
        <f>(IF($H242="x",VLOOKUP($I242,'AUX-NIV2'!$B:$X,'AUX-NIV1'!AR$3,FALSE),0)+($AV242*'AUX-NIV3'!T$4))*$O242+IF($H242=AR$4,$P242,0)</f>
        <v>0</v>
      </c>
      <c r="AS242" s="395">
        <f>(IF($H242="x",VLOOKUP($I242,'AUX-NIV2'!$B:$X,'AUX-NIV1'!AS$3,FALSE),0)+($AV242*'AUX-NIV3'!U$4))*$O242+IF($H242=AS$4,$P242,0)</f>
        <v>0</v>
      </c>
      <c r="AT242" s="395">
        <f>(IF($H242="x",VLOOKUP($I242,'AUX-NIV2'!$B:$X,'AUX-NIV1'!AT$3,FALSE),0)+($AV242*'AUX-NIV3'!V$4))*$O242+IF($H242=AT$4,$P242,0)</f>
        <v>0</v>
      </c>
      <c r="AU242" s="395">
        <f>(IF($H242="x",VLOOKUP($I242,'AUX-NIV2'!$B:$X,'AUX-NIV1'!AU$3,FALSE),0)+($AV242*'AUX-NIV3'!W$4))*$O242+IF($H242=AU$4,$P242,0)</f>
        <v>0</v>
      </c>
      <c r="AV242" s="395">
        <f>+IF($H242="x",VLOOKUP($I242,'AUX-NIV2'!$B:$X,'AUX-NIV1'!AV$3,FALSE),0)</f>
        <v>0</v>
      </c>
    </row>
    <row r="243" spans="2:48">
      <c r="B243" s="324" t="s">
        <v>99</v>
      </c>
      <c r="C243" s="325" t="s">
        <v>1175</v>
      </c>
      <c r="D243" s="326" t="s">
        <v>1168</v>
      </c>
      <c r="E243" s="349">
        <f>IF(B243&lt;&gt;"",+SUMIF(Items!C:C,'AUX-NIV1'!B243,Items!H:H),"")</f>
        <v>0</v>
      </c>
      <c r="F243" s="349">
        <f t="shared" si="81"/>
        <v>0</v>
      </c>
      <c r="G243" s="349">
        <f t="shared" si="82"/>
        <v>0</v>
      </c>
      <c r="H243" s="1395" t="str">
        <f t="shared" si="92"/>
        <v>E</v>
      </c>
      <c r="I243" s="1375" t="s">
        <v>1556</v>
      </c>
      <c r="J243" s="350" t="str">
        <f>IF(B243&lt;&gt;"",+VLOOKUP(I243,Recursos!C:F,2,FALSE),"")</f>
        <v>CAMION VOLCADOR CAP. 15 T=9 m3</v>
      </c>
      <c r="K243" s="351" t="str">
        <f>IF(B243&lt;&gt;"",+VLOOKUP(I243,Recursos!C:F,3,FALSE),"")</f>
        <v>HR</v>
      </c>
      <c r="L243" s="1475">
        <f>IF(B243&lt;&gt;"",+VLOOKUP(I243,Recursos!C:F,4,FALSE),"")</f>
        <v>2547.7823376623378</v>
      </c>
      <c r="M243" s="1493">
        <v>90</v>
      </c>
      <c r="N243" s="1507">
        <v>0</v>
      </c>
      <c r="O243" s="1490">
        <f t="shared" si="107"/>
        <v>0</v>
      </c>
      <c r="P243" s="352">
        <f t="shared" si="93"/>
        <v>0</v>
      </c>
      <c r="Q243" s="349">
        <f t="shared" si="94"/>
        <v>0</v>
      </c>
      <c r="R243" s="353">
        <f t="shared" si="95"/>
        <v>0</v>
      </c>
      <c r="S243" s="354">
        <f t="shared" si="83"/>
        <v>0</v>
      </c>
      <c r="T243" s="354">
        <f t="shared" si="84"/>
        <v>0</v>
      </c>
      <c r="U243" s="355">
        <f t="shared" si="85"/>
        <v>0</v>
      </c>
      <c r="V243" s="355">
        <f t="shared" si="86"/>
        <v>0</v>
      </c>
      <c r="W243" s="355">
        <f t="shared" si="87"/>
        <v>0</v>
      </c>
      <c r="X243" s="355">
        <f t="shared" si="88"/>
        <v>0</v>
      </c>
      <c r="Y243" s="396"/>
      <c r="Z243" s="346" t="str">
        <f t="shared" si="96"/>
        <v>I-MOVA</v>
      </c>
      <c r="AA243" s="346" t="str">
        <f t="shared" si="97"/>
        <v>I-MOVE</v>
      </c>
      <c r="AB243" s="346" t="str">
        <f t="shared" si="98"/>
        <v>I-MOVM</v>
      </c>
      <c r="AC243" s="346" t="str">
        <f t="shared" si="99"/>
        <v>I-MOVT</v>
      </c>
      <c r="AD243" s="346" t="str">
        <f t="shared" si="100"/>
        <v>I-MOVS</v>
      </c>
      <c r="AE243" s="346" t="str">
        <f t="shared" si="101"/>
        <v>I-MOVX</v>
      </c>
      <c r="AF243" s="346" t="str">
        <f t="shared" si="102"/>
        <v>I-MOVE</v>
      </c>
      <c r="AG243" s="346">
        <f t="shared" si="89"/>
        <v>7</v>
      </c>
      <c r="AH243" s="346">
        <f>IF(B243&lt;&gt;"",+IF(H243="x",+VLOOKUP(I243,'AUX-NIV2'!B:AG,32,FALSE),0),"")</f>
        <v>0</v>
      </c>
      <c r="AI243" s="346" t="str">
        <f t="shared" si="103"/>
        <v>I-MOV</v>
      </c>
      <c r="AK243" s="347">
        <f t="shared" si="90"/>
        <v>241</v>
      </c>
      <c r="AL243" s="348">
        <f t="shared" si="104"/>
        <v>247</v>
      </c>
      <c r="AM243" s="347">
        <f t="shared" si="105"/>
        <v>3</v>
      </c>
      <c r="AN243" s="382">
        <f>IF(AND(AH243&gt;0,B243&lt;&gt;""),VLOOKUP(I243,'AUX-NIV2'!$B:$AP,40,FALSE)*O243,0)</f>
        <v>0</v>
      </c>
      <c r="AO243" s="382">
        <f t="shared" si="91"/>
        <v>0</v>
      </c>
      <c r="AQ243" s="395">
        <f>(IF($H243="x",VLOOKUP($I243,'AUX-NIV2'!$B:$X,'AUX-NIV1'!AQ$3,FALSE),0)+($AV243*'AUX-NIV3'!S$4))*$O243+IF($H243=AQ$4,$P243,0)</f>
        <v>0</v>
      </c>
      <c r="AR243" s="395">
        <f>(IF($H243="x",VLOOKUP($I243,'AUX-NIV2'!$B:$X,'AUX-NIV1'!AR$3,FALSE),0)+($AV243*'AUX-NIV3'!T$4))*$O243+IF($H243=AR$4,$P243,0)</f>
        <v>0</v>
      </c>
      <c r="AS243" s="395">
        <f>(IF($H243="x",VLOOKUP($I243,'AUX-NIV2'!$B:$X,'AUX-NIV1'!AS$3,FALSE),0)+($AV243*'AUX-NIV3'!U$4))*$O243+IF($H243=AS$4,$P243,0)</f>
        <v>0</v>
      </c>
      <c r="AT243" s="395">
        <f>(IF($H243="x",VLOOKUP($I243,'AUX-NIV2'!$B:$X,'AUX-NIV1'!AT$3,FALSE),0)+($AV243*'AUX-NIV3'!V$4))*$O243+IF($H243=AT$4,$P243,0)</f>
        <v>0</v>
      </c>
      <c r="AU243" s="395">
        <f>(IF($H243="x",VLOOKUP($I243,'AUX-NIV2'!$B:$X,'AUX-NIV1'!AU$3,FALSE),0)+($AV243*'AUX-NIV3'!W$4))*$O243+IF($H243=AU$4,$P243,0)</f>
        <v>0</v>
      </c>
      <c r="AV243" s="395">
        <f>+IF($H243="x",VLOOKUP($I243,'AUX-NIV2'!$B:$X,'AUX-NIV1'!AV$3,FALSE),0)</f>
        <v>0</v>
      </c>
    </row>
    <row r="244" spans="2:48">
      <c r="B244" s="324" t="s">
        <v>99</v>
      </c>
      <c r="C244" s="325" t="s">
        <v>1175</v>
      </c>
      <c r="D244" s="326" t="s">
        <v>1168</v>
      </c>
      <c r="E244" s="349">
        <f>IF(B244&lt;&gt;"",+SUMIF(Items!C:C,'AUX-NIV1'!B244,Items!H:H),"")</f>
        <v>0</v>
      </c>
      <c r="F244" s="349">
        <f t="shared" si="81"/>
        <v>0</v>
      </c>
      <c r="G244" s="349">
        <f t="shared" si="82"/>
        <v>0</v>
      </c>
      <c r="H244" s="1395" t="str">
        <f t="shared" si="92"/>
        <v>E</v>
      </c>
      <c r="I244" s="1375" t="s">
        <v>1558</v>
      </c>
      <c r="J244" s="350" t="str">
        <f>IF(B244&lt;&gt;"",+VLOOKUP(I244,Recursos!C:F,2,FALSE),"")</f>
        <v>CAMION TANQUE COMBUSTIBLE 8 m3</v>
      </c>
      <c r="K244" s="351" t="str">
        <f>IF(B244&lt;&gt;"",+VLOOKUP(I244,Recursos!C:F,3,FALSE),"")</f>
        <v>HR</v>
      </c>
      <c r="L244" s="1475">
        <f>IF(B244&lt;&gt;"",+VLOOKUP(I244,Recursos!C:F,4,FALSE),"")</f>
        <v>1646.0185714285717</v>
      </c>
      <c r="M244" s="1493">
        <v>90</v>
      </c>
      <c r="N244" s="1507">
        <v>0</v>
      </c>
      <c r="O244" s="1490">
        <f t="shared" si="107"/>
        <v>0</v>
      </c>
      <c r="P244" s="352">
        <f t="shared" si="93"/>
        <v>0</v>
      </c>
      <c r="Q244" s="349">
        <f t="shared" si="94"/>
        <v>0</v>
      </c>
      <c r="R244" s="353">
        <f t="shared" si="95"/>
        <v>0</v>
      </c>
      <c r="S244" s="354">
        <f t="shared" si="83"/>
        <v>0</v>
      </c>
      <c r="T244" s="354">
        <f t="shared" si="84"/>
        <v>0</v>
      </c>
      <c r="U244" s="355">
        <f t="shared" si="85"/>
        <v>0</v>
      </c>
      <c r="V244" s="355">
        <f t="shared" si="86"/>
        <v>0</v>
      </c>
      <c r="W244" s="355">
        <f t="shared" si="87"/>
        <v>0</v>
      </c>
      <c r="X244" s="355">
        <f t="shared" si="88"/>
        <v>0</v>
      </c>
      <c r="Y244" s="396"/>
      <c r="Z244" s="346" t="str">
        <f t="shared" si="96"/>
        <v>I-MOVA</v>
      </c>
      <c r="AA244" s="346" t="str">
        <f t="shared" si="97"/>
        <v>I-MOVE</v>
      </c>
      <c r="AB244" s="346" t="str">
        <f t="shared" si="98"/>
        <v>I-MOVM</v>
      </c>
      <c r="AC244" s="346" t="str">
        <f t="shared" si="99"/>
        <v>I-MOVT</v>
      </c>
      <c r="AD244" s="346" t="str">
        <f t="shared" si="100"/>
        <v>I-MOVS</v>
      </c>
      <c r="AE244" s="346" t="str">
        <f t="shared" si="101"/>
        <v>I-MOVX</v>
      </c>
      <c r="AF244" s="346" t="str">
        <f t="shared" si="102"/>
        <v>I-MOVE</v>
      </c>
      <c r="AG244" s="346">
        <f t="shared" si="89"/>
        <v>7</v>
      </c>
      <c r="AH244" s="346">
        <f>IF(B244&lt;&gt;"",+IF(H244="x",+VLOOKUP(I244,'AUX-NIV2'!B:AG,32,FALSE),0),"")</f>
        <v>0</v>
      </c>
      <c r="AI244" s="346" t="str">
        <f t="shared" si="103"/>
        <v>I-MOV</v>
      </c>
      <c r="AK244" s="347">
        <f t="shared" si="90"/>
        <v>241</v>
      </c>
      <c r="AL244" s="348">
        <f t="shared" si="104"/>
        <v>247</v>
      </c>
      <c r="AM244" s="347">
        <f t="shared" si="105"/>
        <v>4</v>
      </c>
      <c r="AN244" s="382">
        <f>IF(AND(AH244&gt;0,B244&lt;&gt;""),VLOOKUP(I244,'AUX-NIV2'!$B:$AP,40,FALSE)*O244,0)</f>
        <v>0</v>
      </c>
      <c r="AO244" s="382">
        <f t="shared" si="91"/>
        <v>0</v>
      </c>
      <c r="AQ244" s="395">
        <f>(IF($H244="x",VLOOKUP($I244,'AUX-NIV2'!$B:$X,'AUX-NIV1'!AQ$3,FALSE),0)+($AV244*'AUX-NIV3'!S$4))*$O244+IF($H244=AQ$4,$P244,0)</f>
        <v>0</v>
      </c>
      <c r="AR244" s="395">
        <f>(IF($H244="x",VLOOKUP($I244,'AUX-NIV2'!$B:$X,'AUX-NIV1'!AR$3,FALSE),0)+($AV244*'AUX-NIV3'!T$4))*$O244+IF($H244=AR$4,$P244,0)</f>
        <v>0</v>
      </c>
      <c r="AS244" s="395">
        <f>(IF($H244="x",VLOOKUP($I244,'AUX-NIV2'!$B:$X,'AUX-NIV1'!AS$3,FALSE),0)+($AV244*'AUX-NIV3'!U$4))*$O244+IF($H244=AS$4,$P244,0)</f>
        <v>0</v>
      </c>
      <c r="AT244" s="395">
        <f>(IF($H244="x",VLOOKUP($I244,'AUX-NIV2'!$B:$X,'AUX-NIV1'!AT$3,FALSE),0)+($AV244*'AUX-NIV3'!V$4))*$O244+IF($H244=AT$4,$P244,0)</f>
        <v>0</v>
      </c>
      <c r="AU244" s="395">
        <f>(IF($H244="x",VLOOKUP($I244,'AUX-NIV2'!$B:$X,'AUX-NIV1'!AU$3,FALSE),0)+($AV244*'AUX-NIV3'!W$4))*$O244+IF($H244=AU$4,$P244,0)</f>
        <v>0</v>
      </c>
      <c r="AV244" s="395">
        <f>+IF($H244="x",VLOOKUP($I244,'AUX-NIV2'!$B:$X,'AUX-NIV1'!AV$3,FALSE),0)</f>
        <v>0</v>
      </c>
    </row>
    <row r="245" spans="2:48">
      <c r="B245" s="324" t="s">
        <v>99</v>
      </c>
      <c r="C245" s="325" t="s">
        <v>1175</v>
      </c>
      <c r="D245" s="326" t="s">
        <v>1168</v>
      </c>
      <c r="E245" s="349">
        <f>IF(B245&lt;&gt;"",+SUMIF(Items!C:C,'AUX-NIV1'!B245,Items!H:H),"")</f>
        <v>0</v>
      </c>
      <c r="F245" s="349">
        <f t="shared" si="81"/>
        <v>0</v>
      </c>
      <c r="G245" s="349">
        <f t="shared" si="82"/>
        <v>0</v>
      </c>
      <c r="H245" s="1395" t="str">
        <f t="shared" si="92"/>
        <v>E</v>
      </c>
      <c r="I245" s="1375" t="s">
        <v>1559</v>
      </c>
      <c r="J245" s="350" t="str">
        <f>IF(B245&lt;&gt;"",+VLOOKUP(I245,Recursos!C:F,2,FALSE),"")</f>
        <v>CAMION LUBRICACION-MANTENIMIENTO</v>
      </c>
      <c r="K245" s="351" t="str">
        <f>IF(B245&lt;&gt;"",+VLOOKUP(I245,Recursos!C:F,3,FALSE),"")</f>
        <v>HR</v>
      </c>
      <c r="L245" s="1475">
        <f>IF(B245&lt;&gt;"",+VLOOKUP(I245,Recursos!C:F,4,FALSE),"")</f>
        <v>1707.2485714285713</v>
      </c>
      <c r="M245" s="1493">
        <v>200</v>
      </c>
      <c r="N245" s="1507">
        <v>0</v>
      </c>
      <c r="O245" s="1490">
        <f t="shared" si="107"/>
        <v>0</v>
      </c>
      <c r="P245" s="352">
        <f t="shared" si="93"/>
        <v>0</v>
      </c>
      <c r="Q245" s="349">
        <f t="shared" si="94"/>
        <v>0</v>
      </c>
      <c r="R245" s="353">
        <f t="shared" si="95"/>
        <v>0</v>
      </c>
      <c r="S245" s="354">
        <f t="shared" si="83"/>
        <v>0</v>
      </c>
      <c r="T245" s="354">
        <f t="shared" si="84"/>
        <v>0</v>
      </c>
      <c r="U245" s="355">
        <f t="shared" si="85"/>
        <v>0</v>
      </c>
      <c r="V245" s="355">
        <f t="shared" si="86"/>
        <v>0</v>
      </c>
      <c r="W245" s="355">
        <f t="shared" si="87"/>
        <v>0</v>
      </c>
      <c r="X245" s="355">
        <f t="shared" si="88"/>
        <v>0</v>
      </c>
      <c r="Y245" s="396"/>
      <c r="Z245" s="346" t="str">
        <f t="shared" si="96"/>
        <v>I-MOVA</v>
      </c>
      <c r="AA245" s="346" t="str">
        <f t="shared" si="97"/>
        <v>I-MOVE</v>
      </c>
      <c r="AB245" s="346" t="str">
        <f t="shared" si="98"/>
        <v>I-MOVM</v>
      </c>
      <c r="AC245" s="346" t="str">
        <f t="shared" si="99"/>
        <v>I-MOVT</v>
      </c>
      <c r="AD245" s="346" t="str">
        <f t="shared" si="100"/>
        <v>I-MOVS</v>
      </c>
      <c r="AE245" s="346" t="str">
        <f t="shared" si="101"/>
        <v>I-MOVX</v>
      </c>
      <c r="AF245" s="346" t="str">
        <f t="shared" si="102"/>
        <v>I-MOVE</v>
      </c>
      <c r="AG245" s="346">
        <f t="shared" si="89"/>
        <v>7</v>
      </c>
      <c r="AH245" s="346">
        <f>IF(B245&lt;&gt;"",+IF(H245="x",+VLOOKUP(I245,'AUX-NIV2'!B:AG,32,FALSE),0),"")</f>
        <v>0</v>
      </c>
      <c r="AI245" s="346" t="str">
        <f t="shared" si="103"/>
        <v>I-MOV</v>
      </c>
      <c r="AK245" s="347">
        <f t="shared" si="90"/>
        <v>241</v>
      </c>
      <c r="AL245" s="348">
        <f t="shared" si="104"/>
        <v>247</v>
      </c>
      <c r="AM245" s="347">
        <f t="shared" si="105"/>
        <v>5</v>
      </c>
      <c r="AN245" s="382">
        <f>IF(AND(AH245&gt;0,B245&lt;&gt;""),VLOOKUP(I245,'AUX-NIV2'!$B:$AP,40,FALSE)*O245,0)</f>
        <v>0</v>
      </c>
      <c r="AO245" s="382">
        <f t="shared" si="91"/>
        <v>0</v>
      </c>
      <c r="AQ245" s="395">
        <f>(IF($H245="x",VLOOKUP($I245,'AUX-NIV2'!$B:$X,'AUX-NIV1'!AQ$3,FALSE),0)+($AV245*'AUX-NIV3'!S$4))*$O245+IF($H245=AQ$4,$P245,0)</f>
        <v>0</v>
      </c>
      <c r="AR245" s="395">
        <f>(IF($H245="x",VLOOKUP($I245,'AUX-NIV2'!$B:$X,'AUX-NIV1'!AR$3,FALSE),0)+($AV245*'AUX-NIV3'!T$4))*$O245+IF($H245=AR$4,$P245,0)</f>
        <v>0</v>
      </c>
      <c r="AS245" s="395">
        <f>(IF($H245="x",VLOOKUP($I245,'AUX-NIV2'!$B:$X,'AUX-NIV1'!AS$3,FALSE),0)+($AV245*'AUX-NIV3'!U$4))*$O245+IF($H245=AS$4,$P245,0)</f>
        <v>0</v>
      </c>
      <c r="AT245" s="395">
        <f>(IF($H245="x",VLOOKUP($I245,'AUX-NIV2'!$B:$X,'AUX-NIV1'!AT$3,FALSE),0)+($AV245*'AUX-NIV3'!V$4))*$O245+IF($H245=AT$4,$P245,0)</f>
        <v>0</v>
      </c>
      <c r="AU245" s="395">
        <f>(IF($H245="x",VLOOKUP($I245,'AUX-NIV2'!$B:$X,'AUX-NIV1'!AU$3,FALSE),0)+($AV245*'AUX-NIV3'!W$4))*$O245+IF($H245=AU$4,$P245,0)</f>
        <v>0</v>
      </c>
      <c r="AV245" s="395">
        <f>+IF($H245="x",VLOOKUP($I245,'AUX-NIV2'!$B:$X,'AUX-NIV1'!AV$3,FALSE),0)</f>
        <v>0</v>
      </c>
    </row>
    <row r="246" spans="2:48">
      <c r="B246" s="324" t="s">
        <v>99</v>
      </c>
      <c r="C246" s="325" t="s">
        <v>1175</v>
      </c>
      <c r="D246" s="326" t="s">
        <v>1168</v>
      </c>
      <c r="E246" s="349">
        <f>IF(B246&lt;&gt;"",+SUMIF(Items!C:C,'AUX-NIV1'!B246,Items!H:H),"")</f>
        <v>0</v>
      </c>
      <c r="F246" s="349">
        <f t="shared" si="81"/>
        <v>0</v>
      </c>
      <c r="G246" s="349">
        <f t="shared" si="82"/>
        <v>0</v>
      </c>
      <c r="H246" s="1395" t="str">
        <f t="shared" si="92"/>
        <v>E</v>
      </c>
      <c r="I246" s="1375" t="s">
        <v>3304</v>
      </c>
      <c r="J246" s="350" t="str">
        <f>IF(B246&lt;&gt;"",+VLOOKUP(I246,Recursos!C:F,2,FALSE),"")</f>
        <v>CAMION PLAYO LIVIANO 146CV</v>
      </c>
      <c r="K246" s="351" t="str">
        <f>IF(B246&lt;&gt;"",+VLOOKUP(I246,Recursos!C:F,3,FALSE),"")</f>
        <v>HR</v>
      </c>
      <c r="L246" s="1475">
        <f>IF(B246&lt;&gt;"",+VLOOKUP(I246,Recursos!C:F,4,FALSE),"")</f>
        <v>1369.2906000000003</v>
      </c>
      <c r="M246" s="1518">
        <v>0</v>
      </c>
      <c r="N246" s="1519">
        <v>0</v>
      </c>
      <c r="O246" s="1490">
        <f>M246</f>
        <v>0</v>
      </c>
      <c r="P246" s="352">
        <f>IF(B246&lt;&gt;"",O246*L246,"")</f>
        <v>0</v>
      </c>
      <c r="Q246" s="349">
        <f>IF(B246&lt;&gt;"",+O246*E246,"")</f>
        <v>0</v>
      </c>
      <c r="R246" s="353">
        <f>IF(B246&lt;&gt;"",Q246*L246,"")</f>
        <v>0</v>
      </c>
      <c r="S246" s="354">
        <f t="shared" si="83"/>
        <v>0</v>
      </c>
      <c r="T246" s="354">
        <f t="shared" si="84"/>
        <v>0</v>
      </c>
      <c r="U246" s="355">
        <f t="shared" si="85"/>
        <v>0</v>
      </c>
      <c r="V246" s="355">
        <f t="shared" si="86"/>
        <v>0</v>
      </c>
      <c r="W246" s="355">
        <f t="shared" si="87"/>
        <v>0</v>
      </c>
      <c r="X246" s="355">
        <f t="shared" si="88"/>
        <v>0</v>
      </c>
      <c r="Y246" s="396"/>
      <c r="Z246" s="346" t="str">
        <f t="shared" si="96"/>
        <v>I-MOVA</v>
      </c>
      <c r="AA246" s="346" t="str">
        <f t="shared" si="97"/>
        <v>I-MOVE</v>
      </c>
      <c r="AB246" s="346" t="str">
        <f t="shared" si="98"/>
        <v>I-MOVM</v>
      </c>
      <c r="AC246" s="346" t="str">
        <f t="shared" si="99"/>
        <v>I-MOVT</v>
      </c>
      <c r="AD246" s="346" t="str">
        <f t="shared" si="100"/>
        <v>I-MOVS</v>
      </c>
      <c r="AE246" s="346" t="str">
        <f t="shared" si="101"/>
        <v>I-MOVX</v>
      </c>
      <c r="AF246" s="346" t="str">
        <f t="shared" si="102"/>
        <v>I-MOVE</v>
      </c>
      <c r="AG246" s="346">
        <f t="shared" si="89"/>
        <v>7</v>
      </c>
      <c r="AH246" s="346">
        <f>IF(B246&lt;&gt;"",+IF(H246="x",+VLOOKUP(I246,'AUX-NIV2'!B:AG,32,FALSE),0),"")</f>
        <v>0</v>
      </c>
      <c r="AI246" s="346" t="str">
        <f t="shared" si="103"/>
        <v>I-MOV</v>
      </c>
      <c r="AK246" s="347">
        <f t="shared" si="90"/>
        <v>241</v>
      </c>
      <c r="AL246" s="348">
        <f t="shared" si="104"/>
        <v>247</v>
      </c>
      <c r="AM246" s="347">
        <f t="shared" si="105"/>
        <v>6</v>
      </c>
      <c r="AN246" s="382">
        <f>IF(AND(AH246&gt;0,B246&lt;&gt;""),VLOOKUP(I246,'AUX-NIV2'!$B:$AP,40,FALSE)*O246,0)</f>
        <v>0</v>
      </c>
      <c r="AO246" s="382">
        <f t="shared" si="91"/>
        <v>0</v>
      </c>
      <c r="AQ246" s="395">
        <f>(IF($H246="x",VLOOKUP($I246,'AUX-NIV2'!$B:$X,'AUX-NIV1'!AQ$3,FALSE),0)+($AV246*'AUX-NIV3'!S$4))*$O246+IF($H246=AQ$4,$P246,0)</f>
        <v>0</v>
      </c>
      <c r="AR246" s="395">
        <f>(IF($H246="x",VLOOKUP($I246,'AUX-NIV2'!$B:$X,'AUX-NIV1'!AR$3,FALSE),0)+($AV246*'AUX-NIV3'!T$4))*$O246+IF($H246=AR$4,$P246,0)</f>
        <v>0</v>
      </c>
      <c r="AS246" s="395">
        <f>(IF($H246="x",VLOOKUP($I246,'AUX-NIV2'!$B:$X,'AUX-NIV1'!AS$3,FALSE),0)+($AV246*'AUX-NIV3'!U$4))*$O246+IF($H246=AS$4,$P246,0)</f>
        <v>0</v>
      </c>
      <c r="AT246" s="395">
        <f>(IF($H246="x",VLOOKUP($I246,'AUX-NIV2'!$B:$X,'AUX-NIV1'!AT$3,FALSE),0)+($AV246*'AUX-NIV3'!V$4))*$O246+IF($H246=AT$4,$P246,0)</f>
        <v>0</v>
      </c>
      <c r="AU246" s="395">
        <f>(IF($H246="x",VLOOKUP($I246,'AUX-NIV2'!$B:$X,'AUX-NIV1'!AU$3,FALSE),0)+($AV246*'AUX-NIV3'!W$4))*$O246+IF($H246=AU$4,$P246,0)</f>
        <v>0</v>
      </c>
      <c r="AV246" s="395">
        <f>+IF($H246="x",VLOOKUP($I246,'AUX-NIV2'!$B:$X,'AUX-NIV1'!AV$3,FALSE),0)</f>
        <v>0</v>
      </c>
    </row>
    <row r="247" spans="2:48" ht="13.8" thickBot="1">
      <c r="B247" s="324" t="s">
        <v>99</v>
      </c>
      <c r="C247" s="325" t="s">
        <v>1175</v>
      </c>
      <c r="D247" s="326" t="s">
        <v>1168</v>
      </c>
      <c r="E247" s="349">
        <f>IF(B247&lt;&gt;"",+SUMIF(Items!C:C,'AUX-NIV1'!B247,Items!H:H),"")</f>
        <v>0</v>
      </c>
      <c r="F247" s="349">
        <f t="shared" si="81"/>
        <v>0</v>
      </c>
      <c r="G247" s="349">
        <f t="shared" si="82"/>
        <v>0</v>
      </c>
      <c r="H247" s="1395" t="str">
        <f t="shared" ref="H247" si="122">IF(B247&lt;&gt;"",+LEFT(I247,1),"")</f>
        <v>A</v>
      </c>
      <c r="I247" s="1375" t="s">
        <v>1746</v>
      </c>
      <c r="J247" s="350" t="str">
        <f>IF(B247&lt;&gt;"",+VLOOKUP(I247,Recursos!C:F,2,FALSE),"")</f>
        <v>OFICIAL</v>
      </c>
      <c r="K247" s="351" t="str">
        <f>IF(B247&lt;&gt;"",+VLOOKUP(I247,Recursos!C:F,3,FALSE),"")</f>
        <v>hh</v>
      </c>
      <c r="L247" s="1475">
        <f>IF(B247&lt;&gt;"",+VLOOKUP(I247,Recursos!C:F,4,FALSE),"")</f>
        <v>496.91595439275824</v>
      </c>
      <c r="M247" s="1520"/>
      <c r="N247" s="1504">
        <v>0</v>
      </c>
      <c r="O247" s="1490">
        <f>M246</f>
        <v>0</v>
      </c>
      <c r="P247" s="352">
        <f t="shared" ref="P247" si="123">IF(B247&lt;&gt;"",O247*L247,"")</f>
        <v>0</v>
      </c>
      <c r="Q247" s="349">
        <f t="shared" ref="Q247" si="124">IF(B247&lt;&gt;"",+O247*E247,"")</f>
        <v>0</v>
      </c>
      <c r="R247" s="353">
        <f t="shared" ref="R247" si="125">IF(B247&lt;&gt;"",Q247*L247,"")</f>
        <v>0</v>
      </c>
      <c r="S247" s="354">
        <f t="shared" si="83"/>
        <v>0</v>
      </c>
      <c r="T247" s="354">
        <f t="shared" si="84"/>
        <v>0</v>
      </c>
      <c r="U247" s="355">
        <f t="shared" si="85"/>
        <v>0</v>
      </c>
      <c r="V247" s="355">
        <f t="shared" si="86"/>
        <v>0</v>
      </c>
      <c r="W247" s="355">
        <f t="shared" si="87"/>
        <v>0</v>
      </c>
      <c r="X247" s="355">
        <f t="shared" si="88"/>
        <v>0</v>
      </c>
      <c r="Y247" s="396"/>
      <c r="Z247" s="346" t="str">
        <f t="shared" ref="Z247" si="126">IF(B247&lt;&gt;"",+$B247&amp;"A","")</f>
        <v>I-MOVA</v>
      </c>
      <c r="AA247" s="346" t="str">
        <f t="shared" ref="AA247" si="127">IF(B247&lt;&gt;"",+$B247&amp;"E","")</f>
        <v>I-MOVE</v>
      </c>
      <c r="AB247" s="346" t="str">
        <f t="shared" ref="AB247" si="128">IF(B247&lt;&gt;"",++$B247&amp;"M","")</f>
        <v>I-MOVM</v>
      </c>
      <c r="AC247" s="346" t="str">
        <f t="shared" ref="AC247" si="129">IF(B247&lt;&gt;"",+$B247&amp;"T","")</f>
        <v>I-MOVT</v>
      </c>
      <c r="AD247" s="346" t="str">
        <f t="shared" ref="AD247" si="130">IF(B247&lt;&gt;"",+$B247&amp;"S","")</f>
        <v>I-MOVS</v>
      </c>
      <c r="AE247" s="346" t="str">
        <f t="shared" ref="AE247" si="131">IF(B247&lt;&gt;"",+$B247&amp;"X","")</f>
        <v>I-MOVX</v>
      </c>
      <c r="AF247" s="346" t="str">
        <f t="shared" ref="AF247" si="132">IF(B247&lt;&gt;"",+B247&amp;H247,"")</f>
        <v>I-MOVA</v>
      </c>
      <c r="AG247" s="346">
        <f t="shared" si="89"/>
        <v>7</v>
      </c>
      <c r="AH247" s="346">
        <f>IF(B247&lt;&gt;"",+IF(H247="x",+VLOOKUP(I247,'AUX-NIV2'!B:AG,32,FALSE),0),"")</f>
        <v>0</v>
      </c>
      <c r="AI247" s="346" t="str">
        <f t="shared" ref="AI247" si="133">IF(B247&lt;&gt;"",+B247,"")</f>
        <v>I-MOV</v>
      </c>
      <c r="AK247" s="347">
        <f t="shared" si="90"/>
        <v>241</v>
      </c>
      <c r="AL247" s="348">
        <f t="shared" ref="AL247" si="134">IF(B247&lt;&gt;"",+AK247+AG247-1,"")</f>
        <v>247</v>
      </c>
      <c r="AM247" s="347">
        <f t="shared" ref="AM247" si="135">IF(B247&lt;&gt;"",IF(B247=B246,1+AM246,1),"")</f>
        <v>7</v>
      </c>
      <c r="AN247" s="382">
        <f>IF(AND(AH247&gt;0,B247&lt;&gt;""),VLOOKUP(I247,'AUX-NIV2'!$B:$AP,40,FALSE)*O247,0)</f>
        <v>0</v>
      </c>
      <c r="AO247" s="382">
        <f t="shared" si="91"/>
        <v>0</v>
      </c>
      <c r="AQ247" s="395">
        <f>(IF($H247="x",VLOOKUP($I247,'AUX-NIV2'!$B:$X,'AUX-NIV1'!AQ$3,FALSE),0)+($AV247*'AUX-NIV3'!S$4))*$O247+IF($H247=AQ$4,$P247,0)</f>
        <v>0</v>
      </c>
      <c r="AR247" s="395">
        <f>(IF($H247="x",VLOOKUP($I247,'AUX-NIV2'!$B:$X,'AUX-NIV1'!AR$3,FALSE),0)+($AV247*'AUX-NIV3'!T$4))*$O247+IF($H247=AR$4,$P247,0)</f>
        <v>0</v>
      </c>
      <c r="AS247" s="395">
        <f>(IF($H247="x",VLOOKUP($I247,'AUX-NIV2'!$B:$X,'AUX-NIV1'!AS$3,FALSE),0)+($AV247*'AUX-NIV3'!U$4))*$O247+IF($H247=AS$4,$P247,0)</f>
        <v>0</v>
      </c>
      <c r="AT247" s="395">
        <f>(IF($H247="x",VLOOKUP($I247,'AUX-NIV2'!$B:$X,'AUX-NIV1'!AT$3,FALSE),0)+($AV247*'AUX-NIV3'!V$4))*$O247+IF($H247=AT$4,$P247,0)</f>
        <v>0</v>
      </c>
      <c r="AU247" s="395">
        <f>(IF($H247="x",VLOOKUP($I247,'AUX-NIV2'!$B:$X,'AUX-NIV1'!AU$3,FALSE),0)+($AV247*'AUX-NIV3'!W$4))*$O247+IF($H247=AU$4,$P247,0)</f>
        <v>0</v>
      </c>
      <c r="AV247" s="395">
        <f>+IF($H247="x",VLOOKUP($I247,'AUX-NIV2'!$B:$X,'AUX-NIV1'!AV$3,FALSE),0)</f>
        <v>0</v>
      </c>
    </row>
    <row r="248" spans="2:48" ht="14.4" hidden="1" thickTop="1" thickBot="1">
      <c r="B248" s="324" t="s">
        <v>100</v>
      </c>
      <c r="C248" s="325" t="s">
        <v>1176</v>
      </c>
      <c r="D248" s="326" t="s">
        <v>1168</v>
      </c>
      <c r="E248" s="349">
        <f>IF(B248&lt;&gt;"",+SUMIF(Items!C:C,'AUX-NIV1'!B248,Items!H:H),"")</f>
        <v>0</v>
      </c>
      <c r="F248" s="349">
        <f t="shared" si="81"/>
        <v>0</v>
      </c>
      <c r="G248" s="349">
        <f t="shared" si="82"/>
        <v>0</v>
      </c>
      <c r="H248" s="1395" t="str">
        <f t="shared" si="92"/>
        <v>S</v>
      </c>
      <c r="I248" s="1375" t="s">
        <v>745</v>
      </c>
      <c r="J248" s="350" t="str">
        <f>IF(B248&lt;&gt;"",+VLOOKUP(I248,Recursos!C:F,2,FALSE),"")</f>
        <v>PRESTACIONES A LA INSPECCION</v>
      </c>
      <c r="K248" s="351" t="str">
        <f>IF(B248&lt;&gt;"",+VLOOKUP(I248,Recursos!C:F,3,FALSE),"")</f>
        <v>MES</v>
      </c>
      <c r="L248" s="1475">
        <f>IF(B248&lt;&gt;"",+VLOOKUP(I248,Recursos!C:F,4,FALSE),"")</f>
        <v>25000</v>
      </c>
      <c r="M248" s="1497"/>
      <c r="N248" s="1512"/>
      <c r="O248" s="1490">
        <f t="shared" si="107"/>
        <v>0</v>
      </c>
      <c r="P248" s="352">
        <f t="shared" si="93"/>
        <v>0</v>
      </c>
      <c r="Q248" s="349">
        <f t="shared" si="94"/>
        <v>0</v>
      </c>
      <c r="R248" s="353">
        <f t="shared" si="95"/>
        <v>0</v>
      </c>
      <c r="S248" s="354">
        <f t="shared" si="83"/>
        <v>0</v>
      </c>
      <c r="T248" s="354">
        <f t="shared" si="84"/>
        <v>0</v>
      </c>
      <c r="U248" s="355">
        <f t="shared" si="85"/>
        <v>0</v>
      </c>
      <c r="V248" s="355">
        <f t="shared" si="86"/>
        <v>0</v>
      </c>
      <c r="W248" s="355">
        <f t="shared" si="87"/>
        <v>0</v>
      </c>
      <c r="X248" s="355">
        <f t="shared" si="88"/>
        <v>0</v>
      </c>
      <c r="Y248" s="396"/>
      <c r="Z248" s="346" t="str">
        <f t="shared" si="96"/>
        <v>I-INSPECA</v>
      </c>
      <c r="AA248" s="346" t="str">
        <f t="shared" si="97"/>
        <v>I-INSPECE</v>
      </c>
      <c r="AB248" s="346" t="str">
        <f t="shared" si="98"/>
        <v>I-INSPECM</v>
      </c>
      <c r="AC248" s="346" t="str">
        <f t="shared" si="99"/>
        <v>I-INSPECT</v>
      </c>
      <c r="AD248" s="346" t="str">
        <f t="shared" si="100"/>
        <v>I-INSPECS</v>
      </c>
      <c r="AE248" s="346" t="str">
        <f t="shared" si="101"/>
        <v>I-INSPECX</v>
      </c>
      <c r="AF248" s="346" t="str">
        <f t="shared" si="102"/>
        <v>I-INSPECS</v>
      </c>
      <c r="AG248" s="346">
        <f t="shared" si="89"/>
        <v>1</v>
      </c>
      <c r="AH248" s="346">
        <f>IF(B248&lt;&gt;"",+IF(H248="x",+VLOOKUP(I248,'AUX-NIV2'!B:AG,32,FALSE),0),"")</f>
        <v>0</v>
      </c>
      <c r="AI248" s="346" t="str">
        <f t="shared" si="103"/>
        <v>I-INSPEC</v>
      </c>
      <c r="AK248" s="347">
        <f t="shared" si="90"/>
        <v>248</v>
      </c>
      <c r="AL248" s="348">
        <f t="shared" si="104"/>
        <v>248</v>
      </c>
      <c r="AM248" s="347">
        <f>IF(B248&lt;&gt;"",IF(B248=B246,1+AM246,1),"")</f>
        <v>1</v>
      </c>
      <c r="AN248" s="382">
        <f>IF(AND(AH248&gt;0,B248&lt;&gt;""),VLOOKUP(I248,'AUX-NIV2'!$B:$AP,40,FALSE)*O248,0)</f>
        <v>0</v>
      </c>
      <c r="AO248" s="382">
        <f t="shared" si="91"/>
        <v>0</v>
      </c>
      <c r="AQ248" s="395">
        <f>(IF($H248="x",VLOOKUP($I248,'AUX-NIV2'!$B:$X,'AUX-NIV1'!AQ$3,FALSE),0)+($AV248*'AUX-NIV3'!S$4))*$O248+IF($H248=AQ$4,$P248,0)</f>
        <v>0</v>
      </c>
      <c r="AR248" s="395">
        <f>(IF($H248="x",VLOOKUP($I248,'AUX-NIV2'!$B:$X,'AUX-NIV1'!AR$3,FALSE),0)+($AV248*'AUX-NIV3'!T$4))*$O248+IF($H248=AR$4,$P248,0)</f>
        <v>0</v>
      </c>
      <c r="AS248" s="395">
        <f>(IF($H248="x",VLOOKUP($I248,'AUX-NIV2'!$B:$X,'AUX-NIV1'!AS$3,FALSE),0)+($AV248*'AUX-NIV3'!U$4))*$O248+IF($H248=AS$4,$P248,0)</f>
        <v>0</v>
      </c>
      <c r="AT248" s="395">
        <f>(IF($H248="x",VLOOKUP($I248,'AUX-NIV2'!$B:$X,'AUX-NIV1'!AT$3,FALSE),0)+($AV248*'AUX-NIV3'!V$4))*$O248+IF($H248=AT$4,$P248,0)</f>
        <v>0</v>
      </c>
      <c r="AU248" s="395">
        <f>(IF($H248="x",VLOOKUP($I248,'AUX-NIV2'!$B:$X,'AUX-NIV1'!AU$3,FALSE),0)+($AV248*'AUX-NIV3'!W$4))*$O248+IF($H248=AU$4,$P248,0)</f>
        <v>0</v>
      </c>
      <c r="AV248" s="395">
        <f>+IF($H248="x",VLOOKUP($I248,'AUX-NIV2'!$B:$X,'AUX-NIV1'!AV$3,FALSE),0)</f>
        <v>0</v>
      </c>
    </row>
    <row r="249" spans="2:48" ht="14.4" thickTop="1" thickBot="1">
      <c r="B249" s="324" t="s">
        <v>101</v>
      </c>
      <c r="C249" s="325" t="s">
        <v>1177</v>
      </c>
      <c r="D249" s="326" t="s">
        <v>623</v>
      </c>
      <c r="E249" s="349">
        <f>IF(B249&lt;&gt;"",+SUMIF(Items!C:C,'AUX-NIV1'!B249,Items!H:H),"")</f>
        <v>0</v>
      </c>
      <c r="F249" s="349">
        <f t="shared" si="81"/>
        <v>20410</v>
      </c>
      <c r="G249" s="349">
        <f t="shared" si="82"/>
        <v>0</v>
      </c>
      <c r="H249" s="1395" t="str">
        <f t="shared" si="92"/>
        <v>S</v>
      </c>
      <c r="I249" s="1375" t="s">
        <v>741</v>
      </c>
      <c r="J249" s="350" t="str">
        <f>IF(B249&lt;&gt;"",+VLOOKUP(I249,Recursos!C:F,2,FALSE),"")</f>
        <v>MOVILIZACION DE OBRA</v>
      </c>
      <c r="K249" s="351" t="str">
        <f>IF(B249&lt;&gt;"",+VLOOKUP(I249,Recursos!C:F,3,FALSE),"")</f>
        <v>GL</v>
      </c>
      <c r="L249" s="1475">
        <f>IF(B249&lt;&gt;"",+VLOOKUP(I249,Recursos!C:F,4,FALSE),"")</f>
        <v>1</v>
      </c>
      <c r="M249" s="1497">
        <f>100*usd</f>
        <v>10205</v>
      </c>
      <c r="N249" s="1513">
        <f>+Organig!L75</f>
        <v>2</v>
      </c>
      <c r="O249" s="1521">
        <f>+M249*N249</f>
        <v>20410</v>
      </c>
      <c r="P249" s="352">
        <f t="shared" si="93"/>
        <v>20410</v>
      </c>
      <c r="Q249" s="349">
        <f t="shared" si="94"/>
        <v>0</v>
      </c>
      <c r="R249" s="353">
        <f t="shared" si="95"/>
        <v>0</v>
      </c>
      <c r="S249" s="354">
        <f t="shared" si="83"/>
        <v>0</v>
      </c>
      <c r="T249" s="354">
        <f t="shared" si="84"/>
        <v>0</v>
      </c>
      <c r="U249" s="355">
        <f t="shared" si="85"/>
        <v>0</v>
      </c>
      <c r="V249" s="355">
        <f t="shared" si="86"/>
        <v>0</v>
      </c>
      <c r="W249" s="355">
        <f t="shared" si="87"/>
        <v>20410</v>
      </c>
      <c r="X249" s="355">
        <f t="shared" si="88"/>
        <v>0</v>
      </c>
      <c r="Y249" s="396"/>
      <c r="Z249" s="346" t="str">
        <f t="shared" si="96"/>
        <v>I-MOVILA</v>
      </c>
      <c r="AA249" s="346" t="str">
        <f t="shared" si="97"/>
        <v>I-MOVILE</v>
      </c>
      <c r="AB249" s="346" t="str">
        <f t="shared" si="98"/>
        <v>I-MOVILM</v>
      </c>
      <c r="AC249" s="346" t="str">
        <f t="shared" si="99"/>
        <v>I-MOVILT</v>
      </c>
      <c r="AD249" s="346" t="str">
        <f t="shared" si="100"/>
        <v>I-MOVILS</v>
      </c>
      <c r="AE249" s="346" t="str">
        <f t="shared" si="101"/>
        <v>I-MOVILX</v>
      </c>
      <c r="AF249" s="346" t="str">
        <f t="shared" si="102"/>
        <v>I-MOVILS</v>
      </c>
      <c r="AG249" s="346">
        <f t="shared" si="89"/>
        <v>1</v>
      </c>
      <c r="AH249" s="346">
        <f>IF(B249&lt;&gt;"",+IF(H249="x",+VLOOKUP(I249,'AUX-NIV2'!B:AG,32,FALSE),0),"")</f>
        <v>0</v>
      </c>
      <c r="AI249" s="346" t="str">
        <f t="shared" si="103"/>
        <v>I-MOVIL</v>
      </c>
      <c r="AK249" s="347">
        <f t="shared" si="90"/>
        <v>249</v>
      </c>
      <c r="AL249" s="348">
        <f t="shared" si="104"/>
        <v>249</v>
      </c>
      <c r="AM249" s="347">
        <f t="shared" si="105"/>
        <v>1</v>
      </c>
      <c r="AN249" s="382">
        <f>IF(AND(AH249&gt;0,B249&lt;&gt;""),VLOOKUP(I249,'AUX-NIV2'!$B:$AP,40,FALSE)*O249,0)</f>
        <v>0</v>
      </c>
      <c r="AO249" s="382">
        <f t="shared" si="91"/>
        <v>0</v>
      </c>
      <c r="AQ249" s="395">
        <f>(IF($H249="x",VLOOKUP($I249,'AUX-NIV2'!$B:$X,'AUX-NIV1'!AQ$3,FALSE),0)+($AV249*'AUX-NIV3'!S$4))*$O249+IF($H249=AQ$4,$P249,0)</f>
        <v>0</v>
      </c>
      <c r="AR249" s="395">
        <f>(IF($H249="x",VLOOKUP($I249,'AUX-NIV2'!$B:$X,'AUX-NIV1'!AR$3,FALSE),0)+($AV249*'AUX-NIV3'!T$4))*$O249+IF($H249=AR$4,$P249,0)</f>
        <v>0</v>
      </c>
      <c r="AS249" s="395">
        <f>(IF($H249="x",VLOOKUP($I249,'AUX-NIV2'!$B:$X,'AUX-NIV1'!AS$3,FALSE),0)+($AV249*'AUX-NIV3'!U$4))*$O249+IF($H249=AS$4,$P249,0)</f>
        <v>0</v>
      </c>
      <c r="AT249" s="395">
        <f>(IF($H249="x",VLOOKUP($I249,'AUX-NIV2'!$B:$X,'AUX-NIV1'!AT$3,FALSE),0)+($AV249*'AUX-NIV3'!V$4))*$O249+IF($H249=AT$4,$P249,0)</f>
        <v>0</v>
      </c>
      <c r="AU249" s="395">
        <f>(IF($H249="x",VLOOKUP($I249,'AUX-NIV2'!$B:$X,'AUX-NIV1'!AU$3,FALSE),0)+($AV249*'AUX-NIV3'!W$4))*$O249+IF($H249=AU$4,$P249,0)</f>
        <v>20410</v>
      </c>
      <c r="AV249" s="395">
        <f>+IF($H249="x",VLOOKUP($I249,'AUX-NIV2'!$B:$X,'AUX-NIV1'!AV$3,FALSE),0)</f>
        <v>0</v>
      </c>
    </row>
    <row r="250" spans="2:48" ht="14.4" hidden="1" thickTop="1" thickBot="1">
      <c r="B250" s="324" t="s">
        <v>102</v>
      </c>
      <c r="C250" s="325" t="s">
        <v>1179</v>
      </c>
      <c r="D250" s="326" t="s">
        <v>623</v>
      </c>
      <c r="E250" s="349">
        <f>IF(B250&lt;&gt;"",+SUMIF(Items!C:C,'AUX-NIV1'!B250,Items!H:H),"")</f>
        <v>0</v>
      </c>
      <c r="F250" s="349">
        <f t="shared" si="81"/>
        <v>40820</v>
      </c>
      <c r="G250" s="349">
        <f t="shared" si="82"/>
        <v>0</v>
      </c>
      <c r="H250" s="1395" t="str">
        <f t="shared" si="92"/>
        <v>S</v>
      </c>
      <c r="I250" s="1375" t="s">
        <v>743</v>
      </c>
      <c r="J250" s="350" t="str">
        <f>IF(B250&lt;&gt;"",+VLOOKUP(I250,Recursos!C:F,2,FALSE),"")</f>
        <v>LIMPIEZA FINAL DE OBRA</v>
      </c>
      <c r="K250" s="351" t="str">
        <f>IF(B250&lt;&gt;"",+VLOOKUP(I250,Recursos!C:F,3,FALSE),"")</f>
        <v>GL</v>
      </c>
      <c r="L250" s="1475">
        <f>IF(B250&lt;&gt;"",+VLOOKUP(I250,Recursos!C:F,4,FALSE),"")</f>
        <v>1</v>
      </c>
      <c r="M250" s="705">
        <v>25000</v>
      </c>
      <c r="N250" s="706">
        <v>0</v>
      </c>
      <c r="O250" s="1521">
        <f>+M250*N250*2</f>
        <v>0</v>
      </c>
      <c r="P250" s="352">
        <f t="shared" si="93"/>
        <v>0</v>
      </c>
      <c r="Q250" s="349">
        <f t="shared" si="94"/>
        <v>0</v>
      </c>
      <c r="R250" s="353">
        <f t="shared" si="95"/>
        <v>0</v>
      </c>
      <c r="S250" s="354">
        <f t="shared" si="83"/>
        <v>0</v>
      </c>
      <c r="T250" s="354">
        <f t="shared" si="84"/>
        <v>0</v>
      </c>
      <c r="U250" s="355">
        <f t="shared" si="85"/>
        <v>0</v>
      </c>
      <c r="V250" s="355">
        <f t="shared" si="86"/>
        <v>0</v>
      </c>
      <c r="W250" s="355">
        <f t="shared" si="87"/>
        <v>40820</v>
      </c>
      <c r="X250" s="355">
        <f t="shared" si="88"/>
        <v>0</v>
      </c>
      <c r="Y250" s="396"/>
      <c r="Z250" s="346" t="str">
        <f t="shared" si="96"/>
        <v>I-FDOA</v>
      </c>
      <c r="AA250" s="346" t="str">
        <f t="shared" si="97"/>
        <v>I-FDOE</v>
      </c>
      <c r="AB250" s="346" t="str">
        <f t="shared" si="98"/>
        <v>I-FDOM</v>
      </c>
      <c r="AC250" s="346" t="str">
        <f t="shared" si="99"/>
        <v>I-FDOT</v>
      </c>
      <c r="AD250" s="346" t="str">
        <f t="shared" si="100"/>
        <v>I-FDOS</v>
      </c>
      <c r="AE250" s="346" t="str">
        <f t="shared" si="101"/>
        <v>I-FDOX</v>
      </c>
      <c r="AF250" s="346" t="str">
        <f t="shared" si="102"/>
        <v>I-FDOS</v>
      </c>
      <c r="AG250" s="346">
        <f t="shared" si="89"/>
        <v>2</v>
      </c>
      <c r="AH250" s="346">
        <f>IF(B250&lt;&gt;"",+IF(H250="x",+VLOOKUP(I250,'AUX-NIV2'!B:AG,32,FALSE),0),"")</f>
        <v>0</v>
      </c>
      <c r="AI250" s="346" t="str">
        <f t="shared" si="103"/>
        <v>I-FDO</v>
      </c>
      <c r="AK250" s="347">
        <f t="shared" si="90"/>
        <v>250</v>
      </c>
      <c r="AL250" s="348">
        <f t="shared" si="104"/>
        <v>251</v>
      </c>
      <c r="AM250" s="347">
        <f t="shared" si="105"/>
        <v>1</v>
      </c>
      <c r="AN250" s="382">
        <f>IF(AND(AH250&gt;0,B250&lt;&gt;""),VLOOKUP(I250,'AUX-NIV2'!$B:$AP,40,FALSE)*O250,0)</f>
        <v>0</v>
      </c>
      <c r="AO250" s="382">
        <f t="shared" si="91"/>
        <v>0</v>
      </c>
      <c r="AQ250" s="395">
        <f>(IF($H250="x",VLOOKUP($I250,'AUX-NIV2'!$B:$X,'AUX-NIV1'!AQ$3,FALSE),0)+($AV250*'AUX-NIV3'!S$4))*$O250+IF($H250=AQ$4,$P250,0)</f>
        <v>0</v>
      </c>
      <c r="AR250" s="395">
        <f>(IF($H250="x",VLOOKUP($I250,'AUX-NIV2'!$B:$X,'AUX-NIV1'!AR$3,FALSE),0)+($AV250*'AUX-NIV3'!T$4))*$O250+IF($H250=AR$4,$P250,0)</f>
        <v>0</v>
      </c>
      <c r="AS250" s="395">
        <f>(IF($H250="x",VLOOKUP($I250,'AUX-NIV2'!$B:$X,'AUX-NIV1'!AS$3,FALSE),0)+($AV250*'AUX-NIV3'!U$4))*$O250+IF($H250=AS$4,$P250,0)</f>
        <v>0</v>
      </c>
      <c r="AT250" s="395">
        <f>(IF($H250="x",VLOOKUP($I250,'AUX-NIV2'!$B:$X,'AUX-NIV1'!AT$3,FALSE),0)+($AV250*'AUX-NIV3'!V$4))*$O250+IF($H250=AT$4,$P250,0)</f>
        <v>0</v>
      </c>
      <c r="AU250" s="395">
        <f>(IF($H250="x",VLOOKUP($I250,'AUX-NIV2'!$B:$X,'AUX-NIV1'!AU$3,FALSE),0)+($AV250*'AUX-NIV3'!W$4))*$O250+IF($H250=AU$4,$P250,0)</f>
        <v>0</v>
      </c>
      <c r="AV250" s="395">
        <f>+IF($H250="x",VLOOKUP($I250,'AUX-NIV2'!$B:$X,'AUX-NIV1'!AV$3,FALSE),0)</f>
        <v>0</v>
      </c>
    </row>
    <row r="251" spans="2:48" ht="14.4" hidden="1" thickTop="1" thickBot="1">
      <c r="B251" s="324" t="s">
        <v>102</v>
      </c>
      <c r="C251" s="325" t="s">
        <v>1179</v>
      </c>
      <c r="D251" s="326" t="s">
        <v>623</v>
      </c>
      <c r="E251" s="349">
        <f>IF(B251&lt;&gt;"",+SUMIF(Items!C:C,'AUX-NIV1'!B251,Items!H:H),"")</f>
        <v>0</v>
      </c>
      <c r="F251" s="349">
        <f t="shared" si="81"/>
        <v>40820</v>
      </c>
      <c r="G251" s="349">
        <f t="shared" si="82"/>
        <v>0</v>
      </c>
      <c r="H251" s="1395" t="str">
        <f t="shared" si="92"/>
        <v>S</v>
      </c>
      <c r="I251" s="1375" t="s">
        <v>741</v>
      </c>
      <c r="J251" s="350" t="str">
        <f>IF(B251&lt;&gt;"",+VLOOKUP(I251,Recursos!C:F,2,FALSE),"")</f>
        <v>MOVILIZACION DE OBRA</v>
      </c>
      <c r="K251" s="351" t="str">
        <f>IF(B251&lt;&gt;"",+VLOOKUP(I251,Recursos!C:F,3,FALSE),"")</f>
        <v>GL</v>
      </c>
      <c r="L251" s="1475">
        <f>IF(B251&lt;&gt;"",+VLOOKUP(I251,Recursos!C:F,4,FALSE),"")</f>
        <v>1</v>
      </c>
      <c r="M251" s="1495">
        <f>M249</f>
        <v>10205</v>
      </c>
      <c r="N251" s="1514">
        <f>+Organig!L76</f>
        <v>4</v>
      </c>
      <c r="O251" s="1521">
        <f t="shared" si="107"/>
        <v>40820</v>
      </c>
      <c r="P251" s="352">
        <f t="shared" si="93"/>
        <v>40820</v>
      </c>
      <c r="Q251" s="349">
        <f t="shared" si="94"/>
        <v>0</v>
      </c>
      <c r="R251" s="353">
        <f t="shared" si="95"/>
        <v>0</v>
      </c>
      <c r="S251" s="354">
        <f t="shared" si="83"/>
        <v>0</v>
      </c>
      <c r="T251" s="354">
        <f t="shared" si="84"/>
        <v>0</v>
      </c>
      <c r="U251" s="355">
        <f t="shared" si="85"/>
        <v>0</v>
      </c>
      <c r="V251" s="355">
        <f t="shared" si="86"/>
        <v>0</v>
      </c>
      <c r="W251" s="355">
        <f t="shared" si="87"/>
        <v>40820</v>
      </c>
      <c r="X251" s="355">
        <f t="shared" si="88"/>
        <v>0</v>
      </c>
      <c r="Y251" s="396"/>
      <c r="Z251" s="346" t="str">
        <f t="shared" si="96"/>
        <v>I-FDOA</v>
      </c>
      <c r="AA251" s="346" t="str">
        <f t="shared" si="97"/>
        <v>I-FDOE</v>
      </c>
      <c r="AB251" s="346" t="str">
        <f t="shared" si="98"/>
        <v>I-FDOM</v>
      </c>
      <c r="AC251" s="346" t="str">
        <f t="shared" si="99"/>
        <v>I-FDOT</v>
      </c>
      <c r="AD251" s="346" t="str">
        <f t="shared" si="100"/>
        <v>I-FDOS</v>
      </c>
      <c r="AE251" s="346" t="str">
        <f t="shared" si="101"/>
        <v>I-FDOX</v>
      </c>
      <c r="AF251" s="346" t="str">
        <f t="shared" si="102"/>
        <v>I-FDOS</v>
      </c>
      <c r="AG251" s="346">
        <f t="shared" si="89"/>
        <v>2</v>
      </c>
      <c r="AH251" s="346">
        <f>IF(B251&lt;&gt;"",+IF(H251="x",+VLOOKUP(I251,'AUX-NIV2'!B:AG,32,FALSE),0),"")</f>
        <v>0</v>
      </c>
      <c r="AI251" s="346" t="str">
        <f t="shared" si="103"/>
        <v>I-FDO</v>
      </c>
      <c r="AK251" s="347">
        <f t="shared" si="90"/>
        <v>250</v>
      </c>
      <c r="AL251" s="348">
        <f t="shared" si="104"/>
        <v>251</v>
      </c>
      <c r="AM251" s="347">
        <f t="shared" si="105"/>
        <v>2</v>
      </c>
      <c r="AN251" s="382">
        <f>IF(AND(AH251&gt;0,B251&lt;&gt;""),VLOOKUP(I251,'AUX-NIV2'!$B:$AP,40,FALSE)*O251,0)</f>
        <v>0</v>
      </c>
      <c r="AO251" s="382">
        <f t="shared" si="91"/>
        <v>0</v>
      </c>
      <c r="AQ251" s="395">
        <f>(IF($H251="x",VLOOKUP($I251,'AUX-NIV2'!$B:$X,'AUX-NIV1'!AQ$3,FALSE),0)+($AV251*'AUX-NIV3'!S$4))*$O251+IF($H251=AQ$4,$P251,0)</f>
        <v>0</v>
      </c>
      <c r="AR251" s="395">
        <f>(IF($H251="x",VLOOKUP($I251,'AUX-NIV2'!$B:$X,'AUX-NIV1'!AR$3,FALSE),0)+($AV251*'AUX-NIV3'!T$4))*$O251+IF($H251=AR$4,$P251,0)</f>
        <v>0</v>
      </c>
      <c r="AS251" s="395">
        <f>(IF($H251="x",VLOOKUP($I251,'AUX-NIV2'!$B:$X,'AUX-NIV1'!AS$3,FALSE),0)+($AV251*'AUX-NIV3'!U$4))*$O251+IF($H251=AS$4,$P251,0)</f>
        <v>0</v>
      </c>
      <c r="AT251" s="395">
        <f>(IF($H251="x",VLOOKUP($I251,'AUX-NIV2'!$B:$X,'AUX-NIV1'!AT$3,FALSE),0)+($AV251*'AUX-NIV3'!V$4))*$O251+IF($H251=AT$4,$P251,0)</f>
        <v>0</v>
      </c>
      <c r="AU251" s="395">
        <f>(IF($H251="x",VLOOKUP($I251,'AUX-NIV2'!$B:$X,'AUX-NIV1'!AU$3,FALSE),0)+($AV251*'AUX-NIV3'!W$4))*$O251+IF($H251=AU$4,$P251,0)</f>
        <v>40820</v>
      </c>
      <c r="AV251" s="395">
        <f>+IF($H251="x",VLOOKUP($I251,'AUX-NIV2'!$B:$X,'AUX-NIV1'!AV$3,FALSE),0)</f>
        <v>0</v>
      </c>
    </row>
    <row r="252" spans="2:48" ht="14.4" hidden="1" thickTop="1" thickBot="1">
      <c r="B252" s="324" t="s">
        <v>4544</v>
      </c>
      <c r="C252" s="325" t="s">
        <v>4545</v>
      </c>
      <c r="D252" s="326" t="s">
        <v>623</v>
      </c>
      <c r="E252" s="349">
        <f>IF(B252&lt;&gt;"",+SUMIF(Items!C:C,'AUX-NIV1'!B252,Items!H:H),"")</f>
        <v>0</v>
      </c>
      <c r="F252" s="349">
        <f t="shared" si="81"/>
        <v>68200</v>
      </c>
      <c r="G252" s="349">
        <f t="shared" si="82"/>
        <v>0</v>
      </c>
      <c r="H252" s="1395" t="str">
        <f t="shared" ref="H252:H253" si="136">IF(B252&lt;&gt;"",+LEFT(I252,1),"")</f>
        <v>S</v>
      </c>
      <c r="I252" s="1375" t="s">
        <v>684</v>
      </c>
      <c r="J252" s="350" t="str">
        <f>IF(B252&lt;&gt;"",+VLOOKUP(I252,Recursos!C:F,2,FALSE),"")</f>
        <v>INGENIERIA DE DETALLE</v>
      </c>
      <c r="K252" s="351" t="str">
        <f>IF(B252&lt;&gt;"",+VLOOKUP(I252,Recursos!C:F,3,FALSE),"")</f>
        <v>GL</v>
      </c>
      <c r="L252" s="1475">
        <f>IF(B252&lt;&gt;"",+VLOOKUP(I252,Recursos!C:F,4,FALSE),"")</f>
        <v>150000</v>
      </c>
      <c r="M252" s="705">
        <v>1</v>
      </c>
      <c r="N252" s="706">
        <v>0</v>
      </c>
      <c r="O252" s="1521">
        <f>+M252*N252</f>
        <v>0</v>
      </c>
      <c r="P252" s="352">
        <f t="shared" ref="P252" si="137">IF(B252&lt;&gt;"",O252*L252,"")</f>
        <v>0</v>
      </c>
      <c r="Q252" s="349">
        <f t="shared" ref="Q252:Q253" si="138">IF(B252&lt;&gt;"",+O252*E252,"")</f>
        <v>0</v>
      </c>
      <c r="R252" s="353">
        <f t="shared" ref="R252:R253" si="139">IF(B252&lt;&gt;"",Q252*L252,"")</f>
        <v>0</v>
      </c>
      <c r="S252" s="354">
        <f t="shared" si="83"/>
        <v>0</v>
      </c>
      <c r="T252" s="354">
        <f t="shared" si="84"/>
        <v>0</v>
      </c>
      <c r="U252" s="355">
        <f t="shared" si="85"/>
        <v>0</v>
      </c>
      <c r="V252" s="355">
        <f t="shared" si="86"/>
        <v>0</v>
      </c>
      <c r="W252" s="355">
        <f t="shared" si="87"/>
        <v>68200</v>
      </c>
      <c r="X252" s="355">
        <f t="shared" si="88"/>
        <v>0</v>
      </c>
      <c r="Y252" s="396"/>
      <c r="Z252" s="346" t="str">
        <f t="shared" ref="Z252:Z253" si="140">IF(B252&lt;&gt;"",+$B252&amp;"A","")</f>
        <v>I-RTA</v>
      </c>
      <c r="AA252" s="346" t="str">
        <f t="shared" ref="AA252:AA253" si="141">IF(B252&lt;&gt;"",+$B252&amp;"E","")</f>
        <v>I-RTE</v>
      </c>
      <c r="AB252" s="346" t="str">
        <f t="shared" ref="AB252:AB253" si="142">IF(B252&lt;&gt;"",++$B252&amp;"M","")</f>
        <v>I-RTM</v>
      </c>
      <c r="AC252" s="346" t="str">
        <f t="shared" ref="AC252:AC253" si="143">IF(B252&lt;&gt;"",+$B252&amp;"T","")</f>
        <v>I-RTT</v>
      </c>
      <c r="AD252" s="346" t="str">
        <f t="shared" ref="AD252:AD253" si="144">IF(B252&lt;&gt;"",+$B252&amp;"S","")</f>
        <v>I-RTS</v>
      </c>
      <c r="AE252" s="346" t="str">
        <f t="shared" ref="AE252:AE253" si="145">IF(B252&lt;&gt;"",+$B252&amp;"X","")</f>
        <v>I-RTX</v>
      </c>
      <c r="AF252" s="346" t="str">
        <f t="shared" ref="AF252:AF253" si="146">IF(B252&lt;&gt;"",+B252&amp;H252,"")</f>
        <v>I-RTS</v>
      </c>
      <c r="AG252" s="346">
        <f t="shared" si="89"/>
        <v>2</v>
      </c>
      <c r="AH252" s="346">
        <f>IF(B252&lt;&gt;"",+IF(H252="x",+VLOOKUP(I252,'AUX-NIV2'!B:AG,32,FALSE),0),"")</f>
        <v>0</v>
      </c>
      <c r="AI252" s="346" t="str">
        <f t="shared" ref="AI252:AI253" si="147">IF(B252&lt;&gt;"",+B252,"")</f>
        <v>I-RT</v>
      </c>
      <c r="AK252" s="347">
        <f t="shared" si="90"/>
        <v>252</v>
      </c>
      <c r="AL252" s="348">
        <f t="shared" ref="AL252:AL253" si="148">IF(B252&lt;&gt;"",+AK252+AG252-1,"")</f>
        <v>253</v>
      </c>
      <c r="AM252" s="347">
        <f t="shared" ref="AM252:AM253" si="149">IF(B252&lt;&gt;"",IF(B252=B251,1+AM251,1),"")</f>
        <v>1</v>
      </c>
      <c r="AN252" s="382">
        <f>IF(AND(AH252&gt;0,B252&lt;&gt;""),VLOOKUP(I252,'AUX-NIV2'!$B:$AP,40,FALSE)*O252,0)</f>
        <v>0</v>
      </c>
      <c r="AO252" s="382">
        <f t="shared" si="91"/>
        <v>0</v>
      </c>
      <c r="AQ252" s="395">
        <f>(IF($H252="x",VLOOKUP($I252,'AUX-NIV2'!$B:$X,'AUX-NIV1'!AQ$3,FALSE),0)+($AV252*'AUX-NIV3'!S$4))*$O252+IF($H252=AQ$4,$P252,0)</f>
        <v>0</v>
      </c>
      <c r="AR252" s="395">
        <f>(IF($H252="x",VLOOKUP($I252,'AUX-NIV2'!$B:$X,'AUX-NIV1'!AR$3,FALSE),0)+($AV252*'AUX-NIV3'!T$4))*$O252+IF($H252=AR$4,$P252,0)</f>
        <v>0</v>
      </c>
      <c r="AS252" s="395">
        <f>(IF($H252="x",VLOOKUP($I252,'AUX-NIV2'!$B:$X,'AUX-NIV1'!AS$3,FALSE),0)+($AV252*'AUX-NIV3'!U$4))*$O252+IF($H252=AS$4,$P252,0)</f>
        <v>0</v>
      </c>
      <c r="AT252" s="395">
        <f>(IF($H252="x",VLOOKUP($I252,'AUX-NIV2'!$B:$X,'AUX-NIV1'!AT$3,FALSE),0)+($AV252*'AUX-NIV3'!V$4))*$O252+IF($H252=AT$4,$P252,0)</f>
        <v>0</v>
      </c>
      <c r="AU252" s="395">
        <f>(IF($H252="x",VLOOKUP($I252,'AUX-NIV2'!$B:$X,'AUX-NIV1'!AU$3,FALSE),0)+($AV252*'AUX-NIV3'!W$4))*$O252+IF($H252=AU$4,$P252,0)</f>
        <v>0</v>
      </c>
      <c r="AV252" s="395">
        <f>+IF($H252="x",VLOOKUP($I252,'AUX-NIV2'!$B:$X,'AUX-NIV1'!AV$3,FALSE),0)</f>
        <v>0</v>
      </c>
    </row>
    <row r="253" spans="2:48" ht="14.4" hidden="1" thickTop="1" thickBot="1">
      <c r="B253" s="324" t="s">
        <v>4544</v>
      </c>
      <c r="C253" s="325" t="s">
        <v>4545</v>
      </c>
      <c r="D253" s="326" t="s">
        <v>623</v>
      </c>
      <c r="E253" s="349">
        <f>IF(B253&lt;&gt;"",+SUMIF(Items!C:C,'AUX-NIV1'!B253,Items!H:H),"")</f>
        <v>0</v>
      </c>
      <c r="F253" s="349">
        <f t="shared" si="81"/>
        <v>68200</v>
      </c>
      <c r="G253" s="349">
        <f t="shared" si="82"/>
        <v>0</v>
      </c>
      <c r="H253" s="1395" t="str">
        <f t="shared" si="136"/>
        <v>S</v>
      </c>
      <c r="I253" s="1375" t="s">
        <v>4546</v>
      </c>
      <c r="J253" s="350" t="str">
        <f>IF(B253&lt;&gt;"",+VLOOKUP(I253,Recursos!C:F,2,FALSE),"")</f>
        <v>Gastos Profesionales, Consejo P, Aforos, Caja Prev</v>
      </c>
      <c r="K253" s="351" t="str">
        <f>IF(B253&lt;&gt;"",+VLOOKUP(I253,Recursos!C:F,3,FALSE),"")</f>
        <v>m2</v>
      </c>
      <c r="L253" s="1475">
        <f>IF(B253&lt;&gt;"",+VLOOKUP(I253,Recursos!C:F,4,FALSE),"")</f>
        <v>100</v>
      </c>
      <c r="M253" s="1495">
        <v>682</v>
      </c>
      <c r="N253" s="1514">
        <v>1</v>
      </c>
      <c r="O253" s="1521">
        <f>+M253*N253</f>
        <v>682</v>
      </c>
      <c r="P253" s="352">
        <f>IF(B253&lt;&gt;"",O253*L253,"")</f>
        <v>68200</v>
      </c>
      <c r="Q253" s="349">
        <f t="shared" si="138"/>
        <v>0</v>
      </c>
      <c r="R253" s="353">
        <f t="shared" si="139"/>
        <v>0</v>
      </c>
      <c r="S253" s="354">
        <f t="shared" si="83"/>
        <v>0</v>
      </c>
      <c r="T253" s="354">
        <f t="shared" si="84"/>
        <v>0</v>
      </c>
      <c r="U253" s="355">
        <f t="shared" si="85"/>
        <v>0</v>
      </c>
      <c r="V253" s="355">
        <f t="shared" si="86"/>
        <v>0</v>
      </c>
      <c r="W253" s="355">
        <f t="shared" si="87"/>
        <v>68200</v>
      </c>
      <c r="X253" s="355">
        <f t="shared" si="88"/>
        <v>0</v>
      </c>
      <c r="Y253" s="396"/>
      <c r="Z253" s="346" t="str">
        <f t="shared" si="140"/>
        <v>I-RTA</v>
      </c>
      <c r="AA253" s="346" t="str">
        <f t="shared" si="141"/>
        <v>I-RTE</v>
      </c>
      <c r="AB253" s="346" t="str">
        <f t="shared" si="142"/>
        <v>I-RTM</v>
      </c>
      <c r="AC253" s="346" t="str">
        <f t="shared" si="143"/>
        <v>I-RTT</v>
      </c>
      <c r="AD253" s="346" t="str">
        <f t="shared" si="144"/>
        <v>I-RTS</v>
      </c>
      <c r="AE253" s="346" t="str">
        <f t="shared" si="145"/>
        <v>I-RTX</v>
      </c>
      <c r="AF253" s="346" t="str">
        <f t="shared" si="146"/>
        <v>I-RTS</v>
      </c>
      <c r="AG253" s="346">
        <f t="shared" si="89"/>
        <v>2</v>
      </c>
      <c r="AH253" s="346">
        <f>IF(B253&lt;&gt;"",+IF(H253="x",+VLOOKUP(I253,'AUX-NIV2'!B:AG,32,FALSE),0),"")</f>
        <v>0</v>
      </c>
      <c r="AI253" s="346" t="str">
        <f t="shared" si="147"/>
        <v>I-RT</v>
      </c>
      <c r="AK253" s="347">
        <f t="shared" si="90"/>
        <v>252</v>
      </c>
      <c r="AL253" s="348">
        <f t="shared" si="148"/>
        <v>253</v>
      </c>
      <c r="AM253" s="347">
        <f t="shared" si="149"/>
        <v>2</v>
      </c>
      <c r="AN253" s="382">
        <f>IF(AND(AH253&gt;0,B253&lt;&gt;""),VLOOKUP(I253,'AUX-NIV2'!$B:$AP,40,FALSE)*O253,0)</f>
        <v>0</v>
      </c>
      <c r="AO253" s="382">
        <f t="shared" si="91"/>
        <v>0</v>
      </c>
      <c r="AQ253" s="395">
        <f>(IF($H253="x",VLOOKUP($I253,'AUX-NIV2'!$B:$X,'AUX-NIV1'!AQ$3,FALSE),0)+($AV253*'AUX-NIV3'!S$4))*$O253+IF($H253=AQ$4,$P253,0)</f>
        <v>0</v>
      </c>
      <c r="AR253" s="395">
        <f>(IF($H253="x",VLOOKUP($I253,'AUX-NIV2'!$B:$X,'AUX-NIV1'!AR$3,FALSE),0)+($AV253*'AUX-NIV3'!T$4))*$O253+IF($H253=AR$4,$P253,0)</f>
        <v>0</v>
      </c>
      <c r="AS253" s="395">
        <f>(IF($H253="x",VLOOKUP($I253,'AUX-NIV2'!$B:$X,'AUX-NIV1'!AS$3,FALSE),0)+($AV253*'AUX-NIV3'!U$4))*$O253+IF($H253=AS$4,$P253,0)</f>
        <v>0</v>
      </c>
      <c r="AT253" s="395">
        <f>(IF($H253="x",VLOOKUP($I253,'AUX-NIV2'!$B:$X,'AUX-NIV1'!AT$3,FALSE),0)+($AV253*'AUX-NIV3'!V$4))*$O253+IF($H253=AT$4,$P253,0)</f>
        <v>0</v>
      </c>
      <c r="AU253" s="395">
        <f>(IF($H253="x",VLOOKUP($I253,'AUX-NIV2'!$B:$X,'AUX-NIV1'!AU$3,FALSE),0)+($AV253*'AUX-NIV3'!W$4))*$O253+IF($H253=AU$4,$P253,0)</f>
        <v>68200</v>
      </c>
      <c r="AV253" s="395">
        <f>+IF($H253="x",VLOOKUP($I253,'AUX-NIV2'!$B:$X,'AUX-NIV1'!AV$3,FALSE),0)</f>
        <v>0</v>
      </c>
    </row>
    <row r="254" spans="2:48" ht="14.4" hidden="1" thickTop="1" thickBot="1">
      <c r="B254" s="1296" t="s">
        <v>1465</v>
      </c>
      <c r="C254" s="1282" t="s">
        <v>1356</v>
      </c>
      <c r="D254" s="1280" t="s">
        <v>1160</v>
      </c>
      <c r="E254" s="1314">
        <f>IF(B254&lt;&gt;"",+SUMIF(Items!C:C,'AUX-NIV1'!B254,Items!H:H),"")</f>
        <v>0</v>
      </c>
      <c r="F254" s="1314">
        <f t="shared" si="81"/>
        <v>989.92739815375262</v>
      </c>
      <c r="G254" s="1314">
        <f t="shared" si="82"/>
        <v>0</v>
      </c>
      <c r="H254" s="1396" t="str">
        <f t="shared" si="92"/>
        <v>X</v>
      </c>
      <c r="I254" s="1375" t="s">
        <v>1463</v>
      </c>
      <c r="J254" s="1283" t="str">
        <f>IF(B254&lt;&gt;"",+VLOOKUP(I254,Recursos!C:F,2,FALSE),"")</f>
        <v>Agregado para Sub-base</v>
      </c>
      <c r="K254" s="1298" t="str">
        <f>IF(B254&lt;&gt;"",+VLOOKUP(I254,Recursos!C:F,3,FALSE),"")</f>
        <v>Tn</v>
      </c>
      <c r="L254" s="1281">
        <f>IF(B254&lt;&gt;"",+VLOOKUP(I254,Recursos!C:F,4,FALSE),"")</f>
        <v>184.97740259210877</v>
      </c>
      <c r="M254" s="717">
        <v>1.6</v>
      </c>
      <c r="N254" s="717"/>
      <c r="O254" s="1299">
        <f>+M254</f>
        <v>1.6</v>
      </c>
      <c r="P254" s="1300">
        <f t="shared" si="93"/>
        <v>295.96384414737406</v>
      </c>
      <c r="Q254" s="1281">
        <f t="shared" si="94"/>
        <v>0</v>
      </c>
      <c r="R254" s="1288">
        <f t="shared" si="95"/>
        <v>0</v>
      </c>
      <c r="S254" s="1301">
        <f t="shared" si="83"/>
        <v>0</v>
      </c>
      <c r="T254" s="1301">
        <f t="shared" si="84"/>
        <v>0</v>
      </c>
      <c r="U254" s="1302">
        <f t="shared" si="85"/>
        <v>0</v>
      </c>
      <c r="V254" s="1302">
        <f t="shared" si="86"/>
        <v>0</v>
      </c>
      <c r="W254" s="1302">
        <f t="shared" si="87"/>
        <v>0</v>
      </c>
      <c r="X254" s="1302">
        <f t="shared" si="88"/>
        <v>989.92739815375262</v>
      </c>
      <c r="Z254" s="1303" t="str">
        <f t="shared" si="96"/>
        <v>X-BASEGA</v>
      </c>
      <c r="AA254" s="1303" t="str">
        <f t="shared" si="97"/>
        <v>X-BASEGE</v>
      </c>
      <c r="AB254" s="1303" t="str">
        <f t="shared" si="98"/>
        <v>X-BASEGM</v>
      </c>
      <c r="AC254" s="1303" t="str">
        <f t="shared" si="99"/>
        <v>X-BASEGT</v>
      </c>
      <c r="AD254" s="1303" t="str">
        <f t="shared" si="100"/>
        <v>X-BASEGS</v>
      </c>
      <c r="AE254" s="1303" t="str">
        <f t="shared" si="101"/>
        <v>X-BASEGX</v>
      </c>
      <c r="AF254" s="1303" t="str">
        <f t="shared" si="102"/>
        <v>X-BASEGX</v>
      </c>
      <c r="AG254" s="1303">
        <f t="shared" si="89"/>
        <v>2</v>
      </c>
      <c r="AH254" s="1303">
        <f>IF(B254&lt;&gt;"",+IF(H254="x",+VLOOKUP(I254,'AUX-NIV2'!B:AG,32,FALSE),0),"")</f>
        <v>4</v>
      </c>
      <c r="AI254" s="1303" t="str">
        <f t="shared" si="103"/>
        <v>X-BASEG</v>
      </c>
      <c r="AK254" s="347">
        <f t="shared" si="90"/>
        <v>254</v>
      </c>
      <c r="AL254" s="348">
        <f t="shared" si="104"/>
        <v>255</v>
      </c>
      <c r="AM254" s="347">
        <f>IF(B254&lt;&gt;"",IF(B254=B251,1+AM251,1),"")</f>
        <v>1</v>
      </c>
      <c r="AN254" s="382">
        <f>IF(AND(AH254&gt;0,B254&lt;&gt;""),VLOOKUP(I254,'AUX-NIV2'!$B:$AP,40,FALSE)*O254,0)</f>
        <v>0.13257142857142856</v>
      </c>
      <c r="AO254" s="382">
        <f t="shared" si="91"/>
        <v>0.31792142857142858</v>
      </c>
      <c r="AQ254" s="395">
        <f>(IF($H254="x",VLOOKUP($I254,'AUX-NIV2'!$B:$X,'AUX-NIV1'!AQ$3,FALSE),0)+($AV254*'AUX-NIV3'!S$4))*$O254+IF($H254=AQ$4,$P254,0)</f>
        <v>30.519987098435895</v>
      </c>
      <c r="AR254" s="395">
        <f>(IF($H254="x",VLOOKUP($I254,'AUX-NIV2'!$B:$X,'AUX-NIV1'!AR$3,FALSE),0)+($AV254*'AUX-NIV3'!T$4))*$O254+IF($H254=AR$4,$P254,0)</f>
        <v>263.9497952454862</v>
      </c>
      <c r="AS254" s="395">
        <f>(IF($H254="x",VLOOKUP($I254,'AUX-NIV2'!$B:$X,'AUX-NIV1'!AS$3,FALSE),0)+($AV254*'AUX-NIV3'!U$4))*$O254+IF($H254=AS$4,$P254,0)</f>
        <v>0.46549037488046069</v>
      </c>
      <c r="AT254" s="395">
        <f>(IF($H254="x",VLOOKUP($I254,'AUX-NIV2'!$B:$X,'AUX-NIV1'!AT$3,FALSE),0)+($AV254*'AUX-NIV3'!V$4))*$O254+IF($H254=AT$4,$P254,0)</f>
        <v>0</v>
      </c>
      <c r="AU254" s="395">
        <f>(IF($H254="x",VLOOKUP($I254,'AUX-NIV2'!$B:$X,'AUX-NIV1'!AU$3,FALSE),0)+($AV254*'AUX-NIV3'!W$4))*$O254+IF($H254=AU$4,$P254,0)</f>
        <v>1.0285714285714287</v>
      </c>
      <c r="AV254" s="395">
        <f>+IF($H254="x",VLOOKUP($I254,'AUX-NIV2'!$B:$X,'AUX-NIV1'!AV$3,FALSE),0)</f>
        <v>184.33454544925161</v>
      </c>
    </row>
    <row r="255" spans="2:48" ht="14.4" hidden="1" thickTop="1" thickBot="1">
      <c r="B255" s="1296" t="s">
        <v>1465</v>
      </c>
      <c r="C255" s="1282" t="s">
        <v>1356</v>
      </c>
      <c r="D255" s="1280" t="s">
        <v>1160</v>
      </c>
      <c r="E255" s="1314">
        <f>IF(B255&lt;&gt;"",+SUMIF(Items!C:C,'AUX-NIV1'!B255,Items!H:H),"")</f>
        <v>0</v>
      </c>
      <c r="F255" s="1314">
        <f t="shared" si="81"/>
        <v>989.92739815375262</v>
      </c>
      <c r="G255" s="1314">
        <f t="shared" si="82"/>
        <v>0</v>
      </c>
      <c r="H255" s="1396" t="str">
        <f t="shared" si="92"/>
        <v>X</v>
      </c>
      <c r="I255" s="1375" t="s">
        <v>1466</v>
      </c>
      <c r="J255" s="1283" t="str">
        <f>IF(B255&lt;&gt;"",+VLOOKUP(I255,Recursos!C:F,2,FALSE),"")</f>
        <v>Subbase granular</v>
      </c>
      <c r="K255" s="1298" t="str">
        <f>IF(B255&lt;&gt;"",+VLOOKUP(I255,Recursos!C:F,3,FALSE),"")</f>
        <v>m3</v>
      </c>
      <c r="L255" s="1281">
        <f>IF(B255&lt;&gt;"",+VLOOKUP(I255,Recursos!C:F,4,FALSE),"")</f>
        <v>693.96355400637856</v>
      </c>
      <c r="M255" s="1297">
        <v>1</v>
      </c>
      <c r="N255" s="1297"/>
      <c r="O255" s="1299">
        <f>+M255</f>
        <v>1</v>
      </c>
      <c r="P255" s="1300">
        <f t="shared" si="93"/>
        <v>693.96355400637856</v>
      </c>
      <c r="Q255" s="1281">
        <f t="shared" si="94"/>
        <v>0</v>
      </c>
      <c r="R255" s="1288">
        <f t="shared" si="95"/>
        <v>0</v>
      </c>
      <c r="S255" s="1301">
        <f t="shared" si="83"/>
        <v>0</v>
      </c>
      <c r="T255" s="1301">
        <f t="shared" si="84"/>
        <v>0</v>
      </c>
      <c r="U255" s="1302">
        <f t="shared" si="85"/>
        <v>0</v>
      </c>
      <c r="V255" s="1302">
        <f t="shared" si="86"/>
        <v>0</v>
      </c>
      <c r="W255" s="1302">
        <f t="shared" si="87"/>
        <v>0</v>
      </c>
      <c r="X255" s="1302">
        <f t="shared" si="88"/>
        <v>989.92739815375262</v>
      </c>
      <c r="Z255" s="1303" t="str">
        <f t="shared" si="96"/>
        <v>X-BASEGA</v>
      </c>
      <c r="AA255" s="1303" t="str">
        <f t="shared" si="97"/>
        <v>X-BASEGE</v>
      </c>
      <c r="AB255" s="1303" t="str">
        <f t="shared" si="98"/>
        <v>X-BASEGM</v>
      </c>
      <c r="AC255" s="1303" t="str">
        <f t="shared" si="99"/>
        <v>X-BASEGT</v>
      </c>
      <c r="AD255" s="1303" t="str">
        <f t="shared" si="100"/>
        <v>X-BASEGS</v>
      </c>
      <c r="AE255" s="1303" t="str">
        <f t="shared" si="101"/>
        <v>X-BASEGX</v>
      </c>
      <c r="AF255" s="1303" t="str">
        <f t="shared" si="102"/>
        <v>X-BASEGX</v>
      </c>
      <c r="AG255" s="1303">
        <f t="shared" si="89"/>
        <v>2</v>
      </c>
      <c r="AH255" s="1303">
        <f>IF(B255&lt;&gt;"",+IF(H255="x",+VLOOKUP(I255,'AUX-NIV2'!B:AG,32,FALSE),0),"")</f>
        <v>8</v>
      </c>
      <c r="AI255" s="1303" t="str">
        <f t="shared" si="103"/>
        <v>X-BASEG</v>
      </c>
      <c r="AK255" s="347">
        <f t="shared" si="90"/>
        <v>254</v>
      </c>
      <c r="AL255" s="348">
        <f t="shared" si="104"/>
        <v>255</v>
      </c>
      <c r="AM255" s="347">
        <f t="shared" si="105"/>
        <v>2</v>
      </c>
      <c r="AN255" s="382">
        <f>IF(AND(AH255&gt;0,B255&lt;&gt;""),VLOOKUP(I255,'AUX-NIV2'!$B:$AP,40,FALSE)*O255,0)</f>
        <v>0.18535000000000001</v>
      </c>
      <c r="AO255" s="382">
        <f t="shared" si="91"/>
        <v>0.31792142857142858</v>
      </c>
      <c r="AQ255" s="395">
        <f>(IF($H255="x",VLOOKUP($I255,'AUX-NIV2'!$B:$X,'AUX-NIV1'!AQ$3,FALSE),0)+($AV255*'AUX-NIV3'!S$4))*$O255+IF($H255=AQ$4,$P255,0)</f>
        <v>71.811548750401982</v>
      </c>
      <c r="AR255" s="395">
        <f>(IF($H255="x",VLOOKUP($I255,'AUX-NIV2'!$B:$X,'AUX-NIV1'!AR$3,FALSE),0)+($AV255*'AUX-NIV3'!T$4))*$O255+IF($H255=AR$4,$P255,0)</f>
        <v>621.05673661642061</v>
      </c>
      <c r="AS255" s="395">
        <f>(IF($H255="x",VLOOKUP($I255,'AUX-NIV2'!$B:$X,'AUX-NIV1'!AS$3,FALSE),0)+($AV255*'AUX-NIV3'!U$4))*$O255+IF($H255=AS$4,$P255,0)</f>
        <v>1.0952686395560178</v>
      </c>
      <c r="AT255" s="395">
        <f>(IF($H255="x",VLOOKUP($I255,'AUX-NIV2'!$B:$X,'AUX-NIV1'!AT$3,FALSE),0)+($AV255*'AUX-NIV3'!V$4))*$O255+IF($H255=AT$4,$P255,0)</f>
        <v>0</v>
      </c>
      <c r="AU255" s="395">
        <f>(IF($H255="x",VLOOKUP($I255,'AUX-NIV2'!$B:$X,'AUX-NIV1'!AU$3,FALSE),0)+($AV255*'AUX-NIV3'!W$4))*$O255+IF($H255=AU$4,$P255,0)</f>
        <v>0</v>
      </c>
      <c r="AV255" s="395">
        <f>+IF($H255="x",VLOOKUP($I255,'AUX-NIV2'!$B:$X,'AUX-NIV1'!AV$3,FALSE),0)</f>
        <v>693.96355400637856</v>
      </c>
    </row>
    <row r="256" spans="2:48" ht="14.4" hidden="1" thickTop="1" thickBot="1">
      <c r="B256" s="1296" t="s">
        <v>1486</v>
      </c>
      <c r="C256" s="1282" t="s">
        <v>1357</v>
      </c>
      <c r="D256" s="1280" t="s">
        <v>1160</v>
      </c>
      <c r="E256" s="1314">
        <f>IF(B256&lt;&gt;"",+SUMIF(Items!C:C,'AUX-NIV1'!B256,Items!H:H),"")</f>
        <v>0</v>
      </c>
      <c r="F256" s="1314">
        <f t="shared" si="81"/>
        <v>1028.3573222393109</v>
      </c>
      <c r="G256" s="1314">
        <f t="shared" si="82"/>
        <v>0</v>
      </c>
      <c r="H256" s="1396" t="str">
        <f t="shared" si="92"/>
        <v>X</v>
      </c>
      <c r="I256" s="1375" t="s">
        <v>1488</v>
      </c>
      <c r="J256" s="1283" t="str">
        <f>IF(B256&lt;&gt;"",+VLOOKUP(I256,Recursos!C:F,2,FALSE),"")</f>
        <v>Agregado para Base</v>
      </c>
      <c r="K256" s="1298" t="str">
        <f>IF(B256&lt;&gt;"",+VLOOKUP(I256,Recursos!C:F,3,FALSE),"")</f>
        <v>Tn</v>
      </c>
      <c r="L256" s="1281">
        <f>IF(B256&lt;&gt;"",+VLOOKUP(I256,Recursos!C:F,4,FALSE),"")</f>
        <v>208.99610514558265</v>
      </c>
      <c r="M256" s="1297">
        <v>1.6</v>
      </c>
      <c r="N256" s="1297"/>
      <c r="O256" s="1299">
        <f>+M256</f>
        <v>1.6</v>
      </c>
      <c r="P256" s="1300">
        <f t="shared" si="93"/>
        <v>334.39376823293225</v>
      </c>
      <c r="Q256" s="1281">
        <f t="shared" si="94"/>
        <v>0</v>
      </c>
      <c r="R256" s="1288">
        <f t="shared" si="95"/>
        <v>0</v>
      </c>
      <c r="S256" s="1301">
        <f t="shared" si="83"/>
        <v>0</v>
      </c>
      <c r="T256" s="1301">
        <f t="shared" si="84"/>
        <v>0</v>
      </c>
      <c r="U256" s="1302">
        <f t="shared" si="85"/>
        <v>0</v>
      </c>
      <c r="V256" s="1302">
        <f t="shared" si="86"/>
        <v>0</v>
      </c>
      <c r="W256" s="1302">
        <f t="shared" si="87"/>
        <v>0</v>
      </c>
      <c r="X256" s="1302">
        <f t="shared" si="88"/>
        <v>1028.3573222393109</v>
      </c>
      <c r="Z256" s="1303" t="str">
        <f t="shared" si="96"/>
        <v>X-BBASEA</v>
      </c>
      <c r="AA256" s="1303" t="str">
        <f t="shared" si="97"/>
        <v>X-BBASEE</v>
      </c>
      <c r="AB256" s="1303" t="str">
        <f t="shared" si="98"/>
        <v>X-BBASEM</v>
      </c>
      <c r="AC256" s="1303" t="str">
        <f t="shared" si="99"/>
        <v>X-BBASET</v>
      </c>
      <c r="AD256" s="1303" t="str">
        <f t="shared" si="100"/>
        <v>X-BBASES</v>
      </c>
      <c r="AE256" s="1303" t="str">
        <f t="shared" si="101"/>
        <v>X-BBASEX</v>
      </c>
      <c r="AF256" s="1303" t="str">
        <f t="shared" si="102"/>
        <v>X-BBASEX</v>
      </c>
      <c r="AG256" s="1303">
        <f t="shared" si="89"/>
        <v>2</v>
      </c>
      <c r="AH256" s="1303">
        <f>IF(B256&lt;&gt;"",+IF(H256="x",+VLOOKUP(I256,'AUX-NIV2'!B:AG,32,FALSE),0),"")</f>
        <v>4</v>
      </c>
      <c r="AI256" s="1303" t="str">
        <f t="shared" si="103"/>
        <v>X-BBASE</v>
      </c>
      <c r="AK256" s="347">
        <f t="shared" si="90"/>
        <v>256</v>
      </c>
      <c r="AL256" s="348">
        <f t="shared" si="104"/>
        <v>257</v>
      </c>
      <c r="AM256" s="347">
        <f t="shared" si="105"/>
        <v>1</v>
      </c>
      <c r="AN256" s="382">
        <f>IF(AND(AH256&gt;0,B256&lt;&gt;""),VLOOKUP(I256,'AUX-NIV2'!$B:$AP,40,FALSE)*O256,0)</f>
        <v>0.15497142857142859</v>
      </c>
      <c r="AO256" s="382">
        <f t="shared" si="91"/>
        <v>0.34032142857142861</v>
      </c>
      <c r="AQ256" s="395">
        <f>(IF($H256="x",VLOOKUP($I256,'AUX-NIV2'!$B:$X,'AUX-NIV1'!AQ$3,FALSE),0)+($AV256*'AUX-NIV3'!S$4))*$O256+IF($H256=AQ$4,$P256,0)</f>
        <v>34.496726728366006</v>
      </c>
      <c r="AR256" s="395">
        <f>(IF($H256="x",VLOOKUP($I256,'AUX-NIV2'!$B:$X,'AUX-NIV1'!AR$3,FALSE),0)+($AV256*'AUX-NIV3'!T$4))*$O256+IF($H256=AR$4,$P256,0)</f>
        <v>298.34232652930376</v>
      </c>
      <c r="AS256" s="395">
        <f>(IF($H256="x",VLOOKUP($I256,'AUX-NIV2'!$B:$X,'AUX-NIV1'!AS$3,FALSE),0)+($AV256*'AUX-NIV3'!U$4))*$O256+IF($H256=AS$4,$P256,0)</f>
        <v>0.52614354669104191</v>
      </c>
      <c r="AT256" s="395">
        <f>(IF($H256="x",VLOOKUP($I256,'AUX-NIV2'!$B:$X,'AUX-NIV1'!AT$3,FALSE),0)+($AV256*'AUX-NIV3'!V$4))*$O256+IF($H256=AT$4,$P256,0)</f>
        <v>0</v>
      </c>
      <c r="AU256" s="395">
        <f>(IF($H256="x",VLOOKUP($I256,'AUX-NIV2'!$B:$X,'AUX-NIV1'!AU$3,FALSE),0)+($AV256*'AUX-NIV3'!W$4))*$O256+IF($H256=AU$4,$P256,0)</f>
        <v>1.0285714285714287</v>
      </c>
      <c r="AV256" s="395">
        <f>+IF($H256="x",VLOOKUP($I256,'AUX-NIV2'!$B:$X,'AUX-NIV1'!AV$3,FALSE),0)</f>
        <v>208.35324800272551</v>
      </c>
    </row>
    <row r="257" spans="2:48" ht="14.4" hidden="1" thickTop="1" thickBot="1">
      <c r="B257" s="1296" t="s">
        <v>1486</v>
      </c>
      <c r="C257" s="1282" t="s">
        <v>1357</v>
      </c>
      <c r="D257" s="1280" t="s">
        <v>1160</v>
      </c>
      <c r="E257" s="1314">
        <f>IF(B257&lt;&gt;"",+SUMIF(Items!C:C,'AUX-NIV1'!B257,Items!H:H),"")</f>
        <v>0</v>
      </c>
      <c r="F257" s="1314">
        <f t="shared" si="81"/>
        <v>1028.3573222393109</v>
      </c>
      <c r="G257" s="1314">
        <f t="shared" si="82"/>
        <v>0</v>
      </c>
      <c r="H257" s="1396" t="str">
        <f t="shared" si="92"/>
        <v>X</v>
      </c>
      <c r="I257" s="1375" t="s">
        <v>1487</v>
      </c>
      <c r="J257" s="1283" t="str">
        <f>IF(B257&lt;&gt;"",+VLOOKUP(I257,Recursos!C:F,2,FALSE),"")</f>
        <v>Base granular</v>
      </c>
      <c r="K257" s="1298" t="str">
        <f>IF(B257&lt;&gt;"",+VLOOKUP(I257,Recursos!C:F,3,FALSE),"")</f>
        <v>m3</v>
      </c>
      <c r="L257" s="1281">
        <f>IF(B257&lt;&gt;"",+VLOOKUP(I257,Recursos!C:F,4,FALSE),"")</f>
        <v>693.96355400637856</v>
      </c>
      <c r="M257" s="1297">
        <v>1</v>
      </c>
      <c r="N257" s="1297"/>
      <c r="O257" s="1299">
        <f>+M257</f>
        <v>1</v>
      </c>
      <c r="P257" s="1300">
        <f t="shared" si="93"/>
        <v>693.96355400637856</v>
      </c>
      <c r="Q257" s="1281">
        <f t="shared" si="94"/>
        <v>0</v>
      </c>
      <c r="R257" s="1288">
        <f t="shared" si="95"/>
        <v>0</v>
      </c>
      <c r="S257" s="1301">
        <f t="shared" si="83"/>
        <v>0</v>
      </c>
      <c r="T257" s="1301">
        <f t="shared" si="84"/>
        <v>0</v>
      </c>
      <c r="U257" s="1302">
        <f t="shared" si="85"/>
        <v>0</v>
      </c>
      <c r="V257" s="1302">
        <f t="shared" si="86"/>
        <v>0</v>
      </c>
      <c r="W257" s="1302">
        <f t="shared" si="87"/>
        <v>0</v>
      </c>
      <c r="X257" s="1302">
        <f t="shared" si="88"/>
        <v>1028.3573222393109</v>
      </c>
      <c r="Z257" s="1303" t="str">
        <f t="shared" si="96"/>
        <v>X-BBASEA</v>
      </c>
      <c r="AA257" s="1303" t="str">
        <f t="shared" si="97"/>
        <v>X-BBASEE</v>
      </c>
      <c r="AB257" s="1303" t="str">
        <f t="shared" si="98"/>
        <v>X-BBASEM</v>
      </c>
      <c r="AC257" s="1303" t="str">
        <f t="shared" si="99"/>
        <v>X-BBASET</v>
      </c>
      <c r="AD257" s="1303" t="str">
        <f t="shared" si="100"/>
        <v>X-BBASES</v>
      </c>
      <c r="AE257" s="1303" t="str">
        <f t="shared" si="101"/>
        <v>X-BBASEX</v>
      </c>
      <c r="AF257" s="1303" t="str">
        <f t="shared" si="102"/>
        <v>X-BBASEX</v>
      </c>
      <c r="AG257" s="1303">
        <f t="shared" si="89"/>
        <v>2</v>
      </c>
      <c r="AH257" s="1303">
        <f>IF(B257&lt;&gt;"",+IF(H257="x",+VLOOKUP(I257,'AUX-NIV2'!B:AG,32,FALSE),0),"")</f>
        <v>8</v>
      </c>
      <c r="AI257" s="1303" t="str">
        <f t="shared" si="103"/>
        <v>X-BBASE</v>
      </c>
      <c r="AK257" s="347">
        <f t="shared" si="90"/>
        <v>256</v>
      </c>
      <c r="AL257" s="348">
        <f t="shared" si="104"/>
        <v>257</v>
      </c>
      <c r="AM257" s="347">
        <f t="shared" si="105"/>
        <v>2</v>
      </c>
      <c r="AN257" s="382">
        <f>IF(AND(AH257&gt;0,B257&lt;&gt;""),VLOOKUP(I257,'AUX-NIV2'!$B:$AP,40,FALSE)*O257,0)</f>
        <v>0.18535000000000001</v>
      </c>
      <c r="AO257" s="382">
        <f t="shared" si="91"/>
        <v>0.34032142857142861</v>
      </c>
      <c r="AQ257" s="395">
        <f>(IF($H257="x",VLOOKUP($I257,'AUX-NIV2'!$B:$X,'AUX-NIV1'!AQ$3,FALSE),0)+($AV257*'AUX-NIV3'!S$4))*$O257+IF($H257=AQ$4,$P257,0)</f>
        <v>71.811548750401982</v>
      </c>
      <c r="AR257" s="395">
        <f>(IF($H257="x",VLOOKUP($I257,'AUX-NIV2'!$B:$X,'AUX-NIV1'!AR$3,FALSE),0)+($AV257*'AUX-NIV3'!T$4))*$O257+IF($H257=AR$4,$P257,0)</f>
        <v>621.05673661642061</v>
      </c>
      <c r="AS257" s="395">
        <f>(IF($H257="x",VLOOKUP($I257,'AUX-NIV2'!$B:$X,'AUX-NIV1'!AS$3,FALSE),0)+($AV257*'AUX-NIV3'!U$4))*$O257+IF($H257=AS$4,$P257,0)</f>
        <v>1.0952686395560178</v>
      </c>
      <c r="AT257" s="395">
        <f>(IF($H257="x",VLOOKUP($I257,'AUX-NIV2'!$B:$X,'AUX-NIV1'!AT$3,FALSE),0)+($AV257*'AUX-NIV3'!V$4))*$O257+IF($H257=AT$4,$P257,0)</f>
        <v>0</v>
      </c>
      <c r="AU257" s="395">
        <f>(IF($H257="x",VLOOKUP($I257,'AUX-NIV2'!$B:$X,'AUX-NIV1'!AU$3,FALSE),0)+($AV257*'AUX-NIV3'!W$4))*$O257+IF($H257=AU$4,$P257,0)</f>
        <v>0</v>
      </c>
      <c r="AV257" s="395">
        <f>+IF($H257="x",VLOOKUP($I257,'AUX-NIV2'!$B:$X,'AUX-NIV1'!AV$3,FALSE),0)</f>
        <v>693.96355400637856</v>
      </c>
    </row>
    <row r="258" spans="2:48" ht="14.4" hidden="1" thickTop="1" thickBot="1">
      <c r="B258" s="324" t="s">
        <v>103</v>
      </c>
      <c r="C258" s="325" t="s">
        <v>178</v>
      </c>
      <c r="D258" s="326" t="s">
        <v>1160</v>
      </c>
      <c r="E258" s="349">
        <f>IF(B258&lt;&gt;"",+SUMIF(Items!C:C,'AUX-NIV1'!B258,Items!H:H),"")</f>
        <v>0</v>
      </c>
      <c r="F258" s="349">
        <f t="shared" si="81"/>
        <v>415202.35478794592</v>
      </c>
      <c r="G258" s="349">
        <f t="shared" si="82"/>
        <v>0</v>
      </c>
      <c r="H258" s="1395" t="str">
        <f t="shared" si="92"/>
        <v>S</v>
      </c>
      <c r="I258" s="1375" t="s">
        <v>181</v>
      </c>
      <c r="J258" s="350" t="str">
        <f>IF(B258&lt;&gt;"",+VLOOKUP(I258,Recursos!C:F,2,FALSE),"")</f>
        <v>DESMOCHE DE PILOTES</v>
      </c>
      <c r="K258" s="351" t="str">
        <f>IF(B258&lt;&gt;"",+VLOOKUP(I258,Recursos!C:F,3,FALSE),"")</f>
        <v>$/M3</v>
      </c>
      <c r="L258" s="349">
        <f>IF(B258&lt;&gt;"",+VLOOKUP(I258,Recursos!C:F,4,FALSE),"")</f>
        <v>250</v>
      </c>
      <c r="M258" s="331">
        <v>1</v>
      </c>
      <c r="N258" s="331">
        <v>1</v>
      </c>
      <c r="O258" s="362">
        <v>1</v>
      </c>
      <c r="P258" s="352">
        <f t="shared" si="93"/>
        <v>250</v>
      </c>
      <c r="Q258" s="349">
        <f t="shared" si="94"/>
        <v>0</v>
      </c>
      <c r="R258" s="353">
        <f t="shared" si="95"/>
        <v>0</v>
      </c>
      <c r="S258" s="354">
        <f t="shared" si="83"/>
        <v>0</v>
      </c>
      <c r="T258" s="354">
        <f t="shared" si="84"/>
        <v>0</v>
      </c>
      <c r="U258" s="355">
        <f t="shared" si="85"/>
        <v>0</v>
      </c>
      <c r="V258" s="355">
        <f t="shared" si="86"/>
        <v>0</v>
      </c>
      <c r="W258" s="355">
        <f t="shared" si="87"/>
        <v>345250</v>
      </c>
      <c r="X258" s="355">
        <f t="shared" si="88"/>
        <v>69952.354787945951</v>
      </c>
      <c r="Y258" s="396"/>
      <c r="Z258" s="346" t="str">
        <f t="shared" si="96"/>
        <v>0-HORMH21scA</v>
      </c>
      <c r="AA258" s="346" t="str">
        <f t="shared" si="97"/>
        <v>0-HORMH21scE</v>
      </c>
      <c r="AB258" s="346" t="str">
        <f t="shared" si="98"/>
        <v>0-HORMH21scM</v>
      </c>
      <c r="AC258" s="346" t="str">
        <f t="shared" si="99"/>
        <v>0-HORMH21scT</v>
      </c>
      <c r="AD258" s="346" t="str">
        <f t="shared" si="100"/>
        <v>0-HORMH21scS</v>
      </c>
      <c r="AE258" s="346" t="str">
        <f t="shared" si="101"/>
        <v>0-HORMH21scX</v>
      </c>
      <c r="AF258" s="346" t="str">
        <f t="shared" si="102"/>
        <v>0-HORMH21scS</v>
      </c>
      <c r="AG258" s="346">
        <f t="shared" si="89"/>
        <v>9</v>
      </c>
      <c r="AH258" s="346">
        <f>IF(B258&lt;&gt;"",+IF(H258="x",+VLOOKUP(I258,'AUX-NIV2'!B:AG,32,FALSE),0),"")</f>
        <v>0</v>
      </c>
      <c r="AI258" s="346" t="str">
        <f t="shared" si="103"/>
        <v>0-HORMH21sc</v>
      </c>
      <c r="AK258" s="347">
        <f t="shared" si="90"/>
        <v>258</v>
      </c>
      <c r="AL258" s="348">
        <f t="shared" si="104"/>
        <v>266</v>
      </c>
      <c r="AM258" s="347">
        <f>IF(B258&lt;&gt;"",IF(B258=B251,1+AM251,1),"")</f>
        <v>1</v>
      </c>
      <c r="AN258" s="382">
        <f>IF(AND(AH258&gt;0,B258&lt;&gt;""),VLOOKUP(I258,'AUX-NIV2'!$B:$AP,40,FALSE)*O258,0)</f>
        <v>0</v>
      </c>
      <c r="AO258" s="382">
        <f t="shared" si="91"/>
        <v>73.501351149206357</v>
      </c>
      <c r="AQ258" s="395">
        <f>(IF($H258="x",VLOOKUP($I258,'AUX-NIV2'!$B:$X,'AUX-NIV1'!AQ$3,FALSE),0)+($AV258*'AUX-NIV3'!S$4))*$O258+IF($H258=AQ$4,$P258,0)</f>
        <v>0</v>
      </c>
      <c r="AR258" s="395">
        <f>(IF($H258="x",VLOOKUP($I258,'AUX-NIV2'!$B:$X,'AUX-NIV1'!AR$3,FALSE),0)+($AV258*'AUX-NIV3'!T$4))*$O258+IF($H258=AR$4,$P258,0)</f>
        <v>0</v>
      </c>
      <c r="AS258" s="395">
        <f>(IF($H258="x",VLOOKUP($I258,'AUX-NIV2'!$B:$X,'AUX-NIV1'!AS$3,FALSE),0)+($AV258*'AUX-NIV3'!U$4))*$O258+IF($H258=AS$4,$P258,0)</f>
        <v>0</v>
      </c>
      <c r="AT258" s="395">
        <f>(IF($H258="x",VLOOKUP($I258,'AUX-NIV2'!$B:$X,'AUX-NIV1'!AT$3,FALSE),0)+($AV258*'AUX-NIV3'!V$4))*$O258+IF($H258=AT$4,$P258,0)</f>
        <v>0</v>
      </c>
      <c r="AU258" s="395">
        <f>(IF($H258="x",VLOOKUP($I258,'AUX-NIV2'!$B:$X,'AUX-NIV1'!AU$3,FALSE),0)+($AV258*'AUX-NIV3'!W$4))*$O258+IF($H258=AU$4,$P258,0)</f>
        <v>250</v>
      </c>
      <c r="AV258" s="395">
        <f>+IF($H258="x",VLOOKUP($I258,'AUX-NIV2'!$B:$X,'AUX-NIV1'!AV$3,FALSE),0)</f>
        <v>0</v>
      </c>
    </row>
    <row r="259" spans="2:48" ht="14.4" hidden="1" thickTop="1" thickBot="1">
      <c r="B259" s="324" t="s">
        <v>103</v>
      </c>
      <c r="C259" s="325" t="s">
        <v>178</v>
      </c>
      <c r="D259" s="326" t="s">
        <v>1160</v>
      </c>
      <c r="E259" s="349">
        <f>IF(B259&lt;&gt;"",+SUMIF(Items!C:C,'AUX-NIV1'!B259,Items!H:H),"")</f>
        <v>0</v>
      </c>
      <c r="F259" s="349">
        <f t="shared" si="81"/>
        <v>415202.35478794592</v>
      </c>
      <c r="G259" s="349">
        <f t="shared" si="82"/>
        <v>0</v>
      </c>
      <c r="H259" s="1395" t="str">
        <f t="shared" si="92"/>
        <v>S</v>
      </c>
      <c r="I259" s="1375" t="s">
        <v>182</v>
      </c>
      <c r="J259" s="350" t="str">
        <f>IF(B259&lt;&gt;"",+VLOOKUP(I259,Recursos!C:F,2,FALSE),"")</f>
        <v>PRUEBA DE CARGA PILOTES</v>
      </c>
      <c r="K259" s="351" t="str">
        <f>IF(B259&lt;&gt;"",+VLOOKUP(I259,Recursos!C:F,3,FALSE),"")</f>
        <v>$/M3</v>
      </c>
      <c r="L259" s="349">
        <f>IF(B259&lt;&gt;"",+VLOOKUP(I259,Recursos!C:F,4,FALSE),"")</f>
        <v>100</v>
      </c>
      <c r="M259" s="331">
        <v>3000</v>
      </c>
      <c r="N259" s="331">
        <v>1.1499999999999999</v>
      </c>
      <c r="O259" s="362">
        <v>3450</v>
      </c>
      <c r="P259" s="352">
        <f t="shared" si="93"/>
        <v>345000</v>
      </c>
      <c r="Q259" s="349">
        <f t="shared" si="94"/>
        <v>0</v>
      </c>
      <c r="R259" s="353">
        <f t="shared" si="95"/>
        <v>0</v>
      </c>
      <c r="S259" s="354">
        <f t="shared" si="83"/>
        <v>0</v>
      </c>
      <c r="T259" s="354">
        <f t="shared" si="84"/>
        <v>0</v>
      </c>
      <c r="U259" s="355">
        <f t="shared" si="85"/>
        <v>0</v>
      </c>
      <c r="V259" s="355">
        <f t="shared" si="86"/>
        <v>0</v>
      </c>
      <c r="W259" s="355">
        <f t="shared" si="87"/>
        <v>345250</v>
      </c>
      <c r="X259" s="355">
        <f t="shared" si="88"/>
        <v>69952.354787945951</v>
      </c>
      <c r="Y259" s="396"/>
      <c r="Z259" s="346" t="str">
        <f t="shared" si="96"/>
        <v>0-HORMH21scA</v>
      </c>
      <c r="AA259" s="346" t="str">
        <f t="shared" si="97"/>
        <v>0-HORMH21scE</v>
      </c>
      <c r="AB259" s="346" t="str">
        <f t="shared" si="98"/>
        <v>0-HORMH21scM</v>
      </c>
      <c r="AC259" s="346" t="str">
        <f t="shared" si="99"/>
        <v>0-HORMH21scT</v>
      </c>
      <c r="AD259" s="346" t="str">
        <f t="shared" si="100"/>
        <v>0-HORMH21scS</v>
      </c>
      <c r="AE259" s="346" t="str">
        <f t="shared" si="101"/>
        <v>0-HORMH21scX</v>
      </c>
      <c r="AF259" s="346" t="str">
        <f t="shared" si="102"/>
        <v>0-HORMH21scS</v>
      </c>
      <c r="AG259" s="346">
        <f t="shared" si="89"/>
        <v>9</v>
      </c>
      <c r="AH259" s="346">
        <f>IF(B259&lt;&gt;"",+IF(H259="x",+VLOOKUP(I259,'AUX-NIV2'!B:AG,32,FALSE),0),"")</f>
        <v>0</v>
      </c>
      <c r="AI259" s="346" t="str">
        <f t="shared" si="103"/>
        <v>0-HORMH21sc</v>
      </c>
      <c r="AK259" s="347">
        <f t="shared" si="90"/>
        <v>258</v>
      </c>
      <c r="AL259" s="348">
        <f t="shared" si="104"/>
        <v>266</v>
      </c>
      <c r="AM259" s="347">
        <f t="shared" si="105"/>
        <v>2</v>
      </c>
      <c r="AN259" s="382">
        <f>IF(AND(AH259&gt;0,B259&lt;&gt;""),VLOOKUP(I259,'AUX-NIV2'!$B:$AP,40,FALSE)*O259,0)</f>
        <v>0</v>
      </c>
      <c r="AO259" s="382">
        <f t="shared" si="91"/>
        <v>73.501351149206357</v>
      </c>
      <c r="AQ259" s="395">
        <f>(IF($H259="x",VLOOKUP($I259,'AUX-NIV2'!$B:$X,'AUX-NIV1'!AQ$3,FALSE),0)+($AV259*'AUX-NIV3'!S$4))*$O259+IF($H259=AQ$4,$P259,0)</f>
        <v>0</v>
      </c>
      <c r="AR259" s="395">
        <f>(IF($H259="x",VLOOKUP($I259,'AUX-NIV2'!$B:$X,'AUX-NIV1'!AR$3,FALSE),0)+($AV259*'AUX-NIV3'!T$4))*$O259+IF($H259=AR$4,$P259,0)</f>
        <v>0</v>
      </c>
      <c r="AS259" s="395">
        <f>(IF($H259="x",VLOOKUP($I259,'AUX-NIV2'!$B:$X,'AUX-NIV1'!AS$3,FALSE),0)+($AV259*'AUX-NIV3'!U$4))*$O259+IF($H259=AS$4,$P259,0)</f>
        <v>0</v>
      </c>
      <c r="AT259" s="395">
        <f>(IF($H259="x",VLOOKUP($I259,'AUX-NIV2'!$B:$X,'AUX-NIV1'!AT$3,FALSE),0)+($AV259*'AUX-NIV3'!V$4))*$O259+IF($H259=AT$4,$P259,0)</f>
        <v>0</v>
      </c>
      <c r="AU259" s="395">
        <f>(IF($H259="x",VLOOKUP($I259,'AUX-NIV2'!$B:$X,'AUX-NIV1'!AU$3,FALSE),0)+($AV259*'AUX-NIV3'!W$4))*$O259+IF($H259=AU$4,$P259,0)</f>
        <v>345000</v>
      </c>
      <c r="AV259" s="395">
        <f>+IF($H259="x",VLOOKUP($I259,'AUX-NIV2'!$B:$X,'AUX-NIV1'!AV$3,FALSE),0)</f>
        <v>0</v>
      </c>
    </row>
    <row r="260" spans="2:48" ht="14.4" hidden="1" thickTop="1" thickBot="1">
      <c r="B260" s="324" t="s">
        <v>103</v>
      </c>
      <c r="C260" s="325" t="s">
        <v>178</v>
      </c>
      <c r="D260" s="326" t="s">
        <v>1160</v>
      </c>
      <c r="E260" s="349">
        <f>IF(B260&lt;&gt;"",+SUMIF(Items!C:C,'AUX-NIV1'!B260,Items!H:H),"")</f>
        <v>0</v>
      </c>
      <c r="F260" s="349">
        <f t="shared" si="81"/>
        <v>415202.35478794592</v>
      </c>
      <c r="G260" s="349">
        <f t="shared" si="82"/>
        <v>0</v>
      </c>
      <c r="H260" s="1395" t="str">
        <f t="shared" si="92"/>
        <v>X</v>
      </c>
      <c r="I260" s="1375" t="s">
        <v>1253</v>
      </c>
      <c r="J260" s="350" t="str">
        <f>IF(B260&lt;&gt;"",+VLOOKUP(I260,Recursos!C:F,2,FALSE),"")</f>
        <v>Obt-Transp. de Agua p/Hormigones</v>
      </c>
      <c r="K260" s="351" t="str">
        <f>IF(B260&lt;&gt;"",+VLOOKUP(I260,Recursos!C:F,3,FALSE),"")</f>
        <v>m3</v>
      </c>
      <c r="L260" s="349">
        <f>IF(B260&lt;&gt;"",+VLOOKUP(I260,Recursos!C:F,4,FALSE),"")</f>
        <v>352.16492140392978</v>
      </c>
      <c r="M260" s="331">
        <v>1</v>
      </c>
      <c r="N260" s="331">
        <v>0</v>
      </c>
      <c r="O260" s="362">
        <v>0</v>
      </c>
      <c r="P260" s="352">
        <f t="shared" si="93"/>
        <v>0</v>
      </c>
      <c r="Q260" s="349">
        <f t="shared" si="94"/>
        <v>0</v>
      </c>
      <c r="R260" s="353">
        <f t="shared" si="95"/>
        <v>0</v>
      </c>
      <c r="S260" s="354">
        <f t="shared" si="83"/>
        <v>0</v>
      </c>
      <c r="T260" s="354">
        <f t="shared" si="84"/>
        <v>0</v>
      </c>
      <c r="U260" s="355">
        <f t="shared" si="85"/>
        <v>0</v>
      </c>
      <c r="V260" s="355">
        <f t="shared" si="86"/>
        <v>0</v>
      </c>
      <c r="W260" s="355">
        <f t="shared" si="87"/>
        <v>345250</v>
      </c>
      <c r="X260" s="355">
        <f t="shared" si="88"/>
        <v>69952.354787945951</v>
      </c>
      <c r="Y260" s="396"/>
      <c r="Z260" s="346" t="str">
        <f t="shared" si="96"/>
        <v>0-HORMH21scA</v>
      </c>
      <c r="AA260" s="346" t="str">
        <f t="shared" si="97"/>
        <v>0-HORMH21scE</v>
      </c>
      <c r="AB260" s="346" t="str">
        <f t="shared" si="98"/>
        <v>0-HORMH21scM</v>
      </c>
      <c r="AC260" s="346" t="str">
        <f t="shared" si="99"/>
        <v>0-HORMH21scT</v>
      </c>
      <c r="AD260" s="346" t="str">
        <f t="shared" si="100"/>
        <v>0-HORMH21scS</v>
      </c>
      <c r="AE260" s="346" t="str">
        <f t="shared" si="101"/>
        <v>0-HORMH21scX</v>
      </c>
      <c r="AF260" s="346" t="str">
        <f t="shared" si="102"/>
        <v>0-HORMH21scX</v>
      </c>
      <c r="AG260" s="346">
        <f t="shared" si="89"/>
        <v>9</v>
      </c>
      <c r="AH260" s="346">
        <f>IF(B260&lt;&gt;"",+IF(H260="x",+VLOOKUP(I260,'AUX-NIV2'!B:AG,32,FALSE),0),"")</f>
        <v>7</v>
      </c>
      <c r="AI260" s="346" t="str">
        <f t="shared" si="103"/>
        <v>0-HORMH21sc</v>
      </c>
      <c r="AK260" s="347">
        <f t="shared" si="90"/>
        <v>258</v>
      </c>
      <c r="AL260" s="348">
        <f t="shared" si="104"/>
        <v>266</v>
      </c>
      <c r="AM260" s="347">
        <f t="shared" si="105"/>
        <v>3</v>
      </c>
      <c r="AN260" s="382">
        <f>IF(AND(AH260&gt;0,B260&lt;&gt;""),VLOOKUP(I260,'AUX-NIV2'!$B:$AP,40,FALSE)*O260,0)</f>
        <v>0</v>
      </c>
      <c r="AO260" s="382">
        <f t="shared" si="91"/>
        <v>73.501351149206357</v>
      </c>
      <c r="AQ260" s="395">
        <f>(IF($H260="x",VLOOKUP($I260,'AUX-NIV2'!$B:$X,'AUX-NIV1'!AQ$3,FALSE),0)+($AV260*'AUX-NIV3'!S$4))*$O260+IF($H260=AQ$4,$P260,0)</f>
        <v>0</v>
      </c>
      <c r="AR260" s="395">
        <f>(IF($H260="x",VLOOKUP($I260,'AUX-NIV2'!$B:$X,'AUX-NIV1'!AR$3,FALSE),0)+($AV260*'AUX-NIV3'!T$4))*$O260+IF($H260=AR$4,$P260,0)</f>
        <v>0</v>
      </c>
      <c r="AS260" s="395">
        <f>(IF($H260="x",VLOOKUP($I260,'AUX-NIV2'!$B:$X,'AUX-NIV1'!AS$3,FALSE),0)+($AV260*'AUX-NIV3'!U$4))*$O260+IF($H260=AS$4,$P260,0)</f>
        <v>0</v>
      </c>
      <c r="AT260" s="395">
        <f>(IF($H260="x",VLOOKUP($I260,'AUX-NIV2'!$B:$X,'AUX-NIV1'!AT$3,FALSE),0)+($AV260*'AUX-NIV3'!V$4))*$O260+IF($H260=AT$4,$P260,0)</f>
        <v>0</v>
      </c>
      <c r="AU260" s="395">
        <f>(IF($H260="x",VLOOKUP($I260,'AUX-NIV2'!$B:$X,'AUX-NIV1'!AU$3,FALSE),0)+($AV260*'AUX-NIV3'!W$4))*$O260+IF($H260=AU$4,$P260,0)</f>
        <v>0</v>
      </c>
      <c r="AV260" s="395">
        <f>+IF($H260="x",VLOOKUP($I260,'AUX-NIV2'!$B:$X,'AUX-NIV1'!AV$3,FALSE),0)</f>
        <v>0</v>
      </c>
    </row>
    <row r="261" spans="2:48" ht="14.4" hidden="1" thickTop="1" thickBot="1">
      <c r="B261" s="324" t="s">
        <v>103</v>
      </c>
      <c r="C261" s="325" t="s">
        <v>178</v>
      </c>
      <c r="D261" s="326" t="s">
        <v>1160</v>
      </c>
      <c r="E261" s="349">
        <f>IF(B261&lt;&gt;"",+SUMIF(Items!C:C,'AUX-NIV1'!B261,Items!H:H),"")</f>
        <v>0</v>
      </c>
      <c r="F261" s="349">
        <f t="shared" si="81"/>
        <v>415202.35478794592</v>
      </c>
      <c r="G261" s="349">
        <f t="shared" si="82"/>
        <v>0</v>
      </c>
      <c r="H261" s="1395" t="str">
        <f t="shared" si="92"/>
        <v>X</v>
      </c>
      <c r="I261" s="1375" t="s">
        <v>1255</v>
      </c>
      <c r="J261" s="350" t="str">
        <f>IF(B261&lt;&gt;"",+VLOOKUP(I261,Recursos!C:F,2,FALSE),"")</f>
        <v>Colado de Hgón Elaborado con mixer</v>
      </c>
      <c r="K261" s="351" t="str">
        <f>IF(B261&lt;&gt;"",+VLOOKUP(I261,Recursos!C:F,3,FALSE),"")</f>
        <v>m3</v>
      </c>
      <c r="L261" s="349">
        <f>IF(B261&lt;&gt;"",+VLOOKUP(I261,Recursos!C:F,4,FALSE),"")</f>
        <v>699.62883343063208</v>
      </c>
      <c r="M261" s="331">
        <v>1</v>
      </c>
      <c r="N261" s="331">
        <v>0</v>
      </c>
      <c r="O261" s="362">
        <v>0</v>
      </c>
      <c r="P261" s="352">
        <f t="shared" si="93"/>
        <v>0</v>
      </c>
      <c r="Q261" s="349">
        <f t="shared" si="94"/>
        <v>0</v>
      </c>
      <c r="R261" s="353">
        <f t="shared" si="95"/>
        <v>0</v>
      </c>
      <c r="S261" s="354">
        <f t="shared" si="83"/>
        <v>0</v>
      </c>
      <c r="T261" s="354">
        <f t="shared" si="84"/>
        <v>0</v>
      </c>
      <c r="U261" s="355">
        <f t="shared" si="85"/>
        <v>0</v>
      </c>
      <c r="V261" s="355">
        <f t="shared" si="86"/>
        <v>0</v>
      </c>
      <c r="W261" s="355">
        <f t="shared" si="87"/>
        <v>345250</v>
      </c>
      <c r="X261" s="355">
        <f t="shared" si="88"/>
        <v>69952.354787945951</v>
      </c>
      <c r="Y261" s="396"/>
      <c r="Z261" s="346" t="str">
        <f t="shared" si="96"/>
        <v>0-HORMH21scA</v>
      </c>
      <c r="AA261" s="346" t="str">
        <f t="shared" si="97"/>
        <v>0-HORMH21scE</v>
      </c>
      <c r="AB261" s="346" t="str">
        <f t="shared" si="98"/>
        <v>0-HORMH21scM</v>
      </c>
      <c r="AC261" s="346" t="str">
        <f t="shared" si="99"/>
        <v>0-HORMH21scT</v>
      </c>
      <c r="AD261" s="346" t="str">
        <f t="shared" si="100"/>
        <v>0-HORMH21scS</v>
      </c>
      <c r="AE261" s="346" t="str">
        <f t="shared" si="101"/>
        <v>0-HORMH21scX</v>
      </c>
      <c r="AF261" s="346" t="str">
        <f t="shared" si="102"/>
        <v>0-HORMH21scX</v>
      </c>
      <c r="AG261" s="346">
        <f t="shared" si="89"/>
        <v>9</v>
      </c>
      <c r="AH261" s="346">
        <f>IF(B261&lt;&gt;"",+IF(H261="x",+VLOOKUP(I261,'AUX-NIV2'!B:AG,32,FALSE),0),"")</f>
        <v>9</v>
      </c>
      <c r="AI261" s="346" t="str">
        <f t="shared" si="103"/>
        <v>0-HORMH21sc</v>
      </c>
      <c r="AK261" s="347">
        <f t="shared" si="90"/>
        <v>258</v>
      </c>
      <c r="AL261" s="348">
        <f t="shared" si="104"/>
        <v>266</v>
      </c>
      <c r="AM261" s="347">
        <f t="shared" si="105"/>
        <v>4</v>
      </c>
      <c r="AN261" s="382">
        <f>IF(AND(AH261&gt;0,B261&lt;&gt;""),VLOOKUP(I261,'AUX-NIV2'!$B:$AP,40,FALSE)*O261,0)</f>
        <v>0</v>
      </c>
      <c r="AO261" s="382">
        <f t="shared" si="91"/>
        <v>73.501351149206357</v>
      </c>
      <c r="AQ261" s="395">
        <f>(IF($H261="x",VLOOKUP($I261,'AUX-NIV2'!$B:$X,'AUX-NIV1'!AQ$3,FALSE),0)+($AV261*'AUX-NIV3'!S$4))*$O261+IF($H261=AQ$4,$P261,0)</f>
        <v>0</v>
      </c>
      <c r="AR261" s="395">
        <f>(IF($H261="x",VLOOKUP($I261,'AUX-NIV2'!$B:$X,'AUX-NIV1'!AR$3,FALSE),0)+($AV261*'AUX-NIV3'!T$4))*$O261+IF($H261=AR$4,$P261,0)</f>
        <v>0</v>
      </c>
      <c r="AS261" s="395">
        <f>(IF($H261="x",VLOOKUP($I261,'AUX-NIV2'!$B:$X,'AUX-NIV1'!AS$3,FALSE),0)+($AV261*'AUX-NIV3'!U$4))*$O261+IF($H261=AS$4,$P261,0)</f>
        <v>0</v>
      </c>
      <c r="AT261" s="395">
        <f>(IF($H261="x",VLOOKUP($I261,'AUX-NIV2'!$B:$X,'AUX-NIV1'!AT$3,FALSE),0)+($AV261*'AUX-NIV3'!V$4))*$O261+IF($H261=AT$4,$P261,0)</f>
        <v>0</v>
      </c>
      <c r="AU261" s="395">
        <f>(IF($H261="x",VLOOKUP($I261,'AUX-NIV2'!$B:$X,'AUX-NIV1'!AU$3,FALSE),0)+($AV261*'AUX-NIV3'!W$4))*$O261+IF($H261=AU$4,$P261,0)</f>
        <v>0</v>
      </c>
      <c r="AV261" s="395">
        <f>+IF($H261="x",VLOOKUP($I261,'AUX-NIV2'!$B:$X,'AUX-NIV1'!AV$3,FALSE),0)</f>
        <v>0</v>
      </c>
    </row>
    <row r="262" spans="2:48" ht="14.4" hidden="1" thickTop="1" thickBot="1">
      <c r="B262" s="324" t="s">
        <v>103</v>
      </c>
      <c r="C262" s="325" t="s">
        <v>178</v>
      </c>
      <c r="D262" s="326" t="s">
        <v>1160</v>
      </c>
      <c r="E262" s="349">
        <f>IF(B262&lt;&gt;"",+SUMIF(Items!C:C,'AUX-NIV1'!B262,Items!H:H),"")</f>
        <v>0</v>
      </c>
      <c r="F262" s="349">
        <f t="shared" si="81"/>
        <v>415202.35478794592</v>
      </c>
      <c r="G262" s="349">
        <f t="shared" si="82"/>
        <v>0</v>
      </c>
      <c r="H262" s="1395" t="str">
        <f t="shared" si="92"/>
        <v>X</v>
      </c>
      <c r="I262" s="1375" t="s">
        <v>1264</v>
      </c>
      <c r="J262" s="350" t="str">
        <f>IF(B262&lt;&gt;"",+VLOOKUP(I262,Recursos!C:F,2,FALSE),"")</f>
        <v>Curado de estructuras de hgón.</v>
      </c>
      <c r="K262" s="351" t="str">
        <f>IF(B262&lt;&gt;"",+VLOOKUP(I262,Recursos!C:F,3,FALSE),"")</f>
        <v>m2</v>
      </c>
      <c r="L262" s="349">
        <f>IF(B262&lt;&gt;"",+VLOOKUP(I262,Recursos!C:F,4,FALSE),"")</f>
        <v>134.41940461611205</v>
      </c>
      <c r="M262" s="331">
        <v>180</v>
      </c>
      <c r="N262" s="331">
        <v>1.05</v>
      </c>
      <c r="O262" s="362">
        <v>189</v>
      </c>
      <c r="P262" s="352">
        <f t="shared" si="93"/>
        <v>25405.267472445175</v>
      </c>
      <c r="Q262" s="349">
        <f t="shared" si="94"/>
        <v>0</v>
      </c>
      <c r="R262" s="353">
        <f t="shared" si="95"/>
        <v>0</v>
      </c>
      <c r="S262" s="354">
        <f t="shared" si="83"/>
        <v>0</v>
      </c>
      <c r="T262" s="354">
        <f t="shared" si="84"/>
        <v>0</v>
      </c>
      <c r="U262" s="355">
        <f t="shared" si="85"/>
        <v>0</v>
      </c>
      <c r="V262" s="355">
        <f t="shared" si="86"/>
        <v>0</v>
      </c>
      <c r="W262" s="355">
        <f t="shared" si="87"/>
        <v>345250</v>
      </c>
      <c r="X262" s="355">
        <f t="shared" si="88"/>
        <v>69952.354787945951</v>
      </c>
      <c r="Y262" s="396"/>
      <c r="Z262" s="346" t="str">
        <f t="shared" si="96"/>
        <v>0-HORMH21scA</v>
      </c>
      <c r="AA262" s="346" t="str">
        <f t="shared" si="97"/>
        <v>0-HORMH21scE</v>
      </c>
      <c r="AB262" s="346" t="str">
        <f t="shared" si="98"/>
        <v>0-HORMH21scM</v>
      </c>
      <c r="AC262" s="346" t="str">
        <f t="shared" si="99"/>
        <v>0-HORMH21scT</v>
      </c>
      <c r="AD262" s="346" t="str">
        <f t="shared" si="100"/>
        <v>0-HORMH21scS</v>
      </c>
      <c r="AE262" s="346" t="str">
        <f t="shared" si="101"/>
        <v>0-HORMH21scX</v>
      </c>
      <c r="AF262" s="346" t="str">
        <f t="shared" si="102"/>
        <v>0-HORMH21scX</v>
      </c>
      <c r="AG262" s="346">
        <f t="shared" si="89"/>
        <v>9</v>
      </c>
      <c r="AH262" s="346">
        <f>IF(B262&lt;&gt;"",+IF(H262="x",+VLOOKUP(I262,'AUX-NIV2'!B:AG,32,FALSE),0),"")</f>
        <v>3</v>
      </c>
      <c r="AI262" s="346" t="str">
        <f t="shared" si="103"/>
        <v>0-HORMH21sc</v>
      </c>
      <c r="AK262" s="347">
        <f t="shared" si="90"/>
        <v>258</v>
      </c>
      <c r="AL262" s="348">
        <f t="shared" si="104"/>
        <v>266</v>
      </c>
      <c r="AM262" s="347">
        <f t="shared" si="105"/>
        <v>5</v>
      </c>
      <c r="AN262" s="382">
        <f>IF(AND(AH262&gt;0,B262&lt;&gt;""),VLOOKUP(I262,'AUX-NIV2'!$B:$AP,40,FALSE)*O262,0)</f>
        <v>31.5</v>
      </c>
      <c r="AO262" s="382">
        <f t="shared" si="91"/>
        <v>73.501351149206357</v>
      </c>
      <c r="AQ262" s="395">
        <f>(IF($H262="x",VLOOKUP($I262,'AUX-NIV2'!$B:$X,'AUX-NIV1'!AQ$3,FALSE),0)+($AV262*'AUX-NIV3'!S$4))*$O262+IF($H262=AQ$4,$P262,0)</f>
        <v>13308.133472445177</v>
      </c>
      <c r="AR262" s="395">
        <f>(IF($H262="x",VLOOKUP($I262,'AUX-NIV2'!$B:$X,'AUX-NIV1'!AR$3,FALSE),0)+($AV262*'AUX-NIV3'!T$4))*$O262+IF($H262=AR$4,$P262,0)</f>
        <v>0</v>
      </c>
      <c r="AS262" s="395">
        <f>(IF($H262="x",VLOOKUP($I262,'AUX-NIV2'!$B:$X,'AUX-NIV1'!AS$3,FALSE),0)+($AV262*'AUX-NIV3'!U$4))*$O262+IF($H262=AS$4,$P262,0)</f>
        <v>12097.134</v>
      </c>
      <c r="AT262" s="395">
        <f>(IF($H262="x",VLOOKUP($I262,'AUX-NIV2'!$B:$X,'AUX-NIV1'!AT$3,FALSE),0)+($AV262*'AUX-NIV3'!V$4))*$O262+IF($H262=AT$4,$P262,0)</f>
        <v>0</v>
      </c>
      <c r="AU262" s="395">
        <f>(IF($H262="x",VLOOKUP($I262,'AUX-NIV2'!$B:$X,'AUX-NIV1'!AU$3,FALSE),0)+($AV262*'AUX-NIV3'!W$4))*$O262+IF($H262=AU$4,$P262,0)</f>
        <v>0</v>
      </c>
      <c r="AV262" s="395">
        <f>+IF($H262="x",VLOOKUP($I262,'AUX-NIV2'!$B:$X,'AUX-NIV1'!AV$3,FALSE),0)</f>
        <v>0</v>
      </c>
    </row>
    <row r="263" spans="2:48" ht="14.4" hidden="1" thickTop="1" thickBot="1">
      <c r="B263" s="324" t="s">
        <v>103</v>
      </c>
      <c r="C263" s="325" t="s">
        <v>178</v>
      </c>
      <c r="D263" s="326" t="s">
        <v>1160</v>
      </c>
      <c r="E263" s="349">
        <f>IF(B263&lt;&gt;"",+SUMIF(Items!C:C,'AUX-NIV1'!B263,Items!H:H),"")</f>
        <v>0</v>
      </c>
      <c r="F263" s="349">
        <f t="shared" ref="F263:F326" si="150">IF(B263&lt;&gt;"",+SUMIF(B:B,B263,P:P),"")</f>
        <v>415202.35478794592</v>
      </c>
      <c r="G263" s="349">
        <f t="shared" ref="G263:G326" si="151">IF(B263&lt;&gt;"",+SUMIF(B:B,B263,R:R),"")</f>
        <v>0</v>
      </c>
      <c r="H263" s="1395" t="str">
        <f t="shared" si="92"/>
        <v>X</v>
      </c>
      <c r="I263" s="1375" t="s">
        <v>1251</v>
      </c>
      <c r="J263" s="350" t="str">
        <f>IF(B263&lt;&gt;"",+VLOOKUP(I263,Recursos!C:F,2,FALSE),"")</f>
        <v>Materiales Dosificación Hormigón H21</v>
      </c>
      <c r="K263" s="351" t="str">
        <f>IF(B263&lt;&gt;"",+VLOOKUP(I263,Recursos!C:F,3,FALSE),"")</f>
        <v>M3</v>
      </c>
      <c r="L263" s="349">
        <f>IF(B263&lt;&gt;"",+VLOOKUP(I263,Recursos!C:F,4,FALSE),"")</f>
        <v>716.31423187834969</v>
      </c>
      <c r="M263" s="331">
        <v>1</v>
      </c>
      <c r="N263" s="331">
        <v>1</v>
      </c>
      <c r="O263" s="362">
        <v>1</v>
      </c>
      <c r="P263" s="352">
        <f t="shared" si="93"/>
        <v>716.31423187834969</v>
      </c>
      <c r="Q263" s="349">
        <f t="shared" si="94"/>
        <v>0</v>
      </c>
      <c r="R263" s="353">
        <f t="shared" si="95"/>
        <v>0</v>
      </c>
      <c r="S263" s="354">
        <f t="shared" ref="S263:S326" si="152">IF(B263&lt;&gt;"",+SUMIF($AF:$AF,Z263,$P:$P),"")</f>
        <v>0</v>
      </c>
      <c r="T263" s="354">
        <f t="shared" ref="T263:T326" si="153">IF(B263&lt;&gt;"",+SUMIF($AF:$AF,AA263,$P:$P),"")</f>
        <v>0</v>
      </c>
      <c r="U263" s="355">
        <f t="shared" ref="U263:U326" si="154">IF(B263&lt;&gt;"",+SUMIF($AF:$AF,AB263,$P:$P),"")</f>
        <v>0</v>
      </c>
      <c r="V263" s="355">
        <f t="shared" ref="V263:V326" si="155">IF(B263&lt;&gt;"",+SUMIF($AF:$AF,AC263,$P:$P),"")</f>
        <v>0</v>
      </c>
      <c r="W263" s="355">
        <f t="shared" ref="W263:W326" si="156">IF(B263&lt;&gt;"",+SUMIF($AF:$AF,AD263,$P:$P),"")</f>
        <v>345250</v>
      </c>
      <c r="X263" s="355">
        <f t="shared" ref="X263:X326" si="157">IF(B263&lt;&gt;"",+SUMIF($AF:$AF,AE263,$P:$P),"")</f>
        <v>69952.354787945951</v>
      </c>
      <c r="Y263" s="396"/>
      <c r="Z263" s="346" t="str">
        <f t="shared" si="96"/>
        <v>0-HORMH21scA</v>
      </c>
      <c r="AA263" s="346" t="str">
        <f t="shared" si="97"/>
        <v>0-HORMH21scE</v>
      </c>
      <c r="AB263" s="346" t="str">
        <f t="shared" si="98"/>
        <v>0-HORMH21scM</v>
      </c>
      <c r="AC263" s="346" t="str">
        <f t="shared" si="99"/>
        <v>0-HORMH21scT</v>
      </c>
      <c r="AD263" s="346" t="str">
        <f t="shared" si="100"/>
        <v>0-HORMH21scS</v>
      </c>
      <c r="AE263" s="346" t="str">
        <f t="shared" si="101"/>
        <v>0-HORMH21scX</v>
      </c>
      <c r="AF263" s="346" t="str">
        <f t="shared" si="102"/>
        <v>0-HORMH21scX</v>
      </c>
      <c r="AG263" s="346">
        <f t="shared" ref="AG263:AG326" si="158">IF(B263&lt;&gt;"",+COUNTIF(B:B,B263),"")</f>
        <v>9</v>
      </c>
      <c r="AH263" s="346">
        <f>IF(B263&lt;&gt;"",+IF(H263="x",+VLOOKUP(I263,'AUX-NIV2'!B:AG,32,FALSE),0),"")</f>
        <v>13</v>
      </c>
      <c r="AI263" s="346" t="str">
        <f t="shared" si="103"/>
        <v>0-HORMH21sc</v>
      </c>
      <c r="AK263" s="347">
        <f t="shared" ref="AK263:AK326" si="159">IF(B263&lt;&gt;"",+MATCH(B263,B:B,0),"")</f>
        <v>258</v>
      </c>
      <c r="AL263" s="348">
        <f t="shared" si="104"/>
        <v>266</v>
      </c>
      <c r="AM263" s="347">
        <f t="shared" si="105"/>
        <v>6</v>
      </c>
      <c r="AN263" s="382">
        <f>IF(AND(AH263&gt;0,B263&lt;&gt;""),VLOOKUP(I263,'AUX-NIV2'!$B:$AP,40,FALSE)*O263,0)</f>
        <v>0.16858924444444445</v>
      </c>
      <c r="AO263" s="382">
        <f t="shared" ref="AO263:AO326" si="160">+IF(B263&lt;&gt;"",SUMIF(AF:AF,Z263,O:O)+SUMIF(Z:Z,Z263,AN:AN),0)</f>
        <v>73.501351149206357</v>
      </c>
      <c r="AQ263" s="395">
        <f>(IF($H263="x",VLOOKUP($I263,'AUX-NIV2'!$B:$X,'AUX-NIV1'!AQ$3,FALSE),0)+($AV263*'AUX-NIV3'!S$4))*$O263+IF($H263=AQ$4,$P263,0)</f>
        <v>88.669706154228336</v>
      </c>
      <c r="AR263" s="395">
        <f>(IF($H263="x",VLOOKUP($I263,'AUX-NIV2'!$B:$X,'AUX-NIV1'!AR$3,FALSE),0)+($AV263*'AUX-NIV3'!T$4))*$O263+IF($H263=AR$4,$P263,0)</f>
        <v>626.94252572412131</v>
      </c>
      <c r="AS263" s="395">
        <f>(IF($H263="x",VLOOKUP($I263,'AUX-NIV2'!$B:$X,'AUX-NIV1'!AS$3,FALSE),0)+($AV263*'AUX-NIV3'!U$4))*$O263+IF($H263=AS$4,$P263,0)</f>
        <v>0.70200000000000018</v>
      </c>
      <c r="AT263" s="395">
        <f>(IF($H263="x",VLOOKUP($I263,'AUX-NIV2'!$B:$X,'AUX-NIV1'!AT$3,FALSE),0)+($AV263*'AUX-NIV3'!V$4))*$O263+IF($H263=AT$4,$P263,0)</f>
        <v>0</v>
      </c>
      <c r="AU263" s="395">
        <f>(IF($H263="x",VLOOKUP($I263,'AUX-NIV2'!$B:$X,'AUX-NIV1'!AU$3,FALSE),0)+($AV263*'AUX-NIV3'!W$4))*$O263+IF($H263=AU$4,$P263,0)</f>
        <v>0</v>
      </c>
      <c r="AV263" s="395">
        <f>+IF($H263="x",VLOOKUP($I263,'AUX-NIV2'!$B:$X,'AUX-NIV1'!AV$3,FALSE),0)</f>
        <v>444.78806141108532</v>
      </c>
    </row>
    <row r="264" spans="2:48" ht="14.4" hidden="1" thickTop="1" thickBot="1">
      <c r="B264" s="324" t="s">
        <v>103</v>
      </c>
      <c r="C264" s="325" t="s">
        <v>178</v>
      </c>
      <c r="D264" s="326" t="s">
        <v>1160</v>
      </c>
      <c r="E264" s="349">
        <f>IF(B264&lt;&gt;"",+SUMIF(Items!C:C,'AUX-NIV1'!B264,Items!H:H),"")</f>
        <v>0</v>
      </c>
      <c r="F264" s="349">
        <f t="shared" si="150"/>
        <v>415202.35478794592</v>
      </c>
      <c r="G264" s="349">
        <f t="shared" si="151"/>
        <v>0</v>
      </c>
      <c r="H264" s="1395" t="str">
        <f t="shared" si="92"/>
        <v>X</v>
      </c>
      <c r="I264" s="1375" t="s">
        <v>1256</v>
      </c>
      <c r="J264" s="350" t="str">
        <f>IF(B264&lt;&gt;"",+VLOOKUP(I264,Recursos!C:F,2,FALSE),"")</f>
        <v xml:space="preserve">Encofrados para Hormigones </v>
      </c>
      <c r="K264" s="351" t="str">
        <f>IF(B264&lt;&gt;"",+VLOOKUP(I264,Recursos!C:F,3,FALSE),"")</f>
        <v>m2</v>
      </c>
      <c r="L264" s="349">
        <f>IF(B264&lt;&gt;"",+VLOOKUP(I264,Recursos!C:F,4,FALSE),"")</f>
        <v>5261.6988424670626</v>
      </c>
      <c r="M264" s="331">
        <v>4</v>
      </c>
      <c r="N264" s="331">
        <v>2</v>
      </c>
      <c r="O264" s="362">
        <v>8</v>
      </c>
      <c r="P264" s="352">
        <f t="shared" si="93"/>
        <v>42093.590739736501</v>
      </c>
      <c r="Q264" s="349">
        <f t="shared" si="94"/>
        <v>0</v>
      </c>
      <c r="R264" s="353">
        <f t="shared" si="95"/>
        <v>0</v>
      </c>
      <c r="S264" s="354">
        <f t="shared" si="152"/>
        <v>0</v>
      </c>
      <c r="T264" s="354">
        <f t="shared" si="153"/>
        <v>0</v>
      </c>
      <c r="U264" s="355">
        <f t="shared" si="154"/>
        <v>0</v>
      </c>
      <c r="V264" s="355">
        <f t="shared" si="155"/>
        <v>0</v>
      </c>
      <c r="W264" s="355">
        <f t="shared" si="156"/>
        <v>345250</v>
      </c>
      <c r="X264" s="355">
        <f t="shared" si="157"/>
        <v>69952.354787945951</v>
      </c>
      <c r="Y264" s="396"/>
      <c r="Z264" s="346" t="str">
        <f t="shared" si="96"/>
        <v>0-HORMH21scA</v>
      </c>
      <c r="AA264" s="346" t="str">
        <f t="shared" si="97"/>
        <v>0-HORMH21scE</v>
      </c>
      <c r="AB264" s="346" t="str">
        <f t="shared" si="98"/>
        <v>0-HORMH21scM</v>
      </c>
      <c r="AC264" s="346" t="str">
        <f t="shared" si="99"/>
        <v>0-HORMH21scT</v>
      </c>
      <c r="AD264" s="346" t="str">
        <f t="shared" si="100"/>
        <v>0-HORMH21scS</v>
      </c>
      <c r="AE264" s="346" t="str">
        <f t="shared" si="101"/>
        <v>0-HORMH21scX</v>
      </c>
      <c r="AF264" s="346" t="str">
        <f t="shared" si="102"/>
        <v>0-HORMH21scX</v>
      </c>
      <c r="AG264" s="346">
        <f t="shared" si="158"/>
        <v>9</v>
      </c>
      <c r="AH264" s="346">
        <f>IF(B264&lt;&gt;"",+IF(H264="x",+VLOOKUP(I264,'AUX-NIV2'!B:AG,32,FALSE),0),"")</f>
        <v>13</v>
      </c>
      <c r="AI264" s="346" t="str">
        <f t="shared" si="103"/>
        <v>0-HORMH21sc</v>
      </c>
      <c r="AK264" s="347">
        <f t="shared" si="159"/>
        <v>258</v>
      </c>
      <c r="AL264" s="348">
        <f t="shared" si="104"/>
        <v>266</v>
      </c>
      <c r="AM264" s="347">
        <f t="shared" si="105"/>
        <v>7</v>
      </c>
      <c r="AN264" s="382">
        <f>IF(AND(AH264&gt;0,B264&lt;&gt;""),VLOOKUP(I264,'AUX-NIV2'!$B:$AP,40,FALSE)*O264,0)</f>
        <v>40.56</v>
      </c>
      <c r="AO264" s="382">
        <f t="shared" si="160"/>
        <v>73.501351149206357</v>
      </c>
      <c r="AQ264" s="395">
        <f>(IF($H264="x",VLOOKUP($I264,'AUX-NIV2'!$B:$X,'AUX-NIV1'!AQ$3,FALSE),0)+($AV264*'AUX-NIV3'!S$4))*$O264+IF($H264=AQ$4,$P264,0)</f>
        <v>18661.42250484211</v>
      </c>
      <c r="AR264" s="395">
        <f>(IF($H264="x",VLOOKUP($I264,'AUX-NIV2'!$B:$X,'AUX-NIV1'!AR$3,FALSE),0)+($AV264*'AUX-NIV3'!T$4))*$O264+IF($H264=AR$4,$P264,0)</f>
        <v>352.21344000000005</v>
      </c>
      <c r="AS264" s="395">
        <f>(IF($H264="x",VLOOKUP($I264,'AUX-NIV2'!$B:$X,'AUX-NIV1'!AS$3,FALSE),0)+($AV264*'AUX-NIV3'!U$4))*$O264+IF($H264=AS$4,$P264,0)</f>
        <v>23079.954794894395</v>
      </c>
      <c r="AT264" s="395">
        <f>(IF($H264="x",VLOOKUP($I264,'AUX-NIV2'!$B:$X,'AUX-NIV1'!AT$3,FALSE),0)+($AV264*'AUX-NIV3'!V$4))*$O264+IF($H264=AT$4,$P264,0)</f>
        <v>0</v>
      </c>
      <c r="AU264" s="395">
        <f>(IF($H264="x",VLOOKUP($I264,'AUX-NIV2'!$B:$X,'AUX-NIV1'!AU$3,FALSE),0)+($AV264*'AUX-NIV3'!W$4))*$O264+IF($H264=AU$4,$P264,0)</f>
        <v>0</v>
      </c>
      <c r="AV264" s="395">
        <f>+IF($H264="x",VLOOKUP($I264,'AUX-NIV2'!$B:$X,'AUX-NIV1'!AV$3,FALSE),0)</f>
        <v>0</v>
      </c>
    </row>
    <row r="265" spans="2:48" ht="14.4" hidden="1" thickTop="1" thickBot="1">
      <c r="B265" s="324" t="s">
        <v>103</v>
      </c>
      <c r="C265" s="325" t="s">
        <v>178</v>
      </c>
      <c r="D265" s="326" t="s">
        <v>1160</v>
      </c>
      <c r="E265" s="349">
        <f>IF(B265&lt;&gt;"",+SUMIF(Items!C:C,'AUX-NIV1'!B265,Items!H:H),"")</f>
        <v>0</v>
      </c>
      <c r="F265" s="349">
        <f t="shared" si="150"/>
        <v>415202.35478794592</v>
      </c>
      <c r="G265" s="349">
        <f t="shared" si="151"/>
        <v>0</v>
      </c>
      <c r="H265" s="1395" t="str">
        <f t="shared" si="92"/>
        <v>X</v>
      </c>
      <c r="I265" s="1375" t="s">
        <v>1287</v>
      </c>
      <c r="J265" s="350" t="str">
        <f>IF(B265&lt;&gt;"",+VLOOKUP(I265,Recursos!C:F,2,FALSE),"")</f>
        <v>Producción de Hgón en Planta</v>
      </c>
      <c r="K265" s="351" t="str">
        <f>IF(B265&lt;&gt;"",+VLOOKUP(I265,Recursos!C:F,3,FALSE),"")</f>
        <v>m3</v>
      </c>
      <c r="L265" s="349">
        <f>IF(B265&lt;&gt;"",+VLOOKUP(I265,Recursos!C:F,4,FALSE),"")</f>
        <v>419.65958991896258</v>
      </c>
      <c r="M265" s="331">
        <v>1.1000000000000001</v>
      </c>
      <c r="N265" s="331">
        <v>1</v>
      </c>
      <c r="O265" s="362">
        <v>1.1000000000000001</v>
      </c>
      <c r="P265" s="352">
        <f t="shared" si="93"/>
        <v>461.62554891085887</v>
      </c>
      <c r="Q265" s="349">
        <f t="shared" si="94"/>
        <v>0</v>
      </c>
      <c r="R265" s="353">
        <f t="shared" si="95"/>
        <v>0</v>
      </c>
      <c r="S265" s="354">
        <f t="shared" si="152"/>
        <v>0</v>
      </c>
      <c r="T265" s="354">
        <f t="shared" si="153"/>
        <v>0</v>
      </c>
      <c r="U265" s="355">
        <f t="shared" si="154"/>
        <v>0</v>
      </c>
      <c r="V265" s="355">
        <f t="shared" si="155"/>
        <v>0</v>
      </c>
      <c r="W265" s="355">
        <f t="shared" si="156"/>
        <v>345250</v>
      </c>
      <c r="X265" s="355">
        <f t="shared" si="157"/>
        <v>69952.354787945951</v>
      </c>
      <c r="Y265" s="396"/>
      <c r="Z265" s="346" t="str">
        <f t="shared" si="96"/>
        <v>0-HORMH21scA</v>
      </c>
      <c r="AA265" s="346" t="str">
        <f t="shared" si="97"/>
        <v>0-HORMH21scE</v>
      </c>
      <c r="AB265" s="346" t="str">
        <f t="shared" si="98"/>
        <v>0-HORMH21scM</v>
      </c>
      <c r="AC265" s="346" t="str">
        <f t="shared" si="99"/>
        <v>0-HORMH21scT</v>
      </c>
      <c r="AD265" s="346" t="str">
        <f t="shared" si="100"/>
        <v>0-HORMH21scS</v>
      </c>
      <c r="AE265" s="346" t="str">
        <f t="shared" si="101"/>
        <v>0-HORMH21scX</v>
      </c>
      <c r="AF265" s="346" t="str">
        <f t="shared" si="102"/>
        <v>0-HORMH21scX</v>
      </c>
      <c r="AG265" s="346">
        <f t="shared" si="158"/>
        <v>9</v>
      </c>
      <c r="AH265" s="346">
        <f>IF(B265&lt;&gt;"",+IF(H265="x",+VLOOKUP(I265,'AUX-NIV2'!B:AG,32,FALSE),0),"")</f>
        <v>9</v>
      </c>
      <c r="AI265" s="346" t="str">
        <f t="shared" si="103"/>
        <v>0-HORMH21sc</v>
      </c>
      <c r="AK265" s="347">
        <f t="shared" si="159"/>
        <v>258</v>
      </c>
      <c r="AL265" s="348">
        <f t="shared" si="104"/>
        <v>266</v>
      </c>
      <c r="AM265" s="347">
        <f t="shared" si="105"/>
        <v>8</v>
      </c>
      <c r="AN265" s="382">
        <f>IF(AND(AH265&gt;0,B265&lt;&gt;""),VLOOKUP(I265,'AUX-NIV2'!$B:$AP,40,FALSE)*O265,0)</f>
        <v>0.33942857142857141</v>
      </c>
      <c r="AO265" s="382">
        <f t="shared" si="160"/>
        <v>73.501351149206357</v>
      </c>
      <c r="AQ265" s="395">
        <f>(IF($H265="x",VLOOKUP($I265,'AUX-NIV2'!$B:$X,'AUX-NIV1'!AQ$3,FALSE),0)+($AV265*'AUX-NIV3'!S$4))*$O265+IF($H265=AQ$4,$P265,0)</f>
        <v>166.71464548228744</v>
      </c>
      <c r="AR265" s="395">
        <f>(IF($H265="x",VLOOKUP($I265,'AUX-NIV2'!$B:$X,'AUX-NIV1'!AR$3,FALSE),0)+($AV265*'AUX-NIV3'!T$4))*$O265+IF($H265=AR$4,$P265,0)</f>
        <v>294.36090342857148</v>
      </c>
      <c r="AS265" s="395">
        <f>(IF($H265="x",VLOOKUP($I265,'AUX-NIV2'!$B:$X,'AUX-NIV1'!AS$3,FALSE),0)+($AV265*'AUX-NIV3'!U$4))*$O265+IF($H265=AS$4,$P265,0)</f>
        <v>0.55000000000000004</v>
      </c>
      <c r="AT265" s="395">
        <f>(IF($H265="x",VLOOKUP($I265,'AUX-NIV2'!$B:$X,'AUX-NIV1'!AT$3,FALSE),0)+($AV265*'AUX-NIV3'!V$4))*$O265+IF($H265=AT$4,$P265,0)</f>
        <v>0</v>
      </c>
      <c r="AU265" s="395">
        <f>(IF($H265="x",VLOOKUP($I265,'AUX-NIV2'!$B:$X,'AUX-NIV1'!AU$3,FALSE),0)+($AV265*'AUX-NIV3'!W$4))*$O265+IF($H265=AU$4,$P265,0)</f>
        <v>0</v>
      </c>
      <c r="AV265" s="395">
        <f>+IF($H265="x",VLOOKUP($I265,'AUX-NIV2'!$B:$X,'AUX-NIV1'!AV$3,FALSE),0)</f>
        <v>0</v>
      </c>
    </row>
    <row r="266" spans="2:48" ht="14.4" hidden="1" thickTop="1" thickBot="1">
      <c r="B266" s="324" t="s">
        <v>103</v>
      </c>
      <c r="C266" s="325" t="s">
        <v>178</v>
      </c>
      <c r="D266" s="326" t="s">
        <v>1160</v>
      </c>
      <c r="E266" s="349">
        <f>IF(B266&lt;&gt;"",+SUMIF(Items!C:C,'AUX-NIV1'!B266,Items!H:H),"")</f>
        <v>0</v>
      </c>
      <c r="F266" s="349">
        <f t="shared" si="150"/>
        <v>415202.35478794592</v>
      </c>
      <c r="G266" s="349">
        <f t="shared" si="151"/>
        <v>0</v>
      </c>
      <c r="H266" s="1395" t="str">
        <f t="shared" si="92"/>
        <v>X</v>
      </c>
      <c r="I266" s="1375" t="s">
        <v>1288</v>
      </c>
      <c r="J266" s="350" t="str">
        <f>IF(B266&lt;&gt;"",+VLOOKUP(I266,Recursos!C:F,2,FALSE),"")</f>
        <v>Tte y colado de Hgón - Pta</v>
      </c>
      <c r="K266" s="351" t="str">
        <f>IF(B266&lt;&gt;"",+VLOOKUP(I266,Recursos!C:F,3,FALSE),"")</f>
        <v>m3</v>
      </c>
      <c r="L266" s="349">
        <f>IF(B266&lt;&gt;"",+VLOOKUP(I266,Recursos!C:F,4,FALSE),"")</f>
        <v>318.88919874376688</v>
      </c>
      <c r="M266" s="331">
        <v>4</v>
      </c>
      <c r="N266" s="331">
        <v>1</v>
      </c>
      <c r="O266" s="362">
        <v>4</v>
      </c>
      <c r="P266" s="352">
        <f t="shared" si="93"/>
        <v>1275.5567949750675</v>
      </c>
      <c r="Q266" s="349">
        <f t="shared" si="94"/>
        <v>0</v>
      </c>
      <c r="R266" s="353">
        <f t="shared" si="95"/>
        <v>0</v>
      </c>
      <c r="S266" s="354">
        <f t="shared" si="152"/>
        <v>0</v>
      </c>
      <c r="T266" s="354">
        <f t="shared" si="153"/>
        <v>0</v>
      </c>
      <c r="U266" s="355">
        <f t="shared" si="154"/>
        <v>0</v>
      </c>
      <c r="V266" s="355">
        <f t="shared" si="155"/>
        <v>0</v>
      </c>
      <c r="W266" s="355">
        <f t="shared" si="156"/>
        <v>345250</v>
      </c>
      <c r="X266" s="355">
        <f t="shared" si="157"/>
        <v>69952.354787945951</v>
      </c>
      <c r="Y266" s="396"/>
      <c r="Z266" s="346" t="str">
        <f t="shared" si="96"/>
        <v>0-HORMH21scA</v>
      </c>
      <c r="AA266" s="346" t="str">
        <f t="shared" si="97"/>
        <v>0-HORMH21scE</v>
      </c>
      <c r="AB266" s="346" t="str">
        <f t="shared" si="98"/>
        <v>0-HORMH21scM</v>
      </c>
      <c r="AC266" s="346" t="str">
        <f t="shared" si="99"/>
        <v>0-HORMH21scT</v>
      </c>
      <c r="AD266" s="346" t="str">
        <f t="shared" si="100"/>
        <v>0-HORMH21scS</v>
      </c>
      <c r="AE266" s="346" t="str">
        <f t="shared" si="101"/>
        <v>0-HORMH21scX</v>
      </c>
      <c r="AF266" s="346" t="str">
        <f t="shared" si="102"/>
        <v>0-HORMH21scX</v>
      </c>
      <c r="AG266" s="346">
        <f t="shared" si="158"/>
        <v>9</v>
      </c>
      <c r="AH266" s="346">
        <f>IF(B266&lt;&gt;"",+IF(H266="x",+VLOOKUP(I266,'AUX-NIV2'!B:AG,32,FALSE),0),"")</f>
        <v>4</v>
      </c>
      <c r="AI266" s="346" t="str">
        <f t="shared" si="103"/>
        <v>0-HORMH21sc</v>
      </c>
      <c r="AK266" s="347">
        <f t="shared" si="159"/>
        <v>258</v>
      </c>
      <c r="AL266" s="348">
        <f t="shared" si="104"/>
        <v>266</v>
      </c>
      <c r="AM266" s="347">
        <f t="shared" si="105"/>
        <v>9</v>
      </c>
      <c r="AN266" s="382">
        <f>IF(AND(AH266&gt;0,B266&lt;&gt;""),VLOOKUP(I266,'AUX-NIV2'!$B:$AP,40,FALSE)*O266,0)</f>
        <v>0.93333333333333324</v>
      </c>
      <c r="AO266" s="382">
        <f t="shared" si="160"/>
        <v>73.501351149206357</v>
      </c>
      <c r="AQ266" s="395">
        <f>(IF($H266="x",VLOOKUP($I266,'AUX-NIV2'!$B:$X,'AUX-NIV1'!AQ$3,FALSE),0)+($AV266*'AUX-NIV3'!S$4))*$O266+IF($H266=AQ$4,$P266,0)</f>
        <v>429.05164497506757</v>
      </c>
      <c r="AR266" s="395">
        <f>(IF($H266="x",VLOOKUP($I266,'AUX-NIV2'!$B:$X,'AUX-NIV1'!AR$3,FALSE),0)+($AV266*'AUX-NIV3'!T$4))*$O266+IF($H266=AR$4,$P266,0)</f>
        <v>845.50514999999984</v>
      </c>
      <c r="AS266" s="395">
        <f>(IF($H266="x",VLOOKUP($I266,'AUX-NIV2'!$B:$X,'AUX-NIV1'!AS$3,FALSE),0)+($AV266*'AUX-NIV3'!U$4))*$O266+IF($H266=AS$4,$P266,0)</f>
        <v>1</v>
      </c>
      <c r="AT266" s="395">
        <f>(IF($H266="x",VLOOKUP($I266,'AUX-NIV2'!$B:$X,'AUX-NIV1'!AT$3,FALSE),0)+($AV266*'AUX-NIV3'!V$4))*$O266+IF($H266=AT$4,$P266,0)</f>
        <v>0</v>
      </c>
      <c r="AU266" s="395">
        <f>(IF($H266="x",VLOOKUP($I266,'AUX-NIV2'!$B:$X,'AUX-NIV1'!AU$3,FALSE),0)+($AV266*'AUX-NIV3'!W$4))*$O266+IF($H266=AU$4,$P266,0)</f>
        <v>0</v>
      </c>
      <c r="AV266" s="395">
        <f>+IF($H266="x",VLOOKUP($I266,'AUX-NIV2'!$B:$X,'AUX-NIV1'!AV$3,FALSE),0)</f>
        <v>0</v>
      </c>
    </row>
    <row r="267" spans="2:48" ht="14.4" hidden="1" thickTop="1" thickBot="1">
      <c r="B267" s="324" t="s">
        <v>104</v>
      </c>
      <c r="C267" s="325" t="s">
        <v>179</v>
      </c>
      <c r="D267" s="326" t="s">
        <v>546</v>
      </c>
      <c r="E267" s="349">
        <f>IF(B267&lt;&gt;"",+SUMIF(Items!C:C,'AUX-NIV1'!B267,Items!H:H),"")</f>
        <v>0</v>
      </c>
      <c r="F267" s="349">
        <f t="shared" si="150"/>
        <v>7.1986700000000008</v>
      </c>
      <c r="G267" s="349">
        <f t="shared" si="151"/>
        <v>0</v>
      </c>
      <c r="H267" s="1395" t="str">
        <f t="shared" si="92"/>
        <v>M</v>
      </c>
      <c r="I267" s="1375" t="s">
        <v>457</v>
      </c>
      <c r="J267" s="350" t="str">
        <f>IF(B267&lt;&gt;"",+VLOOKUP(I267,Recursos!C:F,2,FALSE),"")</f>
        <v>CEMENTO A GRANEL (NORMAL)</v>
      </c>
      <c r="K267" s="351" t="str">
        <f>IF(B267&lt;&gt;"",+VLOOKUP(I267,Recursos!C:F,3,FALSE),"")</f>
        <v>TN</v>
      </c>
      <c r="L267" s="349">
        <f>IF(B267&lt;&gt;"",+VLOOKUP(I267,Recursos!C:F,4,FALSE),"")</f>
        <v>6989</v>
      </c>
      <c r="M267" s="331">
        <v>1E-3</v>
      </c>
      <c r="N267" s="331">
        <v>1.03</v>
      </c>
      <c r="O267" s="362">
        <v>1.0300000000000001E-3</v>
      </c>
      <c r="P267" s="352">
        <f t="shared" si="93"/>
        <v>7.1986700000000008</v>
      </c>
      <c r="Q267" s="349">
        <f t="shared" si="94"/>
        <v>0</v>
      </c>
      <c r="R267" s="353">
        <f t="shared" si="95"/>
        <v>0</v>
      </c>
      <c r="S267" s="354">
        <f t="shared" si="152"/>
        <v>0</v>
      </c>
      <c r="T267" s="354">
        <f t="shared" si="153"/>
        <v>0</v>
      </c>
      <c r="U267" s="355">
        <f t="shared" si="154"/>
        <v>7.1986700000000008</v>
      </c>
      <c r="V267" s="355">
        <f t="shared" si="155"/>
        <v>0</v>
      </c>
      <c r="W267" s="355">
        <f t="shared" si="156"/>
        <v>0</v>
      </c>
      <c r="X267" s="355">
        <f t="shared" si="157"/>
        <v>0</v>
      </c>
      <c r="Y267" s="396"/>
      <c r="Z267" s="346" t="str">
        <f t="shared" si="96"/>
        <v>0-CEMENTOA</v>
      </c>
      <c r="AA267" s="346" t="str">
        <f t="shared" si="97"/>
        <v>0-CEMENTOE</v>
      </c>
      <c r="AB267" s="346" t="str">
        <f t="shared" si="98"/>
        <v>0-CEMENTOM</v>
      </c>
      <c r="AC267" s="346" t="str">
        <f t="shared" si="99"/>
        <v>0-CEMENTOT</v>
      </c>
      <c r="AD267" s="346" t="str">
        <f t="shared" si="100"/>
        <v>0-CEMENTOS</v>
      </c>
      <c r="AE267" s="346" t="str">
        <f t="shared" si="101"/>
        <v>0-CEMENTOX</v>
      </c>
      <c r="AF267" s="346" t="str">
        <f t="shared" si="102"/>
        <v>0-CEMENTOM</v>
      </c>
      <c r="AG267" s="346">
        <f t="shared" si="158"/>
        <v>1</v>
      </c>
      <c r="AH267" s="346">
        <f>IF(B267&lt;&gt;"",+IF(H267="x",+VLOOKUP(I267,'AUX-NIV2'!B:AG,32,FALSE),0),"")</f>
        <v>0</v>
      </c>
      <c r="AI267" s="346" t="str">
        <f t="shared" si="103"/>
        <v>0-CEMENTO</v>
      </c>
      <c r="AK267" s="347">
        <f t="shared" si="159"/>
        <v>267</v>
      </c>
      <c r="AL267" s="348">
        <f t="shared" si="104"/>
        <v>267</v>
      </c>
      <c r="AM267" s="347">
        <f t="shared" si="105"/>
        <v>1</v>
      </c>
      <c r="AN267" s="382">
        <f>IF(AND(AH267&gt;0,B267&lt;&gt;""),VLOOKUP(I267,'AUX-NIV2'!$B:$AP,40,FALSE)*O267,0)</f>
        <v>0</v>
      </c>
      <c r="AO267" s="382">
        <f t="shared" si="160"/>
        <v>0</v>
      </c>
      <c r="AQ267" s="395">
        <f>(IF($H267="x",VLOOKUP($I267,'AUX-NIV2'!$B:$X,'AUX-NIV1'!AQ$3,FALSE),0)+($AV267*'AUX-NIV3'!S$4))*$O267+IF($H267=AQ$4,$P267,0)</f>
        <v>0</v>
      </c>
      <c r="AR267" s="395">
        <f>(IF($H267="x",VLOOKUP($I267,'AUX-NIV2'!$B:$X,'AUX-NIV1'!AR$3,FALSE),0)+($AV267*'AUX-NIV3'!T$4))*$O267+IF($H267=AR$4,$P267,0)</f>
        <v>0</v>
      </c>
      <c r="AS267" s="395">
        <f>(IF($H267="x",VLOOKUP($I267,'AUX-NIV2'!$B:$X,'AUX-NIV1'!AS$3,FALSE),0)+($AV267*'AUX-NIV3'!U$4))*$O267+IF($H267=AS$4,$P267,0)</f>
        <v>7.1986700000000008</v>
      </c>
      <c r="AT267" s="395">
        <f>(IF($H267="x",VLOOKUP($I267,'AUX-NIV2'!$B:$X,'AUX-NIV1'!AT$3,FALSE),0)+($AV267*'AUX-NIV3'!V$4))*$O267+IF($H267=AT$4,$P267,0)</f>
        <v>0</v>
      </c>
      <c r="AU267" s="395">
        <f>(IF($H267="x",VLOOKUP($I267,'AUX-NIV2'!$B:$X,'AUX-NIV1'!AU$3,FALSE),0)+($AV267*'AUX-NIV3'!W$4))*$O267+IF($H267=AU$4,$P267,0)</f>
        <v>0</v>
      </c>
      <c r="AV267" s="395">
        <f>+IF($H267="x",VLOOKUP($I267,'AUX-NIV2'!$B:$X,'AUX-NIV1'!AV$3,FALSE),0)</f>
        <v>0</v>
      </c>
    </row>
    <row r="268" spans="2:48" ht="14.4" hidden="1" thickTop="1" thickBot="1">
      <c r="B268" s="324" t="s">
        <v>408</v>
      </c>
      <c r="C268" s="325" t="s">
        <v>576</v>
      </c>
      <c r="D268" s="326" t="s">
        <v>1172</v>
      </c>
      <c r="E268" s="349">
        <f>IF(B268&lt;&gt;"",+SUMIF(Items!C:C,'AUX-NIV1'!B268,Items!H:H),"")</f>
        <v>0</v>
      </c>
      <c r="F268" s="349">
        <f t="shared" si="150"/>
        <v>1</v>
      </c>
      <c r="G268" s="349">
        <f t="shared" si="151"/>
        <v>0</v>
      </c>
      <c r="H268" s="1395" t="str">
        <f t="shared" si="92"/>
        <v>S</v>
      </c>
      <c r="I268" s="1375" t="s">
        <v>409</v>
      </c>
      <c r="J268" s="350" t="str">
        <f>IF(B268&lt;&gt;"",+VLOOKUP(I268,Recursos!C:F,2,FALSE),"")</f>
        <v>Contingencias</v>
      </c>
      <c r="K268" s="351" t="str">
        <f>IF(B268&lt;&gt;"",+VLOOKUP(I268,Recursos!C:F,3,FALSE),"")</f>
        <v>gl</v>
      </c>
      <c r="L268" s="349">
        <f>IF(B268&lt;&gt;"",+VLOOKUP(I268,Recursos!C:F,4,FALSE),"")</f>
        <v>1</v>
      </c>
      <c r="M268" s="331">
        <v>1</v>
      </c>
      <c r="N268" s="331">
        <v>1</v>
      </c>
      <c r="O268" s="362">
        <v>1</v>
      </c>
      <c r="P268" s="352">
        <f t="shared" si="93"/>
        <v>1</v>
      </c>
      <c r="Q268" s="349">
        <f t="shared" si="94"/>
        <v>0</v>
      </c>
      <c r="R268" s="353">
        <f t="shared" si="95"/>
        <v>0</v>
      </c>
      <c r="S268" s="354">
        <f t="shared" si="152"/>
        <v>0</v>
      </c>
      <c r="T268" s="354">
        <f t="shared" si="153"/>
        <v>0</v>
      </c>
      <c r="U268" s="355">
        <f t="shared" si="154"/>
        <v>0</v>
      </c>
      <c r="V268" s="355">
        <f t="shared" si="155"/>
        <v>0</v>
      </c>
      <c r="W268" s="355">
        <f t="shared" si="156"/>
        <v>1</v>
      </c>
      <c r="X268" s="355">
        <f t="shared" si="157"/>
        <v>0</v>
      </c>
      <c r="Y268" s="396"/>
      <c r="Z268" s="346" t="str">
        <f t="shared" si="96"/>
        <v>0-ContingA</v>
      </c>
      <c r="AA268" s="346" t="str">
        <f t="shared" si="97"/>
        <v>0-ContingE</v>
      </c>
      <c r="AB268" s="346" t="str">
        <f t="shared" si="98"/>
        <v>0-ContingM</v>
      </c>
      <c r="AC268" s="346" t="str">
        <f t="shared" si="99"/>
        <v>0-ContingT</v>
      </c>
      <c r="AD268" s="346" t="str">
        <f t="shared" si="100"/>
        <v>0-ContingS</v>
      </c>
      <c r="AE268" s="346" t="str">
        <f t="shared" si="101"/>
        <v>0-ContingX</v>
      </c>
      <c r="AF268" s="346" t="str">
        <f t="shared" si="102"/>
        <v>0-ContingS</v>
      </c>
      <c r="AG268" s="346">
        <f t="shared" si="158"/>
        <v>1</v>
      </c>
      <c r="AH268" s="346">
        <f>IF(B268&lt;&gt;"",+IF(H268="x",+VLOOKUP(I268,'AUX-NIV2'!B:AG,32,FALSE),0),"")</f>
        <v>0</v>
      </c>
      <c r="AI268" s="346" t="str">
        <f t="shared" si="103"/>
        <v>0-Conting</v>
      </c>
      <c r="AK268" s="347">
        <f t="shared" si="159"/>
        <v>268</v>
      </c>
      <c r="AL268" s="348">
        <f t="shared" si="104"/>
        <v>268</v>
      </c>
      <c r="AM268" s="347">
        <f t="shared" si="105"/>
        <v>1</v>
      </c>
      <c r="AN268" s="382">
        <f>IF(AND(AH268&gt;0,B268&lt;&gt;""),VLOOKUP(I268,'AUX-NIV2'!$B:$AP,40,FALSE)*O268,0)</f>
        <v>0</v>
      </c>
      <c r="AO268" s="382">
        <f t="shared" si="160"/>
        <v>0</v>
      </c>
      <c r="AQ268" s="395">
        <f>(IF($H268="x",VLOOKUP($I268,'AUX-NIV2'!$B:$X,'AUX-NIV1'!AQ$3,FALSE),0)+($AV268*'AUX-NIV3'!S$4))*$O268+IF($H268=AQ$4,$P268,0)</f>
        <v>0</v>
      </c>
      <c r="AR268" s="395">
        <f>(IF($H268="x",VLOOKUP($I268,'AUX-NIV2'!$B:$X,'AUX-NIV1'!AR$3,FALSE),0)+($AV268*'AUX-NIV3'!T$4))*$O268+IF($H268=AR$4,$P268,0)</f>
        <v>0</v>
      </c>
      <c r="AS268" s="395">
        <f>(IF($H268="x",VLOOKUP($I268,'AUX-NIV2'!$B:$X,'AUX-NIV1'!AS$3,FALSE),0)+($AV268*'AUX-NIV3'!U$4))*$O268+IF($H268=AS$4,$P268,0)</f>
        <v>0</v>
      </c>
      <c r="AT268" s="395">
        <f>(IF($H268="x",VLOOKUP($I268,'AUX-NIV2'!$B:$X,'AUX-NIV1'!AT$3,FALSE),0)+($AV268*'AUX-NIV3'!V$4))*$O268+IF($H268=AT$4,$P268,0)</f>
        <v>0</v>
      </c>
      <c r="AU268" s="395">
        <f>(IF($H268="x",VLOOKUP($I268,'AUX-NIV2'!$B:$X,'AUX-NIV1'!AU$3,FALSE),0)+($AV268*'AUX-NIV3'!W$4))*$O268+IF($H268=AU$4,$P268,0)</f>
        <v>1</v>
      </c>
      <c r="AV268" s="395">
        <f>+IF($H268="x",VLOOKUP($I268,'AUX-NIV2'!$B:$X,'AUX-NIV1'!AV$3,FALSE),0)</f>
        <v>0</v>
      </c>
    </row>
    <row r="269" spans="2:48" ht="14.4" hidden="1" thickTop="1" thickBot="1">
      <c r="B269" s="324" t="s">
        <v>939</v>
      </c>
      <c r="C269" s="325" t="s">
        <v>940</v>
      </c>
      <c r="D269" s="326" t="s">
        <v>185</v>
      </c>
      <c r="E269" s="349">
        <f>IF(B269&lt;&gt;"",+SUMIF(Items!C:C,'AUX-NIV1'!B269,Items!H:H),"")</f>
        <v>0</v>
      </c>
      <c r="F269" s="349">
        <f t="shared" si="150"/>
        <v>33791.537213183088</v>
      </c>
      <c r="G269" s="349">
        <f t="shared" si="151"/>
        <v>0</v>
      </c>
      <c r="H269" s="1395" t="str">
        <f t="shared" si="92"/>
        <v>A</v>
      </c>
      <c r="I269" s="1375" t="s">
        <v>1745</v>
      </c>
      <c r="J269" s="350" t="str">
        <f>IF(B269&lt;&gt;"",+VLOOKUP(I269,Recursos!C:F,2,FALSE),"")</f>
        <v>AYUDANTE</v>
      </c>
      <c r="K269" s="351" t="str">
        <f>IF(B269&lt;&gt;"",+VLOOKUP(I269,Recursos!C:F,3,FALSE),"")</f>
        <v>hh</v>
      </c>
      <c r="L269" s="349">
        <f>IF(B269&lt;&gt;"",+VLOOKUP(I269,Recursos!C:F,4,FALSE),"")</f>
        <v>422.48042769667234</v>
      </c>
      <c r="M269" s="331">
        <v>8</v>
      </c>
      <c r="N269" s="331">
        <v>4</v>
      </c>
      <c r="O269" s="362">
        <v>32</v>
      </c>
      <c r="P269" s="352">
        <f t="shared" si="93"/>
        <v>13519.373686293515</v>
      </c>
      <c r="Q269" s="349">
        <f t="shared" si="94"/>
        <v>0</v>
      </c>
      <c r="R269" s="353">
        <f t="shared" si="95"/>
        <v>0</v>
      </c>
      <c r="S269" s="354">
        <f t="shared" si="152"/>
        <v>20864.988600196073</v>
      </c>
      <c r="T269" s="354">
        <f t="shared" si="153"/>
        <v>12926.548612987013</v>
      </c>
      <c r="U269" s="355">
        <f t="shared" si="154"/>
        <v>0</v>
      </c>
      <c r="V269" s="355">
        <f t="shared" si="155"/>
        <v>0</v>
      </c>
      <c r="W269" s="355">
        <f t="shared" si="156"/>
        <v>0</v>
      </c>
      <c r="X269" s="355">
        <f t="shared" si="157"/>
        <v>0</v>
      </c>
      <c r="Z269" s="346" t="str">
        <f t="shared" si="96"/>
        <v>0-ArbolesA</v>
      </c>
      <c r="AA269" s="346" t="str">
        <f t="shared" si="97"/>
        <v>0-ArbolesE</v>
      </c>
      <c r="AB269" s="346" t="str">
        <f t="shared" si="98"/>
        <v>0-ArbolesM</v>
      </c>
      <c r="AC269" s="346" t="str">
        <f t="shared" si="99"/>
        <v>0-ArbolesT</v>
      </c>
      <c r="AD269" s="346" t="str">
        <f t="shared" si="100"/>
        <v>0-ArbolesS</v>
      </c>
      <c r="AE269" s="346" t="str">
        <f t="shared" si="101"/>
        <v>0-ArbolesX</v>
      </c>
      <c r="AF269" s="346" t="str">
        <f t="shared" si="102"/>
        <v>0-ArbolesA</v>
      </c>
      <c r="AG269" s="346">
        <f t="shared" si="158"/>
        <v>4</v>
      </c>
      <c r="AH269" s="346">
        <f>IF(B269&lt;&gt;"",+IF(H269="x",+VLOOKUP(I269,'AUX-NIV2'!B:AG,32,FALSE),0),"")</f>
        <v>0</v>
      </c>
      <c r="AI269" s="346" t="str">
        <f t="shared" si="103"/>
        <v>0-Arboles</v>
      </c>
      <c r="AK269" s="347">
        <f t="shared" si="159"/>
        <v>269</v>
      </c>
      <c r="AL269" s="348">
        <f t="shared" si="104"/>
        <v>272</v>
      </c>
      <c r="AM269" s="347">
        <f t="shared" si="105"/>
        <v>1</v>
      </c>
      <c r="AN269" s="382">
        <f>IF(AND(AH269&gt;0,B269&lt;&gt;""),VLOOKUP(I269,'AUX-NIV2'!$B:$AP,40,FALSE)*O269,0)</f>
        <v>0</v>
      </c>
      <c r="AO269" s="382">
        <f t="shared" si="160"/>
        <v>48</v>
      </c>
      <c r="AQ269" s="395">
        <f>(IF($H269="x",VLOOKUP($I269,'AUX-NIV2'!$B:$X,'AUX-NIV1'!AQ$3,FALSE),0)+($AV269*'AUX-NIV3'!S$4))*$O269+IF($H269=AQ$4,$P269,0)</f>
        <v>13519.373686293515</v>
      </c>
      <c r="AR269" s="395">
        <f>(IF($H269="x",VLOOKUP($I269,'AUX-NIV2'!$B:$X,'AUX-NIV1'!AR$3,FALSE),0)+($AV269*'AUX-NIV3'!T$4))*$O269+IF($H269=AR$4,$P269,0)</f>
        <v>0</v>
      </c>
      <c r="AS269" s="395">
        <f>(IF($H269="x",VLOOKUP($I269,'AUX-NIV2'!$B:$X,'AUX-NIV1'!AS$3,FALSE),0)+($AV269*'AUX-NIV3'!U$4))*$O269+IF($H269=AS$4,$P269,0)</f>
        <v>0</v>
      </c>
      <c r="AT269" s="395">
        <f>(IF($H269="x",VLOOKUP($I269,'AUX-NIV2'!$B:$X,'AUX-NIV1'!AT$3,FALSE),0)+($AV269*'AUX-NIV3'!V$4))*$O269+IF($H269=AT$4,$P269,0)</f>
        <v>0</v>
      </c>
      <c r="AU269" s="395">
        <f>(IF($H269="x",VLOOKUP($I269,'AUX-NIV2'!$B:$X,'AUX-NIV1'!AU$3,FALSE),0)+($AV269*'AUX-NIV3'!W$4))*$O269+IF($H269=AU$4,$P269,0)</f>
        <v>0</v>
      </c>
      <c r="AV269" s="395">
        <f>+IF($H269="x",VLOOKUP($I269,'AUX-NIV2'!$B:$X,'AUX-NIV1'!AV$3,FALSE),0)</f>
        <v>0</v>
      </c>
    </row>
    <row r="270" spans="2:48" ht="14.4" hidden="1" thickTop="1" thickBot="1">
      <c r="B270" s="324" t="s">
        <v>939</v>
      </c>
      <c r="C270" s="325" t="s">
        <v>940</v>
      </c>
      <c r="D270" s="326" t="s">
        <v>185</v>
      </c>
      <c r="E270" s="349">
        <f>IF(B270&lt;&gt;"",+SUMIF(Items!C:C,'AUX-NIV1'!B270,Items!H:H),"")</f>
        <v>0</v>
      </c>
      <c r="F270" s="349">
        <f t="shared" si="150"/>
        <v>33791.537213183088</v>
      </c>
      <c r="G270" s="349">
        <f t="shared" si="151"/>
        <v>0</v>
      </c>
      <c r="H270" s="1395" t="str">
        <f t="shared" si="92"/>
        <v>A</v>
      </c>
      <c r="I270" s="1375" t="s">
        <v>3309</v>
      </c>
      <c r="J270" s="350" t="str">
        <f>IF(B270&lt;&gt;"",+VLOOKUP(I270,Recursos!C:F,2,FALSE),"")</f>
        <v>MEDIO OFICIAL</v>
      </c>
      <c r="K270" s="351" t="str">
        <f>IF(B270&lt;&gt;"",+VLOOKUP(I270,Recursos!C:F,3,FALSE),"")</f>
        <v>hh</v>
      </c>
      <c r="L270" s="349">
        <f>IF(B270&lt;&gt;"",+VLOOKUP(I270,Recursos!C:F,4,FALSE),"")</f>
        <v>459.10093211890984</v>
      </c>
      <c r="M270" s="331">
        <v>8</v>
      </c>
      <c r="N270" s="331">
        <v>2</v>
      </c>
      <c r="O270" s="362">
        <v>16</v>
      </c>
      <c r="P270" s="352">
        <f t="shared" si="93"/>
        <v>7345.6149139025574</v>
      </c>
      <c r="Q270" s="349">
        <f t="shared" si="94"/>
        <v>0</v>
      </c>
      <c r="R270" s="353">
        <f t="shared" si="95"/>
        <v>0</v>
      </c>
      <c r="S270" s="354">
        <f t="shared" si="152"/>
        <v>20864.988600196073</v>
      </c>
      <c r="T270" s="354">
        <f t="shared" si="153"/>
        <v>12926.548612987013</v>
      </c>
      <c r="U270" s="355">
        <f t="shared" si="154"/>
        <v>0</v>
      </c>
      <c r="V270" s="355">
        <f t="shared" si="155"/>
        <v>0</v>
      </c>
      <c r="W270" s="355">
        <f t="shared" si="156"/>
        <v>0</v>
      </c>
      <c r="X270" s="355">
        <f t="shared" si="157"/>
        <v>0</v>
      </c>
      <c r="Z270" s="346" t="str">
        <f t="shared" si="96"/>
        <v>0-ArbolesA</v>
      </c>
      <c r="AA270" s="346" t="str">
        <f t="shared" si="97"/>
        <v>0-ArbolesE</v>
      </c>
      <c r="AB270" s="346" t="str">
        <f t="shared" si="98"/>
        <v>0-ArbolesM</v>
      </c>
      <c r="AC270" s="346" t="str">
        <f t="shared" si="99"/>
        <v>0-ArbolesT</v>
      </c>
      <c r="AD270" s="346" t="str">
        <f t="shared" si="100"/>
        <v>0-ArbolesS</v>
      </c>
      <c r="AE270" s="346" t="str">
        <f t="shared" si="101"/>
        <v>0-ArbolesX</v>
      </c>
      <c r="AF270" s="346" t="str">
        <f t="shared" si="102"/>
        <v>0-ArbolesA</v>
      </c>
      <c r="AG270" s="346">
        <f t="shared" si="158"/>
        <v>4</v>
      </c>
      <c r="AH270" s="346">
        <f>IF(B270&lt;&gt;"",+IF(H270="x",+VLOOKUP(I270,'AUX-NIV2'!B:AG,32,FALSE),0),"")</f>
        <v>0</v>
      </c>
      <c r="AI270" s="346" t="str">
        <f t="shared" si="103"/>
        <v>0-Arboles</v>
      </c>
      <c r="AK270" s="347">
        <f t="shared" si="159"/>
        <v>269</v>
      </c>
      <c r="AL270" s="348">
        <f t="shared" si="104"/>
        <v>272</v>
      </c>
      <c r="AM270" s="347">
        <f t="shared" si="105"/>
        <v>2</v>
      </c>
      <c r="AN270" s="382">
        <f>IF(AND(AH270&gt;0,B270&lt;&gt;""),VLOOKUP(I270,'AUX-NIV2'!$B:$AP,40,FALSE)*O270,0)</f>
        <v>0</v>
      </c>
      <c r="AO270" s="382">
        <f t="shared" si="160"/>
        <v>48</v>
      </c>
      <c r="AQ270" s="395">
        <f>(IF($H270="x",VLOOKUP($I270,'AUX-NIV2'!$B:$X,'AUX-NIV1'!AQ$3,FALSE),0)+($AV270*'AUX-NIV3'!S$4))*$O270+IF($H270=AQ$4,$P270,0)</f>
        <v>7345.6149139025574</v>
      </c>
      <c r="AR270" s="395">
        <f>(IF($H270="x",VLOOKUP($I270,'AUX-NIV2'!$B:$X,'AUX-NIV1'!AR$3,FALSE),0)+($AV270*'AUX-NIV3'!T$4))*$O270+IF($H270=AR$4,$P270,0)</f>
        <v>0</v>
      </c>
      <c r="AS270" s="395">
        <f>(IF($H270="x",VLOOKUP($I270,'AUX-NIV2'!$B:$X,'AUX-NIV1'!AS$3,FALSE),0)+($AV270*'AUX-NIV3'!U$4))*$O270+IF($H270=AS$4,$P270,0)</f>
        <v>0</v>
      </c>
      <c r="AT270" s="395">
        <f>(IF($H270="x",VLOOKUP($I270,'AUX-NIV2'!$B:$X,'AUX-NIV1'!AT$3,FALSE),0)+($AV270*'AUX-NIV3'!V$4))*$O270+IF($H270=AT$4,$P270,0)</f>
        <v>0</v>
      </c>
      <c r="AU270" s="395">
        <f>(IF($H270="x",VLOOKUP($I270,'AUX-NIV2'!$B:$X,'AUX-NIV1'!AU$3,FALSE),0)+($AV270*'AUX-NIV3'!W$4))*$O270+IF($H270=AU$4,$P270,0)</f>
        <v>0</v>
      </c>
      <c r="AV270" s="395">
        <f>+IF($H270="x",VLOOKUP($I270,'AUX-NIV2'!$B:$X,'AUX-NIV1'!AV$3,FALSE),0)</f>
        <v>0</v>
      </c>
    </row>
    <row r="271" spans="2:48" ht="14.4" hidden="1" thickTop="1" thickBot="1">
      <c r="B271" s="324" t="s">
        <v>939</v>
      </c>
      <c r="C271" s="325" t="s">
        <v>940</v>
      </c>
      <c r="D271" s="326" t="s">
        <v>185</v>
      </c>
      <c r="E271" s="349">
        <f>IF(B271&lt;&gt;"",+SUMIF(Items!C:C,'AUX-NIV1'!B271,Items!H:H),"")</f>
        <v>0</v>
      </c>
      <c r="F271" s="349">
        <f t="shared" si="150"/>
        <v>33791.537213183088</v>
      </c>
      <c r="G271" s="349">
        <f t="shared" si="151"/>
        <v>0</v>
      </c>
      <c r="H271" s="1395" t="str">
        <f t="shared" si="92"/>
        <v>E</v>
      </c>
      <c r="I271" s="1375" t="s">
        <v>1549</v>
      </c>
      <c r="J271" s="350" t="str">
        <f>IF(B271&lt;&gt;"",+VLOOKUP(I271,Recursos!C:F,2,FALSE),"")</f>
        <v>RETROEXC. CARG. S/ROD.NEUM. 0.24 M3</v>
      </c>
      <c r="K271" s="351" t="str">
        <f>IF(B271&lt;&gt;"",+VLOOKUP(I271,Recursos!C:F,3,FALSE),"")</f>
        <v>HR</v>
      </c>
      <c r="L271" s="349">
        <f>IF(B271&lt;&gt;"",+VLOOKUP(I271,Recursos!C:F,4,FALSE),"")</f>
        <v>1761.0672000000002</v>
      </c>
      <c r="M271" s="331">
        <v>3</v>
      </c>
      <c r="N271" s="331">
        <v>1</v>
      </c>
      <c r="O271" s="362">
        <v>3</v>
      </c>
      <c r="P271" s="352">
        <f t="shared" si="93"/>
        <v>5283.2016000000003</v>
      </c>
      <c r="Q271" s="349">
        <f t="shared" si="94"/>
        <v>0</v>
      </c>
      <c r="R271" s="353">
        <f t="shared" si="95"/>
        <v>0</v>
      </c>
      <c r="S271" s="354">
        <f t="shared" si="152"/>
        <v>20864.988600196073</v>
      </c>
      <c r="T271" s="354">
        <f t="shared" si="153"/>
        <v>12926.548612987013</v>
      </c>
      <c r="U271" s="355">
        <f t="shared" si="154"/>
        <v>0</v>
      </c>
      <c r="V271" s="355">
        <f t="shared" si="155"/>
        <v>0</v>
      </c>
      <c r="W271" s="355">
        <f t="shared" si="156"/>
        <v>0</v>
      </c>
      <c r="X271" s="355">
        <f t="shared" si="157"/>
        <v>0</v>
      </c>
      <c r="Z271" s="346" t="str">
        <f t="shared" si="96"/>
        <v>0-ArbolesA</v>
      </c>
      <c r="AA271" s="346" t="str">
        <f t="shared" si="97"/>
        <v>0-ArbolesE</v>
      </c>
      <c r="AB271" s="346" t="str">
        <f t="shared" si="98"/>
        <v>0-ArbolesM</v>
      </c>
      <c r="AC271" s="346" t="str">
        <f t="shared" si="99"/>
        <v>0-ArbolesT</v>
      </c>
      <c r="AD271" s="346" t="str">
        <f t="shared" si="100"/>
        <v>0-ArbolesS</v>
      </c>
      <c r="AE271" s="346" t="str">
        <f t="shared" si="101"/>
        <v>0-ArbolesX</v>
      </c>
      <c r="AF271" s="346" t="str">
        <f t="shared" si="102"/>
        <v>0-ArbolesE</v>
      </c>
      <c r="AG271" s="346">
        <f t="shared" si="158"/>
        <v>4</v>
      </c>
      <c r="AH271" s="346">
        <f>IF(B271&lt;&gt;"",+IF(H271="x",+VLOOKUP(I271,'AUX-NIV2'!B:AG,32,FALSE),0),"")</f>
        <v>0</v>
      </c>
      <c r="AI271" s="346" t="str">
        <f t="shared" si="103"/>
        <v>0-Arboles</v>
      </c>
      <c r="AK271" s="347">
        <f t="shared" si="159"/>
        <v>269</v>
      </c>
      <c r="AL271" s="348">
        <f t="shared" si="104"/>
        <v>272</v>
      </c>
      <c r="AM271" s="347">
        <f t="shared" si="105"/>
        <v>3</v>
      </c>
      <c r="AN271" s="382">
        <f>IF(AND(AH271&gt;0,B271&lt;&gt;""),VLOOKUP(I271,'AUX-NIV2'!$B:$AP,40,FALSE)*O271,0)</f>
        <v>0</v>
      </c>
      <c r="AO271" s="382">
        <f t="shared" si="160"/>
        <v>48</v>
      </c>
      <c r="AQ271" s="395">
        <f>(IF($H271="x",VLOOKUP($I271,'AUX-NIV2'!$B:$X,'AUX-NIV1'!AQ$3,FALSE),0)+($AV271*'AUX-NIV3'!S$4))*$O271+IF($H271=AQ$4,$P271,0)</f>
        <v>0</v>
      </c>
      <c r="AR271" s="395">
        <f>(IF($H271="x",VLOOKUP($I271,'AUX-NIV2'!$B:$X,'AUX-NIV1'!AR$3,FALSE),0)+($AV271*'AUX-NIV3'!T$4))*$O271+IF($H271=AR$4,$P271,0)</f>
        <v>5283.2016000000003</v>
      </c>
      <c r="AS271" s="395">
        <f>(IF($H271="x",VLOOKUP($I271,'AUX-NIV2'!$B:$X,'AUX-NIV1'!AS$3,FALSE),0)+($AV271*'AUX-NIV3'!U$4))*$O271+IF($H271=AS$4,$P271,0)</f>
        <v>0</v>
      </c>
      <c r="AT271" s="395">
        <f>(IF($H271="x",VLOOKUP($I271,'AUX-NIV2'!$B:$X,'AUX-NIV1'!AT$3,FALSE),0)+($AV271*'AUX-NIV3'!V$4))*$O271+IF($H271=AT$4,$P271,0)</f>
        <v>0</v>
      </c>
      <c r="AU271" s="395">
        <f>(IF($H271="x",VLOOKUP($I271,'AUX-NIV2'!$B:$X,'AUX-NIV1'!AU$3,FALSE),0)+($AV271*'AUX-NIV3'!W$4))*$O271+IF($H271=AU$4,$P271,0)</f>
        <v>0</v>
      </c>
      <c r="AV271" s="395">
        <f>+IF($H271="x",VLOOKUP($I271,'AUX-NIV2'!$B:$X,'AUX-NIV1'!AV$3,FALSE),0)</f>
        <v>0</v>
      </c>
    </row>
    <row r="272" spans="2:48" ht="14.4" hidden="1" thickTop="1" thickBot="1">
      <c r="B272" s="324" t="s">
        <v>939</v>
      </c>
      <c r="C272" s="325" t="s">
        <v>940</v>
      </c>
      <c r="D272" s="326" t="s">
        <v>185</v>
      </c>
      <c r="E272" s="349">
        <f>IF(B272&lt;&gt;"",+SUMIF(Items!C:C,'AUX-NIV1'!B272,Items!H:H),"")</f>
        <v>0</v>
      </c>
      <c r="F272" s="349">
        <f t="shared" si="150"/>
        <v>33791.537213183088</v>
      </c>
      <c r="G272" s="349">
        <f t="shared" si="151"/>
        <v>0</v>
      </c>
      <c r="H272" s="1395" t="str">
        <f t="shared" ref="H272:H335" si="161">IF(B272&lt;&gt;"",+LEFT(I272,1),"")</f>
        <v>E</v>
      </c>
      <c r="I272" s="1375" t="s">
        <v>1556</v>
      </c>
      <c r="J272" s="350" t="str">
        <f>IF(B272&lt;&gt;"",+VLOOKUP(I272,Recursos!C:F,2,FALSE),"")</f>
        <v>CAMION VOLCADOR CAP. 15 T=9 m3</v>
      </c>
      <c r="K272" s="351" t="str">
        <f>IF(B272&lt;&gt;"",+VLOOKUP(I272,Recursos!C:F,3,FALSE),"")</f>
        <v>HR</v>
      </c>
      <c r="L272" s="349">
        <f>IF(B272&lt;&gt;"",+VLOOKUP(I272,Recursos!C:F,4,FALSE),"")</f>
        <v>2547.7823376623378</v>
      </c>
      <c r="M272" s="331">
        <v>3</v>
      </c>
      <c r="N272" s="331">
        <v>1</v>
      </c>
      <c r="O272" s="362">
        <v>3</v>
      </c>
      <c r="P272" s="352">
        <f t="shared" ref="P272:P335" si="162">IF(B272&lt;&gt;"",O272*L272,"")</f>
        <v>7643.3470129870129</v>
      </c>
      <c r="Q272" s="349">
        <f t="shared" ref="Q272:Q335" si="163">IF(B272&lt;&gt;"",+O272*E272,"")</f>
        <v>0</v>
      </c>
      <c r="R272" s="353">
        <f t="shared" ref="R272:R335" si="164">IF(B272&lt;&gt;"",Q272*L272,"")</f>
        <v>0</v>
      </c>
      <c r="S272" s="354">
        <f t="shared" si="152"/>
        <v>20864.988600196073</v>
      </c>
      <c r="T272" s="354">
        <f t="shared" si="153"/>
        <v>12926.548612987013</v>
      </c>
      <c r="U272" s="355">
        <f t="shared" si="154"/>
        <v>0</v>
      </c>
      <c r="V272" s="355">
        <f t="shared" si="155"/>
        <v>0</v>
      </c>
      <c r="W272" s="355">
        <f t="shared" si="156"/>
        <v>0</v>
      </c>
      <c r="X272" s="355">
        <f t="shared" si="157"/>
        <v>0</v>
      </c>
      <c r="Z272" s="346" t="str">
        <f t="shared" ref="Z272:Z335" si="165">IF(B272&lt;&gt;"",+$B272&amp;"A","")</f>
        <v>0-ArbolesA</v>
      </c>
      <c r="AA272" s="346" t="str">
        <f t="shared" ref="AA272:AA335" si="166">IF(B272&lt;&gt;"",+$B272&amp;"E","")</f>
        <v>0-ArbolesE</v>
      </c>
      <c r="AB272" s="346" t="str">
        <f t="shared" ref="AB272:AB335" si="167">IF(B272&lt;&gt;"",++$B272&amp;"M","")</f>
        <v>0-ArbolesM</v>
      </c>
      <c r="AC272" s="346" t="str">
        <f t="shared" ref="AC272:AC335" si="168">IF(B272&lt;&gt;"",+$B272&amp;"T","")</f>
        <v>0-ArbolesT</v>
      </c>
      <c r="AD272" s="346" t="str">
        <f t="shared" ref="AD272:AD335" si="169">IF(B272&lt;&gt;"",+$B272&amp;"S","")</f>
        <v>0-ArbolesS</v>
      </c>
      <c r="AE272" s="346" t="str">
        <f t="shared" ref="AE272:AE335" si="170">IF(B272&lt;&gt;"",+$B272&amp;"X","")</f>
        <v>0-ArbolesX</v>
      </c>
      <c r="AF272" s="346" t="str">
        <f t="shared" ref="AF272:AF335" si="171">IF(B272&lt;&gt;"",+B272&amp;H272,"")</f>
        <v>0-ArbolesE</v>
      </c>
      <c r="AG272" s="346">
        <f t="shared" si="158"/>
        <v>4</v>
      </c>
      <c r="AH272" s="346">
        <f>IF(B272&lt;&gt;"",+IF(H272="x",+VLOOKUP(I272,'AUX-NIV2'!B:AG,32,FALSE),0),"")</f>
        <v>0</v>
      </c>
      <c r="AI272" s="346" t="str">
        <f t="shared" ref="AI272:AI335" si="172">IF(B272&lt;&gt;"",+B272,"")</f>
        <v>0-Arboles</v>
      </c>
      <c r="AK272" s="347">
        <f t="shared" si="159"/>
        <v>269</v>
      </c>
      <c r="AL272" s="348">
        <f t="shared" ref="AL272:AL335" si="173">IF(B272&lt;&gt;"",+AK272+AG272-1,"")</f>
        <v>272</v>
      </c>
      <c r="AM272" s="347">
        <f t="shared" ref="AM272:AM335" si="174">IF(B272&lt;&gt;"",IF(B272=B271,1+AM271,1),"")</f>
        <v>4</v>
      </c>
      <c r="AN272" s="382">
        <f>IF(AND(AH272&gt;0,B272&lt;&gt;""),VLOOKUP(I272,'AUX-NIV2'!$B:$AP,40,FALSE)*O272,0)</f>
        <v>0</v>
      </c>
      <c r="AO272" s="382">
        <f t="shared" si="160"/>
        <v>48</v>
      </c>
      <c r="AQ272" s="395">
        <f>(IF($H272="x",VLOOKUP($I272,'AUX-NIV2'!$B:$X,'AUX-NIV1'!AQ$3,FALSE),0)+($AV272*'AUX-NIV3'!S$4))*$O272+IF($H272=AQ$4,$P272,0)</f>
        <v>0</v>
      </c>
      <c r="AR272" s="395">
        <f>(IF($H272="x",VLOOKUP($I272,'AUX-NIV2'!$B:$X,'AUX-NIV1'!AR$3,FALSE),0)+($AV272*'AUX-NIV3'!T$4))*$O272+IF($H272=AR$4,$P272,0)</f>
        <v>7643.3470129870129</v>
      </c>
      <c r="AS272" s="395">
        <f>(IF($H272="x",VLOOKUP($I272,'AUX-NIV2'!$B:$X,'AUX-NIV1'!AS$3,FALSE),0)+($AV272*'AUX-NIV3'!U$4))*$O272+IF($H272=AS$4,$P272,0)</f>
        <v>0</v>
      </c>
      <c r="AT272" s="395">
        <f>(IF($H272="x",VLOOKUP($I272,'AUX-NIV2'!$B:$X,'AUX-NIV1'!AT$3,FALSE),0)+($AV272*'AUX-NIV3'!V$4))*$O272+IF($H272=AT$4,$P272,0)</f>
        <v>0</v>
      </c>
      <c r="AU272" s="395">
        <f>(IF($H272="x",VLOOKUP($I272,'AUX-NIV2'!$B:$X,'AUX-NIV1'!AU$3,FALSE),0)+($AV272*'AUX-NIV3'!W$4))*$O272+IF($H272=AU$4,$P272,0)</f>
        <v>0</v>
      </c>
      <c r="AV272" s="395">
        <f>+IF($H272="x",VLOOKUP($I272,'AUX-NIV2'!$B:$X,'AUX-NIV1'!AV$3,FALSE),0)</f>
        <v>0</v>
      </c>
    </row>
    <row r="273" spans="2:48" ht="14.4" hidden="1" thickTop="1" thickBot="1">
      <c r="B273" s="324" t="s">
        <v>941</v>
      </c>
      <c r="C273" s="325" t="s">
        <v>942</v>
      </c>
      <c r="D273" s="326" t="s">
        <v>1160</v>
      </c>
      <c r="E273" s="349">
        <f>IF(B273&lt;&gt;"",+SUMIF(Items!C:C,'AUX-NIV1'!B273,Items!H:H),"")</f>
        <v>0</v>
      </c>
      <c r="F273" s="349">
        <f t="shared" si="150"/>
        <v>906.14763412003049</v>
      </c>
      <c r="G273" s="349">
        <f t="shared" si="151"/>
        <v>0</v>
      </c>
      <c r="H273" s="1395" t="str">
        <f t="shared" si="161"/>
        <v>A</v>
      </c>
      <c r="I273" s="1375" t="s">
        <v>3310</v>
      </c>
      <c r="J273" s="350" t="str">
        <f>IF(B273&lt;&gt;"",+VLOOKUP(I273,Recursos!C:F,2,FALSE),"")</f>
        <v>OFICIAL ESPECIALIZADO</v>
      </c>
      <c r="K273" s="351" t="str">
        <f>IF(B273&lt;&gt;"",+VLOOKUP(I273,Recursos!C:F,3,FALSE),"")</f>
        <v>hh</v>
      </c>
      <c r="L273" s="349">
        <f>IF(B273&lt;&gt;"",+VLOOKUP(I273,Recursos!C:F,4,FALSE),"")</f>
        <v>581.06120476836554</v>
      </c>
      <c r="M273" s="331">
        <v>0.14285714285714285</v>
      </c>
      <c r="N273" s="331">
        <v>1.4</v>
      </c>
      <c r="O273" s="362">
        <f t="shared" ref="O273:O277" si="175">+M273*N273</f>
        <v>0.19999999999999998</v>
      </c>
      <c r="P273" s="352">
        <f t="shared" si="162"/>
        <v>116.2122409536731</v>
      </c>
      <c r="Q273" s="349">
        <f t="shared" si="163"/>
        <v>0</v>
      </c>
      <c r="R273" s="353">
        <f t="shared" si="164"/>
        <v>0</v>
      </c>
      <c r="S273" s="354">
        <f t="shared" si="152"/>
        <v>116.2122409536731</v>
      </c>
      <c r="T273" s="354">
        <f t="shared" si="153"/>
        <v>789.93539316635747</v>
      </c>
      <c r="U273" s="355">
        <f t="shared" si="154"/>
        <v>0</v>
      </c>
      <c r="V273" s="355">
        <f t="shared" si="155"/>
        <v>0</v>
      </c>
      <c r="W273" s="355">
        <f t="shared" si="156"/>
        <v>0</v>
      </c>
      <c r="X273" s="355">
        <f t="shared" si="157"/>
        <v>0</v>
      </c>
      <c r="Z273" s="346" t="str">
        <f t="shared" si="165"/>
        <v>0-DemolicionA</v>
      </c>
      <c r="AA273" s="346" t="str">
        <f t="shared" si="166"/>
        <v>0-DemolicionE</v>
      </c>
      <c r="AB273" s="346" t="str">
        <f t="shared" si="167"/>
        <v>0-DemolicionM</v>
      </c>
      <c r="AC273" s="346" t="str">
        <f t="shared" si="168"/>
        <v>0-DemolicionT</v>
      </c>
      <c r="AD273" s="346" t="str">
        <f t="shared" si="169"/>
        <v>0-DemolicionS</v>
      </c>
      <c r="AE273" s="346" t="str">
        <f t="shared" si="170"/>
        <v>0-DemolicionX</v>
      </c>
      <c r="AF273" s="346" t="str">
        <f t="shared" si="171"/>
        <v>0-DemolicionA</v>
      </c>
      <c r="AG273" s="346">
        <f t="shared" si="158"/>
        <v>5</v>
      </c>
      <c r="AH273" s="346">
        <f>IF(B273&lt;&gt;"",+IF(H273="x",+VLOOKUP(I273,'AUX-NIV2'!B:AG,32,FALSE),0),"")</f>
        <v>0</v>
      </c>
      <c r="AI273" s="346" t="str">
        <f t="shared" si="172"/>
        <v>0-Demolicion</v>
      </c>
      <c r="AK273" s="347">
        <f t="shared" si="159"/>
        <v>273</v>
      </c>
      <c r="AL273" s="348">
        <f t="shared" si="173"/>
        <v>277</v>
      </c>
      <c r="AM273" s="347">
        <f t="shared" si="174"/>
        <v>1</v>
      </c>
      <c r="AN273" s="382">
        <f>IF(AND(AH273&gt;0,B273&lt;&gt;""),VLOOKUP(I273,'AUX-NIV2'!$B:$AP,40,FALSE)*O273,0)</f>
        <v>0</v>
      </c>
      <c r="AO273" s="382">
        <f t="shared" si="160"/>
        <v>0.19999999999999998</v>
      </c>
      <c r="AQ273" s="395">
        <f>(IF($H273="x",VLOOKUP($I273,'AUX-NIV2'!$B:$X,'AUX-NIV1'!AQ$3,FALSE),0)+($AV273*'AUX-NIV3'!S$4))*$O273+IF($H273=AQ$4,$P273,0)</f>
        <v>116.2122409536731</v>
      </c>
      <c r="AR273" s="395">
        <f>(IF($H273="x",VLOOKUP($I273,'AUX-NIV2'!$B:$X,'AUX-NIV1'!AR$3,FALSE),0)+($AV273*'AUX-NIV3'!T$4))*$O273+IF($H273=AR$4,$P273,0)</f>
        <v>0</v>
      </c>
      <c r="AS273" s="395">
        <f>(IF($H273="x",VLOOKUP($I273,'AUX-NIV2'!$B:$X,'AUX-NIV1'!AS$3,FALSE),0)+($AV273*'AUX-NIV3'!U$4))*$O273+IF($H273=AS$4,$P273,0)</f>
        <v>0</v>
      </c>
      <c r="AT273" s="395">
        <f>(IF($H273="x",VLOOKUP($I273,'AUX-NIV2'!$B:$X,'AUX-NIV1'!AT$3,FALSE),0)+($AV273*'AUX-NIV3'!V$4))*$O273+IF($H273=AT$4,$P273,0)</f>
        <v>0</v>
      </c>
      <c r="AU273" s="395">
        <f>(IF($H273="x",VLOOKUP($I273,'AUX-NIV2'!$B:$X,'AUX-NIV1'!AU$3,FALSE),0)+($AV273*'AUX-NIV3'!W$4))*$O273+IF($H273=AU$4,$P273,0)</f>
        <v>0</v>
      </c>
      <c r="AV273" s="395">
        <f>+IF($H273="x",VLOOKUP($I273,'AUX-NIV2'!$B:$X,'AUX-NIV1'!AV$3,FALSE),0)</f>
        <v>0</v>
      </c>
    </row>
    <row r="274" spans="2:48" ht="14.4" hidden="1" thickTop="1" thickBot="1">
      <c r="B274" s="324" t="s">
        <v>941</v>
      </c>
      <c r="C274" s="325" t="s">
        <v>942</v>
      </c>
      <c r="D274" s="326" t="s">
        <v>1160</v>
      </c>
      <c r="E274" s="349">
        <f>IF(B274&lt;&gt;"",+SUMIF(Items!C:C,'AUX-NIV1'!B274,Items!H:H),"")</f>
        <v>0</v>
      </c>
      <c r="F274" s="349">
        <f t="shared" si="150"/>
        <v>906.14763412003049</v>
      </c>
      <c r="G274" s="349">
        <f t="shared" si="151"/>
        <v>0</v>
      </c>
      <c r="H274" s="1395" t="str">
        <f t="shared" si="161"/>
        <v>E</v>
      </c>
      <c r="I274" s="1375" t="s">
        <v>1552</v>
      </c>
      <c r="J274" s="350" t="str">
        <f>IF(B274&lt;&gt;"",+VLOOKUP(I274,Recursos!C:F,2,FALSE),"")</f>
        <v>RETROEXCAVADORA S/CARRILES  0,9 M2</v>
      </c>
      <c r="K274" s="351" t="str">
        <f>IF(B274&lt;&gt;"",+VLOOKUP(I274,Recursos!C:F,3,FALSE),"")</f>
        <v>HR</v>
      </c>
      <c r="L274" s="349">
        <f>IF(B274&lt;&gt;"",+VLOOKUP(I274,Recursos!C:F,4,FALSE),"")</f>
        <v>2743.02</v>
      </c>
      <c r="M274" s="331">
        <v>0.14285714285714285</v>
      </c>
      <c r="N274" s="331">
        <v>1</v>
      </c>
      <c r="O274" s="362">
        <f t="shared" si="175"/>
        <v>0.14285714285714285</v>
      </c>
      <c r="P274" s="352">
        <f t="shared" si="162"/>
        <v>391.85999999999996</v>
      </c>
      <c r="Q274" s="349">
        <f t="shared" si="163"/>
        <v>0</v>
      </c>
      <c r="R274" s="353">
        <f t="shared" si="164"/>
        <v>0</v>
      </c>
      <c r="S274" s="354">
        <f t="shared" si="152"/>
        <v>116.2122409536731</v>
      </c>
      <c r="T274" s="354">
        <f t="shared" si="153"/>
        <v>789.93539316635747</v>
      </c>
      <c r="U274" s="355">
        <f t="shared" si="154"/>
        <v>0</v>
      </c>
      <c r="V274" s="355">
        <f t="shared" si="155"/>
        <v>0</v>
      </c>
      <c r="W274" s="355">
        <f t="shared" si="156"/>
        <v>0</v>
      </c>
      <c r="X274" s="355">
        <f t="shared" si="157"/>
        <v>0</v>
      </c>
      <c r="Z274" s="346" t="str">
        <f t="shared" si="165"/>
        <v>0-DemolicionA</v>
      </c>
      <c r="AA274" s="346" t="str">
        <f t="shared" si="166"/>
        <v>0-DemolicionE</v>
      </c>
      <c r="AB274" s="346" t="str">
        <f t="shared" si="167"/>
        <v>0-DemolicionM</v>
      </c>
      <c r="AC274" s="346" t="str">
        <f t="shared" si="168"/>
        <v>0-DemolicionT</v>
      </c>
      <c r="AD274" s="346" t="str">
        <f t="shared" si="169"/>
        <v>0-DemolicionS</v>
      </c>
      <c r="AE274" s="346" t="str">
        <f t="shared" si="170"/>
        <v>0-DemolicionX</v>
      </c>
      <c r="AF274" s="346" t="str">
        <f t="shared" si="171"/>
        <v>0-DemolicionE</v>
      </c>
      <c r="AG274" s="346">
        <f t="shared" si="158"/>
        <v>5</v>
      </c>
      <c r="AH274" s="346">
        <f>IF(B274&lt;&gt;"",+IF(H274="x",+VLOOKUP(I274,'AUX-NIV2'!B:AG,32,FALSE),0),"")</f>
        <v>0</v>
      </c>
      <c r="AI274" s="346" t="str">
        <f t="shared" si="172"/>
        <v>0-Demolicion</v>
      </c>
      <c r="AK274" s="347">
        <f t="shared" si="159"/>
        <v>273</v>
      </c>
      <c r="AL274" s="348">
        <f t="shared" si="173"/>
        <v>277</v>
      </c>
      <c r="AM274" s="347">
        <f t="shared" si="174"/>
        <v>2</v>
      </c>
      <c r="AN274" s="382">
        <f>IF(AND(AH274&gt;0,B274&lt;&gt;""),VLOOKUP(I274,'AUX-NIV2'!$B:$AP,40,FALSE)*O274,0)</f>
        <v>0</v>
      </c>
      <c r="AO274" s="382">
        <f t="shared" si="160"/>
        <v>0.19999999999999998</v>
      </c>
      <c r="AQ274" s="395">
        <f>(IF($H274="x",VLOOKUP($I274,'AUX-NIV2'!$B:$X,'AUX-NIV1'!AQ$3,FALSE),0)+($AV274*'AUX-NIV3'!S$4))*$O274+IF($H274=AQ$4,$P274,0)</f>
        <v>0</v>
      </c>
      <c r="AR274" s="395">
        <f>(IF($H274="x",VLOOKUP($I274,'AUX-NIV2'!$B:$X,'AUX-NIV1'!AR$3,FALSE),0)+($AV274*'AUX-NIV3'!T$4))*$O274+IF($H274=AR$4,$P274,0)</f>
        <v>391.85999999999996</v>
      </c>
      <c r="AS274" s="395">
        <f>(IF($H274="x",VLOOKUP($I274,'AUX-NIV2'!$B:$X,'AUX-NIV1'!AS$3,FALSE),0)+($AV274*'AUX-NIV3'!U$4))*$O274+IF($H274=AS$4,$P274,0)</f>
        <v>0</v>
      </c>
      <c r="AT274" s="395">
        <f>(IF($H274="x",VLOOKUP($I274,'AUX-NIV2'!$B:$X,'AUX-NIV1'!AT$3,FALSE),0)+($AV274*'AUX-NIV3'!V$4))*$O274+IF($H274=AT$4,$P274,0)</f>
        <v>0</v>
      </c>
      <c r="AU274" s="395">
        <f>(IF($H274="x",VLOOKUP($I274,'AUX-NIV2'!$B:$X,'AUX-NIV1'!AU$3,FALSE),0)+($AV274*'AUX-NIV3'!W$4))*$O274+IF($H274=AU$4,$P274,0)</f>
        <v>0</v>
      </c>
      <c r="AV274" s="395">
        <f>+IF($H274="x",VLOOKUP($I274,'AUX-NIV2'!$B:$X,'AUX-NIV1'!AV$3,FALSE),0)</f>
        <v>0</v>
      </c>
    </row>
    <row r="275" spans="2:48" ht="14.4" hidden="1" thickTop="1" thickBot="1">
      <c r="B275" s="324" t="s">
        <v>941</v>
      </c>
      <c r="C275" s="325" t="s">
        <v>942</v>
      </c>
      <c r="D275" s="326" t="s">
        <v>1160</v>
      </c>
      <c r="E275" s="349">
        <f>IF(B275&lt;&gt;"",+SUMIF(Items!C:C,'AUX-NIV1'!B275,Items!H:H),"")</f>
        <v>0</v>
      </c>
      <c r="F275" s="349">
        <f t="shared" si="150"/>
        <v>906.14763412003049</v>
      </c>
      <c r="G275" s="349">
        <f t="shared" si="151"/>
        <v>0</v>
      </c>
      <c r="H275" s="1395" t="str">
        <f t="shared" si="161"/>
        <v>E</v>
      </c>
      <c r="I275" s="1375" t="s">
        <v>1634</v>
      </c>
      <c r="J275" s="350" t="str">
        <f>IF(B275&lt;&gt;"",+VLOOKUP(I275,Recursos!C:F,2,FALSE),"")</f>
        <v>MARTILLO KRUPP</v>
      </c>
      <c r="K275" s="351" t="str">
        <f>IF(B275&lt;&gt;"",+VLOOKUP(I275,Recursos!C:F,3,FALSE),"")</f>
        <v>HR</v>
      </c>
      <c r="L275" s="349">
        <f>IF(B275&lt;&gt;"",+VLOOKUP(I275,Recursos!C:F,4,FALSE),"")</f>
        <v>440.85599999999999</v>
      </c>
      <c r="M275" s="331">
        <v>0.14285714285714285</v>
      </c>
      <c r="N275" s="331">
        <v>1</v>
      </c>
      <c r="O275" s="362">
        <f t="shared" si="175"/>
        <v>0.14285714285714285</v>
      </c>
      <c r="P275" s="352">
        <f t="shared" si="162"/>
        <v>62.979428571428571</v>
      </c>
      <c r="Q275" s="349">
        <f t="shared" si="163"/>
        <v>0</v>
      </c>
      <c r="R275" s="353">
        <f t="shared" si="164"/>
        <v>0</v>
      </c>
      <c r="S275" s="354">
        <f t="shared" si="152"/>
        <v>116.2122409536731</v>
      </c>
      <c r="T275" s="354">
        <f t="shared" si="153"/>
        <v>789.93539316635747</v>
      </c>
      <c r="U275" s="355">
        <f t="shared" si="154"/>
        <v>0</v>
      </c>
      <c r="V275" s="355">
        <f t="shared" si="155"/>
        <v>0</v>
      </c>
      <c r="W275" s="355">
        <f t="shared" si="156"/>
        <v>0</v>
      </c>
      <c r="X275" s="355">
        <f t="shared" si="157"/>
        <v>0</v>
      </c>
      <c r="Z275" s="346" t="str">
        <f t="shared" si="165"/>
        <v>0-DemolicionA</v>
      </c>
      <c r="AA275" s="346" t="str">
        <f t="shared" si="166"/>
        <v>0-DemolicionE</v>
      </c>
      <c r="AB275" s="346" t="str">
        <f t="shared" si="167"/>
        <v>0-DemolicionM</v>
      </c>
      <c r="AC275" s="346" t="str">
        <f t="shared" si="168"/>
        <v>0-DemolicionT</v>
      </c>
      <c r="AD275" s="346" t="str">
        <f t="shared" si="169"/>
        <v>0-DemolicionS</v>
      </c>
      <c r="AE275" s="346" t="str">
        <f t="shared" si="170"/>
        <v>0-DemolicionX</v>
      </c>
      <c r="AF275" s="346" t="str">
        <f t="shared" si="171"/>
        <v>0-DemolicionE</v>
      </c>
      <c r="AG275" s="346">
        <f t="shared" si="158"/>
        <v>5</v>
      </c>
      <c r="AH275" s="346">
        <f>IF(B275&lt;&gt;"",+IF(H275="x",+VLOOKUP(I275,'AUX-NIV2'!B:AG,32,FALSE),0),"")</f>
        <v>0</v>
      </c>
      <c r="AI275" s="346" t="str">
        <f t="shared" si="172"/>
        <v>0-Demolicion</v>
      </c>
      <c r="AK275" s="347">
        <f t="shared" si="159"/>
        <v>273</v>
      </c>
      <c r="AL275" s="348">
        <f t="shared" si="173"/>
        <v>277</v>
      </c>
      <c r="AM275" s="347">
        <f t="shared" si="174"/>
        <v>3</v>
      </c>
      <c r="AN275" s="382">
        <f>IF(AND(AH275&gt;0,B275&lt;&gt;""),VLOOKUP(I275,'AUX-NIV2'!$B:$AP,40,FALSE)*O275,0)</f>
        <v>0</v>
      </c>
      <c r="AO275" s="382">
        <f t="shared" si="160"/>
        <v>0.19999999999999998</v>
      </c>
      <c r="AQ275" s="395">
        <f>(IF($H275="x",VLOOKUP($I275,'AUX-NIV2'!$B:$X,'AUX-NIV1'!AQ$3,FALSE),0)+($AV275*'AUX-NIV3'!S$4))*$O275+IF($H275=AQ$4,$P275,0)</f>
        <v>0</v>
      </c>
      <c r="AR275" s="395">
        <f>(IF($H275="x",VLOOKUP($I275,'AUX-NIV2'!$B:$X,'AUX-NIV1'!AR$3,FALSE),0)+($AV275*'AUX-NIV3'!T$4))*$O275+IF($H275=AR$4,$P275,0)</f>
        <v>62.979428571428571</v>
      </c>
      <c r="AS275" s="395">
        <f>(IF($H275="x",VLOOKUP($I275,'AUX-NIV2'!$B:$X,'AUX-NIV1'!AS$3,FALSE),0)+($AV275*'AUX-NIV3'!U$4))*$O275+IF($H275=AS$4,$P275,0)</f>
        <v>0</v>
      </c>
      <c r="AT275" s="395">
        <f>(IF($H275="x",VLOOKUP($I275,'AUX-NIV2'!$B:$X,'AUX-NIV1'!AT$3,FALSE),0)+($AV275*'AUX-NIV3'!V$4))*$O275+IF($H275=AT$4,$P275,0)</f>
        <v>0</v>
      </c>
      <c r="AU275" s="395">
        <f>(IF($H275="x",VLOOKUP($I275,'AUX-NIV2'!$B:$X,'AUX-NIV1'!AU$3,FALSE),0)+($AV275*'AUX-NIV3'!W$4))*$O275+IF($H275=AU$4,$P275,0)</f>
        <v>0</v>
      </c>
      <c r="AV275" s="395">
        <f>+IF($H275="x",VLOOKUP($I275,'AUX-NIV2'!$B:$X,'AUX-NIV1'!AV$3,FALSE),0)</f>
        <v>0</v>
      </c>
    </row>
    <row r="276" spans="2:48" ht="14.4" hidden="1" thickTop="1" thickBot="1">
      <c r="B276" s="324" t="s">
        <v>941</v>
      </c>
      <c r="C276" s="325" t="s">
        <v>942</v>
      </c>
      <c r="D276" s="326" t="s">
        <v>1160</v>
      </c>
      <c r="E276" s="349">
        <f>IF(B276&lt;&gt;"",+SUMIF(Items!C:C,'AUX-NIV1'!B276,Items!H:H),"")</f>
        <v>0</v>
      </c>
      <c r="F276" s="349">
        <f t="shared" si="150"/>
        <v>906.14763412003049</v>
      </c>
      <c r="G276" s="349">
        <f t="shared" si="151"/>
        <v>0</v>
      </c>
      <c r="H276" s="1395" t="str">
        <f t="shared" si="161"/>
        <v>E</v>
      </c>
      <c r="I276" s="1375" t="s">
        <v>1541</v>
      </c>
      <c r="J276" s="350" t="str">
        <f>IF(B276&lt;&gt;"",+VLOOKUP(I276,Recursos!C:F,2,FALSE),"")</f>
        <v>CARGADOR FRONTAL S/NEUM. (1,60 M3)</v>
      </c>
      <c r="K276" s="351" t="str">
        <f>IF(B276&lt;&gt;"",+VLOOKUP(I276,Recursos!C:F,3,FALSE),"")</f>
        <v>HR</v>
      </c>
      <c r="L276" s="349">
        <f>IF(B276&lt;&gt;"",+VLOOKUP(I276,Recursos!C:F,4,FALSE),"")</f>
        <v>2143.5611666666664</v>
      </c>
      <c r="M276" s="331">
        <v>0.14285714285714285</v>
      </c>
      <c r="N276" s="331">
        <v>0.5</v>
      </c>
      <c r="O276" s="362">
        <f t="shared" si="175"/>
        <v>7.1428571428571425E-2</v>
      </c>
      <c r="P276" s="352">
        <f t="shared" si="162"/>
        <v>153.11151190476187</v>
      </c>
      <c r="Q276" s="349">
        <f t="shared" si="163"/>
        <v>0</v>
      </c>
      <c r="R276" s="353">
        <f t="shared" si="164"/>
        <v>0</v>
      </c>
      <c r="S276" s="354">
        <f t="shared" si="152"/>
        <v>116.2122409536731</v>
      </c>
      <c r="T276" s="354">
        <f t="shared" si="153"/>
        <v>789.93539316635747</v>
      </c>
      <c r="U276" s="355">
        <f t="shared" si="154"/>
        <v>0</v>
      </c>
      <c r="V276" s="355">
        <f t="shared" si="155"/>
        <v>0</v>
      </c>
      <c r="W276" s="355">
        <f t="shared" si="156"/>
        <v>0</v>
      </c>
      <c r="X276" s="355">
        <f t="shared" si="157"/>
        <v>0</v>
      </c>
      <c r="Z276" s="346" t="str">
        <f t="shared" si="165"/>
        <v>0-DemolicionA</v>
      </c>
      <c r="AA276" s="346" t="str">
        <f t="shared" si="166"/>
        <v>0-DemolicionE</v>
      </c>
      <c r="AB276" s="346" t="str">
        <f t="shared" si="167"/>
        <v>0-DemolicionM</v>
      </c>
      <c r="AC276" s="346" t="str">
        <f t="shared" si="168"/>
        <v>0-DemolicionT</v>
      </c>
      <c r="AD276" s="346" t="str">
        <f t="shared" si="169"/>
        <v>0-DemolicionS</v>
      </c>
      <c r="AE276" s="346" t="str">
        <f t="shared" si="170"/>
        <v>0-DemolicionX</v>
      </c>
      <c r="AF276" s="346" t="str">
        <f t="shared" si="171"/>
        <v>0-DemolicionE</v>
      </c>
      <c r="AG276" s="346">
        <f t="shared" si="158"/>
        <v>5</v>
      </c>
      <c r="AH276" s="346">
        <f>IF(B276&lt;&gt;"",+IF(H276="x",+VLOOKUP(I276,'AUX-NIV2'!B:AG,32,FALSE),0),"")</f>
        <v>0</v>
      </c>
      <c r="AI276" s="346" t="str">
        <f t="shared" si="172"/>
        <v>0-Demolicion</v>
      </c>
      <c r="AK276" s="347">
        <f t="shared" si="159"/>
        <v>273</v>
      </c>
      <c r="AL276" s="348">
        <f t="shared" si="173"/>
        <v>277</v>
      </c>
      <c r="AM276" s="347">
        <f t="shared" si="174"/>
        <v>4</v>
      </c>
      <c r="AN276" s="382">
        <f>IF(AND(AH276&gt;0,B276&lt;&gt;""),VLOOKUP(I276,'AUX-NIV2'!$B:$AP,40,FALSE)*O276,0)</f>
        <v>0</v>
      </c>
      <c r="AO276" s="382">
        <f t="shared" si="160"/>
        <v>0.19999999999999998</v>
      </c>
      <c r="AQ276" s="395">
        <f>(IF($H276="x",VLOOKUP($I276,'AUX-NIV2'!$B:$X,'AUX-NIV1'!AQ$3,FALSE),0)+($AV276*'AUX-NIV3'!S$4))*$O276+IF($H276=AQ$4,$P276,0)</f>
        <v>0</v>
      </c>
      <c r="AR276" s="395">
        <f>(IF($H276="x",VLOOKUP($I276,'AUX-NIV2'!$B:$X,'AUX-NIV1'!AR$3,FALSE),0)+($AV276*'AUX-NIV3'!T$4))*$O276+IF($H276=AR$4,$P276,0)</f>
        <v>153.11151190476187</v>
      </c>
      <c r="AS276" s="395">
        <f>(IF($H276="x",VLOOKUP($I276,'AUX-NIV2'!$B:$X,'AUX-NIV1'!AS$3,FALSE),0)+($AV276*'AUX-NIV3'!U$4))*$O276+IF($H276=AS$4,$P276,0)</f>
        <v>0</v>
      </c>
      <c r="AT276" s="395">
        <f>(IF($H276="x",VLOOKUP($I276,'AUX-NIV2'!$B:$X,'AUX-NIV1'!AT$3,FALSE),0)+($AV276*'AUX-NIV3'!V$4))*$O276+IF($H276=AT$4,$P276,0)</f>
        <v>0</v>
      </c>
      <c r="AU276" s="395">
        <f>(IF($H276="x",VLOOKUP($I276,'AUX-NIV2'!$B:$X,'AUX-NIV1'!AU$3,FALSE),0)+($AV276*'AUX-NIV3'!W$4))*$O276+IF($H276=AU$4,$P276,0)</f>
        <v>0</v>
      </c>
      <c r="AV276" s="395">
        <f>+IF($H276="x",VLOOKUP($I276,'AUX-NIV2'!$B:$X,'AUX-NIV1'!AV$3,FALSE),0)</f>
        <v>0</v>
      </c>
    </row>
    <row r="277" spans="2:48" ht="14.4" hidden="1" thickTop="1" thickBot="1">
      <c r="B277" s="324" t="s">
        <v>941</v>
      </c>
      <c r="C277" s="325" t="s">
        <v>942</v>
      </c>
      <c r="D277" s="326" t="s">
        <v>1160</v>
      </c>
      <c r="E277" s="349">
        <f>IF(B277&lt;&gt;"",+SUMIF(Items!C:C,'AUX-NIV1'!B277,Items!H:H),"")</f>
        <v>0</v>
      </c>
      <c r="F277" s="349">
        <f t="shared" si="150"/>
        <v>906.14763412003049</v>
      </c>
      <c r="G277" s="349">
        <f t="shared" si="151"/>
        <v>0</v>
      </c>
      <c r="H277" s="1395" t="str">
        <f t="shared" si="161"/>
        <v>E</v>
      </c>
      <c r="I277" s="1375" t="s">
        <v>1556</v>
      </c>
      <c r="J277" s="350" t="str">
        <f>IF(B277&lt;&gt;"",+VLOOKUP(I277,Recursos!C:F,2,FALSE),"")</f>
        <v>CAMION VOLCADOR CAP. 15 T=9 m3</v>
      </c>
      <c r="K277" s="351" t="str">
        <f>IF(B277&lt;&gt;"",+VLOOKUP(I277,Recursos!C:F,3,FALSE),"")</f>
        <v>HR</v>
      </c>
      <c r="L277" s="349">
        <f>IF(B277&lt;&gt;"",+VLOOKUP(I277,Recursos!C:F,4,FALSE),"")</f>
        <v>2547.7823376623378</v>
      </c>
      <c r="M277" s="331">
        <v>0.14285714285714285</v>
      </c>
      <c r="N277" s="331">
        <v>0.5</v>
      </c>
      <c r="O277" s="362">
        <f t="shared" si="175"/>
        <v>7.1428571428571425E-2</v>
      </c>
      <c r="P277" s="352">
        <f t="shared" si="162"/>
        <v>181.98445269016699</v>
      </c>
      <c r="Q277" s="349">
        <f t="shared" si="163"/>
        <v>0</v>
      </c>
      <c r="R277" s="353">
        <f t="shared" si="164"/>
        <v>0</v>
      </c>
      <c r="S277" s="354">
        <f t="shared" si="152"/>
        <v>116.2122409536731</v>
      </c>
      <c r="T277" s="354">
        <f t="shared" si="153"/>
        <v>789.93539316635747</v>
      </c>
      <c r="U277" s="355">
        <f t="shared" si="154"/>
        <v>0</v>
      </c>
      <c r="V277" s="355">
        <f t="shared" si="155"/>
        <v>0</v>
      </c>
      <c r="W277" s="355">
        <f t="shared" si="156"/>
        <v>0</v>
      </c>
      <c r="X277" s="355">
        <f t="shared" si="157"/>
        <v>0</v>
      </c>
      <c r="Z277" s="346" t="str">
        <f t="shared" si="165"/>
        <v>0-DemolicionA</v>
      </c>
      <c r="AA277" s="346" t="str">
        <f t="shared" si="166"/>
        <v>0-DemolicionE</v>
      </c>
      <c r="AB277" s="346" t="str">
        <f t="shared" si="167"/>
        <v>0-DemolicionM</v>
      </c>
      <c r="AC277" s="346" t="str">
        <f t="shared" si="168"/>
        <v>0-DemolicionT</v>
      </c>
      <c r="AD277" s="346" t="str">
        <f t="shared" si="169"/>
        <v>0-DemolicionS</v>
      </c>
      <c r="AE277" s="346" t="str">
        <f t="shared" si="170"/>
        <v>0-DemolicionX</v>
      </c>
      <c r="AF277" s="346" t="str">
        <f t="shared" si="171"/>
        <v>0-DemolicionE</v>
      </c>
      <c r="AG277" s="346">
        <f t="shared" si="158"/>
        <v>5</v>
      </c>
      <c r="AH277" s="346">
        <f>IF(B277&lt;&gt;"",+IF(H277="x",+VLOOKUP(I277,'AUX-NIV2'!B:AG,32,FALSE),0),"")</f>
        <v>0</v>
      </c>
      <c r="AI277" s="346" t="str">
        <f t="shared" si="172"/>
        <v>0-Demolicion</v>
      </c>
      <c r="AK277" s="347">
        <f t="shared" si="159"/>
        <v>273</v>
      </c>
      <c r="AL277" s="348">
        <f t="shared" si="173"/>
        <v>277</v>
      </c>
      <c r="AM277" s="347">
        <f t="shared" si="174"/>
        <v>5</v>
      </c>
      <c r="AN277" s="382">
        <f>IF(AND(AH277&gt;0,B277&lt;&gt;""),VLOOKUP(I277,'AUX-NIV2'!$B:$AP,40,FALSE)*O277,0)</f>
        <v>0</v>
      </c>
      <c r="AO277" s="382">
        <f t="shared" si="160"/>
        <v>0.19999999999999998</v>
      </c>
      <c r="AQ277" s="395">
        <f>(IF($H277="x",VLOOKUP($I277,'AUX-NIV2'!$B:$X,'AUX-NIV1'!AQ$3,FALSE),0)+($AV277*'AUX-NIV3'!S$4))*$O277+IF($H277=AQ$4,$P277,0)</f>
        <v>0</v>
      </c>
      <c r="AR277" s="395">
        <f>(IF($H277="x",VLOOKUP($I277,'AUX-NIV2'!$B:$X,'AUX-NIV1'!AR$3,FALSE),0)+($AV277*'AUX-NIV3'!T$4))*$O277+IF($H277=AR$4,$P277,0)</f>
        <v>181.98445269016699</v>
      </c>
      <c r="AS277" s="395">
        <f>(IF($H277="x",VLOOKUP($I277,'AUX-NIV2'!$B:$X,'AUX-NIV1'!AS$3,FALSE),0)+($AV277*'AUX-NIV3'!U$4))*$O277+IF($H277=AS$4,$P277,0)</f>
        <v>0</v>
      </c>
      <c r="AT277" s="395">
        <f>(IF($H277="x",VLOOKUP($I277,'AUX-NIV2'!$B:$X,'AUX-NIV1'!AT$3,FALSE),0)+($AV277*'AUX-NIV3'!V$4))*$O277+IF($H277=AT$4,$P277,0)</f>
        <v>0</v>
      </c>
      <c r="AU277" s="395">
        <f>(IF($H277="x",VLOOKUP($I277,'AUX-NIV2'!$B:$X,'AUX-NIV1'!AU$3,FALSE),0)+($AV277*'AUX-NIV3'!W$4))*$O277+IF($H277=AU$4,$P277,0)</f>
        <v>0</v>
      </c>
      <c r="AV277" s="395">
        <f>+IF($H277="x",VLOOKUP($I277,'AUX-NIV2'!$B:$X,'AUX-NIV1'!AV$3,FALSE),0)</f>
        <v>0</v>
      </c>
    </row>
    <row r="278" spans="2:48" ht="14.4" hidden="1" thickTop="1" thickBot="1">
      <c r="B278" s="324" t="s">
        <v>947</v>
      </c>
      <c r="C278" s="325" t="s">
        <v>948</v>
      </c>
      <c r="D278" s="326" t="s">
        <v>185</v>
      </c>
      <c r="E278" s="349">
        <f>IF(B278&lt;&gt;"",+SUMIF(Items!C:C,'AUX-NIV1'!B278,Items!H:H),"")</f>
        <v>0</v>
      </c>
      <c r="F278" s="349">
        <f t="shared" si="150"/>
        <v>1250</v>
      </c>
      <c r="G278" s="349">
        <f t="shared" si="151"/>
        <v>0</v>
      </c>
      <c r="H278" s="1395" t="str">
        <f t="shared" si="161"/>
        <v>M</v>
      </c>
      <c r="I278" s="1375" t="s">
        <v>621</v>
      </c>
      <c r="J278" s="350" t="str">
        <f>IF(B278&lt;&gt;"",+VLOOKUP(I278,Recursos!C:F,2,FALSE),"")</f>
        <v>MATERIALES VARIOS</v>
      </c>
      <c r="K278" s="351" t="str">
        <f>IF(B278&lt;&gt;"",+VLOOKUP(I278,Recursos!C:F,3,FALSE),"")</f>
        <v>GL</v>
      </c>
      <c r="L278" s="349">
        <f>IF(B278&lt;&gt;"",+VLOOKUP(I278,Recursos!C:F,4,FALSE),"")</f>
        <v>0.5</v>
      </c>
      <c r="M278" s="331">
        <v>2500</v>
      </c>
      <c r="N278" s="331">
        <v>1</v>
      </c>
      <c r="O278" s="362">
        <f t="shared" ref="O278:O284" si="176">+M278*N278</f>
        <v>2500</v>
      </c>
      <c r="P278" s="352">
        <f t="shared" si="162"/>
        <v>1250</v>
      </c>
      <c r="Q278" s="349">
        <f t="shared" si="163"/>
        <v>0</v>
      </c>
      <c r="R278" s="353">
        <f t="shared" si="164"/>
        <v>0</v>
      </c>
      <c r="S278" s="354">
        <f t="shared" si="152"/>
        <v>0</v>
      </c>
      <c r="T278" s="354">
        <f t="shared" si="153"/>
        <v>0</v>
      </c>
      <c r="U278" s="355">
        <f t="shared" si="154"/>
        <v>1250</v>
      </c>
      <c r="V278" s="355">
        <f t="shared" si="155"/>
        <v>0</v>
      </c>
      <c r="W278" s="355">
        <f t="shared" si="156"/>
        <v>0</v>
      </c>
      <c r="X278" s="355">
        <f t="shared" si="157"/>
        <v>0</v>
      </c>
      <c r="Z278" s="346" t="str">
        <f t="shared" si="165"/>
        <v>0-REPAA</v>
      </c>
      <c r="AA278" s="346" t="str">
        <f t="shared" si="166"/>
        <v>0-REPAE</v>
      </c>
      <c r="AB278" s="346" t="str">
        <f t="shared" si="167"/>
        <v>0-REPAM</v>
      </c>
      <c r="AC278" s="346" t="str">
        <f t="shared" si="168"/>
        <v>0-REPAT</v>
      </c>
      <c r="AD278" s="346" t="str">
        <f t="shared" si="169"/>
        <v>0-REPAS</v>
      </c>
      <c r="AE278" s="346" t="str">
        <f t="shared" si="170"/>
        <v>0-REPAX</v>
      </c>
      <c r="AF278" s="346" t="str">
        <f t="shared" si="171"/>
        <v>0-REPAM</v>
      </c>
      <c r="AG278" s="346">
        <f t="shared" si="158"/>
        <v>1</v>
      </c>
      <c r="AH278" s="346">
        <f>IF(B278&lt;&gt;"",+IF(H278="x",+VLOOKUP(I278,'AUX-NIV2'!B:AG,32,FALSE),0),"")</f>
        <v>0</v>
      </c>
      <c r="AI278" s="346" t="str">
        <f t="shared" si="172"/>
        <v>0-REPA</v>
      </c>
      <c r="AK278" s="347">
        <f t="shared" si="159"/>
        <v>278</v>
      </c>
      <c r="AL278" s="348">
        <f t="shared" si="173"/>
        <v>278</v>
      </c>
      <c r="AM278" s="347">
        <f t="shared" si="174"/>
        <v>1</v>
      </c>
      <c r="AN278" s="382">
        <f>IF(AND(AH278&gt;0,B278&lt;&gt;""),VLOOKUP(I278,'AUX-NIV2'!$B:$AP,40,FALSE)*O278,0)</f>
        <v>0</v>
      </c>
      <c r="AO278" s="382">
        <f t="shared" si="160"/>
        <v>0</v>
      </c>
      <c r="AQ278" s="395">
        <f>(IF($H278="x",VLOOKUP($I278,'AUX-NIV2'!$B:$X,'AUX-NIV1'!AQ$3,FALSE),0)+($AV278*'AUX-NIV3'!S$4))*$O278+IF($H278=AQ$4,$P278,0)</f>
        <v>0</v>
      </c>
      <c r="AR278" s="395">
        <f>(IF($H278="x",VLOOKUP($I278,'AUX-NIV2'!$B:$X,'AUX-NIV1'!AR$3,FALSE),0)+($AV278*'AUX-NIV3'!T$4))*$O278+IF($H278=AR$4,$P278,0)</f>
        <v>0</v>
      </c>
      <c r="AS278" s="395">
        <f>(IF($H278="x",VLOOKUP($I278,'AUX-NIV2'!$B:$X,'AUX-NIV1'!AS$3,FALSE),0)+($AV278*'AUX-NIV3'!U$4))*$O278+IF($H278=AS$4,$P278,0)</f>
        <v>1250</v>
      </c>
      <c r="AT278" s="395">
        <f>(IF($H278="x",VLOOKUP($I278,'AUX-NIV2'!$B:$X,'AUX-NIV1'!AT$3,FALSE),0)+($AV278*'AUX-NIV3'!V$4))*$O278+IF($H278=AT$4,$P278,0)</f>
        <v>0</v>
      </c>
      <c r="AU278" s="395">
        <f>(IF($H278="x",VLOOKUP($I278,'AUX-NIV2'!$B:$X,'AUX-NIV1'!AU$3,FALSE),0)+($AV278*'AUX-NIV3'!W$4))*$O278+IF($H278=AU$4,$P278,0)</f>
        <v>0</v>
      </c>
      <c r="AV278" s="395">
        <f>+IF($H278="x",VLOOKUP($I278,'AUX-NIV2'!$B:$X,'AUX-NIV1'!AV$3,FALSE),0)</f>
        <v>0</v>
      </c>
    </row>
    <row r="279" spans="2:48" ht="14.4" hidden="1" thickTop="1" thickBot="1">
      <c r="B279" s="324" t="s">
        <v>949</v>
      </c>
      <c r="C279" s="325" t="s">
        <v>950</v>
      </c>
      <c r="D279" s="326" t="s">
        <v>1160</v>
      </c>
      <c r="E279" s="349">
        <f>IF(B279&lt;&gt;"",+SUMIF(Items!C:C,'AUX-NIV1'!B279,Items!H:H),"")</f>
        <v>0</v>
      </c>
      <c r="F279" s="349">
        <f t="shared" si="150"/>
        <v>883.02225638688844</v>
      </c>
      <c r="G279" s="349">
        <f t="shared" si="151"/>
        <v>0</v>
      </c>
      <c r="H279" s="1395" t="str">
        <f t="shared" si="161"/>
        <v>X</v>
      </c>
      <c r="I279" s="1375" t="s">
        <v>1253</v>
      </c>
      <c r="J279" s="350" t="str">
        <f>IF(B279&lt;&gt;"",+VLOOKUP(I279,Recursos!C:F,2,FALSE),"")</f>
        <v>Obt-Transp. de Agua p/Hormigones</v>
      </c>
      <c r="K279" s="351" t="str">
        <f>IF(B279&lt;&gt;"",+VLOOKUP(I279,Recursos!C:F,3,FALSE),"")</f>
        <v>m3</v>
      </c>
      <c r="L279" s="349">
        <f>IF(B279&lt;&gt;"",+VLOOKUP(I279,Recursos!C:F,4,FALSE),"")</f>
        <v>352.16492140392978</v>
      </c>
      <c r="M279" s="331">
        <v>1</v>
      </c>
      <c r="N279" s="331">
        <v>0</v>
      </c>
      <c r="O279" s="362">
        <f t="shared" si="176"/>
        <v>0</v>
      </c>
      <c r="P279" s="352">
        <f t="shared" si="162"/>
        <v>0</v>
      </c>
      <c r="Q279" s="349">
        <f t="shared" si="163"/>
        <v>0</v>
      </c>
      <c r="R279" s="353">
        <f t="shared" si="164"/>
        <v>0</v>
      </c>
      <c r="S279" s="354">
        <f t="shared" si="152"/>
        <v>0</v>
      </c>
      <c r="T279" s="354">
        <f t="shared" si="153"/>
        <v>0</v>
      </c>
      <c r="U279" s="355">
        <f t="shared" si="154"/>
        <v>0</v>
      </c>
      <c r="V279" s="355">
        <f t="shared" si="155"/>
        <v>0</v>
      </c>
      <c r="W279" s="355">
        <f t="shared" si="156"/>
        <v>0</v>
      </c>
      <c r="X279" s="355">
        <f t="shared" si="157"/>
        <v>883.02225638688844</v>
      </c>
      <c r="Y279" s="396"/>
      <c r="Z279" s="346" t="str">
        <f t="shared" si="165"/>
        <v>0-HH17sA</v>
      </c>
      <c r="AA279" s="346" t="str">
        <f t="shared" si="166"/>
        <v>0-HH17sE</v>
      </c>
      <c r="AB279" s="346" t="str">
        <f t="shared" si="167"/>
        <v>0-HH17sM</v>
      </c>
      <c r="AC279" s="346" t="str">
        <f t="shared" si="168"/>
        <v>0-HH17sT</v>
      </c>
      <c r="AD279" s="346" t="str">
        <f t="shared" si="169"/>
        <v>0-HH17sS</v>
      </c>
      <c r="AE279" s="346" t="str">
        <f t="shared" si="170"/>
        <v>0-HH17sX</v>
      </c>
      <c r="AF279" s="346" t="str">
        <f t="shared" si="171"/>
        <v>0-HH17sX</v>
      </c>
      <c r="AG279" s="346">
        <f t="shared" si="158"/>
        <v>6</v>
      </c>
      <c r="AH279" s="346">
        <f>IF(B279&lt;&gt;"",+IF(H279="x",+VLOOKUP(I279,'AUX-NIV2'!B:AG,32,FALSE),0),"")</f>
        <v>7</v>
      </c>
      <c r="AI279" s="346" t="str">
        <f t="shared" si="172"/>
        <v>0-HH17s</v>
      </c>
      <c r="AK279" s="347">
        <f t="shared" si="159"/>
        <v>279</v>
      </c>
      <c r="AL279" s="348">
        <f t="shared" si="173"/>
        <v>284</v>
      </c>
      <c r="AM279" s="347">
        <f t="shared" si="174"/>
        <v>1</v>
      </c>
      <c r="AN279" s="382">
        <f>IF(AND(AH279&gt;0,B279&lt;&gt;""),VLOOKUP(I279,'AUX-NIV2'!$B:$AP,40,FALSE)*O279,0)</f>
        <v>0</v>
      </c>
      <c r="AO279" s="382">
        <f t="shared" si="160"/>
        <v>0.73733333333333329</v>
      </c>
      <c r="AQ279" s="395">
        <f>(IF($H279="x",VLOOKUP($I279,'AUX-NIV2'!$B:$X,'AUX-NIV1'!AQ$3,FALSE),0)+($AV279*'AUX-NIV3'!S$4))*$O279+IF($H279=AQ$4,$P279,0)</f>
        <v>0</v>
      </c>
      <c r="AR279" s="395">
        <f>(IF($H279="x",VLOOKUP($I279,'AUX-NIV2'!$B:$X,'AUX-NIV1'!AR$3,FALSE),0)+($AV279*'AUX-NIV3'!T$4))*$O279+IF($H279=AR$4,$P279,0)</f>
        <v>0</v>
      </c>
      <c r="AS279" s="395">
        <f>(IF($H279="x",VLOOKUP($I279,'AUX-NIV2'!$B:$X,'AUX-NIV1'!AS$3,FALSE),0)+($AV279*'AUX-NIV3'!U$4))*$O279+IF($H279=AS$4,$P279,0)</f>
        <v>0</v>
      </c>
      <c r="AT279" s="395">
        <f>(IF($H279="x",VLOOKUP($I279,'AUX-NIV2'!$B:$X,'AUX-NIV1'!AT$3,FALSE),0)+($AV279*'AUX-NIV3'!V$4))*$O279+IF($H279=AT$4,$P279,0)</f>
        <v>0</v>
      </c>
      <c r="AU279" s="395">
        <f>(IF($H279="x",VLOOKUP($I279,'AUX-NIV2'!$B:$X,'AUX-NIV1'!AU$3,FALSE),0)+($AV279*'AUX-NIV3'!W$4))*$O279+IF($H279=AU$4,$P279,0)</f>
        <v>0</v>
      </c>
      <c r="AV279" s="395">
        <f>+IF($H279="x",VLOOKUP($I279,'AUX-NIV2'!$B:$X,'AUX-NIV1'!AV$3,FALSE),0)</f>
        <v>0</v>
      </c>
    </row>
    <row r="280" spans="2:48" ht="14.4" hidden="1" thickTop="1" thickBot="1">
      <c r="B280" s="324" t="s">
        <v>949</v>
      </c>
      <c r="C280" s="325" t="s">
        <v>950</v>
      </c>
      <c r="D280" s="326" t="s">
        <v>1160</v>
      </c>
      <c r="E280" s="349">
        <f>IF(B280&lt;&gt;"",+SUMIF(Items!C:C,'AUX-NIV1'!B280,Items!H:H),"")</f>
        <v>0</v>
      </c>
      <c r="F280" s="349">
        <f t="shared" si="150"/>
        <v>883.02225638688844</v>
      </c>
      <c r="G280" s="349">
        <f t="shared" si="151"/>
        <v>0</v>
      </c>
      <c r="H280" s="1395" t="str">
        <f t="shared" si="161"/>
        <v>S</v>
      </c>
      <c r="I280" s="1375" t="s">
        <v>629</v>
      </c>
      <c r="J280" s="350" t="str">
        <f>IF(B280&lt;&gt;"",+VLOOKUP(I280,Recursos!C:F,2,FALSE),"")</f>
        <v>PROVISION DE H21</v>
      </c>
      <c r="K280" s="351" t="str">
        <f>IF(B280&lt;&gt;"",+VLOOKUP(I280,Recursos!C:F,3,FALSE),"")</f>
        <v>M3</v>
      </c>
      <c r="L280" s="349">
        <f>IF(B280&lt;&gt;"",+VLOOKUP(I280,Recursos!C:F,4,FALSE),"")</f>
        <v>0</v>
      </c>
      <c r="M280" s="331">
        <v>1.05</v>
      </c>
      <c r="N280" s="331">
        <v>1</v>
      </c>
      <c r="O280" s="362">
        <f t="shared" si="176"/>
        <v>1.05</v>
      </c>
      <c r="P280" s="352">
        <f t="shared" si="162"/>
        <v>0</v>
      </c>
      <c r="Q280" s="349">
        <f t="shared" si="163"/>
        <v>0</v>
      </c>
      <c r="R280" s="353">
        <f t="shared" si="164"/>
        <v>0</v>
      </c>
      <c r="S280" s="354">
        <f t="shared" si="152"/>
        <v>0</v>
      </c>
      <c r="T280" s="354">
        <f t="shared" si="153"/>
        <v>0</v>
      </c>
      <c r="U280" s="355">
        <f t="shared" si="154"/>
        <v>0</v>
      </c>
      <c r="V280" s="355">
        <f t="shared" si="155"/>
        <v>0</v>
      </c>
      <c r="W280" s="355">
        <f t="shared" si="156"/>
        <v>0</v>
      </c>
      <c r="X280" s="355">
        <f t="shared" si="157"/>
        <v>883.02225638688844</v>
      </c>
      <c r="Y280" s="396"/>
      <c r="Z280" s="346" t="str">
        <f t="shared" si="165"/>
        <v>0-HH17sA</v>
      </c>
      <c r="AA280" s="346" t="str">
        <f t="shared" si="166"/>
        <v>0-HH17sE</v>
      </c>
      <c r="AB280" s="346" t="str">
        <f t="shared" si="167"/>
        <v>0-HH17sM</v>
      </c>
      <c r="AC280" s="346" t="str">
        <f t="shared" si="168"/>
        <v>0-HH17sT</v>
      </c>
      <c r="AD280" s="346" t="str">
        <f t="shared" si="169"/>
        <v>0-HH17sS</v>
      </c>
      <c r="AE280" s="346" t="str">
        <f t="shared" si="170"/>
        <v>0-HH17sX</v>
      </c>
      <c r="AF280" s="346" t="str">
        <f t="shared" si="171"/>
        <v>0-HH17sS</v>
      </c>
      <c r="AG280" s="346">
        <f t="shared" si="158"/>
        <v>6</v>
      </c>
      <c r="AH280" s="346">
        <f>IF(B280&lt;&gt;"",+IF(H280="x",+VLOOKUP(I280,'AUX-NIV2'!B:AG,32,FALSE),0),"")</f>
        <v>0</v>
      </c>
      <c r="AI280" s="346" t="str">
        <f t="shared" si="172"/>
        <v>0-HH17s</v>
      </c>
      <c r="AK280" s="347">
        <f t="shared" si="159"/>
        <v>279</v>
      </c>
      <c r="AL280" s="348">
        <f t="shared" si="173"/>
        <v>284</v>
      </c>
      <c r="AM280" s="347">
        <f t="shared" si="174"/>
        <v>2</v>
      </c>
      <c r="AN280" s="382">
        <f>IF(AND(AH280&gt;0,B280&lt;&gt;""),VLOOKUP(I280,'AUX-NIV2'!$B:$AP,40,FALSE)*O280,0)</f>
        <v>0</v>
      </c>
      <c r="AO280" s="382">
        <f t="shared" si="160"/>
        <v>0.73733333333333329</v>
      </c>
      <c r="AQ280" s="395">
        <f>(IF($H280="x",VLOOKUP($I280,'AUX-NIV2'!$B:$X,'AUX-NIV1'!AQ$3,FALSE),0)+($AV280*'AUX-NIV3'!S$4))*$O280+IF($H280=AQ$4,$P280,0)</f>
        <v>0</v>
      </c>
      <c r="AR280" s="395">
        <f>(IF($H280="x",VLOOKUP($I280,'AUX-NIV2'!$B:$X,'AUX-NIV1'!AR$3,FALSE),0)+($AV280*'AUX-NIV3'!T$4))*$O280+IF($H280=AR$4,$P280,0)</f>
        <v>0</v>
      </c>
      <c r="AS280" s="395">
        <f>(IF($H280="x",VLOOKUP($I280,'AUX-NIV2'!$B:$X,'AUX-NIV1'!AS$3,FALSE),0)+($AV280*'AUX-NIV3'!U$4))*$O280+IF($H280=AS$4,$P280,0)</f>
        <v>0</v>
      </c>
      <c r="AT280" s="395">
        <f>(IF($H280="x",VLOOKUP($I280,'AUX-NIV2'!$B:$X,'AUX-NIV1'!AT$3,FALSE),0)+($AV280*'AUX-NIV3'!V$4))*$O280+IF($H280=AT$4,$P280,0)</f>
        <v>0</v>
      </c>
      <c r="AU280" s="395">
        <f>(IF($H280="x",VLOOKUP($I280,'AUX-NIV2'!$B:$X,'AUX-NIV1'!AU$3,FALSE),0)+($AV280*'AUX-NIV3'!W$4))*$O280+IF($H280=AU$4,$P280,0)</f>
        <v>0</v>
      </c>
      <c r="AV280" s="395">
        <f>+IF($H280="x",VLOOKUP($I280,'AUX-NIV2'!$B:$X,'AUX-NIV1'!AV$3,FALSE),0)</f>
        <v>0</v>
      </c>
    </row>
    <row r="281" spans="2:48" ht="14.4" hidden="1" thickTop="1" thickBot="1">
      <c r="B281" s="324" t="s">
        <v>949</v>
      </c>
      <c r="C281" s="325" t="s">
        <v>950</v>
      </c>
      <c r="D281" s="326" t="s">
        <v>1160</v>
      </c>
      <c r="E281" s="349">
        <f>IF(B281&lt;&gt;"",+SUMIF(Items!C:C,'AUX-NIV1'!B281,Items!H:H),"")</f>
        <v>0</v>
      </c>
      <c r="F281" s="349">
        <f t="shared" si="150"/>
        <v>883.02225638688844</v>
      </c>
      <c r="G281" s="349">
        <f t="shared" si="151"/>
        <v>0</v>
      </c>
      <c r="H281" s="1395" t="str">
        <f t="shared" si="161"/>
        <v>X</v>
      </c>
      <c r="I281" s="1375" t="s">
        <v>1262</v>
      </c>
      <c r="J281" s="350" t="str">
        <f>IF(B281&lt;&gt;"",+VLOOKUP(I281,Recursos!C:F,2,FALSE),"")</f>
        <v xml:space="preserve">Materiales Dosificación Hormigón H17 </v>
      </c>
      <c r="K281" s="351" t="str">
        <f>IF(B281&lt;&gt;"",+VLOOKUP(I281,Recursos!C:F,3,FALSE),"")</f>
        <v>m3</v>
      </c>
      <c r="L281" s="349">
        <f>IF(B281&lt;&gt;"",+VLOOKUP(I281,Recursos!C:F,4,FALSE),"")</f>
        <v>5756.0283072512138</v>
      </c>
      <c r="M281" s="331">
        <v>1</v>
      </c>
      <c r="N281" s="331">
        <v>0</v>
      </c>
      <c r="O281" s="362">
        <f t="shared" si="176"/>
        <v>0</v>
      </c>
      <c r="P281" s="352">
        <f t="shared" si="162"/>
        <v>0</v>
      </c>
      <c r="Q281" s="349">
        <f t="shared" si="163"/>
        <v>0</v>
      </c>
      <c r="R281" s="353">
        <f t="shared" si="164"/>
        <v>0</v>
      </c>
      <c r="S281" s="354">
        <f t="shared" si="152"/>
        <v>0</v>
      </c>
      <c r="T281" s="354">
        <f t="shared" si="153"/>
        <v>0</v>
      </c>
      <c r="U281" s="355">
        <f t="shared" si="154"/>
        <v>0</v>
      </c>
      <c r="V281" s="355">
        <f t="shared" si="155"/>
        <v>0</v>
      </c>
      <c r="W281" s="355">
        <f t="shared" si="156"/>
        <v>0</v>
      </c>
      <c r="X281" s="355">
        <f t="shared" si="157"/>
        <v>883.02225638688844</v>
      </c>
      <c r="Y281" s="396"/>
      <c r="Z281" s="346" t="str">
        <f t="shared" si="165"/>
        <v>0-HH17sA</v>
      </c>
      <c r="AA281" s="346" t="str">
        <f t="shared" si="166"/>
        <v>0-HH17sE</v>
      </c>
      <c r="AB281" s="346" t="str">
        <f t="shared" si="167"/>
        <v>0-HH17sM</v>
      </c>
      <c r="AC281" s="346" t="str">
        <f t="shared" si="168"/>
        <v>0-HH17sT</v>
      </c>
      <c r="AD281" s="346" t="str">
        <f t="shared" si="169"/>
        <v>0-HH17sS</v>
      </c>
      <c r="AE281" s="346" t="str">
        <f t="shared" si="170"/>
        <v>0-HH17sX</v>
      </c>
      <c r="AF281" s="346" t="str">
        <f t="shared" si="171"/>
        <v>0-HH17sX</v>
      </c>
      <c r="AG281" s="346">
        <f t="shared" si="158"/>
        <v>6</v>
      </c>
      <c r="AH281" s="346">
        <f>IF(B281&lt;&gt;"",+IF(H281="x",+VLOOKUP(I281,'AUX-NIV2'!B:AG,32,FALSE),0),"")</f>
        <v>13</v>
      </c>
      <c r="AI281" s="346" t="str">
        <f t="shared" si="172"/>
        <v>0-HH17s</v>
      </c>
      <c r="AK281" s="347">
        <f t="shared" si="159"/>
        <v>279</v>
      </c>
      <c r="AL281" s="348">
        <f t="shared" si="173"/>
        <v>284</v>
      </c>
      <c r="AM281" s="347">
        <f t="shared" si="174"/>
        <v>3</v>
      </c>
      <c r="AN281" s="382">
        <f>IF(AND(AH281&gt;0,B281&lt;&gt;""),VLOOKUP(I281,'AUX-NIV2'!$B:$AP,40,FALSE)*O281,0)</f>
        <v>0</v>
      </c>
      <c r="AO281" s="382">
        <f t="shared" si="160"/>
        <v>0.73733333333333329</v>
      </c>
      <c r="AQ281" s="395">
        <f>(IF($H281="x",VLOOKUP($I281,'AUX-NIV2'!$B:$X,'AUX-NIV1'!AQ$3,FALSE),0)+($AV281*'AUX-NIV3'!S$4))*$O281+IF($H281=AQ$4,$P281,0)</f>
        <v>0</v>
      </c>
      <c r="AR281" s="395">
        <f>(IF($H281="x",VLOOKUP($I281,'AUX-NIV2'!$B:$X,'AUX-NIV1'!AR$3,FALSE),0)+($AV281*'AUX-NIV3'!T$4))*$O281+IF($H281=AR$4,$P281,0)</f>
        <v>0</v>
      </c>
      <c r="AS281" s="395">
        <f>(IF($H281="x",VLOOKUP($I281,'AUX-NIV2'!$B:$X,'AUX-NIV1'!AS$3,FALSE),0)+($AV281*'AUX-NIV3'!U$4))*$O281+IF($H281=AS$4,$P281,0)</f>
        <v>0</v>
      </c>
      <c r="AT281" s="395">
        <f>(IF($H281="x",VLOOKUP($I281,'AUX-NIV2'!$B:$X,'AUX-NIV1'!AT$3,FALSE),0)+($AV281*'AUX-NIV3'!V$4))*$O281+IF($H281=AT$4,$P281,0)</f>
        <v>0</v>
      </c>
      <c r="AU281" s="395">
        <f>(IF($H281="x",VLOOKUP($I281,'AUX-NIV2'!$B:$X,'AUX-NIV1'!AU$3,FALSE),0)+($AV281*'AUX-NIV3'!W$4))*$O281+IF($H281=AU$4,$P281,0)</f>
        <v>0</v>
      </c>
      <c r="AV281" s="395">
        <f>+IF($H281="x",VLOOKUP($I281,'AUX-NIV2'!$B:$X,'AUX-NIV1'!AV$3,FALSE),0)</f>
        <v>760.32147249758168</v>
      </c>
    </row>
    <row r="282" spans="2:48" ht="14.4" hidden="1" thickTop="1" thickBot="1">
      <c r="B282" s="324" t="s">
        <v>949</v>
      </c>
      <c r="C282" s="325" t="s">
        <v>950</v>
      </c>
      <c r="D282" s="326" t="s">
        <v>1160</v>
      </c>
      <c r="E282" s="349">
        <f>IF(B282&lt;&gt;"",+SUMIF(Items!C:C,'AUX-NIV1'!B282,Items!H:H),"")</f>
        <v>0</v>
      </c>
      <c r="F282" s="349">
        <f t="shared" si="150"/>
        <v>883.02225638688844</v>
      </c>
      <c r="G282" s="349">
        <f t="shared" si="151"/>
        <v>0</v>
      </c>
      <c r="H282" s="1395" t="str">
        <f t="shared" si="161"/>
        <v>X</v>
      </c>
      <c r="I282" s="1375" t="s">
        <v>1255</v>
      </c>
      <c r="J282" s="350" t="str">
        <f>IF(B282&lt;&gt;"",+VLOOKUP(I282,Recursos!C:F,2,FALSE),"")</f>
        <v>Colado de Hgón Elaborado con mixer</v>
      </c>
      <c r="K282" s="351" t="str">
        <f>IF(B282&lt;&gt;"",+VLOOKUP(I282,Recursos!C:F,3,FALSE),"")</f>
        <v>m3</v>
      </c>
      <c r="L282" s="349">
        <f>IF(B282&lt;&gt;"",+VLOOKUP(I282,Recursos!C:F,4,FALSE),"")</f>
        <v>699.62883343063208</v>
      </c>
      <c r="M282" s="331">
        <v>1.07</v>
      </c>
      <c r="N282" s="331">
        <v>1</v>
      </c>
      <c r="O282" s="362">
        <f t="shared" si="176"/>
        <v>1.07</v>
      </c>
      <c r="P282" s="352">
        <f t="shared" si="162"/>
        <v>748.6028517707764</v>
      </c>
      <c r="Q282" s="349">
        <f t="shared" si="163"/>
        <v>0</v>
      </c>
      <c r="R282" s="353">
        <f t="shared" si="164"/>
        <v>0</v>
      </c>
      <c r="S282" s="354">
        <f t="shared" si="152"/>
        <v>0</v>
      </c>
      <c r="T282" s="354">
        <f t="shared" si="153"/>
        <v>0</v>
      </c>
      <c r="U282" s="355">
        <f t="shared" si="154"/>
        <v>0</v>
      </c>
      <c r="V282" s="355">
        <f t="shared" si="155"/>
        <v>0</v>
      </c>
      <c r="W282" s="355">
        <f t="shared" si="156"/>
        <v>0</v>
      </c>
      <c r="X282" s="355">
        <f t="shared" si="157"/>
        <v>883.02225638688844</v>
      </c>
      <c r="Y282" s="396"/>
      <c r="Z282" s="346" t="str">
        <f t="shared" si="165"/>
        <v>0-HH17sA</v>
      </c>
      <c r="AA282" s="346" t="str">
        <f t="shared" si="166"/>
        <v>0-HH17sE</v>
      </c>
      <c r="AB282" s="346" t="str">
        <f t="shared" si="167"/>
        <v>0-HH17sM</v>
      </c>
      <c r="AC282" s="346" t="str">
        <f t="shared" si="168"/>
        <v>0-HH17sT</v>
      </c>
      <c r="AD282" s="346" t="str">
        <f t="shared" si="169"/>
        <v>0-HH17sS</v>
      </c>
      <c r="AE282" s="346" t="str">
        <f t="shared" si="170"/>
        <v>0-HH17sX</v>
      </c>
      <c r="AF282" s="346" t="str">
        <f t="shared" si="171"/>
        <v>0-HH17sX</v>
      </c>
      <c r="AG282" s="346">
        <f t="shared" si="158"/>
        <v>6</v>
      </c>
      <c r="AH282" s="346">
        <f>IF(B282&lt;&gt;"",+IF(H282="x",+VLOOKUP(I282,'AUX-NIV2'!B:AG,32,FALSE),0),"")</f>
        <v>9</v>
      </c>
      <c r="AI282" s="346" t="str">
        <f t="shared" si="172"/>
        <v>0-HH17s</v>
      </c>
      <c r="AK282" s="347">
        <f t="shared" si="159"/>
        <v>279</v>
      </c>
      <c r="AL282" s="348">
        <f t="shared" si="173"/>
        <v>284</v>
      </c>
      <c r="AM282" s="347">
        <f t="shared" si="174"/>
        <v>4</v>
      </c>
      <c r="AN282" s="382">
        <f>IF(AND(AH282&gt;0,B282&lt;&gt;""),VLOOKUP(I282,'AUX-NIV2'!$B:$AP,40,FALSE)*O282,0)</f>
        <v>0.57066666666666666</v>
      </c>
      <c r="AO282" s="382">
        <f t="shared" si="160"/>
        <v>0.73733333333333329</v>
      </c>
      <c r="AQ282" s="395">
        <f>(IF($H282="x",VLOOKUP($I282,'AUX-NIV2'!$B:$X,'AUX-NIV1'!AQ$3,FALSE),0)+($AV282*'AUX-NIV3'!S$4))*$O282+IF($H282=AQ$4,$P282,0)</f>
        <v>265.63932396077632</v>
      </c>
      <c r="AR282" s="395">
        <f>(IF($H282="x",VLOOKUP($I282,'AUX-NIV2'!$B:$X,'AUX-NIV1'!AR$3,FALSE),0)+($AV282*'AUX-NIV3'!T$4))*$O282+IF($H282=AR$4,$P282,0)</f>
        <v>482.85652781000005</v>
      </c>
      <c r="AS282" s="395">
        <f>(IF($H282="x",VLOOKUP($I282,'AUX-NIV2'!$B:$X,'AUX-NIV1'!AS$3,FALSE),0)+($AV282*'AUX-NIV3'!U$4))*$O282+IF($H282=AS$4,$P282,0)</f>
        <v>0.10700000000000001</v>
      </c>
      <c r="AT282" s="395">
        <f>(IF($H282="x",VLOOKUP($I282,'AUX-NIV2'!$B:$X,'AUX-NIV1'!AT$3,FALSE),0)+($AV282*'AUX-NIV3'!V$4))*$O282+IF($H282=AT$4,$P282,0)</f>
        <v>0</v>
      </c>
      <c r="AU282" s="395">
        <f>(IF($H282="x",VLOOKUP($I282,'AUX-NIV2'!$B:$X,'AUX-NIV1'!AU$3,FALSE),0)+($AV282*'AUX-NIV3'!W$4))*$O282+IF($H282=AU$4,$P282,0)</f>
        <v>0</v>
      </c>
      <c r="AV282" s="395">
        <f>+IF($H282="x",VLOOKUP($I282,'AUX-NIV2'!$B:$X,'AUX-NIV1'!AV$3,FALSE),0)</f>
        <v>0</v>
      </c>
    </row>
    <row r="283" spans="2:48" ht="14.4" hidden="1" thickTop="1" thickBot="1">
      <c r="B283" s="324" t="s">
        <v>949</v>
      </c>
      <c r="C283" s="325" t="s">
        <v>950</v>
      </c>
      <c r="D283" s="326" t="s">
        <v>1160</v>
      </c>
      <c r="E283" s="349">
        <f>IF(B283&lt;&gt;"",+SUMIF(Items!C:C,'AUX-NIV1'!B283,Items!H:H),"")</f>
        <v>0</v>
      </c>
      <c r="F283" s="349">
        <f t="shared" si="150"/>
        <v>883.02225638688844</v>
      </c>
      <c r="G283" s="349">
        <f t="shared" si="151"/>
        <v>0</v>
      </c>
      <c r="H283" s="1395" t="str">
        <f t="shared" si="161"/>
        <v>X</v>
      </c>
      <c r="I283" s="1375" t="s">
        <v>1264</v>
      </c>
      <c r="J283" s="350" t="str">
        <f>IF(B283&lt;&gt;"",+VLOOKUP(I283,Recursos!C:F,2,FALSE),"")</f>
        <v>Curado de estructuras de hgón.</v>
      </c>
      <c r="K283" s="351" t="str">
        <f>IF(B283&lt;&gt;"",+VLOOKUP(I283,Recursos!C:F,3,FALSE),"")</f>
        <v>m2</v>
      </c>
      <c r="L283" s="349">
        <f>IF(B283&lt;&gt;"",+VLOOKUP(I283,Recursos!C:F,4,FALSE),"")</f>
        <v>134.41940461611205</v>
      </c>
      <c r="M283" s="331">
        <v>1</v>
      </c>
      <c r="N283" s="331">
        <v>1</v>
      </c>
      <c r="O283" s="362">
        <f t="shared" si="176"/>
        <v>1</v>
      </c>
      <c r="P283" s="352">
        <f t="shared" si="162"/>
        <v>134.41940461611205</v>
      </c>
      <c r="Q283" s="349">
        <f t="shared" si="163"/>
        <v>0</v>
      </c>
      <c r="R283" s="353">
        <f t="shared" si="164"/>
        <v>0</v>
      </c>
      <c r="S283" s="354">
        <f t="shared" si="152"/>
        <v>0</v>
      </c>
      <c r="T283" s="354">
        <f t="shared" si="153"/>
        <v>0</v>
      </c>
      <c r="U283" s="355">
        <f t="shared" si="154"/>
        <v>0</v>
      </c>
      <c r="V283" s="355">
        <f t="shared" si="155"/>
        <v>0</v>
      </c>
      <c r="W283" s="355">
        <f t="shared" si="156"/>
        <v>0</v>
      </c>
      <c r="X283" s="355">
        <f t="shared" si="157"/>
        <v>883.02225638688844</v>
      </c>
      <c r="Y283" s="396"/>
      <c r="Z283" s="346" t="str">
        <f t="shared" si="165"/>
        <v>0-HH17sA</v>
      </c>
      <c r="AA283" s="346" t="str">
        <f t="shared" si="166"/>
        <v>0-HH17sE</v>
      </c>
      <c r="AB283" s="346" t="str">
        <f t="shared" si="167"/>
        <v>0-HH17sM</v>
      </c>
      <c r="AC283" s="346" t="str">
        <f t="shared" si="168"/>
        <v>0-HH17sT</v>
      </c>
      <c r="AD283" s="346" t="str">
        <f t="shared" si="169"/>
        <v>0-HH17sS</v>
      </c>
      <c r="AE283" s="346" t="str">
        <f t="shared" si="170"/>
        <v>0-HH17sX</v>
      </c>
      <c r="AF283" s="346" t="str">
        <f t="shared" si="171"/>
        <v>0-HH17sX</v>
      </c>
      <c r="AG283" s="346">
        <f t="shared" si="158"/>
        <v>6</v>
      </c>
      <c r="AH283" s="346">
        <f>IF(B283&lt;&gt;"",+IF(H283="x",+VLOOKUP(I283,'AUX-NIV2'!B:AG,32,FALSE),0),"")</f>
        <v>3</v>
      </c>
      <c r="AI283" s="346" t="str">
        <f t="shared" si="172"/>
        <v>0-HH17s</v>
      </c>
      <c r="AK283" s="347">
        <f t="shared" si="159"/>
        <v>279</v>
      </c>
      <c r="AL283" s="348">
        <f t="shared" si="173"/>
        <v>284</v>
      </c>
      <c r="AM283" s="347">
        <f t="shared" si="174"/>
        <v>5</v>
      </c>
      <c r="AN283" s="382">
        <f>IF(AND(AH283&gt;0,B283&lt;&gt;""),VLOOKUP(I283,'AUX-NIV2'!$B:$AP,40,FALSE)*O283,0)</f>
        <v>0.16666666666666666</v>
      </c>
      <c r="AO283" s="382">
        <f t="shared" si="160"/>
        <v>0.73733333333333329</v>
      </c>
      <c r="AQ283" s="395">
        <f>(IF($H283="x",VLOOKUP($I283,'AUX-NIV2'!$B:$X,'AUX-NIV1'!AQ$3,FALSE),0)+($AV283*'AUX-NIV3'!S$4))*$O283+IF($H283=AQ$4,$P283,0)</f>
        <v>70.413404616112047</v>
      </c>
      <c r="AR283" s="395">
        <f>(IF($H283="x",VLOOKUP($I283,'AUX-NIV2'!$B:$X,'AUX-NIV1'!AR$3,FALSE),0)+($AV283*'AUX-NIV3'!T$4))*$O283+IF($H283=AR$4,$P283,0)</f>
        <v>0</v>
      </c>
      <c r="AS283" s="395">
        <f>(IF($H283="x",VLOOKUP($I283,'AUX-NIV2'!$B:$X,'AUX-NIV1'!AS$3,FALSE),0)+($AV283*'AUX-NIV3'!U$4))*$O283+IF($H283=AS$4,$P283,0)</f>
        <v>64.006</v>
      </c>
      <c r="AT283" s="395">
        <f>(IF($H283="x",VLOOKUP($I283,'AUX-NIV2'!$B:$X,'AUX-NIV1'!AT$3,FALSE),0)+($AV283*'AUX-NIV3'!V$4))*$O283+IF($H283=AT$4,$P283,0)</f>
        <v>0</v>
      </c>
      <c r="AU283" s="395">
        <f>(IF($H283="x",VLOOKUP($I283,'AUX-NIV2'!$B:$X,'AUX-NIV1'!AU$3,FALSE),0)+($AV283*'AUX-NIV3'!W$4))*$O283+IF($H283=AU$4,$P283,0)</f>
        <v>0</v>
      </c>
      <c r="AV283" s="395">
        <f>+IF($H283="x",VLOOKUP($I283,'AUX-NIV2'!$B:$X,'AUX-NIV1'!AV$3,FALSE),0)</f>
        <v>0</v>
      </c>
    </row>
    <row r="284" spans="2:48" ht="14.4" hidden="1" thickTop="1" thickBot="1">
      <c r="B284" s="324" t="s">
        <v>949</v>
      </c>
      <c r="C284" s="325" t="s">
        <v>950</v>
      </c>
      <c r="D284" s="326" t="s">
        <v>1160</v>
      </c>
      <c r="E284" s="349">
        <f>IF(B284&lt;&gt;"",+SUMIF(Items!C:C,'AUX-NIV1'!B284,Items!H:H),"")</f>
        <v>0</v>
      </c>
      <c r="F284" s="349">
        <f t="shared" si="150"/>
        <v>883.02225638688844</v>
      </c>
      <c r="G284" s="349">
        <f t="shared" si="151"/>
        <v>0</v>
      </c>
      <c r="H284" s="1395" t="str">
        <f t="shared" si="161"/>
        <v>X</v>
      </c>
      <c r="I284" s="1375" t="s">
        <v>1256</v>
      </c>
      <c r="J284" s="350" t="str">
        <f>IF(B284&lt;&gt;"",+VLOOKUP(I284,Recursos!C:F,2,FALSE),"")</f>
        <v xml:space="preserve">Encofrados para Hormigones </v>
      </c>
      <c r="K284" s="351" t="str">
        <f>IF(B284&lt;&gt;"",+VLOOKUP(I284,Recursos!C:F,3,FALSE),"")</f>
        <v>m2</v>
      </c>
      <c r="L284" s="349">
        <f>IF(B284&lt;&gt;"",+VLOOKUP(I284,Recursos!C:F,4,FALSE),"")</f>
        <v>5261.6988424670626</v>
      </c>
      <c r="M284" s="331">
        <v>1</v>
      </c>
      <c r="N284" s="331">
        <v>0</v>
      </c>
      <c r="O284" s="362">
        <f t="shared" si="176"/>
        <v>0</v>
      </c>
      <c r="P284" s="352">
        <f t="shared" si="162"/>
        <v>0</v>
      </c>
      <c r="Q284" s="349">
        <f t="shared" si="163"/>
        <v>0</v>
      </c>
      <c r="R284" s="353">
        <f t="shared" si="164"/>
        <v>0</v>
      </c>
      <c r="S284" s="354">
        <f t="shared" si="152"/>
        <v>0</v>
      </c>
      <c r="T284" s="354">
        <f t="shared" si="153"/>
        <v>0</v>
      </c>
      <c r="U284" s="355">
        <f t="shared" si="154"/>
        <v>0</v>
      </c>
      <c r="V284" s="355">
        <f t="shared" si="155"/>
        <v>0</v>
      </c>
      <c r="W284" s="355">
        <f t="shared" si="156"/>
        <v>0</v>
      </c>
      <c r="X284" s="355">
        <f t="shared" si="157"/>
        <v>883.02225638688844</v>
      </c>
      <c r="Y284" s="396"/>
      <c r="Z284" s="346" t="str">
        <f t="shared" si="165"/>
        <v>0-HH17sA</v>
      </c>
      <c r="AA284" s="346" t="str">
        <f t="shared" si="166"/>
        <v>0-HH17sE</v>
      </c>
      <c r="AB284" s="346" t="str">
        <f t="shared" si="167"/>
        <v>0-HH17sM</v>
      </c>
      <c r="AC284" s="346" t="str">
        <f t="shared" si="168"/>
        <v>0-HH17sT</v>
      </c>
      <c r="AD284" s="346" t="str">
        <f t="shared" si="169"/>
        <v>0-HH17sS</v>
      </c>
      <c r="AE284" s="346" t="str">
        <f t="shared" si="170"/>
        <v>0-HH17sX</v>
      </c>
      <c r="AF284" s="346" t="str">
        <f t="shared" si="171"/>
        <v>0-HH17sX</v>
      </c>
      <c r="AG284" s="346">
        <f t="shared" si="158"/>
        <v>6</v>
      </c>
      <c r="AH284" s="346">
        <f>IF(B284&lt;&gt;"",+IF(H284="x",+VLOOKUP(I284,'AUX-NIV2'!B:AG,32,FALSE),0),"")</f>
        <v>13</v>
      </c>
      <c r="AI284" s="346" t="str">
        <f t="shared" si="172"/>
        <v>0-HH17s</v>
      </c>
      <c r="AK284" s="347">
        <f t="shared" si="159"/>
        <v>279</v>
      </c>
      <c r="AL284" s="348">
        <f t="shared" si="173"/>
        <v>284</v>
      </c>
      <c r="AM284" s="347">
        <f t="shared" si="174"/>
        <v>6</v>
      </c>
      <c r="AN284" s="382">
        <f>IF(AND(AH284&gt;0,B284&lt;&gt;""),VLOOKUP(I284,'AUX-NIV2'!$B:$AP,40,FALSE)*O284,0)</f>
        <v>0</v>
      </c>
      <c r="AO284" s="382">
        <f t="shared" si="160"/>
        <v>0.73733333333333329</v>
      </c>
      <c r="AQ284" s="395">
        <f>(IF($H284="x",VLOOKUP($I284,'AUX-NIV2'!$B:$X,'AUX-NIV1'!AQ$3,FALSE),0)+($AV284*'AUX-NIV3'!S$4))*$O284+IF($H284=AQ$4,$P284,0)</f>
        <v>0</v>
      </c>
      <c r="AR284" s="395">
        <f>(IF($H284="x",VLOOKUP($I284,'AUX-NIV2'!$B:$X,'AUX-NIV1'!AR$3,FALSE),0)+($AV284*'AUX-NIV3'!T$4))*$O284+IF($H284=AR$4,$P284,0)</f>
        <v>0</v>
      </c>
      <c r="AS284" s="395">
        <f>(IF($H284="x",VLOOKUP($I284,'AUX-NIV2'!$B:$X,'AUX-NIV1'!AS$3,FALSE),0)+($AV284*'AUX-NIV3'!U$4))*$O284+IF($H284=AS$4,$P284,0)</f>
        <v>0</v>
      </c>
      <c r="AT284" s="395">
        <f>(IF($H284="x",VLOOKUP($I284,'AUX-NIV2'!$B:$X,'AUX-NIV1'!AT$3,FALSE),0)+($AV284*'AUX-NIV3'!V$4))*$O284+IF($H284=AT$4,$P284,0)</f>
        <v>0</v>
      </c>
      <c r="AU284" s="395">
        <f>(IF($H284="x",VLOOKUP($I284,'AUX-NIV2'!$B:$X,'AUX-NIV1'!AU$3,FALSE),0)+($AV284*'AUX-NIV3'!W$4))*$O284+IF($H284=AU$4,$P284,0)</f>
        <v>0</v>
      </c>
      <c r="AV284" s="395">
        <f>+IF($H284="x",VLOOKUP($I284,'AUX-NIV2'!$B:$X,'AUX-NIV1'!AV$3,FALSE),0)</f>
        <v>0</v>
      </c>
    </row>
    <row r="285" spans="2:48" ht="14.4" hidden="1" thickTop="1" thickBot="1">
      <c r="B285" s="324" t="s">
        <v>2945</v>
      </c>
      <c r="C285" s="325" t="s">
        <v>2946</v>
      </c>
      <c r="D285" s="326" t="s">
        <v>1160</v>
      </c>
      <c r="E285" s="349">
        <f>IF(B285&lt;&gt;"",+SUMIF(Items!C:C,'AUX-NIV1'!B285,Items!H:H),"")</f>
        <v>0</v>
      </c>
      <c r="F285" s="349">
        <f t="shared" si="150"/>
        <v>1262.9989034021878</v>
      </c>
      <c r="G285" s="349">
        <f t="shared" si="151"/>
        <v>0</v>
      </c>
      <c r="H285" s="1395" t="str">
        <f t="shared" si="161"/>
        <v>S</v>
      </c>
      <c r="I285" s="1375" t="s">
        <v>2499</v>
      </c>
      <c r="J285" s="350" t="str">
        <f>IF(B285&lt;&gt;"",+VLOOKUP(I285,Recursos!C:F,2,FALSE),"")</f>
        <v>CANON DE EXPLOT. YACIMIENTOS</v>
      </c>
      <c r="K285" s="351" t="str">
        <f>IF(B285&lt;&gt;"",+VLOOKUP(I285,Recursos!C:F,3,FALSE),"")</f>
        <v>m3b</v>
      </c>
      <c r="L285" s="436">
        <f>IF(B285&lt;&gt;"",+VLOOKUP(I285,Recursos!C:F,4,FALSE),"")</f>
        <v>100</v>
      </c>
      <c r="M285" s="437">
        <v>1.35</v>
      </c>
      <c r="N285" s="438"/>
      <c r="O285" s="439">
        <f>+M285</f>
        <v>1.35</v>
      </c>
      <c r="P285" s="440">
        <f t="shared" si="162"/>
        <v>135</v>
      </c>
      <c r="Q285" s="349">
        <f t="shared" si="163"/>
        <v>0</v>
      </c>
      <c r="R285" s="353">
        <f t="shared" si="164"/>
        <v>0</v>
      </c>
      <c r="S285" s="354">
        <f t="shared" si="152"/>
        <v>0</v>
      </c>
      <c r="T285" s="354">
        <f t="shared" si="153"/>
        <v>0</v>
      </c>
      <c r="U285" s="355">
        <f t="shared" si="154"/>
        <v>0</v>
      </c>
      <c r="V285" s="355">
        <f t="shared" si="155"/>
        <v>0</v>
      </c>
      <c r="W285" s="355">
        <f t="shared" si="156"/>
        <v>135</v>
      </c>
      <c r="X285" s="355">
        <f t="shared" si="157"/>
        <v>1127.9989034021876</v>
      </c>
      <c r="Y285" s="396"/>
      <c r="Z285" s="346" t="str">
        <f t="shared" si="165"/>
        <v>0-PPEA</v>
      </c>
      <c r="AA285" s="346" t="str">
        <f t="shared" si="166"/>
        <v>0-PPEE</v>
      </c>
      <c r="AB285" s="346" t="str">
        <f t="shared" si="167"/>
        <v>0-PPEM</v>
      </c>
      <c r="AC285" s="346" t="str">
        <f t="shared" si="168"/>
        <v>0-PPET</v>
      </c>
      <c r="AD285" s="346" t="str">
        <f t="shared" si="169"/>
        <v>0-PPES</v>
      </c>
      <c r="AE285" s="346" t="str">
        <f t="shared" si="170"/>
        <v>0-PPEX</v>
      </c>
      <c r="AF285" s="346" t="str">
        <f t="shared" si="171"/>
        <v>0-PPES</v>
      </c>
      <c r="AG285" s="346">
        <f t="shared" si="158"/>
        <v>3</v>
      </c>
      <c r="AH285" s="346">
        <f>IF(B285&lt;&gt;"",+IF(H285="x",+VLOOKUP(I285,'AUX-NIV2'!B:AG,32,FALSE),0),"")</f>
        <v>0</v>
      </c>
      <c r="AI285" s="346" t="str">
        <f t="shared" si="172"/>
        <v>0-PPE</v>
      </c>
      <c r="AK285" s="347">
        <f t="shared" si="159"/>
        <v>285</v>
      </c>
      <c r="AL285" s="348">
        <f t="shared" si="173"/>
        <v>287</v>
      </c>
      <c r="AM285" s="347">
        <f t="shared" si="174"/>
        <v>1</v>
      </c>
      <c r="AN285" s="382">
        <f>IF(AND(AH285&gt;0,B285&lt;&gt;""),VLOOKUP(I285,'AUX-NIV2'!$B:$AP,40,FALSE)*O285,0)</f>
        <v>0</v>
      </c>
      <c r="AO285" s="382">
        <f t="shared" si="160"/>
        <v>1.0230073696145126</v>
      </c>
      <c r="AQ285" s="395">
        <f>(IF($H285="x",VLOOKUP($I285,'AUX-NIV2'!$B:$X,'AUX-NIV1'!AQ$3,FALSE),0)+($AV285*'AUX-NIV3'!S$4))*$O285+IF($H285=AQ$4,$P285,0)</f>
        <v>0</v>
      </c>
      <c r="AR285" s="395">
        <f>(IF($H285="x",VLOOKUP($I285,'AUX-NIV2'!$B:$X,'AUX-NIV1'!AR$3,FALSE),0)+($AV285*'AUX-NIV3'!T$4))*$O285+IF($H285=AR$4,$P285,0)</f>
        <v>0</v>
      </c>
      <c r="AS285" s="395">
        <f>(IF($H285="x",VLOOKUP($I285,'AUX-NIV2'!$B:$X,'AUX-NIV1'!AS$3,FALSE),0)+($AV285*'AUX-NIV3'!U$4))*$O285+IF($H285=AS$4,$P285,0)</f>
        <v>0</v>
      </c>
      <c r="AT285" s="395">
        <f>(IF($H285="x",VLOOKUP($I285,'AUX-NIV2'!$B:$X,'AUX-NIV1'!AT$3,FALSE),0)+($AV285*'AUX-NIV3'!V$4))*$O285+IF($H285=AT$4,$P285,0)</f>
        <v>0</v>
      </c>
      <c r="AU285" s="395">
        <f>(IF($H285="x",VLOOKUP($I285,'AUX-NIV2'!$B:$X,'AUX-NIV1'!AU$3,FALSE),0)+($AV285*'AUX-NIV3'!W$4))*$O285+IF($H285=AU$4,$P285,0)</f>
        <v>135</v>
      </c>
      <c r="AV285" s="395">
        <f>+IF($H285="x",VLOOKUP($I285,'AUX-NIV2'!$B:$X,'AUX-NIV1'!AV$3,FALSE),0)</f>
        <v>0</v>
      </c>
    </row>
    <row r="286" spans="2:48" ht="14.4" hidden="1" thickTop="1" thickBot="1">
      <c r="B286" s="324" t="s">
        <v>2945</v>
      </c>
      <c r="C286" s="325" t="s">
        <v>2946</v>
      </c>
      <c r="D286" s="326" t="s">
        <v>1160</v>
      </c>
      <c r="E286" s="349">
        <f>IF(B286&lt;&gt;"",+SUMIF(Items!C:C,'AUX-NIV1'!B286,Items!H:H),"")</f>
        <v>0</v>
      </c>
      <c r="F286" s="349">
        <f t="shared" si="150"/>
        <v>1262.9989034021878</v>
      </c>
      <c r="G286" s="349">
        <f t="shared" si="151"/>
        <v>0</v>
      </c>
      <c r="H286" s="1395" t="str">
        <f t="shared" si="161"/>
        <v>X</v>
      </c>
      <c r="I286" s="1375" t="s">
        <v>2787</v>
      </c>
      <c r="J286" s="350" t="str">
        <f>IF(B286&lt;&gt;"",+VLOOKUP(I286,Recursos!C:F,2,FALSE),"")</f>
        <v>Excavación mecánica de fundaciones</v>
      </c>
      <c r="K286" s="351" t="str">
        <f>IF(B286&lt;&gt;"",+VLOOKUP(I286,Recursos!C:F,3,FALSE),"")</f>
        <v>m3</v>
      </c>
      <c r="L286" s="436">
        <f>IF(B286&lt;&gt;"",+VLOOKUP(I286,Recursos!C:F,4,FALSE),"")</f>
        <v>457.83529455489833</v>
      </c>
      <c r="M286" s="462">
        <v>0.35</v>
      </c>
      <c r="N286" s="466"/>
      <c r="O286" s="439">
        <f>+M286</f>
        <v>0.35</v>
      </c>
      <c r="P286" s="440">
        <f t="shared" si="162"/>
        <v>160.24235309421439</v>
      </c>
      <c r="Q286" s="349">
        <f t="shared" si="163"/>
        <v>0</v>
      </c>
      <c r="R286" s="353">
        <f t="shared" si="164"/>
        <v>0</v>
      </c>
      <c r="S286" s="354">
        <f t="shared" si="152"/>
        <v>0</v>
      </c>
      <c r="T286" s="354">
        <f t="shared" si="153"/>
        <v>0</v>
      </c>
      <c r="U286" s="355">
        <f t="shared" si="154"/>
        <v>0</v>
      </c>
      <c r="V286" s="355">
        <f t="shared" si="155"/>
        <v>0</v>
      </c>
      <c r="W286" s="355">
        <f t="shared" si="156"/>
        <v>135</v>
      </c>
      <c r="X286" s="355">
        <f t="shared" si="157"/>
        <v>1127.9989034021876</v>
      </c>
      <c r="Y286" s="396"/>
      <c r="Z286" s="346" t="str">
        <f t="shared" si="165"/>
        <v>0-PPEA</v>
      </c>
      <c r="AA286" s="346" t="str">
        <f t="shared" si="166"/>
        <v>0-PPEE</v>
      </c>
      <c r="AB286" s="346" t="str">
        <f t="shared" si="167"/>
        <v>0-PPEM</v>
      </c>
      <c r="AC286" s="346" t="str">
        <f t="shared" si="168"/>
        <v>0-PPET</v>
      </c>
      <c r="AD286" s="346" t="str">
        <f t="shared" si="169"/>
        <v>0-PPES</v>
      </c>
      <c r="AE286" s="346" t="str">
        <f t="shared" si="170"/>
        <v>0-PPEX</v>
      </c>
      <c r="AF286" s="346" t="str">
        <f t="shared" si="171"/>
        <v>0-PPEX</v>
      </c>
      <c r="AG286" s="346">
        <f t="shared" si="158"/>
        <v>3</v>
      </c>
      <c r="AH286" s="346">
        <f>IF(B286&lt;&gt;"",+IF(H286="x",+VLOOKUP(I286,'AUX-NIV2'!B:AG,32,FALSE),0),"")</f>
        <v>6</v>
      </c>
      <c r="AI286" s="346" t="str">
        <f t="shared" si="172"/>
        <v>0-PPE</v>
      </c>
      <c r="AK286" s="347">
        <f t="shared" si="159"/>
        <v>285</v>
      </c>
      <c r="AL286" s="348">
        <f t="shared" si="173"/>
        <v>287</v>
      </c>
      <c r="AM286" s="347">
        <f t="shared" si="174"/>
        <v>2</v>
      </c>
      <c r="AN286" s="382">
        <f>IF(AND(AH286&gt;0,B286&lt;&gt;""),VLOOKUP(I286,'AUX-NIV2'!$B:$AP,40,FALSE)*O286,0)</f>
        <v>0.17208333333333331</v>
      </c>
      <c r="AO286" s="382">
        <f t="shared" si="160"/>
        <v>1.0230073696145126</v>
      </c>
      <c r="AQ286" s="395">
        <f>(IF($H286="x",VLOOKUP($I286,'AUX-NIV2'!$B:$X,'AUX-NIV1'!AQ$3,FALSE),0)+($AV286*'AUX-NIV3'!S$4))*$O286+IF($H286=AQ$4,$P286,0)</f>
        <v>80.262740094214408</v>
      </c>
      <c r="AR286" s="395">
        <f>(IF($H286="x",VLOOKUP($I286,'AUX-NIV2'!$B:$X,'AUX-NIV1'!AR$3,FALSE),0)+($AV286*'AUX-NIV3'!T$4))*$O286+IF($H286=AR$4,$P286,0)</f>
        <v>79.979613000000001</v>
      </c>
      <c r="AS286" s="395">
        <f>(IF($H286="x",VLOOKUP($I286,'AUX-NIV2'!$B:$X,'AUX-NIV1'!AS$3,FALSE),0)+($AV286*'AUX-NIV3'!U$4))*$O286+IF($H286=AS$4,$P286,0)</f>
        <v>0</v>
      </c>
      <c r="AT286" s="395">
        <f>(IF($H286="x",VLOOKUP($I286,'AUX-NIV2'!$B:$X,'AUX-NIV1'!AT$3,FALSE),0)+($AV286*'AUX-NIV3'!V$4))*$O286+IF($H286=AT$4,$P286,0)</f>
        <v>0</v>
      </c>
      <c r="AU286" s="395">
        <f>(IF($H286="x",VLOOKUP($I286,'AUX-NIV2'!$B:$X,'AUX-NIV1'!AU$3,FALSE),0)+($AV286*'AUX-NIV3'!W$4))*$O286+IF($H286=AU$4,$P286,0)</f>
        <v>0</v>
      </c>
      <c r="AV286" s="395">
        <f>+IF($H286="x",VLOOKUP($I286,'AUX-NIV2'!$B:$X,'AUX-NIV1'!AV$3,FALSE),0)</f>
        <v>0</v>
      </c>
    </row>
    <row r="287" spans="2:48" ht="14.4" hidden="1" thickTop="1" thickBot="1">
      <c r="B287" s="324" t="s">
        <v>2945</v>
      </c>
      <c r="C287" s="325" t="s">
        <v>2946</v>
      </c>
      <c r="D287" s="326" t="s">
        <v>1160</v>
      </c>
      <c r="E287" s="349">
        <f>IF(B287&lt;&gt;"",+SUMIF(Items!C:C,'AUX-NIV1'!B287,Items!H:H),"")</f>
        <v>0</v>
      </c>
      <c r="F287" s="349">
        <f t="shared" si="150"/>
        <v>1262.9989034021878</v>
      </c>
      <c r="G287" s="349">
        <f t="shared" si="151"/>
        <v>0</v>
      </c>
      <c r="H287" s="1395" t="str">
        <f t="shared" si="161"/>
        <v>X</v>
      </c>
      <c r="I287" s="1375" t="s">
        <v>2795</v>
      </c>
      <c r="J287" s="350" t="str">
        <f>IF(B287&lt;&gt;"",+VLOOKUP(I287,Recursos!C:F,2,FALSE),"")</f>
        <v>Pedraplén para escollera</v>
      </c>
      <c r="K287" s="351" t="str">
        <f>IF(B287&lt;&gt;"",+VLOOKUP(I287,Recursos!C:F,3,FALSE),"")</f>
        <v>m3</v>
      </c>
      <c r="L287" s="436">
        <f>IF(B287&lt;&gt;"",+VLOOKUP(I287,Recursos!C:F,4,FALSE),"")</f>
        <v>967.75655030797327</v>
      </c>
      <c r="M287" s="464">
        <v>1</v>
      </c>
      <c r="N287" s="498"/>
      <c r="O287" s="439">
        <f>+M287</f>
        <v>1</v>
      </c>
      <c r="P287" s="440">
        <f t="shared" si="162"/>
        <v>967.75655030797327</v>
      </c>
      <c r="Q287" s="349">
        <f t="shared" si="163"/>
        <v>0</v>
      </c>
      <c r="R287" s="353">
        <f t="shared" si="164"/>
        <v>0</v>
      </c>
      <c r="S287" s="354">
        <f t="shared" si="152"/>
        <v>0</v>
      </c>
      <c r="T287" s="354">
        <f t="shared" si="153"/>
        <v>0</v>
      </c>
      <c r="U287" s="355">
        <f t="shared" si="154"/>
        <v>0</v>
      </c>
      <c r="V287" s="355">
        <f t="shared" si="155"/>
        <v>0</v>
      </c>
      <c r="W287" s="355">
        <f t="shared" si="156"/>
        <v>135</v>
      </c>
      <c r="X287" s="355">
        <f t="shared" si="157"/>
        <v>1127.9989034021876</v>
      </c>
      <c r="Y287" s="396"/>
      <c r="Z287" s="346" t="str">
        <f t="shared" si="165"/>
        <v>0-PPEA</v>
      </c>
      <c r="AA287" s="346" t="str">
        <f t="shared" si="166"/>
        <v>0-PPEE</v>
      </c>
      <c r="AB287" s="346" t="str">
        <f t="shared" si="167"/>
        <v>0-PPEM</v>
      </c>
      <c r="AC287" s="346" t="str">
        <f t="shared" si="168"/>
        <v>0-PPET</v>
      </c>
      <c r="AD287" s="346" t="str">
        <f t="shared" si="169"/>
        <v>0-PPES</v>
      </c>
      <c r="AE287" s="346" t="str">
        <f t="shared" si="170"/>
        <v>0-PPEX</v>
      </c>
      <c r="AF287" s="346" t="str">
        <f t="shared" si="171"/>
        <v>0-PPEX</v>
      </c>
      <c r="AG287" s="346">
        <f t="shared" si="158"/>
        <v>3</v>
      </c>
      <c r="AH287" s="346">
        <f>IF(B287&lt;&gt;"",+IF(H287="x",+VLOOKUP(I287,'AUX-NIV2'!B:AG,32,FALSE),0),"")</f>
        <v>4</v>
      </c>
      <c r="AI287" s="346" t="str">
        <f t="shared" si="172"/>
        <v>0-PPE</v>
      </c>
      <c r="AK287" s="347">
        <f t="shared" si="159"/>
        <v>285</v>
      </c>
      <c r="AL287" s="348">
        <f t="shared" si="173"/>
        <v>287</v>
      </c>
      <c r="AM287" s="347">
        <f t="shared" si="174"/>
        <v>3</v>
      </c>
      <c r="AN287" s="382">
        <f>IF(AND(AH287&gt;0,B287&lt;&gt;""),VLOOKUP(I287,'AUX-NIV2'!$B:$AP,40,FALSE)*O287,0)</f>
        <v>0.85092403628117919</v>
      </c>
      <c r="AO287" s="382">
        <f t="shared" si="160"/>
        <v>1.0230073696145126</v>
      </c>
      <c r="AQ287" s="395">
        <f>(IF($H287="x",VLOOKUP($I287,'AUX-NIV2'!$B:$X,'AUX-NIV1'!AQ$3,FALSE),0)+($AV287*'AUX-NIV3'!S$4))*$O287+IF($H287=AQ$4,$P287,0)</f>
        <v>100.14372698645079</v>
      </c>
      <c r="AR287" s="395">
        <f>(IF($H287="x",VLOOKUP($I287,'AUX-NIV2'!$B:$X,'AUX-NIV1'!AR$3,FALSE),0)+($AV287*'AUX-NIV3'!T$4))*$O287+IF($H287=AR$4,$P287,0)</f>
        <v>866.08543273428211</v>
      </c>
      <c r="AS287" s="395">
        <f>(IF($H287="x",VLOOKUP($I287,'AUX-NIV2'!$B:$X,'AUX-NIV1'!AS$3,FALSE),0)+($AV287*'AUX-NIV3'!U$4))*$O287+IF($H287=AS$4,$P287,0)</f>
        <v>1.5273905872404017</v>
      </c>
      <c r="AT287" s="395">
        <f>(IF($H287="x",VLOOKUP($I287,'AUX-NIV2'!$B:$X,'AUX-NIV1'!AT$3,FALSE),0)+($AV287*'AUX-NIV3'!V$4))*$O287+IF($H287=AT$4,$P287,0)</f>
        <v>0</v>
      </c>
      <c r="AU287" s="395">
        <f>(IF($H287="x",VLOOKUP($I287,'AUX-NIV2'!$B:$X,'AUX-NIV1'!AU$3,FALSE),0)+($AV287*'AUX-NIV3'!W$4))*$O287+IF($H287=AU$4,$P287,0)</f>
        <v>0</v>
      </c>
      <c r="AV287" s="395">
        <f>+IF($H287="x",VLOOKUP($I287,'AUX-NIV2'!$B:$X,'AUX-NIV1'!AV$3,FALSE),0)</f>
        <v>967.75655030797327</v>
      </c>
    </row>
    <row r="288" spans="2:48" ht="14.4" hidden="1" thickTop="1" thickBot="1">
      <c r="B288" s="324" t="s">
        <v>2947</v>
      </c>
      <c r="C288" s="325" t="s">
        <v>2948</v>
      </c>
      <c r="D288" s="326" t="s">
        <v>1160</v>
      </c>
      <c r="E288" s="349">
        <f>IF(B288&lt;&gt;"",+SUMIF(Items!C:C,'AUX-NIV1'!B288,Items!H:H),"")</f>
        <v>0</v>
      </c>
      <c r="F288" s="349">
        <f t="shared" si="150"/>
        <v>36458.187252477292</v>
      </c>
      <c r="G288" s="349">
        <f t="shared" si="151"/>
        <v>0</v>
      </c>
      <c r="H288" s="1395" t="str">
        <f t="shared" si="161"/>
        <v>X</v>
      </c>
      <c r="I288" s="1375" t="s">
        <v>2897</v>
      </c>
      <c r="J288" s="350" t="str">
        <f>IF(B288&lt;&gt;"",+VLOOKUP(I288,Recursos!C:F,2,FALSE),"")</f>
        <v>Colado de hgón con bomba</v>
      </c>
      <c r="K288" s="351" t="str">
        <f>IF(B288&lt;&gt;"",+VLOOKUP(I288,Recursos!C:F,3,FALSE),"")</f>
        <v>m3</v>
      </c>
      <c r="L288" s="436">
        <f>IF(B288&lt;&gt;"",+VLOOKUP(I288,Recursos!C:F,4,FALSE),"")</f>
        <v>4223.8879328752682</v>
      </c>
      <c r="M288" s="437">
        <v>1.05</v>
      </c>
      <c r="N288" s="458">
        <v>0.03</v>
      </c>
      <c r="O288" s="439">
        <f>1*(M288+N288)</f>
        <v>1.08</v>
      </c>
      <c r="P288" s="440">
        <f t="shared" si="162"/>
        <v>4561.7989675052904</v>
      </c>
      <c r="Q288" s="349">
        <f t="shared" si="163"/>
        <v>0</v>
      </c>
      <c r="R288" s="353">
        <f t="shared" si="164"/>
        <v>0</v>
      </c>
      <c r="S288" s="354">
        <f t="shared" si="152"/>
        <v>0</v>
      </c>
      <c r="T288" s="354">
        <f t="shared" si="153"/>
        <v>0</v>
      </c>
      <c r="U288" s="355">
        <f t="shared" si="154"/>
        <v>0</v>
      </c>
      <c r="V288" s="355">
        <f t="shared" si="155"/>
        <v>0</v>
      </c>
      <c r="W288" s="355">
        <f t="shared" si="156"/>
        <v>0</v>
      </c>
      <c r="X288" s="355">
        <f t="shared" si="157"/>
        <v>36458.187252477292</v>
      </c>
      <c r="Y288" s="396"/>
      <c r="Z288" s="346" t="str">
        <f t="shared" si="165"/>
        <v>0-HORMBA</v>
      </c>
      <c r="AA288" s="346" t="str">
        <f t="shared" si="166"/>
        <v>0-HORMBE</v>
      </c>
      <c r="AB288" s="346" t="str">
        <f t="shared" si="167"/>
        <v>0-HORMBM</v>
      </c>
      <c r="AC288" s="346" t="str">
        <f t="shared" si="168"/>
        <v>0-HORMBT</v>
      </c>
      <c r="AD288" s="346" t="str">
        <f t="shared" si="169"/>
        <v>0-HORMBS</v>
      </c>
      <c r="AE288" s="346" t="str">
        <f t="shared" si="170"/>
        <v>0-HORMBX</v>
      </c>
      <c r="AF288" s="346" t="str">
        <f t="shared" si="171"/>
        <v>0-HORMBX</v>
      </c>
      <c r="AG288" s="346">
        <f t="shared" si="158"/>
        <v>5</v>
      </c>
      <c r="AH288" s="346">
        <f>IF(B288&lt;&gt;"",+IF(H288="x",+VLOOKUP(I288,'AUX-NIV2'!B:AG,32,FALSE),0),"")</f>
        <v>10</v>
      </c>
      <c r="AI288" s="346" t="str">
        <f t="shared" si="172"/>
        <v>0-HORMB</v>
      </c>
      <c r="AK288" s="347">
        <f t="shared" si="159"/>
        <v>288</v>
      </c>
      <c r="AL288" s="348">
        <f t="shared" si="173"/>
        <v>292</v>
      </c>
      <c r="AM288" s="347">
        <f t="shared" si="174"/>
        <v>1</v>
      </c>
      <c r="AN288" s="382">
        <f>IF(AND(AH288&gt;0,B288&lt;&gt;""),VLOOKUP(I288,'AUX-NIV2'!$B:$AP,40,FALSE)*O288,0)</f>
        <v>4.032</v>
      </c>
      <c r="AO288" s="382">
        <f t="shared" si="160"/>
        <v>38.248321836734689</v>
      </c>
      <c r="AQ288" s="395">
        <f>(IF($H288="x",VLOOKUP($I288,'AUX-NIV2'!$B:$X,'AUX-NIV1'!AQ$3,FALSE),0)+($AV288*'AUX-NIV3'!S$4))*$O288+IF($H288=AQ$4,$P288,0)</f>
        <v>1947.6420343052898</v>
      </c>
      <c r="AR288" s="395">
        <f>(IF($H288="x",VLOOKUP($I288,'AUX-NIV2'!$B:$X,'AUX-NIV1'!AR$3,FALSE),0)+($AV288*'AUX-NIV3'!T$4))*$O288+IF($H288=AR$4,$P288,0)</f>
        <v>2614.1569332000004</v>
      </c>
      <c r="AS288" s="395">
        <f>(IF($H288="x",VLOOKUP($I288,'AUX-NIV2'!$B:$X,'AUX-NIV1'!AS$3,FALSE),0)+($AV288*'AUX-NIV3'!U$4))*$O288+IF($H288=AS$4,$P288,0)</f>
        <v>0</v>
      </c>
      <c r="AT288" s="395">
        <f>(IF($H288="x",VLOOKUP($I288,'AUX-NIV2'!$B:$X,'AUX-NIV1'!AT$3,FALSE),0)+($AV288*'AUX-NIV3'!V$4))*$O288+IF($H288=AT$4,$P288,0)</f>
        <v>0</v>
      </c>
      <c r="AU288" s="395">
        <f>(IF($H288="x",VLOOKUP($I288,'AUX-NIV2'!$B:$X,'AUX-NIV1'!AU$3,FALSE),0)+($AV288*'AUX-NIV3'!W$4))*$O288+IF($H288=AU$4,$P288,0)</f>
        <v>0</v>
      </c>
      <c r="AV288" s="395">
        <f>+IF($H288="x",VLOOKUP($I288,'AUX-NIV2'!$B:$X,'AUX-NIV1'!AV$3,FALSE),0)</f>
        <v>0</v>
      </c>
    </row>
    <row r="289" spans="2:48" ht="14.4" hidden="1" thickTop="1" thickBot="1">
      <c r="B289" s="324" t="s">
        <v>2947</v>
      </c>
      <c r="C289" s="325" t="s">
        <v>2948</v>
      </c>
      <c r="D289" s="326" t="s">
        <v>1160</v>
      </c>
      <c r="E289" s="349">
        <f>IF(B289&lt;&gt;"",+SUMIF(Items!C:C,'AUX-NIV1'!B289,Items!H:H),"")</f>
        <v>0</v>
      </c>
      <c r="F289" s="349">
        <f t="shared" si="150"/>
        <v>36458.187252477292</v>
      </c>
      <c r="G289" s="349">
        <f t="shared" si="151"/>
        <v>0</v>
      </c>
      <c r="H289" s="1395" t="str">
        <f t="shared" si="161"/>
        <v>X</v>
      </c>
      <c r="I289" s="1375" t="s">
        <v>1506</v>
      </c>
      <c r="J289" s="350" t="str">
        <f>IF(B289&lt;&gt;"",+VLOOKUP(I289,Recursos!C:F,2,FALSE),"")</f>
        <v>Curado de Hormigón</v>
      </c>
      <c r="K289" s="351" t="str">
        <f>IF(B289&lt;&gt;"",+VLOOKUP(I289,Recursos!C:F,3,FALSE),"")</f>
        <v>m2</v>
      </c>
      <c r="L289" s="436">
        <f>IF(B289&lt;&gt;"",+VLOOKUP(I289,Recursos!C:F,4,FALSE),"")</f>
        <v>119.57804276966723</v>
      </c>
      <c r="M289" s="443"/>
      <c r="N289" s="442"/>
      <c r="O289" s="439">
        <f>+M290</f>
        <v>4.5</v>
      </c>
      <c r="P289" s="440">
        <f t="shared" si="162"/>
        <v>538.10119246350257</v>
      </c>
      <c r="Q289" s="349">
        <f t="shared" si="163"/>
        <v>0</v>
      </c>
      <c r="R289" s="353">
        <f t="shared" si="164"/>
        <v>0</v>
      </c>
      <c r="S289" s="354">
        <f t="shared" si="152"/>
        <v>0</v>
      </c>
      <c r="T289" s="354">
        <f t="shared" si="153"/>
        <v>0</v>
      </c>
      <c r="U289" s="355">
        <f t="shared" si="154"/>
        <v>0</v>
      </c>
      <c r="V289" s="355">
        <f t="shared" si="155"/>
        <v>0</v>
      </c>
      <c r="W289" s="355">
        <f t="shared" si="156"/>
        <v>0</v>
      </c>
      <c r="X289" s="355">
        <f t="shared" si="157"/>
        <v>36458.187252477292</v>
      </c>
      <c r="Y289" s="396"/>
      <c r="Z289" s="346" t="str">
        <f t="shared" si="165"/>
        <v>0-HORMBA</v>
      </c>
      <c r="AA289" s="346" t="str">
        <f t="shared" si="166"/>
        <v>0-HORMBE</v>
      </c>
      <c r="AB289" s="346" t="str">
        <f t="shared" si="167"/>
        <v>0-HORMBM</v>
      </c>
      <c r="AC289" s="346" t="str">
        <f t="shared" si="168"/>
        <v>0-HORMBT</v>
      </c>
      <c r="AD289" s="346" t="str">
        <f t="shared" si="169"/>
        <v>0-HORMBS</v>
      </c>
      <c r="AE289" s="346" t="str">
        <f t="shared" si="170"/>
        <v>0-HORMBX</v>
      </c>
      <c r="AF289" s="346" t="str">
        <f t="shared" si="171"/>
        <v>0-HORMBX</v>
      </c>
      <c r="AG289" s="346">
        <f t="shared" si="158"/>
        <v>5</v>
      </c>
      <c r="AH289" s="346">
        <f>IF(B289&lt;&gt;"",+IF(H289="x",+VLOOKUP(I289,'AUX-NIV2'!B:AG,32,FALSE),0),"")</f>
        <v>3</v>
      </c>
      <c r="AI289" s="346" t="str">
        <f t="shared" si="172"/>
        <v>0-HORMB</v>
      </c>
      <c r="AK289" s="347">
        <f t="shared" si="159"/>
        <v>288</v>
      </c>
      <c r="AL289" s="348">
        <f t="shared" si="173"/>
        <v>292</v>
      </c>
      <c r="AM289" s="347">
        <f t="shared" si="174"/>
        <v>2</v>
      </c>
      <c r="AN289" s="382">
        <f>IF(AND(AH289&gt;0,B289&lt;&gt;""),VLOOKUP(I289,'AUX-NIV2'!$B:$AP,40,FALSE)*O289,0)</f>
        <v>0.45</v>
      </c>
      <c r="AO289" s="382">
        <f t="shared" si="160"/>
        <v>38.248321836734689</v>
      </c>
      <c r="AQ289" s="395">
        <f>(IF($H289="x",VLOOKUP($I289,'AUX-NIV2'!$B:$X,'AUX-NIV1'!AQ$3,FALSE),0)+($AV289*'AUX-NIV3'!S$4))*$O289+IF($H289=AQ$4,$P289,0)</f>
        <v>190.11619246350256</v>
      </c>
      <c r="AR289" s="395">
        <f>(IF($H289="x",VLOOKUP($I289,'AUX-NIV2'!$B:$X,'AUX-NIV1'!AR$3,FALSE),0)+($AV289*'AUX-NIV3'!T$4))*$O289+IF($H289=AR$4,$P289,0)</f>
        <v>0</v>
      </c>
      <c r="AS289" s="395">
        <f>(IF($H289="x",VLOOKUP($I289,'AUX-NIV2'!$B:$X,'AUX-NIV1'!AS$3,FALSE),0)+($AV289*'AUX-NIV3'!U$4))*$O289+IF($H289=AS$4,$P289,0)</f>
        <v>347.98500000000001</v>
      </c>
      <c r="AT289" s="395">
        <f>(IF($H289="x",VLOOKUP($I289,'AUX-NIV2'!$B:$X,'AUX-NIV1'!AT$3,FALSE),0)+($AV289*'AUX-NIV3'!V$4))*$O289+IF($H289=AT$4,$P289,0)</f>
        <v>0</v>
      </c>
      <c r="AU289" s="395">
        <f>(IF($H289="x",VLOOKUP($I289,'AUX-NIV2'!$B:$X,'AUX-NIV1'!AU$3,FALSE),0)+($AV289*'AUX-NIV3'!W$4))*$O289+IF($H289=AU$4,$P289,0)</f>
        <v>0</v>
      </c>
      <c r="AV289" s="395">
        <f>+IF($H289="x",VLOOKUP($I289,'AUX-NIV2'!$B:$X,'AUX-NIV1'!AV$3,FALSE),0)</f>
        <v>0</v>
      </c>
    </row>
    <row r="290" spans="2:48" ht="14.4" hidden="1" thickTop="1" thickBot="1">
      <c r="B290" s="324" t="s">
        <v>2947</v>
      </c>
      <c r="C290" s="325" t="s">
        <v>2948</v>
      </c>
      <c r="D290" s="326" t="s">
        <v>1160</v>
      </c>
      <c r="E290" s="349">
        <f>IF(B290&lt;&gt;"",+SUMIF(Items!C:C,'AUX-NIV1'!B290,Items!H:H),"")</f>
        <v>0</v>
      </c>
      <c r="F290" s="349">
        <f t="shared" si="150"/>
        <v>36458.187252477292</v>
      </c>
      <c r="G290" s="349">
        <f t="shared" si="151"/>
        <v>0</v>
      </c>
      <c r="H290" s="1395" t="str">
        <f t="shared" si="161"/>
        <v>X</v>
      </c>
      <c r="I290" s="1375" t="s">
        <v>2899</v>
      </c>
      <c r="J290" s="350" t="str">
        <f>IF(B290&lt;&gt;"",+VLOOKUP(I290,Recursos!C:F,2,FALSE),"")</f>
        <v>Encofrado metalico complejo</v>
      </c>
      <c r="K290" s="351" t="str">
        <f>IF(B290&lt;&gt;"",+VLOOKUP(I290,Recursos!C:F,3,FALSE),"")</f>
        <v>m2</v>
      </c>
      <c r="L290" s="436">
        <f>IF(B290&lt;&gt;"",+VLOOKUP(I290,Recursos!C:F,4,FALSE),"")</f>
        <v>5273.5946945936521</v>
      </c>
      <c r="M290" s="441">
        <v>4.5</v>
      </c>
      <c r="N290" s="442"/>
      <c r="O290" s="439">
        <f>+M290</f>
        <v>4.5</v>
      </c>
      <c r="P290" s="440">
        <f t="shared" si="162"/>
        <v>23731.176125671434</v>
      </c>
      <c r="Q290" s="349">
        <f t="shared" si="163"/>
        <v>0</v>
      </c>
      <c r="R290" s="353">
        <f t="shared" si="164"/>
        <v>0</v>
      </c>
      <c r="S290" s="354">
        <f t="shared" si="152"/>
        <v>0</v>
      </c>
      <c r="T290" s="354">
        <f t="shared" si="153"/>
        <v>0</v>
      </c>
      <c r="U290" s="355">
        <f t="shared" si="154"/>
        <v>0</v>
      </c>
      <c r="V290" s="355">
        <f t="shared" si="155"/>
        <v>0</v>
      </c>
      <c r="W290" s="355">
        <f t="shared" si="156"/>
        <v>0</v>
      </c>
      <c r="X290" s="355">
        <f t="shared" si="157"/>
        <v>36458.187252477292</v>
      </c>
      <c r="Y290" s="396"/>
      <c r="Z290" s="346" t="str">
        <f t="shared" si="165"/>
        <v>0-HORMBA</v>
      </c>
      <c r="AA290" s="346" t="str">
        <f t="shared" si="166"/>
        <v>0-HORMBE</v>
      </c>
      <c r="AB290" s="346" t="str">
        <f t="shared" si="167"/>
        <v>0-HORMBM</v>
      </c>
      <c r="AC290" s="346" t="str">
        <f t="shared" si="168"/>
        <v>0-HORMBT</v>
      </c>
      <c r="AD290" s="346" t="str">
        <f t="shared" si="169"/>
        <v>0-HORMBS</v>
      </c>
      <c r="AE290" s="346" t="str">
        <f t="shared" si="170"/>
        <v>0-HORMBX</v>
      </c>
      <c r="AF290" s="346" t="str">
        <f t="shared" si="171"/>
        <v>0-HORMBX</v>
      </c>
      <c r="AG290" s="346">
        <f t="shared" si="158"/>
        <v>5</v>
      </c>
      <c r="AH290" s="346">
        <f>IF(B290&lt;&gt;"",+IF(H290="x",+VLOOKUP(I290,'AUX-NIV2'!B:AG,32,FALSE),0),"")</f>
        <v>14</v>
      </c>
      <c r="AI290" s="346" t="str">
        <f t="shared" si="172"/>
        <v>0-HORMB</v>
      </c>
      <c r="AK290" s="347">
        <f t="shared" si="159"/>
        <v>288</v>
      </c>
      <c r="AL290" s="348">
        <f t="shared" si="173"/>
        <v>292</v>
      </c>
      <c r="AM290" s="347">
        <f t="shared" si="174"/>
        <v>3</v>
      </c>
      <c r="AN290" s="382">
        <f>IF(AND(AH290&gt;0,B290&lt;&gt;""),VLOOKUP(I290,'AUX-NIV2'!$B:$AP,40,FALSE)*O290,0)</f>
        <v>31.78125</v>
      </c>
      <c r="AO290" s="382">
        <f t="shared" si="160"/>
        <v>38.248321836734689</v>
      </c>
      <c r="AQ290" s="395">
        <f>(IF($H290="x",VLOOKUP($I290,'AUX-NIV2'!$B:$X,'AUX-NIV1'!AQ$3,FALSE),0)+($AV290*'AUX-NIV3'!S$4))*$O290+IF($H290=AQ$4,$P290,0)</f>
        <v>15161.008861505672</v>
      </c>
      <c r="AR290" s="395">
        <f>(IF($H290="x",VLOOKUP($I290,'AUX-NIV2'!$B:$X,'AUX-NIV1'!AR$3,FALSE),0)+($AV290*'AUX-NIV3'!T$4))*$O290+IF($H290=AR$4,$P290,0)</f>
        <v>535.06625625000004</v>
      </c>
      <c r="AS290" s="395">
        <f>(IF($H290="x",VLOOKUP($I290,'AUX-NIV2'!$B:$X,'AUX-NIV1'!AS$3,FALSE),0)+($AV290*'AUX-NIV3'!U$4))*$O290+IF($H290=AS$4,$P290,0)</f>
        <v>8035.1010079157613</v>
      </c>
      <c r="AT290" s="395">
        <f>(IF($H290="x",VLOOKUP($I290,'AUX-NIV2'!$B:$X,'AUX-NIV1'!AT$3,FALSE),0)+($AV290*'AUX-NIV3'!V$4))*$O290+IF($H290=AT$4,$P290,0)</f>
        <v>0</v>
      </c>
      <c r="AU290" s="395">
        <f>(IF($H290="x",VLOOKUP($I290,'AUX-NIV2'!$B:$X,'AUX-NIV1'!AU$3,FALSE),0)+($AV290*'AUX-NIV3'!W$4))*$O290+IF($H290=AU$4,$P290,0)</f>
        <v>0</v>
      </c>
      <c r="AV290" s="395">
        <f>+IF($H290="x",VLOOKUP($I290,'AUX-NIV2'!$B:$X,'AUX-NIV1'!AV$3,FALSE),0)</f>
        <v>0</v>
      </c>
    </row>
    <row r="291" spans="2:48" ht="14.4" hidden="1" thickTop="1" thickBot="1">
      <c r="B291" s="324" t="s">
        <v>2947</v>
      </c>
      <c r="C291" s="325" t="s">
        <v>2948</v>
      </c>
      <c r="D291" s="326" t="s">
        <v>1160</v>
      </c>
      <c r="E291" s="349">
        <f>IF(B291&lt;&gt;"",+SUMIF(Items!C:C,'AUX-NIV1'!B291,Items!H:H),"")</f>
        <v>0</v>
      </c>
      <c r="F291" s="349">
        <f t="shared" si="150"/>
        <v>36458.187252477292</v>
      </c>
      <c r="G291" s="349">
        <f t="shared" si="151"/>
        <v>0</v>
      </c>
      <c r="H291" s="1395" t="str">
        <f t="shared" si="161"/>
        <v>X</v>
      </c>
      <c r="I291" s="1375" t="s">
        <v>2869</v>
      </c>
      <c r="J291" s="350" t="str">
        <f>IF(B291&lt;&gt;"",+VLOOKUP(I291,Recursos!C:F,2,FALSE),"")</f>
        <v>Elaboración de Hgón H21</v>
      </c>
      <c r="K291" s="351" t="str">
        <f>IF(B291&lt;&gt;"",+VLOOKUP(I291,Recursos!C:F,3,FALSE),"")</f>
        <v>m3</v>
      </c>
      <c r="L291" s="436">
        <f>IF(B291&lt;&gt;"",+VLOOKUP(I291,Recursos!C:F,4,FALSE),"")</f>
        <v>4858.5124331852494</v>
      </c>
      <c r="M291" s="443"/>
      <c r="N291" s="442"/>
      <c r="O291" s="439">
        <f>+M288+N288</f>
        <v>1.08</v>
      </c>
      <c r="P291" s="440">
        <f t="shared" si="162"/>
        <v>5247.1934278400695</v>
      </c>
      <c r="Q291" s="349">
        <f t="shared" si="163"/>
        <v>0</v>
      </c>
      <c r="R291" s="353">
        <f t="shared" si="164"/>
        <v>0</v>
      </c>
      <c r="S291" s="354">
        <f t="shared" si="152"/>
        <v>0</v>
      </c>
      <c r="T291" s="354">
        <f t="shared" si="153"/>
        <v>0</v>
      </c>
      <c r="U291" s="355">
        <f t="shared" si="154"/>
        <v>0</v>
      </c>
      <c r="V291" s="355">
        <f t="shared" si="155"/>
        <v>0</v>
      </c>
      <c r="W291" s="355">
        <f t="shared" si="156"/>
        <v>0</v>
      </c>
      <c r="X291" s="355">
        <f t="shared" si="157"/>
        <v>36458.187252477292</v>
      </c>
      <c r="Y291" s="396"/>
      <c r="Z291" s="346" t="str">
        <f t="shared" si="165"/>
        <v>0-HORMBA</v>
      </c>
      <c r="AA291" s="346" t="str">
        <f t="shared" si="166"/>
        <v>0-HORMBE</v>
      </c>
      <c r="AB291" s="346" t="str">
        <f t="shared" si="167"/>
        <v>0-HORMBM</v>
      </c>
      <c r="AC291" s="346" t="str">
        <f t="shared" si="168"/>
        <v>0-HORMBT</v>
      </c>
      <c r="AD291" s="346" t="str">
        <f t="shared" si="169"/>
        <v>0-HORMBS</v>
      </c>
      <c r="AE291" s="346" t="str">
        <f t="shared" si="170"/>
        <v>0-HORMBX</v>
      </c>
      <c r="AF291" s="346" t="str">
        <f t="shared" si="171"/>
        <v>0-HORMBX</v>
      </c>
      <c r="AG291" s="346">
        <f t="shared" si="158"/>
        <v>5</v>
      </c>
      <c r="AH291" s="346">
        <f>IF(B291&lt;&gt;"",+IF(H291="x",+VLOOKUP(I291,'AUX-NIV2'!B:AG,32,FALSE),0),"")</f>
        <v>7</v>
      </c>
      <c r="AI291" s="346" t="str">
        <f t="shared" si="172"/>
        <v>0-HORMB</v>
      </c>
      <c r="AK291" s="347">
        <f t="shared" si="159"/>
        <v>288</v>
      </c>
      <c r="AL291" s="348">
        <f t="shared" si="173"/>
        <v>292</v>
      </c>
      <c r="AM291" s="347">
        <f t="shared" si="174"/>
        <v>4</v>
      </c>
      <c r="AN291" s="382">
        <f>IF(AND(AH291&gt;0,B291&lt;&gt;""),VLOOKUP(I291,'AUX-NIV2'!$B:$AP,40,FALSE)*O291,0)</f>
        <v>1.0054799999999999</v>
      </c>
      <c r="AO291" s="382">
        <f t="shared" si="160"/>
        <v>38.248321836734689</v>
      </c>
      <c r="AQ291" s="395">
        <f>(IF($H291="x",VLOOKUP($I291,'AUX-NIV2'!$B:$X,'AUX-NIV1'!AQ$3,FALSE),0)+($AV291*'AUX-NIV3'!S$4))*$O291+IF($H291=AQ$4,$P291,0)</f>
        <v>121.67341276286528</v>
      </c>
      <c r="AR291" s="395">
        <f>(IF($H291="x",VLOOKUP($I291,'AUX-NIV2'!$B:$X,'AUX-NIV1'!AR$3,FALSE),0)+($AV291*'AUX-NIV3'!T$4))*$O291+IF($H291=AR$4,$P291,0)</f>
        <v>1052.2832883905021</v>
      </c>
      <c r="AS291" s="395">
        <f>(IF($H291="x",VLOOKUP($I291,'AUX-NIV2'!$B:$X,'AUX-NIV1'!AS$3,FALSE),0)+($AV291*'AUX-NIV3'!U$4))*$O291+IF($H291=AS$4,$P291,0)</f>
        <v>4073.2367266867022</v>
      </c>
      <c r="AT291" s="395">
        <f>(IF($H291="x",VLOOKUP($I291,'AUX-NIV2'!$B:$X,'AUX-NIV1'!AT$3,FALSE),0)+($AV291*'AUX-NIV3'!V$4))*$O291+IF($H291=AT$4,$P291,0)</f>
        <v>0</v>
      </c>
      <c r="AU291" s="395">
        <f>(IF($H291="x",VLOOKUP($I291,'AUX-NIV2'!$B:$X,'AUX-NIV1'!AU$3,FALSE),0)+($AV291*'AUX-NIV3'!W$4))*$O291+IF($H291=AU$4,$P291,0)</f>
        <v>0</v>
      </c>
      <c r="AV291" s="395">
        <f>+IF($H291="x",VLOOKUP($I291,'AUX-NIV2'!$B:$X,'AUX-NIV1'!AV$3,FALSE),0)</f>
        <v>1088.7152427571161</v>
      </c>
    </row>
    <row r="292" spans="2:48" ht="14.4" hidden="1" thickTop="1" thickBot="1">
      <c r="B292" s="324" t="s">
        <v>2947</v>
      </c>
      <c r="C292" s="325" t="s">
        <v>2948</v>
      </c>
      <c r="D292" s="326" t="s">
        <v>1160</v>
      </c>
      <c r="E292" s="349">
        <f>IF(B292&lt;&gt;"",+SUMIF(Items!C:C,'AUX-NIV1'!B292,Items!H:H),"")</f>
        <v>0</v>
      </c>
      <c r="F292" s="349">
        <f t="shared" si="150"/>
        <v>36458.187252477292</v>
      </c>
      <c r="G292" s="349">
        <f t="shared" si="151"/>
        <v>0</v>
      </c>
      <c r="H292" s="1395" t="str">
        <f t="shared" si="161"/>
        <v>X</v>
      </c>
      <c r="I292" s="1375" t="s">
        <v>1504</v>
      </c>
      <c r="J292" s="350" t="str">
        <f>IF(B292&lt;&gt;"",+VLOOKUP(I292,Recursos!C:F,2,FALSE),"")</f>
        <v>Transporte de Hormigón</v>
      </c>
      <c r="K292" s="351" t="str">
        <f>IF(B292&lt;&gt;"",+VLOOKUP(I292,Recursos!C:F,3,FALSE),"")</f>
        <v>m3</v>
      </c>
      <c r="L292" s="436">
        <f>IF(B292&lt;&gt;"",+VLOOKUP(I292,Recursos!C:F,4,FALSE),"")</f>
        <v>440.72547018462734</v>
      </c>
      <c r="M292" s="535">
        <v>5</v>
      </c>
      <c r="N292" s="445"/>
      <c r="O292" s="439">
        <f>+((M288+N288)*M292)</f>
        <v>5.4</v>
      </c>
      <c r="P292" s="440">
        <f t="shared" si="162"/>
        <v>2379.9175389969878</v>
      </c>
      <c r="Q292" s="349">
        <f t="shared" si="163"/>
        <v>0</v>
      </c>
      <c r="R292" s="353">
        <f t="shared" si="164"/>
        <v>0</v>
      </c>
      <c r="S292" s="354">
        <f t="shared" si="152"/>
        <v>0</v>
      </c>
      <c r="T292" s="354">
        <f t="shared" si="153"/>
        <v>0</v>
      </c>
      <c r="U292" s="355">
        <f t="shared" si="154"/>
        <v>0</v>
      </c>
      <c r="V292" s="355">
        <f t="shared" si="155"/>
        <v>0</v>
      </c>
      <c r="W292" s="355">
        <f t="shared" si="156"/>
        <v>0</v>
      </c>
      <c r="X292" s="355">
        <f t="shared" si="157"/>
        <v>36458.187252477292</v>
      </c>
      <c r="Y292" s="396"/>
      <c r="Z292" s="346" t="str">
        <f t="shared" si="165"/>
        <v>0-HORMBA</v>
      </c>
      <c r="AA292" s="346" t="str">
        <f t="shared" si="166"/>
        <v>0-HORMBE</v>
      </c>
      <c r="AB292" s="346" t="str">
        <f t="shared" si="167"/>
        <v>0-HORMBM</v>
      </c>
      <c r="AC292" s="346" t="str">
        <f t="shared" si="168"/>
        <v>0-HORMBT</v>
      </c>
      <c r="AD292" s="346" t="str">
        <f t="shared" si="169"/>
        <v>0-HORMBS</v>
      </c>
      <c r="AE292" s="346" t="str">
        <f t="shared" si="170"/>
        <v>0-HORMBX</v>
      </c>
      <c r="AF292" s="346" t="str">
        <f t="shared" si="171"/>
        <v>0-HORMBX</v>
      </c>
      <c r="AG292" s="346">
        <f t="shared" si="158"/>
        <v>5</v>
      </c>
      <c r="AH292" s="346">
        <f>IF(B292&lt;&gt;"",+IF(H292="x",+VLOOKUP(I292,'AUX-NIV2'!B:AG,32,FALSE),0),"")</f>
        <v>2</v>
      </c>
      <c r="AI292" s="346" t="str">
        <f t="shared" si="172"/>
        <v>0-HORMB</v>
      </c>
      <c r="AK292" s="347">
        <f t="shared" si="159"/>
        <v>288</v>
      </c>
      <c r="AL292" s="348">
        <f t="shared" si="173"/>
        <v>292</v>
      </c>
      <c r="AM292" s="347">
        <f t="shared" si="174"/>
        <v>5</v>
      </c>
      <c r="AN292" s="382">
        <f>IF(AND(AH292&gt;0,B292&lt;&gt;""),VLOOKUP(I292,'AUX-NIV2'!$B:$AP,40,FALSE)*O292,0)</f>
        <v>0.97959183673469397</v>
      </c>
      <c r="AO292" s="382">
        <f t="shared" si="160"/>
        <v>38.248321836734689</v>
      </c>
      <c r="AQ292" s="395">
        <f>(IF($H292="x",VLOOKUP($I292,'AUX-NIV2'!$B:$X,'AUX-NIV1'!AQ$3,FALSE),0)+($AV292*'AUX-NIV3'!S$4))*$O292+IF($H292=AQ$4,$P292,0)</f>
        <v>486.77481246637547</v>
      </c>
      <c r="AR292" s="395">
        <f>(IF($H292="x",VLOOKUP($I292,'AUX-NIV2'!$B:$X,'AUX-NIV1'!AR$3,FALSE),0)+($AV292*'AUX-NIV3'!T$4))*$O292+IF($H292=AR$4,$P292,0)</f>
        <v>1893.1427265306124</v>
      </c>
      <c r="AS292" s="395">
        <f>(IF($H292="x",VLOOKUP($I292,'AUX-NIV2'!$B:$X,'AUX-NIV1'!AS$3,FALSE),0)+($AV292*'AUX-NIV3'!U$4))*$O292+IF($H292=AS$4,$P292,0)</f>
        <v>0</v>
      </c>
      <c r="AT292" s="395">
        <f>(IF($H292="x",VLOOKUP($I292,'AUX-NIV2'!$B:$X,'AUX-NIV1'!AT$3,FALSE),0)+($AV292*'AUX-NIV3'!V$4))*$O292+IF($H292=AT$4,$P292,0)</f>
        <v>0</v>
      </c>
      <c r="AU292" s="395">
        <f>(IF($H292="x",VLOOKUP($I292,'AUX-NIV2'!$B:$X,'AUX-NIV1'!AU$3,FALSE),0)+($AV292*'AUX-NIV3'!W$4))*$O292+IF($H292=AU$4,$P292,0)</f>
        <v>0</v>
      </c>
      <c r="AV292" s="395">
        <f>+IF($H292="x",VLOOKUP($I292,'AUX-NIV2'!$B:$X,'AUX-NIV1'!AV$3,FALSE),0)</f>
        <v>0</v>
      </c>
    </row>
    <row r="293" spans="2:48" ht="14.4" hidden="1" thickTop="1" thickBot="1">
      <c r="B293" s="324" t="s">
        <v>2949</v>
      </c>
      <c r="C293" s="325" t="s">
        <v>2950</v>
      </c>
      <c r="D293" s="326" t="s">
        <v>1160</v>
      </c>
      <c r="E293" s="349">
        <f>IF(B293&lt;&gt;"",+SUMIF(Items!C:C,'AUX-NIV1'!B293,Items!H:H),"")</f>
        <v>0</v>
      </c>
      <c r="F293" s="349">
        <f t="shared" si="150"/>
        <v>39041.505506302208</v>
      </c>
      <c r="G293" s="349">
        <f t="shared" si="151"/>
        <v>0</v>
      </c>
      <c r="H293" s="1395" t="str">
        <f t="shared" si="161"/>
        <v>X</v>
      </c>
      <c r="I293" s="1375" t="s">
        <v>2897</v>
      </c>
      <c r="J293" s="350" t="str">
        <f>IF(B293&lt;&gt;"",+VLOOKUP(I293,Recursos!C:F,2,FALSE),"")</f>
        <v>Colado de hgón con bomba</v>
      </c>
      <c r="K293" s="351" t="str">
        <f>IF(B293&lt;&gt;"",+VLOOKUP(I293,Recursos!C:F,3,FALSE),"")</f>
        <v>m3</v>
      </c>
      <c r="L293" s="436">
        <f>IF(B293&lt;&gt;"",+VLOOKUP(I293,Recursos!C:F,4,FALSE),"")</f>
        <v>4223.8879328752682</v>
      </c>
      <c r="M293" s="437">
        <v>1.05</v>
      </c>
      <c r="N293" s="458">
        <v>0.03</v>
      </c>
      <c r="O293" s="439">
        <f>1*(M293+N293)</f>
        <v>1.08</v>
      </c>
      <c r="P293" s="440">
        <f t="shared" si="162"/>
        <v>4561.7989675052904</v>
      </c>
      <c r="Q293" s="349">
        <f t="shared" si="163"/>
        <v>0</v>
      </c>
      <c r="R293" s="353">
        <f t="shared" si="164"/>
        <v>0</v>
      </c>
      <c r="S293" s="354">
        <f t="shared" si="152"/>
        <v>0</v>
      </c>
      <c r="T293" s="354">
        <f t="shared" si="153"/>
        <v>0</v>
      </c>
      <c r="U293" s="355">
        <f t="shared" si="154"/>
        <v>0</v>
      </c>
      <c r="V293" s="355">
        <f t="shared" si="155"/>
        <v>0</v>
      </c>
      <c r="W293" s="355">
        <f t="shared" si="156"/>
        <v>0</v>
      </c>
      <c r="X293" s="355">
        <f t="shared" si="157"/>
        <v>39041.505506302208</v>
      </c>
      <c r="Y293" s="396"/>
      <c r="Z293" s="346" t="str">
        <f t="shared" si="165"/>
        <v>0-HORMDA</v>
      </c>
      <c r="AA293" s="346" t="str">
        <f t="shared" si="166"/>
        <v>0-HORMDE</v>
      </c>
      <c r="AB293" s="346" t="str">
        <f t="shared" si="167"/>
        <v>0-HORMDM</v>
      </c>
      <c r="AC293" s="346" t="str">
        <f t="shared" si="168"/>
        <v>0-HORMDT</v>
      </c>
      <c r="AD293" s="346" t="str">
        <f t="shared" si="169"/>
        <v>0-HORMDS</v>
      </c>
      <c r="AE293" s="346" t="str">
        <f t="shared" si="170"/>
        <v>0-HORMDX</v>
      </c>
      <c r="AF293" s="346" t="str">
        <f t="shared" si="171"/>
        <v>0-HORMDX</v>
      </c>
      <c r="AG293" s="346">
        <f t="shared" si="158"/>
        <v>5</v>
      </c>
      <c r="AH293" s="346">
        <f>IF(B293&lt;&gt;"",+IF(H293="x",+VLOOKUP(I293,'AUX-NIV2'!B:AG,32,FALSE),0),"")</f>
        <v>10</v>
      </c>
      <c r="AI293" s="346" t="str">
        <f t="shared" si="172"/>
        <v>0-HORMD</v>
      </c>
      <c r="AK293" s="347">
        <f t="shared" si="159"/>
        <v>293</v>
      </c>
      <c r="AL293" s="348">
        <f t="shared" si="173"/>
        <v>297</v>
      </c>
      <c r="AM293" s="347">
        <f t="shared" si="174"/>
        <v>1</v>
      </c>
      <c r="AN293" s="382">
        <f>IF(AND(AH293&gt;0,B293&lt;&gt;""),VLOOKUP(I293,'AUX-NIV2'!$B:$AP,40,FALSE)*O293,0)</f>
        <v>4.032</v>
      </c>
      <c r="AO293" s="382">
        <f t="shared" si="160"/>
        <v>39.611245408163263</v>
      </c>
      <c r="AQ293" s="395">
        <f>(IF($H293="x",VLOOKUP($I293,'AUX-NIV2'!$B:$X,'AUX-NIV1'!AQ$3,FALSE),0)+($AV293*'AUX-NIV3'!S$4))*$O293+IF($H293=AQ$4,$P293,0)</f>
        <v>1947.6420343052898</v>
      </c>
      <c r="AR293" s="395">
        <f>(IF($H293="x",VLOOKUP($I293,'AUX-NIV2'!$B:$X,'AUX-NIV1'!AR$3,FALSE),0)+($AV293*'AUX-NIV3'!T$4))*$O293+IF($H293=AR$4,$P293,0)</f>
        <v>2614.1569332000004</v>
      </c>
      <c r="AS293" s="395">
        <f>(IF($H293="x",VLOOKUP($I293,'AUX-NIV2'!$B:$X,'AUX-NIV1'!AS$3,FALSE),0)+($AV293*'AUX-NIV3'!U$4))*$O293+IF($H293=AS$4,$P293,0)</f>
        <v>0</v>
      </c>
      <c r="AT293" s="395">
        <f>(IF($H293="x",VLOOKUP($I293,'AUX-NIV2'!$B:$X,'AUX-NIV1'!AT$3,FALSE),0)+($AV293*'AUX-NIV3'!V$4))*$O293+IF($H293=AT$4,$P293,0)</f>
        <v>0</v>
      </c>
      <c r="AU293" s="395">
        <f>(IF($H293="x",VLOOKUP($I293,'AUX-NIV2'!$B:$X,'AUX-NIV1'!AU$3,FALSE),0)+($AV293*'AUX-NIV3'!W$4))*$O293+IF($H293=AU$4,$P293,0)</f>
        <v>0</v>
      </c>
      <c r="AV293" s="395">
        <f>+IF($H293="x",VLOOKUP($I293,'AUX-NIV2'!$B:$X,'AUX-NIV1'!AV$3,FALSE),0)</f>
        <v>0</v>
      </c>
    </row>
    <row r="294" spans="2:48" ht="14.4" hidden="1" thickTop="1" thickBot="1">
      <c r="B294" s="324" t="s">
        <v>2949</v>
      </c>
      <c r="C294" s="325" t="s">
        <v>2950</v>
      </c>
      <c r="D294" s="326" t="s">
        <v>1160</v>
      </c>
      <c r="E294" s="349">
        <f>IF(B294&lt;&gt;"",+SUMIF(Items!C:C,'AUX-NIV1'!B294,Items!H:H),"")</f>
        <v>0</v>
      </c>
      <c r="F294" s="349">
        <f t="shared" si="150"/>
        <v>39041.505506302208</v>
      </c>
      <c r="G294" s="349">
        <f t="shared" si="151"/>
        <v>0</v>
      </c>
      <c r="H294" s="1395" t="str">
        <f t="shared" si="161"/>
        <v>X</v>
      </c>
      <c r="I294" s="1375" t="s">
        <v>1506</v>
      </c>
      <c r="J294" s="350" t="str">
        <f>IF(B294&lt;&gt;"",+VLOOKUP(I294,Recursos!C:F,2,FALSE),"")</f>
        <v>Curado de Hormigón</v>
      </c>
      <c r="K294" s="351" t="str">
        <f>IF(B294&lt;&gt;"",+VLOOKUP(I294,Recursos!C:F,3,FALSE),"")</f>
        <v>m2</v>
      </c>
      <c r="L294" s="436">
        <f>IF(B294&lt;&gt;"",+VLOOKUP(I294,Recursos!C:F,4,FALSE),"")</f>
        <v>119.57804276966723</v>
      </c>
      <c r="M294" s="443"/>
      <c r="N294" s="442"/>
      <c r="O294" s="439">
        <f>+M295</f>
        <v>4.5</v>
      </c>
      <c r="P294" s="440">
        <f t="shared" si="162"/>
        <v>538.10119246350257</v>
      </c>
      <c r="Q294" s="349">
        <f t="shared" si="163"/>
        <v>0</v>
      </c>
      <c r="R294" s="353">
        <f t="shared" si="164"/>
        <v>0</v>
      </c>
      <c r="S294" s="354">
        <f t="shared" si="152"/>
        <v>0</v>
      </c>
      <c r="T294" s="354">
        <f t="shared" si="153"/>
        <v>0</v>
      </c>
      <c r="U294" s="355">
        <f t="shared" si="154"/>
        <v>0</v>
      </c>
      <c r="V294" s="355">
        <f t="shared" si="155"/>
        <v>0</v>
      </c>
      <c r="W294" s="355">
        <f t="shared" si="156"/>
        <v>0</v>
      </c>
      <c r="X294" s="355">
        <f t="shared" si="157"/>
        <v>39041.505506302208</v>
      </c>
      <c r="Y294" s="396"/>
      <c r="Z294" s="346" t="str">
        <f t="shared" si="165"/>
        <v>0-HORMDA</v>
      </c>
      <c r="AA294" s="346" t="str">
        <f t="shared" si="166"/>
        <v>0-HORMDE</v>
      </c>
      <c r="AB294" s="346" t="str">
        <f t="shared" si="167"/>
        <v>0-HORMDM</v>
      </c>
      <c r="AC294" s="346" t="str">
        <f t="shared" si="168"/>
        <v>0-HORMDT</v>
      </c>
      <c r="AD294" s="346" t="str">
        <f t="shared" si="169"/>
        <v>0-HORMDS</v>
      </c>
      <c r="AE294" s="346" t="str">
        <f t="shared" si="170"/>
        <v>0-HORMDX</v>
      </c>
      <c r="AF294" s="346" t="str">
        <f t="shared" si="171"/>
        <v>0-HORMDX</v>
      </c>
      <c r="AG294" s="346">
        <f t="shared" si="158"/>
        <v>5</v>
      </c>
      <c r="AH294" s="346">
        <f>IF(B294&lt;&gt;"",+IF(H294="x",+VLOOKUP(I294,'AUX-NIV2'!B:AG,32,FALSE),0),"")</f>
        <v>3</v>
      </c>
      <c r="AI294" s="346" t="str">
        <f t="shared" si="172"/>
        <v>0-HORMD</v>
      </c>
      <c r="AK294" s="347">
        <f t="shared" si="159"/>
        <v>293</v>
      </c>
      <c r="AL294" s="348">
        <f t="shared" si="173"/>
        <v>297</v>
      </c>
      <c r="AM294" s="347">
        <f t="shared" si="174"/>
        <v>2</v>
      </c>
      <c r="AN294" s="382">
        <f>IF(AND(AH294&gt;0,B294&lt;&gt;""),VLOOKUP(I294,'AUX-NIV2'!$B:$AP,40,FALSE)*O294,0)</f>
        <v>0.45</v>
      </c>
      <c r="AO294" s="382">
        <f t="shared" si="160"/>
        <v>39.611245408163263</v>
      </c>
      <c r="AQ294" s="395">
        <f>(IF($H294="x",VLOOKUP($I294,'AUX-NIV2'!$B:$X,'AUX-NIV1'!AQ$3,FALSE),0)+($AV294*'AUX-NIV3'!S$4))*$O294+IF($H294=AQ$4,$P294,0)</f>
        <v>190.11619246350256</v>
      </c>
      <c r="AR294" s="395">
        <f>(IF($H294="x",VLOOKUP($I294,'AUX-NIV2'!$B:$X,'AUX-NIV1'!AR$3,FALSE),0)+($AV294*'AUX-NIV3'!T$4))*$O294+IF($H294=AR$4,$P294,0)</f>
        <v>0</v>
      </c>
      <c r="AS294" s="395">
        <f>(IF($H294="x",VLOOKUP($I294,'AUX-NIV2'!$B:$X,'AUX-NIV1'!AS$3,FALSE),0)+($AV294*'AUX-NIV3'!U$4))*$O294+IF($H294=AS$4,$P294,0)</f>
        <v>347.98500000000001</v>
      </c>
      <c r="AT294" s="395">
        <f>(IF($H294="x",VLOOKUP($I294,'AUX-NIV2'!$B:$X,'AUX-NIV1'!AT$3,FALSE),0)+($AV294*'AUX-NIV3'!V$4))*$O294+IF($H294=AT$4,$P294,0)</f>
        <v>0</v>
      </c>
      <c r="AU294" s="395">
        <f>(IF($H294="x",VLOOKUP($I294,'AUX-NIV2'!$B:$X,'AUX-NIV1'!AU$3,FALSE),0)+($AV294*'AUX-NIV3'!W$4))*$O294+IF($H294=AU$4,$P294,0)</f>
        <v>0</v>
      </c>
      <c r="AV294" s="395">
        <f>+IF($H294="x",VLOOKUP($I294,'AUX-NIV2'!$B:$X,'AUX-NIV1'!AV$3,FALSE),0)</f>
        <v>0</v>
      </c>
    </row>
    <row r="295" spans="2:48" ht="14.4" hidden="1" thickTop="1" thickBot="1">
      <c r="B295" s="324" t="s">
        <v>2949</v>
      </c>
      <c r="C295" s="325" t="s">
        <v>2950</v>
      </c>
      <c r="D295" s="326" t="s">
        <v>1160</v>
      </c>
      <c r="E295" s="349">
        <f>IF(B295&lt;&gt;"",+SUMIF(Items!C:C,'AUX-NIV1'!B295,Items!H:H),"")</f>
        <v>0</v>
      </c>
      <c r="F295" s="349">
        <f t="shared" si="150"/>
        <v>39041.505506302208</v>
      </c>
      <c r="G295" s="349">
        <f t="shared" si="151"/>
        <v>0</v>
      </c>
      <c r="H295" s="1395" t="str">
        <f t="shared" si="161"/>
        <v>X</v>
      </c>
      <c r="I295" s="1375" t="s">
        <v>2899</v>
      </c>
      <c r="J295" s="350" t="str">
        <f>IF(B295&lt;&gt;"",+VLOOKUP(I295,Recursos!C:F,2,FALSE),"")</f>
        <v>Encofrado metalico complejo</v>
      </c>
      <c r="K295" s="351" t="str">
        <f>IF(B295&lt;&gt;"",+VLOOKUP(I295,Recursos!C:F,3,FALSE),"")</f>
        <v>m2</v>
      </c>
      <c r="L295" s="436">
        <f>IF(B295&lt;&gt;"",+VLOOKUP(I295,Recursos!C:F,4,FALSE),"")</f>
        <v>5273.5946945936521</v>
      </c>
      <c r="M295" s="441">
        <v>4.5</v>
      </c>
      <c r="N295" s="442"/>
      <c r="O295" s="439">
        <f>+M295</f>
        <v>4.5</v>
      </c>
      <c r="P295" s="440">
        <f t="shared" si="162"/>
        <v>23731.176125671434</v>
      </c>
      <c r="Q295" s="349">
        <f t="shared" si="163"/>
        <v>0</v>
      </c>
      <c r="R295" s="353">
        <f t="shared" si="164"/>
        <v>0</v>
      </c>
      <c r="S295" s="354">
        <f t="shared" si="152"/>
        <v>0</v>
      </c>
      <c r="T295" s="354">
        <f t="shared" si="153"/>
        <v>0</v>
      </c>
      <c r="U295" s="355">
        <f t="shared" si="154"/>
        <v>0</v>
      </c>
      <c r="V295" s="355">
        <f t="shared" si="155"/>
        <v>0</v>
      </c>
      <c r="W295" s="355">
        <f t="shared" si="156"/>
        <v>0</v>
      </c>
      <c r="X295" s="355">
        <f t="shared" si="157"/>
        <v>39041.505506302208</v>
      </c>
      <c r="Y295" s="396"/>
      <c r="Z295" s="346" t="str">
        <f t="shared" si="165"/>
        <v>0-HORMDA</v>
      </c>
      <c r="AA295" s="346" t="str">
        <f t="shared" si="166"/>
        <v>0-HORMDE</v>
      </c>
      <c r="AB295" s="346" t="str">
        <f t="shared" si="167"/>
        <v>0-HORMDM</v>
      </c>
      <c r="AC295" s="346" t="str">
        <f t="shared" si="168"/>
        <v>0-HORMDT</v>
      </c>
      <c r="AD295" s="346" t="str">
        <f t="shared" si="169"/>
        <v>0-HORMDS</v>
      </c>
      <c r="AE295" s="346" t="str">
        <f t="shared" si="170"/>
        <v>0-HORMDX</v>
      </c>
      <c r="AF295" s="346" t="str">
        <f t="shared" si="171"/>
        <v>0-HORMDX</v>
      </c>
      <c r="AG295" s="346">
        <f t="shared" si="158"/>
        <v>5</v>
      </c>
      <c r="AH295" s="346">
        <f>IF(B295&lt;&gt;"",+IF(H295="x",+VLOOKUP(I295,'AUX-NIV2'!B:AG,32,FALSE),0),"")</f>
        <v>14</v>
      </c>
      <c r="AI295" s="346" t="str">
        <f t="shared" si="172"/>
        <v>0-HORMD</v>
      </c>
      <c r="AK295" s="347">
        <f t="shared" si="159"/>
        <v>293</v>
      </c>
      <c r="AL295" s="348">
        <f t="shared" si="173"/>
        <v>297</v>
      </c>
      <c r="AM295" s="347">
        <f t="shared" si="174"/>
        <v>3</v>
      </c>
      <c r="AN295" s="382">
        <f>IF(AND(AH295&gt;0,B295&lt;&gt;""),VLOOKUP(I295,'AUX-NIV2'!$B:$AP,40,FALSE)*O295,0)</f>
        <v>31.78125</v>
      </c>
      <c r="AO295" s="382">
        <f t="shared" si="160"/>
        <v>39.611245408163263</v>
      </c>
      <c r="AQ295" s="395">
        <f>(IF($H295="x",VLOOKUP($I295,'AUX-NIV2'!$B:$X,'AUX-NIV1'!AQ$3,FALSE),0)+($AV295*'AUX-NIV3'!S$4))*$O295+IF($H295=AQ$4,$P295,0)</f>
        <v>15161.008861505672</v>
      </c>
      <c r="AR295" s="395">
        <f>(IF($H295="x",VLOOKUP($I295,'AUX-NIV2'!$B:$X,'AUX-NIV1'!AR$3,FALSE),0)+($AV295*'AUX-NIV3'!T$4))*$O295+IF($H295=AR$4,$P295,0)</f>
        <v>535.06625625000004</v>
      </c>
      <c r="AS295" s="395">
        <f>(IF($H295="x",VLOOKUP($I295,'AUX-NIV2'!$B:$X,'AUX-NIV1'!AS$3,FALSE),0)+($AV295*'AUX-NIV3'!U$4))*$O295+IF($H295=AS$4,$P295,0)</f>
        <v>8035.1010079157613</v>
      </c>
      <c r="AT295" s="395">
        <f>(IF($H295="x",VLOOKUP($I295,'AUX-NIV2'!$B:$X,'AUX-NIV1'!AT$3,FALSE),0)+($AV295*'AUX-NIV3'!V$4))*$O295+IF($H295=AT$4,$P295,0)</f>
        <v>0</v>
      </c>
      <c r="AU295" s="395">
        <f>(IF($H295="x",VLOOKUP($I295,'AUX-NIV2'!$B:$X,'AUX-NIV1'!AU$3,FALSE),0)+($AV295*'AUX-NIV3'!W$4))*$O295+IF($H295=AU$4,$P295,0)</f>
        <v>0</v>
      </c>
      <c r="AV295" s="395">
        <f>+IF($H295="x",VLOOKUP($I295,'AUX-NIV2'!$B:$X,'AUX-NIV1'!AV$3,FALSE),0)</f>
        <v>0</v>
      </c>
    </row>
    <row r="296" spans="2:48" ht="14.4" hidden="1" thickTop="1" thickBot="1">
      <c r="B296" s="324" t="s">
        <v>2949</v>
      </c>
      <c r="C296" s="325" t="s">
        <v>2950</v>
      </c>
      <c r="D296" s="326" t="s">
        <v>1160</v>
      </c>
      <c r="E296" s="349">
        <f>IF(B296&lt;&gt;"",+SUMIF(Items!C:C,'AUX-NIV1'!B296,Items!H:H),"")</f>
        <v>0</v>
      </c>
      <c r="F296" s="349">
        <f t="shared" si="150"/>
        <v>39041.505506302208</v>
      </c>
      <c r="G296" s="349">
        <f t="shared" si="151"/>
        <v>0</v>
      </c>
      <c r="H296" s="1395" t="str">
        <f t="shared" si="161"/>
        <v>X</v>
      </c>
      <c r="I296" s="1375" t="s">
        <v>2873</v>
      </c>
      <c r="J296" s="350" t="str">
        <f>IF(B296&lt;&gt;"",+VLOOKUP(I296,Recursos!C:F,2,FALSE),"")</f>
        <v>Elaboración de Hgón H13</v>
      </c>
      <c r="K296" s="351" t="str">
        <f>IF(B296&lt;&gt;"",+VLOOKUP(I296,Recursos!C:F,3,FALSE),"")</f>
        <v>m3</v>
      </c>
      <c r="L296" s="436">
        <f>IF(B296&lt;&gt;"",+VLOOKUP(I296,Recursos!C:F,4,FALSE),"")</f>
        <v>4165.395488027043</v>
      </c>
      <c r="M296" s="443"/>
      <c r="N296" s="442"/>
      <c r="O296" s="439">
        <f>+M293+N293</f>
        <v>1.08</v>
      </c>
      <c r="P296" s="440">
        <f t="shared" si="162"/>
        <v>4498.6271270692068</v>
      </c>
      <c r="Q296" s="349">
        <f t="shared" si="163"/>
        <v>0</v>
      </c>
      <c r="R296" s="353">
        <f t="shared" si="164"/>
        <v>0</v>
      </c>
      <c r="S296" s="354">
        <f t="shared" si="152"/>
        <v>0</v>
      </c>
      <c r="T296" s="354">
        <f t="shared" si="153"/>
        <v>0</v>
      </c>
      <c r="U296" s="355">
        <f t="shared" si="154"/>
        <v>0</v>
      </c>
      <c r="V296" s="355">
        <f t="shared" si="155"/>
        <v>0</v>
      </c>
      <c r="W296" s="355">
        <f t="shared" si="156"/>
        <v>0</v>
      </c>
      <c r="X296" s="355">
        <f t="shared" si="157"/>
        <v>39041.505506302208</v>
      </c>
      <c r="Y296" s="396"/>
      <c r="Z296" s="346" t="str">
        <f t="shared" si="165"/>
        <v>0-HORMDA</v>
      </c>
      <c r="AA296" s="346" t="str">
        <f t="shared" si="166"/>
        <v>0-HORMDE</v>
      </c>
      <c r="AB296" s="346" t="str">
        <f t="shared" si="167"/>
        <v>0-HORMDM</v>
      </c>
      <c r="AC296" s="346" t="str">
        <f t="shared" si="168"/>
        <v>0-HORMDT</v>
      </c>
      <c r="AD296" s="346" t="str">
        <f t="shared" si="169"/>
        <v>0-HORMDS</v>
      </c>
      <c r="AE296" s="346" t="str">
        <f t="shared" si="170"/>
        <v>0-HORMDX</v>
      </c>
      <c r="AF296" s="346" t="str">
        <f t="shared" si="171"/>
        <v>0-HORMDX</v>
      </c>
      <c r="AG296" s="346">
        <f t="shared" si="158"/>
        <v>5</v>
      </c>
      <c r="AH296" s="346">
        <f>IF(B296&lt;&gt;"",+IF(H296="x",+VLOOKUP(I296,'AUX-NIV2'!B:AG,32,FALSE),0),"")</f>
        <v>7</v>
      </c>
      <c r="AI296" s="346" t="str">
        <f t="shared" si="172"/>
        <v>0-HORMD</v>
      </c>
      <c r="AK296" s="347">
        <f t="shared" si="159"/>
        <v>293</v>
      </c>
      <c r="AL296" s="348">
        <f t="shared" si="173"/>
        <v>297</v>
      </c>
      <c r="AM296" s="347">
        <f t="shared" si="174"/>
        <v>4</v>
      </c>
      <c r="AN296" s="382">
        <f>IF(AND(AH296&gt;0,B296&lt;&gt;""),VLOOKUP(I296,'AUX-NIV2'!$B:$AP,40,FALSE)*O296,0)</f>
        <v>0.99697500000000006</v>
      </c>
      <c r="AO296" s="382">
        <f t="shared" si="160"/>
        <v>39.611245408163263</v>
      </c>
      <c r="AQ296" s="395">
        <f>(IF($H296="x",VLOOKUP($I296,'AUX-NIV2'!$B:$X,'AUX-NIV1'!AQ$3,FALSE),0)+($AV296*'AUX-NIV3'!S$4))*$O296+IF($H296=AQ$4,$P296,0)</f>
        <v>118.85033945636717</v>
      </c>
      <c r="AR296" s="395">
        <f>(IF($H296="x",VLOOKUP($I296,'AUX-NIV2'!$B:$X,'AUX-NIV1'!AR$3,FALSE),0)+($AV296*'AUX-NIV3'!T$4))*$O296+IF($H296=AR$4,$P296,0)</f>
        <v>1027.8681528660388</v>
      </c>
      <c r="AS296" s="395">
        <f>(IF($H296="x",VLOOKUP($I296,'AUX-NIV2'!$B:$X,'AUX-NIV1'!AS$3,FALSE),0)+($AV296*'AUX-NIV3'!U$4))*$O296+IF($H296=AS$4,$P296,0)</f>
        <v>3351.9086347468005</v>
      </c>
      <c r="AT296" s="395">
        <f>(IF($H296="x",VLOOKUP($I296,'AUX-NIV2'!$B:$X,'AUX-NIV1'!AT$3,FALSE),0)+($AV296*'AUX-NIV3'!V$4))*$O296+IF($H296=AT$4,$P296,0)</f>
        <v>0</v>
      </c>
      <c r="AU296" s="395">
        <f>(IF($H296="x",VLOOKUP($I296,'AUX-NIV2'!$B:$X,'AUX-NIV1'!AU$3,FALSE),0)+($AV296*'AUX-NIV3'!W$4))*$O296+IF($H296=AU$4,$P296,0)</f>
        <v>0</v>
      </c>
      <c r="AV296" s="395">
        <f>+IF($H296="x",VLOOKUP($I296,'AUX-NIV2'!$B:$X,'AUX-NIV1'!AV$3,FALSE),0)</f>
        <v>1063.4548109962732</v>
      </c>
    </row>
    <row r="297" spans="2:48" ht="14.4" hidden="1" thickTop="1" thickBot="1">
      <c r="B297" s="324" t="s">
        <v>2949</v>
      </c>
      <c r="C297" s="325" t="s">
        <v>2950</v>
      </c>
      <c r="D297" s="326" t="s">
        <v>1160</v>
      </c>
      <c r="E297" s="349">
        <f>IF(B297&lt;&gt;"",+SUMIF(Items!C:C,'AUX-NIV1'!B297,Items!H:H),"")</f>
        <v>0</v>
      </c>
      <c r="F297" s="349">
        <f t="shared" si="150"/>
        <v>39041.505506302208</v>
      </c>
      <c r="G297" s="349">
        <f t="shared" si="151"/>
        <v>0</v>
      </c>
      <c r="H297" s="1395" t="str">
        <f t="shared" si="161"/>
        <v>X</v>
      </c>
      <c r="I297" s="1375" t="s">
        <v>1504</v>
      </c>
      <c r="J297" s="350" t="str">
        <f>IF(B297&lt;&gt;"",+VLOOKUP(I297,Recursos!C:F,2,FALSE),"")</f>
        <v>Transporte de Hormigón</v>
      </c>
      <c r="K297" s="351" t="str">
        <f>IF(B297&lt;&gt;"",+VLOOKUP(I297,Recursos!C:F,3,FALSE),"")</f>
        <v>m3</v>
      </c>
      <c r="L297" s="436">
        <f>IF(B297&lt;&gt;"",+VLOOKUP(I297,Recursos!C:F,4,FALSE),"")</f>
        <v>440.72547018462734</v>
      </c>
      <c r="M297" s="535">
        <v>12</v>
      </c>
      <c r="N297" s="445"/>
      <c r="O297" s="439">
        <f>+((M293+N293)*M297)</f>
        <v>12.96</v>
      </c>
      <c r="P297" s="440">
        <f t="shared" si="162"/>
        <v>5711.8020935927707</v>
      </c>
      <c r="Q297" s="349">
        <f t="shared" si="163"/>
        <v>0</v>
      </c>
      <c r="R297" s="353">
        <f t="shared" si="164"/>
        <v>0</v>
      </c>
      <c r="S297" s="354">
        <f t="shared" si="152"/>
        <v>0</v>
      </c>
      <c r="T297" s="354">
        <f t="shared" si="153"/>
        <v>0</v>
      </c>
      <c r="U297" s="355">
        <f t="shared" si="154"/>
        <v>0</v>
      </c>
      <c r="V297" s="355">
        <f t="shared" si="155"/>
        <v>0</v>
      </c>
      <c r="W297" s="355">
        <f t="shared" si="156"/>
        <v>0</v>
      </c>
      <c r="X297" s="355">
        <f t="shared" si="157"/>
        <v>39041.505506302208</v>
      </c>
      <c r="Y297" s="396"/>
      <c r="Z297" s="346" t="str">
        <f t="shared" si="165"/>
        <v>0-HORMDA</v>
      </c>
      <c r="AA297" s="346" t="str">
        <f t="shared" si="166"/>
        <v>0-HORMDE</v>
      </c>
      <c r="AB297" s="346" t="str">
        <f t="shared" si="167"/>
        <v>0-HORMDM</v>
      </c>
      <c r="AC297" s="346" t="str">
        <f t="shared" si="168"/>
        <v>0-HORMDT</v>
      </c>
      <c r="AD297" s="346" t="str">
        <f t="shared" si="169"/>
        <v>0-HORMDS</v>
      </c>
      <c r="AE297" s="346" t="str">
        <f t="shared" si="170"/>
        <v>0-HORMDX</v>
      </c>
      <c r="AF297" s="346" t="str">
        <f t="shared" si="171"/>
        <v>0-HORMDX</v>
      </c>
      <c r="AG297" s="346">
        <f t="shared" si="158"/>
        <v>5</v>
      </c>
      <c r="AH297" s="346">
        <f>IF(B297&lt;&gt;"",+IF(H297="x",+VLOOKUP(I297,'AUX-NIV2'!B:AG,32,FALSE),0),"")</f>
        <v>2</v>
      </c>
      <c r="AI297" s="346" t="str">
        <f t="shared" si="172"/>
        <v>0-HORMD</v>
      </c>
      <c r="AK297" s="347">
        <f t="shared" si="159"/>
        <v>293</v>
      </c>
      <c r="AL297" s="348">
        <f t="shared" si="173"/>
        <v>297</v>
      </c>
      <c r="AM297" s="347">
        <f t="shared" si="174"/>
        <v>5</v>
      </c>
      <c r="AN297" s="382">
        <f>IF(AND(AH297&gt;0,B297&lt;&gt;""),VLOOKUP(I297,'AUX-NIV2'!$B:$AP,40,FALSE)*O297,0)</f>
        <v>2.3510204081632655</v>
      </c>
      <c r="AO297" s="382">
        <f t="shared" si="160"/>
        <v>39.611245408163263</v>
      </c>
      <c r="AQ297" s="395">
        <f>(IF($H297="x",VLOOKUP($I297,'AUX-NIV2'!$B:$X,'AUX-NIV1'!AQ$3,FALSE),0)+($AV297*'AUX-NIV3'!S$4))*$O297+IF($H297=AQ$4,$P297,0)</f>
        <v>1168.2595499193012</v>
      </c>
      <c r="AR297" s="395">
        <f>(IF($H297="x",VLOOKUP($I297,'AUX-NIV2'!$B:$X,'AUX-NIV1'!AR$3,FALSE),0)+($AV297*'AUX-NIV3'!T$4))*$O297+IF($H297=AR$4,$P297,0)</f>
        <v>4543.5425436734695</v>
      </c>
      <c r="AS297" s="395">
        <f>(IF($H297="x",VLOOKUP($I297,'AUX-NIV2'!$B:$X,'AUX-NIV1'!AS$3,FALSE),0)+($AV297*'AUX-NIV3'!U$4))*$O297+IF($H297=AS$4,$P297,0)</f>
        <v>0</v>
      </c>
      <c r="AT297" s="395">
        <f>(IF($H297="x",VLOOKUP($I297,'AUX-NIV2'!$B:$X,'AUX-NIV1'!AT$3,FALSE),0)+($AV297*'AUX-NIV3'!V$4))*$O297+IF($H297=AT$4,$P297,0)</f>
        <v>0</v>
      </c>
      <c r="AU297" s="395">
        <f>(IF($H297="x",VLOOKUP($I297,'AUX-NIV2'!$B:$X,'AUX-NIV1'!AU$3,FALSE),0)+($AV297*'AUX-NIV3'!W$4))*$O297+IF($H297=AU$4,$P297,0)</f>
        <v>0</v>
      </c>
      <c r="AV297" s="395">
        <f>+IF($H297="x",VLOOKUP($I297,'AUX-NIV2'!$B:$X,'AUX-NIV1'!AV$3,FALSE),0)</f>
        <v>0</v>
      </c>
    </row>
    <row r="298" spans="2:48" ht="14.4" hidden="1" thickTop="1" thickBot="1">
      <c r="B298" s="501" t="s">
        <v>2951</v>
      </c>
      <c r="C298" s="325" t="s">
        <v>2952</v>
      </c>
      <c r="D298" s="326" t="s">
        <v>1160</v>
      </c>
      <c r="E298" s="349">
        <f>IF(B298&lt;&gt;"",+SUMIF(Items!C:C,'AUX-NIV1'!B298,Items!H:H),"")</f>
        <v>0</v>
      </c>
      <c r="F298" s="349">
        <f t="shared" si="150"/>
        <v>23522.242360686541</v>
      </c>
      <c r="G298" s="349">
        <f t="shared" si="151"/>
        <v>0</v>
      </c>
      <c r="H298" s="1395" t="str">
        <f t="shared" si="161"/>
        <v>X</v>
      </c>
      <c r="I298" s="1375" t="s">
        <v>2865</v>
      </c>
      <c r="J298" s="350" t="str">
        <f>IF(B298&lt;&gt;"",+VLOOKUP(I298,Recursos!C:F,2,FALSE),"")</f>
        <v>Colado Hormigón desde Mixer</v>
      </c>
      <c r="K298" s="351" t="str">
        <f>IF(B298&lt;&gt;"",+VLOOKUP(I298,Recursos!C:F,3,FALSE),"")</f>
        <v>m3</v>
      </c>
      <c r="L298" s="436">
        <f>IF(B298&lt;&gt;"",+VLOOKUP(I298,Recursos!C:F,4,FALSE),"")</f>
        <v>1031.7487777591643</v>
      </c>
      <c r="M298" s="1072">
        <v>1.1000000000000001</v>
      </c>
      <c r="N298" s="1073">
        <v>0.05</v>
      </c>
      <c r="O298" s="439">
        <f>+M298+N298</f>
        <v>1.1500000000000001</v>
      </c>
      <c r="P298" s="440">
        <f t="shared" si="162"/>
        <v>1186.5110944230391</v>
      </c>
      <c r="Q298" s="349">
        <f t="shared" si="163"/>
        <v>0</v>
      </c>
      <c r="R298" s="353">
        <f t="shared" si="164"/>
        <v>0</v>
      </c>
      <c r="S298" s="354">
        <f t="shared" si="152"/>
        <v>0</v>
      </c>
      <c r="T298" s="354">
        <f t="shared" si="153"/>
        <v>0</v>
      </c>
      <c r="U298" s="355">
        <f t="shared" si="154"/>
        <v>16017.660743801654</v>
      </c>
      <c r="V298" s="355">
        <f t="shared" si="155"/>
        <v>0</v>
      </c>
      <c r="W298" s="355">
        <f t="shared" si="156"/>
        <v>0</v>
      </c>
      <c r="X298" s="355">
        <f t="shared" si="157"/>
        <v>7504.5816168848851</v>
      </c>
      <c r="Y298" s="396"/>
      <c r="Z298" s="346" t="str">
        <f t="shared" si="165"/>
        <v>0-HORMEA</v>
      </c>
      <c r="AA298" s="346" t="str">
        <f t="shared" si="166"/>
        <v>0-HORMEE</v>
      </c>
      <c r="AB298" s="346" t="str">
        <f t="shared" si="167"/>
        <v>0-HORMEM</v>
      </c>
      <c r="AC298" s="346" t="str">
        <f t="shared" si="168"/>
        <v>0-HORMET</v>
      </c>
      <c r="AD298" s="346" t="str">
        <f t="shared" si="169"/>
        <v>0-HORMES</v>
      </c>
      <c r="AE298" s="346" t="str">
        <f t="shared" si="170"/>
        <v>0-HORMEX</v>
      </c>
      <c r="AF298" s="346" t="str">
        <f t="shared" si="171"/>
        <v>0-HORMEX</v>
      </c>
      <c r="AG298" s="346">
        <f t="shared" si="158"/>
        <v>8</v>
      </c>
      <c r="AH298" s="346">
        <f>IF(B298&lt;&gt;"",+IF(H298="x",+VLOOKUP(I298,'AUX-NIV2'!B:AG,32,FALSE),0),"")</f>
        <v>8</v>
      </c>
      <c r="AI298" s="346" t="str">
        <f t="shared" si="172"/>
        <v>0-HORME</v>
      </c>
      <c r="AK298" s="347">
        <f t="shared" si="159"/>
        <v>298</v>
      </c>
      <c r="AL298" s="348">
        <f t="shared" si="173"/>
        <v>305</v>
      </c>
      <c r="AM298" s="347">
        <f t="shared" si="174"/>
        <v>1</v>
      </c>
      <c r="AN298" s="382">
        <f>IF(AND(AH298&gt;0,B298&lt;&gt;""),VLOOKUP(I298,'AUX-NIV2'!$B:$AP,40,FALSE)*O298,0)</f>
        <v>2.0125000000000002</v>
      </c>
      <c r="AO298" s="382">
        <f t="shared" si="160"/>
        <v>11.428750000000001</v>
      </c>
      <c r="AQ298" s="395">
        <f>(IF($H298="x",VLOOKUP($I298,'AUX-NIV2'!$B:$X,'AUX-NIV1'!AQ$3,FALSE),0)+($AV298*'AUX-NIV3'!S$4))*$O298+IF($H298=AQ$4,$P298,0)</f>
        <v>960.03447592303894</v>
      </c>
      <c r="AR298" s="395">
        <f>(IF($H298="x",VLOOKUP($I298,'AUX-NIV2'!$B:$X,'AUX-NIV1'!AR$3,FALSE),0)+($AV298*'AUX-NIV3'!T$4))*$O298+IF($H298=AR$4,$P298,0)</f>
        <v>226.4766185</v>
      </c>
      <c r="AS298" s="395">
        <f>(IF($H298="x",VLOOKUP($I298,'AUX-NIV2'!$B:$X,'AUX-NIV1'!AS$3,FALSE),0)+($AV298*'AUX-NIV3'!U$4))*$O298+IF($H298=AS$4,$P298,0)</f>
        <v>0</v>
      </c>
      <c r="AT298" s="395">
        <f>(IF($H298="x",VLOOKUP($I298,'AUX-NIV2'!$B:$X,'AUX-NIV1'!AT$3,FALSE),0)+($AV298*'AUX-NIV3'!V$4))*$O298+IF($H298=AT$4,$P298,0)</f>
        <v>0</v>
      </c>
      <c r="AU298" s="395">
        <f>(IF($H298="x",VLOOKUP($I298,'AUX-NIV2'!$B:$X,'AUX-NIV1'!AU$3,FALSE),0)+($AV298*'AUX-NIV3'!W$4))*$O298+IF($H298=AU$4,$P298,0)</f>
        <v>0</v>
      </c>
      <c r="AV298" s="395">
        <f>+IF($H298="x",VLOOKUP($I298,'AUX-NIV2'!$B:$X,'AUX-NIV1'!AV$3,FALSE),0)</f>
        <v>0</v>
      </c>
    </row>
    <row r="299" spans="2:48" ht="14.4" hidden="1" thickTop="1" thickBot="1">
      <c r="B299" s="501" t="s">
        <v>2951</v>
      </c>
      <c r="C299" s="325" t="s">
        <v>2952</v>
      </c>
      <c r="D299" s="326" t="s">
        <v>1160</v>
      </c>
      <c r="E299" s="349">
        <f>IF(B299&lt;&gt;"",+SUMIF(Items!C:C,'AUX-NIV1'!B299,Items!H:H),"")</f>
        <v>0</v>
      </c>
      <c r="F299" s="349">
        <f t="shared" si="150"/>
        <v>23522.242360686541</v>
      </c>
      <c r="G299" s="349">
        <f t="shared" si="151"/>
        <v>0</v>
      </c>
      <c r="H299" s="1395" t="str">
        <f t="shared" si="161"/>
        <v>X</v>
      </c>
      <c r="I299" s="1375" t="s">
        <v>2899</v>
      </c>
      <c r="J299" s="350" t="str">
        <f>IF(B299&lt;&gt;"",+VLOOKUP(I299,Recursos!C:F,2,FALSE),"")</f>
        <v>Encofrado metalico complejo</v>
      </c>
      <c r="K299" s="351" t="str">
        <f>IF(B299&lt;&gt;"",+VLOOKUP(I299,Recursos!C:F,3,FALSE),"")</f>
        <v>m2</v>
      </c>
      <c r="L299" s="436">
        <f>IF(B299&lt;&gt;"",+VLOOKUP(I299,Recursos!C:F,4,FALSE),"")</f>
        <v>5273.5946945936521</v>
      </c>
      <c r="M299" s="1074">
        <v>0.5</v>
      </c>
      <c r="N299" s="1075"/>
      <c r="O299" s="542">
        <f>+M299</f>
        <v>0.5</v>
      </c>
      <c r="P299" s="440">
        <f t="shared" si="162"/>
        <v>2636.797347296826</v>
      </c>
      <c r="Q299" s="349">
        <f t="shared" si="163"/>
        <v>0</v>
      </c>
      <c r="R299" s="353">
        <f t="shared" si="164"/>
        <v>0</v>
      </c>
      <c r="S299" s="354">
        <f t="shared" si="152"/>
        <v>0</v>
      </c>
      <c r="T299" s="354">
        <f t="shared" si="153"/>
        <v>0</v>
      </c>
      <c r="U299" s="355">
        <f t="shared" si="154"/>
        <v>16017.660743801654</v>
      </c>
      <c r="V299" s="355">
        <f t="shared" si="155"/>
        <v>0</v>
      </c>
      <c r="W299" s="355">
        <f t="shared" si="156"/>
        <v>0</v>
      </c>
      <c r="X299" s="355">
        <f t="shared" si="157"/>
        <v>7504.5816168848851</v>
      </c>
      <c r="Y299" s="396"/>
      <c r="Z299" s="346" t="str">
        <f t="shared" si="165"/>
        <v>0-HORMEA</v>
      </c>
      <c r="AA299" s="346" t="str">
        <f t="shared" si="166"/>
        <v>0-HORMEE</v>
      </c>
      <c r="AB299" s="346" t="str">
        <f t="shared" si="167"/>
        <v>0-HORMEM</v>
      </c>
      <c r="AC299" s="346" t="str">
        <f t="shared" si="168"/>
        <v>0-HORMET</v>
      </c>
      <c r="AD299" s="346" t="str">
        <f t="shared" si="169"/>
        <v>0-HORMES</v>
      </c>
      <c r="AE299" s="346" t="str">
        <f t="shared" si="170"/>
        <v>0-HORMEX</v>
      </c>
      <c r="AF299" s="346" t="str">
        <f t="shared" si="171"/>
        <v>0-HORMEX</v>
      </c>
      <c r="AG299" s="346">
        <f t="shared" si="158"/>
        <v>8</v>
      </c>
      <c r="AH299" s="346">
        <f>IF(B299&lt;&gt;"",+IF(H299="x",+VLOOKUP(I299,'AUX-NIV2'!B:AG,32,FALSE),0),"")</f>
        <v>14</v>
      </c>
      <c r="AI299" s="346" t="str">
        <f t="shared" si="172"/>
        <v>0-HORME</v>
      </c>
      <c r="AK299" s="347">
        <f t="shared" si="159"/>
        <v>298</v>
      </c>
      <c r="AL299" s="348">
        <f t="shared" si="173"/>
        <v>305</v>
      </c>
      <c r="AM299" s="347">
        <f t="shared" si="174"/>
        <v>2</v>
      </c>
      <c r="AN299" s="382">
        <f>IF(AND(AH299&gt;0,B299&lt;&gt;""),VLOOKUP(I299,'AUX-NIV2'!$B:$AP,40,FALSE)*O299,0)</f>
        <v>3.53125</v>
      </c>
      <c r="AO299" s="382">
        <f t="shared" si="160"/>
        <v>11.428750000000001</v>
      </c>
      <c r="AQ299" s="395">
        <f>(IF($H299="x",VLOOKUP($I299,'AUX-NIV2'!$B:$X,'AUX-NIV1'!AQ$3,FALSE),0)+($AV299*'AUX-NIV3'!S$4))*$O299+IF($H299=AQ$4,$P299,0)</f>
        <v>1684.5565401672968</v>
      </c>
      <c r="AR299" s="395">
        <f>(IF($H299="x",VLOOKUP($I299,'AUX-NIV2'!$B:$X,'AUX-NIV1'!AR$3,FALSE),0)+($AV299*'AUX-NIV3'!T$4))*$O299+IF($H299=AR$4,$P299,0)</f>
        <v>59.451806250000004</v>
      </c>
      <c r="AS299" s="395">
        <f>(IF($H299="x",VLOOKUP($I299,'AUX-NIV2'!$B:$X,'AUX-NIV1'!AS$3,FALSE),0)+($AV299*'AUX-NIV3'!U$4))*$O299+IF($H299=AS$4,$P299,0)</f>
        <v>892.789000879529</v>
      </c>
      <c r="AT299" s="395">
        <f>(IF($H299="x",VLOOKUP($I299,'AUX-NIV2'!$B:$X,'AUX-NIV1'!AT$3,FALSE),0)+($AV299*'AUX-NIV3'!V$4))*$O299+IF($H299=AT$4,$P299,0)</f>
        <v>0</v>
      </c>
      <c r="AU299" s="395">
        <f>(IF($H299="x",VLOOKUP($I299,'AUX-NIV2'!$B:$X,'AUX-NIV1'!AU$3,FALSE),0)+($AV299*'AUX-NIV3'!W$4))*$O299+IF($H299=AU$4,$P299,0)</f>
        <v>0</v>
      </c>
      <c r="AV299" s="395">
        <f>+IF($H299="x",VLOOKUP($I299,'AUX-NIV2'!$B:$X,'AUX-NIV1'!AV$3,FALSE),0)</f>
        <v>0</v>
      </c>
    </row>
    <row r="300" spans="2:48" ht="14.4" hidden="1" thickTop="1" thickBot="1">
      <c r="B300" s="501" t="s">
        <v>2951</v>
      </c>
      <c r="C300" s="325" t="s">
        <v>2952</v>
      </c>
      <c r="D300" s="326" t="s">
        <v>1160</v>
      </c>
      <c r="E300" s="349">
        <f>IF(B300&lt;&gt;"",+SUMIF(Items!C:C,'AUX-NIV1'!B300,Items!H:H),"")</f>
        <v>0</v>
      </c>
      <c r="F300" s="349">
        <f t="shared" si="150"/>
        <v>23522.242360686541</v>
      </c>
      <c r="G300" s="349">
        <f t="shared" si="151"/>
        <v>0</v>
      </c>
      <c r="H300" s="1395" t="str">
        <f t="shared" si="161"/>
        <v>M</v>
      </c>
      <c r="I300" s="1375" t="s">
        <v>1751</v>
      </c>
      <c r="J300" s="350" t="str">
        <f>IF(B300&lt;&gt;"",+VLOOKUP(I300,Recursos!C:F,2,FALSE),"")</f>
        <v>ACERO TIPO ADN 420</v>
      </c>
      <c r="K300" s="351" t="str">
        <f>IF(B300&lt;&gt;"",+VLOOKUP(I300,Recursos!C:F,3,FALSE),"")</f>
        <v>tn</v>
      </c>
      <c r="L300" s="436">
        <f>IF(B300&lt;&gt;"",+VLOOKUP(I300,Recursos!C:F,4,FALSE),"")</f>
        <v>185041.32231404958</v>
      </c>
      <c r="M300" s="1077">
        <f>50/1000</f>
        <v>0.05</v>
      </c>
      <c r="N300" s="1078">
        <v>1.07</v>
      </c>
      <c r="O300" s="542">
        <f>M300*N300</f>
        <v>5.3500000000000006E-2</v>
      </c>
      <c r="P300" s="440">
        <f t="shared" si="162"/>
        <v>9899.7107438016537</v>
      </c>
      <c r="Q300" s="349">
        <f t="shared" si="163"/>
        <v>0</v>
      </c>
      <c r="R300" s="353">
        <f t="shared" si="164"/>
        <v>0</v>
      </c>
      <c r="S300" s="354">
        <f t="shared" si="152"/>
        <v>0</v>
      </c>
      <c r="T300" s="354">
        <f t="shared" si="153"/>
        <v>0</v>
      </c>
      <c r="U300" s="355">
        <f t="shared" si="154"/>
        <v>16017.660743801654</v>
      </c>
      <c r="V300" s="355">
        <f t="shared" si="155"/>
        <v>0</v>
      </c>
      <c r="W300" s="355">
        <f t="shared" si="156"/>
        <v>0</v>
      </c>
      <c r="X300" s="355">
        <f t="shared" si="157"/>
        <v>7504.5816168848851</v>
      </c>
      <c r="Y300" s="396"/>
      <c r="Z300" s="346" t="str">
        <f t="shared" si="165"/>
        <v>0-HORMEA</v>
      </c>
      <c r="AA300" s="346" t="str">
        <f t="shared" si="166"/>
        <v>0-HORMEE</v>
      </c>
      <c r="AB300" s="346" t="str">
        <f t="shared" si="167"/>
        <v>0-HORMEM</v>
      </c>
      <c r="AC300" s="346" t="str">
        <f t="shared" si="168"/>
        <v>0-HORMET</v>
      </c>
      <c r="AD300" s="346" t="str">
        <f t="shared" si="169"/>
        <v>0-HORMES</v>
      </c>
      <c r="AE300" s="346" t="str">
        <f t="shared" si="170"/>
        <v>0-HORMEX</v>
      </c>
      <c r="AF300" s="346" t="str">
        <f t="shared" si="171"/>
        <v>0-HORMEM</v>
      </c>
      <c r="AG300" s="346">
        <f t="shared" si="158"/>
        <v>8</v>
      </c>
      <c r="AH300" s="346">
        <f>IF(B300&lt;&gt;"",+IF(H300="x",+VLOOKUP(I300,'AUX-NIV2'!B:AG,32,FALSE),0),"")</f>
        <v>0</v>
      </c>
      <c r="AI300" s="346" t="str">
        <f t="shared" si="172"/>
        <v>0-HORME</v>
      </c>
      <c r="AK300" s="347">
        <f t="shared" si="159"/>
        <v>298</v>
      </c>
      <c r="AL300" s="348">
        <f t="shared" si="173"/>
        <v>305</v>
      </c>
      <c r="AM300" s="347">
        <f t="shared" si="174"/>
        <v>3</v>
      </c>
      <c r="AN300" s="382">
        <f>IF(AND(AH300&gt;0,B300&lt;&gt;""),VLOOKUP(I300,'AUX-NIV2'!$B:$AP,40,FALSE)*O300,0)</f>
        <v>0</v>
      </c>
      <c r="AO300" s="382">
        <f t="shared" si="160"/>
        <v>11.428750000000001</v>
      </c>
      <c r="AQ300" s="395">
        <f>(IF($H300="x",VLOOKUP($I300,'AUX-NIV2'!$B:$X,'AUX-NIV1'!AQ$3,FALSE),0)+($AV300*'AUX-NIV3'!S$4))*$O300+IF($H300=AQ$4,$P300,0)</f>
        <v>0</v>
      </c>
      <c r="AR300" s="395">
        <f>(IF($H300="x",VLOOKUP($I300,'AUX-NIV2'!$B:$X,'AUX-NIV1'!AR$3,FALSE),0)+($AV300*'AUX-NIV3'!T$4))*$O300+IF($H300=AR$4,$P300,0)</f>
        <v>0</v>
      </c>
      <c r="AS300" s="395">
        <f>(IF($H300="x",VLOOKUP($I300,'AUX-NIV2'!$B:$X,'AUX-NIV1'!AS$3,FALSE),0)+($AV300*'AUX-NIV3'!U$4))*$O300+IF($H300=AS$4,$P300,0)</f>
        <v>9899.7107438016537</v>
      </c>
      <c r="AT300" s="395">
        <f>(IF($H300="x",VLOOKUP($I300,'AUX-NIV2'!$B:$X,'AUX-NIV1'!AT$3,FALSE),0)+($AV300*'AUX-NIV3'!V$4))*$O300+IF($H300=AT$4,$P300,0)</f>
        <v>0</v>
      </c>
      <c r="AU300" s="395">
        <f>(IF($H300="x",VLOOKUP($I300,'AUX-NIV2'!$B:$X,'AUX-NIV1'!AU$3,FALSE),0)+($AV300*'AUX-NIV3'!W$4))*$O300+IF($H300=AU$4,$P300,0)</f>
        <v>0</v>
      </c>
      <c r="AV300" s="395">
        <f>+IF($H300="x",VLOOKUP($I300,'AUX-NIV2'!$B:$X,'AUX-NIV1'!AV$3,FALSE),0)</f>
        <v>0</v>
      </c>
    </row>
    <row r="301" spans="2:48" ht="14.4" hidden="1" thickTop="1" thickBot="1">
      <c r="B301" s="501" t="s">
        <v>2951</v>
      </c>
      <c r="C301" s="325" t="s">
        <v>2952</v>
      </c>
      <c r="D301" s="326" t="s">
        <v>1160</v>
      </c>
      <c r="E301" s="349">
        <f>IF(B301&lt;&gt;"",+SUMIF(Items!C:C,'AUX-NIV1'!B301,Items!H:H),"")</f>
        <v>0</v>
      </c>
      <c r="F301" s="349">
        <f t="shared" si="150"/>
        <v>23522.242360686541</v>
      </c>
      <c r="G301" s="349">
        <f t="shared" si="151"/>
        <v>0</v>
      </c>
      <c r="H301" s="1395" t="str">
        <f t="shared" si="161"/>
        <v>X</v>
      </c>
      <c r="I301" s="1375" t="s">
        <v>2883</v>
      </c>
      <c r="J301" s="350" t="str">
        <f>IF(B301&lt;&gt;"",+VLOOKUP(I301,Recursos!C:F,2,FALSE),"")</f>
        <v>Corte y doblado de acero</v>
      </c>
      <c r="K301" s="351" t="str">
        <f>IF(B301&lt;&gt;"",+VLOOKUP(I301,Recursos!C:F,3,FALSE),"")</f>
        <v>tn</v>
      </c>
      <c r="L301" s="436">
        <f>IF(B301&lt;&gt;"",+VLOOKUP(I301,Recursos!C:F,4,FALSE),"")</f>
        <v>17428.113426266111</v>
      </c>
      <c r="M301" s="541"/>
      <c r="N301" s="442"/>
      <c r="O301" s="542">
        <f>M300*N300</f>
        <v>5.3500000000000006E-2</v>
      </c>
      <c r="P301" s="440">
        <f t="shared" si="162"/>
        <v>932.40406830523705</v>
      </c>
      <c r="Q301" s="349">
        <f t="shared" si="163"/>
        <v>0</v>
      </c>
      <c r="R301" s="353">
        <f t="shared" si="164"/>
        <v>0</v>
      </c>
      <c r="S301" s="354">
        <f t="shared" si="152"/>
        <v>0</v>
      </c>
      <c r="T301" s="354">
        <f t="shared" si="153"/>
        <v>0</v>
      </c>
      <c r="U301" s="355">
        <f t="shared" si="154"/>
        <v>16017.660743801654</v>
      </c>
      <c r="V301" s="355">
        <f t="shared" si="155"/>
        <v>0</v>
      </c>
      <c r="W301" s="355">
        <f t="shared" si="156"/>
        <v>0</v>
      </c>
      <c r="X301" s="355">
        <f t="shared" si="157"/>
        <v>7504.5816168848851</v>
      </c>
      <c r="Y301" s="396"/>
      <c r="Z301" s="346" t="str">
        <f t="shared" si="165"/>
        <v>0-HORMEA</v>
      </c>
      <c r="AA301" s="346" t="str">
        <f t="shared" si="166"/>
        <v>0-HORMEE</v>
      </c>
      <c r="AB301" s="346" t="str">
        <f t="shared" si="167"/>
        <v>0-HORMEM</v>
      </c>
      <c r="AC301" s="346" t="str">
        <f t="shared" si="168"/>
        <v>0-HORMET</v>
      </c>
      <c r="AD301" s="346" t="str">
        <f t="shared" si="169"/>
        <v>0-HORMES</v>
      </c>
      <c r="AE301" s="346" t="str">
        <f t="shared" si="170"/>
        <v>0-HORMEX</v>
      </c>
      <c r="AF301" s="346" t="str">
        <f t="shared" si="171"/>
        <v>0-HORMEX</v>
      </c>
      <c r="AG301" s="346">
        <f t="shared" si="158"/>
        <v>8</v>
      </c>
      <c r="AH301" s="346">
        <f>IF(B301&lt;&gt;"",+IF(H301="x",+VLOOKUP(I301,'AUX-NIV2'!B:AG,32,FALSE),0),"")</f>
        <v>4</v>
      </c>
      <c r="AI301" s="346" t="str">
        <f t="shared" si="172"/>
        <v>0-HORME</v>
      </c>
      <c r="AK301" s="347">
        <f t="shared" si="159"/>
        <v>298</v>
      </c>
      <c r="AL301" s="348">
        <f t="shared" si="173"/>
        <v>305</v>
      </c>
      <c r="AM301" s="347">
        <f t="shared" si="174"/>
        <v>4</v>
      </c>
      <c r="AN301" s="382">
        <f>IF(AND(AH301&gt;0,B301&lt;&gt;""),VLOOKUP(I301,'AUX-NIV2'!$B:$AP,40,FALSE)*O301,0)</f>
        <v>1.8725000000000003</v>
      </c>
      <c r="AO301" s="382">
        <f t="shared" si="160"/>
        <v>11.428750000000001</v>
      </c>
      <c r="AQ301" s="395">
        <f>(IF($H301="x",VLOOKUP($I301,'AUX-NIV2'!$B:$X,'AUX-NIV1'!AQ$3,FALSE),0)+($AV301*'AUX-NIV3'!S$4))*$O301+IF($H301=AQ$4,$P301,0)</f>
        <v>910.563621209237</v>
      </c>
      <c r="AR301" s="395">
        <f>(IF($H301="x",VLOOKUP($I301,'AUX-NIV2'!$B:$X,'AUX-NIV1'!AR$3,FALSE),0)+($AV301*'AUX-NIV3'!T$4))*$O301+IF($H301=AR$4,$P301,0)</f>
        <v>21.840447096000002</v>
      </c>
      <c r="AS301" s="395">
        <f>(IF($H301="x",VLOOKUP($I301,'AUX-NIV2'!$B:$X,'AUX-NIV1'!AS$3,FALSE),0)+($AV301*'AUX-NIV3'!U$4))*$O301+IF($H301=AS$4,$P301,0)</f>
        <v>0</v>
      </c>
      <c r="AT301" s="395">
        <f>(IF($H301="x",VLOOKUP($I301,'AUX-NIV2'!$B:$X,'AUX-NIV1'!AT$3,FALSE),0)+($AV301*'AUX-NIV3'!V$4))*$O301+IF($H301=AT$4,$P301,0)</f>
        <v>0</v>
      </c>
      <c r="AU301" s="395">
        <f>(IF($H301="x",VLOOKUP($I301,'AUX-NIV2'!$B:$X,'AUX-NIV1'!AU$3,FALSE),0)+($AV301*'AUX-NIV3'!W$4))*$O301+IF($H301=AU$4,$P301,0)</f>
        <v>0</v>
      </c>
      <c r="AV301" s="395">
        <f>+IF($H301="x",VLOOKUP($I301,'AUX-NIV2'!$B:$X,'AUX-NIV1'!AV$3,FALSE),0)</f>
        <v>0</v>
      </c>
    </row>
    <row r="302" spans="2:48" ht="14.4" hidden="1" thickTop="1" thickBot="1">
      <c r="B302" s="501" t="s">
        <v>2951</v>
      </c>
      <c r="C302" s="325" t="s">
        <v>2952</v>
      </c>
      <c r="D302" s="326" t="s">
        <v>1160</v>
      </c>
      <c r="E302" s="349">
        <f>IF(B302&lt;&gt;"",+SUMIF(Items!C:C,'AUX-NIV1'!B302,Items!H:H),"")</f>
        <v>0</v>
      </c>
      <c r="F302" s="349">
        <f t="shared" si="150"/>
        <v>23522.242360686541</v>
      </c>
      <c r="G302" s="349">
        <f t="shared" si="151"/>
        <v>0</v>
      </c>
      <c r="H302" s="1395" t="str">
        <f t="shared" si="161"/>
        <v>X</v>
      </c>
      <c r="I302" s="1375" t="s">
        <v>2884</v>
      </c>
      <c r="J302" s="350" t="str">
        <f>IF(B302&lt;&gt;"",+VLOOKUP(I302,Recursos!C:F,2,FALSE),"")</f>
        <v>Colocación de acero manual</v>
      </c>
      <c r="K302" s="351" t="str">
        <f>IF(B302&lt;&gt;"",+VLOOKUP(I302,Recursos!C:F,3,FALSE),"")</f>
        <v>tn</v>
      </c>
      <c r="L302" s="436">
        <f>IF(B302&lt;&gt;"",+VLOOKUP(I302,Recursos!C:F,4,FALSE),"")</f>
        <v>51380.730969341719</v>
      </c>
      <c r="M302" s="1076"/>
      <c r="N302" s="1075"/>
      <c r="O302" s="542">
        <f>M300*N300</f>
        <v>5.3500000000000006E-2</v>
      </c>
      <c r="P302" s="440">
        <f t="shared" si="162"/>
        <v>2748.8691068597823</v>
      </c>
      <c r="Q302" s="349">
        <f t="shared" si="163"/>
        <v>0</v>
      </c>
      <c r="R302" s="353">
        <f t="shared" si="164"/>
        <v>0</v>
      </c>
      <c r="S302" s="354">
        <f t="shared" si="152"/>
        <v>0</v>
      </c>
      <c r="T302" s="354">
        <f t="shared" si="153"/>
        <v>0</v>
      </c>
      <c r="U302" s="355">
        <f t="shared" si="154"/>
        <v>16017.660743801654</v>
      </c>
      <c r="V302" s="355">
        <f t="shared" si="155"/>
        <v>0</v>
      </c>
      <c r="W302" s="355">
        <f t="shared" si="156"/>
        <v>0</v>
      </c>
      <c r="X302" s="355">
        <f t="shared" si="157"/>
        <v>7504.5816168848851</v>
      </c>
      <c r="Y302" s="396"/>
      <c r="Z302" s="346" t="str">
        <f t="shared" si="165"/>
        <v>0-HORMEA</v>
      </c>
      <c r="AA302" s="346" t="str">
        <f t="shared" si="166"/>
        <v>0-HORMEE</v>
      </c>
      <c r="AB302" s="346" t="str">
        <f t="shared" si="167"/>
        <v>0-HORMEM</v>
      </c>
      <c r="AC302" s="346" t="str">
        <f t="shared" si="168"/>
        <v>0-HORMET</v>
      </c>
      <c r="AD302" s="346" t="str">
        <f t="shared" si="169"/>
        <v>0-HORMES</v>
      </c>
      <c r="AE302" s="346" t="str">
        <f t="shared" si="170"/>
        <v>0-HORMEX</v>
      </c>
      <c r="AF302" s="346" t="str">
        <f t="shared" si="171"/>
        <v>0-HORMEX</v>
      </c>
      <c r="AG302" s="346">
        <f t="shared" si="158"/>
        <v>8</v>
      </c>
      <c r="AH302" s="346">
        <f>IF(B302&lt;&gt;"",+IF(H302="x",+VLOOKUP(I302,'AUX-NIV2'!B:AG,32,FALSE),0),"")</f>
        <v>8</v>
      </c>
      <c r="AI302" s="346" t="str">
        <f t="shared" si="172"/>
        <v>0-HORME</v>
      </c>
      <c r="AK302" s="347">
        <f t="shared" si="159"/>
        <v>298</v>
      </c>
      <c r="AL302" s="348">
        <f t="shared" si="173"/>
        <v>305</v>
      </c>
      <c r="AM302" s="347">
        <f t="shared" si="174"/>
        <v>5</v>
      </c>
      <c r="AN302" s="382">
        <f>IF(AND(AH302&gt;0,B302&lt;&gt;""),VLOOKUP(I302,'AUX-NIV2'!$B:$AP,40,FALSE)*O302,0)</f>
        <v>4.0125000000000002</v>
      </c>
      <c r="AO302" s="382">
        <f t="shared" si="160"/>
        <v>11.428750000000001</v>
      </c>
      <c r="AQ302" s="395">
        <f>(IF($H302="x",VLOOKUP($I302,'AUX-NIV2'!$B:$X,'AUX-NIV1'!AQ$3,FALSE),0)+($AV302*'AUX-NIV3'!S$4))*$O302+IF($H302=AQ$4,$P302,0)</f>
        <v>1961.8443134713525</v>
      </c>
      <c r="AR302" s="395">
        <f>(IF($H302="x",VLOOKUP($I302,'AUX-NIV2'!$B:$X,'AUX-NIV1'!AR$3,FALSE),0)+($AV302*'AUX-NIV3'!T$4))*$O302+IF($H302=AR$4,$P302,0)</f>
        <v>0</v>
      </c>
      <c r="AS302" s="395">
        <f>(IF($H302="x",VLOOKUP($I302,'AUX-NIV2'!$B:$X,'AUX-NIV1'!AS$3,FALSE),0)+($AV302*'AUX-NIV3'!U$4))*$O302+IF($H302=AS$4,$P302,0)</f>
        <v>787.02479338842988</v>
      </c>
      <c r="AT302" s="395">
        <f>(IF($H302="x",VLOOKUP($I302,'AUX-NIV2'!$B:$X,'AUX-NIV1'!AT$3,FALSE),0)+($AV302*'AUX-NIV3'!V$4))*$O302+IF($H302=AT$4,$P302,0)</f>
        <v>0</v>
      </c>
      <c r="AU302" s="395">
        <f>(IF($H302="x",VLOOKUP($I302,'AUX-NIV2'!$B:$X,'AUX-NIV1'!AU$3,FALSE),0)+($AV302*'AUX-NIV3'!W$4))*$O302+IF($H302=AU$4,$P302,0)</f>
        <v>0</v>
      </c>
      <c r="AV302" s="395">
        <f>+IF($H302="x",VLOOKUP($I302,'AUX-NIV2'!$B:$X,'AUX-NIV1'!AV$3,FALSE),0)</f>
        <v>0</v>
      </c>
    </row>
    <row r="303" spans="2:48" ht="14.4" hidden="1" thickTop="1" thickBot="1">
      <c r="B303" s="501" t="s">
        <v>2951</v>
      </c>
      <c r="C303" s="325" t="s">
        <v>2952</v>
      </c>
      <c r="D303" s="326" t="s">
        <v>1160</v>
      </c>
      <c r="E303" s="349">
        <f>IF(B303&lt;&gt;"",+SUMIF(Items!C:C,'AUX-NIV1'!B303,Items!H:H),"")</f>
        <v>0</v>
      </c>
      <c r="F303" s="349">
        <f t="shared" si="150"/>
        <v>23522.242360686541</v>
      </c>
      <c r="G303" s="349">
        <f t="shared" si="151"/>
        <v>0</v>
      </c>
      <c r="H303" s="1395" t="str">
        <f t="shared" si="161"/>
        <v>M</v>
      </c>
      <c r="I303" s="1397" t="s">
        <v>3213</v>
      </c>
      <c r="J303" s="350" t="str">
        <f>IF(B303&lt;&gt;"",+VLOOKUP(I303,Recursos!C:F,2,FALSE),"")</f>
        <v>HORMIGON ELABORADO H25 TRANSPORTADO</v>
      </c>
      <c r="K303" s="351" t="str">
        <f>IF(B303&lt;&gt;"",+VLOOKUP(I303,Recursos!C:F,3,FALSE),"")</f>
        <v>m3</v>
      </c>
      <c r="L303" s="436">
        <f>IF(B303&lt;&gt;"",+VLOOKUP(I303,Recursos!C:F,4,FALSE),"")</f>
        <v>6117.95</v>
      </c>
      <c r="M303" s="541"/>
      <c r="N303" s="442"/>
      <c r="O303" s="542">
        <f>+M305</f>
        <v>1</v>
      </c>
      <c r="P303" s="440">
        <f t="shared" si="162"/>
        <v>6117.95</v>
      </c>
      <c r="Q303" s="349">
        <f t="shared" si="163"/>
        <v>0</v>
      </c>
      <c r="R303" s="353">
        <f t="shared" si="164"/>
        <v>0</v>
      </c>
      <c r="S303" s="354">
        <f t="shared" si="152"/>
        <v>0</v>
      </c>
      <c r="T303" s="354">
        <f t="shared" si="153"/>
        <v>0</v>
      </c>
      <c r="U303" s="355">
        <f t="shared" si="154"/>
        <v>16017.660743801654</v>
      </c>
      <c r="V303" s="355">
        <f t="shared" si="155"/>
        <v>0</v>
      </c>
      <c r="W303" s="355">
        <f t="shared" si="156"/>
        <v>0</v>
      </c>
      <c r="X303" s="355">
        <f t="shared" si="157"/>
        <v>7504.5816168848851</v>
      </c>
      <c r="Y303" s="396"/>
      <c r="Z303" s="346" t="str">
        <f t="shared" si="165"/>
        <v>0-HORMEA</v>
      </c>
      <c r="AA303" s="346" t="str">
        <f t="shared" si="166"/>
        <v>0-HORMEE</v>
      </c>
      <c r="AB303" s="346" t="str">
        <f t="shared" si="167"/>
        <v>0-HORMEM</v>
      </c>
      <c r="AC303" s="346" t="str">
        <f t="shared" si="168"/>
        <v>0-HORMET</v>
      </c>
      <c r="AD303" s="346" t="str">
        <f t="shared" si="169"/>
        <v>0-HORMES</v>
      </c>
      <c r="AE303" s="346" t="str">
        <f t="shared" si="170"/>
        <v>0-HORMEX</v>
      </c>
      <c r="AF303" s="346" t="str">
        <f t="shared" si="171"/>
        <v>0-HORMEM</v>
      </c>
      <c r="AG303" s="346">
        <f t="shared" si="158"/>
        <v>8</v>
      </c>
      <c r="AH303" s="346">
        <f>IF(B303&lt;&gt;"",+IF(H303="x",+VLOOKUP(I303,'AUX-NIV2'!B:AG,32,FALSE),0),"")</f>
        <v>0</v>
      </c>
      <c r="AI303" s="346" t="str">
        <f t="shared" si="172"/>
        <v>0-HORME</v>
      </c>
      <c r="AK303" s="347">
        <f t="shared" si="159"/>
        <v>298</v>
      </c>
      <c r="AL303" s="348">
        <f t="shared" si="173"/>
        <v>305</v>
      </c>
      <c r="AM303" s="347">
        <f t="shared" si="174"/>
        <v>6</v>
      </c>
      <c r="AN303" s="382">
        <f>IF(AND(AH303&gt;0,B303&lt;&gt;""),VLOOKUP(I303,'AUX-NIV2'!$B:$AP,40,FALSE)*O303,0)</f>
        <v>0</v>
      </c>
      <c r="AO303" s="382">
        <f t="shared" si="160"/>
        <v>11.428750000000001</v>
      </c>
      <c r="AQ303" s="395">
        <f>(IF($H303="x",VLOOKUP($I303,'AUX-NIV2'!$B:$X,'AUX-NIV1'!AQ$3,FALSE),0)+($AV303*'AUX-NIV3'!S$4))*$O303+IF($H303=AQ$4,$P303,0)</f>
        <v>0</v>
      </c>
      <c r="AR303" s="395">
        <f>(IF($H303="x",VLOOKUP($I303,'AUX-NIV2'!$B:$X,'AUX-NIV1'!AR$3,FALSE),0)+($AV303*'AUX-NIV3'!T$4))*$O303+IF($H303=AR$4,$P303,0)</f>
        <v>0</v>
      </c>
      <c r="AS303" s="395">
        <f>(IF($H303="x",VLOOKUP($I303,'AUX-NIV2'!$B:$X,'AUX-NIV1'!AS$3,FALSE),0)+($AV303*'AUX-NIV3'!U$4))*$O303+IF($H303=AS$4,$P303,0)</f>
        <v>6117.95</v>
      </c>
      <c r="AT303" s="395">
        <f>(IF($H303="x",VLOOKUP($I303,'AUX-NIV2'!$B:$X,'AUX-NIV1'!AT$3,FALSE),0)+($AV303*'AUX-NIV3'!V$4))*$O303+IF($H303=AT$4,$P303,0)</f>
        <v>0</v>
      </c>
      <c r="AU303" s="395">
        <f>(IF($H303="x",VLOOKUP($I303,'AUX-NIV2'!$B:$X,'AUX-NIV1'!AU$3,FALSE),0)+($AV303*'AUX-NIV3'!W$4))*$O303+IF($H303=AU$4,$P303,0)</f>
        <v>0</v>
      </c>
      <c r="AV303" s="395">
        <f>+IF($H303="x",VLOOKUP($I303,'AUX-NIV2'!$B:$X,'AUX-NIV1'!AV$3,FALSE),0)</f>
        <v>0</v>
      </c>
    </row>
    <row r="304" spans="2:48" ht="14.4" hidden="1" thickTop="1" thickBot="1">
      <c r="B304" s="501" t="s">
        <v>2951</v>
      </c>
      <c r="C304" s="325" t="s">
        <v>2952</v>
      </c>
      <c r="D304" s="326" t="s">
        <v>1160</v>
      </c>
      <c r="E304" s="349">
        <f>IF(B304&lt;&gt;"",+SUMIF(Items!C:C,'AUX-NIV1'!B304,Items!H:H),"")</f>
        <v>0</v>
      </c>
      <c r="F304" s="349">
        <f t="shared" si="150"/>
        <v>23522.242360686541</v>
      </c>
      <c r="G304" s="349">
        <f t="shared" si="151"/>
        <v>0</v>
      </c>
      <c r="H304" s="1395" t="str">
        <f t="shared" si="161"/>
        <v>X</v>
      </c>
      <c r="I304" s="1397" t="s">
        <v>3022</v>
      </c>
      <c r="J304" s="350" t="str">
        <f>IF(B304&lt;&gt;"",+VLOOKUP(I304,Recursos!C:F,2,FALSE),"")</f>
        <v>Elaboración de Hgón H25</v>
      </c>
      <c r="K304" s="351" t="str">
        <f>IF(B304&lt;&gt;"",+VLOOKUP(I304,Recursos!C:F,3,FALSE),"")</f>
        <v>m3</v>
      </c>
      <c r="L304" s="436">
        <f>IF(B304&lt;&gt;"",+VLOOKUP(I304,Recursos!C:F,4,FALSE),"")</f>
        <v>5089.5514149046503</v>
      </c>
      <c r="M304" s="443"/>
      <c r="N304" s="442"/>
      <c r="O304" s="439">
        <f>(1-M305)</f>
        <v>0</v>
      </c>
      <c r="P304" s="440">
        <f t="shared" si="162"/>
        <v>0</v>
      </c>
      <c r="Q304" s="349">
        <f t="shared" si="163"/>
        <v>0</v>
      </c>
      <c r="R304" s="353">
        <f t="shared" si="164"/>
        <v>0</v>
      </c>
      <c r="S304" s="354">
        <f t="shared" si="152"/>
        <v>0</v>
      </c>
      <c r="T304" s="354">
        <f t="shared" si="153"/>
        <v>0</v>
      </c>
      <c r="U304" s="355">
        <f t="shared" si="154"/>
        <v>16017.660743801654</v>
      </c>
      <c r="V304" s="355">
        <f t="shared" si="155"/>
        <v>0</v>
      </c>
      <c r="W304" s="355">
        <f t="shared" si="156"/>
        <v>0</v>
      </c>
      <c r="X304" s="355">
        <f t="shared" si="157"/>
        <v>7504.5816168848851</v>
      </c>
      <c r="Y304" s="396"/>
      <c r="Z304" s="346" t="str">
        <f t="shared" si="165"/>
        <v>0-HORMEA</v>
      </c>
      <c r="AA304" s="346" t="str">
        <f t="shared" si="166"/>
        <v>0-HORMEE</v>
      </c>
      <c r="AB304" s="346" t="str">
        <f t="shared" si="167"/>
        <v>0-HORMEM</v>
      </c>
      <c r="AC304" s="346" t="str">
        <f t="shared" si="168"/>
        <v>0-HORMET</v>
      </c>
      <c r="AD304" s="346" t="str">
        <f t="shared" si="169"/>
        <v>0-HORMES</v>
      </c>
      <c r="AE304" s="346" t="str">
        <f t="shared" si="170"/>
        <v>0-HORMEX</v>
      </c>
      <c r="AF304" s="346" t="str">
        <f t="shared" si="171"/>
        <v>0-HORMEX</v>
      </c>
      <c r="AG304" s="346">
        <f t="shared" si="158"/>
        <v>8</v>
      </c>
      <c r="AH304" s="346">
        <f>IF(B304&lt;&gt;"",+IF(H304="x",+VLOOKUP(I304,'AUX-NIV2'!B:AG,32,FALSE),0),"")</f>
        <v>7</v>
      </c>
      <c r="AI304" s="346" t="str">
        <f t="shared" si="172"/>
        <v>0-HORME</v>
      </c>
      <c r="AK304" s="347">
        <f t="shared" si="159"/>
        <v>298</v>
      </c>
      <c r="AL304" s="348">
        <f t="shared" si="173"/>
        <v>305</v>
      </c>
      <c r="AM304" s="347">
        <f t="shared" si="174"/>
        <v>7</v>
      </c>
      <c r="AN304" s="382">
        <f>IF(AND(AH304&gt;0,B304&lt;&gt;""),VLOOKUP(I304,'AUX-NIV2'!$B:$AP,40,FALSE)*O304,0)</f>
        <v>0</v>
      </c>
      <c r="AO304" s="382">
        <f t="shared" si="160"/>
        <v>11.428750000000001</v>
      </c>
      <c r="AQ304" s="395">
        <f>(IF($H304="x",VLOOKUP($I304,'AUX-NIV2'!$B:$X,'AUX-NIV1'!AQ$3,FALSE),0)+($AV304*'AUX-NIV3'!S$4))*$O304+IF($H304=AQ$4,$P304,0)</f>
        <v>0</v>
      </c>
      <c r="AR304" s="395">
        <f>(IF($H304="x",VLOOKUP($I304,'AUX-NIV2'!$B:$X,'AUX-NIV1'!AR$3,FALSE),0)+($AV304*'AUX-NIV3'!T$4))*$O304+IF($H304=AR$4,$P304,0)</f>
        <v>0</v>
      </c>
      <c r="AS304" s="395">
        <f>(IF($H304="x",VLOOKUP($I304,'AUX-NIV2'!$B:$X,'AUX-NIV1'!AS$3,FALSE),0)+($AV304*'AUX-NIV3'!U$4))*$O304+IF($H304=AS$4,$P304,0)</f>
        <v>0</v>
      </c>
      <c r="AT304" s="395">
        <f>(IF($H304="x",VLOOKUP($I304,'AUX-NIV2'!$B:$X,'AUX-NIV1'!AT$3,FALSE),0)+($AV304*'AUX-NIV3'!V$4))*$O304+IF($H304=AT$4,$P304,0)</f>
        <v>0</v>
      </c>
      <c r="AU304" s="395">
        <f>(IF($H304="x",VLOOKUP($I304,'AUX-NIV2'!$B:$X,'AUX-NIV1'!AU$3,FALSE),0)+($AV304*'AUX-NIV3'!W$4))*$O304+IF($H304=AU$4,$P304,0)</f>
        <v>0</v>
      </c>
      <c r="AV304" s="395">
        <f>+IF($H304="x",VLOOKUP($I304,'AUX-NIV2'!$B:$X,'AUX-NIV1'!AV$3,FALSE),0)</f>
        <v>1097.135386677397</v>
      </c>
    </row>
    <row r="305" spans="2:48" ht="14.4" hidden="1" thickTop="1" thickBot="1">
      <c r="B305" s="501" t="s">
        <v>2951</v>
      </c>
      <c r="C305" s="325" t="s">
        <v>2952</v>
      </c>
      <c r="D305" s="326" t="s">
        <v>1160</v>
      </c>
      <c r="E305" s="349">
        <f>IF(B305&lt;&gt;"",+SUMIF(Items!C:C,'AUX-NIV1'!B305,Items!H:H),"")</f>
        <v>0</v>
      </c>
      <c r="F305" s="349">
        <f t="shared" si="150"/>
        <v>23522.242360686541</v>
      </c>
      <c r="G305" s="349">
        <f t="shared" si="151"/>
        <v>0</v>
      </c>
      <c r="H305" s="1395" t="str">
        <f t="shared" si="161"/>
        <v>X</v>
      </c>
      <c r="I305" s="1397" t="s">
        <v>1504</v>
      </c>
      <c r="J305" s="350" t="str">
        <f>IF(B305&lt;&gt;"",+VLOOKUP(I305,Recursos!C:F,2,FALSE),"")</f>
        <v>Transporte de Hormigón</v>
      </c>
      <c r="K305" s="351" t="str">
        <f>IF(B305&lt;&gt;"",+VLOOKUP(I305,Recursos!C:F,3,FALSE),"")</f>
        <v>m3</v>
      </c>
      <c r="L305" s="436">
        <f>IF(B305&lt;&gt;"",+VLOOKUP(I305,Recursos!C:F,4,FALSE),"")</f>
        <v>440.72547018462734</v>
      </c>
      <c r="M305" s="1071">
        <v>1</v>
      </c>
      <c r="N305" s="445"/>
      <c r="O305" s="439">
        <f>+(M298+N298)*(1-M305)</f>
        <v>0</v>
      </c>
      <c r="P305" s="440">
        <f t="shared" si="162"/>
        <v>0</v>
      </c>
      <c r="Q305" s="349">
        <f t="shared" si="163"/>
        <v>0</v>
      </c>
      <c r="R305" s="353">
        <f t="shared" si="164"/>
        <v>0</v>
      </c>
      <c r="S305" s="354">
        <f t="shared" si="152"/>
        <v>0</v>
      </c>
      <c r="T305" s="354">
        <f t="shared" si="153"/>
        <v>0</v>
      </c>
      <c r="U305" s="355">
        <f t="shared" si="154"/>
        <v>16017.660743801654</v>
      </c>
      <c r="V305" s="355">
        <f t="shared" si="155"/>
        <v>0</v>
      </c>
      <c r="W305" s="355">
        <f t="shared" si="156"/>
        <v>0</v>
      </c>
      <c r="X305" s="355">
        <f t="shared" si="157"/>
        <v>7504.5816168848851</v>
      </c>
      <c r="Y305" s="396"/>
      <c r="Z305" s="346" t="str">
        <f t="shared" si="165"/>
        <v>0-HORMEA</v>
      </c>
      <c r="AA305" s="346" t="str">
        <f t="shared" si="166"/>
        <v>0-HORMEE</v>
      </c>
      <c r="AB305" s="346" t="str">
        <f t="shared" si="167"/>
        <v>0-HORMEM</v>
      </c>
      <c r="AC305" s="346" t="str">
        <f t="shared" si="168"/>
        <v>0-HORMET</v>
      </c>
      <c r="AD305" s="346" t="str">
        <f t="shared" si="169"/>
        <v>0-HORMES</v>
      </c>
      <c r="AE305" s="346" t="str">
        <f t="shared" si="170"/>
        <v>0-HORMEX</v>
      </c>
      <c r="AF305" s="346" t="str">
        <f t="shared" si="171"/>
        <v>0-HORMEX</v>
      </c>
      <c r="AG305" s="346">
        <f t="shared" si="158"/>
        <v>8</v>
      </c>
      <c r="AH305" s="346">
        <f>IF(B305&lt;&gt;"",+IF(H305="x",+VLOOKUP(I305,'AUX-NIV2'!B:AG,32,FALSE),0),"")</f>
        <v>2</v>
      </c>
      <c r="AI305" s="346" t="str">
        <f t="shared" si="172"/>
        <v>0-HORME</v>
      </c>
      <c r="AK305" s="347">
        <f t="shared" si="159"/>
        <v>298</v>
      </c>
      <c r="AL305" s="348">
        <f t="shared" si="173"/>
        <v>305</v>
      </c>
      <c r="AM305" s="347">
        <f t="shared" si="174"/>
        <v>8</v>
      </c>
      <c r="AN305" s="382">
        <f>IF(AND(AH305&gt;0,B305&lt;&gt;""),VLOOKUP(I305,'AUX-NIV2'!$B:$AP,40,FALSE)*O305,0)</f>
        <v>0</v>
      </c>
      <c r="AO305" s="382">
        <f t="shared" si="160"/>
        <v>11.428750000000001</v>
      </c>
      <c r="AQ305" s="395">
        <f>(IF($H305="x",VLOOKUP($I305,'AUX-NIV2'!$B:$X,'AUX-NIV1'!AQ$3,FALSE),0)+($AV305*'AUX-NIV3'!S$4))*$O305+IF($H305=AQ$4,$P305,0)</f>
        <v>0</v>
      </c>
      <c r="AR305" s="395">
        <f>(IF($H305="x",VLOOKUP($I305,'AUX-NIV2'!$B:$X,'AUX-NIV1'!AR$3,FALSE),0)+($AV305*'AUX-NIV3'!T$4))*$O305+IF($H305=AR$4,$P305,0)</f>
        <v>0</v>
      </c>
      <c r="AS305" s="395">
        <f>(IF($H305="x",VLOOKUP($I305,'AUX-NIV2'!$B:$X,'AUX-NIV1'!AS$3,FALSE),0)+($AV305*'AUX-NIV3'!U$4))*$O305+IF($H305=AS$4,$P305,0)</f>
        <v>0</v>
      </c>
      <c r="AT305" s="395">
        <f>(IF($H305="x",VLOOKUP($I305,'AUX-NIV2'!$B:$X,'AUX-NIV1'!AT$3,FALSE),0)+($AV305*'AUX-NIV3'!V$4))*$O305+IF($H305=AT$4,$P305,0)</f>
        <v>0</v>
      </c>
      <c r="AU305" s="395">
        <f>(IF($H305="x",VLOOKUP($I305,'AUX-NIV2'!$B:$X,'AUX-NIV1'!AU$3,FALSE),0)+($AV305*'AUX-NIV3'!W$4))*$O305+IF($H305=AU$4,$P305,0)</f>
        <v>0</v>
      </c>
      <c r="AV305" s="395">
        <f>+IF($H305="x",VLOOKUP($I305,'AUX-NIV2'!$B:$X,'AUX-NIV1'!AV$3,FALSE),0)</f>
        <v>0</v>
      </c>
    </row>
    <row r="306" spans="2:48" ht="14.4" hidden="1" thickTop="1" thickBot="1">
      <c r="B306" s="324" t="s">
        <v>2953</v>
      </c>
      <c r="C306" s="325" t="s">
        <v>2954</v>
      </c>
      <c r="D306" s="326" t="s">
        <v>441</v>
      </c>
      <c r="E306" s="349">
        <f>IF(B306&lt;&gt;"",+SUMIF(Items!C:C,'AUX-NIV1'!B306,Items!H:H),"")</f>
        <v>0</v>
      </c>
      <c r="F306" s="349">
        <f t="shared" si="150"/>
        <v>260784.54093834051</v>
      </c>
      <c r="G306" s="349">
        <f t="shared" si="151"/>
        <v>0</v>
      </c>
      <c r="H306" s="1395" t="str">
        <f t="shared" si="161"/>
        <v>M</v>
      </c>
      <c r="I306" s="1375" t="s">
        <v>1751</v>
      </c>
      <c r="J306" s="350" t="str">
        <f>IF(B306&lt;&gt;"",+VLOOKUP(I306,Recursos!C:F,2,FALSE),"")</f>
        <v>ACERO TIPO ADN 420</v>
      </c>
      <c r="K306" s="351" t="str">
        <f>IF(B306&lt;&gt;"",+VLOOKUP(I306,Recursos!C:F,3,FALSE),"")</f>
        <v>tn</v>
      </c>
      <c r="L306" s="436">
        <f>IF(B306&lt;&gt;"",+VLOOKUP(I306,Recursos!C:F,4,FALSE),"")</f>
        <v>185041.32231404958</v>
      </c>
      <c r="M306" s="437">
        <v>1.08</v>
      </c>
      <c r="N306" s="458">
        <v>1</v>
      </c>
      <c r="O306" s="439">
        <f>+M306/N306</f>
        <v>1.08</v>
      </c>
      <c r="P306" s="440">
        <f t="shared" si="162"/>
        <v>199844.62809917357</v>
      </c>
      <c r="Q306" s="349">
        <f t="shared" si="163"/>
        <v>0</v>
      </c>
      <c r="R306" s="353">
        <f t="shared" si="164"/>
        <v>0</v>
      </c>
      <c r="S306" s="354">
        <f t="shared" si="152"/>
        <v>0</v>
      </c>
      <c r="T306" s="354">
        <f t="shared" si="153"/>
        <v>0</v>
      </c>
      <c r="U306" s="355">
        <f t="shared" si="154"/>
        <v>199844.62809917357</v>
      </c>
      <c r="V306" s="355">
        <f t="shared" si="155"/>
        <v>0</v>
      </c>
      <c r="W306" s="355">
        <f t="shared" si="156"/>
        <v>0</v>
      </c>
      <c r="X306" s="355">
        <f t="shared" si="157"/>
        <v>60939.912839166936</v>
      </c>
      <c r="Y306" s="396"/>
      <c r="Z306" s="346" t="str">
        <f t="shared" si="165"/>
        <v>0-ACEROA</v>
      </c>
      <c r="AA306" s="346" t="str">
        <f t="shared" si="166"/>
        <v>0-ACEROE</v>
      </c>
      <c r="AB306" s="346" t="str">
        <f t="shared" si="167"/>
        <v>0-ACEROM</v>
      </c>
      <c r="AC306" s="346" t="str">
        <f t="shared" si="168"/>
        <v>0-ACEROT</v>
      </c>
      <c r="AD306" s="346" t="str">
        <f t="shared" si="169"/>
        <v>0-ACEROS</v>
      </c>
      <c r="AE306" s="346" t="str">
        <f t="shared" si="170"/>
        <v>0-ACEROX</v>
      </c>
      <c r="AF306" s="346" t="str">
        <f t="shared" si="171"/>
        <v>0-ACEROM</v>
      </c>
      <c r="AG306" s="346">
        <f t="shared" si="158"/>
        <v>4</v>
      </c>
      <c r="AH306" s="346">
        <f>IF(B306&lt;&gt;"",+IF(H306="x",+VLOOKUP(I306,'AUX-NIV2'!B:AG,32,FALSE),0),"")</f>
        <v>0</v>
      </c>
      <c r="AI306" s="346" t="str">
        <f t="shared" si="172"/>
        <v>0-ACERO</v>
      </c>
      <c r="AK306" s="347">
        <f t="shared" si="159"/>
        <v>306</v>
      </c>
      <c r="AL306" s="348">
        <f t="shared" si="173"/>
        <v>309</v>
      </c>
      <c r="AM306" s="347">
        <f t="shared" si="174"/>
        <v>1</v>
      </c>
      <c r="AN306" s="382">
        <f>IF(AND(AH306&gt;0,B306&lt;&gt;""),VLOOKUP(I306,'AUX-NIV2'!$B:$AP,40,FALSE)*O306,0)</f>
        <v>0</v>
      </c>
      <c r="AO306" s="382">
        <f t="shared" si="160"/>
        <v>91.71875</v>
      </c>
      <c r="AQ306" s="395">
        <f>(IF($H306="x",VLOOKUP($I306,'AUX-NIV2'!$B:$X,'AUX-NIV1'!AQ$3,FALSE),0)+($AV306*'AUX-NIV3'!S$4))*$O306+IF($H306=AQ$4,$P306,0)</f>
        <v>0</v>
      </c>
      <c r="AR306" s="395">
        <f>(IF($H306="x",VLOOKUP($I306,'AUX-NIV2'!$B:$X,'AUX-NIV1'!AR$3,FALSE),0)+($AV306*'AUX-NIV3'!T$4))*$O306+IF($H306=AR$4,$P306,0)</f>
        <v>0</v>
      </c>
      <c r="AS306" s="395">
        <f>(IF($H306="x",VLOOKUP($I306,'AUX-NIV2'!$B:$X,'AUX-NIV1'!AS$3,FALSE),0)+($AV306*'AUX-NIV3'!U$4))*$O306+IF($H306=AS$4,$P306,0)</f>
        <v>199844.62809917357</v>
      </c>
      <c r="AT306" s="395">
        <f>(IF($H306="x",VLOOKUP($I306,'AUX-NIV2'!$B:$X,'AUX-NIV1'!AT$3,FALSE),0)+($AV306*'AUX-NIV3'!V$4))*$O306+IF($H306=AT$4,$P306,0)</f>
        <v>0</v>
      </c>
      <c r="AU306" s="395">
        <f>(IF($H306="x",VLOOKUP($I306,'AUX-NIV2'!$B:$X,'AUX-NIV1'!AU$3,FALSE),0)+($AV306*'AUX-NIV3'!W$4))*$O306+IF($H306=AU$4,$P306,0)</f>
        <v>0</v>
      </c>
      <c r="AV306" s="395">
        <f>+IF($H306="x",VLOOKUP($I306,'AUX-NIV2'!$B:$X,'AUX-NIV1'!AV$3,FALSE),0)</f>
        <v>0</v>
      </c>
    </row>
    <row r="307" spans="2:48" ht="14.4" hidden="1" thickTop="1" thickBot="1">
      <c r="B307" s="324" t="s">
        <v>2953</v>
      </c>
      <c r="C307" s="325" t="s">
        <v>2954</v>
      </c>
      <c r="D307" s="326" t="s">
        <v>441</v>
      </c>
      <c r="E307" s="349">
        <f>IF(B307&lt;&gt;"",+SUMIF(Items!C:C,'AUX-NIV1'!B307,Items!H:H),"")</f>
        <v>0</v>
      </c>
      <c r="F307" s="349">
        <f t="shared" si="150"/>
        <v>260784.54093834051</v>
      </c>
      <c r="G307" s="349">
        <f t="shared" si="151"/>
        <v>0</v>
      </c>
      <c r="H307" s="1395" t="str">
        <f t="shared" si="161"/>
        <v>X</v>
      </c>
      <c r="I307" s="1375" t="s">
        <v>2883</v>
      </c>
      <c r="J307" s="350" t="str">
        <f>IF(B307&lt;&gt;"",+VLOOKUP(I307,Recursos!C:F,2,FALSE),"")</f>
        <v>Corte y doblado de acero</v>
      </c>
      <c r="K307" s="351" t="str">
        <f>IF(B307&lt;&gt;"",+VLOOKUP(I307,Recursos!C:F,3,FALSE),"")</f>
        <v>tn</v>
      </c>
      <c r="L307" s="436">
        <f>IF(B307&lt;&gt;"",+VLOOKUP(I307,Recursos!C:F,4,FALSE),"")</f>
        <v>17428.113426266111</v>
      </c>
      <c r="M307" s="441">
        <v>1</v>
      </c>
      <c r="N307" s="442"/>
      <c r="O307" s="439">
        <f>+M307/N306</f>
        <v>1</v>
      </c>
      <c r="P307" s="440">
        <f t="shared" si="162"/>
        <v>17428.113426266111</v>
      </c>
      <c r="Q307" s="349">
        <f t="shared" si="163"/>
        <v>0</v>
      </c>
      <c r="R307" s="353">
        <f t="shared" si="164"/>
        <v>0</v>
      </c>
      <c r="S307" s="354">
        <f t="shared" si="152"/>
        <v>0</v>
      </c>
      <c r="T307" s="354">
        <f t="shared" si="153"/>
        <v>0</v>
      </c>
      <c r="U307" s="355">
        <f t="shared" si="154"/>
        <v>199844.62809917357</v>
      </c>
      <c r="V307" s="355">
        <f t="shared" si="155"/>
        <v>0</v>
      </c>
      <c r="W307" s="355">
        <f t="shared" si="156"/>
        <v>0</v>
      </c>
      <c r="X307" s="355">
        <f t="shared" si="157"/>
        <v>60939.912839166936</v>
      </c>
      <c r="Y307" s="396"/>
      <c r="Z307" s="346" t="str">
        <f t="shared" si="165"/>
        <v>0-ACEROA</v>
      </c>
      <c r="AA307" s="346" t="str">
        <f t="shared" si="166"/>
        <v>0-ACEROE</v>
      </c>
      <c r="AB307" s="346" t="str">
        <f t="shared" si="167"/>
        <v>0-ACEROM</v>
      </c>
      <c r="AC307" s="346" t="str">
        <f t="shared" si="168"/>
        <v>0-ACEROT</v>
      </c>
      <c r="AD307" s="346" t="str">
        <f t="shared" si="169"/>
        <v>0-ACEROS</v>
      </c>
      <c r="AE307" s="346" t="str">
        <f t="shared" si="170"/>
        <v>0-ACEROX</v>
      </c>
      <c r="AF307" s="346" t="str">
        <f t="shared" si="171"/>
        <v>0-ACEROX</v>
      </c>
      <c r="AG307" s="346">
        <f t="shared" si="158"/>
        <v>4</v>
      </c>
      <c r="AH307" s="346">
        <f>IF(B307&lt;&gt;"",+IF(H307="x",+VLOOKUP(I307,'AUX-NIV2'!B:AG,32,FALSE),0),"")</f>
        <v>4</v>
      </c>
      <c r="AI307" s="346" t="str">
        <f t="shared" si="172"/>
        <v>0-ACERO</v>
      </c>
      <c r="AK307" s="347">
        <f t="shared" si="159"/>
        <v>306</v>
      </c>
      <c r="AL307" s="348">
        <f t="shared" si="173"/>
        <v>309</v>
      </c>
      <c r="AM307" s="347">
        <f t="shared" si="174"/>
        <v>2</v>
      </c>
      <c r="AN307" s="382">
        <f>IF(AND(AH307&gt;0,B307&lt;&gt;""),VLOOKUP(I307,'AUX-NIV2'!$B:$AP,40,FALSE)*O307,0)</f>
        <v>35</v>
      </c>
      <c r="AO307" s="382">
        <f t="shared" si="160"/>
        <v>91.71875</v>
      </c>
      <c r="AQ307" s="395">
        <f>(IF($H307="x",VLOOKUP($I307,'AUX-NIV2'!$B:$X,'AUX-NIV1'!AQ$3,FALSE),0)+($AV307*'AUX-NIV3'!S$4))*$O307+IF($H307=AQ$4,$P307,0)</f>
        <v>17019.880770266111</v>
      </c>
      <c r="AR307" s="395">
        <f>(IF($H307="x",VLOOKUP($I307,'AUX-NIV2'!$B:$X,'AUX-NIV1'!AR$3,FALSE),0)+($AV307*'AUX-NIV3'!T$4))*$O307+IF($H307=AR$4,$P307,0)</f>
        <v>408.23265599999996</v>
      </c>
      <c r="AS307" s="395">
        <f>(IF($H307="x",VLOOKUP($I307,'AUX-NIV2'!$B:$X,'AUX-NIV1'!AS$3,FALSE),0)+($AV307*'AUX-NIV3'!U$4))*$O307+IF($H307=AS$4,$P307,0)</f>
        <v>0</v>
      </c>
      <c r="AT307" s="395">
        <f>(IF($H307="x",VLOOKUP($I307,'AUX-NIV2'!$B:$X,'AUX-NIV1'!AT$3,FALSE),0)+($AV307*'AUX-NIV3'!V$4))*$O307+IF($H307=AT$4,$P307,0)</f>
        <v>0</v>
      </c>
      <c r="AU307" s="395">
        <f>(IF($H307="x",VLOOKUP($I307,'AUX-NIV2'!$B:$X,'AUX-NIV1'!AU$3,FALSE),0)+($AV307*'AUX-NIV3'!W$4))*$O307+IF($H307=AU$4,$P307,0)</f>
        <v>0</v>
      </c>
      <c r="AV307" s="395">
        <f>+IF($H307="x",VLOOKUP($I307,'AUX-NIV2'!$B:$X,'AUX-NIV1'!AV$3,FALSE),0)</f>
        <v>0</v>
      </c>
    </row>
    <row r="308" spans="2:48" ht="14.4" hidden="1" thickTop="1" thickBot="1">
      <c r="B308" s="324" t="s">
        <v>2953</v>
      </c>
      <c r="C308" s="325" t="s">
        <v>2954</v>
      </c>
      <c r="D308" s="326" t="s">
        <v>441</v>
      </c>
      <c r="E308" s="349">
        <f>IF(B308&lt;&gt;"",+SUMIF(Items!C:C,'AUX-NIV1'!B308,Items!H:H),"")</f>
        <v>0</v>
      </c>
      <c r="F308" s="349">
        <f t="shared" si="150"/>
        <v>260784.54093834051</v>
      </c>
      <c r="G308" s="349">
        <f t="shared" si="151"/>
        <v>0</v>
      </c>
      <c r="H308" s="1395" t="str">
        <f t="shared" si="161"/>
        <v>X</v>
      </c>
      <c r="I308" s="1375" t="s">
        <v>2884</v>
      </c>
      <c r="J308" s="350" t="str">
        <f>IF(B308&lt;&gt;"",+VLOOKUP(I308,Recursos!C:F,2,FALSE),"")</f>
        <v>Colocación de acero manual</v>
      </c>
      <c r="K308" s="351" t="str">
        <f>IF(B308&lt;&gt;"",+VLOOKUP(I308,Recursos!C:F,3,FALSE),"")</f>
        <v>tn</v>
      </c>
      <c r="L308" s="436">
        <f>IF(B308&lt;&gt;"",+VLOOKUP(I308,Recursos!C:F,4,FALSE),"")</f>
        <v>51380.730969341719</v>
      </c>
      <c r="M308" s="441">
        <v>0.25</v>
      </c>
      <c r="N308" s="442"/>
      <c r="O308" s="439">
        <f>+M308/N306</f>
        <v>0.25</v>
      </c>
      <c r="P308" s="440">
        <f t="shared" si="162"/>
        <v>12845.18274233543</v>
      </c>
      <c r="Q308" s="349">
        <f t="shared" si="163"/>
        <v>0</v>
      </c>
      <c r="R308" s="353">
        <f t="shared" si="164"/>
        <v>0</v>
      </c>
      <c r="S308" s="354">
        <f t="shared" si="152"/>
        <v>0</v>
      </c>
      <c r="T308" s="354">
        <f t="shared" si="153"/>
        <v>0</v>
      </c>
      <c r="U308" s="355">
        <f t="shared" si="154"/>
        <v>199844.62809917357</v>
      </c>
      <c r="V308" s="355">
        <f t="shared" si="155"/>
        <v>0</v>
      </c>
      <c r="W308" s="355">
        <f t="shared" si="156"/>
        <v>0</v>
      </c>
      <c r="X308" s="355">
        <f t="shared" si="157"/>
        <v>60939.912839166936</v>
      </c>
      <c r="Y308" s="396"/>
      <c r="Z308" s="346" t="str">
        <f t="shared" si="165"/>
        <v>0-ACEROA</v>
      </c>
      <c r="AA308" s="346" t="str">
        <f t="shared" si="166"/>
        <v>0-ACEROE</v>
      </c>
      <c r="AB308" s="346" t="str">
        <f t="shared" si="167"/>
        <v>0-ACEROM</v>
      </c>
      <c r="AC308" s="346" t="str">
        <f t="shared" si="168"/>
        <v>0-ACEROT</v>
      </c>
      <c r="AD308" s="346" t="str">
        <f t="shared" si="169"/>
        <v>0-ACEROS</v>
      </c>
      <c r="AE308" s="346" t="str">
        <f t="shared" si="170"/>
        <v>0-ACEROX</v>
      </c>
      <c r="AF308" s="346" t="str">
        <f t="shared" si="171"/>
        <v>0-ACEROX</v>
      </c>
      <c r="AG308" s="346">
        <f t="shared" si="158"/>
        <v>4</v>
      </c>
      <c r="AH308" s="346">
        <f>IF(B308&lt;&gt;"",+IF(H308="x",+VLOOKUP(I308,'AUX-NIV2'!B:AG,32,FALSE),0),"")</f>
        <v>8</v>
      </c>
      <c r="AI308" s="346" t="str">
        <f t="shared" si="172"/>
        <v>0-ACERO</v>
      </c>
      <c r="AK308" s="347">
        <f t="shared" si="159"/>
        <v>306</v>
      </c>
      <c r="AL308" s="348">
        <f t="shared" si="173"/>
        <v>309</v>
      </c>
      <c r="AM308" s="347">
        <f t="shared" si="174"/>
        <v>3</v>
      </c>
      <c r="AN308" s="382">
        <f>IF(AND(AH308&gt;0,B308&lt;&gt;""),VLOOKUP(I308,'AUX-NIV2'!$B:$AP,40,FALSE)*O308,0)</f>
        <v>18.75</v>
      </c>
      <c r="AO308" s="382">
        <f t="shared" si="160"/>
        <v>91.71875</v>
      </c>
      <c r="AQ308" s="395">
        <f>(IF($H308="x",VLOOKUP($I308,'AUX-NIV2'!$B:$X,'AUX-NIV1'!AQ$3,FALSE),0)+($AV308*'AUX-NIV3'!S$4))*$O308+IF($H308=AQ$4,$P308,0)</f>
        <v>9167.4967919222072</v>
      </c>
      <c r="AR308" s="395">
        <f>(IF($H308="x",VLOOKUP($I308,'AUX-NIV2'!$B:$X,'AUX-NIV1'!AR$3,FALSE),0)+($AV308*'AUX-NIV3'!T$4))*$O308+IF($H308=AR$4,$P308,0)</f>
        <v>0</v>
      </c>
      <c r="AS308" s="395">
        <f>(IF($H308="x",VLOOKUP($I308,'AUX-NIV2'!$B:$X,'AUX-NIV1'!AS$3,FALSE),0)+($AV308*'AUX-NIV3'!U$4))*$O308+IF($H308=AS$4,$P308,0)</f>
        <v>3677.6859504132235</v>
      </c>
      <c r="AT308" s="395">
        <f>(IF($H308="x",VLOOKUP($I308,'AUX-NIV2'!$B:$X,'AUX-NIV1'!AT$3,FALSE),0)+($AV308*'AUX-NIV3'!V$4))*$O308+IF($H308=AT$4,$P308,0)</f>
        <v>0</v>
      </c>
      <c r="AU308" s="395">
        <f>(IF($H308="x",VLOOKUP($I308,'AUX-NIV2'!$B:$X,'AUX-NIV1'!AU$3,FALSE),0)+($AV308*'AUX-NIV3'!W$4))*$O308+IF($H308=AU$4,$P308,0)</f>
        <v>0</v>
      </c>
      <c r="AV308" s="395">
        <f>+IF($H308="x",VLOOKUP($I308,'AUX-NIV2'!$B:$X,'AUX-NIV1'!AV$3,FALSE),0)</f>
        <v>0</v>
      </c>
    </row>
    <row r="309" spans="2:48" ht="14.4" hidden="1" thickTop="1" thickBot="1">
      <c r="B309" s="324" t="s">
        <v>2953</v>
      </c>
      <c r="C309" s="325" t="s">
        <v>2954</v>
      </c>
      <c r="D309" s="326" t="s">
        <v>441</v>
      </c>
      <c r="E309" s="349">
        <f>IF(B309&lt;&gt;"",+SUMIF(Items!C:C,'AUX-NIV1'!B309,Items!H:H),"")</f>
        <v>0</v>
      </c>
      <c r="F309" s="349">
        <f t="shared" si="150"/>
        <v>260784.54093834051</v>
      </c>
      <c r="G309" s="349">
        <f t="shared" si="151"/>
        <v>0</v>
      </c>
      <c r="H309" s="1395" t="str">
        <f t="shared" si="161"/>
        <v>X</v>
      </c>
      <c r="I309" s="1375" t="s">
        <v>2886</v>
      </c>
      <c r="J309" s="350" t="str">
        <f>IF(B309&lt;&gt;"",+VLOOKUP(I309,Recursos!C:F,2,FALSE),"")</f>
        <v>Colocación de acero con grúa</v>
      </c>
      <c r="K309" s="351" t="str">
        <f>IF(B309&lt;&gt;"",+VLOOKUP(I309,Recursos!C:F,3,FALSE),"")</f>
        <v>tn</v>
      </c>
      <c r="L309" s="436">
        <f>IF(B309&lt;&gt;"",+VLOOKUP(I309,Recursos!C:F,4,FALSE),"")</f>
        <v>40888.822227420533</v>
      </c>
      <c r="M309" s="444"/>
      <c r="N309" s="445"/>
      <c r="O309" s="439">
        <f>(1-M308)/N306</f>
        <v>0.75</v>
      </c>
      <c r="P309" s="440">
        <f t="shared" si="162"/>
        <v>30666.6166705654</v>
      </c>
      <c r="Q309" s="349">
        <f t="shared" si="163"/>
        <v>0</v>
      </c>
      <c r="R309" s="353">
        <f t="shared" si="164"/>
        <v>0</v>
      </c>
      <c r="S309" s="354">
        <f t="shared" si="152"/>
        <v>0</v>
      </c>
      <c r="T309" s="354">
        <f t="shared" si="153"/>
        <v>0</v>
      </c>
      <c r="U309" s="355">
        <f t="shared" si="154"/>
        <v>199844.62809917357</v>
      </c>
      <c r="V309" s="355">
        <f t="shared" si="155"/>
        <v>0</v>
      </c>
      <c r="W309" s="355">
        <f t="shared" si="156"/>
        <v>0</v>
      </c>
      <c r="X309" s="355">
        <f t="shared" si="157"/>
        <v>60939.912839166936</v>
      </c>
      <c r="Y309" s="396"/>
      <c r="Z309" s="346" t="str">
        <f t="shared" si="165"/>
        <v>0-ACEROA</v>
      </c>
      <c r="AA309" s="346" t="str">
        <f t="shared" si="166"/>
        <v>0-ACEROE</v>
      </c>
      <c r="AB309" s="346" t="str">
        <f t="shared" si="167"/>
        <v>0-ACEROM</v>
      </c>
      <c r="AC309" s="346" t="str">
        <f t="shared" si="168"/>
        <v>0-ACEROT</v>
      </c>
      <c r="AD309" s="346" t="str">
        <f t="shared" si="169"/>
        <v>0-ACEROS</v>
      </c>
      <c r="AE309" s="346" t="str">
        <f t="shared" si="170"/>
        <v>0-ACEROX</v>
      </c>
      <c r="AF309" s="346" t="str">
        <f t="shared" si="171"/>
        <v>0-ACEROX</v>
      </c>
      <c r="AG309" s="346">
        <f t="shared" si="158"/>
        <v>4</v>
      </c>
      <c r="AH309" s="346">
        <f>IF(B309&lt;&gt;"",+IF(H309="x",+VLOOKUP(I309,'AUX-NIV2'!B:AG,32,FALSE),0),"")</f>
        <v>8</v>
      </c>
      <c r="AI309" s="346" t="str">
        <f t="shared" si="172"/>
        <v>0-ACERO</v>
      </c>
      <c r="AK309" s="347">
        <f t="shared" si="159"/>
        <v>306</v>
      </c>
      <c r="AL309" s="348">
        <f t="shared" si="173"/>
        <v>309</v>
      </c>
      <c r="AM309" s="347">
        <f t="shared" si="174"/>
        <v>4</v>
      </c>
      <c r="AN309" s="382">
        <f>IF(AND(AH309&gt;0,B309&lt;&gt;""),VLOOKUP(I309,'AUX-NIV2'!$B:$AP,40,FALSE)*O309,0)</f>
        <v>37.96875</v>
      </c>
      <c r="AO309" s="382">
        <f t="shared" si="160"/>
        <v>91.71875</v>
      </c>
      <c r="AQ309" s="395">
        <f>(IF($H309="x",VLOOKUP($I309,'AUX-NIV2'!$B:$X,'AUX-NIV1'!AQ$3,FALSE),0)+($AV309*'AUX-NIV3'!S$4))*$O309+IF($H309=AQ$4,$P309,0)</f>
        <v>18700.410431949695</v>
      </c>
      <c r="AR309" s="395">
        <f>(IF($H309="x",VLOOKUP($I309,'AUX-NIV2'!$B:$X,'AUX-NIV1'!AR$3,FALSE),0)+($AV309*'AUX-NIV3'!T$4))*$O309+IF($H309=AR$4,$P309,0)</f>
        <v>2036.4541724999997</v>
      </c>
      <c r="AS309" s="395">
        <f>(IF($H309="x",VLOOKUP($I309,'AUX-NIV2'!$B:$X,'AUX-NIV1'!AS$3,FALSE),0)+($AV309*'AUX-NIV3'!U$4))*$O309+IF($H309=AS$4,$P309,0)</f>
        <v>9929.7520661157032</v>
      </c>
      <c r="AT309" s="395">
        <f>(IF($H309="x",VLOOKUP($I309,'AUX-NIV2'!$B:$X,'AUX-NIV1'!AT$3,FALSE),0)+($AV309*'AUX-NIV3'!V$4))*$O309+IF($H309=AT$4,$P309,0)</f>
        <v>0</v>
      </c>
      <c r="AU309" s="395">
        <f>(IF($H309="x",VLOOKUP($I309,'AUX-NIV2'!$B:$X,'AUX-NIV1'!AU$3,FALSE),0)+($AV309*'AUX-NIV3'!W$4))*$O309+IF($H309=AU$4,$P309,0)</f>
        <v>0</v>
      </c>
      <c r="AV309" s="395">
        <f>+IF($H309="x",VLOOKUP($I309,'AUX-NIV2'!$B:$X,'AUX-NIV1'!AV$3,FALSE),0)</f>
        <v>0</v>
      </c>
    </row>
    <row r="310" spans="2:48" ht="14.4" hidden="1" thickTop="1" thickBot="1">
      <c r="B310" s="501" t="s">
        <v>3336</v>
      </c>
      <c r="C310" s="325" t="s">
        <v>2955</v>
      </c>
      <c r="D310" s="326" t="s">
        <v>185</v>
      </c>
      <c r="E310" s="349">
        <f>IF(B310&lt;&gt;"",+SUMIF(Items!C:C,'AUX-NIV1'!B310,Items!H:H),"")</f>
        <v>0</v>
      </c>
      <c r="F310" s="349">
        <f t="shared" si="150"/>
        <v>3532.8567369002844</v>
      </c>
      <c r="G310" s="349">
        <f t="shared" si="151"/>
        <v>0</v>
      </c>
      <c r="H310" s="1395" t="str">
        <f t="shared" si="161"/>
        <v>A</v>
      </c>
      <c r="I310" s="1375" t="s">
        <v>1745</v>
      </c>
      <c r="J310" s="350" t="str">
        <f>IF(B310&lt;&gt;"",+VLOOKUP(I310,Recursos!C:F,2,FALSE),"")</f>
        <v>AYUDANTE</v>
      </c>
      <c r="K310" s="351" t="str">
        <f>IF(B310&lt;&gt;"",+VLOOKUP(I310,Recursos!C:F,3,FALSE),"")</f>
        <v>hh</v>
      </c>
      <c r="L310" s="436">
        <f>IF(B310&lt;&gt;"",+VLOOKUP(I310,Recursos!C:F,4,FALSE),"")</f>
        <v>422.48042769667234</v>
      </c>
      <c r="M310" s="457"/>
      <c r="N310" s="458">
        <v>4</v>
      </c>
      <c r="O310" s="439">
        <f>+N310/M314*M315</f>
        <v>0.625</v>
      </c>
      <c r="P310" s="440">
        <f t="shared" si="162"/>
        <v>264.05026731042022</v>
      </c>
      <c r="Q310" s="349">
        <f t="shared" si="163"/>
        <v>0</v>
      </c>
      <c r="R310" s="353">
        <f t="shared" si="164"/>
        <v>0</v>
      </c>
      <c r="S310" s="354">
        <f t="shared" si="152"/>
        <v>406.49957127528432</v>
      </c>
      <c r="T310" s="354">
        <f t="shared" si="153"/>
        <v>181.35716562500002</v>
      </c>
      <c r="U310" s="355">
        <f t="shared" si="154"/>
        <v>2945</v>
      </c>
      <c r="V310" s="355">
        <f t="shared" si="155"/>
        <v>0</v>
      </c>
      <c r="W310" s="355">
        <f t="shared" si="156"/>
        <v>0</v>
      </c>
      <c r="X310" s="355">
        <f t="shared" si="157"/>
        <v>0</v>
      </c>
      <c r="Y310" s="396"/>
      <c r="Z310" s="346" t="str">
        <f t="shared" si="165"/>
        <v>0-ARBOLA</v>
      </c>
      <c r="AA310" s="346" t="str">
        <f t="shared" si="166"/>
        <v>0-ARBOLE</v>
      </c>
      <c r="AB310" s="346" t="str">
        <f t="shared" si="167"/>
        <v>0-ARBOLM</v>
      </c>
      <c r="AC310" s="346" t="str">
        <f t="shared" si="168"/>
        <v>0-ARBOLT</v>
      </c>
      <c r="AD310" s="346" t="str">
        <f t="shared" si="169"/>
        <v>0-ARBOLS</v>
      </c>
      <c r="AE310" s="346" t="str">
        <f t="shared" si="170"/>
        <v>0-ARBOLX</v>
      </c>
      <c r="AF310" s="346" t="str">
        <f t="shared" si="171"/>
        <v>0-ARBOLA</v>
      </c>
      <c r="AG310" s="346">
        <f t="shared" si="158"/>
        <v>16</v>
      </c>
      <c r="AH310" s="346">
        <f>IF(B310&lt;&gt;"",+IF(H310="x",+VLOOKUP(I310,'AUX-NIV2'!B:AG,32,FALSE),0),"")</f>
        <v>0</v>
      </c>
      <c r="AI310" s="346" t="str">
        <f t="shared" si="172"/>
        <v>0-ARBOL</v>
      </c>
      <c r="AK310" s="347">
        <f t="shared" si="159"/>
        <v>310</v>
      </c>
      <c r="AL310" s="348">
        <f t="shared" si="173"/>
        <v>325</v>
      </c>
      <c r="AM310" s="347">
        <f t="shared" si="174"/>
        <v>1</v>
      </c>
      <c r="AN310" s="382">
        <f>IF(AND(AH310&gt;0,B310&lt;&gt;""),VLOOKUP(I310,'AUX-NIV2'!$B:$AP,40,FALSE)*O310,0)</f>
        <v>0</v>
      </c>
      <c r="AO310" s="382">
        <f t="shared" si="160"/>
        <v>0.8984375</v>
      </c>
      <c r="AQ310" s="395">
        <f>(IF($H310="x",VLOOKUP($I310,'AUX-NIV2'!$B:$X,'AUX-NIV1'!AQ$3,FALSE),0)+($AV310*'AUX-NIV3'!S$4))*$O310+IF($H310=AQ$4,$P310,0)</f>
        <v>264.05026731042022</v>
      </c>
      <c r="AR310" s="395">
        <f>(IF($H310="x",VLOOKUP($I310,'AUX-NIV2'!$B:$X,'AUX-NIV1'!AR$3,FALSE),0)+($AV310*'AUX-NIV3'!T$4))*$O310+IF($H310=AR$4,$P310,0)</f>
        <v>0</v>
      </c>
      <c r="AS310" s="395">
        <f>(IF($H310="x",VLOOKUP($I310,'AUX-NIV2'!$B:$X,'AUX-NIV1'!AS$3,FALSE),0)+($AV310*'AUX-NIV3'!U$4))*$O310+IF($H310=AS$4,$P310,0)</f>
        <v>0</v>
      </c>
      <c r="AT310" s="395">
        <f>(IF($H310="x",VLOOKUP($I310,'AUX-NIV2'!$B:$X,'AUX-NIV1'!AT$3,FALSE),0)+($AV310*'AUX-NIV3'!V$4))*$O310+IF($H310=AT$4,$P310,0)</f>
        <v>0</v>
      </c>
      <c r="AU310" s="395">
        <f>(IF($H310="x",VLOOKUP($I310,'AUX-NIV2'!$B:$X,'AUX-NIV1'!AU$3,FALSE),0)+($AV310*'AUX-NIV3'!W$4))*$O310+IF($H310=AU$4,$P310,0)</f>
        <v>0</v>
      </c>
      <c r="AV310" s="395">
        <f>+IF($H310="x",VLOOKUP($I310,'AUX-NIV2'!$B:$X,'AUX-NIV1'!AV$3,FALSE),0)</f>
        <v>0</v>
      </c>
    </row>
    <row r="311" spans="2:48" ht="14.4" hidden="1" thickTop="1" thickBot="1">
      <c r="B311" s="501" t="s">
        <v>3336</v>
      </c>
      <c r="C311" s="325" t="s">
        <v>2955</v>
      </c>
      <c r="D311" s="326" t="s">
        <v>185</v>
      </c>
      <c r="E311" s="349">
        <f>IF(B311&lt;&gt;"",+SUMIF(Items!C:C,'AUX-NIV1'!B311,Items!H:H),"")</f>
        <v>0</v>
      </c>
      <c r="F311" s="349">
        <f t="shared" si="150"/>
        <v>3532.8567369002844</v>
      </c>
      <c r="G311" s="349">
        <f t="shared" si="151"/>
        <v>0</v>
      </c>
      <c r="H311" s="1395" t="str">
        <f t="shared" si="161"/>
        <v>A</v>
      </c>
      <c r="I311" s="1375" t="s">
        <v>1746</v>
      </c>
      <c r="J311" s="350" t="str">
        <f>IF(B311&lt;&gt;"",+VLOOKUP(I311,Recursos!C:F,2,FALSE),"")</f>
        <v>OFICIAL</v>
      </c>
      <c r="K311" s="351" t="str">
        <f>IF(B311&lt;&gt;"",+VLOOKUP(I311,Recursos!C:F,3,FALSE),"")</f>
        <v>hh</v>
      </c>
      <c r="L311" s="436">
        <f>IF(B311&lt;&gt;"",+VLOOKUP(I311,Recursos!C:F,4,FALSE),"")</f>
        <v>496.91595439275824</v>
      </c>
      <c r="M311" s="443"/>
      <c r="N311" s="497">
        <v>1</v>
      </c>
      <c r="O311" s="439">
        <f>+N311/M314*M315</f>
        <v>0.15625</v>
      </c>
      <c r="P311" s="440">
        <f t="shared" si="162"/>
        <v>77.643117873868476</v>
      </c>
      <c r="Q311" s="349">
        <f t="shared" si="163"/>
        <v>0</v>
      </c>
      <c r="R311" s="353">
        <f t="shared" si="164"/>
        <v>0</v>
      </c>
      <c r="S311" s="354">
        <f t="shared" si="152"/>
        <v>406.49957127528432</v>
      </c>
      <c r="T311" s="354">
        <f t="shared" si="153"/>
        <v>181.35716562500002</v>
      </c>
      <c r="U311" s="355">
        <f t="shared" si="154"/>
        <v>2945</v>
      </c>
      <c r="V311" s="355">
        <f t="shared" si="155"/>
        <v>0</v>
      </c>
      <c r="W311" s="355">
        <f t="shared" si="156"/>
        <v>0</v>
      </c>
      <c r="X311" s="355">
        <f t="shared" si="157"/>
        <v>0</v>
      </c>
      <c r="Y311" s="396"/>
      <c r="Z311" s="346" t="str">
        <f t="shared" si="165"/>
        <v>0-ARBOLA</v>
      </c>
      <c r="AA311" s="346" t="str">
        <f t="shared" si="166"/>
        <v>0-ARBOLE</v>
      </c>
      <c r="AB311" s="346" t="str">
        <f t="shared" si="167"/>
        <v>0-ARBOLM</v>
      </c>
      <c r="AC311" s="346" t="str">
        <f t="shared" si="168"/>
        <v>0-ARBOLT</v>
      </c>
      <c r="AD311" s="346" t="str">
        <f t="shared" si="169"/>
        <v>0-ARBOLS</v>
      </c>
      <c r="AE311" s="346" t="str">
        <f t="shared" si="170"/>
        <v>0-ARBOLX</v>
      </c>
      <c r="AF311" s="346" t="str">
        <f t="shared" si="171"/>
        <v>0-ARBOLA</v>
      </c>
      <c r="AG311" s="346">
        <f t="shared" si="158"/>
        <v>16</v>
      </c>
      <c r="AH311" s="346">
        <f>IF(B311&lt;&gt;"",+IF(H311="x",+VLOOKUP(I311,'AUX-NIV2'!B:AG,32,FALSE),0),"")</f>
        <v>0</v>
      </c>
      <c r="AI311" s="346" t="str">
        <f t="shared" si="172"/>
        <v>0-ARBOL</v>
      </c>
      <c r="AK311" s="347">
        <f t="shared" si="159"/>
        <v>310</v>
      </c>
      <c r="AL311" s="348">
        <f t="shared" si="173"/>
        <v>325</v>
      </c>
      <c r="AM311" s="347">
        <f t="shared" si="174"/>
        <v>2</v>
      </c>
      <c r="AN311" s="382">
        <f>IF(AND(AH311&gt;0,B311&lt;&gt;""),VLOOKUP(I311,'AUX-NIV2'!$B:$AP,40,FALSE)*O311,0)</f>
        <v>0</v>
      </c>
      <c r="AO311" s="382">
        <f t="shared" si="160"/>
        <v>0.8984375</v>
      </c>
      <c r="AQ311" s="395">
        <f>(IF($H311="x",VLOOKUP($I311,'AUX-NIV2'!$B:$X,'AUX-NIV1'!AQ$3,FALSE),0)+($AV311*'AUX-NIV3'!S$4))*$O311+IF($H311=AQ$4,$P311,0)</f>
        <v>77.643117873868476</v>
      </c>
      <c r="AR311" s="395">
        <f>(IF($H311="x",VLOOKUP($I311,'AUX-NIV2'!$B:$X,'AUX-NIV1'!AR$3,FALSE),0)+($AV311*'AUX-NIV3'!T$4))*$O311+IF($H311=AR$4,$P311,0)</f>
        <v>0</v>
      </c>
      <c r="AS311" s="395">
        <f>(IF($H311="x",VLOOKUP($I311,'AUX-NIV2'!$B:$X,'AUX-NIV1'!AS$3,FALSE),0)+($AV311*'AUX-NIV3'!U$4))*$O311+IF($H311=AS$4,$P311,0)</f>
        <v>0</v>
      </c>
      <c r="AT311" s="395">
        <f>(IF($H311="x",VLOOKUP($I311,'AUX-NIV2'!$B:$X,'AUX-NIV1'!AT$3,FALSE),0)+($AV311*'AUX-NIV3'!V$4))*$O311+IF($H311=AT$4,$P311,0)</f>
        <v>0</v>
      </c>
      <c r="AU311" s="395">
        <f>(IF($H311="x",VLOOKUP($I311,'AUX-NIV2'!$B:$X,'AUX-NIV1'!AU$3,FALSE),0)+($AV311*'AUX-NIV3'!W$4))*$O311+IF($H311=AU$4,$P311,0)</f>
        <v>0</v>
      </c>
      <c r="AV311" s="395">
        <f>+IF($H311="x",VLOOKUP($I311,'AUX-NIV2'!$B:$X,'AUX-NIV1'!AV$3,FALSE),0)</f>
        <v>0</v>
      </c>
    </row>
    <row r="312" spans="2:48" ht="14.4" hidden="1" thickTop="1" thickBot="1">
      <c r="B312" s="501" t="s">
        <v>3336</v>
      </c>
      <c r="C312" s="325" t="s">
        <v>2955</v>
      </c>
      <c r="D312" s="326" t="s">
        <v>185</v>
      </c>
      <c r="E312" s="349">
        <f>IF(B312&lt;&gt;"",+SUMIF(Items!C:C,'AUX-NIV1'!B312,Items!H:H),"")</f>
        <v>0</v>
      </c>
      <c r="F312" s="349">
        <f t="shared" si="150"/>
        <v>3532.8567369002844</v>
      </c>
      <c r="G312" s="349">
        <f t="shared" si="151"/>
        <v>0</v>
      </c>
      <c r="H312" s="1395" t="str">
        <f t="shared" si="161"/>
        <v>E</v>
      </c>
      <c r="I312" s="1375" t="s">
        <v>1549</v>
      </c>
      <c r="J312" s="350" t="str">
        <f>IF(B312&lt;&gt;"",+VLOOKUP(I312,Recursos!C:F,2,FALSE),"")</f>
        <v>RETROEXC. CARG. S/ROD.NEUM. 0.24 M3</v>
      </c>
      <c r="K312" s="351" t="str">
        <f>IF(B312&lt;&gt;"",+VLOOKUP(I312,Recursos!C:F,3,FALSE),"")</f>
        <v>HR</v>
      </c>
      <c r="L312" s="436">
        <f>IF(B312&lt;&gt;"",+VLOOKUP(I312,Recursos!C:F,4,FALSE),"")</f>
        <v>1761.0672000000002</v>
      </c>
      <c r="M312" s="443"/>
      <c r="N312" s="992">
        <v>0.5</v>
      </c>
      <c r="O312" s="439">
        <f>+N312/M314</f>
        <v>6.25E-2</v>
      </c>
      <c r="P312" s="440">
        <f t="shared" si="162"/>
        <v>110.06670000000001</v>
      </c>
      <c r="Q312" s="349">
        <f t="shared" si="163"/>
        <v>0</v>
      </c>
      <c r="R312" s="353">
        <f t="shared" si="164"/>
        <v>0</v>
      </c>
      <c r="S312" s="354">
        <f t="shared" si="152"/>
        <v>406.49957127528432</v>
      </c>
      <c r="T312" s="354">
        <f t="shared" si="153"/>
        <v>181.35716562500002</v>
      </c>
      <c r="U312" s="355">
        <f t="shared" si="154"/>
        <v>2945</v>
      </c>
      <c r="V312" s="355">
        <f t="shared" si="155"/>
        <v>0</v>
      </c>
      <c r="W312" s="355">
        <f t="shared" si="156"/>
        <v>0</v>
      </c>
      <c r="X312" s="355">
        <f t="shared" si="157"/>
        <v>0</v>
      </c>
      <c r="Y312" s="396"/>
      <c r="Z312" s="346" t="str">
        <f t="shared" si="165"/>
        <v>0-ARBOLA</v>
      </c>
      <c r="AA312" s="346" t="str">
        <f t="shared" si="166"/>
        <v>0-ARBOLE</v>
      </c>
      <c r="AB312" s="346" t="str">
        <f t="shared" si="167"/>
        <v>0-ARBOLM</v>
      </c>
      <c r="AC312" s="346" t="str">
        <f t="shared" si="168"/>
        <v>0-ARBOLT</v>
      </c>
      <c r="AD312" s="346" t="str">
        <f t="shared" si="169"/>
        <v>0-ARBOLS</v>
      </c>
      <c r="AE312" s="346" t="str">
        <f t="shared" si="170"/>
        <v>0-ARBOLX</v>
      </c>
      <c r="AF312" s="346" t="str">
        <f t="shared" si="171"/>
        <v>0-ARBOLE</v>
      </c>
      <c r="AG312" s="346">
        <f t="shared" si="158"/>
        <v>16</v>
      </c>
      <c r="AH312" s="346">
        <f>IF(B312&lt;&gt;"",+IF(H312="x",+VLOOKUP(I312,'AUX-NIV2'!B:AG,32,FALSE),0),"")</f>
        <v>0</v>
      </c>
      <c r="AI312" s="346" t="str">
        <f t="shared" si="172"/>
        <v>0-ARBOL</v>
      </c>
      <c r="AK312" s="347">
        <f t="shared" si="159"/>
        <v>310</v>
      </c>
      <c r="AL312" s="348">
        <f t="shared" si="173"/>
        <v>325</v>
      </c>
      <c r="AM312" s="347">
        <f t="shared" si="174"/>
        <v>3</v>
      </c>
      <c r="AN312" s="382">
        <f>IF(AND(AH312&gt;0,B312&lt;&gt;""),VLOOKUP(I312,'AUX-NIV2'!$B:$AP,40,FALSE)*O312,0)</f>
        <v>0</v>
      </c>
      <c r="AO312" s="382">
        <f t="shared" si="160"/>
        <v>0.8984375</v>
      </c>
      <c r="AQ312" s="395">
        <f>(IF($H312="x",VLOOKUP($I312,'AUX-NIV2'!$B:$X,'AUX-NIV1'!AQ$3,FALSE),0)+($AV312*'AUX-NIV3'!S$4))*$O312+IF($H312=AQ$4,$P312,0)</f>
        <v>0</v>
      </c>
      <c r="AR312" s="395">
        <f>(IF($H312="x",VLOOKUP($I312,'AUX-NIV2'!$B:$X,'AUX-NIV1'!AR$3,FALSE),0)+($AV312*'AUX-NIV3'!T$4))*$O312+IF($H312=AR$4,$P312,0)</f>
        <v>110.06670000000001</v>
      </c>
      <c r="AS312" s="395">
        <f>(IF($H312="x",VLOOKUP($I312,'AUX-NIV2'!$B:$X,'AUX-NIV1'!AS$3,FALSE),0)+($AV312*'AUX-NIV3'!U$4))*$O312+IF($H312=AS$4,$P312,0)</f>
        <v>0</v>
      </c>
      <c r="AT312" s="395">
        <f>(IF($H312="x",VLOOKUP($I312,'AUX-NIV2'!$B:$X,'AUX-NIV1'!AT$3,FALSE),0)+($AV312*'AUX-NIV3'!V$4))*$O312+IF($H312=AT$4,$P312,0)</f>
        <v>0</v>
      </c>
      <c r="AU312" s="395">
        <f>(IF($H312="x",VLOOKUP($I312,'AUX-NIV2'!$B:$X,'AUX-NIV1'!AU$3,FALSE),0)+($AV312*'AUX-NIV3'!W$4))*$O312+IF($H312=AU$4,$P312,0)</f>
        <v>0</v>
      </c>
      <c r="AV312" s="395">
        <f>+IF($H312="x",VLOOKUP($I312,'AUX-NIV2'!$B:$X,'AUX-NIV1'!AV$3,FALSE),0)</f>
        <v>0</v>
      </c>
    </row>
    <row r="313" spans="2:48" ht="14.4" hidden="1" thickTop="1" thickBot="1">
      <c r="B313" s="501" t="s">
        <v>3336</v>
      </c>
      <c r="C313" s="325" t="s">
        <v>2955</v>
      </c>
      <c r="D313" s="326" t="s">
        <v>185</v>
      </c>
      <c r="E313" s="349">
        <f>IF(B313&lt;&gt;"",+SUMIF(Items!C:C,'AUX-NIV1'!B313,Items!H:H),"")</f>
        <v>0</v>
      </c>
      <c r="F313" s="349">
        <f t="shared" si="150"/>
        <v>3532.8567369002844</v>
      </c>
      <c r="G313" s="349">
        <f t="shared" si="151"/>
        <v>0</v>
      </c>
      <c r="H313" s="1395" t="str">
        <f t="shared" si="161"/>
        <v>A</v>
      </c>
      <c r="I313" s="1375" t="s">
        <v>3310</v>
      </c>
      <c r="J313" s="350" t="str">
        <f>IF(B313&lt;&gt;"",+VLOOKUP(I313,Recursos!C:F,2,FALSE),"")</f>
        <v>OFICIAL ESPECIALIZADO</v>
      </c>
      <c r="K313" s="351" t="str">
        <f>IF(B313&lt;&gt;"",+VLOOKUP(I313,Recursos!C:F,3,FALSE),"")</f>
        <v>hh</v>
      </c>
      <c r="L313" s="436">
        <f>IF(B313&lt;&gt;"",+VLOOKUP(I313,Recursos!C:F,4,FALSE),"")</f>
        <v>581.06120476836554</v>
      </c>
      <c r="M313" s="443"/>
      <c r="N313" s="993"/>
      <c r="O313" s="439">
        <f>N312*M315/M314</f>
        <v>7.8125E-2</v>
      </c>
      <c r="P313" s="440">
        <f t="shared" si="162"/>
        <v>45.395406622528554</v>
      </c>
      <c r="Q313" s="349">
        <f t="shared" si="163"/>
        <v>0</v>
      </c>
      <c r="R313" s="353">
        <f t="shared" si="164"/>
        <v>0</v>
      </c>
      <c r="S313" s="354">
        <f t="shared" si="152"/>
        <v>406.49957127528432</v>
      </c>
      <c r="T313" s="354">
        <f t="shared" si="153"/>
        <v>181.35716562500002</v>
      </c>
      <c r="U313" s="355">
        <f t="shared" si="154"/>
        <v>2945</v>
      </c>
      <c r="V313" s="355">
        <f t="shared" si="155"/>
        <v>0</v>
      </c>
      <c r="W313" s="355">
        <f t="shared" si="156"/>
        <v>0</v>
      </c>
      <c r="X313" s="355">
        <f t="shared" si="157"/>
        <v>0</v>
      </c>
      <c r="Y313" s="396"/>
      <c r="Z313" s="346" t="str">
        <f t="shared" si="165"/>
        <v>0-ARBOLA</v>
      </c>
      <c r="AA313" s="346" t="str">
        <f t="shared" si="166"/>
        <v>0-ARBOLE</v>
      </c>
      <c r="AB313" s="346" t="str">
        <f t="shared" si="167"/>
        <v>0-ARBOLM</v>
      </c>
      <c r="AC313" s="346" t="str">
        <f t="shared" si="168"/>
        <v>0-ARBOLT</v>
      </c>
      <c r="AD313" s="346" t="str">
        <f t="shared" si="169"/>
        <v>0-ARBOLS</v>
      </c>
      <c r="AE313" s="346" t="str">
        <f t="shared" si="170"/>
        <v>0-ARBOLX</v>
      </c>
      <c r="AF313" s="346" t="str">
        <f t="shared" si="171"/>
        <v>0-ARBOLA</v>
      </c>
      <c r="AG313" s="346">
        <f t="shared" si="158"/>
        <v>16</v>
      </c>
      <c r="AH313" s="346">
        <f>IF(B313&lt;&gt;"",+IF(H313="x",+VLOOKUP(I313,'AUX-NIV2'!B:AG,32,FALSE),0),"")</f>
        <v>0</v>
      </c>
      <c r="AI313" s="346" t="str">
        <f t="shared" si="172"/>
        <v>0-ARBOL</v>
      </c>
      <c r="AK313" s="347">
        <f t="shared" si="159"/>
        <v>310</v>
      </c>
      <c r="AL313" s="348">
        <f t="shared" si="173"/>
        <v>325</v>
      </c>
      <c r="AM313" s="347">
        <f t="shared" si="174"/>
        <v>4</v>
      </c>
      <c r="AN313" s="382">
        <f>IF(AND(AH313&gt;0,B313&lt;&gt;""),VLOOKUP(I313,'AUX-NIV2'!$B:$AP,40,FALSE)*O313,0)</f>
        <v>0</v>
      </c>
      <c r="AO313" s="382">
        <f t="shared" si="160"/>
        <v>0.8984375</v>
      </c>
      <c r="AQ313" s="395">
        <f>(IF($H313="x",VLOOKUP($I313,'AUX-NIV2'!$B:$X,'AUX-NIV1'!AQ$3,FALSE),0)+($AV313*'AUX-NIV3'!S$4))*$O313+IF($H313=AQ$4,$P313,0)</f>
        <v>45.395406622528554</v>
      </c>
      <c r="AR313" s="395">
        <f>(IF($H313="x",VLOOKUP($I313,'AUX-NIV2'!$B:$X,'AUX-NIV1'!AR$3,FALSE),0)+($AV313*'AUX-NIV3'!T$4))*$O313+IF($H313=AR$4,$P313,0)</f>
        <v>0</v>
      </c>
      <c r="AS313" s="395">
        <f>(IF($H313="x",VLOOKUP($I313,'AUX-NIV2'!$B:$X,'AUX-NIV1'!AS$3,FALSE),0)+($AV313*'AUX-NIV3'!U$4))*$O313+IF($H313=AS$4,$P313,0)</f>
        <v>0</v>
      </c>
      <c r="AT313" s="395">
        <f>(IF($H313="x",VLOOKUP($I313,'AUX-NIV2'!$B:$X,'AUX-NIV1'!AT$3,FALSE),0)+($AV313*'AUX-NIV3'!V$4))*$O313+IF($H313=AT$4,$P313,0)</f>
        <v>0</v>
      </c>
      <c r="AU313" s="395">
        <f>(IF($H313="x",VLOOKUP($I313,'AUX-NIV2'!$B:$X,'AUX-NIV1'!AU$3,FALSE),0)+($AV313*'AUX-NIV3'!W$4))*$O313+IF($H313=AU$4,$P313,0)</f>
        <v>0</v>
      </c>
      <c r="AV313" s="395">
        <f>+IF($H313="x",VLOOKUP($I313,'AUX-NIV2'!$B:$X,'AUX-NIV1'!AV$3,FALSE),0)</f>
        <v>0</v>
      </c>
    </row>
    <row r="314" spans="2:48" ht="14.4" hidden="1" thickTop="1" thickBot="1">
      <c r="B314" s="501" t="s">
        <v>3336</v>
      </c>
      <c r="C314" s="325" t="s">
        <v>2955</v>
      </c>
      <c r="D314" s="326" t="s">
        <v>185</v>
      </c>
      <c r="E314" s="349">
        <f>IF(B314&lt;&gt;"",+SUMIF(Items!C:C,'AUX-NIV1'!B314,Items!H:H),"")</f>
        <v>0</v>
      </c>
      <c r="F314" s="349">
        <f t="shared" si="150"/>
        <v>3532.8567369002844</v>
      </c>
      <c r="G314" s="349">
        <f t="shared" si="151"/>
        <v>0</v>
      </c>
      <c r="H314" s="1395" t="str">
        <f t="shared" si="161"/>
        <v>E</v>
      </c>
      <c r="I314" s="1375" t="s">
        <v>1676</v>
      </c>
      <c r="J314" s="350" t="str">
        <f>IF(B314&lt;&gt;"",+VLOOKUP(I314,Recursos!C:F,2,FALSE),"")</f>
        <v>CAMION REGADOR CAP. 8 m3</v>
      </c>
      <c r="K314" s="351" t="str">
        <f>IF(B314&lt;&gt;"",+VLOOKUP(I314,Recursos!C:F,3,FALSE),"")</f>
        <v>HR</v>
      </c>
      <c r="L314" s="436">
        <f>IF(B314&lt;&gt;"",+VLOOKUP(I314,Recursos!C:F,4,FALSE),"")</f>
        <v>2281.2949000000003</v>
      </c>
      <c r="M314" s="441">
        <v>8</v>
      </c>
      <c r="N314" s="992">
        <v>0.25</v>
      </c>
      <c r="O314" s="439">
        <f>+N314/M314</f>
        <v>3.125E-2</v>
      </c>
      <c r="P314" s="440">
        <f t="shared" si="162"/>
        <v>71.29046562500001</v>
      </c>
      <c r="Q314" s="349">
        <f t="shared" si="163"/>
        <v>0</v>
      </c>
      <c r="R314" s="353">
        <f t="shared" si="164"/>
        <v>0</v>
      </c>
      <c r="S314" s="354">
        <f t="shared" si="152"/>
        <v>406.49957127528432</v>
      </c>
      <c r="T314" s="354">
        <f t="shared" si="153"/>
        <v>181.35716562500002</v>
      </c>
      <c r="U314" s="355">
        <f t="shared" si="154"/>
        <v>2945</v>
      </c>
      <c r="V314" s="355">
        <f t="shared" si="155"/>
        <v>0</v>
      </c>
      <c r="W314" s="355">
        <f t="shared" si="156"/>
        <v>0</v>
      </c>
      <c r="X314" s="355">
        <f t="shared" si="157"/>
        <v>0</v>
      </c>
      <c r="Y314" s="396"/>
      <c r="Z314" s="346" t="str">
        <f t="shared" si="165"/>
        <v>0-ARBOLA</v>
      </c>
      <c r="AA314" s="346" t="str">
        <f t="shared" si="166"/>
        <v>0-ARBOLE</v>
      </c>
      <c r="AB314" s="346" t="str">
        <f t="shared" si="167"/>
        <v>0-ARBOLM</v>
      </c>
      <c r="AC314" s="346" t="str">
        <f t="shared" si="168"/>
        <v>0-ARBOLT</v>
      </c>
      <c r="AD314" s="346" t="str">
        <f t="shared" si="169"/>
        <v>0-ARBOLS</v>
      </c>
      <c r="AE314" s="346" t="str">
        <f t="shared" si="170"/>
        <v>0-ARBOLX</v>
      </c>
      <c r="AF314" s="346" t="str">
        <f t="shared" si="171"/>
        <v>0-ARBOLE</v>
      </c>
      <c r="AG314" s="346">
        <f t="shared" si="158"/>
        <v>16</v>
      </c>
      <c r="AH314" s="346">
        <f>IF(B314&lt;&gt;"",+IF(H314="x",+VLOOKUP(I314,'AUX-NIV2'!B:AG,32,FALSE),0),"")</f>
        <v>0</v>
      </c>
      <c r="AI314" s="346" t="str">
        <f t="shared" si="172"/>
        <v>0-ARBOL</v>
      </c>
      <c r="AK314" s="347">
        <f t="shared" si="159"/>
        <v>310</v>
      </c>
      <c r="AL314" s="348">
        <f t="shared" si="173"/>
        <v>325</v>
      </c>
      <c r="AM314" s="347">
        <f t="shared" si="174"/>
        <v>5</v>
      </c>
      <c r="AN314" s="382">
        <f>IF(AND(AH314&gt;0,B314&lt;&gt;""),VLOOKUP(I314,'AUX-NIV2'!$B:$AP,40,FALSE)*O314,0)</f>
        <v>0</v>
      </c>
      <c r="AO314" s="382">
        <f t="shared" si="160"/>
        <v>0.8984375</v>
      </c>
      <c r="AQ314" s="395">
        <f>(IF($H314="x",VLOOKUP($I314,'AUX-NIV2'!$B:$X,'AUX-NIV1'!AQ$3,FALSE),0)+($AV314*'AUX-NIV3'!S$4))*$O314+IF($H314=AQ$4,$P314,0)</f>
        <v>0</v>
      </c>
      <c r="AR314" s="395">
        <f>(IF($H314="x",VLOOKUP($I314,'AUX-NIV2'!$B:$X,'AUX-NIV1'!AR$3,FALSE),0)+($AV314*'AUX-NIV3'!T$4))*$O314+IF($H314=AR$4,$P314,0)</f>
        <v>71.29046562500001</v>
      </c>
      <c r="AS314" s="395">
        <f>(IF($H314="x",VLOOKUP($I314,'AUX-NIV2'!$B:$X,'AUX-NIV1'!AS$3,FALSE),0)+($AV314*'AUX-NIV3'!U$4))*$O314+IF($H314=AS$4,$P314,0)</f>
        <v>0</v>
      </c>
      <c r="AT314" s="395">
        <f>(IF($H314="x",VLOOKUP($I314,'AUX-NIV2'!$B:$X,'AUX-NIV1'!AT$3,FALSE),0)+($AV314*'AUX-NIV3'!V$4))*$O314+IF($H314=AT$4,$P314,0)</f>
        <v>0</v>
      </c>
      <c r="AU314" s="395">
        <f>(IF($H314="x",VLOOKUP($I314,'AUX-NIV2'!$B:$X,'AUX-NIV1'!AU$3,FALSE),0)+($AV314*'AUX-NIV3'!W$4))*$O314+IF($H314=AU$4,$P314,0)</f>
        <v>0</v>
      </c>
      <c r="AV314" s="395">
        <f>+IF($H314="x",VLOOKUP($I314,'AUX-NIV2'!$B:$X,'AUX-NIV1'!AV$3,FALSE),0)</f>
        <v>0</v>
      </c>
    </row>
    <row r="315" spans="2:48" ht="14.4" hidden="1" thickTop="1" thickBot="1">
      <c r="B315" s="501" t="s">
        <v>3336</v>
      </c>
      <c r="C315" s="325" t="s">
        <v>2955</v>
      </c>
      <c r="D315" s="326" t="s">
        <v>185</v>
      </c>
      <c r="E315" s="349">
        <f>IF(B315&lt;&gt;"",+SUMIF(Items!C:C,'AUX-NIV1'!B315,Items!H:H),"")</f>
        <v>0</v>
      </c>
      <c r="F315" s="349">
        <f t="shared" si="150"/>
        <v>3532.8567369002844</v>
      </c>
      <c r="G315" s="349">
        <f t="shared" si="151"/>
        <v>0</v>
      </c>
      <c r="H315" s="1395" t="str">
        <f t="shared" si="161"/>
        <v>A</v>
      </c>
      <c r="I315" s="1375" t="s">
        <v>1746</v>
      </c>
      <c r="J315" s="350" t="str">
        <f>IF(B315&lt;&gt;"",+VLOOKUP(I315,Recursos!C:F,2,FALSE),"")</f>
        <v>OFICIAL</v>
      </c>
      <c r="K315" s="351" t="str">
        <f>IF(B315&lt;&gt;"",+VLOOKUP(I315,Recursos!C:F,3,FALSE),"")</f>
        <v>hh</v>
      </c>
      <c r="L315" s="436">
        <f>IF(B315&lt;&gt;"",+VLOOKUP(I315,Recursos!C:F,4,FALSE),"")</f>
        <v>496.91595439275824</v>
      </c>
      <c r="M315" s="933">
        <v>1.25</v>
      </c>
      <c r="N315" s="442"/>
      <c r="O315" s="439">
        <f>+M315/M314*N314</f>
        <v>3.90625E-2</v>
      </c>
      <c r="P315" s="440">
        <f t="shared" si="162"/>
        <v>19.410779468467119</v>
      </c>
      <c r="Q315" s="349">
        <f t="shared" si="163"/>
        <v>0</v>
      </c>
      <c r="R315" s="353">
        <f t="shared" si="164"/>
        <v>0</v>
      </c>
      <c r="S315" s="354">
        <f t="shared" si="152"/>
        <v>406.49957127528432</v>
      </c>
      <c r="T315" s="354">
        <f t="shared" si="153"/>
        <v>181.35716562500002</v>
      </c>
      <c r="U315" s="355">
        <f t="shared" si="154"/>
        <v>2945</v>
      </c>
      <c r="V315" s="355">
        <f t="shared" si="155"/>
        <v>0</v>
      </c>
      <c r="W315" s="355">
        <f t="shared" si="156"/>
        <v>0</v>
      </c>
      <c r="X315" s="355">
        <f t="shared" si="157"/>
        <v>0</v>
      </c>
      <c r="Y315" s="396"/>
      <c r="Z315" s="346" t="str">
        <f t="shared" si="165"/>
        <v>0-ARBOLA</v>
      </c>
      <c r="AA315" s="346" t="str">
        <f t="shared" si="166"/>
        <v>0-ARBOLE</v>
      </c>
      <c r="AB315" s="346" t="str">
        <f t="shared" si="167"/>
        <v>0-ARBOLM</v>
      </c>
      <c r="AC315" s="346" t="str">
        <f t="shared" si="168"/>
        <v>0-ARBOLT</v>
      </c>
      <c r="AD315" s="346" t="str">
        <f t="shared" si="169"/>
        <v>0-ARBOLS</v>
      </c>
      <c r="AE315" s="346" t="str">
        <f t="shared" si="170"/>
        <v>0-ARBOLX</v>
      </c>
      <c r="AF315" s="346" t="str">
        <f t="shared" si="171"/>
        <v>0-ARBOLA</v>
      </c>
      <c r="AG315" s="346">
        <f t="shared" si="158"/>
        <v>16</v>
      </c>
      <c r="AH315" s="346">
        <f>IF(B315&lt;&gt;"",+IF(H315="x",+VLOOKUP(I315,'AUX-NIV2'!B:AG,32,FALSE),0),"")</f>
        <v>0</v>
      </c>
      <c r="AI315" s="346" t="str">
        <f t="shared" si="172"/>
        <v>0-ARBOL</v>
      </c>
      <c r="AK315" s="347">
        <f t="shared" si="159"/>
        <v>310</v>
      </c>
      <c r="AL315" s="348">
        <f t="shared" si="173"/>
        <v>325</v>
      </c>
      <c r="AM315" s="347">
        <f t="shared" si="174"/>
        <v>6</v>
      </c>
      <c r="AN315" s="382">
        <f>IF(AND(AH315&gt;0,B315&lt;&gt;""),VLOOKUP(I315,'AUX-NIV2'!$B:$AP,40,FALSE)*O315,0)</f>
        <v>0</v>
      </c>
      <c r="AO315" s="382">
        <f t="shared" si="160"/>
        <v>0.8984375</v>
      </c>
      <c r="AQ315" s="395">
        <f>(IF($H315="x",VLOOKUP($I315,'AUX-NIV2'!$B:$X,'AUX-NIV1'!AQ$3,FALSE),0)+($AV315*'AUX-NIV3'!S$4))*$O315+IF($H315=AQ$4,$P315,0)</f>
        <v>19.410779468467119</v>
      </c>
      <c r="AR315" s="395">
        <f>(IF($H315="x",VLOOKUP($I315,'AUX-NIV2'!$B:$X,'AUX-NIV1'!AR$3,FALSE),0)+($AV315*'AUX-NIV3'!T$4))*$O315+IF($H315=AR$4,$P315,0)</f>
        <v>0</v>
      </c>
      <c r="AS315" s="395">
        <f>(IF($H315="x",VLOOKUP($I315,'AUX-NIV2'!$B:$X,'AUX-NIV1'!AS$3,FALSE),0)+($AV315*'AUX-NIV3'!U$4))*$O315+IF($H315=AS$4,$P315,0)</f>
        <v>0</v>
      </c>
      <c r="AT315" s="395">
        <f>(IF($H315="x",VLOOKUP($I315,'AUX-NIV2'!$B:$X,'AUX-NIV1'!AT$3,FALSE),0)+($AV315*'AUX-NIV3'!V$4))*$O315+IF($H315=AT$4,$P315,0)</f>
        <v>0</v>
      </c>
      <c r="AU315" s="395">
        <f>(IF($H315="x",VLOOKUP($I315,'AUX-NIV2'!$B:$X,'AUX-NIV1'!AU$3,FALSE),0)+($AV315*'AUX-NIV3'!W$4))*$O315+IF($H315=AU$4,$P315,0)</f>
        <v>0</v>
      </c>
      <c r="AV315" s="395">
        <f>+IF($H315="x",VLOOKUP($I315,'AUX-NIV2'!$B:$X,'AUX-NIV1'!AV$3,FALSE),0)</f>
        <v>0</v>
      </c>
    </row>
    <row r="316" spans="2:48" ht="14.4" hidden="1" thickTop="1" thickBot="1">
      <c r="B316" s="501" t="s">
        <v>3336</v>
      </c>
      <c r="C316" s="325" t="s">
        <v>2955</v>
      </c>
      <c r="D316" s="326" t="s">
        <v>185</v>
      </c>
      <c r="E316" s="349">
        <f>IF(B316&lt;&gt;"",+SUMIF(Items!C:C,'AUX-NIV1'!B316,Items!H:H),"")</f>
        <v>0</v>
      </c>
      <c r="F316" s="349">
        <f t="shared" si="150"/>
        <v>3532.8567369002844</v>
      </c>
      <c r="G316" s="349">
        <f t="shared" si="151"/>
        <v>0</v>
      </c>
      <c r="H316" s="1395" t="str">
        <f t="shared" si="161"/>
        <v>M</v>
      </c>
      <c r="I316" s="1375" t="s">
        <v>3405</v>
      </c>
      <c r="J316" s="350" t="str">
        <f>IF(B316&lt;&gt;"",+VLOOKUP(I316,Recursos!C:F,2,FALSE),"")</f>
        <v>GREVILLEA ROBUSTA</v>
      </c>
      <c r="K316" s="351" t="str">
        <f>IF(B316&lt;&gt;"",+VLOOKUP(I316,Recursos!C:F,3,FALSE),"")</f>
        <v>un</v>
      </c>
      <c r="L316" s="436">
        <f>IF(B316&lt;&gt;"",+VLOOKUP(I316,Recursos!C:F,4,FALSE),"")</f>
        <v>550</v>
      </c>
      <c r="M316" s="441">
        <v>1.1000000000000001</v>
      </c>
      <c r="N316" s="442"/>
      <c r="O316" s="439">
        <f>+M316</f>
        <v>1.1000000000000001</v>
      </c>
      <c r="P316" s="440">
        <f t="shared" si="162"/>
        <v>605</v>
      </c>
      <c r="Q316" s="349">
        <f t="shared" si="163"/>
        <v>0</v>
      </c>
      <c r="R316" s="353">
        <f t="shared" si="164"/>
        <v>0</v>
      </c>
      <c r="S316" s="354">
        <f t="shared" si="152"/>
        <v>406.49957127528432</v>
      </c>
      <c r="T316" s="354">
        <f t="shared" si="153"/>
        <v>181.35716562500002</v>
      </c>
      <c r="U316" s="355">
        <f t="shared" si="154"/>
        <v>2945</v>
      </c>
      <c r="V316" s="355">
        <f t="shared" si="155"/>
        <v>0</v>
      </c>
      <c r="W316" s="355">
        <f t="shared" si="156"/>
        <v>0</v>
      </c>
      <c r="X316" s="355">
        <f t="shared" si="157"/>
        <v>0</v>
      </c>
      <c r="Y316" s="396"/>
      <c r="Z316" s="346" t="str">
        <f t="shared" si="165"/>
        <v>0-ARBOLA</v>
      </c>
      <c r="AA316" s="346" t="str">
        <f t="shared" si="166"/>
        <v>0-ARBOLE</v>
      </c>
      <c r="AB316" s="346" t="str">
        <f t="shared" si="167"/>
        <v>0-ARBOLM</v>
      </c>
      <c r="AC316" s="346" t="str">
        <f t="shared" si="168"/>
        <v>0-ARBOLT</v>
      </c>
      <c r="AD316" s="346" t="str">
        <f t="shared" si="169"/>
        <v>0-ARBOLS</v>
      </c>
      <c r="AE316" s="346" t="str">
        <f t="shared" si="170"/>
        <v>0-ARBOLX</v>
      </c>
      <c r="AF316" s="346" t="str">
        <f t="shared" si="171"/>
        <v>0-ARBOLM</v>
      </c>
      <c r="AG316" s="346">
        <f t="shared" si="158"/>
        <v>16</v>
      </c>
      <c r="AH316" s="346">
        <f>IF(B316&lt;&gt;"",+IF(H316="x",+VLOOKUP(I316,'AUX-NIV2'!B:AG,32,FALSE),0),"")</f>
        <v>0</v>
      </c>
      <c r="AI316" s="346" t="str">
        <f t="shared" si="172"/>
        <v>0-ARBOL</v>
      </c>
      <c r="AK316" s="347">
        <f t="shared" si="159"/>
        <v>310</v>
      </c>
      <c r="AL316" s="348">
        <f t="shared" si="173"/>
        <v>325</v>
      </c>
      <c r="AM316" s="347">
        <f t="shared" si="174"/>
        <v>7</v>
      </c>
      <c r="AN316" s="382">
        <f>IF(AND(AH316&gt;0,B316&lt;&gt;""),VLOOKUP(I316,'AUX-NIV2'!$B:$AP,40,FALSE)*O316,0)</f>
        <v>0</v>
      </c>
      <c r="AO316" s="382">
        <f t="shared" si="160"/>
        <v>0.8984375</v>
      </c>
      <c r="AQ316" s="395">
        <f>(IF($H316="x",VLOOKUP($I316,'AUX-NIV2'!$B:$X,'AUX-NIV1'!AQ$3,FALSE),0)+($AV316*'AUX-NIV3'!S$4))*$O316+IF($H316=AQ$4,$P316,0)</f>
        <v>0</v>
      </c>
      <c r="AR316" s="395">
        <f>(IF($H316="x",VLOOKUP($I316,'AUX-NIV2'!$B:$X,'AUX-NIV1'!AR$3,FALSE),0)+($AV316*'AUX-NIV3'!T$4))*$O316+IF($H316=AR$4,$P316,0)</f>
        <v>0</v>
      </c>
      <c r="AS316" s="395">
        <f>(IF($H316="x",VLOOKUP($I316,'AUX-NIV2'!$B:$X,'AUX-NIV1'!AS$3,FALSE),0)+($AV316*'AUX-NIV3'!U$4))*$O316+IF($H316=AS$4,$P316,0)</f>
        <v>605</v>
      </c>
      <c r="AT316" s="395">
        <f>(IF($H316="x",VLOOKUP($I316,'AUX-NIV2'!$B:$X,'AUX-NIV1'!AT$3,FALSE),0)+($AV316*'AUX-NIV3'!V$4))*$O316+IF($H316=AT$4,$P316,0)</f>
        <v>0</v>
      </c>
      <c r="AU316" s="395">
        <f>(IF($H316="x",VLOOKUP($I316,'AUX-NIV2'!$B:$X,'AUX-NIV1'!AU$3,FALSE),0)+($AV316*'AUX-NIV3'!W$4))*$O316+IF($H316=AU$4,$P316,0)</f>
        <v>0</v>
      </c>
      <c r="AV316" s="395">
        <f>+IF($H316="x",VLOOKUP($I316,'AUX-NIV2'!$B:$X,'AUX-NIV1'!AV$3,FALSE),0)</f>
        <v>0</v>
      </c>
    </row>
    <row r="317" spans="2:48" ht="14.4" hidden="1" thickTop="1" thickBot="1">
      <c r="B317" s="501" t="s">
        <v>3336</v>
      </c>
      <c r="C317" s="325" t="s">
        <v>2955</v>
      </c>
      <c r="D317" s="326" t="s">
        <v>185</v>
      </c>
      <c r="E317" s="349">
        <f>IF(B317&lt;&gt;"",+SUMIF(Items!C:C,'AUX-NIV1'!B317,Items!H:H),"")</f>
        <v>0</v>
      </c>
      <c r="F317" s="349">
        <f t="shared" si="150"/>
        <v>3532.8567369002844</v>
      </c>
      <c r="G317" s="349">
        <f t="shared" si="151"/>
        <v>0</v>
      </c>
      <c r="H317" s="1395" t="str">
        <f t="shared" si="161"/>
        <v>M</v>
      </c>
      <c r="I317" s="1375" t="s">
        <v>3406</v>
      </c>
      <c r="J317" s="350" t="str">
        <f>IF(B317&lt;&gt;"",+VLOOKUP(I317,Recursos!C:F,2,FALSE),"")</f>
        <v>CINA CINA</v>
      </c>
      <c r="K317" s="351" t="str">
        <f>IF(B317&lt;&gt;"",+VLOOKUP(I317,Recursos!C:F,3,FALSE),"")</f>
        <v>un</v>
      </c>
      <c r="L317" s="436">
        <f>IF(B317&lt;&gt;"",+VLOOKUP(I317,Recursos!C:F,4,FALSE),"")</f>
        <v>650</v>
      </c>
      <c r="M317" s="441">
        <v>1.1000000000000001</v>
      </c>
      <c r="N317" s="1042">
        <v>0.2</v>
      </c>
      <c r="O317" s="439">
        <f t="shared" ref="O317:O324" si="177">+$M$317*N317</f>
        <v>0.22000000000000003</v>
      </c>
      <c r="P317" s="440">
        <f t="shared" si="162"/>
        <v>143.00000000000003</v>
      </c>
      <c r="Q317" s="349">
        <f t="shared" si="163"/>
        <v>0</v>
      </c>
      <c r="R317" s="353">
        <f t="shared" si="164"/>
        <v>0</v>
      </c>
      <c r="S317" s="354">
        <f t="shared" si="152"/>
        <v>406.49957127528432</v>
      </c>
      <c r="T317" s="354">
        <f t="shared" si="153"/>
        <v>181.35716562500002</v>
      </c>
      <c r="U317" s="355">
        <f t="shared" si="154"/>
        <v>2945</v>
      </c>
      <c r="V317" s="355">
        <f t="shared" si="155"/>
        <v>0</v>
      </c>
      <c r="W317" s="355">
        <f t="shared" si="156"/>
        <v>0</v>
      </c>
      <c r="X317" s="355">
        <f t="shared" si="157"/>
        <v>0</v>
      </c>
      <c r="Y317" s="396"/>
      <c r="Z317" s="346" t="str">
        <f t="shared" si="165"/>
        <v>0-ARBOLA</v>
      </c>
      <c r="AA317" s="346" t="str">
        <f t="shared" si="166"/>
        <v>0-ARBOLE</v>
      </c>
      <c r="AB317" s="346" t="str">
        <f t="shared" si="167"/>
        <v>0-ARBOLM</v>
      </c>
      <c r="AC317" s="346" t="str">
        <f t="shared" si="168"/>
        <v>0-ARBOLT</v>
      </c>
      <c r="AD317" s="346" t="str">
        <f t="shared" si="169"/>
        <v>0-ARBOLS</v>
      </c>
      <c r="AE317" s="346" t="str">
        <f t="shared" si="170"/>
        <v>0-ARBOLX</v>
      </c>
      <c r="AF317" s="346" t="str">
        <f t="shared" si="171"/>
        <v>0-ARBOLM</v>
      </c>
      <c r="AG317" s="346">
        <f t="shared" si="158"/>
        <v>16</v>
      </c>
      <c r="AH317" s="346">
        <f>IF(B317&lt;&gt;"",+IF(H317="x",+VLOOKUP(I317,'AUX-NIV2'!B:AG,32,FALSE),0),"")</f>
        <v>0</v>
      </c>
      <c r="AI317" s="346" t="str">
        <f t="shared" si="172"/>
        <v>0-ARBOL</v>
      </c>
      <c r="AK317" s="347">
        <f t="shared" si="159"/>
        <v>310</v>
      </c>
      <c r="AL317" s="348">
        <f t="shared" si="173"/>
        <v>325</v>
      </c>
      <c r="AM317" s="347">
        <f t="shared" si="174"/>
        <v>8</v>
      </c>
      <c r="AN317" s="382">
        <f>IF(AND(AH317&gt;0,B317&lt;&gt;""),VLOOKUP(I317,'AUX-NIV2'!$B:$AP,40,FALSE)*O317,0)</f>
        <v>0</v>
      </c>
      <c r="AO317" s="382">
        <f t="shared" si="160"/>
        <v>0.8984375</v>
      </c>
      <c r="AQ317" s="395">
        <f>(IF($H317="x",VLOOKUP($I317,'AUX-NIV2'!$B:$X,'AUX-NIV1'!AQ$3,FALSE),0)+($AV317*'AUX-NIV3'!S$4))*$O317+IF($H317=AQ$4,$P317,0)</f>
        <v>0</v>
      </c>
      <c r="AR317" s="395">
        <f>(IF($H317="x",VLOOKUP($I317,'AUX-NIV2'!$B:$X,'AUX-NIV1'!AR$3,FALSE),0)+($AV317*'AUX-NIV3'!T$4))*$O317+IF($H317=AR$4,$P317,0)</f>
        <v>0</v>
      </c>
      <c r="AS317" s="395">
        <f>(IF($H317="x",VLOOKUP($I317,'AUX-NIV2'!$B:$X,'AUX-NIV1'!AS$3,FALSE),0)+($AV317*'AUX-NIV3'!U$4))*$O317+IF($H317=AS$4,$P317,0)</f>
        <v>143.00000000000003</v>
      </c>
      <c r="AT317" s="395">
        <f>(IF($H317="x",VLOOKUP($I317,'AUX-NIV2'!$B:$X,'AUX-NIV1'!AT$3,FALSE),0)+($AV317*'AUX-NIV3'!V$4))*$O317+IF($H317=AT$4,$P317,0)</f>
        <v>0</v>
      </c>
      <c r="AU317" s="395">
        <f>(IF($H317="x",VLOOKUP($I317,'AUX-NIV2'!$B:$X,'AUX-NIV1'!AU$3,FALSE),0)+($AV317*'AUX-NIV3'!W$4))*$O317+IF($H317=AU$4,$P317,0)</f>
        <v>0</v>
      </c>
      <c r="AV317" s="395">
        <f>+IF($H317="x",VLOOKUP($I317,'AUX-NIV2'!$B:$X,'AUX-NIV1'!AV$3,FALSE),0)</f>
        <v>0</v>
      </c>
    </row>
    <row r="318" spans="2:48" ht="14.4" hidden="1" thickTop="1" thickBot="1">
      <c r="B318" s="501" t="s">
        <v>3336</v>
      </c>
      <c r="C318" s="325" t="s">
        <v>2955</v>
      </c>
      <c r="D318" s="326" t="s">
        <v>185</v>
      </c>
      <c r="E318" s="349">
        <f>IF(B318&lt;&gt;"",+SUMIF(Items!C:C,'AUX-NIV1'!B318,Items!H:H),"")</f>
        <v>0</v>
      </c>
      <c r="F318" s="349">
        <f t="shared" si="150"/>
        <v>3532.8567369002844</v>
      </c>
      <c r="G318" s="349">
        <f t="shared" si="151"/>
        <v>0</v>
      </c>
      <c r="H318" s="1395" t="str">
        <f t="shared" si="161"/>
        <v>M</v>
      </c>
      <c r="I318" s="1375" t="s">
        <v>3407</v>
      </c>
      <c r="J318" s="350" t="str">
        <f>IF(B318&lt;&gt;"",+VLOOKUP(I318,Recursos!C:F,2,FALSE),"")</f>
        <v>BREA</v>
      </c>
      <c r="K318" s="351" t="str">
        <f>IF(B318&lt;&gt;"",+VLOOKUP(I318,Recursos!C:F,3,FALSE),"")</f>
        <v>un</v>
      </c>
      <c r="L318" s="436">
        <f>IF(B318&lt;&gt;"",+VLOOKUP(I318,Recursos!C:F,4,FALSE),"")</f>
        <v>700</v>
      </c>
      <c r="M318" s="541"/>
      <c r="N318" s="1042">
        <v>0.15</v>
      </c>
      <c r="O318" s="439">
        <f t="shared" si="177"/>
        <v>0.16500000000000001</v>
      </c>
      <c r="P318" s="440">
        <f t="shared" si="162"/>
        <v>115.5</v>
      </c>
      <c r="Q318" s="349">
        <f t="shared" si="163"/>
        <v>0</v>
      </c>
      <c r="R318" s="353">
        <f t="shared" si="164"/>
        <v>0</v>
      </c>
      <c r="S318" s="354">
        <f t="shared" si="152"/>
        <v>406.49957127528432</v>
      </c>
      <c r="T318" s="354">
        <f t="shared" si="153"/>
        <v>181.35716562500002</v>
      </c>
      <c r="U318" s="355">
        <f t="shared" si="154"/>
        <v>2945</v>
      </c>
      <c r="V318" s="355">
        <f t="shared" si="155"/>
        <v>0</v>
      </c>
      <c r="W318" s="355">
        <f t="shared" si="156"/>
        <v>0</v>
      </c>
      <c r="X318" s="355">
        <f t="shared" si="157"/>
        <v>0</v>
      </c>
      <c r="Y318" s="396"/>
      <c r="Z318" s="346" t="str">
        <f t="shared" si="165"/>
        <v>0-ARBOLA</v>
      </c>
      <c r="AA318" s="346" t="str">
        <f t="shared" si="166"/>
        <v>0-ARBOLE</v>
      </c>
      <c r="AB318" s="346" t="str">
        <f t="shared" si="167"/>
        <v>0-ARBOLM</v>
      </c>
      <c r="AC318" s="346" t="str">
        <f t="shared" si="168"/>
        <v>0-ARBOLT</v>
      </c>
      <c r="AD318" s="346" t="str">
        <f t="shared" si="169"/>
        <v>0-ARBOLS</v>
      </c>
      <c r="AE318" s="346" t="str">
        <f t="shared" si="170"/>
        <v>0-ARBOLX</v>
      </c>
      <c r="AF318" s="346" t="str">
        <f t="shared" si="171"/>
        <v>0-ARBOLM</v>
      </c>
      <c r="AG318" s="346">
        <f t="shared" si="158"/>
        <v>16</v>
      </c>
      <c r="AH318" s="346">
        <f>IF(B318&lt;&gt;"",+IF(H318="x",+VLOOKUP(I318,'AUX-NIV2'!B:AG,32,FALSE),0),"")</f>
        <v>0</v>
      </c>
      <c r="AI318" s="346" t="str">
        <f t="shared" si="172"/>
        <v>0-ARBOL</v>
      </c>
      <c r="AK318" s="347">
        <f t="shared" si="159"/>
        <v>310</v>
      </c>
      <c r="AL318" s="348">
        <f t="shared" si="173"/>
        <v>325</v>
      </c>
      <c r="AM318" s="347">
        <f t="shared" si="174"/>
        <v>9</v>
      </c>
      <c r="AN318" s="382">
        <f>IF(AND(AH318&gt;0,B318&lt;&gt;""),VLOOKUP(I318,'AUX-NIV2'!$B:$AP,40,FALSE)*O318,0)</f>
        <v>0</v>
      </c>
      <c r="AO318" s="382">
        <f t="shared" si="160"/>
        <v>0.8984375</v>
      </c>
      <c r="AQ318" s="395">
        <f>(IF($H318="x",VLOOKUP($I318,'AUX-NIV2'!$B:$X,'AUX-NIV1'!AQ$3,FALSE),0)+($AV318*'AUX-NIV3'!S$4))*$O318+IF($H318=AQ$4,$P318,0)</f>
        <v>0</v>
      </c>
      <c r="AR318" s="395">
        <f>(IF($H318="x",VLOOKUP($I318,'AUX-NIV2'!$B:$X,'AUX-NIV1'!AR$3,FALSE),0)+($AV318*'AUX-NIV3'!T$4))*$O318+IF($H318=AR$4,$P318,0)</f>
        <v>0</v>
      </c>
      <c r="AS318" s="395">
        <f>(IF($H318="x",VLOOKUP($I318,'AUX-NIV2'!$B:$X,'AUX-NIV1'!AS$3,FALSE),0)+($AV318*'AUX-NIV3'!U$4))*$O318+IF($H318=AS$4,$P318,0)</f>
        <v>115.5</v>
      </c>
      <c r="AT318" s="395">
        <f>(IF($H318="x",VLOOKUP($I318,'AUX-NIV2'!$B:$X,'AUX-NIV1'!AT$3,FALSE),0)+($AV318*'AUX-NIV3'!V$4))*$O318+IF($H318=AT$4,$P318,0)</f>
        <v>0</v>
      </c>
      <c r="AU318" s="395">
        <f>(IF($H318="x",VLOOKUP($I318,'AUX-NIV2'!$B:$X,'AUX-NIV1'!AU$3,FALSE),0)+($AV318*'AUX-NIV3'!W$4))*$O318+IF($H318=AU$4,$P318,0)</f>
        <v>0</v>
      </c>
      <c r="AV318" s="395">
        <f>+IF($H318="x",VLOOKUP($I318,'AUX-NIV2'!$B:$X,'AUX-NIV1'!AV$3,FALSE),0)</f>
        <v>0</v>
      </c>
    </row>
    <row r="319" spans="2:48" ht="14.4" hidden="1" thickTop="1" thickBot="1">
      <c r="B319" s="501" t="s">
        <v>3336</v>
      </c>
      <c r="C319" s="325" t="s">
        <v>2955</v>
      </c>
      <c r="D319" s="326" t="s">
        <v>185</v>
      </c>
      <c r="E319" s="349">
        <f>IF(B319&lt;&gt;"",+SUMIF(Items!C:C,'AUX-NIV1'!B319,Items!H:H),"")</f>
        <v>0</v>
      </c>
      <c r="F319" s="349">
        <f t="shared" si="150"/>
        <v>3532.8567369002844</v>
      </c>
      <c r="G319" s="349">
        <f t="shared" si="151"/>
        <v>0</v>
      </c>
      <c r="H319" s="1395" t="str">
        <f t="shared" si="161"/>
        <v>M</v>
      </c>
      <c r="I319" s="1375" t="s">
        <v>3408</v>
      </c>
      <c r="J319" s="350" t="str">
        <f>IF(B319&lt;&gt;"",+VLOOKUP(I319,Recursos!C:F,2,FALSE),"")</f>
        <v>FRESNO AMERICANO</v>
      </c>
      <c r="K319" s="351" t="str">
        <f>IF(B319&lt;&gt;"",+VLOOKUP(I319,Recursos!C:F,3,FALSE),"")</f>
        <v>un</v>
      </c>
      <c r="L319" s="436">
        <f>IF(B319&lt;&gt;"",+VLOOKUP(I319,Recursos!C:F,4,FALSE),"")</f>
        <v>2500</v>
      </c>
      <c r="M319" s="541"/>
      <c r="N319" s="1042">
        <v>0.2</v>
      </c>
      <c r="O319" s="439">
        <f t="shared" si="177"/>
        <v>0.22000000000000003</v>
      </c>
      <c r="P319" s="440">
        <f t="shared" si="162"/>
        <v>550.00000000000011</v>
      </c>
      <c r="Q319" s="349">
        <f t="shared" si="163"/>
        <v>0</v>
      </c>
      <c r="R319" s="353">
        <f t="shared" si="164"/>
        <v>0</v>
      </c>
      <c r="S319" s="354">
        <f t="shared" si="152"/>
        <v>406.49957127528432</v>
      </c>
      <c r="T319" s="354">
        <f t="shared" si="153"/>
        <v>181.35716562500002</v>
      </c>
      <c r="U319" s="355">
        <f t="shared" si="154"/>
        <v>2945</v>
      </c>
      <c r="V319" s="355">
        <f t="shared" si="155"/>
        <v>0</v>
      </c>
      <c r="W319" s="355">
        <f t="shared" si="156"/>
        <v>0</v>
      </c>
      <c r="X319" s="355">
        <f t="shared" si="157"/>
        <v>0</v>
      </c>
      <c r="Y319" s="396"/>
      <c r="Z319" s="346" t="str">
        <f t="shared" si="165"/>
        <v>0-ARBOLA</v>
      </c>
      <c r="AA319" s="346" t="str">
        <f t="shared" si="166"/>
        <v>0-ARBOLE</v>
      </c>
      <c r="AB319" s="346" t="str">
        <f t="shared" si="167"/>
        <v>0-ARBOLM</v>
      </c>
      <c r="AC319" s="346" t="str">
        <f t="shared" si="168"/>
        <v>0-ARBOLT</v>
      </c>
      <c r="AD319" s="346" t="str">
        <f t="shared" si="169"/>
        <v>0-ARBOLS</v>
      </c>
      <c r="AE319" s="346" t="str">
        <f t="shared" si="170"/>
        <v>0-ARBOLX</v>
      </c>
      <c r="AF319" s="346" t="str">
        <f t="shared" si="171"/>
        <v>0-ARBOLM</v>
      </c>
      <c r="AG319" s="346">
        <f t="shared" si="158"/>
        <v>16</v>
      </c>
      <c r="AH319" s="346">
        <f>IF(B319&lt;&gt;"",+IF(H319="x",+VLOOKUP(I319,'AUX-NIV2'!B:AG,32,FALSE),0),"")</f>
        <v>0</v>
      </c>
      <c r="AI319" s="346" t="str">
        <f t="shared" si="172"/>
        <v>0-ARBOL</v>
      </c>
      <c r="AK319" s="347">
        <f t="shared" si="159"/>
        <v>310</v>
      </c>
      <c r="AL319" s="348">
        <f t="shared" si="173"/>
        <v>325</v>
      </c>
      <c r="AM319" s="347">
        <f t="shared" si="174"/>
        <v>10</v>
      </c>
      <c r="AN319" s="382">
        <f>IF(AND(AH319&gt;0,B319&lt;&gt;""),VLOOKUP(I319,'AUX-NIV2'!$B:$AP,40,FALSE)*O319,0)</f>
        <v>0</v>
      </c>
      <c r="AO319" s="382">
        <f t="shared" si="160"/>
        <v>0.8984375</v>
      </c>
      <c r="AQ319" s="395">
        <f>(IF($H319="x",VLOOKUP($I319,'AUX-NIV2'!$B:$X,'AUX-NIV1'!AQ$3,FALSE),0)+($AV319*'AUX-NIV3'!S$4))*$O319+IF($H319=AQ$4,$P319,0)</f>
        <v>0</v>
      </c>
      <c r="AR319" s="395">
        <f>(IF($H319="x",VLOOKUP($I319,'AUX-NIV2'!$B:$X,'AUX-NIV1'!AR$3,FALSE),0)+($AV319*'AUX-NIV3'!T$4))*$O319+IF($H319=AR$4,$P319,0)</f>
        <v>0</v>
      </c>
      <c r="AS319" s="395">
        <f>(IF($H319="x",VLOOKUP($I319,'AUX-NIV2'!$B:$X,'AUX-NIV1'!AS$3,FALSE),0)+($AV319*'AUX-NIV3'!U$4))*$O319+IF($H319=AS$4,$P319,0)</f>
        <v>550.00000000000011</v>
      </c>
      <c r="AT319" s="395">
        <f>(IF($H319="x",VLOOKUP($I319,'AUX-NIV2'!$B:$X,'AUX-NIV1'!AT$3,FALSE),0)+($AV319*'AUX-NIV3'!V$4))*$O319+IF($H319=AT$4,$P319,0)</f>
        <v>0</v>
      </c>
      <c r="AU319" s="395">
        <f>(IF($H319="x",VLOOKUP($I319,'AUX-NIV2'!$B:$X,'AUX-NIV1'!AU$3,FALSE),0)+($AV319*'AUX-NIV3'!W$4))*$O319+IF($H319=AU$4,$P319,0)</f>
        <v>0</v>
      </c>
      <c r="AV319" s="395">
        <f>+IF($H319="x",VLOOKUP($I319,'AUX-NIV2'!$B:$X,'AUX-NIV1'!AV$3,FALSE),0)</f>
        <v>0</v>
      </c>
    </row>
    <row r="320" spans="2:48" ht="14.4" hidden="1" thickTop="1" thickBot="1">
      <c r="B320" s="501" t="s">
        <v>3336</v>
      </c>
      <c r="C320" s="325" t="s">
        <v>2955</v>
      </c>
      <c r="D320" s="326" t="s">
        <v>185</v>
      </c>
      <c r="E320" s="349">
        <f>IF(B320&lt;&gt;"",+SUMIF(Items!C:C,'AUX-NIV1'!B320,Items!H:H),"")</f>
        <v>0</v>
      </c>
      <c r="F320" s="349">
        <f t="shared" si="150"/>
        <v>3532.8567369002844</v>
      </c>
      <c r="G320" s="349">
        <f t="shared" si="151"/>
        <v>0</v>
      </c>
      <c r="H320" s="1395" t="str">
        <f t="shared" si="161"/>
        <v>M</v>
      </c>
      <c r="I320" s="1375" t="s">
        <v>3409</v>
      </c>
      <c r="J320" s="350" t="str">
        <f>IF(B320&lt;&gt;"",+VLOOKUP(I320,Recursos!C:F,2,FALSE),"")</f>
        <v>FRESNO DORADO</v>
      </c>
      <c r="K320" s="351" t="str">
        <f>IF(B320&lt;&gt;"",+VLOOKUP(I320,Recursos!C:F,3,FALSE),"")</f>
        <v>un</v>
      </c>
      <c r="L320" s="436">
        <f>IF(B320&lt;&gt;"",+VLOOKUP(I320,Recursos!C:F,4,FALSE),"")</f>
        <v>4500</v>
      </c>
      <c r="M320" s="541"/>
      <c r="N320" s="1042">
        <v>0.05</v>
      </c>
      <c r="O320" s="439">
        <f t="shared" si="177"/>
        <v>5.5000000000000007E-2</v>
      </c>
      <c r="P320" s="440">
        <f t="shared" si="162"/>
        <v>247.50000000000003</v>
      </c>
      <c r="Q320" s="349">
        <f t="shared" si="163"/>
        <v>0</v>
      </c>
      <c r="R320" s="353">
        <f t="shared" si="164"/>
        <v>0</v>
      </c>
      <c r="S320" s="354">
        <f t="shared" si="152"/>
        <v>406.49957127528432</v>
      </c>
      <c r="T320" s="354">
        <f t="shared" si="153"/>
        <v>181.35716562500002</v>
      </c>
      <c r="U320" s="355">
        <f t="shared" si="154"/>
        <v>2945</v>
      </c>
      <c r="V320" s="355">
        <f t="shared" si="155"/>
        <v>0</v>
      </c>
      <c r="W320" s="355">
        <f t="shared" si="156"/>
        <v>0</v>
      </c>
      <c r="X320" s="355">
        <f t="shared" si="157"/>
        <v>0</v>
      </c>
      <c r="Y320" s="396"/>
      <c r="Z320" s="346" t="str">
        <f t="shared" si="165"/>
        <v>0-ARBOLA</v>
      </c>
      <c r="AA320" s="346" t="str">
        <f t="shared" si="166"/>
        <v>0-ARBOLE</v>
      </c>
      <c r="AB320" s="346" t="str">
        <f t="shared" si="167"/>
        <v>0-ARBOLM</v>
      </c>
      <c r="AC320" s="346" t="str">
        <f t="shared" si="168"/>
        <v>0-ARBOLT</v>
      </c>
      <c r="AD320" s="346" t="str">
        <f t="shared" si="169"/>
        <v>0-ARBOLS</v>
      </c>
      <c r="AE320" s="346" t="str">
        <f t="shared" si="170"/>
        <v>0-ARBOLX</v>
      </c>
      <c r="AF320" s="346" t="str">
        <f t="shared" si="171"/>
        <v>0-ARBOLM</v>
      </c>
      <c r="AG320" s="346">
        <f t="shared" si="158"/>
        <v>16</v>
      </c>
      <c r="AH320" s="346">
        <f>IF(B320&lt;&gt;"",+IF(H320="x",+VLOOKUP(I320,'AUX-NIV2'!B:AG,32,FALSE),0),"")</f>
        <v>0</v>
      </c>
      <c r="AI320" s="346" t="str">
        <f t="shared" si="172"/>
        <v>0-ARBOL</v>
      </c>
      <c r="AK320" s="347">
        <f t="shared" si="159"/>
        <v>310</v>
      </c>
      <c r="AL320" s="348">
        <f t="shared" si="173"/>
        <v>325</v>
      </c>
      <c r="AM320" s="347">
        <f t="shared" si="174"/>
        <v>11</v>
      </c>
      <c r="AN320" s="382">
        <f>IF(AND(AH320&gt;0,B320&lt;&gt;""),VLOOKUP(I320,'AUX-NIV2'!$B:$AP,40,FALSE)*O320,0)</f>
        <v>0</v>
      </c>
      <c r="AO320" s="382">
        <f t="shared" si="160"/>
        <v>0.8984375</v>
      </c>
      <c r="AQ320" s="395">
        <f>(IF($H320="x",VLOOKUP($I320,'AUX-NIV2'!$B:$X,'AUX-NIV1'!AQ$3,FALSE),0)+($AV320*'AUX-NIV3'!S$4))*$O320+IF($H320=AQ$4,$P320,0)</f>
        <v>0</v>
      </c>
      <c r="AR320" s="395">
        <f>(IF($H320="x",VLOOKUP($I320,'AUX-NIV2'!$B:$X,'AUX-NIV1'!AR$3,FALSE),0)+($AV320*'AUX-NIV3'!T$4))*$O320+IF($H320=AR$4,$P320,0)</f>
        <v>0</v>
      </c>
      <c r="AS320" s="395">
        <f>(IF($H320="x",VLOOKUP($I320,'AUX-NIV2'!$B:$X,'AUX-NIV1'!AS$3,FALSE),0)+($AV320*'AUX-NIV3'!U$4))*$O320+IF($H320=AS$4,$P320,0)</f>
        <v>247.50000000000003</v>
      </c>
      <c r="AT320" s="395">
        <f>(IF($H320="x",VLOOKUP($I320,'AUX-NIV2'!$B:$X,'AUX-NIV1'!AT$3,FALSE),0)+($AV320*'AUX-NIV3'!V$4))*$O320+IF($H320=AT$4,$P320,0)</f>
        <v>0</v>
      </c>
      <c r="AU320" s="395">
        <f>(IF($H320="x",VLOOKUP($I320,'AUX-NIV2'!$B:$X,'AUX-NIV1'!AU$3,FALSE),0)+($AV320*'AUX-NIV3'!W$4))*$O320+IF($H320=AU$4,$P320,0)</f>
        <v>0</v>
      </c>
      <c r="AV320" s="395">
        <f>+IF($H320="x",VLOOKUP($I320,'AUX-NIV2'!$B:$X,'AUX-NIV1'!AV$3,FALSE),0)</f>
        <v>0</v>
      </c>
    </row>
    <row r="321" spans="2:48" ht="14.4" hidden="1" thickTop="1" thickBot="1">
      <c r="B321" s="501" t="s">
        <v>3336</v>
      </c>
      <c r="C321" s="325" t="s">
        <v>2955</v>
      </c>
      <c r="D321" s="326" t="s">
        <v>185</v>
      </c>
      <c r="E321" s="349">
        <f>IF(B321&lt;&gt;"",+SUMIF(Items!C:C,'AUX-NIV1'!B321,Items!H:H),"")</f>
        <v>0</v>
      </c>
      <c r="F321" s="349">
        <f t="shared" si="150"/>
        <v>3532.8567369002844</v>
      </c>
      <c r="G321" s="349">
        <f t="shared" si="151"/>
        <v>0</v>
      </c>
      <c r="H321" s="1395" t="str">
        <f t="shared" si="161"/>
        <v>M</v>
      </c>
      <c r="I321" s="1375" t="s">
        <v>3410</v>
      </c>
      <c r="J321" s="350" t="str">
        <f>IF(B321&lt;&gt;"",+VLOOKUP(I321,Recursos!C:F,2,FALSE),"")</f>
        <v>JACARANDÁ</v>
      </c>
      <c r="K321" s="351" t="str">
        <f>IF(B321&lt;&gt;"",+VLOOKUP(I321,Recursos!C:F,3,FALSE),"")</f>
        <v>un</v>
      </c>
      <c r="L321" s="436">
        <f>IF(B321&lt;&gt;"",+VLOOKUP(I321,Recursos!C:F,4,FALSE),"")</f>
        <v>2500</v>
      </c>
      <c r="M321" s="541"/>
      <c r="N321" s="1042">
        <v>0.15</v>
      </c>
      <c r="O321" s="439">
        <f t="shared" si="177"/>
        <v>0.16500000000000001</v>
      </c>
      <c r="P321" s="440">
        <f t="shared" si="162"/>
        <v>412.5</v>
      </c>
      <c r="Q321" s="349">
        <f t="shared" si="163"/>
        <v>0</v>
      </c>
      <c r="R321" s="353">
        <f t="shared" si="164"/>
        <v>0</v>
      </c>
      <c r="S321" s="354">
        <f t="shared" si="152"/>
        <v>406.49957127528432</v>
      </c>
      <c r="T321" s="354">
        <f t="shared" si="153"/>
        <v>181.35716562500002</v>
      </c>
      <c r="U321" s="355">
        <f t="shared" si="154"/>
        <v>2945</v>
      </c>
      <c r="V321" s="355">
        <f t="shared" si="155"/>
        <v>0</v>
      </c>
      <c r="W321" s="355">
        <f t="shared" si="156"/>
        <v>0</v>
      </c>
      <c r="X321" s="355">
        <f t="shared" si="157"/>
        <v>0</v>
      </c>
      <c r="Y321" s="396"/>
      <c r="Z321" s="346" t="str">
        <f t="shared" si="165"/>
        <v>0-ARBOLA</v>
      </c>
      <c r="AA321" s="346" t="str">
        <f t="shared" si="166"/>
        <v>0-ARBOLE</v>
      </c>
      <c r="AB321" s="346" t="str">
        <f t="shared" si="167"/>
        <v>0-ARBOLM</v>
      </c>
      <c r="AC321" s="346" t="str">
        <f t="shared" si="168"/>
        <v>0-ARBOLT</v>
      </c>
      <c r="AD321" s="346" t="str">
        <f t="shared" si="169"/>
        <v>0-ARBOLS</v>
      </c>
      <c r="AE321" s="346" t="str">
        <f t="shared" si="170"/>
        <v>0-ARBOLX</v>
      </c>
      <c r="AF321" s="346" t="str">
        <f t="shared" si="171"/>
        <v>0-ARBOLM</v>
      </c>
      <c r="AG321" s="346">
        <f t="shared" si="158"/>
        <v>16</v>
      </c>
      <c r="AH321" s="346">
        <f>IF(B321&lt;&gt;"",+IF(H321="x",+VLOOKUP(I321,'AUX-NIV2'!B:AG,32,FALSE),0),"")</f>
        <v>0</v>
      </c>
      <c r="AI321" s="346" t="str">
        <f t="shared" si="172"/>
        <v>0-ARBOL</v>
      </c>
      <c r="AK321" s="347">
        <f t="shared" si="159"/>
        <v>310</v>
      </c>
      <c r="AL321" s="348">
        <f t="shared" si="173"/>
        <v>325</v>
      </c>
      <c r="AM321" s="347">
        <f t="shared" si="174"/>
        <v>12</v>
      </c>
      <c r="AN321" s="382">
        <f>IF(AND(AH321&gt;0,B321&lt;&gt;""),VLOOKUP(I321,'AUX-NIV2'!$B:$AP,40,FALSE)*O321,0)</f>
        <v>0</v>
      </c>
      <c r="AO321" s="382">
        <f t="shared" si="160"/>
        <v>0.8984375</v>
      </c>
      <c r="AQ321" s="395">
        <f>(IF($H321="x",VLOOKUP($I321,'AUX-NIV2'!$B:$X,'AUX-NIV1'!AQ$3,FALSE),0)+($AV321*'AUX-NIV3'!S$4))*$O321+IF($H321=AQ$4,$P321,0)</f>
        <v>0</v>
      </c>
      <c r="AR321" s="395">
        <f>(IF($H321="x",VLOOKUP($I321,'AUX-NIV2'!$B:$X,'AUX-NIV1'!AR$3,FALSE),0)+($AV321*'AUX-NIV3'!T$4))*$O321+IF($H321=AR$4,$P321,0)</f>
        <v>0</v>
      </c>
      <c r="AS321" s="395">
        <f>(IF($H321="x",VLOOKUP($I321,'AUX-NIV2'!$B:$X,'AUX-NIV1'!AS$3,FALSE),0)+($AV321*'AUX-NIV3'!U$4))*$O321+IF($H321=AS$4,$P321,0)</f>
        <v>412.5</v>
      </c>
      <c r="AT321" s="395">
        <f>(IF($H321="x",VLOOKUP($I321,'AUX-NIV2'!$B:$X,'AUX-NIV1'!AT$3,FALSE),0)+($AV321*'AUX-NIV3'!V$4))*$O321+IF($H321=AT$4,$P321,0)</f>
        <v>0</v>
      </c>
      <c r="AU321" s="395">
        <f>(IF($H321="x",VLOOKUP($I321,'AUX-NIV2'!$B:$X,'AUX-NIV1'!AU$3,FALSE),0)+($AV321*'AUX-NIV3'!W$4))*$O321+IF($H321=AU$4,$P321,0)</f>
        <v>0</v>
      </c>
      <c r="AV321" s="395">
        <f>+IF($H321="x",VLOOKUP($I321,'AUX-NIV2'!$B:$X,'AUX-NIV1'!AV$3,FALSE),0)</f>
        <v>0</v>
      </c>
    </row>
    <row r="322" spans="2:48" ht="14.4" hidden="1" thickTop="1" thickBot="1">
      <c r="B322" s="501" t="s">
        <v>3336</v>
      </c>
      <c r="C322" s="325" t="s">
        <v>2955</v>
      </c>
      <c r="D322" s="326" t="s">
        <v>185</v>
      </c>
      <c r="E322" s="349">
        <f>IF(B322&lt;&gt;"",+SUMIF(Items!C:C,'AUX-NIV1'!B322,Items!H:H),"")</f>
        <v>0</v>
      </c>
      <c r="F322" s="349">
        <f t="shared" si="150"/>
        <v>3532.8567369002844</v>
      </c>
      <c r="G322" s="349">
        <f t="shared" si="151"/>
        <v>0</v>
      </c>
      <c r="H322" s="1395" t="str">
        <f t="shared" si="161"/>
        <v>M</v>
      </c>
      <c r="I322" s="1375" t="s">
        <v>3411</v>
      </c>
      <c r="J322" s="350" t="str">
        <f>IF(B322&lt;&gt;"",+VLOOKUP(I322,Recursos!C:F,2,FALSE),"")</f>
        <v>ACACIA</v>
      </c>
      <c r="K322" s="351" t="str">
        <f>IF(B322&lt;&gt;"",+VLOOKUP(I322,Recursos!C:F,3,FALSE),"")</f>
        <v>un</v>
      </c>
      <c r="L322" s="436">
        <f>IF(B322&lt;&gt;"",+VLOOKUP(I322,Recursos!C:F,4,FALSE),"")</f>
        <v>4500</v>
      </c>
      <c r="M322" s="541"/>
      <c r="N322" s="1042">
        <v>0.05</v>
      </c>
      <c r="O322" s="439">
        <f t="shared" si="177"/>
        <v>5.5000000000000007E-2</v>
      </c>
      <c r="P322" s="440">
        <f t="shared" si="162"/>
        <v>247.50000000000003</v>
      </c>
      <c r="Q322" s="349">
        <f t="shared" si="163"/>
        <v>0</v>
      </c>
      <c r="R322" s="353">
        <f t="shared" si="164"/>
        <v>0</v>
      </c>
      <c r="S322" s="354">
        <f t="shared" si="152"/>
        <v>406.49957127528432</v>
      </c>
      <c r="T322" s="354">
        <f t="shared" si="153"/>
        <v>181.35716562500002</v>
      </c>
      <c r="U322" s="355">
        <f t="shared" si="154"/>
        <v>2945</v>
      </c>
      <c r="V322" s="355">
        <f t="shared" si="155"/>
        <v>0</v>
      </c>
      <c r="W322" s="355">
        <f t="shared" si="156"/>
        <v>0</v>
      </c>
      <c r="X322" s="355">
        <f t="shared" si="157"/>
        <v>0</v>
      </c>
      <c r="Y322" s="396"/>
      <c r="Z322" s="346" t="str">
        <f t="shared" si="165"/>
        <v>0-ARBOLA</v>
      </c>
      <c r="AA322" s="346" t="str">
        <f t="shared" si="166"/>
        <v>0-ARBOLE</v>
      </c>
      <c r="AB322" s="346" t="str">
        <f t="shared" si="167"/>
        <v>0-ARBOLM</v>
      </c>
      <c r="AC322" s="346" t="str">
        <f t="shared" si="168"/>
        <v>0-ARBOLT</v>
      </c>
      <c r="AD322" s="346" t="str">
        <f t="shared" si="169"/>
        <v>0-ARBOLS</v>
      </c>
      <c r="AE322" s="346" t="str">
        <f t="shared" si="170"/>
        <v>0-ARBOLX</v>
      </c>
      <c r="AF322" s="346" t="str">
        <f t="shared" si="171"/>
        <v>0-ARBOLM</v>
      </c>
      <c r="AG322" s="346">
        <f t="shared" si="158"/>
        <v>16</v>
      </c>
      <c r="AH322" s="346">
        <f>IF(B322&lt;&gt;"",+IF(H322="x",+VLOOKUP(I322,'AUX-NIV2'!B:AG,32,FALSE),0),"")</f>
        <v>0</v>
      </c>
      <c r="AI322" s="346" t="str">
        <f t="shared" si="172"/>
        <v>0-ARBOL</v>
      </c>
      <c r="AK322" s="347">
        <f t="shared" si="159"/>
        <v>310</v>
      </c>
      <c r="AL322" s="348">
        <f t="shared" si="173"/>
        <v>325</v>
      </c>
      <c r="AM322" s="347">
        <f t="shared" si="174"/>
        <v>13</v>
      </c>
      <c r="AN322" s="382">
        <f>IF(AND(AH322&gt;0,B322&lt;&gt;""),VLOOKUP(I322,'AUX-NIV2'!$B:$AP,40,FALSE)*O322,0)</f>
        <v>0</v>
      </c>
      <c r="AO322" s="382">
        <f t="shared" si="160"/>
        <v>0.8984375</v>
      </c>
      <c r="AQ322" s="395">
        <f>(IF($H322="x",VLOOKUP($I322,'AUX-NIV2'!$B:$X,'AUX-NIV1'!AQ$3,FALSE),0)+($AV322*'AUX-NIV3'!S$4))*$O322+IF($H322=AQ$4,$P322,0)</f>
        <v>0</v>
      </c>
      <c r="AR322" s="395">
        <f>(IF($H322="x",VLOOKUP($I322,'AUX-NIV2'!$B:$X,'AUX-NIV1'!AR$3,FALSE),0)+($AV322*'AUX-NIV3'!T$4))*$O322+IF($H322=AR$4,$P322,0)</f>
        <v>0</v>
      </c>
      <c r="AS322" s="395">
        <f>(IF($H322="x",VLOOKUP($I322,'AUX-NIV2'!$B:$X,'AUX-NIV1'!AS$3,FALSE),0)+($AV322*'AUX-NIV3'!U$4))*$O322+IF($H322=AS$4,$P322,0)</f>
        <v>247.50000000000003</v>
      </c>
      <c r="AT322" s="395">
        <f>(IF($H322="x",VLOOKUP($I322,'AUX-NIV2'!$B:$X,'AUX-NIV1'!AT$3,FALSE),0)+($AV322*'AUX-NIV3'!V$4))*$O322+IF($H322=AT$4,$P322,0)</f>
        <v>0</v>
      </c>
      <c r="AU322" s="395">
        <f>(IF($H322="x",VLOOKUP($I322,'AUX-NIV2'!$B:$X,'AUX-NIV1'!AU$3,FALSE),0)+($AV322*'AUX-NIV3'!W$4))*$O322+IF($H322=AU$4,$P322,0)</f>
        <v>0</v>
      </c>
      <c r="AV322" s="395">
        <f>+IF($H322="x",VLOOKUP($I322,'AUX-NIV2'!$B:$X,'AUX-NIV1'!AV$3,FALSE),0)</f>
        <v>0</v>
      </c>
    </row>
    <row r="323" spans="2:48" ht="14.4" hidden="1" thickTop="1" thickBot="1">
      <c r="B323" s="501" t="s">
        <v>3336</v>
      </c>
      <c r="C323" s="325" t="s">
        <v>2955</v>
      </c>
      <c r="D323" s="326" t="s">
        <v>185</v>
      </c>
      <c r="E323" s="349">
        <f>IF(B323&lt;&gt;"",+SUMIF(Items!C:C,'AUX-NIV1'!B323,Items!H:H),"")</f>
        <v>0</v>
      </c>
      <c r="F323" s="349">
        <f t="shared" si="150"/>
        <v>3532.8567369002844</v>
      </c>
      <c r="G323" s="349">
        <f t="shared" si="151"/>
        <v>0</v>
      </c>
      <c r="H323" s="1395" t="str">
        <f t="shared" si="161"/>
        <v>M</v>
      </c>
      <c r="I323" s="1375" t="s">
        <v>3412</v>
      </c>
      <c r="J323" s="350" t="str">
        <f>IF(B323&lt;&gt;"",+VLOOKUP(I323,Recursos!C:F,2,FALSE),"")</f>
        <v>JUDEA</v>
      </c>
      <c r="K323" s="351" t="str">
        <f>IF(B323&lt;&gt;"",+VLOOKUP(I323,Recursos!C:F,3,FALSE),"")</f>
        <v>un</v>
      </c>
      <c r="L323" s="436">
        <f>IF(B323&lt;&gt;"",+VLOOKUP(I323,Recursos!C:F,4,FALSE),"")</f>
        <v>2500</v>
      </c>
      <c r="M323" s="541"/>
      <c r="N323" s="1042">
        <v>0.1</v>
      </c>
      <c r="O323" s="439">
        <f t="shared" si="177"/>
        <v>0.11000000000000001</v>
      </c>
      <c r="P323" s="440">
        <f t="shared" si="162"/>
        <v>275.00000000000006</v>
      </c>
      <c r="Q323" s="349">
        <f t="shared" si="163"/>
        <v>0</v>
      </c>
      <c r="R323" s="353">
        <f t="shared" si="164"/>
        <v>0</v>
      </c>
      <c r="S323" s="354">
        <f t="shared" si="152"/>
        <v>406.49957127528432</v>
      </c>
      <c r="T323" s="354">
        <f t="shared" si="153"/>
        <v>181.35716562500002</v>
      </c>
      <c r="U323" s="355">
        <f t="shared" si="154"/>
        <v>2945</v>
      </c>
      <c r="V323" s="355">
        <f t="shared" si="155"/>
        <v>0</v>
      </c>
      <c r="W323" s="355">
        <f t="shared" si="156"/>
        <v>0</v>
      </c>
      <c r="X323" s="355">
        <f t="shared" si="157"/>
        <v>0</v>
      </c>
      <c r="Y323" s="396"/>
      <c r="Z323" s="346" t="str">
        <f t="shared" si="165"/>
        <v>0-ARBOLA</v>
      </c>
      <c r="AA323" s="346" t="str">
        <f t="shared" si="166"/>
        <v>0-ARBOLE</v>
      </c>
      <c r="AB323" s="346" t="str">
        <f t="shared" si="167"/>
        <v>0-ARBOLM</v>
      </c>
      <c r="AC323" s="346" t="str">
        <f t="shared" si="168"/>
        <v>0-ARBOLT</v>
      </c>
      <c r="AD323" s="346" t="str">
        <f t="shared" si="169"/>
        <v>0-ARBOLS</v>
      </c>
      <c r="AE323" s="346" t="str">
        <f t="shared" si="170"/>
        <v>0-ARBOLX</v>
      </c>
      <c r="AF323" s="346" t="str">
        <f t="shared" si="171"/>
        <v>0-ARBOLM</v>
      </c>
      <c r="AG323" s="346">
        <f t="shared" si="158"/>
        <v>16</v>
      </c>
      <c r="AH323" s="346">
        <f>IF(B323&lt;&gt;"",+IF(H323="x",+VLOOKUP(I323,'AUX-NIV2'!B:AG,32,FALSE),0),"")</f>
        <v>0</v>
      </c>
      <c r="AI323" s="346" t="str">
        <f t="shared" si="172"/>
        <v>0-ARBOL</v>
      </c>
      <c r="AK323" s="347">
        <f t="shared" si="159"/>
        <v>310</v>
      </c>
      <c r="AL323" s="348">
        <f t="shared" si="173"/>
        <v>325</v>
      </c>
      <c r="AM323" s="347">
        <f t="shared" si="174"/>
        <v>14</v>
      </c>
      <c r="AN323" s="382">
        <f>IF(AND(AH323&gt;0,B323&lt;&gt;""),VLOOKUP(I323,'AUX-NIV2'!$B:$AP,40,FALSE)*O323,0)</f>
        <v>0</v>
      </c>
      <c r="AO323" s="382">
        <f t="shared" si="160"/>
        <v>0.8984375</v>
      </c>
      <c r="AQ323" s="395">
        <f>(IF($H323="x",VLOOKUP($I323,'AUX-NIV2'!$B:$X,'AUX-NIV1'!AQ$3,FALSE),0)+($AV323*'AUX-NIV3'!S$4))*$O323+IF($H323=AQ$4,$P323,0)</f>
        <v>0</v>
      </c>
      <c r="AR323" s="395">
        <f>(IF($H323="x",VLOOKUP($I323,'AUX-NIV2'!$B:$X,'AUX-NIV1'!AR$3,FALSE),0)+($AV323*'AUX-NIV3'!T$4))*$O323+IF($H323=AR$4,$P323,0)</f>
        <v>0</v>
      </c>
      <c r="AS323" s="395">
        <f>(IF($H323="x",VLOOKUP($I323,'AUX-NIV2'!$B:$X,'AUX-NIV1'!AS$3,FALSE),0)+($AV323*'AUX-NIV3'!U$4))*$O323+IF($H323=AS$4,$P323,0)</f>
        <v>275.00000000000006</v>
      </c>
      <c r="AT323" s="395">
        <f>(IF($H323="x",VLOOKUP($I323,'AUX-NIV2'!$B:$X,'AUX-NIV1'!AT$3,FALSE),0)+($AV323*'AUX-NIV3'!V$4))*$O323+IF($H323=AT$4,$P323,0)</f>
        <v>0</v>
      </c>
      <c r="AU323" s="395">
        <f>(IF($H323="x",VLOOKUP($I323,'AUX-NIV2'!$B:$X,'AUX-NIV1'!AU$3,FALSE),0)+($AV323*'AUX-NIV3'!W$4))*$O323+IF($H323=AU$4,$P323,0)</f>
        <v>0</v>
      </c>
      <c r="AV323" s="395">
        <f>+IF($H323="x",VLOOKUP($I323,'AUX-NIV2'!$B:$X,'AUX-NIV1'!AV$3,FALSE),0)</f>
        <v>0</v>
      </c>
    </row>
    <row r="324" spans="2:48" ht="14.4" hidden="1" thickTop="1" thickBot="1">
      <c r="B324" s="501" t="s">
        <v>3336</v>
      </c>
      <c r="C324" s="325" t="s">
        <v>2955</v>
      </c>
      <c r="D324" s="326" t="s">
        <v>185</v>
      </c>
      <c r="E324" s="349">
        <f>IF(B324&lt;&gt;"",+SUMIF(Items!C:C,'AUX-NIV1'!B324,Items!H:H),"")</f>
        <v>0</v>
      </c>
      <c r="F324" s="349">
        <f t="shared" si="150"/>
        <v>3532.8567369002844</v>
      </c>
      <c r="G324" s="349">
        <f t="shared" si="151"/>
        <v>0</v>
      </c>
      <c r="H324" s="1395" t="str">
        <f t="shared" si="161"/>
        <v>M</v>
      </c>
      <c r="I324" s="1375" t="s">
        <v>3413</v>
      </c>
      <c r="J324" s="350" t="str">
        <f>IF(B324&lt;&gt;"",+VLOOKUP(I324,Recursos!C:F,2,FALSE),"")</f>
        <v>ARBOL DEL CIELO</v>
      </c>
      <c r="K324" s="351" t="str">
        <f>IF(B324&lt;&gt;"",+VLOOKUP(I324,Recursos!C:F,3,FALSE),"")</f>
        <v>un</v>
      </c>
      <c r="L324" s="436">
        <f>IF(B324&lt;&gt;"",+VLOOKUP(I324,Recursos!C:F,4,FALSE),"")</f>
        <v>2900</v>
      </c>
      <c r="M324" s="541"/>
      <c r="N324" s="1042">
        <v>0.1</v>
      </c>
      <c r="O324" s="439">
        <f t="shared" si="177"/>
        <v>0.11000000000000001</v>
      </c>
      <c r="P324" s="440">
        <f t="shared" si="162"/>
        <v>319.00000000000006</v>
      </c>
      <c r="Q324" s="349">
        <f t="shared" si="163"/>
        <v>0</v>
      </c>
      <c r="R324" s="353">
        <f t="shared" si="164"/>
        <v>0</v>
      </c>
      <c r="S324" s="354">
        <f t="shared" si="152"/>
        <v>406.49957127528432</v>
      </c>
      <c r="T324" s="354">
        <f t="shared" si="153"/>
        <v>181.35716562500002</v>
      </c>
      <c r="U324" s="355">
        <f t="shared" si="154"/>
        <v>2945</v>
      </c>
      <c r="V324" s="355">
        <f t="shared" si="155"/>
        <v>0</v>
      </c>
      <c r="W324" s="355">
        <f t="shared" si="156"/>
        <v>0</v>
      </c>
      <c r="X324" s="355">
        <f t="shared" si="157"/>
        <v>0</v>
      </c>
      <c r="Y324" s="396"/>
      <c r="Z324" s="346" t="str">
        <f t="shared" si="165"/>
        <v>0-ARBOLA</v>
      </c>
      <c r="AA324" s="346" t="str">
        <f t="shared" si="166"/>
        <v>0-ARBOLE</v>
      </c>
      <c r="AB324" s="346" t="str">
        <f t="shared" si="167"/>
        <v>0-ARBOLM</v>
      </c>
      <c r="AC324" s="346" t="str">
        <f t="shared" si="168"/>
        <v>0-ARBOLT</v>
      </c>
      <c r="AD324" s="346" t="str">
        <f t="shared" si="169"/>
        <v>0-ARBOLS</v>
      </c>
      <c r="AE324" s="346" t="str">
        <f t="shared" si="170"/>
        <v>0-ARBOLX</v>
      </c>
      <c r="AF324" s="346" t="str">
        <f t="shared" si="171"/>
        <v>0-ARBOLM</v>
      </c>
      <c r="AG324" s="346">
        <f t="shared" si="158"/>
        <v>16</v>
      </c>
      <c r="AH324" s="346">
        <f>IF(B324&lt;&gt;"",+IF(H324="x",+VLOOKUP(I324,'AUX-NIV2'!B:AG,32,FALSE),0),"")</f>
        <v>0</v>
      </c>
      <c r="AI324" s="346" t="str">
        <f t="shared" si="172"/>
        <v>0-ARBOL</v>
      </c>
      <c r="AK324" s="347">
        <f t="shared" si="159"/>
        <v>310</v>
      </c>
      <c r="AL324" s="348">
        <f t="shared" si="173"/>
        <v>325</v>
      </c>
      <c r="AM324" s="347">
        <f t="shared" si="174"/>
        <v>15</v>
      </c>
      <c r="AN324" s="382">
        <f>IF(AND(AH324&gt;0,B324&lt;&gt;""),VLOOKUP(I324,'AUX-NIV2'!$B:$AP,40,FALSE)*O324,0)</f>
        <v>0</v>
      </c>
      <c r="AO324" s="382">
        <f t="shared" si="160"/>
        <v>0.8984375</v>
      </c>
      <c r="AQ324" s="395">
        <f>(IF($H324="x",VLOOKUP($I324,'AUX-NIV2'!$B:$X,'AUX-NIV1'!AQ$3,FALSE),0)+($AV324*'AUX-NIV3'!S$4))*$O324+IF($H324=AQ$4,$P324,0)</f>
        <v>0</v>
      </c>
      <c r="AR324" s="395">
        <f>(IF($H324="x",VLOOKUP($I324,'AUX-NIV2'!$B:$X,'AUX-NIV1'!AR$3,FALSE),0)+($AV324*'AUX-NIV3'!T$4))*$O324+IF($H324=AR$4,$P324,0)</f>
        <v>0</v>
      </c>
      <c r="AS324" s="395">
        <f>(IF($H324="x",VLOOKUP($I324,'AUX-NIV2'!$B:$X,'AUX-NIV1'!AS$3,FALSE),0)+($AV324*'AUX-NIV3'!U$4))*$O324+IF($H324=AS$4,$P324,0)</f>
        <v>319.00000000000006</v>
      </c>
      <c r="AT324" s="395">
        <f>(IF($H324="x",VLOOKUP($I324,'AUX-NIV2'!$B:$X,'AUX-NIV1'!AT$3,FALSE),0)+($AV324*'AUX-NIV3'!V$4))*$O324+IF($H324=AT$4,$P324,0)</f>
        <v>0</v>
      </c>
      <c r="AU324" s="395">
        <f>(IF($H324="x",VLOOKUP($I324,'AUX-NIV2'!$B:$X,'AUX-NIV1'!AU$3,FALSE),0)+($AV324*'AUX-NIV3'!W$4))*$O324+IF($H324=AU$4,$P324,0)</f>
        <v>0</v>
      </c>
      <c r="AV324" s="395">
        <f>+IF($H324="x",VLOOKUP($I324,'AUX-NIV2'!$B:$X,'AUX-NIV1'!AV$3,FALSE),0)</f>
        <v>0</v>
      </c>
    </row>
    <row r="325" spans="2:48" ht="14.4" hidden="1" thickTop="1" thickBot="1">
      <c r="B325" s="501" t="s">
        <v>3336</v>
      </c>
      <c r="C325" s="325" t="s">
        <v>2955</v>
      </c>
      <c r="D325" s="326" t="s">
        <v>185</v>
      </c>
      <c r="E325" s="349">
        <f>IF(B325&lt;&gt;"",+SUMIF(Items!C:C,'AUX-NIV1'!B325,Items!H:H),"")</f>
        <v>0</v>
      </c>
      <c r="F325" s="349">
        <f t="shared" si="150"/>
        <v>3532.8567369002844</v>
      </c>
      <c r="G325" s="349">
        <f t="shared" si="151"/>
        <v>0</v>
      </c>
      <c r="H325" s="1395" t="str">
        <f t="shared" si="161"/>
        <v>M</v>
      </c>
      <c r="I325" s="1375" t="s">
        <v>621</v>
      </c>
      <c r="J325" s="350" t="str">
        <f>IF(B325&lt;&gt;"",+VLOOKUP(I325,Recursos!C:F,2,FALSE),"")</f>
        <v>MATERIALES VARIOS</v>
      </c>
      <c r="K325" s="351" t="str">
        <f>IF(B325&lt;&gt;"",+VLOOKUP(I325,Recursos!C:F,3,FALSE),"")</f>
        <v>GL</v>
      </c>
      <c r="L325" s="436">
        <f>IF(B325&lt;&gt;"",+VLOOKUP(I325,Recursos!C:F,4,FALSE),"")</f>
        <v>0.5</v>
      </c>
      <c r="M325" s="535">
        <f>1200*5%</f>
        <v>60</v>
      </c>
      <c r="N325" s="445"/>
      <c r="O325" s="439">
        <f>+M325</f>
        <v>60</v>
      </c>
      <c r="P325" s="440">
        <f t="shared" si="162"/>
        <v>30</v>
      </c>
      <c r="Q325" s="349">
        <f t="shared" si="163"/>
        <v>0</v>
      </c>
      <c r="R325" s="353">
        <f t="shared" si="164"/>
        <v>0</v>
      </c>
      <c r="S325" s="354">
        <f t="shared" si="152"/>
        <v>406.49957127528432</v>
      </c>
      <c r="T325" s="354">
        <f t="shared" si="153"/>
        <v>181.35716562500002</v>
      </c>
      <c r="U325" s="355">
        <f t="shared" si="154"/>
        <v>2945</v>
      </c>
      <c r="V325" s="355">
        <f t="shared" si="155"/>
        <v>0</v>
      </c>
      <c r="W325" s="355">
        <f t="shared" si="156"/>
        <v>0</v>
      </c>
      <c r="X325" s="355">
        <f t="shared" si="157"/>
        <v>0</v>
      </c>
      <c r="Y325" s="396"/>
      <c r="Z325" s="346" t="str">
        <f t="shared" si="165"/>
        <v>0-ARBOLA</v>
      </c>
      <c r="AA325" s="346" t="str">
        <f t="shared" si="166"/>
        <v>0-ARBOLE</v>
      </c>
      <c r="AB325" s="346" t="str">
        <f t="shared" si="167"/>
        <v>0-ARBOLM</v>
      </c>
      <c r="AC325" s="346" t="str">
        <f t="shared" si="168"/>
        <v>0-ARBOLT</v>
      </c>
      <c r="AD325" s="346" t="str">
        <f t="shared" si="169"/>
        <v>0-ARBOLS</v>
      </c>
      <c r="AE325" s="346" t="str">
        <f t="shared" si="170"/>
        <v>0-ARBOLX</v>
      </c>
      <c r="AF325" s="346" t="str">
        <f t="shared" si="171"/>
        <v>0-ARBOLM</v>
      </c>
      <c r="AG325" s="346">
        <f t="shared" si="158"/>
        <v>16</v>
      </c>
      <c r="AH325" s="346">
        <f>IF(B325&lt;&gt;"",+IF(H325="x",+VLOOKUP(I325,'AUX-NIV2'!B:AG,32,FALSE),0),"")</f>
        <v>0</v>
      </c>
      <c r="AI325" s="346" t="str">
        <f t="shared" si="172"/>
        <v>0-ARBOL</v>
      </c>
      <c r="AK325" s="347">
        <f t="shared" si="159"/>
        <v>310</v>
      </c>
      <c r="AL325" s="348">
        <f t="shared" si="173"/>
        <v>325</v>
      </c>
      <c r="AM325" s="347">
        <f t="shared" si="174"/>
        <v>16</v>
      </c>
      <c r="AN325" s="382">
        <f>IF(AND(AH325&gt;0,B325&lt;&gt;""),VLOOKUP(I325,'AUX-NIV2'!$B:$AP,40,FALSE)*O325,0)</f>
        <v>0</v>
      </c>
      <c r="AO325" s="382">
        <f t="shared" si="160"/>
        <v>0.8984375</v>
      </c>
      <c r="AQ325" s="395">
        <f>(IF($H325="x",VLOOKUP($I325,'AUX-NIV2'!$B:$X,'AUX-NIV1'!AQ$3,FALSE),0)+($AV325*'AUX-NIV3'!S$4))*$O325+IF($H325=AQ$4,$P325,0)</f>
        <v>0</v>
      </c>
      <c r="AR325" s="395">
        <f>(IF($H325="x",VLOOKUP($I325,'AUX-NIV2'!$B:$X,'AUX-NIV1'!AR$3,FALSE),0)+($AV325*'AUX-NIV3'!T$4))*$O325+IF($H325=AR$4,$P325,0)</f>
        <v>0</v>
      </c>
      <c r="AS325" s="395">
        <f>(IF($H325="x",VLOOKUP($I325,'AUX-NIV2'!$B:$X,'AUX-NIV1'!AS$3,FALSE),0)+($AV325*'AUX-NIV3'!U$4))*$O325+IF($H325=AS$4,$P325,0)</f>
        <v>30</v>
      </c>
      <c r="AT325" s="395">
        <f>(IF($H325="x",VLOOKUP($I325,'AUX-NIV2'!$B:$X,'AUX-NIV1'!AT$3,FALSE),0)+($AV325*'AUX-NIV3'!V$4))*$O325+IF($H325=AT$4,$P325,0)</f>
        <v>0</v>
      </c>
      <c r="AU325" s="395">
        <f>(IF($H325="x",VLOOKUP($I325,'AUX-NIV2'!$B:$X,'AUX-NIV1'!AU$3,FALSE),0)+($AV325*'AUX-NIV3'!W$4))*$O325+IF($H325=AU$4,$P325,0)</f>
        <v>0</v>
      </c>
      <c r="AV325" s="395">
        <f>+IF($H325="x",VLOOKUP($I325,'AUX-NIV2'!$B:$X,'AUX-NIV1'!AV$3,FALSE),0)</f>
        <v>0</v>
      </c>
    </row>
    <row r="326" spans="2:48" ht="14.4" hidden="1" thickTop="1" thickBot="1">
      <c r="B326" s="324" t="s">
        <v>2956</v>
      </c>
      <c r="C326" s="325" t="s">
        <v>2894</v>
      </c>
      <c r="D326" s="326" t="s">
        <v>1160</v>
      </c>
      <c r="E326" s="349">
        <f>IF(B326&lt;&gt;"",+SUMIF(Items!C:C,'AUX-NIV1'!B326,Items!H:H),"")</f>
        <v>0</v>
      </c>
      <c r="F326" s="349">
        <f t="shared" si="150"/>
        <v>2705.0131925510173</v>
      </c>
      <c r="G326" s="349">
        <f t="shared" si="151"/>
        <v>0</v>
      </c>
      <c r="H326" s="1395" t="str">
        <f t="shared" si="161"/>
        <v>E</v>
      </c>
      <c r="I326" s="1375" t="s">
        <v>1552</v>
      </c>
      <c r="J326" s="350" t="str">
        <f>IF(B326&lt;&gt;"",+VLOOKUP(I326,Recursos!C:F,2,FALSE),"")</f>
        <v>RETROEXCAVADORA S/CARRILES  0,9 M2</v>
      </c>
      <c r="K326" s="351" t="str">
        <f>IF(B326&lt;&gt;"",+VLOOKUP(I326,Recursos!C:F,3,FALSE),"")</f>
        <v>HR</v>
      </c>
      <c r="L326" s="436">
        <f>IF(B326&lt;&gt;"",+VLOOKUP(I326,Recursos!C:F,4,FALSE),"")</f>
        <v>2743.02</v>
      </c>
      <c r="M326" s="973">
        <v>10</v>
      </c>
      <c r="N326" s="974">
        <v>1.5</v>
      </c>
      <c r="O326" s="439">
        <f>(1-N334)*N326/M326</f>
        <v>0.1125</v>
      </c>
      <c r="P326" s="440">
        <f t="shared" si="162"/>
        <v>308.58974999999998</v>
      </c>
      <c r="Q326" s="349">
        <f t="shared" si="163"/>
        <v>0</v>
      </c>
      <c r="R326" s="353">
        <f t="shared" si="164"/>
        <v>0</v>
      </c>
      <c r="S326" s="354">
        <f t="shared" si="152"/>
        <v>1137.1100613010174</v>
      </c>
      <c r="T326" s="354">
        <f t="shared" si="153"/>
        <v>980.40313125</v>
      </c>
      <c r="U326" s="355">
        <f t="shared" si="154"/>
        <v>587.5</v>
      </c>
      <c r="V326" s="355">
        <f t="shared" si="155"/>
        <v>0</v>
      </c>
      <c r="W326" s="355">
        <f t="shared" si="156"/>
        <v>0</v>
      </c>
      <c r="X326" s="355">
        <f t="shared" si="157"/>
        <v>0</v>
      </c>
      <c r="Y326" s="396"/>
      <c r="Z326" s="346" t="str">
        <f t="shared" si="165"/>
        <v>0-DEMOLA</v>
      </c>
      <c r="AA326" s="346" t="str">
        <f t="shared" si="166"/>
        <v>0-DEMOLE</v>
      </c>
      <c r="AB326" s="346" t="str">
        <f t="shared" si="167"/>
        <v>0-DEMOLM</v>
      </c>
      <c r="AC326" s="346" t="str">
        <f t="shared" si="168"/>
        <v>0-DEMOLT</v>
      </c>
      <c r="AD326" s="346" t="str">
        <f t="shared" si="169"/>
        <v>0-DEMOLS</v>
      </c>
      <c r="AE326" s="346" t="str">
        <f t="shared" si="170"/>
        <v>0-DEMOLX</v>
      </c>
      <c r="AF326" s="346" t="str">
        <f t="shared" si="171"/>
        <v>0-DEMOLE</v>
      </c>
      <c r="AG326" s="346">
        <f t="shared" si="158"/>
        <v>13</v>
      </c>
      <c r="AH326" s="346">
        <f>IF(B326&lt;&gt;"",+IF(H326="x",+VLOOKUP(I326,'AUX-NIV2'!B:AG,32,FALSE),0),"")</f>
        <v>0</v>
      </c>
      <c r="AI326" s="346" t="str">
        <f t="shared" si="172"/>
        <v>0-DEMOL</v>
      </c>
      <c r="AK326" s="347">
        <f t="shared" si="159"/>
        <v>326</v>
      </c>
      <c r="AL326" s="348">
        <f t="shared" si="173"/>
        <v>338</v>
      </c>
      <c r="AM326" s="347">
        <f t="shared" si="174"/>
        <v>1</v>
      </c>
      <c r="AN326" s="382">
        <f>IF(AND(AH326&gt;0,B326&lt;&gt;""),VLOOKUP(I326,'AUX-NIV2'!$B:$AP,40,FALSE)*O326,0)</f>
        <v>0</v>
      </c>
      <c r="AO326" s="382">
        <f t="shared" si="160"/>
        <v>2.3218749999999999</v>
      </c>
      <c r="AQ326" s="395">
        <f>(IF($H326="x",VLOOKUP($I326,'AUX-NIV2'!$B:$X,'AUX-NIV1'!AQ$3,FALSE),0)+($AV326*'AUX-NIV3'!S$4))*$O326+IF($H326=AQ$4,$P326,0)</f>
        <v>0</v>
      </c>
      <c r="AR326" s="395">
        <f>(IF($H326="x",VLOOKUP($I326,'AUX-NIV2'!$B:$X,'AUX-NIV1'!AR$3,FALSE),0)+($AV326*'AUX-NIV3'!T$4))*$O326+IF($H326=AR$4,$P326,0)</f>
        <v>308.58974999999998</v>
      </c>
      <c r="AS326" s="395">
        <f>(IF($H326="x",VLOOKUP($I326,'AUX-NIV2'!$B:$X,'AUX-NIV1'!AS$3,FALSE),0)+($AV326*'AUX-NIV3'!U$4))*$O326+IF($H326=AS$4,$P326,0)</f>
        <v>0</v>
      </c>
      <c r="AT326" s="395">
        <f>(IF($H326="x",VLOOKUP($I326,'AUX-NIV2'!$B:$X,'AUX-NIV1'!AT$3,FALSE),0)+($AV326*'AUX-NIV3'!V$4))*$O326+IF($H326=AT$4,$P326,0)</f>
        <v>0</v>
      </c>
      <c r="AU326" s="395">
        <f>(IF($H326="x",VLOOKUP($I326,'AUX-NIV2'!$B:$X,'AUX-NIV1'!AU$3,FALSE),0)+($AV326*'AUX-NIV3'!W$4))*$O326+IF($H326=AU$4,$P326,0)</f>
        <v>0</v>
      </c>
      <c r="AV326" s="395">
        <f>+IF($H326="x",VLOOKUP($I326,'AUX-NIV2'!$B:$X,'AUX-NIV1'!AV$3,FALSE),0)</f>
        <v>0</v>
      </c>
    </row>
    <row r="327" spans="2:48" ht="14.4" hidden="1" thickTop="1" thickBot="1">
      <c r="B327" s="324" t="s">
        <v>2956</v>
      </c>
      <c r="C327" s="325" t="s">
        <v>2894</v>
      </c>
      <c r="D327" s="326" t="s">
        <v>1160</v>
      </c>
      <c r="E327" s="349">
        <f>IF(B327&lt;&gt;"",+SUMIF(Items!C:C,'AUX-NIV1'!B327,Items!H:H),"")</f>
        <v>0</v>
      </c>
      <c r="F327" s="349">
        <f t="shared" ref="F327:F390" si="178">IF(B327&lt;&gt;"",+SUMIF(B:B,B327,P:P),"")</f>
        <v>2705.0131925510173</v>
      </c>
      <c r="G327" s="349">
        <f t="shared" ref="G327:G390" si="179">IF(B327&lt;&gt;"",+SUMIF(B:B,B327,R:R),"")</f>
        <v>0</v>
      </c>
      <c r="H327" s="1395" t="str">
        <f t="shared" si="161"/>
        <v>E</v>
      </c>
      <c r="I327" s="1375" t="s">
        <v>1634</v>
      </c>
      <c r="J327" s="350" t="str">
        <f>IF(B327&lt;&gt;"",+VLOOKUP(I327,Recursos!C:F,2,FALSE),"")</f>
        <v>MARTILLO KRUPP</v>
      </c>
      <c r="K327" s="351" t="str">
        <f>IF(B327&lt;&gt;"",+VLOOKUP(I327,Recursos!C:F,3,FALSE),"")</f>
        <v>HR</v>
      </c>
      <c r="L327" s="436">
        <f>IF(B327&lt;&gt;"",+VLOOKUP(I327,Recursos!C:F,4,FALSE),"")</f>
        <v>440.85599999999999</v>
      </c>
      <c r="M327" s="975"/>
      <c r="N327" s="976"/>
      <c r="O327" s="439">
        <f>1/M326*(1-N334)</f>
        <v>7.5000000000000011E-2</v>
      </c>
      <c r="P327" s="440">
        <f t="shared" si="162"/>
        <v>33.064200000000007</v>
      </c>
      <c r="Q327" s="349">
        <f t="shared" si="163"/>
        <v>0</v>
      </c>
      <c r="R327" s="353">
        <f t="shared" si="164"/>
        <v>0</v>
      </c>
      <c r="S327" s="354">
        <f t="shared" ref="S327:S390" si="180">IF(B327&lt;&gt;"",+SUMIF($AF:$AF,Z327,$P:$P),"")</f>
        <v>1137.1100613010174</v>
      </c>
      <c r="T327" s="354">
        <f t="shared" ref="T327:T390" si="181">IF(B327&lt;&gt;"",+SUMIF($AF:$AF,AA327,$P:$P),"")</f>
        <v>980.40313125</v>
      </c>
      <c r="U327" s="355">
        <f t="shared" ref="U327:U390" si="182">IF(B327&lt;&gt;"",+SUMIF($AF:$AF,AB327,$P:$P),"")</f>
        <v>587.5</v>
      </c>
      <c r="V327" s="355">
        <f t="shared" ref="V327:V390" si="183">IF(B327&lt;&gt;"",+SUMIF($AF:$AF,AC327,$P:$P),"")</f>
        <v>0</v>
      </c>
      <c r="W327" s="355">
        <f t="shared" ref="W327:W390" si="184">IF(B327&lt;&gt;"",+SUMIF($AF:$AF,AD327,$P:$P),"")</f>
        <v>0</v>
      </c>
      <c r="X327" s="355">
        <f t="shared" ref="X327:X390" si="185">IF(B327&lt;&gt;"",+SUMIF($AF:$AF,AE327,$P:$P),"")</f>
        <v>0</v>
      </c>
      <c r="Y327" s="396"/>
      <c r="Z327" s="346" t="str">
        <f t="shared" si="165"/>
        <v>0-DEMOLA</v>
      </c>
      <c r="AA327" s="346" t="str">
        <f t="shared" si="166"/>
        <v>0-DEMOLE</v>
      </c>
      <c r="AB327" s="346" t="str">
        <f t="shared" si="167"/>
        <v>0-DEMOLM</v>
      </c>
      <c r="AC327" s="346" t="str">
        <f t="shared" si="168"/>
        <v>0-DEMOLT</v>
      </c>
      <c r="AD327" s="346" t="str">
        <f t="shared" si="169"/>
        <v>0-DEMOLS</v>
      </c>
      <c r="AE327" s="346" t="str">
        <f t="shared" si="170"/>
        <v>0-DEMOLX</v>
      </c>
      <c r="AF327" s="346" t="str">
        <f t="shared" si="171"/>
        <v>0-DEMOLE</v>
      </c>
      <c r="AG327" s="346">
        <f t="shared" ref="AG327:AG390" si="186">IF(B327&lt;&gt;"",+COUNTIF(B:B,B327),"")</f>
        <v>13</v>
      </c>
      <c r="AH327" s="346">
        <f>IF(B327&lt;&gt;"",+IF(H327="x",+VLOOKUP(I327,'AUX-NIV2'!B:AG,32,FALSE),0),"")</f>
        <v>0</v>
      </c>
      <c r="AI327" s="346" t="str">
        <f t="shared" si="172"/>
        <v>0-DEMOL</v>
      </c>
      <c r="AK327" s="347">
        <f t="shared" ref="AK327:AK390" si="187">IF(B327&lt;&gt;"",+MATCH(B327,B:B,0),"")</f>
        <v>326</v>
      </c>
      <c r="AL327" s="348">
        <f t="shared" si="173"/>
        <v>338</v>
      </c>
      <c r="AM327" s="347">
        <f t="shared" si="174"/>
        <v>2</v>
      </c>
      <c r="AN327" s="382">
        <f>IF(AND(AH327&gt;0,B327&lt;&gt;""),VLOOKUP(I327,'AUX-NIV2'!$B:$AP,40,FALSE)*O327,0)</f>
        <v>0</v>
      </c>
      <c r="AO327" s="382">
        <f t="shared" ref="AO327:AO390" si="188">+IF(B327&lt;&gt;"",SUMIF(AF:AF,Z327,O:O)+SUMIF(Z:Z,Z327,AN:AN),0)</f>
        <v>2.3218749999999999</v>
      </c>
      <c r="AQ327" s="395">
        <f>(IF($H327="x",VLOOKUP($I327,'AUX-NIV2'!$B:$X,'AUX-NIV1'!AQ$3,FALSE),0)+($AV327*'AUX-NIV3'!S$4))*$O327+IF($H327=AQ$4,$P327,0)</f>
        <v>0</v>
      </c>
      <c r="AR327" s="395">
        <f>(IF($H327="x",VLOOKUP($I327,'AUX-NIV2'!$B:$X,'AUX-NIV1'!AR$3,FALSE),0)+($AV327*'AUX-NIV3'!T$4))*$O327+IF($H327=AR$4,$P327,0)</f>
        <v>33.064200000000007</v>
      </c>
      <c r="AS327" s="395">
        <f>(IF($H327="x",VLOOKUP($I327,'AUX-NIV2'!$B:$X,'AUX-NIV1'!AS$3,FALSE),0)+($AV327*'AUX-NIV3'!U$4))*$O327+IF($H327=AS$4,$P327,0)</f>
        <v>0</v>
      </c>
      <c r="AT327" s="395">
        <f>(IF($H327="x",VLOOKUP($I327,'AUX-NIV2'!$B:$X,'AUX-NIV1'!AT$3,FALSE),0)+($AV327*'AUX-NIV3'!V$4))*$O327+IF($H327=AT$4,$P327,0)</f>
        <v>0</v>
      </c>
      <c r="AU327" s="395">
        <f>(IF($H327="x",VLOOKUP($I327,'AUX-NIV2'!$B:$X,'AUX-NIV1'!AU$3,FALSE),0)+($AV327*'AUX-NIV3'!W$4))*$O327+IF($H327=AU$4,$P327,0)</f>
        <v>0</v>
      </c>
      <c r="AV327" s="395">
        <f>+IF($H327="x",VLOOKUP($I327,'AUX-NIV2'!$B:$X,'AUX-NIV1'!AV$3,FALSE),0)</f>
        <v>0</v>
      </c>
    </row>
    <row r="328" spans="2:48" ht="14.4" hidden="1" thickTop="1" thickBot="1">
      <c r="B328" s="324" t="s">
        <v>2956</v>
      </c>
      <c r="C328" s="325" t="s">
        <v>2894</v>
      </c>
      <c r="D328" s="326" t="s">
        <v>1160</v>
      </c>
      <c r="E328" s="349">
        <f>IF(B328&lt;&gt;"",+SUMIF(Items!C:C,'AUX-NIV1'!B328,Items!H:H),"")</f>
        <v>0</v>
      </c>
      <c r="F328" s="349">
        <f t="shared" si="178"/>
        <v>2705.0131925510173</v>
      </c>
      <c r="G328" s="349">
        <f t="shared" si="179"/>
        <v>0</v>
      </c>
      <c r="H328" s="1395" t="str">
        <f t="shared" si="161"/>
        <v>A</v>
      </c>
      <c r="I328" s="1375" t="s">
        <v>3310</v>
      </c>
      <c r="J328" s="350" t="str">
        <f>IF(B328&lt;&gt;"",+VLOOKUP(I328,Recursos!C:F,2,FALSE),"")</f>
        <v>OFICIAL ESPECIALIZADO</v>
      </c>
      <c r="K328" s="351" t="str">
        <f>IF(B328&lt;&gt;"",+VLOOKUP(I328,Recursos!C:F,3,FALSE),"")</f>
        <v>hh</v>
      </c>
      <c r="L328" s="436">
        <f>IF(B328&lt;&gt;"",+VLOOKUP(I328,Recursos!C:F,4,FALSE),"")</f>
        <v>581.06120476836554</v>
      </c>
      <c r="M328" s="975"/>
      <c r="N328" s="976">
        <v>1</v>
      </c>
      <c r="O328" s="439">
        <f>+N328/M326*(1-N334)</f>
        <v>7.5000000000000011E-2</v>
      </c>
      <c r="P328" s="440">
        <f t="shared" si="162"/>
        <v>43.579590357627424</v>
      </c>
      <c r="Q328" s="349">
        <f t="shared" si="163"/>
        <v>0</v>
      </c>
      <c r="R328" s="353">
        <f t="shared" si="164"/>
        <v>0</v>
      </c>
      <c r="S328" s="354">
        <f t="shared" si="180"/>
        <v>1137.1100613010174</v>
      </c>
      <c r="T328" s="354">
        <f t="shared" si="181"/>
        <v>980.40313125</v>
      </c>
      <c r="U328" s="355">
        <f t="shared" si="182"/>
        <v>587.5</v>
      </c>
      <c r="V328" s="355">
        <f t="shared" si="183"/>
        <v>0</v>
      </c>
      <c r="W328" s="355">
        <f t="shared" si="184"/>
        <v>0</v>
      </c>
      <c r="X328" s="355">
        <f t="shared" si="185"/>
        <v>0</v>
      </c>
      <c r="Y328" s="396"/>
      <c r="Z328" s="346" t="str">
        <f t="shared" si="165"/>
        <v>0-DEMOLA</v>
      </c>
      <c r="AA328" s="346" t="str">
        <f t="shared" si="166"/>
        <v>0-DEMOLE</v>
      </c>
      <c r="AB328" s="346" t="str">
        <f t="shared" si="167"/>
        <v>0-DEMOLM</v>
      </c>
      <c r="AC328" s="346" t="str">
        <f t="shared" si="168"/>
        <v>0-DEMOLT</v>
      </c>
      <c r="AD328" s="346" t="str">
        <f t="shared" si="169"/>
        <v>0-DEMOLS</v>
      </c>
      <c r="AE328" s="346" t="str">
        <f t="shared" si="170"/>
        <v>0-DEMOLX</v>
      </c>
      <c r="AF328" s="346" t="str">
        <f t="shared" si="171"/>
        <v>0-DEMOLA</v>
      </c>
      <c r="AG328" s="346">
        <f t="shared" si="186"/>
        <v>13</v>
      </c>
      <c r="AH328" s="346">
        <f>IF(B328&lt;&gt;"",+IF(H328="x",+VLOOKUP(I328,'AUX-NIV2'!B:AG,32,FALSE),0),"")</f>
        <v>0</v>
      </c>
      <c r="AI328" s="346" t="str">
        <f t="shared" si="172"/>
        <v>0-DEMOL</v>
      </c>
      <c r="AK328" s="347">
        <f t="shared" si="187"/>
        <v>326</v>
      </c>
      <c r="AL328" s="348">
        <f t="shared" si="173"/>
        <v>338</v>
      </c>
      <c r="AM328" s="347">
        <f t="shared" si="174"/>
        <v>3</v>
      </c>
      <c r="AN328" s="382">
        <f>IF(AND(AH328&gt;0,B328&lt;&gt;""),VLOOKUP(I328,'AUX-NIV2'!$B:$AP,40,FALSE)*O328,0)</f>
        <v>0</v>
      </c>
      <c r="AO328" s="382">
        <f t="shared" si="188"/>
        <v>2.3218749999999999</v>
      </c>
      <c r="AQ328" s="395">
        <f>(IF($H328="x",VLOOKUP($I328,'AUX-NIV2'!$B:$X,'AUX-NIV1'!AQ$3,FALSE),0)+($AV328*'AUX-NIV3'!S$4))*$O328+IF($H328=AQ$4,$P328,0)</f>
        <v>43.579590357627424</v>
      </c>
      <c r="AR328" s="395">
        <f>(IF($H328="x",VLOOKUP($I328,'AUX-NIV2'!$B:$X,'AUX-NIV1'!AR$3,FALSE),0)+($AV328*'AUX-NIV3'!T$4))*$O328+IF($H328=AR$4,$P328,0)</f>
        <v>0</v>
      </c>
      <c r="AS328" s="395">
        <f>(IF($H328="x",VLOOKUP($I328,'AUX-NIV2'!$B:$X,'AUX-NIV1'!AS$3,FALSE),0)+($AV328*'AUX-NIV3'!U$4))*$O328+IF($H328=AS$4,$P328,0)</f>
        <v>0</v>
      </c>
      <c r="AT328" s="395">
        <f>(IF($H328="x",VLOOKUP($I328,'AUX-NIV2'!$B:$X,'AUX-NIV1'!AT$3,FALSE),0)+($AV328*'AUX-NIV3'!V$4))*$O328+IF($H328=AT$4,$P328,0)</f>
        <v>0</v>
      </c>
      <c r="AU328" s="395">
        <f>(IF($H328="x",VLOOKUP($I328,'AUX-NIV2'!$B:$X,'AUX-NIV1'!AU$3,FALSE),0)+($AV328*'AUX-NIV3'!W$4))*$O328+IF($H328=AU$4,$P328,0)</f>
        <v>0</v>
      </c>
      <c r="AV328" s="395">
        <f>+IF($H328="x",VLOOKUP($I328,'AUX-NIV2'!$B:$X,'AUX-NIV1'!AV$3,FALSE),0)</f>
        <v>0</v>
      </c>
    </row>
    <row r="329" spans="2:48" ht="14.4" hidden="1" thickTop="1" thickBot="1">
      <c r="B329" s="324" t="s">
        <v>2956</v>
      </c>
      <c r="C329" s="325" t="s">
        <v>2894</v>
      </c>
      <c r="D329" s="326" t="s">
        <v>1160</v>
      </c>
      <c r="E329" s="349">
        <f>IF(B329&lt;&gt;"",+SUMIF(Items!C:C,'AUX-NIV1'!B329,Items!H:H),"")</f>
        <v>0</v>
      </c>
      <c r="F329" s="349">
        <f t="shared" si="178"/>
        <v>2705.0131925510173</v>
      </c>
      <c r="G329" s="349">
        <f t="shared" si="179"/>
        <v>0</v>
      </c>
      <c r="H329" s="1395" t="str">
        <f t="shared" si="161"/>
        <v>A</v>
      </c>
      <c r="I329" s="1375" t="s">
        <v>1745</v>
      </c>
      <c r="J329" s="350" t="str">
        <f>IF(B329&lt;&gt;"",+VLOOKUP(I329,Recursos!C:F,2,FALSE),"")</f>
        <v>AYUDANTE</v>
      </c>
      <c r="K329" s="351" t="str">
        <f>IF(B329&lt;&gt;"",+VLOOKUP(I329,Recursos!C:F,3,FALSE),"")</f>
        <v>hh</v>
      </c>
      <c r="L329" s="436">
        <f>IF(B329&lt;&gt;"",+VLOOKUP(I329,Recursos!C:F,4,FALSE),"")</f>
        <v>422.48042769667234</v>
      </c>
      <c r="M329" s="980"/>
      <c r="N329" s="981">
        <v>1</v>
      </c>
      <c r="O329" s="439">
        <f>+N329/M326*(1-N334)</f>
        <v>7.5000000000000011E-2</v>
      </c>
      <c r="P329" s="440">
        <f t="shared" si="162"/>
        <v>31.686032077250431</v>
      </c>
      <c r="Q329" s="349">
        <f t="shared" si="163"/>
        <v>0</v>
      </c>
      <c r="R329" s="353">
        <f t="shared" si="164"/>
        <v>0</v>
      </c>
      <c r="S329" s="354">
        <f t="shared" si="180"/>
        <v>1137.1100613010174</v>
      </c>
      <c r="T329" s="354">
        <f t="shared" si="181"/>
        <v>980.40313125</v>
      </c>
      <c r="U329" s="355">
        <f t="shared" si="182"/>
        <v>587.5</v>
      </c>
      <c r="V329" s="355">
        <f t="shared" si="183"/>
        <v>0</v>
      </c>
      <c r="W329" s="355">
        <f t="shared" si="184"/>
        <v>0</v>
      </c>
      <c r="X329" s="355">
        <f t="shared" si="185"/>
        <v>0</v>
      </c>
      <c r="Y329" s="396"/>
      <c r="Z329" s="346" t="str">
        <f t="shared" si="165"/>
        <v>0-DEMOLA</v>
      </c>
      <c r="AA329" s="346" t="str">
        <f t="shared" si="166"/>
        <v>0-DEMOLE</v>
      </c>
      <c r="AB329" s="346" t="str">
        <f t="shared" si="167"/>
        <v>0-DEMOLM</v>
      </c>
      <c r="AC329" s="346" t="str">
        <f t="shared" si="168"/>
        <v>0-DEMOLT</v>
      </c>
      <c r="AD329" s="346" t="str">
        <f t="shared" si="169"/>
        <v>0-DEMOLS</v>
      </c>
      <c r="AE329" s="346" t="str">
        <f t="shared" si="170"/>
        <v>0-DEMOLX</v>
      </c>
      <c r="AF329" s="346" t="str">
        <f t="shared" si="171"/>
        <v>0-DEMOLA</v>
      </c>
      <c r="AG329" s="346">
        <f t="shared" si="186"/>
        <v>13</v>
      </c>
      <c r="AH329" s="346">
        <f>IF(B329&lt;&gt;"",+IF(H329="x",+VLOOKUP(I329,'AUX-NIV2'!B:AG,32,FALSE),0),"")</f>
        <v>0</v>
      </c>
      <c r="AI329" s="346" t="str">
        <f t="shared" si="172"/>
        <v>0-DEMOL</v>
      </c>
      <c r="AK329" s="347">
        <f t="shared" si="187"/>
        <v>326</v>
      </c>
      <c r="AL329" s="348">
        <f t="shared" si="173"/>
        <v>338</v>
      </c>
      <c r="AM329" s="347">
        <f t="shared" si="174"/>
        <v>4</v>
      </c>
      <c r="AN329" s="382">
        <f>IF(AND(AH329&gt;0,B329&lt;&gt;""),VLOOKUP(I329,'AUX-NIV2'!$B:$AP,40,FALSE)*O329,0)</f>
        <v>0</v>
      </c>
      <c r="AO329" s="382">
        <f t="shared" si="188"/>
        <v>2.3218749999999999</v>
      </c>
      <c r="AQ329" s="395">
        <f>(IF($H329="x",VLOOKUP($I329,'AUX-NIV2'!$B:$X,'AUX-NIV1'!AQ$3,FALSE),0)+($AV329*'AUX-NIV3'!S$4))*$O329+IF($H329=AQ$4,$P329,0)</f>
        <v>31.686032077250431</v>
      </c>
      <c r="AR329" s="395">
        <f>(IF($H329="x",VLOOKUP($I329,'AUX-NIV2'!$B:$X,'AUX-NIV1'!AR$3,FALSE),0)+($AV329*'AUX-NIV3'!T$4))*$O329+IF($H329=AR$4,$P329,0)</f>
        <v>0</v>
      </c>
      <c r="AS329" s="395">
        <f>(IF($H329="x",VLOOKUP($I329,'AUX-NIV2'!$B:$X,'AUX-NIV1'!AS$3,FALSE),0)+($AV329*'AUX-NIV3'!U$4))*$O329+IF($H329=AS$4,$P329,0)</f>
        <v>0</v>
      </c>
      <c r="AT329" s="395">
        <f>(IF($H329="x",VLOOKUP($I329,'AUX-NIV2'!$B:$X,'AUX-NIV1'!AT$3,FALSE),0)+($AV329*'AUX-NIV3'!V$4))*$O329+IF($H329=AT$4,$P329,0)</f>
        <v>0</v>
      </c>
      <c r="AU329" s="395">
        <f>(IF($H329="x",VLOOKUP($I329,'AUX-NIV2'!$B:$X,'AUX-NIV1'!AU$3,FALSE),0)+($AV329*'AUX-NIV3'!W$4))*$O329+IF($H329=AU$4,$P329,0)</f>
        <v>0</v>
      </c>
      <c r="AV329" s="395">
        <f>+IF($H329="x",VLOOKUP($I329,'AUX-NIV2'!$B:$X,'AUX-NIV1'!AV$3,FALSE),0)</f>
        <v>0</v>
      </c>
    </row>
    <row r="330" spans="2:48" ht="14.4" hidden="1" thickTop="1" thickBot="1">
      <c r="B330" s="324" t="s">
        <v>2956</v>
      </c>
      <c r="C330" s="325" t="s">
        <v>2894</v>
      </c>
      <c r="D330" s="326" t="s">
        <v>1160</v>
      </c>
      <c r="E330" s="349">
        <f>IF(B330&lt;&gt;"",+SUMIF(Items!C:C,'AUX-NIV1'!B330,Items!H:H),"")</f>
        <v>0</v>
      </c>
      <c r="F330" s="349">
        <f t="shared" si="178"/>
        <v>2705.0131925510173</v>
      </c>
      <c r="G330" s="349">
        <f t="shared" si="179"/>
        <v>0</v>
      </c>
      <c r="H330" s="1395" t="str">
        <f t="shared" si="161"/>
        <v>A</v>
      </c>
      <c r="I330" s="1375" t="s">
        <v>3310</v>
      </c>
      <c r="J330" s="350" t="str">
        <f>IF(B330&lt;&gt;"",+VLOOKUP(I330,Recursos!C:F,2,FALSE),"")</f>
        <v>OFICIAL ESPECIALIZADO</v>
      </c>
      <c r="K330" s="351" t="str">
        <f>IF(B330&lt;&gt;"",+VLOOKUP(I330,Recursos!C:F,3,FALSE),"")</f>
        <v>hh</v>
      </c>
      <c r="L330" s="436">
        <f>IF(B330&lt;&gt;"",+VLOOKUP(I330,Recursos!C:F,4,FALSE),"")</f>
        <v>581.06120476836554</v>
      </c>
      <c r="M330" s="982"/>
      <c r="N330" s="986">
        <v>1</v>
      </c>
      <c r="O330" s="439">
        <f>N335*N330/M333*N334+N335*N330/M326*(1-N334)</f>
        <v>0.484375</v>
      </c>
      <c r="P330" s="440">
        <f t="shared" si="162"/>
        <v>281.45152105967708</v>
      </c>
      <c r="Q330" s="349">
        <f t="shared" si="163"/>
        <v>0</v>
      </c>
      <c r="R330" s="353">
        <f t="shared" si="164"/>
        <v>0</v>
      </c>
      <c r="S330" s="354">
        <f t="shared" si="180"/>
        <v>1137.1100613010174</v>
      </c>
      <c r="T330" s="354">
        <f t="shared" si="181"/>
        <v>980.40313125</v>
      </c>
      <c r="U330" s="355">
        <f t="shared" si="182"/>
        <v>587.5</v>
      </c>
      <c r="V330" s="355">
        <f t="shared" si="183"/>
        <v>0</v>
      </c>
      <c r="W330" s="355">
        <f t="shared" si="184"/>
        <v>0</v>
      </c>
      <c r="X330" s="355">
        <f t="shared" si="185"/>
        <v>0</v>
      </c>
      <c r="Y330" s="396"/>
      <c r="Z330" s="346" t="str">
        <f t="shared" si="165"/>
        <v>0-DEMOLA</v>
      </c>
      <c r="AA330" s="346" t="str">
        <f t="shared" si="166"/>
        <v>0-DEMOLE</v>
      </c>
      <c r="AB330" s="346" t="str">
        <f t="shared" si="167"/>
        <v>0-DEMOLM</v>
      </c>
      <c r="AC330" s="346" t="str">
        <f t="shared" si="168"/>
        <v>0-DEMOLT</v>
      </c>
      <c r="AD330" s="346" t="str">
        <f t="shared" si="169"/>
        <v>0-DEMOLS</v>
      </c>
      <c r="AE330" s="346" t="str">
        <f t="shared" si="170"/>
        <v>0-DEMOLX</v>
      </c>
      <c r="AF330" s="346" t="str">
        <f t="shared" si="171"/>
        <v>0-DEMOLA</v>
      </c>
      <c r="AG330" s="346">
        <f t="shared" si="186"/>
        <v>13</v>
      </c>
      <c r="AH330" s="346">
        <f>IF(B330&lt;&gt;"",+IF(H330="x",+VLOOKUP(I330,'AUX-NIV2'!B:AG,32,FALSE),0),"")</f>
        <v>0</v>
      </c>
      <c r="AI330" s="346" t="str">
        <f t="shared" si="172"/>
        <v>0-DEMOL</v>
      </c>
      <c r="AK330" s="347">
        <f t="shared" si="187"/>
        <v>326</v>
      </c>
      <c r="AL330" s="348">
        <f t="shared" si="173"/>
        <v>338</v>
      </c>
      <c r="AM330" s="347">
        <f t="shared" si="174"/>
        <v>5</v>
      </c>
      <c r="AN330" s="382">
        <f>IF(AND(AH330&gt;0,B330&lt;&gt;""),VLOOKUP(I330,'AUX-NIV2'!$B:$AP,40,FALSE)*O330,0)</f>
        <v>0</v>
      </c>
      <c r="AO330" s="382">
        <f t="shared" si="188"/>
        <v>2.3218749999999999</v>
      </c>
      <c r="AQ330" s="395">
        <f>(IF($H330="x",VLOOKUP($I330,'AUX-NIV2'!$B:$X,'AUX-NIV1'!AQ$3,FALSE),0)+($AV330*'AUX-NIV3'!S$4))*$O330+IF($H330=AQ$4,$P330,0)</f>
        <v>281.45152105967708</v>
      </c>
      <c r="AR330" s="395">
        <f>(IF($H330="x",VLOOKUP($I330,'AUX-NIV2'!$B:$X,'AUX-NIV1'!AR$3,FALSE),0)+($AV330*'AUX-NIV3'!T$4))*$O330+IF($H330=AR$4,$P330,0)</f>
        <v>0</v>
      </c>
      <c r="AS330" s="395">
        <f>(IF($H330="x",VLOOKUP($I330,'AUX-NIV2'!$B:$X,'AUX-NIV1'!AS$3,FALSE),0)+($AV330*'AUX-NIV3'!U$4))*$O330+IF($H330=AS$4,$P330,0)</f>
        <v>0</v>
      </c>
      <c r="AT330" s="395">
        <f>(IF($H330="x",VLOOKUP($I330,'AUX-NIV2'!$B:$X,'AUX-NIV1'!AT$3,FALSE),0)+($AV330*'AUX-NIV3'!V$4))*$O330+IF($H330=AT$4,$P330,0)</f>
        <v>0</v>
      </c>
      <c r="AU330" s="395">
        <f>(IF($H330="x",VLOOKUP($I330,'AUX-NIV2'!$B:$X,'AUX-NIV1'!AU$3,FALSE),0)+($AV330*'AUX-NIV3'!W$4))*$O330+IF($H330=AU$4,$P330,0)</f>
        <v>0</v>
      </c>
      <c r="AV330" s="395">
        <f>+IF($H330="x",VLOOKUP($I330,'AUX-NIV2'!$B:$X,'AUX-NIV1'!AV$3,FALSE),0)</f>
        <v>0</v>
      </c>
    </row>
    <row r="331" spans="2:48" ht="14.4" hidden="1" thickTop="1" thickBot="1">
      <c r="B331" s="324" t="s">
        <v>2956</v>
      </c>
      <c r="C331" s="325" t="s">
        <v>2894</v>
      </c>
      <c r="D331" s="326" t="s">
        <v>1160</v>
      </c>
      <c r="E331" s="349">
        <f>IF(B331&lt;&gt;"",+SUMIF(Items!C:C,'AUX-NIV1'!B331,Items!H:H),"")</f>
        <v>0</v>
      </c>
      <c r="F331" s="349">
        <f t="shared" si="178"/>
        <v>2705.0131925510173</v>
      </c>
      <c r="G331" s="349">
        <f t="shared" si="179"/>
        <v>0</v>
      </c>
      <c r="H331" s="1395" t="str">
        <f t="shared" si="161"/>
        <v>A</v>
      </c>
      <c r="I331" s="1375" t="s">
        <v>1745</v>
      </c>
      <c r="J331" s="350" t="str">
        <f>IF(B331&lt;&gt;"",+VLOOKUP(I331,Recursos!C:F,2,FALSE),"")</f>
        <v>AYUDANTE</v>
      </c>
      <c r="K331" s="351" t="str">
        <f>IF(B331&lt;&gt;"",+VLOOKUP(I331,Recursos!C:F,3,FALSE),"")</f>
        <v>hh</v>
      </c>
      <c r="L331" s="436">
        <f>IF(B331&lt;&gt;"",+VLOOKUP(I331,Recursos!C:F,4,FALSE),"")</f>
        <v>422.48042769667234</v>
      </c>
      <c r="M331" s="975"/>
      <c r="N331" s="977"/>
      <c r="O331" s="439">
        <f>N333*N335*N334/M333</f>
        <v>0.78125</v>
      </c>
      <c r="P331" s="440">
        <f t="shared" si="162"/>
        <v>330.06283413802527</v>
      </c>
      <c r="Q331" s="349">
        <f t="shared" si="163"/>
        <v>0</v>
      </c>
      <c r="R331" s="353">
        <f t="shared" si="164"/>
        <v>0</v>
      </c>
      <c r="S331" s="354">
        <f t="shared" si="180"/>
        <v>1137.1100613010174</v>
      </c>
      <c r="T331" s="354">
        <f t="shared" si="181"/>
        <v>980.40313125</v>
      </c>
      <c r="U331" s="355">
        <f t="shared" si="182"/>
        <v>587.5</v>
      </c>
      <c r="V331" s="355">
        <f t="shared" si="183"/>
        <v>0</v>
      </c>
      <c r="W331" s="355">
        <f t="shared" si="184"/>
        <v>0</v>
      </c>
      <c r="X331" s="355">
        <f t="shared" si="185"/>
        <v>0</v>
      </c>
      <c r="Y331" s="396"/>
      <c r="Z331" s="346" t="str">
        <f t="shared" si="165"/>
        <v>0-DEMOLA</v>
      </c>
      <c r="AA331" s="346" t="str">
        <f t="shared" si="166"/>
        <v>0-DEMOLE</v>
      </c>
      <c r="AB331" s="346" t="str">
        <f t="shared" si="167"/>
        <v>0-DEMOLM</v>
      </c>
      <c r="AC331" s="346" t="str">
        <f t="shared" si="168"/>
        <v>0-DEMOLT</v>
      </c>
      <c r="AD331" s="346" t="str">
        <f t="shared" si="169"/>
        <v>0-DEMOLS</v>
      </c>
      <c r="AE331" s="346" t="str">
        <f t="shared" si="170"/>
        <v>0-DEMOLX</v>
      </c>
      <c r="AF331" s="346" t="str">
        <f t="shared" si="171"/>
        <v>0-DEMOLA</v>
      </c>
      <c r="AG331" s="346">
        <f t="shared" si="186"/>
        <v>13</v>
      </c>
      <c r="AH331" s="346">
        <f>IF(B331&lt;&gt;"",+IF(H331="x",+VLOOKUP(I331,'AUX-NIV2'!B:AG,32,FALSE),0),"")</f>
        <v>0</v>
      </c>
      <c r="AI331" s="346" t="str">
        <f t="shared" si="172"/>
        <v>0-DEMOL</v>
      </c>
      <c r="AK331" s="347">
        <f t="shared" si="187"/>
        <v>326</v>
      </c>
      <c r="AL331" s="348">
        <f t="shared" si="173"/>
        <v>338</v>
      </c>
      <c r="AM331" s="347">
        <f t="shared" si="174"/>
        <v>6</v>
      </c>
      <c r="AN331" s="382">
        <f>IF(AND(AH331&gt;0,B331&lt;&gt;""),VLOOKUP(I331,'AUX-NIV2'!$B:$AP,40,FALSE)*O331,0)</f>
        <v>0</v>
      </c>
      <c r="AO331" s="382">
        <f t="shared" si="188"/>
        <v>2.3218749999999999</v>
      </c>
      <c r="AQ331" s="395">
        <f>(IF($H331="x",VLOOKUP($I331,'AUX-NIV2'!$B:$X,'AUX-NIV1'!AQ$3,FALSE),0)+($AV331*'AUX-NIV3'!S$4))*$O331+IF($H331=AQ$4,$P331,0)</f>
        <v>330.06283413802527</v>
      </c>
      <c r="AR331" s="395">
        <f>(IF($H331="x",VLOOKUP($I331,'AUX-NIV2'!$B:$X,'AUX-NIV1'!AR$3,FALSE),0)+($AV331*'AUX-NIV3'!T$4))*$O331+IF($H331=AR$4,$P331,0)</f>
        <v>0</v>
      </c>
      <c r="AS331" s="395">
        <f>(IF($H331="x",VLOOKUP($I331,'AUX-NIV2'!$B:$X,'AUX-NIV1'!AS$3,FALSE),0)+($AV331*'AUX-NIV3'!U$4))*$O331+IF($H331=AS$4,$P331,0)</f>
        <v>0</v>
      </c>
      <c r="AT331" s="395">
        <f>(IF($H331="x",VLOOKUP($I331,'AUX-NIV2'!$B:$X,'AUX-NIV1'!AT$3,FALSE),0)+($AV331*'AUX-NIV3'!V$4))*$O331+IF($H331=AT$4,$P331,0)</f>
        <v>0</v>
      </c>
      <c r="AU331" s="395">
        <f>(IF($H331="x",VLOOKUP($I331,'AUX-NIV2'!$B:$X,'AUX-NIV1'!AU$3,FALSE),0)+($AV331*'AUX-NIV3'!W$4))*$O331+IF($H331=AU$4,$P331,0)</f>
        <v>0</v>
      </c>
      <c r="AV331" s="395">
        <f>+IF($H331="x",VLOOKUP($I331,'AUX-NIV2'!$B:$X,'AUX-NIV1'!AV$3,FALSE),0)</f>
        <v>0</v>
      </c>
    </row>
    <row r="332" spans="2:48" ht="14.4" hidden="1" thickTop="1" thickBot="1">
      <c r="B332" s="324" t="s">
        <v>2956</v>
      </c>
      <c r="C332" s="325" t="s">
        <v>2894</v>
      </c>
      <c r="D332" s="326" t="s">
        <v>1160</v>
      </c>
      <c r="E332" s="349">
        <f>IF(B332&lt;&gt;"",+SUMIF(Items!C:C,'AUX-NIV1'!B332,Items!H:H),"")</f>
        <v>0</v>
      </c>
      <c r="F332" s="349">
        <f t="shared" si="178"/>
        <v>2705.0131925510173</v>
      </c>
      <c r="G332" s="349">
        <f t="shared" si="179"/>
        <v>0</v>
      </c>
      <c r="H332" s="1395" t="str">
        <f t="shared" si="161"/>
        <v>A</v>
      </c>
      <c r="I332" s="1375" t="s">
        <v>1746</v>
      </c>
      <c r="J332" s="350" t="str">
        <f>IF(B332&lt;&gt;"",+VLOOKUP(I332,Recursos!C:F,2,FALSE),"")</f>
        <v>OFICIAL</v>
      </c>
      <c r="K332" s="351" t="str">
        <f>IF(B332&lt;&gt;"",+VLOOKUP(I332,Recursos!C:F,3,FALSE),"")</f>
        <v>hh</v>
      </c>
      <c r="L332" s="436">
        <f>IF(B332&lt;&gt;"",+VLOOKUP(I332,Recursos!C:F,4,FALSE),"")</f>
        <v>496.91595439275824</v>
      </c>
      <c r="M332" s="975"/>
      <c r="N332" s="977"/>
      <c r="O332" s="439">
        <f>N333*N335*N334/M333</f>
        <v>0.78125</v>
      </c>
      <c r="P332" s="440">
        <f t="shared" si="162"/>
        <v>388.21558936934235</v>
      </c>
      <c r="Q332" s="349">
        <f t="shared" si="163"/>
        <v>0</v>
      </c>
      <c r="R332" s="353">
        <f t="shared" si="164"/>
        <v>0</v>
      </c>
      <c r="S332" s="354">
        <f t="shared" si="180"/>
        <v>1137.1100613010174</v>
      </c>
      <c r="T332" s="354">
        <f t="shared" si="181"/>
        <v>980.40313125</v>
      </c>
      <c r="U332" s="355">
        <f t="shared" si="182"/>
        <v>587.5</v>
      </c>
      <c r="V332" s="355">
        <f t="shared" si="183"/>
        <v>0</v>
      </c>
      <c r="W332" s="355">
        <f t="shared" si="184"/>
        <v>0</v>
      </c>
      <c r="X332" s="355">
        <f t="shared" si="185"/>
        <v>0</v>
      </c>
      <c r="Y332" s="396"/>
      <c r="Z332" s="346" t="str">
        <f t="shared" si="165"/>
        <v>0-DEMOLA</v>
      </c>
      <c r="AA332" s="346" t="str">
        <f t="shared" si="166"/>
        <v>0-DEMOLE</v>
      </c>
      <c r="AB332" s="346" t="str">
        <f t="shared" si="167"/>
        <v>0-DEMOLM</v>
      </c>
      <c r="AC332" s="346" t="str">
        <f t="shared" si="168"/>
        <v>0-DEMOLT</v>
      </c>
      <c r="AD332" s="346" t="str">
        <f t="shared" si="169"/>
        <v>0-DEMOLS</v>
      </c>
      <c r="AE332" s="346" t="str">
        <f t="shared" si="170"/>
        <v>0-DEMOLX</v>
      </c>
      <c r="AF332" s="346" t="str">
        <f t="shared" si="171"/>
        <v>0-DEMOLA</v>
      </c>
      <c r="AG332" s="346">
        <f t="shared" si="186"/>
        <v>13</v>
      </c>
      <c r="AH332" s="346">
        <f>IF(B332&lt;&gt;"",+IF(H332="x",+VLOOKUP(I332,'AUX-NIV2'!B:AG,32,FALSE),0),"")</f>
        <v>0</v>
      </c>
      <c r="AI332" s="346" t="str">
        <f t="shared" si="172"/>
        <v>0-DEMOL</v>
      </c>
      <c r="AK332" s="347">
        <f t="shared" si="187"/>
        <v>326</v>
      </c>
      <c r="AL332" s="348">
        <f t="shared" si="173"/>
        <v>338</v>
      </c>
      <c r="AM332" s="347">
        <f t="shared" si="174"/>
        <v>7</v>
      </c>
      <c r="AN332" s="382">
        <f>IF(AND(AH332&gt;0,B332&lt;&gt;""),VLOOKUP(I332,'AUX-NIV2'!$B:$AP,40,FALSE)*O332,0)</f>
        <v>0</v>
      </c>
      <c r="AO332" s="382">
        <f t="shared" si="188"/>
        <v>2.3218749999999999</v>
      </c>
      <c r="AQ332" s="395">
        <f>(IF($H332="x",VLOOKUP($I332,'AUX-NIV2'!$B:$X,'AUX-NIV1'!AQ$3,FALSE),0)+($AV332*'AUX-NIV3'!S$4))*$O332+IF($H332=AQ$4,$P332,0)</f>
        <v>388.21558936934235</v>
      </c>
      <c r="AR332" s="395">
        <f>(IF($H332="x",VLOOKUP($I332,'AUX-NIV2'!$B:$X,'AUX-NIV1'!AR$3,FALSE),0)+($AV332*'AUX-NIV3'!T$4))*$O332+IF($H332=AR$4,$P332,0)</f>
        <v>0</v>
      </c>
      <c r="AS332" s="395">
        <f>(IF($H332="x",VLOOKUP($I332,'AUX-NIV2'!$B:$X,'AUX-NIV1'!AS$3,FALSE),0)+($AV332*'AUX-NIV3'!U$4))*$O332+IF($H332=AS$4,$P332,0)</f>
        <v>0</v>
      </c>
      <c r="AT332" s="395">
        <f>(IF($H332="x",VLOOKUP($I332,'AUX-NIV2'!$B:$X,'AUX-NIV1'!AT$3,FALSE),0)+($AV332*'AUX-NIV3'!V$4))*$O332+IF($H332=AT$4,$P332,0)</f>
        <v>0</v>
      </c>
      <c r="AU332" s="395">
        <f>(IF($H332="x",VLOOKUP($I332,'AUX-NIV2'!$B:$X,'AUX-NIV1'!AU$3,FALSE),0)+($AV332*'AUX-NIV3'!W$4))*$O332+IF($H332=AU$4,$P332,0)</f>
        <v>0</v>
      </c>
      <c r="AV332" s="395">
        <f>+IF($H332="x",VLOOKUP($I332,'AUX-NIV2'!$B:$X,'AUX-NIV1'!AV$3,FALSE),0)</f>
        <v>0</v>
      </c>
    </row>
    <row r="333" spans="2:48" ht="14.4" hidden="1" thickTop="1" thickBot="1">
      <c r="B333" s="324" t="s">
        <v>2956</v>
      </c>
      <c r="C333" s="325" t="s">
        <v>2894</v>
      </c>
      <c r="D333" s="326" t="s">
        <v>1160</v>
      </c>
      <c r="E333" s="349">
        <f>IF(B333&lt;&gt;"",+SUMIF(Items!C:C,'AUX-NIV1'!B333,Items!H:H),"")</f>
        <v>0</v>
      </c>
      <c r="F333" s="349">
        <f t="shared" si="178"/>
        <v>2705.0131925510173</v>
      </c>
      <c r="G333" s="349">
        <f t="shared" si="179"/>
        <v>0</v>
      </c>
      <c r="H333" s="1395" t="str">
        <f t="shared" si="161"/>
        <v>E</v>
      </c>
      <c r="I333" s="1375" t="s">
        <v>1690</v>
      </c>
      <c r="J333" s="350" t="str">
        <f>IF(B333&lt;&gt;"",+VLOOKUP(I333,Recursos!C:F,2,FALSE),"")</f>
        <v>MARTILLO NEUMATICO DEMOLEDOR 22 Kg</v>
      </c>
      <c r="K333" s="351" t="str">
        <f>IF(B333&lt;&gt;"",+VLOOKUP(I333,Recursos!C:F,3,FALSE),"")</f>
        <v>HR</v>
      </c>
      <c r="L333" s="436">
        <f>IF(B333&lt;&gt;"",+VLOOKUP(I333,Recursos!C:F,4,FALSE),"")</f>
        <v>17.266859999999998</v>
      </c>
      <c r="M333" s="978">
        <v>0.8</v>
      </c>
      <c r="N333" s="976">
        <v>2</v>
      </c>
      <c r="O333" s="439">
        <f>+N333/M333*N334</f>
        <v>0.625</v>
      </c>
      <c r="P333" s="440">
        <f t="shared" si="162"/>
        <v>10.791787499999998</v>
      </c>
      <c r="Q333" s="349">
        <f t="shared" si="163"/>
        <v>0</v>
      </c>
      <c r="R333" s="353">
        <f t="shared" si="164"/>
        <v>0</v>
      </c>
      <c r="S333" s="354">
        <f t="shared" si="180"/>
        <v>1137.1100613010174</v>
      </c>
      <c r="T333" s="354">
        <f t="shared" si="181"/>
        <v>980.40313125</v>
      </c>
      <c r="U333" s="355">
        <f t="shared" si="182"/>
        <v>587.5</v>
      </c>
      <c r="V333" s="355">
        <f t="shared" si="183"/>
        <v>0</v>
      </c>
      <c r="W333" s="355">
        <f t="shared" si="184"/>
        <v>0</v>
      </c>
      <c r="X333" s="355">
        <f t="shared" si="185"/>
        <v>0</v>
      </c>
      <c r="Y333" s="396"/>
      <c r="Z333" s="346" t="str">
        <f t="shared" si="165"/>
        <v>0-DEMOLA</v>
      </c>
      <c r="AA333" s="346" t="str">
        <f t="shared" si="166"/>
        <v>0-DEMOLE</v>
      </c>
      <c r="AB333" s="346" t="str">
        <f t="shared" si="167"/>
        <v>0-DEMOLM</v>
      </c>
      <c r="AC333" s="346" t="str">
        <f t="shared" si="168"/>
        <v>0-DEMOLT</v>
      </c>
      <c r="AD333" s="346" t="str">
        <f t="shared" si="169"/>
        <v>0-DEMOLS</v>
      </c>
      <c r="AE333" s="346" t="str">
        <f t="shared" si="170"/>
        <v>0-DEMOLX</v>
      </c>
      <c r="AF333" s="346" t="str">
        <f t="shared" si="171"/>
        <v>0-DEMOLE</v>
      </c>
      <c r="AG333" s="346">
        <f t="shared" si="186"/>
        <v>13</v>
      </c>
      <c r="AH333" s="346">
        <f>IF(B333&lt;&gt;"",+IF(H333="x",+VLOOKUP(I333,'AUX-NIV2'!B:AG,32,FALSE),0),"")</f>
        <v>0</v>
      </c>
      <c r="AI333" s="346" t="str">
        <f t="shared" si="172"/>
        <v>0-DEMOL</v>
      </c>
      <c r="AK333" s="347">
        <f t="shared" si="187"/>
        <v>326</v>
      </c>
      <c r="AL333" s="348">
        <f t="shared" si="173"/>
        <v>338</v>
      </c>
      <c r="AM333" s="347">
        <f t="shared" si="174"/>
        <v>8</v>
      </c>
      <c r="AN333" s="382">
        <f>IF(AND(AH333&gt;0,B333&lt;&gt;""),VLOOKUP(I333,'AUX-NIV2'!$B:$AP,40,FALSE)*O333,0)</f>
        <v>0</v>
      </c>
      <c r="AO333" s="382">
        <f t="shared" si="188"/>
        <v>2.3218749999999999</v>
      </c>
      <c r="AQ333" s="395">
        <f>(IF($H333="x",VLOOKUP($I333,'AUX-NIV2'!$B:$X,'AUX-NIV1'!AQ$3,FALSE),0)+($AV333*'AUX-NIV3'!S$4))*$O333+IF($H333=AQ$4,$P333,0)</f>
        <v>0</v>
      </c>
      <c r="AR333" s="395">
        <f>(IF($H333="x",VLOOKUP($I333,'AUX-NIV2'!$B:$X,'AUX-NIV1'!AR$3,FALSE),0)+($AV333*'AUX-NIV3'!T$4))*$O333+IF($H333=AR$4,$P333,0)</f>
        <v>10.791787499999998</v>
      </c>
      <c r="AS333" s="395">
        <f>(IF($H333="x",VLOOKUP($I333,'AUX-NIV2'!$B:$X,'AUX-NIV1'!AS$3,FALSE),0)+($AV333*'AUX-NIV3'!U$4))*$O333+IF($H333=AS$4,$P333,0)</f>
        <v>0</v>
      </c>
      <c r="AT333" s="395">
        <f>(IF($H333="x",VLOOKUP($I333,'AUX-NIV2'!$B:$X,'AUX-NIV1'!AT$3,FALSE),0)+($AV333*'AUX-NIV3'!V$4))*$O333+IF($H333=AT$4,$P333,0)</f>
        <v>0</v>
      </c>
      <c r="AU333" s="395">
        <f>(IF($H333="x",VLOOKUP($I333,'AUX-NIV2'!$B:$X,'AUX-NIV1'!AU$3,FALSE),0)+($AV333*'AUX-NIV3'!W$4))*$O333+IF($H333=AU$4,$P333,0)</f>
        <v>0</v>
      </c>
      <c r="AV333" s="395">
        <f>+IF($H333="x",VLOOKUP($I333,'AUX-NIV2'!$B:$X,'AUX-NIV1'!AV$3,FALSE),0)</f>
        <v>0</v>
      </c>
    </row>
    <row r="334" spans="2:48" ht="14.4" hidden="1" thickTop="1" thickBot="1">
      <c r="B334" s="324" t="s">
        <v>2956</v>
      </c>
      <c r="C334" s="325" t="s">
        <v>2894</v>
      </c>
      <c r="D334" s="326" t="s">
        <v>1160</v>
      </c>
      <c r="E334" s="349">
        <f>IF(B334&lt;&gt;"",+SUMIF(Items!C:C,'AUX-NIV1'!B334,Items!H:H),"")</f>
        <v>0</v>
      </c>
      <c r="F334" s="349">
        <f t="shared" si="178"/>
        <v>2705.0131925510173</v>
      </c>
      <c r="G334" s="349">
        <f t="shared" si="179"/>
        <v>0</v>
      </c>
      <c r="H334" s="1395" t="str">
        <f t="shared" si="161"/>
        <v>E</v>
      </c>
      <c r="I334" s="1375" t="s">
        <v>1692</v>
      </c>
      <c r="J334" s="350" t="str">
        <f>IF(B334&lt;&gt;"",+VLOOKUP(I334,Recursos!C:F,2,FALSE),"")</f>
        <v>MOTOCOMPRESOR 7 m3/min-250 cfm</v>
      </c>
      <c r="K334" s="351" t="str">
        <f>IF(B334&lt;&gt;"",+VLOOKUP(I334,Recursos!C:F,3,FALSE),"")</f>
        <v>HR</v>
      </c>
      <c r="L334" s="436">
        <f>IF(B334&lt;&gt;"",+VLOOKUP(I334,Recursos!C:F,4,FALSE),"")</f>
        <v>942.82014000000004</v>
      </c>
      <c r="M334" s="983"/>
      <c r="N334" s="984">
        <v>0.25</v>
      </c>
      <c r="O334" s="439">
        <f>+N334/M333</f>
        <v>0.3125</v>
      </c>
      <c r="P334" s="440">
        <f t="shared" si="162"/>
        <v>294.63129375</v>
      </c>
      <c r="Q334" s="349">
        <f t="shared" si="163"/>
        <v>0</v>
      </c>
      <c r="R334" s="353">
        <f t="shared" si="164"/>
        <v>0</v>
      </c>
      <c r="S334" s="354">
        <f t="shared" si="180"/>
        <v>1137.1100613010174</v>
      </c>
      <c r="T334" s="354">
        <f t="shared" si="181"/>
        <v>980.40313125</v>
      </c>
      <c r="U334" s="355">
        <f t="shared" si="182"/>
        <v>587.5</v>
      </c>
      <c r="V334" s="355">
        <f t="shared" si="183"/>
        <v>0</v>
      </c>
      <c r="W334" s="355">
        <f t="shared" si="184"/>
        <v>0</v>
      </c>
      <c r="X334" s="355">
        <f t="shared" si="185"/>
        <v>0</v>
      </c>
      <c r="Y334" s="396"/>
      <c r="Z334" s="346" t="str">
        <f t="shared" si="165"/>
        <v>0-DEMOLA</v>
      </c>
      <c r="AA334" s="346" t="str">
        <f t="shared" si="166"/>
        <v>0-DEMOLE</v>
      </c>
      <c r="AB334" s="346" t="str">
        <f t="shared" si="167"/>
        <v>0-DEMOLM</v>
      </c>
      <c r="AC334" s="346" t="str">
        <f t="shared" si="168"/>
        <v>0-DEMOLT</v>
      </c>
      <c r="AD334" s="346" t="str">
        <f t="shared" si="169"/>
        <v>0-DEMOLS</v>
      </c>
      <c r="AE334" s="346" t="str">
        <f t="shared" si="170"/>
        <v>0-DEMOLX</v>
      </c>
      <c r="AF334" s="346" t="str">
        <f t="shared" si="171"/>
        <v>0-DEMOLE</v>
      </c>
      <c r="AG334" s="346">
        <f t="shared" si="186"/>
        <v>13</v>
      </c>
      <c r="AH334" s="346">
        <f>IF(B334&lt;&gt;"",+IF(H334="x",+VLOOKUP(I334,'AUX-NIV2'!B:AG,32,FALSE),0),"")</f>
        <v>0</v>
      </c>
      <c r="AI334" s="346" t="str">
        <f t="shared" si="172"/>
        <v>0-DEMOL</v>
      </c>
      <c r="AK334" s="347">
        <f t="shared" si="187"/>
        <v>326</v>
      </c>
      <c r="AL334" s="348">
        <f t="shared" si="173"/>
        <v>338</v>
      </c>
      <c r="AM334" s="347">
        <f t="shared" si="174"/>
        <v>9</v>
      </c>
      <c r="AN334" s="382">
        <f>IF(AND(AH334&gt;0,B334&lt;&gt;""),VLOOKUP(I334,'AUX-NIV2'!$B:$AP,40,FALSE)*O334,0)</f>
        <v>0</v>
      </c>
      <c r="AO334" s="382">
        <f t="shared" si="188"/>
        <v>2.3218749999999999</v>
      </c>
      <c r="AQ334" s="395">
        <f>(IF($H334="x",VLOOKUP($I334,'AUX-NIV2'!$B:$X,'AUX-NIV1'!AQ$3,FALSE),0)+($AV334*'AUX-NIV3'!S$4))*$O334+IF($H334=AQ$4,$P334,0)</f>
        <v>0</v>
      </c>
      <c r="AR334" s="395">
        <f>(IF($H334="x",VLOOKUP($I334,'AUX-NIV2'!$B:$X,'AUX-NIV1'!AR$3,FALSE),0)+($AV334*'AUX-NIV3'!T$4))*$O334+IF($H334=AR$4,$P334,0)</f>
        <v>294.63129375</v>
      </c>
      <c r="AS334" s="395">
        <f>(IF($H334="x",VLOOKUP($I334,'AUX-NIV2'!$B:$X,'AUX-NIV1'!AS$3,FALSE),0)+($AV334*'AUX-NIV3'!U$4))*$O334+IF($H334=AS$4,$P334,0)</f>
        <v>0</v>
      </c>
      <c r="AT334" s="395">
        <f>(IF($H334="x",VLOOKUP($I334,'AUX-NIV2'!$B:$X,'AUX-NIV1'!AT$3,FALSE),0)+($AV334*'AUX-NIV3'!V$4))*$O334+IF($H334=AT$4,$P334,0)</f>
        <v>0</v>
      </c>
      <c r="AU334" s="395">
        <f>(IF($H334="x",VLOOKUP($I334,'AUX-NIV2'!$B:$X,'AUX-NIV1'!AU$3,FALSE),0)+($AV334*'AUX-NIV3'!W$4))*$O334+IF($H334=AU$4,$P334,0)</f>
        <v>0</v>
      </c>
      <c r="AV334" s="395">
        <f>+IF($H334="x",VLOOKUP($I334,'AUX-NIV2'!$B:$X,'AUX-NIV1'!AV$3,FALSE),0)</f>
        <v>0</v>
      </c>
    </row>
    <row r="335" spans="2:48" ht="14.4" hidden="1" thickTop="1" thickBot="1">
      <c r="B335" s="324" t="s">
        <v>2956</v>
      </c>
      <c r="C335" s="325" t="s">
        <v>2894</v>
      </c>
      <c r="D335" s="326" t="s">
        <v>1160</v>
      </c>
      <c r="E335" s="349">
        <f>IF(B335&lt;&gt;"",+SUMIF(Items!C:C,'AUX-NIV1'!B335,Items!H:H),"")</f>
        <v>0</v>
      </c>
      <c r="F335" s="349">
        <f t="shared" si="178"/>
        <v>2705.0131925510173</v>
      </c>
      <c r="G335" s="349">
        <f t="shared" si="179"/>
        <v>0</v>
      </c>
      <c r="H335" s="1395" t="str">
        <f t="shared" si="161"/>
        <v>A</v>
      </c>
      <c r="I335" s="1375" t="s">
        <v>1746</v>
      </c>
      <c r="J335" s="350" t="str">
        <f>IF(B335&lt;&gt;"",+VLOOKUP(I335,Recursos!C:F,2,FALSE),"")</f>
        <v>OFICIAL</v>
      </c>
      <c r="K335" s="351" t="str">
        <f>IF(B335&lt;&gt;"",+VLOOKUP(I335,Recursos!C:F,3,FALSE),"")</f>
        <v>hh</v>
      </c>
      <c r="L335" s="436">
        <f>IF(B335&lt;&gt;"",+VLOOKUP(I335,Recursos!C:F,4,FALSE),"")</f>
        <v>496.91595439275824</v>
      </c>
      <c r="M335" s="982"/>
      <c r="N335" s="763">
        <v>1.25</v>
      </c>
      <c r="O335" s="439">
        <f>+N336*N335/M326</f>
        <v>0.125</v>
      </c>
      <c r="P335" s="440">
        <f t="shared" si="162"/>
        <v>62.11449429909478</v>
      </c>
      <c r="Q335" s="349">
        <f t="shared" si="163"/>
        <v>0</v>
      </c>
      <c r="R335" s="353">
        <f t="shared" si="164"/>
        <v>0</v>
      </c>
      <c r="S335" s="354">
        <f t="shared" si="180"/>
        <v>1137.1100613010174</v>
      </c>
      <c r="T335" s="354">
        <f t="shared" si="181"/>
        <v>980.40313125</v>
      </c>
      <c r="U335" s="355">
        <f t="shared" si="182"/>
        <v>587.5</v>
      </c>
      <c r="V335" s="355">
        <f t="shared" si="183"/>
        <v>0</v>
      </c>
      <c r="W335" s="355">
        <f t="shared" si="184"/>
        <v>0</v>
      </c>
      <c r="X335" s="355">
        <f t="shared" si="185"/>
        <v>0</v>
      </c>
      <c r="Y335" s="396"/>
      <c r="Z335" s="346" t="str">
        <f t="shared" si="165"/>
        <v>0-DEMOLA</v>
      </c>
      <c r="AA335" s="346" t="str">
        <f t="shared" si="166"/>
        <v>0-DEMOLE</v>
      </c>
      <c r="AB335" s="346" t="str">
        <f t="shared" si="167"/>
        <v>0-DEMOLM</v>
      </c>
      <c r="AC335" s="346" t="str">
        <f t="shared" si="168"/>
        <v>0-DEMOLT</v>
      </c>
      <c r="AD335" s="346" t="str">
        <f t="shared" si="169"/>
        <v>0-DEMOLS</v>
      </c>
      <c r="AE335" s="346" t="str">
        <f t="shared" si="170"/>
        <v>0-DEMOLX</v>
      </c>
      <c r="AF335" s="346" t="str">
        <f t="shared" si="171"/>
        <v>0-DEMOLA</v>
      </c>
      <c r="AG335" s="346">
        <f t="shared" si="186"/>
        <v>13</v>
      </c>
      <c r="AH335" s="346">
        <f>IF(B335&lt;&gt;"",+IF(H335="x",+VLOOKUP(I335,'AUX-NIV2'!B:AG,32,FALSE),0),"")</f>
        <v>0</v>
      </c>
      <c r="AI335" s="346" t="str">
        <f t="shared" si="172"/>
        <v>0-DEMOL</v>
      </c>
      <c r="AK335" s="347">
        <f t="shared" si="187"/>
        <v>326</v>
      </c>
      <c r="AL335" s="348">
        <f t="shared" si="173"/>
        <v>338</v>
      </c>
      <c r="AM335" s="347">
        <f t="shared" si="174"/>
        <v>10</v>
      </c>
      <c r="AN335" s="382">
        <f>IF(AND(AH335&gt;0,B335&lt;&gt;""),VLOOKUP(I335,'AUX-NIV2'!$B:$AP,40,FALSE)*O335,0)</f>
        <v>0</v>
      </c>
      <c r="AO335" s="382">
        <f t="shared" si="188"/>
        <v>2.3218749999999999</v>
      </c>
      <c r="AQ335" s="395">
        <f>(IF($H335="x",VLOOKUP($I335,'AUX-NIV2'!$B:$X,'AUX-NIV1'!AQ$3,FALSE),0)+($AV335*'AUX-NIV3'!S$4))*$O335+IF($H335=AQ$4,$P335,0)</f>
        <v>62.11449429909478</v>
      </c>
      <c r="AR335" s="395">
        <f>(IF($H335="x",VLOOKUP($I335,'AUX-NIV2'!$B:$X,'AUX-NIV1'!AR$3,FALSE),0)+($AV335*'AUX-NIV3'!T$4))*$O335+IF($H335=AR$4,$P335,0)</f>
        <v>0</v>
      </c>
      <c r="AS335" s="395">
        <f>(IF($H335="x",VLOOKUP($I335,'AUX-NIV2'!$B:$X,'AUX-NIV1'!AS$3,FALSE),0)+($AV335*'AUX-NIV3'!U$4))*$O335+IF($H335=AS$4,$P335,0)</f>
        <v>0</v>
      </c>
      <c r="AT335" s="395">
        <f>(IF($H335="x",VLOOKUP($I335,'AUX-NIV2'!$B:$X,'AUX-NIV1'!AT$3,FALSE),0)+($AV335*'AUX-NIV3'!V$4))*$O335+IF($H335=AT$4,$P335,0)</f>
        <v>0</v>
      </c>
      <c r="AU335" s="395">
        <f>(IF($H335="x",VLOOKUP($I335,'AUX-NIV2'!$B:$X,'AUX-NIV1'!AU$3,FALSE),0)+($AV335*'AUX-NIV3'!W$4))*$O335+IF($H335=AU$4,$P335,0)</f>
        <v>0</v>
      </c>
      <c r="AV335" s="395">
        <f>+IF($H335="x",VLOOKUP($I335,'AUX-NIV2'!$B:$X,'AUX-NIV1'!AV$3,FALSE),0)</f>
        <v>0</v>
      </c>
    </row>
    <row r="336" spans="2:48" ht="14.4" hidden="1" thickTop="1" thickBot="1">
      <c r="B336" s="324" t="s">
        <v>2956</v>
      </c>
      <c r="C336" s="325" t="s">
        <v>2894</v>
      </c>
      <c r="D336" s="326" t="s">
        <v>1160</v>
      </c>
      <c r="E336" s="349">
        <f>IF(B336&lt;&gt;"",+SUMIF(Items!C:C,'AUX-NIV1'!B336,Items!H:H),"")</f>
        <v>0</v>
      </c>
      <c r="F336" s="349">
        <f t="shared" si="178"/>
        <v>2705.0131925510173</v>
      </c>
      <c r="G336" s="349">
        <f t="shared" si="179"/>
        <v>0</v>
      </c>
      <c r="H336" s="1395" t="str">
        <f t="shared" ref="H336:H399" si="189">IF(B336&lt;&gt;"",+LEFT(I336,1),"")</f>
        <v>E</v>
      </c>
      <c r="I336" s="1375" t="s">
        <v>1555</v>
      </c>
      <c r="J336" s="350" t="str">
        <f>IF(B336&lt;&gt;"",+VLOOKUP(I336,Recursos!C:F,2,FALSE),"")</f>
        <v>CAMION VOLCADOR 6x4 CAP. 24 T=15 m3</v>
      </c>
      <c r="K336" s="351" t="str">
        <f>IF(B336&lt;&gt;"",+VLOOKUP(I336,Recursos!C:F,3,FALSE),"")</f>
        <v>HR</v>
      </c>
      <c r="L336" s="436">
        <f>IF(B336&lt;&gt;"",+VLOOKUP(I336,Recursos!C:F,4,FALSE),"")</f>
        <v>3333.261</v>
      </c>
      <c r="M336" s="980"/>
      <c r="N336" s="981">
        <v>1</v>
      </c>
      <c r="O336" s="439">
        <f>+N336/M326</f>
        <v>0.1</v>
      </c>
      <c r="P336" s="440">
        <f t="shared" ref="P336:P399" si="190">IF(B336&lt;&gt;"",O336*L336,"")</f>
        <v>333.3261</v>
      </c>
      <c r="Q336" s="349">
        <f t="shared" ref="Q336:Q399" si="191">IF(B336&lt;&gt;"",+O336*E336,"")</f>
        <v>0</v>
      </c>
      <c r="R336" s="353">
        <f t="shared" ref="R336:R399" si="192">IF(B336&lt;&gt;"",Q336*L336,"")</f>
        <v>0</v>
      </c>
      <c r="S336" s="354">
        <f t="shared" si="180"/>
        <v>1137.1100613010174</v>
      </c>
      <c r="T336" s="354">
        <f t="shared" si="181"/>
        <v>980.40313125</v>
      </c>
      <c r="U336" s="355">
        <f t="shared" si="182"/>
        <v>587.5</v>
      </c>
      <c r="V336" s="355">
        <f t="shared" si="183"/>
        <v>0</v>
      </c>
      <c r="W336" s="355">
        <f t="shared" si="184"/>
        <v>0</v>
      </c>
      <c r="X336" s="355">
        <f t="shared" si="185"/>
        <v>0</v>
      </c>
      <c r="Y336" s="396"/>
      <c r="Z336" s="346" t="str">
        <f t="shared" ref="Z336:Z399" si="193">IF(B336&lt;&gt;"",+$B336&amp;"A","")</f>
        <v>0-DEMOLA</v>
      </c>
      <c r="AA336" s="346" t="str">
        <f t="shared" ref="AA336:AA399" si="194">IF(B336&lt;&gt;"",+$B336&amp;"E","")</f>
        <v>0-DEMOLE</v>
      </c>
      <c r="AB336" s="346" t="str">
        <f t="shared" ref="AB336:AB399" si="195">IF(B336&lt;&gt;"",++$B336&amp;"M","")</f>
        <v>0-DEMOLM</v>
      </c>
      <c r="AC336" s="346" t="str">
        <f t="shared" ref="AC336:AC399" si="196">IF(B336&lt;&gt;"",+$B336&amp;"T","")</f>
        <v>0-DEMOLT</v>
      </c>
      <c r="AD336" s="346" t="str">
        <f t="shared" ref="AD336:AD399" si="197">IF(B336&lt;&gt;"",+$B336&amp;"S","")</f>
        <v>0-DEMOLS</v>
      </c>
      <c r="AE336" s="346" t="str">
        <f t="shared" ref="AE336:AE399" si="198">IF(B336&lt;&gt;"",+$B336&amp;"X","")</f>
        <v>0-DEMOLX</v>
      </c>
      <c r="AF336" s="346" t="str">
        <f t="shared" ref="AF336:AF399" si="199">IF(B336&lt;&gt;"",+B336&amp;H336,"")</f>
        <v>0-DEMOLE</v>
      </c>
      <c r="AG336" s="346">
        <f t="shared" si="186"/>
        <v>13</v>
      </c>
      <c r="AH336" s="346">
        <f>IF(B336&lt;&gt;"",+IF(H336="x",+VLOOKUP(I336,'AUX-NIV2'!B:AG,32,FALSE),0),"")</f>
        <v>0</v>
      </c>
      <c r="AI336" s="346" t="str">
        <f t="shared" ref="AI336:AI399" si="200">IF(B336&lt;&gt;"",+B336,"")</f>
        <v>0-DEMOL</v>
      </c>
      <c r="AK336" s="347">
        <f t="shared" si="187"/>
        <v>326</v>
      </c>
      <c r="AL336" s="348">
        <f t="shared" ref="AL336:AL399" si="201">IF(B336&lt;&gt;"",+AK336+AG336-1,"")</f>
        <v>338</v>
      </c>
      <c r="AM336" s="347">
        <f t="shared" ref="AM336:AM399" si="202">IF(B336&lt;&gt;"",IF(B336=B335,1+AM335,1),"")</f>
        <v>11</v>
      </c>
      <c r="AN336" s="382">
        <f>IF(AND(AH336&gt;0,B336&lt;&gt;""),VLOOKUP(I336,'AUX-NIV2'!$B:$AP,40,FALSE)*O336,0)</f>
        <v>0</v>
      </c>
      <c r="AO336" s="382">
        <f t="shared" si="188"/>
        <v>2.3218749999999999</v>
      </c>
      <c r="AQ336" s="395">
        <f>(IF($H336="x",VLOOKUP($I336,'AUX-NIV2'!$B:$X,'AUX-NIV1'!AQ$3,FALSE),0)+($AV336*'AUX-NIV3'!S$4))*$O336+IF($H336=AQ$4,$P336,0)</f>
        <v>0</v>
      </c>
      <c r="AR336" s="395">
        <f>(IF($H336="x",VLOOKUP($I336,'AUX-NIV2'!$B:$X,'AUX-NIV1'!AR$3,FALSE),0)+($AV336*'AUX-NIV3'!T$4))*$O336+IF($H336=AR$4,$P336,0)</f>
        <v>333.3261</v>
      </c>
      <c r="AS336" s="395">
        <f>(IF($H336="x",VLOOKUP($I336,'AUX-NIV2'!$B:$X,'AUX-NIV1'!AS$3,FALSE),0)+($AV336*'AUX-NIV3'!U$4))*$O336+IF($H336=AS$4,$P336,0)</f>
        <v>0</v>
      </c>
      <c r="AT336" s="395">
        <f>(IF($H336="x",VLOOKUP($I336,'AUX-NIV2'!$B:$X,'AUX-NIV1'!AT$3,FALSE),0)+($AV336*'AUX-NIV3'!V$4))*$O336+IF($H336=AT$4,$P336,0)</f>
        <v>0</v>
      </c>
      <c r="AU336" s="395">
        <f>(IF($H336="x",VLOOKUP($I336,'AUX-NIV2'!$B:$X,'AUX-NIV1'!AU$3,FALSE),0)+($AV336*'AUX-NIV3'!W$4))*$O336+IF($H336=AU$4,$P336,0)</f>
        <v>0</v>
      </c>
      <c r="AV336" s="395">
        <f>+IF($H336="x",VLOOKUP($I336,'AUX-NIV2'!$B:$X,'AUX-NIV1'!AV$3,FALSE),0)</f>
        <v>0</v>
      </c>
    </row>
    <row r="337" spans="2:48" ht="14.4" hidden="1" thickTop="1" thickBot="1">
      <c r="B337" s="324" t="s">
        <v>2956</v>
      </c>
      <c r="C337" s="325" t="s">
        <v>2894</v>
      </c>
      <c r="D337" s="326" t="s">
        <v>1160</v>
      </c>
      <c r="E337" s="349">
        <f>IF(B337&lt;&gt;"",+SUMIF(Items!C:C,'AUX-NIV1'!B337,Items!H:H),"")</f>
        <v>0</v>
      </c>
      <c r="F337" s="349">
        <f t="shared" si="178"/>
        <v>2705.0131925510173</v>
      </c>
      <c r="G337" s="349">
        <f t="shared" si="179"/>
        <v>0</v>
      </c>
      <c r="H337" s="1395" t="str">
        <f t="shared" si="189"/>
        <v>M</v>
      </c>
      <c r="I337" s="1375" t="s">
        <v>2142</v>
      </c>
      <c r="J337" s="350" t="str">
        <f>IF(B337&lt;&gt;"",+VLOOKUP(I337,Recursos!C:F,2,FALSE),"")</f>
        <v>HERRAMIENTAS MENORES</v>
      </c>
      <c r="K337" s="351" t="str">
        <f>IF(B337&lt;&gt;"",+VLOOKUP(I337,Recursos!C:F,3,FALSE),"")</f>
        <v>un</v>
      </c>
      <c r="L337" s="436">
        <f>IF(B337&lt;&gt;"",+VLOOKUP(I337,Recursos!C:F,4,FALSE),"")</f>
        <v>1</v>
      </c>
      <c r="M337" s="985">
        <f>4700*10%</f>
        <v>470</v>
      </c>
      <c r="N337" s="987"/>
      <c r="O337" s="439">
        <f>+M337</f>
        <v>470</v>
      </c>
      <c r="P337" s="440">
        <f t="shared" si="190"/>
        <v>470</v>
      </c>
      <c r="Q337" s="349">
        <f t="shared" si="191"/>
        <v>0</v>
      </c>
      <c r="R337" s="353">
        <f t="shared" si="192"/>
        <v>0</v>
      </c>
      <c r="S337" s="354">
        <f t="shared" si="180"/>
        <v>1137.1100613010174</v>
      </c>
      <c r="T337" s="354">
        <f t="shared" si="181"/>
        <v>980.40313125</v>
      </c>
      <c r="U337" s="355">
        <f t="shared" si="182"/>
        <v>587.5</v>
      </c>
      <c r="V337" s="355">
        <f t="shared" si="183"/>
        <v>0</v>
      </c>
      <c r="W337" s="355">
        <f t="shared" si="184"/>
        <v>0</v>
      </c>
      <c r="X337" s="355">
        <f t="shared" si="185"/>
        <v>0</v>
      </c>
      <c r="Y337" s="396"/>
      <c r="Z337" s="346" t="str">
        <f t="shared" si="193"/>
        <v>0-DEMOLA</v>
      </c>
      <c r="AA337" s="346" t="str">
        <f t="shared" si="194"/>
        <v>0-DEMOLE</v>
      </c>
      <c r="AB337" s="346" t="str">
        <f t="shared" si="195"/>
        <v>0-DEMOLM</v>
      </c>
      <c r="AC337" s="346" t="str">
        <f t="shared" si="196"/>
        <v>0-DEMOLT</v>
      </c>
      <c r="AD337" s="346" t="str">
        <f t="shared" si="197"/>
        <v>0-DEMOLS</v>
      </c>
      <c r="AE337" s="346" t="str">
        <f t="shared" si="198"/>
        <v>0-DEMOLX</v>
      </c>
      <c r="AF337" s="346" t="str">
        <f t="shared" si="199"/>
        <v>0-DEMOLM</v>
      </c>
      <c r="AG337" s="346">
        <f t="shared" si="186"/>
        <v>13</v>
      </c>
      <c r="AH337" s="346">
        <f>IF(B337&lt;&gt;"",+IF(H337="x",+VLOOKUP(I337,'AUX-NIV2'!B:AG,32,FALSE),0),"")</f>
        <v>0</v>
      </c>
      <c r="AI337" s="346" t="str">
        <f t="shared" si="200"/>
        <v>0-DEMOL</v>
      </c>
      <c r="AK337" s="347">
        <f t="shared" si="187"/>
        <v>326</v>
      </c>
      <c r="AL337" s="348">
        <f t="shared" si="201"/>
        <v>338</v>
      </c>
      <c r="AM337" s="347">
        <f t="shared" si="202"/>
        <v>12</v>
      </c>
      <c r="AN337" s="382">
        <f>IF(AND(AH337&gt;0,B337&lt;&gt;""),VLOOKUP(I337,'AUX-NIV2'!$B:$AP,40,FALSE)*O337,0)</f>
        <v>0</v>
      </c>
      <c r="AO337" s="382">
        <f t="shared" si="188"/>
        <v>2.3218749999999999</v>
      </c>
      <c r="AQ337" s="395">
        <f>(IF($H337="x",VLOOKUP($I337,'AUX-NIV2'!$B:$X,'AUX-NIV1'!AQ$3,FALSE),0)+($AV337*'AUX-NIV3'!S$4))*$O337+IF($H337=AQ$4,$P337,0)</f>
        <v>0</v>
      </c>
      <c r="AR337" s="395">
        <f>(IF($H337="x",VLOOKUP($I337,'AUX-NIV2'!$B:$X,'AUX-NIV1'!AR$3,FALSE),0)+($AV337*'AUX-NIV3'!T$4))*$O337+IF($H337=AR$4,$P337,0)</f>
        <v>0</v>
      </c>
      <c r="AS337" s="395">
        <f>(IF($H337="x",VLOOKUP($I337,'AUX-NIV2'!$B:$X,'AUX-NIV1'!AS$3,FALSE),0)+($AV337*'AUX-NIV3'!U$4))*$O337+IF($H337=AS$4,$P337,0)</f>
        <v>470</v>
      </c>
      <c r="AT337" s="395">
        <f>(IF($H337="x",VLOOKUP($I337,'AUX-NIV2'!$B:$X,'AUX-NIV1'!AT$3,FALSE),0)+($AV337*'AUX-NIV3'!V$4))*$O337+IF($H337=AT$4,$P337,0)</f>
        <v>0</v>
      </c>
      <c r="AU337" s="395">
        <f>(IF($H337="x",VLOOKUP($I337,'AUX-NIV2'!$B:$X,'AUX-NIV1'!AU$3,FALSE),0)+($AV337*'AUX-NIV3'!W$4))*$O337+IF($H337=AU$4,$P337,0)</f>
        <v>0</v>
      </c>
      <c r="AV337" s="395">
        <f>+IF($H337="x",VLOOKUP($I337,'AUX-NIV2'!$B:$X,'AUX-NIV1'!AV$3,FALSE),0)</f>
        <v>0</v>
      </c>
    </row>
    <row r="338" spans="2:48" ht="14.4" hidden="1" thickTop="1" thickBot="1">
      <c r="B338" s="324" t="s">
        <v>2956</v>
      </c>
      <c r="C338" s="325" t="s">
        <v>2894</v>
      </c>
      <c r="D338" s="326" t="s">
        <v>1160</v>
      </c>
      <c r="E338" s="349">
        <f>IF(B338&lt;&gt;"",+SUMIF(Items!C:C,'AUX-NIV1'!B338,Items!H:H),"")</f>
        <v>0</v>
      </c>
      <c r="F338" s="349">
        <f t="shared" si="178"/>
        <v>2705.0131925510173</v>
      </c>
      <c r="G338" s="349">
        <f t="shared" si="179"/>
        <v>0</v>
      </c>
      <c r="H338" s="1395" t="str">
        <f t="shared" si="189"/>
        <v>M</v>
      </c>
      <c r="I338" s="1375" t="s">
        <v>621</v>
      </c>
      <c r="J338" s="350" t="str">
        <f>IF(B338&lt;&gt;"",+VLOOKUP(I338,Recursos!C:F,2,FALSE),"")</f>
        <v>MATERIALES VARIOS</v>
      </c>
      <c r="K338" s="351" t="str">
        <f>IF(B338&lt;&gt;"",+VLOOKUP(I338,Recursos!C:F,3,FALSE),"")</f>
        <v>GL</v>
      </c>
      <c r="L338" s="436">
        <f>IF(B338&lt;&gt;"",+VLOOKUP(I338,Recursos!C:F,4,FALSE),"")</f>
        <v>0.5</v>
      </c>
      <c r="M338" s="979">
        <f>4700*5%</f>
        <v>235</v>
      </c>
      <c r="N338" s="988"/>
      <c r="O338" s="439">
        <f>+M338</f>
        <v>235</v>
      </c>
      <c r="P338" s="440">
        <f t="shared" si="190"/>
        <v>117.5</v>
      </c>
      <c r="Q338" s="349">
        <f t="shared" si="191"/>
        <v>0</v>
      </c>
      <c r="R338" s="353">
        <f t="shared" si="192"/>
        <v>0</v>
      </c>
      <c r="S338" s="354">
        <f t="shared" si="180"/>
        <v>1137.1100613010174</v>
      </c>
      <c r="T338" s="354">
        <f t="shared" si="181"/>
        <v>980.40313125</v>
      </c>
      <c r="U338" s="355">
        <f t="shared" si="182"/>
        <v>587.5</v>
      </c>
      <c r="V338" s="355">
        <f t="shared" si="183"/>
        <v>0</v>
      </c>
      <c r="W338" s="355">
        <f t="shared" si="184"/>
        <v>0</v>
      </c>
      <c r="X338" s="355">
        <f t="shared" si="185"/>
        <v>0</v>
      </c>
      <c r="Y338" s="396"/>
      <c r="Z338" s="346" t="str">
        <f t="shared" si="193"/>
        <v>0-DEMOLA</v>
      </c>
      <c r="AA338" s="346" t="str">
        <f t="shared" si="194"/>
        <v>0-DEMOLE</v>
      </c>
      <c r="AB338" s="346" t="str">
        <f t="shared" si="195"/>
        <v>0-DEMOLM</v>
      </c>
      <c r="AC338" s="346" t="str">
        <f t="shared" si="196"/>
        <v>0-DEMOLT</v>
      </c>
      <c r="AD338" s="346" t="str">
        <f t="shared" si="197"/>
        <v>0-DEMOLS</v>
      </c>
      <c r="AE338" s="346" t="str">
        <f t="shared" si="198"/>
        <v>0-DEMOLX</v>
      </c>
      <c r="AF338" s="346" t="str">
        <f t="shared" si="199"/>
        <v>0-DEMOLM</v>
      </c>
      <c r="AG338" s="346">
        <f t="shared" si="186"/>
        <v>13</v>
      </c>
      <c r="AH338" s="346">
        <f>IF(B338&lt;&gt;"",+IF(H338="x",+VLOOKUP(I338,'AUX-NIV2'!B:AG,32,FALSE),0),"")</f>
        <v>0</v>
      </c>
      <c r="AI338" s="346" t="str">
        <f t="shared" si="200"/>
        <v>0-DEMOL</v>
      </c>
      <c r="AK338" s="347">
        <f t="shared" si="187"/>
        <v>326</v>
      </c>
      <c r="AL338" s="348">
        <f t="shared" si="201"/>
        <v>338</v>
      </c>
      <c r="AM338" s="347">
        <f t="shared" si="202"/>
        <v>13</v>
      </c>
      <c r="AN338" s="382">
        <f>IF(AND(AH338&gt;0,B338&lt;&gt;""),VLOOKUP(I338,'AUX-NIV2'!$B:$AP,40,FALSE)*O338,0)</f>
        <v>0</v>
      </c>
      <c r="AO338" s="382">
        <f t="shared" si="188"/>
        <v>2.3218749999999999</v>
      </c>
      <c r="AQ338" s="395">
        <f>(IF($H338="x",VLOOKUP($I338,'AUX-NIV2'!$B:$X,'AUX-NIV1'!AQ$3,FALSE),0)+($AV338*'AUX-NIV3'!S$4))*$O338+IF($H338=AQ$4,$P338,0)</f>
        <v>0</v>
      </c>
      <c r="AR338" s="395">
        <f>(IF($H338="x",VLOOKUP($I338,'AUX-NIV2'!$B:$X,'AUX-NIV1'!AR$3,FALSE),0)+($AV338*'AUX-NIV3'!T$4))*$O338+IF($H338=AR$4,$P338,0)</f>
        <v>0</v>
      </c>
      <c r="AS338" s="395">
        <f>(IF($H338="x",VLOOKUP($I338,'AUX-NIV2'!$B:$X,'AUX-NIV1'!AS$3,FALSE),0)+($AV338*'AUX-NIV3'!U$4))*$O338+IF($H338=AS$4,$P338,0)</f>
        <v>117.5</v>
      </c>
      <c r="AT338" s="395">
        <f>(IF($H338="x",VLOOKUP($I338,'AUX-NIV2'!$B:$X,'AUX-NIV1'!AT$3,FALSE),0)+($AV338*'AUX-NIV3'!V$4))*$O338+IF($H338=AT$4,$P338,0)</f>
        <v>0</v>
      </c>
      <c r="AU338" s="395">
        <f>(IF($H338="x",VLOOKUP($I338,'AUX-NIV2'!$B:$X,'AUX-NIV1'!AU$3,FALSE),0)+($AV338*'AUX-NIV3'!W$4))*$O338+IF($H338=AU$4,$P338,0)</f>
        <v>0</v>
      </c>
      <c r="AV338" s="395">
        <f>+IF($H338="x",VLOOKUP($I338,'AUX-NIV2'!$B:$X,'AUX-NIV1'!AV$3,FALSE),0)</f>
        <v>0</v>
      </c>
    </row>
    <row r="339" spans="2:48" ht="14.4" hidden="1" thickTop="1" thickBot="1">
      <c r="B339" s="324" t="s">
        <v>2957</v>
      </c>
      <c r="C339" s="325" t="s">
        <v>2958</v>
      </c>
      <c r="D339" s="326" t="s">
        <v>1160</v>
      </c>
      <c r="E339" s="349">
        <f>IF(B339&lt;&gt;"",+SUMIF(Items!C:C,'AUX-NIV1'!B339,Items!H:H),"")</f>
        <v>0</v>
      </c>
      <c r="F339" s="349">
        <f t="shared" si="178"/>
        <v>34157.99686268052</v>
      </c>
      <c r="G339" s="349">
        <f t="shared" si="179"/>
        <v>0</v>
      </c>
      <c r="H339" s="1395" t="str">
        <f t="shared" si="189"/>
        <v>X</v>
      </c>
      <c r="I339" s="1375" t="s">
        <v>1508</v>
      </c>
      <c r="J339" s="350" t="str">
        <f>IF(B339&lt;&gt;"",+VLOOKUP(I339,Recursos!C:F,2,FALSE),"")</f>
        <v>Elaboración de Hgón H30</v>
      </c>
      <c r="K339" s="351" t="str">
        <f>IF(B339&lt;&gt;"",+VLOOKUP(I339,Recursos!C:F,3,FALSE),"")</f>
        <v>m3</v>
      </c>
      <c r="L339" s="436">
        <f>IF(B339&lt;&gt;"",+VLOOKUP(I339,Recursos!C:F,4,FALSE),"")</f>
        <v>5751.7751431377656</v>
      </c>
      <c r="M339" s="437">
        <v>1.1000000000000001</v>
      </c>
      <c r="N339" s="438"/>
      <c r="O339" s="439">
        <f>+M339</f>
        <v>1.1000000000000001</v>
      </c>
      <c r="P339" s="440">
        <f t="shared" si="190"/>
        <v>6326.952657451543</v>
      </c>
      <c r="Q339" s="349">
        <f t="shared" si="191"/>
        <v>0</v>
      </c>
      <c r="R339" s="353">
        <f t="shared" si="192"/>
        <v>0</v>
      </c>
      <c r="S339" s="354">
        <f t="shared" si="180"/>
        <v>0</v>
      </c>
      <c r="T339" s="354">
        <f t="shared" si="181"/>
        <v>0</v>
      </c>
      <c r="U339" s="355">
        <f t="shared" si="182"/>
        <v>0</v>
      </c>
      <c r="V339" s="355">
        <f t="shared" si="183"/>
        <v>0</v>
      </c>
      <c r="W339" s="355">
        <f t="shared" si="184"/>
        <v>0</v>
      </c>
      <c r="X339" s="355">
        <f t="shared" si="185"/>
        <v>34157.99686268052</v>
      </c>
      <c r="Y339" s="396"/>
      <c r="Z339" s="346" t="str">
        <f t="shared" si="193"/>
        <v>0-HGPEA</v>
      </c>
      <c r="AA339" s="346" t="str">
        <f t="shared" si="194"/>
        <v>0-HGPEE</v>
      </c>
      <c r="AB339" s="346" t="str">
        <f t="shared" si="195"/>
        <v>0-HGPEM</v>
      </c>
      <c r="AC339" s="346" t="str">
        <f t="shared" si="196"/>
        <v>0-HGPET</v>
      </c>
      <c r="AD339" s="346" t="str">
        <f t="shared" si="197"/>
        <v>0-HGPES</v>
      </c>
      <c r="AE339" s="346" t="str">
        <f t="shared" si="198"/>
        <v>0-HGPEX</v>
      </c>
      <c r="AF339" s="346" t="str">
        <f t="shared" si="199"/>
        <v>0-HGPEX</v>
      </c>
      <c r="AG339" s="346">
        <f t="shared" si="186"/>
        <v>5</v>
      </c>
      <c r="AH339" s="346">
        <f>IF(B339&lt;&gt;"",+IF(H339="x",+VLOOKUP(I339,'AUX-NIV2'!B:AG,32,FALSE),0),"")</f>
        <v>7</v>
      </c>
      <c r="AI339" s="346" t="str">
        <f t="shared" si="200"/>
        <v>0-HGPE</v>
      </c>
      <c r="AK339" s="347">
        <f t="shared" si="187"/>
        <v>339</v>
      </c>
      <c r="AL339" s="348">
        <f t="shared" si="201"/>
        <v>343</v>
      </c>
      <c r="AM339" s="347">
        <f t="shared" si="202"/>
        <v>1</v>
      </c>
      <c r="AN339" s="382">
        <f>IF(AND(AH339&gt;0,B339&lt;&gt;""),VLOOKUP(I339,'AUX-NIV2'!$B:$AP,40,FALSE)*O339,0)</f>
        <v>1.028286875</v>
      </c>
      <c r="AO339" s="382">
        <f t="shared" si="188"/>
        <v>31.482918394274375</v>
      </c>
      <c r="AQ339" s="395">
        <f>(IF($H339="x",VLOOKUP($I339,'AUX-NIV2'!$B:$X,'AUX-NIV1'!AQ$3,FALSE),0)+($AV339*'AUX-NIV3'!S$4))*$O339+IF($H339=AQ$4,$P339,0)</f>
        <v>125.31637779053085</v>
      </c>
      <c r="AR339" s="395">
        <f>(IF($H339="x",VLOOKUP($I339,'AUX-NIV2'!$B:$X,'AUX-NIV1'!AR$3,FALSE),0)+($AV339*'AUX-NIV3'!T$4))*$O339+IF($H339=AR$4,$P339,0)</f>
        <v>1083.7891953241283</v>
      </c>
      <c r="AS339" s="395">
        <f>(IF($H339="x",VLOOKUP($I339,'AUX-NIV2'!$B:$X,'AUX-NIV1'!AS$3,FALSE),0)+($AV339*'AUX-NIV3'!U$4))*$O339+IF($H339=AS$4,$P339,0)</f>
        <v>5117.8470843368832</v>
      </c>
      <c r="AT339" s="395">
        <f>(IF($H339="x",VLOOKUP($I339,'AUX-NIV2'!$B:$X,'AUX-NIV1'!AT$3,FALSE),0)+($AV339*'AUX-NIV3'!V$4))*$O339+IF($H339=AT$4,$P339,0)</f>
        <v>0</v>
      </c>
      <c r="AU339" s="395">
        <f>(IF($H339="x",VLOOKUP($I339,'AUX-NIV2'!$B:$X,'AUX-NIV1'!AU$3,FALSE),0)+($AV339*'AUX-NIV3'!W$4))*$O339+IF($H339=AU$4,$P339,0)</f>
        <v>0</v>
      </c>
      <c r="AV339" s="395">
        <f>+IF($H339="x",VLOOKUP($I339,'AUX-NIV2'!$B:$X,'AUX-NIV1'!AV$3,FALSE),0)</f>
        <v>1100.9244514415236</v>
      </c>
    </row>
    <row r="340" spans="2:48" ht="14.4" hidden="1" thickTop="1" thickBot="1">
      <c r="B340" s="324" t="s">
        <v>2957</v>
      </c>
      <c r="C340" s="325" t="s">
        <v>2958</v>
      </c>
      <c r="D340" s="326" t="s">
        <v>1160</v>
      </c>
      <c r="E340" s="349">
        <f>IF(B340&lt;&gt;"",+SUMIF(Items!C:C,'AUX-NIV1'!B340,Items!H:H),"")</f>
        <v>0</v>
      </c>
      <c r="F340" s="349">
        <f t="shared" si="178"/>
        <v>34157.99686268052</v>
      </c>
      <c r="G340" s="349">
        <f t="shared" si="179"/>
        <v>0</v>
      </c>
      <c r="H340" s="1395" t="str">
        <f t="shared" si="189"/>
        <v>X</v>
      </c>
      <c r="I340" s="1375" t="s">
        <v>1504</v>
      </c>
      <c r="J340" s="350" t="str">
        <f>IF(B340&lt;&gt;"",+VLOOKUP(I340,Recursos!C:F,2,FALSE),"")</f>
        <v>Transporte de Hormigón</v>
      </c>
      <c r="K340" s="351" t="str">
        <f>IF(B340&lt;&gt;"",+VLOOKUP(I340,Recursos!C:F,3,FALSE),"")</f>
        <v>m3</v>
      </c>
      <c r="L340" s="436">
        <f>IF(B340&lt;&gt;"",+VLOOKUP(I340,Recursos!C:F,4,FALSE),"")</f>
        <v>440.72547018462734</v>
      </c>
      <c r="M340" s="441">
        <v>10</v>
      </c>
      <c r="N340" s="442"/>
      <c r="O340" s="439">
        <f>+M340*M339</f>
        <v>11</v>
      </c>
      <c r="P340" s="440">
        <f t="shared" si="190"/>
        <v>4847.9801720309006</v>
      </c>
      <c r="Q340" s="349">
        <f t="shared" si="191"/>
        <v>0</v>
      </c>
      <c r="R340" s="353">
        <f t="shared" si="192"/>
        <v>0</v>
      </c>
      <c r="S340" s="354">
        <f t="shared" si="180"/>
        <v>0</v>
      </c>
      <c r="T340" s="354">
        <f t="shared" si="181"/>
        <v>0</v>
      </c>
      <c r="U340" s="355">
        <f t="shared" si="182"/>
        <v>0</v>
      </c>
      <c r="V340" s="355">
        <f t="shared" si="183"/>
        <v>0</v>
      </c>
      <c r="W340" s="355">
        <f t="shared" si="184"/>
        <v>0</v>
      </c>
      <c r="X340" s="355">
        <f t="shared" si="185"/>
        <v>34157.99686268052</v>
      </c>
      <c r="Y340" s="396"/>
      <c r="Z340" s="346" t="str">
        <f t="shared" si="193"/>
        <v>0-HGPEA</v>
      </c>
      <c r="AA340" s="346" t="str">
        <f t="shared" si="194"/>
        <v>0-HGPEE</v>
      </c>
      <c r="AB340" s="346" t="str">
        <f t="shared" si="195"/>
        <v>0-HGPEM</v>
      </c>
      <c r="AC340" s="346" t="str">
        <f t="shared" si="196"/>
        <v>0-HGPET</v>
      </c>
      <c r="AD340" s="346" t="str">
        <f t="shared" si="197"/>
        <v>0-HGPES</v>
      </c>
      <c r="AE340" s="346" t="str">
        <f t="shared" si="198"/>
        <v>0-HGPEX</v>
      </c>
      <c r="AF340" s="346" t="str">
        <f t="shared" si="199"/>
        <v>0-HGPEX</v>
      </c>
      <c r="AG340" s="346">
        <f t="shared" si="186"/>
        <v>5</v>
      </c>
      <c r="AH340" s="346">
        <f>IF(B340&lt;&gt;"",+IF(H340="x",+VLOOKUP(I340,'AUX-NIV2'!B:AG,32,FALSE),0),"")</f>
        <v>2</v>
      </c>
      <c r="AI340" s="346" t="str">
        <f t="shared" si="200"/>
        <v>0-HGPE</v>
      </c>
      <c r="AK340" s="347">
        <f t="shared" si="187"/>
        <v>339</v>
      </c>
      <c r="AL340" s="348">
        <f t="shared" si="201"/>
        <v>343</v>
      </c>
      <c r="AM340" s="347">
        <f t="shared" si="202"/>
        <v>2</v>
      </c>
      <c r="AN340" s="382">
        <f>IF(AND(AH340&gt;0,B340&lt;&gt;""),VLOOKUP(I340,'AUX-NIV2'!$B:$AP,40,FALSE)*O340,0)</f>
        <v>1.9954648526077097</v>
      </c>
      <c r="AO340" s="382">
        <f t="shared" si="188"/>
        <v>31.482918394274375</v>
      </c>
      <c r="AQ340" s="395">
        <f>(IF($H340="x",VLOOKUP($I340,'AUX-NIV2'!$B:$X,'AUX-NIV1'!AQ$3,FALSE),0)+($AV340*'AUX-NIV3'!S$4))*$O340+IF($H340=AQ$4,$P340,0)</f>
        <v>991.57832169076482</v>
      </c>
      <c r="AR340" s="395">
        <f>(IF($H340="x",VLOOKUP($I340,'AUX-NIV2'!$B:$X,'AUX-NIV1'!AR$3,FALSE),0)+($AV340*'AUX-NIV3'!T$4))*$O340+IF($H340=AR$4,$P340,0)</f>
        <v>3856.4018503401358</v>
      </c>
      <c r="AS340" s="395">
        <f>(IF($H340="x",VLOOKUP($I340,'AUX-NIV2'!$B:$X,'AUX-NIV1'!AS$3,FALSE),0)+($AV340*'AUX-NIV3'!U$4))*$O340+IF($H340=AS$4,$P340,0)</f>
        <v>0</v>
      </c>
      <c r="AT340" s="395">
        <f>(IF($H340="x",VLOOKUP($I340,'AUX-NIV2'!$B:$X,'AUX-NIV1'!AT$3,FALSE),0)+($AV340*'AUX-NIV3'!V$4))*$O340+IF($H340=AT$4,$P340,0)</f>
        <v>0</v>
      </c>
      <c r="AU340" s="395">
        <f>(IF($H340="x",VLOOKUP($I340,'AUX-NIV2'!$B:$X,'AUX-NIV1'!AU$3,FALSE),0)+($AV340*'AUX-NIV3'!W$4))*$O340+IF($H340=AU$4,$P340,0)</f>
        <v>0</v>
      </c>
      <c r="AV340" s="395">
        <f>+IF($H340="x",VLOOKUP($I340,'AUX-NIV2'!$B:$X,'AUX-NIV1'!AV$3,FALSE),0)</f>
        <v>0</v>
      </c>
    </row>
    <row r="341" spans="2:48" ht="14.4" hidden="1" thickTop="1" thickBot="1">
      <c r="B341" s="324" t="s">
        <v>2957</v>
      </c>
      <c r="C341" s="325" t="s">
        <v>2958</v>
      </c>
      <c r="D341" s="326" t="s">
        <v>1160</v>
      </c>
      <c r="E341" s="349">
        <f>IF(B341&lt;&gt;"",+SUMIF(Items!C:C,'AUX-NIV1'!B341,Items!H:H),"")</f>
        <v>0</v>
      </c>
      <c r="F341" s="349">
        <f t="shared" si="178"/>
        <v>34157.99686268052</v>
      </c>
      <c r="G341" s="349">
        <f t="shared" si="179"/>
        <v>0</v>
      </c>
      <c r="H341" s="1395" t="str">
        <f t="shared" si="189"/>
        <v>X</v>
      </c>
      <c r="I341" s="1375" t="s">
        <v>2897</v>
      </c>
      <c r="J341" s="350" t="str">
        <f>IF(B341&lt;&gt;"",+VLOOKUP(I341,Recursos!C:F,2,FALSE),"")</f>
        <v>Colado de hgón con bomba</v>
      </c>
      <c r="K341" s="351" t="str">
        <f>IF(B341&lt;&gt;"",+VLOOKUP(I341,Recursos!C:F,3,FALSE),"")</f>
        <v>m3</v>
      </c>
      <c r="L341" s="436">
        <f>IF(B341&lt;&gt;"",+VLOOKUP(I341,Recursos!C:F,4,FALSE),"")</f>
        <v>4223.8879328752682</v>
      </c>
      <c r="M341" s="443"/>
      <c r="N341" s="442"/>
      <c r="O341" s="439">
        <f>+M339</f>
        <v>1.1000000000000001</v>
      </c>
      <c r="P341" s="440">
        <f t="shared" si="190"/>
        <v>4646.2767261627951</v>
      </c>
      <c r="Q341" s="349">
        <f t="shared" si="191"/>
        <v>0</v>
      </c>
      <c r="R341" s="353">
        <f t="shared" si="192"/>
        <v>0</v>
      </c>
      <c r="S341" s="354">
        <f t="shared" si="180"/>
        <v>0</v>
      </c>
      <c r="T341" s="354">
        <f t="shared" si="181"/>
        <v>0</v>
      </c>
      <c r="U341" s="355">
        <f t="shared" si="182"/>
        <v>0</v>
      </c>
      <c r="V341" s="355">
        <f t="shared" si="183"/>
        <v>0</v>
      </c>
      <c r="W341" s="355">
        <f t="shared" si="184"/>
        <v>0</v>
      </c>
      <c r="X341" s="355">
        <f t="shared" si="185"/>
        <v>34157.99686268052</v>
      </c>
      <c r="Y341" s="396"/>
      <c r="Z341" s="346" t="str">
        <f t="shared" si="193"/>
        <v>0-HGPEA</v>
      </c>
      <c r="AA341" s="346" t="str">
        <f t="shared" si="194"/>
        <v>0-HGPEE</v>
      </c>
      <c r="AB341" s="346" t="str">
        <f t="shared" si="195"/>
        <v>0-HGPEM</v>
      </c>
      <c r="AC341" s="346" t="str">
        <f t="shared" si="196"/>
        <v>0-HGPET</v>
      </c>
      <c r="AD341" s="346" t="str">
        <f t="shared" si="197"/>
        <v>0-HGPES</v>
      </c>
      <c r="AE341" s="346" t="str">
        <f t="shared" si="198"/>
        <v>0-HGPEX</v>
      </c>
      <c r="AF341" s="346" t="str">
        <f t="shared" si="199"/>
        <v>0-HGPEX</v>
      </c>
      <c r="AG341" s="346">
        <f t="shared" si="186"/>
        <v>5</v>
      </c>
      <c r="AH341" s="346">
        <f>IF(B341&lt;&gt;"",+IF(H341="x",+VLOOKUP(I341,'AUX-NIV2'!B:AG,32,FALSE),0),"")</f>
        <v>10</v>
      </c>
      <c r="AI341" s="346" t="str">
        <f t="shared" si="200"/>
        <v>0-HGPE</v>
      </c>
      <c r="AK341" s="347">
        <f t="shared" si="187"/>
        <v>339</v>
      </c>
      <c r="AL341" s="348">
        <f t="shared" si="201"/>
        <v>343</v>
      </c>
      <c r="AM341" s="347">
        <f t="shared" si="202"/>
        <v>3</v>
      </c>
      <c r="AN341" s="382">
        <f>IF(AND(AH341&gt;0,B341&lt;&gt;""),VLOOKUP(I341,'AUX-NIV2'!$B:$AP,40,FALSE)*O341,0)</f>
        <v>4.1066666666666665</v>
      </c>
      <c r="AO341" s="382">
        <f t="shared" si="188"/>
        <v>31.482918394274375</v>
      </c>
      <c r="AQ341" s="395">
        <f>(IF($H341="x",VLOOKUP($I341,'AUX-NIV2'!$B:$X,'AUX-NIV1'!AQ$3,FALSE),0)+($AV341*'AUX-NIV3'!S$4))*$O341+IF($H341=AQ$4,$P341,0)</f>
        <v>1983.7094793850174</v>
      </c>
      <c r="AR341" s="395">
        <f>(IF($H341="x",VLOOKUP($I341,'AUX-NIV2'!$B:$X,'AUX-NIV1'!AR$3,FALSE),0)+($AV341*'AUX-NIV3'!T$4))*$O341+IF($H341=AR$4,$P341,0)</f>
        <v>2662.5672467777781</v>
      </c>
      <c r="AS341" s="395">
        <f>(IF($H341="x",VLOOKUP($I341,'AUX-NIV2'!$B:$X,'AUX-NIV1'!AS$3,FALSE),0)+($AV341*'AUX-NIV3'!U$4))*$O341+IF($H341=AS$4,$P341,0)</f>
        <v>0</v>
      </c>
      <c r="AT341" s="395">
        <f>(IF($H341="x",VLOOKUP($I341,'AUX-NIV2'!$B:$X,'AUX-NIV1'!AT$3,FALSE),0)+($AV341*'AUX-NIV3'!V$4))*$O341+IF($H341=AT$4,$P341,0)</f>
        <v>0</v>
      </c>
      <c r="AU341" s="395">
        <f>(IF($H341="x",VLOOKUP($I341,'AUX-NIV2'!$B:$X,'AUX-NIV1'!AU$3,FALSE),0)+($AV341*'AUX-NIV3'!W$4))*$O341+IF($H341=AU$4,$P341,0)</f>
        <v>0</v>
      </c>
      <c r="AV341" s="395">
        <f>+IF($H341="x",VLOOKUP($I341,'AUX-NIV2'!$B:$X,'AUX-NIV1'!AV$3,FALSE),0)</f>
        <v>0</v>
      </c>
    </row>
    <row r="342" spans="2:48" ht="14.4" hidden="1" thickTop="1" thickBot="1">
      <c r="B342" s="324" t="s">
        <v>2957</v>
      </c>
      <c r="C342" s="325" t="s">
        <v>2958</v>
      </c>
      <c r="D342" s="326" t="s">
        <v>1160</v>
      </c>
      <c r="E342" s="349">
        <f>IF(B342&lt;&gt;"",+SUMIF(Items!C:C,'AUX-NIV1'!B342,Items!H:H),"")</f>
        <v>0</v>
      </c>
      <c r="F342" s="349">
        <f t="shared" si="178"/>
        <v>34157.99686268052</v>
      </c>
      <c r="G342" s="349">
        <f t="shared" si="179"/>
        <v>0</v>
      </c>
      <c r="H342" s="1395" t="str">
        <f t="shared" si="189"/>
        <v>X</v>
      </c>
      <c r="I342" s="1375" t="s">
        <v>1506</v>
      </c>
      <c r="J342" s="350" t="str">
        <f>IF(B342&lt;&gt;"",+VLOOKUP(I342,Recursos!C:F,2,FALSE),"")</f>
        <v>Curado de Hormigón</v>
      </c>
      <c r="K342" s="351" t="str">
        <f>IF(B342&lt;&gt;"",+VLOOKUP(I342,Recursos!C:F,3,FALSE),"")</f>
        <v>m2</v>
      </c>
      <c r="L342" s="436">
        <f>IF(B342&lt;&gt;"",+VLOOKUP(I342,Recursos!C:F,4,FALSE),"")</f>
        <v>119.57804276966723</v>
      </c>
      <c r="M342" s="441">
        <v>3.4</v>
      </c>
      <c r="N342" s="442"/>
      <c r="O342" s="439">
        <f>+M342</f>
        <v>3.4</v>
      </c>
      <c r="P342" s="440">
        <f t="shared" si="190"/>
        <v>406.56534541686858</v>
      </c>
      <c r="Q342" s="349">
        <f t="shared" si="191"/>
        <v>0</v>
      </c>
      <c r="R342" s="353">
        <f t="shared" si="192"/>
        <v>0</v>
      </c>
      <c r="S342" s="354">
        <f t="shared" si="180"/>
        <v>0</v>
      </c>
      <c r="T342" s="354">
        <f t="shared" si="181"/>
        <v>0</v>
      </c>
      <c r="U342" s="355">
        <f t="shared" si="182"/>
        <v>0</v>
      </c>
      <c r="V342" s="355">
        <f t="shared" si="183"/>
        <v>0</v>
      </c>
      <c r="W342" s="355">
        <f t="shared" si="184"/>
        <v>0</v>
      </c>
      <c r="X342" s="355">
        <f t="shared" si="185"/>
        <v>34157.99686268052</v>
      </c>
      <c r="Y342" s="396"/>
      <c r="Z342" s="346" t="str">
        <f t="shared" si="193"/>
        <v>0-HGPEA</v>
      </c>
      <c r="AA342" s="346" t="str">
        <f t="shared" si="194"/>
        <v>0-HGPEE</v>
      </c>
      <c r="AB342" s="346" t="str">
        <f t="shared" si="195"/>
        <v>0-HGPEM</v>
      </c>
      <c r="AC342" s="346" t="str">
        <f t="shared" si="196"/>
        <v>0-HGPET</v>
      </c>
      <c r="AD342" s="346" t="str">
        <f t="shared" si="197"/>
        <v>0-HGPES</v>
      </c>
      <c r="AE342" s="346" t="str">
        <f t="shared" si="198"/>
        <v>0-HGPEX</v>
      </c>
      <c r="AF342" s="346" t="str">
        <f t="shared" si="199"/>
        <v>0-HGPEX</v>
      </c>
      <c r="AG342" s="346">
        <f t="shared" si="186"/>
        <v>5</v>
      </c>
      <c r="AH342" s="346">
        <f>IF(B342&lt;&gt;"",+IF(H342="x",+VLOOKUP(I342,'AUX-NIV2'!B:AG,32,FALSE),0),"")</f>
        <v>3</v>
      </c>
      <c r="AI342" s="346" t="str">
        <f t="shared" si="200"/>
        <v>0-HGPE</v>
      </c>
      <c r="AK342" s="347">
        <f t="shared" si="187"/>
        <v>339</v>
      </c>
      <c r="AL342" s="348">
        <f t="shared" si="201"/>
        <v>343</v>
      </c>
      <c r="AM342" s="347">
        <f t="shared" si="202"/>
        <v>4</v>
      </c>
      <c r="AN342" s="382">
        <f>IF(AND(AH342&gt;0,B342&lt;&gt;""),VLOOKUP(I342,'AUX-NIV2'!$B:$AP,40,FALSE)*O342,0)</f>
        <v>0.34</v>
      </c>
      <c r="AO342" s="382">
        <f t="shared" si="188"/>
        <v>31.482918394274375</v>
      </c>
      <c r="AQ342" s="395">
        <f>(IF($H342="x",VLOOKUP($I342,'AUX-NIV2'!$B:$X,'AUX-NIV1'!AQ$3,FALSE),0)+($AV342*'AUX-NIV3'!S$4))*$O342+IF($H342=AQ$4,$P342,0)</f>
        <v>143.64334541686861</v>
      </c>
      <c r="AR342" s="395">
        <f>(IF($H342="x",VLOOKUP($I342,'AUX-NIV2'!$B:$X,'AUX-NIV1'!AR$3,FALSE),0)+($AV342*'AUX-NIV3'!T$4))*$O342+IF($H342=AR$4,$P342,0)</f>
        <v>0</v>
      </c>
      <c r="AS342" s="395">
        <f>(IF($H342="x",VLOOKUP($I342,'AUX-NIV2'!$B:$X,'AUX-NIV1'!AS$3,FALSE),0)+($AV342*'AUX-NIV3'!U$4))*$O342+IF($H342=AS$4,$P342,0)</f>
        <v>262.92199999999997</v>
      </c>
      <c r="AT342" s="395">
        <f>(IF($H342="x",VLOOKUP($I342,'AUX-NIV2'!$B:$X,'AUX-NIV1'!AT$3,FALSE),0)+($AV342*'AUX-NIV3'!V$4))*$O342+IF($H342=AT$4,$P342,0)</f>
        <v>0</v>
      </c>
      <c r="AU342" s="395">
        <f>(IF($H342="x",VLOOKUP($I342,'AUX-NIV2'!$B:$X,'AUX-NIV1'!AU$3,FALSE),0)+($AV342*'AUX-NIV3'!W$4))*$O342+IF($H342=AU$4,$P342,0)</f>
        <v>0</v>
      </c>
      <c r="AV342" s="395">
        <f>+IF($H342="x",VLOOKUP($I342,'AUX-NIV2'!$B:$X,'AUX-NIV1'!AV$3,FALSE),0)</f>
        <v>0</v>
      </c>
    </row>
    <row r="343" spans="2:48" ht="14.4" hidden="1" thickTop="1" thickBot="1">
      <c r="B343" s="324" t="s">
        <v>2957</v>
      </c>
      <c r="C343" s="325" t="s">
        <v>2958</v>
      </c>
      <c r="D343" s="326" t="s">
        <v>1160</v>
      </c>
      <c r="E343" s="349">
        <f>IF(B343&lt;&gt;"",+SUMIF(Items!C:C,'AUX-NIV1'!B343,Items!H:H),"")</f>
        <v>0</v>
      </c>
      <c r="F343" s="349">
        <f t="shared" si="178"/>
        <v>34157.99686268052</v>
      </c>
      <c r="G343" s="349">
        <f t="shared" si="179"/>
        <v>0</v>
      </c>
      <c r="H343" s="1395" t="str">
        <f t="shared" si="189"/>
        <v>X</v>
      </c>
      <c r="I343" s="1375" t="s">
        <v>2899</v>
      </c>
      <c r="J343" s="350" t="str">
        <f>IF(B343&lt;&gt;"",+VLOOKUP(I343,Recursos!C:F,2,FALSE),"")</f>
        <v>Encofrado metalico complejo</v>
      </c>
      <c r="K343" s="351" t="str">
        <f>IF(B343&lt;&gt;"",+VLOOKUP(I343,Recursos!C:F,3,FALSE),"")</f>
        <v>m2</v>
      </c>
      <c r="L343" s="436">
        <f>IF(B343&lt;&gt;"",+VLOOKUP(I343,Recursos!C:F,4,FALSE),"")</f>
        <v>5273.5946945936521</v>
      </c>
      <c r="M343" s="444">
        <f>+M342</f>
        <v>3.4</v>
      </c>
      <c r="N343" s="445"/>
      <c r="O343" s="439">
        <f>+M343</f>
        <v>3.4</v>
      </c>
      <c r="P343" s="440">
        <f t="shared" si="190"/>
        <v>17930.221961618416</v>
      </c>
      <c r="Q343" s="349">
        <f t="shared" si="191"/>
        <v>0</v>
      </c>
      <c r="R343" s="353">
        <f t="shared" si="192"/>
        <v>0</v>
      </c>
      <c r="S343" s="354">
        <f t="shared" si="180"/>
        <v>0</v>
      </c>
      <c r="T343" s="354">
        <f t="shared" si="181"/>
        <v>0</v>
      </c>
      <c r="U343" s="355">
        <f t="shared" si="182"/>
        <v>0</v>
      </c>
      <c r="V343" s="355">
        <f t="shared" si="183"/>
        <v>0</v>
      </c>
      <c r="W343" s="355">
        <f t="shared" si="184"/>
        <v>0</v>
      </c>
      <c r="X343" s="355">
        <f t="shared" si="185"/>
        <v>34157.99686268052</v>
      </c>
      <c r="Y343" s="396"/>
      <c r="Z343" s="346" t="str">
        <f t="shared" si="193"/>
        <v>0-HGPEA</v>
      </c>
      <c r="AA343" s="346" t="str">
        <f t="shared" si="194"/>
        <v>0-HGPEE</v>
      </c>
      <c r="AB343" s="346" t="str">
        <f t="shared" si="195"/>
        <v>0-HGPEM</v>
      </c>
      <c r="AC343" s="346" t="str">
        <f t="shared" si="196"/>
        <v>0-HGPET</v>
      </c>
      <c r="AD343" s="346" t="str">
        <f t="shared" si="197"/>
        <v>0-HGPES</v>
      </c>
      <c r="AE343" s="346" t="str">
        <f t="shared" si="198"/>
        <v>0-HGPEX</v>
      </c>
      <c r="AF343" s="346" t="str">
        <f t="shared" si="199"/>
        <v>0-HGPEX</v>
      </c>
      <c r="AG343" s="346">
        <f t="shared" si="186"/>
        <v>5</v>
      </c>
      <c r="AH343" s="346">
        <f>IF(B343&lt;&gt;"",+IF(H343="x",+VLOOKUP(I343,'AUX-NIV2'!B:AG,32,FALSE),0),"")</f>
        <v>14</v>
      </c>
      <c r="AI343" s="346" t="str">
        <f t="shared" si="200"/>
        <v>0-HGPE</v>
      </c>
      <c r="AK343" s="347">
        <f t="shared" si="187"/>
        <v>339</v>
      </c>
      <c r="AL343" s="348">
        <f t="shared" si="201"/>
        <v>343</v>
      </c>
      <c r="AM343" s="347">
        <f t="shared" si="202"/>
        <v>5</v>
      </c>
      <c r="AN343" s="382">
        <f>IF(AND(AH343&gt;0,B343&lt;&gt;""),VLOOKUP(I343,'AUX-NIV2'!$B:$AP,40,FALSE)*O343,0)</f>
        <v>24.012499999999999</v>
      </c>
      <c r="AO343" s="382">
        <f t="shared" si="188"/>
        <v>31.482918394274375</v>
      </c>
      <c r="AQ343" s="395">
        <f>(IF($H343="x",VLOOKUP($I343,'AUX-NIV2'!$B:$X,'AUX-NIV1'!AQ$3,FALSE),0)+($AV343*'AUX-NIV3'!S$4))*$O343+IF($H343=AQ$4,$P343,0)</f>
        <v>11454.984473137618</v>
      </c>
      <c r="AR343" s="395">
        <f>(IF($H343="x",VLOOKUP($I343,'AUX-NIV2'!$B:$X,'AUX-NIV1'!AR$3,FALSE),0)+($AV343*'AUX-NIV3'!T$4))*$O343+IF($H343=AR$4,$P343,0)</f>
        <v>404.27228250000002</v>
      </c>
      <c r="AS343" s="395">
        <f>(IF($H343="x",VLOOKUP($I343,'AUX-NIV2'!$B:$X,'AUX-NIV1'!AS$3,FALSE),0)+($AV343*'AUX-NIV3'!U$4))*$O343+IF($H343=AS$4,$P343,0)</f>
        <v>6070.9652059807968</v>
      </c>
      <c r="AT343" s="395">
        <f>(IF($H343="x",VLOOKUP($I343,'AUX-NIV2'!$B:$X,'AUX-NIV1'!AT$3,FALSE),0)+($AV343*'AUX-NIV3'!V$4))*$O343+IF($H343=AT$4,$P343,0)</f>
        <v>0</v>
      </c>
      <c r="AU343" s="395">
        <f>(IF($H343="x",VLOOKUP($I343,'AUX-NIV2'!$B:$X,'AUX-NIV1'!AU$3,FALSE),0)+($AV343*'AUX-NIV3'!W$4))*$O343+IF($H343=AU$4,$P343,0)</f>
        <v>0</v>
      </c>
      <c r="AV343" s="395">
        <f>+IF($H343="x",VLOOKUP($I343,'AUX-NIV2'!$B:$X,'AUX-NIV1'!AV$3,FALSE),0)</f>
        <v>0</v>
      </c>
    </row>
    <row r="344" spans="2:48" ht="14.4" hidden="1" thickTop="1" thickBot="1">
      <c r="B344" s="501" t="s">
        <v>2959</v>
      </c>
      <c r="C344" s="325" t="s">
        <v>2878</v>
      </c>
      <c r="D344" s="326" t="s">
        <v>501</v>
      </c>
      <c r="E344" s="349">
        <f>IF(B344&lt;&gt;"",+SUMIF(Items!C:C,'AUX-NIV1'!B344,Items!H:H),"")</f>
        <v>0</v>
      </c>
      <c r="F344" s="349">
        <f t="shared" si="178"/>
        <v>1087.4369339328928</v>
      </c>
      <c r="G344" s="349">
        <f t="shared" si="179"/>
        <v>0</v>
      </c>
      <c r="H344" s="1395" t="str">
        <f t="shared" si="189"/>
        <v>X</v>
      </c>
      <c r="I344" s="1375" t="s">
        <v>2877</v>
      </c>
      <c r="J344" s="350" t="str">
        <f>IF(B344&lt;&gt;"",+VLOOKUP(I344,Recursos!C:F,2,FALSE),"")</f>
        <v>Hormigón para contrapiso</v>
      </c>
      <c r="K344" s="351" t="str">
        <f>IF(B344&lt;&gt;"",+VLOOKUP(I344,Recursos!C:F,3,FALSE),"")</f>
        <v>m3</v>
      </c>
      <c r="L344" s="436">
        <f>IF(B344&lt;&gt;"",+VLOOKUP(I344,Recursos!C:F,4,FALSE),"")</f>
        <v>7131.1848146570273</v>
      </c>
      <c r="M344" s="1045"/>
      <c r="N344" s="1043">
        <v>0.08</v>
      </c>
      <c r="O344" s="542">
        <f>N344</f>
        <v>0.08</v>
      </c>
      <c r="P344" s="440">
        <f t="shared" si="190"/>
        <v>570.49478517256216</v>
      </c>
      <c r="Q344" s="349">
        <f t="shared" si="191"/>
        <v>0</v>
      </c>
      <c r="R344" s="353">
        <f t="shared" si="192"/>
        <v>0</v>
      </c>
      <c r="S344" s="354">
        <f t="shared" si="180"/>
        <v>0</v>
      </c>
      <c r="T344" s="354">
        <f t="shared" si="181"/>
        <v>0</v>
      </c>
      <c r="U344" s="355">
        <f t="shared" si="182"/>
        <v>516.94214876033061</v>
      </c>
      <c r="V344" s="355">
        <f t="shared" si="183"/>
        <v>0</v>
      </c>
      <c r="W344" s="355">
        <f t="shared" si="184"/>
        <v>0</v>
      </c>
      <c r="X344" s="355">
        <f t="shared" si="185"/>
        <v>570.49478517256216</v>
      </c>
      <c r="Y344" s="396"/>
      <c r="Z344" s="346" t="str">
        <f t="shared" si="193"/>
        <v>0-HPCA</v>
      </c>
      <c r="AA344" s="346" t="str">
        <f t="shared" si="194"/>
        <v>0-HPCE</v>
      </c>
      <c r="AB344" s="346" t="str">
        <f t="shared" si="195"/>
        <v>0-HPCM</v>
      </c>
      <c r="AC344" s="346" t="str">
        <f t="shared" si="196"/>
        <v>0-HPCT</v>
      </c>
      <c r="AD344" s="346" t="str">
        <f t="shared" si="197"/>
        <v>0-HPCS</v>
      </c>
      <c r="AE344" s="346" t="str">
        <f t="shared" si="198"/>
        <v>0-HPCX</v>
      </c>
      <c r="AF344" s="346" t="str">
        <f t="shared" si="199"/>
        <v>0-HPCX</v>
      </c>
      <c r="AG344" s="346">
        <f t="shared" si="186"/>
        <v>2</v>
      </c>
      <c r="AH344" s="346">
        <f>IF(B344&lt;&gt;"",+IF(H344="x",+VLOOKUP(I344,'AUX-NIV2'!B:AG,32,FALSE),0),"")</f>
        <v>30</v>
      </c>
      <c r="AI344" s="346" t="str">
        <f t="shared" si="200"/>
        <v>0-HPC</v>
      </c>
      <c r="AK344" s="347">
        <f t="shared" si="187"/>
        <v>344</v>
      </c>
      <c r="AL344" s="348">
        <f t="shared" si="201"/>
        <v>345</v>
      </c>
      <c r="AM344" s="347">
        <f t="shared" si="202"/>
        <v>1</v>
      </c>
      <c r="AN344" s="382">
        <f>IF(AND(AH344&gt;0,B344&lt;&gt;""),VLOOKUP(I344,'AUX-NIV2'!$B:$AP,40,FALSE)*O344,0)</f>
        <v>0.1404</v>
      </c>
      <c r="AO344" s="382">
        <f t="shared" si="188"/>
        <v>0.1404</v>
      </c>
      <c r="AQ344" s="395">
        <f>(IF($H344="x",VLOOKUP($I344,'AUX-NIV2'!$B:$X,'AUX-NIV1'!AQ$3,FALSE),0)+($AV344*'AUX-NIV3'!S$4))*$O344+IF($H344=AQ$4,$P344,0)</f>
        <v>67.742367322242316</v>
      </c>
      <c r="AR344" s="395">
        <f>(IF($H344="x",VLOOKUP($I344,'AUX-NIV2'!$B:$X,'AUX-NIV1'!AR$3,FALSE),0)+($AV344*'AUX-NIV3'!T$4))*$O344+IF($H344=AR$4,$P344,0)</f>
        <v>9.5771282400000004</v>
      </c>
      <c r="AS344" s="395">
        <f>(IF($H344="x",VLOOKUP($I344,'AUX-NIV2'!$B:$X,'AUX-NIV1'!AS$3,FALSE),0)+($AV344*'AUX-NIV3'!U$4))*$O344+IF($H344=AS$4,$P344,0)</f>
        <v>493.17528961031985</v>
      </c>
      <c r="AT344" s="395">
        <f>(IF($H344="x",VLOOKUP($I344,'AUX-NIV2'!$B:$X,'AUX-NIV1'!AT$3,FALSE),0)+($AV344*'AUX-NIV3'!V$4))*$O344+IF($H344=AT$4,$P344,0)</f>
        <v>0</v>
      </c>
      <c r="AU344" s="395">
        <f>(IF($H344="x",VLOOKUP($I344,'AUX-NIV2'!$B:$X,'AUX-NIV1'!AU$3,FALSE),0)+($AV344*'AUX-NIV3'!W$4))*$O344+IF($H344=AU$4,$P344,0)</f>
        <v>0</v>
      </c>
      <c r="AV344" s="395">
        <f>+IF($H344="x",VLOOKUP($I344,'AUX-NIV2'!$B:$X,'AUX-NIV1'!AV$3,FALSE),0)</f>
        <v>0</v>
      </c>
    </row>
    <row r="345" spans="2:48" ht="14.4" hidden="1" thickTop="1" thickBot="1">
      <c r="B345" s="501" t="s">
        <v>2959</v>
      </c>
      <c r="C345" s="325" t="s">
        <v>2878</v>
      </c>
      <c r="D345" s="326" t="s">
        <v>501</v>
      </c>
      <c r="E345" s="349">
        <f>IF(B345&lt;&gt;"",+SUMIF(Items!C:C,'AUX-NIV1'!B345,Items!H:H),"")</f>
        <v>0</v>
      </c>
      <c r="F345" s="349">
        <f t="shared" si="178"/>
        <v>1087.4369339328928</v>
      </c>
      <c r="G345" s="349">
        <f t="shared" si="179"/>
        <v>0</v>
      </c>
      <c r="H345" s="1395" t="str">
        <f t="shared" si="189"/>
        <v>M</v>
      </c>
      <c r="I345" s="1375" t="s">
        <v>4558</v>
      </c>
      <c r="J345" s="350" t="str">
        <f>IF(B345&lt;&gt;"",+VLOOKUP(I345,Recursos!C:F,2,FALSE),"")</f>
        <v>MALLA SIMA 6mm 20x20</v>
      </c>
      <c r="K345" s="351" t="str">
        <f>IF(B345&lt;&gt;"",+VLOOKUP(I345,Recursos!C:F,3,FALSE),"")</f>
        <v>m2</v>
      </c>
      <c r="L345" s="436">
        <f>IF(B345&lt;&gt;"",+VLOOKUP(I345,Recursos!C:F,4,FALSE),"")</f>
        <v>516.94214876033061</v>
      </c>
      <c r="M345" s="1046"/>
      <c r="N345" s="1044">
        <v>1</v>
      </c>
      <c r="O345" s="542">
        <f>N345</f>
        <v>1</v>
      </c>
      <c r="P345" s="440">
        <f t="shared" si="190"/>
        <v>516.94214876033061</v>
      </c>
      <c r="Q345" s="349">
        <f t="shared" si="191"/>
        <v>0</v>
      </c>
      <c r="R345" s="353">
        <f t="shared" si="192"/>
        <v>0</v>
      </c>
      <c r="S345" s="354">
        <f t="shared" si="180"/>
        <v>0</v>
      </c>
      <c r="T345" s="354">
        <f t="shared" si="181"/>
        <v>0</v>
      </c>
      <c r="U345" s="355">
        <f t="shared" si="182"/>
        <v>516.94214876033061</v>
      </c>
      <c r="V345" s="355">
        <f t="shared" si="183"/>
        <v>0</v>
      </c>
      <c r="W345" s="355">
        <f t="shared" si="184"/>
        <v>0</v>
      </c>
      <c r="X345" s="355">
        <f t="shared" si="185"/>
        <v>570.49478517256216</v>
      </c>
      <c r="Y345" s="396"/>
      <c r="Z345" s="346" t="str">
        <f t="shared" si="193"/>
        <v>0-HPCA</v>
      </c>
      <c r="AA345" s="346" t="str">
        <f t="shared" si="194"/>
        <v>0-HPCE</v>
      </c>
      <c r="AB345" s="346" t="str">
        <f t="shared" si="195"/>
        <v>0-HPCM</v>
      </c>
      <c r="AC345" s="346" t="str">
        <f t="shared" si="196"/>
        <v>0-HPCT</v>
      </c>
      <c r="AD345" s="346" t="str">
        <f t="shared" si="197"/>
        <v>0-HPCS</v>
      </c>
      <c r="AE345" s="346" t="str">
        <f t="shared" si="198"/>
        <v>0-HPCX</v>
      </c>
      <c r="AF345" s="346" t="str">
        <f t="shared" si="199"/>
        <v>0-HPCM</v>
      </c>
      <c r="AG345" s="346">
        <f t="shared" si="186"/>
        <v>2</v>
      </c>
      <c r="AH345" s="346">
        <f>IF(B345&lt;&gt;"",+IF(H345="x",+VLOOKUP(I345,'AUX-NIV2'!B:AG,32,FALSE),0),"")</f>
        <v>0</v>
      </c>
      <c r="AI345" s="346" t="str">
        <f t="shared" si="200"/>
        <v>0-HPC</v>
      </c>
      <c r="AK345" s="347">
        <f t="shared" si="187"/>
        <v>344</v>
      </c>
      <c r="AL345" s="348">
        <f t="shared" si="201"/>
        <v>345</v>
      </c>
      <c r="AM345" s="347">
        <f t="shared" si="202"/>
        <v>2</v>
      </c>
      <c r="AN345" s="382">
        <f>IF(AND(AH345&gt;0,B345&lt;&gt;""),VLOOKUP(I345,'AUX-NIV2'!$B:$AP,40,FALSE)*O345,0)</f>
        <v>0</v>
      </c>
      <c r="AO345" s="382">
        <f t="shared" si="188"/>
        <v>0.1404</v>
      </c>
      <c r="AQ345" s="395">
        <f>(IF($H345="x",VLOOKUP($I345,'AUX-NIV2'!$B:$X,'AUX-NIV1'!AQ$3,FALSE),0)+($AV345*'AUX-NIV3'!S$4))*$O345+IF($H345=AQ$4,$P345,0)</f>
        <v>0</v>
      </c>
      <c r="AR345" s="395">
        <f>(IF($H345="x",VLOOKUP($I345,'AUX-NIV2'!$B:$X,'AUX-NIV1'!AR$3,FALSE),0)+($AV345*'AUX-NIV3'!T$4))*$O345+IF($H345=AR$4,$P345,0)</f>
        <v>0</v>
      </c>
      <c r="AS345" s="395">
        <f>(IF($H345="x",VLOOKUP($I345,'AUX-NIV2'!$B:$X,'AUX-NIV1'!AS$3,FALSE),0)+($AV345*'AUX-NIV3'!U$4))*$O345+IF($H345=AS$4,$P345,0)</f>
        <v>516.94214876033061</v>
      </c>
      <c r="AT345" s="395">
        <f>(IF($H345="x",VLOOKUP($I345,'AUX-NIV2'!$B:$X,'AUX-NIV1'!AT$3,FALSE),0)+($AV345*'AUX-NIV3'!V$4))*$O345+IF($H345=AT$4,$P345,0)</f>
        <v>0</v>
      </c>
      <c r="AU345" s="395">
        <f>(IF($H345="x",VLOOKUP($I345,'AUX-NIV2'!$B:$X,'AUX-NIV1'!AU$3,FALSE),0)+($AV345*'AUX-NIV3'!W$4))*$O345+IF($H345=AU$4,$P345,0)</f>
        <v>0</v>
      </c>
      <c r="AV345" s="395">
        <f>+IF($H345="x",VLOOKUP($I345,'AUX-NIV2'!$B:$X,'AUX-NIV1'!AV$3,FALSE),0)</f>
        <v>0</v>
      </c>
    </row>
    <row r="346" spans="2:48" ht="14.4" hidden="1" thickTop="1" thickBot="1">
      <c r="B346" s="324" t="s">
        <v>2960</v>
      </c>
      <c r="C346" s="325" t="s">
        <v>2961</v>
      </c>
      <c r="D346" s="326" t="s">
        <v>1408</v>
      </c>
      <c r="E346" s="349">
        <f>IF(B346&lt;&gt;"",+SUMIF(Items!C:C,'AUX-NIV1'!B346,Items!H:H),"")</f>
        <v>0</v>
      </c>
      <c r="F346" s="349">
        <f t="shared" si="178"/>
        <v>81746.247646870033</v>
      </c>
      <c r="G346" s="349">
        <f t="shared" si="179"/>
        <v>0</v>
      </c>
      <c r="H346" s="1395" t="str">
        <f t="shared" si="189"/>
        <v>X</v>
      </c>
      <c r="I346" s="1375" t="s">
        <v>2740</v>
      </c>
      <c r="J346" s="350" t="str">
        <f>IF(B346&lt;&gt;"",+VLOOKUP(I346,Recursos!C:F,2,FALSE),"")</f>
        <v>Limpieza y desbosque con Arboles</v>
      </c>
      <c r="K346" s="351" t="str">
        <f>IF(B346&lt;&gt;"",+VLOOKUP(I346,Recursos!C:F,3,FALSE),"")</f>
        <v>Ha</v>
      </c>
      <c r="L346" s="436">
        <f>IF(B346&lt;&gt;"",+VLOOKUP(I346,Recursos!C:F,4,FALSE),"")</f>
        <v>81746.247646870033</v>
      </c>
      <c r="M346" s="437">
        <v>1</v>
      </c>
      <c r="N346" s="496">
        <v>0</v>
      </c>
      <c r="O346" s="439">
        <f>+M346*N346</f>
        <v>0</v>
      </c>
      <c r="P346" s="440">
        <f t="shared" si="190"/>
        <v>0</v>
      </c>
      <c r="Q346" s="349">
        <f t="shared" si="191"/>
        <v>0</v>
      </c>
      <c r="R346" s="353">
        <f t="shared" si="192"/>
        <v>0</v>
      </c>
      <c r="S346" s="354">
        <f t="shared" si="180"/>
        <v>0</v>
      </c>
      <c r="T346" s="354">
        <f t="shared" si="181"/>
        <v>0</v>
      </c>
      <c r="U346" s="355">
        <f t="shared" si="182"/>
        <v>0</v>
      </c>
      <c r="V346" s="355">
        <f t="shared" si="183"/>
        <v>0</v>
      </c>
      <c r="W346" s="355">
        <f t="shared" si="184"/>
        <v>0</v>
      </c>
      <c r="X346" s="355">
        <f t="shared" si="185"/>
        <v>81746.247646870033</v>
      </c>
      <c r="Y346" s="396"/>
      <c r="Z346" s="346" t="str">
        <f t="shared" si="193"/>
        <v>0-LTAA</v>
      </c>
      <c r="AA346" s="346" t="str">
        <f t="shared" si="194"/>
        <v>0-LTAE</v>
      </c>
      <c r="AB346" s="346" t="str">
        <f t="shared" si="195"/>
        <v>0-LTAM</v>
      </c>
      <c r="AC346" s="346" t="str">
        <f t="shared" si="196"/>
        <v>0-LTAT</v>
      </c>
      <c r="AD346" s="346" t="str">
        <f t="shared" si="197"/>
        <v>0-LTAS</v>
      </c>
      <c r="AE346" s="346" t="str">
        <f t="shared" si="198"/>
        <v>0-LTAX</v>
      </c>
      <c r="AF346" s="346" t="str">
        <f t="shared" si="199"/>
        <v>0-LTAX</v>
      </c>
      <c r="AG346" s="346">
        <f t="shared" si="186"/>
        <v>2</v>
      </c>
      <c r="AH346" s="346">
        <f>IF(B346&lt;&gt;"",+IF(H346="x",+VLOOKUP(I346,'AUX-NIV2'!B:AG,32,FALSE),0),"")</f>
        <v>9</v>
      </c>
      <c r="AI346" s="346" t="str">
        <f t="shared" si="200"/>
        <v>0-LTA</v>
      </c>
      <c r="AK346" s="347">
        <f t="shared" si="187"/>
        <v>346</v>
      </c>
      <c r="AL346" s="348">
        <f t="shared" si="201"/>
        <v>347</v>
      </c>
      <c r="AM346" s="347">
        <f t="shared" si="202"/>
        <v>1</v>
      </c>
      <c r="AN346" s="382">
        <f>IF(AND(AH346&gt;0,B346&lt;&gt;""),VLOOKUP(I346,'AUX-NIV2'!$B:$AP,40,FALSE)*O346,0)</f>
        <v>0</v>
      </c>
      <c r="AO346" s="382">
        <f t="shared" si="188"/>
        <v>110.34399999999999</v>
      </c>
      <c r="AQ346" s="395">
        <f>(IF($H346="x",VLOOKUP($I346,'AUX-NIV2'!$B:$X,'AUX-NIV1'!AQ$3,FALSE),0)+($AV346*'AUX-NIV3'!S$4))*$O346+IF($H346=AQ$4,$P346,0)</f>
        <v>0</v>
      </c>
      <c r="AR346" s="395">
        <f>(IF($H346="x",VLOOKUP($I346,'AUX-NIV2'!$B:$X,'AUX-NIV1'!AR$3,FALSE),0)+($AV346*'AUX-NIV3'!T$4))*$O346+IF($H346=AR$4,$P346,0)</f>
        <v>0</v>
      </c>
      <c r="AS346" s="395">
        <f>(IF($H346="x",VLOOKUP($I346,'AUX-NIV2'!$B:$X,'AUX-NIV1'!AS$3,FALSE),0)+($AV346*'AUX-NIV3'!U$4))*$O346+IF($H346=AS$4,$P346,0)</f>
        <v>0</v>
      </c>
      <c r="AT346" s="395">
        <f>(IF($H346="x",VLOOKUP($I346,'AUX-NIV2'!$B:$X,'AUX-NIV1'!AT$3,FALSE),0)+($AV346*'AUX-NIV3'!V$4))*$O346+IF($H346=AT$4,$P346,0)</f>
        <v>0</v>
      </c>
      <c r="AU346" s="395">
        <f>(IF($H346="x",VLOOKUP($I346,'AUX-NIV2'!$B:$X,'AUX-NIV1'!AU$3,FALSE),0)+($AV346*'AUX-NIV3'!W$4))*$O346+IF($H346=AU$4,$P346,0)</f>
        <v>0</v>
      </c>
      <c r="AV346" s="395">
        <f>+IF($H346="x",VLOOKUP($I346,'AUX-NIV2'!$B:$X,'AUX-NIV1'!AV$3,FALSE),0)</f>
        <v>0</v>
      </c>
    </row>
    <row r="347" spans="2:48" ht="14.4" hidden="1" thickTop="1" thickBot="1">
      <c r="B347" s="324" t="s">
        <v>2960</v>
      </c>
      <c r="C347" s="325" t="s">
        <v>2961</v>
      </c>
      <c r="D347" s="326" t="s">
        <v>1408</v>
      </c>
      <c r="E347" s="349">
        <f>IF(B347&lt;&gt;"",+SUMIF(Items!C:C,'AUX-NIV1'!B347,Items!H:H),"")</f>
        <v>0</v>
      </c>
      <c r="F347" s="349">
        <f t="shared" si="178"/>
        <v>81746.247646870033</v>
      </c>
      <c r="G347" s="349">
        <f t="shared" si="179"/>
        <v>0</v>
      </c>
      <c r="H347" s="1395" t="str">
        <f t="shared" si="189"/>
        <v>X</v>
      </c>
      <c r="I347" s="1375" t="s">
        <v>2740</v>
      </c>
      <c r="J347" s="350" t="str">
        <f>IF(B347&lt;&gt;"",+VLOOKUP(I347,Recursos!C:F,2,FALSE),"")</f>
        <v>Limpieza y desbosque con Arboles</v>
      </c>
      <c r="K347" s="351" t="str">
        <f>IF(B347&lt;&gt;"",+VLOOKUP(I347,Recursos!C:F,3,FALSE),"")</f>
        <v>Ha</v>
      </c>
      <c r="L347" s="436">
        <f>IF(B347&lt;&gt;"",+VLOOKUP(I347,Recursos!C:F,4,FALSE),"")</f>
        <v>81746.247646870033</v>
      </c>
      <c r="M347" s="464">
        <v>1</v>
      </c>
      <c r="N347" s="498">
        <f>1-N346</f>
        <v>1</v>
      </c>
      <c r="O347" s="439">
        <f>+M347*N347</f>
        <v>1</v>
      </c>
      <c r="P347" s="440">
        <f t="shared" si="190"/>
        <v>81746.247646870033</v>
      </c>
      <c r="Q347" s="349">
        <f t="shared" si="191"/>
        <v>0</v>
      </c>
      <c r="R347" s="353">
        <f t="shared" si="192"/>
        <v>0</v>
      </c>
      <c r="S347" s="354">
        <f t="shared" si="180"/>
        <v>0</v>
      </c>
      <c r="T347" s="354">
        <f t="shared" si="181"/>
        <v>0</v>
      </c>
      <c r="U347" s="355">
        <f t="shared" si="182"/>
        <v>0</v>
      </c>
      <c r="V347" s="355">
        <f t="shared" si="183"/>
        <v>0</v>
      </c>
      <c r="W347" s="355">
        <f t="shared" si="184"/>
        <v>0</v>
      </c>
      <c r="X347" s="355">
        <f t="shared" si="185"/>
        <v>81746.247646870033</v>
      </c>
      <c r="Y347" s="396"/>
      <c r="Z347" s="346" t="str">
        <f t="shared" si="193"/>
        <v>0-LTAA</v>
      </c>
      <c r="AA347" s="346" t="str">
        <f t="shared" si="194"/>
        <v>0-LTAE</v>
      </c>
      <c r="AB347" s="346" t="str">
        <f t="shared" si="195"/>
        <v>0-LTAM</v>
      </c>
      <c r="AC347" s="346" t="str">
        <f t="shared" si="196"/>
        <v>0-LTAT</v>
      </c>
      <c r="AD347" s="346" t="str">
        <f t="shared" si="197"/>
        <v>0-LTAS</v>
      </c>
      <c r="AE347" s="346" t="str">
        <f t="shared" si="198"/>
        <v>0-LTAX</v>
      </c>
      <c r="AF347" s="346" t="str">
        <f t="shared" si="199"/>
        <v>0-LTAX</v>
      </c>
      <c r="AG347" s="346">
        <f t="shared" si="186"/>
        <v>2</v>
      </c>
      <c r="AH347" s="346">
        <f>IF(B347&lt;&gt;"",+IF(H347="x",+VLOOKUP(I347,'AUX-NIV2'!B:AG,32,FALSE),0),"")</f>
        <v>9</v>
      </c>
      <c r="AI347" s="346" t="str">
        <f t="shared" si="200"/>
        <v>0-LTA</v>
      </c>
      <c r="AK347" s="347">
        <f t="shared" si="187"/>
        <v>346</v>
      </c>
      <c r="AL347" s="348">
        <f t="shared" si="201"/>
        <v>347</v>
      </c>
      <c r="AM347" s="347">
        <f t="shared" si="202"/>
        <v>2</v>
      </c>
      <c r="AN347" s="382">
        <f>IF(AND(AH347&gt;0,B347&lt;&gt;""),VLOOKUP(I347,'AUX-NIV2'!$B:$AP,40,FALSE)*O347,0)</f>
        <v>110.34399999999999</v>
      </c>
      <c r="AO347" s="382">
        <f t="shared" si="188"/>
        <v>110.34399999999999</v>
      </c>
      <c r="AQ347" s="395">
        <f>(IF($H347="x",VLOOKUP($I347,'AUX-NIV2'!$B:$X,'AUX-NIV1'!AQ$3,FALSE),0)+($AV347*'AUX-NIV3'!S$4))*$O347+IF($H347=AQ$4,$P347,0)</f>
        <v>54846.252479670045</v>
      </c>
      <c r="AR347" s="395">
        <f>(IF($H347="x",VLOOKUP($I347,'AUX-NIV2'!$B:$X,'AUX-NIV1'!AR$3,FALSE),0)+($AV347*'AUX-NIV3'!T$4))*$O347+IF($H347=AR$4,$P347,0)</f>
        <v>26899.995167199999</v>
      </c>
      <c r="AS347" s="395">
        <f>(IF($H347="x",VLOOKUP($I347,'AUX-NIV2'!$B:$X,'AUX-NIV1'!AS$3,FALSE),0)+($AV347*'AUX-NIV3'!U$4))*$O347+IF($H347=AS$4,$P347,0)</f>
        <v>0</v>
      </c>
      <c r="AT347" s="395">
        <f>(IF($H347="x",VLOOKUP($I347,'AUX-NIV2'!$B:$X,'AUX-NIV1'!AT$3,FALSE),0)+($AV347*'AUX-NIV3'!V$4))*$O347+IF($H347=AT$4,$P347,0)</f>
        <v>0</v>
      </c>
      <c r="AU347" s="395">
        <f>(IF($H347="x",VLOOKUP($I347,'AUX-NIV2'!$B:$X,'AUX-NIV1'!AU$3,FALSE),0)+($AV347*'AUX-NIV3'!W$4))*$O347+IF($H347=AU$4,$P347,0)</f>
        <v>0</v>
      </c>
      <c r="AV347" s="395">
        <f>+IF($H347="x",VLOOKUP($I347,'AUX-NIV2'!$B:$X,'AUX-NIV1'!AV$3,FALSE),0)</f>
        <v>0</v>
      </c>
    </row>
    <row r="348" spans="2:48" ht="14.4" hidden="1" thickTop="1" thickBot="1">
      <c r="B348" s="324" t="s">
        <v>2962</v>
      </c>
      <c r="C348" s="325" t="s">
        <v>2963</v>
      </c>
      <c r="D348" s="326" t="s">
        <v>185</v>
      </c>
      <c r="E348" s="349">
        <f>IF(B348&lt;&gt;"",+SUMIF(Items!C:C,'AUX-NIV1'!B348,Items!H:H),"")</f>
        <v>0</v>
      </c>
      <c r="F348" s="349">
        <f t="shared" si="178"/>
        <v>14301.45962</v>
      </c>
      <c r="G348" s="349">
        <f t="shared" si="179"/>
        <v>0</v>
      </c>
      <c r="H348" s="1395" t="str">
        <f t="shared" si="189"/>
        <v>S</v>
      </c>
      <c r="I348" s="1375" t="s">
        <v>2559</v>
      </c>
      <c r="J348" s="350" t="str">
        <f>IF(B348&lt;&gt;"",+VLOOKUP(I348,Recursos!C:F,2,FALSE),"")</f>
        <v>TENDIDO DE CAÑERO SUBTERRÁNEO - CAÑOS DE PVC EN TERRENO NO PAVIMENTADO</v>
      </c>
      <c r="K348" s="351" t="str">
        <f>IF(B348&lt;&gt;"",+VLOOKUP(I348,Recursos!C:F,3,FALSE),"")</f>
        <v>m</v>
      </c>
      <c r="L348" s="436">
        <f>IF(B348&lt;&gt;"",+VLOOKUP(I348,Recursos!C:F,4,FALSE),"")</f>
        <v>34.774999999999999</v>
      </c>
      <c r="M348" s="437">
        <v>8</v>
      </c>
      <c r="N348" s="458"/>
      <c r="O348" s="439">
        <f>+M348</f>
        <v>8</v>
      </c>
      <c r="P348" s="440">
        <f t="shared" si="190"/>
        <v>278.2</v>
      </c>
      <c r="Q348" s="349">
        <f t="shared" si="191"/>
        <v>0</v>
      </c>
      <c r="R348" s="353">
        <f t="shared" si="192"/>
        <v>0</v>
      </c>
      <c r="S348" s="354">
        <f t="shared" si="180"/>
        <v>0</v>
      </c>
      <c r="T348" s="354">
        <f t="shared" si="181"/>
        <v>0</v>
      </c>
      <c r="U348" s="355">
        <f t="shared" si="182"/>
        <v>0</v>
      </c>
      <c r="V348" s="355">
        <f t="shared" si="183"/>
        <v>0</v>
      </c>
      <c r="W348" s="355">
        <f t="shared" si="184"/>
        <v>14301.45962</v>
      </c>
      <c r="X348" s="355">
        <f t="shared" si="185"/>
        <v>0</v>
      </c>
      <c r="Y348" s="396"/>
      <c r="Z348" s="346" t="str">
        <f t="shared" si="193"/>
        <v>0-IluminaA</v>
      </c>
      <c r="AA348" s="346" t="str">
        <f t="shared" si="194"/>
        <v>0-IluminaE</v>
      </c>
      <c r="AB348" s="346" t="str">
        <f t="shared" si="195"/>
        <v>0-IluminaM</v>
      </c>
      <c r="AC348" s="346" t="str">
        <f t="shared" si="196"/>
        <v>0-IluminaT</v>
      </c>
      <c r="AD348" s="346" t="str">
        <f t="shared" si="197"/>
        <v>0-IluminaS</v>
      </c>
      <c r="AE348" s="346" t="str">
        <f t="shared" si="198"/>
        <v>0-IluminaX</v>
      </c>
      <c r="AF348" s="346" t="str">
        <f t="shared" si="199"/>
        <v>0-IluminaS</v>
      </c>
      <c r="AG348" s="346">
        <f t="shared" si="186"/>
        <v>9</v>
      </c>
      <c r="AH348" s="346">
        <f>IF(B348&lt;&gt;"",+IF(H348="x",+VLOOKUP(I348,'AUX-NIV2'!B:AG,32,FALSE),0),"")</f>
        <v>0</v>
      </c>
      <c r="AI348" s="346" t="str">
        <f t="shared" si="200"/>
        <v>0-Ilumina</v>
      </c>
      <c r="AK348" s="347">
        <f t="shared" si="187"/>
        <v>348</v>
      </c>
      <c r="AL348" s="348">
        <f t="shared" si="201"/>
        <v>356</v>
      </c>
      <c r="AM348" s="347">
        <f t="shared" si="202"/>
        <v>1</v>
      </c>
      <c r="AN348" s="382">
        <f>IF(AND(AH348&gt;0,B348&lt;&gt;""),VLOOKUP(I348,'AUX-NIV2'!$B:$AP,40,FALSE)*O348,0)</f>
        <v>0</v>
      </c>
      <c r="AO348" s="382">
        <f t="shared" si="188"/>
        <v>0</v>
      </c>
      <c r="AQ348" s="395">
        <f>(IF($H348="x",VLOOKUP($I348,'AUX-NIV2'!$B:$X,'AUX-NIV1'!AQ$3,FALSE),0)+($AV348*'AUX-NIV3'!S$4))*$O348+IF($H348=AQ$4,$P348,0)</f>
        <v>0</v>
      </c>
      <c r="AR348" s="395">
        <f>(IF($H348="x",VLOOKUP($I348,'AUX-NIV2'!$B:$X,'AUX-NIV1'!AR$3,FALSE),0)+($AV348*'AUX-NIV3'!T$4))*$O348+IF($H348=AR$4,$P348,0)</f>
        <v>0</v>
      </c>
      <c r="AS348" s="395">
        <f>(IF($H348="x",VLOOKUP($I348,'AUX-NIV2'!$B:$X,'AUX-NIV1'!AS$3,FALSE),0)+($AV348*'AUX-NIV3'!U$4))*$O348+IF($H348=AS$4,$P348,0)</f>
        <v>0</v>
      </c>
      <c r="AT348" s="395">
        <f>(IF($H348="x",VLOOKUP($I348,'AUX-NIV2'!$B:$X,'AUX-NIV1'!AT$3,FALSE),0)+($AV348*'AUX-NIV3'!V$4))*$O348+IF($H348=AT$4,$P348,0)</f>
        <v>0</v>
      </c>
      <c r="AU348" s="395">
        <f>(IF($H348="x",VLOOKUP($I348,'AUX-NIV2'!$B:$X,'AUX-NIV1'!AU$3,FALSE),0)+($AV348*'AUX-NIV3'!W$4))*$O348+IF($H348=AU$4,$P348,0)</f>
        <v>278.2</v>
      </c>
      <c r="AV348" s="395">
        <f>+IF($H348="x",VLOOKUP($I348,'AUX-NIV2'!$B:$X,'AUX-NIV1'!AV$3,FALSE),0)</f>
        <v>0</v>
      </c>
    </row>
    <row r="349" spans="2:48" ht="14.4" hidden="1" thickTop="1" thickBot="1">
      <c r="B349" s="324" t="s">
        <v>2962</v>
      </c>
      <c r="C349" s="325" t="s">
        <v>2963</v>
      </c>
      <c r="D349" s="326" t="s">
        <v>185</v>
      </c>
      <c r="E349" s="349">
        <f>IF(B349&lt;&gt;"",+SUMIF(Items!C:C,'AUX-NIV1'!B349,Items!H:H),"")</f>
        <v>0</v>
      </c>
      <c r="F349" s="349">
        <f t="shared" si="178"/>
        <v>14301.45962</v>
      </c>
      <c r="G349" s="349">
        <f t="shared" si="179"/>
        <v>0</v>
      </c>
      <c r="H349" s="1395" t="str">
        <f t="shared" si="189"/>
        <v>S</v>
      </c>
      <c r="I349" s="1375" t="s">
        <v>2561</v>
      </c>
      <c r="J349" s="350" t="str">
        <f>IF(B349&lt;&gt;"",+VLOOKUP(I349,Recursos!C:F,2,FALSE),"")</f>
        <v>TENDIDO DE CAÑERO SUBTERRÁNEO - CAÑOS DE PVC EN TERRENO PAVIMENTADO</v>
      </c>
      <c r="K349" s="351" t="str">
        <f>IF(B349&lt;&gt;"",+VLOOKUP(I349,Recursos!C:F,3,FALSE),"")</f>
        <v>m</v>
      </c>
      <c r="L349" s="436">
        <f>IF(B349&lt;&gt;"",+VLOOKUP(I349,Recursos!C:F,4,FALSE),"")</f>
        <v>113.88200000000001</v>
      </c>
      <c r="M349" s="441">
        <v>2</v>
      </c>
      <c r="N349" s="497"/>
      <c r="O349" s="439">
        <f t="shared" ref="O349:O356" si="203">+M349</f>
        <v>2</v>
      </c>
      <c r="P349" s="440">
        <f t="shared" si="190"/>
        <v>227.76400000000001</v>
      </c>
      <c r="Q349" s="349">
        <f t="shared" si="191"/>
        <v>0</v>
      </c>
      <c r="R349" s="353">
        <f t="shared" si="192"/>
        <v>0</v>
      </c>
      <c r="S349" s="354">
        <f t="shared" si="180"/>
        <v>0</v>
      </c>
      <c r="T349" s="354">
        <f t="shared" si="181"/>
        <v>0</v>
      </c>
      <c r="U349" s="355">
        <f t="shared" si="182"/>
        <v>0</v>
      </c>
      <c r="V349" s="355">
        <f t="shared" si="183"/>
        <v>0</v>
      </c>
      <c r="W349" s="355">
        <f t="shared" si="184"/>
        <v>14301.45962</v>
      </c>
      <c r="X349" s="355">
        <f t="shared" si="185"/>
        <v>0</v>
      </c>
      <c r="Y349" s="396"/>
      <c r="Z349" s="346" t="str">
        <f t="shared" si="193"/>
        <v>0-IluminaA</v>
      </c>
      <c r="AA349" s="346" t="str">
        <f t="shared" si="194"/>
        <v>0-IluminaE</v>
      </c>
      <c r="AB349" s="346" t="str">
        <f t="shared" si="195"/>
        <v>0-IluminaM</v>
      </c>
      <c r="AC349" s="346" t="str">
        <f t="shared" si="196"/>
        <v>0-IluminaT</v>
      </c>
      <c r="AD349" s="346" t="str">
        <f t="shared" si="197"/>
        <v>0-IluminaS</v>
      </c>
      <c r="AE349" s="346" t="str">
        <f t="shared" si="198"/>
        <v>0-IluminaX</v>
      </c>
      <c r="AF349" s="346" t="str">
        <f t="shared" si="199"/>
        <v>0-IluminaS</v>
      </c>
      <c r="AG349" s="346">
        <f t="shared" si="186"/>
        <v>9</v>
      </c>
      <c r="AH349" s="346">
        <f>IF(B349&lt;&gt;"",+IF(H349="x",+VLOOKUP(I349,'AUX-NIV2'!B:AG,32,FALSE),0),"")</f>
        <v>0</v>
      </c>
      <c r="AI349" s="346" t="str">
        <f t="shared" si="200"/>
        <v>0-Ilumina</v>
      </c>
      <c r="AK349" s="347">
        <f t="shared" si="187"/>
        <v>348</v>
      </c>
      <c r="AL349" s="348">
        <f t="shared" si="201"/>
        <v>356</v>
      </c>
      <c r="AM349" s="347">
        <f t="shared" si="202"/>
        <v>2</v>
      </c>
      <c r="AN349" s="382">
        <f>IF(AND(AH349&gt;0,B349&lt;&gt;""),VLOOKUP(I349,'AUX-NIV2'!$B:$AP,40,FALSE)*O349,0)</f>
        <v>0</v>
      </c>
      <c r="AO349" s="382">
        <f t="shared" si="188"/>
        <v>0</v>
      </c>
      <c r="AQ349" s="395">
        <f>(IF($H349="x",VLOOKUP($I349,'AUX-NIV2'!$B:$X,'AUX-NIV1'!AQ$3,FALSE),0)+($AV349*'AUX-NIV3'!S$4))*$O349+IF($H349=AQ$4,$P349,0)</f>
        <v>0</v>
      </c>
      <c r="AR349" s="395">
        <f>(IF($H349="x",VLOOKUP($I349,'AUX-NIV2'!$B:$X,'AUX-NIV1'!AR$3,FALSE),0)+($AV349*'AUX-NIV3'!T$4))*$O349+IF($H349=AR$4,$P349,0)</f>
        <v>0</v>
      </c>
      <c r="AS349" s="395">
        <f>(IF($H349="x",VLOOKUP($I349,'AUX-NIV2'!$B:$X,'AUX-NIV1'!AS$3,FALSE),0)+($AV349*'AUX-NIV3'!U$4))*$O349+IF($H349=AS$4,$P349,0)</f>
        <v>0</v>
      </c>
      <c r="AT349" s="395">
        <f>(IF($H349="x",VLOOKUP($I349,'AUX-NIV2'!$B:$X,'AUX-NIV1'!AT$3,FALSE),0)+($AV349*'AUX-NIV3'!V$4))*$O349+IF($H349=AT$4,$P349,0)</f>
        <v>0</v>
      </c>
      <c r="AU349" s="395">
        <f>(IF($H349="x",VLOOKUP($I349,'AUX-NIV2'!$B:$X,'AUX-NIV1'!AU$3,FALSE),0)+($AV349*'AUX-NIV3'!W$4))*$O349+IF($H349=AU$4,$P349,0)</f>
        <v>227.76400000000001</v>
      </c>
      <c r="AV349" s="395">
        <f>+IF($H349="x",VLOOKUP($I349,'AUX-NIV2'!$B:$X,'AUX-NIV1'!AV$3,FALSE),0)</f>
        <v>0</v>
      </c>
    </row>
    <row r="350" spans="2:48" ht="14.4" hidden="1" thickTop="1" thickBot="1">
      <c r="B350" s="324" t="s">
        <v>2962</v>
      </c>
      <c r="C350" s="325" t="s">
        <v>2963</v>
      </c>
      <c r="D350" s="326" t="s">
        <v>185</v>
      </c>
      <c r="E350" s="349">
        <f>IF(B350&lt;&gt;"",+SUMIF(Items!C:C,'AUX-NIV1'!B350,Items!H:H),"")</f>
        <v>0</v>
      </c>
      <c r="F350" s="349">
        <f t="shared" si="178"/>
        <v>14301.45962</v>
      </c>
      <c r="G350" s="349">
        <f t="shared" si="179"/>
        <v>0</v>
      </c>
      <c r="H350" s="1395" t="str">
        <f t="shared" si="189"/>
        <v>S</v>
      </c>
      <c r="I350" s="1375" t="s">
        <v>2563</v>
      </c>
      <c r="J350" s="350" t="str">
        <f>IF(B350&lt;&gt;"",+VLOOKUP(I350,Recursos!C:F,2,FALSE),"")</f>
        <v xml:space="preserve">INSTALACIÓN DE CABLE TIPO IRAM 2178 4 x 16 mm2 </v>
      </c>
      <c r="K350" s="351" t="str">
        <f>IF(B350&lt;&gt;"",+VLOOKUP(I350,Recursos!C:F,3,FALSE),"")</f>
        <v>m</v>
      </c>
      <c r="L350" s="436">
        <f>IF(B350&lt;&gt;"",+VLOOKUP(I350,Recursos!C:F,4,FALSE),"")</f>
        <v>40.01</v>
      </c>
      <c r="M350" s="441">
        <v>15</v>
      </c>
      <c r="N350" s="497"/>
      <c r="O350" s="439">
        <f t="shared" si="203"/>
        <v>15</v>
      </c>
      <c r="P350" s="440">
        <f t="shared" si="190"/>
        <v>600.15</v>
      </c>
      <c r="Q350" s="349">
        <f t="shared" si="191"/>
        <v>0</v>
      </c>
      <c r="R350" s="353">
        <f t="shared" si="192"/>
        <v>0</v>
      </c>
      <c r="S350" s="354">
        <f t="shared" si="180"/>
        <v>0</v>
      </c>
      <c r="T350" s="354">
        <f t="shared" si="181"/>
        <v>0</v>
      </c>
      <c r="U350" s="355">
        <f t="shared" si="182"/>
        <v>0</v>
      </c>
      <c r="V350" s="355">
        <f t="shared" si="183"/>
        <v>0</v>
      </c>
      <c r="W350" s="355">
        <f t="shared" si="184"/>
        <v>14301.45962</v>
      </c>
      <c r="X350" s="355">
        <f t="shared" si="185"/>
        <v>0</v>
      </c>
      <c r="Y350" s="396"/>
      <c r="Z350" s="346" t="str">
        <f t="shared" si="193"/>
        <v>0-IluminaA</v>
      </c>
      <c r="AA350" s="346" t="str">
        <f t="shared" si="194"/>
        <v>0-IluminaE</v>
      </c>
      <c r="AB350" s="346" t="str">
        <f t="shared" si="195"/>
        <v>0-IluminaM</v>
      </c>
      <c r="AC350" s="346" t="str">
        <f t="shared" si="196"/>
        <v>0-IluminaT</v>
      </c>
      <c r="AD350" s="346" t="str">
        <f t="shared" si="197"/>
        <v>0-IluminaS</v>
      </c>
      <c r="AE350" s="346" t="str">
        <f t="shared" si="198"/>
        <v>0-IluminaX</v>
      </c>
      <c r="AF350" s="346" t="str">
        <f t="shared" si="199"/>
        <v>0-IluminaS</v>
      </c>
      <c r="AG350" s="346">
        <f t="shared" si="186"/>
        <v>9</v>
      </c>
      <c r="AH350" s="346">
        <f>IF(B350&lt;&gt;"",+IF(H350="x",+VLOOKUP(I350,'AUX-NIV2'!B:AG,32,FALSE),0),"")</f>
        <v>0</v>
      </c>
      <c r="AI350" s="346" t="str">
        <f t="shared" si="200"/>
        <v>0-Ilumina</v>
      </c>
      <c r="AK350" s="347">
        <f t="shared" si="187"/>
        <v>348</v>
      </c>
      <c r="AL350" s="348">
        <f t="shared" si="201"/>
        <v>356</v>
      </c>
      <c r="AM350" s="347">
        <f t="shared" si="202"/>
        <v>3</v>
      </c>
      <c r="AN350" s="382">
        <f>IF(AND(AH350&gt;0,B350&lt;&gt;""),VLOOKUP(I350,'AUX-NIV2'!$B:$AP,40,FALSE)*O350,0)</f>
        <v>0</v>
      </c>
      <c r="AO350" s="382">
        <f t="shared" si="188"/>
        <v>0</v>
      </c>
      <c r="AQ350" s="395">
        <f>(IF($H350="x",VLOOKUP($I350,'AUX-NIV2'!$B:$X,'AUX-NIV1'!AQ$3,FALSE),0)+($AV350*'AUX-NIV3'!S$4))*$O350+IF($H350=AQ$4,$P350,0)</f>
        <v>0</v>
      </c>
      <c r="AR350" s="395">
        <f>(IF($H350="x",VLOOKUP($I350,'AUX-NIV2'!$B:$X,'AUX-NIV1'!AR$3,FALSE),0)+($AV350*'AUX-NIV3'!T$4))*$O350+IF($H350=AR$4,$P350,0)</f>
        <v>0</v>
      </c>
      <c r="AS350" s="395">
        <f>(IF($H350="x",VLOOKUP($I350,'AUX-NIV2'!$B:$X,'AUX-NIV1'!AS$3,FALSE),0)+($AV350*'AUX-NIV3'!U$4))*$O350+IF($H350=AS$4,$P350,0)</f>
        <v>0</v>
      </c>
      <c r="AT350" s="395">
        <f>(IF($H350="x",VLOOKUP($I350,'AUX-NIV2'!$B:$X,'AUX-NIV1'!AT$3,FALSE),0)+($AV350*'AUX-NIV3'!V$4))*$O350+IF($H350=AT$4,$P350,0)</f>
        <v>0</v>
      </c>
      <c r="AU350" s="395">
        <f>(IF($H350="x",VLOOKUP($I350,'AUX-NIV2'!$B:$X,'AUX-NIV1'!AU$3,FALSE),0)+($AV350*'AUX-NIV3'!W$4))*$O350+IF($H350=AU$4,$P350,0)</f>
        <v>600.15</v>
      </c>
      <c r="AV350" s="395">
        <f>+IF($H350="x",VLOOKUP($I350,'AUX-NIV2'!$B:$X,'AUX-NIV1'!AV$3,FALSE),0)</f>
        <v>0</v>
      </c>
    </row>
    <row r="351" spans="2:48" ht="14.4" hidden="1" thickTop="1" thickBot="1">
      <c r="B351" s="324" t="s">
        <v>2962</v>
      </c>
      <c r="C351" s="325" t="s">
        <v>2963</v>
      </c>
      <c r="D351" s="326" t="s">
        <v>185</v>
      </c>
      <c r="E351" s="349">
        <f>IF(B351&lt;&gt;"",+SUMIF(Items!C:C,'AUX-NIV1'!B351,Items!H:H),"")</f>
        <v>0</v>
      </c>
      <c r="F351" s="349">
        <f t="shared" si="178"/>
        <v>14301.45962</v>
      </c>
      <c r="G351" s="349">
        <f t="shared" si="179"/>
        <v>0</v>
      </c>
      <c r="H351" s="1395" t="str">
        <f t="shared" si="189"/>
        <v>S</v>
      </c>
      <c r="I351" s="1375" t="s">
        <v>2565</v>
      </c>
      <c r="J351" s="350" t="str">
        <f>IF(B351&lt;&gt;"",+VLOOKUP(I351,Recursos!C:F,2,FALSE),"")</f>
        <v xml:space="preserve">CÁMARAS DE HORMIGÓN DE TIRO Y DERIVACIÓN </v>
      </c>
      <c r="K351" s="351" t="str">
        <f>IF(B351&lt;&gt;"",+VLOOKUP(I351,Recursos!C:F,3,FALSE),"")</f>
        <v>u</v>
      </c>
      <c r="L351" s="436">
        <f>IF(B351&lt;&gt;"",+VLOOKUP(I351,Recursos!C:F,4,FALSE),"")</f>
        <v>315.60399999999998</v>
      </c>
      <c r="M351" s="441">
        <v>1</v>
      </c>
      <c r="N351" s="497"/>
      <c r="O351" s="439">
        <f t="shared" si="203"/>
        <v>1</v>
      </c>
      <c r="P351" s="440">
        <f t="shared" si="190"/>
        <v>315.60399999999998</v>
      </c>
      <c r="Q351" s="349">
        <f t="shared" si="191"/>
        <v>0</v>
      </c>
      <c r="R351" s="353">
        <f t="shared" si="192"/>
        <v>0</v>
      </c>
      <c r="S351" s="354">
        <f t="shared" si="180"/>
        <v>0</v>
      </c>
      <c r="T351" s="354">
        <f t="shared" si="181"/>
        <v>0</v>
      </c>
      <c r="U351" s="355">
        <f t="shared" si="182"/>
        <v>0</v>
      </c>
      <c r="V351" s="355">
        <f t="shared" si="183"/>
        <v>0</v>
      </c>
      <c r="W351" s="355">
        <f t="shared" si="184"/>
        <v>14301.45962</v>
      </c>
      <c r="X351" s="355">
        <f t="shared" si="185"/>
        <v>0</v>
      </c>
      <c r="Y351" s="396"/>
      <c r="Z351" s="346" t="str">
        <f t="shared" si="193"/>
        <v>0-IluminaA</v>
      </c>
      <c r="AA351" s="346" t="str">
        <f t="shared" si="194"/>
        <v>0-IluminaE</v>
      </c>
      <c r="AB351" s="346" t="str">
        <f t="shared" si="195"/>
        <v>0-IluminaM</v>
      </c>
      <c r="AC351" s="346" t="str">
        <f t="shared" si="196"/>
        <v>0-IluminaT</v>
      </c>
      <c r="AD351" s="346" t="str">
        <f t="shared" si="197"/>
        <v>0-IluminaS</v>
      </c>
      <c r="AE351" s="346" t="str">
        <f t="shared" si="198"/>
        <v>0-IluminaX</v>
      </c>
      <c r="AF351" s="346" t="str">
        <f t="shared" si="199"/>
        <v>0-IluminaS</v>
      </c>
      <c r="AG351" s="346">
        <f t="shared" si="186"/>
        <v>9</v>
      </c>
      <c r="AH351" s="346">
        <f>IF(B351&lt;&gt;"",+IF(H351="x",+VLOOKUP(I351,'AUX-NIV2'!B:AG,32,FALSE),0),"")</f>
        <v>0</v>
      </c>
      <c r="AI351" s="346" t="str">
        <f t="shared" si="200"/>
        <v>0-Ilumina</v>
      </c>
      <c r="AK351" s="347">
        <f t="shared" si="187"/>
        <v>348</v>
      </c>
      <c r="AL351" s="348">
        <f t="shared" si="201"/>
        <v>356</v>
      </c>
      <c r="AM351" s="347">
        <f t="shared" si="202"/>
        <v>4</v>
      </c>
      <c r="AN351" s="382">
        <f>IF(AND(AH351&gt;0,B351&lt;&gt;""),VLOOKUP(I351,'AUX-NIV2'!$B:$AP,40,FALSE)*O351,0)</f>
        <v>0</v>
      </c>
      <c r="AO351" s="382">
        <f t="shared" si="188"/>
        <v>0</v>
      </c>
      <c r="AQ351" s="395">
        <f>(IF($H351="x",VLOOKUP($I351,'AUX-NIV2'!$B:$X,'AUX-NIV1'!AQ$3,FALSE),0)+($AV351*'AUX-NIV3'!S$4))*$O351+IF($H351=AQ$4,$P351,0)</f>
        <v>0</v>
      </c>
      <c r="AR351" s="395">
        <f>(IF($H351="x",VLOOKUP($I351,'AUX-NIV2'!$B:$X,'AUX-NIV1'!AR$3,FALSE),0)+($AV351*'AUX-NIV3'!T$4))*$O351+IF($H351=AR$4,$P351,0)</f>
        <v>0</v>
      </c>
      <c r="AS351" s="395">
        <f>(IF($H351="x",VLOOKUP($I351,'AUX-NIV2'!$B:$X,'AUX-NIV1'!AS$3,FALSE),0)+($AV351*'AUX-NIV3'!U$4))*$O351+IF($H351=AS$4,$P351,0)</f>
        <v>0</v>
      </c>
      <c r="AT351" s="395">
        <f>(IF($H351="x",VLOOKUP($I351,'AUX-NIV2'!$B:$X,'AUX-NIV1'!AT$3,FALSE),0)+($AV351*'AUX-NIV3'!V$4))*$O351+IF($H351=AT$4,$P351,0)</f>
        <v>0</v>
      </c>
      <c r="AU351" s="395">
        <f>(IF($H351="x",VLOOKUP($I351,'AUX-NIV2'!$B:$X,'AUX-NIV1'!AU$3,FALSE),0)+($AV351*'AUX-NIV3'!W$4))*$O351+IF($H351=AU$4,$P351,0)</f>
        <v>315.60399999999998</v>
      </c>
      <c r="AV351" s="395">
        <f>+IF($H351="x",VLOOKUP($I351,'AUX-NIV2'!$B:$X,'AUX-NIV1'!AV$3,FALSE),0)</f>
        <v>0</v>
      </c>
    </row>
    <row r="352" spans="2:48" ht="14.4" hidden="1" thickTop="1" thickBot="1">
      <c r="B352" s="324" t="s">
        <v>2962</v>
      </c>
      <c r="C352" s="325" t="s">
        <v>2963</v>
      </c>
      <c r="D352" s="326" t="s">
        <v>185</v>
      </c>
      <c r="E352" s="349">
        <f>IF(B352&lt;&gt;"",+SUMIF(Items!C:C,'AUX-NIV1'!B352,Items!H:H),"")</f>
        <v>0</v>
      </c>
      <c r="F352" s="349">
        <f t="shared" si="178"/>
        <v>14301.45962</v>
      </c>
      <c r="G352" s="349">
        <f t="shared" si="179"/>
        <v>0</v>
      </c>
      <c r="H352" s="1395" t="str">
        <f t="shared" si="189"/>
        <v>S</v>
      </c>
      <c r="I352" s="1375" t="s">
        <v>2567</v>
      </c>
      <c r="J352" s="350" t="str">
        <f>IF(B352&lt;&gt;"",+VLOOKUP(I352,Recursos!C:F,2,FALSE),"")</f>
        <v>COLUMNA DE ACERO PARA ALUMBRADO PUBLICO - 12 METROS DE ALTURA LIBRE. INCLUIDO ARTEFACTO DE</v>
      </c>
      <c r="K352" s="351" t="str">
        <f>IF(B352&lt;&gt;"",+VLOOKUP(I352,Recursos!C:F,3,FALSE),"")</f>
        <v>u</v>
      </c>
      <c r="L352" s="436">
        <f>IF(B352&lt;&gt;"",+VLOOKUP(I352,Recursos!C:F,4,FALSE),"")</f>
        <v>2804.9</v>
      </c>
      <c r="M352" s="441">
        <v>1</v>
      </c>
      <c r="N352" s="497"/>
      <c r="O352" s="439">
        <f t="shared" si="203"/>
        <v>1</v>
      </c>
      <c r="P352" s="440">
        <f t="shared" si="190"/>
        <v>2804.9</v>
      </c>
      <c r="Q352" s="349">
        <f t="shared" si="191"/>
        <v>0</v>
      </c>
      <c r="R352" s="353">
        <f t="shared" si="192"/>
        <v>0</v>
      </c>
      <c r="S352" s="354">
        <f t="shared" si="180"/>
        <v>0</v>
      </c>
      <c r="T352" s="354">
        <f t="shared" si="181"/>
        <v>0</v>
      </c>
      <c r="U352" s="355">
        <f t="shared" si="182"/>
        <v>0</v>
      </c>
      <c r="V352" s="355">
        <f t="shared" si="183"/>
        <v>0</v>
      </c>
      <c r="W352" s="355">
        <f t="shared" si="184"/>
        <v>14301.45962</v>
      </c>
      <c r="X352" s="355">
        <f t="shared" si="185"/>
        <v>0</v>
      </c>
      <c r="Y352" s="396"/>
      <c r="Z352" s="346" t="str">
        <f t="shared" si="193"/>
        <v>0-IluminaA</v>
      </c>
      <c r="AA352" s="346" t="str">
        <f t="shared" si="194"/>
        <v>0-IluminaE</v>
      </c>
      <c r="AB352" s="346" t="str">
        <f t="shared" si="195"/>
        <v>0-IluminaM</v>
      </c>
      <c r="AC352" s="346" t="str">
        <f t="shared" si="196"/>
        <v>0-IluminaT</v>
      </c>
      <c r="AD352" s="346" t="str">
        <f t="shared" si="197"/>
        <v>0-IluminaS</v>
      </c>
      <c r="AE352" s="346" t="str">
        <f t="shared" si="198"/>
        <v>0-IluminaX</v>
      </c>
      <c r="AF352" s="346" t="str">
        <f t="shared" si="199"/>
        <v>0-IluminaS</v>
      </c>
      <c r="AG352" s="346">
        <f t="shared" si="186"/>
        <v>9</v>
      </c>
      <c r="AH352" s="346">
        <f>IF(B352&lt;&gt;"",+IF(H352="x",+VLOOKUP(I352,'AUX-NIV2'!B:AG,32,FALSE),0),"")</f>
        <v>0</v>
      </c>
      <c r="AI352" s="346" t="str">
        <f t="shared" si="200"/>
        <v>0-Ilumina</v>
      </c>
      <c r="AK352" s="347">
        <f t="shared" si="187"/>
        <v>348</v>
      </c>
      <c r="AL352" s="348">
        <f t="shared" si="201"/>
        <v>356</v>
      </c>
      <c r="AM352" s="347">
        <f t="shared" si="202"/>
        <v>5</v>
      </c>
      <c r="AN352" s="382">
        <f>IF(AND(AH352&gt;0,B352&lt;&gt;""),VLOOKUP(I352,'AUX-NIV2'!$B:$AP,40,FALSE)*O352,0)</f>
        <v>0</v>
      </c>
      <c r="AO352" s="382">
        <f t="shared" si="188"/>
        <v>0</v>
      </c>
      <c r="AQ352" s="395">
        <f>(IF($H352="x",VLOOKUP($I352,'AUX-NIV2'!$B:$X,'AUX-NIV1'!AQ$3,FALSE),0)+($AV352*'AUX-NIV3'!S$4))*$O352+IF($H352=AQ$4,$P352,0)</f>
        <v>0</v>
      </c>
      <c r="AR352" s="395">
        <f>(IF($H352="x",VLOOKUP($I352,'AUX-NIV2'!$B:$X,'AUX-NIV1'!AR$3,FALSE),0)+($AV352*'AUX-NIV3'!T$4))*$O352+IF($H352=AR$4,$P352,0)</f>
        <v>0</v>
      </c>
      <c r="AS352" s="395">
        <f>(IF($H352="x",VLOOKUP($I352,'AUX-NIV2'!$B:$X,'AUX-NIV1'!AS$3,FALSE),0)+($AV352*'AUX-NIV3'!U$4))*$O352+IF($H352=AS$4,$P352,0)</f>
        <v>0</v>
      </c>
      <c r="AT352" s="395">
        <f>(IF($H352="x",VLOOKUP($I352,'AUX-NIV2'!$B:$X,'AUX-NIV1'!AT$3,FALSE),0)+($AV352*'AUX-NIV3'!V$4))*$O352+IF($H352=AT$4,$P352,0)</f>
        <v>0</v>
      </c>
      <c r="AU352" s="395">
        <f>(IF($H352="x",VLOOKUP($I352,'AUX-NIV2'!$B:$X,'AUX-NIV1'!AU$3,FALSE),0)+($AV352*'AUX-NIV3'!W$4))*$O352+IF($H352=AU$4,$P352,0)</f>
        <v>2804.9</v>
      </c>
      <c r="AV352" s="395">
        <f>+IF($H352="x",VLOOKUP($I352,'AUX-NIV2'!$B:$X,'AUX-NIV1'!AV$3,FALSE),0)</f>
        <v>0</v>
      </c>
    </row>
    <row r="353" spans="2:48" ht="14.4" hidden="1" thickTop="1" thickBot="1">
      <c r="B353" s="324" t="s">
        <v>2962</v>
      </c>
      <c r="C353" s="325" t="s">
        <v>2963</v>
      </c>
      <c r="D353" s="326" t="s">
        <v>185</v>
      </c>
      <c r="E353" s="349">
        <f>IF(B353&lt;&gt;"",+SUMIF(Items!C:C,'AUX-NIV1'!B353,Items!H:H),"")</f>
        <v>0</v>
      </c>
      <c r="F353" s="349">
        <f t="shared" si="178"/>
        <v>14301.45962</v>
      </c>
      <c r="G353" s="349">
        <f t="shared" si="179"/>
        <v>0</v>
      </c>
      <c r="H353" s="1395" t="str">
        <f t="shared" si="189"/>
        <v>S</v>
      </c>
      <c r="I353" s="1375" t="s">
        <v>2567</v>
      </c>
      <c r="J353" s="350" t="str">
        <f>IF(B353&lt;&gt;"",+VLOOKUP(I353,Recursos!C:F,2,FALSE),"")</f>
        <v>COLUMNA DE ACERO PARA ALUMBRADO PUBLICO - 12 METROS DE ALTURA LIBRE. INCLUIDO ARTEFACTO DE</v>
      </c>
      <c r="K353" s="351" t="str">
        <f>IF(B353&lt;&gt;"",+VLOOKUP(I353,Recursos!C:F,3,FALSE),"")</f>
        <v>u</v>
      </c>
      <c r="L353" s="436">
        <f>IF(B353&lt;&gt;"",+VLOOKUP(I353,Recursos!C:F,4,FALSE),"")</f>
        <v>2804.9</v>
      </c>
      <c r="M353" s="441"/>
      <c r="N353" s="497"/>
      <c r="O353" s="439">
        <f t="shared" si="203"/>
        <v>0</v>
      </c>
      <c r="P353" s="440">
        <f t="shared" si="190"/>
        <v>0</v>
      </c>
      <c r="Q353" s="349">
        <f t="shared" si="191"/>
        <v>0</v>
      </c>
      <c r="R353" s="353">
        <f t="shared" si="192"/>
        <v>0</v>
      </c>
      <c r="S353" s="354">
        <f t="shared" si="180"/>
        <v>0</v>
      </c>
      <c r="T353" s="354">
        <f t="shared" si="181"/>
        <v>0</v>
      </c>
      <c r="U353" s="355">
        <f t="shared" si="182"/>
        <v>0</v>
      </c>
      <c r="V353" s="355">
        <f t="shared" si="183"/>
        <v>0</v>
      </c>
      <c r="W353" s="355">
        <f t="shared" si="184"/>
        <v>14301.45962</v>
      </c>
      <c r="X353" s="355">
        <f t="shared" si="185"/>
        <v>0</v>
      </c>
      <c r="Y353" s="396"/>
      <c r="Z353" s="346" t="str">
        <f t="shared" si="193"/>
        <v>0-IluminaA</v>
      </c>
      <c r="AA353" s="346" t="str">
        <f t="shared" si="194"/>
        <v>0-IluminaE</v>
      </c>
      <c r="AB353" s="346" t="str">
        <f t="shared" si="195"/>
        <v>0-IluminaM</v>
      </c>
      <c r="AC353" s="346" t="str">
        <f t="shared" si="196"/>
        <v>0-IluminaT</v>
      </c>
      <c r="AD353" s="346" t="str">
        <f t="shared" si="197"/>
        <v>0-IluminaS</v>
      </c>
      <c r="AE353" s="346" t="str">
        <f t="shared" si="198"/>
        <v>0-IluminaX</v>
      </c>
      <c r="AF353" s="346" t="str">
        <f t="shared" si="199"/>
        <v>0-IluminaS</v>
      </c>
      <c r="AG353" s="346">
        <f t="shared" si="186"/>
        <v>9</v>
      </c>
      <c r="AH353" s="346">
        <f>IF(B353&lt;&gt;"",+IF(H353="x",+VLOOKUP(I353,'AUX-NIV2'!B:AG,32,FALSE),0),"")</f>
        <v>0</v>
      </c>
      <c r="AI353" s="346" t="str">
        <f t="shared" si="200"/>
        <v>0-Ilumina</v>
      </c>
      <c r="AK353" s="347">
        <f t="shared" si="187"/>
        <v>348</v>
      </c>
      <c r="AL353" s="348">
        <f t="shared" si="201"/>
        <v>356</v>
      </c>
      <c r="AM353" s="347">
        <f t="shared" si="202"/>
        <v>6</v>
      </c>
      <c r="AN353" s="382">
        <f>IF(AND(AH353&gt;0,B353&lt;&gt;""),VLOOKUP(I353,'AUX-NIV2'!$B:$AP,40,FALSE)*O353,0)</f>
        <v>0</v>
      </c>
      <c r="AO353" s="382">
        <f t="shared" si="188"/>
        <v>0</v>
      </c>
      <c r="AQ353" s="395">
        <f>(IF($H353="x",VLOOKUP($I353,'AUX-NIV2'!$B:$X,'AUX-NIV1'!AQ$3,FALSE),0)+($AV353*'AUX-NIV3'!S$4))*$O353+IF($H353=AQ$4,$P353,0)</f>
        <v>0</v>
      </c>
      <c r="AR353" s="395">
        <f>(IF($H353="x",VLOOKUP($I353,'AUX-NIV2'!$B:$X,'AUX-NIV1'!AR$3,FALSE),0)+($AV353*'AUX-NIV3'!T$4))*$O353+IF($H353=AR$4,$P353,0)</f>
        <v>0</v>
      </c>
      <c r="AS353" s="395">
        <f>(IF($H353="x",VLOOKUP($I353,'AUX-NIV2'!$B:$X,'AUX-NIV1'!AS$3,FALSE),0)+($AV353*'AUX-NIV3'!U$4))*$O353+IF($H353=AS$4,$P353,0)</f>
        <v>0</v>
      </c>
      <c r="AT353" s="395">
        <f>(IF($H353="x",VLOOKUP($I353,'AUX-NIV2'!$B:$X,'AUX-NIV1'!AT$3,FALSE),0)+($AV353*'AUX-NIV3'!V$4))*$O353+IF($H353=AT$4,$P353,0)</f>
        <v>0</v>
      </c>
      <c r="AU353" s="395">
        <f>(IF($H353="x",VLOOKUP($I353,'AUX-NIV2'!$B:$X,'AUX-NIV1'!AU$3,FALSE),0)+($AV353*'AUX-NIV3'!W$4))*$O353+IF($H353=AU$4,$P353,0)</f>
        <v>0</v>
      </c>
      <c r="AV353" s="395">
        <f>+IF($H353="x",VLOOKUP($I353,'AUX-NIV2'!$B:$X,'AUX-NIV1'!AV$3,FALSE),0)</f>
        <v>0</v>
      </c>
    </row>
    <row r="354" spans="2:48" ht="14.4" hidden="1" thickTop="1" thickBot="1">
      <c r="B354" s="324" t="s">
        <v>2962</v>
      </c>
      <c r="C354" s="325" t="s">
        <v>2963</v>
      </c>
      <c r="D354" s="326" t="s">
        <v>185</v>
      </c>
      <c r="E354" s="349">
        <f>IF(B354&lt;&gt;"",+SUMIF(Items!C:C,'AUX-NIV1'!B354,Items!H:H),"")</f>
        <v>0</v>
      </c>
      <c r="F354" s="349">
        <f t="shared" si="178"/>
        <v>14301.45962</v>
      </c>
      <c r="G354" s="349">
        <f t="shared" si="179"/>
        <v>0</v>
      </c>
      <c r="H354" s="1395" t="str">
        <f t="shared" si="189"/>
        <v>S</v>
      </c>
      <c r="I354" s="1375" t="s">
        <v>2569</v>
      </c>
      <c r="J354" s="350" t="str">
        <f>IF(B354&lt;&gt;"",+VLOOKUP(I354,Recursos!C:F,2,FALSE),"")</f>
        <v xml:space="preserve">TRASLADO DE LÍNEA EXISTENTE </v>
      </c>
      <c r="K354" s="351" t="str">
        <f>IF(B354&lt;&gt;"",+VLOOKUP(I354,Recursos!C:F,3,FALSE),"")</f>
        <v>m</v>
      </c>
      <c r="L354" s="436">
        <f>IF(B354&lt;&gt;"",+VLOOKUP(I354,Recursos!C:F,4,FALSE),"")</f>
        <v>1</v>
      </c>
      <c r="M354" s="441"/>
      <c r="N354" s="497"/>
      <c r="O354" s="439">
        <f t="shared" si="203"/>
        <v>0</v>
      </c>
      <c r="P354" s="440">
        <f t="shared" si="190"/>
        <v>0</v>
      </c>
      <c r="Q354" s="349">
        <f t="shared" si="191"/>
        <v>0</v>
      </c>
      <c r="R354" s="353">
        <f t="shared" si="192"/>
        <v>0</v>
      </c>
      <c r="S354" s="354">
        <f t="shared" si="180"/>
        <v>0</v>
      </c>
      <c r="T354" s="354">
        <f t="shared" si="181"/>
        <v>0</v>
      </c>
      <c r="U354" s="355">
        <f t="shared" si="182"/>
        <v>0</v>
      </c>
      <c r="V354" s="355">
        <f t="shared" si="183"/>
        <v>0</v>
      </c>
      <c r="W354" s="355">
        <f t="shared" si="184"/>
        <v>14301.45962</v>
      </c>
      <c r="X354" s="355">
        <f t="shared" si="185"/>
        <v>0</v>
      </c>
      <c r="Y354" s="396"/>
      <c r="Z354" s="346" t="str">
        <f t="shared" si="193"/>
        <v>0-IluminaA</v>
      </c>
      <c r="AA354" s="346" t="str">
        <f t="shared" si="194"/>
        <v>0-IluminaE</v>
      </c>
      <c r="AB354" s="346" t="str">
        <f t="shared" si="195"/>
        <v>0-IluminaM</v>
      </c>
      <c r="AC354" s="346" t="str">
        <f t="shared" si="196"/>
        <v>0-IluminaT</v>
      </c>
      <c r="AD354" s="346" t="str">
        <f t="shared" si="197"/>
        <v>0-IluminaS</v>
      </c>
      <c r="AE354" s="346" t="str">
        <f t="shared" si="198"/>
        <v>0-IluminaX</v>
      </c>
      <c r="AF354" s="346" t="str">
        <f t="shared" si="199"/>
        <v>0-IluminaS</v>
      </c>
      <c r="AG354" s="346">
        <f t="shared" si="186"/>
        <v>9</v>
      </c>
      <c r="AH354" s="346">
        <f>IF(B354&lt;&gt;"",+IF(H354="x",+VLOOKUP(I354,'AUX-NIV2'!B:AG,32,FALSE),0),"")</f>
        <v>0</v>
      </c>
      <c r="AI354" s="346" t="str">
        <f t="shared" si="200"/>
        <v>0-Ilumina</v>
      </c>
      <c r="AK354" s="347">
        <f t="shared" si="187"/>
        <v>348</v>
      </c>
      <c r="AL354" s="348">
        <f t="shared" si="201"/>
        <v>356</v>
      </c>
      <c r="AM354" s="347">
        <f t="shared" si="202"/>
        <v>7</v>
      </c>
      <c r="AN354" s="382">
        <f>IF(AND(AH354&gt;0,B354&lt;&gt;""),VLOOKUP(I354,'AUX-NIV2'!$B:$AP,40,FALSE)*O354,0)</f>
        <v>0</v>
      </c>
      <c r="AO354" s="382">
        <f t="shared" si="188"/>
        <v>0</v>
      </c>
      <c r="AQ354" s="395">
        <f>(IF($H354="x",VLOOKUP($I354,'AUX-NIV2'!$B:$X,'AUX-NIV1'!AQ$3,FALSE),0)+($AV354*'AUX-NIV3'!S$4))*$O354+IF($H354=AQ$4,$P354,0)</f>
        <v>0</v>
      </c>
      <c r="AR354" s="395">
        <f>(IF($H354="x",VLOOKUP($I354,'AUX-NIV2'!$B:$X,'AUX-NIV1'!AR$3,FALSE),0)+($AV354*'AUX-NIV3'!T$4))*$O354+IF($H354=AR$4,$P354,0)</f>
        <v>0</v>
      </c>
      <c r="AS354" s="395">
        <f>(IF($H354="x",VLOOKUP($I354,'AUX-NIV2'!$B:$X,'AUX-NIV1'!AS$3,FALSE),0)+($AV354*'AUX-NIV3'!U$4))*$O354+IF($H354=AS$4,$P354,0)</f>
        <v>0</v>
      </c>
      <c r="AT354" s="395">
        <f>(IF($H354="x",VLOOKUP($I354,'AUX-NIV2'!$B:$X,'AUX-NIV1'!AT$3,FALSE),0)+($AV354*'AUX-NIV3'!V$4))*$O354+IF($H354=AT$4,$P354,0)</f>
        <v>0</v>
      </c>
      <c r="AU354" s="395">
        <f>(IF($H354="x",VLOOKUP($I354,'AUX-NIV2'!$B:$X,'AUX-NIV1'!AU$3,FALSE),0)+($AV354*'AUX-NIV3'!W$4))*$O354+IF($H354=AU$4,$P354,0)</f>
        <v>0</v>
      </c>
      <c r="AV354" s="395">
        <f>+IF($H354="x",VLOOKUP($I354,'AUX-NIV2'!$B:$X,'AUX-NIV1'!AV$3,FALSE),0)</f>
        <v>0</v>
      </c>
    </row>
    <row r="355" spans="2:48" ht="14.4" hidden="1" thickTop="1" thickBot="1">
      <c r="B355" s="324" t="s">
        <v>2962</v>
      </c>
      <c r="C355" s="325" t="s">
        <v>2963</v>
      </c>
      <c r="D355" s="326" t="s">
        <v>185</v>
      </c>
      <c r="E355" s="349">
        <f>IF(B355&lt;&gt;"",+SUMIF(Items!C:C,'AUX-NIV1'!B355,Items!H:H),"")</f>
        <v>0</v>
      </c>
      <c r="F355" s="349">
        <f t="shared" si="178"/>
        <v>14301.45962</v>
      </c>
      <c r="G355" s="349">
        <f t="shared" si="179"/>
        <v>0</v>
      </c>
      <c r="H355" s="1395" t="str">
        <f t="shared" si="189"/>
        <v>S</v>
      </c>
      <c r="I355" s="1375" t="s">
        <v>2571</v>
      </c>
      <c r="J355" s="350" t="str">
        <f>IF(B355&lt;&gt;"",+VLOOKUP(I355,Recursos!C:F,2,FALSE),"")</f>
        <v xml:space="preserve">S.E.T.A </v>
      </c>
      <c r="K355" s="351" t="str">
        <f>IF(B355&lt;&gt;"",+VLOOKUP(I355,Recursos!C:F,3,FALSE),"")</f>
        <v>u</v>
      </c>
      <c r="L355" s="436">
        <f>IF(B355&lt;&gt;"",+VLOOKUP(I355,Recursos!C:F,4,FALSE),"")</f>
        <v>31528.881000000001</v>
      </c>
      <c r="M355" s="546">
        <v>0.02</v>
      </c>
      <c r="N355" s="497"/>
      <c r="O355" s="439">
        <f t="shared" si="203"/>
        <v>0.02</v>
      </c>
      <c r="P355" s="440">
        <f t="shared" si="190"/>
        <v>630.57762000000002</v>
      </c>
      <c r="Q355" s="349">
        <f t="shared" si="191"/>
        <v>0</v>
      </c>
      <c r="R355" s="353">
        <f t="shared" si="192"/>
        <v>0</v>
      </c>
      <c r="S355" s="354">
        <f t="shared" si="180"/>
        <v>0</v>
      </c>
      <c r="T355" s="354">
        <f t="shared" si="181"/>
        <v>0</v>
      </c>
      <c r="U355" s="355">
        <f t="shared" si="182"/>
        <v>0</v>
      </c>
      <c r="V355" s="355">
        <f t="shared" si="183"/>
        <v>0</v>
      </c>
      <c r="W355" s="355">
        <f t="shared" si="184"/>
        <v>14301.45962</v>
      </c>
      <c r="X355" s="355">
        <f t="shared" si="185"/>
        <v>0</v>
      </c>
      <c r="Y355" s="396"/>
      <c r="Z355" s="346" t="str">
        <f t="shared" si="193"/>
        <v>0-IluminaA</v>
      </c>
      <c r="AA355" s="346" t="str">
        <f t="shared" si="194"/>
        <v>0-IluminaE</v>
      </c>
      <c r="AB355" s="346" t="str">
        <f t="shared" si="195"/>
        <v>0-IluminaM</v>
      </c>
      <c r="AC355" s="346" t="str">
        <f t="shared" si="196"/>
        <v>0-IluminaT</v>
      </c>
      <c r="AD355" s="346" t="str">
        <f t="shared" si="197"/>
        <v>0-IluminaS</v>
      </c>
      <c r="AE355" s="346" t="str">
        <f t="shared" si="198"/>
        <v>0-IluminaX</v>
      </c>
      <c r="AF355" s="346" t="str">
        <f t="shared" si="199"/>
        <v>0-IluminaS</v>
      </c>
      <c r="AG355" s="346">
        <f t="shared" si="186"/>
        <v>9</v>
      </c>
      <c r="AH355" s="346">
        <f>IF(B355&lt;&gt;"",+IF(H355="x",+VLOOKUP(I355,'AUX-NIV2'!B:AG,32,FALSE),0),"")</f>
        <v>0</v>
      </c>
      <c r="AI355" s="346" t="str">
        <f t="shared" si="200"/>
        <v>0-Ilumina</v>
      </c>
      <c r="AK355" s="347">
        <f t="shared" si="187"/>
        <v>348</v>
      </c>
      <c r="AL355" s="348">
        <f t="shared" si="201"/>
        <v>356</v>
      </c>
      <c r="AM355" s="347">
        <f t="shared" si="202"/>
        <v>8</v>
      </c>
      <c r="AN355" s="382">
        <f>IF(AND(AH355&gt;0,B355&lt;&gt;""),VLOOKUP(I355,'AUX-NIV2'!$B:$AP,40,FALSE)*O355,0)</f>
        <v>0</v>
      </c>
      <c r="AO355" s="382">
        <f t="shared" si="188"/>
        <v>0</v>
      </c>
      <c r="AQ355" s="395">
        <f>(IF($H355="x",VLOOKUP($I355,'AUX-NIV2'!$B:$X,'AUX-NIV1'!AQ$3,FALSE),0)+($AV355*'AUX-NIV3'!S$4))*$O355+IF($H355=AQ$4,$P355,0)</f>
        <v>0</v>
      </c>
      <c r="AR355" s="395">
        <f>(IF($H355="x",VLOOKUP($I355,'AUX-NIV2'!$B:$X,'AUX-NIV1'!AR$3,FALSE),0)+($AV355*'AUX-NIV3'!T$4))*$O355+IF($H355=AR$4,$P355,0)</f>
        <v>0</v>
      </c>
      <c r="AS355" s="395">
        <f>(IF($H355="x",VLOOKUP($I355,'AUX-NIV2'!$B:$X,'AUX-NIV1'!AS$3,FALSE),0)+($AV355*'AUX-NIV3'!U$4))*$O355+IF($H355=AS$4,$P355,0)</f>
        <v>0</v>
      </c>
      <c r="AT355" s="395">
        <f>(IF($H355="x",VLOOKUP($I355,'AUX-NIV2'!$B:$X,'AUX-NIV1'!AT$3,FALSE),0)+($AV355*'AUX-NIV3'!V$4))*$O355+IF($H355=AT$4,$P355,0)</f>
        <v>0</v>
      </c>
      <c r="AU355" s="395">
        <f>(IF($H355="x",VLOOKUP($I355,'AUX-NIV2'!$B:$X,'AUX-NIV1'!AU$3,FALSE),0)+($AV355*'AUX-NIV3'!W$4))*$O355+IF($H355=AU$4,$P355,0)</f>
        <v>630.57762000000002</v>
      </c>
      <c r="AV355" s="395">
        <f>+IF($H355="x",VLOOKUP($I355,'AUX-NIV2'!$B:$X,'AUX-NIV1'!AV$3,FALSE),0)</f>
        <v>0</v>
      </c>
    </row>
    <row r="356" spans="2:48" ht="14.4" hidden="1" thickTop="1" thickBot="1">
      <c r="B356" s="324" t="s">
        <v>2962</v>
      </c>
      <c r="C356" s="325" t="s">
        <v>2963</v>
      </c>
      <c r="D356" s="326" t="s">
        <v>185</v>
      </c>
      <c r="E356" s="349">
        <f>IF(B356&lt;&gt;"",+SUMIF(Items!C:C,'AUX-NIV1'!B356,Items!H:H),"")</f>
        <v>0</v>
      </c>
      <c r="F356" s="349">
        <f t="shared" si="178"/>
        <v>14301.45962</v>
      </c>
      <c r="G356" s="349">
        <f t="shared" si="179"/>
        <v>0</v>
      </c>
      <c r="H356" s="1395" t="str">
        <f t="shared" si="189"/>
        <v>S</v>
      </c>
      <c r="I356" s="1375" t="s">
        <v>2573</v>
      </c>
      <c r="J356" s="350" t="str">
        <f>IF(B356&lt;&gt;"",+VLOOKUP(I356,Recursos!C:F,2,FALSE),"")</f>
        <v xml:space="preserve">TABLERO DE ALUMBRADO PÚBLICO </v>
      </c>
      <c r="K356" s="351" t="str">
        <f>IF(B356&lt;&gt;"",+VLOOKUP(I356,Recursos!C:F,3,FALSE),"")</f>
        <v>u</v>
      </c>
      <c r="L356" s="436">
        <f>IF(B356&lt;&gt;"",+VLOOKUP(I356,Recursos!C:F,4,FALSE),"")</f>
        <v>9444.2639999999992</v>
      </c>
      <c r="M356" s="535">
        <v>1</v>
      </c>
      <c r="N356" s="536"/>
      <c r="O356" s="439">
        <f t="shared" si="203"/>
        <v>1</v>
      </c>
      <c r="P356" s="440">
        <f t="shared" si="190"/>
        <v>9444.2639999999992</v>
      </c>
      <c r="Q356" s="349">
        <f t="shared" si="191"/>
        <v>0</v>
      </c>
      <c r="R356" s="353">
        <f t="shared" si="192"/>
        <v>0</v>
      </c>
      <c r="S356" s="354">
        <f t="shared" si="180"/>
        <v>0</v>
      </c>
      <c r="T356" s="354">
        <f t="shared" si="181"/>
        <v>0</v>
      </c>
      <c r="U356" s="355">
        <f t="shared" si="182"/>
        <v>0</v>
      </c>
      <c r="V356" s="355">
        <f t="shared" si="183"/>
        <v>0</v>
      </c>
      <c r="W356" s="355">
        <f t="shared" si="184"/>
        <v>14301.45962</v>
      </c>
      <c r="X356" s="355">
        <f t="shared" si="185"/>
        <v>0</v>
      </c>
      <c r="Y356" s="396"/>
      <c r="Z356" s="346" t="str">
        <f t="shared" si="193"/>
        <v>0-IluminaA</v>
      </c>
      <c r="AA356" s="346" t="str">
        <f t="shared" si="194"/>
        <v>0-IluminaE</v>
      </c>
      <c r="AB356" s="346" t="str">
        <f t="shared" si="195"/>
        <v>0-IluminaM</v>
      </c>
      <c r="AC356" s="346" t="str">
        <f t="shared" si="196"/>
        <v>0-IluminaT</v>
      </c>
      <c r="AD356" s="346" t="str">
        <f t="shared" si="197"/>
        <v>0-IluminaS</v>
      </c>
      <c r="AE356" s="346" t="str">
        <f t="shared" si="198"/>
        <v>0-IluminaX</v>
      </c>
      <c r="AF356" s="346" t="str">
        <f t="shared" si="199"/>
        <v>0-IluminaS</v>
      </c>
      <c r="AG356" s="346">
        <f t="shared" si="186"/>
        <v>9</v>
      </c>
      <c r="AH356" s="346">
        <f>IF(B356&lt;&gt;"",+IF(H356="x",+VLOOKUP(I356,'AUX-NIV2'!B:AG,32,FALSE),0),"")</f>
        <v>0</v>
      </c>
      <c r="AI356" s="346" t="str">
        <f t="shared" si="200"/>
        <v>0-Ilumina</v>
      </c>
      <c r="AK356" s="347">
        <f t="shared" si="187"/>
        <v>348</v>
      </c>
      <c r="AL356" s="348">
        <f t="shared" si="201"/>
        <v>356</v>
      </c>
      <c r="AM356" s="347">
        <f t="shared" si="202"/>
        <v>9</v>
      </c>
      <c r="AN356" s="382">
        <f>IF(AND(AH356&gt;0,B356&lt;&gt;""),VLOOKUP(I356,'AUX-NIV2'!$B:$AP,40,FALSE)*O356,0)</f>
        <v>0</v>
      </c>
      <c r="AO356" s="382">
        <f t="shared" si="188"/>
        <v>0</v>
      </c>
      <c r="AQ356" s="395">
        <f>(IF($H356="x",VLOOKUP($I356,'AUX-NIV2'!$B:$X,'AUX-NIV1'!AQ$3,FALSE),0)+($AV356*'AUX-NIV3'!S$4))*$O356+IF($H356=AQ$4,$P356,0)</f>
        <v>0</v>
      </c>
      <c r="AR356" s="395">
        <f>(IF($H356="x",VLOOKUP($I356,'AUX-NIV2'!$B:$X,'AUX-NIV1'!AR$3,FALSE),0)+($AV356*'AUX-NIV3'!T$4))*$O356+IF($H356=AR$4,$P356,0)</f>
        <v>0</v>
      </c>
      <c r="AS356" s="395">
        <f>(IF($H356="x",VLOOKUP($I356,'AUX-NIV2'!$B:$X,'AUX-NIV1'!AS$3,FALSE),0)+($AV356*'AUX-NIV3'!U$4))*$O356+IF($H356=AS$4,$P356,0)</f>
        <v>0</v>
      </c>
      <c r="AT356" s="395">
        <f>(IF($H356="x",VLOOKUP($I356,'AUX-NIV2'!$B:$X,'AUX-NIV1'!AT$3,FALSE),0)+($AV356*'AUX-NIV3'!V$4))*$O356+IF($H356=AT$4,$P356,0)</f>
        <v>0</v>
      </c>
      <c r="AU356" s="395">
        <f>(IF($H356="x",VLOOKUP($I356,'AUX-NIV2'!$B:$X,'AUX-NIV1'!AU$3,FALSE),0)+($AV356*'AUX-NIV3'!W$4))*$O356+IF($H356=AU$4,$P356,0)</f>
        <v>9444.2639999999992</v>
      </c>
      <c r="AV356" s="395">
        <f>+IF($H356="x",VLOOKUP($I356,'AUX-NIV2'!$B:$X,'AUX-NIV1'!AV$3,FALSE),0)</f>
        <v>0</v>
      </c>
    </row>
    <row r="357" spans="2:48" ht="14.4" hidden="1" thickTop="1" thickBot="1">
      <c r="B357" s="324" t="s">
        <v>2964</v>
      </c>
      <c r="C357" s="325" t="s">
        <v>2965</v>
      </c>
      <c r="D357" s="326" t="s">
        <v>501</v>
      </c>
      <c r="E357" s="349">
        <f>IF(B357&lt;&gt;"",+SUMIF(Items!C:C,'AUX-NIV1'!B357,Items!H:H),"")</f>
        <v>0</v>
      </c>
      <c r="F357" s="349">
        <f t="shared" si="178"/>
        <v>19306.008930161424</v>
      </c>
      <c r="G357" s="349">
        <f t="shared" si="179"/>
        <v>0</v>
      </c>
      <c r="H357" s="1395" t="str">
        <f t="shared" si="189"/>
        <v>X</v>
      </c>
      <c r="I357" s="1375" t="s">
        <v>2897</v>
      </c>
      <c r="J357" s="350" t="str">
        <f>IF(B357&lt;&gt;"",+VLOOKUP(I357,Recursos!C:F,2,FALSE),"")</f>
        <v>Colado de hgón con bomba</v>
      </c>
      <c r="K357" s="351" t="str">
        <f>IF(B357&lt;&gt;"",+VLOOKUP(I357,Recursos!C:F,3,FALSE),"")</f>
        <v>m3</v>
      </c>
      <c r="L357" s="436">
        <f>IF(B357&lt;&gt;"",+VLOOKUP(I357,Recursos!C:F,4,FALSE),"")</f>
        <v>4223.8879328752682</v>
      </c>
      <c r="M357" s="437">
        <v>1.25</v>
      </c>
      <c r="N357" s="458">
        <f>0.1</f>
        <v>0.1</v>
      </c>
      <c r="O357" s="439">
        <f>(M357+N357)*N358</f>
        <v>0.20250000000000001</v>
      </c>
      <c r="P357" s="440">
        <f t="shared" si="190"/>
        <v>855.33730640724184</v>
      </c>
      <c r="Q357" s="349">
        <f t="shared" si="191"/>
        <v>0</v>
      </c>
      <c r="R357" s="353">
        <f t="shared" si="192"/>
        <v>0</v>
      </c>
      <c r="S357" s="354">
        <f t="shared" si="180"/>
        <v>0</v>
      </c>
      <c r="T357" s="354">
        <f t="shared" si="181"/>
        <v>0</v>
      </c>
      <c r="U357" s="355">
        <f t="shared" si="182"/>
        <v>0</v>
      </c>
      <c r="V357" s="355">
        <f t="shared" si="183"/>
        <v>0</v>
      </c>
      <c r="W357" s="355">
        <f t="shared" si="184"/>
        <v>0</v>
      </c>
      <c r="X357" s="355">
        <f t="shared" si="185"/>
        <v>19306.008930161424</v>
      </c>
      <c r="Y357" s="396"/>
      <c r="Z357" s="346" t="str">
        <f t="shared" si="193"/>
        <v>0-HORMCA</v>
      </c>
      <c r="AA357" s="346" t="str">
        <f t="shared" si="194"/>
        <v>0-HORMCE</v>
      </c>
      <c r="AB357" s="346" t="str">
        <f t="shared" si="195"/>
        <v>0-HORMCM</v>
      </c>
      <c r="AC357" s="346" t="str">
        <f t="shared" si="196"/>
        <v>0-HORMCT</v>
      </c>
      <c r="AD357" s="346" t="str">
        <f t="shared" si="197"/>
        <v>0-HORMCS</v>
      </c>
      <c r="AE357" s="346" t="str">
        <f t="shared" si="198"/>
        <v>0-HORMCX</v>
      </c>
      <c r="AF357" s="346" t="str">
        <f t="shared" si="199"/>
        <v>0-HORMCX</v>
      </c>
      <c r="AG357" s="346">
        <f t="shared" si="186"/>
        <v>8</v>
      </c>
      <c r="AH357" s="346">
        <f>IF(B357&lt;&gt;"",+IF(H357="x",+VLOOKUP(I357,'AUX-NIV2'!B:AG,32,FALSE),0),"")</f>
        <v>10</v>
      </c>
      <c r="AI357" s="346" t="str">
        <f t="shared" si="200"/>
        <v>0-HORMC</v>
      </c>
      <c r="AK357" s="347">
        <f t="shared" si="187"/>
        <v>357</v>
      </c>
      <c r="AL357" s="348">
        <f t="shared" si="201"/>
        <v>364</v>
      </c>
      <c r="AM357" s="347">
        <f t="shared" si="202"/>
        <v>1</v>
      </c>
      <c r="AN357" s="382">
        <f>IF(AND(AH357&gt;0,B357&lt;&gt;""),VLOOKUP(I357,'AUX-NIV2'!$B:$AP,40,FALSE)*O357,0)</f>
        <v>0.75600000000000001</v>
      </c>
      <c r="AO357" s="382">
        <f t="shared" si="188"/>
        <v>10.507173903380103</v>
      </c>
      <c r="AQ357" s="395">
        <f>(IF($H357="x",VLOOKUP($I357,'AUX-NIV2'!$B:$X,'AUX-NIV1'!AQ$3,FALSE),0)+($AV357*'AUX-NIV3'!S$4))*$O357+IF($H357=AQ$4,$P357,0)</f>
        <v>365.18288143224186</v>
      </c>
      <c r="AR357" s="395">
        <f>(IF($H357="x",VLOOKUP($I357,'AUX-NIV2'!$B:$X,'AUX-NIV1'!AR$3,FALSE),0)+($AV357*'AUX-NIV3'!T$4))*$O357+IF($H357=AR$4,$P357,0)</f>
        <v>490.15442497500004</v>
      </c>
      <c r="AS357" s="395">
        <f>(IF($H357="x",VLOOKUP($I357,'AUX-NIV2'!$B:$X,'AUX-NIV1'!AS$3,FALSE),0)+($AV357*'AUX-NIV3'!U$4))*$O357+IF($H357=AS$4,$P357,0)</f>
        <v>0</v>
      </c>
      <c r="AT357" s="395">
        <f>(IF($H357="x",VLOOKUP($I357,'AUX-NIV2'!$B:$X,'AUX-NIV1'!AT$3,FALSE),0)+($AV357*'AUX-NIV3'!V$4))*$O357+IF($H357=AT$4,$P357,0)</f>
        <v>0</v>
      </c>
      <c r="AU357" s="395">
        <f>(IF($H357="x",VLOOKUP($I357,'AUX-NIV2'!$B:$X,'AUX-NIV1'!AU$3,FALSE),0)+($AV357*'AUX-NIV3'!W$4))*$O357+IF($H357=AU$4,$P357,0)</f>
        <v>0</v>
      </c>
      <c r="AV357" s="395">
        <f>+IF($H357="x",VLOOKUP($I357,'AUX-NIV2'!$B:$X,'AUX-NIV1'!AV$3,FALSE),0)</f>
        <v>0</v>
      </c>
    </row>
    <row r="358" spans="2:48" ht="14.4" hidden="1" thickTop="1" thickBot="1">
      <c r="B358" s="324" t="s">
        <v>2964</v>
      </c>
      <c r="C358" s="325" t="s">
        <v>2965</v>
      </c>
      <c r="D358" s="326" t="s">
        <v>501</v>
      </c>
      <c r="E358" s="349">
        <f>IF(B358&lt;&gt;"",+SUMIF(Items!C:C,'AUX-NIV1'!B358,Items!H:H),"")</f>
        <v>0</v>
      </c>
      <c r="F358" s="349">
        <f t="shared" si="178"/>
        <v>19306.008930161424</v>
      </c>
      <c r="G358" s="349">
        <f t="shared" si="179"/>
        <v>0</v>
      </c>
      <c r="H358" s="1395" t="str">
        <f t="shared" si="189"/>
        <v>X</v>
      </c>
      <c r="I358" s="1375" t="s">
        <v>2899</v>
      </c>
      <c r="J358" s="350" t="str">
        <f>IF(B358&lt;&gt;"",+VLOOKUP(I358,Recursos!C:F,2,FALSE),"")</f>
        <v>Encofrado metalico complejo</v>
      </c>
      <c r="K358" s="351" t="str">
        <f>IF(B358&lt;&gt;"",+VLOOKUP(I358,Recursos!C:F,3,FALSE),"")</f>
        <v>m2</v>
      </c>
      <c r="L358" s="436">
        <f>IF(B358&lt;&gt;"",+VLOOKUP(I358,Recursos!C:F,4,FALSE),"")</f>
        <v>5273.5946945936521</v>
      </c>
      <c r="M358" s="441">
        <v>0.5</v>
      </c>
      <c r="N358" s="497">
        <v>0.15</v>
      </c>
      <c r="O358" s="542">
        <f>+M358*N358</f>
        <v>7.4999999999999997E-2</v>
      </c>
      <c r="P358" s="440">
        <f t="shared" si="190"/>
        <v>395.51960209452392</v>
      </c>
      <c r="Q358" s="349">
        <f t="shared" si="191"/>
        <v>0</v>
      </c>
      <c r="R358" s="353">
        <f t="shared" si="192"/>
        <v>0</v>
      </c>
      <c r="S358" s="354">
        <f t="shared" si="180"/>
        <v>0</v>
      </c>
      <c r="T358" s="354">
        <f t="shared" si="181"/>
        <v>0</v>
      </c>
      <c r="U358" s="355">
        <f t="shared" si="182"/>
        <v>0</v>
      </c>
      <c r="V358" s="355">
        <f t="shared" si="183"/>
        <v>0</v>
      </c>
      <c r="W358" s="355">
        <f t="shared" si="184"/>
        <v>0</v>
      </c>
      <c r="X358" s="355">
        <f t="shared" si="185"/>
        <v>19306.008930161424</v>
      </c>
      <c r="Y358" s="396"/>
      <c r="Z358" s="346" t="str">
        <f t="shared" si="193"/>
        <v>0-HORMCA</v>
      </c>
      <c r="AA358" s="346" t="str">
        <f t="shared" si="194"/>
        <v>0-HORMCE</v>
      </c>
      <c r="AB358" s="346" t="str">
        <f t="shared" si="195"/>
        <v>0-HORMCM</v>
      </c>
      <c r="AC358" s="346" t="str">
        <f t="shared" si="196"/>
        <v>0-HORMCT</v>
      </c>
      <c r="AD358" s="346" t="str">
        <f t="shared" si="197"/>
        <v>0-HORMCS</v>
      </c>
      <c r="AE358" s="346" t="str">
        <f t="shared" si="198"/>
        <v>0-HORMCX</v>
      </c>
      <c r="AF358" s="346" t="str">
        <f t="shared" si="199"/>
        <v>0-HORMCX</v>
      </c>
      <c r="AG358" s="346">
        <f t="shared" si="186"/>
        <v>8</v>
      </c>
      <c r="AH358" s="346">
        <f>IF(B358&lt;&gt;"",+IF(H358="x",+VLOOKUP(I358,'AUX-NIV2'!B:AG,32,FALSE),0),"")</f>
        <v>14</v>
      </c>
      <c r="AI358" s="346" t="str">
        <f t="shared" si="200"/>
        <v>0-HORMC</v>
      </c>
      <c r="AK358" s="347">
        <f t="shared" si="187"/>
        <v>357</v>
      </c>
      <c r="AL358" s="348">
        <f t="shared" si="201"/>
        <v>364</v>
      </c>
      <c r="AM358" s="347">
        <f t="shared" si="202"/>
        <v>2</v>
      </c>
      <c r="AN358" s="382">
        <f>IF(AND(AH358&gt;0,B358&lt;&gt;""),VLOOKUP(I358,'AUX-NIV2'!$B:$AP,40,FALSE)*O358,0)</f>
        <v>0.52968749999999998</v>
      </c>
      <c r="AO358" s="382">
        <f t="shared" si="188"/>
        <v>10.507173903380103</v>
      </c>
      <c r="AQ358" s="395">
        <f>(IF($H358="x",VLOOKUP($I358,'AUX-NIV2'!$B:$X,'AUX-NIV1'!AQ$3,FALSE),0)+($AV358*'AUX-NIV3'!S$4))*$O358+IF($H358=AQ$4,$P358,0)</f>
        <v>252.68348102509452</v>
      </c>
      <c r="AR358" s="395">
        <f>(IF($H358="x",VLOOKUP($I358,'AUX-NIV2'!$B:$X,'AUX-NIV1'!AR$3,FALSE),0)+($AV358*'AUX-NIV3'!T$4))*$O358+IF($H358=AR$4,$P358,0)</f>
        <v>8.9177709375000003</v>
      </c>
      <c r="AS358" s="395">
        <f>(IF($H358="x",VLOOKUP($I358,'AUX-NIV2'!$B:$X,'AUX-NIV1'!AS$3,FALSE),0)+($AV358*'AUX-NIV3'!U$4))*$O358+IF($H358=AS$4,$P358,0)</f>
        <v>133.91835013192934</v>
      </c>
      <c r="AT358" s="395">
        <f>(IF($H358="x",VLOOKUP($I358,'AUX-NIV2'!$B:$X,'AUX-NIV1'!AT$3,FALSE),0)+($AV358*'AUX-NIV3'!V$4))*$O358+IF($H358=AT$4,$P358,0)</f>
        <v>0</v>
      </c>
      <c r="AU358" s="395">
        <f>(IF($H358="x",VLOOKUP($I358,'AUX-NIV2'!$B:$X,'AUX-NIV1'!AU$3,FALSE),0)+($AV358*'AUX-NIV3'!W$4))*$O358+IF($H358=AU$4,$P358,0)</f>
        <v>0</v>
      </c>
      <c r="AV358" s="395">
        <f>+IF($H358="x",VLOOKUP($I358,'AUX-NIV2'!$B:$X,'AUX-NIV1'!AV$3,FALSE),0)</f>
        <v>0</v>
      </c>
    </row>
    <row r="359" spans="2:48" ht="14.4" hidden="1" thickTop="1" thickBot="1">
      <c r="B359" s="324" t="s">
        <v>2964</v>
      </c>
      <c r="C359" s="325" t="s">
        <v>2965</v>
      </c>
      <c r="D359" s="326" t="s">
        <v>501</v>
      </c>
      <c r="E359" s="349">
        <f>IF(B359&lt;&gt;"",+SUMIF(Items!C:C,'AUX-NIV1'!B359,Items!H:H),"")</f>
        <v>0</v>
      </c>
      <c r="F359" s="349">
        <f t="shared" si="178"/>
        <v>19306.008930161424</v>
      </c>
      <c r="G359" s="349">
        <f t="shared" si="179"/>
        <v>0</v>
      </c>
      <c r="H359" s="1395" t="str">
        <f t="shared" si="189"/>
        <v>X</v>
      </c>
      <c r="I359" s="1375" t="s">
        <v>1508</v>
      </c>
      <c r="J359" s="350" t="str">
        <f>IF(B359&lt;&gt;"",+VLOOKUP(I359,Recursos!C:F,2,FALSE),"")</f>
        <v>Elaboración de Hgón H30</v>
      </c>
      <c r="K359" s="351" t="str">
        <f>IF(B359&lt;&gt;"",+VLOOKUP(I359,Recursos!C:F,3,FALSE),"")</f>
        <v>m3</v>
      </c>
      <c r="L359" s="436">
        <f>IF(B359&lt;&gt;"",+VLOOKUP(I359,Recursos!C:F,4,FALSE),"")</f>
        <v>5751.7751431377656</v>
      </c>
      <c r="M359" s="443"/>
      <c r="N359" s="442"/>
      <c r="O359" s="439">
        <f>(+M357+N357)*N358</f>
        <v>0.20250000000000001</v>
      </c>
      <c r="P359" s="440">
        <f t="shared" si="190"/>
        <v>1164.7344664853977</v>
      </c>
      <c r="Q359" s="349">
        <f t="shared" si="191"/>
        <v>0</v>
      </c>
      <c r="R359" s="353">
        <f t="shared" si="192"/>
        <v>0</v>
      </c>
      <c r="S359" s="354">
        <f t="shared" si="180"/>
        <v>0</v>
      </c>
      <c r="T359" s="354">
        <f t="shared" si="181"/>
        <v>0</v>
      </c>
      <c r="U359" s="355">
        <f t="shared" si="182"/>
        <v>0</v>
      </c>
      <c r="V359" s="355">
        <f t="shared" si="183"/>
        <v>0</v>
      </c>
      <c r="W359" s="355">
        <f t="shared" si="184"/>
        <v>0</v>
      </c>
      <c r="X359" s="355">
        <f t="shared" si="185"/>
        <v>19306.008930161424</v>
      </c>
      <c r="Y359" s="396"/>
      <c r="Z359" s="346" t="str">
        <f t="shared" si="193"/>
        <v>0-HORMCA</v>
      </c>
      <c r="AA359" s="346" t="str">
        <f t="shared" si="194"/>
        <v>0-HORMCE</v>
      </c>
      <c r="AB359" s="346" t="str">
        <f t="shared" si="195"/>
        <v>0-HORMCM</v>
      </c>
      <c r="AC359" s="346" t="str">
        <f t="shared" si="196"/>
        <v>0-HORMCT</v>
      </c>
      <c r="AD359" s="346" t="str">
        <f t="shared" si="197"/>
        <v>0-HORMCS</v>
      </c>
      <c r="AE359" s="346" t="str">
        <f t="shared" si="198"/>
        <v>0-HORMCX</v>
      </c>
      <c r="AF359" s="346" t="str">
        <f t="shared" si="199"/>
        <v>0-HORMCX</v>
      </c>
      <c r="AG359" s="346">
        <f t="shared" si="186"/>
        <v>8</v>
      </c>
      <c r="AH359" s="346">
        <f>IF(B359&lt;&gt;"",+IF(H359="x",+VLOOKUP(I359,'AUX-NIV2'!B:AG,32,FALSE),0),"")</f>
        <v>7</v>
      </c>
      <c r="AI359" s="346" t="str">
        <f t="shared" si="200"/>
        <v>0-HORMC</v>
      </c>
      <c r="AK359" s="347">
        <f t="shared" si="187"/>
        <v>357</v>
      </c>
      <c r="AL359" s="348">
        <f t="shared" si="201"/>
        <v>364</v>
      </c>
      <c r="AM359" s="347">
        <f t="shared" si="202"/>
        <v>3</v>
      </c>
      <c r="AN359" s="382">
        <f>IF(AND(AH359&gt;0,B359&lt;&gt;""),VLOOKUP(I359,'AUX-NIV2'!$B:$AP,40,FALSE)*O359,0)</f>
        <v>0.18929826562499999</v>
      </c>
      <c r="AO359" s="382">
        <f t="shared" si="188"/>
        <v>10.507173903380103</v>
      </c>
      <c r="AQ359" s="395">
        <f>(IF($H359="x",VLOOKUP($I359,'AUX-NIV2'!$B:$X,'AUX-NIV1'!AQ$3,FALSE),0)+($AV359*'AUX-NIV3'!S$4))*$O359+IF($H359=AQ$4,$P359,0)</f>
        <v>23.069605911438636</v>
      </c>
      <c r="AR359" s="395">
        <f>(IF($H359="x",VLOOKUP($I359,'AUX-NIV2'!$B:$X,'AUX-NIV1'!AR$3,FALSE),0)+($AV359*'AUX-NIV3'!T$4))*$O359+IF($H359=AR$4,$P359,0)</f>
        <v>199.51573823012362</v>
      </c>
      <c r="AS359" s="395">
        <f>(IF($H359="x",VLOOKUP($I359,'AUX-NIV2'!$B:$X,'AUX-NIV1'!AS$3,FALSE),0)+($AV359*'AUX-NIV3'!U$4))*$O359+IF($H359=AS$4,$P359,0)</f>
        <v>942.14912234383542</v>
      </c>
      <c r="AT359" s="395">
        <f>(IF($H359="x",VLOOKUP($I359,'AUX-NIV2'!$B:$X,'AUX-NIV1'!AT$3,FALSE),0)+($AV359*'AUX-NIV3'!V$4))*$O359+IF($H359=AT$4,$P359,0)</f>
        <v>0</v>
      </c>
      <c r="AU359" s="395">
        <f>(IF($H359="x",VLOOKUP($I359,'AUX-NIV2'!$B:$X,'AUX-NIV1'!AU$3,FALSE),0)+($AV359*'AUX-NIV3'!W$4))*$O359+IF($H359=AU$4,$P359,0)</f>
        <v>0</v>
      </c>
      <c r="AV359" s="395">
        <f>+IF($H359="x",VLOOKUP($I359,'AUX-NIV2'!$B:$X,'AUX-NIV1'!AV$3,FALSE),0)</f>
        <v>1100.9244514415236</v>
      </c>
    </row>
    <row r="360" spans="2:48" ht="14.4" hidden="1" thickTop="1" thickBot="1">
      <c r="B360" s="324" t="s">
        <v>2964</v>
      </c>
      <c r="C360" s="325" t="s">
        <v>2965</v>
      </c>
      <c r="D360" s="326" t="s">
        <v>501</v>
      </c>
      <c r="E360" s="349">
        <f>IF(B360&lt;&gt;"",+SUMIF(Items!C:C,'AUX-NIV1'!B360,Items!H:H),"")</f>
        <v>0</v>
      </c>
      <c r="F360" s="349">
        <f t="shared" si="178"/>
        <v>19306.008930161424</v>
      </c>
      <c r="G360" s="349">
        <f t="shared" si="179"/>
        <v>0</v>
      </c>
      <c r="H360" s="1395" t="str">
        <f t="shared" si="189"/>
        <v>X</v>
      </c>
      <c r="I360" s="1375" t="s">
        <v>1504</v>
      </c>
      <c r="J360" s="350" t="str">
        <f>IF(B360&lt;&gt;"",+VLOOKUP(I360,Recursos!C:F,2,FALSE),"")</f>
        <v>Transporte de Hormigón</v>
      </c>
      <c r="K360" s="351" t="str">
        <f>IF(B360&lt;&gt;"",+VLOOKUP(I360,Recursos!C:F,3,FALSE),"")</f>
        <v>m3</v>
      </c>
      <c r="L360" s="436">
        <f>IF(B360&lt;&gt;"",+VLOOKUP(I360,Recursos!C:F,4,FALSE),"")</f>
        <v>440.72547018462734</v>
      </c>
      <c r="M360" s="535">
        <v>20</v>
      </c>
      <c r="N360" s="445"/>
      <c r="O360" s="439">
        <f>+M360*(M357+N357)*N358</f>
        <v>4.05</v>
      </c>
      <c r="P360" s="440">
        <f t="shared" si="190"/>
        <v>1784.9381542477406</v>
      </c>
      <c r="Q360" s="349">
        <f t="shared" si="191"/>
        <v>0</v>
      </c>
      <c r="R360" s="353">
        <f t="shared" si="192"/>
        <v>0</v>
      </c>
      <c r="S360" s="354">
        <f t="shared" si="180"/>
        <v>0</v>
      </c>
      <c r="T360" s="354">
        <f t="shared" si="181"/>
        <v>0</v>
      </c>
      <c r="U360" s="355">
        <f t="shared" si="182"/>
        <v>0</v>
      </c>
      <c r="V360" s="355">
        <f t="shared" si="183"/>
        <v>0</v>
      </c>
      <c r="W360" s="355">
        <f t="shared" si="184"/>
        <v>0</v>
      </c>
      <c r="X360" s="355">
        <f t="shared" si="185"/>
        <v>19306.008930161424</v>
      </c>
      <c r="Y360" s="396"/>
      <c r="Z360" s="346" t="str">
        <f t="shared" si="193"/>
        <v>0-HORMCA</v>
      </c>
      <c r="AA360" s="346" t="str">
        <f t="shared" si="194"/>
        <v>0-HORMCE</v>
      </c>
      <c r="AB360" s="346" t="str">
        <f t="shared" si="195"/>
        <v>0-HORMCM</v>
      </c>
      <c r="AC360" s="346" t="str">
        <f t="shared" si="196"/>
        <v>0-HORMCT</v>
      </c>
      <c r="AD360" s="346" t="str">
        <f t="shared" si="197"/>
        <v>0-HORMCS</v>
      </c>
      <c r="AE360" s="346" t="str">
        <f t="shared" si="198"/>
        <v>0-HORMCX</v>
      </c>
      <c r="AF360" s="346" t="str">
        <f t="shared" si="199"/>
        <v>0-HORMCX</v>
      </c>
      <c r="AG360" s="346">
        <f t="shared" si="186"/>
        <v>8</v>
      </c>
      <c r="AH360" s="346">
        <f>IF(B360&lt;&gt;"",+IF(H360="x",+VLOOKUP(I360,'AUX-NIV2'!B:AG,32,FALSE),0),"")</f>
        <v>2</v>
      </c>
      <c r="AI360" s="346" t="str">
        <f t="shared" si="200"/>
        <v>0-HORMC</v>
      </c>
      <c r="AK360" s="347">
        <f t="shared" si="187"/>
        <v>357</v>
      </c>
      <c r="AL360" s="348">
        <f t="shared" si="201"/>
        <v>364</v>
      </c>
      <c r="AM360" s="347">
        <f t="shared" si="202"/>
        <v>4</v>
      </c>
      <c r="AN360" s="382">
        <f>IF(AND(AH360&gt;0,B360&lt;&gt;""),VLOOKUP(I360,'AUX-NIV2'!$B:$AP,40,FALSE)*O360,0)</f>
        <v>0.73469387755102034</v>
      </c>
      <c r="AO360" s="382">
        <f t="shared" si="188"/>
        <v>10.507173903380103</v>
      </c>
      <c r="AQ360" s="395">
        <f>(IF($H360="x",VLOOKUP($I360,'AUX-NIV2'!$B:$X,'AUX-NIV1'!AQ$3,FALSE),0)+($AV360*'AUX-NIV3'!S$4))*$O360+IF($H360=AQ$4,$P360,0)</f>
        <v>365.08110934978157</v>
      </c>
      <c r="AR360" s="395">
        <f>(IF($H360="x",VLOOKUP($I360,'AUX-NIV2'!$B:$X,'AUX-NIV1'!AR$3,FALSE),0)+($AV360*'AUX-NIV3'!T$4))*$O360+IF($H360=AR$4,$P360,0)</f>
        <v>1419.857044897959</v>
      </c>
      <c r="AS360" s="395">
        <f>(IF($H360="x",VLOOKUP($I360,'AUX-NIV2'!$B:$X,'AUX-NIV1'!AS$3,FALSE),0)+($AV360*'AUX-NIV3'!U$4))*$O360+IF($H360=AS$4,$P360,0)</f>
        <v>0</v>
      </c>
      <c r="AT360" s="395">
        <f>(IF($H360="x",VLOOKUP($I360,'AUX-NIV2'!$B:$X,'AUX-NIV1'!AT$3,FALSE),0)+($AV360*'AUX-NIV3'!V$4))*$O360+IF($H360=AT$4,$P360,0)</f>
        <v>0</v>
      </c>
      <c r="AU360" s="395">
        <f>(IF($H360="x",VLOOKUP($I360,'AUX-NIV2'!$B:$X,'AUX-NIV1'!AU$3,FALSE),0)+($AV360*'AUX-NIV3'!W$4))*$O360+IF($H360=AU$4,$P360,0)</f>
        <v>0</v>
      </c>
      <c r="AV360" s="395">
        <f>+IF($H360="x",VLOOKUP($I360,'AUX-NIV2'!$B:$X,'AUX-NIV1'!AV$3,FALSE),0)</f>
        <v>0</v>
      </c>
    </row>
    <row r="361" spans="2:48" ht="14.4" hidden="1" thickTop="1" thickBot="1">
      <c r="B361" s="324" t="s">
        <v>2966</v>
      </c>
      <c r="C361" s="325" t="s">
        <v>742</v>
      </c>
      <c r="D361" s="326" t="s">
        <v>623</v>
      </c>
      <c r="E361" s="349">
        <f>IF(B361&lt;&gt;"",+SUMIF(Items!C:C,'AUX-NIV1'!B361,Items!H:H),"")</f>
        <v>0</v>
      </c>
      <c r="F361" s="349">
        <f t="shared" si="178"/>
        <v>92046735.615493417</v>
      </c>
      <c r="G361" s="349">
        <f t="shared" si="179"/>
        <v>0</v>
      </c>
      <c r="H361" s="1395" t="str">
        <f t="shared" si="189"/>
        <v>E</v>
      </c>
      <c r="I361" s="1375" t="s">
        <v>1544</v>
      </c>
      <c r="J361" s="350" t="str">
        <f>IF(B361&lt;&gt;"",+VLOOKUP(I361,Recursos!C:F,2,FALSE),"")</f>
        <v>CARRETON DE 50 TN CON CAMION</v>
      </c>
      <c r="K361" s="351" t="str">
        <f>IF(B361&lt;&gt;"",+VLOOKUP(I361,Recursos!C:F,3,FALSE),"")</f>
        <v>HR</v>
      </c>
      <c r="L361" s="436">
        <f>IF(B361&lt;&gt;"",+VLOOKUP(I361,Recursos!C:F,4,FALSE),"")</f>
        <v>3982.1633333333334</v>
      </c>
      <c r="M361" s="437">
        <v>5790.3128216768373</v>
      </c>
      <c r="N361" s="458"/>
      <c r="O361" s="547">
        <f>+M361</f>
        <v>5790.3128216768373</v>
      </c>
      <c r="P361" s="440">
        <f t="shared" si="190"/>
        <v>23057971.407011375</v>
      </c>
      <c r="Q361" s="349">
        <f t="shared" si="191"/>
        <v>0</v>
      </c>
      <c r="R361" s="353">
        <f t="shared" si="192"/>
        <v>0</v>
      </c>
      <c r="S361" s="354">
        <f t="shared" si="180"/>
        <v>24473992.781479333</v>
      </c>
      <c r="T361" s="354">
        <f t="shared" si="181"/>
        <v>67572742.834014073</v>
      </c>
      <c r="U361" s="355">
        <f t="shared" si="182"/>
        <v>0</v>
      </c>
      <c r="V361" s="355">
        <f t="shared" si="183"/>
        <v>0</v>
      </c>
      <c r="W361" s="355">
        <f t="shared" si="184"/>
        <v>0</v>
      </c>
      <c r="X361" s="355">
        <f t="shared" si="185"/>
        <v>0</v>
      </c>
      <c r="Y361" s="396"/>
      <c r="Z361" s="346" t="str">
        <f t="shared" si="193"/>
        <v>0-MOVILA</v>
      </c>
      <c r="AA361" s="346" t="str">
        <f t="shared" si="194"/>
        <v>0-MOVILE</v>
      </c>
      <c r="AB361" s="346" t="str">
        <f t="shared" si="195"/>
        <v>0-MOVILM</v>
      </c>
      <c r="AC361" s="346" t="str">
        <f t="shared" si="196"/>
        <v>0-MOVILT</v>
      </c>
      <c r="AD361" s="346" t="str">
        <f t="shared" si="197"/>
        <v>0-MOVILS</v>
      </c>
      <c r="AE361" s="346" t="str">
        <f t="shared" si="198"/>
        <v>0-MOVILX</v>
      </c>
      <c r="AF361" s="346" t="str">
        <f t="shared" si="199"/>
        <v>0-MOVILE</v>
      </c>
      <c r="AG361" s="346">
        <f t="shared" si="186"/>
        <v>7</v>
      </c>
      <c r="AH361" s="346">
        <f>IF(B361&lt;&gt;"",+IF(H361="x",+VLOOKUP(I361,'AUX-NIV2'!B:AG,32,FALSE),0),"")</f>
        <v>0</v>
      </c>
      <c r="AI361" s="346" t="str">
        <f t="shared" si="200"/>
        <v>0-MOVIL</v>
      </c>
      <c r="AK361" s="347">
        <f t="shared" si="187"/>
        <v>361</v>
      </c>
      <c r="AL361" s="348">
        <f t="shared" si="201"/>
        <v>367</v>
      </c>
      <c r="AM361" s="347">
        <f t="shared" si="202"/>
        <v>1</v>
      </c>
      <c r="AN361" s="382">
        <f>IF(AND(AH361&gt;0,B361&lt;&gt;""),VLOOKUP(I361,'AUX-NIV2'!$B:$AP,40,FALSE)*O361,0)</f>
        <v>0</v>
      </c>
      <c r="AO361" s="382">
        <f t="shared" si="188"/>
        <v>53165.237189672327</v>
      </c>
      <c r="AQ361" s="395">
        <f>(IF($H361="x",VLOOKUP($I361,'AUX-NIV2'!$B:$X,'AUX-NIV1'!AQ$3,FALSE),0)+($AV361*'AUX-NIV3'!S$4))*$O361+IF($H361=AQ$4,$P361,0)</f>
        <v>0</v>
      </c>
      <c r="AR361" s="395">
        <f>(IF($H361="x",VLOOKUP($I361,'AUX-NIV2'!$B:$X,'AUX-NIV1'!AR$3,FALSE),0)+($AV361*'AUX-NIV3'!T$4))*$O361+IF($H361=AR$4,$P361,0)</f>
        <v>23057971.407011375</v>
      </c>
      <c r="AS361" s="395">
        <f>(IF($H361="x",VLOOKUP($I361,'AUX-NIV2'!$B:$X,'AUX-NIV1'!AS$3,FALSE),0)+($AV361*'AUX-NIV3'!U$4))*$O361+IF($H361=AS$4,$P361,0)</f>
        <v>0</v>
      </c>
      <c r="AT361" s="395">
        <f>(IF($H361="x",VLOOKUP($I361,'AUX-NIV2'!$B:$X,'AUX-NIV1'!AT$3,FALSE),0)+($AV361*'AUX-NIV3'!V$4))*$O361+IF($H361=AT$4,$P361,0)</f>
        <v>0</v>
      </c>
      <c r="AU361" s="395">
        <f>(IF($H361="x",VLOOKUP($I361,'AUX-NIV2'!$B:$X,'AUX-NIV1'!AU$3,FALSE),0)+($AV361*'AUX-NIV3'!W$4))*$O361+IF($H361=AU$4,$P361,0)</f>
        <v>0</v>
      </c>
      <c r="AV361" s="395">
        <f>+IF($H361="x",VLOOKUP($I361,'AUX-NIV2'!$B:$X,'AUX-NIV1'!AV$3,FALSE),0)</f>
        <v>0</v>
      </c>
    </row>
    <row r="362" spans="2:48" ht="14.4" hidden="1" thickTop="1" thickBot="1">
      <c r="B362" s="324" t="s">
        <v>2966</v>
      </c>
      <c r="C362" s="325" t="s">
        <v>742</v>
      </c>
      <c r="D362" s="326" t="s">
        <v>623</v>
      </c>
      <c r="E362" s="349">
        <f>IF(B362&lt;&gt;"",+SUMIF(Items!C:C,'AUX-NIV1'!B362,Items!H:H),"")</f>
        <v>0</v>
      </c>
      <c r="F362" s="349">
        <f t="shared" si="178"/>
        <v>92046735.615493417</v>
      </c>
      <c r="G362" s="349">
        <f t="shared" si="179"/>
        <v>0</v>
      </c>
      <c r="H362" s="1395" t="str">
        <f t="shared" si="189"/>
        <v>E</v>
      </c>
      <c r="I362" s="1375" t="s">
        <v>1678</v>
      </c>
      <c r="J362" s="350" t="str">
        <f>IF(B362&lt;&gt;"",+VLOOKUP(I362,Recursos!C:F,2,FALSE),"")</f>
        <v>CAMION SEMIRREMOLQUE CAP. 35 T</v>
      </c>
      <c r="K362" s="351" t="str">
        <f>IF(B362&lt;&gt;"",+VLOOKUP(I362,Recursos!C:F,3,FALSE),"")</f>
        <v>HR</v>
      </c>
      <c r="L362" s="436">
        <f>IF(B362&lt;&gt;"",+VLOOKUP(I362,Recursos!C:F,4,FALSE),"")</f>
        <v>5017.3932999999997</v>
      </c>
      <c r="M362" s="441"/>
      <c r="N362" s="497"/>
      <c r="O362" s="547">
        <f>M361</f>
        <v>5790.3128216768373</v>
      </c>
      <c r="P362" s="440">
        <f t="shared" si="190"/>
        <v>29052276.756385457</v>
      </c>
      <c r="Q362" s="349">
        <f t="shared" si="191"/>
        <v>0</v>
      </c>
      <c r="R362" s="353">
        <f t="shared" si="192"/>
        <v>0</v>
      </c>
      <c r="S362" s="354">
        <f t="shared" si="180"/>
        <v>24473992.781479333</v>
      </c>
      <c r="T362" s="354">
        <f t="shared" si="181"/>
        <v>67572742.834014073</v>
      </c>
      <c r="U362" s="355">
        <f t="shared" si="182"/>
        <v>0</v>
      </c>
      <c r="V362" s="355">
        <f t="shared" si="183"/>
        <v>0</v>
      </c>
      <c r="W362" s="355">
        <f t="shared" si="184"/>
        <v>0</v>
      </c>
      <c r="X362" s="355">
        <f t="shared" si="185"/>
        <v>0</v>
      </c>
      <c r="Y362" s="396"/>
      <c r="Z362" s="346" t="str">
        <f t="shared" si="193"/>
        <v>0-MOVILA</v>
      </c>
      <c r="AA362" s="346" t="str">
        <f t="shared" si="194"/>
        <v>0-MOVILE</v>
      </c>
      <c r="AB362" s="346" t="str">
        <f t="shared" si="195"/>
        <v>0-MOVILM</v>
      </c>
      <c r="AC362" s="346" t="str">
        <f t="shared" si="196"/>
        <v>0-MOVILT</v>
      </c>
      <c r="AD362" s="346" t="str">
        <f t="shared" si="197"/>
        <v>0-MOVILS</v>
      </c>
      <c r="AE362" s="346" t="str">
        <f t="shared" si="198"/>
        <v>0-MOVILX</v>
      </c>
      <c r="AF362" s="346" t="str">
        <f t="shared" si="199"/>
        <v>0-MOVILE</v>
      </c>
      <c r="AG362" s="346">
        <f t="shared" si="186"/>
        <v>7</v>
      </c>
      <c r="AH362" s="346">
        <f>IF(B362&lt;&gt;"",+IF(H362="x",+VLOOKUP(I362,'AUX-NIV2'!B:AG,32,FALSE),0),"")</f>
        <v>0</v>
      </c>
      <c r="AI362" s="346" t="str">
        <f t="shared" si="200"/>
        <v>0-MOVIL</v>
      </c>
      <c r="AK362" s="347">
        <f t="shared" si="187"/>
        <v>361</v>
      </c>
      <c r="AL362" s="348">
        <f t="shared" si="201"/>
        <v>367</v>
      </c>
      <c r="AM362" s="347">
        <f t="shared" si="202"/>
        <v>2</v>
      </c>
      <c r="AN362" s="382">
        <f>IF(AND(AH362&gt;0,B362&lt;&gt;""),VLOOKUP(I362,'AUX-NIV2'!$B:$AP,40,FALSE)*O362,0)</f>
        <v>0</v>
      </c>
      <c r="AO362" s="382">
        <f t="shared" si="188"/>
        <v>53165.237189672327</v>
      </c>
      <c r="AQ362" s="395">
        <f>(IF($H362="x",VLOOKUP($I362,'AUX-NIV2'!$B:$X,'AUX-NIV1'!AQ$3,FALSE),0)+($AV362*'AUX-NIV3'!S$4))*$O362+IF($H362=AQ$4,$P362,0)</f>
        <v>0</v>
      </c>
      <c r="AR362" s="395">
        <f>(IF($H362="x",VLOOKUP($I362,'AUX-NIV2'!$B:$X,'AUX-NIV1'!AR$3,FALSE),0)+($AV362*'AUX-NIV3'!T$4))*$O362+IF($H362=AR$4,$P362,0)</f>
        <v>29052276.756385457</v>
      </c>
      <c r="AS362" s="395">
        <f>(IF($H362="x",VLOOKUP($I362,'AUX-NIV2'!$B:$X,'AUX-NIV1'!AS$3,FALSE),0)+($AV362*'AUX-NIV3'!U$4))*$O362+IF($H362=AS$4,$P362,0)</f>
        <v>0</v>
      </c>
      <c r="AT362" s="395">
        <f>(IF($H362="x",VLOOKUP($I362,'AUX-NIV2'!$B:$X,'AUX-NIV1'!AT$3,FALSE),0)+($AV362*'AUX-NIV3'!V$4))*$O362+IF($H362=AT$4,$P362,0)</f>
        <v>0</v>
      </c>
      <c r="AU362" s="395">
        <f>(IF($H362="x",VLOOKUP($I362,'AUX-NIV2'!$B:$X,'AUX-NIV1'!AU$3,FALSE),0)+($AV362*'AUX-NIV3'!W$4))*$O362+IF($H362=AU$4,$P362,0)</f>
        <v>0</v>
      </c>
      <c r="AV362" s="395">
        <f>+IF($H362="x",VLOOKUP($I362,'AUX-NIV2'!$B:$X,'AUX-NIV1'!AV$3,FALSE),0)</f>
        <v>0</v>
      </c>
    </row>
    <row r="363" spans="2:48" ht="14.4" hidden="1" thickTop="1" thickBot="1">
      <c r="B363" s="324" t="s">
        <v>2966</v>
      </c>
      <c r="C363" s="325" t="s">
        <v>742</v>
      </c>
      <c r="D363" s="326" t="s">
        <v>623</v>
      </c>
      <c r="E363" s="349">
        <f>IF(B363&lt;&gt;"",+SUMIF(Items!C:C,'AUX-NIV1'!B363,Items!H:H),"")</f>
        <v>0</v>
      </c>
      <c r="F363" s="349">
        <f t="shared" si="178"/>
        <v>92046735.615493417</v>
      </c>
      <c r="G363" s="349">
        <f t="shared" si="179"/>
        <v>0</v>
      </c>
      <c r="H363" s="1395" t="str">
        <f t="shared" si="189"/>
        <v>A</v>
      </c>
      <c r="I363" s="1375" t="s">
        <v>1746</v>
      </c>
      <c r="J363" s="350" t="str">
        <f>IF(B363&lt;&gt;"",+VLOOKUP(I363,Recursos!C:F,2,FALSE),"")</f>
        <v>OFICIAL</v>
      </c>
      <c r="K363" s="351" t="str">
        <f>IF(B363&lt;&gt;"",+VLOOKUP(I363,Recursos!C:F,3,FALSE),"")</f>
        <v>hh</v>
      </c>
      <c r="L363" s="436">
        <f>IF(B363&lt;&gt;"",+VLOOKUP(I363,Recursos!C:F,4,FALSE),"")</f>
        <v>496.91595439275824</v>
      </c>
      <c r="M363" s="441">
        <v>3</v>
      </c>
      <c r="N363" s="497">
        <v>1.25</v>
      </c>
      <c r="O363" s="547">
        <f>M361*M363*N363</f>
        <v>21713.67308128814</v>
      </c>
      <c r="P363" s="440">
        <f t="shared" si="190"/>
        <v>10789870.58256064</v>
      </c>
      <c r="Q363" s="349">
        <f t="shared" si="191"/>
        <v>0</v>
      </c>
      <c r="R363" s="353">
        <f t="shared" si="192"/>
        <v>0</v>
      </c>
      <c r="S363" s="354">
        <f t="shared" si="180"/>
        <v>24473992.781479333</v>
      </c>
      <c r="T363" s="354">
        <f t="shared" si="181"/>
        <v>67572742.834014073</v>
      </c>
      <c r="U363" s="355">
        <f t="shared" si="182"/>
        <v>0</v>
      </c>
      <c r="V363" s="355">
        <f t="shared" si="183"/>
        <v>0</v>
      </c>
      <c r="W363" s="355">
        <f t="shared" si="184"/>
        <v>0</v>
      </c>
      <c r="X363" s="355">
        <f t="shared" si="185"/>
        <v>0</v>
      </c>
      <c r="Y363" s="396"/>
      <c r="Z363" s="346" t="str">
        <f t="shared" si="193"/>
        <v>0-MOVILA</v>
      </c>
      <c r="AA363" s="346" t="str">
        <f t="shared" si="194"/>
        <v>0-MOVILE</v>
      </c>
      <c r="AB363" s="346" t="str">
        <f t="shared" si="195"/>
        <v>0-MOVILM</v>
      </c>
      <c r="AC363" s="346" t="str">
        <f t="shared" si="196"/>
        <v>0-MOVILT</v>
      </c>
      <c r="AD363" s="346" t="str">
        <f t="shared" si="197"/>
        <v>0-MOVILS</v>
      </c>
      <c r="AE363" s="346" t="str">
        <f t="shared" si="198"/>
        <v>0-MOVILX</v>
      </c>
      <c r="AF363" s="346" t="str">
        <f t="shared" si="199"/>
        <v>0-MOVILA</v>
      </c>
      <c r="AG363" s="346">
        <f t="shared" si="186"/>
        <v>7</v>
      </c>
      <c r="AH363" s="346">
        <f>IF(B363&lt;&gt;"",+IF(H363="x",+VLOOKUP(I363,'AUX-NIV2'!B:AG,32,FALSE),0),"")</f>
        <v>0</v>
      </c>
      <c r="AI363" s="346" t="str">
        <f t="shared" si="200"/>
        <v>0-MOVIL</v>
      </c>
      <c r="AK363" s="347">
        <f t="shared" si="187"/>
        <v>361</v>
      </c>
      <c r="AL363" s="348">
        <f t="shared" si="201"/>
        <v>367</v>
      </c>
      <c r="AM363" s="347">
        <f t="shared" si="202"/>
        <v>3</v>
      </c>
      <c r="AN363" s="382">
        <f>IF(AND(AH363&gt;0,B363&lt;&gt;""),VLOOKUP(I363,'AUX-NIV2'!$B:$AP,40,FALSE)*O363,0)</f>
        <v>0</v>
      </c>
      <c r="AO363" s="382">
        <f t="shared" si="188"/>
        <v>53165.237189672327</v>
      </c>
      <c r="AQ363" s="395">
        <f>(IF($H363="x",VLOOKUP($I363,'AUX-NIV2'!$B:$X,'AUX-NIV1'!AQ$3,FALSE),0)+($AV363*'AUX-NIV3'!S$4))*$O363+IF($H363=AQ$4,$P363,0)</f>
        <v>10789870.58256064</v>
      </c>
      <c r="AR363" s="395">
        <f>(IF($H363="x",VLOOKUP($I363,'AUX-NIV2'!$B:$X,'AUX-NIV1'!AR$3,FALSE),0)+($AV363*'AUX-NIV3'!T$4))*$O363+IF($H363=AR$4,$P363,0)</f>
        <v>0</v>
      </c>
      <c r="AS363" s="395">
        <f>(IF($H363="x",VLOOKUP($I363,'AUX-NIV2'!$B:$X,'AUX-NIV1'!AS$3,FALSE),0)+($AV363*'AUX-NIV3'!U$4))*$O363+IF($H363=AS$4,$P363,0)</f>
        <v>0</v>
      </c>
      <c r="AT363" s="395">
        <f>(IF($H363="x",VLOOKUP($I363,'AUX-NIV2'!$B:$X,'AUX-NIV1'!AT$3,FALSE),0)+($AV363*'AUX-NIV3'!V$4))*$O363+IF($H363=AT$4,$P363,0)</f>
        <v>0</v>
      </c>
      <c r="AU363" s="395">
        <f>(IF($H363="x",VLOOKUP($I363,'AUX-NIV2'!$B:$X,'AUX-NIV1'!AU$3,FALSE),0)+($AV363*'AUX-NIV3'!W$4))*$O363+IF($H363=AU$4,$P363,0)</f>
        <v>0</v>
      </c>
      <c r="AV363" s="395">
        <f>+IF($H363="x",VLOOKUP($I363,'AUX-NIV2'!$B:$X,'AUX-NIV1'!AV$3,FALSE),0)</f>
        <v>0</v>
      </c>
    </row>
    <row r="364" spans="2:48" ht="14.4" hidden="1" thickTop="1" thickBot="1">
      <c r="B364" s="324" t="s">
        <v>2966</v>
      </c>
      <c r="C364" s="325" t="s">
        <v>742</v>
      </c>
      <c r="D364" s="326" t="s">
        <v>623</v>
      </c>
      <c r="E364" s="349">
        <f>IF(B364&lt;&gt;"",+SUMIF(Items!C:C,'AUX-NIV1'!B364,Items!H:H),"")</f>
        <v>0</v>
      </c>
      <c r="F364" s="349">
        <f t="shared" si="178"/>
        <v>92046735.615493417</v>
      </c>
      <c r="G364" s="349">
        <f t="shared" si="179"/>
        <v>0</v>
      </c>
      <c r="H364" s="1395" t="str">
        <f t="shared" si="189"/>
        <v>A</v>
      </c>
      <c r="I364" s="1375" t="s">
        <v>1745</v>
      </c>
      <c r="J364" s="350" t="str">
        <f>IF(B364&lt;&gt;"",+VLOOKUP(I364,Recursos!C:F,2,FALSE),"")</f>
        <v>AYUDANTE</v>
      </c>
      <c r="K364" s="351" t="str">
        <f>IF(B364&lt;&gt;"",+VLOOKUP(I364,Recursos!C:F,3,FALSE),"")</f>
        <v>hh</v>
      </c>
      <c r="L364" s="436">
        <f>IF(B364&lt;&gt;"",+VLOOKUP(I364,Recursos!C:F,4,FALSE),"")</f>
        <v>422.48042769667234</v>
      </c>
      <c r="M364" s="441">
        <v>4</v>
      </c>
      <c r="N364" s="497"/>
      <c r="O364" s="547">
        <f>M361*M364*N363</f>
        <v>28951.564108384187</v>
      </c>
      <c r="P364" s="440">
        <f t="shared" si="190"/>
        <v>12231469.186997779</v>
      </c>
      <c r="Q364" s="349">
        <f t="shared" si="191"/>
        <v>0</v>
      </c>
      <c r="R364" s="353">
        <f t="shared" si="192"/>
        <v>0</v>
      </c>
      <c r="S364" s="354">
        <f t="shared" si="180"/>
        <v>24473992.781479333</v>
      </c>
      <c r="T364" s="354">
        <f t="shared" si="181"/>
        <v>67572742.834014073</v>
      </c>
      <c r="U364" s="355">
        <f t="shared" si="182"/>
        <v>0</v>
      </c>
      <c r="V364" s="355">
        <f t="shared" si="183"/>
        <v>0</v>
      </c>
      <c r="W364" s="355">
        <f t="shared" si="184"/>
        <v>0</v>
      </c>
      <c r="X364" s="355">
        <f t="shared" si="185"/>
        <v>0</v>
      </c>
      <c r="Y364" s="396"/>
      <c r="Z364" s="346" t="str">
        <f t="shared" si="193"/>
        <v>0-MOVILA</v>
      </c>
      <c r="AA364" s="346" t="str">
        <f t="shared" si="194"/>
        <v>0-MOVILE</v>
      </c>
      <c r="AB364" s="346" t="str">
        <f t="shared" si="195"/>
        <v>0-MOVILM</v>
      </c>
      <c r="AC364" s="346" t="str">
        <f t="shared" si="196"/>
        <v>0-MOVILT</v>
      </c>
      <c r="AD364" s="346" t="str">
        <f t="shared" si="197"/>
        <v>0-MOVILS</v>
      </c>
      <c r="AE364" s="346" t="str">
        <f t="shared" si="198"/>
        <v>0-MOVILX</v>
      </c>
      <c r="AF364" s="346" t="str">
        <f t="shared" si="199"/>
        <v>0-MOVILA</v>
      </c>
      <c r="AG364" s="346">
        <f t="shared" si="186"/>
        <v>7</v>
      </c>
      <c r="AH364" s="346">
        <f>IF(B364&lt;&gt;"",+IF(H364="x",+VLOOKUP(I364,'AUX-NIV2'!B:AG,32,FALSE),0),"")</f>
        <v>0</v>
      </c>
      <c r="AI364" s="346" t="str">
        <f t="shared" si="200"/>
        <v>0-MOVIL</v>
      </c>
      <c r="AK364" s="347">
        <f t="shared" si="187"/>
        <v>361</v>
      </c>
      <c r="AL364" s="348">
        <f t="shared" si="201"/>
        <v>367</v>
      </c>
      <c r="AM364" s="347">
        <f t="shared" si="202"/>
        <v>4</v>
      </c>
      <c r="AN364" s="382">
        <f>IF(AND(AH364&gt;0,B364&lt;&gt;""),VLOOKUP(I364,'AUX-NIV2'!$B:$AP,40,FALSE)*O364,0)</f>
        <v>0</v>
      </c>
      <c r="AO364" s="382">
        <f t="shared" si="188"/>
        <v>53165.237189672327</v>
      </c>
      <c r="AQ364" s="395">
        <f>(IF($H364="x",VLOOKUP($I364,'AUX-NIV2'!$B:$X,'AUX-NIV1'!AQ$3,FALSE),0)+($AV364*'AUX-NIV3'!S$4))*$O364+IF($H364=AQ$4,$P364,0)</f>
        <v>12231469.186997779</v>
      </c>
      <c r="AR364" s="395">
        <f>(IF($H364="x",VLOOKUP($I364,'AUX-NIV2'!$B:$X,'AUX-NIV1'!AR$3,FALSE),0)+($AV364*'AUX-NIV3'!T$4))*$O364+IF($H364=AR$4,$P364,0)</f>
        <v>0</v>
      </c>
      <c r="AS364" s="395">
        <f>(IF($H364="x",VLOOKUP($I364,'AUX-NIV2'!$B:$X,'AUX-NIV1'!AS$3,FALSE),0)+($AV364*'AUX-NIV3'!U$4))*$O364+IF($H364=AS$4,$P364,0)</f>
        <v>0</v>
      </c>
      <c r="AT364" s="395">
        <f>(IF($H364="x",VLOOKUP($I364,'AUX-NIV2'!$B:$X,'AUX-NIV1'!AT$3,FALSE),0)+($AV364*'AUX-NIV3'!V$4))*$O364+IF($H364=AT$4,$P364,0)</f>
        <v>0</v>
      </c>
      <c r="AU364" s="395">
        <f>(IF($H364="x",VLOOKUP($I364,'AUX-NIV2'!$B:$X,'AUX-NIV1'!AU$3,FALSE),0)+($AV364*'AUX-NIV3'!W$4))*$O364+IF($H364=AU$4,$P364,0)</f>
        <v>0</v>
      </c>
      <c r="AV364" s="395">
        <f>+IF($H364="x",VLOOKUP($I364,'AUX-NIV2'!$B:$X,'AUX-NIV1'!AV$3,FALSE),0)</f>
        <v>0</v>
      </c>
    </row>
    <row r="365" spans="2:48" ht="14.4" hidden="1" thickTop="1" thickBot="1">
      <c r="B365" s="324" t="s">
        <v>2966</v>
      </c>
      <c r="C365" s="325" t="s">
        <v>742</v>
      </c>
      <c r="D365" s="326" t="s">
        <v>623</v>
      </c>
      <c r="E365" s="349">
        <f>IF(B365&lt;&gt;"",+SUMIF(Items!C:C,'AUX-NIV1'!B365,Items!H:H),"")</f>
        <v>0</v>
      </c>
      <c r="F365" s="349">
        <f t="shared" si="178"/>
        <v>92046735.615493417</v>
      </c>
      <c r="G365" s="349">
        <f t="shared" si="179"/>
        <v>0</v>
      </c>
      <c r="H365" s="1395" t="str">
        <f t="shared" si="189"/>
        <v>E</v>
      </c>
      <c r="I365" s="1375" t="s">
        <v>1582</v>
      </c>
      <c r="J365" s="350" t="str">
        <f>IF(B365&lt;&gt;"",+VLOOKUP(I365,Recursos!C:F,2,FALSE),"")</f>
        <v>CAMIONETA CABINA DOBLE 4x4</v>
      </c>
      <c r="K365" s="351" t="str">
        <f>IF(B365&lt;&gt;"",+VLOOKUP(I365,Recursos!C:F,3,FALSE),"")</f>
        <v>HR</v>
      </c>
      <c r="L365" s="436">
        <f>IF(B365&lt;&gt;"",+VLOOKUP(I365,Recursos!C:F,4,FALSE),"")</f>
        <v>924.5053333333334</v>
      </c>
      <c r="M365" s="441"/>
      <c r="N365" s="497">
        <v>2</v>
      </c>
      <c r="O365" s="547">
        <f>M361*N365</f>
        <v>11580.625643353675</v>
      </c>
      <c r="P365" s="440">
        <f t="shared" si="190"/>
        <v>10706350.170617238</v>
      </c>
      <c r="Q365" s="349">
        <f t="shared" si="191"/>
        <v>0</v>
      </c>
      <c r="R365" s="353">
        <f t="shared" si="192"/>
        <v>0</v>
      </c>
      <c r="S365" s="354">
        <f t="shared" si="180"/>
        <v>24473992.781479333</v>
      </c>
      <c r="T365" s="354">
        <f t="shared" si="181"/>
        <v>67572742.834014073</v>
      </c>
      <c r="U365" s="355">
        <f t="shared" si="182"/>
        <v>0</v>
      </c>
      <c r="V365" s="355">
        <f t="shared" si="183"/>
        <v>0</v>
      </c>
      <c r="W365" s="355">
        <f t="shared" si="184"/>
        <v>0</v>
      </c>
      <c r="X365" s="355">
        <f t="shared" si="185"/>
        <v>0</v>
      </c>
      <c r="Y365" s="396"/>
      <c r="Z365" s="346" t="str">
        <f t="shared" si="193"/>
        <v>0-MOVILA</v>
      </c>
      <c r="AA365" s="346" t="str">
        <f t="shared" si="194"/>
        <v>0-MOVILE</v>
      </c>
      <c r="AB365" s="346" t="str">
        <f t="shared" si="195"/>
        <v>0-MOVILM</v>
      </c>
      <c r="AC365" s="346" t="str">
        <f t="shared" si="196"/>
        <v>0-MOVILT</v>
      </c>
      <c r="AD365" s="346" t="str">
        <f t="shared" si="197"/>
        <v>0-MOVILS</v>
      </c>
      <c r="AE365" s="346" t="str">
        <f t="shared" si="198"/>
        <v>0-MOVILX</v>
      </c>
      <c r="AF365" s="346" t="str">
        <f t="shared" si="199"/>
        <v>0-MOVILE</v>
      </c>
      <c r="AG365" s="346">
        <f t="shared" si="186"/>
        <v>7</v>
      </c>
      <c r="AH365" s="346">
        <f>IF(B365&lt;&gt;"",+IF(H365="x",+VLOOKUP(I365,'AUX-NIV2'!B:AG,32,FALSE),0),"")</f>
        <v>0</v>
      </c>
      <c r="AI365" s="346" t="str">
        <f t="shared" si="200"/>
        <v>0-MOVIL</v>
      </c>
      <c r="AK365" s="347">
        <f t="shared" si="187"/>
        <v>361</v>
      </c>
      <c r="AL365" s="348">
        <f t="shared" si="201"/>
        <v>367</v>
      </c>
      <c r="AM365" s="347">
        <f t="shared" si="202"/>
        <v>5</v>
      </c>
      <c r="AN365" s="382">
        <f>IF(AND(AH365&gt;0,B365&lt;&gt;""),VLOOKUP(I365,'AUX-NIV2'!$B:$AP,40,FALSE)*O365,0)</f>
        <v>0</v>
      </c>
      <c r="AO365" s="382">
        <f t="shared" si="188"/>
        <v>53165.237189672327</v>
      </c>
      <c r="AQ365" s="395">
        <f>(IF($H365="x",VLOOKUP($I365,'AUX-NIV2'!$B:$X,'AUX-NIV1'!AQ$3,FALSE),0)+($AV365*'AUX-NIV3'!S$4))*$O365+IF($H365=AQ$4,$P365,0)</f>
        <v>0</v>
      </c>
      <c r="AR365" s="395">
        <f>(IF($H365="x",VLOOKUP($I365,'AUX-NIV2'!$B:$X,'AUX-NIV1'!AR$3,FALSE),0)+($AV365*'AUX-NIV3'!T$4))*$O365+IF($H365=AR$4,$P365,0)</f>
        <v>10706350.170617238</v>
      </c>
      <c r="AS365" s="395">
        <f>(IF($H365="x",VLOOKUP($I365,'AUX-NIV2'!$B:$X,'AUX-NIV1'!AS$3,FALSE),0)+($AV365*'AUX-NIV3'!U$4))*$O365+IF($H365=AS$4,$P365,0)</f>
        <v>0</v>
      </c>
      <c r="AT365" s="395">
        <f>(IF($H365="x",VLOOKUP($I365,'AUX-NIV2'!$B:$X,'AUX-NIV1'!AT$3,FALSE),0)+($AV365*'AUX-NIV3'!V$4))*$O365+IF($H365=AT$4,$P365,0)</f>
        <v>0</v>
      </c>
      <c r="AU365" s="395">
        <f>(IF($H365="x",VLOOKUP($I365,'AUX-NIV2'!$B:$X,'AUX-NIV1'!AU$3,FALSE),0)+($AV365*'AUX-NIV3'!W$4))*$O365+IF($H365=AU$4,$P365,0)</f>
        <v>0</v>
      </c>
      <c r="AV365" s="395">
        <f>+IF($H365="x",VLOOKUP($I365,'AUX-NIV2'!$B:$X,'AUX-NIV1'!AV$3,FALSE),0)</f>
        <v>0</v>
      </c>
    </row>
    <row r="366" spans="2:48" ht="14.4" hidden="1" thickTop="1" thickBot="1">
      <c r="B366" s="324" t="s">
        <v>2966</v>
      </c>
      <c r="C366" s="325" t="s">
        <v>742</v>
      </c>
      <c r="D366" s="326" t="s">
        <v>623</v>
      </c>
      <c r="E366" s="349">
        <f>IF(B366&lt;&gt;"",+SUMIF(Items!C:C,'AUX-NIV1'!B366,Items!H:H),"")</f>
        <v>0</v>
      </c>
      <c r="F366" s="349">
        <f t="shared" si="178"/>
        <v>92046735.615493417</v>
      </c>
      <c r="G366" s="349">
        <f t="shared" si="179"/>
        <v>0</v>
      </c>
      <c r="H366" s="1395" t="str">
        <f t="shared" si="189"/>
        <v>E</v>
      </c>
      <c r="I366" s="1375" t="s">
        <v>1597</v>
      </c>
      <c r="J366" s="350" t="str">
        <f>IF(B366&lt;&gt;"",+VLOOKUP(I366,Recursos!C:F,2,FALSE),"")</f>
        <v>HIDROGRUA MONTADA S/CAMION (6 T)</v>
      </c>
      <c r="K366" s="351" t="str">
        <f>IF(B366&lt;&gt;"",+VLOOKUP(I366,Recursos!C:F,3,FALSE),"")</f>
        <v>HR</v>
      </c>
      <c r="L366" s="436">
        <f>IF(B366&lt;&gt;"",+VLOOKUP(I366,Recursos!C:F,4,FALSE),"")</f>
        <v>2378.0722500000002</v>
      </c>
      <c r="M366" s="441">
        <v>2000</v>
      </c>
      <c r="N366" s="497"/>
      <c r="O366" s="547">
        <f>+M366</f>
        <v>2000</v>
      </c>
      <c r="P366" s="440">
        <f t="shared" si="190"/>
        <v>4756144.5</v>
      </c>
      <c r="Q366" s="349">
        <f t="shared" si="191"/>
        <v>0</v>
      </c>
      <c r="R366" s="353">
        <f t="shared" si="192"/>
        <v>0</v>
      </c>
      <c r="S366" s="354">
        <f t="shared" si="180"/>
        <v>24473992.781479333</v>
      </c>
      <c r="T366" s="354">
        <f t="shared" si="181"/>
        <v>67572742.834014073</v>
      </c>
      <c r="U366" s="355">
        <f t="shared" si="182"/>
        <v>0</v>
      </c>
      <c r="V366" s="355">
        <f t="shared" si="183"/>
        <v>0</v>
      </c>
      <c r="W366" s="355">
        <f t="shared" si="184"/>
        <v>0</v>
      </c>
      <c r="X366" s="355">
        <f t="shared" si="185"/>
        <v>0</v>
      </c>
      <c r="Y366" s="396"/>
      <c r="Z366" s="346" t="str">
        <f t="shared" si="193"/>
        <v>0-MOVILA</v>
      </c>
      <c r="AA366" s="346" t="str">
        <f t="shared" si="194"/>
        <v>0-MOVILE</v>
      </c>
      <c r="AB366" s="346" t="str">
        <f t="shared" si="195"/>
        <v>0-MOVILM</v>
      </c>
      <c r="AC366" s="346" t="str">
        <f t="shared" si="196"/>
        <v>0-MOVILT</v>
      </c>
      <c r="AD366" s="346" t="str">
        <f t="shared" si="197"/>
        <v>0-MOVILS</v>
      </c>
      <c r="AE366" s="346" t="str">
        <f t="shared" si="198"/>
        <v>0-MOVILX</v>
      </c>
      <c r="AF366" s="346" t="str">
        <f t="shared" si="199"/>
        <v>0-MOVILE</v>
      </c>
      <c r="AG366" s="346">
        <f t="shared" si="186"/>
        <v>7</v>
      </c>
      <c r="AH366" s="346">
        <f>IF(B366&lt;&gt;"",+IF(H366="x",+VLOOKUP(I366,'AUX-NIV2'!B:AG,32,FALSE),0),"")</f>
        <v>0</v>
      </c>
      <c r="AI366" s="346" t="str">
        <f t="shared" si="200"/>
        <v>0-MOVIL</v>
      </c>
      <c r="AK366" s="347">
        <f t="shared" si="187"/>
        <v>361</v>
      </c>
      <c r="AL366" s="348">
        <f t="shared" si="201"/>
        <v>367</v>
      </c>
      <c r="AM366" s="347">
        <f t="shared" si="202"/>
        <v>6</v>
      </c>
      <c r="AN366" s="382">
        <f>IF(AND(AH366&gt;0,B366&lt;&gt;""),VLOOKUP(I366,'AUX-NIV2'!$B:$AP,40,FALSE)*O366,0)</f>
        <v>0</v>
      </c>
      <c r="AO366" s="382">
        <f t="shared" si="188"/>
        <v>53165.237189672327</v>
      </c>
      <c r="AQ366" s="395">
        <f>(IF($H366="x",VLOOKUP($I366,'AUX-NIV2'!$B:$X,'AUX-NIV1'!AQ$3,FALSE),0)+($AV366*'AUX-NIV3'!S$4))*$O366+IF($H366=AQ$4,$P366,0)</f>
        <v>0</v>
      </c>
      <c r="AR366" s="395">
        <f>(IF($H366="x",VLOOKUP($I366,'AUX-NIV2'!$B:$X,'AUX-NIV1'!AR$3,FALSE),0)+($AV366*'AUX-NIV3'!T$4))*$O366+IF($H366=AR$4,$P366,0)</f>
        <v>4756144.5</v>
      </c>
      <c r="AS366" s="395">
        <f>(IF($H366="x",VLOOKUP($I366,'AUX-NIV2'!$B:$X,'AUX-NIV1'!AS$3,FALSE),0)+($AV366*'AUX-NIV3'!U$4))*$O366+IF($H366=AS$4,$P366,0)</f>
        <v>0</v>
      </c>
      <c r="AT366" s="395">
        <f>(IF($H366="x",VLOOKUP($I366,'AUX-NIV2'!$B:$X,'AUX-NIV1'!AT$3,FALSE),0)+($AV366*'AUX-NIV3'!V$4))*$O366+IF($H366=AT$4,$P366,0)</f>
        <v>0</v>
      </c>
      <c r="AU366" s="395">
        <f>(IF($H366="x",VLOOKUP($I366,'AUX-NIV2'!$B:$X,'AUX-NIV1'!AU$3,FALSE),0)+($AV366*'AUX-NIV3'!W$4))*$O366+IF($H366=AU$4,$P366,0)</f>
        <v>0</v>
      </c>
      <c r="AV366" s="395">
        <f>+IF($H366="x",VLOOKUP($I366,'AUX-NIV2'!$B:$X,'AUX-NIV1'!AV$3,FALSE),0)</f>
        <v>0</v>
      </c>
    </row>
    <row r="367" spans="2:48" ht="14.4" hidden="1" thickTop="1" thickBot="1">
      <c r="B367" s="324" t="s">
        <v>2966</v>
      </c>
      <c r="C367" s="325" t="s">
        <v>742</v>
      </c>
      <c r="D367" s="326" t="s">
        <v>623</v>
      </c>
      <c r="E367" s="349">
        <f>IF(B367&lt;&gt;"",+SUMIF(Items!C:C,'AUX-NIV1'!B367,Items!H:H),"")</f>
        <v>0</v>
      </c>
      <c r="F367" s="349">
        <f t="shared" si="178"/>
        <v>92046735.615493417</v>
      </c>
      <c r="G367" s="349">
        <f t="shared" si="179"/>
        <v>0</v>
      </c>
      <c r="H367" s="1395" t="str">
        <f t="shared" si="189"/>
        <v>A</v>
      </c>
      <c r="I367" s="1375" t="s">
        <v>3310</v>
      </c>
      <c r="J367" s="350" t="str">
        <f>IF(B367&lt;&gt;"",+VLOOKUP(I367,Recursos!C:F,2,FALSE),"")</f>
        <v>OFICIAL ESPECIALIZADO</v>
      </c>
      <c r="K367" s="351" t="str">
        <f>IF(B367&lt;&gt;"",+VLOOKUP(I367,Recursos!C:F,3,FALSE),"")</f>
        <v>hh</v>
      </c>
      <c r="L367" s="436">
        <f>IF(B367&lt;&gt;"",+VLOOKUP(I367,Recursos!C:F,4,FALSE),"")</f>
        <v>581.06120476836554</v>
      </c>
      <c r="M367" s="535"/>
      <c r="N367" s="536"/>
      <c r="O367" s="547">
        <f>N363*M366</f>
        <v>2500</v>
      </c>
      <c r="P367" s="440">
        <f t="shared" si="190"/>
        <v>1452653.0119209138</v>
      </c>
      <c r="Q367" s="349">
        <f t="shared" si="191"/>
        <v>0</v>
      </c>
      <c r="R367" s="353">
        <f t="shared" si="192"/>
        <v>0</v>
      </c>
      <c r="S367" s="354">
        <f t="shared" si="180"/>
        <v>24473992.781479333</v>
      </c>
      <c r="T367" s="354">
        <f t="shared" si="181"/>
        <v>67572742.834014073</v>
      </c>
      <c r="U367" s="355">
        <f t="shared" si="182"/>
        <v>0</v>
      </c>
      <c r="V367" s="355">
        <f t="shared" si="183"/>
        <v>0</v>
      </c>
      <c r="W367" s="355">
        <f t="shared" si="184"/>
        <v>0</v>
      </c>
      <c r="X367" s="355">
        <f t="shared" si="185"/>
        <v>0</v>
      </c>
      <c r="Y367" s="396"/>
      <c r="Z367" s="346" t="str">
        <f t="shared" si="193"/>
        <v>0-MOVILA</v>
      </c>
      <c r="AA367" s="346" t="str">
        <f t="shared" si="194"/>
        <v>0-MOVILE</v>
      </c>
      <c r="AB367" s="346" t="str">
        <f t="shared" si="195"/>
        <v>0-MOVILM</v>
      </c>
      <c r="AC367" s="346" t="str">
        <f t="shared" si="196"/>
        <v>0-MOVILT</v>
      </c>
      <c r="AD367" s="346" t="str">
        <f t="shared" si="197"/>
        <v>0-MOVILS</v>
      </c>
      <c r="AE367" s="346" t="str">
        <f t="shared" si="198"/>
        <v>0-MOVILX</v>
      </c>
      <c r="AF367" s="346" t="str">
        <f t="shared" si="199"/>
        <v>0-MOVILA</v>
      </c>
      <c r="AG367" s="346">
        <f t="shared" si="186"/>
        <v>7</v>
      </c>
      <c r="AH367" s="346">
        <f>IF(B367&lt;&gt;"",+IF(H367="x",+VLOOKUP(I367,'AUX-NIV2'!B:AG,32,FALSE),0),"")</f>
        <v>0</v>
      </c>
      <c r="AI367" s="346" t="str">
        <f t="shared" si="200"/>
        <v>0-MOVIL</v>
      </c>
      <c r="AK367" s="347">
        <f t="shared" si="187"/>
        <v>361</v>
      </c>
      <c r="AL367" s="348">
        <f t="shared" si="201"/>
        <v>367</v>
      </c>
      <c r="AM367" s="347">
        <f t="shared" si="202"/>
        <v>7</v>
      </c>
      <c r="AN367" s="382">
        <f>IF(AND(AH367&gt;0,B367&lt;&gt;""),VLOOKUP(I367,'AUX-NIV2'!$B:$AP,40,FALSE)*O367,0)</f>
        <v>0</v>
      </c>
      <c r="AO367" s="382">
        <f t="shared" si="188"/>
        <v>53165.237189672327</v>
      </c>
      <c r="AQ367" s="395">
        <f>(IF($H367="x",VLOOKUP($I367,'AUX-NIV2'!$B:$X,'AUX-NIV1'!AQ$3,FALSE),0)+($AV367*'AUX-NIV3'!S$4))*$O367+IF($H367=AQ$4,$P367,0)</f>
        <v>1452653.0119209138</v>
      </c>
      <c r="AR367" s="395">
        <f>(IF($H367="x",VLOOKUP($I367,'AUX-NIV2'!$B:$X,'AUX-NIV1'!AR$3,FALSE),0)+($AV367*'AUX-NIV3'!T$4))*$O367+IF($H367=AR$4,$P367,0)</f>
        <v>0</v>
      </c>
      <c r="AS367" s="395">
        <f>(IF($H367="x",VLOOKUP($I367,'AUX-NIV2'!$B:$X,'AUX-NIV1'!AS$3,FALSE),0)+($AV367*'AUX-NIV3'!U$4))*$O367+IF($H367=AS$4,$P367,0)</f>
        <v>0</v>
      </c>
      <c r="AT367" s="395">
        <f>(IF($H367="x",VLOOKUP($I367,'AUX-NIV2'!$B:$X,'AUX-NIV1'!AT$3,FALSE),0)+($AV367*'AUX-NIV3'!V$4))*$O367+IF($H367=AT$4,$P367,0)</f>
        <v>0</v>
      </c>
      <c r="AU367" s="395">
        <f>(IF($H367="x",VLOOKUP($I367,'AUX-NIV2'!$B:$X,'AUX-NIV1'!AU$3,FALSE),0)+($AV367*'AUX-NIV3'!W$4))*$O367+IF($H367=AU$4,$P367,0)</f>
        <v>0</v>
      </c>
      <c r="AV367" s="395">
        <f>+IF($H367="x",VLOOKUP($I367,'AUX-NIV2'!$B:$X,'AUX-NIV1'!AV$3,FALSE),0)</f>
        <v>0</v>
      </c>
    </row>
    <row r="368" spans="2:48" ht="14.4" hidden="1" thickTop="1" thickBot="1">
      <c r="B368" s="324" t="s">
        <v>2967</v>
      </c>
      <c r="C368" s="469" t="s">
        <v>1521</v>
      </c>
      <c r="D368" s="470" t="s">
        <v>459</v>
      </c>
      <c r="E368" s="349">
        <f>IF(B368&lt;&gt;"",+SUMIF(Items!C:C,'AUX-NIV1'!B368,Items!H:H),"")</f>
        <v>0</v>
      </c>
      <c r="F368" s="349">
        <f t="shared" si="178"/>
        <v>313.05694805450901</v>
      </c>
      <c r="G368" s="349">
        <f t="shared" si="179"/>
        <v>0</v>
      </c>
      <c r="H368" s="1395" t="str">
        <f t="shared" si="189"/>
        <v>X</v>
      </c>
      <c r="I368" s="1375" t="s">
        <v>2840</v>
      </c>
      <c r="J368" s="350" t="str">
        <f>IF(B368&lt;&gt;"",+VLOOKUP(I368,Recursos!C:F,2,FALSE),"")</f>
        <v>Arena zarandeada</v>
      </c>
      <c r="K368" s="351" t="str">
        <f>IF(B368&lt;&gt;"",+VLOOKUP(I368,Recursos!C:F,3,FALSE),"")</f>
        <v>TN</v>
      </c>
      <c r="L368" s="436">
        <f>IF(B368&lt;&gt;"",+VLOOKUP(I368,Recursos!C:F,4,FALSE),"")</f>
        <v>313.05694805450901</v>
      </c>
      <c r="M368" s="441">
        <v>1</v>
      </c>
      <c r="N368" s="497">
        <v>1</v>
      </c>
      <c r="O368" s="547">
        <f>+M368*N368</f>
        <v>1</v>
      </c>
      <c r="P368" s="440">
        <f t="shared" si="190"/>
        <v>313.05694805450901</v>
      </c>
      <c r="Q368" s="349">
        <f t="shared" si="191"/>
        <v>0</v>
      </c>
      <c r="R368" s="353">
        <f t="shared" si="192"/>
        <v>0</v>
      </c>
      <c r="S368" s="354">
        <f t="shared" si="180"/>
        <v>0</v>
      </c>
      <c r="T368" s="354">
        <f t="shared" si="181"/>
        <v>0</v>
      </c>
      <c r="U368" s="355">
        <f t="shared" si="182"/>
        <v>0</v>
      </c>
      <c r="V368" s="355">
        <f t="shared" si="183"/>
        <v>0</v>
      </c>
      <c r="W368" s="355">
        <f t="shared" si="184"/>
        <v>0</v>
      </c>
      <c r="X368" s="355">
        <f t="shared" si="185"/>
        <v>313.05694805450901</v>
      </c>
      <c r="Y368" s="396"/>
      <c r="Z368" s="346" t="str">
        <f t="shared" si="193"/>
        <v>0-ARENAA</v>
      </c>
      <c r="AA368" s="346" t="str">
        <f t="shared" si="194"/>
        <v>0-ARENAE</v>
      </c>
      <c r="AB368" s="346" t="str">
        <f t="shared" si="195"/>
        <v>0-ARENAM</v>
      </c>
      <c r="AC368" s="346" t="str">
        <f t="shared" si="196"/>
        <v>0-ARENAT</v>
      </c>
      <c r="AD368" s="346" t="str">
        <f t="shared" si="197"/>
        <v>0-ARENAS</v>
      </c>
      <c r="AE368" s="346" t="str">
        <f t="shared" si="198"/>
        <v>0-ARENAX</v>
      </c>
      <c r="AF368" s="346" t="str">
        <f t="shared" si="199"/>
        <v>0-ARENAX</v>
      </c>
      <c r="AG368" s="346">
        <f t="shared" si="186"/>
        <v>1</v>
      </c>
      <c r="AH368" s="346">
        <f>IF(B368&lt;&gt;"",+IF(H368="x",+VLOOKUP(I368,'AUX-NIV2'!B:AG,32,FALSE),0),"")</f>
        <v>1</v>
      </c>
      <c r="AI368" s="346" t="str">
        <f t="shared" si="200"/>
        <v>0-ARENA</v>
      </c>
      <c r="AK368" s="347">
        <f t="shared" si="187"/>
        <v>368</v>
      </c>
      <c r="AL368" s="348">
        <f t="shared" si="201"/>
        <v>368</v>
      </c>
      <c r="AM368" s="347">
        <f t="shared" si="202"/>
        <v>1</v>
      </c>
      <c r="AN368" s="382">
        <f>IF(AND(AH368&gt;0,B368&lt;&gt;""),VLOOKUP(I368,'AUX-NIV2'!$B:$AP,40,FALSE)*O368,0)</f>
        <v>0.17794058248299321</v>
      </c>
      <c r="AO368" s="382">
        <f t="shared" si="188"/>
        <v>0.17794058248299321</v>
      </c>
      <c r="AQ368" s="395">
        <f>(IF($H368="x",VLOOKUP($I368,'AUX-NIV2'!$B:$X,'AUX-NIV1'!AQ$3,FALSE),0)+($AV368*'AUX-NIV3'!S$4))*$O368+IF($H368=AQ$4,$P368,0)</f>
        <v>32.395223289581864</v>
      </c>
      <c r="AR368" s="395">
        <f>(IF($H368="x",VLOOKUP($I368,'AUX-NIV2'!$B:$X,'AUX-NIV1'!AR$3,FALSE),0)+($AV368*'AUX-NIV3'!T$4))*$O368+IF($H368=AR$4,$P368,0)</f>
        <v>280.1676333164358</v>
      </c>
      <c r="AS368" s="395">
        <f>(IF($H368="x",VLOOKUP($I368,'AUX-NIV2'!$B:$X,'AUX-NIV1'!AS$3,FALSE),0)+($AV368*'AUX-NIV3'!U$4))*$O368+IF($H368=AS$4,$P368,0)</f>
        <v>0.49409144849135611</v>
      </c>
      <c r="AT368" s="395">
        <f>(IF($H368="x",VLOOKUP($I368,'AUX-NIV2'!$B:$X,'AUX-NIV1'!AT$3,FALSE),0)+($AV368*'AUX-NIV3'!V$4))*$O368+IF($H368=AT$4,$P368,0)</f>
        <v>0</v>
      </c>
      <c r="AU368" s="395">
        <f>(IF($H368="x",VLOOKUP($I368,'AUX-NIV2'!$B:$X,'AUX-NIV1'!AU$3,FALSE),0)+($AV368*'AUX-NIV3'!W$4))*$O368+IF($H368=AU$4,$P368,0)</f>
        <v>0</v>
      </c>
      <c r="AV368" s="395">
        <f>+IF($H368="x",VLOOKUP($I368,'AUX-NIV2'!$B:$X,'AUX-NIV1'!AV$3,FALSE),0)</f>
        <v>313.05694805450901</v>
      </c>
    </row>
    <row r="369" spans="2:48" ht="14.4" hidden="1" thickTop="1" thickBot="1">
      <c r="B369" s="324" t="s">
        <v>2968</v>
      </c>
      <c r="C369" s="469" t="s">
        <v>1520</v>
      </c>
      <c r="D369" s="470" t="s">
        <v>459</v>
      </c>
      <c r="E369" s="349">
        <f>IF(B369&lt;&gt;"",+SUMIF(Items!C:C,'AUX-NIV1'!B369,Items!H:H),"")</f>
        <v>0</v>
      </c>
      <c r="F369" s="349">
        <f t="shared" si="178"/>
        <v>346.12398419675657</v>
      </c>
      <c r="G369" s="349">
        <f t="shared" si="179"/>
        <v>0</v>
      </c>
      <c r="H369" s="1395" t="str">
        <f t="shared" si="189"/>
        <v>X</v>
      </c>
      <c r="I369" s="1375" t="s">
        <v>2839</v>
      </c>
      <c r="J369" s="350" t="str">
        <f>IF(B369&lt;&gt;"",+VLOOKUP(I369,Recursos!C:F,2,FALSE),"")</f>
        <v>Agregado fino triturado</v>
      </c>
      <c r="K369" s="351" t="str">
        <f>IF(B369&lt;&gt;"",+VLOOKUP(I369,Recursos!C:F,3,FALSE),"")</f>
        <v>TN</v>
      </c>
      <c r="L369" s="436">
        <f>IF(B369&lt;&gt;"",+VLOOKUP(I369,Recursos!C:F,4,FALSE),"")</f>
        <v>346.12398419675657</v>
      </c>
      <c r="M369" s="441">
        <v>1</v>
      </c>
      <c r="N369" s="497">
        <v>1</v>
      </c>
      <c r="O369" s="547">
        <f>+M369/N369</f>
        <v>1</v>
      </c>
      <c r="P369" s="440">
        <f t="shared" si="190"/>
        <v>346.12398419675657</v>
      </c>
      <c r="Q369" s="349">
        <f t="shared" si="191"/>
        <v>0</v>
      </c>
      <c r="R369" s="353">
        <f t="shared" si="192"/>
        <v>0</v>
      </c>
      <c r="S369" s="354">
        <f t="shared" si="180"/>
        <v>0</v>
      </c>
      <c r="T369" s="354">
        <f t="shared" si="181"/>
        <v>0</v>
      </c>
      <c r="U369" s="355">
        <f t="shared" si="182"/>
        <v>0</v>
      </c>
      <c r="V369" s="355">
        <f t="shared" si="183"/>
        <v>0</v>
      </c>
      <c r="W369" s="355">
        <f t="shared" si="184"/>
        <v>0</v>
      </c>
      <c r="X369" s="355">
        <f t="shared" si="185"/>
        <v>346.12398419675657</v>
      </c>
      <c r="Y369" s="396"/>
      <c r="Z369" s="346" t="str">
        <f t="shared" si="193"/>
        <v>0-AGFINOA</v>
      </c>
      <c r="AA369" s="346" t="str">
        <f t="shared" si="194"/>
        <v>0-AGFINOE</v>
      </c>
      <c r="AB369" s="346" t="str">
        <f t="shared" si="195"/>
        <v>0-AGFINOM</v>
      </c>
      <c r="AC369" s="346" t="str">
        <f t="shared" si="196"/>
        <v>0-AGFINOT</v>
      </c>
      <c r="AD369" s="346" t="str">
        <f t="shared" si="197"/>
        <v>0-AGFINOS</v>
      </c>
      <c r="AE369" s="346" t="str">
        <f t="shared" si="198"/>
        <v>0-AGFINOX</v>
      </c>
      <c r="AF369" s="346" t="str">
        <f t="shared" si="199"/>
        <v>0-AGFINOX</v>
      </c>
      <c r="AG369" s="346">
        <f t="shared" si="186"/>
        <v>1</v>
      </c>
      <c r="AH369" s="346">
        <f>IF(B369&lt;&gt;"",+IF(H369="x",+VLOOKUP(I369,'AUX-NIV2'!B:AG,32,FALSE),0),"")</f>
        <v>1</v>
      </c>
      <c r="AI369" s="346" t="str">
        <f t="shared" si="200"/>
        <v>0-AGFINO</v>
      </c>
      <c r="AK369" s="347">
        <f t="shared" si="187"/>
        <v>369</v>
      </c>
      <c r="AL369" s="348">
        <f t="shared" si="201"/>
        <v>369</v>
      </c>
      <c r="AM369" s="347">
        <f t="shared" si="202"/>
        <v>1</v>
      </c>
      <c r="AN369" s="382">
        <f>IF(AND(AH369&gt;0,B369&lt;&gt;""),VLOOKUP(I369,'AUX-NIV2'!$B:$AP,40,FALSE)*O369,0)</f>
        <v>0.19427391581632655</v>
      </c>
      <c r="AO369" s="382">
        <f t="shared" si="188"/>
        <v>0.19427391581632655</v>
      </c>
      <c r="AQ369" s="395">
        <f>(IF($H369="x",VLOOKUP($I369,'AUX-NIV2'!$B:$X,'AUX-NIV1'!AQ$3,FALSE),0)+($AV369*'AUX-NIV3'!S$4))*$O369+IF($H369=AQ$4,$P369,0)</f>
        <v>35.817009728151071</v>
      </c>
      <c r="AR369" s="395">
        <f>(IF($H369="x",VLOOKUP($I369,'AUX-NIV2'!$B:$X,'AUX-NIV1'!AR$3,FALSE),0)+($AV369*'AUX-NIV3'!T$4))*$O369+IF($H369=AR$4,$P369,0)</f>
        <v>309.76069398586213</v>
      </c>
      <c r="AS369" s="395">
        <f>(IF($H369="x",VLOOKUP($I369,'AUX-NIV2'!$B:$X,'AUX-NIV1'!AS$3,FALSE),0)+($AV369*'AUX-NIV3'!U$4))*$O369+IF($H369=AS$4,$P369,0)</f>
        <v>0.54628048274334251</v>
      </c>
      <c r="AT369" s="395">
        <f>(IF($H369="x",VLOOKUP($I369,'AUX-NIV2'!$B:$X,'AUX-NIV1'!AT$3,FALSE),0)+($AV369*'AUX-NIV3'!V$4))*$O369+IF($H369=AT$4,$P369,0)</f>
        <v>0</v>
      </c>
      <c r="AU369" s="395">
        <f>(IF($H369="x",VLOOKUP($I369,'AUX-NIV2'!$B:$X,'AUX-NIV1'!AU$3,FALSE),0)+($AV369*'AUX-NIV3'!W$4))*$O369+IF($H369=AU$4,$P369,0)</f>
        <v>0</v>
      </c>
      <c r="AV369" s="395">
        <f>+IF($H369="x",VLOOKUP($I369,'AUX-NIV2'!$B:$X,'AUX-NIV1'!AV$3,FALSE),0)</f>
        <v>346.12398419675657</v>
      </c>
    </row>
    <row r="370" spans="2:48" ht="14.4" hidden="1" thickTop="1" thickBot="1">
      <c r="B370" s="324" t="s">
        <v>2969</v>
      </c>
      <c r="C370" s="469" t="s">
        <v>1519</v>
      </c>
      <c r="D370" s="470" t="s">
        <v>459</v>
      </c>
      <c r="E370" s="349">
        <f>IF(B370&lt;&gt;"",+SUMIF(Items!C:C,'AUX-NIV1'!B370,Items!H:H),"")</f>
        <v>0</v>
      </c>
      <c r="F370" s="349">
        <f t="shared" si="178"/>
        <v>346.12398419675657</v>
      </c>
      <c r="G370" s="349">
        <f t="shared" si="179"/>
        <v>0</v>
      </c>
      <c r="H370" s="1395" t="str">
        <f t="shared" si="189"/>
        <v>X</v>
      </c>
      <c r="I370" s="1375" t="s">
        <v>2838</v>
      </c>
      <c r="J370" s="350" t="str">
        <f>IF(B370&lt;&gt;"",+VLOOKUP(I370,Recursos!C:F,2,FALSE),"")</f>
        <v>Agregado grueso triturado</v>
      </c>
      <c r="K370" s="351" t="str">
        <f>IF(B370&lt;&gt;"",+VLOOKUP(I370,Recursos!C:F,3,FALSE),"")</f>
        <v>TN</v>
      </c>
      <c r="L370" s="436">
        <f>IF(B370&lt;&gt;"",+VLOOKUP(I370,Recursos!C:F,4,FALSE),"")</f>
        <v>346.12398419675657</v>
      </c>
      <c r="M370" s="441">
        <v>1</v>
      </c>
      <c r="N370" s="497">
        <v>1</v>
      </c>
      <c r="O370" s="547">
        <f>+M370*N370</f>
        <v>1</v>
      </c>
      <c r="P370" s="440">
        <f t="shared" si="190"/>
        <v>346.12398419675657</v>
      </c>
      <c r="Q370" s="349">
        <f t="shared" si="191"/>
        <v>0</v>
      </c>
      <c r="R370" s="353">
        <f t="shared" si="192"/>
        <v>0</v>
      </c>
      <c r="S370" s="354">
        <f t="shared" si="180"/>
        <v>0</v>
      </c>
      <c r="T370" s="354">
        <f t="shared" si="181"/>
        <v>0</v>
      </c>
      <c r="U370" s="355">
        <f t="shared" si="182"/>
        <v>0</v>
      </c>
      <c r="V370" s="355">
        <f t="shared" si="183"/>
        <v>0</v>
      </c>
      <c r="W370" s="355">
        <f t="shared" si="184"/>
        <v>0</v>
      </c>
      <c r="X370" s="355">
        <f t="shared" si="185"/>
        <v>346.12398419675657</v>
      </c>
      <c r="Y370" s="396"/>
      <c r="Z370" s="346" t="str">
        <f t="shared" si="193"/>
        <v>0-AGGRUESOA</v>
      </c>
      <c r="AA370" s="346" t="str">
        <f t="shared" si="194"/>
        <v>0-AGGRUESOE</v>
      </c>
      <c r="AB370" s="346" t="str">
        <f t="shared" si="195"/>
        <v>0-AGGRUESOM</v>
      </c>
      <c r="AC370" s="346" t="str">
        <f t="shared" si="196"/>
        <v>0-AGGRUESOT</v>
      </c>
      <c r="AD370" s="346" t="str">
        <f t="shared" si="197"/>
        <v>0-AGGRUESOS</v>
      </c>
      <c r="AE370" s="346" t="str">
        <f t="shared" si="198"/>
        <v>0-AGGRUESOX</v>
      </c>
      <c r="AF370" s="346" t="str">
        <f t="shared" si="199"/>
        <v>0-AGGRUESOX</v>
      </c>
      <c r="AG370" s="346">
        <f t="shared" si="186"/>
        <v>1</v>
      </c>
      <c r="AH370" s="346">
        <f>IF(B370&lt;&gt;"",+IF(H370="x",+VLOOKUP(I370,'AUX-NIV2'!B:AG,32,FALSE),0),"")</f>
        <v>1</v>
      </c>
      <c r="AI370" s="346" t="str">
        <f t="shared" si="200"/>
        <v>0-AGGRUESO</v>
      </c>
      <c r="AK370" s="347">
        <f t="shared" si="187"/>
        <v>370</v>
      </c>
      <c r="AL370" s="348">
        <f t="shared" si="201"/>
        <v>370</v>
      </c>
      <c r="AM370" s="347">
        <f t="shared" si="202"/>
        <v>1</v>
      </c>
      <c r="AN370" s="382">
        <f>IF(AND(AH370&gt;0,B370&lt;&gt;""),VLOOKUP(I370,'AUX-NIV2'!$B:$AP,40,FALSE)*O370,0)</f>
        <v>0.19427391581632655</v>
      </c>
      <c r="AO370" s="382">
        <f t="shared" si="188"/>
        <v>0.19427391581632655</v>
      </c>
      <c r="AQ370" s="395">
        <f>(IF($H370="x",VLOOKUP($I370,'AUX-NIV2'!$B:$X,'AUX-NIV1'!AQ$3,FALSE),0)+($AV370*'AUX-NIV3'!S$4))*$O370+IF($H370=AQ$4,$P370,0)</f>
        <v>35.817009728151071</v>
      </c>
      <c r="AR370" s="395">
        <f>(IF($H370="x",VLOOKUP($I370,'AUX-NIV2'!$B:$X,'AUX-NIV1'!AR$3,FALSE),0)+($AV370*'AUX-NIV3'!T$4))*$O370+IF($H370=AR$4,$P370,0)</f>
        <v>309.76069398586213</v>
      </c>
      <c r="AS370" s="395">
        <f>(IF($H370="x",VLOOKUP($I370,'AUX-NIV2'!$B:$X,'AUX-NIV1'!AS$3,FALSE),0)+($AV370*'AUX-NIV3'!U$4))*$O370+IF($H370=AS$4,$P370,0)</f>
        <v>0.54628048274334251</v>
      </c>
      <c r="AT370" s="395">
        <f>(IF($H370="x",VLOOKUP($I370,'AUX-NIV2'!$B:$X,'AUX-NIV1'!AT$3,FALSE),0)+($AV370*'AUX-NIV3'!V$4))*$O370+IF($H370=AT$4,$P370,0)</f>
        <v>0</v>
      </c>
      <c r="AU370" s="395">
        <f>(IF($H370="x",VLOOKUP($I370,'AUX-NIV2'!$B:$X,'AUX-NIV1'!AU$3,FALSE),0)+($AV370*'AUX-NIV3'!W$4))*$O370+IF($H370=AU$4,$P370,0)</f>
        <v>0</v>
      </c>
      <c r="AV370" s="395">
        <f>+IF($H370="x",VLOOKUP($I370,'AUX-NIV2'!$B:$X,'AUX-NIV1'!AV$3,FALSE),0)</f>
        <v>346.12398419675657</v>
      </c>
    </row>
    <row r="371" spans="2:48" ht="14.4" hidden="1" thickTop="1" thickBot="1">
      <c r="B371" s="324" t="s">
        <v>2970</v>
      </c>
      <c r="C371" s="469" t="s">
        <v>1769</v>
      </c>
      <c r="D371" s="470" t="s">
        <v>459</v>
      </c>
      <c r="E371" s="349">
        <f>IF(B371&lt;&gt;"",+SUMIF(Items!C:C,'AUX-NIV1'!B371,Items!H:H),"")</f>
        <v>0</v>
      </c>
      <c r="F371" s="349">
        <f t="shared" si="178"/>
        <v>467.71910146163452</v>
      </c>
      <c r="G371" s="349">
        <f t="shared" si="179"/>
        <v>0</v>
      </c>
      <c r="H371" s="1395" t="str">
        <f t="shared" si="189"/>
        <v>X</v>
      </c>
      <c r="I371" s="1375" t="s">
        <v>2842</v>
      </c>
      <c r="J371" s="350" t="str">
        <f>IF(B371&lt;&gt;"",+VLOOKUP(I371,Recursos!C:F,2,FALSE),"")</f>
        <v>AGREGADO CLASIFICADO</v>
      </c>
      <c r="K371" s="351" t="str">
        <f>IF(B371&lt;&gt;"",+VLOOKUP(I371,Recursos!C:F,3,FALSE),"")</f>
        <v>TN</v>
      </c>
      <c r="L371" s="436">
        <f>IF(B371&lt;&gt;"",+VLOOKUP(I371,Recursos!C:F,4,FALSE),"")</f>
        <v>467.71910146163452</v>
      </c>
      <c r="M371" s="545">
        <v>1</v>
      </c>
      <c r="N371" s="548">
        <v>1</v>
      </c>
      <c r="O371" s="547">
        <f>M371/N371</f>
        <v>1</v>
      </c>
      <c r="P371" s="440">
        <f t="shared" si="190"/>
        <v>467.71910146163452</v>
      </c>
      <c r="Q371" s="349">
        <f t="shared" si="191"/>
        <v>0</v>
      </c>
      <c r="R371" s="353">
        <f t="shared" si="192"/>
        <v>0</v>
      </c>
      <c r="S371" s="354">
        <f t="shared" si="180"/>
        <v>0</v>
      </c>
      <c r="T371" s="354">
        <f t="shared" si="181"/>
        <v>0</v>
      </c>
      <c r="U371" s="355">
        <f t="shared" si="182"/>
        <v>0</v>
      </c>
      <c r="V371" s="355">
        <f t="shared" si="183"/>
        <v>0</v>
      </c>
      <c r="W371" s="355">
        <f t="shared" si="184"/>
        <v>0</v>
      </c>
      <c r="X371" s="355">
        <f t="shared" si="185"/>
        <v>467.71910146163452</v>
      </c>
      <c r="Y371" s="396"/>
      <c r="Z371" s="346" t="str">
        <f t="shared" si="193"/>
        <v>0-AGRCLASA</v>
      </c>
      <c r="AA371" s="346" t="str">
        <f t="shared" si="194"/>
        <v>0-AGRCLASE</v>
      </c>
      <c r="AB371" s="346" t="str">
        <f t="shared" si="195"/>
        <v>0-AGRCLASM</v>
      </c>
      <c r="AC371" s="346" t="str">
        <f t="shared" si="196"/>
        <v>0-AGRCLAST</v>
      </c>
      <c r="AD371" s="346" t="str">
        <f t="shared" si="197"/>
        <v>0-AGRCLASS</v>
      </c>
      <c r="AE371" s="346" t="str">
        <f t="shared" si="198"/>
        <v>0-AGRCLASX</v>
      </c>
      <c r="AF371" s="346" t="str">
        <f t="shared" si="199"/>
        <v>0-AGRCLASX</v>
      </c>
      <c r="AG371" s="346">
        <f t="shared" si="186"/>
        <v>1</v>
      </c>
      <c r="AH371" s="346">
        <f>IF(B371&lt;&gt;"",+IF(H371="x",+VLOOKUP(I371,'AUX-NIV2'!B:AG,32,FALSE),0),"")</f>
        <v>1</v>
      </c>
      <c r="AI371" s="346" t="str">
        <f t="shared" si="200"/>
        <v>0-AGRCLAS</v>
      </c>
      <c r="AK371" s="347">
        <f t="shared" si="187"/>
        <v>371</v>
      </c>
      <c r="AL371" s="348">
        <f t="shared" si="201"/>
        <v>371</v>
      </c>
      <c r="AM371" s="347">
        <f t="shared" si="202"/>
        <v>1</v>
      </c>
      <c r="AN371" s="382">
        <f>IF(AND(AH371&gt;0,B371&lt;&gt;""),VLOOKUP(I371,'AUX-NIV2'!$B:$AP,40,FALSE)*O371,0)</f>
        <v>0.12022369743351885</v>
      </c>
      <c r="AO371" s="382">
        <f t="shared" si="188"/>
        <v>0.12022369743351885</v>
      </c>
      <c r="AQ371" s="395">
        <f>(IF($H371="x",VLOOKUP($I371,'AUX-NIV2'!$B:$X,'AUX-NIV1'!AQ$3,FALSE),0)+($AV371*'AUX-NIV3'!S$4))*$O371+IF($H371=AQ$4,$P371,0)</f>
        <v>48.399707538240058</v>
      </c>
      <c r="AR371" s="395">
        <f>(IF($H371="x",VLOOKUP($I371,'AUX-NIV2'!$B:$X,'AUX-NIV1'!AR$3,FALSE),0)+($AV371*'AUX-NIV3'!T$4))*$O371+IF($H371=AR$4,$P371,0)</f>
        <v>418.58120232673963</v>
      </c>
      <c r="AS371" s="395">
        <f>(IF($H371="x",VLOOKUP($I371,'AUX-NIV2'!$B:$X,'AUX-NIV1'!AS$3,FALSE),0)+($AV371*'AUX-NIV3'!U$4))*$O371+IF($H371=AS$4,$P371,0)</f>
        <v>0.73819159665485667</v>
      </c>
      <c r="AT371" s="395">
        <f>(IF($H371="x",VLOOKUP($I371,'AUX-NIV2'!$B:$X,'AUX-NIV1'!AT$3,FALSE),0)+($AV371*'AUX-NIV3'!V$4))*$O371+IF($H371=AT$4,$P371,0)</f>
        <v>0</v>
      </c>
      <c r="AU371" s="395">
        <f>(IF($H371="x",VLOOKUP($I371,'AUX-NIV2'!$B:$X,'AUX-NIV1'!AU$3,FALSE),0)+($AV371*'AUX-NIV3'!W$4))*$O371+IF($H371=AU$4,$P371,0)</f>
        <v>0</v>
      </c>
      <c r="AV371" s="395">
        <f>+IF($H371="x",VLOOKUP($I371,'AUX-NIV2'!$B:$X,'AUX-NIV1'!AV$3,FALSE),0)</f>
        <v>467.71910146163452</v>
      </c>
    </row>
    <row r="372" spans="2:48" ht="14.4" hidden="1" thickTop="1" thickBot="1">
      <c r="B372" s="324" t="s">
        <v>2964</v>
      </c>
      <c r="C372" s="325" t="s">
        <v>2971</v>
      </c>
      <c r="D372" s="326" t="s">
        <v>1160</v>
      </c>
      <c r="E372" s="349">
        <f>IF(B372&lt;&gt;"",+SUMIF(Items!C:C,'AUX-NIV1'!B372,Items!H:H),"")</f>
        <v>0</v>
      </c>
      <c r="F372" s="349">
        <f t="shared" si="178"/>
        <v>19306.008930161424</v>
      </c>
      <c r="G372" s="349">
        <f t="shared" si="179"/>
        <v>0</v>
      </c>
      <c r="H372" s="1395" t="str">
        <f t="shared" si="189"/>
        <v>X</v>
      </c>
      <c r="I372" s="1375" t="s">
        <v>2865</v>
      </c>
      <c r="J372" s="350" t="str">
        <f>IF(B372&lt;&gt;"",+VLOOKUP(I372,Recursos!C:F,2,FALSE),"")</f>
        <v>Colado Hormigón desde Mixer</v>
      </c>
      <c r="K372" s="351" t="str">
        <f>IF(B372&lt;&gt;"",+VLOOKUP(I372,Recursos!C:F,3,FALSE),"")</f>
        <v>m3</v>
      </c>
      <c r="L372" s="436">
        <f>IF(B372&lt;&gt;"",+VLOOKUP(I372,Recursos!C:F,4,FALSE),"")</f>
        <v>1031.7487777591643</v>
      </c>
      <c r="M372" s="437">
        <v>1.25</v>
      </c>
      <c r="N372" s="458">
        <v>0.1</v>
      </c>
      <c r="O372" s="547">
        <f>+M372+N372</f>
        <v>1.35</v>
      </c>
      <c r="P372" s="440">
        <f t="shared" si="190"/>
        <v>1392.8608499748721</v>
      </c>
      <c r="Q372" s="349">
        <f t="shared" si="191"/>
        <v>0</v>
      </c>
      <c r="R372" s="353">
        <f t="shared" si="192"/>
        <v>0</v>
      </c>
      <c r="S372" s="354">
        <f t="shared" si="180"/>
        <v>0</v>
      </c>
      <c r="T372" s="354">
        <f t="shared" si="181"/>
        <v>0</v>
      </c>
      <c r="U372" s="355">
        <f t="shared" si="182"/>
        <v>0</v>
      </c>
      <c r="V372" s="355">
        <f t="shared" si="183"/>
        <v>0</v>
      </c>
      <c r="W372" s="355">
        <f t="shared" si="184"/>
        <v>0</v>
      </c>
      <c r="X372" s="355">
        <f t="shared" si="185"/>
        <v>19306.008930161424</v>
      </c>
      <c r="Y372" s="396"/>
      <c r="Z372" s="346" t="str">
        <f t="shared" si="193"/>
        <v>0-HORMCA</v>
      </c>
      <c r="AA372" s="346" t="str">
        <f t="shared" si="194"/>
        <v>0-HORMCE</v>
      </c>
      <c r="AB372" s="346" t="str">
        <f t="shared" si="195"/>
        <v>0-HORMCM</v>
      </c>
      <c r="AC372" s="346" t="str">
        <f t="shared" si="196"/>
        <v>0-HORMCT</v>
      </c>
      <c r="AD372" s="346" t="str">
        <f t="shared" si="197"/>
        <v>0-HORMCS</v>
      </c>
      <c r="AE372" s="346" t="str">
        <f t="shared" si="198"/>
        <v>0-HORMCX</v>
      </c>
      <c r="AF372" s="346" t="str">
        <f t="shared" si="199"/>
        <v>0-HORMCX</v>
      </c>
      <c r="AG372" s="346">
        <f t="shared" si="186"/>
        <v>8</v>
      </c>
      <c r="AH372" s="346">
        <f>IF(B372&lt;&gt;"",+IF(H372="x",+VLOOKUP(I372,'AUX-NIV2'!B:AG,32,FALSE),0),"")</f>
        <v>8</v>
      </c>
      <c r="AI372" s="346" t="str">
        <f t="shared" si="200"/>
        <v>0-HORMC</v>
      </c>
      <c r="AK372" s="347">
        <f t="shared" si="187"/>
        <v>357</v>
      </c>
      <c r="AL372" s="348">
        <f t="shared" si="201"/>
        <v>364</v>
      </c>
      <c r="AM372" s="347">
        <f t="shared" si="202"/>
        <v>1</v>
      </c>
      <c r="AN372" s="382">
        <f>IF(AND(AH372&gt;0,B372&lt;&gt;""),VLOOKUP(I372,'AUX-NIV2'!$B:$AP,40,FALSE)*O372,0)</f>
        <v>2.3625000000000003</v>
      </c>
      <c r="AO372" s="382">
        <f t="shared" si="188"/>
        <v>10.507173903380103</v>
      </c>
      <c r="AQ372" s="395">
        <f>(IF($H372="x",VLOOKUP($I372,'AUX-NIV2'!$B:$X,'AUX-NIV1'!AQ$3,FALSE),0)+($AV372*'AUX-NIV3'!S$4))*$O372+IF($H372=AQ$4,$P372,0)</f>
        <v>1126.9969934748717</v>
      </c>
      <c r="AR372" s="395">
        <f>(IF($H372="x",VLOOKUP($I372,'AUX-NIV2'!$B:$X,'AUX-NIV1'!AR$3,FALSE),0)+($AV372*'AUX-NIV3'!T$4))*$O372+IF($H372=AR$4,$P372,0)</f>
        <v>265.8638565</v>
      </c>
      <c r="AS372" s="395">
        <f>(IF($H372="x",VLOOKUP($I372,'AUX-NIV2'!$B:$X,'AUX-NIV1'!AS$3,FALSE),0)+($AV372*'AUX-NIV3'!U$4))*$O372+IF($H372=AS$4,$P372,0)</f>
        <v>0</v>
      </c>
      <c r="AT372" s="395">
        <f>(IF($H372="x",VLOOKUP($I372,'AUX-NIV2'!$B:$X,'AUX-NIV1'!AT$3,FALSE),0)+($AV372*'AUX-NIV3'!V$4))*$O372+IF($H372=AT$4,$P372,0)</f>
        <v>0</v>
      </c>
      <c r="AU372" s="395">
        <f>(IF($H372="x",VLOOKUP($I372,'AUX-NIV2'!$B:$X,'AUX-NIV1'!AU$3,FALSE),0)+($AV372*'AUX-NIV3'!W$4))*$O372+IF($H372=AU$4,$P372,0)</f>
        <v>0</v>
      </c>
      <c r="AV372" s="395">
        <f>+IF($H372="x",VLOOKUP($I372,'AUX-NIV2'!$B:$X,'AUX-NIV1'!AV$3,FALSE),0)</f>
        <v>0</v>
      </c>
    </row>
    <row r="373" spans="2:48" ht="14.4" hidden="1" thickTop="1" thickBot="1">
      <c r="B373" s="324" t="s">
        <v>2964</v>
      </c>
      <c r="C373" s="325" t="s">
        <v>2971</v>
      </c>
      <c r="D373" s="326" t="s">
        <v>1160</v>
      </c>
      <c r="E373" s="349">
        <f>IF(B373&lt;&gt;"",+SUMIF(Items!C:C,'AUX-NIV1'!B373,Items!H:H),"")</f>
        <v>0</v>
      </c>
      <c r="F373" s="349">
        <f t="shared" si="178"/>
        <v>19306.008930161424</v>
      </c>
      <c r="G373" s="349">
        <f t="shared" si="179"/>
        <v>0</v>
      </c>
      <c r="H373" s="1395" t="str">
        <f t="shared" si="189"/>
        <v>X</v>
      </c>
      <c r="I373" s="1375" t="s">
        <v>2871</v>
      </c>
      <c r="J373" s="350" t="str">
        <f>IF(B373&lt;&gt;"",+VLOOKUP(I373,Recursos!C:F,2,FALSE),"")</f>
        <v>Encofrado para obras menores</v>
      </c>
      <c r="K373" s="351" t="str">
        <f>IF(B373&lt;&gt;"",+VLOOKUP(I373,Recursos!C:F,3,FALSE),"")</f>
        <v>m2</v>
      </c>
      <c r="L373" s="436">
        <f>IF(B373&lt;&gt;"",+VLOOKUP(I373,Recursos!C:F,4,FALSE),"")</f>
        <v>3798.3281004967002</v>
      </c>
      <c r="M373" s="441">
        <v>0.25</v>
      </c>
      <c r="N373" s="442"/>
      <c r="O373" s="549">
        <f>+M373</f>
        <v>0.25</v>
      </c>
      <c r="P373" s="440">
        <f t="shared" si="190"/>
        <v>949.58202512417506</v>
      </c>
      <c r="Q373" s="349">
        <f t="shared" si="191"/>
        <v>0</v>
      </c>
      <c r="R373" s="353">
        <f t="shared" si="192"/>
        <v>0</v>
      </c>
      <c r="S373" s="354">
        <f t="shared" si="180"/>
        <v>0</v>
      </c>
      <c r="T373" s="354">
        <f t="shared" si="181"/>
        <v>0</v>
      </c>
      <c r="U373" s="355">
        <f t="shared" si="182"/>
        <v>0</v>
      </c>
      <c r="V373" s="355">
        <f t="shared" si="183"/>
        <v>0</v>
      </c>
      <c r="W373" s="355">
        <f t="shared" si="184"/>
        <v>0</v>
      </c>
      <c r="X373" s="355">
        <f t="shared" si="185"/>
        <v>19306.008930161424</v>
      </c>
      <c r="Y373" s="396"/>
      <c r="Z373" s="346" t="str">
        <f t="shared" si="193"/>
        <v>0-HORMCA</v>
      </c>
      <c r="AA373" s="346" t="str">
        <f t="shared" si="194"/>
        <v>0-HORMCE</v>
      </c>
      <c r="AB373" s="346" t="str">
        <f t="shared" si="195"/>
        <v>0-HORMCM</v>
      </c>
      <c r="AC373" s="346" t="str">
        <f t="shared" si="196"/>
        <v>0-HORMCT</v>
      </c>
      <c r="AD373" s="346" t="str">
        <f t="shared" si="197"/>
        <v>0-HORMCS</v>
      </c>
      <c r="AE373" s="346" t="str">
        <f t="shared" si="198"/>
        <v>0-HORMCX</v>
      </c>
      <c r="AF373" s="346" t="str">
        <f t="shared" si="199"/>
        <v>0-HORMCX</v>
      </c>
      <c r="AG373" s="346">
        <f t="shared" si="186"/>
        <v>8</v>
      </c>
      <c r="AH373" s="346">
        <f>IF(B373&lt;&gt;"",+IF(H373="x",+VLOOKUP(I373,'AUX-NIV2'!B:AG,32,FALSE),0),"")</f>
        <v>13</v>
      </c>
      <c r="AI373" s="346" t="str">
        <f t="shared" si="200"/>
        <v>0-HORMC</v>
      </c>
      <c r="AK373" s="347">
        <f t="shared" si="187"/>
        <v>357</v>
      </c>
      <c r="AL373" s="348">
        <f t="shared" si="201"/>
        <v>364</v>
      </c>
      <c r="AM373" s="347">
        <f t="shared" si="202"/>
        <v>2</v>
      </c>
      <c r="AN373" s="382">
        <f>IF(AND(AH373&gt;0,B373&lt;&gt;""),VLOOKUP(I373,'AUX-NIV2'!$B:$AP,40,FALSE)*O373,0)</f>
        <v>1.75</v>
      </c>
      <c r="AO373" s="382">
        <f t="shared" si="188"/>
        <v>10.507173903380103</v>
      </c>
      <c r="AQ373" s="395">
        <f>(IF($H373="x",VLOOKUP($I373,'AUX-NIV2'!$B:$X,'AUX-NIV1'!AQ$3,FALSE),0)+($AV373*'AUX-NIV3'!S$4))*$O373+IF($H373=AQ$4,$P373,0)</f>
        <v>834.51395829626153</v>
      </c>
      <c r="AR373" s="395">
        <f>(IF($H373="x",VLOOKUP($I373,'AUX-NIV2'!$B:$X,'AUX-NIV1'!AR$3,FALSE),0)+($AV373*'AUX-NIV3'!T$4))*$O373+IF($H373=AR$4,$P373,0)</f>
        <v>0</v>
      </c>
      <c r="AS373" s="395">
        <f>(IF($H373="x",VLOOKUP($I373,'AUX-NIV2'!$B:$X,'AUX-NIV1'!AS$3,FALSE),0)+($AV373*'AUX-NIV3'!U$4))*$O373+IF($H373=AS$4,$P373,0)</f>
        <v>115.06806682791365</v>
      </c>
      <c r="AT373" s="395">
        <f>(IF($H373="x",VLOOKUP($I373,'AUX-NIV2'!$B:$X,'AUX-NIV1'!AT$3,FALSE),0)+($AV373*'AUX-NIV3'!V$4))*$O373+IF($H373=AT$4,$P373,0)</f>
        <v>0</v>
      </c>
      <c r="AU373" s="395">
        <f>(IF($H373="x",VLOOKUP($I373,'AUX-NIV2'!$B:$X,'AUX-NIV1'!AU$3,FALSE),0)+($AV373*'AUX-NIV3'!W$4))*$O373+IF($H373=AU$4,$P373,0)</f>
        <v>0</v>
      </c>
      <c r="AV373" s="395">
        <f>+IF($H373="x",VLOOKUP($I373,'AUX-NIV2'!$B:$X,'AUX-NIV1'!AV$3,FALSE),0)</f>
        <v>0</v>
      </c>
    </row>
    <row r="374" spans="2:48" ht="14.4" hidden="1" thickTop="1" thickBot="1">
      <c r="B374" s="324" t="s">
        <v>2964</v>
      </c>
      <c r="C374" s="325" t="s">
        <v>2971</v>
      </c>
      <c r="D374" s="326" t="s">
        <v>1160</v>
      </c>
      <c r="E374" s="349">
        <f>IF(B374&lt;&gt;"",+SUMIF(Items!C:C,'AUX-NIV1'!B374,Items!H:H),"")</f>
        <v>0</v>
      </c>
      <c r="F374" s="349">
        <f t="shared" si="178"/>
        <v>19306.008930161424</v>
      </c>
      <c r="G374" s="349">
        <f t="shared" si="179"/>
        <v>0</v>
      </c>
      <c r="H374" s="1395" t="str">
        <f t="shared" si="189"/>
        <v>X</v>
      </c>
      <c r="I374" s="1375" t="s">
        <v>2873</v>
      </c>
      <c r="J374" s="350" t="str">
        <f>IF(B374&lt;&gt;"",+VLOOKUP(I374,Recursos!C:F,2,FALSE),"")</f>
        <v>Elaboración de Hgón H13</v>
      </c>
      <c r="K374" s="351" t="str">
        <f>IF(B374&lt;&gt;"",+VLOOKUP(I374,Recursos!C:F,3,FALSE),"")</f>
        <v>m3</v>
      </c>
      <c r="L374" s="436">
        <f>IF(B374&lt;&gt;"",+VLOOKUP(I374,Recursos!C:F,4,FALSE),"")</f>
        <v>4165.395488027043</v>
      </c>
      <c r="M374" s="443"/>
      <c r="N374" s="442"/>
      <c r="O374" s="547">
        <f>+M372+N372</f>
        <v>1.35</v>
      </c>
      <c r="P374" s="440">
        <f t="shared" si="190"/>
        <v>5623.2839088365081</v>
      </c>
      <c r="Q374" s="349">
        <f t="shared" si="191"/>
        <v>0</v>
      </c>
      <c r="R374" s="353">
        <f t="shared" si="192"/>
        <v>0</v>
      </c>
      <c r="S374" s="354">
        <f t="shared" si="180"/>
        <v>0</v>
      </c>
      <c r="T374" s="354">
        <f t="shared" si="181"/>
        <v>0</v>
      </c>
      <c r="U374" s="355">
        <f t="shared" si="182"/>
        <v>0</v>
      </c>
      <c r="V374" s="355">
        <f t="shared" si="183"/>
        <v>0</v>
      </c>
      <c r="W374" s="355">
        <f t="shared" si="184"/>
        <v>0</v>
      </c>
      <c r="X374" s="355">
        <f t="shared" si="185"/>
        <v>19306.008930161424</v>
      </c>
      <c r="Y374" s="396"/>
      <c r="Z374" s="346" t="str">
        <f t="shared" si="193"/>
        <v>0-HORMCA</v>
      </c>
      <c r="AA374" s="346" t="str">
        <f t="shared" si="194"/>
        <v>0-HORMCE</v>
      </c>
      <c r="AB374" s="346" t="str">
        <f t="shared" si="195"/>
        <v>0-HORMCM</v>
      </c>
      <c r="AC374" s="346" t="str">
        <f t="shared" si="196"/>
        <v>0-HORMCT</v>
      </c>
      <c r="AD374" s="346" t="str">
        <f t="shared" si="197"/>
        <v>0-HORMCS</v>
      </c>
      <c r="AE374" s="346" t="str">
        <f t="shared" si="198"/>
        <v>0-HORMCX</v>
      </c>
      <c r="AF374" s="346" t="str">
        <f t="shared" si="199"/>
        <v>0-HORMCX</v>
      </c>
      <c r="AG374" s="346">
        <f t="shared" si="186"/>
        <v>8</v>
      </c>
      <c r="AH374" s="346">
        <f>IF(B374&lt;&gt;"",+IF(H374="x",+VLOOKUP(I374,'AUX-NIV2'!B:AG,32,FALSE),0),"")</f>
        <v>7</v>
      </c>
      <c r="AI374" s="346" t="str">
        <f t="shared" si="200"/>
        <v>0-HORMC</v>
      </c>
      <c r="AK374" s="347">
        <f t="shared" si="187"/>
        <v>357</v>
      </c>
      <c r="AL374" s="348">
        <f t="shared" si="201"/>
        <v>364</v>
      </c>
      <c r="AM374" s="347">
        <f t="shared" si="202"/>
        <v>3</v>
      </c>
      <c r="AN374" s="382">
        <f>IF(AND(AH374&gt;0,B374&lt;&gt;""),VLOOKUP(I374,'AUX-NIV2'!$B:$AP,40,FALSE)*O374,0)</f>
        <v>1.2462187500000002</v>
      </c>
      <c r="AO374" s="382">
        <f t="shared" si="188"/>
        <v>10.507173903380103</v>
      </c>
      <c r="AQ374" s="395">
        <f>(IF($H374="x",VLOOKUP($I374,'AUX-NIV2'!$B:$X,'AUX-NIV1'!AQ$3,FALSE),0)+($AV374*'AUX-NIV3'!S$4))*$O374+IF($H374=AQ$4,$P374,0)</f>
        <v>148.56292432045896</v>
      </c>
      <c r="AR374" s="395">
        <f>(IF($H374="x",VLOOKUP($I374,'AUX-NIV2'!$B:$X,'AUX-NIV1'!AR$3,FALSE),0)+($AV374*'AUX-NIV3'!T$4))*$O374+IF($H374=AR$4,$P374,0)</f>
        <v>1284.8351910825486</v>
      </c>
      <c r="AS374" s="395">
        <f>(IF($H374="x",VLOOKUP($I374,'AUX-NIV2'!$B:$X,'AUX-NIV1'!AS$3,FALSE),0)+($AV374*'AUX-NIV3'!U$4))*$O374+IF($H374=AS$4,$P374,0)</f>
        <v>4189.885793433501</v>
      </c>
      <c r="AT374" s="395">
        <f>(IF($H374="x",VLOOKUP($I374,'AUX-NIV2'!$B:$X,'AUX-NIV1'!AT$3,FALSE),0)+($AV374*'AUX-NIV3'!V$4))*$O374+IF($H374=AT$4,$P374,0)</f>
        <v>0</v>
      </c>
      <c r="AU374" s="395">
        <f>(IF($H374="x",VLOOKUP($I374,'AUX-NIV2'!$B:$X,'AUX-NIV1'!AU$3,FALSE),0)+($AV374*'AUX-NIV3'!W$4))*$O374+IF($H374=AU$4,$P374,0)</f>
        <v>0</v>
      </c>
      <c r="AV374" s="395">
        <f>+IF($H374="x",VLOOKUP($I374,'AUX-NIV2'!$B:$X,'AUX-NIV1'!AV$3,FALSE),0)</f>
        <v>1063.4548109962732</v>
      </c>
    </row>
    <row r="375" spans="2:48" ht="14.4" hidden="1" thickTop="1" thickBot="1">
      <c r="B375" s="324" t="s">
        <v>2964</v>
      </c>
      <c r="C375" s="325" t="s">
        <v>2971</v>
      </c>
      <c r="D375" s="326" t="s">
        <v>1160</v>
      </c>
      <c r="E375" s="349">
        <f>IF(B375&lt;&gt;"",+SUMIF(Items!C:C,'AUX-NIV1'!B375,Items!H:H),"")</f>
        <v>0</v>
      </c>
      <c r="F375" s="349">
        <f t="shared" si="178"/>
        <v>19306.008930161424</v>
      </c>
      <c r="G375" s="349">
        <f t="shared" si="179"/>
        <v>0</v>
      </c>
      <c r="H375" s="1395" t="str">
        <f t="shared" si="189"/>
        <v>X</v>
      </c>
      <c r="I375" s="1375" t="s">
        <v>1504</v>
      </c>
      <c r="J375" s="350" t="str">
        <f>IF(B375&lt;&gt;"",+VLOOKUP(I375,Recursos!C:F,2,FALSE),"")</f>
        <v>Transporte de Hormigón</v>
      </c>
      <c r="K375" s="351" t="str">
        <f>IF(B375&lt;&gt;"",+VLOOKUP(I375,Recursos!C:F,3,FALSE),"")</f>
        <v>m3</v>
      </c>
      <c r="L375" s="436">
        <f>IF(B375&lt;&gt;"",+VLOOKUP(I375,Recursos!C:F,4,FALSE),"")</f>
        <v>440.72547018462734</v>
      </c>
      <c r="M375" s="535">
        <v>12</v>
      </c>
      <c r="N375" s="445"/>
      <c r="O375" s="547">
        <f>+M375*(M372+N372)</f>
        <v>16.200000000000003</v>
      </c>
      <c r="P375" s="440">
        <f t="shared" si="190"/>
        <v>7139.7526169909643</v>
      </c>
      <c r="Q375" s="349">
        <f t="shared" si="191"/>
        <v>0</v>
      </c>
      <c r="R375" s="353">
        <f t="shared" si="192"/>
        <v>0</v>
      </c>
      <c r="S375" s="354">
        <f t="shared" si="180"/>
        <v>0</v>
      </c>
      <c r="T375" s="354">
        <f t="shared" si="181"/>
        <v>0</v>
      </c>
      <c r="U375" s="355">
        <f t="shared" si="182"/>
        <v>0</v>
      </c>
      <c r="V375" s="355">
        <f t="shared" si="183"/>
        <v>0</v>
      </c>
      <c r="W375" s="355">
        <f t="shared" si="184"/>
        <v>0</v>
      </c>
      <c r="X375" s="355">
        <f t="shared" si="185"/>
        <v>19306.008930161424</v>
      </c>
      <c r="Y375" s="396"/>
      <c r="Z375" s="346" t="str">
        <f t="shared" si="193"/>
        <v>0-HORMCA</v>
      </c>
      <c r="AA375" s="346" t="str">
        <f t="shared" si="194"/>
        <v>0-HORMCE</v>
      </c>
      <c r="AB375" s="346" t="str">
        <f t="shared" si="195"/>
        <v>0-HORMCM</v>
      </c>
      <c r="AC375" s="346" t="str">
        <f t="shared" si="196"/>
        <v>0-HORMCT</v>
      </c>
      <c r="AD375" s="346" t="str">
        <f t="shared" si="197"/>
        <v>0-HORMCS</v>
      </c>
      <c r="AE375" s="346" t="str">
        <f t="shared" si="198"/>
        <v>0-HORMCX</v>
      </c>
      <c r="AF375" s="346" t="str">
        <f t="shared" si="199"/>
        <v>0-HORMCX</v>
      </c>
      <c r="AG375" s="346">
        <f t="shared" si="186"/>
        <v>8</v>
      </c>
      <c r="AH375" s="346">
        <f>IF(B375&lt;&gt;"",+IF(H375="x",+VLOOKUP(I375,'AUX-NIV2'!B:AG,32,FALSE),0),"")</f>
        <v>2</v>
      </c>
      <c r="AI375" s="346" t="str">
        <f t="shared" si="200"/>
        <v>0-HORMC</v>
      </c>
      <c r="AK375" s="347">
        <f t="shared" si="187"/>
        <v>357</v>
      </c>
      <c r="AL375" s="348">
        <f t="shared" si="201"/>
        <v>364</v>
      </c>
      <c r="AM375" s="347">
        <f t="shared" si="202"/>
        <v>4</v>
      </c>
      <c r="AN375" s="382">
        <f>IF(AND(AH375&gt;0,B375&lt;&gt;""),VLOOKUP(I375,'AUX-NIV2'!$B:$AP,40,FALSE)*O375,0)</f>
        <v>2.9387755102040822</v>
      </c>
      <c r="AO375" s="382">
        <f t="shared" si="188"/>
        <v>10.507173903380103</v>
      </c>
      <c r="AQ375" s="395">
        <f>(IF($H375="x",VLOOKUP($I375,'AUX-NIV2'!$B:$X,'AUX-NIV1'!AQ$3,FALSE),0)+($AV375*'AUX-NIV3'!S$4))*$O375+IF($H375=AQ$4,$P375,0)</f>
        <v>1460.3244373991265</v>
      </c>
      <c r="AR375" s="395">
        <f>(IF($H375="x",VLOOKUP($I375,'AUX-NIV2'!$B:$X,'AUX-NIV1'!AR$3,FALSE),0)+($AV375*'AUX-NIV3'!T$4))*$O375+IF($H375=AR$4,$P375,0)</f>
        <v>5679.4281795918378</v>
      </c>
      <c r="AS375" s="395">
        <f>(IF($H375="x",VLOOKUP($I375,'AUX-NIV2'!$B:$X,'AUX-NIV1'!AS$3,FALSE),0)+($AV375*'AUX-NIV3'!U$4))*$O375+IF($H375=AS$4,$P375,0)</f>
        <v>0</v>
      </c>
      <c r="AT375" s="395">
        <f>(IF($H375="x",VLOOKUP($I375,'AUX-NIV2'!$B:$X,'AUX-NIV1'!AT$3,FALSE),0)+($AV375*'AUX-NIV3'!V$4))*$O375+IF($H375=AT$4,$P375,0)</f>
        <v>0</v>
      </c>
      <c r="AU375" s="395">
        <f>(IF($H375="x",VLOOKUP($I375,'AUX-NIV2'!$B:$X,'AUX-NIV1'!AU$3,FALSE),0)+($AV375*'AUX-NIV3'!W$4))*$O375+IF($H375=AU$4,$P375,0)</f>
        <v>0</v>
      </c>
      <c r="AV375" s="395">
        <f>+IF($H375="x",VLOOKUP($I375,'AUX-NIV2'!$B:$X,'AUX-NIV1'!AV$3,FALSE),0)</f>
        <v>0</v>
      </c>
    </row>
    <row r="376" spans="2:48" ht="14.4" hidden="1" thickTop="1" thickBot="1">
      <c r="B376" s="324" t="s">
        <v>2972</v>
      </c>
      <c r="C376" s="325" t="s">
        <v>1358</v>
      </c>
      <c r="D376" s="326" t="s">
        <v>501</v>
      </c>
      <c r="E376" s="349">
        <f>IF(B376&lt;&gt;"",+SUMIF(Items!C:C,'AUX-NIV1'!B376,Items!H:H),"")</f>
        <v>0</v>
      </c>
      <c r="F376" s="349">
        <f t="shared" si="178"/>
        <v>289.90165072891978</v>
      </c>
      <c r="G376" s="349">
        <f t="shared" si="179"/>
        <v>0</v>
      </c>
      <c r="H376" s="1395" t="str">
        <f t="shared" si="189"/>
        <v>M</v>
      </c>
      <c r="I376" s="1375" t="s">
        <v>3487</v>
      </c>
      <c r="J376" s="350" t="str">
        <f>IF(B376&lt;&gt;"",+VLOOKUP(I376,Recursos!C:F,2,FALSE),"")</f>
        <v>PINTURA LATEX EXTERIOR</v>
      </c>
      <c r="K376" s="351" t="str">
        <f>IF(B376&lt;&gt;"",+VLOOKUP(I376,Recursos!C:F,3,FALSE),"")</f>
        <v>LTS</v>
      </c>
      <c r="L376" s="436">
        <f>IF(B376&lt;&gt;"",+VLOOKUP(I376,Recursos!C:F,4,FALSE),"")</f>
        <v>330.57851239669424</v>
      </c>
      <c r="M376" s="437">
        <v>12</v>
      </c>
      <c r="N376" s="458">
        <v>1.1000000000000001</v>
      </c>
      <c r="O376" s="547">
        <f>N376/M376*2</f>
        <v>0.18333333333333335</v>
      </c>
      <c r="P376" s="440">
        <f t="shared" si="190"/>
        <v>60.606060606060616</v>
      </c>
      <c r="Q376" s="349">
        <f t="shared" si="191"/>
        <v>0</v>
      </c>
      <c r="R376" s="353">
        <f t="shared" si="192"/>
        <v>0</v>
      </c>
      <c r="S376" s="354">
        <f t="shared" si="180"/>
        <v>227.79559012285915</v>
      </c>
      <c r="T376" s="354">
        <f t="shared" si="181"/>
        <v>0</v>
      </c>
      <c r="U376" s="355">
        <f t="shared" si="182"/>
        <v>62.106060606060616</v>
      </c>
      <c r="V376" s="355">
        <f t="shared" si="183"/>
        <v>0</v>
      </c>
      <c r="W376" s="355">
        <f t="shared" si="184"/>
        <v>0</v>
      </c>
      <c r="X376" s="355">
        <f t="shared" si="185"/>
        <v>0</v>
      </c>
      <c r="Y376" s="396"/>
      <c r="Z376" s="346" t="str">
        <f t="shared" si="193"/>
        <v>0-PINTA</v>
      </c>
      <c r="AA376" s="346" t="str">
        <f t="shared" si="194"/>
        <v>0-PINTE</v>
      </c>
      <c r="AB376" s="346" t="str">
        <f t="shared" si="195"/>
        <v>0-PINTM</v>
      </c>
      <c r="AC376" s="346" t="str">
        <f t="shared" si="196"/>
        <v>0-PINTT</v>
      </c>
      <c r="AD376" s="346" t="str">
        <f t="shared" si="197"/>
        <v>0-PINTS</v>
      </c>
      <c r="AE376" s="346" t="str">
        <f t="shared" si="198"/>
        <v>0-PINTX</v>
      </c>
      <c r="AF376" s="346" t="str">
        <f t="shared" si="199"/>
        <v>0-PINTM</v>
      </c>
      <c r="AG376" s="346">
        <f t="shared" si="186"/>
        <v>4</v>
      </c>
      <c r="AH376" s="346">
        <f>IF(B376&lt;&gt;"",+IF(H376="x",+VLOOKUP(I376,'AUX-NIV2'!B:AG,32,FALSE),0),"")</f>
        <v>0</v>
      </c>
      <c r="AI376" s="346" t="str">
        <f t="shared" si="200"/>
        <v>0-PINT</v>
      </c>
      <c r="AK376" s="347">
        <f t="shared" si="187"/>
        <v>376</v>
      </c>
      <c r="AL376" s="348">
        <f t="shared" si="201"/>
        <v>379</v>
      </c>
      <c r="AM376" s="347">
        <f t="shared" si="202"/>
        <v>1</v>
      </c>
      <c r="AN376" s="382">
        <f>IF(AND(AH376&gt;0,B376&lt;&gt;""),VLOOKUP(I376,'AUX-NIV2'!$B:$AP,40,FALSE)*O376,0)</f>
        <v>0</v>
      </c>
      <c r="AO376" s="382">
        <f t="shared" si="188"/>
        <v>0.52083333333333337</v>
      </c>
      <c r="AQ376" s="395">
        <f>(IF($H376="x",VLOOKUP($I376,'AUX-NIV2'!$B:$X,'AUX-NIV1'!AQ$3,FALSE),0)+($AV376*'AUX-NIV3'!S$4))*$O376+IF($H376=AQ$4,$P376,0)</f>
        <v>0</v>
      </c>
      <c r="AR376" s="395">
        <f>(IF($H376="x",VLOOKUP($I376,'AUX-NIV2'!$B:$X,'AUX-NIV1'!AR$3,FALSE),0)+($AV376*'AUX-NIV3'!T$4))*$O376+IF($H376=AR$4,$P376,0)</f>
        <v>0</v>
      </c>
      <c r="AS376" s="395">
        <f>(IF($H376="x",VLOOKUP($I376,'AUX-NIV2'!$B:$X,'AUX-NIV1'!AS$3,FALSE),0)+($AV376*'AUX-NIV3'!U$4))*$O376+IF($H376=AS$4,$P376,0)</f>
        <v>60.606060606060616</v>
      </c>
      <c r="AT376" s="395">
        <f>(IF($H376="x",VLOOKUP($I376,'AUX-NIV2'!$B:$X,'AUX-NIV1'!AT$3,FALSE),0)+($AV376*'AUX-NIV3'!V$4))*$O376+IF($H376=AT$4,$P376,0)</f>
        <v>0</v>
      </c>
      <c r="AU376" s="395">
        <f>(IF($H376="x",VLOOKUP($I376,'AUX-NIV2'!$B:$X,'AUX-NIV1'!AU$3,FALSE),0)+($AV376*'AUX-NIV3'!W$4))*$O376+IF($H376=AU$4,$P376,0)</f>
        <v>0</v>
      </c>
      <c r="AV376" s="395">
        <f>+IF($H376="x",VLOOKUP($I376,'AUX-NIV2'!$B:$X,'AUX-NIV1'!AV$3,FALSE),0)</f>
        <v>0</v>
      </c>
    </row>
    <row r="377" spans="2:48" ht="14.4" hidden="1" thickTop="1" thickBot="1">
      <c r="B377" s="324" t="s">
        <v>2972</v>
      </c>
      <c r="C377" s="325" t="s">
        <v>1358</v>
      </c>
      <c r="D377" s="326" t="s">
        <v>501</v>
      </c>
      <c r="E377" s="349">
        <f>IF(B377&lt;&gt;"",+SUMIF(Items!C:C,'AUX-NIV1'!B377,Items!H:H),"")</f>
        <v>0</v>
      </c>
      <c r="F377" s="349">
        <f t="shared" si="178"/>
        <v>289.90165072891978</v>
      </c>
      <c r="G377" s="349">
        <f t="shared" si="179"/>
        <v>0</v>
      </c>
      <c r="H377" s="1395" t="str">
        <f t="shared" si="189"/>
        <v>M</v>
      </c>
      <c r="I377" s="1375" t="s">
        <v>621</v>
      </c>
      <c r="J377" s="350" t="str">
        <f>IF(B377&lt;&gt;"",+VLOOKUP(I377,Recursos!C:F,2,FALSE),"")</f>
        <v>MATERIALES VARIOS</v>
      </c>
      <c r="K377" s="351" t="str">
        <f>IF(B377&lt;&gt;"",+VLOOKUP(I377,Recursos!C:F,3,FALSE),"")</f>
        <v>GL</v>
      </c>
      <c r="L377" s="436">
        <f>IF(B377&lt;&gt;"",+VLOOKUP(I377,Recursos!C:F,4,FALSE),"")</f>
        <v>0.5</v>
      </c>
      <c r="M377" s="441">
        <v>3</v>
      </c>
      <c r="N377" s="497"/>
      <c r="O377" s="547">
        <f>M377</f>
        <v>3</v>
      </c>
      <c r="P377" s="440">
        <f t="shared" si="190"/>
        <v>1.5</v>
      </c>
      <c r="Q377" s="349">
        <f t="shared" si="191"/>
        <v>0</v>
      </c>
      <c r="R377" s="353">
        <f t="shared" si="192"/>
        <v>0</v>
      </c>
      <c r="S377" s="354">
        <f t="shared" si="180"/>
        <v>227.79559012285915</v>
      </c>
      <c r="T377" s="354">
        <f t="shared" si="181"/>
        <v>0</v>
      </c>
      <c r="U377" s="355">
        <f t="shared" si="182"/>
        <v>62.106060606060616</v>
      </c>
      <c r="V377" s="355">
        <f t="shared" si="183"/>
        <v>0</v>
      </c>
      <c r="W377" s="355">
        <f t="shared" si="184"/>
        <v>0</v>
      </c>
      <c r="X377" s="355">
        <f t="shared" si="185"/>
        <v>0</v>
      </c>
      <c r="Y377" s="396"/>
      <c r="Z377" s="346" t="str">
        <f t="shared" si="193"/>
        <v>0-PINTA</v>
      </c>
      <c r="AA377" s="346" t="str">
        <f t="shared" si="194"/>
        <v>0-PINTE</v>
      </c>
      <c r="AB377" s="346" t="str">
        <f t="shared" si="195"/>
        <v>0-PINTM</v>
      </c>
      <c r="AC377" s="346" t="str">
        <f t="shared" si="196"/>
        <v>0-PINTT</v>
      </c>
      <c r="AD377" s="346" t="str">
        <f t="shared" si="197"/>
        <v>0-PINTS</v>
      </c>
      <c r="AE377" s="346" t="str">
        <f t="shared" si="198"/>
        <v>0-PINTX</v>
      </c>
      <c r="AF377" s="346" t="str">
        <f t="shared" si="199"/>
        <v>0-PINTM</v>
      </c>
      <c r="AG377" s="346">
        <f t="shared" si="186"/>
        <v>4</v>
      </c>
      <c r="AH377" s="346">
        <f>IF(B377&lt;&gt;"",+IF(H377="x",+VLOOKUP(I377,'AUX-NIV2'!B:AG,32,FALSE),0),"")</f>
        <v>0</v>
      </c>
      <c r="AI377" s="346" t="str">
        <f t="shared" si="200"/>
        <v>0-PINT</v>
      </c>
      <c r="AK377" s="347">
        <f t="shared" si="187"/>
        <v>376</v>
      </c>
      <c r="AL377" s="348">
        <f t="shared" si="201"/>
        <v>379</v>
      </c>
      <c r="AM377" s="347">
        <f t="shared" si="202"/>
        <v>2</v>
      </c>
      <c r="AN377" s="382">
        <f>IF(AND(AH377&gt;0,B377&lt;&gt;""),VLOOKUP(I377,'AUX-NIV2'!$B:$AP,40,FALSE)*O377,0)</f>
        <v>0</v>
      </c>
      <c r="AO377" s="382">
        <f t="shared" si="188"/>
        <v>0.52083333333333337</v>
      </c>
      <c r="AQ377" s="395">
        <f>(IF($H377="x",VLOOKUP($I377,'AUX-NIV2'!$B:$X,'AUX-NIV1'!AQ$3,FALSE),0)+($AV377*'AUX-NIV3'!S$4))*$O377+IF($H377=AQ$4,$P377,0)</f>
        <v>0</v>
      </c>
      <c r="AR377" s="395">
        <f>(IF($H377="x",VLOOKUP($I377,'AUX-NIV2'!$B:$X,'AUX-NIV1'!AR$3,FALSE),0)+($AV377*'AUX-NIV3'!T$4))*$O377+IF($H377=AR$4,$P377,0)</f>
        <v>0</v>
      </c>
      <c r="AS377" s="395">
        <f>(IF($H377="x",VLOOKUP($I377,'AUX-NIV2'!$B:$X,'AUX-NIV1'!AS$3,FALSE),0)+($AV377*'AUX-NIV3'!U$4))*$O377+IF($H377=AS$4,$P377,0)</f>
        <v>1.5</v>
      </c>
      <c r="AT377" s="395">
        <f>(IF($H377="x",VLOOKUP($I377,'AUX-NIV2'!$B:$X,'AUX-NIV1'!AT$3,FALSE),0)+($AV377*'AUX-NIV3'!V$4))*$O377+IF($H377=AT$4,$P377,0)</f>
        <v>0</v>
      </c>
      <c r="AU377" s="395">
        <f>(IF($H377="x",VLOOKUP($I377,'AUX-NIV2'!$B:$X,'AUX-NIV1'!AU$3,FALSE),0)+($AV377*'AUX-NIV3'!W$4))*$O377+IF($H377=AU$4,$P377,0)</f>
        <v>0</v>
      </c>
      <c r="AV377" s="395">
        <f>+IF($H377="x",VLOOKUP($I377,'AUX-NIV2'!$B:$X,'AUX-NIV1'!AV$3,FALSE),0)</f>
        <v>0</v>
      </c>
    </row>
    <row r="378" spans="2:48" ht="14.4" hidden="1" thickTop="1" thickBot="1">
      <c r="B378" s="324" t="s">
        <v>2972</v>
      </c>
      <c r="C378" s="325" t="s">
        <v>1358</v>
      </c>
      <c r="D378" s="326" t="s">
        <v>501</v>
      </c>
      <c r="E378" s="349">
        <f>IF(B378&lt;&gt;"",+SUMIF(Items!C:C,'AUX-NIV1'!B378,Items!H:H),"")</f>
        <v>0</v>
      </c>
      <c r="F378" s="349">
        <f t="shared" si="178"/>
        <v>289.90165072891978</v>
      </c>
      <c r="G378" s="349">
        <f t="shared" si="179"/>
        <v>0</v>
      </c>
      <c r="H378" s="1395" t="str">
        <f t="shared" si="189"/>
        <v>A</v>
      </c>
      <c r="I378" s="1375" t="s">
        <v>1745</v>
      </c>
      <c r="J378" s="350" t="str">
        <f>IF(B378&lt;&gt;"",+VLOOKUP(I378,Recursos!C:F,2,FALSE),"")</f>
        <v>AYUDANTE</v>
      </c>
      <c r="K378" s="351" t="str">
        <f>IF(B378&lt;&gt;"",+VLOOKUP(I378,Recursos!C:F,3,FALSE),"")</f>
        <v>hh</v>
      </c>
      <c r="L378" s="436">
        <f>IF(B378&lt;&gt;"",+VLOOKUP(I378,Recursos!C:F,4,FALSE),"")</f>
        <v>422.48042769667234</v>
      </c>
      <c r="M378" s="441">
        <v>2</v>
      </c>
      <c r="N378" s="497">
        <v>1.25</v>
      </c>
      <c r="O378" s="547">
        <f>N378*M378/M376*2</f>
        <v>0.41666666666666669</v>
      </c>
      <c r="P378" s="440">
        <f t="shared" si="190"/>
        <v>176.03351154028016</v>
      </c>
      <c r="Q378" s="349">
        <f t="shared" si="191"/>
        <v>0</v>
      </c>
      <c r="R378" s="353">
        <f t="shared" si="192"/>
        <v>0</v>
      </c>
      <c r="S378" s="354">
        <f t="shared" si="180"/>
        <v>227.79559012285915</v>
      </c>
      <c r="T378" s="354">
        <f t="shared" si="181"/>
        <v>0</v>
      </c>
      <c r="U378" s="355">
        <f t="shared" si="182"/>
        <v>62.106060606060616</v>
      </c>
      <c r="V378" s="355">
        <f t="shared" si="183"/>
        <v>0</v>
      </c>
      <c r="W378" s="355">
        <f t="shared" si="184"/>
        <v>0</v>
      </c>
      <c r="X378" s="355">
        <f t="shared" si="185"/>
        <v>0</v>
      </c>
      <c r="Y378" s="396"/>
      <c r="Z378" s="346" t="str">
        <f t="shared" si="193"/>
        <v>0-PINTA</v>
      </c>
      <c r="AA378" s="346" t="str">
        <f t="shared" si="194"/>
        <v>0-PINTE</v>
      </c>
      <c r="AB378" s="346" t="str">
        <f t="shared" si="195"/>
        <v>0-PINTM</v>
      </c>
      <c r="AC378" s="346" t="str">
        <f t="shared" si="196"/>
        <v>0-PINTT</v>
      </c>
      <c r="AD378" s="346" t="str">
        <f t="shared" si="197"/>
        <v>0-PINTS</v>
      </c>
      <c r="AE378" s="346" t="str">
        <f t="shared" si="198"/>
        <v>0-PINTX</v>
      </c>
      <c r="AF378" s="346" t="str">
        <f t="shared" si="199"/>
        <v>0-PINTA</v>
      </c>
      <c r="AG378" s="346">
        <f t="shared" si="186"/>
        <v>4</v>
      </c>
      <c r="AH378" s="346">
        <f>IF(B378&lt;&gt;"",+IF(H378="x",+VLOOKUP(I378,'AUX-NIV2'!B:AG,32,FALSE),0),"")</f>
        <v>0</v>
      </c>
      <c r="AI378" s="346" t="str">
        <f t="shared" si="200"/>
        <v>0-PINT</v>
      </c>
      <c r="AK378" s="347">
        <f t="shared" si="187"/>
        <v>376</v>
      </c>
      <c r="AL378" s="348">
        <f t="shared" si="201"/>
        <v>379</v>
      </c>
      <c r="AM378" s="347">
        <f t="shared" si="202"/>
        <v>3</v>
      </c>
      <c r="AN378" s="382">
        <f>IF(AND(AH378&gt;0,B378&lt;&gt;""),VLOOKUP(I378,'AUX-NIV2'!$B:$AP,40,FALSE)*O378,0)</f>
        <v>0</v>
      </c>
      <c r="AO378" s="382">
        <f t="shared" si="188"/>
        <v>0.52083333333333337</v>
      </c>
      <c r="AQ378" s="395">
        <f>(IF($H378="x",VLOOKUP($I378,'AUX-NIV2'!$B:$X,'AUX-NIV1'!AQ$3,FALSE),0)+($AV378*'AUX-NIV3'!S$4))*$O378+IF($H378=AQ$4,$P378,0)</f>
        <v>176.03351154028016</v>
      </c>
      <c r="AR378" s="395">
        <f>(IF($H378="x",VLOOKUP($I378,'AUX-NIV2'!$B:$X,'AUX-NIV1'!AR$3,FALSE),0)+($AV378*'AUX-NIV3'!T$4))*$O378+IF($H378=AR$4,$P378,0)</f>
        <v>0</v>
      </c>
      <c r="AS378" s="395">
        <f>(IF($H378="x",VLOOKUP($I378,'AUX-NIV2'!$B:$X,'AUX-NIV1'!AS$3,FALSE),0)+($AV378*'AUX-NIV3'!U$4))*$O378+IF($H378=AS$4,$P378,0)</f>
        <v>0</v>
      </c>
      <c r="AT378" s="395">
        <f>(IF($H378="x",VLOOKUP($I378,'AUX-NIV2'!$B:$X,'AUX-NIV1'!AT$3,FALSE),0)+($AV378*'AUX-NIV3'!V$4))*$O378+IF($H378=AT$4,$P378,0)</f>
        <v>0</v>
      </c>
      <c r="AU378" s="395">
        <f>(IF($H378="x",VLOOKUP($I378,'AUX-NIV2'!$B:$X,'AUX-NIV1'!AU$3,FALSE),0)+($AV378*'AUX-NIV3'!W$4))*$O378+IF($H378=AU$4,$P378,0)</f>
        <v>0</v>
      </c>
      <c r="AV378" s="395">
        <f>+IF($H378="x",VLOOKUP($I378,'AUX-NIV2'!$B:$X,'AUX-NIV1'!AV$3,FALSE),0)</f>
        <v>0</v>
      </c>
    </row>
    <row r="379" spans="2:48" ht="14.4" hidden="1" thickTop="1" thickBot="1">
      <c r="B379" s="324" t="s">
        <v>2972</v>
      </c>
      <c r="C379" s="325" t="s">
        <v>1358</v>
      </c>
      <c r="D379" s="326" t="s">
        <v>501</v>
      </c>
      <c r="E379" s="349">
        <f>IF(B379&lt;&gt;"",+SUMIF(Items!C:C,'AUX-NIV1'!B379,Items!H:H),"")</f>
        <v>0</v>
      </c>
      <c r="F379" s="349">
        <f t="shared" si="178"/>
        <v>289.90165072891978</v>
      </c>
      <c r="G379" s="349">
        <f t="shared" si="179"/>
        <v>0</v>
      </c>
      <c r="H379" s="1395" t="str">
        <f t="shared" si="189"/>
        <v>A</v>
      </c>
      <c r="I379" s="1375" t="s">
        <v>1746</v>
      </c>
      <c r="J379" s="350" t="str">
        <f>IF(B379&lt;&gt;"",+VLOOKUP(I379,Recursos!C:F,2,FALSE),"")</f>
        <v>OFICIAL</v>
      </c>
      <c r="K379" s="351" t="str">
        <f>IF(B379&lt;&gt;"",+VLOOKUP(I379,Recursos!C:F,3,FALSE),"")</f>
        <v>hh</v>
      </c>
      <c r="L379" s="436">
        <f>IF(B379&lt;&gt;"",+VLOOKUP(I379,Recursos!C:F,4,FALSE),"")</f>
        <v>496.91595439275824</v>
      </c>
      <c r="M379" s="535">
        <v>2</v>
      </c>
      <c r="N379" s="536"/>
      <c r="O379" s="547">
        <f>N378/M379/M376*2</f>
        <v>0.10416666666666667</v>
      </c>
      <c r="P379" s="440">
        <f t="shared" si="190"/>
        <v>51.762078582578987</v>
      </c>
      <c r="Q379" s="349">
        <f t="shared" si="191"/>
        <v>0</v>
      </c>
      <c r="R379" s="353">
        <f t="shared" si="192"/>
        <v>0</v>
      </c>
      <c r="S379" s="354">
        <f t="shared" si="180"/>
        <v>227.79559012285915</v>
      </c>
      <c r="T379" s="354">
        <f t="shared" si="181"/>
        <v>0</v>
      </c>
      <c r="U379" s="355">
        <f t="shared" si="182"/>
        <v>62.106060606060616</v>
      </c>
      <c r="V379" s="355">
        <f t="shared" si="183"/>
        <v>0</v>
      </c>
      <c r="W379" s="355">
        <f t="shared" si="184"/>
        <v>0</v>
      </c>
      <c r="X379" s="355">
        <f t="shared" si="185"/>
        <v>0</v>
      </c>
      <c r="Y379" s="396"/>
      <c r="Z379" s="346" t="str">
        <f t="shared" si="193"/>
        <v>0-PINTA</v>
      </c>
      <c r="AA379" s="346" t="str">
        <f t="shared" si="194"/>
        <v>0-PINTE</v>
      </c>
      <c r="AB379" s="346" t="str">
        <f t="shared" si="195"/>
        <v>0-PINTM</v>
      </c>
      <c r="AC379" s="346" t="str">
        <f t="shared" si="196"/>
        <v>0-PINTT</v>
      </c>
      <c r="AD379" s="346" t="str">
        <f t="shared" si="197"/>
        <v>0-PINTS</v>
      </c>
      <c r="AE379" s="346" t="str">
        <f t="shared" si="198"/>
        <v>0-PINTX</v>
      </c>
      <c r="AF379" s="346" t="str">
        <f t="shared" si="199"/>
        <v>0-PINTA</v>
      </c>
      <c r="AG379" s="346">
        <f t="shared" si="186"/>
        <v>4</v>
      </c>
      <c r="AH379" s="346">
        <f>IF(B379&lt;&gt;"",+IF(H379="x",+VLOOKUP(I379,'AUX-NIV2'!B:AG,32,FALSE),0),"")</f>
        <v>0</v>
      </c>
      <c r="AI379" s="346" t="str">
        <f t="shared" si="200"/>
        <v>0-PINT</v>
      </c>
      <c r="AK379" s="347">
        <f t="shared" si="187"/>
        <v>376</v>
      </c>
      <c r="AL379" s="348">
        <f t="shared" si="201"/>
        <v>379</v>
      </c>
      <c r="AM379" s="347">
        <f t="shared" si="202"/>
        <v>4</v>
      </c>
      <c r="AN379" s="382">
        <f>IF(AND(AH379&gt;0,B379&lt;&gt;""),VLOOKUP(I379,'AUX-NIV2'!$B:$AP,40,FALSE)*O379,0)</f>
        <v>0</v>
      </c>
      <c r="AO379" s="382">
        <f t="shared" si="188"/>
        <v>0.52083333333333337</v>
      </c>
      <c r="AQ379" s="395">
        <f>(IF($H379="x",VLOOKUP($I379,'AUX-NIV2'!$B:$X,'AUX-NIV1'!AQ$3,FALSE),0)+($AV379*'AUX-NIV3'!S$4))*$O379+IF($H379=AQ$4,$P379,0)</f>
        <v>51.762078582578987</v>
      </c>
      <c r="AR379" s="395">
        <f>(IF($H379="x",VLOOKUP($I379,'AUX-NIV2'!$B:$X,'AUX-NIV1'!AR$3,FALSE),0)+($AV379*'AUX-NIV3'!T$4))*$O379+IF($H379=AR$4,$P379,0)</f>
        <v>0</v>
      </c>
      <c r="AS379" s="395">
        <f>(IF($H379="x",VLOOKUP($I379,'AUX-NIV2'!$B:$X,'AUX-NIV1'!AS$3,FALSE),0)+($AV379*'AUX-NIV3'!U$4))*$O379+IF($H379=AS$4,$P379,0)</f>
        <v>0</v>
      </c>
      <c r="AT379" s="395">
        <f>(IF($H379="x",VLOOKUP($I379,'AUX-NIV2'!$B:$X,'AUX-NIV1'!AT$3,FALSE),0)+($AV379*'AUX-NIV3'!V$4))*$O379+IF($H379=AT$4,$P379,0)</f>
        <v>0</v>
      </c>
      <c r="AU379" s="395">
        <f>(IF($H379="x",VLOOKUP($I379,'AUX-NIV2'!$B:$X,'AUX-NIV1'!AU$3,FALSE),0)+($AV379*'AUX-NIV3'!W$4))*$O379+IF($H379=AU$4,$P379,0)</f>
        <v>0</v>
      </c>
      <c r="AV379" s="395">
        <f>+IF($H379="x",VLOOKUP($I379,'AUX-NIV2'!$B:$X,'AUX-NIV1'!AV$3,FALSE),0)</f>
        <v>0</v>
      </c>
    </row>
    <row r="380" spans="2:48" ht="14.4" hidden="1" thickTop="1" thickBot="1">
      <c r="B380" s="501" t="s">
        <v>3168</v>
      </c>
      <c r="C380" s="951" t="s">
        <v>3169</v>
      </c>
      <c r="D380" s="326" t="s">
        <v>477</v>
      </c>
      <c r="E380" s="349">
        <f>IF(B380&lt;&gt;"",+SUMIF(Items!C:C,'AUX-NIV1'!B380,Items!H:H),"")</f>
        <v>0</v>
      </c>
      <c r="F380" s="349">
        <f t="shared" si="178"/>
        <v>28100.064214331287</v>
      </c>
      <c r="G380" s="349">
        <f t="shared" si="179"/>
        <v>0</v>
      </c>
      <c r="H380" s="1395" t="str">
        <f t="shared" si="189"/>
        <v>X</v>
      </c>
      <c r="I380" s="764" t="s">
        <v>3170</v>
      </c>
      <c r="J380" s="350" t="str">
        <f>IF(B380&lt;&gt;"",+VLOOKUP(I380,Recursos!C:F,2,FALSE),"")</f>
        <v>Cuadrilla de Limpieza</v>
      </c>
      <c r="K380" s="351" t="str">
        <f>IF(B380&lt;&gt;"",+VLOOKUP(I380,Recursos!C:F,3,FALSE),"")</f>
        <v>hs</v>
      </c>
      <c r="L380" s="436">
        <f>IF(B380&lt;&gt;"",+VLOOKUP(I380,Recursos!C:F,4,FALSE),"")</f>
        <v>3512.5080267914109</v>
      </c>
      <c r="M380" s="543">
        <v>8</v>
      </c>
      <c r="N380" s="544"/>
      <c r="O380" s="769">
        <f>M380</f>
        <v>8</v>
      </c>
      <c r="P380" s="440">
        <f t="shared" si="190"/>
        <v>28100.064214331287</v>
      </c>
      <c r="Q380" s="349">
        <f t="shared" si="191"/>
        <v>0</v>
      </c>
      <c r="R380" s="353">
        <f t="shared" si="192"/>
        <v>0</v>
      </c>
      <c r="S380" s="354">
        <f t="shared" si="180"/>
        <v>0</v>
      </c>
      <c r="T380" s="354">
        <f t="shared" si="181"/>
        <v>0</v>
      </c>
      <c r="U380" s="355">
        <f t="shared" si="182"/>
        <v>0</v>
      </c>
      <c r="V380" s="355">
        <f t="shared" si="183"/>
        <v>0</v>
      </c>
      <c r="W380" s="355">
        <f t="shared" si="184"/>
        <v>0</v>
      </c>
      <c r="X380" s="355">
        <f t="shared" si="185"/>
        <v>28100.064214331287</v>
      </c>
      <c r="Y380" s="396"/>
      <c r="Z380" s="346" t="str">
        <f t="shared" si="193"/>
        <v>0-LIMFINA</v>
      </c>
      <c r="AA380" s="346" t="str">
        <f t="shared" si="194"/>
        <v>0-LIMFINE</v>
      </c>
      <c r="AB380" s="346" t="str">
        <f t="shared" si="195"/>
        <v>0-LIMFINM</v>
      </c>
      <c r="AC380" s="346" t="str">
        <f t="shared" si="196"/>
        <v>0-LIMFINT</v>
      </c>
      <c r="AD380" s="346" t="str">
        <f t="shared" si="197"/>
        <v>0-LIMFINS</v>
      </c>
      <c r="AE380" s="346" t="str">
        <f t="shared" si="198"/>
        <v>0-LIMFINX</v>
      </c>
      <c r="AF380" s="346" t="str">
        <f t="shared" si="199"/>
        <v>0-LIMFINX</v>
      </c>
      <c r="AG380" s="346">
        <f t="shared" si="186"/>
        <v>1</v>
      </c>
      <c r="AH380" s="346">
        <f>IF(B380&lt;&gt;"",+IF(H380="x",+VLOOKUP(I380,'AUX-NIV2'!B:AG,32,FALSE),0),"")</f>
        <v>5</v>
      </c>
      <c r="AI380" s="346" t="str">
        <f t="shared" si="200"/>
        <v>0-LIMFIN</v>
      </c>
      <c r="AK380" s="347">
        <f t="shared" si="187"/>
        <v>380</v>
      </c>
      <c r="AL380" s="348">
        <f t="shared" si="201"/>
        <v>380</v>
      </c>
      <c r="AM380" s="347">
        <f t="shared" si="202"/>
        <v>1</v>
      </c>
      <c r="AN380" s="382">
        <f>IF(AND(AH380&gt;0,B380&lt;&gt;""),VLOOKUP(I380,'AUX-NIV2'!$B:$AP,40,FALSE)*O380,0)</f>
        <v>44</v>
      </c>
      <c r="AO380" s="382">
        <f t="shared" si="188"/>
        <v>44</v>
      </c>
      <c r="AQ380" s="395">
        <f>(IF($H380="x",VLOOKUP($I380,'AUX-NIV2'!$B:$X,'AUX-NIV1'!AQ$3,FALSE),0)+($AV380*'AUX-NIV3'!S$4))*$O380+IF($H380=AQ$4,$P380,0)</f>
        <v>19482.365139006612</v>
      </c>
      <c r="AR380" s="395">
        <f>(IF($H380="x",VLOOKUP($I380,'AUX-NIV2'!$B:$X,'AUX-NIV1'!AR$3,FALSE),0)+($AV380*'AUX-NIV3'!T$4))*$O380+IF($H380=AR$4,$P380,0)</f>
        <v>8617.6990753246755</v>
      </c>
      <c r="AS380" s="395">
        <f>(IF($H380="x",VLOOKUP($I380,'AUX-NIV2'!$B:$X,'AUX-NIV1'!AS$3,FALSE),0)+($AV380*'AUX-NIV3'!U$4))*$O380+IF($H380=AS$4,$P380,0)</f>
        <v>0</v>
      </c>
      <c r="AT380" s="395">
        <f>(IF($H380="x",VLOOKUP($I380,'AUX-NIV2'!$B:$X,'AUX-NIV1'!AT$3,FALSE),0)+($AV380*'AUX-NIV3'!V$4))*$O380+IF($H380=AT$4,$P380,0)</f>
        <v>0</v>
      </c>
      <c r="AU380" s="395">
        <f>(IF($H380="x",VLOOKUP($I380,'AUX-NIV2'!$B:$X,'AUX-NIV1'!AU$3,FALSE),0)+($AV380*'AUX-NIV3'!W$4))*$O380+IF($H380=AU$4,$P380,0)</f>
        <v>0</v>
      </c>
      <c r="AV380" s="395">
        <f>+IF($H380="x",VLOOKUP($I380,'AUX-NIV2'!$B:$X,'AUX-NIV1'!AV$3,FALSE),0)</f>
        <v>0</v>
      </c>
    </row>
    <row r="381" spans="2:48" ht="14.4" hidden="1" thickTop="1" thickBot="1">
      <c r="B381" s="501" t="s">
        <v>3172</v>
      </c>
      <c r="C381" s="951" t="s">
        <v>3173</v>
      </c>
      <c r="D381" s="326" t="s">
        <v>477</v>
      </c>
      <c r="E381" s="349">
        <f>IF(B381&lt;&gt;"",+SUMIF(Items!C:C,'AUX-NIV1'!B381,Items!H:H),"")</f>
        <v>0</v>
      </c>
      <c r="F381" s="349">
        <f t="shared" si="178"/>
        <v>308.74030204218911</v>
      </c>
      <c r="G381" s="349">
        <f t="shared" si="179"/>
        <v>0</v>
      </c>
      <c r="H381" s="1395" t="str">
        <f t="shared" si="189"/>
        <v>X</v>
      </c>
      <c r="I381" s="764" t="s">
        <v>3170</v>
      </c>
      <c r="J381" s="350" t="str">
        <f>IF(B381&lt;&gt;"",+VLOOKUP(I381,Recursos!C:F,2,FALSE),"")</f>
        <v>Cuadrilla de Limpieza</v>
      </c>
      <c r="K381" s="351" t="str">
        <f>IF(B381&lt;&gt;"",+VLOOKUP(I381,Recursos!C:F,3,FALSE),"")</f>
        <v>hs</v>
      </c>
      <c r="L381" s="436">
        <f>IF(B381&lt;&gt;"",+VLOOKUP(I381,Recursos!C:F,4,FALSE),"")</f>
        <v>3512.5080267914109</v>
      </c>
      <c r="M381" s="757">
        <v>15</v>
      </c>
      <c r="N381" s="758"/>
      <c r="O381" s="769">
        <f>1/M381</f>
        <v>6.6666666666666666E-2</v>
      </c>
      <c r="P381" s="440">
        <f t="shared" si="190"/>
        <v>234.16720178609407</v>
      </c>
      <c r="Q381" s="349">
        <f t="shared" si="191"/>
        <v>0</v>
      </c>
      <c r="R381" s="353">
        <f t="shared" si="192"/>
        <v>0</v>
      </c>
      <c r="S381" s="354">
        <f t="shared" si="180"/>
        <v>0</v>
      </c>
      <c r="T381" s="354">
        <f t="shared" si="181"/>
        <v>0</v>
      </c>
      <c r="U381" s="355">
        <f t="shared" si="182"/>
        <v>0</v>
      </c>
      <c r="V381" s="355">
        <f t="shared" si="183"/>
        <v>0</v>
      </c>
      <c r="W381" s="355">
        <f t="shared" si="184"/>
        <v>0</v>
      </c>
      <c r="X381" s="355">
        <f t="shared" si="185"/>
        <v>308.74030204218911</v>
      </c>
      <c r="Y381" s="396"/>
      <c r="Z381" s="346" t="str">
        <f t="shared" si="193"/>
        <v>0-LIMINIA</v>
      </c>
      <c r="AA381" s="346" t="str">
        <f t="shared" si="194"/>
        <v>0-LIMINIE</v>
      </c>
      <c r="AB381" s="346" t="str">
        <f t="shared" si="195"/>
        <v>0-LIMINIM</v>
      </c>
      <c r="AC381" s="346" t="str">
        <f t="shared" si="196"/>
        <v>0-LIMINIT</v>
      </c>
      <c r="AD381" s="346" t="str">
        <f t="shared" si="197"/>
        <v>0-LIMINIS</v>
      </c>
      <c r="AE381" s="346" t="str">
        <f t="shared" si="198"/>
        <v>0-LIMINIX</v>
      </c>
      <c r="AF381" s="346" t="str">
        <f t="shared" si="199"/>
        <v>0-LIMINIX</v>
      </c>
      <c r="AG381" s="346">
        <f t="shared" si="186"/>
        <v>3</v>
      </c>
      <c r="AH381" s="346">
        <f>IF(B381&lt;&gt;"",+IF(H381="x",+VLOOKUP(I381,'AUX-NIV2'!B:AG,32,FALSE),0),"")</f>
        <v>5</v>
      </c>
      <c r="AI381" s="346" t="str">
        <f t="shared" si="200"/>
        <v>0-LIMINI</v>
      </c>
      <c r="AK381" s="347">
        <f t="shared" si="187"/>
        <v>381</v>
      </c>
      <c r="AL381" s="348">
        <f t="shared" si="201"/>
        <v>383</v>
      </c>
      <c r="AM381" s="347">
        <f t="shared" si="202"/>
        <v>1</v>
      </c>
      <c r="AN381" s="382">
        <f>IF(AND(AH381&gt;0,B381&lt;&gt;""),VLOOKUP(I381,'AUX-NIV2'!$B:$AP,40,FALSE)*O381,0)</f>
        <v>0.36666666666666664</v>
      </c>
      <c r="AO381" s="382">
        <f t="shared" si="188"/>
        <v>0.46504124147622927</v>
      </c>
      <c r="AQ381" s="395">
        <f>(IF($H381="x",VLOOKUP($I381,'AUX-NIV2'!$B:$X,'AUX-NIV1'!AQ$3,FALSE),0)+($AV381*'AUX-NIV3'!S$4))*$O381+IF($H381=AQ$4,$P381,0)</f>
        <v>162.3530428250551</v>
      </c>
      <c r="AR381" s="395">
        <f>(IF($H381="x",VLOOKUP($I381,'AUX-NIV2'!$B:$X,'AUX-NIV1'!AR$3,FALSE),0)+($AV381*'AUX-NIV3'!T$4))*$O381+IF($H381=AR$4,$P381,0)</f>
        <v>71.814158961038956</v>
      </c>
      <c r="AS381" s="395">
        <f>(IF($H381="x",VLOOKUP($I381,'AUX-NIV2'!$B:$X,'AUX-NIV1'!AS$3,FALSE),0)+($AV381*'AUX-NIV3'!U$4))*$O381+IF($H381=AS$4,$P381,0)</f>
        <v>0</v>
      </c>
      <c r="AT381" s="395">
        <f>(IF($H381="x",VLOOKUP($I381,'AUX-NIV2'!$B:$X,'AUX-NIV1'!AT$3,FALSE),0)+($AV381*'AUX-NIV3'!V$4))*$O381+IF($H381=AT$4,$P381,0)</f>
        <v>0</v>
      </c>
      <c r="AU381" s="395">
        <f>(IF($H381="x",VLOOKUP($I381,'AUX-NIV2'!$B:$X,'AUX-NIV1'!AU$3,FALSE),0)+($AV381*'AUX-NIV3'!W$4))*$O381+IF($H381=AU$4,$P381,0)</f>
        <v>0</v>
      </c>
      <c r="AV381" s="395">
        <f>+IF($H381="x",VLOOKUP($I381,'AUX-NIV2'!$B:$X,'AUX-NIV1'!AV$3,FALSE),0)</f>
        <v>0</v>
      </c>
    </row>
    <row r="382" spans="2:48" ht="14.4" hidden="1" thickTop="1" thickBot="1">
      <c r="B382" s="501" t="s">
        <v>3172</v>
      </c>
      <c r="C382" s="951" t="s">
        <v>3173</v>
      </c>
      <c r="D382" s="326" t="s">
        <v>477</v>
      </c>
      <c r="E382" s="349">
        <f>IF(B382&lt;&gt;"",+SUMIF(Items!C:C,'AUX-NIV1'!B382,Items!H:H),"")</f>
        <v>0</v>
      </c>
      <c r="F382" s="349">
        <f t="shared" si="178"/>
        <v>308.74030204218911</v>
      </c>
      <c r="G382" s="349">
        <f t="shared" si="179"/>
        <v>0</v>
      </c>
      <c r="H382" s="1395" t="str">
        <f t="shared" si="189"/>
        <v>X</v>
      </c>
      <c r="I382" s="764" t="s">
        <v>2893</v>
      </c>
      <c r="J382" s="350" t="str">
        <f>IF(B382&lt;&gt;"",+VLOOKUP(I382,Recursos!C:F,2,FALSE),"")</f>
        <v>Demolición de hgón</v>
      </c>
      <c r="K382" s="351" t="str">
        <f>IF(B382&lt;&gt;"",+VLOOKUP(I382,Recursos!C:F,3,FALSE),"")</f>
        <v>m3</v>
      </c>
      <c r="L382" s="436">
        <f>IF(B382&lt;&gt;"",+VLOOKUP(I382,Recursos!C:F,4,FALSE),"")</f>
        <v>4831.7757986200932</v>
      </c>
      <c r="M382" s="759">
        <v>200</v>
      </c>
      <c r="N382" s="760">
        <v>20873</v>
      </c>
      <c r="O382" s="769">
        <f>M382/N382</f>
        <v>9.581756335936378E-3</v>
      </c>
      <c r="P382" s="440">
        <f t="shared" si="190"/>
        <v>46.29689837225213</v>
      </c>
      <c r="Q382" s="349">
        <f t="shared" si="191"/>
        <v>0</v>
      </c>
      <c r="R382" s="353">
        <f t="shared" si="192"/>
        <v>0</v>
      </c>
      <c r="S382" s="354">
        <f t="shared" si="180"/>
        <v>0</v>
      </c>
      <c r="T382" s="354">
        <f t="shared" si="181"/>
        <v>0</v>
      </c>
      <c r="U382" s="355">
        <f t="shared" si="182"/>
        <v>0</v>
      </c>
      <c r="V382" s="355">
        <f t="shared" si="183"/>
        <v>0</v>
      </c>
      <c r="W382" s="355">
        <f t="shared" si="184"/>
        <v>0</v>
      </c>
      <c r="X382" s="355">
        <f t="shared" si="185"/>
        <v>308.74030204218911</v>
      </c>
      <c r="Y382" s="396"/>
      <c r="Z382" s="346" t="str">
        <f t="shared" si="193"/>
        <v>0-LIMINIA</v>
      </c>
      <c r="AA382" s="346" t="str">
        <f t="shared" si="194"/>
        <v>0-LIMINIE</v>
      </c>
      <c r="AB382" s="346" t="str">
        <f t="shared" si="195"/>
        <v>0-LIMINIM</v>
      </c>
      <c r="AC382" s="346" t="str">
        <f t="shared" si="196"/>
        <v>0-LIMINIT</v>
      </c>
      <c r="AD382" s="346" t="str">
        <f t="shared" si="197"/>
        <v>0-LIMINIS</v>
      </c>
      <c r="AE382" s="346" t="str">
        <f t="shared" si="198"/>
        <v>0-LIMINIX</v>
      </c>
      <c r="AF382" s="346" t="str">
        <f t="shared" si="199"/>
        <v>0-LIMINIX</v>
      </c>
      <c r="AG382" s="346">
        <f t="shared" si="186"/>
        <v>3</v>
      </c>
      <c r="AH382" s="346">
        <f>IF(B382&lt;&gt;"",+IF(H382="x",+VLOOKUP(I382,'AUX-NIV2'!B:AG,32,FALSE),0),"")</f>
        <v>12</v>
      </c>
      <c r="AI382" s="346" t="str">
        <f t="shared" si="200"/>
        <v>0-LIMINI</v>
      </c>
      <c r="AK382" s="347">
        <f t="shared" si="187"/>
        <v>381</v>
      </c>
      <c r="AL382" s="348">
        <f t="shared" si="201"/>
        <v>383</v>
      </c>
      <c r="AM382" s="347">
        <f t="shared" si="202"/>
        <v>2</v>
      </c>
      <c r="AN382" s="382">
        <f>IF(AND(AH382&gt;0,B382&lt;&gt;""),VLOOKUP(I382,'AUX-NIV2'!$B:$AP,40,FALSE)*O382,0)</f>
        <v>6.5874574809562603E-2</v>
      </c>
      <c r="AO382" s="382">
        <f t="shared" si="188"/>
        <v>0.46504124147622927</v>
      </c>
      <c r="AQ382" s="395">
        <f>(IF($H382="x",VLOOKUP($I382,'AUX-NIV2'!$B:$X,'AUX-NIV1'!AQ$3,FALSE),0)+($AV382*'AUX-NIV3'!S$4))*$O382+IF($H382=AQ$4,$P382,0)</f>
        <v>32.757386263307559</v>
      </c>
      <c r="AR382" s="395">
        <f>(IF($H382="x",VLOOKUP($I382,'AUX-NIV2'!$B:$X,'AUX-NIV1'!AR$3,FALSE),0)+($AV382*'AUX-NIV3'!T$4))*$O382+IF($H382=AR$4,$P382,0)</f>
        <v>8.7486339409763811</v>
      </c>
      <c r="AS382" s="395">
        <f>(IF($H382="x",VLOOKUP($I382,'AUX-NIV2'!$B:$X,'AUX-NIV1'!AS$3,FALSE),0)+($AV382*'AUX-NIV3'!U$4))*$O382+IF($H382=AS$4,$P382,0)</f>
        <v>4.7908781679681889</v>
      </c>
      <c r="AT382" s="395">
        <f>(IF($H382="x",VLOOKUP($I382,'AUX-NIV2'!$B:$X,'AUX-NIV1'!AT$3,FALSE),0)+($AV382*'AUX-NIV3'!V$4))*$O382+IF($H382=AT$4,$P382,0)</f>
        <v>0</v>
      </c>
      <c r="AU382" s="395">
        <f>(IF($H382="x",VLOOKUP($I382,'AUX-NIV2'!$B:$X,'AUX-NIV1'!AU$3,FALSE),0)+($AV382*'AUX-NIV3'!W$4))*$O382+IF($H382=AU$4,$P382,0)</f>
        <v>0</v>
      </c>
      <c r="AV382" s="395">
        <f>+IF($H382="x",VLOOKUP($I382,'AUX-NIV2'!$B:$X,'AUX-NIV1'!AV$3,FALSE),0)</f>
        <v>0</v>
      </c>
    </row>
    <row r="383" spans="2:48" ht="14.4" hidden="1" thickTop="1" thickBot="1">
      <c r="B383" s="501" t="s">
        <v>3172</v>
      </c>
      <c r="C383" s="951" t="s">
        <v>3173</v>
      </c>
      <c r="D383" s="326" t="s">
        <v>477</v>
      </c>
      <c r="E383" s="349">
        <f>IF(B383&lt;&gt;"",+SUMIF(Items!C:C,'AUX-NIV1'!B383,Items!H:H),"")</f>
        <v>0</v>
      </c>
      <c r="F383" s="349">
        <f t="shared" si="178"/>
        <v>308.74030204218911</v>
      </c>
      <c r="G383" s="349">
        <f t="shared" si="179"/>
        <v>0</v>
      </c>
      <c r="H383" s="1395" t="str">
        <f t="shared" si="189"/>
        <v>X</v>
      </c>
      <c r="I383" s="764" t="s">
        <v>3174</v>
      </c>
      <c r="J383" s="350" t="str">
        <f>IF(B383&lt;&gt;"",+VLOOKUP(I383,Recursos!C:F,2,FALSE),"")</f>
        <v>Cuadrilla de Podadores</v>
      </c>
      <c r="K383" s="351" t="str">
        <f>IF(B383&lt;&gt;"",+VLOOKUP(I383,Recursos!C:F,3,FALSE),"")</f>
        <v>hs</v>
      </c>
      <c r="L383" s="436">
        <f>IF(B383&lt;&gt;"",+VLOOKUP(I383,Recursos!C:F,4,FALSE),"")</f>
        <v>2827.6201883842928</v>
      </c>
      <c r="M383" s="761">
        <v>100</v>
      </c>
      <c r="N383" s="762"/>
      <c r="O383" s="769">
        <f>1/M383</f>
        <v>0.01</v>
      </c>
      <c r="P383" s="440">
        <f t="shared" si="190"/>
        <v>28.27620188384293</v>
      </c>
      <c r="Q383" s="349">
        <f t="shared" si="191"/>
        <v>0</v>
      </c>
      <c r="R383" s="353">
        <f t="shared" si="192"/>
        <v>0</v>
      </c>
      <c r="S383" s="354">
        <f t="shared" si="180"/>
        <v>0</v>
      </c>
      <c r="T383" s="354">
        <f t="shared" si="181"/>
        <v>0</v>
      </c>
      <c r="U383" s="355">
        <f t="shared" si="182"/>
        <v>0</v>
      </c>
      <c r="V383" s="355">
        <f t="shared" si="183"/>
        <v>0</v>
      </c>
      <c r="W383" s="355">
        <f t="shared" si="184"/>
        <v>0</v>
      </c>
      <c r="X383" s="355">
        <f t="shared" si="185"/>
        <v>308.74030204218911</v>
      </c>
      <c r="Y383" s="396"/>
      <c r="Z383" s="346" t="str">
        <f t="shared" si="193"/>
        <v>0-LIMINIA</v>
      </c>
      <c r="AA383" s="346" t="str">
        <f t="shared" si="194"/>
        <v>0-LIMINIE</v>
      </c>
      <c r="AB383" s="346" t="str">
        <f t="shared" si="195"/>
        <v>0-LIMINIM</v>
      </c>
      <c r="AC383" s="346" t="str">
        <f t="shared" si="196"/>
        <v>0-LIMINIT</v>
      </c>
      <c r="AD383" s="346" t="str">
        <f t="shared" si="197"/>
        <v>0-LIMINIS</v>
      </c>
      <c r="AE383" s="346" t="str">
        <f t="shared" si="198"/>
        <v>0-LIMINIX</v>
      </c>
      <c r="AF383" s="346" t="str">
        <f t="shared" si="199"/>
        <v>0-LIMINIX</v>
      </c>
      <c r="AG383" s="346">
        <f t="shared" si="186"/>
        <v>3</v>
      </c>
      <c r="AH383" s="346">
        <f>IF(B383&lt;&gt;"",+IF(H383="x",+VLOOKUP(I383,'AUX-NIV2'!B:AG,32,FALSE),0),"")</f>
        <v>5</v>
      </c>
      <c r="AI383" s="346" t="str">
        <f t="shared" si="200"/>
        <v>0-LIMINI</v>
      </c>
      <c r="AK383" s="347">
        <f t="shared" si="187"/>
        <v>381</v>
      </c>
      <c r="AL383" s="348">
        <f t="shared" si="201"/>
        <v>383</v>
      </c>
      <c r="AM383" s="347">
        <f t="shared" si="202"/>
        <v>3</v>
      </c>
      <c r="AN383" s="382">
        <f>IF(AND(AH383&gt;0,B383&lt;&gt;""),VLOOKUP(I383,'AUX-NIV2'!$B:$AP,40,FALSE)*O383,0)</f>
        <v>3.2500000000000001E-2</v>
      </c>
      <c r="AO383" s="382">
        <f t="shared" si="188"/>
        <v>0.46504124147622927</v>
      </c>
      <c r="AQ383" s="395">
        <f>(IF($H383="x",VLOOKUP($I383,'AUX-NIV2'!$B:$X,'AUX-NIV1'!AQ$3,FALSE),0)+($AV383*'AUX-NIV3'!S$4))*$O383+IF($H383=AQ$4,$P383,0)</f>
        <v>14.661057983842925</v>
      </c>
      <c r="AR383" s="395">
        <f>(IF($H383="x",VLOOKUP($I383,'AUX-NIV2'!$B:$X,'AUX-NIV1'!AR$3,FALSE),0)+($AV383*'AUX-NIV3'!T$4))*$O383+IF($H383=AR$4,$P383,0)</f>
        <v>13.615143900000001</v>
      </c>
      <c r="AS383" s="395">
        <f>(IF($H383="x",VLOOKUP($I383,'AUX-NIV2'!$B:$X,'AUX-NIV1'!AS$3,FALSE),0)+($AV383*'AUX-NIV3'!U$4))*$O383+IF($H383=AS$4,$P383,0)</f>
        <v>0</v>
      </c>
      <c r="AT383" s="395">
        <f>(IF($H383="x",VLOOKUP($I383,'AUX-NIV2'!$B:$X,'AUX-NIV1'!AT$3,FALSE),0)+($AV383*'AUX-NIV3'!V$4))*$O383+IF($H383=AT$4,$P383,0)</f>
        <v>0</v>
      </c>
      <c r="AU383" s="395">
        <f>(IF($H383="x",VLOOKUP($I383,'AUX-NIV2'!$B:$X,'AUX-NIV1'!AU$3,FALSE),0)+($AV383*'AUX-NIV3'!W$4))*$O383+IF($H383=AU$4,$P383,0)</f>
        <v>0</v>
      </c>
      <c r="AV383" s="395">
        <f>+IF($H383="x",VLOOKUP($I383,'AUX-NIV2'!$B:$X,'AUX-NIV1'!AV$3,FALSE),0)</f>
        <v>0</v>
      </c>
    </row>
    <row r="384" spans="2:48" ht="13.8" thickTop="1">
      <c r="B384" s="501" t="s">
        <v>3231</v>
      </c>
      <c r="C384" s="951" t="s">
        <v>3232</v>
      </c>
      <c r="D384" s="326" t="s">
        <v>1160</v>
      </c>
      <c r="E384" s="349">
        <f>IF(B384&lt;&gt;"",+SUMIF(Items!C:C,'AUX-NIV1'!B384,Items!H:H),"")</f>
        <v>3.62</v>
      </c>
      <c r="F384" s="349">
        <f t="shared" si="178"/>
        <v>1042.422835650058</v>
      </c>
      <c r="G384" s="349">
        <f t="shared" si="179"/>
        <v>3773.5706650532102</v>
      </c>
      <c r="H384" s="1395" t="str">
        <f t="shared" si="189"/>
        <v>X</v>
      </c>
      <c r="I384" s="1375" t="s">
        <v>212</v>
      </c>
      <c r="J384" s="350" t="str">
        <f>IF(B384&lt;&gt;"",+VLOOKUP(I384,Recursos!C:F,2,FALSE),"")</f>
        <v>Excavación y carga de material con PC200</v>
      </c>
      <c r="K384" s="351" t="str">
        <f>IF(B384&lt;&gt;"",+VLOOKUP(I384,Recursos!C:F,3,FALSE),"")</f>
        <v>m3</v>
      </c>
      <c r="L384" s="436">
        <f>IF(B384&lt;&gt;"",+VLOOKUP(I384,Recursos!C:F,4,FALSE),"")</f>
        <v>159.89788162325189</v>
      </c>
      <c r="M384" s="712">
        <v>0</v>
      </c>
      <c r="N384" s="458">
        <v>1</v>
      </c>
      <c r="O384" s="439">
        <f>+M384*N384</f>
        <v>0</v>
      </c>
      <c r="P384" s="440">
        <f t="shared" si="190"/>
        <v>0</v>
      </c>
      <c r="Q384" s="349">
        <f t="shared" si="191"/>
        <v>0</v>
      </c>
      <c r="R384" s="353">
        <f t="shared" si="192"/>
        <v>0</v>
      </c>
      <c r="S384" s="354">
        <f t="shared" si="180"/>
        <v>0</v>
      </c>
      <c r="T384" s="354">
        <f t="shared" si="181"/>
        <v>0</v>
      </c>
      <c r="U384" s="355">
        <f t="shared" si="182"/>
        <v>0</v>
      </c>
      <c r="V384" s="355">
        <f t="shared" si="183"/>
        <v>0</v>
      </c>
      <c r="W384" s="355">
        <f t="shared" si="184"/>
        <v>0</v>
      </c>
      <c r="X384" s="355">
        <f t="shared" si="185"/>
        <v>1042.422835650058</v>
      </c>
      <c r="Y384" s="396"/>
      <c r="Z384" s="346" t="str">
        <f t="shared" si="193"/>
        <v>0-EXCZA</v>
      </c>
      <c r="AA384" s="346" t="str">
        <f t="shared" si="194"/>
        <v>0-EXCZE</v>
      </c>
      <c r="AB384" s="346" t="str">
        <f t="shared" si="195"/>
        <v>0-EXCZM</v>
      </c>
      <c r="AC384" s="346" t="str">
        <f t="shared" si="196"/>
        <v>0-EXCZT</v>
      </c>
      <c r="AD384" s="346" t="str">
        <f t="shared" si="197"/>
        <v>0-EXCZS</v>
      </c>
      <c r="AE384" s="346" t="str">
        <f t="shared" si="198"/>
        <v>0-EXCZX</v>
      </c>
      <c r="AF384" s="346" t="str">
        <f t="shared" si="199"/>
        <v>0-EXCZX</v>
      </c>
      <c r="AG384" s="346">
        <f t="shared" si="186"/>
        <v>4</v>
      </c>
      <c r="AH384" s="346">
        <f>IF(B384&lt;&gt;"",+IF(H384="x",+VLOOKUP(I384,'AUX-NIV2'!B:AG,32,FALSE),0),"")</f>
        <v>3</v>
      </c>
      <c r="AI384" s="346" t="str">
        <f t="shared" si="200"/>
        <v>0-EXCZ</v>
      </c>
      <c r="AK384" s="347">
        <f t="shared" si="187"/>
        <v>384</v>
      </c>
      <c r="AL384" s="348">
        <f t="shared" si="201"/>
        <v>387</v>
      </c>
      <c r="AM384" s="347">
        <f t="shared" si="202"/>
        <v>1</v>
      </c>
      <c r="AN384" s="382">
        <f>IF(AND(AH384&gt;0,B384&lt;&gt;""),VLOOKUP(I384,'AUX-NIV2'!$B:$AP,40,FALSE)*O384,0)</f>
        <v>0</v>
      </c>
      <c r="AO384" s="382">
        <f t="shared" si="188"/>
        <v>2.0215334467120183</v>
      </c>
      <c r="AQ384" s="395">
        <f>(IF($H384="x",VLOOKUP($I384,'AUX-NIV2'!$B:$X,'AUX-NIV1'!AQ$3,FALSE),0)+($AV384*'AUX-NIV3'!S$4))*$O384+IF($H384=AQ$4,$P384,0)</f>
        <v>0</v>
      </c>
      <c r="AR384" s="395">
        <f>(IF($H384="x",VLOOKUP($I384,'AUX-NIV2'!$B:$X,'AUX-NIV1'!AR$3,FALSE),0)+($AV384*'AUX-NIV3'!T$4))*$O384+IF($H384=AR$4,$P384,0)</f>
        <v>0</v>
      </c>
      <c r="AS384" s="395">
        <f>(IF($H384="x",VLOOKUP($I384,'AUX-NIV2'!$B:$X,'AUX-NIV1'!AS$3,FALSE),0)+($AV384*'AUX-NIV3'!U$4))*$O384+IF($H384=AS$4,$P384,0)</f>
        <v>0</v>
      </c>
      <c r="AT384" s="395">
        <f>(IF($H384="x",VLOOKUP($I384,'AUX-NIV2'!$B:$X,'AUX-NIV1'!AT$3,FALSE),0)+($AV384*'AUX-NIV3'!V$4))*$O384+IF($H384=AT$4,$P384,0)</f>
        <v>0</v>
      </c>
      <c r="AU384" s="395">
        <f>(IF($H384="x",VLOOKUP($I384,'AUX-NIV2'!$B:$X,'AUX-NIV1'!AU$3,FALSE),0)+($AV384*'AUX-NIV3'!W$4))*$O384+IF($H384=AU$4,$P384,0)</f>
        <v>0</v>
      </c>
      <c r="AV384" s="395">
        <f>+IF($H384="x",VLOOKUP($I384,'AUX-NIV2'!$B:$X,'AUX-NIV1'!AV$3,FALSE),0)</f>
        <v>0</v>
      </c>
    </row>
    <row r="385" spans="2:48">
      <c r="B385" s="501" t="s">
        <v>3231</v>
      </c>
      <c r="C385" s="951" t="s">
        <v>3232</v>
      </c>
      <c r="D385" s="326" t="s">
        <v>1160</v>
      </c>
      <c r="E385" s="349">
        <f>IF(B385&lt;&gt;"",+SUMIF(Items!C:C,'AUX-NIV1'!B385,Items!H:H),"")</f>
        <v>3.62</v>
      </c>
      <c r="F385" s="349">
        <f t="shared" si="178"/>
        <v>1042.422835650058</v>
      </c>
      <c r="G385" s="349">
        <f t="shared" si="179"/>
        <v>3773.5706650532102</v>
      </c>
      <c r="H385" s="1395" t="str">
        <f t="shared" si="189"/>
        <v>X</v>
      </c>
      <c r="I385" s="1375" t="s">
        <v>2879</v>
      </c>
      <c r="J385" s="350" t="str">
        <f>IF(B385&lt;&gt;"",+VLOOKUP(I385,Recursos!C:F,2,FALSE),"")</f>
        <v>Excavación manual de fundaciones</v>
      </c>
      <c r="K385" s="351" t="str">
        <f>IF(B385&lt;&gt;"",+VLOOKUP(I385,Recursos!C:F,3,FALSE),"")</f>
        <v>m3</v>
      </c>
      <c r="L385" s="436">
        <f>IF(B385&lt;&gt;"",+VLOOKUP(I385,Recursos!C:F,4,FALSE),"")</f>
        <v>974.30124392919117</v>
      </c>
      <c r="M385" s="713">
        <f>1-M384</f>
        <v>1</v>
      </c>
      <c r="N385" s="497"/>
      <c r="O385" s="439">
        <f>+M385*N384</f>
        <v>1</v>
      </c>
      <c r="P385" s="440">
        <f t="shared" si="190"/>
        <v>974.30124392919117</v>
      </c>
      <c r="Q385" s="349">
        <f t="shared" si="191"/>
        <v>3.62</v>
      </c>
      <c r="R385" s="353">
        <f t="shared" si="192"/>
        <v>3526.9705030236723</v>
      </c>
      <c r="S385" s="354">
        <f t="shared" si="180"/>
        <v>0</v>
      </c>
      <c r="T385" s="354">
        <f t="shared" si="181"/>
        <v>0</v>
      </c>
      <c r="U385" s="355">
        <f t="shared" si="182"/>
        <v>0</v>
      </c>
      <c r="V385" s="355">
        <f t="shared" si="183"/>
        <v>0</v>
      </c>
      <c r="W385" s="355">
        <f t="shared" si="184"/>
        <v>0</v>
      </c>
      <c r="X385" s="355">
        <f t="shared" si="185"/>
        <v>1042.422835650058</v>
      </c>
      <c r="Y385" s="396"/>
      <c r="Z385" s="346" t="str">
        <f t="shared" si="193"/>
        <v>0-EXCZA</v>
      </c>
      <c r="AA385" s="346" t="str">
        <f t="shared" si="194"/>
        <v>0-EXCZE</v>
      </c>
      <c r="AB385" s="346" t="str">
        <f t="shared" si="195"/>
        <v>0-EXCZM</v>
      </c>
      <c r="AC385" s="346" t="str">
        <f t="shared" si="196"/>
        <v>0-EXCZT</v>
      </c>
      <c r="AD385" s="346" t="str">
        <f t="shared" si="197"/>
        <v>0-EXCZS</v>
      </c>
      <c r="AE385" s="346" t="str">
        <f t="shared" si="198"/>
        <v>0-EXCZX</v>
      </c>
      <c r="AF385" s="346" t="str">
        <f t="shared" si="199"/>
        <v>0-EXCZX</v>
      </c>
      <c r="AG385" s="346">
        <f t="shared" si="186"/>
        <v>4</v>
      </c>
      <c r="AH385" s="346">
        <f>IF(B385&lt;&gt;"",+IF(H385="x",+VLOOKUP(I385,'AUX-NIV2'!B:AG,32,FALSE),0),"")</f>
        <v>4</v>
      </c>
      <c r="AI385" s="346" t="str">
        <f t="shared" si="200"/>
        <v>0-EXCZ</v>
      </c>
      <c r="AK385" s="347">
        <f t="shared" si="187"/>
        <v>384</v>
      </c>
      <c r="AL385" s="348">
        <f t="shared" si="201"/>
        <v>387</v>
      </c>
      <c r="AM385" s="347">
        <f t="shared" si="202"/>
        <v>2</v>
      </c>
      <c r="AN385" s="382">
        <f>IF(AND(AH385&gt;0,B385&lt;&gt;""),VLOOKUP(I385,'AUX-NIV2'!$B:$AP,40,FALSE)*O385,0)</f>
        <v>2</v>
      </c>
      <c r="AO385" s="382">
        <f t="shared" si="188"/>
        <v>2.0215334467120183</v>
      </c>
      <c r="AQ385" s="395">
        <f>(IF($H385="x",VLOOKUP($I385,'AUX-NIV2'!$B:$X,'AUX-NIV1'!AQ$3,FALSE),0)+($AV385*'AUX-NIV3'!S$4))*$O385+IF($H385=AQ$4,$P385,0)</f>
        <v>924.25124392919122</v>
      </c>
      <c r="AR385" s="395">
        <f>(IF($H385="x",VLOOKUP($I385,'AUX-NIV2'!$B:$X,'AUX-NIV1'!AR$3,FALSE),0)+($AV385*'AUX-NIV3'!T$4))*$O385+IF($H385=AR$4,$P385,0)</f>
        <v>0</v>
      </c>
      <c r="AS385" s="395">
        <f>(IF($H385="x",VLOOKUP($I385,'AUX-NIV2'!$B:$X,'AUX-NIV1'!AS$3,FALSE),0)+($AV385*'AUX-NIV3'!U$4))*$O385+IF($H385=AS$4,$P385,0)</f>
        <v>50.05</v>
      </c>
      <c r="AT385" s="395">
        <f>(IF($H385="x",VLOOKUP($I385,'AUX-NIV2'!$B:$X,'AUX-NIV1'!AT$3,FALSE),0)+($AV385*'AUX-NIV3'!V$4))*$O385+IF($H385=AT$4,$P385,0)</f>
        <v>0</v>
      </c>
      <c r="AU385" s="395">
        <f>(IF($H385="x",VLOOKUP($I385,'AUX-NIV2'!$B:$X,'AUX-NIV1'!AU$3,FALSE),0)+($AV385*'AUX-NIV3'!W$4))*$O385+IF($H385=AU$4,$P385,0)</f>
        <v>0</v>
      </c>
      <c r="AV385" s="395">
        <f>+IF($H385="x",VLOOKUP($I385,'AUX-NIV2'!$B:$X,'AUX-NIV1'!AV$3,FALSE),0)</f>
        <v>0</v>
      </c>
    </row>
    <row r="386" spans="2:48">
      <c r="B386" s="501" t="s">
        <v>3231</v>
      </c>
      <c r="C386" s="951" t="s">
        <v>3232</v>
      </c>
      <c r="D386" s="326" t="s">
        <v>1160</v>
      </c>
      <c r="E386" s="349">
        <f>IF(B386&lt;&gt;"",+SUMIF(Items!C:C,'AUX-NIV1'!B386,Items!H:H),"")</f>
        <v>3.62</v>
      </c>
      <c r="F386" s="349">
        <f t="shared" si="178"/>
        <v>1042.422835650058</v>
      </c>
      <c r="G386" s="349">
        <f t="shared" si="179"/>
        <v>3773.5706650532102</v>
      </c>
      <c r="H386" s="1395" t="str">
        <f t="shared" si="189"/>
        <v>X</v>
      </c>
      <c r="I386" s="1375" t="s">
        <v>2986</v>
      </c>
      <c r="J386" s="350" t="str">
        <f>IF(B386&lt;&gt;"",+VLOOKUP(I386,Recursos!C:F,2,FALSE),"")</f>
        <v>Transporte DMT 20 Km</v>
      </c>
      <c r="K386" s="351" t="str">
        <f>IF(B386&lt;&gt;"",+VLOOKUP(I386,Recursos!C:F,3,FALSE),"")</f>
        <v>m3s.km</v>
      </c>
      <c r="L386" s="436">
        <f>IF(B386&lt;&gt;"",+VLOOKUP(I386,Recursos!C:F,4,FALSE),"")</f>
        <v>17.030397930216687</v>
      </c>
      <c r="M386" s="714">
        <v>0.2</v>
      </c>
      <c r="N386" s="497">
        <v>20</v>
      </c>
      <c r="O386" s="439">
        <f>+M386*N386*N384</f>
        <v>4</v>
      </c>
      <c r="P386" s="440">
        <f t="shared" si="190"/>
        <v>68.121591720866746</v>
      </c>
      <c r="Q386" s="349">
        <f t="shared" si="191"/>
        <v>14.48</v>
      </c>
      <c r="R386" s="353">
        <f t="shared" si="192"/>
        <v>246.60016202953764</v>
      </c>
      <c r="S386" s="354">
        <f t="shared" si="180"/>
        <v>0</v>
      </c>
      <c r="T386" s="354">
        <f t="shared" si="181"/>
        <v>0</v>
      </c>
      <c r="U386" s="355">
        <f t="shared" si="182"/>
        <v>0</v>
      </c>
      <c r="V386" s="355">
        <f t="shared" si="183"/>
        <v>0</v>
      </c>
      <c r="W386" s="355">
        <f t="shared" si="184"/>
        <v>0</v>
      </c>
      <c r="X386" s="355">
        <f t="shared" si="185"/>
        <v>1042.422835650058</v>
      </c>
      <c r="Y386" s="396"/>
      <c r="Z386" s="346" t="str">
        <f t="shared" si="193"/>
        <v>0-EXCZA</v>
      </c>
      <c r="AA386" s="346" t="str">
        <f t="shared" si="194"/>
        <v>0-EXCZE</v>
      </c>
      <c r="AB386" s="346" t="str">
        <f t="shared" si="195"/>
        <v>0-EXCZM</v>
      </c>
      <c r="AC386" s="346" t="str">
        <f t="shared" si="196"/>
        <v>0-EXCZT</v>
      </c>
      <c r="AD386" s="346" t="str">
        <f t="shared" si="197"/>
        <v>0-EXCZS</v>
      </c>
      <c r="AE386" s="346" t="str">
        <f t="shared" si="198"/>
        <v>0-EXCZX</v>
      </c>
      <c r="AF386" s="346" t="str">
        <f t="shared" si="199"/>
        <v>0-EXCZX</v>
      </c>
      <c r="AG386" s="346">
        <f t="shared" si="186"/>
        <v>4</v>
      </c>
      <c r="AH386" s="346">
        <f>IF(B386&lt;&gt;"",+IF(H386="x",+VLOOKUP(I386,'AUX-NIV2'!B:AG,32,FALSE),0),"")</f>
        <v>1</v>
      </c>
      <c r="AI386" s="346" t="str">
        <f t="shared" si="200"/>
        <v>0-EXCZ</v>
      </c>
      <c r="AK386" s="347">
        <f t="shared" si="187"/>
        <v>384</v>
      </c>
      <c r="AL386" s="348">
        <f t="shared" si="201"/>
        <v>387</v>
      </c>
      <c r="AM386" s="347">
        <f t="shared" si="202"/>
        <v>3</v>
      </c>
      <c r="AN386" s="382">
        <f>IF(AND(AH386&gt;0,B386&lt;&gt;""),VLOOKUP(I386,'AUX-NIV2'!$B:$AP,40,FALSE)*O386,0)</f>
        <v>2.1533446712018144E-2</v>
      </c>
      <c r="AO386" s="382">
        <f t="shared" si="188"/>
        <v>2.0215334467120183</v>
      </c>
      <c r="AQ386" s="395">
        <f>(IF($H386="x",VLOOKUP($I386,'AUX-NIV2'!$B:$X,'AUX-NIV1'!AQ$3,FALSE),0)+($AV386*'AUX-NIV3'!S$4))*$O386+IF($H386=AQ$4,$P386,0)</f>
        <v>7.0492419617371409</v>
      </c>
      <c r="AR386" s="395">
        <f>(IF($H386="x",VLOOKUP($I386,'AUX-NIV2'!$B:$X,'AUX-NIV1'!AR$3,FALSE),0)+($AV386*'AUX-NIV3'!T$4))*$O386+IF($H386=AR$4,$P386,0)</f>
        <v>60.964834828903427</v>
      </c>
      <c r="AS386" s="395">
        <f>(IF($H386="x",VLOOKUP($I386,'AUX-NIV2'!$B:$X,'AUX-NIV1'!AS$3,FALSE),0)+($AV386*'AUX-NIV3'!U$4))*$O386+IF($H386=AS$4,$P386,0)</f>
        <v>0.10751493022617498</v>
      </c>
      <c r="AT386" s="395">
        <f>(IF($H386="x",VLOOKUP($I386,'AUX-NIV2'!$B:$X,'AUX-NIV1'!AT$3,FALSE),0)+($AV386*'AUX-NIV3'!V$4))*$O386+IF($H386=AT$4,$P386,0)</f>
        <v>0</v>
      </c>
      <c r="AU386" s="395">
        <f>(IF($H386="x",VLOOKUP($I386,'AUX-NIV2'!$B:$X,'AUX-NIV1'!AU$3,FALSE),0)+($AV386*'AUX-NIV3'!W$4))*$O386+IF($H386=AU$4,$P386,0)</f>
        <v>0</v>
      </c>
      <c r="AV386" s="395">
        <f>+IF($H386="x",VLOOKUP($I386,'AUX-NIV2'!$B:$X,'AUX-NIV1'!AV$3,FALSE),0)</f>
        <v>17.030397930216687</v>
      </c>
    </row>
    <row r="387" spans="2:48" ht="13.8" thickBot="1">
      <c r="B387" s="501" t="s">
        <v>3231</v>
      </c>
      <c r="C387" s="951" t="s">
        <v>3232</v>
      </c>
      <c r="D387" s="326" t="s">
        <v>1160</v>
      </c>
      <c r="E387" s="349">
        <f>IF(B387&lt;&gt;"",+SUMIF(Items!C:C,'AUX-NIV1'!B387,Items!H:H),"")</f>
        <v>3.62</v>
      </c>
      <c r="F387" s="349">
        <f t="shared" si="178"/>
        <v>1042.422835650058</v>
      </c>
      <c r="G387" s="349">
        <f t="shared" si="179"/>
        <v>3773.5706650532102</v>
      </c>
      <c r="H387" s="1395" t="str">
        <f t="shared" si="189"/>
        <v>X</v>
      </c>
      <c r="I387" s="1375" t="s">
        <v>2881</v>
      </c>
      <c r="J387" s="350" t="str">
        <f>IF(B387&lt;&gt;"",+VLOOKUP(I387,Recursos!C:F,2,FALSE),"")</f>
        <v>Bombeo para excavaciones</v>
      </c>
      <c r="K387" s="351" t="str">
        <f>IF(B387&lt;&gt;"",+VLOOKUP(I387,Recursos!C:F,3,FALSE),"")</f>
        <v>m3</v>
      </c>
      <c r="L387" s="436">
        <f>IF(B387&lt;&gt;"",+VLOOKUP(I387,Recursos!C:F,4,FALSE),"")</f>
        <v>17.808108019312606</v>
      </c>
      <c r="M387" s="535">
        <v>0</v>
      </c>
      <c r="N387" s="536"/>
      <c r="O387" s="439">
        <f>+M387</f>
        <v>0</v>
      </c>
      <c r="P387" s="440">
        <f t="shared" si="190"/>
        <v>0</v>
      </c>
      <c r="Q387" s="349">
        <f t="shared" si="191"/>
        <v>0</v>
      </c>
      <c r="R387" s="353">
        <f t="shared" si="192"/>
        <v>0</v>
      </c>
      <c r="S387" s="354">
        <f t="shared" si="180"/>
        <v>0</v>
      </c>
      <c r="T387" s="354">
        <f t="shared" si="181"/>
        <v>0</v>
      </c>
      <c r="U387" s="355">
        <f t="shared" si="182"/>
        <v>0</v>
      </c>
      <c r="V387" s="355">
        <f t="shared" si="183"/>
        <v>0</v>
      </c>
      <c r="W387" s="355">
        <f t="shared" si="184"/>
        <v>0</v>
      </c>
      <c r="X387" s="355">
        <f t="shared" si="185"/>
        <v>1042.422835650058</v>
      </c>
      <c r="Y387" s="396"/>
      <c r="Z387" s="346" t="str">
        <f t="shared" si="193"/>
        <v>0-EXCZA</v>
      </c>
      <c r="AA387" s="346" t="str">
        <f t="shared" si="194"/>
        <v>0-EXCZE</v>
      </c>
      <c r="AB387" s="346" t="str">
        <f t="shared" si="195"/>
        <v>0-EXCZM</v>
      </c>
      <c r="AC387" s="346" t="str">
        <f t="shared" si="196"/>
        <v>0-EXCZT</v>
      </c>
      <c r="AD387" s="346" t="str">
        <f t="shared" si="197"/>
        <v>0-EXCZS</v>
      </c>
      <c r="AE387" s="346" t="str">
        <f t="shared" si="198"/>
        <v>0-EXCZX</v>
      </c>
      <c r="AF387" s="346" t="str">
        <f t="shared" si="199"/>
        <v>0-EXCZX</v>
      </c>
      <c r="AG387" s="346">
        <f t="shared" si="186"/>
        <v>4</v>
      </c>
      <c r="AH387" s="346">
        <f>IF(B387&lt;&gt;"",+IF(H387="x",+VLOOKUP(I387,'AUX-NIV2'!B:AG,32,FALSE),0),"")</f>
        <v>3</v>
      </c>
      <c r="AI387" s="346" t="str">
        <f t="shared" si="200"/>
        <v>0-EXCZ</v>
      </c>
      <c r="AK387" s="347">
        <f t="shared" si="187"/>
        <v>384</v>
      </c>
      <c r="AL387" s="348">
        <f t="shared" si="201"/>
        <v>387</v>
      </c>
      <c r="AM387" s="347">
        <f t="shared" si="202"/>
        <v>4</v>
      </c>
      <c r="AN387" s="382">
        <f>IF(AND(AH387&gt;0,B387&lt;&gt;""),VLOOKUP(I387,'AUX-NIV2'!$B:$AP,40,FALSE)*O387,0)</f>
        <v>0</v>
      </c>
      <c r="AO387" s="382">
        <f t="shared" si="188"/>
        <v>2.0215334467120183</v>
      </c>
      <c r="AQ387" s="395">
        <f>(IF($H387="x",VLOOKUP($I387,'AUX-NIV2'!$B:$X,'AUX-NIV1'!AQ$3,FALSE),0)+($AV387*'AUX-NIV3'!S$4))*$O387+IF($H387=AQ$4,$P387,0)</f>
        <v>0</v>
      </c>
      <c r="AR387" s="395">
        <f>(IF($H387="x",VLOOKUP($I387,'AUX-NIV2'!$B:$X,'AUX-NIV1'!AR$3,FALSE),0)+($AV387*'AUX-NIV3'!T$4))*$O387+IF($H387=AR$4,$P387,0)</f>
        <v>0</v>
      </c>
      <c r="AS387" s="395">
        <f>(IF($H387="x",VLOOKUP($I387,'AUX-NIV2'!$B:$X,'AUX-NIV1'!AS$3,FALSE),0)+($AV387*'AUX-NIV3'!U$4))*$O387+IF($H387=AS$4,$P387,0)</f>
        <v>0</v>
      </c>
      <c r="AT387" s="395">
        <f>(IF($H387="x",VLOOKUP($I387,'AUX-NIV2'!$B:$X,'AUX-NIV1'!AT$3,FALSE),0)+($AV387*'AUX-NIV3'!V$4))*$O387+IF($H387=AT$4,$P387,0)</f>
        <v>0</v>
      </c>
      <c r="AU387" s="395">
        <f>(IF($H387="x",VLOOKUP($I387,'AUX-NIV2'!$B:$X,'AUX-NIV1'!AU$3,FALSE),0)+($AV387*'AUX-NIV3'!W$4))*$O387+IF($H387=AU$4,$P387,0)</f>
        <v>0</v>
      </c>
      <c r="AV387" s="395">
        <f>+IF($H387="x",VLOOKUP($I387,'AUX-NIV2'!$B:$X,'AUX-NIV1'!AV$3,FALSE),0)</f>
        <v>0</v>
      </c>
    </row>
    <row r="388" spans="2:48" ht="13.8" hidden="1" thickTop="1">
      <c r="B388" s="501" t="s">
        <v>3334</v>
      </c>
      <c r="C388" s="951" t="s">
        <v>3335</v>
      </c>
      <c r="D388" s="326" t="s">
        <v>610</v>
      </c>
      <c r="E388" s="349">
        <f>IF(B388&lt;&gt;"",+SUMIF(Items!C:C,'AUX-NIV1'!B388,Items!H:H),"")</f>
        <v>0</v>
      </c>
      <c r="F388" s="349">
        <f t="shared" si="178"/>
        <v>21965.55036658176</v>
      </c>
      <c r="G388" s="349">
        <f t="shared" si="179"/>
        <v>0</v>
      </c>
      <c r="H388" s="1395" t="str">
        <f t="shared" si="189"/>
        <v>A</v>
      </c>
      <c r="I388" s="1375" t="s">
        <v>1746</v>
      </c>
      <c r="J388" s="350" t="str">
        <f>IF(B388&lt;&gt;"",+VLOOKUP(I388,Recursos!C:F,2,FALSE),"")</f>
        <v>OFICIAL</v>
      </c>
      <c r="K388" s="351" t="str">
        <f>IF(B388&lt;&gt;"",+VLOOKUP(I388,Recursos!C:F,3,FALSE),"")</f>
        <v>hh</v>
      </c>
      <c r="L388" s="436">
        <f>IF(B388&lt;&gt;"",+VLOOKUP(I388,Recursos!C:F,4,FALSE),"")</f>
        <v>496.91595439275824</v>
      </c>
      <c r="M388" s="989">
        <v>1.25</v>
      </c>
      <c r="N388" s="990"/>
      <c r="O388" s="733">
        <f>M388*N390/M390</f>
        <v>3.75</v>
      </c>
      <c r="P388" s="440">
        <f t="shared" si="190"/>
        <v>1863.4348289728434</v>
      </c>
      <c r="Q388" s="349">
        <f t="shared" si="191"/>
        <v>0</v>
      </c>
      <c r="R388" s="353">
        <f t="shared" si="192"/>
        <v>0</v>
      </c>
      <c r="S388" s="354">
        <f t="shared" si="180"/>
        <v>8529.7075040817581</v>
      </c>
      <c r="T388" s="354">
        <f t="shared" si="181"/>
        <v>13435.842862500002</v>
      </c>
      <c r="U388" s="355">
        <f t="shared" si="182"/>
        <v>0</v>
      </c>
      <c r="V388" s="355">
        <f t="shared" si="183"/>
        <v>0</v>
      </c>
      <c r="W388" s="355">
        <f t="shared" si="184"/>
        <v>0</v>
      </c>
      <c r="X388" s="355">
        <f t="shared" si="185"/>
        <v>0</v>
      </c>
      <c r="Y388" s="396"/>
      <c r="Z388" s="346" t="str">
        <f t="shared" si="193"/>
        <v>0-ERRARBA</v>
      </c>
      <c r="AA388" s="346" t="str">
        <f t="shared" si="194"/>
        <v>0-ERRARBE</v>
      </c>
      <c r="AB388" s="346" t="str">
        <f t="shared" si="195"/>
        <v>0-ERRARBM</v>
      </c>
      <c r="AC388" s="346" t="str">
        <f t="shared" si="196"/>
        <v>0-ERRARBT</v>
      </c>
      <c r="AD388" s="346" t="str">
        <f t="shared" si="197"/>
        <v>0-ERRARBS</v>
      </c>
      <c r="AE388" s="346" t="str">
        <f t="shared" si="198"/>
        <v>0-ERRARBX</v>
      </c>
      <c r="AF388" s="346" t="str">
        <f t="shared" si="199"/>
        <v>0-ERRARBA</v>
      </c>
      <c r="AG388" s="346">
        <f t="shared" si="186"/>
        <v>9</v>
      </c>
      <c r="AH388" s="346">
        <f>IF(B388&lt;&gt;"",+IF(H388="x",+VLOOKUP(I388,'AUX-NIV2'!B:AG,32,FALSE),0),"")</f>
        <v>0</v>
      </c>
      <c r="AI388" s="346" t="str">
        <f t="shared" si="200"/>
        <v>0-ERRARB</v>
      </c>
      <c r="AK388" s="347">
        <f t="shared" si="187"/>
        <v>388</v>
      </c>
      <c r="AL388" s="348">
        <f t="shared" si="201"/>
        <v>396</v>
      </c>
      <c r="AM388" s="347">
        <f t="shared" si="202"/>
        <v>1</v>
      </c>
      <c r="AN388" s="382">
        <f>IF(AND(AH388&gt;0,B388&lt;&gt;""),VLOOKUP(I388,'AUX-NIV2'!$B:$AP,40,FALSE)*O388,0)</f>
        <v>0</v>
      </c>
      <c r="AO388" s="382">
        <f t="shared" si="188"/>
        <v>17.8125</v>
      </c>
      <c r="AQ388" s="395">
        <f>(IF($H388="x",VLOOKUP($I388,'AUX-NIV2'!$B:$X,'AUX-NIV1'!AQ$3,FALSE),0)+($AV388*'AUX-NIV3'!S$4))*$O388+IF($H388=AQ$4,$P388,0)</f>
        <v>1863.4348289728434</v>
      </c>
      <c r="AR388" s="395">
        <f>(IF($H388="x",VLOOKUP($I388,'AUX-NIV2'!$B:$X,'AUX-NIV1'!AR$3,FALSE),0)+($AV388*'AUX-NIV3'!T$4))*$O388+IF($H388=AR$4,$P388,0)</f>
        <v>0</v>
      </c>
      <c r="AS388" s="395">
        <f>(IF($H388="x",VLOOKUP($I388,'AUX-NIV2'!$B:$X,'AUX-NIV1'!AS$3,FALSE),0)+($AV388*'AUX-NIV3'!U$4))*$O388+IF($H388=AS$4,$P388,0)</f>
        <v>0</v>
      </c>
      <c r="AT388" s="395">
        <f>(IF($H388="x",VLOOKUP($I388,'AUX-NIV2'!$B:$X,'AUX-NIV1'!AT$3,FALSE),0)+($AV388*'AUX-NIV3'!V$4))*$O388+IF($H388=AT$4,$P388,0)</f>
        <v>0</v>
      </c>
      <c r="AU388" s="395">
        <f>(IF($H388="x",VLOOKUP($I388,'AUX-NIV2'!$B:$X,'AUX-NIV1'!AU$3,FALSE),0)+($AV388*'AUX-NIV3'!W$4))*$O388+IF($H388=AU$4,$P388,0)</f>
        <v>0</v>
      </c>
      <c r="AV388" s="395">
        <f>+IF($H388="x",VLOOKUP($I388,'AUX-NIV2'!$B:$X,'AUX-NIV1'!AV$3,FALSE),0)</f>
        <v>0</v>
      </c>
    </row>
    <row r="389" spans="2:48" ht="13.8" hidden="1" thickTop="1">
      <c r="B389" s="501" t="s">
        <v>3334</v>
      </c>
      <c r="C389" s="951" t="s">
        <v>3335</v>
      </c>
      <c r="D389" s="326" t="s">
        <v>610</v>
      </c>
      <c r="E389" s="349">
        <f>IF(B389&lt;&gt;"",+SUMIF(Items!C:C,'AUX-NIV1'!B389,Items!H:H),"")</f>
        <v>0</v>
      </c>
      <c r="F389" s="349">
        <f t="shared" si="178"/>
        <v>21965.55036658176</v>
      </c>
      <c r="G389" s="349">
        <f t="shared" si="179"/>
        <v>0</v>
      </c>
      <c r="H389" s="1395" t="str">
        <f t="shared" si="189"/>
        <v>A</v>
      </c>
      <c r="I389" s="1375" t="s">
        <v>1745</v>
      </c>
      <c r="J389" s="350" t="str">
        <f>IF(B389&lt;&gt;"",+VLOOKUP(I389,Recursos!C:F,2,FALSE),"")</f>
        <v>AYUDANTE</v>
      </c>
      <c r="K389" s="351" t="str">
        <f>IF(B389&lt;&gt;"",+VLOOKUP(I389,Recursos!C:F,3,FALSE),"")</f>
        <v>hh</v>
      </c>
      <c r="L389" s="436">
        <f>IF(B389&lt;&gt;"",+VLOOKUP(I389,Recursos!C:F,4,FALSE),"")</f>
        <v>422.48042769667234</v>
      </c>
      <c r="M389" s="970"/>
      <c r="N389" s="971">
        <v>2</v>
      </c>
      <c r="O389" s="733">
        <f>N389*M388/M390</f>
        <v>7.5</v>
      </c>
      <c r="P389" s="440">
        <f t="shared" si="190"/>
        <v>3168.6032077250425</v>
      </c>
      <c r="Q389" s="349">
        <f t="shared" si="191"/>
        <v>0</v>
      </c>
      <c r="R389" s="353">
        <f t="shared" si="192"/>
        <v>0</v>
      </c>
      <c r="S389" s="354">
        <f t="shared" si="180"/>
        <v>8529.7075040817581</v>
      </c>
      <c r="T389" s="354">
        <f t="shared" si="181"/>
        <v>13435.842862500002</v>
      </c>
      <c r="U389" s="355">
        <f t="shared" si="182"/>
        <v>0</v>
      </c>
      <c r="V389" s="355">
        <f t="shared" si="183"/>
        <v>0</v>
      </c>
      <c r="W389" s="355">
        <f t="shared" si="184"/>
        <v>0</v>
      </c>
      <c r="X389" s="355">
        <f t="shared" si="185"/>
        <v>0</v>
      </c>
      <c r="Y389" s="396"/>
      <c r="Z389" s="346" t="str">
        <f t="shared" si="193"/>
        <v>0-ERRARBA</v>
      </c>
      <c r="AA389" s="346" t="str">
        <f t="shared" si="194"/>
        <v>0-ERRARBE</v>
      </c>
      <c r="AB389" s="346" t="str">
        <f t="shared" si="195"/>
        <v>0-ERRARBM</v>
      </c>
      <c r="AC389" s="346" t="str">
        <f t="shared" si="196"/>
        <v>0-ERRARBT</v>
      </c>
      <c r="AD389" s="346" t="str">
        <f t="shared" si="197"/>
        <v>0-ERRARBS</v>
      </c>
      <c r="AE389" s="346" t="str">
        <f t="shared" si="198"/>
        <v>0-ERRARBX</v>
      </c>
      <c r="AF389" s="346" t="str">
        <f t="shared" si="199"/>
        <v>0-ERRARBA</v>
      </c>
      <c r="AG389" s="346">
        <f t="shared" si="186"/>
        <v>9</v>
      </c>
      <c r="AH389" s="346">
        <f>IF(B389&lt;&gt;"",+IF(H389="x",+VLOOKUP(I389,'AUX-NIV2'!B:AG,32,FALSE),0),"")</f>
        <v>0</v>
      </c>
      <c r="AI389" s="346" t="str">
        <f t="shared" si="200"/>
        <v>0-ERRARB</v>
      </c>
      <c r="AK389" s="347">
        <f t="shared" si="187"/>
        <v>388</v>
      </c>
      <c r="AL389" s="348">
        <f t="shared" si="201"/>
        <v>396</v>
      </c>
      <c r="AM389" s="347">
        <f t="shared" si="202"/>
        <v>2</v>
      </c>
      <c r="AN389" s="382">
        <f>IF(AND(AH389&gt;0,B389&lt;&gt;""),VLOOKUP(I389,'AUX-NIV2'!$B:$AP,40,FALSE)*O389,0)</f>
        <v>0</v>
      </c>
      <c r="AO389" s="382">
        <f t="shared" si="188"/>
        <v>17.8125</v>
      </c>
      <c r="AQ389" s="395">
        <f>(IF($H389="x",VLOOKUP($I389,'AUX-NIV2'!$B:$X,'AUX-NIV1'!AQ$3,FALSE),0)+($AV389*'AUX-NIV3'!S$4))*$O389+IF($H389=AQ$4,$P389,0)</f>
        <v>3168.6032077250425</v>
      </c>
      <c r="AR389" s="395">
        <f>(IF($H389="x",VLOOKUP($I389,'AUX-NIV2'!$B:$X,'AUX-NIV1'!AR$3,FALSE),0)+($AV389*'AUX-NIV3'!T$4))*$O389+IF($H389=AR$4,$P389,0)</f>
        <v>0</v>
      </c>
      <c r="AS389" s="395">
        <f>(IF($H389="x",VLOOKUP($I389,'AUX-NIV2'!$B:$X,'AUX-NIV1'!AS$3,FALSE),0)+($AV389*'AUX-NIV3'!U$4))*$O389+IF($H389=AS$4,$P389,0)</f>
        <v>0</v>
      </c>
      <c r="AT389" s="395">
        <f>(IF($H389="x",VLOOKUP($I389,'AUX-NIV2'!$B:$X,'AUX-NIV1'!AT$3,FALSE),0)+($AV389*'AUX-NIV3'!V$4))*$O389+IF($H389=AT$4,$P389,0)</f>
        <v>0</v>
      </c>
      <c r="AU389" s="395">
        <f>(IF($H389="x",VLOOKUP($I389,'AUX-NIV2'!$B:$X,'AUX-NIV1'!AU$3,FALSE),0)+($AV389*'AUX-NIV3'!W$4))*$O389+IF($H389=AU$4,$P389,0)</f>
        <v>0</v>
      </c>
      <c r="AV389" s="395">
        <f>+IF($H389="x",VLOOKUP($I389,'AUX-NIV2'!$B:$X,'AUX-NIV1'!AV$3,FALSE),0)</f>
        <v>0</v>
      </c>
    </row>
    <row r="390" spans="2:48" ht="13.8" hidden="1" thickTop="1">
      <c r="B390" s="501" t="s">
        <v>3334</v>
      </c>
      <c r="C390" s="951" t="s">
        <v>3335</v>
      </c>
      <c r="D390" s="326" t="s">
        <v>610</v>
      </c>
      <c r="E390" s="349">
        <f>IF(B390&lt;&gt;"",+SUMIF(Items!C:C,'AUX-NIV1'!B390,Items!H:H),"")</f>
        <v>0</v>
      </c>
      <c r="F390" s="349">
        <f t="shared" si="178"/>
        <v>21965.55036658176</v>
      </c>
      <c r="G390" s="349">
        <f t="shared" si="179"/>
        <v>0</v>
      </c>
      <c r="H390" s="1395" t="str">
        <f t="shared" si="189"/>
        <v>E</v>
      </c>
      <c r="I390" s="1375" t="s">
        <v>1626</v>
      </c>
      <c r="J390" s="350" t="str">
        <f>IF(B390&lt;&gt;"",+VLOOKUP(I390,Recursos!C:F,2,FALSE),"")</f>
        <v>MOTOSIERRA MANUAL</v>
      </c>
      <c r="K390" s="351" t="str">
        <f>IF(B390&lt;&gt;"",+VLOOKUP(I390,Recursos!C:F,3,FALSE),"")</f>
        <v>HR</v>
      </c>
      <c r="L390" s="436">
        <f>IF(B390&lt;&gt;"",+VLOOKUP(I390,Recursos!C:F,4,FALSE),"")</f>
        <v>147.89599999999999</v>
      </c>
      <c r="M390" s="991">
        <v>0.33333333333333331</v>
      </c>
      <c r="N390" s="971">
        <v>1</v>
      </c>
      <c r="O390" s="733">
        <f>N390/M390</f>
        <v>3</v>
      </c>
      <c r="P390" s="440">
        <f t="shared" si="190"/>
        <v>443.68799999999999</v>
      </c>
      <c r="Q390" s="349">
        <f t="shared" si="191"/>
        <v>0</v>
      </c>
      <c r="R390" s="353">
        <f t="shared" si="192"/>
        <v>0</v>
      </c>
      <c r="S390" s="354">
        <f t="shared" si="180"/>
        <v>8529.7075040817581</v>
      </c>
      <c r="T390" s="354">
        <f t="shared" si="181"/>
        <v>13435.842862500002</v>
      </c>
      <c r="U390" s="355">
        <f t="shared" si="182"/>
        <v>0</v>
      </c>
      <c r="V390" s="355">
        <f t="shared" si="183"/>
        <v>0</v>
      </c>
      <c r="W390" s="355">
        <f t="shared" si="184"/>
        <v>0</v>
      </c>
      <c r="X390" s="355">
        <f t="shared" si="185"/>
        <v>0</v>
      </c>
      <c r="Y390" s="396"/>
      <c r="Z390" s="346" t="str">
        <f t="shared" si="193"/>
        <v>0-ERRARBA</v>
      </c>
      <c r="AA390" s="346" t="str">
        <f t="shared" si="194"/>
        <v>0-ERRARBE</v>
      </c>
      <c r="AB390" s="346" t="str">
        <f t="shared" si="195"/>
        <v>0-ERRARBM</v>
      </c>
      <c r="AC390" s="346" t="str">
        <f t="shared" si="196"/>
        <v>0-ERRARBT</v>
      </c>
      <c r="AD390" s="346" t="str">
        <f t="shared" si="197"/>
        <v>0-ERRARBS</v>
      </c>
      <c r="AE390" s="346" t="str">
        <f t="shared" si="198"/>
        <v>0-ERRARBX</v>
      </c>
      <c r="AF390" s="346" t="str">
        <f t="shared" si="199"/>
        <v>0-ERRARBE</v>
      </c>
      <c r="AG390" s="346">
        <f t="shared" si="186"/>
        <v>9</v>
      </c>
      <c r="AH390" s="346">
        <f>IF(B390&lt;&gt;"",+IF(H390="x",+VLOOKUP(I390,'AUX-NIV2'!B:AG,32,FALSE),0),"")</f>
        <v>0</v>
      </c>
      <c r="AI390" s="346" t="str">
        <f t="shared" si="200"/>
        <v>0-ERRARB</v>
      </c>
      <c r="AK390" s="347">
        <f t="shared" si="187"/>
        <v>388</v>
      </c>
      <c r="AL390" s="348">
        <f t="shared" si="201"/>
        <v>396</v>
      </c>
      <c r="AM390" s="347">
        <f t="shared" si="202"/>
        <v>3</v>
      </c>
      <c r="AN390" s="382">
        <f>IF(AND(AH390&gt;0,B390&lt;&gt;""),VLOOKUP(I390,'AUX-NIV2'!$B:$AP,40,FALSE)*O390,0)</f>
        <v>0</v>
      </c>
      <c r="AO390" s="382">
        <f t="shared" si="188"/>
        <v>17.8125</v>
      </c>
      <c r="AQ390" s="395">
        <f>(IF($H390="x",VLOOKUP($I390,'AUX-NIV2'!$B:$X,'AUX-NIV1'!AQ$3,FALSE),0)+($AV390*'AUX-NIV3'!S$4))*$O390+IF($H390=AQ$4,$P390,0)</f>
        <v>0</v>
      </c>
      <c r="AR390" s="395">
        <f>(IF($H390="x",VLOOKUP($I390,'AUX-NIV2'!$B:$X,'AUX-NIV1'!AR$3,FALSE),0)+($AV390*'AUX-NIV3'!T$4))*$O390+IF($H390=AR$4,$P390,0)</f>
        <v>443.68799999999999</v>
      </c>
      <c r="AS390" s="395">
        <f>(IF($H390="x",VLOOKUP($I390,'AUX-NIV2'!$B:$X,'AUX-NIV1'!AS$3,FALSE),0)+($AV390*'AUX-NIV3'!U$4))*$O390+IF($H390=AS$4,$P390,0)</f>
        <v>0</v>
      </c>
      <c r="AT390" s="395">
        <f>(IF($H390="x",VLOOKUP($I390,'AUX-NIV2'!$B:$X,'AUX-NIV1'!AT$3,FALSE),0)+($AV390*'AUX-NIV3'!V$4))*$O390+IF($H390=AT$4,$P390,0)</f>
        <v>0</v>
      </c>
      <c r="AU390" s="395">
        <f>(IF($H390="x",VLOOKUP($I390,'AUX-NIV2'!$B:$X,'AUX-NIV1'!AU$3,FALSE),0)+($AV390*'AUX-NIV3'!W$4))*$O390+IF($H390=AU$4,$P390,0)</f>
        <v>0</v>
      </c>
      <c r="AV390" s="395">
        <f>+IF($H390="x",VLOOKUP($I390,'AUX-NIV2'!$B:$X,'AUX-NIV1'!AV$3,FALSE),0)</f>
        <v>0</v>
      </c>
    </row>
    <row r="391" spans="2:48" ht="13.8" hidden="1" thickTop="1">
      <c r="B391" s="501" t="s">
        <v>3334</v>
      </c>
      <c r="C391" s="951" t="s">
        <v>3335</v>
      </c>
      <c r="D391" s="326" t="s">
        <v>610</v>
      </c>
      <c r="E391" s="349">
        <f>IF(B391&lt;&gt;"",+SUMIF(Items!C:C,'AUX-NIV1'!B391,Items!H:H),"")</f>
        <v>0</v>
      </c>
      <c r="F391" s="349">
        <f t="shared" ref="F391:F454" si="204">IF(B391&lt;&gt;"",+SUMIF(B:B,B391,P:P),"")</f>
        <v>21965.55036658176</v>
      </c>
      <c r="G391" s="349">
        <f t="shared" ref="G391:G454" si="205">IF(B391&lt;&gt;"",+SUMIF(B:B,B391,R:R),"")</f>
        <v>0</v>
      </c>
      <c r="H391" s="1395" t="str">
        <f t="shared" si="189"/>
        <v>E</v>
      </c>
      <c r="I391" s="1375" t="s">
        <v>1555</v>
      </c>
      <c r="J391" s="350" t="str">
        <f>IF(B391&lt;&gt;"",+VLOOKUP(I391,Recursos!C:F,2,FALSE),"")</f>
        <v>CAMION VOLCADOR 6x4 CAP. 24 T=15 m3</v>
      </c>
      <c r="K391" s="351" t="str">
        <f>IF(B391&lt;&gt;"",+VLOOKUP(I391,Recursos!C:F,3,FALSE),"")</f>
        <v>HR</v>
      </c>
      <c r="L391" s="436">
        <f>IF(B391&lt;&gt;"",+VLOOKUP(I391,Recursos!C:F,4,FALSE),"")</f>
        <v>3333.261</v>
      </c>
      <c r="M391" s="970"/>
      <c r="N391" s="968">
        <v>0.5</v>
      </c>
      <c r="O391" s="733">
        <f>N391/M390</f>
        <v>1.5</v>
      </c>
      <c r="P391" s="440">
        <f t="shared" si="190"/>
        <v>4999.8914999999997</v>
      </c>
      <c r="Q391" s="349">
        <f t="shared" si="191"/>
        <v>0</v>
      </c>
      <c r="R391" s="353">
        <f t="shared" si="192"/>
        <v>0</v>
      </c>
      <c r="S391" s="354">
        <f t="shared" ref="S391:S454" si="206">IF(B391&lt;&gt;"",+SUMIF($AF:$AF,Z391,$P:$P),"")</f>
        <v>8529.7075040817581</v>
      </c>
      <c r="T391" s="354">
        <f t="shared" ref="T391:T454" si="207">IF(B391&lt;&gt;"",+SUMIF($AF:$AF,AA391,$P:$P),"")</f>
        <v>13435.842862500002</v>
      </c>
      <c r="U391" s="355">
        <f t="shared" ref="U391:U454" si="208">IF(B391&lt;&gt;"",+SUMIF($AF:$AF,AB391,$P:$P),"")</f>
        <v>0</v>
      </c>
      <c r="V391" s="355">
        <f t="shared" ref="V391:V454" si="209">IF(B391&lt;&gt;"",+SUMIF($AF:$AF,AC391,$P:$P),"")</f>
        <v>0</v>
      </c>
      <c r="W391" s="355">
        <f t="shared" ref="W391:W454" si="210">IF(B391&lt;&gt;"",+SUMIF($AF:$AF,AD391,$P:$P),"")</f>
        <v>0</v>
      </c>
      <c r="X391" s="355">
        <f t="shared" ref="X391:X454" si="211">IF(B391&lt;&gt;"",+SUMIF($AF:$AF,AE391,$P:$P),"")</f>
        <v>0</v>
      </c>
      <c r="Y391" s="396"/>
      <c r="Z391" s="346" t="str">
        <f t="shared" si="193"/>
        <v>0-ERRARBA</v>
      </c>
      <c r="AA391" s="346" t="str">
        <f t="shared" si="194"/>
        <v>0-ERRARBE</v>
      </c>
      <c r="AB391" s="346" t="str">
        <f t="shared" si="195"/>
        <v>0-ERRARBM</v>
      </c>
      <c r="AC391" s="346" t="str">
        <f t="shared" si="196"/>
        <v>0-ERRARBT</v>
      </c>
      <c r="AD391" s="346" t="str">
        <f t="shared" si="197"/>
        <v>0-ERRARBS</v>
      </c>
      <c r="AE391" s="346" t="str">
        <f t="shared" si="198"/>
        <v>0-ERRARBX</v>
      </c>
      <c r="AF391" s="346" t="str">
        <f t="shared" si="199"/>
        <v>0-ERRARBE</v>
      </c>
      <c r="AG391" s="346">
        <f t="shared" ref="AG391:AG454" si="212">IF(B391&lt;&gt;"",+COUNTIF(B:B,B391),"")</f>
        <v>9</v>
      </c>
      <c r="AH391" s="346">
        <f>IF(B391&lt;&gt;"",+IF(H391="x",+VLOOKUP(I391,'AUX-NIV2'!B:AG,32,FALSE),0),"")</f>
        <v>0</v>
      </c>
      <c r="AI391" s="346" t="str">
        <f t="shared" si="200"/>
        <v>0-ERRARB</v>
      </c>
      <c r="AK391" s="347">
        <f t="shared" ref="AK391:AK454" si="213">IF(B391&lt;&gt;"",+MATCH(B391,B:B,0),"")</f>
        <v>388</v>
      </c>
      <c r="AL391" s="348">
        <f t="shared" si="201"/>
        <v>396</v>
      </c>
      <c r="AM391" s="347">
        <f t="shared" si="202"/>
        <v>4</v>
      </c>
      <c r="AN391" s="382">
        <f>IF(AND(AH391&gt;0,B391&lt;&gt;""),VLOOKUP(I391,'AUX-NIV2'!$B:$AP,40,FALSE)*O391,0)</f>
        <v>0</v>
      </c>
      <c r="AO391" s="382">
        <f t="shared" ref="AO391:AO454" si="214">+IF(B391&lt;&gt;"",SUMIF(AF:AF,Z391,O:O)+SUMIF(Z:Z,Z391,AN:AN),0)</f>
        <v>17.8125</v>
      </c>
      <c r="AQ391" s="395">
        <f>(IF($H391="x",VLOOKUP($I391,'AUX-NIV2'!$B:$X,'AUX-NIV1'!AQ$3,FALSE),0)+($AV391*'AUX-NIV3'!S$4))*$O391+IF($H391=AQ$4,$P391,0)</f>
        <v>0</v>
      </c>
      <c r="AR391" s="395">
        <f>(IF($H391="x",VLOOKUP($I391,'AUX-NIV2'!$B:$X,'AUX-NIV1'!AR$3,FALSE),0)+($AV391*'AUX-NIV3'!T$4))*$O391+IF($H391=AR$4,$P391,0)</f>
        <v>4999.8914999999997</v>
      </c>
      <c r="AS391" s="395">
        <f>(IF($H391="x",VLOOKUP($I391,'AUX-NIV2'!$B:$X,'AUX-NIV1'!AS$3,FALSE),0)+($AV391*'AUX-NIV3'!U$4))*$O391+IF($H391=AS$4,$P391,0)</f>
        <v>0</v>
      </c>
      <c r="AT391" s="395">
        <f>(IF($H391="x",VLOOKUP($I391,'AUX-NIV2'!$B:$X,'AUX-NIV1'!AT$3,FALSE),0)+($AV391*'AUX-NIV3'!V$4))*$O391+IF($H391=AT$4,$P391,0)</f>
        <v>0</v>
      </c>
      <c r="AU391" s="395">
        <f>(IF($H391="x",VLOOKUP($I391,'AUX-NIV2'!$B:$X,'AUX-NIV1'!AU$3,FALSE),0)+($AV391*'AUX-NIV3'!W$4))*$O391+IF($H391=AU$4,$P391,0)</f>
        <v>0</v>
      </c>
      <c r="AV391" s="395">
        <f>+IF($H391="x",VLOOKUP($I391,'AUX-NIV2'!$B:$X,'AUX-NIV1'!AV$3,FALSE),0)</f>
        <v>0</v>
      </c>
    </row>
    <row r="392" spans="2:48" ht="13.8" hidden="1" thickTop="1">
      <c r="B392" s="501" t="s">
        <v>3334</v>
      </c>
      <c r="C392" s="951" t="s">
        <v>3335</v>
      </c>
      <c r="D392" s="326" t="s">
        <v>610</v>
      </c>
      <c r="E392" s="349">
        <f>IF(B392&lt;&gt;"",+SUMIF(Items!C:C,'AUX-NIV1'!B392,Items!H:H),"")</f>
        <v>0</v>
      </c>
      <c r="F392" s="349">
        <f t="shared" si="204"/>
        <v>21965.55036658176</v>
      </c>
      <c r="G392" s="349">
        <f t="shared" si="205"/>
        <v>0</v>
      </c>
      <c r="H392" s="1395" t="str">
        <f t="shared" si="189"/>
        <v>A</v>
      </c>
      <c r="I392" s="1375" t="s">
        <v>1746</v>
      </c>
      <c r="J392" s="350" t="str">
        <f>IF(B392&lt;&gt;"",+VLOOKUP(I392,Recursos!C:F,2,FALSE),"")</f>
        <v>OFICIAL</v>
      </c>
      <c r="K392" s="351" t="str">
        <f>IF(B392&lt;&gt;"",+VLOOKUP(I392,Recursos!C:F,3,FALSE),"")</f>
        <v>hh</v>
      </c>
      <c r="L392" s="436">
        <f>IF(B392&lt;&gt;"",+VLOOKUP(I392,Recursos!C:F,4,FALSE),"")</f>
        <v>496.91595439275824</v>
      </c>
      <c r="M392" s="970"/>
      <c r="N392" s="968"/>
      <c r="O392" s="733">
        <f>M388*N391/M390</f>
        <v>1.875</v>
      </c>
      <c r="P392" s="440">
        <f t="shared" si="190"/>
        <v>931.71741448642172</v>
      </c>
      <c r="Q392" s="349">
        <f t="shared" si="191"/>
        <v>0</v>
      </c>
      <c r="R392" s="353">
        <f t="shared" si="192"/>
        <v>0</v>
      </c>
      <c r="S392" s="354">
        <f t="shared" si="206"/>
        <v>8529.7075040817581</v>
      </c>
      <c r="T392" s="354">
        <f t="shared" si="207"/>
        <v>13435.842862500002</v>
      </c>
      <c r="U392" s="355">
        <f t="shared" si="208"/>
        <v>0</v>
      </c>
      <c r="V392" s="355">
        <f t="shared" si="209"/>
        <v>0</v>
      </c>
      <c r="W392" s="355">
        <f t="shared" si="210"/>
        <v>0</v>
      </c>
      <c r="X392" s="355">
        <f t="shared" si="211"/>
        <v>0</v>
      </c>
      <c r="Y392" s="396"/>
      <c r="Z392" s="346" t="str">
        <f t="shared" si="193"/>
        <v>0-ERRARBA</v>
      </c>
      <c r="AA392" s="346" t="str">
        <f t="shared" si="194"/>
        <v>0-ERRARBE</v>
      </c>
      <c r="AB392" s="346" t="str">
        <f t="shared" si="195"/>
        <v>0-ERRARBM</v>
      </c>
      <c r="AC392" s="346" t="str">
        <f t="shared" si="196"/>
        <v>0-ERRARBT</v>
      </c>
      <c r="AD392" s="346" t="str">
        <f t="shared" si="197"/>
        <v>0-ERRARBS</v>
      </c>
      <c r="AE392" s="346" t="str">
        <f t="shared" si="198"/>
        <v>0-ERRARBX</v>
      </c>
      <c r="AF392" s="346" t="str">
        <f t="shared" si="199"/>
        <v>0-ERRARBA</v>
      </c>
      <c r="AG392" s="346">
        <f t="shared" si="212"/>
        <v>9</v>
      </c>
      <c r="AH392" s="346">
        <f>IF(B392&lt;&gt;"",+IF(H392="x",+VLOOKUP(I392,'AUX-NIV2'!B:AG,32,FALSE),0),"")</f>
        <v>0</v>
      </c>
      <c r="AI392" s="346" t="str">
        <f t="shared" si="200"/>
        <v>0-ERRARB</v>
      </c>
      <c r="AK392" s="347">
        <f t="shared" si="213"/>
        <v>388</v>
      </c>
      <c r="AL392" s="348">
        <f t="shared" si="201"/>
        <v>396</v>
      </c>
      <c r="AM392" s="347">
        <f t="shared" si="202"/>
        <v>5</v>
      </c>
      <c r="AN392" s="382">
        <f>IF(AND(AH392&gt;0,B392&lt;&gt;""),VLOOKUP(I392,'AUX-NIV2'!$B:$AP,40,FALSE)*O392,0)</f>
        <v>0</v>
      </c>
      <c r="AO392" s="382">
        <f t="shared" si="214"/>
        <v>17.8125</v>
      </c>
      <c r="AQ392" s="395">
        <f>(IF($H392="x",VLOOKUP($I392,'AUX-NIV2'!$B:$X,'AUX-NIV1'!AQ$3,FALSE),0)+($AV392*'AUX-NIV3'!S$4))*$O392+IF($H392=AQ$4,$P392,0)</f>
        <v>931.71741448642172</v>
      </c>
      <c r="AR392" s="395">
        <f>(IF($H392="x",VLOOKUP($I392,'AUX-NIV2'!$B:$X,'AUX-NIV1'!AR$3,FALSE),0)+($AV392*'AUX-NIV3'!T$4))*$O392+IF($H392=AR$4,$P392,0)</f>
        <v>0</v>
      </c>
      <c r="AS392" s="395">
        <f>(IF($H392="x",VLOOKUP($I392,'AUX-NIV2'!$B:$X,'AUX-NIV1'!AS$3,FALSE),0)+($AV392*'AUX-NIV3'!U$4))*$O392+IF($H392=AS$4,$P392,0)</f>
        <v>0</v>
      </c>
      <c r="AT392" s="395">
        <f>(IF($H392="x",VLOOKUP($I392,'AUX-NIV2'!$B:$X,'AUX-NIV1'!AT$3,FALSE),0)+($AV392*'AUX-NIV3'!V$4))*$O392+IF($H392=AT$4,$P392,0)</f>
        <v>0</v>
      </c>
      <c r="AU392" s="395">
        <f>(IF($H392="x",VLOOKUP($I392,'AUX-NIV2'!$B:$X,'AUX-NIV1'!AU$3,FALSE),0)+($AV392*'AUX-NIV3'!W$4))*$O392+IF($H392=AU$4,$P392,0)</f>
        <v>0</v>
      </c>
      <c r="AV392" s="395">
        <f>+IF($H392="x",VLOOKUP($I392,'AUX-NIV2'!$B:$X,'AUX-NIV1'!AV$3,FALSE),0)</f>
        <v>0</v>
      </c>
    </row>
    <row r="393" spans="2:48" ht="13.8" hidden="1" thickTop="1">
      <c r="B393" s="501" t="s">
        <v>3334</v>
      </c>
      <c r="C393" s="951" t="s">
        <v>3335</v>
      </c>
      <c r="D393" s="326" t="s">
        <v>610</v>
      </c>
      <c r="E393" s="349">
        <f>IF(B393&lt;&gt;"",+SUMIF(Items!C:C,'AUX-NIV1'!B393,Items!H:H),"")</f>
        <v>0</v>
      </c>
      <c r="F393" s="349">
        <f t="shared" si="204"/>
        <v>21965.55036658176</v>
      </c>
      <c r="G393" s="349">
        <f t="shared" si="205"/>
        <v>0</v>
      </c>
      <c r="H393" s="1395" t="str">
        <f t="shared" si="189"/>
        <v>E</v>
      </c>
      <c r="I393" s="1375" t="s">
        <v>1549</v>
      </c>
      <c r="J393" s="350" t="str">
        <f>IF(B393&lt;&gt;"",+VLOOKUP(I393,Recursos!C:F,2,FALSE),"")</f>
        <v>RETROEXC. CARG. S/ROD.NEUM. 0.24 M3</v>
      </c>
      <c r="K393" s="351" t="str">
        <f>IF(B393&lt;&gt;"",+VLOOKUP(I393,Recursos!C:F,3,FALSE),"")</f>
        <v>HR</v>
      </c>
      <c r="L393" s="436">
        <f>IF(B393&lt;&gt;"",+VLOOKUP(I393,Recursos!C:F,4,FALSE),"")</f>
        <v>1761.0672000000002</v>
      </c>
      <c r="M393" s="970"/>
      <c r="N393" s="968">
        <v>0.5</v>
      </c>
      <c r="O393" s="733">
        <f>N393/M390</f>
        <v>1.5</v>
      </c>
      <c r="P393" s="440">
        <f t="shared" si="190"/>
        <v>2641.6008000000002</v>
      </c>
      <c r="Q393" s="349">
        <f t="shared" si="191"/>
        <v>0</v>
      </c>
      <c r="R393" s="353">
        <f t="shared" si="192"/>
        <v>0</v>
      </c>
      <c r="S393" s="354">
        <f t="shared" si="206"/>
        <v>8529.7075040817581</v>
      </c>
      <c r="T393" s="354">
        <f t="shared" si="207"/>
        <v>13435.842862500002</v>
      </c>
      <c r="U393" s="355">
        <f t="shared" si="208"/>
        <v>0</v>
      </c>
      <c r="V393" s="355">
        <f t="shared" si="209"/>
        <v>0</v>
      </c>
      <c r="W393" s="355">
        <f t="shared" si="210"/>
        <v>0</v>
      </c>
      <c r="X393" s="355">
        <f t="shared" si="211"/>
        <v>0</v>
      </c>
      <c r="Y393" s="396"/>
      <c r="Z393" s="346" t="str">
        <f t="shared" si="193"/>
        <v>0-ERRARBA</v>
      </c>
      <c r="AA393" s="346" t="str">
        <f t="shared" si="194"/>
        <v>0-ERRARBE</v>
      </c>
      <c r="AB393" s="346" t="str">
        <f t="shared" si="195"/>
        <v>0-ERRARBM</v>
      </c>
      <c r="AC393" s="346" t="str">
        <f t="shared" si="196"/>
        <v>0-ERRARBT</v>
      </c>
      <c r="AD393" s="346" t="str">
        <f t="shared" si="197"/>
        <v>0-ERRARBS</v>
      </c>
      <c r="AE393" s="346" t="str">
        <f t="shared" si="198"/>
        <v>0-ERRARBX</v>
      </c>
      <c r="AF393" s="346" t="str">
        <f t="shared" si="199"/>
        <v>0-ERRARBE</v>
      </c>
      <c r="AG393" s="346">
        <f t="shared" si="212"/>
        <v>9</v>
      </c>
      <c r="AH393" s="346">
        <f>IF(B393&lt;&gt;"",+IF(H393="x",+VLOOKUP(I393,'AUX-NIV2'!B:AG,32,FALSE),0),"")</f>
        <v>0</v>
      </c>
      <c r="AI393" s="346" t="str">
        <f t="shared" si="200"/>
        <v>0-ERRARB</v>
      </c>
      <c r="AK393" s="347">
        <f t="shared" si="213"/>
        <v>388</v>
      </c>
      <c r="AL393" s="348">
        <f t="shared" si="201"/>
        <v>396</v>
      </c>
      <c r="AM393" s="347">
        <f t="shared" si="202"/>
        <v>6</v>
      </c>
      <c r="AN393" s="382">
        <f>IF(AND(AH393&gt;0,B393&lt;&gt;""),VLOOKUP(I393,'AUX-NIV2'!$B:$AP,40,FALSE)*O393,0)</f>
        <v>0</v>
      </c>
      <c r="AO393" s="382">
        <f t="shared" si="214"/>
        <v>17.8125</v>
      </c>
      <c r="AQ393" s="395">
        <f>(IF($H393="x",VLOOKUP($I393,'AUX-NIV2'!$B:$X,'AUX-NIV1'!AQ$3,FALSE),0)+($AV393*'AUX-NIV3'!S$4))*$O393+IF($H393=AQ$4,$P393,0)</f>
        <v>0</v>
      </c>
      <c r="AR393" s="395">
        <f>(IF($H393="x",VLOOKUP($I393,'AUX-NIV2'!$B:$X,'AUX-NIV1'!AR$3,FALSE),0)+($AV393*'AUX-NIV3'!T$4))*$O393+IF($H393=AR$4,$P393,0)</f>
        <v>2641.6008000000002</v>
      </c>
      <c r="AS393" s="395">
        <f>(IF($H393="x",VLOOKUP($I393,'AUX-NIV2'!$B:$X,'AUX-NIV1'!AS$3,FALSE),0)+($AV393*'AUX-NIV3'!U$4))*$O393+IF($H393=AS$4,$P393,0)</f>
        <v>0</v>
      </c>
      <c r="AT393" s="395">
        <f>(IF($H393="x",VLOOKUP($I393,'AUX-NIV2'!$B:$X,'AUX-NIV1'!AT$3,FALSE),0)+($AV393*'AUX-NIV3'!V$4))*$O393+IF($H393=AT$4,$P393,0)</f>
        <v>0</v>
      </c>
      <c r="AU393" s="395">
        <f>(IF($H393="x",VLOOKUP($I393,'AUX-NIV2'!$B:$X,'AUX-NIV1'!AU$3,FALSE),0)+($AV393*'AUX-NIV3'!W$4))*$O393+IF($H393=AU$4,$P393,0)</f>
        <v>0</v>
      </c>
      <c r="AV393" s="395">
        <f>+IF($H393="x",VLOOKUP($I393,'AUX-NIV2'!$B:$X,'AUX-NIV1'!AV$3,FALSE),0)</f>
        <v>0</v>
      </c>
    </row>
    <row r="394" spans="2:48" ht="13.8" hidden="1" thickTop="1">
      <c r="B394" s="501" t="s">
        <v>3334</v>
      </c>
      <c r="C394" s="951" t="s">
        <v>3335</v>
      </c>
      <c r="D394" s="326" t="s">
        <v>610</v>
      </c>
      <c r="E394" s="349">
        <f>IF(B394&lt;&gt;"",+SUMIF(Items!C:C,'AUX-NIV1'!B394,Items!H:H),"")</f>
        <v>0</v>
      </c>
      <c r="F394" s="349">
        <f t="shared" si="204"/>
        <v>21965.55036658176</v>
      </c>
      <c r="G394" s="349">
        <f t="shared" si="205"/>
        <v>0</v>
      </c>
      <c r="H394" s="1395" t="str">
        <f t="shared" si="189"/>
        <v>A</v>
      </c>
      <c r="I394" s="1375" t="s">
        <v>1746</v>
      </c>
      <c r="J394" s="350" t="str">
        <f>IF(B394&lt;&gt;"",+VLOOKUP(I394,Recursos!C:F,2,FALSE),"")</f>
        <v>OFICIAL</v>
      </c>
      <c r="K394" s="351" t="str">
        <f>IF(B394&lt;&gt;"",+VLOOKUP(I394,Recursos!C:F,3,FALSE),"")</f>
        <v>hh</v>
      </c>
      <c r="L394" s="436">
        <f>IF(B394&lt;&gt;"",+VLOOKUP(I394,Recursos!C:F,4,FALSE),"")</f>
        <v>496.91595439275824</v>
      </c>
      <c r="M394" s="970"/>
      <c r="N394" s="968"/>
      <c r="O394" s="733">
        <f>N393*M388/M390</f>
        <v>1.875</v>
      </c>
      <c r="P394" s="440">
        <f t="shared" si="190"/>
        <v>931.71741448642172</v>
      </c>
      <c r="Q394" s="349">
        <f t="shared" si="191"/>
        <v>0</v>
      </c>
      <c r="R394" s="353">
        <f t="shared" si="192"/>
        <v>0</v>
      </c>
      <c r="S394" s="354">
        <f t="shared" si="206"/>
        <v>8529.7075040817581</v>
      </c>
      <c r="T394" s="354">
        <f t="shared" si="207"/>
        <v>13435.842862500002</v>
      </c>
      <c r="U394" s="355">
        <f t="shared" si="208"/>
        <v>0</v>
      </c>
      <c r="V394" s="355">
        <f t="shared" si="209"/>
        <v>0</v>
      </c>
      <c r="W394" s="355">
        <f t="shared" si="210"/>
        <v>0</v>
      </c>
      <c r="X394" s="355">
        <f t="shared" si="211"/>
        <v>0</v>
      </c>
      <c r="Y394" s="396"/>
      <c r="Z394" s="346" t="str">
        <f t="shared" si="193"/>
        <v>0-ERRARBA</v>
      </c>
      <c r="AA394" s="346" t="str">
        <f t="shared" si="194"/>
        <v>0-ERRARBE</v>
      </c>
      <c r="AB394" s="346" t="str">
        <f t="shared" si="195"/>
        <v>0-ERRARBM</v>
      </c>
      <c r="AC394" s="346" t="str">
        <f t="shared" si="196"/>
        <v>0-ERRARBT</v>
      </c>
      <c r="AD394" s="346" t="str">
        <f t="shared" si="197"/>
        <v>0-ERRARBS</v>
      </c>
      <c r="AE394" s="346" t="str">
        <f t="shared" si="198"/>
        <v>0-ERRARBX</v>
      </c>
      <c r="AF394" s="346" t="str">
        <f t="shared" si="199"/>
        <v>0-ERRARBA</v>
      </c>
      <c r="AG394" s="346">
        <f t="shared" si="212"/>
        <v>9</v>
      </c>
      <c r="AH394" s="346">
        <f>IF(B394&lt;&gt;"",+IF(H394="x",+VLOOKUP(I394,'AUX-NIV2'!B:AG,32,FALSE),0),"")</f>
        <v>0</v>
      </c>
      <c r="AI394" s="346" t="str">
        <f t="shared" si="200"/>
        <v>0-ERRARB</v>
      </c>
      <c r="AK394" s="347">
        <f t="shared" si="213"/>
        <v>388</v>
      </c>
      <c r="AL394" s="348">
        <f t="shared" si="201"/>
        <v>396</v>
      </c>
      <c r="AM394" s="347">
        <f t="shared" si="202"/>
        <v>7</v>
      </c>
      <c r="AN394" s="382">
        <f>IF(AND(AH394&gt;0,B394&lt;&gt;""),VLOOKUP(I394,'AUX-NIV2'!$B:$AP,40,FALSE)*O394,0)</f>
        <v>0</v>
      </c>
      <c r="AO394" s="382">
        <f t="shared" si="214"/>
        <v>17.8125</v>
      </c>
      <c r="AQ394" s="395">
        <f>(IF($H394="x",VLOOKUP($I394,'AUX-NIV2'!$B:$X,'AUX-NIV1'!AQ$3,FALSE),0)+($AV394*'AUX-NIV3'!S$4))*$O394+IF($H394=AQ$4,$P394,0)</f>
        <v>931.71741448642172</v>
      </c>
      <c r="AR394" s="395">
        <f>(IF($H394="x",VLOOKUP($I394,'AUX-NIV2'!$B:$X,'AUX-NIV1'!AR$3,FALSE),0)+($AV394*'AUX-NIV3'!T$4))*$O394+IF($H394=AR$4,$P394,0)</f>
        <v>0</v>
      </c>
      <c r="AS394" s="395">
        <f>(IF($H394="x",VLOOKUP($I394,'AUX-NIV2'!$B:$X,'AUX-NIV1'!AS$3,FALSE),0)+($AV394*'AUX-NIV3'!U$4))*$O394+IF($H394=AS$4,$P394,0)</f>
        <v>0</v>
      </c>
      <c r="AT394" s="395">
        <f>(IF($H394="x",VLOOKUP($I394,'AUX-NIV2'!$B:$X,'AUX-NIV1'!AT$3,FALSE),0)+($AV394*'AUX-NIV3'!V$4))*$O394+IF($H394=AT$4,$P394,0)</f>
        <v>0</v>
      </c>
      <c r="AU394" s="395">
        <f>(IF($H394="x",VLOOKUP($I394,'AUX-NIV2'!$B:$X,'AUX-NIV1'!AU$3,FALSE),0)+($AV394*'AUX-NIV3'!W$4))*$O394+IF($H394=AU$4,$P394,0)</f>
        <v>0</v>
      </c>
      <c r="AV394" s="395">
        <f>+IF($H394="x",VLOOKUP($I394,'AUX-NIV2'!$B:$X,'AUX-NIV1'!AV$3,FALSE),0)</f>
        <v>0</v>
      </c>
    </row>
    <row r="395" spans="2:48" ht="13.8" hidden="1" thickTop="1">
      <c r="B395" s="501" t="s">
        <v>3334</v>
      </c>
      <c r="C395" s="951" t="s">
        <v>3335</v>
      </c>
      <c r="D395" s="326" t="s">
        <v>610</v>
      </c>
      <c r="E395" s="349">
        <f>IF(B395&lt;&gt;"",+SUMIF(Items!C:C,'AUX-NIV1'!B395,Items!H:H),"")</f>
        <v>0</v>
      </c>
      <c r="F395" s="349">
        <f t="shared" si="204"/>
        <v>21965.55036658176</v>
      </c>
      <c r="G395" s="349">
        <f t="shared" si="205"/>
        <v>0</v>
      </c>
      <c r="H395" s="1395" t="str">
        <f t="shared" si="189"/>
        <v>E</v>
      </c>
      <c r="I395" s="1375" t="s">
        <v>1597</v>
      </c>
      <c r="J395" s="350" t="str">
        <f>IF(B395&lt;&gt;"",+VLOOKUP(I395,Recursos!C:F,2,FALSE),"")</f>
        <v>HIDROGRUA MONTADA S/CAMION (6 T)</v>
      </c>
      <c r="K395" s="351" t="str">
        <f>IF(B395&lt;&gt;"",+VLOOKUP(I395,Recursos!C:F,3,FALSE),"")</f>
        <v>HR</v>
      </c>
      <c r="L395" s="436">
        <f>IF(B395&lt;&gt;"",+VLOOKUP(I395,Recursos!C:F,4,FALSE),"")</f>
        <v>2378.0722500000002</v>
      </c>
      <c r="M395" s="970"/>
      <c r="N395" s="968">
        <v>0.75</v>
      </c>
      <c r="O395" s="733">
        <f>N395/M390</f>
        <v>2.25</v>
      </c>
      <c r="P395" s="440">
        <f t="shared" si="190"/>
        <v>5350.6625625000006</v>
      </c>
      <c r="Q395" s="349">
        <f t="shared" si="191"/>
        <v>0</v>
      </c>
      <c r="R395" s="353">
        <f t="shared" si="192"/>
        <v>0</v>
      </c>
      <c r="S395" s="354">
        <f t="shared" si="206"/>
        <v>8529.7075040817581</v>
      </c>
      <c r="T395" s="354">
        <f t="shared" si="207"/>
        <v>13435.842862500002</v>
      </c>
      <c r="U395" s="355">
        <f t="shared" si="208"/>
        <v>0</v>
      </c>
      <c r="V395" s="355">
        <f t="shared" si="209"/>
        <v>0</v>
      </c>
      <c r="W395" s="355">
        <f t="shared" si="210"/>
        <v>0</v>
      </c>
      <c r="X395" s="355">
        <f t="shared" si="211"/>
        <v>0</v>
      </c>
      <c r="Y395" s="396"/>
      <c r="Z395" s="346" t="str">
        <f t="shared" si="193"/>
        <v>0-ERRARBA</v>
      </c>
      <c r="AA395" s="346" t="str">
        <f t="shared" si="194"/>
        <v>0-ERRARBE</v>
      </c>
      <c r="AB395" s="346" t="str">
        <f t="shared" si="195"/>
        <v>0-ERRARBM</v>
      </c>
      <c r="AC395" s="346" t="str">
        <f t="shared" si="196"/>
        <v>0-ERRARBT</v>
      </c>
      <c r="AD395" s="346" t="str">
        <f t="shared" si="197"/>
        <v>0-ERRARBS</v>
      </c>
      <c r="AE395" s="346" t="str">
        <f t="shared" si="198"/>
        <v>0-ERRARBX</v>
      </c>
      <c r="AF395" s="346" t="str">
        <f t="shared" si="199"/>
        <v>0-ERRARBE</v>
      </c>
      <c r="AG395" s="346">
        <f t="shared" si="212"/>
        <v>9</v>
      </c>
      <c r="AH395" s="346">
        <f>IF(B395&lt;&gt;"",+IF(H395="x",+VLOOKUP(I395,'AUX-NIV2'!B:AG,32,FALSE),0),"")</f>
        <v>0</v>
      </c>
      <c r="AI395" s="346" t="str">
        <f t="shared" si="200"/>
        <v>0-ERRARB</v>
      </c>
      <c r="AK395" s="347">
        <f t="shared" si="213"/>
        <v>388</v>
      </c>
      <c r="AL395" s="348">
        <f t="shared" si="201"/>
        <v>396</v>
      </c>
      <c r="AM395" s="347">
        <f t="shared" si="202"/>
        <v>8</v>
      </c>
      <c r="AN395" s="382">
        <f>IF(AND(AH395&gt;0,B395&lt;&gt;""),VLOOKUP(I395,'AUX-NIV2'!$B:$AP,40,FALSE)*O395,0)</f>
        <v>0</v>
      </c>
      <c r="AO395" s="382">
        <f t="shared" si="214"/>
        <v>17.8125</v>
      </c>
      <c r="AQ395" s="395">
        <f>(IF($H395="x",VLOOKUP($I395,'AUX-NIV2'!$B:$X,'AUX-NIV1'!AQ$3,FALSE),0)+($AV395*'AUX-NIV3'!S$4))*$O395+IF($H395=AQ$4,$P395,0)</f>
        <v>0</v>
      </c>
      <c r="AR395" s="395">
        <f>(IF($H395="x",VLOOKUP($I395,'AUX-NIV2'!$B:$X,'AUX-NIV1'!AR$3,FALSE),0)+($AV395*'AUX-NIV3'!T$4))*$O395+IF($H395=AR$4,$P395,0)</f>
        <v>5350.6625625000006</v>
      </c>
      <c r="AS395" s="395">
        <f>(IF($H395="x",VLOOKUP($I395,'AUX-NIV2'!$B:$X,'AUX-NIV1'!AS$3,FALSE),0)+($AV395*'AUX-NIV3'!U$4))*$O395+IF($H395=AS$4,$P395,0)</f>
        <v>0</v>
      </c>
      <c r="AT395" s="395">
        <f>(IF($H395="x",VLOOKUP($I395,'AUX-NIV2'!$B:$X,'AUX-NIV1'!AT$3,FALSE),0)+($AV395*'AUX-NIV3'!V$4))*$O395+IF($H395=AT$4,$P395,0)</f>
        <v>0</v>
      </c>
      <c r="AU395" s="395">
        <f>(IF($H395="x",VLOOKUP($I395,'AUX-NIV2'!$B:$X,'AUX-NIV1'!AU$3,FALSE),0)+($AV395*'AUX-NIV3'!W$4))*$O395+IF($H395=AU$4,$P395,0)</f>
        <v>0</v>
      </c>
      <c r="AV395" s="395">
        <f>+IF($H395="x",VLOOKUP($I395,'AUX-NIV2'!$B:$X,'AUX-NIV1'!AV$3,FALSE),0)</f>
        <v>0</v>
      </c>
    </row>
    <row r="396" spans="2:48" ht="14.4" hidden="1" thickTop="1" thickBot="1">
      <c r="B396" s="501" t="s">
        <v>3334</v>
      </c>
      <c r="C396" s="951" t="s">
        <v>3335</v>
      </c>
      <c r="D396" s="326" t="s">
        <v>610</v>
      </c>
      <c r="E396" s="349">
        <f>IF(B396&lt;&gt;"",+SUMIF(Items!C:C,'AUX-NIV1'!B396,Items!H:H),"")</f>
        <v>0</v>
      </c>
      <c r="F396" s="349">
        <f t="shared" si="204"/>
        <v>21965.55036658176</v>
      </c>
      <c r="G396" s="349">
        <f t="shared" si="205"/>
        <v>0</v>
      </c>
      <c r="H396" s="1395" t="str">
        <f t="shared" si="189"/>
        <v>A</v>
      </c>
      <c r="I396" s="1375" t="s">
        <v>3310</v>
      </c>
      <c r="J396" s="350" t="str">
        <f>IF(B396&lt;&gt;"",+VLOOKUP(I396,Recursos!C:F,2,FALSE),"")</f>
        <v>OFICIAL ESPECIALIZADO</v>
      </c>
      <c r="K396" s="351" t="str">
        <f>IF(B396&lt;&gt;"",+VLOOKUP(I396,Recursos!C:F,3,FALSE),"")</f>
        <v>hh</v>
      </c>
      <c r="L396" s="436">
        <f>IF(B396&lt;&gt;"",+VLOOKUP(I396,Recursos!C:F,4,FALSE),"")</f>
        <v>581.06120476836554</v>
      </c>
      <c r="M396" s="969"/>
      <c r="N396" s="972"/>
      <c r="O396" s="733">
        <f>N395*M388/M390</f>
        <v>2.8125</v>
      </c>
      <c r="P396" s="440">
        <f t="shared" si="190"/>
        <v>1634.2346384110281</v>
      </c>
      <c r="Q396" s="349">
        <f t="shared" si="191"/>
        <v>0</v>
      </c>
      <c r="R396" s="353">
        <f t="shared" si="192"/>
        <v>0</v>
      </c>
      <c r="S396" s="354">
        <f t="shared" si="206"/>
        <v>8529.7075040817581</v>
      </c>
      <c r="T396" s="354">
        <f t="shared" si="207"/>
        <v>13435.842862500002</v>
      </c>
      <c r="U396" s="355">
        <f t="shared" si="208"/>
        <v>0</v>
      </c>
      <c r="V396" s="355">
        <f t="shared" si="209"/>
        <v>0</v>
      </c>
      <c r="W396" s="355">
        <f t="shared" si="210"/>
        <v>0</v>
      </c>
      <c r="X396" s="355">
        <f t="shared" si="211"/>
        <v>0</v>
      </c>
      <c r="Y396" s="396"/>
      <c r="Z396" s="346" t="str">
        <f t="shared" si="193"/>
        <v>0-ERRARBA</v>
      </c>
      <c r="AA396" s="346" t="str">
        <f t="shared" si="194"/>
        <v>0-ERRARBE</v>
      </c>
      <c r="AB396" s="346" t="str">
        <f t="shared" si="195"/>
        <v>0-ERRARBM</v>
      </c>
      <c r="AC396" s="346" t="str">
        <f t="shared" si="196"/>
        <v>0-ERRARBT</v>
      </c>
      <c r="AD396" s="346" t="str">
        <f t="shared" si="197"/>
        <v>0-ERRARBS</v>
      </c>
      <c r="AE396" s="346" t="str">
        <f t="shared" si="198"/>
        <v>0-ERRARBX</v>
      </c>
      <c r="AF396" s="346" t="str">
        <f t="shared" si="199"/>
        <v>0-ERRARBA</v>
      </c>
      <c r="AG396" s="346">
        <f t="shared" si="212"/>
        <v>9</v>
      </c>
      <c r="AH396" s="346">
        <f>IF(B396&lt;&gt;"",+IF(H396="x",+VLOOKUP(I396,'AUX-NIV2'!B:AG,32,FALSE),0),"")</f>
        <v>0</v>
      </c>
      <c r="AI396" s="346" t="str">
        <f t="shared" si="200"/>
        <v>0-ERRARB</v>
      </c>
      <c r="AK396" s="347">
        <f t="shared" si="213"/>
        <v>388</v>
      </c>
      <c r="AL396" s="348">
        <f t="shared" si="201"/>
        <v>396</v>
      </c>
      <c r="AM396" s="347">
        <f t="shared" si="202"/>
        <v>9</v>
      </c>
      <c r="AN396" s="382">
        <f>IF(AND(AH396&gt;0,B396&lt;&gt;""),VLOOKUP(I396,'AUX-NIV2'!$B:$AP,40,FALSE)*O396,0)</f>
        <v>0</v>
      </c>
      <c r="AO396" s="382">
        <f t="shared" si="214"/>
        <v>17.8125</v>
      </c>
      <c r="AQ396" s="395">
        <f>(IF($H396="x",VLOOKUP($I396,'AUX-NIV2'!$B:$X,'AUX-NIV1'!AQ$3,FALSE),0)+($AV396*'AUX-NIV3'!S$4))*$O396+IF($H396=AQ$4,$P396,0)</f>
        <v>1634.2346384110281</v>
      </c>
      <c r="AR396" s="395">
        <f>(IF($H396="x",VLOOKUP($I396,'AUX-NIV2'!$B:$X,'AUX-NIV1'!AR$3,FALSE),0)+($AV396*'AUX-NIV3'!T$4))*$O396+IF($H396=AR$4,$P396,0)</f>
        <v>0</v>
      </c>
      <c r="AS396" s="395">
        <f>(IF($H396="x",VLOOKUP($I396,'AUX-NIV2'!$B:$X,'AUX-NIV1'!AS$3,FALSE),0)+($AV396*'AUX-NIV3'!U$4))*$O396+IF($H396=AS$4,$P396,0)</f>
        <v>0</v>
      </c>
      <c r="AT396" s="395">
        <f>(IF($H396="x",VLOOKUP($I396,'AUX-NIV2'!$B:$X,'AUX-NIV1'!AT$3,FALSE),0)+($AV396*'AUX-NIV3'!V$4))*$O396+IF($H396=AT$4,$P396,0)</f>
        <v>0</v>
      </c>
      <c r="AU396" s="395">
        <f>(IF($H396="x",VLOOKUP($I396,'AUX-NIV2'!$B:$X,'AUX-NIV1'!AU$3,FALSE),0)+($AV396*'AUX-NIV3'!W$4))*$O396+IF($H396=AU$4,$P396,0)</f>
        <v>0</v>
      </c>
      <c r="AV396" s="395">
        <f>+IF($H396="x",VLOOKUP($I396,'AUX-NIV2'!$B:$X,'AUX-NIV1'!AV$3,FALSE),0)</f>
        <v>0</v>
      </c>
    </row>
    <row r="397" spans="2:48" ht="13.8" hidden="1" thickTop="1">
      <c r="B397" s="501" t="s">
        <v>3339</v>
      </c>
      <c r="C397" s="950" t="s">
        <v>3340</v>
      </c>
      <c r="D397" s="326" t="s">
        <v>501</v>
      </c>
      <c r="E397" s="349">
        <f>IF(B397&lt;&gt;"",+SUMIF(Items!C:C,'AUX-NIV1'!B397,Items!H:H),"")</f>
        <v>0</v>
      </c>
      <c r="F397" s="349">
        <f t="shared" si="204"/>
        <v>278.58097209800826</v>
      </c>
      <c r="G397" s="349">
        <f t="shared" si="205"/>
        <v>0</v>
      </c>
      <c r="H397" s="1395" t="str">
        <f t="shared" si="189"/>
        <v>M</v>
      </c>
      <c r="I397" s="996" t="s">
        <v>2229</v>
      </c>
      <c r="J397" s="350" t="str">
        <f>IF(B397&lt;&gt;"",+VLOOKUP(I397,Recursos!C:F,2,FALSE),"")</f>
        <v>SUELO VEGETAL</v>
      </c>
      <c r="K397" s="351" t="str">
        <f>IF(B397&lt;&gt;"",+VLOOKUP(I397,Recursos!C:F,3,FALSE),"")</f>
        <v>m3</v>
      </c>
      <c r="L397" s="436">
        <f>IF(B397&lt;&gt;"",+VLOOKUP(I397,Recursos!C:F,4,FALSE),"")</f>
        <v>400</v>
      </c>
      <c r="M397" s="997"/>
      <c r="N397" s="1000">
        <v>0.1</v>
      </c>
      <c r="O397" s="439">
        <f>N397</f>
        <v>0.1</v>
      </c>
      <c r="P397" s="440">
        <f t="shared" si="190"/>
        <v>40</v>
      </c>
      <c r="Q397" s="349">
        <f t="shared" si="191"/>
        <v>0</v>
      </c>
      <c r="R397" s="353">
        <f t="shared" si="192"/>
        <v>0</v>
      </c>
      <c r="S397" s="354">
        <f t="shared" si="206"/>
        <v>21.124021384833618</v>
      </c>
      <c r="T397" s="354">
        <f t="shared" si="207"/>
        <v>0</v>
      </c>
      <c r="U397" s="355">
        <f t="shared" si="208"/>
        <v>250.58165548098435</v>
      </c>
      <c r="V397" s="355">
        <f t="shared" si="209"/>
        <v>0</v>
      </c>
      <c r="W397" s="355">
        <f t="shared" si="210"/>
        <v>0</v>
      </c>
      <c r="X397" s="355">
        <f t="shared" si="211"/>
        <v>6.8752952321902994</v>
      </c>
      <c r="Y397" s="396"/>
      <c r="Z397" s="346" t="str">
        <f t="shared" si="193"/>
        <v>0-PARQA</v>
      </c>
      <c r="AA397" s="346" t="str">
        <f t="shared" si="194"/>
        <v>0-PARQE</v>
      </c>
      <c r="AB397" s="346" t="str">
        <f t="shared" si="195"/>
        <v>0-PARQM</v>
      </c>
      <c r="AC397" s="346" t="str">
        <f t="shared" si="196"/>
        <v>0-PARQT</v>
      </c>
      <c r="AD397" s="346" t="str">
        <f t="shared" si="197"/>
        <v>0-PARQS</v>
      </c>
      <c r="AE397" s="346" t="str">
        <f t="shared" si="198"/>
        <v>0-PARQX</v>
      </c>
      <c r="AF397" s="346" t="str">
        <f t="shared" si="199"/>
        <v>0-PARQM</v>
      </c>
      <c r="AG397" s="346">
        <f t="shared" si="212"/>
        <v>19</v>
      </c>
      <c r="AH397" s="346">
        <f>IF(B397&lt;&gt;"",+IF(H397="x",+VLOOKUP(I397,'AUX-NIV2'!B:AG,32,FALSE),0),"")</f>
        <v>0</v>
      </c>
      <c r="AI397" s="346" t="str">
        <f t="shared" si="200"/>
        <v>0-PARQ</v>
      </c>
      <c r="AK397" s="347">
        <f t="shared" si="213"/>
        <v>397</v>
      </c>
      <c r="AL397" s="348">
        <f t="shared" si="201"/>
        <v>415</v>
      </c>
      <c r="AM397" s="347">
        <f t="shared" si="202"/>
        <v>1</v>
      </c>
      <c r="AN397" s="382">
        <f>IF(AND(AH397&gt;0,B397&lt;&gt;""),VLOOKUP(I397,'AUX-NIV2'!$B:$AP,40,FALSE)*O397,0)</f>
        <v>0</v>
      </c>
      <c r="AO397" s="382">
        <f t="shared" si="214"/>
        <v>6.5000000000000002E-2</v>
      </c>
      <c r="AQ397" s="395">
        <f>(IF($H397="x",VLOOKUP($I397,'AUX-NIV2'!$B:$X,'AUX-NIV1'!AQ$3,FALSE),0)+($AV397*'AUX-NIV3'!S$4))*$O397+IF($H397=AQ$4,$P397,0)</f>
        <v>0</v>
      </c>
      <c r="AR397" s="395">
        <f>(IF($H397="x",VLOOKUP($I397,'AUX-NIV2'!$B:$X,'AUX-NIV1'!AR$3,FALSE),0)+($AV397*'AUX-NIV3'!T$4))*$O397+IF($H397=AR$4,$P397,0)</f>
        <v>0</v>
      </c>
      <c r="AS397" s="395">
        <f>(IF($H397="x",VLOOKUP($I397,'AUX-NIV2'!$B:$X,'AUX-NIV1'!AS$3,FALSE),0)+($AV397*'AUX-NIV3'!U$4))*$O397+IF($H397=AS$4,$P397,0)</f>
        <v>40</v>
      </c>
      <c r="AT397" s="395">
        <f>(IF($H397="x",VLOOKUP($I397,'AUX-NIV2'!$B:$X,'AUX-NIV1'!AT$3,FALSE),0)+($AV397*'AUX-NIV3'!V$4))*$O397+IF($H397=AT$4,$P397,0)</f>
        <v>0</v>
      </c>
      <c r="AU397" s="395">
        <f>(IF($H397="x",VLOOKUP($I397,'AUX-NIV2'!$B:$X,'AUX-NIV1'!AU$3,FALSE),0)+($AV397*'AUX-NIV3'!W$4))*$O397+IF($H397=AU$4,$P397,0)</f>
        <v>0</v>
      </c>
      <c r="AV397" s="395">
        <f>+IF($H397="x",VLOOKUP($I397,'AUX-NIV2'!$B:$X,'AUX-NIV1'!AV$3,FALSE),0)</f>
        <v>0</v>
      </c>
    </row>
    <row r="398" spans="2:48" ht="13.8" hidden="1" thickTop="1">
      <c r="B398" s="501" t="s">
        <v>3339</v>
      </c>
      <c r="C398" s="950" t="s">
        <v>3340</v>
      </c>
      <c r="D398" s="326" t="s">
        <v>501</v>
      </c>
      <c r="E398" s="349">
        <f>IF(B398&lt;&gt;"",+SUMIF(Items!C:C,'AUX-NIV1'!B398,Items!H:H),"")</f>
        <v>0</v>
      </c>
      <c r="F398" s="349">
        <f t="shared" si="204"/>
        <v>278.58097209800826</v>
      </c>
      <c r="G398" s="349">
        <f t="shared" si="205"/>
        <v>0</v>
      </c>
      <c r="H398" s="1395" t="str">
        <f t="shared" si="189"/>
        <v>X</v>
      </c>
      <c r="I398" s="1398" t="s">
        <v>3342</v>
      </c>
      <c r="J398" s="350" t="str">
        <f>IF(B398&lt;&gt;"",+VLOOKUP(I398,Recursos!C:F,2,FALSE),"")</f>
        <v>Cuadrilla de Jardineros</v>
      </c>
      <c r="K398" s="351" t="str">
        <f>IF(B398&lt;&gt;"",+VLOOKUP(I398,Recursos!C:F,3,FALSE),"")</f>
        <v>hs</v>
      </c>
      <c r="L398" s="436">
        <f>IF(B398&lt;&gt;"",+VLOOKUP(I398,Recursos!C:F,4,FALSE),"")</f>
        <v>3437.6476160951497</v>
      </c>
      <c r="M398" s="998"/>
      <c r="N398" s="1001">
        <v>500</v>
      </c>
      <c r="O398" s="439">
        <f>1/N398</f>
        <v>2E-3</v>
      </c>
      <c r="P398" s="440">
        <f t="shared" si="190"/>
        <v>6.8752952321902994</v>
      </c>
      <c r="Q398" s="349">
        <f t="shared" si="191"/>
        <v>0</v>
      </c>
      <c r="R398" s="353">
        <f t="shared" si="192"/>
        <v>0</v>
      </c>
      <c r="S398" s="354">
        <f t="shared" si="206"/>
        <v>21.124021384833618</v>
      </c>
      <c r="T398" s="354">
        <f t="shared" si="207"/>
        <v>0</v>
      </c>
      <c r="U398" s="355">
        <f t="shared" si="208"/>
        <v>250.58165548098435</v>
      </c>
      <c r="V398" s="355">
        <f t="shared" si="209"/>
        <v>0</v>
      </c>
      <c r="W398" s="355">
        <f t="shared" si="210"/>
        <v>0</v>
      </c>
      <c r="X398" s="355">
        <f t="shared" si="211"/>
        <v>6.8752952321902994</v>
      </c>
      <c r="Y398" s="396"/>
      <c r="Z398" s="346" t="str">
        <f t="shared" si="193"/>
        <v>0-PARQA</v>
      </c>
      <c r="AA398" s="346" t="str">
        <f t="shared" si="194"/>
        <v>0-PARQE</v>
      </c>
      <c r="AB398" s="346" t="str">
        <f t="shared" si="195"/>
        <v>0-PARQM</v>
      </c>
      <c r="AC398" s="346" t="str">
        <f t="shared" si="196"/>
        <v>0-PARQT</v>
      </c>
      <c r="AD398" s="346" t="str">
        <f t="shared" si="197"/>
        <v>0-PARQS</v>
      </c>
      <c r="AE398" s="346" t="str">
        <f t="shared" si="198"/>
        <v>0-PARQX</v>
      </c>
      <c r="AF398" s="346" t="str">
        <f t="shared" si="199"/>
        <v>0-PARQX</v>
      </c>
      <c r="AG398" s="346">
        <f t="shared" si="212"/>
        <v>19</v>
      </c>
      <c r="AH398" s="346">
        <f>IF(B398&lt;&gt;"",+IF(H398="x",+VLOOKUP(I398,'AUX-NIV2'!B:AG,32,FALSE),0),"")</f>
        <v>4</v>
      </c>
      <c r="AI398" s="346" t="str">
        <f t="shared" si="200"/>
        <v>0-PARQ</v>
      </c>
      <c r="AK398" s="347">
        <f t="shared" si="213"/>
        <v>397</v>
      </c>
      <c r="AL398" s="348">
        <f t="shared" si="201"/>
        <v>415</v>
      </c>
      <c r="AM398" s="347">
        <f t="shared" si="202"/>
        <v>2</v>
      </c>
      <c r="AN398" s="382">
        <f>IF(AND(AH398&gt;0,B398&lt;&gt;""),VLOOKUP(I398,'AUX-NIV2'!$B:$AP,40,FALSE)*O398,0)</f>
        <v>1.4999999999999999E-2</v>
      </c>
      <c r="AO398" s="382">
        <f t="shared" si="214"/>
        <v>6.5000000000000002E-2</v>
      </c>
      <c r="AQ398" s="395">
        <f>(IF($H398="x",VLOOKUP($I398,'AUX-NIV2'!$B:$X,'AUX-NIV1'!AQ$3,FALSE),0)+($AV398*'AUX-NIV3'!S$4))*$O398+IF($H398=AQ$4,$P398,0)</f>
        <v>6.5232952321902999</v>
      </c>
      <c r="AR398" s="395">
        <f>(IF($H398="x",VLOOKUP($I398,'AUX-NIV2'!$B:$X,'AUX-NIV1'!AR$3,FALSE),0)+($AV398*'AUX-NIV3'!T$4))*$O398+IF($H398=AR$4,$P398,0)</f>
        <v>0</v>
      </c>
      <c r="AS398" s="395">
        <f>(IF($H398="x",VLOOKUP($I398,'AUX-NIV2'!$B:$X,'AUX-NIV1'!AS$3,FALSE),0)+($AV398*'AUX-NIV3'!U$4))*$O398+IF($H398=AS$4,$P398,0)</f>
        <v>0.35199999999999998</v>
      </c>
      <c r="AT398" s="395">
        <f>(IF($H398="x",VLOOKUP($I398,'AUX-NIV2'!$B:$X,'AUX-NIV1'!AT$3,FALSE),0)+($AV398*'AUX-NIV3'!V$4))*$O398+IF($H398=AT$4,$P398,0)</f>
        <v>0</v>
      </c>
      <c r="AU398" s="395">
        <f>(IF($H398="x",VLOOKUP($I398,'AUX-NIV2'!$B:$X,'AUX-NIV1'!AU$3,FALSE),0)+($AV398*'AUX-NIV3'!W$4))*$O398+IF($H398=AU$4,$P398,0)</f>
        <v>0</v>
      </c>
      <c r="AV398" s="395">
        <f>+IF($H398="x",VLOOKUP($I398,'AUX-NIV2'!$B:$X,'AUX-NIV1'!AV$3,FALSE),0)</f>
        <v>0</v>
      </c>
    </row>
    <row r="399" spans="2:48" ht="13.8" hidden="1" thickTop="1">
      <c r="B399" s="501" t="s">
        <v>3339</v>
      </c>
      <c r="C399" s="950" t="s">
        <v>3340</v>
      </c>
      <c r="D399" s="326" t="s">
        <v>501</v>
      </c>
      <c r="E399" s="349">
        <f>IF(B399&lt;&gt;"",+SUMIF(Items!C:C,'AUX-NIV1'!B399,Items!H:H),"")</f>
        <v>0</v>
      </c>
      <c r="F399" s="349">
        <f t="shared" si="204"/>
        <v>278.58097209800826</v>
      </c>
      <c r="G399" s="349">
        <f t="shared" si="205"/>
        <v>0</v>
      </c>
      <c r="H399" s="1395" t="str">
        <f t="shared" si="189"/>
        <v>X</v>
      </c>
      <c r="I399" s="1398" t="s">
        <v>3374</v>
      </c>
      <c r="J399" s="350" t="str">
        <f>IF(B399&lt;&gt;"",+VLOOKUP(I399,Recursos!C:F,2,FALSE),"")</f>
        <v>Equipos para Jardinería</v>
      </c>
      <c r="K399" s="351" t="str">
        <f>IF(B399&lt;&gt;"",+VLOOKUP(I399,Recursos!C:F,3,FALSE),"")</f>
        <v>hs</v>
      </c>
      <c r="L399" s="436">
        <f>IF(B399&lt;&gt;"",+VLOOKUP(I399,Recursos!C:F,4,FALSE),"")</f>
        <v>5946.3529031782746</v>
      </c>
      <c r="M399" s="998"/>
      <c r="N399" s="999"/>
      <c r="O399" s="1532">
        <f>1/N398*0</f>
        <v>0</v>
      </c>
      <c r="P399" s="440">
        <f t="shared" si="190"/>
        <v>0</v>
      </c>
      <c r="Q399" s="349">
        <f t="shared" si="191"/>
        <v>0</v>
      </c>
      <c r="R399" s="353">
        <f t="shared" si="192"/>
        <v>0</v>
      </c>
      <c r="S399" s="354">
        <f t="shared" si="206"/>
        <v>21.124021384833618</v>
      </c>
      <c r="T399" s="354">
        <f t="shared" si="207"/>
        <v>0</v>
      </c>
      <c r="U399" s="355">
        <f t="shared" si="208"/>
        <v>250.58165548098435</v>
      </c>
      <c r="V399" s="355">
        <f t="shared" si="209"/>
        <v>0</v>
      </c>
      <c r="W399" s="355">
        <f t="shared" si="210"/>
        <v>0</v>
      </c>
      <c r="X399" s="355">
        <f t="shared" si="211"/>
        <v>6.8752952321902994</v>
      </c>
      <c r="Y399" s="396"/>
      <c r="Z399" s="346" t="str">
        <f t="shared" si="193"/>
        <v>0-PARQA</v>
      </c>
      <c r="AA399" s="346" t="str">
        <f t="shared" si="194"/>
        <v>0-PARQE</v>
      </c>
      <c r="AB399" s="346" t="str">
        <f t="shared" si="195"/>
        <v>0-PARQM</v>
      </c>
      <c r="AC399" s="346" t="str">
        <f t="shared" si="196"/>
        <v>0-PARQT</v>
      </c>
      <c r="AD399" s="346" t="str">
        <f t="shared" si="197"/>
        <v>0-PARQS</v>
      </c>
      <c r="AE399" s="346" t="str">
        <f t="shared" si="198"/>
        <v>0-PARQX</v>
      </c>
      <c r="AF399" s="346" t="str">
        <f t="shared" si="199"/>
        <v>0-PARQX</v>
      </c>
      <c r="AG399" s="346">
        <f t="shared" si="212"/>
        <v>19</v>
      </c>
      <c r="AH399" s="346">
        <f>IF(B399&lt;&gt;"",+IF(H399="x",+VLOOKUP(I399,'AUX-NIV2'!B:AG,32,FALSE),0),"")</f>
        <v>9</v>
      </c>
      <c r="AI399" s="346" t="str">
        <f t="shared" si="200"/>
        <v>0-PARQ</v>
      </c>
      <c r="AK399" s="347">
        <f t="shared" si="213"/>
        <v>397</v>
      </c>
      <c r="AL399" s="348">
        <f t="shared" si="201"/>
        <v>415</v>
      </c>
      <c r="AM399" s="347">
        <f t="shared" si="202"/>
        <v>3</v>
      </c>
      <c r="AN399" s="382">
        <f>IF(AND(AH399&gt;0,B399&lt;&gt;""),VLOOKUP(I399,'AUX-NIV2'!$B:$AP,40,FALSE)*O399,0)</f>
        <v>0</v>
      </c>
      <c r="AO399" s="382">
        <f t="shared" si="214"/>
        <v>6.5000000000000002E-2</v>
      </c>
      <c r="AQ399" s="395">
        <f>(IF($H399="x",VLOOKUP($I399,'AUX-NIV2'!$B:$X,'AUX-NIV1'!AQ$3,FALSE),0)+($AV399*'AUX-NIV3'!S$4))*$O399+IF($H399=AQ$4,$P399,0)</f>
        <v>0</v>
      </c>
      <c r="AR399" s="395">
        <f>(IF($H399="x",VLOOKUP($I399,'AUX-NIV2'!$B:$X,'AUX-NIV1'!AR$3,FALSE),0)+($AV399*'AUX-NIV3'!T$4))*$O399+IF($H399=AR$4,$P399,0)</f>
        <v>0</v>
      </c>
      <c r="AS399" s="395">
        <f>(IF($H399="x",VLOOKUP($I399,'AUX-NIV2'!$B:$X,'AUX-NIV1'!AS$3,FALSE),0)+($AV399*'AUX-NIV3'!U$4))*$O399+IF($H399=AS$4,$P399,0)</f>
        <v>0</v>
      </c>
      <c r="AT399" s="395">
        <f>(IF($H399="x",VLOOKUP($I399,'AUX-NIV2'!$B:$X,'AUX-NIV1'!AT$3,FALSE),0)+($AV399*'AUX-NIV3'!V$4))*$O399+IF($H399=AT$4,$P399,0)</f>
        <v>0</v>
      </c>
      <c r="AU399" s="395">
        <f>(IF($H399="x",VLOOKUP($I399,'AUX-NIV2'!$B:$X,'AUX-NIV1'!AU$3,FALSE),0)+($AV399*'AUX-NIV3'!W$4))*$O399+IF($H399=AU$4,$P399,0)</f>
        <v>0</v>
      </c>
      <c r="AV399" s="395">
        <f>+IF($H399="x",VLOOKUP($I399,'AUX-NIV2'!$B:$X,'AUX-NIV1'!AV$3,FALSE),0)</f>
        <v>0</v>
      </c>
    </row>
    <row r="400" spans="2:48" ht="13.8" hidden="1" thickTop="1">
      <c r="B400" s="501" t="s">
        <v>3339</v>
      </c>
      <c r="C400" s="950" t="s">
        <v>3340</v>
      </c>
      <c r="D400" s="326" t="s">
        <v>501</v>
      </c>
      <c r="E400" s="349">
        <f>IF(B400&lt;&gt;"",+SUMIF(Items!C:C,'AUX-NIV1'!B400,Items!H:H),"")</f>
        <v>0</v>
      </c>
      <c r="F400" s="349">
        <f t="shared" si="204"/>
        <v>278.58097209800826</v>
      </c>
      <c r="G400" s="349">
        <f t="shared" si="205"/>
        <v>0</v>
      </c>
      <c r="H400" s="1395" t="str">
        <f t="shared" ref="H400:H475" si="215">IF(B400&lt;&gt;"",+LEFT(I400,1),"")</f>
        <v>M</v>
      </c>
      <c r="I400" s="1398" t="s">
        <v>3343</v>
      </c>
      <c r="J400" s="350" t="str">
        <f>IF(B400&lt;&gt;"",+VLOOKUP(I400,Recursos!C:F,2,FALSE),"")</f>
        <v>SEMILLAS DE CESPED</v>
      </c>
      <c r="K400" s="351" t="str">
        <f>IF(B400&lt;&gt;"",+VLOOKUP(I400,Recursos!C:F,3,FALSE),"")</f>
        <v>Kg</v>
      </c>
      <c r="L400" s="436">
        <f>IF(B400&lt;&gt;"",+VLOOKUP(I400,Recursos!C:F,4,FALSE),"")</f>
        <v>280</v>
      </c>
      <c r="M400" s="998"/>
      <c r="N400" s="1001">
        <v>30</v>
      </c>
      <c r="O400" s="439">
        <f>1/N400</f>
        <v>3.3333333333333333E-2</v>
      </c>
      <c r="P400" s="440">
        <f t="shared" ref="P400:P475" si="216">IF(B400&lt;&gt;"",O400*L400,"")</f>
        <v>9.3333333333333339</v>
      </c>
      <c r="Q400" s="349">
        <f t="shared" ref="Q400:Q475" si="217">IF(B400&lt;&gt;"",+O400*E400,"")</f>
        <v>0</v>
      </c>
      <c r="R400" s="353">
        <f t="shared" ref="R400:R475" si="218">IF(B400&lt;&gt;"",Q400*L400,"")</f>
        <v>0</v>
      </c>
      <c r="S400" s="354">
        <f t="shared" si="206"/>
        <v>21.124021384833618</v>
      </c>
      <c r="T400" s="354">
        <f t="shared" si="207"/>
        <v>0</v>
      </c>
      <c r="U400" s="355">
        <f t="shared" si="208"/>
        <v>250.58165548098435</v>
      </c>
      <c r="V400" s="355">
        <f t="shared" si="209"/>
        <v>0</v>
      </c>
      <c r="W400" s="355">
        <f t="shared" si="210"/>
        <v>0</v>
      </c>
      <c r="X400" s="355">
        <f t="shared" si="211"/>
        <v>6.8752952321902994</v>
      </c>
      <c r="Y400" s="396"/>
      <c r="Z400" s="346" t="str">
        <f t="shared" ref="Z400:Z475" si="219">IF(B400&lt;&gt;"",+$B400&amp;"A","")</f>
        <v>0-PARQA</v>
      </c>
      <c r="AA400" s="346" t="str">
        <f t="shared" ref="AA400:AA475" si="220">IF(B400&lt;&gt;"",+$B400&amp;"E","")</f>
        <v>0-PARQE</v>
      </c>
      <c r="AB400" s="346" t="str">
        <f t="shared" ref="AB400:AB475" si="221">IF(B400&lt;&gt;"",++$B400&amp;"M","")</f>
        <v>0-PARQM</v>
      </c>
      <c r="AC400" s="346" t="str">
        <f t="shared" ref="AC400:AC475" si="222">IF(B400&lt;&gt;"",+$B400&amp;"T","")</f>
        <v>0-PARQT</v>
      </c>
      <c r="AD400" s="346" t="str">
        <f t="shared" ref="AD400:AD475" si="223">IF(B400&lt;&gt;"",+$B400&amp;"S","")</f>
        <v>0-PARQS</v>
      </c>
      <c r="AE400" s="346" t="str">
        <f t="shared" ref="AE400:AE475" si="224">IF(B400&lt;&gt;"",+$B400&amp;"X","")</f>
        <v>0-PARQX</v>
      </c>
      <c r="AF400" s="346" t="str">
        <f t="shared" ref="AF400:AF475" si="225">IF(B400&lt;&gt;"",+B400&amp;H400,"")</f>
        <v>0-PARQM</v>
      </c>
      <c r="AG400" s="346">
        <f t="shared" si="212"/>
        <v>19</v>
      </c>
      <c r="AH400" s="346">
        <f>IF(B400&lt;&gt;"",+IF(H400="x",+VLOOKUP(I400,'AUX-NIV2'!B:AG,32,FALSE),0),"")</f>
        <v>0</v>
      </c>
      <c r="AI400" s="346" t="str">
        <f t="shared" ref="AI400:AI475" si="226">IF(B400&lt;&gt;"",+B400,"")</f>
        <v>0-PARQ</v>
      </c>
      <c r="AK400" s="347">
        <f t="shared" si="213"/>
        <v>397</v>
      </c>
      <c r="AL400" s="348">
        <f t="shared" ref="AL400:AL475" si="227">IF(B400&lt;&gt;"",+AK400+AG400-1,"")</f>
        <v>415</v>
      </c>
      <c r="AM400" s="347">
        <f t="shared" ref="AM400:AM475" si="228">IF(B400&lt;&gt;"",IF(B400=B399,1+AM399,1),"")</f>
        <v>4</v>
      </c>
      <c r="AN400" s="382">
        <f>IF(AND(AH400&gt;0,B400&lt;&gt;""),VLOOKUP(I400,'AUX-NIV2'!$B:$AP,40,FALSE)*O400,0)</f>
        <v>0</v>
      </c>
      <c r="AO400" s="382">
        <f t="shared" si="214"/>
        <v>6.5000000000000002E-2</v>
      </c>
      <c r="AQ400" s="395">
        <f>(IF($H400="x",VLOOKUP($I400,'AUX-NIV2'!$B:$X,'AUX-NIV1'!AQ$3,FALSE),0)+($AV400*'AUX-NIV3'!S$4))*$O400+IF($H400=AQ$4,$P400,0)</f>
        <v>0</v>
      </c>
      <c r="AR400" s="395">
        <f>(IF($H400="x",VLOOKUP($I400,'AUX-NIV2'!$B:$X,'AUX-NIV1'!AR$3,FALSE),0)+($AV400*'AUX-NIV3'!T$4))*$O400+IF($H400=AR$4,$P400,0)</f>
        <v>0</v>
      </c>
      <c r="AS400" s="395">
        <f>(IF($H400="x",VLOOKUP($I400,'AUX-NIV2'!$B:$X,'AUX-NIV1'!AS$3,FALSE),0)+($AV400*'AUX-NIV3'!U$4))*$O400+IF($H400=AS$4,$P400,0)</f>
        <v>9.3333333333333339</v>
      </c>
      <c r="AT400" s="395">
        <f>(IF($H400="x",VLOOKUP($I400,'AUX-NIV2'!$B:$X,'AUX-NIV1'!AT$3,FALSE),0)+($AV400*'AUX-NIV3'!V$4))*$O400+IF($H400=AT$4,$P400,0)</f>
        <v>0</v>
      </c>
      <c r="AU400" s="395">
        <f>(IF($H400="x",VLOOKUP($I400,'AUX-NIV2'!$B:$X,'AUX-NIV1'!AU$3,FALSE),0)+($AV400*'AUX-NIV3'!W$4))*$O400+IF($H400=AU$4,$P400,0)</f>
        <v>0</v>
      </c>
      <c r="AV400" s="395">
        <f>+IF($H400="x",VLOOKUP($I400,'AUX-NIV2'!$B:$X,'AUX-NIV1'!AV$3,FALSE),0)</f>
        <v>0</v>
      </c>
    </row>
    <row r="401" spans="2:48" ht="13.8" hidden="1" thickTop="1">
      <c r="B401" s="501" t="s">
        <v>3339</v>
      </c>
      <c r="C401" s="950" t="s">
        <v>3340</v>
      </c>
      <c r="D401" s="326" t="s">
        <v>501</v>
      </c>
      <c r="E401" s="349">
        <f>IF(B401&lt;&gt;"",+SUMIF(Items!C:C,'AUX-NIV1'!B401,Items!H:H),"")</f>
        <v>0</v>
      </c>
      <c r="F401" s="349">
        <f t="shared" si="204"/>
        <v>278.58097209800826</v>
      </c>
      <c r="G401" s="349">
        <f t="shared" si="205"/>
        <v>0</v>
      </c>
      <c r="H401" s="1395" t="str">
        <f t="shared" si="215"/>
        <v>M</v>
      </c>
      <c r="I401" s="1398" t="s">
        <v>3345</v>
      </c>
      <c r="J401" s="350" t="str">
        <f>IF(B401&lt;&gt;"",+VLOOKUP(I401,Recursos!C:F,2,FALSE),"")</f>
        <v>CORTADERAS SELLOANA</v>
      </c>
      <c r="K401" s="351" t="str">
        <f>IF(B401&lt;&gt;"",+VLOOKUP(I401,Recursos!C:F,3,FALSE),"")</f>
        <v>Un</v>
      </c>
      <c r="L401" s="436">
        <f>IF(B401&lt;&gt;"",+VLOOKUP(I401,Recursos!C:F,4,FALSE),"")</f>
        <v>350</v>
      </c>
      <c r="M401" s="1006"/>
      <c r="N401" s="1485">
        <v>6.7114093959731544E-2</v>
      </c>
      <c r="O401" s="439">
        <f>N401</f>
        <v>6.7114093959731544E-2</v>
      </c>
      <c r="P401" s="440">
        <f t="shared" si="216"/>
        <v>23.48993288590604</v>
      </c>
      <c r="Q401" s="349">
        <f t="shared" si="217"/>
        <v>0</v>
      </c>
      <c r="R401" s="353">
        <f t="shared" si="218"/>
        <v>0</v>
      </c>
      <c r="S401" s="354">
        <f t="shared" si="206"/>
        <v>21.124021384833618</v>
      </c>
      <c r="T401" s="354">
        <f t="shared" si="207"/>
        <v>0</v>
      </c>
      <c r="U401" s="355">
        <f t="shared" si="208"/>
        <v>250.58165548098435</v>
      </c>
      <c r="V401" s="355">
        <f t="shared" si="209"/>
        <v>0</v>
      </c>
      <c r="W401" s="355">
        <f t="shared" si="210"/>
        <v>0</v>
      </c>
      <c r="X401" s="355">
        <f t="shared" si="211"/>
        <v>6.8752952321902994</v>
      </c>
      <c r="Y401" s="396"/>
      <c r="Z401" s="346" t="str">
        <f t="shared" si="219"/>
        <v>0-PARQA</v>
      </c>
      <c r="AA401" s="346" t="str">
        <f t="shared" si="220"/>
        <v>0-PARQE</v>
      </c>
      <c r="AB401" s="346" t="str">
        <f t="shared" si="221"/>
        <v>0-PARQM</v>
      </c>
      <c r="AC401" s="346" t="str">
        <f t="shared" si="222"/>
        <v>0-PARQT</v>
      </c>
      <c r="AD401" s="346" t="str">
        <f t="shared" si="223"/>
        <v>0-PARQS</v>
      </c>
      <c r="AE401" s="346" t="str">
        <f t="shared" si="224"/>
        <v>0-PARQX</v>
      </c>
      <c r="AF401" s="346" t="str">
        <f t="shared" si="225"/>
        <v>0-PARQM</v>
      </c>
      <c r="AG401" s="346">
        <f t="shared" si="212"/>
        <v>19</v>
      </c>
      <c r="AH401" s="346">
        <f>IF(B401&lt;&gt;"",+IF(H401="x",+VLOOKUP(I401,'AUX-NIV2'!B:AG,32,FALSE),0),"")</f>
        <v>0</v>
      </c>
      <c r="AI401" s="346" t="str">
        <f t="shared" si="226"/>
        <v>0-PARQ</v>
      </c>
      <c r="AK401" s="347">
        <f t="shared" si="213"/>
        <v>397</v>
      </c>
      <c r="AL401" s="348">
        <f t="shared" si="227"/>
        <v>415</v>
      </c>
      <c r="AM401" s="347">
        <f t="shared" si="228"/>
        <v>5</v>
      </c>
      <c r="AN401" s="382">
        <f>IF(AND(AH401&gt;0,B401&lt;&gt;""),VLOOKUP(I401,'AUX-NIV2'!$B:$AP,40,FALSE)*O401,0)</f>
        <v>0</v>
      </c>
      <c r="AO401" s="382">
        <f t="shared" si="214"/>
        <v>6.5000000000000002E-2</v>
      </c>
      <c r="AQ401" s="395">
        <f>(IF($H401="x",VLOOKUP($I401,'AUX-NIV2'!$B:$X,'AUX-NIV1'!AQ$3,FALSE),0)+($AV401*'AUX-NIV3'!S$4))*$O401+IF($H401=AQ$4,$P401,0)</f>
        <v>0</v>
      </c>
      <c r="AR401" s="395">
        <f>(IF($H401="x",VLOOKUP($I401,'AUX-NIV2'!$B:$X,'AUX-NIV1'!AR$3,FALSE),0)+($AV401*'AUX-NIV3'!T$4))*$O401+IF($H401=AR$4,$P401,0)</f>
        <v>0</v>
      </c>
      <c r="AS401" s="395">
        <f>(IF($H401="x",VLOOKUP($I401,'AUX-NIV2'!$B:$X,'AUX-NIV1'!AS$3,FALSE),0)+($AV401*'AUX-NIV3'!U$4))*$O401+IF($H401=AS$4,$P401,0)</f>
        <v>23.48993288590604</v>
      </c>
      <c r="AT401" s="395">
        <f>(IF($H401="x",VLOOKUP($I401,'AUX-NIV2'!$B:$X,'AUX-NIV1'!AT$3,FALSE),0)+($AV401*'AUX-NIV3'!V$4))*$O401+IF($H401=AT$4,$P401,0)</f>
        <v>0</v>
      </c>
      <c r="AU401" s="395">
        <f>(IF($H401="x",VLOOKUP($I401,'AUX-NIV2'!$B:$X,'AUX-NIV1'!AU$3,FALSE),0)+($AV401*'AUX-NIV3'!W$4))*$O401+IF($H401=AU$4,$P401,0)</f>
        <v>0</v>
      </c>
      <c r="AV401" s="395">
        <f>+IF($H401="x",VLOOKUP($I401,'AUX-NIV2'!$B:$X,'AUX-NIV1'!AV$3,FALSE),0)</f>
        <v>0</v>
      </c>
    </row>
    <row r="402" spans="2:48" ht="13.8" hidden="1" thickTop="1">
      <c r="B402" s="501" t="s">
        <v>3339</v>
      </c>
      <c r="C402" s="950" t="s">
        <v>3340</v>
      </c>
      <c r="D402" s="326" t="s">
        <v>501</v>
      </c>
      <c r="E402" s="349">
        <f>IF(B402&lt;&gt;"",+SUMIF(Items!C:C,'AUX-NIV1'!B402,Items!H:H),"")</f>
        <v>0</v>
      </c>
      <c r="F402" s="349">
        <f t="shared" si="204"/>
        <v>278.58097209800826</v>
      </c>
      <c r="G402" s="349">
        <f t="shared" si="205"/>
        <v>0</v>
      </c>
      <c r="H402" s="1395" t="str">
        <f t="shared" si="215"/>
        <v>M</v>
      </c>
      <c r="I402" s="1398" t="s">
        <v>3346</v>
      </c>
      <c r="J402" s="350" t="str">
        <f>IF(B402&lt;&gt;"",+VLOOKUP(I402,Recursos!C:F,2,FALSE),"")</f>
        <v>PENNISETUM</v>
      </c>
      <c r="K402" s="351" t="str">
        <f>IF(B402&lt;&gt;"",+VLOOKUP(I402,Recursos!C:F,3,FALSE),"")</f>
        <v>Un</v>
      </c>
      <c r="L402" s="436">
        <f>IF(B402&lt;&gt;"",+VLOOKUP(I402,Recursos!C:F,4,FALSE),"")</f>
        <v>250</v>
      </c>
      <c r="M402" s="1006"/>
      <c r="N402" s="1485">
        <v>3.3557046979865772E-2</v>
      </c>
      <c r="O402" s="439">
        <f t="shared" ref="O402:O406" si="229">N402</f>
        <v>3.3557046979865772E-2</v>
      </c>
      <c r="P402" s="440">
        <f t="shared" si="216"/>
        <v>8.3892617449664435</v>
      </c>
      <c r="Q402" s="349">
        <f t="shared" si="217"/>
        <v>0</v>
      </c>
      <c r="R402" s="353">
        <f t="shared" si="218"/>
        <v>0</v>
      </c>
      <c r="S402" s="354">
        <f t="shared" si="206"/>
        <v>21.124021384833618</v>
      </c>
      <c r="T402" s="354">
        <f t="shared" si="207"/>
        <v>0</v>
      </c>
      <c r="U402" s="355">
        <f t="shared" si="208"/>
        <v>250.58165548098435</v>
      </c>
      <c r="V402" s="355">
        <f t="shared" si="209"/>
        <v>0</v>
      </c>
      <c r="W402" s="355">
        <f t="shared" si="210"/>
        <v>0</v>
      </c>
      <c r="X402" s="355">
        <f t="shared" si="211"/>
        <v>6.8752952321902994</v>
      </c>
      <c r="Y402" s="396"/>
      <c r="Z402" s="346" t="str">
        <f t="shared" si="219"/>
        <v>0-PARQA</v>
      </c>
      <c r="AA402" s="346" t="str">
        <f t="shared" si="220"/>
        <v>0-PARQE</v>
      </c>
      <c r="AB402" s="346" t="str">
        <f t="shared" si="221"/>
        <v>0-PARQM</v>
      </c>
      <c r="AC402" s="346" t="str">
        <f t="shared" si="222"/>
        <v>0-PARQT</v>
      </c>
      <c r="AD402" s="346" t="str">
        <f t="shared" si="223"/>
        <v>0-PARQS</v>
      </c>
      <c r="AE402" s="346" t="str">
        <f t="shared" si="224"/>
        <v>0-PARQX</v>
      </c>
      <c r="AF402" s="346" t="str">
        <f t="shared" si="225"/>
        <v>0-PARQM</v>
      </c>
      <c r="AG402" s="346">
        <f t="shared" si="212"/>
        <v>19</v>
      </c>
      <c r="AH402" s="346">
        <f>IF(B402&lt;&gt;"",+IF(H402="x",+VLOOKUP(I402,'AUX-NIV2'!B:AG,32,FALSE),0),"")</f>
        <v>0</v>
      </c>
      <c r="AI402" s="346" t="str">
        <f t="shared" si="226"/>
        <v>0-PARQ</v>
      </c>
      <c r="AK402" s="347">
        <f t="shared" si="213"/>
        <v>397</v>
      </c>
      <c r="AL402" s="348">
        <f t="shared" si="227"/>
        <v>415</v>
      </c>
      <c r="AM402" s="347">
        <f t="shared" si="228"/>
        <v>6</v>
      </c>
      <c r="AN402" s="382">
        <f>IF(AND(AH402&gt;0,B402&lt;&gt;""),VLOOKUP(I402,'AUX-NIV2'!$B:$AP,40,FALSE)*O402,0)</f>
        <v>0</v>
      </c>
      <c r="AO402" s="382">
        <f t="shared" si="214"/>
        <v>6.5000000000000002E-2</v>
      </c>
      <c r="AQ402" s="395">
        <f>(IF($H402="x",VLOOKUP($I402,'AUX-NIV2'!$B:$X,'AUX-NIV1'!AQ$3,FALSE),0)+($AV402*'AUX-NIV3'!S$4))*$O402+IF($H402=AQ$4,$P402,0)</f>
        <v>0</v>
      </c>
      <c r="AR402" s="395">
        <f>(IF($H402="x",VLOOKUP($I402,'AUX-NIV2'!$B:$X,'AUX-NIV1'!AR$3,FALSE),0)+($AV402*'AUX-NIV3'!T$4))*$O402+IF($H402=AR$4,$P402,0)</f>
        <v>0</v>
      </c>
      <c r="AS402" s="395">
        <f>(IF($H402="x",VLOOKUP($I402,'AUX-NIV2'!$B:$X,'AUX-NIV1'!AS$3,FALSE),0)+($AV402*'AUX-NIV3'!U$4))*$O402+IF($H402=AS$4,$P402,0)</f>
        <v>8.3892617449664435</v>
      </c>
      <c r="AT402" s="395">
        <f>(IF($H402="x",VLOOKUP($I402,'AUX-NIV2'!$B:$X,'AUX-NIV1'!AT$3,FALSE),0)+($AV402*'AUX-NIV3'!V$4))*$O402+IF($H402=AT$4,$P402,0)</f>
        <v>0</v>
      </c>
      <c r="AU402" s="395">
        <f>(IF($H402="x",VLOOKUP($I402,'AUX-NIV2'!$B:$X,'AUX-NIV1'!AU$3,FALSE),0)+($AV402*'AUX-NIV3'!W$4))*$O402+IF($H402=AU$4,$P402,0)</f>
        <v>0</v>
      </c>
      <c r="AV402" s="395">
        <f>+IF($H402="x",VLOOKUP($I402,'AUX-NIV2'!$B:$X,'AUX-NIV1'!AV$3,FALSE),0)</f>
        <v>0</v>
      </c>
    </row>
    <row r="403" spans="2:48" ht="13.8" hidden="1" thickTop="1">
      <c r="B403" s="501" t="s">
        <v>3339</v>
      </c>
      <c r="C403" s="950" t="s">
        <v>3340</v>
      </c>
      <c r="D403" s="326" t="s">
        <v>501</v>
      </c>
      <c r="E403" s="349">
        <f>IF(B403&lt;&gt;"",+SUMIF(Items!C:C,'AUX-NIV1'!B403,Items!H:H),"")</f>
        <v>0</v>
      </c>
      <c r="F403" s="349">
        <f t="shared" si="204"/>
        <v>278.58097209800826</v>
      </c>
      <c r="G403" s="349">
        <f t="shared" si="205"/>
        <v>0</v>
      </c>
      <c r="H403" s="1395" t="str">
        <f t="shared" si="215"/>
        <v>M</v>
      </c>
      <c r="I403" s="1398" t="s">
        <v>3347</v>
      </c>
      <c r="J403" s="350" t="str">
        <f>IF(B403&lt;&gt;"",+VLOOKUP(I403,Recursos!C:F,2,FALSE),"")</f>
        <v>STIPA TENUSSIMA</v>
      </c>
      <c r="K403" s="351" t="str">
        <f>IF(B403&lt;&gt;"",+VLOOKUP(I403,Recursos!C:F,3,FALSE),"")</f>
        <v>Un</v>
      </c>
      <c r="L403" s="436">
        <f>IF(B403&lt;&gt;"",+VLOOKUP(I403,Recursos!C:F,4,FALSE),"")</f>
        <v>150</v>
      </c>
      <c r="M403" s="1008"/>
      <c r="N403" s="1486">
        <v>0.10067114093959731</v>
      </c>
      <c r="O403" s="439">
        <f t="shared" si="229"/>
        <v>0.10067114093959731</v>
      </c>
      <c r="P403" s="440">
        <f t="shared" si="216"/>
        <v>15.100671140939596</v>
      </c>
      <c r="Q403" s="349">
        <f t="shared" si="217"/>
        <v>0</v>
      </c>
      <c r="R403" s="353">
        <f t="shared" si="218"/>
        <v>0</v>
      </c>
      <c r="S403" s="354">
        <f t="shared" si="206"/>
        <v>21.124021384833618</v>
      </c>
      <c r="T403" s="354">
        <f t="shared" si="207"/>
        <v>0</v>
      </c>
      <c r="U403" s="355">
        <f t="shared" si="208"/>
        <v>250.58165548098435</v>
      </c>
      <c r="V403" s="355">
        <f t="shared" si="209"/>
        <v>0</v>
      </c>
      <c r="W403" s="355">
        <f t="shared" si="210"/>
        <v>0</v>
      </c>
      <c r="X403" s="355">
        <f t="shared" si="211"/>
        <v>6.8752952321902994</v>
      </c>
      <c r="Y403" s="396"/>
      <c r="Z403" s="346" t="str">
        <f t="shared" si="219"/>
        <v>0-PARQA</v>
      </c>
      <c r="AA403" s="346" t="str">
        <f t="shared" si="220"/>
        <v>0-PARQE</v>
      </c>
      <c r="AB403" s="346" t="str">
        <f t="shared" si="221"/>
        <v>0-PARQM</v>
      </c>
      <c r="AC403" s="346" t="str">
        <f t="shared" si="222"/>
        <v>0-PARQT</v>
      </c>
      <c r="AD403" s="346" t="str">
        <f t="shared" si="223"/>
        <v>0-PARQS</v>
      </c>
      <c r="AE403" s="346" t="str">
        <f t="shared" si="224"/>
        <v>0-PARQX</v>
      </c>
      <c r="AF403" s="346" t="str">
        <f t="shared" si="225"/>
        <v>0-PARQM</v>
      </c>
      <c r="AG403" s="346">
        <f t="shared" si="212"/>
        <v>19</v>
      </c>
      <c r="AH403" s="346">
        <f>IF(B403&lt;&gt;"",+IF(H403="x",+VLOOKUP(I403,'AUX-NIV2'!B:AG,32,FALSE),0),"")</f>
        <v>0</v>
      </c>
      <c r="AI403" s="346" t="str">
        <f t="shared" si="226"/>
        <v>0-PARQ</v>
      </c>
      <c r="AK403" s="347">
        <f t="shared" si="213"/>
        <v>397</v>
      </c>
      <c r="AL403" s="348">
        <f t="shared" si="227"/>
        <v>415</v>
      </c>
      <c r="AM403" s="347">
        <f t="shared" si="228"/>
        <v>7</v>
      </c>
      <c r="AN403" s="382">
        <f>IF(AND(AH403&gt;0,B403&lt;&gt;""),VLOOKUP(I403,'AUX-NIV2'!$B:$AP,40,FALSE)*O403,0)</f>
        <v>0</v>
      </c>
      <c r="AO403" s="382">
        <f t="shared" si="214"/>
        <v>6.5000000000000002E-2</v>
      </c>
      <c r="AQ403" s="395">
        <f>(IF($H403="x",VLOOKUP($I403,'AUX-NIV2'!$B:$X,'AUX-NIV1'!AQ$3,FALSE),0)+($AV403*'AUX-NIV3'!S$4))*$O403+IF($H403=AQ$4,$P403,0)</f>
        <v>0</v>
      </c>
      <c r="AR403" s="395">
        <f>(IF($H403="x",VLOOKUP($I403,'AUX-NIV2'!$B:$X,'AUX-NIV1'!AR$3,FALSE),0)+($AV403*'AUX-NIV3'!T$4))*$O403+IF($H403=AR$4,$P403,0)</f>
        <v>0</v>
      </c>
      <c r="AS403" s="395">
        <f>(IF($H403="x",VLOOKUP($I403,'AUX-NIV2'!$B:$X,'AUX-NIV1'!AS$3,FALSE),0)+($AV403*'AUX-NIV3'!U$4))*$O403+IF($H403=AS$4,$P403,0)</f>
        <v>15.100671140939596</v>
      </c>
      <c r="AT403" s="395">
        <f>(IF($H403="x",VLOOKUP($I403,'AUX-NIV2'!$B:$X,'AUX-NIV1'!AT$3,FALSE),0)+($AV403*'AUX-NIV3'!V$4))*$O403+IF($H403=AT$4,$P403,0)</f>
        <v>0</v>
      </c>
      <c r="AU403" s="395">
        <f>(IF($H403="x",VLOOKUP($I403,'AUX-NIV2'!$B:$X,'AUX-NIV1'!AU$3,FALSE),0)+($AV403*'AUX-NIV3'!W$4))*$O403+IF($H403=AU$4,$P403,0)</f>
        <v>0</v>
      </c>
      <c r="AV403" s="395">
        <f>+IF($H403="x",VLOOKUP($I403,'AUX-NIV2'!$B:$X,'AUX-NIV1'!AV$3,FALSE),0)</f>
        <v>0</v>
      </c>
    </row>
    <row r="404" spans="2:48" ht="13.8" hidden="1" thickTop="1">
      <c r="B404" s="501" t="s">
        <v>3339</v>
      </c>
      <c r="C404" s="950" t="s">
        <v>3340</v>
      </c>
      <c r="D404" s="326" t="s">
        <v>501</v>
      </c>
      <c r="E404" s="349">
        <f>IF(B404&lt;&gt;"",+SUMIF(Items!C:C,'AUX-NIV1'!B404,Items!H:H),"")</f>
        <v>0</v>
      </c>
      <c r="F404" s="349">
        <f t="shared" si="204"/>
        <v>278.58097209800826</v>
      </c>
      <c r="G404" s="349">
        <f t="shared" si="205"/>
        <v>0</v>
      </c>
      <c r="H404" s="1395" t="str">
        <f t="shared" si="215"/>
        <v>M</v>
      </c>
      <c r="I404" s="1398" t="s">
        <v>3348</v>
      </c>
      <c r="J404" s="350" t="str">
        <f>IF(B404&lt;&gt;"",+VLOOKUP(I404,Recursos!C:F,2,FALSE),"")</f>
        <v>PASPALUM EXALTATUM</v>
      </c>
      <c r="K404" s="351" t="str">
        <f>IF(B404&lt;&gt;"",+VLOOKUP(I404,Recursos!C:F,3,FALSE),"")</f>
        <v>Un</v>
      </c>
      <c r="L404" s="436">
        <f>IF(B404&lt;&gt;"",+VLOOKUP(I404,Recursos!C:F,4,FALSE),"")</f>
        <v>300</v>
      </c>
      <c r="M404" s="1008"/>
      <c r="N404" s="1486">
        <v>6.7114093959731544E-2</v>
      </c>
      <c r="O404" s="439">
        <f t="shared" si="229"/>
        <v>6.7114093959731544E-2</v>
      </c>
      <c r="P404" s="440">
        <f t="shared" si="216"/>
        <v>20.134228187919462</v>
      </c>
      <c r="Q404" s="349">
        <f t="shared" si="217"/>
        <v>0</v>
      </c>
      <c r="R404" s="353">
        <f t="shared" si="218"/>
        <v>0</v>
      </c>
      <c r="S404" s="354">
        <f t="shared" si="206"/>
        <v>21.124021384833618</v>
      </c>
      <c r="T404" s="354">
        <f t="shared" si="207"/>
        <v>0</v>
      </c>
      <c r="U404" s="355">
        <f t="shared" si="208"/>
        <v>250.58165548098435</v>
      </c>
      <c r="V404" s="355">
        <f t="shared" si="209"/>
        <v>0</v>
      </c>
      <c r="W404" s="355">
        <f t="shared" si="210"/>
        <v>0</v>
      </c>
      <c r="X404" s="355">
        <f t="shared" si="211"/>
        <v>6.8752952321902994</v>
      </c>
      <c r="Y404" s="396"/>
      <c r="Z404" s="346" t="str">
        <f t="shared" si="219"/>
        <v>0-PARQA</v>
      </c>
      <c r="AA404" s="346" t="str">
        <f t="shared" si="220"/>
        <v>0-PARQE</v>
      </c>
      <c r="AB404" s="346" t="str">
        <f t="shared" si="221"/>
        <v>0-PARQM</v>
      </c>
      <c r="AC404" s="346" t="str">
        <f t="shared" si="222"/>
        <v>0-PARQT</v>
      </c>
      <c r="AD404" s="346" t="str">
        <f t="shared" si="223"/>
        <v>0-PARQS</v>
      </c>
      <c r="AE404" s="346" t="str">
        <f t="shared" si="224"/>
        <v>0-PARQX</v>
      </c>
      <c r="AF404" s="346" t="str">
        <f t="shared" si="225"/>
        <v>0-PARQM</v>
      </c>
      <c r="AG404" s="346">
        <f t="shared" si="212"/>
        <v>19</v>
      </c>
      <c r="AH404" s="346">
        <f>IF(B404&lt;&gt;"",+IF(H404="x",+VLOOKUP(I404,'AUX-NIV2'!B:AG,32,FALSE),0),"")</f>
        <v>0</v>
      </c>
      <c r="AI404" s="346" t="str">
        <f t="shared" si="226"/>
        <v>0-PARQ</v>
      </c>
      <c r="AK404" s="347">
        <f t="shared" si="213"/>
        <v>397</v>
      </c>
      <c r="AL404" s="348">
        <f t="shared" si="227"/>
        <v>415</v>
      </c>
      <c r="AM404" s="347">
        <f t="shared" si="228"/>
        <v>8</v>
      </c>
      <c r="AN404" s="382">
        <f>IF(AND(AH404&gt;0,B404&lt;&gt;""),VLOOKUP(I404,'AUX-NIV2'!$B:$AP,40,FALSE)*O404,0)</f>
        <v>0</v>
      </c>
      <c r="AO404" s="382">
        <f t="shared" si="214"/>
        <v>6.5000000000000002E-2</v>
      </c>
      <c r="AQ404" s="395">
        <f>(IF($H404="x",VLOOKUP($I404,'AUX-NIV2'!$B:$X,'AUX-NIV1'!AQ$3,FALSE),0)+($AV404*'AUX-NIV3'!S$4))*$O404+IF($H404=AQ$4,$P404,0)</f>
        <v>0</v>
      </c>
      <c r="AR404" s="395">
        <f>(IF($H404="x",VLOOKUP($I404,'AUX-NIV2'!$B:$X,'AUX-NIV1'!AR$3,FALSE),0)+($AV404*'AUX-NIV3'!T$4))*$O404+IF($H404=AR$4,$P404,0)</f>
        <v>0</v>
      </c>
      <c r="AS404" s="395">
        <f>(IF($H404="x",VLOOKUP($I404,'AUX-NIV2'!$B:$X,'AUX-NIV1'!AS$3,FALSE),0)+($AV404*'AUX-NIV3'!U$4))*$O404+IF($H404=AS$4,$P404,0)</f>
        <v>20.134228187919462</v>
      </c>
      <c r="AT404" s="395">
        <f>(IF($H404="x",VLOOKUP($I404,'AUX-NIV2'!$B:$X,'AUX-NIV1'!AT$3,FALSE),0)+($AV404*'AUX-NIV3'!V$4))*$O404+IF($H404=AT$4,$P404,0)</f>
        <v>0</v>
      </c>
      <c r="AU404" s="395">
        <f>(IF($H404="x",VLOOKUP($I404,'AUX-NIV2'!$B:$X,'AUX-NIV1'!AU$3,FALSE),0)+($AV404*'AUX-NIV3'!W$4))*$O404+IF($H404=AU$4,$P404,0)</f>
        <v>0</v>
      </c>
      <c r="AV404" s="395">
        <f>+IF($H404="x",VLOOKUP($I404,'AUX-NIV2'!$B:$X,'AUX-NIV1'!AV$3,FALSE),0)</f>
        <v>0</v>
      </c>
    </row>
    <row r="405" spans="2:48" ht="13.8" hidden="1" thickTop="1">
      <c r="B405" s="501" t="s">
        <v>3339</v>
      </c>
      <c r="C405" s="950" t="s">
        <v>3340</v>
      </c>
      <c r="D405" s="326" t="s">
        <v>501</v>
      </c>
      <c r="E405" s="349">
        <f>IF(B405&lt;&gt;"",+SUMIF(Items!C:C,'AUX-NIV1'!B405,Items!H:H),"")</f>
        <v>0</v>
      </c>
      <c r="F405" s="349">
        <f t="shared" si="204"/>
        <v>278.58097209800826</v>
      </c>
      <c r="G405" s="349">
        <f t="shared" si="205"/>
        <v>0</v>
      </c>
      <c r="H405" s="1395" t="str">
        <f t="shared" si="215"/>
        <v>M</v>
      </c>
      <c r="I405" s="1398" t="s">
        <v>3349</v>
      </c>
      <c r="J405" s="350" t="str">
        <f>IF(B405&lt;&gt;"",+VLOOKUP(I405,Recursos!C:F,2,FALSE),"")</f>
        <v>CACTACEAS</v>
      </c>
      <c r="K405" s="351" t="str">
        <f>IF(B405&lt;&gt;"",+VLOOKUP(I405,Recursos!C:F,3,FALSE),"")</f>
        <v>Un</v>
      </c>
      <c r="L405" s="436">
        <f>IF(B405&lt;&gt;"",+VLOOKUP(I405,Recursos!C:F,4,FALSE),"")</f>
        <v>200</v>
      </c>
      <c r="M405" s="1008"/>
      <c r="N405" s="1486">
        <v>3.3557046979865772E-2</v>
      </c>
      <c r="O405" s="439">
        <f t="shared" si="229"/>
        <v>3.3557046979865772E-2</v>
      </c>
      <c r="P405" s="440">
        <f t="shared" si="216"/>
        <v>6.7114093959731544</v>
      </c>
      <c r="Q405" s="349">
        <f t="shared" si="217"/>
        <v>0</v>
      </c>
      <c r="R405" s="353">
        <f t="shared" si="218"/>
        <v>0</v>
      </c>
      <c r="S405" s="354">
        <f t="shared" si="206"/>
        <v>21.124021384833618</v>
      </c>
      <c r="T405" s="354">
        <f t="shared" si="207"/>
        <v>0</v>
      </c>
      <c r="U405" s="355">
        <f t="shared" si="208"/>
        <v>250.58165548098435</v>
      </c>
      <c r="V405" s="355">
        <f t="shared" si="209"/>
        <v>0</v>
      </c>
      <c r="W405" s="355">
        <f t="shared" si="210"/>
        <v>0</v>
      </c>
      <c r="X405" s="355">
        <f t="shared" si="211"/>
        <v>6.8752952321902994</v>
      </c>
      <c r="Y405" s="396"/>
      <c r="Z405" s="346" t="str">
        <f t="shared" si="219"/>
        <v>0-PARQA</v>
      </c>
      <c r="AA405" s="346" t="str">
        <f t="shared" si="220"/>
        <v>0-PARQE</v>
      </c>
      <c r="AB405" s="346" t="str">
        <f t="shared" si="221"/>
        <v>0-PARQM</v>
      </c>
      <c r="AC405" s="346" t="str">
        <f t="shared" si="222"/>
        <v>0-PARQT</v>
      </c>
      <c r="AD405" s="346" t="str">
        <f t="shared" si="223"/>
        <v>0-PARQS</v>
      </c>
      <c r="AE405" s="346" t="str">
        <f t="shared" si="224"/>
        <v>0-PARQX</v>
      </c>
      <c r="AF405" s="346" t="str">
        <f t="shared" si="225"/>
        <v>0-PARQM</v>
      </c>
      <c r="AG405" s="346">
        <f t="shared" si="212"/>
        <v>19</v>
      </c>
      <c r="AH405" s="346">
        <f>IF(B405&lt;&gt;"",+IF(H405="x",+VLOOKUP(I405,'AUX-NIV2'!B:AG,32,FALSE),0),"")</f>
        <v>0</v>
      </c>
      <c r="AI405" s="346" t="str">
        <f t="shared" si="226"/>
        <v>0-PARQ</v>
      </c>
      <c r="AK405" s="347">
        <f t="shared" si="213"/>
        <v>397</v>
      </c>
      <c r="AL405" s="348">
        <f t="shared" si="227"/>
        <v>415</v>
      </c>
      <c r="AM405" s="347">
        <f t="shared" si="228"/>
        <v>9</v>
      </c>
      <c r="AN405" s="382">
        <f>IF(AND(AH405&gt;0,B405&lt;&gt;""),VLOOKUP(I405,'AUX-NIV2'!$B:$AP,40,FALSE)*O405,0)</f>
        <v>0</v>
      </c>
      <c r="AO405" s="382">
        <f t="shared" si="214"/>
        <v>6.5000000000000002E-2</v>
      </c>
      <c r="AQ405" s="395">
        <f>(IF($H405="x",VLOOKUP($I405,'AUX-NIV2'!$B:$X,'AUX-NIV1'!AQ$3,FALSE),0)+($AV405*'AUX-NIV3'!S$4))*$O405+IF($H405=AQ$4,$P405,0)</f>
        <v>0</v>
      </c>
      <c r="AR405" s="395">
        <f>(IF($H405="x",VLOOKUP($I405,'AUX-NIV2'!$B:$X,'AUX-NIV1'!AR$3,FALSE),0)+($AV405*'AUX-NIV3'!T$4))*$O405+IF($H405=AR$4,$P405,0)</f>
        <v>0</v>
      </c>
      <c r="AS405" s="395">
        <f>(IF($H405="x",VLOOKUP($I405,'AUX-NIV2'!$B:$X,'AUX-NIV1'!AS$3,FALSE),0)+($AV405*'AUX-NIV3'!U$4))*$O405+IF($H405=AS$4,$P405,0)</f>
        <v>6.7114093959731544</v>
      </c>
      <c r="AT405" s="395">
        <f>(IF($H405="x",VLOOKUP($I405,'AUX-NIV2'!$B:$X,'AUX-NIV1'!AT$3,FALSE),0)+($AV405*'AUX-NIV3'!V$4))*$O405+IF($H405=AT$4,$P405,0)</f>
        <v>0</v>
      </c>
      <c r="AU405" s="395">
        <f>(IF($H405="x",VLOOKUP($I405,'AUX-NIV2'!$B:$X,'AUX-NIV1'!AU$3,FALSE),0)+($AV405*'AUX-NIV3'!W$4))*$O405+IF($H405=AU$4,$P405,0)</f>
        <v>0</v>
      </c>
      <c r="AV405" s="395">
        <f>+IF($H405="x",VLOOKUP($I405,'AUX-NIV2'!$B:$X,'AUX-NIV1'!AV$3,FALSE),0)</f>
        <v>0</v>
      </c>
    </row>
    <row r="406" spans="2:48" ht="14.4" hidden="1" thickTop="1" thickBot="1">
      <c r="B406" s="501" t="s">
        <v>3339</v>
      </c>
      <c r="C406" s="950" t="s">
        <v>3340</v>
      </c>
      <c r="D406" s="326" t="s">
        <v>501</v>
      </c>
      <c r="E406" s="349">
        <f>IF(B406&lt;&gt;"",+SUMIF(Items!C:C,'AUX-NIV1'!B406,Items!H:H),"")</f>
        <v>0</v>
      </c>
      <c r="F406" s="349">
        <f t="shared" si="204"/>
        <v>278.58097209800826</v>
      </c>
      <c r="G406" s="349">
        <f t="shared" si="205"/>
        <v>0</v>
      </c>
      <c r="H406" s="1395" t="str">
        <f t="shared" si="215"/>
        <v>M</v>
      </c>
      <c r="I406" s="1398" t="s">
        <v>3350</v>
      </c>
      <c r="J406" s="350" t="str">
        <f>IF(B406&lt;&gt;"",+VLOOKUP(I406,Recursos!C:F,2,FALSE),"")</f>
        <v>CRASULASEAS</v>
      </c>
      <c r="K406" s="351" t="str">
        <f>IF(B406&lt;&gt;"",+VLOOKUP(I406,Recursos!C:F,3,FALSE),"")</f>
        <v>Un</v>
      </c>
      <c r="L406" s="436">
        <f>IF(B406&lt;&gt;"",+VLOOKUP(I406,Recursos!C:F,4,FALSE),"")</f>
        <v>400</v>
      </c>
      <c r="M406" s="1007"/>
      <c r="N406" s="1487">
        <v>3.3557046979865772E-2</v>
      </c>
      <c r="O406" s="439">
        <f t="shared" si="229"/>
        <v>3.3557046979865772E-2</v>
      </c>
      <c r="P406" s="440">
        <f t="shared" si="216"/>
        <v>13.422818791946309</v>
      </c>
      <c r="Q406" s="349">
        <f t="shared" si="217"/>
        <v>0</v>
      </c>
      <c r="R406" s="353">
        <f t="shared" si="218"/>
        <v>0</v>
      </c>
      <c r="S406" s="354">
        <f t="shared" si="206"/>
        <v>21.124021384833618</v>
      </c>
      <c r="T406" s="354">
        <f t="shared" si="207"/>
        <v>0</v>
      </c>
      <c r="U406" s="355">
        <f t="shared" si="208"/>
        <v>250.58165548098435</v>
      </c>
      <c r="V406" s="355">
        <f t="shared" si="209"/>
        <v>0</v>
      </c>
      <c r="W406" s="355">
        <f t="shared" si="210"/>
        <v>0</v>
      </c>
      <c r="X406" s="355">
        <f t="shared" si="211"/>
        <v>6.8752952321902994</v>
      </c>
      <c r="Y406" s="396"/>
      <c r="Z406" s="346" t="str">
        <f t="shared" si="219"/>
        <v>0-PARQA</v>
      </c>
      <c r="AA406" s="346" t="str">
        <f t="shared" si="220"/>
        <v>0-PARQE</v>
      </c>
      <c r="AB406" s="346" t="str">
        <f t="shared" si="221"/>
        <v>0-PARQM</v>
      </c>
      <c r="AC406" s="346" t="str">
        <f t="shared" si="222"/>
        <v>0-PARQT</v>
      </c>
      <c r="AD406" s="346" t="str">
        <f t="shared" si="223"/>
        <v>0-PARQS</v>
      </c>
      <c r="AE406" s="346" t="str">
        <f t="shared" si="224"/>
        <v>0-PARQX</v>
      </c>
      <c r="AF406" s="346" t="str">
        <f t="shared" si="225"/>
        <v>0-PARQM</v>
      </c>
      <c r="AG406" s="346">
        <f t="shared" si="212"/>
        <v>19</v>
      </c>
      <c r="AH406" s="346">
        <f>IF(B406&lt;&gt;"",+IF(H406="x",+VLOOKUP(I406,'AUX-NIV2'!B:AG,32,FALSE),0),"")</f>
        <v>0</v>
      </c>
      <c r="AI406" s="346" t="str">
        <f t="shared" si="226"/>
        <v>0-PARQ</v>
      </c>
      <c r="AK406" s="347">
        <f t="shared" si="213"/>
        <v>397</v>
      </c>
      <c r="AL406" s="348">
        <f t="shared" si="227"/>
        <v>415</v>
      </c>
      <c r="AM406" s="347">
        <f t="shared" si="228"/>
        <v>10</v>
      </c>
      <c r="AN406" s="382">
        <f>IF(AND(AH406&gt;0,B406&lt;&gt;""),VLOOKUP(I406,'AUX-NIV2'!$B:$AP,40,FALSE)*O406,0)</f>
        <v>0</v>
      </c>
      <c r="AO406" s="382">
        <f t="shared" si="214"/>
        <v>6.5000000000000002E-2</v>
      </c>
      <c r="AQ406" s="395">
        <f>(IF($H406="x",VLOOKUP($I406,'AUX-NIV2'!$B:$X,'AUX-NIV1'!AQ$3,FALSE),0)+($AV406*'AUX-NIV3'!S$4))*$O406+IF($H406=AQ$4,$P406,0)</f>
        <v>0</v>
      </c>
      <c r="AR406" s="395">
        <f>(IF($H406="x",VLOOKUP($I406,'AUX-NIV2'!$B:$X,'AUX-NIV1'!AR$3,FALSE),0)+($AV406*'AUX-NIV3'!T$4))*$O406+IF($H406=AR$4,$P406,0)</f>
        <v>0</v>
      </c>
      <c r="AS406" s="395">
        <f>(IF($H406="x",VLOOKUP($I406,'AUX-NIV2'!$B:$X,'AUX-NIV1'!AS$3,FALSE),0)+($AV406*'AUX-NIV3'!U$4))*$O406+IF($H406=AS$4,$P406,0)</f>
        <v>13.422818791946309</v>
      </c>
      <c r="AT406" s="395">
        <f>(IF($H406="x",VLOOKUP($I406,'AUX-NIV2'!$B:$X,'AUX-NIV1'!AT$3,FALSE),0)+($AV406*'AUX-NIV3'!V$4))*$O406+IF($H406=AT$4,$P406,0)</f>
        <v>0</v>
      </c>
      <c r="AU406" s="395">
        <f>(IF($H406="x",VLOOKUP($I406,'AUX-NIV2'!$B:$X,'AUX-NIV1'!AU$3,FALSE),0)+($AV406*'AUX-NIV3'!W$4))*$O406+IF($H406=AU$4,$P406,0)</f>
        <v>0</v>
      </c>
      <c r="AV406" s="395">
        <f>+IF($H406="x",VLOOKUP($I406,'AUX-NIV2'!$B:$X,'AUX-NIV1'!AV$3,FALSE),0)</f>
        <v>0</v>
      </c>
    </row>
    <row r="407" spans="2:48" ht="13.8" hidden="1" thickTop="1">
      <c r="B407" s="501" t="s">
        <v>3358</v>
      </c>
      <c r="C407" s="950" t="s">
        <v>3359</v>
      </c>
      <c r="D407" s="326" t="s">
        <v>501</v>
      </c>
      <c r="E407" s="349">
        <f>IF(B407&lt;&gt;"",+SUMIF(Items!C:C,'AUX-NIV1'!B407,Items!H:H),"")</f>
        <v>0</v>
      </c>
      <c r="F407" s="349">
        <f t="shared" si="204"/>
        <v>89.640426392859325</v>
      </c>
      <c r="G407" s="349">
        <f t="shared" si="205"/>
        <v>0</v>
      </c>
      <c r="H407" s="1395" t="str">
        <f t="shared" si="215"/>
        <v>X</v>
      </c>
      <c r="I407" s="996" t="s">
        <v>2879</v>
      </c>
      <c r="J407" s="350" t="str">
        <f>IF(B407&lt;&gt;"",+VLOOKUP(I407,Recursos!C:F,2,FALSE),"")</f>
        <v>Excavación manual de fundaciones</v>
      </c>
      <c r="K407" s="351" t="str">
        <f>IF(B407&lt;&gt;"",+VLOOKUP(I407,Recursos!C:F,3,FALSE),"")</f>
        <v>m3</v>
      </c>
      <c r="L407" s="436">
        <f>IF(B407&lt;&gt;"",+VLOOKUP(I407,Recursos!C:F,4,FALSE),"")</f>
        <v>974.30124392919117</v>
      </c>
      <c r="M407" s="1016">
        <v>0.3</v>
      </c>
      <c r="N407" s="1017">
        <v>0.2</v>
      </c>
      <c r="O407" s="439">
        <f>N407*M407/M408</f>
        <v>4.0000000000000001E-3</v>
      </c>
      <c r="P407" s="440">
        <f t="shared" si="216"/>
        <v>3.8972049757167646</v>
      </c>
      <c r="Q407" s="349">
        <f t="shared" si="217"/>
        <v>0</v>
      </c>
      <c r="R407" s="353">
        <f t="shared" si="218"/>
        <v>0</v>
      </c>
      <c r="S407" s="354">
        <f t="shared" si="206"/>
        <v>0</v>
      </c>
      <c r="T407" s="354">
        <f t="shared" si="207"/>
        <v>0</v>
      </c>
      <c r="U407" s="355">
        <f t="shared" si="208"/>
        <v>78.867926184952253</v>
      </c>
      <c r="V407" s="355">
        <f t="shared" si="209"/>
        <v>0</v>
      </c>
      <c r="W407" s="355">
        <f t="shared" si="210"/>
        <v>0</v>
      </c>
      <c r="X407" s="355">
        <f t="shared" si="211"/>
        <v>10.772500207907065</v>
      </c>
      <c r="Y407" s="396"/>
      <c r="Z407" s="346" t="str">
        <f t="shared" si="219"/>
        <v>0-RIASPA</v>
      </c>
      <c r="AA407" s="346" t="str">
        <f t="shared" si="220"/>
        <v>0-RIASPE</v>
      </c>
      <c r="AB407" s="346" t="str">
        <f t="shared" si="221"/>
        <v>0-RIASPM</v>
      </c>
      <c r="AC407" s="346" t="str">
        <f t="shared" si="222"/>
        <v>0-RIASPT</v>
      </c>
      <c r="AD407" s="346" t="str">
        <f t="shared" si="223"/>
        <v>0-RIASPS</v>
      </c>
      <c r="AE407" s="346" t="str">
        <f t="shared" si="224"/>
        <v>0-RIASPX</v>
      </c>
      <c r="AF407" s="346" t="str">
        <f t="shared" si="225"/>
        <v>0-RIASPX</v>
      </c>
      <c r="AG407" s="346">
        <f t="shared" si="212"/>
        <v>10</v>
      </c>
      <c r="AH407" s="346">
        <f>IF(B407&lt;&gt;"",+IF(H407="x",+VLOOKUP(I407,'AUX-NIV2'!B:AG,32,FALSE),0),"")</f>
        <v>4</v>
      </c>
      <c r="AI407" s="346" t="str">
        <f t="shared" si="226"/>
        <v>0-RIASP</v>
      </c>
      <c r="AK407" s="347">
        <f t="shared" si="213"/>
        <v>407</v>
      </c>
      <c r="AL407" s="348">
        <f t="shared" si="227"/>
        <v>416</v>
      </c>
      <c r="AM407" s="347">
        <f t="shared" si="228"/>
        <v>1</v>
      </c>
      <c r="AN407" s="382">
        <f>IF(AND(AH407&gt;0,B407&lt;&gt;""),VLOOKUP(I407,'AUX-NIV2'!$B:$AP,40,FALSE)*O407,0)</f>
        <v>8.0000000000000002E-3</v>
      </c>
      <c r="AO407" s="382">
        <f t="shared" si="214"/>
        <v>2.3E-2</v>
      </c>
      <c r="AQ407" s="395">
        <f>(IF($H407="x",VLOOKUP($I407,'AUX-NIV2'!$B:$X,'AUX-NIV1'!AQ$3,FALSE),0)+($AV407*'AUX-NIV3'!S$4))*$O407+IF($H407=AQ$4,$P407,0)</f>
        <v>3.6970049757167649</v>
      </c>
      <c r="AR407" s="395">
        <f>(IF($H407="x",VLOOKUP($I407,'AUX-NIV2'!$B:$X,'AUX-NIV1'!AR$3,FALSE),0)+($AV407*'AUX-NIV3'!T$4))*$O407+IF($H407=AR$4,$P407,0)</f>
        <v>0</v>
      </c>
      <c r="AS407" s="395">
        <f>(IF($H407="x",VLOOKUP($I407,'AUX-NIV2'!$B:$X,'AUX-NIV1'!AS$3,FALSE),0)+($AV407*'AUX-NIV3'!U$4))*$O407+IF($H407=AS$4,$P407,0)</f>
        <v>0.20019999999999999</v>
      </c>
      <c r="AT407" s="395">
        <f>(IF($H407="x",VLOOKUP($I407,'AUX-NIV2'!$B:$X,'AUX-NIV1'!AT$3,FALSE),0)+($AV407*'AUX-NIV3'!V$4))*$O407+IF($H407=AT$4,$P407,0)</f>
        <v>0</v>
      </c>
      <c r="AU407" s="395">
        <f>(IF($H407="x",VLOOKUP($I407,'AUX-NIV2'!$B:$X,'AUX-NIV1'!AU$3,FALSE),0)+($AV407*'AUX-NIV3'!W$4))*$O407+IF($H407=AU$4,$P407,0)</f>
        <v>0</v>
      </c>
      <c r="AV407" s="395">
        <f>+IF($H407="x",VLOOKUP($I407,'AUX-NIV2'!$B:$X,'AUX-NIV1'!AV$3,FALSE),0)</f>
        <v>0</v>
      </c>
    </row>
    <row r="408" spans="2:48" ht="13.8" hidden="1" thickTop="1">
      <c r="B408" s="501" t="s">
        <v>3358</v>
      </c>
      <c r="C408" s="950" t="s">
        <v>3359</v>
      </c>
      <c r="D408" s="326" t="s">
        <v>501</v>
      </c>
      <c r="E408" s="349">
        <f>IF(B408&lt;&gt;"",+SUMIF(Items!C:C,'AUX-NIV1'!B408,Items!H:H),"")</f>
        <v>0</v>
      </c>
      <c r="F408" s="349">
        <f t="shared" si="204"/>
        <v>89.640426392859325</v>
      </c>
      <c r="G408" s="349">
        <f t="shared" si="205"/>
        <v>0</v>
      </c>
      <c r="H408" s="1395" t="str">
        <f t="shared" si="215"/>
        <v>X</v>
      </c>
      <c r="I408" s="1398" t="s">
        <v>3342</v>
      </c>
      <c r="J408" s="350" t="str">
        <f>IF(B408&lt;&gt;"",+VLOOKUP(I408,Recursos!C:F,2,FALSE),"")</f>
        <v>Cuadrilla de Jardineros</v>
      </c>
      <c r="K408" s="351" t="str">
        <f>IF(B408&lt;&gt;"",+VLOOKUP(I408,Recursos!C:F,3,FALSE),"")</f>
        <v>hs</v>
      </c>
      <c r="L408" s="436">
        <f>IF(B408&lt;&gt;"",+VLOOKUP(I408,Recursos!C:F,4,FALSE),"")</f>
        <v>3437.6476160951497</v>
      </c>
      <c r="M408" s="1005">
        <v>15</v>
      </c>
      <c r="N408" s="1004">
        <v>500</v>
      </c>
      <c r="O408" s="439">
        <f>1/N408</f>
        <v>2E-3</v>
      </c>
      <c r="P408" s="440">
        <f t="shared" si="216"/>
        <v>6.8752952321902994</v>
      </c>
      <c r="Q408" s="349">
        <f t="shared" si="217"/>
        <v>0</v>
      </c>
      <c r="R408" s="353">
        <f t="shared" si="218"/>
        <v>0</v>
      </c>
      <c r="S408" s="354">
        <f t="shared" si="206"/>
        <v>0</v>
      </c>
      <c r="T408" s="354">
        <f t="shared" si="207"/>
        <v>0</v>
      </c>
      <c r="U408" s="355">
        <f t="shared" si="208"/>
        <v>78.867926184952253</v>
      </c>
      <c r="V408" s="355">
        <f t="shared" si="209"/>
        <v>0</v>
      </c>
      <c r="W408" s="355">
        <f t="shared" si="210"/>
        <v>0</v>
      </c>
      <c r="X408" s="355">
        <f t="shared" si="211"/>
        <v>10.772500207907065</v>
      </c>
      <c r="Y408" s="396"/>
      <c r="Z408" s="346" t="str">
        <f t="shared" si="219"/>
        <v>0-RIASPA</v>
      </c>
      <c r="AA408" s="346" t="str">
        <f t="shared" si="220"/>
        <v>0-RIASPE</v>
      </c>
      <c r="AB408" s="346" t="str">
        <f t="shared" si="221"/>
        <v>0-RIASPM</v>
      </c>
      <c r="AC408" s="346" t="str">
        <f t="shared" si="222"/>
        <v>0-RIASPT</v>
      </c>
      <c r="AD408" s="346" t="str">
        <f t="shared" si="223"/>
        <v>0-RIASPS</v>
      </c>
      <c r="AE408" s="346" t="str">
        <f t="shared" si="224"/>
        <v>0-RIASPX</v>
      </c>
      <c r="AF408" s="346" t="str">
        <f t="shared" si="225"/>
        <v>0-RIASPX</v>
      </c>
      <c r="AG408" s="346">
        <f t="shared" si="212"/>
        <v>10</v>
      </c>
      <c r="AH408" s="346">
        <f>IF(B408&lt;&gt;"",+IF(H408="x",+VLOOKUP(I408,'AUX-NIV2'!B:AG,32,FALSE),0),"")</f>
        <v>4</v>
      </c>
      <c r="AI408" s="346" t="str">
        <f t="shared" si="226"/>
        <v>0-RIASP</v>
      </c>
      <c r="AK408" s="347">
        <f t="shared" si="213"/>
        <v>407</v>
      </c>
      <c r="AL408" s="348">
        <f t="shared" si="227"/>
        <v>416</v>
      </c>
      <c r="AM408" s="347">
        <f t="shared" si="228"/>
        <v>2</v>
      </c>
      <c r="AN408" s="382">
        <f>IF(AND(AH408&gt;0,B408&lt;&gt;""),VLOOKUP(I408,'AUX-NIV2'!$B:$AP,40,FALSE)*O408,0)</f>
        <v>1.4999999999999999E-2</v>
      </c>
      <c r="AO408" s="382">
        <f t="shared" si="214"/>
        <v>2.3E-2</v>
      </c>
      <c r="AQ408" s="395">
        <f>(IF($H408="x",VLOOKUP($I408,'AUX-NIV2'!$B:$X,'AUX-NIV1'!AQ$3,FALSE),0)+($AV408*'AUX-NIV3'!S$4))*$O408+IF($H408=AQ$4,$P408,0)</f>
        <v>6.5232952321902999</v>
      </c>
      <c r="AR408" s="395">
        <f>(IF($H408="x",VLOOKUP($I408,'AUX-NIV2'!$B:$X,'AUX-NIV1'!AR$3,FALSE),0)+($AV408*'AUX-NIV3'!T$4))*$O408+IF($H408=AR$4,$P408,0)</f>
        <v>0</v>
      </c>
      <c r="AS408" s="395">
        <f>(IF($H408="x",VLOOKUP($I408,'AUX-NIV2'!$B:$X,'AUX-NIV1'!AS$3,FALSE),0)+($AV408*'AUX-NIV3'!U$4))*$O408+IF($H408=AS$4,$P408,0)</f>
        <v>0.35199999999999998</v>
      </c>
      <c r="AT408" s="395">
        <f>(IF($H408="x",VLOOKUP($I408,'AUX-NIV2'!$B:$X,'AUX-NIV1'!AT$3,FALSE),0)+($AV408*'AUX-NIV3'!V$4))*$O408+IF($H408=AT$4,$P408,0)</f>
        <v>0</v>
      </c>
      <c r="AU408" s="395">
        <f>(IF($H408="x",VLOOKUP($I408,'AUX-NIV2'!$B:$X,'AUX-NIV1'!AU$3,FALSE),0)+($AV408*'AUX-NIV3'!W$4))*$O408+IF($H408=AU$4,$P408,0)</f>
        <v>0</v>
      </c>
      <c r="AV408" s="395">
        <f>+IF($H408="x",VLOOKUP($I408,'AUX-NIV2'!$B:$X,'AUX-NIV1'!AV$3,FALSE),0)</f>
        <v>0</v>
      </c>
    </row>
    <row r="409" spans="2:48" ht="13.8" hidden="1" thickTop="1">
      <c r="B409" s="501" t="s">
        <v>3358</v>
      </c>
      <c r="C409" s="950" t="s">
        <v>3359</v>
      </c>
      <c r="D409" s="326" t="s">
        <v>501</v>
      </c>
      <c r="E409" s="349">
        <f>IF(B409&lt;&gt;"",+SUMIF(Items!C:C,'AUX-NIV1'!B409,Items!H:H),"")</f>
        <v>0</v>
      </c>
      <c r="F409" s="349">
        <f t="shared" si="204"/>
        <v>89.640426392859325</v>
      </c>
      <c r="G409" s="349">
        <f t="shared" si="205"/>
        <v>0</v>
      </c>
      <c r="H409" s="1395" t="str">
        <f t="shared" si="215"/>
        <v>M</v>
      </c>
      <c r="I409" s="1398" t="s">
        <v>3351</v>
      </c>
      <c r="J409" s="350" t="str">
        <f>IF(B409&lt;&gt;"",+VLOOKUP(I409,Recursos!C:F,2,FALSE),"")</f>
        <v>RESERVORIO 10.000 LTS</v>
      </c>
      <c r="K409" s="351" t="str">
        <f>IF(B409&lt;&gt;"",+VLOOKUP(I409,Recursos!C:F,3,FALSE),"")</f>
        <v>Un</v>
      </c>
      <c r="L409" s="436">
        <f>IF(B409&lt;&gt;"",+VLOOKUP(I409,Recursos!C:F,4,FALSE),"")</f>
        <v>75000</v>
      </c>
      <c r="M409" s="932"/>
      <c r="N409" s="1004">
        <v>4000</v>
      </c>
      <c r="O409" s="439">
        <f>1/N409</f>
        <v>2.5000000000000001E-4</v>
      </c>
      <c r="P409" s="440">
        <f t="shared" si="216"/>
        <v>18.75</v>
      </c>
      <c r="Q409" s="349">
        <f t="shared" si="217"/>
        <v>0</v>
      </c>
      <c r="R409" s="353">
        <f t="shared" si="218"/>
        <v>0</v>
      </c>
      <c r="S409" s="354">
        <f t="shared" si="206"/>
        <v>0</v>
      </c>
      <c r="T409" s="354">
        <f t="shared" si="207"/>
        <v>0</v>
      </c>
      <c r="U409" s="355">
        <f t="shared" si="208"/>
        <v>78.867926184952253</v>
      </c>
      <c r="V409" s="355">
        <f t="shared" si="209"/>
        <v>0</v>
      </c>
      <c r="W409" s="355">
        <f t="shared" si="210"/>
        <v>0</v>
      </c>
      <c r="X409" s="355">
        <f t="shared" si="211"/>
        <v>10.772500207907065</v>
      </c>
      <c r="Y409" s="396"/>
      <c r="Z409" s="346" t="str">
        <f t="shared" si="219"/>
        <v>0-RIASPA</v>
      </c>
      <c r="AA409" s="346" t="str">
        <f t="shared" si="220"/>
        <v>0-RIASPE</v>
      </c>
      <c r="AB409" s="346" t="str">
        <f t="shared" si="221"/>
        <v>0-RIASPM</v>
      </c>
      <c r="AC409" s="346" t="str">
        <f t="shared" si="222"/>
        <v>0-RIASPT</v>
      </c>
      <c r="AD409" s="346" t="str">
        <f t="shared" si="223"/>
        <v>0-RIASPS</v>
      </c>
      <c r="AE409" s="346" t="str">
        <f t="shared" si="224"/>
        <v>0-RIASPX</v>
      </c>
      <c r="AF409" s="346" t="str">
        <f t="shared" si="225"/>
        <v>0-RIASPM</v>
      </c>
      <c r="AG409" s="346">
        <f t="shared" si="212"/>
        <v>10</v>
      </c>
      <c r="AH409" s="346">
        <f>IF(B409&lt;&gt;"",+IF(H409="x",+VLOOKUP(I409,'AUX-NIV2'!B:AG,32,FALSE),0),"")</f>
        <v>0</v>
      </c>
      <c r="AI409" s="346" t="str">
        <f t="shared" si="226"/>
        <v>0-RIASP</v>
      </c>
      <c r="AK409" s="347">
        <f t="shared" si="213"/>
        <v>407</v>
      </c>
      <c r="AL409" s="348">
        <f t="shared" si="227"/>
        <v>416</v>
      </c>
      <c r="AM409" s="347">
        <f t="shared" si="228"/>
        <v>3</v>
      </c>
      <c r="AN409" s="382">
        <f>IF(AND(AH409&gt;0,B409&lt;&gt;""),VLOOKUP(I409,'AUX-NIV2'!$B:$AP,40,FALSE)*O409,0)</f>
        <v>0</v>
      </c>
      <c r="AO409" s="382">
        <f t="shared" si="214"/>
        <v>2.3E-2</v>
      </c>
      <c r="AQ409" s="395">
        <f>(IF($H409="x",VLOOKUP($I409,'AUX-NIV2'!$B:$X,'AUX-NIV1'!AQ$3,FALSE),0)+($AV409*'AUX-NIV3'!S$4))*$O409+IF($H409=AQ$4,$P409,0)</f>
        <v>0</v>
      </c>
      <c r="AR409" s="395">
        <f>(IF($H409="x",VLOOKUP($I409,'AUX-NIV2'!$B:$X,'AUX-NIV1'!AR$3,FALSE),0)+($AV409*'AUX-NIV3'!T$4))*$O409+IF($H409=AR$4,$P409,0)</f>
        <v>0</v>
      </c>
      <c r="AS409" s="395">
        <f>(IF($H409="x",VLOOKUP($I409,'AUX-NIV2'!$B:$X,'AUX-NIV1'!AS$3,FALSE),0)+($AV409*'AUX-NIV3'!U$4))*$O409+IF($H409=AS$4,$P409,0)</f>
        <v>18.75</v>
      </c>
      <c r="AT409" s="395">
        <f>(IF($H409="x",VLOOKUP($I409,'AUX-NIV2'!$B:$X,'AUX-NIV1'!AT$3,FALSE),0)+($AV409*'AUX-NIV3'!V$4))*$O409+IF($H409=AT$4,$P409,0)</f>
        <v>0</v>
      </c>
      <c r="AU409" s="395">
        <f>(IF($H409="x",VLOOKUP($I409,'AUX-NIV2'!$B:$X,'AUX-NIV1'!AU$3,FALSE),0)+($AV409*'AUX-NIV3'!W$4))*$O409+IF($H409=AU$4,$P409,0)</f>
        <v>0</v>
      </c>
      <c r="AV409" s="395">
        <f>+IF($H409="x",VLOOKUP($I409,'AUX-NIV2'!$B:$X,'AUX-NIV1'!AV$3,FALSE),0)</f>
        <v>0</v>
      </c>
    </row>
    <row r="410" spans="2:48" ht="13.8" hidden="1" thickTop="1">
      <c r="B410" s="501" t="s">
        <v>3358</v>
      </c>
      <c r="C410" s="950" t="s">
        <v>3359</v>
      </c>
      <c r="D410" s="326" t="s">
        <v>501</v>
      </c>
      <c r="E410" s="349">
        <f>IF(B410&lt;&gt;"",+SUMIF(Items!C:C,'AUX-NIV1'!B410,Items!H:H),"")</f>
        <v>0</v>
      </c>
      <c r="F410" s="349">
        <f t="shared" si="204"/>
        <v>89.640426392859325</v>
      </c>
      <c r="G410" s="349">
        <f t="shared" si="205"/>
        <v>0</v>
      </c>
      <c r="H410" s="1395" t="str">
        <f t="shared" si="215"/>
        <v>M</v>
      </c>
      <c r="I410" s="1398" t="s">
        <v>3360</v>
      </c>
      <c r="J410" s="350" t="str">
        <f>IF(B410&lt;&gt;"",+VLOOKUP(I410,Recursos!C:F,2,FALSE),"")</f>
        <v>BOMBA CENTRIFUGA P/RIEGO</v>
      </c>
      <c r="K410" s="351" t="str">
        <f>IF(B410&lt;&gt;"",+VLOOKUP(I410,Recursos!C:F,3,FALSE),"")</f>
        <v>Un</v>
      </c>
      <c r="L410" s="436">
        <f>IF(B410&lt;&gt;"",+VLOOKUP(I410,Recursos!C:F,4,FALSE),"")</f>
        <v>27800</v>
      </c>
      <c r="M410" s="1018"/>
      <c r="N410" s="1004">
        <v>20000</v>
      </c>
      <c r="O410" s="439">
        <f>1/N410</f>
        <v>5.0000000000000002E-5</v>
      </c>
      <c r="P410" s="440">
        <f t="shared" si="216"/>
        <v>1.3900000000000001</v>
      </c>
      <c r="Q410" s="349">
        <f t="shared" si="217"/>
        <v>0</v>
      </c>
      <c r="R410" s="353">
        <f t="shared" si="218"/>
        <v>0</v>
      </c>
      <c r="S410" s="354">
        <f t="shared" si="206"/>
        <v>0</v>
      </c>
      <c r="T410" s="354">
        <f t="shared" si="207"/>
        <v>0</v>
      </c>
      <c r="U410" s="355">
        <f t="shared" si="208"/>
        <v>78.867926184952253</v>
      </c>
      <c r="V410" s="355">
        <f t="shared" si="209"/>
        <v>0</v>
      </c>
      <c r="W410" s="355">
        <f t="shared" si="210"/>
        <v>0</v>
      </c>
      <c r="X410" s="355">
        <f t="shared" si="211"/>
        <v>10.772500207907065</v>
      </c>
      <c r="Y410" s="396"/>
      <c r="Z410" s="346" t="str">
        <f t="shared" si="219"/>
        <v>0-RIASPA</v>
      </c>
      <c r="AA410" s="346" t="str">
        <f t="shared" si="220"/>
        <v>0-RIASPE</v>
      </c>
      <c r="AB410" s="346" t="str">
        <f t="shared" si="221"/>
        <v>0-RIASPM</v>
      </c>
      <c r="AC410" s="346" t="str">
        <f t="shared" si="222"/>
        <v>0-RIASPT</v>
      </c>
      <c r="AD410" s="346" t="str">
        <f t="shared" si="223"/>
        <v>0-RIASPS</v>
      </c>
      <c r="AE410" s="346" t="str">
        <f t="shared" si="224"/>
        <v>0-RIASPX</v>
      </c>
      <c r="AF410" s="346" t="str">
        <f t="shared" si="225"/>
        <v>0-RIASPM</v>
      </c>
      <c r="AG410" s="346">
        <f t="shared" si="212"/>
        <v>10</v>
      </c>
      <c r="AH410" s="346">
        <f>IF(B410&lt;&gt;"",+IF(H410="x",+VLOOKUP(I410,'AUX-NIV2'!B:AG,32,FALSE),0),"")</f>
        <v>0</v>
      </c>
      <c r="AI410" s="346" t="str">
        <f t="shared" si="226"/>
        <v>0-RIASP</v>
      </c>
      <c r="AK410" s="347">
        <f t="shared" si="213"/>
        <v>407</v>
      </c>
      <c r="AL410" s="348">
        <f t="shared" si="227"/>
        <v>416</v>
      </c>
      <c r="AM410" s="347">
        <f t="shared" si="228"/>
        <v>4</v>
      </c>
      <c r="AN410" s="382">
        <f>IF(AND(AH410&gt;0,B410&lt;&gt;""),VLOOKUP(I410,'AUX-NIV2'!$B:$AP,40,FALSE)*O410,0)</f>
        <v>0</v>
      </c>
      <c r="AO410" s="382">
        <f t="shared" si="214"/>
        <v>2.3E-2</v>
      </c>
      <c r="AQ410" s="395">
        <f>(IF($H410="x",VLOOKUP($I410,'AUX-NIV2'!$B:$X,'AUX-NIV1'!AQ$3,FALSE),0)+($AV410*'AUX-NIV3'!S$4))*$O410+IF($H410=AQ$4,$P410,0)</f>
        <v>0</v>
      </c>
      <c r="AR410" s="395">
        <f>(IF($H410="x",VLOOKUP($I410,'AUX-NIV2'!$B:$X,'AUX-NIV1'!AR$3,FALSE),0)+($AV410*'AUX-NIV3'!T$4))*$O410+IF($H410=AR$4,$P410,0)</f>
        <v>0</v>
      </c>
      <c r="AS410" s="395">
        <f>(IF($H410="x",VLOOKUP($I410,'AUX-NIV2'!$B:$X,'AUX-NIV1'!AS$3,FALSE),0)+($AV410*'AUX-NIV3'!U$4))*$O410+IF($H410=AS$4,$P410,0)</f>
        <v>1.3900000000000001</v>
      </c>
      <c r="AT410" s="395">
        <f>(IF($H410="x",VLOOKUP($I410,'AUX-NIV2'!$B:$X,'AUX-NIV1'!AT$3,FALSE),0)+($AV410*'AUX-NIV3'!V$4))*$O410+IF($H410=AT$4,$P410,0)</f>
        <v>0</v>
      </c>
      <c r="AU410" s="395">
        <f>(IF($H410="x",VLOOKUP($I410,'AUX-NIV2'!$B:$X,'AUX-NIV1'!AU$3,FALSE),0)+($AV410*'AUX-NIV3'!W$4))*$O410+IF($H410=AU$4,$P410,0)</f>
        <v>0</v>
      </c>
      <c r="AV410" s="395">
        <f>+IF($H410="x",VLOOKUP($I410,'AUX-NIV2'!$B:$X,'AUX-NIV1'!AV$3,FALSE),0)</f>
        <v>0</v>
      </c>
    </row>
    <row r="411" spans="2:48" ht="13.8" hidden="1" thickTop="1">
      <c r="B411" s="501" t="s">
        <v>3358</v>
      </c>
      <c r="C411" s="950" t="s">
        <v>3359</v>
      </c>
      <c r="D411" s="326" t="s">
        <v>501</v>
      </c>
      <c r="E411" s="349">
        <f>IF(B411&lt;&gt;"",+SUMIF(Items!C:C,'AUX-NIV1'!B411,Items!H:H),"")</f>
        <v>0</v>
      </c>
      <c r="F411" s="349">
        <f t="shared" si="204"/>
        <v>89.640426392859325</v>
      </c>
      <c r="G411" s="349">
        <f t="shared" si="205"/>
        <v>0</v>
      </c>
      <c r="H411" s="1395" t="str">
        <f t="shared" si="215"/>
        <v>M</v>
      </c>
      <c r="I411" s="1398" t="s">
        <v>3361</v>
      </c>
      <c r="J411" s="350" t="str">
        <f>IF(B411&lt;&gt;"",+VLOOKUP(I411,Recursos!C:F,2,FALSE),"")</f>
        <v>CAÑO 1/2" K6</v>
      </c>
      <c r="K411" s="351" t="str">
        <f>IF(B411&lt;&gt;"",+VLOOKUP(I411,Recursos!C:F,3,FALSE),"")</f>
        <v>m</v>
      </c>
      <c r="L411" s="436">
        <f>IF(B411&lt;&gt;"",+VLOOKUP(I411,Recursos!C:F,4,FALSE),"")</f>
        <v>15.289256198347108</v>
      </c>
      <c r="M411" s="1018"/>
      <c r="N411" s="1004">
        <v>7.5</v>
      </c>
      <c r="O411" s="439">
        <f>N411/(PI()/4*M408^2)</f>
        <v>4.2441318157838762E-2</v>
      </c>
      <c r="P411" s="440">
        <f t="shared" si="216"/>
        <v>0.64889618671075788</v>
      </c>
      <c r="Q411" s="349">
        <f t="shared" si="217"/>
        <v>0</v>
      </c>
      <c r="R411" s="353">
        <f t="shared" si="218"/>
        <v>0</v>
      </c>
      <c r="S411" s="354">
        <f t="shared" si="206"/>
        <v>0</v>
      </c>
      <c r="T411" s="354">
        <f t="shared" si="207"/>
        <v>0</v>
      </c>
      <c r="U411" s="355">
        <f t="shared" si="208"/>
        <v>78.867926184952253</v>
      </c>
      <c r="V411" s="355">
        <f t="shared" si="209"/>
        <v>0</v>
      </c>
      <c r="W411" s="355">
        <f t="shared" si="210"/>
        <v>0</v>
      </c>
      <c r="X411" s="355">
        <f t="shared" si="211"/>
        <v>10.772500207907065</v>
      </c>
      <c r="Y411" s="396"/>
      <c r="Z411" s="346" t="str">
        <f t="shared" si="219"/>
        <v>0-RIASPA</v>
      </c>
      <c r="AA411" s="346" t="str">
        <f t="shared" si="220"/>
        <v>0-RIASPE</v>
      </c>
      <c r="AB411" s="346" t="str">
        <f t="shared" si="221"/>
        <v>0-RIASPM</v>
      </c>
      <c r="AC411" s="346" t="str">
        <f t="shared" si="222"/>
        <v>0-RIASPT</v>
      </c>
      <c r="AD411" s="346" t="str">
        <f t="shared" si="223"/>
        <v>0-RIASPS</v>
      </c>
      <c r="AE411" s="346" t="str">
        <f t="shared" si="224"/>
        <v>0-RIASPX</v>
      </c>
      <c r="AF411" s="346" t="str">
        <f t="shared" si="225"/>
        <v>0-RIASPM</v>
      </c>
      <c r="AG411" s="346">
        <f t="shared" si="212"/>
        <v>10</v>
      </c>
      <c r="AH411" s="346">
        <f>IF(B411&lt;&gt;"",+IF(H411="x",+VLOOKUP(I411,'AUX-NIV2'!B:AG,32,FALSE),0),"")</f>
        <v>0</v>
      </c>
      <c r="AI411" s="346" t="str">
        <f t="shared" si="226"/>
        <v>0-RIASP</v>
      </c>
      <c r="AK411" s="347">
        <f t="shared" si="213"/>
        <v>407</v>
      </c>
      <c r="AL411" s="348">
        <f t="shared" si="227"/>
        <v>416</v>
      </c>
      <c r="AM411" s="347">
        <f t="shared" si="228"/>
        <v>5</v>
      </c>
      <c r="AN411" s="382">
        <f>IF(AND(AH411&gt;0,B411&lt;&gt;""),VLOOKUP(I411,'AUX-NIV2'!$B:$AP,40,FALSE)*O411,0)</f>
        <v>0</v>
      </c>
      <c r="AO411" s="382">
        <f t="shared" si="214"/>
        <v>2.3E-2</v>
      </c>
      <c r="AQ411" s="395">
        <f>(IF($H411="x",VLOOKUP($I411,'AUX-NIV2'!$B:$X,'AUX-NIV1'!AQ$3,FALSE),0)+($AV411*'AUX-NIV3'!S$4))*$O411+IF($H411=AQ$4,$P411,0)</f>
        <v>0</v>
      </c>
      <c r="AR411" s="395">
        <f>(IF($H411="x",VLOOKUP($I411,'AUX-NIV2'!$B:$X,'AUX-NIV1'!AR$3,FALSE),0)+($AV411*'AUX-NIV3'!T$4))*$O411+IF($H411=AR$4,$P411,0)</f>
        <v>0</v>
      </c>
      <c r="AS411" s="395">
        <f>(IF($H411="x",VLOOKUP($I411,'AUX-NIV2'!$B:$X,'AUX-NIV1'!AS$3,FALSE),0)+($AV411*'AUX-NIV3'!U$4))*$O411+IF($H411=AS$4,$P411,0)</f>
        <v>0.64889618671075788</v>
      </c>
      <c r="AT411" s="395">
        <f>(IF($H411="x",VLOOKUP($I411,'AUX-NIV2'!$B:$X,'AUX-NIV1'!AT$3,FALSE),0)+($AV411*'AUX-NIV3'!V$4))*$O411+IF($H411=AT$4,$P411,0)</f>
        <v>0</v>
      </c>
      <c r="AU411" s="395">
        <f>(IF($H411="x",VLOOKUP($I411,'AUX-NIV2'!$B:$X,'AUX-NIV1'!AU$3,FALSE),0)+($AV411*'AUX-NIV3'!W$4))*$O411+IF($H411=AU$4,$P411,0)</f>
        <v>0</v>
      </c>
      <c r="AV411" s="395">
        <f>+IF($H411="x",VLOOKUP($I411,'AUX-NIV2'!$B:$X,'AUX-NIV1'!AV$3,FALSE),0)</f>
        <v>0</v>
      </c>
    </row>
    <row r="412" spans="2:48" ht="13.8" hidden="1" thickTop="1">
      <c r="B412" s="501" t="s">
        <v>3358</v>
      </c>
      <c r="C412" s="950" t="s">
        <v>3359</v>
      </c>
      <c r="D412" s="326" t="s">
        <v>501</v>
      </c>
      <c r="E412" s="349">
        <f>IF(B412&lt;&gt;"",+SUMIF(Items!C:C,'AUX-NIV1'!B412,Items!H:H),"")</f>
        <v>0</v>
      </c>
      <c r="F412" s="349">
        <f t="shared" si="204"/>
        <v>89.640426392859325</v>
      </c>
      <c r="G412" s="349">
        <f t="shared" si="205"/>
        <v>0</v>
      </c>
      <c r="H412" s="1395" t="str">
        <f t="shared" si="215"/>
        <v>M</v>
      </c>
      <c r="I412" s="1398" t="s">
        <v>3362</v>
      </c>
      <c r="J412" s="350" t="str">
        <f>IF(B412&lt;&gt;"",+VLOOKUP(I412,Recursos!C:F,2,FALSE),"")</f>
        <v>CAÑO PVC CLASE 10 75mm</v>
      </c>
      <c r="K412" s="351" t="str">
        <f>IF(B412&lt;&gt;"",+VLOOKUP(I412,Recursos!C:F,3,FALSE),"")</f>
        <v>m</v>
      </c>
      <c r="L412" s="436">
        <f>IF(B412&lt;&gt;"",+VLOOKUP(I412,Recursos!C:F,4,FALSE),"")</f>
        <v>395</v>
      </c>
      <c r="M412" s="1018"/>
      <c r="N412" s="1019"/>
      <c r="O412" s="439">
        <f>1/M408</f>
        <v>6.6666666666666666E-2</v>
      </c>
      <c r="P412" s="440">
        <f t="shared" si="216"/>
        <v>26.333333333333332</v>
      </c>
      <c r="Q412" s="349">
        <f t="shared" si="217"/>
        <v>0</v>
      </c>
      <c r="R412" s="353">
        <f t="shared" si="218"/>
        <v>0</v>
      </c>
      <c r="S412" s="354">
        <f t="shared" si="206"/>
        <v>0</v>
      </c>
      <c r="T412" s="354">
        <f t="shared" si="207"/>
        <v>0</v>
      </c>
      <c r="U412" s="355">
        <f t="shared" si="208"/>
        <v>78.867926184952253</v>
      </c>
      <c r="V412" s="355">
        <f t="shared" si="209"/>
        <v>0</v>
      </c>
      <c r="W412" s="355">
        <f t="shared" si="210"/>
        <v>0</v>
      </c>
      <c r="X412" s="355">
        <f t="shared" si="211"/>
        <v>10.772500207907065</v>
      </c>
      <c r="Y412" s="396"/>
      <c r="Z412" s="346" t="str">
        <f t="shared" si="219"/>
        <v>0-RIASPA</v>
      </c>
      <c r="AA412" s="346" t="str">
        <f t="shared" si="220"/>
        <v>0-RIASPE</v>
      </c>
      <c r="AB412" s="346" t="str">
        <f t="shared" si="221"/>
        <v>0-RIASPM</v>
      </c>
      <c r="AC412" s="346" t="str">
        <f t="shared" si="222"/>
        <v>0-RIASPT</v>
      </c>
      <c r="AD412" s="346" t="str">
        <f t="shared" si="223"/>
        <v>0-RIASPS</v>
      </c>
      <c r="AE412" s="346" t="str">
        <f t="shared" si="224"/>
        <v>0-RIASPX</v>
      </c>
      <c r="AF412" s="346" t="str">
        <f t="shared" si="225"/>
        <v>0-RIASPM</v>
      </c>
      <c r="AG412" s="346">
        <f t="shared" si="212"/>
        <v>10</v>
      </c>
      <c r="AH412" s="346">
        <f>IF(B412&lt;&gt;"",+IF(H412="x",+VLOOKUP(I412,'AUX-NIV2'!B:AG,32,FALSE),0),"")</f>
        <v>0</v>
      </c>
      <c r="AI412" s="346" t="str">
        <f t="shared" si="226"/>
        <v>0-RIASP</v>
      </c>
      <c r="AK412" s="347">
        <f t="shared" si="213"/>
        <v>407</v>
      </c>
      <c r="AL412" s="348">
        <f t="shared" si="227"/>
        <v>416</v>
      </c>
      <c r="AM412" s="347">
        <f t="shared" si="228"/>
        <v>6</v>
      </c>
      <c r="AN412" s="382">
        <f>IF(AND(AH412&gt;0,B412&lt;&gt;""),VLOOKUP(I412,'AUX-NIV2'!$B:$AP,40,FALSE)*O412,0)</f>
        <v>0</v>
      </c>
      <c r="AO412" s="382">
        <f t="shared" si="214"/>
        <v>2.3E-2</v>
      </c>
      <c r="AQ412" s="395">
        <f>(IF($H412="x",VLOOKUP($I412,'AUX-NIV2'!$B:$X,'AUX-NIV1'!AQ$3,FALSE),0)+($AV412*'AUX-NIV3'!S$4))*$O412+IF($H412=AQ$4,$P412,0)</f>
        <v>0</v>
      </c>
      <c r="AR412" s="395">
        <f>(IF($H412="x",VLOOKUP($I412,'AUX-NIV2'!$B:$X,'AUX-NIV1'!AR$3,FALSE),0)+($AV412*'AUX-NIV3'!T$4))*$O412+IF($H412=AR$4,$P412,0)</f>
        <v>0</v>
      </c>
      <c r="AS412" s="395">
        <f>(IF($H412="x",VLOOKUP($I412,'AUX-NIV2'!$B:$X,'AUX-NIV1'!AS$3,FALSE),0)+($AV412*'AUX-NIV3'!U$4))*$O412+IF($H412=AS$4,$P412,0)</f>
        <v>26.333333333333332</v>
      </c>
      <c r="AT412" s="395">
        <f>(IF($H412="x",VLOOKUP($I412,'AUX-NIV2'!$B:$X,'AUX-NIV1'!AT$3,FALSE),0)+($AV412*'AUX-NIV3'!V$4))*$O412+IF($H412=AT$4,$P412,0)</f>
        <v>0</v>
      </c>
      <c r="AU412" s="395">
        <f>(IF($H412="x",VLOOKUP($I412,'AUX-NIV2'!$B:$X,'AUX-NIV1'!AU$3,FALSE),0)+($AV412*'AUX-NIV3'!W$4))*$O412+IF($H412=AU$4,$P412,0)</f>
        <v>0</v>
      </c>
      <c r="AV412" s="395">
        <f>+IF($H412="x",VLOOKUP($I412,'AUX-NIV2'!$B:$X,'AUX-NIV1'!AV$3,FALSE),0)</f>
        <v>0</v>
      </c>
    </row>
    <row r="413" spans="2:48" ht="13.8" hidden="1" thickTop="1">
      <c r="B413" s="501" t="s">
        <v>3358</v>
      </c>
      <c r="C413" s="950" t="s">
        <v>3359</v>
      </c>
      <c r="D413" s="326" t="s">
        <v>501</v>
      </c>
      <c r="E413" s="349">
        <f>IF(B413&lt;&gt;"",+SUMIF(Items!C:C,'AUX-NIV1'!B413,Items!H:H),"")</f>
        <v>0</v>
      </c>
      <c r="F413" s="349">
        <f t="shared" si="204"/>
        <v>89.640426392859325</v>
      </c>
      <c r="G413" s="349">
        <f t="shared" si="205"/>
        <v>0</v>
      </c>
      <c r="H413" s="1395" t="str">
        <f t="shared" si="215"/>
        <v>M</v>
      </c>
      <c r="I413" s="1398" t="s">
        <v>3363</v>
      </c>
      <c r="J413" s="350" t="str">
        <f>IF(B413&lt;&gt;"",+VLOOKUP(I413,Recursos!C:F,2,FALSE),"")</f>
        <v>ASPERSOR RADIO 15m</v>
      </c>
      <c r="K413" s="351" t="str">
        <f>IF(B413&lt;&gt;"",+VLOOKUP(I413,Recursos!C:F,3,FALSE),"")</f>
        <v>Un</v>
      </c>
      <c r="L413" s="436">
        <f>IF(B413&lt;&gt;"",+VLOOKUP(I413,Recursos!C:F,4,FALSE),"")</f>
        <v>1100</v>
      </c>
      <c r="M413" s="1008"/>
      <c r="N413" s="1009">
        <v>0.5</v>
      </c>
      <c r="O413" s="439">
        <f>N413/(PI()/4*M408^2)</f>
        <v>2.8294212105225841E-3</v>
      </c>
      <c r="P413" s="440">
        <f t="shared" si="216"/>
        <v>3.1123633315748425</v>
      </c>
      <c r="Q413" s="349">
        <f t="shared" si="217"/>
        <v>0</v>
      </c>
      <c r="R413" s="353">
        <f t="shared" si="218"/>
        <v>0</v>
      </c>
      <c r="S413" s="354">
        <f t="shared" si="206"/>
        <v>0</v>
      </c>
      <c r="T413" s="354">
        <f t="shared" si="207"/>
        <v>0</v>
      </c>
      <c r="U413" s="355">
        <f t="shared" si="208"/>
        <v>78.867926184952253</v>
      </c>
      <c r="V413" s="355">
        <f t="shared" si="209"/>
        <v>0</v>
      </c>
      <c r="W413" s="355">
        <f t="shared" si="210"/>
        <v>0</v>
      </c>
      <c r="X413" s="355">
        <f t="shared" si="211"/>
        <v>10.772500207907065</v>
      </c>
      <c r="Y413" s="396"/>
      <c r="Z413" s="346" t="str">
        <f t="shared" si="219"/>
        <v>0-RIASPA</v>
      </c>
      <c r="AA413" s="346" t="str">
        <f t="shared" si="220"/>
        <v>0-RIASPE</v>
      </c>
      <c r="AB413" s="346" t="str">
        <f t="shared" si="221"/>
        <v>0-RIASPM</v>
      </c>
      <c r="AC413" s="346" t="str">
        <f t="shared" si="222"/>
        <v>0-RIASPT</v>
      </c>
      <c r="AD413" s="346" t="str">
        <f t="shared" si="223"/>
        <v>0-RIASPS</v>
      </c>
      <c r="AE413" s="346" t="str">
        <f t="shared" si="224"/>
        <v>0-RIASPX</v>
      </c>
      <c r="AF413" s="346" t="str">
        <f t="shared" si="225"/>
        <v>0-RIASPM</v>
      </c>
      <c r="AG413" s="346">
        <f t="shared" si="212"/>
        <v>10</v>
      </c>
      <c r="AH413" s="346">
        <f>IF(B413&lt;&gt;"",+IF(H413="x",+VLOOKUP(I413,'AUX-NIV2'!B:AG,32,FALSE),0),"")</f>
        <v>0</v>
      </c>
      <c r="AI413" s="346" t="str">
        <f t="shared" si="226"/>
        <v>0-RIASP</v>
      </c>
      <c r="AK413" s="347">
        <f t="shared" si="213"/>
        <v>407</v>
      </c>
      <c r="AL413" s="348">
        <f t="shared" si="227"/>
        <v>416</v>
      </c>
      <c r="AM413" s="347">
        <f t="shared" si="228"/>
        <v>7</v>
      </c>
      <c r="AN413" s="382">
        <f>IF(AND(AH413&gt;0,B413&lt;&gt;""),VLOOKUP(I413,'AUX-NIV2'!$B:$AP,40,FALSE)*O413,0)</f>
        <v>0</v>
      </c>
      <c r="AO413" s="382">
        <f t="shared" si="214"/>
        <v>2.3E-2</v>
      </c>
      <c r="AQ413" s="395">
        <f>(IF($H413="x",VLOOKUP($I413,'AUX-NIV2'!$B:$X,'AUX-NIV1'!AQ$3,FALSE),0)+($AV413*'AUX-NIV3'!S$4))*$O413+IF($H413=AQ$4,$P413,0)</f>
        <v>0</v>
      </c>
      <c r="AR413" s="395">
        <f>(IF($H413="x",VLOOKUP($I413,'AUX-NIV2'!$B:$X,'AUX-NIV1'!AR$3,FALSE),0)+($AV413*'AUX-NIV3'!T$4))*$O413+IF($H413=AR$4,$P413,0)</f>
        <v>0</v>
      </c>
      <c r="AS413" s="395">
        <f>(IF($H413="x",VLOOKUP($I413,'AUX-NIV2'!$B:$X,'AUX-NIV1'!AS$3,FALSE),0)+($AV413*'AUX-NIV3'!U$4))*$O413+IF($H413=AS$4,$P413,0)</f>
        <v>3.1123633315748425</v>
      </c>
      <c r="AT413" s="395">
        <f>(IF($H413="x",VLOOKUP($I413,'AUX-NIV2'!$B:$X,'AUX-NIV1'!AT$3,FALSE),0)+($AV413*'AUX-NIV3'!V$4))*$O413+IF($H413=AT$4,$P413,0)</f>
        <v>0</v>
      </c>
      <c r="AU413" s="395">
        <f>(IF($H413="x",VLOOKUP($I413,'AUX-NIV2'!$B:$X,'AUX-NIV1'!AU$3,FALSE),0)+($AV413*'AUX-NIV3'!W$4))*$O413+IF($H413=AU$4,$P413,0)</f>
        <v>0</v>
      </c>
      <c r="AV413" s="395">
        <f>+IF($H413="x",VLOOKUP($I413,'AUX-NIV2'!$B:$X,'AUX-NIV1'!AV$3,FALSE),0)</f>
        <v>0</v>
      </c>
    </row>
    <row r="414" spans="2:48" ht="13.8" hidden="1" thickTop="1">
      <c r="B414" s="501" t="s">
        <v>3358</v>
      </c>
      <c r="C414" s="950" t="s">
        <v>3359</v>
      </c>
      <c r="D414" s="326" t="s">
        <v>501</v>
      </c>
      <c r="E414" s="349">
        <f>IF(B414&lt;&gt;"",+SUMIF(Items!C:C,'AUX-NIV1'!B414,Items!H:H),"")</f>
        <v>0</v>
      </c>
      <c r="F414" s="349">
        <f t="shared" si="204"/>
        <v>89.640426392859325</v>
      </c>
      <c r="G414" s="349">
        <f t="shared" si="205"/>
        <v>0</v>
      </c>
      <c r="H414" s="1395" t="str">
        <f t="shared" si="215"/>
        <v>M</v>
      </c>
      <c r="I414" s="1398" t="s">
        <v>3364</v>
      </c>
      <c r="J414" s="350" t="str">
        <f>IF(B414&lt;&gt;"",+VLOOKUP(I414,Recursos!C:F,2,FALSE),"")</f>
        <v>ELECTROVALVULA 2"</v>
      </c>
      <c r="K414" s="351" t="str">
        <f>IF(B414&lt;&gt;"",+VLOOKUP(I414,Recursos!C:F,3,FALSE),"")</f>
        <v>Un</v>
      </c>
      <c r="L414" s="436">
        <f>IF(B414&lt;&gt;"",+VLOOKUP(I414,Recursos!C:F,4,FALSE),"")</f>
        <v>6500</v>
      </c>
      <c r="M414" s="1018"/>
      <c r="N414" s="1004">
        <v>4</v>
      </c>
      <c r="O414" s="439">
        <f>N414/N410</f>
        <v>2.0000000000000001E-4</v>
      </c>
      <c r="P414" s="440">
        <f t="shared" si="216"/>
        <v>1.3</v>
      </c>
      <c r="Q414" s="349">
        <f t="shared" si="217"/>
        <v>0</v>
      </c>
      <c r="R414" s="353">
        <f t="shared" si="218"/>
        <v>0</v>
      </c>
      <c r="S414" s="354">
        <f t="shared" si="206"/>
        <v>0</v>
      </c>
      <c r="T414" s="354">
        <f t="shared" si="207"/>
        <v>0</v>
      </c>
      <c r="U414" s="355">
        <f t="shared" si="208"/>
        <v>78.867926184952253</v>
      </c>
      <c r="V414" s="355">
        <f t="shared" si="209"/>
        <v>0</v>
      </c>
      <c r="W414" s="355">
        <f t="shared" si="210"/>
        <v>0</v>
      </c>
      <c r="X414" s="355">
        <f t="shared" si="211"/>
        <v>10.772500207907065</v>
      </c>
      <c r="Y414" s="396"/>
      <c r="Z414" s="346" t="str">
        <f t="shared" si="219"/>
        <v>0-RIASPA</v>
      </c>
      <c r="AA414" s="346" t="str">
        <f t="shared" si="220"/>
        <v>0-RIASPE</v>
      </c>
      <c r="AB414" s="346" t="str">
        <f t="shared" si="221"/>
        <v>0-RIASPM</v>
      </c>
      <c r="AC414" s="346" t="str">
        <f t="shared" si="222"/>
        <v>0-RIASPT</v>
      </c>
      <c r="AD414" s="346" t="str">
        <f t="shared" si="223"/>
        <v>0-RIASPS</v>
      </c>
      <c r="AE414" s="346" t="str">
        <f t="shared" si="224"/>
        <v>0-RIASPX</v>
      </c>
      <c r="AF414" s="346" t="str">
        <f t="shared" si="225"/>
        <v>0-RIASPM</v>
      </c>
      <c r="AG414" s="346">
        <f t="shared" si="212"/>
        <v>10</v>
      </c>
      <c r="AH414" s="346">
        <f>IF(B414&lt;&gt;"",+IF(H414="x",+VLOOKUP(I414,'AUX-NIV2'!B:AG,32,FALSE),0),"")</f>
        <v>0</v>
      </c>
      <c r="AI414" s="346" t="str">
        <f t="shared" si="226"/>
        <v>0-RIASP</v>
      </c>
      <c r="AK414" s="347">
        <f t="shared" si="213"/>
        <v>407</v>
      </c>
      <c r="AL414" s="348">
        <f t="shared" si="227"/>
        <v>416</v>
      </c>
      <c r="AM414" s="347">
        <f t="shared" si="228"/>
        <v>8</v>
      </c>
      <c r="AN414" s="382">
        <f>IF(AND(AH414&gt;0,B414&lt;&gt;""),VLOOKUP(I414,'AUX-NIV2'!$B:$AP,40,FALSE)*O414,0)</f>
        <v>0</v>
      </c>
      <c r="AO414" s="382">
        <f t="shared" si="214"/>
        <v>2.3E-2</v>
      </c>
      <c r="AQ414" s="395">
        <f>(IF($H414="x",VLOOKUP($I414,'AUX-NIV2'!$B:$X,'AUX-NIV1'!AQ$3,FALSE),0)+($AV414*'AUX-NIV3'!S$4))*$O414+IF($H414=AQ$4,$P414,0)</f>
        <v>0</v>
      </c>
      <c r="AR414" s="395">
        <f>(IF($H414="x",VLOOKUP($I414,'AUX-NIV2'!$B:$X,'AUX-NIV1'!AR$3,FALSE),0)+($AV414*'AUX-NIV3'!T$4))*$O414+IF($H414=AR$4,$P414,0)</f>
        <v>0</v>
      </c>
      <c r="AS414" s="395">
        <f>(IF($H414="x",VLOOKUP($I414,'AUX-NIV2'!$B:$X,'AUX-NIV1'!AS$3,FALSE),0)+($AV414*'AUX-NIV3'!U$4))*$O414+IF($H414=AS$4,$P414,0)</f>
        <v>1.3</v>
      </c>
      <c r="AT414" s="395">
        <f>(IF($H414="x",VLOOKUP($I414,'AUX-NIV2'!$B:$X,'AUX-NIV1'!AT$3,FALSE),0)+($AV414*'AUX-NIV3'!V$4))*$O414+IF($H414=AT$4,$P414,0)</f>
        <v>0</v>
      </c>
      <c r="AU414" s="395">
        <f>(IF($H414="x",VLOOKUP($I414,'AUX-NIV2'!$B:$X,'AUX-NIV1'!AU$3,FALSE),0)+($AV414*'AUX-NIV3'!W$4))*$O414+IF($H414=AU$4,$P414,0)</f>
        <v>0</v>
      </c>
      <c r="AV414" s="395">
        <f>+IF($H414="x",VLOOKUP($I414,'AUX-NIV2'!$B:$X,'AUX-NIV1'!AV$3,FALSE),0)</f>
        <v>0</v>
      </c>
    </row>
    <row r="415" spans="2:48" ht="13.8" hidden="1" thickTop="1">
      <c r="B415" s="501" t="s">
        <v>3358</v>
      </c>
      <c r="C415" s="950" t="s">
        <v>3359</v>
      </c>
      <c r="D415" s="326" t="s">
        <v>501</v>
      </c>
      <c r="E415" s="349">
        <f>IF(B415&lt;&gt;"",+SUMIF(Items!C:C,'AUX-NIV1'!B415,Items!H:H),"")</f>
        <v>0</v>
      </c>
      <c r="F415" s="349">
        <f t="shared" si="204"/>
        <v>89.640426392859325</v>
      </c>
      <c r="G415" s="349">
        <f t="shared" si="205"/>
        <v>0</v>
      </c>
      <c r="H415" s="1395" t="str">
        <f t="shared" si="215"/>
        <v>M</v>
      </c>
      <c r="I415" s="1398" t="s">
        <v>3365</v>
      </c>
      <c r="J415" s="350" t="str">
        <f>IF(B415&lt;&gt;"",+VLOOKUP(I415,Recursos!C:F,2,FALSE),"")</f>
        <v>ACCESORIOS PARA RIEGO</v>
      </c>
      <c r="K415" s="351" t="str">
        <f>IF(B415&lt;&gt;"",+VLOOKUP(I415,Recursos!C:F,3,FALSE),"")</f>
        <v>Un</v>
      </c>
      <c r="L415" s="436">
        <f>IF(B415&lt;&gt;"",+VLOOKUP(I415,Recursos!C:F,4,FALSE),"")</f>
        <v>395</v>
      </c>
      <c r="M415" s="1008"/>
      <c r="N415" s="1009"/>
      <c r="O415" s="439">
        <f>1/M408</f>
        <v>6.6666666666666666E-2</v>
      </c>
      <c r="P415" s="440">
        <f t="shared" si="216"/>
        <v>26.333333333333332</v>
      </c>
      <c r="Q415" s="349">
        <f t="shared" si="217"/>
        <v>0</v>
      </c>
      <c r="R415" s="353">
        <f t="shared" si="218"/>
        <v>0</v>
      </c>
      <c r="S415" s="354">
        <f t="shared" si="206"/>
        <v>0</v>
      </c>
      <c r="T415" s="354">
        <f t="shared" si="207"/>
        <v>0</v>
      </c>
      <c r="U415" s="355">
        <f t="shared" si="208"/>
        <v>78.867926184952253</v>
      </c>
      <c r="V415" s="355">
        <f t="shared" si="209"/>
        <v>0</v>
      </c>
      <c r="W415" s="355">
        <f t="shared" si="210"/>
        <v>0</v>
      </c>
      <c r="X415" s="355">
        <f t="shared" si="211"/>
        <v>10.772500207907065</v>
      </c>
      <c r="Y415" s="396"/>
      <c r="Z415" s="346" t="str">
        <f t="shared" si="219"/>
        <v>0-RIASPA</v>
      </c>
      <c r="AA415" s="346" t="str">
        <f t="shared" si="220"/>
        <v>0-RIASPE</v>
      </c>
      <c r="AB415" s="346" t="str">
        <f t="shared" si="221"/>
        <v>0-RIASPM</v>
      </c>
      <c r="AC415" s="346" t="str">
        <f t="shared" si="222"/>
        <v>0-RIASPT</v>
      </c>
      <c r="AD415" s="346" t="str">
        <f t="shared" si="223"/>
        <v>0-RIASPS</v>
      </c>
      <c r="AE415" s="346" t="str">
        <f t="shared" si="224"/>
        <v>0-RIASPX</v>
      </c>
      <c r="AF415" s="346" t="str">
        <f t="shared" si="225"/>
        <v>0-RIASPM</v>
      </c>
      <c r="AG415" s="346">
        <f t="shared" si="212"/>
        <v>10</v>
      </c>
      <c r="AH415" s="346">
        <f>IF(B415&lt;&gt;"",+IF(H415="x",+VLOOKUP(I415,'AUX-NIV2'!B:AG,32,FALSE),0),"")</f>
        <v>0</v>
      </c>
      <c r="AI415" s="346" t="str">
        <f t="shared" si="226"/>
        <v>0-RIASP</v>
      </c>
      <c r="AK415" s="347">
        <f t="shared" si="213"/>
        <v>407</v>
      </c>
      <c r="AL415" s="348">
        <f t="shared" si="227"/>
        <v>416</v>
      </c>
      <c r="AM415" s="347">
        <f t="shared" si="228"/>
        <v>9</v>
      </c>
      <c r="AN415" s="382">
        <f>IF(AND(AH415&gt;0,B415&lt;&gt;""),VLOOKUP(I415,'AUX-NIV2'!$B:$AP,40,FALSE)*O415,0)</f>
        <v>0</v>
      </c>
      <c r="AO415" s="382">
        <f t="shared" si="214"/>
        <v>2.3E-2</v>
      </c>
      <c r="AQ415" s="395">
        <f>(IF($H415="x",VLOOKUP($I415,'AUX-NIV2'!$B:$X,'AUX-NIV1'!AQ$3,FALSE),0)+($AV415*'AUX-NIV3'!S$4))*$O415+IF($H415=AQ$4,$P415,0)</f>
        <v>0</v>
      </c>
      <c r="AR415" s="395">
        <f>(IF($H415="x",VLOOKUP($I415,'AUX-NIV2'!$B:$X,'AUX-NIV1'!AR$3,FALSE),0)+($AV415*'AUX-NIV3'!T$4))*$O415+IF($H415=AR$4,$P415,0)</f>
        <v>0</v>
      </c>
      <c r="AS415" s="395">
        <f>(IF($H415="x",VLOOKUP($I415,'AUX-NIV2'!$B:$X,'AUX-NIV1'!AS$3,FALSE),0)+($AV415*'AUX-NIV3'!U$4))*$O415+IF($H415=AS$4,$P415,0)</f>
        <v>26.333333333333332</v>
      </c>
      <c r="AT415" s="395">
        <f>(IF($H415="x",VLOOKUP($I415,'AUX-NIV2'!$B:$X,'AUX-NIV1'!AT$3,FALSE),0)+($AV415*'AUX-NIV3'!V$4))*$O415+IF($H415=AT$4,$P415,0)</f>
        <v>0</v>
      </c>
      <c r="AU415" s="395">
        <f>(IF($H415="x",VLOOKUP($I415,'AUX-NIV2'!$B:$X,'AUX-NIV1'!AU$3,FALSE),0)+($AV415*'AUX-NIV3'!W$4))*$O415+IF($H415=AU$4,$P415,0)</f>
        <v>0</v>
      </c>
      <c r="AV415" s="395">
        <f>+IF($H415="x",VLOOKUP($I415,'AUX-NIV2'!$B:$X,'AUX-NIV1'!AV$3,FALSE),0)</f>
        <v>0</v>
      </c>
    </row>
    <row r="416" spans="2:48" ht="14.4" hidden="1" thickTop="1" thickBot="1">
      <c r="B416" s="501" t="s">
        <v>3358</v>
      </c>
      <c r="C416" s="950" t="s">
        <v>3359</v>
      </c>
      <c r="D416" s="326" t="s">
        <v>501</v>
      </c>
      <c r="E416" s="349">
        <f>IF(B416&lt;&gt;"",+SUMIF(Items!C:C,'AUX-NIV1'!B416,Items!H:H),"")</f>
        <v>0</v>
      </c>
      <c r="F416" s="349">
        <f t="shared" si="204"/>
        <v>89.640426392859325</v>
      </c>
      <c r="G416" s="349">
        <f t="shared" si="205"/>
        <v>0</v>
      </c>
      <c r="H416" s="1395" t="str">
        <f t="shared" si="215"/>
        <v>M</v>
      </c>
      <c r="I416" s="1398" t="s">
        <v>3366</v>
      </c>
      <c r="J416" s="350" t="str">
        <f>IF(B416&lt;&gt;"",+VLOOKUP(I416,Recursos!C:F,2,FALSE),"")</f>
        <v>CONTROLADOR</v>
      </c>
      <c r="K416" s="351" t="str">
        <f>IF(B416&lt;&gt;"",+VLOOKUP(I416,Recursos!C:F,3,FALSE),"")</f>
        <v>Un</v>
      </c>
      <c r="L416" s="436">
        <f>IF(B416&lt;&gt;"",+VLOOKUP(I416,Recursos!C:F,4,FALSE),"")</f>
        <v>20000</v>
      </c>
      <c r="M416" s="1020"/>
      <c r="N416" s="1021"/>
      <c r="O416" s="439">
        <f>1/N410</f>
        <v>5.0000000000000002E-5</v>
      </c>
      <c r="P416" s="440">
        <f t="shared" si="216"/>
        <v>1</v>
      </c>
      <c r="Q416" s="349">
        <f t="shared" si="217"/>
        <v>0</v>
      </c>
      <c r="R416" s="353">
        <f t="shared" si="218"/>
        <v>0</v>
      </c>
      <c r="S416" s="354">
        <f t="shared" si="206"/>
        <v>0</v>
      </c>
      <c r="T416" s="354">
        <f t="shared" si="207"/>
        <v>0</v>
      </c>
      <c r="U416" s="355">
        <f t="shared" si="208"/>
        <v>78.867926184952253</v>
      </c>
      <c r="V416" s="355">
        <f t="shared" si="209"/>
        <v>0</v>
      </c>
      <c r="W416" s="355">
        <f t="shared" si="210"/>
        <v>0</v>
      </c>
      <c r="X416" s="355">
        <f t="shared" si="211"/>
        <v>10.772500207907065</v>
      </c>
      <c r="Y416" s="396"/>
      <c r="Z416" s="346" t="str">
        <f t="shared" si="219"/>
        <v>0-RIASPA</v>
      </c>
      <c r="AA416" s="346" t="str">
        <f t="shared" si="220"/>
        <v>0-RIASPE</v>
      </c>
      <c r="AB416" s="346" t="str">
        <f t="shared" si="221"/>
        <v>0-RIASPM</v>
      </c>
      <c r="AC416" s="346" t="str">
        <f t="shared" si="222"/>
        <v>0-RIASPT</v>
      </c>
      <c r="AD416" s="346" t="str">
        <f t="shared" si="223"/>
        <v>0-RIASPS</v>
      </c>
      <c r="AE416" s="346" t="str">
        <f t="shared" si="224"/>
        <v>0-RIASPX</v>
      </c>
      <c r="AF416" s="346" t="str">
        <f t="shared" si="225"/>
        <v>0-RIASPM</v>
      </c>
      <c r="AG416" s="346">
        <f t="shared" si="212"/>
        <v>10</v>
      </c>
      <c r="AH416" s="346">
        <f>IF(B416&lt;&gt;"",+IF(H416="x",+VLOOKUP(I416,'AUX-NIV2'!B:AG,32,FALSE),0),"")</f>
        <v>0</v>
      </c>
      <c r="AI416" s="346" t="str">
        <f t="shared" si="226"/>
        <v>0-RIASP</v>
      </c>
      <c r="AK416" s="347">
        <f t="shared" si="213"/>
        <v>407</v>
      </c>
      <c r="AL416" s="348">
        <f t="shared" si="227"/>
        <v>416</v>
      </c>
      <c r="AM416" s="347">
        <f t="shared" si="228"/>
        <v>10</v>
      </c>
      <c r="AN416" s="382">
        <f>IF(AND(AH416&gt;0,B416&lt;&gt;""),VLOOKUP(I416,'AUX-NIV2'!$B:$AP,40,FALSE)*O416,0)</f>
        <v>0</v>
      </c>
      <c r="AO416" s="382">
        <f t="shared" si="214"/>
        <v>2.3E-2</v>
      </c>
      <c r="AQ416" s="395">
        <f>(IF($H416="x",VLOOKUP($I416,'AUX-NIV2'!$B:$X,'AUX-NIV1'!AQ$3,FALSE),0)+($AV416*'AUX-NIV3'!S$4))*$O416+IF($H416=AQ$4,$P416,0)</f>
        <v>0</v>
      </c>
      <c r="AR416" s="395">
        <f>(IF($H416="x",VLOOKUP($I416,'AUX-NIV2'!$B:$X,'AUX-NIV1'!AR$3,FALSE),0)+($AV416*'AUX-NIV3'!T$4))*$O416+IF($H416=AR$4,$P416,0)</f>
        <v>0</v>
      </c>
      <c r="AS416" s="395">
        <f>(IF($H416="x",VLOOKUP($I416,'AUX-NIV2'!$B:$X,'AUX-NIV1'!AS$3,FALSE),0)+($AV416*'AUX-NIV3'!U$4))*$O416+IF($H416=AS$4,$P416,0)</f>
        <v>1</v>
      </c>
      <c r="AT416" s="395">
        <f>(IF($H416="x",VLOOKUP($I416,'AUX-NIV2'!$B:$X,'AUX-NIV1'!AT$3,FALSE),0)+($AV416*'AUX-NIV3'!V$4))*$O416+IF($H416=AT$4,$P416,0)</f>
        <v>0</v>
      </c>
      <c r="AU416" s="395">
        <f>(IF($H416="x",VLOOKUP($I416,'AUX-NIV2'!$B:$X,'AUX-NIV1'!AU$3,FALSE),0)+($AV416*'AUX-NIV3'!W$4))*$O416+IF($H416=AU$4,$P416,0)</f>
        <v>0</v>
      </c>
      <c r="AV416" s="395">
        <f>+IF($H416="x",VLOOKUP($I416,'AUX-NIV2'!$B:$X,'AUX-NIV1'!AV$3,FALSE),0)</f>
        <v>0</v>
      </c>
    </row>
    <row r="417" spans="2:48" ht="13.8" hidden="1" thickTop="1">
      <c r="B417" s="501" t="s">
        <v>3467</v>
      </c>
      <c r="C417" s="950" t="s">
        <v>3468</v>
      </c>
      <c r="D417" s="326" t="s">
        <v>1160</v>
      </c>
      <c r="E417" s="349">
        <f>IF(B417&lt;&gt;"",+SUMIF(Items!C:C,'AUX-NIV1'!B417,Items!H:H),"")</f>
        <v>0</v>
      </c>
      <c r="F417" s="349">
        <f t="shared" si="204"/>
        <v>2752.2950961662036</v>
      </c>
      <c r="G417" s="349">
        <f t="shared" si="205"/>
        <v>0</v>
      </c>
      <c r="H417" s="1395" t="str">
        <f t="shared" si="215"/>
        <v>A</v>
      </c>
      <c r="I417" s="1375" t="s">
        <v>1745</v>
      </c>
      <c r="J417" s="350" t="str">
        <f>IF(B417&lt;&gt;"",+VLOOKUP(I417,Recursos!C:F,2,FALSE),"")</f>
        <v>AYUDANTE</v>
      </c>
      <c r="K417" s="351" t="str">
        <f>IF(B417&lt;&gt;"",+VLOOKUP(I417,Recursos!C:F,3,FALSE),"")</f>
        <v>hh</v>
      </c>
      <c r="L417" s="436">
        <f>IF(B417&lt;&gt;"",+VLOOKUP(I417,Recursos!C:F,4,FALSE),"")</f>
        <v>422.48042769667234</v>
      </c>
      <c r="M417" s="1484"/>
      <c r="N417" s="1001">
        <v>1</v>
      </c>
      <c r="O417" s="439">
        <f>N417/M418*(1-N424)</f>
        <v>3.9999999999999994E-2</v>
      </c>
      <c r="P417" s="440">
        <f t="shared" si="216"/>
        <v>16.899217107866892</v>
      </c>
      <c r="Q417" s="349">
        <f t="shared" si="217"/>
        <v>0</v>
      </c>
      <c r="R417" s="353">
        <f t="shared" si="218"/>
        <v>0</v>
      </c>
      <c r="S417" s="354">
        <f t="shared" si="206"/>
        <v>1444.9081256553811</v>
      </c>
      <c r="T417" s="354">
        <f t="shared" si="207"/>
        <v>1307.3869705108227</v>
      </c>
      <c r="U417" s="355">
        <f t="shared" si="208"/>
        <v>0</v>
      </c>
      <c r="V417" s="355">
        <f t="shared" si="209"/>
        <v>0</v>
      </c>
      <c r="W417" s="355">
        <f t="shared" si="210"/>
        <v>0</v>
      </c>
      <c r="X417" s="355">
        <f t="shared" si="211"/>
        <v>0</v>
      </c>
      <c r="Y417" s="396"/>
      <c r="Z417" s="346" t="str">
        <f t="shared" si="219"/>
        <v>0-DEMOLMA</v>
      </c>
      <c r="AA417" s="346" t="str">
        <f t="shared" si="220"/>
        <v>0-DEMOLME</v>
      </c>
      <c r="AB417" s="346" t="str">
        <f t="shared" si="221"/>
        <v>0-DEMOLMM</v>
      </c>
      <c r="AC417" s="346" t="str">
        <f t="shared" si="222"/>
        <v>0-DEMOLMT</v>
      </c>
      <c r="AD417" s="346" t="str">
        <f t="shared" si="223"/>
        <v>0-DEMOLMS</v>
      </c>
      <c r="AE417" s="346" t="str">
        <f t="shared" si="224"/>
        <v>0-DEMOLMX</v>
      </c>
      <c r="AF417" s="346" t="str">
        <f t="shared" si="225"/>
        <v>0-DEMOLMA</v>
      </c>
      <c r="AG417" s="346">
        <f t="shared" si="212"/>
        <v>13</v>
      </c>
      <c r="AH417" s="346">
        <f>IF(B417&lt;&gt;"",+IF(H417="x",+VLOOKUP(I417,'AUX-NIV2'!B:AG,32,FALSE),0),"")</f>
        <v>0</v>
      </c>
      <c r="AI417" s="346" t="str">
        <f t="shared" si="226"/>
        <v>0-DEMOLM</v>
      </c>
      <c r="AK417" s="347">
        <f t="shared" si="213"/>
        <v>417</v>
      </c>
      <c r="AL417" s="348">
        <f t="shared" si="227"/>
        <v>429</v>
      </c>
      <c r="AM417" s="347">
        <f t="shared" si="228"/>
        <v>1</v>
      </c>
      <c r="AN417" s="382">
        <f>IF(AND(AH417&gt;0,B417&lt;&gt;""),VLOOKUP(I417,'AUX-NIV2'!$B:$AP,40,FALSE)*O417,0)</f>
        <v>0</v>
      </c>
      <c r="AO417" s="382">
        <f t="shared" si="214"/>
        <v>3.2133333333333334</v>
      </c>
      <c r="AQ417" s="395">
        <f>(IF($H417="x",VLOOKUP($I417,'AUX-NIV2'!$B:$X,'AUX-NIV1'!AQ$3,FALSE),0)+($AV417*'AUX-NIV3'!S$4))*$O417+IF($H417=AQ$4,$P417,0)</f>
        <v>16.899217107866892</v>
      </c>
      <c r="AR417" s="395">
        <f>(IF($H417="x",VLOOKUP($I417,'AUX-NIV2'!$B:$X,'AUX-NIV1'!AR$3,FALSE),0)+($AV417*'AUX-NIV3'!T$4))*$O417+IF($H417=AR$4,$P417,0)</f>
        <v>0</v>
      </c>
      <c r="AS417" s="395">
        <f>(IF($H417="x",VLOOKUP($I417,'AUX-NIV2'!$B:$X,'AUX-NIV1'!AS$3,FALSE),0)+($AV417*'AUX-NIV3'!U$4))*$O417+IF($H417=AS$4,$P417,0)</f>
        <v>0</v>
      </c>
      <c r="AT417" s="395">
        <f>(IF($H417="x",VLOOKUP($I417,'AUX-NIV2'!$B:$X,'AUX-NIV1'!AT$3,FALSE),0)+($AV417*'AUX-NIV3'!V$4))*$O417+IF($H417=AT$4,$P417,0)</f>
        <v>0</v>
      </c>
      <c r="AU417" s="395">
        <f>(IF($H417="x",VLOOKUP($I417,'AUX-NIV2'!$B:$X,'AUX-NIV1'!AU$3,FALSE),0)+($AV417*'AUX-NIV3'!W$4))*$O417+IF($H417=AU$4,$P417,0)</f>
        <v>0</v>
      </c>
      <c r="AV417" s="395">
        <f>+IF($H417="x",VLOOKUP($I417,'AUX-NIV2'!$B:$X,'AUX-NIV1'!AV$3,FALSE),0)</f>
        <v>0</v>
      </c>
    </row>
    <row r="418" spans="2:48" ht="13.8" hidden="1" thickTop="1">
      <c r="B418" s="1467" t="s">
        <v>3467</v>
      </c>
      <c r="C418" s="1468" t="s">
        <v>3468</v>
      </c>
      <c r="D418" s="1469" t="s">
        <v>1160</v>
      </c>
      <c r="E418" s="1470">
        <f>IF(B418&lt;&gt;"",+SUMIF(Items!C:C,'AUX-NIV1'!B418,Items!H:H),"")</f>
        <v>0</v>
      </c>
      <c r="F418" s="1470">
        <f t="shared" si="204"/>
        <v>2752.2950961662036</v>
      </c>
      <c r="G418" s="1470">
        <f t="shared" si="205"/>
        <v>0</v>
      </c>
      <c r="H418" s="1471" t="str">
        <f t="shared" ref="H418" si="230">IF(B418&lt;&gt;"",+LEFT(I418,1),"")</f>
        <v>E</v>
      </c>
      <c r="I418" s="1472" t="s">
        <v>1549</v>
      </c>
      <c r="J418" s="1473" t="str">
        <f>IF(B418&lt;&gt;"",+VLOOKUP(I418,Recursos!C:F,2,FALSE),"")</f>
        <v>RETROEXC. CARG. S/ROD.NEUM. 0.24 M3</v>
      </c>
      <c r="K418" s="1474" t="str">
        <f>IF(B418&lt;&gt;"",+VLOOKUP(I418,Recursos!C:F,3,FALSE),"")</f>
        <v>HR</v>
      </c>
      <c r="L418" s="1475">
        <f>IF(B418&lt;&gt;"",+VLOOKUP(I418,Recursos!C:F,4,FALSE),"")</f>
        <v>1761.0672000000002</v>
      </c>
      <c r="M418" s="1476">
        <v>5</v>
      </c>
      <c r="N418" s="1477">
        <v>1</v>
      </c>
      <c r="O418" s="1478">
        <f>N418/M418*(1-N424)</f>
        <v>3.9999999999999994E-2</v>
      </c>
      <c r="P418" s="1479">
        <f t="shared" ref="P418" si="231">IF(B418&lt;&gt;"",O418*L418,"")</f>
        <v>70.44268799999999</v>
      </c>
      <c r="Q418" s="1470">
        <f t="shared" ref="Q418" si="232">IF(B418&lt;&gt;"",+O418*E418,"")</f>
        <v>0</v>
      </c>
      <c r="R418" s="1480">
        <f t="shared" ref="R418" si="233">IF(B418&lt;&gt;"",Q418*L418,"")</f>
        <v>0</v>
      </c>
      <c r="S418" s="1481">
        <f t="shared" si="206"/>
        <v>1444.9081256553811</v>
      </c>
      <c r="T418" s="1481">
        <f t="shared" si="207"/>
        <v>1307.3869705108227</v>
      </c>
      <c r="U418" s="1482">
        <f t="shared" si="208"/>
        <v>0</v>
      </c>
      <c r="V418" s="1482">
        <f t="shared" si="209"/>
        <v>0</v>
      </c>
      <c r="W418" s="1482">
        <f t="shared" si="210"/>
        <v>0</v>
      </c>
      <c r="X418" s="1482">
        <f t="shared" si="211"/>
        <v>0</v>
      </c>
      <c r="Y418" s="396"/>
      <c r="Z418" s="1483" t="str">
        <f t="shared" ref="Z418" si="234">IF(B418&lt;&gt;"",+$B418&amp;"A","")</f>
        <v>0-DEMOLMA</v>
      </c>
      <c r="AA418" s="1483" t="str">
        <f t="shared" ref="AA418" si="235">IF(B418&lt;&gt;"",+$B418&amp;"E","")</f>
        <v>0-DEMOLME</v>
      </c>
      <c r="AB418" s="1483" t="str">
        <f t="shared" ref="AB418" si="236">IF(B418&lt;&gt;"",++$B418&amp;"M","")</f>
        <v>0-DEMOLMM</v>
      </c>
      <c r="AC418" s="1483" t="str">
        <f t="shared" ref="AC418" si="237">IF(B418&lt;&gt;"",+$B418&amp;"T","")</f>
        <v>0-DEMOLMT</v>
      </c>
      <c r="AD418" s="1483" t="str">
        <f t="shared" ref="AD418" si="238">IF(B418&lt;&gt;"",+$B418&amp;"S","")</f>
        <v>0-DEMOLMS</v>
      </c>
      <c r="AE418" s="1483" t="str">
        <f t="shared" ref="AE418" si="239">IF(B418&lt;&gt;"",+$B418&amp;"X","")</f>
        <v>0-DEMOLMX</v>
      </c>
      <c r="AF418" s="1483" t="str">
        <f t="shared" ref="AF418" si="240">IF(B418&lt;&gt;"",+B418&amp;H418,"")</f>
        <v>0-DEMOLME</v>
      </c>
      <c r="AG418" s="1483">
        <f t="shared" si="212"/>
        <v>13</v>
      </c>
      <c r="AH418" s="1483">
        <f>IF(B418&lt;&gt;"",+IF(H418="x",+VLOOKUP(I418,'AUX-NIV2'!B:AG,32,FALSE),0),"")</f>
        <v>0</v>
      </c>
      <c r="AI418" s="1483" t="str">
        <f t="shared" ref="AI418" si="241">IF(B418&lt;&gt;"",+B418,"")</f>
        <v>0-DEMOLM</v>
      </c>
      <c r="AK418" s="347">
        <f t="shared" si="213"/>
        <v>417</v>
      </c>
      <c r="AL418" s="348">
        <f t="shared" ref="AL418" si="242">IF(B418&lt;&gt;"",+AK418+AG418-1,"")</f>
        <v>429</v>
      </c>
      <c r="AM418" s="347">
        <f t="shared" ref="AM418" si="243">IF(B418&lt;&gt;"",IF(B418=B417,1+AM417,1),"")</f>
        <v>2</v>
      </c>
      <c r="AN418" s="382">
        <f>IF(AND(AH418&gt;0,B418&lt;&gt;""),VLOOKUP(I418,'AUX-NIV2'!$B:$AP,40,FALSE)*O418,0)</f>
        <v>0</v>
      </c>
      <c r="AO418" s="382">
        <f t="shared" si="214"/>
        <v>3.2133333333333334</v>
      </c>
      <c r="AQ418" s="395">
        <f>(IF($H418="x",VLOOKUP($I418,'AUX-NIV2'!$B:$X,'AUX-NIV1'!AQ$3,FALSE),0)+($AV418*'AUX-NIV3'!S$4))*$O418+IF($H418=AQ$4,$P418,0)</f>
        <v>0</v>
      </c>
      <c r="AR418" s="395">
        <f>(IF($H418="x",VLOOKUP($I418,'AUX-NIV2'!$B:$X,'AUX-NIV1'!AR$3,FALSE),0)+($AV418*'AUX-NIV3'!T$4))*$O418+IF($H418=AR$4,$P418,0)</f>
        <v>70.44268799999999</v>
      </c>
      <c r="AS418" s="395">
        <f>(IF($H418="x",VLOOKUP($I418,'AUX-NIV2'!$B:$X,'AUX-NIV1'!AS$3,FALSE),0)+($AV418*'AUX-NIV3'!U$4))*$O418+IF($H418=AS$4,$P418,0)</f>
        <v>0</v>
      </c>
      <c r="AT418" s="395">
        <f>(IF($H418="x",VLOOKUP($I418,'AUX-NIV2'!$B:$X,'AUX-NIV1'!AT$3,FALSE),0)+($AV418*'AUX-NIV3'!V$4))*$O418+IF($H418=AT$4,$P418,0)</f>
        <v>0</v>
      </c>
      <c r="AU418" s="395">
        <f>(IF($H418="x",VLOOKUP($I418,'AUX-NIV2'!$B:$X,'AUX-NIV1'!AU$3,FALSE),0)+($AV418*'AUX-NIV3'!W$4))*$O418+IF($H418=AU$4,$P418,0)</f>
        <v>0</v>
      </c>
      <c r="AV418" s="395">
        <f>+IF($H418="x",VLOOKUP($I418,'AUX-NIV2'!$B:$X,'AUX-NIV1'!AV$3,FALSE),0)</f>
        <v>0</v>
      </c>
    </row>
    <row r="419" spans="2:48" ht="13.8" hidden="1" thickTop="1">
      <c r="B419" s="501" t="s">
        <v>3467</v>
      </c>
      <c r="C419" s="950" t="s">
        <v>3468</v>
      </c>
      <c r="D419" s="326" t="s">
        <v>1160</v>
      </c>
      <c r="E419" s="349">
        <f>IF(B419&lt;&gt;"",+SUMIF(Items!C:C,'AUX-NIV1'!B419,Items!H:H),"")</f>
        <v>0</v>
      </c>
      <c r="F419" s="349">
        <f t="shared" si="204"/>
        <v>2752.2950961662036</v>
      </c>
      <c r="G419" s="349">
        <f t="shared" si="205"/>
        <v>0</v>
      </c>
      <c r="H419" s="1395" t="str">
        <f t="shared" si="215"/>
        <v>A</v>
      </c>
      <c r="I419" s="1375" t="s">
        <v>1746</v>
      </c>
      <c r="J419" s="350" t="str">
        <f>IF(B419&lt;&gt;"",+VLOOKUP(I419,Recursos!C:F,2,FALSE),"")</f>
        <v>OFICIAL</v>
      </c>
      <c r="K419" s="351" t="str">
        <f>IF(B419&lt;&gt;"",+VLOOKUP(I419,Recursos!C:F,3,FALSE),"")</f>
        <v>hh</v>
      </c>
      <c r="L419" s="436">
        <f>IF(B419&lt;&gt;"",+VLOOKUP(I419,Recursos!C:F,4,FALSE),"")</f>
        <v>496.91595439275824</v>
      </c>
      <c r="M419" s="975"/>
      <c r="N419" s="999"/>
      <c r="O419" s="439">
        <f>N418/M418*(1-N424)</f>
        <v>3.9999999999999994E-2</v>
      </c>
      <c r="P419" s="440">
        <f t="shared" si="216"/>
        <v>19.876638175710326</v>
      </c>
      <c r="Q419" s="349">
        <f t="shared" si="217"/>
        <v>0</v>
      </c>
      <c r="R419" s="353">
        <f t="shared" si="218"/>
        <v>0</v>
      </c>
      <c r="S419" s="354">
        <f t="shared" si="206"/>
        <v>1444.9081256553811</v>
      </c>
      <c r="T419" s="354">
        <f t="shared" si="207"/>
        <v>1307.3869705108227</v>
      </c>
      <c r="U419" s="355">
        <f t="shared" si="208"/>
        <v>0</v>
      </c>
      <c r="V419" s="355">
        <f t="shared" si="209"/>
        <v>0</v>
      </c>
      <c r="W419" s="355">
        <f t="shared" si="210"/>
        <v>0</v>
      </c>
      <c r="X419" s="355">
        <f t="shared" si="211"/>
        <v>0</v>
      </c>
      <c r="Y419" s="396"/>
      <c r="Z419" s="346" t="str">
        <f t="shared" si="219"/>
        <v>0-DEMOLMA</v>
      </c>
      <c r="AA419" s="346" t="str">
        <f t="shared" si="220"/>
        <v>0-DEMOLME</v>
      </c>
      <c r="AB419" s="346" t="str">
        <f t="shared" si="221"/>
        <v>0-DEMOLMM</v>
      </c>
      <c r="AC419" s="346" t="str">
        <f t="shared" si="222"/>
        <v>0-DEMOLMT</v>
      </c>
      <c r="AD419" s="346" t="str">
        <f t="shared" si="223"/>
        <v>0-DEMOLMS</v>
      </c>
      <c r="AE419" s="346" t="str">
        <f t="shared" si="224"/>
        <v>0-DEMOLMX</v>
      </c>
      <c r="AF419" s="346" t="str">
        <f t="shared" si="225"/>
        <v>0-DEMOLMA</v>
      </c>
      <c r="AG419" s="346">
        <f t="shared" si="212"/>
        <v>13</v>
      </c>
      <c r="AH419" s="346">
        <f>IF(B419&lt;&gt;"",+IF(H419="x",+VLOOKUP(I419,'AUX-NIV2'!B:AG,32,FALSE),0),"")</f>
        <v>0</v>
      </c>
      <c r="AI419" s="346" t="str">
        <f t="shared" si="226"/>
        <v>0-DEMOLM</v>
      </c>
      <c r="AK419" s="347">
        <f t="shared" si="213"/>
        <v>417</v>
      </c>
      <c r="AL419" s="348">
        <f t="shared" si="227"/>
        <v>429</v>
      </c>
      <c r="AM419" s="347">
        <f>IF(B419&lt;&gt;"",IF(B419=B417,1+AM417,1),"")</f>
        <v>2</v>
      </c>
      <c r="AN419" s="382">
        <f>IF(AND(AH419&gt;0,B419&lt;&gt;""),VLOOKUP(I419,'AUX-NIV2'!$B:$AP,40,FALSE)*O419,0)</f>
        <v>0</v>
      </c>
      <c r="AO419" s="382">
        <f t="shared" si="214"/>
        <v>3.2133333333333334</v>
      </c>
      <c r="AQ419" s="395">
        <f>(IF($H419="x",VLOOKUP($I419,'AUX-NIV2'!$B:$X,'AUX-NIV1'!AQ$3,FALSE),0)+($AV419*'AUX-NIV3'!S$4))*$O419+IF($H419=AQ$4,$P419,0)</f>
        <v>19.876638175710326</v>
      </c>
      <c r="AR419" s="395">
        <f>(IF($H419="x",VLOOKUP($I419,'AUX-NIV2'!$B:$X,'AUX-NIV1'!AR$3,FALSE),0)+($AV419*'AUX-NIV3'!T$4))*$O419+IF($H419=AR$4,$P419,0)</f>
        <v>0</v>
      </c>
      <c r="AS419" s="395">
        <f>(IF($H419="x",VLOOKUP($I419,'AUX-NIV2'!$B:$X,'AUX-NIV1'!AS$3,FALSE),0)+($AV419*'AUX-NIV3'!U$4))*$O419+IF($H419=AS$4,$P419,0)</f>
        <v>0</v>
      </c>
      <c r="AT419" s="395">
        <f>(IF($H419="x",VLOOKUP($I419,'AUX-NIV2'!$B:$X,'AUX-NIV1'!AT$3,FALSE),0)+($AV419*'AUX-NIV3'!V$4))*$O419+IF($H419=AT$4,$P419,0)</f>
        <v>0</v>
      </c>
      <c r="AU419" s="395">
        <f>(IF($H419="x",VLOOKUP($I419,'AUX-NIV2'!$B:$X,'AUX-NIV1'!AU$3,FALSE),0)+($AV419*'AUX-NIV3'!W$4))*$O419+IF($H419=AU$4,$P419,0)</f>
        <v>0</v>
      </c>
      <c r="AV419" s="395">
        <f>+IF($H419="x",VLOOKUP($I419,'AUX-NIV2'!$B:$X,'AUX-NIV1'!AV$3,FALSE),0)</f>
        <v>0</v>
      </c>
    </row>
    <row r="420" spans="2:48" ht="13.8" hidden="1" thickTop="1">
      <c r="B420" s="501" t="s">
        <v>3467</v>
      </c>
      <c r="C420" s="950" t="s">
        <v>3468</v>
      </c>
      <c r="D420" s="326" t="s">
        <v>1160</v>
      </c>
      <c r="E420" s="349">
        <f>IF(B420&lt;&gt;"",+SUMIF(Items!C:C,'AUX-NIV1'!B420,Items!H:H),"")</f>
        <v>0</v>
      </c>
      <c r="F420" s="349">
        <f t="shared" si="204"/>
        <v>2752.2950961662036</v>
      </c>
      <c r="G420" s="349">
        <f t="shared" si="205"/>
        <v>0</v>
      </c>
      <c r="H420" s="1395" t="str">
        <f t="shared" si="215"/>
        <v>A</v>
      </c>
      <c r="I420" s="1375" t="s">
        <v>3310</v>
      </c>
      <c r="J420" s="350" t="str">
        <f>IF(B420&lt;&gt;"",+VLOOKUP(I420,Recursos!C:F,2,FALSE),"")</f>
        <v>OFICIAL ESPECIALIZADO</v>
      </c>
      <c r="K420" s="351" t="str">
        <f>IF(B420&lt;&gt;"",+VLOOKUP(I420,Recursos!C:F,3,FALSE),"")</f>
        <v>hh</v>
      </c>
      <c r="L420" s="436">
        <f>IF(B420&lt;&gt;"",+VLOOKUP(I420,Recursos!C:F,4,FALSE),"")</f>
        <v>581.06120476836554</v>
      </c>
      <c r="M420" s="982"/>
      <c r="N420" s="986">
        <v>0</v>
      </c>
      <c r="O420" s="439">
        <f>N420/M423*N424</f>
        <v>0</v>
      </c>
      <c r="P420" s="440">
        <f t="shared" si="216"/>
        <v>0</v>
      </c>
      <c r="Q420" s="349">
        <f t="shared" si="217"/>
        <v>0</v>
      </c>
      <c r="R420" s="353">
        <f t="shared" si="218"/>
        <v>0</v>
      </c>
      <c r="S420" s="354">
        <f t="shared" si="206"/>
        <v>1444.9081256553811</v>
      </c>
      <c r="T420" s="354">
        <f t="shared" si="207"/>
        <v>1307.3869705108227</v>
      </c>
      <c r="U420" s="355">
        <f t="shared" si="208"/>
        <v>0</v>
      </c>
      <c r="V420" s="355">
        <f t="shared" si="209"/>
        <v>0</v>
      </c>
      <c r="W420" s="355">
        <f t="shared" si="210"/>
        <v>0</v>
      </c>
      <c r="X420" s="355">
        <f t="shared" si="211"/>
        <v>0</v>
      </c>
      <c r="Y420" s="396"/>
      <c r="Z420" s="346" t="str">
        <f t="shared" si="219"/>
        <v>0-DEMOLMA</v>
      </c>
      <c r="AA420" s="346" t="str">
        <f t="shared" si="220"/>
        <v>0-DEMOLME</v>
      </c>
      <c r="AB420" s="346" t="str">
        <f t="shared" si="221"/>
        <v>0-DEMOLMM</v>
      </c>
      <c r="AC420" s="346" t="str">
        <f t="shared" si="222"/>
        <v>0-DEMOLMT</v>
      </c>
      <c r="AD420" s="346" t="str">
        <f t="shared" si="223"/>
        <v>0-DEMOLMS</v>
      </c>
      <c r="AE420" s="346" t="str">
        <f t="shared" si="224"/>
        <v>0-DEMOLMX</v>
      </c>
      <c r="AF420" s="346" t="str">
        <f t="shared" si="225"/>
        <v>0-DEMOLMA</v>
      </c>
      <c r="AG420" s="346">
        <f t="shared" si="212"/>
        <v>13</v>
      </c>
      <c r="AH420" s="346">
        <f>IF(B420&lt;&gt;"",+IF(H420="x",+VLOOKUP(I420,'AUX-NIV2'!B:AG,32,FALSE),0),"")</f>
        <v>0</v>
      </c>
      <c r="AI420" s="346" t="str">
        <f t="shared" si="226"/>
        <v>0-DEMOLM</v>
      </c>
      <c r="AK420" s="347">
        <f t="shared" si="213"/>
        <v>417</v>
      </c>
      <c r="AL420" s="348">
        <f t="shared" si="227"/>
        <v>429</v>
      </c>
      <c r="AM420" s="347">
        <f t="shared" si="228"/>
        <v>3</v>
      </c>
      <c r="AN420" s="382">
        <f>IF(AND(AH420&gt;0,B420&lt;&gt;""),VLOOKUP(I420,'AUX-NIV2'!$B:$AP,40,FALSE)*O420,0)</f>
        <v>0</v>
      </c>
      <c r="AO420" s="382">
        <f t="shared" si="214"/>
        <v>3.2133333333333334</v>
      </c>
      <c r="AQ420" s="395">
        <f>(IF($H420="x",VLOOKUP($I420,'AUX-NIV2'!$B:$X,'AUX-NIV1'!AQ$3,FALSE),0)+($AV420*'AUX-NIV3'!S$4))*$O420+IF($H420=AQ$4,$P420,0)</f>
        <v>0</v>
      </c>
      <c r="AR420" s="395">
        <f>(IF($H420="x",VLOOKUP($I420,'AUX-NIV2'!$B:$X,'AUX-NIV1'!AR$3,FALSE),0)+($AV420*'AUX-NIV3'!T$4))*$O420+IF($H420=AR$4,$P420,0)</f>
        <v>0</v>
      </c>
      <c r="AS420" s="395">
        <f>(IF($H420="x",VLOOKUP($I420,'AUX-NIV2'!$B:$X,'AUX-NIV1'!AS$3,FALSE),0)+($AV420*'AUX-NIV3'!U$4))*$O420+IF($H420=AS$4,$P420,0)</f>
        <v>0</v>
      </c>
      <c r="AT420" s="395">
        <f>(IF($H420="x",VLOOKUP($I420,'AUX-NIV2'!$B:$X,'AUX-NIV1'!AT$3,FALSE),0)+($AV420*'AUX-NIV3'!V$4))*$O420+IF($H420=AT$4,$P420,0)</f>
        <v>0</v>
      </c>
      <c r="AU420" s="395">
        <f>(IF($H420="x",VLOOKUP($I420,'AUX-NIV2'!$B:$X,'AUX-NIV1'!AU$3,FALSE),0)+($AV420*'AUX-NIV3'!W$4))*$O420+IF($H420=AU$4,$P420,0)</f>
        <v>0</v>
      </c>
      <c r="AV420" s="395">
        <f>+IF($H420="x",VLOOKUP($I420,'AUX-NIV2'!$B:$X,'AUX-NIV1'!AV$3,FALSE),0)</f>
        <v>0</v>
      </c>
    </row>
    <row r="421" spans="2:48" ht="13.8" hidden="1" thickTop="1">
      <c r="B421" s="501" t="s">
        <v>3467</v>
      </c>
      <c r="C421" s="950" t="s">
        <v>3468</v>
      </c>
      <c r="D421" s="326" t="s">
        <v>1160</v>
      </c>
      <c r="E421" s="349">
        <f>IF(B421&lt;&gt;"",+SUMIF(Items!C:C,'AUX-NIV1'!B421,Items!H:H),"")</f>
        <v>0</v>
      </c>
      <c r="F421" s="349">
        <f t="shared" si="204"/>
        <v>2752.2950961662036</v>
      </c>
      <c r="G421" s="349">
        <f t="shared" si="205"/>
        <v>0</v>
      </c>
      <c r="H421" s="1395" t="str">
        <f t="shared" si="215"/>
        <v>A</v>
      </c>
      <c r="I421" s="1375" t="s">
        <v>1745</v>
      </c>
      <c r="J421" s="350" t="str">
        <f>IF(B421&lt;&gt;"",+VLOOKUP(I421,Recursos!C:F,2,FALSE),"")</f>
        <v>AYUDANTE</v>
      </c>
      <c r="K421" s="351" t="str">
        <f>IF(B421&lt;&gt;"",+VLOOKUP(I421,Recursos!C:F,3,FALSE),"")</f>
        <v>hh</v>
      </c>
      <c r="L421" s="436">
        <f>IF(B421&lt;&gt;"",+VLOOKUP(I421,Recursos!C:F,4,FALSE),"")</f>
        <v>422.48042769667234</v>
      </c>
      <c r="M421" s="975"/>
      <c r="N421" s="977"/>
      <c r="O421" s="439">
        <f>N423/M423*N424</f>
        <v>2</v>
      </c>
      <c r="P421" s="440">
        <f t="shared" si="216"/>
        <v>844.96085539334467</v>
      </c>
      <c r="Q421" s="349">
        <f t="shared" si="217"/>
        <v>0</v>
      </c>
      <c r="R421" s="353">
        <f t="shared" si="218"/>
        <v>0</v>
      </c>
      <c r="S421" s="354">
        <f t="shared" si="206"/>
        <v>1444.9081256553811</v>
      </c>
      <c r="T421" s="354">
        <f t="shared" si="207"/>
        <v>1307.3869705108227</v>
      </c>
      <c r="U421" s="355">
        <f t="shared" si="208"/>
        <v>0</v>
      </c>
      <c r="V421" s="355">
        <f t="shared" si="209"/>
        <v>0</v>
      </c>
      <c r="W421" s="355">
        <f t="shared" si="210"/>
        <v>0</v>
      </c>
      <c r="X421" s="355">
        <f t="shared" si="211"/>
        <v>0</v>
      </c>
      <c r="Y421" s="396"/>
      <c r="Z421" s="346" t="str">
        <f t="shared" si="219"/>
        <v>0-DEMOLMA</v>
      </c>
      <c r="AA421" s="346" t="str">
        <f t="shared" si="220"/>
        <v>0-DEMOLME</v>
      </c>
      <c r="AB421" s="346" t="str">
        <f t="shared" si="221"/>
        <v>0-DEMOLMM</v>
      </c>
      <c r="AC421" s="346" t="str">
        <f t="shared" si="222"/>
        <v>0-DEMOLMT</v>
      </c>
      <c r="AD421" s="346" t="str">
        <f t="shared" si="223"/>
        <v>0-DEMOLMS</v>
      </c>
      <c r="AE421" s="346" t="str">
        <f t="shared" si="224"/>
        <v>0-DEMOLMX</v>
      </c>
      <c r="AF421" s="346" t="str">
        <f t="shared" si="225"/>
        <v>0-DEMOLMA</v>
      </c>
      <c r="AG421" s="346">
        <f t="shared" si="212"/>
        <v>13</v>
      </c>
      <c r="AH421" s="346">
        <f>IF(B421&lt;&gt;"",+IF(H421="x",+VLOOKUP(I421,'AUX-NIV2'!B:AG,32,FALSE),0),"")</f>
        <v>0</v>
      </c>
      <c r="AI421" s="346" t="str">
        <f t="shared" si="226"/>
        <v>0-DEMOLM</v>
      </c>
      <c r="AK421" s="347">
        <f t="shared" si="213"/>
        <v>417</v>
      </c>
      <c r="AL421" s="348">
        <f t="shared" si="227"/>
        <v>429</v>
      </c>
      <c r="AM421" s="347">
        <f t="shared" si="228"/>
        <v>4</v>
      </c>
      <c r="AN421" s="382">
        <f>IF(AND(AH421&gt;0,B421&lt;&gt;""),VLOOKUP(I421,'AUX-NIV2'!$B:$AP,40,FALSE)*O421,0)</f>
        <v>0</v>
      </c>
      <c r="AO421" s="382">
        <f t="shared" si="214"/>
        <v>3.2133333333333334</v>
      </c>
      <c r="AQ421" s="395">
        <f>(IF($H421="x",VLOOKUP($I421,'AUX-NIV2'!$B:$X,'AUX-NIV1'!AQ$3,FALSE),0)+($AV421*'AUX-NIV3'!S$4))*$O421+IF($H421=AQ$4,$P421,0)</f>
        <v>844.96085539334467</v>
      </c>
      <c r="AR421" s="395">
        <f>(IF($H421="x",VLOOKUP($I421,'AUX-NIV2'!$B:$X,'AUX-NIV1'!AR$3,FALSE),0)+($AV421*'AUX-NIV3'!T$4))*$O421+IF($H421=AR$4,$P421,0)</f>
        <v>0</v>
      </c>
      <c r="AS421" s="395">
        <f>(IF($H421="x",VLOOKUP($I421,'AUX-NIV2'!$B:$X,'AUX-NIV1'!AS$3,FALSE),0)+($AV421*'AUX-NIV3'!U$4))*$O421+IF($H421=AS$4,$P421,0)</f>
        <v>0</v>
      </c>
      <c r="AT421" s="395">
        <f>(IF($H421="x",VLOOKUP($I421,'AUX-NIV2'!$B:$X,'AUX-NIV1'!AT$3,FALSE),0)+($AV421*'AUX-NIV3'!V$4))*$O421+IF($H421=AT$4,$P421,0)</f>
        <v>0</v>
      </c>
      <c r="AU421" s="395">
        <f>(IF($H421="x",VLOOKUP($I421,'AUX-NIV2'!$B:$X,'AUX-NIV1'!AU$3,FALSE),0)+($AV421*'AUX-NIV3'!W$4))*$O421+IF($H421=AU$4,$P421,0)</f>
        <v>0</v>
      </c>
      <c r="AV421" s="395">
        <f>+IF($H421="x",VLOOKUP($I421,'AUX-NIV2'!$B:$X,'AUX-NIV1'!AV$3,FALSE),0)</f>
        <v>0</v>
      </c>
    </row>
    <row r="422" spans="2:48" ht="13.8" hidden="1" thickTop="1">
      <c r="B422" s="501" t="s">
        <v>3467</v>
      </c>
      <c r="C422" s="950" t="s">
        <v>3468</v>
      </c>
      <c r="D422" s="326" t="s">
        <v>1160</v>
      </c>
      <c r="E422" s="349">
        <f>IF(B422&lt;&gt;"",+SUMIF(Items!C:C,'AUX-NIV1'!B422,Items!H:H),"")</f>
        <v>0</v>
      </c>
      <c r="F422" s="349">
        <f t="shared" si="204"/>
        <v>2752.2950961662036</v>
      </c>
      <c r="G422" s="349">
        <f t="shared" si="205"/>
        <v>0</v>
      </c>
      <c r="H422" s="1395" t="str">
        <f t="shared" si="215"/>
        <v>A</v>
      </c>
      <c r="I422" s="1375" t="s">
        <v>1746</v>
      </c>
      <c r="J422" s="350" t="str">
        <f>IF(B422&lt;&gt;"",+VLOOKUP(I422,Recursos!C:F,2,FALSE),"")</f>
        <v>OFICIAL</v>
      </c>
      <c r="K422" s="351" t="str">
        <f>IF(B422&lt;&gt;"",+VLOOKUP(I422,Recursos!C:F,3,FALSE),"")</f>
        <v>hh</v>
      </c>
      <c r="L422" s="436">
        <f>IF(B422&lt;&gt;"",+VLOOKUP(I422,Recursos!C:F,4,FALSE),"")</f>
        <v>496.91595439275824</v>
      </c>
      <c r="M422" s="975"/>
      <c r="N422" s="1001">
        <v>1</v>
      </c>
      <c r="O422" s="439">
        <f>N422/M423*N424</f>
        <v>1</v>
      </c>
      <c r="P422" s="440">
        <f t="shared" si="216"/>
        <v>496.91595439275824</v>
      </c>
      <c r="Q422" s="349">
        <f t="shared" si="217"/>
        <v>0</v>
      </c>
      <c r="R422" s="353">
        <f t="shared" si="218"/>
        <v>0</v>
      </c>
      <c r="S422" s="354">
        <f t="shared" si="206"/>
        <v>1444.9081256553811</v>
      </c>
      <c r="T422" s="354">
        <f t="shared" si="207"/>
        <v>1307.3869705108227</v>
      </c>
      <c r="U422" s="355">
        <f t="shared" si="208"/>
        <v>0</v>
      </c>
      <c r="V422" s="355">
        <f t="shared" si="209"/>
        <v>0</v>
      </c>
      <c r="W422" s="355">
        <f t="shared" si="210"/>
        <v>0</v>
      </c>
      <c r="X422" s="355">
        <f t="shared" si="211"/>
        <v>0</v>
      </c>
      <c r="Y422" s="396"/>
      <c r="Z422" s="346" t="str">
        <f t="shared" si="219"/>
        <v>0-DEMOLMA</v>
      </c>
      <c r="AA422" s="346" t="str">
        <f t="shared" si="220"/>
        <v>0-DEMOLME</v>
      </c>
      <c r="AB422" s="346" t="str">
        <f t="shared" si="221"/>
        <v>0-DEMOLMM</v>
      </c>
      <c r="AC422" s="346" t="str">
        <f t="shared" si="222"/>
        <v>0-DEMOLMT</v>
      </c>
      <c r="AD422" s="346" t="str">
        <f t="shared" si="223"/>
        <v>0-DEMOLMS</v>
      </c>
      <c r="AE422" s="346" t="str">
        <f t="shared" si="224"/>
        <v>0-DEMOLMX</v>
      </c>
      <c r="AF422" s="346" t="str">
        <f t="shared" si="225"/>
        <v>0-DEMOLMA</v>
      </c>
      <c r="AG422" s="346">
        <f t="shared" si="212"/>
        <v>13</v>
      </c>
      <c r="AH422" s="346">
        <f>IF(B422&lt;&gt;"",+IF(H422="x",+VLOOKUP(I422,'AUX-NIV2'!B:AG,32,FALSE),0),"")</f>
        <v>0</v>
      </c>
      <c r="AI422" s="346" t="str">
        <f t="shared" si="226"/>
        <v>0-DEMOLM</v>
      </c>
      <c r="AK422" s="347">
        <f t="shared" si="213"/>
        <v>417</v>
      </c>
      <c r="AL422" s="348">
        <f t="shared" si="227"/>
        <v>429</v>
      </c>
      <c r="AM422" s="347">
        <f t="shared" si="228"/>
        <v>5</v>
      </c>
      <c r="AN422" s="382">
        <f>IF(AND(AH422&gt;0,B422&lt;&gt;""),VLOOKUP(I422,'AUX-NIV2'!$B:$AP,40,FALSE)*O422,0)</f>
        <v>0</v>
      </c>
      <c r="AO422" s="382">
        <f t="shared" si="214"/>
        <v>3.2133333333333334</v>
      </c>
      <c r="AQ422" s="395">
        <f>(IF($H422="x",VLOOKUP($I422,'AUX-NIV2'!$B:$X,'AUX-NIV1'!AQ$3,FALSE),0)+($AV422*'AUX-NIV3'!S$4))*$O422+IF($H422=AQ$4,$P422,0)</f>
        <v>496.91595439275824</v>
      </c>
      <c r="AR422" s="395">
        <f>(IF($H422="x",VLOOKUP($I422,'AUX-NIV2'!$B:$X,'AUX-NIV1'!AR$3,FALSE),0)+($AV422*'AUX-NIV3'!T$4))*$O422+IF($H422=AR$4,$P422,0)</f>
        <v>0</v>
      </c>
      <c r="AS422" s="395">
        <f>(IF($H422="x",VLOOKUP($I422,'AUX-NIV2'!$B:$X,'AUX-NIV1'!AS$3,FALSE),0)+($AV422*'AUX-NIV3'!U$4))*$O422+IF($H422=AS$4,$P422,0)</f>
        <v>0</v>
      </c>
      <c r="AT422" s="395">
        <f>(IF($H422="x",VLOOKUP($I422,'AUX-NIV2'!$B:$X,'AUX-NIV1'!AT$3,FALSE),0)+($AV422*'AUX-NIV3'!V$4))*$O422+IF($H422=AT$4,$P422,0)</f>
        <v>0</v>
      </c>
      <c r="AU422" s="395">
        <f>(IF($H422="x",VLOOKUP($I422,'AUX-NIV2'!$B:$X,'AUX-NIV1'!AU$3,FALSE),0)+($AV422*'AUX-NIV3'!W$4))*$O422+IF($H422=AU$4,$P422,0)</f>
        <v>0</v>
      </c>
      <c r="AV422" s="395">
        <f>+IF($H422="x",VLOOKUP($I422,'AUX-NIV2'!$B:$X,'AUX-NIV1'!AV$3,FALSE),0)</f>
        <v>0</v>
      </c>
    </row>
    <row r="423" spans="2:48" ht="13.8" hidden="1" thickTop="1">
      <c r="B423" s="501" t="s">
        <v>3467</v>
      </c>
      <c r="C423" s="950" t="s">
        <v>3468</v>
      </c>
      <c r="D423" s="326" t="s">
        <v>1160</v>
      </c>
      <c r="E423" s="349">
        <f>IF(B423&lt;&gt;"",+SUMIF(Items!C:C,'AUX-NIV1'!B423,Items!H:H),"")</f>
        <v>0</v>
      </c>
      <c r="F423" s="349">
        <f t="shared" si="204"/>
        <v>2752.2950961662036</v>
      </c>
      <c r="G423" s="349">
        <f t="shared" si="205"/>
        <v>0</v>
      </c>
      <c r="H423" s="1395" t="str">
        <f t="shared" si="215"/>
        <v>E</v>
      </c>
      <c r="I423" s="1375" t="s">
        <v>1690</v>
      </c>
      <c r="J423" s="350" t="str">
        <f>IF(B423&lt;&gt;"",+VLOOKUP(I423,Recursos!C:F,2,FALSE),"")</f>
        <v>MARTILLO NEUMATICO DEMOLEDOR 22 Kg</v>
      </c>
      <c r="K423" s="351" t="str">
        <f>IF(B423&lt;&gt;"",+VLOOKUP(I423,Recursos!C:F,3,FALSE),"")</f>
        <v>HR</v>
      </c>
      <c r="L423" s="436">
        <f>IF(B423&lt;&gt;"",+VLOOKUP(I423,Recursos!C:F,4,FALSE),"")</f>
        <v>17.266859999999998</v>
      </c>
      <c r="M423" s="978">
        <v>0.8</v>
      </c>
      <c r="N423" s="976">
        <v>2</v>
      </c>
      <c r="O423" s="439">
        <f>+N423/M423*N424</f>
        <v>2</v>
      </c>
      <c r="P423" s="440">
        <f t="shared" si="216"/>
        <v>34.533719999999995</v>
      </c>
      <c r="Q423" s="349">
        <f t="shared" si="217"/>
        <v>0</v>
      </c>
      <c r="R423" s="353">
        <f t="shared" si="218"/>
        <v>0</v>
      </c>
      <c r="S423" s="354">
        <f t="shared" si="206"/>
        <v>1444.9081256553811</v>
      </c>
      <c r="T423" s="354">
        <f t="shared" si="207"/>
        <v>1307.3869705108227</v>
      </c>
      <c r="U423" s="355">
        <f t="shared" si="208"/>
        <v>0</v>
      </c>
      <c r="V423" s="355">
        <f t="shared" si="209"/>
        <v>0</v>
      </c>
      <c r="W423" s="355">
        <f t="shared" si="210"/>
        <v>0</v>
      </c>
      <c r="X423" s="355">
        <f t="shared" si="211"/>
        <v>0</v>
      </c>
      <c r="Y423" s="396"/>
      <c r="Z423" s="346" t="str">
        <f t="shared" si="219"/>
        <v>0-DEMOLMA</v>
      </c>
      <c r="AA423" s="346" t="str">
        <f t="shared" si="220"/>
        <v>0-DEMOLME</v>
      </c>
      <c r="AB423" s="346" t="str">
        <f t="shared" si="221"/>
        <v>0-DEMOLMM</v>
      </c>
      <c r="AC423" s="346" t="str">
        <f t="shared" si="222"/>
        <v>0-DEMOLMT</v>
      </c>
      <c r="AD423" s="346" t="str">
        <f t="shared" si="223"/>
        <v>0-DEMOLMS</v>
      </c>
      <c r="AE423" s="346" t="str">
        <f t="shared" si="224"/>
        <v>0-DEMOLMX</v>
      </c>
      <c r="AF423" s="346" t="str">
        <f t="shared" si="225"/>
        <v>0-DEMOLME</v>
      </c>
      <c r="AG423" s="346">
        <f t="shared" si="212"/>
        <v>13</v>
      </c>
      <c r="AH423" s="346">
        <f>IF(B423&lt;&gt;"",+IF(H423="x",+VLOOKUP(I423,'AUX-NIV2'!B:AG,32,FALSE),0),"")</f>
        <v>0</v>
      </c>
      <c r="AI423" s="346" t="str">
        <f t="shared" si="226"/>
        <v>0-DEMOLM</v>
      </c>
      <c r="AK423" s="347">
        <f t="shared" si="213"/>
        <v>417</v>
      </c>
      <c r="AL423" s="348">
        <f t="shared" si="227"/>
        <v>429</v>
      </c>
      <c r="AM423" s="347">
        <f t="shared" si="228"/>
        <v>6</v>
      </c>
      <c r="AN423" s="382">
        <f>IF(AND(AH423&gt;0,B423&lt;&gt;""),VLOOKUP(I423,'AUX-NIV2'!$B:$AP,40,FALSE)*O423,0)</f>
        <v>0</v>
      </c>
      <c r="AO423" s="382">
        <f t="shared" si="214"/>
        <v>3.2133333333333334</v>
      </c>
      <c r="AQ423" s="395">
        <f>(IF($H423="x",VLOOKUP($I423,'AUX-NIV2'!$B:$X,'AUX-NIV1'!AQ$3,FALSE),0)+($AV423*'AUX-NIV3'!S$4))*$O423+IF($H423=AQ$4,$P423,0)</f>
        <v>0</v>
      </c>
      <c r="AR423" s="395">
        <f>(IF($H423="x",VLOOKUP($I423,'AUX-NIV2'!$B:$X,'AUX-NIV1'!AR$3,FALSE),0)+($AV423*'AUX-NIV3'!T$4))*$O423+IF($H423=AR$4,$P423,0)</f>
        <v>34.533719999999995</v>
      </c>
      <c r="AS423" s="395">
        <f>(IF($H423="x",VLOOKUP($I423,'AUX-NIV2'!$B:$X,'AUX-NIV1'!AS$3,FALSE),0)+($AV423*'AUX-NIV3'!U$4))*$O423+IF($H423=AS$4,$P423,0)</f>
        <v>0</v>
      </c>
      <c r="AT423" s="395">
        <f>(IF($H423="x",VLOOKUP($I423,'AUX-NIV2'!$B:$X,'AUX-NIV1'!AT$3,FALSE),0)+($AV423*'AUX-NIV3'!V$4))*$O423+IF($H423=AT$4,$P423,0)</f>
        <v>0</v>
      </c>
      <c r="AU423" s="395">
        <f>(IF($H423="x",VLOOKUP($I423,'AUX-NIV2'!$B:$X,'AUX-NIV1'!AU$3,FALSE),0)+($AV423*'AUX-NIV3'!W$4))*$O423+IF($H423=AU$4,$P423,0)</f>
        <v>0</v>
      </c>
      <c r="AV423" s="395">
        <f>+IF($H423="x",VLOOKUP($I423,'AUX-NIV2'!$B:$X,'AUX-NIV1'!AV$3,FALSE),0)</f>
        <v>0</v>
      </c>
    </row>
    <row r="424" spans="2:48" ht="13.8" hidden="1" thickTop="1">
      <c r="B424" s="501" t="s">
        <v>3467</v>
      </c>
      <c r="C424" s="950" t="s">
        <v>3468</v>
      </c>
      <c r="D424" s="326" t="s">
        <v>1160</v>
      </c>
      <c r="E424" s="349">
        <f>IF(B424&lt;&gt;"",+SUMIF(Items!C:C,'AUX-NIV1'!B424,Items!H:H),"")</f>
        <v>0</v>
      </c>
      <c r="F424" s="349">
        <f t="shared" si="204"/>
        <v>2752.2950961662036</v>
      </c>
      <c r="G424" s="349">
        <f t="shared" si="205"/>
        <v>0</v>
      </c>
      <c r="H424" s="1395" t="str">
        <f t="shared" si="215"/>
        <v>E</v>
      </c>
      <c r="I424" s="1375" t="s">
        <v>1692</v>
      </c>
      <c r="J424" s="350" t="str">
        <f>IF(B424&lt;&gt;"",+VLOOKUP(I424,Recursos!C:F,2,FALSE),"")</f>
        <v>MOTOCOMPRESOR 7 m3/min-250 cfm</v>
      </c>
      <c r="K424" s="351" t="str">
        <f>IF(B424&lt;&gt;"",+VLOOKUP(I424,Recursos!C:F,3,FALSE),"")</f>
        <v>HR</v>
      </c>
      <c r="L424" s="436">
        <f>IF(B424&lt;&gt;"",+VLOOKUP(I424,Recursos!C:F,4,FALSE),"")</f>
        <v>942.82014000000004</v>
      </c>
      <c r="M424" s="983"/>
      <c r="N424" s="984">
        <v>0.8</v>
      </c>
      <c r="O424" s="439">
        <f>+N424/M423</f>
        <v>1</v>
      </c>
      <c r="P424" s="440">
        <f t="shared" si="216"/>
        <v>942.82014000000004</v>
      </c>
      <c r="Q424" s="349">
        <f t="shared" si="217"/>
        <v>0</v>
      </c>
      <c r="R424" s="353">
        <f t="shared" si="218"/>
        <v>0</v>
      </c>
      <c r="S424" s="354">
        <f t="shared" si="206"/>
        <v>1444.9081256553811</v>
      </c>
      <c r="T424" s="354">
        <f t="shared" si="207"/>
        <v>1307.3869705108227</v>
      </c>
      <c r="U424" s="355">
        <f t="shared" si="208"/>
        <v>0</v>
      </c>
      <c r="V424" s="355">
        <f t="shared" si="209"/>
        <v>0</v>
      </c>
      <c r="W424" s="355">
        <f t="shared" si="210"/>
        <v>0</v>
      </c>
      <c r="X424" s="355">
        <f t="shared" si="211"/>
        <v>0</v>
      </c>
      <c r="Y424" s="396"/>
      <c r="Z424" s="346" t="str">
        <f t="shared" si="219"/>
        <v>0-DEMOLMA</v>
      </c>
      <c r="AA424" s="346" t="str">
        <f t="shared" si="220"/>
        <v>0-DEMOLME</v>
      </c>
      <c r="AB424" s="346" t="str">
        <f t="shared" si="221"/>
        <v>0-DEMOLMM</v>
      </c>
      <c r="AC424" s="346" t="str">
        <f t="shared" si="222"/>
        <v>0-DEMOLMT</v>
      </c>
      <c r="AD424" s="346" t="str">
        <f t="shared" si="223"/>
        <v>0-DEMOLMS</v>
      </c>
      <c r="AE424" s="346" t="str">
        <f t="shared" si="224"/>
        <v>0-DEMOLMX</v>
      </c>
      <c r="AF424" s="346" t="str">
        <f t="shared" si="225"/>
        <v>0-DEMOLME</v>
      </c>
      <c r="AG424" s="346">
        <f t="shared" si="212"/>
        <v>13</v>
      </c>
      <c r="AH424" s="346">
        <f>IF(B424&lt;&gt;"",+IF(H424="x",+VLOOKUP(I424,'AUX-NIV2'!B:AG,32,FALSE),0),"")</f>
        <v>0</v>
      </c>
      <c r="AI424" s="346" t="str">
        <f t="shared" si="226"/>
        <v>0-DEMOLM</v>
      </c>
      <c r="AK424" s="347">
        <f t="shared" si="213"/>
        <v>417</v>
      </c>
      <c r="AL424" s="348">
        <f t="shared" si="227"/>
        <v>429</v>
      </c>
      <c r="AM424" s="347">
        <f t="shared" si="228"/>
        <v>7</v>
      </c>
      <c r="AN424" s="382">
        <f>IF(AND(AH424&gt;0,B424&lt;&gt;""),VLOOKUP(I424,'AUX-NIV2'!$B:$AP,40,FALSE)*O424,0)</f>
        <v>0</v>
      </c>
      <c r="AO424" s="382">
        <f t="shared" si="214"/>
        <v>3.2133333333333334</v>
      </c>
      <c r="AQ424" s="395">
        <f>(IF($H424="x",VLOOKUP($I424,'AUX-NIV2'!$B:$X,'AUX-NIV1'!AQ$3,FALSE),0)+($AV424*'AUX-NIV3'!S$4))*$O424+IF($H424=AQ$4,$P424,0)</f>
        <v>0</v>
      </c>
      <c r="AR424" s="395">
        <f>(IF($H424="x",VLOOKUP($I424,'AUX-NIV2'!$B:$X,'AUX-NIV1'!AR$3,FALSE),0)+($AV424*'AUX-NIV3'!T$4))*$O424+IF($H424=AR$4,$P424,0)</f>
        <v>942.82014000000004</v>
      </c>
      <c r="AS424" s="395">
        <f>(IF($H424="x",VLOOKUP($I424,'AUX-NIV2'!$B:$X,'AUX-NIV1'!AS$3,FALSE),0)+($AV424*'AUX-NIV3'!U$4))*$O424+IF($H424=AS$4,$P424,0)</f>
        <v>0</v>
      </c>
      <c r="AT424" s="395">
        <f>(IF($H424="x",VLOOKUP($I424,'AUX-NIV2'!$B:$X,'AUX-NIV1'!AT$3,FALSE),0)+($AV424*'AUX-NIV3'!V$4))*$O424+IF($H424=AT$4,$P424,0)</f>
        <v>0</v>
      </c>
      <c r="AU424" s="395">
        <f>(IF($H424="x",VLOOKUP($I424,'AUX-NIV2'!$B:$X,'AUX-NIV1'!AU$3,FALSE),0)+($AV424*'AUX-NIV3'!W$4))*$O424+IF($H424=AU$4,$P424,0)</f>
        <v>0</v>
      </c>
      <c r="AV424" s="395">
        <f>+IF($H424="x",VLOOKUP($I424,'AUX-NIV2'!$B:$X,'AUX-NIV1'!AV$3,FALSE),0)</f>
        <v>0</v>
      </c>
    </row>
    <row r="425" spans="2:48" ht="13.8" hidden="1" thickTop="1">
      <c r="B425" s="501" t="s">
        <v>3467</v>
      </c>
      <c r="C425" s="950" t="s">
        <v>3468</v>
      </c>
      <c r="D425" s="326" t="s">
        <v>1160</v>
      </c>
      <c r="E425" s="349">
        <f>IF(B425&lt;&gt;"",+SUMIF(Items!C:C,'AUX-NIV1'!B425,Items!H:H),"")</f>
        <v>0</v>
      </c>
      <c r="F425" s="349">
        <f t="shared" si="204"/>
        <v>2752.2950961662036</v>
      </c>
      <c r="G425" s="349">
        <f t="shared" si="205"/>
        <v>0</v>
      </c>
      <c r="H425" s="1395" t="str">
        <f t="shared" si="215"/>
        <v>A</v>
      </c>
      <c r="I425" s="1375" t="s">
        <v>1746</v>
      </c>
      <c r="J425" s="350" t="str">
        <f>IF(B425&lt;&gt;"",+VLOOKUP(I425,Recursos!C:F,2,FALSE),"")</f>
        <v>OFICIAL</v>
      </c>
      <c r="K425" s="351" t="str">
        <f>IF(B425&lt;&gt;"",+VLOOKUP(I425,Recursos!C:F,3,FALSE),"")</f>
        <v>hh</v>
      </c>
      <c r="L425" s="436">
        <f>IF(B425&lt;&gt;"",+VLOOKUP(I425,Recursos!C:F,4,FALSE),"")</f>
        <v>496.91595439275824</v>
      </c>
      <c r="M425" s="982"/>
      <c r="N425" s="763">
        <v>1</v>
      </c>
      <c r="O425" s="439">
        <f>2*N427*N425/M427</f>
        <v>0.13333333333333333</v>
      </c>
      <c r="P425" s="440">
        <f t="shared" si="216"/>
        <v>66.255460585701101</v>
      </c>
      <c r="Q425" s="349">
        <f t="shared" si="217"/>
        <v>0</v>
      </c>
      <c r="R425" s="353">
        <f t="shared" si="218"/>
        <v>0</v>
      </c>
      <c r="S425" s="354">
        <f t="shared" si="206"/>
        <v>1444.9081256553811</v>
      </c>
      <c r="T425" s="354">
        <f t="shared" si="207"/>
        <v>1307.3869705108227</v>
      </c>
      <c r="U425" s="355">
        <f t="shared" si="208"/>
        <v>0</v>
      </c>
      <c r="V425" s="355">
        <f t="shared" si="209"/>
        <v>0</v>
      </c>
      <c r="W425" s="355">
        <f t="shared" si="210"/>
        <v>0</v>
      </c>
      <c r="X425" s="355">
        <f t="shared" si="211"/>
        <v>0</v>
      </c>
      <c r="Y425" s="396"/>
      <c r="Z425" s="346" t="str">
        <f t="shared" si="219"/>
        <v>0-DEMOLMA</v>
      </c>
      <c r="AA425" s="346" t="str">
        <f t="shared" si="220"/>
        <v>0-DEMOLME</v>
      </c>
      <c r="AB425" s="346" t="str">
        <f t="shared" si="221"/>
        <v>0-DEMOLMM</v>
      </c>
      <c r="AC425" s="346" t="str">
        <f t="shared" si="222"/>
        <v>0-DEMOLMT</v>
      </c>
      <c r="AD425" s="346" t="str">
        <f t="shared" si="223"/>
        <v>0-DEMOLMS</v>
      </c>
      <c r="AE425" s="346" t="str">
        <f t="shared" si="224"/>
        <v>0-DEMOLMX</v>
      </c>
      <c r="AF425" s="346" t="str">
        <f t="shared" si="225"/>
        <v>0-DEMOLMA</v>
      </c>
      <c r="AG425" s="346">
        <f t="shared" si="212"/>
        <v>13</v>
      </c>
      <c r="AH425" s="346">
        <f>IF(B425&lt;&gt;"",+IF(H425="x",+VLOOKUP(I425,'AUX-NIV2'!B:AG,32,FALSE),0),"")</f>
        <v>0</v>
      </c>
      <c r="AI425" s="346" t="str">
        <f t="shared" si="226"/>
        <v>0-DEMOLM</v>
      </c>
      <c r="AK425" s="347">
        <f t="shared" si="213"/>
        <v>417</v>
      </c>
      <c r="AL425" s="348">
        <f t="shared" si="227"/>
        <v>429</v>
      </c>
      <c r="AM425" s="347">
        <f t="shared" si="228"/>
        <v>8</v>
      </c>
      <c r="AN425" s="382">
        <f>IF(AND(AH425&gt;0,B425&lt;&gt;""),VLOOKUP(I425,'AUX-NIV2'!$B:$AP,40,FALSE)*O425,0)</f>
        <v>0</v>
      </c>
      <c r="AO425" s="382">
        <f t="shared" si="214"/>
        <v>3.2133333333333334</v>
      </c>
      <c r="AQ425" s="395">
        <f>(IF($H425="x",VLOOKUP($I425,'AUX-NIV2'!$B:$X,'AUX-NIV1'!AQ$3,FALSE),0)+($AV425*'AUX-NIV3'!S$4))*$O425+IF($H425=AQ$4,$P425,0)</f>
        <v>66.255460585701101</v>
      </c>
      <c r="AR425" s="395">
        <f>(IF($H425="x",VLOOKUP($I425,'AUX-NIV2'!$B:$X,'AUX-NIV1'!AR$3,FALSE),0)+($AV425*'AUX-NIV3'!T$4))*$O425+IF($H425=AR$4,$P425,0)</f>
        <v>0</v>
      </c>
      <c r="AS425" s="395">
        <f>(IF($H425="x",VLOOKUP($I425,'AUX-NIV2'!$B:$X,'AUX-NIV1'!AS$3,FALSE),0)+($AV425*'AUX-NIV3'!U$4))*$O425+IF($H425=AS$4,$P425,0)</f>
        <v>0</v>
      </c>
      <c r="AT425" s="395">
        <f>(IF($H425="x",VLOOKUP($I425,'AUX-NIV2'!$B:$X,'AUX-NIV1'!AT$3,FALSE),0)+($AV425*'AUX-NIV3'!V$4))*$O425+IF($H425=AT$4,$P425,0)</f>
        <v>0</v>
      </c>
      <c r="AU425" s="395">
        <f>(IF($H425="x",VLOOKUP($I425,'AUX-NIV2'!$B:$X,'AUX-NIV1'!AU$3,FALSE),0)+($AV425*'AUX-NIV3'!W$4))*$O425+IF($H425=AU$4,$P425,0)</f>
        <v>0</v>
      </c>
      <c r="AV425" s="395">
        <f>+IF($H425="x",VLOOKUP($I425,'AUX-NIV2'!$B:$X,'AUX-NIV1'!AV$3,FALSE),0)</f>
        <v>0</v>
      </c>
    </row>
    <row r="426" spans="2:48" ht="13.8" hidden="1" thickTop="1">
      <c r="B426" s="501" t="s">
        <v>3467</v>
      </c>
      <c r="C426" s="950" t="s">
        <v>3468</v>
      </c>
      <c r="D426" s="326" t="s">
        <v>1160</v>
      </c>
      <c r="E426" s="349">
        <f>IF(B426&lt;&gt;"",+SUMIF(Items!C:C,'AUX-NIV1'!B426,Items!H:H),"")</f>
        <v>0</v>
      </c>
      <c r="F426" s="349">
        <f t="shared" si="204"/>
        <v>2752.2950961662036</v>
      </c>
      <c r="G426" s="349">
        <f t="shared" si="205"/>
        <v>0</v>
      </c>
      <c r="H426" s="1395" t="str">
        <f t="shared" si="215"/>
        <v>E</v>
      </c>
      <c r="I426" s="1375" t="s">
        <v>1540</v>
      </c>
      <c r="J426" s="350" t="str">
        <f>IF(B426&lt;&gt;"",+VLOOKUP(I426,Recursos!C:F,2,FALSE),"")</f>
        <v>MINICARG. BOBCAT S/NEUM. (0,40 M3)</v>
      </c>
      <c r="K426" s="351" t="str">
        <f>IF(B426&lt;&gt;"",+VLOOKUP(I426,Recursos!C:F,3,FALSE),"")</f>
        <v>HR</v>
      </c>
      <c r="L426" s="436">
        <f>IF(B426&lt;&gt;"",+VLOOKUP(I426,Recursos!C:F,4,FALSE),"")</f>
        <v>1346.0740000000001</v>
      </c>
      <c r="M426" s="1295"/>
      <c r="N426" s="548">
        <v>1</v>
      </c>
      <c r="O426" s="439">
        <f>N426/M427</f>
        <v>6.6666666666666666E-2</v>
      </c>
      <c r="P426" s="440">
        <f t="shared" si="216"/>
        <v>89.738266666666675</v>
      </c>
      <c r="Q426" s="349">
        <f t="shared" si="217"/>
        <v>0</v>
      </c>
      <c r="R426" s="353">
        <f t="shared" si="218"/>
        <v>0</v>
      </c>
      <c r="S426" s="354">
        <f t="shared" si="206"/>
        <v>1444.9081256553811</v>
      </c>
      <c r="T426" s="354">
        <f t="shared" si="207"/>
        <v>1307.3869705108227</v>
      </c>
      <c r="U426" s="355">
        <f t="shared" si="208"/>
        <v>0</v>
      </c>
      <c r="V426" s="355">
        <f t="shared" si="209"/>
        <v>0</v>
      </c>
      <c r="W426" s="355">
        <f t="shared" si="210"/>
        <v>0</v>
      </c>
      <c r="X426" s="355">
        <f t="shared" si="211"/>
        <v>0</v>
      </c>
      <c r="Y426" s="396"/>
      <c r="Z426" s="346" t="str">
        <f t="shared" si="219"/>
        <v>0-DEMOLMA</v>
      </c>
      <c r="AA426" s="346" t="str">
        <f t="shared" si="220"/>
        <v>0-DEMOLME</v>
      </c>
      <c r="AB426" s="346" t="str">
        <f t="shared" si="221"/>
        <v>0-DEMOLMM</v>
      </c>
      <c r="AC426" s="346" t="str">
        <f t="shared" si="222"/>
        <v>0-DEMOLMT</v>
      </c>
      <c r="AD426" s="346" t="str">
        <f t="shared" si="223"/>
        <v>0-DEMOLMS</v>
      </c>
      <c r="AE426" s="346" t="str">
        <f t="shared" si="224"/>
        <v>0-DEMOLMX</v>
      </c>
      <c r="AF426" s="346" t="str">
        <f t="shared" si="225"/>
        <v>0-DEMOLME</v>
      </c>
      <c r="AG426" s="346">
        <f t="shared" si="212"/>
        <v>13</v>
      </c>
      <c r="AH426" s="346">
        <f>IF(B426&lt;&gt;"",+IF(H426="x",+VLOOKUP(I426,'AUX-NIV2'!B:AG,32,FALSE),0),"")</f>
        <v>0</v>
      </c>
      <c r="AI426" s="346" t="str">
        <f t="shared" si="226"/>
        <v>0-DEMOLM</v>
      </c>
      <c r="AK426" s="347">
        <f t="shared" si="213"/>
        <v>417</v>
      </c>
      <c r="AL426" s="348">
        <f t="shared" si="227"/>
        <v>429</v>
      </c>
      <c r="AM426" s="347">
        <f t="shared" si="228"/>
        <v>9</v>
      </c>
      <c r="AN426" s="382">
        <f>IF(AND(AH426&gt;0,B426&lt;&gt;""),VLOOKUP(I426,'AUX-NIV2'!$B:$AP,40,FALSE)*O426,0)</f>
        <v>0</v>
      </c>
      <c r="AO426" s="382">
        <f t="shared" si="214"/>
        <v>3.2133333333333334</v>
      </c>
      <c r="AQ426" s="395">
        <f>(IF($H426="x",VLOOKUP($I426,'AUX-NIV2'!$B:$X,'AUX-NIV1'!AQ$3,FALSE),0)+($AV426*'AUX-NIV3'!S$4))*$O426+IF($H426=AQ$4,$P426,0)</f>
        <v>0</v>
      </c>
      <c r="AR426" s="395">
        <f>(IF($H426="x",VLOOKUP($I426,'AUX-NIV2'!$B:$X,'AUX-NIV1'!AR$3,FALSE),0)+($AV426*'AUX-NIV3'!T$4))*$O426+IF($H426=AR$4,$P426,0)</f>
        <v>89.738266666666675</v>
      </c>
      <c r="AS426" s="395">
        <f>(IF($H426="x",VLOOKUP($I426,'AUX-NIV2'!$B:$X,'AUX-NIV1'!AS$3,FALSE),0)+($AV426*'AUX-NIV3'!U$4))*$O426+IF($H426=AS$4,$P426,0)</f>
        <v>0</v>
      </c>
      <c r="AT426" s="395">
        <f>(IF($H426="x",VLOOKUP($I426,'AUX-NIV2'!$B:$X,'AUX-NIV1'!AT$3,FALSE),0)+($AV426*'AUX-NIV3'!V$4))*$O426+IF($H426=AT$4,$P426,0)</f>
        <v>0</v>
      </c>
      <c r="AU426" s="395">
        <f>(IF($H426="x",VLOOKUP($I426,'AUX-NIV2'!$B:$X,'AUX-NIV1'!AU$3,FALSE),0)+($AV426*'AUX-NIV3'!W$4))*$O426+IF($H426=AU$4,$P426,0)</f>
        <v>0</v>
      </c>
      <c r="AV426" s="395">
        <f>+IF($H426="x",VLOOKUP($I426,'AUX-NIV2'!$B:$X,'AUX-NIV1'!AV$3,FALSE),0)</f>
        <v>0</v>
      </c>
    </row>
    <row r="427" spans="2:48" ht="13.8" hidden="1" thickTop="1">
      <c r="B427" s="501" t="s">
        <v>3467</v>
      </c>
      <c r="C427" s="950" t="s">
        <v>3468</v>
      </c>
      <c r="D427" s="326" t="s">
        <v>1160</v>
      </c>
      <c r="E427" s="349">
        <f>IF(B427&lt;&gt;"",+SUMIF(Items!C:C,'AUX-NIV1'!B427,Items!H:H),"")</f>
        <v>0</v>
      </c>
      <c r="F427" s="349">
        <f t="shared" si="204"/>
        <v>2752.2950961662036</v>
      </c>
      <c r="G427" s="349">
        <f t="shared" si="205"/>
        <v>0</v>
      </c>
      <c r="H427" s="1395" t="str">
        <f t="shared" si="215"/>
        <v>E</v>
      </c>
      <c r="I427" s="1375" t="s">
        <v>1556</v>
      </c>
      <c r="J427" s="350" t="str">
        <f>IF(B427&lt;&gt;"",+VLOOKUP(I427,Recursos!C:F,2,FALSE),"")</f>
        <v>CAMION VOLCADOR CAP. 15 T=9 m3</v>
      </c>
      <c r="K427" s="351" t="str">
        <f>IF(B427&lt;&gt;"",+VLOOKUP(I427,Recursos!C:F,3,FALSE),"")</f>
        <v>HR</v>
      </c>
      <c r="L427" s="436">
        <f>IF(B427&lt;&gt;"",+VLOOKUP(I427,Recursos!C:F,4,FALSE),"")</f>
        <v>2547.7823376623378</v>
      </c>
      <c r="M427" s="1082">
        <v>15</v>
      </c>
      <c r="N427" s="981">
        <v>1</v>
      </c>
      <c r="O427" s="439">
        <f>N427/M427</f>
        <v>6.6666666666666666E-2</v>
      </c>
      <c r="P427" s="440">
        <f t="shared" si="216"/>
        <v>169.85215584415585</v>
      </c>
      <c r="Q427" s="349">
        <f t="shared" si="217"/>
        <v>0</v>
      </c>
      <c r="R427" s="353">
        <f t="shared" si="218"/>
        <v>0</v>
      </c>
      <c r="S427" s="354">
        <f t="shared" si="206"/>
        <v>1444.9081256553811</v>
      </c>
      <c r="T427" s="354">
        <f t="shared" si="207"/>
        <v>1307.3869705108227</v>
      </c>
      <c r="U427" s="355">
        <f t="shared" si="208"/>
        <v>0</v>
      </c>
      <c r="V427" s="355">
        <f t="shared" si="209"/>
        <v>0</v>
      </c>
      <c r="W427" s="355">
        <f t="shared" si="210"/>
        <v>0</v>
      </c>
      <c r="X427" s="355">
        <f t="shared" si="211"/>
        <v>0</v>
      </c>
      <c r="Y427" s="396"/>
      <c r="Z427" s="346" t="str">
        <f t="shared" si="219"/>
        <v>0-DEMOLMA</v>
      </c>
      <c r="AA427" s="346" t="str">
        <f t="shared" si="220"/>
        <v>0-DEMOLME</v>
      </c>
      <c r="AB427" s="346" t="str">
        <f t="shared" si="221"/>
        <v>0-DEMOLMM</v>
      </c>
      <c r="AC427" s="346" t="str">
        <f t="shared" si="222"/>
        <v>0-DEMOLMT</v>
      </c>
      <c r="AD427" s="346" t="str">
        <f t="shared" si="223"/>
        <v>0-DEMOLMS</v>
      </c>
      <c r="AE427" s="346" t="str">
        <f t="shared" si="224"/>
        <v>0-DEMOLMX</v>
      </c>
      <c r="AF427" s="346" t="str">
        <f t="shared" si="225"/>
        <v>0-DEMOLME</v>
      </c>
      <c r="AG427" s="346">
        <f t="shared" si="212"/>
        <v>13</v>
      </c>
      <c r="AH427" s="346">
        <f>IF(B427&lt;&gt;"",+IF(H427="x",+VLOOKUP(I427,'AUX-NIV2'!B:AG,32,FALSE),0),"")</f>
        <v>0</v>
      </c>
      <c r="AI427" s="346" t="str">
        <f t="shared" si="226"/>
        <v>0-DEMOLM</v>
      </c>
      <c r="AK427" s="347">
        <f t="shared" si="213"/>
        <v>417</v>
      </c>
      <c r="AL427" s="348">
        <f t="shared" si="227"/>
        <v>429</v>
      </c>
      <c r="AM427" s="347">
        <f t="shared" si="228"/>
        <v>10</v>
      </c>
      <c r="AN427" s="382">
        <f>IF(AND(AH427&gt;0,B427&lt;&gt;""),VLOOKUP(I427,'AUX-NIV2'!$B:$AP,40,FALSE)*O427,0)</f>
        <v>0</v>
      </c>
      <c r="AO427" s="382">
        <f t="shared" si="214"/>
        <v>3.2133333333333334</v>
      </c>
      <c r="AQ427" s="395">
        <f>(IF($H427="x",VLOOKUP($I427,'AUX-NIV2'!$B:$X,'AUX-NIV1'!AQ$3,FALSE),0)+($AV427*'AUX-NIV3'!S$4))*$O427+IF($H427=AQ$4,$P427,0)</f>
        <v>0</v>
      </c>
      <c r="AR427" s="395">
        <f>(IF($H427="x",VLOOKUP($I427,'AUX-NIV2'!$B:$X,'AUX-NIV1'!AR$3,FALSE),0)+($AV427*'AUX-NIV3'!T$4))*$O427+IF($H427=AR$4,$P427,0)</f>
        <v>169.85215584415585</v>
      </c>
      <c r="AS427" s="395">
        <f>(IF($H427="x",VLOOKUP($I427,'AUX-NIV2'!$B:$X,'AUX-NIV1'!AS$3,FALSE),0)+($AV427*'AUX-NIV3'!U$4))*$O427+IF($H427=AS$4,$P427,0)</f>
        <v>0</v>
      </c>
      <c r="AT427" s="395">
        <f>(IF($H427="x",VLOOKUP($I427,'AUX-NIV2'!$B:$X,'AUX-NIV1'!AT$3,FALSE),0)+($AV427*'AUX-NIV3'!V$4))*$O427+IF($H427=AT$4,$P427,0)</f>
        <v>0</v>
      </c>
      <c r="AU427" s="395">
        <f>(IF($H427="x",VLOOKUP($I427,'AUX-NIV2'!$B:$X,'AUX-NIV1'!AU$3,FALSE),0)+($AV427*'AUX-NIV3'!W$4))*$O427+IF($H427=AU$4,$P427,0)</f>
        <v>0</v>
      </c>
      <c r="AV427" s="395">
        <f>+IF($H427="x",VLOOKUP($I427,'AUX-NIV2'!$B:$X,'AUX-NIV1'!AV$3,FALSE),0)</f>
        <v>0</v>
      </c>
    </row>
    <row r="428" spans="2:48" ht="13.8" hidden="1" thickTop="1">
      <c r="B428" s="501" t="s">
        <v>3467</v>
      </c>
      <c r="C428" s="950" t="s">
        <v>3468</v>
      </c>
      <c r="D428" s="326" t="s">
        <v>1160</v>
      </c>
      <c r="E428" s="349">
        <f>IF(B428&lt;&gt;"",+SUMIF(Items!C:C,'AUX-NIV1'!B428,Items!H:H),"")</f>
        <v>0</v>
      </c>
      <c r="F428" s="349">
        <f t="shared" si="204"/>
        <v>2752.2950961662036</v>
      </c>
      <c r="G428" s="349">
        <f t="shared" si="205"/>
        <v>0</v>
      </c>
      <c r="H428" s="1395" t="str">
        <f t="shared" si="215"/>
        <v>M</v>
      </c>
      <c r="I428" s="1375" t="s">
        <v>2142</v>
      </c>
      <c r="J428" s="350" t="str">
        <f>IF(B428&lt;&gt;"",+VLOOKUP(I428,Recursos!C:F,2,FALSE),"")</f>
        <v>HERRAMIENTAS MENORES</v>
      </c>
      <c r="K428" s="351" t="str">
        <f>IF(B428&lt;&gt;"",+VLOOKUP(I428,Recursos!C:F,3,FALSE),"")</f>
        <v>un</v>
      </c>
      <c r="L428" s="436">
        <f>IF(B428&lt;&gt;"",+VLOOKUP(I428,Recursos!C:F,4,FALSE),"")</f>
        <v>1</v>
      </c>
      <c r="M428" s="985">
        <f>6500*10%*0</f>
        <v>0</v>
      </c>
      <c r="N428" s="987"/>
      <c r="O428" s="439">
        <f>+M428</f>
        <v>0</v>
      </c>
      <c r="P428" s="440">
        <f t="shared" si="216"/>
        <v>0</v>
      </c>
      <c r="Q428" s="349">
        <f t="shared" si="217"/>
        <v>0</v>
      </c>
      <c r="R428" s="353">
        <f t="shared" si="218"/>
        <v>0</v>
      </c>
      <c r="S428" s="354">
        <f t="shared" si="206"/>
        <v>1444.9081256553811</v>
      </c>
      <c r="T428" s="354">
        <f t="shared" si="207"/>
        <v>1307.3869705108227</v>
      </c>
      <c r="U428" s="355">
        <f t="shared" si="208"/>
        <v>0</v>
      </c>
      <c r="V428" s="355">
        <f t="shared" si="209"/>
        <v>0</v>
      </c>
      <c r="W428" s="355">
        <f t="shared" si="210"/>
        <v>0</v>
      </c>
      <c r="X428" s="355">
        <f t="shared" si="211"/>
        <v>0</v>
      </c>
      <c r="Y428" s="396"/>
      <c r="Z428" s="346" t="str">
        <f t="shared" si="219"/>
        <v>0-DEMOLMA</v>
      </c>
      <c r="AA428" s="346" t="str">
        <f t="shared" si="220"/>
        <v>0-DEMOLME</v>
      </c>
      <c r="AB428" s="346" t="str">
        <f t="shared" si="221"/>
        <v>0-DEMOLMM</v>
      </c>
      <c r="AC428" s="346" t="str">
        <f t="shared" si="222"/>
        <v>0-DEMOLMT</v>
      </c>
      <c r="AD428" s="346" t="str">
        <f t="shared" si="223"/>
        <v>0-DEMOLMS</v>
      </c>
      <c r="AE428" s="346" t="str">
        <f t="shared" si="224"/>
        <v>0-DEMOLMX</v>
      </c>
      <c r="AF428" s="346" t="str">
        <f t="shared" si="225"/>
        <v>0-DEMOLMM</v>
      </c>
      <c r="AG428" s="346">
        <f t="shared" si="212"/>
        <v>13</v>
      </c>
      <c r="AH428" s="346">
        <f>IF(B428&lt;&gt;"",+IF(H428="x",+VLOOKUP(I428,'AUX-NIV2'!B:AG,32,FALSE),0),"")</f>
        <v>0</v>
      </c>
      <c r="AI428" s="346" t="str">
        <f t="shared" si="226"/>
        <v>0-DEMOLM</v>
      </c>
      <c r="AK428" s="347">
        <f t="shared" si="213"/>
        <v>417</v>
      </c>
      <c r="AL428" s="348">
        <f t="shared" si="227"/>
        <v>429</v>
      </c>
      <c r="AM428" s="347">
        <f t="shared" si="228"/>
        <v>11</v>
      </c>
      <c r="AN428" s="382">
        <f>IF(AND(AH428&gt;0,B428&lt;&gt;""),VLOOKUP(I428,'AUX-NIV2'!$B:$AP,40,FALSE)*O428,0)</f>
        <v>0</v>
      </c>
      <c r="AO428" s="382">
        <f t="shared" si="214"/>
        <v>3.2133333333333334</v>
      </c>
      <c r="AQ428" s="395">
        <f>(IF($H428="x",VLOOKUP($I428,'AUX-NIV2'!$B:$X,'AUX-NIV1'!AQ$3,FALSE),0)+($AV428*'AUX-NIV3'!S$4))*$O428+IF($H428=AQ$4,$P428,0)</f>
        <v>0</v>
      </c>
      <c r="AR428" s="395">
        <f>(IF($H428="x",VLOOKUP($I428,'AUX-NIV2'!$B:$X,'AUX-NIV1'!AR$3,FALSE),0)+($AV428*'AUX-NIV3'!T$4))*$O428+IF($H428=AR$4,$P428,0)</f>
        <v>0</v>
      </c>
      <c r="AS428" s="395">
        <f>(IF($H428="x",VLOOKUP($I428,'AUX-NIV2'!$B:$X,'AUX-NIV1'!AS$3,FALSE),0)+($AV428*'AUX-NIV3'!U$4))*$O428+IF($H428=AS$4,$P428,0)</f>
        <v>0</v>
      </c>
      <c r="AT428" s="395">
        <f>(IF($H428="x",VLOOKUP($I428,'AUX-NIV2'!$B:$X,'AUX-NIV1'!AT$3,FALSE),0)+($AV428*'AUX-NIV3'!V$4))*$O428+IF($H428=AT$4,$P428,0)</f>
        <v>0</v>
      </c>
      <c r="AU428" s="395">
        <f>(IF($H428="x",VLOOKUP($I428,'AUX-NIV2'!$B:$X,'AUX-NIV1'!AU$3,FALSE),0)+($AV428*'AUX-NIV3'!W$4))*$O428+IF($H428=AU$4,$P428,0)</f>
        <v>0</v>
      </c>
      <c r="AV428" s="395">
        <f>+IF($H428="x",VLOOKUP($I428,'AUX-NIV2'!$B:$X,'AUX-NIV1'!AV$3,FALSE),0)</f>
        <v>0</v>
      </c>
    </row>
    <row r="429" spans="2:48" ht="14.4" hidden="1" thickTop="1" thickBot="1">
      <c r="B429" s="501" t="s">
        <v>3467</v>
      </c>
      <c r="C429" s="950" t="s">
        <v>3468</v>
      </c>
      <c r="D429" s="326" t="s">
        <v>1160</v>
      </c>
      <c r="E429" s="349">
        <f>IF(B429&lt;&gt;"",+SUMIF(Items!C:C,'AUX-NIV1'!B429,Items!H:H),"")</f>
        <v>0</v>
      </c>
      <c r="F429" s="349">
        <f t="shared" si="204"/>
        <v>2752.2950961662036</v>
      </c>
      <c r="G429" s="349">
        <f t="shared" si="205"/>
        <v>0</v>
      </c>
      <c r="H429" s="1395" t="str">
        <f t="shared" si="215"/>
        <v>M</v>
      </c>
      <c r="I429" s="1375" t="s">
        <v>621</v>
      </c>
      <c r="J429" s="350" t="str">
        <f>IF(B429&lt;&gt;"",+VLOOKUP(I429,Recursos!C:F,2,FALSE),"")</f>
        <v>MATERIALES VARIOS</v>
      </c>
      <c r="K429" s="351" t="str">
        <f>IF(B429&lt;&gt;"",+VLOOKUP(I429,Recursos!C:F,3,FALSE),"")</f>
        <v>GL</v>
      </c>
      <c r="L429" s="436">
        <f>IF(B429&lt;&gt;"",+VLOOKUP(I429,Recursos!C:F,4,FALSE),"")</f>
        <v>0.5</v>
      </c>
      <c r="M429" s="979">
        <f>6500*5%*0</f>
        <v>0</v>
      </c>
      <c r="N429" s="988"/>
      <c r="O429" s="439">
        <f>+M429</f>
        <v>0</v>
      </c>
      <c r="P429" s="440">
        <f t="shared" si="216"/>
        <v>0</v>
      </c>
      <c r="Q429" s="349">
        <f t="shared" si="217"/>
        <v>0</v>
      </c>
      <c r="R429" s="353">
        <f t="shared" si="218"/>
        <v>0</v>
      </c>
      <c r="S429" s="354">
        <f t="shared" si="206"/>
        <v>1444.9081256553811</v>
      </c>
      <c r="T429" s="354">
        <f t="shared" si="207"/>
        <v>1307.3869705108227</v>
      </c>
      <c r="U429" s="355">
        <f t="shared" si="208"/>
        <v>0</v>
      </c>
      <c r="V429" s="355">
        <f t="shared" si="209"/>
        <v>0</v>
      </c>
      <c r="W429" s="355">
        <f t="shared" si="210"/>
        <v>0</v>
      </c>
      <c r="X429" s="355">
        <f t="shared" si="211"/>
        <v>0</v>
      </c>
      <c r="Y429" s="396"/>
      <c r="Z429" s="346" t="str">
        <f t="shared" si="219"/>
        <v>0-DEMOLMA</v>
      </c>
      <c r="AA429" s="346" t="str">
        <f t="shared" si="220"/>
        <v>0-DEMOLME</v>
      </c>
      <c r="AB429" s="346" t="str">
        <f t="shared" si="221"/>
        <v>0-DEMOLMM</v>
      </c>
      <c r="AC429" s="346" t="str">
        <f t="shared" si="222"/>
        <v>0-DEMOLMT</v>
      </c>
      <c r="AD429" s="346" t="str">
        <f t="shared" si="223"/>
        <v>0-DEMOLMS</v>
      </c>
      <c r="AE429" s="346" t="str">
        <f t="shared" si="224"/>
        <v>0-DEMOLMX</v>
      </c>
      <c r="AF429" s="346" t="str">
        <f t="shared" si="225"/>
        <v>0-DEMOLMM</v>
      </c>
      <c r="AG429" s="346">
        <f t="shared" si="212"/>
        <v>13</v>
      </c>
      <c r="AH429" s="346">
        <f>IF(B429&lt;&gt;"",+IF(H429="x",+VLOOKUP(I429,'AUX-NIV2'!B:AG,32,FALSE),0),"")</f>
        <v>0</v>
      </c>
      <c r="AI429" s="346" t="str">
        <f t="shared" si="226"/>
        <v>0-DEMOLM</v>
      </c>
      <c r="AK429" s="347">
        <f t="shared" si="213"/>
        <v>417</v>
      </c>
      <c r="AL429" s="348">
        <f t="shared" si="227"/>
        <v>429</v>
      </c>
      <c r="AM429" s="347">
        <f t="shared" si="228"/>
        <v>12</v>
      </c>
      <c r="AN429" s="382">
        <f>IF(AND(AH429&gt;0,B429&lt;&gt;""),VLOOKUP(I429,'AUX-NIV2'!$B:$AP,40,FALSE)*O429,0)</f>
        <v>0</v>
      </c>
      <c r="AO429" s="382">
        <f t="shared" si="214"/>
        <v>3.2133333333333334</v>
      </c>
      <c r="AQ429" s="395">
        <f>(IF($H429="x",VLOOKUP($I429,'AUX-NIV2'!$B:$X,'AUX-NIV1'!AQ$3,FALSE),0)+($AV429*'AUX-NIV3'!S$4))*$O429+IF($H429=AQ$4,$P429,0)</f>
        <v>0</v>
      </c>
      <c r="AR429" s="395">
        <f>(IF($H429="x",VLOOKUP($I429,'AUX-NIV2'!$B:$X,'AUX-NIV1'!AR$3,FALSE),0)+($AV429*'AUX-NIV3'!T$4))*$O429+IF($H429=AR$4,$P429,0)</f>
        <v>0</v>
      </c>
      <c r="AS429" s="395">
        <f>(IF($H429="x",VLOOKUP($I429,'AUX-NIV2'!$B:$X,'AUX-NIV1'!AS$3,FALSE),0)+($AV429*'AUX-NIV3'!U$4))*$O429+IF($H429=AS$4,$P429,0)</f>
        <v>0</v>
      </c>
      <c r="AT429" s="395">
        <f>(IF($H429="x",VLOOKUP($I429,'AUX-NIV2'!$B:$X,'AUX-NIV1'!AT$3,FALSE),0)+($AV429*'AUX-NIV3'!V$4))*$O429+IF($H429=AT$4,$P429,0)</f>
        <v>0</v>
      </c>
      <c r="AU429" s="395">
        <f>(IF($H429="x",VLOOKUP($I429,'AUX-NIV2'!$B:$X,'AUX-NIV1'!AU$3,FALSE),0)+($AV429*'AUX-NIV3'!W$4))*$O429+IF($H429=AU$4,$P429,0)</f>
        <v>0</v>
      </c>
      <c r="AV429" s="395">
        <f>+IF($H429="x",VLOOKUP($I429,'AUX-NIV2'!$B:$X,'AUX-NIV1'!AV$3,FALSE),0)</f>
        <v>0</v>
      </c>
    </row>
    <row r="430" spans="2:48" ht="13.8" hidden="1" thickTop="1">
      <c r="B430" s="501" t="s">
        <v>3471</v>
      </c>
      <c r="C430" s="950" t="s">
        <v>3472</v>
      </c>
      <c r="D430" s="326" t="s">
        <v>501</v>
      </c>
      <c r="E430" s="349">
        <f>IF(B430&lt;&gt;"",+SUMIF(Items!C:C,'AUX-NIV1'!B430,Items!H:H),"")</f>
        <v>0</v>
      </c>
      <c r="F430" s="349">
        <f t="shared" si="204"/>
        <v>541.82795314616862</v>
      </c>
      <c r="G430" s="349">
        <f t="shared" si="205"/>
        <v>0</v>
      </c>
      <c r="H430" s="1395" t="str">
        <f t="shared" si="215"/>
        <v>M</v>
      </c>
      <c r="I430" s="1375" t="s">
        <v>3469</v>
      </c>
      <c r="J430" s="350" t="str">
        <f>IF(B430&lt;&gt;"",+VLOOKUP(I430,Recursos!C:F,2,FALSE),"")</f>
        <v>MEMBRANA ASFALTICA GEOTEXTIL</v>
      </c>
      <c r="K430" s="351" t="str">
        <f>IF(B430&lt;&gt;"",+VLOOKUP(I430,Recursos!C:F,3,FALSE),"")</f>
        <v>m2</v>
      </c>
      <c r="L430" s="436">
        <f>IF(B430&lt;&gt;"",+VLOOKUP(I430,Recursos!C:F,4,FALSE),"")</f>
        <v>289.25619834710744</v>
      </c>
      <c r="M430" s="1083">
        <v>1.1000000000000001</v>
      </c>
      <c r="N430" s="1084"/>
      <c r="O430" s="439">
        <f>M430</f>
        <v>1.1000000000000001</v>
      </c>
      <c r="P430" s="440">
        <f t="shared" si="216"/>
        <v>318.18181818181819</v>
      </c>
      <c r="Q430" s="349">
        <f t="shared" si="217"/>
        <v>0</v>
      </c>
      <c r="R430" s="353">
        <f t="shared" si="218"/>
        <v>0</v>
      </c>
      <c r="S430" s="354">
        <f t="shared" si="206"/>
        <v>223.64613496435047</v>
      </c>
      <c r="T430" s="354">
        <f t="shared" si="207"/>
        <v>0</v>
      </c>
      <c r="U430" s="355">
        <f t="shared" si="208"/>
        <v>318.18181818181819</v>
      </c>
      <c r="V430" s="355">
        <f t="shared" si="209"/>
        <v>0</v>
      </c>
      <c r="W430" s="355">
        <f t="shared" si="210"/>
        <v>0</v>
      </c>
      <c r="X430" s="355">
        <f t="shared" si="211"/>
        <v>0</v>
      </c>
      <c r="Y430" s="396"/>
      <c r="Z430" s="346" t="str">
        <f t="shared" si="219"/>
        <v>0-IMPTECHA</v>
      </c>
      <c r="AA430" s="346" t="str">
        <f t="shared" si="220"/>
        <v>0-IMPTECHE</v>
      </c>
      <c r="AB430" s="346" t="str">
        <f t="shared" si="221"/>
        <v>0-IMPTECHM</v>
      </c>
      <c r="AC430" s="346" t="str">
        <f t="shared" si="222"/>
        <v>0-IMPTECHT</v>
      </c>
      <c r="AD430" s="346" t="str">
        <f t="shared" si="223"/>
        <v>0-IMPTECHS</v>
      </c>
      <c r="AE430" s="346" t="str">
        <f t="shared" si="224"/>
        <v>0-IMPTECHX</v>
      </c>
      <c r="AF430" s="346" t="str">
        <f t="shared" si="225"/>
        <v>0-IMPTECHM</v>
      </c>
      <c r="AG430" s="346">
        <f t="shared" si="212"/>
        <v>3</v>
      </c>
      <c r="AH430" s="346">
        <f>IF(B430&lt;&gt;"",+IF(H430="x",+VLOOKUP(I430,'AUX-NIV2'!B:AG,32,FALSE),0),"")</f>
        <v>0</v>
      </c>
      <c r="AI430" s="346" t="str">
        <f t="shared" si="226"/>
        <v>0-IMPTECH</v>
      </c>
      <c r="AK430" s="347">
        <f t="shared" si="213"/>
        <v>430</v>
      </c>
      <c r="AL430" s="348">
        <f t="shared" si="227"/>
        <v>432</v>
      </c>
      <c r="AM430" s="347">
        <f t="shared" si="228"/>
        <v>1</v>
      </c>
      <c r="AN430" s="382">
        <f>IF(AND(AH430&gt;0,B430&lt;&gt;""),VLOOKUP(I430,'AUX-NIV2'!$B:$AP,40,FALSE)*O430,0)</f>
        <v>0</v>
      </c>
      <c r="AO430" s="382">
        <f t="shared" si="214"/>
        <v>0.5</v>
      </c>
      <c r="AQ430" s="395">
        <f>(IF($H430="x",VLOOKUP($I430,'AUX-NIV2'!$B:$X,'AUX-NIV1'!AQ$3,FALSE),0)+($AV430*'AUX-NIV3'!S$4))*$O430+IF($H430=AQ$4,$P430,0)</f>
        <v>0</v>
      </c>
      <c r="AR430" s="395">
        <f>(IF($H430="x",VLOOKUP($I430,'AUX-NIV2'!$B:$X,'AUX-NIV1'!AR$3,FALSE),0)+($AV430*'AUX-NIV3'!T$4))*$O430+IF($H430=AR$4,$P430,0)</f>
        <v>0</v>
      </c>
      <c r="AS430" s="395">
        <f>(IF($H430="x",VLOOKUP($I430,'AUX-NIV2'!$B:$X,'AUX-NIV1'!AS$3,FALSE),0)+($AV430*'AUX-NIV3'!U$4))*$O430+IF($H430=AS$4,$P430,0)</f>
        <v>318.18181818181819</v>
      </c>
      <c r="AT430" s="395">
        <f>(IF($H430="x",VLOOKUP($I430,'AUX-NIV2'!$B:$X,'AUX-NIV1'!AT$3,FALSE),0)+($AV430*'AUX-NIV3'!V$4))*$O430+IF($H430=AT$4,$P430,0)</f>
        <v>0</v>
      </c>
      <c r="AU430" s="395">
        <f>(IF($H430="x",VLOOKUP($I430,'AUX-NIV2'!$B:$X,'AUX-NIV1'!AU$3,FALSE),0)+($AV430*'AUX-NIV3'!W$4))*$O430+IF($H430=AU$4,$P430,0)</f>
        <v>0</v>
      </c>
      <c r="AV430" s="395">
        <f>+IF($H430="x",VLOOKUP($I430,'AUX-NIV2'!$B:$X,'AUX-NIV1'!AV$3,FALSE),0)</f>
        <v>0</v>
      </c>
    </row>
    <row r="431" spans="2:48" ht="13.8" hidden="1" thickTop="1">
      <c r="B431" s="501" t="s">
        <v>3471</v>
      </c>
      <c r="C431" s="950" t="s">
        <v>3472</v>
      </c>
      <c r="D431" s="326" t="s">
        <v>501</v>
      </c>
      <c r="E431" s="349">
        <f>IF(B431&lt;&gt;"",+SUMIF(Items!C:C,'AUX-NIV1'!B431,Items!H:H),"")</f>
        <v>0</v>
      </c>
      <c r="F431" s="349">
        <f t="shared" si="204"/>
        <v>541.82795314616862</v>
      </c>
      <c r="G431" s="349">
        <f t="shared" si="205"/>
        <v>0</v>
      </c>
      <c r="H431" s="1395" t="str">
        <f t="shared" si="215"/>
        <v>A</v>
      </c>
      <c r="I431" s="1375" t="s">
        <v>1745</v>
      </c>
      <c r="J431" s="350" t="str">
        <f>IF(B431&lt;&gt;"",+VLOOKUP(I431,Recursos!C:F,2,FALSE),"")</f>
        <v>AYUDANTE</v>
      </c>
      <c r="K431" s="351" t="str">
        <f>IF(B431&lt;&gt;"",+VLOOKUP(I431,Recursos!C:F,3,FALSE),"")</f>
        <v>hh</v>
      </c>
      <c r="L431" s="436">
        <f>IF(B431&lt;&gt;"",+VLOOKUP(I431,Recursos!C:F,4,FALSE),"")</f>
        <v>422.48042769667234</v>
      </c>
      <c r="M431" s="550">
        <v>2</v>
      </c>
      <c r="N431" s="1087">
        <v>7.5</v>
      </c>
      <c r="O431" s="439">
        <f>M431*N432/N431</f>
        <v>0.33333333333333331</v>
      </c>
      <c r="P431" s="440">
        <f t="shared" si="216"/>
        <v>140.82680923222409</v>
      </c>
      <c r="Q431" s="349">
        <f t="shared" si="217"/>
        <v>0</v>
      </c>
      <c r="R431" s="353">
        <f t="shared" si="218"/>
        <v>0</v>
      </c>
      <c r="S431" s="354">
        <f t="shared" si="206"/>
        <v>223.64613496435047</v>
      </c>
      <c r="T431" s="354">
        <f t="shared" si="207"/>
        <v>0</v>
      </c>
      <c r="U431" s="355">
        <f t="shared" si="208"/>
        <v>318.18181818181819</v>
      </c>
      <c r="V431" s="355">
        <f t="shared" si="209"/>
        <v>0</v>
      </c>
      <c r="W431" s="355">
        <f t="shared" si="210"/>
        <v>0</v>
      </c>
      <c r="X431" s="355">
        <f t="shared" si="211"/>
        <v>0</v>
      </c>
      <c r="Y431" s="396"/>
      <c r="Z431" s="346" t="str">
        <f t="shared" si="219"/>
        <v>0-IMPTECHA</v>
      </c>
      <c r="AA431" s="346" t="str">
        <f t="shared" si="220"/>
        <v>0-IMPTECHE</v>
      </c>
      <c r="AB431" s="346" t="str">
        <f t="shared" si="221"/>
        <v>0-IMPTECHM</v>
      </c>
      <c r="AC431" s="346" t="str">
        <f t="shared" si="222"/>
        <v>0-IMPTECHT</v>
      </c>
      <c r="AD431" s="346" t="str">
        <f t="shared" si="223"/>
        <v>0-IMPTECHS</v>
      </c>
      <c r="AE431" s="346" t="str">
        <f t="shared" si="224"/>
        <v>0-IMPTECHX</v>
      </c>
      <c r="AF431" s="346" t="str">
        <f t="shared" si="225"/>
        <v>0-IMPTECHA</v>
      </c>
      <c r="AG431" s="346">
        <f t="shared" si="212"/>
        <v>3</v>
      </c>
      <c r="AH431" s="346">
        <f>IF(B431&lt;&gt;"",+IF(H431="x",+VLOOKUP(I431,'AUX-NIV2'!B:AG,32,FALSE),0),"")</f>
        <v>0</v>
      </c>
      <c r="AI431" s="346" t="str">
        <f t="shared" si="226"/>
        <v>0-IMPTECH</v>
      </c>
      <c r="AK431" s="347">
        <f t="shared" si="213"/>
        <v>430</v>
      </c>
      <c r="AL431" s="348">
        <f t="shared" si="227"/>
        <v>432</v>
      </c>
      <c r="AM431" s="347">
        <f t="shared" si="228"/>
        <v>2</v>
      </c>
      <c r="AN431" s="382">
        <f>IF(AND(AH431&gt;0,B431&lt;&gt;""),VLOOKUP(I431,'AUX-NIV2'!$B:$AP,40,FALSE)*O431,0)</f>
        <v>0</v>
      </c>
      <c r="AO431" s="382">
        <f t="shared" si="214"/>
        <v>0.5</v>
      </c>
      <c r="AQ431" s="395">
        <f>(IF($H431="x",VLOOKUP($I431,'AUX-NIV2'!$B:$X,'AUX-NIV1'!AQ$3,FALSE),0)+($AV431*'AUX-NIV3'!S$4))*$O431+IF($H431=AQ$4,$P431,0)</f>
        <v>140.82680923222409</v>
      </c>
      <c r="AR431" s="395">
        <f>(IF($H431="x",VLOOKUP($I431,'AUX-NIV2'!$B:$X,'AUX-NIV1'!AR$3,FALSE),0)+($AV431*'AUX-NIV3'!T$4))*$O431+IF($H431=AR$4,$P431,0)</f>
        <v>0</v>
      </c>
      <c r="AS431" s="395">
        <f>(IF($H431="x",VLOOKUP($I431,'AUX-NIV2'!$B:$X,'AUX-NIV1'!AS$3,FALSE),0)+($AV431*'AUX-NIV3'!U$4))*$O431+IF($H431=AS$4,$P431,0)</f>
        <v>0</v>
      </c>
      <c r="AT431" s="395">
        <f>(IF($H431="x",VLOOKUP($I431,'AUX-NIV2'!$B:$X,'AUX-NIV1'!AT$3,FALSE),0)+($AV431*'AUX-NIV3'!V$4))*$O431+IF($H431=AT$4,$P431,0)</f>
        <v>0</v>
      </c>
      <c r="AU431" s="395">
        <f>(IF($H431="x",VLOOKUP($I431,'AUX-NIV2'!$B:$X,'AUX-NIV1'!AU$3,FALSE),0)+($AV431*'AUX-NIV3'!W$4))*$O431+IF($H431=AU$4,$P431,0)</f>
        <v>0</v>
      </c>
      <c r="AV431" s="395">
        <f>+IF($H431="x",VLOOKUP($I431,'AUX-NIV2'!$B:$X,'AUX-NIV1'!AV$3,FALSE),0)</f>
        <v>0</v>
      </c>
    </row>
    <row r="432" spans="2:48" ht="14.4" hidden="1" thickTop="1" thickBot="1">
      <c r="B432" s="501" t="s">
        <v>3471</v>
      </c>
      <c r="C432" s="950" t="s">
        <v>3472</v>
      </c>
      <c r="D432" s="326" t="s">
        <v>501</v>
      </c>
      <c r="E432" s="349">
        <f>IF(B432&lt;&gt;"",+SUMIF(Items!C:C,'AUX-NIV1'!B432,Items!H:H),"")</f>
        <v>0</v>
      </c>
      <c r="F432" s="349">
        <f t="shared" si="204"/>
        <v>541.82795314616862</v>
      </c>
      <c r="G432" s="349">
        <f t="shared" si="205"/>
        <v>0</v>
      </c>
      <c r="H432" s="1395" t="str">
        <f t="shared" si="215"/>
        <v>A</v>
      </c>
      <c r="I432" s="1375" t="s">
        <v>1746</v>
      </c>
      <c r="J432" s="350" t="str">
        <f>IF(B432&lt;&gt;"",+VLOOKUP(I432,Recursos!C:F,2,FALSE),"")</f>
        <v>OFICIAL</v>
      </c>
      <c r="K432" s="351" t="str">
        <f>IF(B432&lt;&gt;"",+VLOOKUP(I432,Recursos!C:F,3,FALSE),"")</f>
        <v>hh</v>
      </c>
      <c r="L432" s="436">
        <f>IF(B432&lt;&gt;"",+VLOOKUP(I432,Recursos!C:F,4,FALSE),"")</f>
        <v>496.91595439275824</v>
      </c>
      <c r="M432" s="1080">
        <v>1</v>
      </c>
      <c r="N432" s="1088">
        <v>1.25</v>
      </c>
      <c r="O432" s="439">
        <f>M432*N432/N431</f>
        <v>0.16666666666666666</v>
      </c>
      <c r="P432" s="440">
        <f t="shared" si="216"/>
        <v>82.819325732126373</v>
      </c>
      <c r="Q432" s="349">
        <f t="shared" si="217"/>
        <v>0</v>
      </c>
      <c r="R432" s="353">
        <f t="shared" si="218"/>
        <v>0</v>
      </c>
      <c r="S432" s="354">
        <f t="shared" si="206"/>
        <v>223.64613496435047</v>
      </c>
      <c r="T432" s="354">
        <f t="shared" si="207"/>
        <v>0</v>
      </c>
      <c r="U432" s="355">
        <f t="shared" si="208"/>
        <v>318.18181818181819</v>
      </c>
      <c r="V432" s="355">
        <f t="shared" si="209"/>
        <v>0</v>
      </c>
      <c r="W432" s="355">
        <f t="shared" si="210"/>
        <v>0</v>
      </c>
      <c r="X432" s="355">
        <f t="shared" si="211"/>
        <v>0</v>
      </c>
      <c r="Y432" s="396"/>
      <c r="Z432" s="346" t="str">
        <f t="shared" si="219"/>
        <v>0-IMPTECHA</v>
      </c>
      <c r="AA432" s="346" t="str">
        <f t="shared" si="220"/>
        <v>0-IMPTECHE</v>
      </c>
      <c r="AB432" s="346" t="str">
        <f t="shared" si="221"/>
        <v>0-IMPTECHM</v>
      </c>
      <c r="AC432" s="346" t="str">
        <f t="shared" si="222"/>
        <v>0-IMPTECHT</v>
      </c>
      <c r="AD432" s="346" t="str">
        <f t="shared" si="223"/>
        <v>0-IMPTECHS</v>
      </c>
      <c r="AE432" s="346" t="str">
        <f t="shared" si="224"/>
        <v>0-IMPTECHX</v>
      </c>
      <c r="AF432" s="346" t="str">
        <f t="shared" si="225"/>
        <v>0-IMPTECHA</v>
      </c>
      <c r="AG432" s="346">
        <f t="shared" si="212"/>
        <v>3</v>
      </c>
      <c r="AH432" s="346">
        <f>IF(B432&lt;&gt;"",+IF(H432="x",+VLOOKUP(I432,'AUX-NIV2'!B:AG,32,FALSE),0),"")</f>
        <v>0</v>
      </c>
      <c r="AI432" s="346" t="str">
        <f t="shared" si="226"/>
        <v>0-IMPTECH</v>
      </c>
      <c r="AK432" s="347">
        <f t="shared" si="213"/>
        <v>430</v>
      </c>
      <c r="AL432" s="348">
        <f t="shared" si="227"/>
        <v>432</v>
      </c>
      <c r="AM432" s="347">
        <f t="shared" si="228"/>
        <v>3</v>
      </c>
      <c r="AN432" s="382">
        <f>IF(AND(AH432&gt;0,B432&lt;&gt;""),VLOOKUP(I432,'AUX-NIV2'!$B:$AP,40,FALSE)*O432,0)</f>
        <v>0</v>
      </c>
      <c r="AO432" s="382">
        <f t="shared" si="214"/>
        <v>0.5</v>
      </c>
      <c r="AQ432" s="395">
        <f>(IF($H432="x",VLOOKUP($I432,'AUX-NIV2'!$B:$X,'AUX-NIV1'!AQ$3,FALSE),0)+($AV432*'AUX-NIV3'!S$4))*$O432+IF($H432=AQ$4,$P432,0)</f>
        <v>82.819325732126373</v>
      </c>
      <c r="AR432" s="395">
        <f>(IF($H432="x",VLOOKUP($I432,'AUX-NIV2'!$B:$X,'AUX-NIV1'!AR$3,FALSE),0)+($AV432*'AUX-NIV3'!T$4))*$O432+IF($H432=AR$4,$P432,0)</f>
        <v>0</v>
      </c>
      <c r="AS432" s="395">
        <f>(IF($H432="x",VLOOKUP($I432,'AUX-NIV2'!$B:$X,'AUX-NIV1'!AS$3,FALSE),0)+($AV432*'AUX-NIV3'!U$4))*$O432+IF($H432=AS$4,$P432,0)</f>
        <v>0</v>
      </c>
      <c r="AT432" s="395">
        <f>(IF($H432="x",VLOOKUP($I432,'AUX-NIV2'!$B:$X,'AUX-NIV1'!AT$3,FALSE),0)+($AV432*'AUX-NIV3'!V$4))*$O432+IF($H432=AT$4,$P432,0)</f>
        <v>0</v>
      </c>
      <c r="AU432" s="395">
        <f>(IF($H432="x",VLOOKUP($I432,'AUX-NIV2'!$B:$X,'AUX-NIV1'!AU$3,FALSE),0)+($AV432*'AUX-NIV3'!W$4))*$O432+IF($H432=AU$4,$P432,0)</f>
        <v>0</v>
      </c>
      <c r="AV432" s="395">
        <f>+IF($H432="x",VLOOKUP($I432,'AUX-NIV2'!$B:$X,'AUX-NIV1'!AV$3,FALSE),0)</f>
        <v>0</v>
      </c>
    </row>
    <row r="433" spans="2:48" ht="13.8" hidden="1" thickTop="1">
      <c r="B433" s="501" t="s">
        <v>3473</v>
      </c>
      <c r="C433" s="950" t="s">
        <v>3474</v>
      </c>
      <c r="D433" s="326" t="s">
        <v>501</v>
      </c>
      <c r="E433" s="349">
        <f>IF(B433&lt;&gt;"",+SUMIF(Items!C:C,'AUX-NIV1'!B433,Items!H:H),"")</f>
        <v>0</v>
      </c>
      <c r="F433" s="349">
        <f t="shared" si="204"/>
        <v>727.68668715300169</v>
      </c>
      <c r="G433" s="349">
        <f t="shared" si="205"/>
        <v>0</v>
      </c>
      <c r="H433" s="1395" t="str">
        <f t="shared" si="215"/>
        <v>A</v>
      </c>
      <c r="I433" s="1375" t="s">
        <v>1745</v>
      </c>
      <c r="J433" s="350" t="str">
        <f>IF(B433&lt;&gt;"",+VLOOKUP(I433,Recursos!C:F,2,FALSE),"")</f>
        <v>AYUDANTE</v>
      </c>
      <c r="K433" s="351" t="str">
        <f>IF(B433&lt;&gt;"",+VLOOKUP(I433,Recursos!C:F,3,FALSE),"")</f>
        <v>hh</v>
      </c>
      <c r="L433" s="436">
        <f>IF(B433&lt;&gt;"",+VLOOKUP(I433,Recursos!C:F,4,FALSE),"")</f>
        <v>422.48042769667234</v>
      </c>
      <c r="M433" s="1083">
        <v>1</v>
      </c>
      <c r="N433" s="1089">
        <v>2</v>
      </c>
      <c r="O433" s="439">
        <f>M433*N434/N433</f>
        <v>0.625</v>
      </c>
      <c r="P433" s="440">
        <f t="shared" si="216"/>
        <v>264.05026731042022</v>
      </c>
      <c r="Q433" s="349">
        <f t="shared" si="217"/>
        <v>0</v>
      </c>
      <c r="R433" s="353">
        <f t="shared" si="218"/>
        <v>0</v>
      </c>
      <c r="S433" s="354">
        <f t="shared" si="206"/>
        <v>574.62273880589419</v>
      </c>
      <c r="T433" s="354">
        <f t="shared" si="207"/>
        <v>0</v>
      </c>
      <c r="U433" s="355">
        <f t="shared" si="208"/>
        <v>0</v>
      </c>
      <c r="V433" s="355">
        <f t="shared" si="209"/>
        <v>0</v>
      </c>
      <c r="W433" s="355">
        <f t="shared" si="210"/>
        <v>0</v>
      </c>
      <c r="X433" s="355">
        <f t="shared" si="211"/>
        <v>153.06394834710747</v>
      </c>
      <c r="Y433" s="396"/>
      <c r="Z433" s="346" t="str">
        <f t="shared" si="219"/>
        <v>0-REVFINA</v>
      </c>
      <c r="AA433" s="346" t="str">
        <f t="shared" si="220"/>
        <v>0-REVFINE</v>
      </c>
      <c r="AB433" s="346" t="str">
        <f t="shared" si="221"/>
        <v>0-REVFINM</v>
      </c>
      <c r="AC433" s="346" t="str">
        <f t="shared" si="222"/>
        <v>0-REVFINT</v>
      </c>
      <c r="AD433" s="346" t="str">
        <f t="shared" si="223"/>
        <v>0-REVFINS</v>
      </c>
      <c r="AE433" s="346" t="str">
        <f t="shared" si="224"/>
        <v>0-REVFINX</v>
      </c>
      <c r="AF433" s="346" t="str">
        <f t="shared" si="225"/>
        <v>0-REVFINA</v>
      </c>
      <c r="AG433" s="346">
        <f t="shared" si="212"/>
        <v>3</v>
      </c>
      <c r="AH433" s="346">
        <f>IF(B433&lt;&gt;"",+IF(H433="x",+VLOOKUP(I433,'AUX-NIV2'!B:AG,32,FALSE),0),"")</f>
        <v>0</v>
      </c>
      <c r="AI433" s="346" t="str">
        <f t="shared" si="226"/>
        <v>0-REVFIN</v>
      </c>
      <c r="AK433" s="347">
        <f t="shared" si="213"/>
        <v>433</v>
      </c>
      <c r="AL433" s="348">
        <f t="shared" si="227"/>
        <v>435</v>
      </c>
      <c r="AM433" s="347">
        <f t="shared" si="228"/>
        <v>1</v>
      </c>
      <c r="AN433" s="382">
        <f>IF(AND(AH433&gt;0,B433&lt;&gt;""),VLOOKUP(I433,'AUX-NIV2'!$B:$AP,40,FALSE)*O433,0)</f>
        <v>0</v>
      </c>
      <c r="AO433" s="382">
        <f t="shared" si="214"/>
        <v>1.25</v>
      </c>
      <c r="AQ433" s="395">
        <f>(IF($H433="x",VLOOKUP($I433,'AUX-NIV2'!$B:$X,'AUX-NIV1'!AQ$3,FALSE),0)+($AV433*'AUX-NIV3'!S$4))*$O433+IF($H433=AQ$4,$P433,0)</f>
        <v>264.05026731042022</v>
      </c>
      <c r="AR433" s="395">
        <f>(IF($H433="x",VLOOKUP($I433,'AUX-NIV2'!$B:$X,'AUX-NIV1'!AR$3,FALSE),0)+($AV433*'AUX-NIV3'!T$4))*$O433+IF($H433=AR$4,$P433,0)</f>
        <v>0</v>
      </c>
      <c r="AS433" s="395">
        <f>(IF($H433="x",VLOOKUP($I433,'AUX-NIV2'!$B:$X,'AUX-NIV1'!AS$3,FALSE),0)+($AV433*'AUX-NIV3'!U$4))*$O433+IF($H433=AS$4,$P433,0)</f>
        <v>0</v>
      </c>
      <c r="AT433" s="395">
        <f>(IF($H433="x",VLOOKUP($I433,'AUX-NIV2'!$B:$X,'AUX-NIV1'!AT$3,FALSE),0)+($AV433*'AUX-NIV3'!V$4))*$O433+IF($H433=AT$4,$P433,0)</f>
        <v>0</v>
      </c>
      <c r="AU433" s="395">
        <f>(IF($H433="x",VLOOKUP($I433,'AUX-NIV2'!$B:$X,'AUX-NIV1'!AU$3,FALSE),0)+($AV433*'AUX-NIV3'!W$4))*$O433+IF($H433=AU$4,$P433,0)</f>
        <v>0</v>
      </c>
      <c r="AV433" s="395">
        <f>+IF($H433="x",VLOOKUP($I433,'AUX-NIV2'!$B:$X,'AUX-NIV1'!AV$3,FALSE),0)</f>
        <v>0</v>
      </c>
    </row>
    <row r="434" spans="2:48" ht="13.8" hidden="1" thickTop="1">
      <c r="B434" s="501" t="s">
        <v>3473</v>
      </c>
      <c r="C434" s="950" t="s">
        <v>3474</v>
      </c>
      <c r="D434" s="326" t="s">
        <v>501</v>
      </c>
      <c r="E434" s="349">
        <f>IF(B434&lt;&gt;"",+SUMIF(Items!C:C,'AUX-NIV1'!B434,Items!H:H),"")</f>
        <v>0</v>
      </c>
      <c r="F434" s="349">
        <f t="shared" si="204"/>
        <v>727.68668715300169</v>
      </c>
      <c r="G434" s="349">
        <f t="shared" si="205"/>
        <v>0</v>
      </c>
      <c r="H434" s="1395" t="str">
        <f t="shared" si="215"/>
        <v>A</v>
      </c>
      <c r="I434" s="1375" t="s">
        <v>1746</v>
      </c>
      <c r="J434" s="350" t="str">
        <f>IF(B434&lt;&gt;"",+VLOOKUP(I434,Recursos!C:F,2,FALSE),"")</f>
        <v>OFICIAL</v>
      </c>
      <c r="K434" s="351" t="str">
        <f>IF(B434&lt;&gt;"",+VLOOKUP(I434,Recursos!C:F,3,FALSE),"")</f>
        <v>hh</v>
      </c>
      <c r="L434" s="436">
        <f>IF(B434&lt;&gt;"",+VLOOKUP(I434,Recursos!C:F,4,FALSE),"")</f>
        <v>496.91595439275824</v>
      </c>
      <c r="M434" s="550">
        <v>1</v>
      </c>
      <c r="N434" s="1087">
        <v>1.25</v>
      </c>
      <c r="O434" s="439">
        <f>M434*N434/N433</f>
        <v>0.625</v>
      </c>
      <c r="P434" s="440">
        <f t="shared" si="216"/>
        <v>310.57247149547391</v>
      </c>
      <c r="Q434" s="349">
        <f t="shared" si="217"/>
        <v>0</v>
      </c>
      <c r="R434" s="353">
        <f t="shared" si="218"/>
        <v>0</v>
      </c>
      <c r="S434" s="354">
        <f t="shared" si="206"/>
        <v>574.62273880589419</v>
      </c>
      <c r="T434" s="354">
        <f t="shared" si="207"/>
        <v>0</v>
      </c>
      <c r="U434" s="355">
        <f t="shared" si="208"/>
        <v>0</v>
      </c>
      <c r="V434" s="355">
        <f t="shared" si="209"/>
        <v>0</v>
      </c>
      <c r="W434" s="355">
        <f t="shared" si="210"/>
        <v>0</v>
      </c>
      <c r="X434" s="355">
        <f t="shared" si="211"/>
        <v>153.06394834710747</v>
      </c>
      <c r="Y434" s="396"/>
      <c r="Z434" s="346" t="str">
        <f t="shared" si="219"/>
        <v>0-REVFINA</v>
      </c>
      <c r="AA434" s="346" t="str">
        <f t="shared" si="220"/>
        <v>0-REVFINE</v>
      </c>
      <c r="AB434" s="346" t="str">
        <f t="shared" si="221"/>
        <v>0-REVFINM</v>
      </c>
      <c r="AC434" s="346" t="str">
        <f t="shared" si="222"/>
        <v>0-REVFINT</v>
      </c>
      <c r="AD434" s="346" t="str">
        <f t="shared" si="223"/>
        <v>0-REVFINS</v>
      </c>
      <c r="AE434" s="346" t="str">
        <f t="shared" si="224"/>
        <v>0-REVFINX</v>
      </c>
      <c r="AF434" s="346" t="str">
        <f t="shared" si="225"/>
        <v>0-REVFINA</v>
      </c>
      <c r="AG434" s="346">
        <f t="shared" si="212"/>
        <v>3</v>
      </c>
      <c r="AH434" s="346">
        <f>IF(B434&lt;&gt;"",+IF(H434="x",+VLOOKUP(I434,'AUX-NIV2'!B:AG,32,FALSE),0),"")</f>
        <v>0</v>
      </c>
      <c r="AI434" s="346" t="str">
        <f t="shared" si="226"/>
        <v>0-REVFIN</v>
      </c>
      <c r="AK434" s="347">
        <f t="shared" si="213"/>
        <v>433</v>
      </c>
      <c r="AL434" s="348">
        <f t="shared" si="227"/>
        <v>435</v>
      </c>
      <c r="AM434" s="347">
        <f t="shared" si="228"/>
        <v>2</v>
      </c>
      <c r="AN434" s="382">
        <f>IF(AND(AH434&gt;0,B434&lt;&gt;""),VLOOKUP(I434,'AUX-NIV2'!$B:$AP,40,FALSE)*O434,0)</f>
        <v>0</v>
      </c>
      <c r="AO434" s="382">
        <f t="shared" si="214"/>
        <v>1.25</v>
      </c>
      <c r="AQ434" s="395">
        <f>(IF($H434="x",VLOOKUP($I434,'AUX-NIV2'!$B:$X,'AUX-NIV1'!AQ$3,FALSE),0)+($AV434*'AUX-NIV3'!S$4))*$O434+IF($H434=AQ$4,$P434,0)</f>
        <v>310.57247149547391</v>
      </c>
      <c r="AR434" s="395">
        <f>(IF($H434="x",VLOOKUP($I434,'AUX-NIV2'!$B:$X,'AUX-NIV1'!AR$3,FALSE),0)+($AV434*'AUX-NIV3'!T$4))*$O434+IF($H434=AR$4,$P434,0)</f>
        <v>0</v>
      </c>
      <c r="AS434" s="395">
        <f>(IF($H434="x",VLOOKUP($I434,'AUX-NIV2'!$B:$X,'AUX-NIV1'!AS$3,FALSE),0)+($AV434*'AUX-NIV3'!U$4))*$O434+IF($H434=AS$4,$P434,0)</f>
        <v>0</v>
      </c>
      <c r="AT434" s="395">
        <f>(IF($H434="x",VLOOKUP($I434,'AUX-NIV2'!$B:$X,'AUX-NIV1'!AT$3,FALSE),0)+($AV434*'AUX-NIV3'!V$4))*$O434+IF($H434=AT$4,$P434,0)</f>
        <v>0</v>
      </c>
      <c r="AU434" s="395">
        <f>(IF($H434="x",VLOOKUP($I434,'AUX-NIV2'!$B:$X,'AUX-NIV1'!AU$3,FALSE),0)+($AV434*'AUX-NIV3'!W$4))*$O434+IF($H434=AU$4,$P434,0)</f>
        <v>0</v>
      </c>
      <c r="AV434" s="395">
        <f>+IF($H434="x",VLOOKUP($I434,'AUX-NIV2'!$B:$X,'AUX-NIV1'!AV$3,FALSE),0)</f>
        <v>0</v>
      </c>
    </row>
    <row r="435" spans="2:48" ht="13.8" hidden="1" thickTop="1">
      <c r="B435" s="501" t="s">
        <v>3473</v>
      </c>
      <c r="C435" s="950" t="s">
        <v>3474</v>
      </c>
      <c r="D435" s="326" t="s">
        <v>501</v>
      </c>
      <c r="E435" s="349">
        <f>IF(B435&lt;&gt;"",+SUMIF(Items!C:C,'AUX-NIV1'!B435,Items!H:H),"")</f>
        <v>0</v>
      </c>
      <c r="F435" s="349">
        <f t="shared" si="204"/>
        <v>727.68668715300169</v>
      </c>
      <c r="G435" s="349">
        <f t="shared" si="205"/>
        <v>0</v>
      </c>
      <c r="H435" s="1395" t="str">
        <f t="shared" si="215"/>
        <v>X</v>
      </c>
      <c r="I435" s="1375" t="s">
        <v>3401</v>
      </c>
      <c r="J435" s="350" t="str">
        <f>IF(B435&lt;&gt;"",+VLOOKUP(I435,Recursos!C:F,2,FALSE),"")</f>
        <v>Dosificacion de Mortero</v>
      </c>
      <c r="K435" s="351" t="str">
        <f>IF(B435&lt;&gt;"",+VLOOKUP(I435,Recursos!C:F,3,FALSE),"")</f>
        <v>m3</v>
      </c>
      <c r="L435" s="436">
        <f>IF(B435&lt;&gt;"",+VLOOKUP(I435,Recursos!C:F,4,FALSE),"")</f>
        <v>6122.5579338842981</v>
      </c>
      <c r="M435" s="550">
        <v>2.5000000000000001E-2</v>
      </c>
      <c r="N435" s="1085"/>
      <c r="O435" s="439">
        <f>M435</f>
        <v>2.5000000000000001E-2</v>
      </c>
      <c r="P435" s="440">
        <f t="shared" si="216"/>
        <v>153.06394834710747</v>
      </c>
      <c r="Q435" s="349">
        <f t="shared" si="217"/>
        <v>0</v>
      </c>
      <c r="R435" s="353">
        <f t="shared" si="218"/>
        <v>0</v>
      </c>
      <c r="S435" s="354">
        <f t="shared" si="206"/>
        <v>574.62273880589419</v>
      </c>
      <c r="T435" s="354">
        <f t="shared" si="207"/>
        <v>0</v>
      </c>
      <c r="U435" s="355">
        <f t="shared" si="208"/>
        <v>0</v>
      </c>
      <c r="V435" s="355">
        <f t="shared" si="209"/>
        <v>0</v>
      </c>
      <c r="W435" s="355">
        <f t="shared" si="210"/>
        <v>0</v>
      </c>
      <c r="X435" s="355">
        <f t="shared" si="211"/>
        <v>153.06394834710747</v>
      </c>
      <c r="Y435" s="396"/>
      <c r="Z435" s="346" t="str">
        <f t="shared" si="219"/>
        <v>0-REVFINA</v>
      </c>
      <c r="AA435" s="346" t="str">
        <f t="shared" si="220"/>
        <v>0-REVFINE</v>
      </c>
      <c r="AB435" s="346" t="str">
        <f t="shared" si="221"/>
        <v>0-REVFINM</v>
      </c>
      <c r="AC435" s="346" t="str">
        <f t="shared" si="222"/>
        <v>0-REVFINT</v>
      </c>
      <c r="AD435" s="346" t="str">
        <f t="shared" si="223"/>
        <v>0-REVFINS</v>
      </c>
      <c r="AE435" s="346" t="str">
        <f t="shared" si="224"/>
        <v>0-REVFINX</v>
      </c>
      <c r="AF435" s="346" t="str">
        <f t="shared" si="225"/>
        <v>0-REVFINX</v>
      </c>
      <c r="AG435" s="346">
        <f t="shared" si="212"/>
        <v>3</v>
      </c>
      <c r="AH435" s="346">
        <f>IF(B435&lt;&gt;"",+IF(H435="x",+VLOOKUP(I435,'AUX-NIV2'!B:AG,32,FALSE),0),"")</f>
        <v>5</v>
      </c>
      <c r="AI435" s="346" t="str">
        <f t="shared" si="226"/>
        <v>0-REVFIN</v>
      </c>
      <c r="AK435" s="347">
        <f t="shared" si="213"/>
        <v>433</v>
      </c>
      <c r="AL435" s="348">
        <f t="shared" si="227"/>
        <v>435</v>
      </c>
      <c r="AM435" s="347">
        <f t="shared" si="228"/>
        <v>3</v>
      </c>
      <c r="AN435" s="382">
        <f>IF(AND(AH435&gt;0,B435&lt;&gt;""),VLOOKUP(I435,'AUX-NIV2'!$B:$AP,40,FALSE)*O435,0)</f>
        <v>0</v>
      </c>
      <c r="AO435" s="382">
        <f t="shared" si="214"/>
        <v>1.25</v>
      </c>
      <c r="AQ435" s="395">
        <f>(IF($H435="x",VLOOKUP($I435,'AUX-NIV2'!$B:$X,'AUX-NIV1'!AQ$3,FALSE),0)+($AV435*'AUX-NIV3'!S$4))*$O435+IF($H435=AQ$4,$P435,0)</f>
        <v>0</v>
      </c>
      <c r="AR435" s="395">
        <f>(IF($H435="x",VLOOKUP($I435,'AUX-NIV2'!$B:$X,'AUX-NIV1'!AR$3,FALSE),0)+($AV435*'AUX-NIV3'!T$4))*$O435+IF($H435=AR$4,$P435,0)</f>
        <v>0</v>
      </c>
      <c r="AS435" s="395">
        <f>(IF($H435="x",VLOOKUP($I435,'AUX-NIV2'!$B:$X,'AUX-NIV1'!AS$3,FALSE),0)+($AV435*'AUX-NIV3'!U$4))*$O435+IF($H435=AS$4,$P435,0)</f>
        <v>153.06394834710747</v>
      </c>
      <c r="AT435" s="395">
        <f>(IF($H435="x",VLOOKUP($I435,'AUX-NIV2'!$B:$X,'AUX-NIV1'!AT$3,FALSE),0)+($AV435*'AUX-NIV3'!V$4))*$O435+IF($H435=AT$4,$P435,0)</f>
        <v>0</v>
      </c>
      <c r="AU435" s="395">
        <f>(IF($H435="x",VLOOKUP($I435,'AUX-NIV2'!$B:$X,'AUX-NIV1'!AU$3,FALSE),0)+($AV435*'AUX-NIV3'!W$4))*$O435+IF($H435=AU$4,$P435,0)</f>
        <v>0</v>
      </c>
      <c r="AV435" s="395">
        <f>+IF($H435="x",VLOOKUP($I435,'AUX-NIV2'!$B:$X,'AUX-NIV1'!AV$3,FALSE),0)</f>
        <v>0</v>
      </c>
    </row>
    <row r="436" spans="2:48" ht="14.4" hidden="1" thickTop="1" thickBot="1">
      <c r="B436" s="501" t="s">
        <v>3476</v>
      </c>
      <c r="C436" s="950" t="s">
        <v>3477</v>
      </c>
      <c r="D436" s="326" t="s">
        <v>501</v>
      </c>
      <c r="E436" s="349">
        <f>IF(B436&lt;&gt;"",+SUMIF(Items!C:C,'AUX-NIV1'!B436,Items!H:H),"")</f>
        <v>0</v>
      </c>
      <c r="F436" s="349">
        <f t="shared" si="204"/>
        <v>27890.113694029471</v>
      </c>
      <c r="G436" s="349">
        <f t="shared" si="205"/>
        <v>0</v>
      </c>
      <c r="H436" s="1395" t="str">
        <f t="shared" si="215"/>
        <v>M</v>
      </c>
      <c r="I436" s="1375" t="s">
        <v>621</v>
      </c>
      <c r="J436" s="350" t="str">
        <f>IF(B436&lt;&gt;"",+VLOOKUP(I436,Recursos!C:F,2,FALSE),"")</f>
        <v>MATERIALES VARIOS</v>
      </c>
      <c r="K436" s="351" t="str">
        <f>IF(B436&lt;&gt;"",+VLOOKUP(I436,Recursos!C:F,3,FALSE),"")</f>
        <v>GL</v>
      </c>
      <c r="L436" s="436">
        <f>IF(B436&lt;&gt;"",+VLOOKUP(I436,Recursos!C:F,4,FALSE),"")</f>
        <v>0.5</v>
      </c>
      <c r="M436" s="1080">
        <f>340*10%</f>
        <v>34</v>
      </c>
      <c r="N436" s="1086"/>
      <c r="O436" s="439">
        <f>M436</f>
        <v>34</v>
      </c>
      <c r="P436" s="440">
        <f t="shared" si="216"/>
        <v>17</v>
      </c>
      <c r="Q436" s="349">
        <f t="shared" si="217"/>
        <v>0</v>
      </c>
      <c r="R436" s="353">
        <f t="shared" si="218"/>
        <v>0</v>
      </c>
      <c r="S436" s="354">
        <f t="shared" si="206"/>
        <v>2873.1136940294705</v>
      </c>
      <c r="T436" s="354">
        <f t="shared" si="207"/>
        <v>0</v>
      </c>
      <c r="U436" s="355">
        <f t="shared" si="208"/>
        <v>25017</v>
      </c>
      <c r="V436" s="355">
        <f t="shared" si="209"/>
        <v>0</v>
      </c>
      <c r="W436" s="355">
        <f t="shared" si="210"/>
        <v>0</v>
      </c>
      <c r="X436" s="355">
        <f t="shared" si="211"/>
        <v>0</v>
      </c>
      <c r="Y436" s="396"/>
      <c r="Z436" s="346" t="str">
        <f t="shared" si="219"/>
        <v>0-COLPUA</v>
      </c>
      <c r="AA436" s="346" t="str">
        <f t="shared" si="220"/>
        <v>0-COLPUE</v>
      </c>
      <c r="AB436" s="346" t="str">
        <f t="shared" si="221"/>
        <v>0-COLPUM</v>
      </c>
      <c r="AC436" s="346" t="str">
        <f t="shared" si="222"/>
        <v>0-COLPUT</v>
      </c>
      <c r="AD436" s="346" t="str">
        <f t="shared" si="223"/>
        <v>0-COLPUS</v>
      </c>
      <c r="AE436" s="346" t="str">
        <f t="shared" si="224"/>
        <v>0-COLPUX</v>
      </c>
      <c r="AF436" s="346" t="str">
        <f t="shared" si="225"/>
        <v>0-COLPUM</v>
      </c>
      <c r="AG436" s="346">
        <f t="shared" si="212"/>
        <v>4</v>
      </c>
      <c r="AH436" s="346">
        <f>IF(B436&lt;&gt;"",+IF(H436="x",+VLOOKUP(I436,'AUX-NIV2'!B:AG,32,FALSE),0),"")</f>
        <v>0</v>
      </c>
      <c r="AI436" s="346" t="str">
        <f t="shared" si="226"/>
        <v>0-COLPU</v>
      </c>
      <c r="AK436" s="347">
        <f t="shared" si="213"/>
        <v>436</v>
      </c>
      <c r="AL436" s="348">
        <f t="shared" si="227"/>
        <v>439</v>
      </c>
      <c r="AM436" s="347">
        <f t="shared" si="228"/>
        <v>1</v>
      </c>
      <c r="AN436" s="382">
        <f>IF(AND(AH436&gt;0,B436&lt;&gt;""),VLOOKUP(I436,'AUX-NIV2'!$B:$AP,40,FALSE)*O436,0)</f>
        <v>0</v>
      </c>
      <c r="AO436" s="382">
        <f t="shared" si="214"/>
        <v>6.25</v>
      </c>
      <c r="AQ436" s="395">
        <f>(IF($H436="x",VLOOKUP($I436,'AUX-NIV2'!$B:$X,'AUX-NIV1'!AQ$3,FALSE),0)+($AV436*'AUX-NIV3'!S$4))*$O436+IF($H436=AQ$4,$P436,0)</f>
        <v>0</v>
      </c>
      <c r="AR436" s="395">
        <f>(IF($H436="x",VLOOKUP($I436,'AUX-NIV2'!$B:$X,'AUX-NIV1'!AR$3,FALSE),0)+($AV436*'AUX-NIV3'!T$4))*$O436+IF($H436=AR$4,$P436,0)</f>
        <v>0</v>
      </c>
      <c r="AS436" s="395">
        <f>(IF($H436="x",VLOOKUP($I436,'AUX-NIV2'!$B:$X,'AUX-NIV1'!AS$3,FALSE),0)+($AV436*'AUX-NIV3'!U$4))*$O436+IF($H436=AS$4,$P436,0)</f>
        <v>17</v>
      </c>
      <c r="AT436" s="395">
        <f>(IF($H436="x",VLOOKUP($I436,'AUX-NIV2'!$B:$X,'AUX-NIV1'!AT$3,FALSE),0)+($AV436*'AUX-NIV3'!V$4))*$O436+IF($H436=AT$4,$P436,0)</f>
        <v>0</v>
      </c>
      <c r="AU436" s="395">
        <f>(IF($H436="x",VLOOKUP($I436,'AUX-NIV2'!$B:$X,'AUX-NIV1'!AU$3,FALSE),0)+($AV436*'AUX-NIV3'!W$4))*$O436+IF($H436=AU$4,$P436,0)</f>
        <v>0</v>
      </c>
      <c r="AV436" s="395">
        <f>+IF($H436="x",VLOOKUP($I436,'AUX-NIV2'!$B:$X,'AUX-NIV1'!AV$3,FALSE),0)</f>
        <v>0</v>
      </c>
    </row>
    <row r="437" spans="2:48" ht="13.8" hidden="1" thickTop="1">
      <c r="B437" s="501" t="s">
        <v>3476</v>
      </c>
      <c r="C437" s="950" t="s">
        <v>3477</v>
      </c>
      <c r="D437" s="326" t="s">
        <v>610</v>
      </c>
      <c r="E437" s="349">
        <f>IF(B437&lt;&gt;"",+SUMIF(Items!C:C,'AUX-NIV1'!B437,Items!H:H),"")</f>
        <v>0</v>
      </c>
      <c r="F437" s="349">
        <f t="shared" si="204"/>
        <v>27890.113694029471</v>
      </c>
      <c r="G437" s="349">
        <f t="shared" si="205"/>
        <v>0</v>
      </c>
      <c r="H437" s="1395" t="str">
        <f t="shared" si="215"/>
        <v>A</v>
      </c>
      <c r="I437" s="1375" t="s">
        <v>1745</v>
      </c>
      <c r="J437" s="350" t="str">
        <f>IF(B437&lt;&gt;"",+VLOOKUP(I437,Recursos!C:F,2,FALSE),"")</f>
        <v>AYUDANTE</v>
      </c>
      <c r="K437" s="351" t="str">
        <f>IF(B437&lt;&gt;"",+VLOOKUP(I437,Recursos!C:F,3,FALSE),"")</f>
        <v>hh</v>
      </c>
      <c r="L437" s="436">
        <f>IF(B437&lt;&gt;"",+VLOOKUP(I437,Recursos!C:F,4,FALSE),"")</f>
        <v>422.48042769667234</v>
      </c>
      <c r="M437" s="1083">
        <v>1</v>
      </c>
      <c r="N437" s="1089">
        <v>1.25</v>
      </c>
      <c r="O437" s="439">
        <f>+M437*N437/N438</f>
        <v>3.125</v>
      </c>
      <c r="P437" s="440">
        <f t="shared" si="216"/>
        <v>1320.2513365521011</v>
      </c>
      <c r="Q437" s="349">
        <f t="shared" si="217"/>
        <v>0</v>
      </c>
      <c r="R437" s="353">
        <f t="shared" si="218"/>
        <v>0</v>
      </c>
      <c r="S437" s="354">
        <f t="shared" si="206"/>
        <v>2873.1136940294705</v>
      </c>
      <c r="T437" s="354">
        <f t="shared" si="207"/>
        <v>0</v>
      </c>
      <c r="U437" s="355">
        <f t="shared" si="208"/>
        <v>25017</v>
      </c>
      <c r="V437" s="355">
        <f t="shared" si="209"/>
        <v>0</v>
      </c>
      <c r="W437" s="355">
        <f t="shared" si="210"/>
        <v>0</v>
      </c>
      <c r="X437" s="355">
        <f t="shared" si="211"/>
        <v>0</v>
      </c>
      <c r="Y437" s="396"/>
      <c r="Z437" s="346" t="str">
        <f t="shared" si="219"/>
        <v>0-COLPUA</v>
      </c>
      <c r="AA437" s="346" t="str">
        <f t="shared" si="220"/>
        <v>0-COLPUE</v>
      </c>
      <c r="AB437" s="346" t="str">
        <f t="shared" si="221"/>
        <v>0-COLPUM</v>
      </c>
      <c r="AC437" s="346" t="str">
        <f t="shared" si="222"/>
        <v>0-COLPUT</v>
      </c>
      <c r="AD437" s="346" t="str">
        <f t="shared" si="223"/>
        <v>0-COLPUS</v>
      </c>
      <c r="AE437" s="346" t="str">
        <f t="shared" si="224"/>
        <v>0-COLPUX</v>
      </c>
      <c r="AF437" s="346" t="str">
        <f t="shared" si="225"/>
        <v>0-COLPUA</v>
      </c>
      <c r="AG437" s="346">
        <f t="shared" si="212"/>
        <v>4</v>
      </c>
      <c r="AH437" s="346">
        <f>IF(B437&lt;&gt;"",+IF(H437="x",+VLOOKUP(I437,'AUX-NIV2'!B:AG,32,FALSE),0),"")</f>
        <v>0</v>
      </c>
      <c r="AI437" s="346" t="str">
        <f t="shared" si="226"/>
        <v>0-COLPU</v>
      </c>
      <c r="AK437" s="347">
        <f t="shared" si="213"/>
        <v>436</v>
      </c>
      <c r="AL437" s="348">
        <f t="shared" si="227"/>
        <v>439</v>
      </c>
      <c r="AM437" s="347">
        <f t="shared" si="228"/>
        <v>2</v>
      </c>
      <c r="AN437" s="382">
        <f>IF(AND(AH437&gt;0,B437&lt;&gt;""),VLOOKUP(I437,'AUX-NIV2'!$B:$AP,40,FALSE)*O437,0)</f>
        <v>0</v>
      </c>
      <c r="AO437" s="382">
        <f t="shared" si="214"/>
        <v>6.25</v>
      </c>
      <c r="AQ437" s="395">
        <f>(IF($H437="x",VLOOKUP($I437,'AUX-NIV2'!$B:$X,'AUX-NIV1'!AQ$3,FALSE),0)+($AV437*'AUX-NIV3'!S$4))*$O437+IF($H437=AQ$4,$P437,0)</f>
        <v>1320.2513365521011</v>
      </c>
      <c r="AR437" s="395">
        <f>(IF($H437="x",VLOOKUP($I437,'AUX-NIV2'!$B:$X,'AUX-NIV1'!AR$3,FALSE),0)+($AV437*'AUX-NIV3'!T$4))*$O437+IF($H437=AR$4,$P437,0)</f>
        <v>0</v>
      </c>
      <c r="AS437" s="395">
        <f>(IF($H437="x",VLOOKUP($I437,'AUX-NIV2'!$B:$X,'AUX-NIV1'!AS$3,FALSE),0)+($AV437*'AUX-NIV3'!U$4))*$O437+IF($H437=AS$4,$P437,0)</f>
        <v>0</v>
      </c>
      <c r="AT437" s="395">
        <f>(IF($H437="x",VLOOKUP($I437,'AUX-NIV2'!$B:$X,'AUX-NIV1'!AT$3,FALSE),0)+($AV437*'AUX-NIV3'!V$4))*$O437+IF($H437=AT$4,$P437,0)</f>
        <v>0</v>
      </c>
      <c r="AU437" s="395">
        <f>(IF($H437="x",VLOOKUP($I437,'AUX-NIV2'!$B:$X,'AUX-NIV1'!AU$3,FALSE),0)+($AV437*'AUX-NIV3'!W$4))*$O437+IF($H437=AU$4,$P437,0)</f>
        <v>0</v>
      </c>
      <c r="AV437" s="395">
        <f>+IF($H437="x",VLOOKUP($I437,'AUX-NIV2'!$B:$X,'AUX-NIV1'!AV$3,FALSE),0)</f>
        <v>0</v>
      </c>
    </row>
    <row r="438" spans="2:48" ht="13.8" hidden="1" thickTop="1">
      <c r="B438" s="501" t="s">
        <v>3476</v>
      </c>
      <c r="C438" s="950" t="s">
        <v>3477</v>
      </c>
      <c r="D438" s="326" t="s">
        <v>610</v>
      </c>
      <c r="E438" s="349">
        <f>IF(B438&lt;&gt;"",+SUMIF(Items!C:C,'AUX-NIV1'!B438,Items!H:H),"")</f>
        <v>0</v>
      </c>
      <c r="F438" s="349">
        <f t="shared" si="204"/>
        <v>27890.113694029471</v>
      </c>
      <c r="G438" s="349">
        <f t="shared" si="205"/>
        <v>0</v>
      </c>
      <c r="H438" s="1395" t="str">
        <f t="shared" si="215"/>
        <v>A</v>
      </c>
      <c r="I438" s="1375" t="s">
        <v>1746</v>
      </c>
      <c r="J438" s="350" t="str">
        <f>IF(B438&lt;&gt;"",+VLOOKUP(I438,Recursos!C:F,2,FALSE),"")</f>
        <v>OFICIAL</v>
      </c>
      <c r="K438" s="351" t="str">
        <f>IF(B438&lt;&gt;"",+VLOOKUP(I438,Recursos!C:F,3,FALSE),"")</f>
        <v>hh</v>
      </c>
      <c r="L438" s="436">
        <f>IF(B438&lt;&gt;"",+VLOOKUP(I438,Recursos!C:F,4,FALSE),"")</f>
        <v>496.91595439275824</v>
      </c>
      <c r="M438" s="550">
        <v>1</v>
      </c>
      <c r="N438" s="1087">
        <v>0.4</v>
      </c>
      <c r="O438" s="439">
        <f>+M438*N437/N438</f>
        <v>3.125</v>
      </c>
      <c r="P438" s="440">
        <f t="shared" si="216"/>
        <v>1552.8623574773694</v>
      </c>
      <c r="Q438" s="349">
        <f t="shared" si="217"/>
        <v>0</v>
      </c>
      <c r="R438" s="353">
        <f t="shared" si="218"/>
        <v>0</v>
      </c>
      <c r="S438" s="354">
        <f t="shared" si="206"/>
        <v>2873.1136940294705</v>
      </c>
      <c r="T438" s="354">
        <f t="shared" si="207"/>
        <v>0</v>
      </c>
      <c r="U438" s="355">
        <f t="shared" si="208"/>
        <v>25017</v>
      </c>
      <c r="V438" s="355">
        <f t="shared" si="209"/>
        <v>0</v>
      </c>
      <c r="W438" s="355">
        <f t="shared" si="210"/>
        <v>0</v>
      </c>
      <c r="X438" s="355">
        <f t="shared" si="211"/>
        <v>0</v>
      </c>
      <c r="Y438" s="396"/>
      <c r="Z438" s="346" t="str">
        <f t="shared" si="219"/>
        <v>0-COLPUA</v>
      </c>
      <c r="AA438" s="346" t="str">
        <f t="shared" si="220"/>
        <v>0-COLPUE</v>
      </c>
      <c r="AB438" s="346" t="str">
        <f t="shared" si="221"/>
        <v>0-COLPUM</v>
      </c>
      <c r="AC438" s="346" t="str">
        <f t="shared" si="222"/>
        <v>0-COLPUT</v>
      </c>
      <c r="AD438" s="346" t="str">
        <f t="shared" si="223"/>
        <v>0-COLPUS</v>
      </c>
      <c r="AE438" s="346" t="str">
        <f t="shared" si="224"/>
        <v>0-COLPUX</v>
      </c>
      <c r="AF438" s="346" t="str">
        <f t="shared" si="225"/>
        <v>0-COLPUA</v>
      </c>
      <c r="AG438" s="346">
        <f t="shared" si="212"/>
        <v>4</v>
      </c>
      <c r="AH438" s="346">
        <f>IF(B438&lt;&gt;"",+IF(H438="x",+VLOOKUP(I438,'AUX-NIV2'!B:AG,32,FALSE),0),"")</f>
        <v>0</v>
      </c>
      <c r="AI438" s="346" t="str">
        <f t="shared" si="226"/>
        <v>0-COLPU</v>
      </c>
      <c r="AK438" s="347">
        <f t="shared" si="213"/>
        <v>436</v>
      </c>
      <c r="AL438" s="348">
        <f t="shared" si="227"/>
        <v>439</v>
      </c>
      <c r="AM438" s="347">
        <f t="shared" si="228"/>
        <v>3</v>
      </c>
      <c r="AN438" s="382">
        <f>IF(AND(AH438&gt;0,B438&lt;&gt;""),VLOOKUP(I438,'AUX-NIV2'!$B:$AP,40,FALSE)*O438,0)</f>
        <v>0</v>
      </c>
      <c r="AO438" s="382">
        <f t="shared" si="214"/>
        <v>6.25</v>
      </c>
      <c r="AQ438" s="395">
        <f>(IF($H438="x",VLOOKUP($I438,'AUX-NIV2'!$B:$X,'AUX-NIV1'!AQ$3,FALSE),0)+($AV438*'AUX-NIV3'!S$4))*$O438+IF($H438=AQ$4,$P438,0)</f>
        <v>1552.8623574773694</v>
      </c>
      <c r="AR438" s="395">
        <f>(IF($H438="x",VLOOKUP($I438,'AUX-NIV2'!$B:$X,'AUX-NIV1'!AR$3,FALSE),0)+($AV438*'AUX-NIV3'!T$4))*$O438+IF($H438=AR$4,$P438,0)</f>
        <v>0</v>
      </c>
      <c r="AS438" s="395">
        <f>(IF($H438="x",VLOOKUP($I438,'AUX-NIV2'!$B:$X,'AUX-NIV1'!AS$3,FALSE),0)+($AV438*'AUX-NIV3'!U$4))*$O438+IF($H438=AS$4,$P438,0)</f>
        <v>0</v>
      </c>
      <c r="AT438" s="395">
        <f>(IF($H438="x",VLOOKUP($I438,'AUX-NIV2'!$B:$X,'AUX-NIV1'!AT$3,FALSE),0)+($AV438*'AUX-NIV3'!V$4))*$O438+IF($H438=AT$4,$P438,0)</f>
        <v>0</v>
      </c>
      <c r="AU438" s="395">
        <f>(IF($H438="x",VLOOKUP($I438,'AUX-NIV2'!$B:$X,'AUX-NIV1'!AU$3,FALSE),0)+($AV438*'AUX-NIV3'!W$4))*$O438+IF($H438=AU$4,$P438,0)</f>
        <v>0</v>
      </c>
      <c r="AV438" s="395">
        <f>+IF($H438="x",VLOOKUP($I438,'AUX-NIV2'!$B:$X,'AUX-NIV1'!AV$3,FALSE),0)</f>
        <v>0</v>
      </c>
    </row>
    <row r="439" spans="2:48" ht="14.4" hidden="1" thickTop="1" thickBot="1">
      <c r="B439" s="501" t="s">
        <v>3476</v>
      </c>
      <c r="C439" s="950" t="s">
        <v>3477</v>
      </c>
      <c r="D439" s="326" t="s">
        <v>610</v>
      </c>
      <c r="E439" s="349">
        <f>IF(B439&lt;&gt;"",+SUMIF(Items!C:C,'AUX-NIV1'!B439,Items!H:H),"")</f>
        <v>0</v>
      </c>
      <c r="F439" s="349">
        <f t="shared" si="204"/>
        <v>27890.113694029471</v>
      </c>
      <c r="G439" s="349">
        <f t="shared" si="205"/>
        <v>0</v>
      </c>
      <c r="H439" s="1395" t="str">
        <f t="shared" si="215"/>
        <v>M</v>
      </c>
      <c r="I439" s="1375" t="s">
        <v>3470</v>
      </c>
      <c r="J439" s="350" t="str">
        <f>IF(B439&lt;&gt;"",+VLOOKUP(I439,Recursos!C:F,2,FALSE),"")</f>
        <v>PUERTA METALICA EXTERIOR</v>
      </c>
      <c r="K439" s="351" t="str">
        <f>IF(B439&lt;&gt;"",+VLOOKUP(I439,Recursos!C:F,3,FALSE),"")</f>
        <v>Un</v>
      </c>
      <c r="L439" s="436">
        <f>IF(B439&lt;&gt;"",+VLOOKUP(I439,Recursos!C:F,4,FALSE),"")</f>
        <v>25000</v>
      </c>
      <c r="M439" s="1080">
        <v>1</v>
      </c>
      <c r="N439" s="1086"/>
      <c r="O439" s="439">
        <f t="shared" ref="O439" si="244">+M439</f>
        <v>1</v>
      </c>
      <c r="P439" s="440">
        <f t="shared" si="216"/>
        <v>25000</v>
      </c>
      <c r="Q439" s="349">
        <f t="shared" si="217"/>
        <v>0</v>
      </c>
      <c r="R439" s="353">
        <f t="shared" si="218"/>
        <v>0</v>
      </c>
      <c r="S439" s="354">
        <f t="shared" si="206"/>
        <v>2873.1136940294705</v>
      </c>
      <c r="T439" s="354">
        <f t="shared" si="207"/>
        <v>0</v>
      </c>
      <c r="U439" s="355">
        <f t="shared" si="208"/>
        <v>25017</v>
      </c>
      <c r="V439" s="355">
        <f t="shared" si="209"/>
        <v>0</v>
      </c>
      <c r="W439" s="355">
        <f t="shared" si="210"/>
        <v>0</v>
      </c>
      <c r="X439" s="355">
        <f t="shared" si="211"/>
        <v>0</v>
      </c>
      <c r="Y439" s="396"/>
      <c r="Z439" s="346" t="str">
        <f t="shared" si="219"/>
        <v>0-COLPUA</v>
      </c>
      <c r="AA439" s="346" t="str">
        <f t="shared" si="220"/>
        <v>0-COLPUE</v>
      </c>
      <c r="AB439" s="346" t="str">
        <f t="shared" si="221"/>
        <v>0-COLPUM</v>
      </c>
      <c r="AC439" s="346" t="str">
        <f t="shared" si="222"/>
        <v>0-COLPUT</v>
      </c>
      <c r="AD439" s="346" t="str">
        <f t="shared" si="223"/>
        <v>0-COLPUS</v>
      </c>
      <c r="AE439" s="346" t="str">
        <f t="shared" si="224"/>
        <v>0-COLPUX</v>
      </c>
      <c r="AF439" s="346" t="str">
        <f t="shared" si="225"/>
        <v>0-COLPUM</v>
      </c>
      <c r="AG439" s="346">
        <f t="shared" si="212"/>
        <v>4</v>
      </c>
      <c r="AH439" s="346">
        <f>IF(B439&lt;&gt;"",+IF(H439="x",+VLOOKUP(I439,'AUX-NIV2'!B:AG,32,FALSE),0),"")</f>
        <v>0</v>
      </c>
      <c r="AI439" s="346" t="str">
        <f t="shared" si="226"/>
        <v>0-COLPU</v>
      </c>
      <c r="AK439" s="347">
        <f t="shared" si="213"/>
        <v>436</v>
      </c>
      <c r="AL439" s="348">
        <f t="shared" si="227"/>
        <v>439</v>
      </c>
      <c r="AM439" s="347">
        <f t="shared" si="228"/>
        <v>4</v>
      </c>
      <c r="AN439" s="382">
        <f>IF(AND(AH439&gt;0,B439&lt;&gt;""),VLOOKUP(I439,'AUX-NIV2'!$B:$AP,40,FALSE)*O439,0)</f>
        <v>0</v>
      </c>
      <c r="AO439" s="382">
        <f t="shared" si="214"/>
        <v>6.25</v>
      </c>
      <c r="AQ439" s="395">
        <f>(IF($H439="x",VLOOKUP($I439,'AUX-NIV2'!$B:$X,'AUX-NIV1'!AQ$3,FALSE),0)+($AV439*'AUX-NIV3'!S$4))*$O439+IF($H439=AQ$4,$P439,0)</f>
        <v>0</v>
      </c>
      <c r="AR439" s="395">
        <f>(IF($H439="x",VLOOKUP($I439,'AUX-NIV2'!$B:$X,'AUX-NIV1'!AR$3,FALSE),0)+($AV439*'AUX-NIV3'!T$4))*$O439+IF($H439=AR$4,$P439,0)</f>
        <v>0</v>
      </c>
      <c r="AS439" s="395">
        <f>(IF($H439="x",VLOOKUP($I439,'AUX-NIV2'!$B:$X,'AUX-NIV1'!AS$3,FALSE),0)+($AV439*'AUX-NIV3'!U$4))*$O439+IF($H439=AS$4,$P439,0)</f>
        <v>25000</v>
      </c>
      <c r="AT439" s="395">
        <f>(IF($H439="x",VLOOKUP($I439,'AUX-NIV2'!$B:$X,'AUX-NIV1'!AT$3,FALSE),0)+($AV439*'AUX-NIV3'!V$4))*$O439+IF($H439=AT$4,$P439,0)</f>
        <v>0</v>
      </c>
      <c r="AU439" s="395">
        <f>(IF($H439="x",VLOOKUP($I439,'AUX-NIV2'!$B:$X,'AUX-NIV1'!AU$3,FALSE),0)+($AV439*'AUX-NIV3'!W$4))*$O439+IF($H439=AU$4,$P439,0)</f>
        <v>0</v>
      </c>
      <c r="AV439" s="395">
        <f>+IF($H439="x",VLOOKUP($I439,'AUX-NIV2'!$B:$X,'AUX-NIV1'!AV$3,FALSE),0)</f>
        <v>0</v>
      </c>
    </row>
    <row r="440" spans="2:48" ht="13.8" hidden="1" thickTop="1">
      <c r="B440" s="501" t="s">
        <v>3478</v>
      </c>
      <c r="C440" s="950" t="s">
        <v>3493</v>
      </c>
      <c r="D440" s="326" t="s">
        <v>610</v>
      </c>
      <c r="E440" s="349">
        <f>IF(B440&lt;&gt;"",+SUMIF(Items!C:C,'AUX-NIV1'!B440,Items!H:H),"")</f>
        <v>0</v>
      </c>
      <c r="F440" s="349">
        <f t="shared" si="204"/>
        <v>20010.613694029471</v>
      </c>
      <c r="G440" s="349">
        <f t="shared" si="205"/>
        <v>0</v>
      </c>
      <c r="H440" s="1395" t="str">
        <f t="shared" si="215"/>
        <v>A</v>
      </c>
      <c r="I440" s="1375" t="s">
        <v>1745</v>
      </c>
      <c r="J440" s="350" t="str">
        <f>IF(B440&lt;&gt;"",+VLOOKUP(I440,Recursos!C:F,2,FALSE),"")</f>
        <v>AYUDANTE</v>
      </c>
      <c r="K440" s="351" t="str">
        <f>IF(B440&lt;&gt;"",+VLOOKUP(I440,Recursos!C:F,3,FALSE),"")</f>
        <v>hh</v>
      </c>
      <c r="L440" s="436">
        <f>IF(B440&lt;&gt;"",+VLOOKUP(I440,Recursos!C:F,4,FALSE),"")</f>
        <v>422.48042769667234</v>
      </c>
      <c r="M440" s="1083">
        <v>1</v>
      </c>
      <c r="N440" s="1089">
        <v>1.25</v>
      </c>
      <c r="O440" s="439">
        <f>+M440*N440/N441</f>
        <v>3.125</v>
      </c>
      <c r="P440" s="440">
        <f t="shared" si="216"/>
        <v>1320.2513365521011</v>
      </c>
      <c r="Q440" s="349">
        <f t="shared" si="217"/>
        <v>0</v>
      </c>
      <c r="R440" s="353">
        <f t="shared" si="218"/>
        <v>0</v>
      </c>
      <c r="S440" s="354">
        <f t="shared" si="206"/>
        <v>2873.1136940294705</v>
      </c>
      <c r="T440" s="354">
        <f t="shared" si="207"/>
        <v>0</v>
      </c>
      <c r="U440" s="355">
        <f t="shared" si="208"/>
        <v>17137.5</v>
      </c>
      <c r="V440" s="355">
        <f t="shared" si="209"/>
        <v>0</v>
      </c>
      <c r="W440" s="355">
        <f t="shared" si="210"/>
        <v>0</v>
      </c>
      <c r="X440" s="355">
        <f t="shared" si="211"/>
        <v>0</v>
      </c>
      <c r="Y440" s="396"/>
      <c r="Z440" s="346" t="str">
        <f t="shared" si="219"/>
        <v>0-COLVEA</v>
      </c>
      <c r="AA440" s="346" t="str">
        <f t="shared" si="220"/>
        <v>0-COLVEE</v>
      </c>
      <c r="AB440" s="346" t="str">
        <f t="shared" si="221"/>
        <v>0-COLVEM</v>
      </c>
      <c r="AC440" s="346" t="str">
        <f t="shared" si="222"/>
        <v>0-COLVET</v>
      </c>
      <c r="AD440" s="346" t="str">
        <f t="shared" si="223"/>
        <v>0-COLVES</v>
      </c>
      <c r="AE440" s="346" t="str">
        <f t="shared" si="224"/>
        <v>0-COLVEX</v>
      </c>
      <c r="AF440" s="346" t="str">
        <f t="shared" si="225"/>
        <v>0-COLVEA</v>
      </c>
      <c r="AG440" s="346">
        <f t="shared" si="212"/>
        <v>4</v>
      </c>
      <c r="AH440" s="346">
        <f>IF(B440&lt;&gt;"",+IF(H440="x",+VLOOKUP(I440,'AUX-NIV2'!B:AG,32,FALSE),0),"")</f>
        <v>0</v>
      </c>
      <c r="AI440" s="346" t="str">
        <f t="shared" si="226"/>
        <v>0-COLVE</v>
      </c>
      <c r="AK440" s="347">
        <f t="shared" si="213"/>
        <v>440</v>
      </c>
      <c r="AL440" s="348">
        <f t="shared" si="227"/>
        <v>443</v>
      </c>
      <c r="AM440" s="347">
        <f t="shared" si="228"/>
        <v>1</v>
      </c>
      <c r="AN440" s="382">
        <f>IF(AND(AH440&gt;0,B440&lt;&gt;""),VLOOKUP(I440,'AUX-NIV2'!$B:$AP,40,FALSE)*O440,0)</f>
        <v>0</v>
      </c>
      <c r="AO440" s="382">
        <f t="shared" si="214"/>
        <v>6.25</v>
      </c>
      <c r="AQ440" s="395">
        <f>(IF($H440="x",VLOOKUP($I440,'AUX-NIV2'!$B:$X,'AUX-NIV1'!AQ$3,FALSE),0)+($AV440*'AUX-NIV3'!S$4))*$O440+IF($H440=AQ$4,$P440,0)</f>
        <v>1320.2513365521011</v>
      </c>
      <c r="AR440" s="395">
        <f>(IF($H440="x",VLOOKUP($I440,'AUX-NIV2'!$B:$X,'AUX-NIV1'!AR$3,FALSE),0)+($AV440*'AUX-NIV3'!T$4))*$O440+IF($H440=AR$4,$P440,0)</f>
        <v>0</v>
      </c>
      <c r="AS440" s="395">
        <f>(IF($H440="x",VLOOKUP($I440,'AUX-NIV2'!$B:$X,'AUX-NIV1'!AS$3,FALSE),0)+($AV440*'AUX-NIV3'!U$4))*$O440+IF($H440=AS$4,$P440,0)</f>
        <v>0</v>
      </c>
      <c r="AT440" s="395">
        <f>(IF($H440="x",VLOOKUP($I440,'AUX-NIV2'!$B:$X,'AUX-NIV1'!AT$3,FALSE),0)+($AV440*'AUX-NIV3'!V$4))*$O440+IF($H440=AT$4,$P440,0)</f>
        <v>0</v>
      </c>
      <c r="AU440" s="395">
        <f>(IF($H440="x",VLOOKUP($I440,'AUX-NIV2'!$B:$X,'AUX-NIV1'!AU$3,FALSE),0)+($AV440*'AUX-NIV3'!W$4))*$O440+IF($H440=AU$4,$P440,0)</f>
        <v>0</v>
      </c>
      <c r="AV440" s="395">
        <f>+IF($H440="x",VLOOKUP($I440,'AUX-NIV2'!$B:$X,'AUX-NIV1'!AV$3,FALSE),0)</f>
        <v>0</v>
      </c>
    </row>
    <row r="441" spans="2:48" ht="13.8" hidden="1" thickTop="1">
      <c r="B441" s="501" t="s">
        <v>3478</v>
      </c>
      <c r="C441" s="950" t="s">
        <v>3493</v>
      </c>
      <c r="D441" s="326" t="s">
        <v>610</v>
      </c>
      <c r="E441" s="349">
        <f>IF(B441&lt;&gt;"",+SUMIF(Items!C:C,'AUX-NIV1'!B441,Items!H:H),"")</f>
        <v>0</v>
      </c>
      <c r="F441" s="349">
        <f t="shared" si="204"/>
        <v>20010.613694029471</v>
      </c>
      <c r="G441" s="349">
        <f t="shared" si="205"/>
        <v>0</v>
      </c>
      <c r="H441" s="1395" t="str">
        <f t="shared" si="215"/>
        <v>A</v>
      </c>
      <c r="I441" s="1375" t="s">
        <v>1746</v>
      </c>
      <c r="J441" s="350" t="str">
        <f>IF(B441&lt;&gt;"",+VLOOKUP(I441,Recursos!C:F,2,FALSE),"")</f>
        <v>OFICIAL</v>
      </c>
      <c r="K441" s="351" t="str">
        <f>IF(B441&lt;&gt;"",+VLOOKUP(I441,Recursos!C:F,3,FALSE),"")</f>
        <v>hh</v>
      </c>
      <c r="L441" s="436">
        <f>IF(B441&lt;&gt;"",+VLOOKUP(I441,Recursos!C:F,4,FALSE),"")</f>
        <v>496.91595439275824</v>
      </c>
      <c r="M441" s="550">
        <v>1</v>
      </c>
      <c r="N441" s="1087">
        <v>0.4</v>
      </c>
      <c r="O441" s="439">
        <f>+M441*N440/N441</f>
        <v>3.125</v>
      </c>
      <c r="P441" s="440">
        <f t="shared" si="216"/>
        <v>1552.8623574773694</v>
      </c>
      <c r="Q441" s="349">
        <f t="shared" si="217"/>
        <v>0</v>
      </c>
      <c r="R441" s="353">
        <f t="shared" si="218"/>
        <v>0</v>
      </c>
      <c r="S441" s="354">
        <f t="shared" si="206"/>
        <v>2873.1136940294705</v>
      </c>
      <c r="T441" s="354">
        <f t="shared" si="207"/>
        <v>0</v>
      </c>
      <c r="U441" s="355">
        <f t="shared" si="208"/>
        <v>17137.5</v>
      </c>
      <c r="V441" s="355">
        <f t="shared" si="209"/>
        <v>0</v>
      </c>
      <c r="W441" s="355">
        <f t="shared" si="210"/>
        <v>0</v>
      </c>
      <c r="X441" s="355">
        <f t="shared" si="211"/>
        <v>0</v>
      </c>
      <c r="Y441" s="396"/>
      <c r="Z441" s="346" t="str">
        <f t="shared" si="219"/>
        <v>0-COLVEA</v>
      </c>
      <c r="AA441" s="346" t="str">
        <f t="shared" si="220"/>
        <v>0-COLVEE</v>
      </c>
      <c r="AB441" s="346" t="str">
        <f t="shared" si="221"/>
        <v>0-COLVEM</v>
      </c>
      <c r="AC441" s="346" t="str">
        <f t="shared" si="222"/>
        <v>0-COLVET</v>
      </c>
      <c r="AD441" s="346" t="str">
        <f t="shared" si="223"/>
        <v>0-COLVES</v>
      </c>
      <c r="AE441" s="346" t="str">
        <f t="shared" si="224"/>
        <v>0-COLVEX</v>
      </c>
      <c r="AF441" s="346" t="str">
        <f t="shared" si="225"/>
        <v>0-COLVEA</v>
      </c>
      <c r="AG441" s="346">
        <f t="shared" si="212"/>
        <v>4</v>
      </c>
      <c r="AH441" s="346">
        <f>IF(B441&lt;&gt;"",+IF(H441="x",+VLOOKUP(I441,'AUX-NIV2'!B:AG,32,FALSE),0),"")</f>
        <v>0</v>
      </c>
      <c r="AI441" s="346" t="str">
        <f t="shared" si="226"/>
        <v>0-COLVE</v>
      </c>
      <c r="AK441" s="347">
        <f t="shared" si="213"/>
        <v>440</v>
      </c>
      <c r="AL441" s="348">
        <f t="shared" si="227"/>
        <v>443</v>
      </c>
      <c r="AM441" s="347">
        <f t="shared" si="228"/>
        <v>2</v>
      </c>
      <c r="AN441" s="382">
        <f>IF(AND(AH441&gt;0,B441&lt;&gt;""),VLOOKUP(I441,'AUX-NIV2'!$B:$AP,40,FALSE)*O441,0)</f>
        <v>0</v>
      </c>
      <c r="AO441" s="382">
        <f t="shared" si="214"/>
        <v>6.25</v>
      </c>
      <c r="AQ441" s="395">
        <f>(IF($H441="x",VLOOKUP($I441,'AUX-NIV2'!$B:$X,'AUX-NIV1'!AQ$3,FALSE),0)+($AV441*'AUX-NIV3'!S$4))*$O441+IF($H441=AQ$4,$P441,0)</f>
        <v>1552.8623574773694</v>
      </c>
      <c r="AR441" s="395">
        <f>(IF($H441="x",VLOOKUP($I441,'AUX-NIV2'!$B:$X,'AUX-NIV1'!AR$3,FALSE),0)+($AV441*'AUX-NIV3'!T$4))*$O441+IF($H441=AR$4,$P441,0)</f>
        <v>0</v>
      </c>
      <c r="AS441" s="395">
        <f>(IF($H441="x",VLOOKUP($I441,'AUX-NIV2'!$B:$X,'AUX-NIV1'!AS$3,FALSE),0)+($AV441*'AUX-NIV3'!U$4))*$O441+IF($H441=AS$4,$P441,0)</f>
        <v>0</v>
      </c>
      <c r="AT441" s="395">
        <f>(IF($H441="x",VLOOKUP($I441,'AUX-NIV2'!$B:$X,'AUX-NIV1'!AT$3,FALSE),0)+($AV441*'AUX-NIV3'!V$4))*$O441+IF($H441=AT$4,$P441,0)</f>
        <v>0</v>
      </c>
      <c r="AU441" s="395">
        <f>(IF($H441="x",VLOOKUP($I441,'AUX-NIV2'!$B:$X,'AUX-NIV1'!AU$3,FALSE),0)+($AV441*'AUX-NIV3'!W$4))*$O441+IF($H441=AU$4,$P441,0)</f>
        <v>0</v>
      </c>
      <c r="AV441" s="395">
        <f>+IF($H441="x",VLOOKUP($I441,'AUX-NIV2'!$B:$X,'AUX-NIV1'!AV$3,FALSE),0)</f>
        <v>0</v>
      </c>
    </row>
    <row r="442" spans="2:48" ht="13.8" hidden="1" thickTop="1">
      <c r="B442" s="501" t="s">
        <v>3478</v>
      </c>
      <c r="C442" s="950" t="s">
        <v>3493</v>
      </c>
      <c r="D442" s="326" t="s">
        <v>610</v>
      </c>
      <c r="E442" s="349">
        <f>IF(B442&lt;&gt;"",+SUMIF(Items!C:C,'AUX-NIV1'!B442,Items!H:H),"")</f>
        <v>0</v>
      </c>
      <c r="F442" s="349">
        <f t="shared" si="204"/>
        <v>20010.613694029471</v>
      </c>
      <c r="G442" s="349">
        <f t="shared" si="205"/>
        <v>0</v>
      </c>
      <c r="H442" s="1395" t="str">
        <f t="shared" si="215"/>
        <v>M</v>
      </c>
      <c r="I442" s="1375" t="s">
        <v>3494</v>
      </c>
      <c r="J442" s="350" t="str">
        <f>IF(B442&lt;&gt;"",+VLOOKUP(I442,Recursos!C:F,2,FALSE),"")</f>
        <v>VIDRIO DE 4mm</v>
      </c>
      <c r="K442" s="351" t="str">
        <f>IF(B442&lt;&gt;"",+VLOOKUP(I442,Recursos!C:F,3,FALSE),"")</f>
        <v>m2</v>
      </c>
      <c r="L442" s="436">
        <f>IF(B442&lt;&gt;"",+VLOOKUP(I442,Recursos!C:F,4,FALSE),"")</f>
        <v>950</v>
      </c>
      <c r="M442" s="550">
        <v>1.5</v>
      </c>
      <c r="N442" s="1087"/>
      <c r="O442" s="439">
        <f>M442*M442</f>
        <v>2.25</v>
      </c>
      <c r="P442" s="440">
        <f t="shared" si="216"/>
        <v>2137.5</v>
      </c>
      <c r="Q442" s="349">
        <f t="shared" si="217"/>
        <v>0</v>
      </c>
      <c r="R442" s="353">
        <f t="shared" si="218"/>
        <v>0</v>
      </c>
      <c r="S442" s="354">
        <f t="shared" si="206"/>
        <v>2873.1136940294705</v>
      </c>
      <c r="T442" s="354">
        <f t="shared" si="207"/>
        <v>0</v>
      </c>
      <c r="U442" s="355">
        <f t="shared" si="208"/>
        <v>17137.5</v>
      </c>
      <c r="V442" s="355">
        <f t="shared" si="209"/>
        <v>0</v>
      </c>
      <c r="W442" s="355">
        <f t="shared" si="210"/>
        <v>0</v>
      </c>
      <c r="X442" s="355">
        <f t="shared" si="211"/>
        <v>0</v>
      </c>
      <c r="Y442" s="396"/>
      <c r="Z442" s="346" t="str">
        <f t="shared" si="219"/>
        <v>0-COLVEA</v>
      </c>
      <c r="AA442" s="346" t="str">
        <f t="shared" si="220"/>
        <v>0-COLVEE</v>
      </c>
      <c r="AB442" s="346" t="str">
        <f t="shared" si="221"/>
        <v>0-COLVEM</v>
      </c>
      <c r="AC442" s="346" t="str">
        <f t="shared" si="222"/>
        <v>0-COLVET</v>
      </c>
      <c r="AD442" s="346" t="str">
        <f t="shared" si="223"/>
        <v>0-COLVES</v>
      </c>
      <c r="AE442" s="346" t="str">
        <f t="shared" si="224"/>
        <v>0-COLVEX</v>
      </c>
      <c r="AF442" s="346" t="str">
        <f t="shared" si="225"/>
        <v>0-COLVEM</v>
      </c>
      <c r="AG442" s="346">
        <f t="shared" si="212"/>
        <v>4</v>
      </c>
      <c r="AH442" s="346">
        <f>IF(B442&lt;&gt;"",+IF(H442="x",+VLOOKUP(I442,'AUX-NIV2'!B:AG,32,FALSE),0),"")</f>
        <v>0</v>
      </c>
      <c r="AI442" s="346" t="str">
        <f t="shared" si="226"/>
        <v>0-COLVE</v>
      </c>
      <c r="AK442" s="347">
        <f t="shared" si="213"/>
        <v>440</v>
      </c>
      <c r="AL442" s="348">
        <f t="shared" si="227"/>
        <v>443</v>
      </c>
      <c r="AM442" s="347">
        <f t="shared" si="228"/>
        <v>3</v>
      </c>
      <c r="AN442" s="382">
        <f>IF(AND(AH442&gt;0,B442&lt;&gt;""),VLOOKUP(I442,'AUX-NIV2'!$B:$AP,40,FALSE)*O442,0)</f>
        <v>0</v>
      </c>
      <c r="AO442" s="382">
        <f t="shared" si="214"/>
        <v>6.25</v>
      </c>
      <c r="AQ442" s="395">
        <f>(IF($H442="x",VLOOKUP($I442,'AUX-NIV2'!$B:$X,'AUX-NIV1'!AQ$3,FALSE),0)+($AV442*'AUX-NIV3'!S$4))*$O442+IF($H442=AQ$4,$P442,0)</f>
        <v>0</v>
      </c>
      <c r="AR442" s="395">
        <f>(IF($H442="x",VLOOKUP($I442,'AUX-NIV2'!$B:$X,'AUX-NIV1'!AR$3,FALSE),0)+($AV442*'AUX-NIV3'!T$4))*$O442+IF($H442=AR$4,$P442,0)</f>
        <v>0</v>
      </c>
      <c r="AS442" s="395">
        <f>(IF($H442="x",VLOOKUP($I442,'AUX-NIV2'!$B:$X,'AUX-NIV1'!AS$3,FALSE),0)+($AV442*'AUX-NIV3'!U$4))*$O442+IF($H442=AS$4,$P442,0)</f>
        <v>2137.5</v>
      </c>
      <c r="AT442" s="395">
        <f>(IF($H442="x",VLOOKUP($I442,'AUX-NIV2'!$B:$X,'AUX-NIV1'!AT$3,FALSE),0)+($AV442*'AUX-NIV3'!V$4))*$O442+IF($H442=AT$4,$P442,0)</f>
        <v>0</v>
      </c>
      <c r="AU442" s="395">
        <f>(IF($H442="x",VLOOKUP($I442,'AUX-NIV2'!$B:$X,'AUX-NIV1'!AU$3,FALSE),0)+($AV442*'AUX-NIV3'!W$4))*$O442+IF($H442=AU$4,$P442,0)</f>
        <v>0</v>
      </c>
      <c r="AV442" s="395">
        <f>+IF($H442="x",VLOOKUP($I442,'AUX-NIV2'!$B:$X,'AUX-NIV1'!AV$3,FALSE),0)</f>
        <v>0</v>
      </c>
    </row>
    <row r="443" spans="2:48" ht="14.4" hidden="1" thickTop="1" thickBot="1">
      <c r="B443" s="501" t="s">
        <v>3478</v>
      </c>
      <c r="C443" s="950" t="s">
        <v>3493</v>
      </c>
      <c r="D443" s="326" t="s">
        <v>610</v>
      </c>
      <c r="E443" s="349">
        <f>IF(B443&lt;&gt;"",+SUMIF(Items!C:C,'AUX-NIV1'!B443,Items!H:H),"")</f>
        <v>0</v>
      </c>
      <c r="F443" s="349">
        <f t="shared" si="204"/>
        <v>20010.613694029471</v>
      </c>
      <c r="G443" s="349">
        <f t="shared" si="205"/>
        <v>0</v>
      </c>
      <c r="H443" s="1395" t="str">
        <f t="shared" si="215"/>
        <v>M</v>
      </c>
      <c r="I443" s="1375" t="s">
        <v>3479</v>
      </c>
      <c r="J443" s="350" t="str">
        <f>IF(B443&lt;&gt;"",+VLOOKUP(I443,Recursos!C:F,2,FALSE),"")</f>
        <v>VENTANA METALICA EXTERIOR 1,5x1,5</v>
      </c>
      <c r="K443" s="351" t="str">
        <f>IF(B443&lt;&gt;"",+VLOOKUP(I443,Recursos!C:F,3,FALSE),"")</f>
        <v>Un</v>
      </c>
      <c r="L443" s="436">
        <f>IF(B443&lt;&gt;"",+VLOOKUP(I443,Recursos!C:F,4,FALSE),"")</f>
        <v>15000</v>
      </c>
      <c r="M443" s="1080">
        <v>1</v>
      </c>
      <c r="N443" s="1086"/>
      <c r="O443" s="439">
        <f t="shared" ref="O443" si="245">+M443</f>
        <v>1</v>
      </c>
      <c r="P443" s="440">
        <f t="shared" si="216"/>
        <v>15000</v>
      </c>
      <c r="Q443" s="349">
        <f t="shared" si="217"/>
        <v>0</v>
      </c>
      <c r="R443" s="353">
        <f t="shared" si="218"/>
        <v>0</v>
      </c>
      <c r="S443" s="354">
        <f t="shared" si="206"/>
        <v>2873.1136940294705</v>
      </c>
      <c r="T443" s="354">
        <f t="shared" si="207"/>
        <v>0</v>
      </c>
      <c r="U443" s="355">
        <f t="shared" si="208"/>
        <v>17137.5</v>
      </c>
      <c r="V443" s="355">
        <f t="shared" si="209"/>
        <v>0</v>
      </c>
      <c r="W443" s="355">
        <f t="shared" si="210"/>
        <v>0</v>
      </c>
      <c r="X443" s="355">
        <f t="shared" si="211"/>
        <v>0</v>
      </c>
      <c r="Y443" s="396"/>
      <c r="Z443" s="346" t="str">
        <f t="shared" si="219"/>
        <v>0-COLVEA</v>
      </c>
      <c r="AA443" s="346" t="str">
        <f t="shared" si="220"/>
        <v>0-COLVEE</v>
      </c>
      <c r="AB443" s="346" t="str">
        <f t="shared" si="221"/>
        <v>0-COLVEM</v>
      </c>
      <c r="AC443" s="346" t="str">
        <f t="shared" si="222"/>
        <v>0-COLVET</v>
      </c>
      <c r="AD443" s="346" t="str">
        <f t="shared" si="223"/>
        <v>0-COLVES</v>
      </c>
      <c r="AE443" s="346" t="str">
        <f t="shared" si="224"/>
        <v>0-COLVEX</v>
      </c>
      <c r="AF443" s="346" t="str">
        <f t="shared" si="225"/>
        <v>0-COLVEM</v>
      </c>
      <c r="AG443" s="346">
        <f t="shared" si="212"/>
        <v>4</v>
      </c>
      <c r="AH443" s="346">
        <f>IF(B443&lt;&gt;"",+IF(H443="x",+VLOOKUP(I443,'AUX-NIV2'!B:AG,32,FALSE),0),"")</f>
        <v>0</v>
      </c>
      <c r="AI443" s="346" t="str">
        <f t="shared" si="226"/>
        <v>0-COLVE</v>
      </c>
      <c r="AK443" s="347">
        <f t="shared" si="213"/>
        <v>440</v>
      </c>
      <c r="AL443" s="348">
        <f t="shared" si="227"/>
        <v>443</v>
      </c>
      <c r="AM443" s="347">
        <f t="shared" si="228"/>
        <v>4</v>
      </c>
      <c r="AN443" s="382">
        <f>IF(AND(AH443&gt;0,B443&lt;&gt;""),VLOOKUP(I443,'AUX-NIV2'!$B:$AP,40,FALSE)*O443,0)</f>
        <v>0</v>
      </c>
      <c r="AO443" s="382">
        <f t="shared" si="214"/>
        <v>6.25</v>
      </c>
      <c r="AQ443" s="395">
        <f>(IF($H443="x",VLOOKUP($I443,'AUX-NIV2'!$B:$X,'AUX-NIV1'!AQ$3,FALSE),0)+($AV443*'AUX-NIV3'!S$4))*$O443+IF($H443=AQ$4,$P443,0)</f>
        <v>0</v>
      </c>
      <c r="AR443" s="395">
        <f>(IF($H443="x",VLOOKUP($I443,'AUX-NIV2'!$B:$X,'AUX-NIV1'!AR$3,FALSE),0)+($AV443*'AUX-NIV3'!T$4))*$O443+IF($H443=AR$4,$P443,0)</f>
        <v>0</v>
      </c>
      <c r="AS443" s="395">
        <f>(IF($H443="x",VLOOKUP($I443,'AUX-NIV2'!$B:$X,'AUX-NIV1'!AS$3,FALSE),0)+($AV443*'AUX-NIV3'!U$4))*$O443+IF($H443=AS$4,$P443,0)</f>
        <v>15000</v>
      </c>
      <c r="AT443" s="395">
        <f>(IF($H443="x",VLOOKUP($I443,'AUX-NIV2'!$B:$X,'AUX-NIV1'!AT$3,FALSE),0)+($AV443*'AUX-NIV3'!V$4))*$O443+IF($H443=AT$4,$P443,0)</f>
        <v>0</v>
      </c>
      <c r="AU443" s="395">
        <f>(IF($H443="x",VLOOKUP($I443,'AUX-NIV2'!$B:$X,'AUX-NIV1'!AU$3,FALSE),0)+($AV443*'AUX-NIV3'!W$4))*$O443+IF($H443=AU$4,$P443,0)</f>
        <v>0</v>
      </c>
      <c r="AV443" s="395">
        <f>+IF($H443="x",VLOOKUP($I443,'AUX-NIV2'!$B:$X,'AUX-NIV1'!AV$3,FALSE),0)</f>
        <v>0</v>
      </c>
    </row>
    <row r="444" spans="2:48" ht="13.8" hidden="1" thickTop="1">
      <c r="B444" s="501" t="s">
        <v>3481</v>
      </c>
      <c r="C444" s="950" t="s">
        <v>3482</v>
      </c>
      <c r="D444" s="326" t="s">
        <v>501</v>
      </c>
      <c r="E444" s="349">
        <f>IF(B444&lt;&gt;"",+SUMIF(Items!C:C,'AUX-NIV1'!B444,Items!H:H),"")</f>
        <v>0</v>
      </c>
      <c r="F444" s="862">
        <f t="shared" si="204"/>
        <v>2437.1509536140065</v>
      </c>
      <c r="G444" s="349">
        <f t="shared" si="205"/>
        <v>0</v>
      </c>
      <c r="H444" s="1395" t="str">
        <f t="shared" si="215"/>
        <v>X</v>
      </c>
      <c r="I444" s="1398" t="s">
        <v>3735</v>
      </c>
      <c r="J444" s="350" t="str">
        <f>IF(B444&lt;&gt;"",+VLOOKUP(I444,Recursos!C:F,2,FALSE),"")</f>
        <v>Mortero para ladrillos</v>
      </c>
      <c r="K444" s="351" t="str">
        <f>IF(B444&lt;&gt;"",+VLOOKUP(I444,Recursos!C:F,3,FALSE),"")</f>
        <v>m3</v>
      </c>
      <c r="L444" s="436">
        <f>IF(B444&lt;&gt;"",+VLOOKUP(I444,Recursos!C:F,4,FALSE),"")</f>
        <v>5858.095123966943</v>
      </c>
      <c r="M444" s="1022"/>
      <c r="N444" s="1023">
        <v>0.02</v>
      </c>
      <c r="O444" s="439">
        <f>N444</f>
        <v>0.02</v>
      </c>
      <c r="P444" s="440">
        <f t="shared" si="216"/>
        <v>117.16190247933886</v>
      </c>
      <c r="Q444" s="349">
        <f t="shared" si="217"/>
        <v>0</v>
      </c>
      <c r="R444" s="353">
        <f t="shared" si="218"/>
        <v>0</v>
      </c>
      <c r="S444" s="354">
        <f t="shared" si="206"/>
        <v>1073.5014478288824</v>
      </c>
      <c r="T444" s="354">
        <f t="shared" si="207"/>
        <v>0</v>
      </c>
      <c r="U444" s="355">
        <f t="shared" si="208"/>
        <v>1246.4876033057853</v>
      </c>
      <c r="V444" s="355">
        <f t="shared" si="209"/>
        <v>0</v>
      </c>
      <c r="W444" s="355">
        <f t="shared" si="210"/>
        <v>0</v>
      </c>
      <c r="X444" s="355">
        <f t="shared" si="211"/>
        <v>117.16190247933886</v>
      </c>
      <c r="Y444" s="396"/>
      <c r="Z444" s="346" t="str">
        <f t="shared" si="219"/>
        <v>0-PISINTA</v>
      </c>
      <c r="AA444" s="346" t="str">
        <f t="shared" si="220"/>
        <v>0-PISINTE</v>
      </c>
      <c r="AB444" s="346" t="str">
        <f t="shared" si="221"/>
        <v>0-PISINTM</v>
      </c>
      <c r="AC444" s="346" t="str">
        <f t="shared" si="222"/>
        <v>0-PISINTT</v>
      </c>
      <c r="AD444" s="346" t="str">
        <f t="shared" si="223"/>
        <v>0-PISINTS</v>
      </c>
      <c r="AE444" s="346" t="str">
        <f t="shared" si="224"/>
        <v>0-PISINTX</v>
      </c>
      <c r="AF444" s="346" t="str">
        <f t="shared" si="225"/>
        <v>0-PISINTX</v>
      </c>
      <c r="AG444" s="346">
        <f t="shared" si="212"/>
        <v>5</v>
      </c>
      <c r="AH444" s="346">
        <f>IF(B444&lt;&gt;"",+IF(H444="x",+VLOOKUP(I444,'AUX-NIV2'!B:AG,32,FALSE),0),"")</f>
        <v>3</v>
      </c>
      <c r="AI444" s="346" t="str">
        <f t="shared" si="226"/>
        <v>0-PISINT</v>
      </c>
      <c r="AK444" s="347">
        <f t="shared" si="213"/>
        <v>444</v>
      </c>
      <c r="AL444" s="348">
        <f t="shared" si="227"/>
        <v>448</v>
      </c>
      <c r="AM444" s="347">
        <f t="shared" si="228"/>
        <v>1</v>
      </c>
      <c r="AN444" s="382">
        <f>IF(AND(AH444&gt;0,B444&lt;&gt;""),VLOOKUP(I444,'AUX-NIV2'!$B:$AP,40,FALSE)*O444,0)</f>
        <v>0</v>
      </c>
      <c r="AO444" s="382">
        <f t="shared" si="214"/>
        <v>2.4000000000000004</v>
      </c>
      <c r="AQ444" s="395">
        <f>(IF($H444="x",VLOOKUP($I444,'AUX-NIV2'!$B:$X,'AUX-NIV1'!AQ$3,FALSE),0)+($AV444*'AUX-NIV3'!S$4))*$O444+IF($H444=AQ$4,$P444,0)</f>
        <v>0</v>
      </c>
      <c r="AR444" s="395">
        <f>(IF($H444="x",VLOOKUP($I444,'AUX-NIV2'!$B:$X,'AUX-NIV1'!AR$3,FALSE),0)+($AV444*'AUX-NIV3'!T$4))*$O444+IF($H444=AR$4,$P444,0)</f>
        <v>0</v>
      </c>
      <c r="AS444" s="395">
        <f>(IF($H444="x",VLOOKUP($I444,'AUX-NIV2'!$B:$X,'AUX-NIV1'!AS$3,FALSE),0)+($AV444*'AUX-NIV3'!U$4))*$O444+IF($H444=AS$4,$P444,0)</f>
        <v>117.16190247933886</v>
      </c>
      <c r="AT444" s="395">
        <f>(IF($H444="x",VLOOKUP($I444,'AUX-NIV2'!$B:$X,'AUX-NIV1'!AT$3,FALSE),0)+($AV444*'AUX-NIV3'!V$4))*$O444+IF($H444=AT$4,$P444,0)</f>
        <v>0</v>
      </c>
      <c r="AU444" s="395">
        <f>(IF($H444="x",VLOOKUP($I444,'AUX-NIV2'!$B:$X,'AUX-NIV1'!AU$3,FALSE),0)+($AV444*'AUX-NIV3'!W$4))*$O444+IF($H444=AU$4,$P444,0)</f>
        <v>0</v>
      </c>
      <c r="AV444" s="395">
        <f>+IF($H444="x",VLOOKUP($I444,'AUX-NIV2'!$B:$X,'AUX-NIV1'!AV$3,FALSE),0)</f>
        <v>0</v>
      </c>
    </row>
    <row r="445" spans="2:48" ht="13.8" hidden="1" thickTop="1">
      <c r="B445" s="501" t="s">
        <v>3481</v>
      </c>
      <c r="C445" s="950" t="s">
        <v>3482</v>
      </c>
      <c r="D445" s="326" t="s">
        <v>501</v>
      </c>
      <c r="E445" s="349">
        <f>IF(B445&lt;&gt;"",+SUMIF(Items!C:C,'AUX-NIV1'!B445,Items!H:H),"")</f>
        <v>0</v>
      </c>
      <c r="F445" s="862">
        <f t="shared" si="204"/>
        <v>2437.1509536140065</v>
      </c>
      <c r="G445" s="349">
        <f t="shared" si="205"/>
        <v>0</v>
      </c>
      <c r="H445" s="1395" t="str">
        <f t="shared" si="215"/>
        <v>M</v>
      </c>
      <c r="I445" s="1398" t="s">
        <v>3789</v>
      </c>
      <c r="J445" s="350" t="str">
        <f>IF(B445&lt;&gt;"",+VLOOKUP(I445,Recursos!C:F,2,FALSE),"")</f>
        <v>BALDOSA GRANITICA 40x40 BLANGINO</v>
      </c>
      <c r="K445" s="351" t="str">
        <f>IF(B445&lt;&gt;"",+VLOOKUP(I445,Recursos!C:F,3,FALSE),"")</f>
        <v>m2</v>
      </c>
      <c r="L445" s="436">
        <f>IF(B445&lt;&gt;"",+VLOOKUP(I445,Recursos!C:F,4,FALSE),"")</f>
        <v>1165.2892561983472</v>
      </c>
      <c r="M445" s="1030"/>
      <c r="N445" s="1004">
        <v>1.05</v>
      </c>
      <c r="O445" s="439">
        <f>N445</f>
        <v>1.05</v>
      </c>
      <c r="P445" s="440">
        <f t="shared" si="216"/>
        <v>1223.5537190082646</v>
      </c>
      <c r="Q445" s="349">
        <f t="shared" si="217"/>
        <v>0</v>
      </c>
      <c r="R445" s="353">
        <f t="shared" si="218"/>
        <v>0</v>
      </c>
      <c r="S445" s="354">
        <f t="shared" si="206"/>
        <v>1073.5014478288824</v>
      </c>
      <c r="T445" s="354">
        <f t="shared" si="207"/>
        <v>0</v>
      </c>
      <c r="U445" s="355">
        <f t="shared" si="208"/>
        <v>1246.4876033057853</v>
      </c>
      <c r="V445" s="355">
        <f t="shared" si="209"/>
        <v>0</v>
      </c>
      <c r="W445" s="355">
        <f t="shared" si="210"/>
        <v>0</v>
      </c>
      <c r="X445" s="355">
        <f t="shared" si="211"/>
        <v>117.16190247933886</v>
      </c>
      <c r="Y445" s="396"/>
      <c r="Z445" s="346" t="str">
        <f t="shared" si="219"/>
        <v>0-PISINTA</v>
      </c>
      <c r="AA445" s="346" t="str">
        <f t="shared" si="220"/>
        <v>0-PISINTE</v>
      </c>
      <c r="AB445" s="346" t="str">
        <f t="shared" si="221"/>
        <v>0-PISINTM</v>
      </c>
      <c r="AC445" s="346" t="str">
        <f t="shared" si="222"/>
        <v>0-PISINTT</v>
      </c>
      <c r="AD445" s="346" t="str">
        <f t="shared" si="223"/>
        <v>0-PISINTS</v>
      </c>
      <c r="AE445" s="346" t="str">
        <f t="shared" si="224"/>
        <v>0-PISINTX</v>
      </c>
      <c r="AF445" s="346" t="str">
        <f t="shared" si="225"/>
        <v>0-PISINTM</v>
      </c>
      <c r="AG445" s="346">
        <f t="shared" si="212"/>
        <v>5</v>
      </c>
      <c r="AH445" s="346">
        <f>IF(B445&lt;&gt;"",+IF(H445="x",+VLOOKUP(I445,'AUX-NIV2'!B:AG,32,FALSE),0),"")</f>
        <v>0</v>
      </c>
      <c r="AI445" s="346" t="str">
        <f t="shared" si="226"/>
        <v>0-PISINT</v>
      </c>
      <c r="AK445" s="347">
        <f t="shared" si="213"/>
        <v>444</v>
      </c>
      <c r="AL445" s="348">
        <f t="shared" si="227"/>
        <v>448</v>
      </c>
      <c r="AM445" s="347">
        <f t="shared" si="228"/>
        <v>2</v>
      </c>
      <c r="AN445" s="382">
        <f>IF(AND(AH445&gt;0,B445&lt;&gt;""),VLOOKUP(I445,'AUX-NIV2'!$B:$AP,40,FALSE)*O445,0)</f>
        <v>0</v>
      </c>
      <c r="AO445" s="382">
        <f t="shared" si="214"/>
        <v>2.4000000000000004</v>
      </c>
      <c r="AQ445" s="395">
        <f>(IF($H445="x",VLOOKUP($I445,'AUX-NIV2'!$B:$X,'AUX-NIV1'!AQ$3,FALSE),0)+($AV445*'AUX-NIV3'!S$4))*$O445+IF($H445=AQ$4,$P445,0)</f>
        <v>0</v>
      </c>
      <c r="AR445" s="395">
        <f>(IF($H445="x",VLOOKUP($I445,'AUX-NIV2'!$B:$X,'AUX-NIV1'!AR$3,FALSE),0)+($AV445*'AUX-NIV3'!T$4))*$O445+IF($H445=AR$4,$P445,0)</f>
        <v>0</v>
      </c>
      <c r="AS445" s="395">
        <f>(IF($H445="x",VLOOKUP($I445,'AUX-NIV2'!$B:$X,'AUX-NIV1'!AS$3,FALSE),0)+($AV445*'AUX-NIV3'!U$4))*$O445+IF($H445=AS$4,$P445,0)</f>
        <v>1223.5537190082646</v>
      </c>
      <c r="AT445" s="395">
        <f>(IF($H445="x",VLOOKUP($I445,'AUX-NIV2'!$B:$X,'AUX-NIV1'!AT$3,FALSE),0)+($AV445*'AUX-NIV3'!V$4))*$O445+IF($H445=AT$4,$P445,0)</f>
        <v>0</v>
      </c>
      <c r="AU445" s="395">
        <f>(IF($H445="x",VLOOKUP($I445,'AUX-NIV2'!$B:$X,'AUX-NIV1'!AU$3,FALSE),0)+($AV445*'AUX-NIV3'!W$4))*$O445+IF($H445=AU$4,$P445,0)</f>
        <v>0</v>
      </c>
      <c r="AV445" s="395">
        <f>+IF($H445="x",VLOOKUP($I445,'AUX-NIV2'!$B:$X,'AUX-NIV1'!AV$3,FALSE),0)</f>
        <v>0</v>
      </c>
    </row>
    <row r="446" spans="2:48" ht="13.8" hidden="1" thickTop="1">
      <c r="B446" s="501" t="s">
        <v>3481</v>
      </c>
      <c r="C446" s="950" t="s">
        <v>3482</v>
      </c>
      <c r="D446" s="326" t="s">
        <v>501</v>
      </c>
      <c r="E446" s="349">
        <f>IF(B446&lt;&gt;"",+SUMIF(Items!C:C,'AUX-NIV1'!B446,Items!H:H),"")</f>
        <v>0</v>
      </c>
      <c r="F446" s="862">
        <f t="shared" si="204"/>
        <v>2437.1509536140065</v>
      </c>
      <c r="G446" s="349">
        <f t="shared" si="205"/>
        <v>0</v>
      </c>
      <c r="H446" s="1395" t="str">
        <f t="shared" si="215"/>
        <v>M</v>
      </c>
      <c r="I446" s="1398" t="s">
        <v>3384</v>
      </c>
      <c r="J446" s="350" t="str">
        <f>IF(B446&lt;&gt;"",+VLOOKUP(I446,Recursos!C:F,2,FALSE),"")</f>
        <v>PASTINA COLOR</v>
      </c>
      <c r="K446" s="351" t="str">
        <f>IF(B446&lt;&gt;"",+VLOOKUP(I446,Recursos!C:F,3,FALSE),"")</f>
        <v>Kg</v>
      </c>
      <c r="L446" s="436">
        <f>IF(B446&lt;&gt;"",+VLOOKUP(I446,Recursos!C:F,4,FALSE),"")</f>
        <v>152.89256198347107</v>
      </c>
      <c r="M446" s="932"/>
      <c r="N446" s="1004">
        <v>0.15</v>
      </c>
      <c r="O446" s="439">
        <f>N446</f>
        <v>0.15</v>
      </c>
      <c r="P446" s="440">
        <f t="shared" si="216"/>
        <v>22.93388429752066</v>
      </c>
      <c r="Q446" s="349">
        <f t="shared" si="217"/>
        <v>0</v>
      </c>
      <c r="R446" s="353">
        <f t="shared" si="218"/>
        <v>0</v>
      </c>
      <c r="S446" s="354">
        <f t="shared" si="206"/>
        <v>1073.5014478288824</v>
      </c>
      <c r="T446" s="354">
        <f t="shared" si="207"/>
        <v>0</v>
      </c>
      <c r="U446" s="355">
        <f t="shared" si="208"/>
        <v>1246.4876033057853</v>
      </c>
      <c r="V446" s="355">
        <f t="shared" si="209"/>
        <v>0</v>
      </c>
      <c r="W446" s="355">
        <f t="shared" si="210"/>
        <v>0</v>
      </c>
      <c r="X446" s="355">
        <f t="shared" si="211"/>
        <v>117.16190247933886</v>
      </c>
      <c r="Y446" s="396"/>
      <c r="Z446" s="346" t="str">
        <f t="shared" si="219"/>
        <v>0-PISINTA</v>
      </c>
      <c r="AA446" s="346" t="str">
        <f t="shared" si="220"/>
        <v>0-PISINTE</v>
      </c>
      <c r="AB446" s="346" t="str">
        <f t="shared" si="221"/>
        <v>0-PISINTM</v>
      </c>
      <c r="AC446" s="346" t="str">
        <f t="shared" si="222"/>
        <v>0-PISINTT</v>
      </c>
      <c r="AD446" s="346" t="str">
        <f t="shared" si="223"/>
        <v>0-PISINTS</v>
      </c>
      <c r="AE446" s="346" t="str">
        <f t="shared" si="224"/>
        <v>0-PISINTX</v>
      </c>
      <c r="AF446" s="346" t="str">
        <f t="shared" si="225"/>
        <v>0-PISINTM</v>
      </c>
      <c r="AG446" s="346">
        <f t="shared" si="212"/>
        <v>5</v>
      </c>
      <c r="AH446" s="346">
        <f>IF(B446&lt;&gt;"",+IF(H446="x",+VLOOKUP(I446,'AUX-NIV2'!B:AG,32,FALSE),0),"")</f>
        <v>0</v>
      </c>
      <c r="AI446" s="346" t="str">
        <f t="shared" si="226"/>
        <v>0-PISINT</v>
      </c>
      <c r="AK446" s="347">
        <f t="shared" si="213"/>
        <v>444</v>
      </c>
      <c r="AL446" s="348">
        <f t="shared" si="227"/>
        <v>448</v>
      </c>
      <c r="AM446" s="347">
        <f t="shared" si="228"/>
        <v>3</v>
      </c>
      <c r="AN446" s="382">
        <f>IF(AND(AH446&gt;0,B446&lt;&gt;""),VLOOKUP(I446,'AUX-NIV2'!$B:$AP,40,FALSE)*O446,0)</f>
        <v>0</v>
      </c>
      <c r="AO446" s="382">
        <f t="shared" si="214"/>
        <v>2.4000000000000004</v>
      </c>
      <c r="AQ446" s="395">
        <f>(IF($H446="x",VLOOKUP($I446,'AUX-NIV2'!$B:$X,'AUX-NIV1'!AQ$3,FALSE),0)+($AV446*'AUX-NIV3'!S$4))*$O446+IF($H446=AQ$4,$P446,0)</f>
        <v>0</v>
      </c>
      <c r="AR446" s="395">
        <f>(IF($H446="x",VLOOKUP($I446,'AUX-NIV2'!$B:$X,'AUX-NIV1'!AR$3,FALSE),0)+($AV446*'AUX-NIV3'!T$4))*$O446+IF($H446=AR$4,$P446,0)</f>
        <v>0</v>
      </c>
      <c r="AS446" s="395">
        <f>(IF($H446="x",VLOOKUP($I446,'AUX-NIV2'!$B:$X,'AUX-NIV1'!AS$3,FALSE),0)+($AV446*'AUX-NIV3'!U$4))*$O446+IF($H446=AS$4,$P446,0)</f>
        <v>22.93388429752066</v>
      </c>
      <c r="AT446" s="395">
        <f>(IF($H446="x",VLOOKUP($I446,'AUX-NIV2'!$B:$X,'AUX-NIV1'!AT$3,FALSE),0)+($AV446*'AUX-NIV3'!V$4))*$O446+IF($H446=AT$4,$P446,0)</f>
        <v>0</v>
      </c>
      <c r="AU446" s="395">
        <f>(IF($H446="x",VLOOKUP($I446,'AUX-NIV2'!$B:$X,'AUX-NIV1'!AU$3,FALSE),0)+($AV446*'AUX-NIV3'!W$4))*$O446+IF($H446=AU$4,$P446,0)</f>
        <v>0</v>
      </c>
      <c r="AV446" s="395">
        <f>+IF($H446="x",VLOOKUP($I446,'AUX-NIV2'!$B:$X,'AUX-NIV1'!AV$3,FALSE),0)</f>
        <v>0</v>
      </c>
    </row>
    <row r="447" spans="2:48" ht="13.8" hidden="1" thickTop="1">
      <c r="B447" s="501" t="s">
        <v>3481</v>
      </c>
      <c r="C447" s="950" t="s">
        <v>3482</v>
      </c>
      <c r="D447" s="326" t="s">
        <v>501</v>
      </c>
      <c r="E447" s="349">
        <f>IF(B447&lt;&gt;"",+SUMIF(Items!C:C,'AUX-NIV1'!B447,Items!H:H),"")</f>
        <v>0</v>
      </c>
      <c r="F447" s="862">
        <f t="shared" si="204"/>
        <v>2437.1509536140065</v>
      </c>
      <c r="G447" s="349">
        <f t="shared" si="205"/>
        <v>0</v>
      </c>
      <c r="H447" s="1395" t="str">
        <f t="shared" si="215"/>
        <v>A</v>
      </c>
      <c r="I447" s="1398" t="s">
        <v>1745</v>
      </c>
      <c r="J447" s="350" t="str">
        <f>IF(B447&lt;&gt;"",+VLOOKUP(I447,Recursos!C:F,2,FALSE),"")</f>
        <v>AYUDANTE</v>
      </c>
      <c r="K447" s="351" t="str">
        <f>IF(B447&lt;&gt;"",+VLOOKUP(I447,Recursos!C:F,3,FALSE),"")</f>
        <v>hh</v>
      </c>
      <c r="L447" s="436">
        <f>IF(B447&lt;&gt;"",+VLOOKUP(I447,Recursos!C:F,4,FALSE),"")</f>
        <v>422.48042769667234</v>
      </c>
      <c r="M447" s="1005">
        <v>2</v>
      </c>
      <c r="N447" s="1004">
        <v>1.25</v>
      </c>
      <c r="O447" s="439">
        <f>M447/N447</f>
        <v>1.6</v>
      </c>
      <c r="P447" s="440">
        <f t="shared" si="216"/>
        <v>675.96868431467578</v>
      </c>
      <c r="Q447" s="349">
        <f t="shared" si="217"/>
        <v>0</v>
      </c>
      <c r="R447" s="353">
        <f t="shared" si="218"/>
        <v>0</v>
      </c>
      <c r="S447" s="354">
        <f t="shared" si="206"/>
        <v>1073.5014478288824</v>
      </c>
      <c r="T447" s="354">
        <f t="shared" si="207"/>
        <v>0</v>
      </c>
      <c r="U447" s="355">
        <f t="shared" si="208"/>
        <v>1246.4876033057853</v>
      </c>
      <c r="V447" s="355">
        <f t="shared" si="209"/>
        <v>0</v>
      </c>
      <c r="W447" s="355">
        <f t="shared" si="210"/>
        <v>0</v>
      </c>
      <c r="X447" s="355">
        <f t="shared" si="211"/>
        <v>117.16190247933886</v>
      </c>
      <c r="Y447" s="396"/>
      <c r="Z447" s="346" t="str">
        <f t="shared" si="219"/>
        <v>0-PISINTA</v>
      </c>
      <c r="AA447" s="346" t="str">
        <f t="shared" si="220"/>
        <v>0-PISINTE</v>
      </c>
      <c r="AB447" s="346" t="str">
        <f t="shared" si="221"/>
        <v>0-PISINTM</v>
      </c>
      <c r="AC447" s="346" t="str">
        <f t="shared" si="222"/>
        <v>0-PISINTT</v>
      </c>
      <c r="AD447" s="346" t="str">
        <f t="shared" si="223"/>
        <v>0-PISINTS</v>
      </c>
      <c r="AE447" s="346" t="str">
        <f t="shared" si="224"/>
        <v>0-PISINTX</v>
      </c>
      <c r="AF447" s="346" t="str">
        <f t="shared" si="225"/>
        <v>0-PISINTA</v>
      </c>
      <c r="AG447" s="346">
        <f t="shared" si="212"/>
        <v>5</v>
      </c>
      <c r="AH447" s="346">
        <f>IF(B447&lt;&gt;"",+IF(H447="x",+VLOOKUP(I447,'AUX-NIV2'!B:AG,32,FALSE),0),"")</f>
        <v>0</v>
      </c>
      <c r="AI447" s="346" t="str">
        <f t="shared" si="226"/>
        <v>0-PISINT</v>
      </c>
      <c r="AK447" s="347">
        <f t="shared" si="213"/>
        <v>444</v>
      </c>
      <c r="AL447" s="348">
        <f t="shared" si="227"/>
        <v>448</v>
      </c>
      <c r="AM447" s="347">
        <f t="shared" si="228"/>
        <v>4</v>
      </c>
      <c r="AN447" s="382">
        <f>IF(AND(AH447&gt;0,B447&lt;&gt;""),VLOOKUP(I447,'AUX-NIV2'!$B:$AP,40,FALSE)*O447,0)</f>
        <v>0</v>
      </c>
      <c r="AO447" s="382">
        <f t="shared" si="214"/>
        <v>2.4000000000000004</v>
      </c>
      <c r="AQ447" s="395">
        <f>(IF($H447="x",VLOOKUP($I447,'AUX-NIV2'!$B:$X,'AUX-NIV1'!AQ$3,FALSE),0)+($AV447*'AUX-NIV3'!S$4))*$O447+IF($H447=AQ$4,$P447,0)</f>
        <v>675.96868431467578</v>
      </c>
      <c r="AR447" s="395">
        <f>(IF($H447="x",VLOOKUP($I447,'AUX-NIV2'!$B:$X,'AUX-NIV1'!AR$3,FALSE),0)+($AV447*'AUX-NIV3'!T$4))*$O447+IF($H447=AR$4,$P447,0)</f>
        <v>0</v>
      </c>
      <c r="AS447" s="395">
        <f>(IF($H447="x",VLOOKUP($I447,'AUX-NIV2'!$B:$X,'AUX-NIV1'!AS$3,FALSE),0)+($AV447*'AUX-NIV3'!U$4))*$O447+IF($H447=AS$4,$P447,0)</f>
        <v>0</v>
      </c>
      <c r="AT447" s="395">
        <f>(IF($H447="x",VLOOKUP($I447,'AUX-NIV2'!$B:$X,'AUX-NIV1'!AT$3,FALSE),0)+($AV447*'AUX-NIV3'!V$4))*$O447+IF($H447=AT$4,$P447,0)</f>
        <v>0</v>
      </c>
      <c r="AU447" s="395">
        <f>(IF($H447="x",VLOOKUP($I447,'AUX-NIV2'!$B:$X,'AUX-NIV1'!AU$3,FALSE),0)+($AV447*'AUX-NIV3'!W$4))*$O447+IF($H447=AU$4,$P447,0)</f>
        <v>0</v>
      </c>
      <c r="AV447" s="395">
        <f>+IF($H447="x",VLOOKUP($I447,'AUX-NIV2'!$B:$X,'AUX-NIV1'!AV$3,FALSE),0)</f>
        <v>0</v>
      </c>
    </row>
    <row r="448" spans="2:48" ht="13.8" hidden="1" thickTop="1">
      <c r="B448" s="501" t="s">
        <v>3481</v>
      </c>
      <c r="C448" s="950" t="s">
        <v>3482</v>
      </c>
      <c r="D448" s="326" t="s">
        <v>501</v>
      </c>
      <c r="E448" s="349">
        <f>IF(B448&lt;&gt;"",+SUMIF(Items!C:C,'AUX-NIV1'!B448,Items!H:H),"")</f>
        <v>0</v>
      </c>
      <c r="F448" s="862">
        <f t="shared" si="204"/>
        <v>2437.1509536140065</v>
      </c>
      <c r="G448" s="349">
        <f t="shared" si="205"/>
        <v>0</v>
      </c>
      <c r="H448" s="1395" t="str">
        <f t="shared" si="215"/>
        <v>A</v>
      </c>
      <c r="I448" s="1398" t="s">
        <v>1746</v>
      </c>
      <c r="J448" s="350" t="str">
        <f>IF(B448&lt;&gt;"",+VLOOKUP(I448,Recursos!C:F,2,FALSE),"")</f>
        <v>OFICIAL</v>
      </c>
      <c r="K448" s="351" t="str">
        <f>IF(B448&lt;&gt;"",+VLOOKUP(I448,Recursos!C:F,3,FALSE),"")</f>
        <v>hh</v>
      </c>
      <c r="L448" s="436">
        <f>IF(B448&lt;&gt;"",+VLOOKUP(I448,Recursos!C:F,4,FALSE),"")</f>
        <v>496.91595439275824</v>
      </c>
      <c r="M448" s="1090">
        <v>1</v>
      </c>
      <c r="N448" s="1091"/>
      <c r="O448" s="439">
        <f>M448/N447</f>
        <v>0.8</v>
      </c>
      <c r="P448" s="440">
        <f t="shared" si="216"/>
        <v>397.53276351420664</v>
      </c>
      <c r="Q448" s="349">
        <f t="shared" si="217"/>
        <v>0</v>
      </c>
      <c r="R448" s="353">
        <f t="shared" si="218"/>
        <v>0</v>
      </c>
      <c r="S448" s="354">
        <f t="shared" si="206"/>
        <v>1073.5014478288824</v>
      </c>
      <c r="T448" s="354">
        <f t="shared" si="207"/>
        <v>0</v>
      </c>
      <c r="U448" s="355">
        <f t="shared" si="208"/>
        <v>1246.4876033057853</v>
      </c>
      <c r="V448" s="355">
        <f t="shared" si="209"/>
        <v>0</v>
      </c>
      <c r="W448" s="355">
        <f t="shared" si="210"/>
        <v>0</v>
      </c>
      <c r="X448" s="355">
        <f t="shared" si="211"/>
        <v>117.16190247933886</v>
      </c>
      <c r="Y448" s="396"/>
      <c r="Z448" s="346" t="str">
        <f t="shared" si="219"/>
        <v>0-PISINTA</v>
      </c>
      <c r="AA448" s="346" t="str">
        <f t="shared" si="220"/>
        <v>0-PISINTE</v>
      </c>
      <c r="AB448" s="346" t="str">
        <f t="shared" si="221"/>
        <v>0-PISINTM</v>
      </c>
      <c r="AC448" s="346" t="str">
        <f t="shared" si="222"/>
        <v>0-PISINTT</v>
      </c>
      <c r="AD448" s="346" t="str">
        <f t="shared" si="223"/>
        <v>0-PISINTS</v>
      </c>
      <c r="AE448" s="346" t="str">
        <f t="shared" si="224"/>
        <v>0-PISINTX</v>
      </c>
      <c r="AF448" s="346" t="str">
        <f t="shared" si="225"/>
        <v>0-PISINTA</v>
      </c>
      <c r="AG448" s="346">
        <f t="shared" si="212"/>
        <v>5</v>
      </c>
      <c r="AH448" s="346">
        <f>IF(B448&lt;&gt;"",+IF(H448="x",+VLOOKUP(I448,'AUX-NIV2'!B:AG,32,FALSE),0),"")</f>
        <v>0</v>
      </c>
      <c r="AI448" s="346" t="str">
        <f t="shared" si="226"/>
        <v>0-PISINT</v>
      </c>
      <c r="AK448" s="347">
        <f t="shared" si="213"/>
        <v>444</v>
      </c>
      <c r="AL448" s="348">
        <f t="shared" si="227"/>
        <v>448</v>
      </c>
      <c r="AM448" s="347">
        <f t="shared" si="228"/>
        <v>5</v>
      </c>
      <c r="AN448" s="382">
        <f>IF(AND(AH448&gt;0,B448&lt;&gt;""),VLOOKUP(I448,'AUX-NIV2'!$B:$AP,40,FALSE)*O448,0)</f>
        <v>0</v>
      </c>
      <c r="AO448" s="382">
        <f t="shared" si="214"/>
        <v>2.4000000000000004</v>
      </c>
      <c r="AQ448" s="395">
        <f>(IF($H448="x",VLOOKUP($I448,'AUX-NIV2'!$B:$X,'AUX-NIV1'!AQ$3,FALSE),0)+($AV448*'AUX-NIV3'!S$4))*$O448+IF($H448=AQ$4,$P448,0)</f>
        <v>397.53276351420664</v>
      </c>
      <c r="AR448" s="395">
        <f>(IF($H448="x",VLOOKUP($I448,'AUX-NIV2'!$B:$X,'AUX-NIV1'!AR$3,FALSE),0)+($AV448*'AUX-NIV3'!T$4))*$O448+IF($H448=AR$4,$P448,0)</f>
        <v>0</v>
      </c>
      <c r="AS448" s="395">
        <f>(IF($H448="x",VLOOKUP($I448,'AUX-NIV2'!$B:$X,'AUX-NIV1'!AS$3,FALSE),0)+($AV448*'AUX-NIV3'!U$4))*$O448+IF($H448=AS$4,$P448,0)</f>
        <v>0</v>
      </c>
      <c r="AT448" s="395">
        <f>(IF($H448="x",VLOOKUP($I448,'AUX-NIV2'!$B:$X,'AUX-NIV1'!AT$3,FALSE),0)+($AV448*'AUX-NIV3'!V$4))*$O448+IF($H448=AT$4,$P448,0)</f>
        <v>0</v>
      </c>
      <c r="AU448" s="395">
        <f>(IF($H448="x",VLOOKUP($I448,'AUX-NIV2'!$B:$X,'AUX-NIV1'!AU$3,FALSE),0)+($AV448*'AUX-NIV3'!W$4))*$O448+IF($H448=AU$4,$P448,0)</f>
        <v>0</v>
      </c>
      <c r="AV448" s="395">
        <f>+IF($H448="x",VLOOKUP($I448,'AUX-NIV2'!$B:$X,'AUX-NIV1'!AV$3,FALSE),0)</f>
        <v>0</v>
      </c>
    </row>
    <row r="449" spans="2:48" ht="13.8" thickTop="1">
      <c r="B449" s="501" t="s">
        <v>3491</v>
      </c>
      <c r="C449" s="950" t="s">
        <v>3492</v>
      </c>
      <c r="D449" s="326" t="s">
        <v>501</v>
      </c>
      <c r="E449" s="349">
        <f>IF(B449&lt;&gt;"",+SUMIF(Items!C:C,'AUX-NIV1'!B449,Items!H:H),"")</f>
        <v>0</v>
      </c>
      <c r="F449" s="349">
        <f t="shared" si="204"/>
        <v>372.48110301286789</v>
      </c>
      <c r="G449" s="349">
        <f t="shared" si="205"/>
        <v>0</v>
      </c>
      <c r="H449" s="1395" t="str">
        <f t="shared" ref="H449:H450" si="246">IF(B449&lt;&gt;"",+LEFT(I449,1),"")</f>
        <v>M</v>
      </c>
      <c r="I449" s="1375" t="s">
        <v>4680</v>
      </c>
      <c r="J449" s="350" t="str">
        <f>IF(B449&lt;&gt;"",+VLOOKUP(I449,Recursos!C:F,2,FALSE),"")</f>
        <v>PINTURA LATEX ACRILICO</v>
      </c>
      <c r="K449" s="351" t="str">
        <f>IF(B449&lt;&gt;"",+VLOOKUP(I449,Recursos!C:F,3,FALSE),"")</f>
        <v>LTS</v>
      </c>
      <c r="L449" s="436">
        <f>IF(B449&lt;&gt;"",+VLOOKUP(I449,Recursos!C:F,4,FALSE),"")</f>
        <v>165.28925619834712</v>
      </c>
      <c r="M449" s="550">
        <v>35</v>
      </c>
      <c r="N449" s="1085"/>
      <c r="O449" s="769">
        <f>1/M449</f>
        <v>2.8571428571428571E-2</v>
      </c>
      <c r="P449" s="440">
        <f t="shared" ref="P449:P450" si="247">IF(B449&lt;&gt;"",O449*L449,"")</f>
        <v>4.7225501770956315</v>
      </c>
      <c r="Q449" s="349">
        <f t="shared" ref="Q449:Q450" si="248">IF(B449&lt;&gt;"",+O449*E449,"")</f>
        <v>0</v>
      </c>
      <c r="R449" s="353">
        <f t="shared" ref="R449:R450" si="249">IF(B449&lt;&gt;"",Q449*L449,"")</f>
        <v>0</v>
      </c>
      <c r="S449" s="354">
        <f t="shared" si="206"/>
        <v>367.75855283577226</v>
      </c>
      <c r="T449" s="354">
        <f t="shared" si="207"/>
        <v>0</v>
      </c>
      <c r="U449" s="355">
        <f t="shared" si="208"/>
        <v>4.7225501770956315</v>
      </c>
      <c r="V449" s="355">
        <f t="shared" si="209"/>
        <v>0</v>
      </c>
      <c r="W449" s="355">
        <f t="shared" si="210"/>
        <v>0</v>
      </c>
      <c r="X449" s="355">
        <f t="shared" si="211"/>
        <v>0</v>
      </c>
      <c r="Y449" s="396"/>
      <c r="Z449" s="346" t="str">
        <f>IF(B449&lt;&gt;"",+$B449&amp;"A","")</f>
        <v>0-PININTA</v>
      </c>
      <c r="AA449" s="346" t="str">
        <f>IF(B449&lt;&gt;"",+$B449&amp;"E","")</f>
        <v>0-PININTE</v>
      </c>
      <c r="AB449" s="346" t="str">
        <f>IF(B449&lt;&gt;"",++$B449&amp;"M","")</f>
        <v>0-PININTM</v>
      </c>
      <c r="AC449" s="346" t="str">
        <f>IF(B449&lt;&gt;"",+$B449&amp;"T","")</f>
        <v>0-PININTT</v>
      </c>
      <c r="AD449" s="346" t="str">
        <f>IF(B449&lt;&gt;"",+$B449&amp;"S","")</f>
        <v>0-PININTS</v>
      </c>
      <c r="AE449" s="346" t="str">
        <f>IF(B449&lt;&gt;"",+$B449&amp;"X","")</f>
        <v>0-PININTX</v>
      </c>
      <c r="AF449" s="346" t="str">
        <f t="shared" ref="AF449:AF450" si="250">IF(B449&lt;&gt;"",+B449&amp;H449,"")</f>
        <v>0-PININTM</v>
      </c>
      <c r="AG449" s="346">
        <f t="shared" si="212"/>
        <v>3</v>
      </c>
      <c r="AH449" s="346">
        <f>IF(B449&lt;&gt;"",+IF(H449="x",+VLOOKUP(I449,'AUX-NIV2'!B:AG,32,FALSE),0),"")</f>
        <v>0</v>
      </c>
      <c r="AI449" s="346" t="str">
        <f t="shared" ref="AI449:AI450" si="251">IF(B449&lt;&gt;"",+B449,"")</f>
        <v>0-PININT</v>
      </c>
      <c r="AK449" s="347">
        <f t="shared" si="213"/>
        <v>449</v>
      </c>
      <c r="AL449" s="348">
        <f t="shared" ref="AL449:AL450" si="252">IF(B449&lt;&gt;"",+AK449+AG449-1,"")</f>
        <v>451</v>
      </c>
      <c r="AM449" s="347">
        <f>IF(B449&lt;&gt;"",IF(B449=B455,1+AM455,1),"")</f>
        <v>1</v>
      </c>
      <c r="AN449" s="382">
        <f>IF(AND(AH449&gt;0,B449&lt;&gt;""),VLOOKUP(I449,'AUX-NIV2'!$B:$AP,40,FALSE)*O449,0)</f>
        <v>0</v>
      </c>
      <c r="AO449" s="382">
        <f t="shared" si="214"/>
        <v>0.8</v>
      </c>
      <c r="AQ449" s="395">
        <f>(IF($H449="x",VLOOKUP($I449,'AUX-NIV2'!$B:$X,'AUX-NIV1'!AQ$3,FALSE),0)+($AV449*'AUX-NIV3'!S$4))*$O449+IF($H449=AQ$4,$P449,0)</f>
        <v>0</v>
      </c>
      <c r="AR449" s="395">
        <f>(IF($H449="x",VLOOKUP($I449,'AUX-NIV2'!$B:$X,'AUX-NIV1'!AR$3,FALSE),0)+($AV449*'AUX-NIV3'!T$4))*$O449+IF($H449=AR$4,$P449,0)</f>
        <v>0</v>
      </c>
      <c r="AS449" s="395">
        <f>(IF($H449="x",VLOOKUP($I449,'AUX-NIV2'!$B:$X,'AUX-NIV1'!AS$3,FALSE),0)+($AV449*'AUX-NIV3'!U$4))*$O449+IF($H449=AS$4,$P449,0)</f>
        <v>4.7225501770956315</v>
      </c>
      <c r="AT449" s="395">
        <f>(IF($H449="x",VLOOKUP($I449,'AUX-NIV2'!$B:$X,'AUX-NIV1'!AT$3,FALSE),0)+($AV449*'AUX-NIV3'!V$4))*$O449+IF($H449=AT$4,$P449,0)</f>
        <v>0</v>
      </c>
      <c r="AU449" s="395">
        <f>(IF($H449="x",VLOOKUP($I449,'AUX-NIV2'!$B:$X,'AUX-NIV1'!AU$3,FALSE),0)+($AV449*'AUX-NIV3'!W$4))*$O449+IF($H449=AU$4,$P449,0)</f>
        <v>0</v>
      </c>
      <c r="AV449" s="395">
        <f>+IF($H449="x",VLOOKUP($I449,'AUX-NIV2'!$B:$X,'AUX-NIV1'!AV$3,FALSE),0)</f>
        <v>0</v>
      </c>
    </row>
    <row r="450" spans="2:48">
      <c r="B450" s="501" t="s">
        <v>3491</v>
      </c>
      <c r="C450" s="950" t="s">
        <v>3492</v>
      </c>
      <c r="D450" s="326" t="s">
        <v>501</v>
      </c>
      <c r="E450" s="349">
        <f>IF(B450&lt;&gt;"",+SUMIF(Items!C:C,'AUX-NIV1'!B450,Items!H:H),"")</f>
        <v>0</v>
      </c>
      <c r="F450" s="349">
        <f t="shared" si="204"/>
        <v>372.48110301286789</v>
      </c>
      <c r="G450" s="349">
        <f t="shared" si="205"/>
        <v>0</v>
      </c>
      <c r="H450" s="1395" t="str">
        <f t="shared" si="246"/>
        <v>A</v>
      </c>
      <c r="I450" s="1398" t="s">
        <v>1745</v>
      </c>
      <c r="J450" s="350" t="str">
        <f>IF(B450&lt;&gt;"",+VLOOKUP(I450,Recursos!C:F,2,FALSE),"")</f>
        <v>AYUDANTE</v>
      </c>
      <c r="K450" s="351" t="str">
        <f>IF(B450&lt;&gt;"",+VLOOKUP(I450,Recursos!C:F,3,FALSE),"")</f>
        <v>hh</v>
      </c>
      <c r="L450" s="436">
        <f>IF(B450&lt;&gt;"",+VLOOKUP(I450,Recursos!C:F,4,FALSE),"")</f>
        <v>422.48042769667234</v>
      </c>
      <c r="M450" s="550">
        <v>8</v>
      </c>
      <c r="N450" s="1087">
        <v>20</v>
      </c>
      <c r="O450" s="439">
        <f>M450/N450</f>
        <v>0.4</v>
      </c>
      <c r="P450" s="440">
        <f t="shared" si="247"/>
        <v>168.99217107866895</v>
      </c>
      <c r="Q450" s="349">
        <f t="shared" si="248"/>
        <v>0</v>
      </c>
      <c r="R450" s="353">
        <f t="shared" si="249"/>
        <v>0</v>
      </c>
      <c r="S450" s="354">
        <f t="shared" si="206"/>
        <v>367.75855283577226</v>
      </c>
      <c r="T450" s="354">
        <f t="shared" si="207"/>
        <v>0</v>
      </c>
      <c r="U450" s="355">
        <f t="shared" si="208"/>
        <v>4.7225501770956315</v>
      </c>
      <c r="V450" s="355">
        <f t="shared" si="209"/>
        <v>0</v>
      </c>
      <c r="W450" s="355">
        <f t="shared" si="210"/>
        <v>0</v>
      </c>
      <c r="X450" s="355">
        <f t="shared" si="211"/>
        <v>0</v>
      </c>
      <c r="Y450" s="396"/>
      <c r="Z450" s="346" t="str">
        <f>IF(B450&lt;&gt;"",+$B450&amp;"A","")</f>
        <v>0-PININTA</v>
      </c>
      <c r="AA450" s="346" t="str">
        <f>IF(B450&lt;&gt;"",+$B450&amp;"E","")</f>
        <v>0-PININTE</v>
      </c>
      <c r="AB450" s="346" t="str">
        <f>IF(B450&lt;&gt;"",++$B450&amp;"M","")</f>
        <v>0-PININTM</v>
      </c>
      <c r="AC450" s="346" t="str">
        <f>IF(B450&lt;&gt;"",+$B450&amp;"T","")</f>
        <v>0-PININTT</v>
      </c>
      <c r="AD450" s="346" t="str">
        <f>IF(B450&lt;&gt;"",+$B450&amp;"S","")</f>
        <v>0-PININTS</v>
      </c>
      <c r="AE450" s="346" t="str">
        <f>IF(B450&lt;&gt;"",+$B450&amp;"X","")</f>
        <v>0-PININTX</v>
      </c>
      <c r="AF450" s="346" t="str">
        <f t="shared" si="250"/>
        <v>0-PININTA</v>
      </c>
      <c r="AG450" s="346">
        <f t="shared" si="212"/>
        <v>3</v>
      </c>
      <c r="AH450" s="346">
        <f>IF(B450&lt;&gt;"",+IF(H450="x",+VLOOKUP(I450,'AUX-NIV2'!B:AG,32,FALSE),0),"")</f>
        <v>0</v>
      </c>
      <c r="AI450" s="346" t="str">
        <f t="shared" si="251"/>
        <v>0-PININT</v>
      </c>
      <c r="AK450" s="347">
        <f t="shared" si="213"/>
        <v>449</v>
      </c>
      <c r="AL450" s="348">
        <f t="shared" si="252"/>
        <v>451</v>
      </c>
      <c r="AM450" s="347">
        <f>IF(B450&lt;&gt;"",IF(B450=B449,1+AM449,1),"")</f>
        <v>2</v>
      </c>
      <c r="AN450" s="382">
        <f>IF(AND(AH450&gt;0,B450&lt;&gt;""),VLOOKUP(I450,'AUX-NIV2'!$B:$AP,40,FALSE)*O450,0)</f>
        <v>0</v>
      </c>
      <c r="AO450" s="382">
        <f t="shared" si="214"/>
        <v>0.8</v>
      </c>
      <c r="AQ450" s="395">
        <f>(IF($H450="x",VLOOKUP($I450,'AUX-NIV2'!$B:$X,'AUX-NIV1'!AQ$3,FALSE),0)+($AV450*'AUX-NIV3'!S$4))*$O450+IF($H450=AQ$4,$P450,0)</f>
        <v>168.99217107866895</v>
      </c>
      <c r="AR450" s="395">
        <f>(IF($H450="x",VLOOKUP($I450,'AUX-NIV2'!$B:$X,'AUX-NIV1'!AR$3,FALSE),0)+($AV450*'AUX-NIV3'!T$4))*$O450+IF($H450=AR$4,$P450,0)</f>
        <v>0</v>
      </c>
      <c r="AS450" s="395">
        <f>(IF($H450="x",VLOOKUP($I450,'AUX-NIV2'!$B:$X,'AUX-NIV1'!AS$3,FALSE),0)+($AV450*'AUX-NIV3'!U$4))*$O450+IF($H450=AS$4,$P450,0)</f>
        <v>0</v>
      </c>
      <c r="AT450" s="395">
        <f>(IF($H450="x",VLOOKUP($I450,'AUX-NIV2'!$B:$X,'AUX-NIV1'!AT$3,FALSE),0)+($AV450*'AUX-NIV3'!V$4))*$O450+IF($H450=AT$4,$P450,0)</f>
        <v>0</v>
      </c>
      <c r="AU450" s="395">
        <f>(IF($H450="x",VLOOKUP($I450,'AUX-NIV2'!$B:$X,'AUX-NIV1'!AU$3,FALSE),0)+($AV450*'AUX-NIV3'!W$4))*$O450+IF($H450=AU$4,$P450,0)</f>
        <v>0</v>
      </c>
      <c r="AV450" s="395">
        <f>+IF($H450="x",VLOOKUP($I450,'AUX-NIV2'!$B:$X,'AUX-NIV1'!AV$3,FALSE),0)</f>
        <v>0</v>
      </c>
    </row>
    <row r="451" spans="2:48" ht="13.8" thickBot="1">
      <c r="B451" s="501" t="s">
        <v>3491</v>
      </c>
      <c r="C451" s="950" t="s">
        <v>3492</v>
      </c>
      <c r="D451" s="326" t="s">
        <v>501</v>
      </c>
      <c r="E451" s="349">
        <f>IF(B451&lt;&gt;"",+SUMIF(Items!C:C,'AUX-NIV1'!B451,Items!H:H),"")</f>
        <v>0</v>
      </c>
      <c r="F451" s="349">
        <f t="shared" si="204"/>
        <v>372.48110301286789</v>
      </c>
      <c r="G451" s="349">
        <f t="shared" si="205"/>
        <v>0</v>
      </c>
      <c r="H451" s="1395" t="str">
        <f>IF(B451&lt;&gt;"",+LEFT(I451,1),"")</f>
        <v>A</v>
      </c>
      <c r="I451" s="1398" t="s">
        <v>1746</v>
      </c>
      <c r="J451" s="350" t="str">
        <f>IF(B451&lt;&gt;"",+VLOOKUP(I451,Recursos!C:F,2,FALSE),"")</f>
        <v>OFICIAL</v>
      </c>
      <c r="K451" s="351" t="str">
        <f>IF(B451&lt;&gt;"",+VLOOKUP(I451,Recursos!C:F,3,FALSE),"")</f>
        <v>hh</v>
      </c>
      <c r="L451" s="436">
        <f>IF(B451&lt;&gt;"",+VLOOKUP(I451,Recursos!C:F,4,FALSE),"")</f>
        <v>496.91595439275824</v>
      </c>
      <c r="M451" s="1080">
        <v>8</v>
      </c>
      <c r="N451" s="1088">
        <v>20</v>
      </c>
      <c r="O451" s="439">
        <f>M451/N451</f>
        <v>0.4</v>
      </c>
      <c r="P451" s="440">
        <f>IF(B451&lt;&gt;"",O451*L451,"")</f>
        <v>198.76638175710332</v>
      </c>
      <c r="Q451" s="349">
        <f>IF(B451&lt;&gt;"",+O451*E451,"")</f>
        <v>0</v>
      </c>
      <c r="R451" s="353">
        <f>IF(B451&lt;&gt;"",Q451*L451,"")</f>
        <v>0</v>
      </c>
      <c r="S451" s="354">
        <f t="shared" si="206"/>
        <v>367.75855283577226</v>
      </c>
      <c r="T451" s="354">
        <f t="shared" si="207"/>
        <v>0</v>
      </c>
      <c r="U451" s="355">
        <f t="shared" si="208"/>
        <v>4.7225501770956315</v>
      </c>
      <c r="V451" s="355">
        <f t="shared" si="209"/>
        <v>0</v>
      </c>
      <c r="W451" s="355">
        <f t="shared" si="210"/>
        <v>0</v>
      </c>
      <c r="X451" s="355">
        <f t="shared" si="211"/>
        <v>0</v>
      </c>
      <c r="Y451" s="396"/>
      <c r="Z451" s="346" t="str">
        <f>IF(B451&lt;&gt;"",+$B451&amp;"A","")</f>
        <v>0-PININTA</v>
      </c>
      <c r="AA451" s="346" t="str">
        <f>IF(B451&lt;&gt;"",+$B451&amp;"E","")</f>
        <v>0-PININTE</v>
      </c>
      <c r="AB451" s="346" t="str">
        <f>IF(B451&lt;&gt;"",++$B451&amp;"M","")</f>
        <v>0-PININTM</v>
      </c>
      <c r="AC451" s="346" t="str">
        <f>IF(B451&lt;&gt;"",+$B451&amp;"T","")</f>
        <v>0-PININTT</v>
      </c>
      <c r="AD451" s="346" t="str">
        <f>IF(B451&lt;&gt;"",+$B451&amp;"S","")</f>
        <v>0-PININTS</v>
      </c>
      <c r="AE451" s="346" t="str">
        <f>IF(B451&lt;&gt;"",+$B451&amp;"X","")</f>
        <v>0-PININTX</v>
      </c>
      <c r="AF451" s="346" t="str">
        <f>IF(B451&lt;&gt;"",+B451&amp;H451,"")</f>
        <v>0-PININTA</v>
      </c>
      <c r="AG451" s="346">
        <f t="shared" si="212"/>
        <v>3</v>
      </c>
      <c r="AH451" s="346">
        <f>IF(B451&lt;&gt;"",+IF(H451="x",+VLOOKUP(I451,'AUX-NIV2'!B:AG,32,FALSE),0),"")</f>
        <v>0</v>
      </c>
      <c r="AI451" s="346" t="str">
        <f>IF(B451&lt;&gt;"",+B451,"")</f>
        <v>0-PININT</v>
      </c>
      <c r="AK451" s="347">
        <f t="shared" si="213"/>
        <v>449</v>
      </c>
      <c r="AL451" s="348">
        <f>IF(B451&lt;&gt;"",+AK451+AG451-1,"")</f>
        <v>451</v>
      </c>
      <c r="AM451" s="347">
        <f>IF(B451&lt;&gt;"",IF(B451=B455,1+AM455,1),"")</f>
        <v>1</v>
      </c>
      <c r="AN451" s="382">
        <f>IF(AND(AH451&gt;0,B451&lt;&gt;""),VLOOKUP(I451,'AUX-NIV2'!$B:$AP,40,FALSE)*O451,0)</f>
        <v>0</v>
      </c>
      <c r="AO451" s="382">
        <f t="shared" si="214"/>
        <v>0.8</v>
      </c>
      <c r="AQ451" s="395">
        <f>(IF($H451="x",VLOOKUP($I451,'AUX-NIV2'!$B:$X,'AUX-NIV1'!AQ$3,FALSE),0)+($AV451*'AUX-NIV3'!S$4))*$O451+IF($H451=AQ$4,$P451,0)</f>
        <v>198.76638175710332</v>
      </c>
      <c r="AR451" s="395">
        <f>(IF($H451="x",VLOOKUP($I451,'AUX-NIV2'!$B:$X,'AUX-NIV1'!AR$3,FALSE),0)+($AV451*'AUX-NIV3'!T$4))*$O451+IF($H451=AR$4,$P451,0)</f>
        <v>0</v>
      </c>
      <c r="AS451" s="395">
        <f>(IF($H451="x",VLOOKUP($I451,'AUX-NIV2'!$B:$X,'AUX-NIV1'!AS$3,FALSE),0)+($AV451*'AUX-NIV3'!U$4))*$O451+IF($H451=AS$4,$P451,0)</f>
        <v>0</v>
      </c>
      <c r="AT451" s="395">
        <f>(IF($H451="x",VLOOKUP($I451,'AUX-NIV2'!$B:$X,'AUX-NIV1'!AT$3,FALSE),0)+($AV451*'AUX-NIV3'!V$4))*$O451+IF($H451=AT$4,$P451,0)</f>
        <v>0</v>
      </c>
      <c r="AU451" s="395">
        <f>(IF($H451="x",VLOOKUP($I451,'AUX-NIV2'!$B:$X,'AUX-NIV1'!AU$3,FALSE),0)+($AV451*'AUX-NIV3'!W$4))*$O451+IF($H451=AU$4,$P451,0)</f>
        <v>0</v>
      </c>
      <c r="AV451" s="395">
        <f>+IF($H451="x",VLOOKUP($I451,'AUX-NIV2'!$B:$X,'AUX-NIV1'!AV$3,FALSE),0)</f>
        <v>0</v>
      </c>
    </row>
    <row r="452" spans="2:48" ht="13.8" thickTop="1">
      <c r="B452" s="501" t="s">
        <v>3486</v>
      </c>
      <c r="C452" s="950" t="s">
        <v>3284</v>
      </c>
      <c r="D452" s="326" t="s">
        <v>501</v>
      </c>
      <c r="E452" s="349">
        <f>IF(B452&lt;&gt;"",+SUMIF(Items!C:C,'AUX-NIV1'!B452,Items!H:H),"")</f>
        <v>0</v>
      </c>
      <c r="F452" s="349">
        <f t="shared" si="204"/>
        <v>746.06610212963187</v>
      </c>
      <c r="G452" s="349">
        <f t="shared" si="205"/>
        <v>0</v>
      </c>
      <c r="H452" s="1395" t="str">
        <f t="shared" si="215"/>
        <v>M</v>
      </c>
      <c r="I452" s="1375" t="s">
        <v>4680</v>
      </c>
      <c r="J452" s="350" t="str">
        <f>IF(B452&lt;&gt;"",+VLOOKUP(I452,Recursos!C:F,2,FALSE),"")</f>
        <v>PINTURA LATEX ACRILICO</v>
      </c>
      <c r="K452" s="351" t="str">
        <f>IF(B452&lt;&gt;"",+VLOOKUP(I452,Recursos!C:F,3,FALSE),"")</f>
        <v>LTS</v>
      </c>
      <c r="L452" s="436">
        <f>IF(B452&lt;&gt;"",+VLOOKUP(I452,Recursos!C:F,4,FALSE),"")</f>
        <v>165.28925619834712</v>
      </c>
      <c r="M452" s="550">
        <v>35</v>
      </c>
      <c r="N452" s="1085"/>
      <c r="O452" s="439">
        <f>1/M452</f>
        <v>2.8571428571428571E-2</v>
      </c>
      <c r="P452" s="440">
        <f t="shared" si="216"/>
        <v>4.7225501770956315</v>
      </c>
      <c r="Q452" s="349">
        <f t="shared" si="217"/>
        <v>0</v>
      </c>
      <c r="R452" s="353">
        <f t="shared" si="218"/>
        <v>0</v>
      </c>
      <c r="S452" s="354">
        <f t="shared" si="206"/>
        <v>735.51710567154453</v>
      </c>
      <c r="T452" s="354">
        <f t="shared" si="207"/>
        <v>0</v>
      </c>
      <c r="U452" s="355">
        <f t="shared" si="208"/>
        <v>10.548996458087368</v>
      </c>
      <c r="V452" s="355">
        <f t="shared" si="209"/>
        <v>0</v>
      </c>
      <c r="W452" s="355">
        <f t="shared" si="210"/>
        <v>0</v>
      </c>
      <c r="X452" s="355">
        <f t="shared" si="211"/>
        <v>0</v>
      </c>
      <c r="Y452" s="396"/>
      <c r="Z452" s="346" t="str">
        <f t="shared" si="219"/>
        <v>0-PINEXTA</v>
      </c>
      <c r="AA452" s="346" t="str">
        <f t="shared" si="220"/>
        <v>0-PINEXTE</v>
      </c>
      <c r="AB452" s="346" t="str">
        <f t="shared" si="221"/>
        <v>0-PINEXTM</v>
      </c>
      <c r="AC452" s="346" t="str">
        <f t="shared" si="222"/>
        <v>0-PINEXTT</v>
      </c>
      <c r="AD452" s="346" t="str">
        <f t="shared" si="223"/>
        <v>0-PINEXTS</v>
      </c>
      <c r="AE452" s="346" t="str">
        <f t="shared" si="224"/>
        <v>0-PINEXTX</v>
      </c>
      <c r="AF452" s="346" t="str">
        <f t="shared" si="225"/>
        <v>0-PINEXTM</v>
      </c>
      <c r="AG452" s="346">
        <f t="shared" si="212"/>
        <v>4</v>
      </c>
      <c r="AH452" s="346">
        <f>IF(B452&lt;&gt;"",+IF(H452="x",+VLOOKUP(I452,'AUX-NIV2'!B:AG,32,FALSE),0),"")</f>
        <v>0</v>
      </c>
      <c r="AI452" s="346" t="str">
        <f t="shared" si="226"/>
        <v>0-PINEXT</v>
      </c>
      <c r="AK452" s="347">
        <f t="shared" si="213"/>
        <v>452</v>
      </c>
      <c r="AL452" s="348">
        <f t="shared" si="227"/>
        <v>455</v>
      </c>
      <c r="AM452" s="347" t="e">
        <f>IF(B452&lt;&gt;"",IF(B452=#REF!,1+#REF!,1),"")</f>
        <v>#REF!</v>
      </c>
      <c r="AN452" s="382">
        <f>IF(AND(AH452&gt;0,B452&lt;&gt;""),VLOOKUP(I452,'AUX-NIV2'!$B:$AP,40,FALSE)*O452,0)</f>
        <v>0</v>
      </c>
      <c r="AO452" s="382">
        <f t="shared" si="214"/>
        <v>1.6</v>
      </c>
      <c r="AQ452" s="395">
        <f>(IF($H452="x",VLOOKUP($I452,'AUX-NIV2'!$B:$X,'AUX-NIV1'!AQ$3,FALSE),0)+($AV452*'AUX-NIV3'!S$4))*$O452+IF($H452=AQ$4,$P452,0)</f>
        <v>0</v>
      </c>
      <c r="AR452" s="395">
        <f>(IF($H452="x",VLOOKUP($I452,'AUX-NIV2'!$B:$X,'AUX-NIV1'!AR$3,FALSE),0)+($AV452*'AUX-NIV3'!T$4))*$O452+IF($H452=AR$4,$P452,0)</f>
        <v>0</v>
      </c>
      <c r="AS452" s="395">
        <f>(IF($H452="x",VLOOKUP($I452,'AUX-NIV2'!$B:$X,'AUX-NIV1'!AS$3,FALSE),0)+($AV452*'AUX-NIV3'!U$4))*$O452+IF($H452=AS$4,$P452,0)</f>
        <v>4.7225501770956315</v>
      </c>
      <c r="AT452" s="395">
        <f>(IF($H452="x",VLOOKUP($I452,'AUX-NIV2'!$B:$X,'AUX-NIV1'!AT$3,FALSE),0)+($AV452*'AUX-NIV3'!V$4))*$O452+IF($H452=AT$4,$P452,0)</f>
        <v>0</v>
      </c>
      <c r="AU452" s="395">
        <f>(IF($H452="x",VLOOKUP($I452,'AUX-NIV2'!$B:$X,'AUX-NIV1'!AU$3,FALSE),0)+($AV452*'AUX-NIV3'!W$4))*$O452+IF($H452=AU$4,$P452,0)</f>
        <v>0</v>
      </c>
      <c r="AV452" s="395">
        <f>+IF($H452="x",VLOOKUP($I452,'AUX-NIV2'!$B:$X,'AUX-NIV1'!AV$3,FALSE),0)</f>
        <v>0</v>
      </c>
    </row>
    <row r="453" spans="2:48">
      <c r="B453" s="501" t="s">
        <v>3486</v>
      </c>
      <c r="C453" s="950" t="s">
        <v>3284</v>
      </c>
      <c r="D453" s="326" t="s">
        <v>501</v>
      </c>
      <c r="E453" s="349">
        <f>IF(B453&lt;&gt;"",+SUMIF(Items!C:C,'AUX-NIV1'!B453,Items!H:H),"")</f>
        <v>0</v>
      </c>
      <c r="F453" s="349">
        <f t="shared" si="204"/>
        <v>746.06610212963187</v>
      </c>
      <c r="G453" s="349">
        <f t="shared" si="205"/>
        <v>0</v>
      </c>
      <c r="H453" s="1395" t="str">
        <f t="shared" si="215"/>
        <v>A</v>
      </c>
      <c r="I453" s="1398" t="s">
        <v>1745</v>
      </c>
      <c r="J453" s="350" t="str">
        <f>IF(B453&lt;&gt;"",+VLOOKUP(I453,Recursos!C:F,2,FALSE),"")</f>
        <v>AYUDANTE</v>
      </c>
      <c r="K453" s="351" t="str">
        <f>IF(B453&lt;&gt;"",+VLOOKUP(I453,Recursos!C:F,3,FALSE),"")</f>
        <v>hh</v>
      </c>
      <c r="L453" s="436">
        <f>IF(B453&lt;&gt;"",+VLOOKUP(I453,Recursos!C:F,4,FALSE),"")</f>
        <v>422.48042769667234</v>
      </c>
      <c r="M453" s="550">
        <v>8</v>
      </c>
      <c r="N453" s="1087">
        <v>10</v>
      </c>
      <c r="O453" s="439">
        <f>M453/N453</f>
        <v>0.8</v>
      </c>
      <c r="P453" s="440">
        <f t="shared" si="216"/>
        <v>337.98434215733789</v>
      </c>
      <c r="Q453" s="349">
        <f t="shared" si="217"/>
        <v>0</v>
      </c>
      <c r="R453" s="353">
        <f t="shared" si="218"/>
        <v>0</v>
      </c>
      <c r="S453" s="354">
        <f t="shared" si="206"/>
        <v>735.51710567154453</v>
      </c>
      <c r="T453" s="354">
        <f t="shared" si="207"/>
        <v>0</v>
      </c>
      <c r="U453" s="355">
        <f t="shared" si="208"/>
        <v>10.548996458087368</v>
      </c>
      <c r="V453" s="355">
        <f t="shared" si="209"/>
        <v>0</v>
      </c>
      <c r="W453" s="355">
        <f t="shared" si="210"/>
        <v>0</v>
      </c>
      <c r="X453" s="355">
        <f t="shared" si="211"/>
        <v>0</v>
      </c>
      <c r="Y453" s="396"/>
      <c r="Z453" s="346" t="str">
        <f t="shared" si="219"/>
        <v>0-PINEXTA</v>
      </c>
      <c r="AA453" s="346" t="str">
        <f t="shared" si="220"/>
        <v>0-PINEXTE</v>
      </c>
      <c r="AB453" s="346" t="str">
        <f t="shared" si="221"/>
        <v>0-PINEXTM</v>
      </c>
      <c r="AC453" s="346" t="str">
        <f t="shared" si="222"/>
        <v>0-PINEXTT</v>
      </c>
      <c r="AD453" s="346" t="str">
        <f t="shared" si="223"/>
        <v>0-PINEXTS</v>
      </c>
      <c r="AE453" s="346" t="str">
        <f t="shared" si="224"/>
        <v>0-PINEXTX</v>
      </c>
      <c r="AF453" s="346" t="str">
        <f t="shared" si="225"/>
        <v>0-PINEXTA</v>
      </c>
      <c r="AG453" s="346">
        <f t="shared" si="212"/>
        <v>4</v>
      </c>
      <c r="AH453" s="346">
        <f>IF(B453&lt;&gt;"",+IF(H453="x",+VLOOKUP(I453,'AUX-NIV2'!B:AG,32,FALSE),0),"")</f>
        <v>0</v>
      </c>
      <c r="AI453" s="346" t="str">
        <f t="shared" si="226"/>
        <v>0-PINEXT</v>
      </c>
      <c r="AK453" s="347">
        <f t="shared" si="213"/>
        <v>452</v>
      </c>
      <c r="AL453" s="348">
        <f t="shared" si="227"/>
        <v>455</v>
      </c>
      <c r="AM453" s="347" t="e">
        <f t="shared" si="228"/>
        <v>#REF!</v>
      </c>
      <c r="AN453" s="382">
        <f>IF(AND(AH453&gt;0,B453&lt;&gt;""),VLOOKUP(I453,'AUX-NIV2'!$B:$AP,40,FALSE)*O453,0)</f>
        <v>0</v>
      </c>
      <c r="AO453" s="382">
        <f t="shared" si="214"/>
        <v>1.6</v>
      </c>
      <c r="AQ453" s="395">
        <f>(IF($H453="x",VLOOKUP($I453,'AUX-NIV2'!$B:$X,'AUX-NIV1'!AQ$3,FALSE),0)+($AV453*'AUX-NIV3'!S$4))*$O453+IF($H453=AQ$4,$P453,0)</f>
        <v>337.98434215733789</v>
      </c>
      <c r="AR453" s="395">
        <f>(IF($H453="x",VLOOKUP($I453,'AUX-NIV2'!$B:$X,'AUX-NIV1'!AR$3,FALSE),0)+($AV453*'AUX-NIV3'!T$4))*$O453+IF($H453=AR$4,$P453,0)</f>
        <v>0</v>
      </c>
      <c r="AS453" s="395">
        <f>(IF($H453="x",VLOOKUP($I453,'AUX-NIV2'!$B:$X,'AUX-NIV1'!AS$3,FALSE),0)+($AV453*'AUX-NIV3'!U$4))*$O453+IF($H453=AS$4,$P453,0)</f>
        <v>0</v>
      </c>
      <c r="AT453" s="395">
        <f>(IF($H453="x",VLOOKUP($I453,'AUX-NIV2'!$B:$X,'AUX-NIV1'!AT$3,FALSE),0)+($AV453*'AUX-NIV3'!V$4))*$O453+IF($H453=AT$4,$P453,0)</f>
        <v>0</v>
      </c>
      <c r="AU453" s="395">
        <f>(IF($H453="x",VLOOKUP($I453,'AUX-NIV2'!$B:$X,'AUX-NIV1'!AU$3,FALSE),0)+($AV453*'AUX-NIV3'!W$4))*$O453+IF($H453=AU$4,$P453,0)</f>
        <v>0</v>
      </c>
      <c r="AV453" s="395">
        <f>+IF($H453="x",VLOOKUP($I453,'AUX-NIV2'!$B:$X,'AUX-NIV1'!AV$3,FALSE),0)</f>
        <v>0</v>
      </c>
    </row>
    <row r="454" spans="2:48">
      <c r="B454" s="501" t="s">
        <v>3486</v>
      </c>
      <c r="C454" s="950" t="s">
        <v>3284</v>
      </c>
      <c r="D454" s="326" t="s">
        <v>501</v>
      </c>
      <c r="E454" s="349">
        <f>IF(B454&lt;&gt;"",+SUMIF(Items!C:C,'AUX-NIV1'!B454,Items!H:H),"")</f>
        <v>0</v>
      </c>
      <c r="F454" s="349">
        <f t="shared" si="204"/>
        <v>746.06610212963187</v>
      </c>
      <c r="G454" s="349">
        <f t="shared" si="205"/>
        <v>0</v>
      </c>
      <c r="H454" s="1395" t="str">
        <f t="shared" ref="H454" si="253">IF(B454&lt;&gt;"",+LEFT(I454,1),"")</f>
        <v>A</v>
      </c>
      <c r="I454" s="1398" t="s">
        <v>1746</v>
      </c>
      <c r="J454" s="350" t="str">
        <f>IF(B454&lt;&gt;"",+VLOOKUP(I454,Recursos!C:F,2,FALSE),"")</f>
        <v>OFICIAL</v>
      </c>
      <c r="K454" s="351" t="str">
        <f>IF(B454&lt;&gt;"",+VLOOKUP(I454,Recursos!C:F,3,FALSE),"")</f>
        <v>hh</v>
      </c>
      <c r="L454" s="436">
        <f>IF(B454&lt;&gt;"",+VLOOKUP(I454,Recursos!C:F,4,FALSE),"")</f>
        <v>496.91595439275824</v>
      </c>
      <c r="M454" s="550">
        <v>8</v>
      </c>
      <c r="N454" s="1087">
        <v>10</v>
      </c>
      <c r="O454" s="439">
        <f>M454/N454</f>
        <v>0.8</v>
      </c>
      <c r="P454" s="440">
        <f t="shared" ref="P454" si="254">IF(B454&lt;&gt;"",O454*L454,"")</f>
        <v>397.53276351420664</v>
      </c>
      <c r="Q454" s="349">
        <f t="shared" ref="Q454" si="255">IF(B454&lt;&gt;"",+O454*E454,"")</f>
        <v>0</v>
      </c>
      <c r="R454" s="353">
        <f t="shared" ref="R454" si="256">IF(B454&lt;&gt;"",Q454*L454,"")</f>
        <v>0</v>
      </c>
      <c r="S454" s="354">
        <f t="shared" si="206"/>
        <v>735.51710567154453</v>
      </c>
      <c r="T454" s="354">
        <f t="shared" si="207"/>
        <v>0</v>
      </c>
      <c r="U454" s="355">
        <f t="shared" si="208"/>
        <v>10.548996458087368</v>
      </c>
      <c r="V454" s="355">
        <f t="shared" si="209"/>
        <v>0</v>
      </c>
      <c r="W454" s="355">
        <f t="shared" si="210"/>
        <v>0</v>
      </c>
      <c r="X454" s="355">
        <f t="shared" si="211"/>
        <v>0</v>
      </c>
      <c r="Y454" s="396"/>
      <c r="Z454" s="346" t="str">
        <f t="shared" ref="Z454" si="257">IF(B454&lt;&gt;"",+$B454&amp;"A","")</f>
        <v>0-PINEXTA</v>
      </c>
      <c r="AA454" s="346" t="str">
        <f t="shared" ref="AA454" si="258">IF(B454&lt;&gt;"",+$B454&amp;"E","")</f>
        <v>0-PINEXTE</v>
      </c>
      <c r="AB454" s="346" t="str">
        <f t="shared" ref="AB454" si="259">IF(B454&lt;&gt;"",++$B454&amp;"M","")</f>
        <v>0-PINEXTM</v>
      </c>
      <c r="AC454" s="346" t="str">
        <f t="shared" ref="AC454" si="260">IF(B454&lt;&gt;"",+$B454&amp;"T","")</f>
        <v>0-PINEXTT</v>
      </c>
      <c r="AD454" s="346" t="str">
        <f t="shared" ref="AD454" si="261">IF(B454&lt;&gt;"",+$B454&amp;"S","")</f>
        <v>0-PINEXTS</v>
      </c>
      <c r="AE454" s="346" t="str">
        <f t="shared" ref="AE454" si="262">IF(B454&lt;&gt;"",+$B454&amp;"X","")</f>
        <v>0-PINEXTX</v>
      </c>
      <c r="AF454" s="346" t="str">
        <f t="shared" ref="AF454" si="263">IF(B454&lt;&gt;"",+B454&amp;H454,"")</f>
        <v>0-PINEXTA</v>
      </c>
      <c r="AG454" s="346">
        <f t="shared" si="212"/>
        <v>4</v>
      </c>
      <c r="AH454" s="346">
        <f>IF(B454&lt;&gt;"",+IF(H454="x",+VLOOKUP(I454,'AUX-NIV2'!B:AG,32,FALSE),0),"")</f>
        <v>0</v>
      </c>
      <c r="AI454" s="346" t="str">
        <f t="shared" ref="AI454" si="264">IF(B454&lt;&gt;"",+B454,"")</f>
        <v>0-PINEXT</v>
      </c>
      <c r="AK454" s="347">
        <f t="shared" si="213"/>
        <v>452</v>
      </c>
      <c r="AL454" s="348">
        <f t="shared" ref="AL454" si="265">IF(B454&lt;&gt;"",+AK454+AG454-1,"")</f>
        <v>455</v>
      </c>
      <c r="AM454" s="347" t="e">
        <f t="shared" ref="AM454" si="266">IF(B454&lt;&gt;"",IF(B454=B453,1+AM453,1),"")</f>
        <v>#REF!</v>
      </c>
      <c r="AN454" s="382">
        <f>IF(AND(AH454&gt;0,B454&lt;&gt;""),VLOOKUP(I454,'AUX-NIV2'!$B:$AP,40,FALSE)*O454,0)</f>
        <v>0</v>
      </c>
      <c r="AO454" s="382">
        <f t="shared" si="214"/>
        <v>1.6</v>
      </c>
      <c r="AQ454" s="395">
        <f>(IF($H454="x",VLOOKUP($I454,'AUX-NIV2'!$B:$X,'AUX-NIV1'!AQ$3,FALSE),0)+($AV454*'AUX-NIV3'!S$4))*$O454+IF($H454=AQ$4,$P454,0)</f>
        <v>397.53276351420664</v>
      </c>
      <c r="AR454" s="395">
        <f>(IF($H454="x",VLOOKUP($I454,'AUX-NIV2'!$B:$X,'AUX-NIV1'!AR$3,FALSE),0)+($AV454*'AUX-NIV3'!T$4))*$O454+IF($H454=AR$4,$P454,0)</f>
        <v>0</v>
      </c>
      <c r="AS454" s="395">
        <f>(IF($H454="x",VLOOKUP($I454,'AUX-NIV2'!$B:$X,'AUX-NIV1'!AS$3,FALSE),0)+($AV454*'AUX-NIV3'!U$4))*$O454+IF($H454=AS$4,$P454,0)</f>
        <v>0</v>
      </c>
      <c r="AT454" s="395">
        <f>(IF($H454="x",VLOOKUP($I454,'AUX-NIV2'!$B:$X,'AUX-NIV1'!AT$3,FALSE),0)+($AV454*'AUX-NIV3'!V$4))*$O454+IF($H454=AT$4,$P454,0)</f>
        <v>0</v>
      </c>
      <c r="AU454" s="395">
        <f>(IF($H454="x",VLOOKUP($I454,'AUX-NIV2'!$B:$X,'AUX-NIV1'!AU$3,FALSE),0)+($AV454*'AUX-NIV3'!W$4))*$O454+IF($H454=AU$4,$P454,0)</f>
        <v>0</v>
      </c>
      <c r="AV454" s="395">
        <f>+IF($H454="x",VLOOKUP($I454,'AUX-NIV2'!$B:$X,'AUX-NIV1'!AV$3,FALSE),0)</f>
        <v>0</v>
      </c>
    </row>
    <row r="455" spans="2:48" ht="13.8" thickBot="1">
      <c r="B455" s="501" t="s">
        <v>3486</v>
      </c>
      <c r="C455" s="950" t="s">
        <v>3284</v>
      </c>
      <c r="D455" s="326" t="s">
        <v>501</v>
      </c>
      <c r="E455" s="349">
        <f>IF(B455&lt;&gt;"",+SUMIF(Items!C:C,'AUX-NIV1'!B455,Items!H:H),"")</f>
        <v>0</v>
      </c>
      <c r="F455" s="349">
        <f t="shared" ref="F455:F518" si="267">IF(B455&lt;&gt;"",+SUMIF(B:B,B455,P:P),"")</f>
        <v>746.06610212963187</v>
      </c>
      <c r="G455" s="349">
        <f t="shared" ref="G455:G518" si="268">IF(B455&lt;&gt;"",+SUMIF(B:B,B455,R:R),"")</f>
        <v>0</v>
      </c>
      <c r="H455" s="1395" t="str">
        <f t="shared" si="215"/>
        <v>M</v>
      </c>
      <c r="I455" s="1375" t="s">
        <v>4681</v>
      </c>
      <c r="J455" s="350" t="str">
        <f>IF(B455&lt;&gt;"",+VLOOKUP(I455,Recursos!C:F,2,FALSE),"")</f>
        <v>ENDUIDO PLASTICO</v>
      </c>
      <c r="K455" s="351" t="str">
        <f>IF(B455&lt;&gt;"",+VLOOKUP(I455,Recursos!C:F,3,FALSE),"")</f>
        <v>LTS</v>
      </c>
      <c r="L455" s="436">
        <f>IF(B455&lt;&gt;"",+VLOOKUP(I455,Recursos!C:F,4,FALSE),"")</f>
        <v>116.52892561983472</v>
      </c>
      <c r="M455" s="1080">
        <v>20</v>
      </c>
      <c r="N455" s="1088"/>
      <c r="O455" s="769">
        <f>1/M455</f>
        <v>0.05</v>
      </c>
      <c r="P455" s="440">
        <f t="shared" si="216"/>
        <v>5.8264462809917363</v>
      </c>
      <c r="Q455" s="349">
        <f t="shared" si="217"/>
        <v>0</v>
      </c>
      <c r="R455" s="353">
        <f t="shared" si="218"/>
        <v>0</v>
      </c>
      <c r="S455" s="354">
        <f t="shared" ref="S455:S518" si="269">IF(B455&lt;&gt;"",+SUMIF($AF:$AF,Z455,$P:$P),"")</f>
        <v>735.51710567154453</v>
      </c>
      <c r="T455" s="354">
        <f t="shared" ref="T455:T518" si="270">IF(B455&lt;&gt;"",+SUMIF($AF:$AF,AA455,$P:$P),"")</f>
        <v>0</v>
      </c>
      <c r="U455" s="355">
        <f t="shared" ref="U455:U518" si="271">IF(B455&lt;&gt;"",+SUMIF($AF:$AF,AB455,$P:$P),"")</f>
        <v>10.548996458087368</v>
      </c>
      <c r="V455" s="355">
        <f t="shared" ref="V455:V518" si="272">IF(B455&lt;&gt;"",+SUMIF($AF:$AF,AC455,$P:$P),"")</f>
        <v>0</v>
      </c>
      <c r="W455" s="355">
        <f t="shared" ref="W455:W518" si="273">IF(B455&lt;&gt;"",+SUMIF($AF:$AF,AD455,$P:$P),"")</f>
        <v>0</v>
      </c>
      <c r="X455" s="355">
        <f t="shared" ref="X455:X518" si="274">IF(B455&lt;&gt;"",+SUMIF($AF:$AF,AE455,$P:$P),"")</f>
        <v>0</v>
      </c>
      <c r="Y455" s="396"/>
      <c r="Z455" s="346" t="str">
        <f t="shared" si="219"/>
        <v>0-PINEXTA</v>
      </c>
      <c r="AA455" s="346" t="str">
        <f t="shared" si="220"/>
        <v>0-PINEXTE</v>
      </c>
      <c r="AB455" s="346" t="str">
        <f t="shared" si="221"/>
        <v>0-PINEXTM</v>
      </c>
      <c r="AC455" s="346" t="str">
        <f t="shared" si="222"/>
        <v>0-PINEXTT</v>
      </c>
      <c r="AD455" s="346" t="str">
        <f t="shared" si="223"/>
        <v>0-PINEXTS</v>
      </c>
      <c r="AE455" s="346" t="str">
        <f t="shared" si="224"/>
        <v>0-PINEXTX</v>
      </c>
      <c r="AF455" s="346" t="str">
        <f t="shared" si="225"/>
        <v>0-PINEXTM</v>
      </c>
      <c r="AG455" s="346">
        <f t="shared" ref="AG455:AG518" si="275">IF(B455&lt;&gt;"",+COUNTIF(B:B,B455),"")</f>
        <v>4</v>
      </c>
      <c r="AH455" s="346">
        <f>IF(B455&lt;&gt;"",+IF(H455="x",+VLOOKUP(I455,'AUX-NIV2'!B:AG,32,FALSE),0),"")</f>
        <v>0</v>
      </c>
      <c r="AI455" s="346" t="str">
        <f t="shared" si="226"/>
        <v>0-PINEXT</v>
      </c>
      <c r="AK455" s="347">
        <f t="shared" ref="AK455:AK518" si="276">IF(B455&lt;&gt;"",+MATCH(B455,B:B,0),"")</f>
        <v>452</v>
      </c>
      <c r="AL455" s="348">
        <f t="shared" si="227"/>
        <v>455</v>
      </c>
      <c r="AM455" s="347" t="e">
        <f>IF(B455&lt;&gt;"",IF(B455=#REF!,1+#REF!,1),"")</f>
        <v>#REF!</v>
      </c>
      <c r="AN455" s="382">
        <f>IF(AND(AH455&gt;0,B455&lt;&gt;""),VLOOKUP(I455,'AUX-NIV2'!$B:$AP,40,FALSE)*O455,0)</f>
        <v>0</v>
      </c>
      <c r="AO455" s="382">
        <f t="shared" ref="AO455:AO518" si="277">+IF(B455&lt;&gt;"",SUMIF(AF:AF,Z455,O:O)+SUMIF(Z:Z,Z455,AN:AN),0)</f>
        <v>1.6</v>
      </c>
      <c r="AQ455" s="395">
        <f>(IF($H455="x",VLOOKUP($I455,'AUX-NIV2'!$B:$X,'AUX-NIV1'!AQ$3,FALSE),0)+($AV455*'AUX-NIV3'!S$4))*$O455+IF($H455=AQ$4,$P455,0)</f>
        <v>0</v>
      </c>
      <c r="AR455" s="395">
        <f>(IF($H455="x",VLOOKUP($I455,'AUX-NIV2'!$B:$X,'AUX-NIV1'!AR$3,FALSE),0)+($AV455*'AUX-NIV3'!T$4))*$O455+IF($H455=AR$4,$P455,0)</f>
        <v>0</v>
      </c>
      <c r="AS455" s="395">
        <f>(IF($H455="x",VLOOKUP($I455,'AUX-NIV2'!$B:$X,'AUX-NIV1'!AS$3,FALSE),0)+($AV455*'AUX-NIV3'!U$4))*$O455+IF($H455=AS$4,$P455,0)</f>
        <v>5.8264462809917363</v>
      </c>
      <c r="AT455" s="395">
        <f>(IF($H455="x",VLOOKUP($I455,'AUX-NIV2'!$B:$X,'AUX-NIV1'!AT$3,FALSE),0)+($AV455*'AUX-NIV3'!V$4))*$O455+IF($H455=AT$4,$P455,0)</f>
        <v>0</v>
      </c>
      <c r="AU455" s="395">
        <f>(IF($H455="x",VLOOKUP($I455,'AUX-NIV2'!$B:$X,'AUX-NIV1'!AU$3,FALSE),0)+($AV455*'AUX-NIV3'!W$4))*$O455+IF($H455=AU$4,$P455,0)</f>
        <v>0</v>
      </c>
      <c r="AV455" s="395">
        <f>+IF($H455="x",VLOOKUP($I455,'AUX-NIV2'!$B:$X,'AUX-NIV1'!AV$3,FALSE),0)</f>
        <v>0</v>
      </c>
    </row>
    <row r="456" spans="2:48" ht="13.8" hidden="1" thickTop="1">
      <c r="B456" s="501" t="s">
        <v>3852</v>
      </c>
      <c r="C456" s="950" t="s">
        <v>3853</v>
      </c>
      <c r="D456" s="326" t="s">
        <v>501</v>
      </c>
      <c r="E456" s="349">
        <f>IF(B456&lt;&gt;"",+SUMIF(Items!C:C,'AUX-NIV1'!B456,Items!H:H),"")</f>
        <v>0</v>
      </c>
      <c r="F456" s="349">
        <f t="shared" si="267"/>
        <v>475.70127742096247</v>
      </c>
      <c r="G456" s="349">
        <f t="shared" si="268"/>
        <v>0</v>
      </c>
      <c r="H456" s="1395" t="str">
        <f t="shared" ref="H456:H458" si="278">IF(B456&lt;&gt;"",+LEFT(I456,1),"")</f>
        <v>M</v>
      </c>
      <c r="I456" s="1375" t="s">
        <v>3854</v>
      </c>
      <c r="J456" s="350" t="str">
        <f>IF(B456&lt;&gt;"",+VLOOKUP(I456,Recursos!C:F,2,FALSE),"")</f>
        <v>PINTURA LATEX CIELORRASO</v>
      </c>
      <c r="K456" s="351" t="str">
        <f>IF(B456&lt;&gt;"",+VLOOKUP(I456,Recursos!C:F,3,FALSE),"")</f>
        <v>LTS</v>
      </c>
      <c r="L456" s="436">
        <f>IF(B456&lt;&gt;"",+VLOOKUP(I456,Recursos!C:F,4,FALSE),"")</f>
        <v>178.65</v>
      </c>
      <c r="M456" s="1092">
        <v>4</v>
      </c>
      <c r="N456" s="1084"/>
      <c r="O456" s="439">
        <f>1/M456</f>
        <v>0.25</v>
      </c>
      <c r="P456" s="440">
        <f t="shared" ref="P456:P458" si="279">IF(B456&lt;&gt;"",O456*L456,"")</f>
        <v>44.662500000000001</v>
      </c>
      <c r="Q456" s="349">
        <f t="shared" ref="Q456:Q458" si="280">IF(B456&lt;&gt;"",+O456*E456,"")</f>
        <v>0</v>
      </c>
      <c r="R456" s="353">
        <f t="shared" ref="R456:R458" si="281">IF(B456&lt;&gt;"",Q456*L456,"")</f>
        <v>0</v>
      </c>
      <c r="S456" s="354">
        <f t="shared" si="269"/>
        <v>414.09662866063189</v>
      </c>
      <c r="T456" s="354">
        <f t="shared" si="270"/>
        <v>0</v>
      </c>
      <c r="U456" s="355">
        <f t="shared" si="271"/>
        <v>61.604648760330576</v>
      </c>
      <c r="V456" s="355">
        <f t="shared" si="272"/>
        <v>0</v>
      </c>
      <c r="W456" s="355">
        <f t="shared" si="273"/>
        <v>0</v>
      </c>
      <c r="X456" s="355">
        <f t="shared" si="274"/>
        <v>0</v>
      </c>
      <c r="Y456" s="396"/>
      <c r="Z456" s="346" t="str">
        <f t="shared" ref="Z456:Z458" si="282">IF(B456&lt;&gt;"",+$B456&amp;"A","")</f>
        <v>0-PINCIEA</v>
      </c>
      <c r="AA456" s="346" t="str">
        <f t="shared" ref="AA456:AA458" si="283">IF(B456&lt;&gt;"",+$B456&amp;"E","")</f>
        <v>0-PINCIEE</v>
      </c>
      <c r="AB456" s="346" t="str">
        <f t="shared" ref="AB456:AB458" si="284">IF(B456&lt;&gt;"",++$B456&amp;"M","")</f>
        <v>0-PINCIEM</v>
      </c>
      <c r="AC456" s="346" t="str">
        <f t="shared" ref="AC456:AC458" si="285">IF(B456&lt;&gt;"",+$B456&amp;"T","")</f>
        <v>0-PINCIET</v>
      </c>
      <c r="AD456" s="346" t="str">
        <f t="shared" ref="AD456:AD458" si="286">IF(B456&lt;&gt;"",+$B456&amp;"S","")</f>
        <v>0-PINCIES</v>
      </c>
      <c r="AE456" s="346" t="str">
        <f t="shared" ref="AE456:AE458" si="287">IF(B456&lt;&gt;"",+$B456&amp;"X","")</f>
        <v>0-PINCIEX</v>
      </c>
      <c r="AF456" s="346" t="str">
        <f t="shared" ref="AF456:AF458" si="288">IF(B456&lt;&gt;"",+B456&amp;H456,"")</f>
        <v>0-PINCIEM</v>
      </c>
      <c r="AG456" s="346">
        <f t="shared" si="275"/>
        <v>3</v>
      </c>
      <c r="AH456" s="346">
        <f>IF(B456&lt;&gt;"",+IF(H456="x",+VLOOKUP(I456,'AUX-NIV2'!B:AG,32,FALSE),0),"")</f>
        <v>0</v>
      </c>
      <c r="AI456" s="346" t="str">
        <f t="shared" ref="AI456:AI458" si="289">IF(B456&lt;&gt;"",+B456,"")</f>
        <v>0-PINCIE</v>
      </c>
      <c r="AK456" s="347">
        <f t="shared" si="276"/>
        <v>456</v>
      </c>
      <c r="AL456" s="348">
        <f t="shared" ref="AL456:AL458" si="290">IF(B456&lt;&gt;"",+AK456+AG456-1,"")</f>
        <v>458</v>
      </c>
      <c r="AM456" s="347">
        <f>IF(B456&lt;&gt;"",IF(B456=B451,1+AM451,1),"")</f>
        <v>1</v>
      </c>
      <c r="AN456" s="382">
        <f>IF(AND(AH456&gt;0,B456&lt;&gt;""),VLOOKUP(I456,'AUX-NIV2'!$B:$AP,40,FALSE)*O456,0)</f>
        <v>0</v>
      </c>
      <c r="AO456" s="382">
        <f t="shared" si="277"/>
        <v>0.83333333333333337</v>
      </c>
      <c r="AQ456" s="395">
        <f>(IF($H456="x",VLOOKUP($I456,'AUX-NIV2'!$B:$X,'AUX-NIV1'!AQ$3,FALSE),0)+($AV456*'AUX-NIV3'!S$4))*$O456+IF($H456=AQ$4,$P456,0)</f>
        <v>0</v>
      </c>
      <c r="AR456" s="395">
        <f>(IF($H456="x",VLOOKUP($I456,'AUX-NIV2'!$B:$X,'AUX-NIV1'!AR$3,FALSE),0)+($AV456*'AUX-NIV3'!T$4))*$O456+IF($H456=AR$4,$P456,0)</f>
        <v>0</v>
      </c>
      <c r="AS456" s="395">
        <f>(IF($H456="x",VLOOKUP($I456,'AUX-NIV2'!$B:$X,'AUX-NIV1'!AS$3,FALSE),0)+($AV456*'AUX-NIV3'!U$4))*$O456+IF($H456=AS$4,$P456,0)</f>
        <v>44.662500000000001</v>
      </c>
      <c r="AT456" s="395">
        <f>(IF($H456="x",VLOOKUP($I456,'AUX-NIV2'!$B:$X,'AUX-NIV1'!AT$3,FALSE),0)+($AV456*'AUX-NIV3'!V$4))*$O456+IF($H456=AT$4,$P456,0)</f>
        <v>0</v>
      </c>
      <c r="AU456" s="395">
        <f>(IF($H456="x",VLOOKUP($I456,'AUX-NIV2'!$B:$X,'AUX-NIV1'!AU$3,FALSE),0)+($AV456*'AUX-NIV3'!W$4))*$O456+IF($H456=AU$4,$P456,0)</f>
        <v>0</v>
      </c>
      <c r="AV456" s="395">
        <f>+IF($H456="x",VLOOKUP($I456,'AUX-NIV2'!$B:$X,'AUX-NIV1'!AV$3,FALSE),0)</f>
        <v>0</v>
      </c>
    </row>
    <row r="457" spans="2:48" ht="13.8" hidden="1" thickTop="1">
      <c r="B457" s="501" t="s">
        <v>3852</v>
      </c>
      <c r="C457" s="950" t="s">
        <v>3853</v>
      </c>
      <c r="D457" s="326" t="s">
        <v>501</v>
      </c>
      <c r="E457" s="349">
        <f>IF(B457&lt;&gt;"",+SUMIF(Items!C:C,'AUX-NIV1'!B457,Items!H:H),"")</f>
        <v>0</v>
      </c>
      <c r="F457" s="349">
        <f t="shared" si="267"/>
        <v>475.70127742096247</v>
      </c>
      <c r="G457" s="349">
        <f t="shared" si="268"/>
        <v>0</v>
      </c>
      <c r="H457" s="1395" t="str">
        <f t="shared" si="278"/>
        <v>M</v>
      </c>
      <c r="I457" s="1375" t="s">
        <v>3489</v>
      </c>
      <c r="J457" s="350" t="str">
        <f>IF(B457&lt;&gt;"",+VLOOKUP(I457,Recursos!C:F,2,FALSE),"")</f>
        <v>PINTURA SELLADOR FIJADOR</v>
      </c>
      <c r="K457" s="351" t="str">
        <f>IF(B457&lt;&gt;"",+VLOOKUP(I457,Recursos!C:F,3,FALSE),"")</f>
        <v>LTS</v>
      </c>
      <c r="L457" s="436">
        <f>IF(B457&lt;&gt;"",+VLOOKUP(I457,Recursos!C:F,4,FALSE),"")</f>
        <v>169.42148760330579</v>
      </c>
      <c r="M457" s="550">
        <v>10</v>
      </c>
      <c r="N457" s="1085"/>
      <c r="O457" s="769">
        <f>1/M457</f>
        <v>0.1</v>
      </c>
      <c r="P457" s="440">
        <f t="shared" si="279"/>
        <v>16.942148760330578</v>
      </c>
      <c r="Q457" s="349">
        <f t="shared" si="280"/>
        <v>0</v>
      </c>
      <c r="R457" s="353">
        <f t="shared" si="281"/>
        <v>0</v>
      </c>
      <c r="S457" s="354">
        <f t="shared" si="269"/>
        <v>414.09662866063189</v>
      </c>
      <c r="T457" s="354">
        <f t="shared" si="270"/>
        <v>0</v>
      </c>
      <c r="U457" s="355">
        <f t="shared" si="271"/>
        <v>61.604648760330576</v>
      </c>
      <c r="V457" s="355">
        <f t="shared" si="272"/>
        <v>0</v>
      </c>
      <c r="W457" s="355">
        <f t="shared" si="273"/>
        <v>0</v>
      </c>
      <c r="X457" s="355">
        <f t="shared" si="274"/>
        <v>0</v>
      </c>
      <c r="Y457" s="396"/>
      <c r="Z457" s="346" t="str">
        <f t="shared" si="282"/>
        <v>0-PINCIEA</v>
      </c>
      <c r="AA457" s="346" t="str">
        <f t="shared" si="283"/>
        <v>0-PINCIEE</v>
      </c>
      <c r="AB457" s="346" t="str">
        <f t="shared" si="284"/>
        <v>0-PINCIEM</v>
      </c>
      <c r="AC457" s="346" t="str">
        <f t="shared" si="285"/>
        <v>0-PINCIET</v>
      </c>
      <c r="AD457" s="346" t="str">
        <f t="shared" si="286"/>
        <v>0-PINCIES</v>
      </c>
      <c r="AE457" s="346" t="str">
        <f t="shared" si="287"/>
        <v>0-PINCIEX</v>
      </c>
      <c r="AF457" s="346" t="str">
        <f t="shared" si="288"/>
        <v>0-PINCIEM</v>
      </c>
      <c r="AG457" s="346">
        <f t="shared" si="275"/>
        <v>3</v>
      </c>
      <c r="AH457" s="346">
        <f>IF(B457&lt;&gt;"",+IF(H457="x",+VLOOKUP(I457,'AUX-NIV2'!B:AG,32,FALSE),0),"")</f>
        <v>0</v>
      </c>
      <c r="AI457" s="346" t="str">
        <f t="shared" si="289"/>
        <v>0-PINCIE</v>
      </c>
      <c r="AK457" s="347">
        <f t="shared" si="276"/>
        <v>456</v>
      </c>
      <c r="AL457" s="348">
        <f t="shared" si="290"/>
        <v>458</v>
      </c>
      <c r="AM457" s="347">
        <f t="shared" ref="AM457:AM458" si="291">IF(B457&lt;&gt;"",IF(B457=B456,1+AM456,1),"")</f>
        <v>2</v>
      </c>
      <c r="AN457" s="382">
        <f>IF(AND(AH457&gt;0,B457&lt;&gt;""),VLOOKUP(I457,'AUX-NIV2'!$B:$AP,40,FALSE)*O457,0)</f>
        <v>0</v>
      </c>
      <c r="AO457" s="382">
        <f t="shared" si="277"/>
        <v>0.83333333333333337</v>
      </c>
      <c r="AQ457" s="395">
        <f>(IF($H457="x",VLOOKUP($I457,'AUX-NIV2'!$B:$X,'AUX-NIV1'!AQ$3,FALSE),0)+($AV457*'AUX-NIV3'!S$4))*$O457+IF($H457=AQ$4,$P457,0)</f>
        <v>0</v>
      </c>
      <c r="AR457" s="395">
        <f>(IF($H457="x",VLOOKUP($I457,'AUX-NIV2'!$B:$X,'AUX-NIV1'!AR$3,FALSE),0)+($AV457*'AUX-NIV3'!T$4))*$O457+IF($H457=AR$4,$P457,0)</f>
        <v>0</v>
      </c>
      <c r="AS457" s="395">
        <f>(IF($H457="x",VLOOKUP($I457,'AUX-NIV2'!$B:$X,'AUX-NIV1'!AS$3,FALSE),0)+($AV457*'AUX-NIV3'!U$4))*$O457+IF($H457=AS$4,$P457,0)</f>
        <v>16.942148760330578</v>
      </c>
      <c r="AT457" s="395">
        <f>(IF($H457="x",VLOOKUP($I457,'AUX-NIV2'!$B:$X,'AUX-NIV1'!AT$3,FALSE),0)+($AV457*'AUX-NIV3'!V$4))*$O457+IF($H457=AT$4,$P457,0)</f>
        <v>0</v>
      </c>
      <c r="AU457" s="395">
        <f>(IF($H457="x",VLOOKUP($I457,'AUX-NIV2'!$B:$X,'AUX-NIV1'!AU$3,FALSE),0)+($AV457*'AUX-NIV3'!W$4))*$O457+IF($H457=AU$4,$P457,0)</f>
        <v>0</v>
      </c>
      <c r="AV457" s="395">
        <f>+IF($H457="x",VLOOKUP($I457,'AUX-NIV2'!$B:$X,'AUX-NIV1'!AV$3,FALSE),0)</f>
        <v>0</v>
      </c>
    </row>
    <row r="458" spans="2:48" ht="14.4" hidden="1" thickTop="1" thickBot="1">
      <c r="B458" s="501" t="s">
        <v>3852</v>
      </c>
      <c r="C458" s="950" t="s">
        <v>3853</v>
      </c>
      <c r="D458" s="326" t="s">
        <v>501</v>
      </c>
      <c r="E458" s="349">
        <f>IF(B458&lt;&gt;"",+SUMIF(Items!C:C,'AUX-NIV1'!B458,Items!H:H),"")</f>
        <v>0</v>
      </c>
      <c r="F458" s="349">
        <f t="shared" si="267"/>
        <v>475.70127742096247</v>
      </c>
      <c r="G458" s="349">
        <f t="shared" si="268"/>
        <v>0</v>
      </c>
      <c r="H458" s="1395" t="str">
        <f t="shared" si="278"/>
        <v>A</v>
      </c>
      <c r="I458" s="1398" t="s">
        <v>1746</v>
      </c>
      <c r="J458" s="350" t="str">
        <f>IF(B458&lt;&gt;"",+VLOOKUP(I458,Recursos!C:F,2,FALSE),"")</f>
        <v>OFICIAL</v>
      </c>
      <c r="K458" s="351" t="str">
        <f>IF(B458&lt;&gt;"",+VLOOKUP(I458,Recursos!C:F,3,FALSE),"")</f>
        <v>hh</v>
      </c>
      <c r="L458" s="436">
        <f>IF(B458&lt;&gt;"",+VLOOKUP(I458,Recursos!C:F,4,FALSE),"")</f>
        <v>496.91595439275824</v>
      </c>
      <c r="M458" s="1080">
        <v>1.25</v>
      </c>
      <c r="N458" s="1088">
        <v>1.5</v>
      </c>
      <c r="O458" s="439">
        <f>M458/N458</f>
        <v>0.83333333333333337</v>
      </c>
      <c r="P458" s="440">
        <f t="shared" si="279"/>
        <v>414.09662866063189</v>
      </c>
      <c r="Q458" s="349">
        <f t="shared" si="280"/>
        <v>0</v>
      </c>
      <c r="R458" s="353">
        <f t="shared" si="281"/>
        <v>0</v>
      </c>
      <c r="S458" s="354">
        <f t="shared" si="269"/>
        <v>414.09662866063189</v>
      </c>
      <c r="T458" s="354">
        <f t="shared" si="270"/>
        <v>0</v>
      </c>
      <c r="U458" s="355">
        <f t="shared" si="271"/>
        <v>61.604648760330576</v>
      </c>
      <c r="V458" s="355">
        <f t="shared" si="272"/>
        <v>0</v>
      </c>
      <c r="W458" s="355">
        <f t="shared" si="273"/>
        <v>0</v>
      </c>
      <c r="X458" s="355">
        <f t="shared" si="274"/>
        <v>0</v>
      </c>
      <c r="Y458" s="396"/>
      <c r="Z458" s="346" t="str">
        <f t="shared" si="282"/>
        <v>0-PINCIEA</v>
      </c>
      <c r="AA458" s="346" t="str">
        <f t="shared" si="283"/>
        <v>0-PINCIEE</v>
      </c>
      <c r="AB458" s="346" t="str">
        <f t="shared" si="284"/>
        <v>0-PINCIEM</v>
      </c>
      <c r="AC458" s="346" t="str">
        <f t="shared" si="285"/>
        <v>0-PINCIET</v>
      </c>
      <c r="AD458" s="346" t="str">
        <f t="shared" si="286"/>
        <v>0-PINCIES</v>
      </c>
      <c r="AE458" s="346" t="str">
        <f t="shared" si="287"/>
        <v>0-PINCIEX</v>
      </c>
      <c r="AF458" s="346" t="str">
        <f t="shared" si="288"/>
        <v>0-PINCIEA</v>
      </c>
      <c r="AG458" s="346">
        <f t="shared" si="275"/>
        <v>3</v>
      </c>
      <c r="AH458" s="346">
        <f>IF(B458&lt;&gt;"",+IF(H458="x",+VLOOKUP(I458,'AUX-NIV2'!B:AG,32,FALSE),0),"")</f>
        <v>0</v>
      </c>
      <c r="AI458" s="346" t="str">
        <f t="shared" si="289"/>
        <v>0-PINCIE</v>
      </c>
      <c r="AK458" s="347">
        <f t="shared" si="276"/>
        <v>456</v>
      </c>
      <c r="AL458" s="348">
        <f t="shared" si="290"/>
        <v>458</v>
      </c>
      <c r="AM458" s="347">
        <f t="shared" si="291"/>
        <v>3</v>
      </c>
      <c r="AN458" s="382">
        <f>IF(AND(AH458&gt;0,B458&lt;&gt;""),VLOOKUP(I458,'AUX-NIV2'!$B:$AP,40,FALSE)*O458,0)</f>
        <v>0</v>
      </c>
      <c r="AO458" s="382">
        <f t="shared" si="277"/>
        <v>0.83333333333333337</v>
      </c>
      <c r="AQ458" s="395">
        <f>(IF($H458="x",VLOOKUP($I458,'AUX-NIV2'!$B:$X,'AUX-NIV1'!AQ$3,FALSE),0)+($AV458*'AUX-NIV3'!S$4))*$O458+IF($H458=AQ$4,$P458,0)</f>
        <v>414.09662866063189</v>
      </c>
      <c r="AR458" s="395">
        <f>(IF($H458="x",VLOOKUP($I458,'AUX-NIV2'!$B:$X,'AUX-NIV1'!AR$3,FALSE),0)+($AV458*'AUX-NIV3'!T$4))*$O458+IF($H458=AR$4,$P458,0)</f>
        <v>0</v>
      </c>
      <c r="AS458" s="395">
        <f>(IF($H458="x",VLOOKUP($I458,'AUX-NIV2'!$B:$X,'AUX-NIV1'!AS$3,FALSE),0)+($AV458*'AUX-NIV3'!U$4))*$O458+IF($H458=AS$4,$P458,0)</f>
        <v>0</v>
      </c>
      <c r="AT458" s="395">
        <f>(IF($H458="x",VLOOKUP($I458,'AUX-NIV2'!$B:$X,'AUX-NIV1'!AT$3,FALSE),0)+($AV458*'AUX-NIV3'!V$4))*$O458+IF($H458=AT$4,$P458,0)</f>
        <v>0</v>
      </c>
      <c r="AU458" s="395">
        <f>(IF($H458="x",VLOOKUP($I458,'AUX-NIV2'!$B:$X,'AUX-NIV1'!AU$3,FALSE),0)+($AV458*'AUX-NIV3'!W$4))*$O458+IF($H458=AU$4,$P458,0)</f>
        <v>0</v>
      </c>
      <c r="AV458" s="395">
        <f>+IF($H458="x",VLOOKUP($I458,'AUX-NIV2'!$B:$X,'AUX-NIV1'!AV$3,FALSE),0)</f>
        <v>0</v>
      </c>
    </row>
    <row r="459" spans="2:48" ht="13.8" hidden="1" thickTop="1">
      <c r="B459" s="501" t="s">
        <v>3856</v>
      </c>
      <c r="C459" s="950" t="s">
        <v>3857</v>
      </c>
      <c r="D459" s="326" t="s">
        <v>501</v>
      </c>
      <c r="E459" s="349">
        <f>IF(B459&lt;&gt;"",+SUMIF(Items!C:C,'AUX-NIV1'!B459,Items!H:H),"")</f>
        <v>0</v>
      </c>
      <c r="F459" s="349">
        <f t="shared" si="267"/>
        <v>530.87053210924796</v>
      </c>
      <c r="G459" s="349">
        <f t="shared" si="268"/>
        <v>0</v>
      </c>
      <c r="H459" s="1395" t="str">
        <f t="shared" ref="H459:H462" si="292">IF(B459&lt;&gt;"",+LEFT(I459,1),"")</f>
        <v>M</v>
      </c>
      <c r="I459" s="1375" t="s">
        <v>3858</v>
      </c>
      <c r="J459" s="350" t="str">
        <f>IF(B459&lt;&gt;"",+VLOOKUP(I459,Recursos!C:F,2,FALSE),"")</f>
        <v>PINTURA ESMALTE SINTETICO</v>
      </c>
      <c r="K459" s="351" t="str">
        <f>IF(B459&lt;&gt;"",+VLOOKUP(I459,Recursos!C:F,3,FALSE),"")</f>
        <v>LTS</v>
      </c>
      <c r="L459" s="436">
        <f>IF(B459&lt;&gt;"",+VLOOKUP(I459,Recursos!C:F,4,FALSE),"")</f>
        <v>661.15702479338847</v>
      </c>
      <c r="M459" s="1092">
        <v>10</v>
      </c>
      <c r="N459" s="1084"/>
      <c r="O459" s="439">
        <f>1/M459</f>
        <v>0.1</v>
      </c>
      <c r="P459" s="440">
        <f t="shared" ref="P459:P462" si="293">IF(B459&lt;&gt;"",O459*L459,"")</f>
        <v>66.11570247933885</v>
      </c>
      <c r="Q459" s="349">
        <f t="shared" ref="Q459:Q462" si="294">IF(B459&lt;&gt;"",+O459*E459,"")</f>
        <v>0</v>
      </c>
      <c r="R459" s="353">
        <f t="shared" ref="R459:R462" si="295">IF(B459&lt;&gt;"",Q459*L459,"")</f>
        <v>0</v>
      </c>
      <c r="S459" s="354">
        <f t="shared" si="269"/>
        <v>397.53276351420664</v>
      </c>
      <c r="T459" s="354">
        <f t="shared" si="270"/>
        <v>0</v>
      </c>
      <c r="U459" s="355">
        <f t="shared" si="271"/>
        <v>133.33776859504135</v>
      </c>
      <c r="V459" s="355">
        <f t="shared" si="272"/>
        <v>0</v>
      </c>
      <c r="W459" s="355">
        <f t="shared" si="273"/>
        <v>0</v>
      </c>
      <c r="X459" s="355">
        <f t="shared" si="274"/>
        <v>0</v>
      </c>
      <c r="Y459" s="396"/>
      <c r="Z459" s="346" t="str">
        <f t="shared" ref="Z459:Z462" si="296">IF(B459&lt;&gt;"",+$B459&amp;"A","")</f>
        <v>0-PINCARA</v>
      </c>
      <c r="AA459" s="346" t="str">
        <f t="shared" ref="AA459:AA462" si="297">IF(B459&lt;&gt;"",+$B459&amp;"E","")</f>
        <v>0-PINCARE</v>
      </c>
      <c r="AB459" s="346" t="str">
        <f t="shared" ref="AB459:AB462" si="298">IF(B459&lt;&gt;"",++$B459&amp;"M","")</f>
        <v>0-PINCARM</v>
      </c>
      <c r="AC459" s="346" t="str">
        <f t="shared" ref="AC459:AC462" si="299">IF(B459&lt;&gt;"",+$B459&amp;"T","")</f>
        <v>0-PINCART</v>
      </c>
      <c r="AD459" s="346" t="str">
        <f t="shared" ref="AD459:AD462" si="300">IF(B459&lt;&gt;"",+$B459&amp;"S","")</f>
        <v>0-PINCARS</v>
      </c>
      <c r="AE459" s="346" t="str">
        <f t="shared" ref="AE459:AE462" si="301">IF(B459&lt;&gt;"",+$B459&amp;"X","")</f>
        <v>0-PINCARX</v>
      </c>
      <c r="AF459" s="346" t="str">
        <f t="shared" ref="AF459:AF462" si="302">IF(B459&lt;&gt;"",+B459&amp;H459,"")</f>
        <v>0-PINCARM</v>
      </c>
      <c r="AG459" s="346">
        <f t="shared" si="275"/>
        <v>4</v>
      </c>
      <c r="AH459" s="346">
        <f>IF(B459&lt;&gt;"",+IF(H459="x",+VLOOKUP(I459,'AUX-NIV2'!B:AG,32,FALSE),0),"")</f>
        <v>0</v>
      </c>
      <c r="AI459" s="346" t="str">
        <f t="shared" ref="AI459:AI462" si="303">IF(B459&lt;&gt;"",+B459,"")</f>
        <v>0-PINCAR</v>
      </c>
      <c r="AK459" s="347">
        <f t="shared" si="276"/>
        <v>459</v>
      </c>
      <c r="AL459" s="348">
        <f t="shared" ref="AL459:AL462" si="304">IF(B459&lt;&gt;"",+AK459+AG459-1,"")</f>
        <v>462</v>
      </c>
      <c r="AM459" s="347">
        <f t="shared" ref="AM459:AM460" si="305">IF(B459&lt;&gt;"",IF(B459=B458,1+AM458,1),"")</f>
        <v>1</v>
      </c>
      <c r="AN459" s="382">
        <f>IF(AND(AH459&gt;0,B459&lt;&gt;""),VLOOKUP(I459,'AUX-NIV2'!$B:$AP,40,FALSE)*O459,0)</f>
        <v>0</v>
      </c>
      <c r="AO459" s="382">
        <f t="shared" si="277"/>
        <v>0.8</v>
      </c>
      <c r="AQ459" s="395">
        <f>(IF($H459="x",VLOOKUP($I459,'AUX-NIV2'!$B:$X,'AUX-NIV1'!AQ$3,FALSE),0)+($AV459*'AUX-NIV3'!S$4))*$O459+IF($H459=AQ$4,$P459,0)</f>
        <v>0</v>
      </c>
      <c r="AR459" s="395">
        <f>(IF($H459="x",VLOOKUP($I459,'AUX-NIV2'!$B:$X,'AUX-NIV1'!AR$3,FALSE),0)+($AV459*'AUX-NIV3'!T$4))*$O459+IF($H459=AR$4,$P459,0)</f>
        <v>0</v>
      </c>
      <c r="AS459" s="395">
        <f>(IF($H459="x",VLOOKUP($I459,'AUX-NIV2'!$B:$X,'AUX-NIV1'!AS$3,FALSE),0)+($AV459*'AUX-NIV3'!U$4))*$O459+IF($H459=AS$4,$P459,0)</f>
        <v>66.11570247933885</v>
      </c>
      <c r="AT459" s="395">
        <f>(IF($H459="x",VLOOKUP($I459,'AUX-NIV2'!$B:$X,'AUX-NIV1'!AT$3,FALSE),0)+($AV459*'AUX-NIV3'!V$4))*$O459+IF($H459=AT$4,$P459,0)</f>
        <v>0</v>
      </c>
      <c r="AU459" s="395">
        <f>(IF($H459="x",VLOOKUP($I459,'AUX-NIV2'!$B:$X,'AUX-NIV1'!AU$3,FALSE),0)+($AV459*'AUX-NIV3'!W$4))*$O459+IF($H459=AU$4,$P459,0)</f>
        <v>0</v>
      </c>
      <c r="AV459" s="395">
        <f>+IF($H459="x",VLOOKUP($I459,'AUX-NIV2'!$B:$X,'AUX-NIV1'!AV$3,FALSE),0)</f>
        <v>0</v>
      </c>
    </row>
    <row r="460" spans="2:48" ht="13.8" hidden="1" thickTop="1">
      <c r="B460" s="501" t="s">
        <v>3856</v>
      </c>
      <c r="C460" s="950" t="s">
        <v>3857</v>
      </c>
      <c r="D460" s="326" t="s">
        <v>501</v>
      </c>
      <c r="E460" s="349">
        <f>IF(B460&lt;&gt;"",+SUMIF(Items!C:C,'AUX-NIV1'!B460,Items!H:H),"")</f>
        <v>0</v>
      </c>
      <c r="F460" s="349">
        <f t="shared" si="267"/>
        <v>530.87053210924796</v>
      </c>
      <c r="G460" s="349">
        <f t="shared" si="268"/>
        <v>0</v>
      </c>
      <c r="H460" s="1395" t="str">
        <f t="shared" si="292"/>
        <v>M</v>
      </c>
      <c r="I460" s="1375" t="s">
        <v>3859</v>
      </c>
      <c r="J460" s="350" t="str">
        <f>IF(B460&lt;&gt;"",+VLOOKUP(I460,Recursos!C:F,2,FALSE),"")</f>
        <v>PINTURA ANTIOXIDO</v>
      </c>
      <c r="K460" s="351" t="str">
        <f>IF(B460&lt;&gt;"",+VLOOKUP(I460,Recursos!C:F,3,FALSE),"")</f>
        <v>LTS</v>
      </c>
      <c r="L460" s="436">
        <f>IF(B460&lt;&gt;"",+VLOOKUP(I460,Recursos!C:F,4,FALSE),"")</f>
        <v>547.52066115702485</v>
      </c>
      <c r="M460" s="550">
        <v>10</v>
      </c>
      <c r="N460" s="1085"/>
      <c r="O460" s="769">
        <f>1/M460</f>
        <v>0.1</v>
      </c>
      <c r="P460" s="440">
        <f t="shared" si="293"/>
        <v>54.75206611570249</v>
      </c>
      <c r="Q460" s="349">
        <f t="shared" si="294"/>
        <v>0</v>
      </c>
      <c r="R460" s="353">
        <f t="shared" si="295"/>
        <v>0</v>
      </c>
      <c r="S460" s="354">
        <f t="shared" si="269"/>
        <v>397.53276351420664</v>
      </c>
      <c r="T460" s="354">
        <f t="shared" si="270"/>
        <v>0</v>
      </c>
      <c r="U460" s="355">
        <f t="shared" si="271"/>
        <v>133.33776859504135</v>
      </c>
      <c r="V460" s="355">
        <f t="shared" si="272"/>
        <v>0</v>
      </c>
      <c r="W460" s="355">
        <f t="shared" si="273"/>
        <v>0</v>
      </c>
      <c r="X460" s="355">
        <f t="shared" si="274"/>
        <v>0</v>
      </c>
      <c r="Y460" s="396"/>
      <c r="Z460" s="346" t="str">
        <f t="shared" si="296"/>
        <v>0-PINCARA</v>
      </c>
      <c r="AA460" s="346" t="str">
        <f t="shared" si="297"/>
        <v>0-PINCARE</v>
      </c>
      <c r="AB460" s="346" t="str">
        <f t="shared" si="298"/>
        <v>0-PINCARM</v>
      </c>
      <c r="AC460" s="346" t="str">
        <f t="shared" si="299"/>
        <v>0-PINCART</v>
      </c>
      <c r="AD460" s="346" t="str">
        <f t="shared" si="300"/>
        <v>0-PINCARS</v>
      </c>
      <c r="AE460" s="346" t="str">
        <f t="shared" si="301"/>
        <v>0-PINCARX</v>
      </c>
      <c r="AF460" s="346" t="str">
        <f t="shared" si="302"/>
        <v>0-PINCARM</v>
      </c>
      <c r="AG460" s="346">
        <f t="shared" si="275"/>
        <v>4</v>
      </c>
      <c r="AH460" s="346">
        <f>IF(B460&lt;&gt;"",+IF(H460="x",+VLOOKUP(I460,'AUX-NIV2'!B:AG,32,FALSE),0),"")</f>
        <v>0</v>
      </c>
      <c r="AI460" s="346" t="str">
        <f t="shared" si="303"/>
        <v>0-PINCAR</v>
      </c>
      <c r="AK460" s="347">
        <f t="shared" si="276"/>
        <v>459</v>
      </c>
      <c r="AL460" s="348">
        <f t="shared" si="304"/>
        <v>462</v>
      </c>
      <c r="AM460" s="347">
        <f t="shared" si="305"/>
        <v>2</v>
      </c>
      <c r="AN460" s="382">
        <f>IF(AND(AH460&gt;0,B460&lt;&gt;""),VLOOKUP(I460,'AUX-NIV2'!$B:$AP,40,FALSE)*O460,0)</f>
        <v>0</v>
      </c>
      <c r="AO460" s="382">
        <f t="shared" si="277"/>
        <v>0.8</v>
      </c>
      <c r="AQ460" s="395">
        <f>(IF($H460="x",VLOOKUP($I460,'AUX-NIV2'!$B:$X,'AUX-NIV1'!AQ$3,FALSE),0)+($AV460*'AUX-NIV3'!S$4))*$O460+IF($H460=AQ$4,$P460,0)</f>
        <v>0</v>
      </c>
      <c r="AR460" s="395">
        <f>(IF($H460="x",VLOOKUP($I460,'AUX-NIV2'!$B:$X,'AUX-NIV1'!AR$3,FALSE),0)+($AV460*'AUX-NIV3'!T$4))*$O460+IF($H460=AR$4,$P460,0)</f>
        <v>0</v>
      </c>
      <c r="AS460" s="395">
        <f>(IF($H460="x",VLOOKUP($I460,'AUX-NIV2'!$B:$X,'AUX-NIV1'!AS$3,FALSE),0)+($AV460*'AUX-NIV3'!U$4))*$O460+IF($H460=AS$4,$P460,0)</f>
        <v>54.75206611570249</v>
      </c>
      <c r="AT460" s="395">
        <f>(IF($H460="x",VLOOKUP($I460,'AUX-NIV2'!$B:$X,'AUX-NIV1'!AT$3,FALSE),0)+($AV460*'AUX-NIV3'!V$4))*$O460+IF($H460=AT$4,$P460,0)</f>
        <v>0</v>
      </c>
      <c r="AU460" s="395">
        <f>(IF($H460="x",VLOOKUP($I460,'AUX-NIV2'!$B:$X,'AUX-NIV1'!AU$3,FALSE),0)+($AV460*'AUX-NIV3'!W$4))*$O460+IF($H460=AU$4,$P460,0)</f>
        <v>0</v>
      </c>
      <c r="AV460" s="395">
        <f>+IF($H460="x",VLOOKUP($I460,'AUX-NIV2'!$B:$X,'AUX-NIV1'!AV$3,FALSE),0)</f>
        <v>0</v>
      </c>
    </row>
    <row r="461" spans="2:48" ht="13.8" hidden="1" thickTop="1">
      <c r="B461" s="501" t="s">
        <v>3856</v>
      </c>
      <c r="C461" s="950" t="s">
        <v>3857</v>
      </c>
      <c r="D461" s="326" t="s">
        <v>501</v>
      </c>
      <c r="E461" s="349">
        <f>IF(B461&lt;&gt;"",+SUMIF(Items!C:C,'AUX-NIV1'!B461,Items!H:H),"")</f>
        <v>0</v>
      </c>
      <c r="F461" s="349">
        <f t="shared" si="267"/>
        <v>530.87053210924796</v>
      </c>
      <c r="G461" s="349">
        <f t="shared" si="268"/>
        <v>0</v>
      </c>
      <c r="H461" s="1395" t="str">
        <f t="shared" ref="H461" si="306">IF(B461&lt;&gt;"",+LEFT(I461,1),"")</f>
        <v>M</v>
      </c>
      <c r="I461" s="1375" t="s">
        <v>3860</v>
      </c>
      <c r="J461" s="350" t="str">
        <f>IF(B461&lt;&gt;"",+VLOOKUP(I461,Recursos!C:F,2,FALSE),"")</f>
        <v>AGUARRAS</v>
      </c>
      <c r="K461" s="351" t="str">
        <f>IF(B461&lt;&gt;"",+VLOOKUP(I461,Recursos!C:F,3,FALSE),"")</f>
        <v>LTS</v>
      </c>
      <c r="L461" s="436">
        <f>IF(B461&lt;&gt;"",+VLOOKUP(I461,Recursos!C:F,4,FALSE),"")</f>
        <v>124.7</v>
      </c>
      <c r="M461" s="550">
        <v>10</v>
      </c>
      <c r="N461" s="1085"/>
      <c r="O461" s="769">
        <f>1/M461</f>
        <v>0.1</v>
      </c>
      <c r="P461" s="440">
        <f t="shared" ref="P461" si="307">IF(B461&lt;&gt;"",O461*L461,"")</f>
        <v>12.47</v>
      </c>
      <c r="Q461" s="349">
        <f t="shared" ref="Q461" si="308">IF(B461&lt;&gt;"",+O461*E461,"")</f>
        <v>0</v>
      </c>
      <c r="R461" s="353">
        <f t="shared" ref="R461" si="309">IF(B461&lt;&gt;"",Q461*L461,"")</f>
        <v>0</v>
      </c>
      <c r="S461" s="354">
        <f t="shared" si="269"/>
        <v>397.53276351420664</v>
      </c>
      <c r="T461" s="354">
        <f t="shared" si="270"/>
        <v>0</v>
      </c>
      <c r="U461" s="355">
        <f t="shared" si="271"/>
        <v>133.33776859504135</v>
      </c>
      <c r="V461" s="355">
        <f t="shared" si="272"/>
        <v>0</v>
      </c>
      <c r="W461" s="355">
        <f t="shared" si="273"/>
        <v>0</v>
      </c>
      <c r="X461" s="355">
        <f t="shared" si="274"/>
        <v>0</v>
      </c>
      <c r="Y461" s="396"/>
      <c r="Z461" s="346" t="str">
        <f t="shared" ref="Z461" si="310">IF(B461&lt;&gt;"",+$B461&amp;"A","")</f>
        <v>0-PINCARA</v>
      </c>
      <c r="AA461" s="346" t="str">
        <f t="shared" ref="AA461" si="311">IF(B461&lt;&gt;"",+$B461&amp;"E","")</f>
        <v>0-PINCARE</v>
      </c>
      <c r="AB461" s="346" t="str">
        <f t="shared" ref="AB461" si="312">IF(B461&lt;&gt;"",++$B461&amp;"M","")</f>
        <v>0-PINCARM</v>
      </c>
      <c r="AC461" s="346" t="str">
        <f t="shared" ref="AC461" si="313">IF(B461&lt;&gt;"",+$B461&amp;"T","")</f>
        <v>0-PINCART</v>
      </c>
      <c r="AD461" s="346" t="str">
        <f t="shared" ref="AD461" si="314">IF(B461&lt;&gt;"",+$B461&amp;"S","")</f>
        <v>0-PINCARS</v>
      </c>
      <c r="AE461" s="346" t="str">
        <f t="shared" ref="AE461" si="315">IF(B461&lt;&gt;"",+$B461&amp;"X","")</f>
        <v>0-PINCARX</v>
      </c>
      <c r="AF461" s="346" t="str">
        <f t="shared" ref="AF461" si="316">IF(B461&lt;&gt;"",+B461&amp;H461,"")</f>
        <v>0-PINCARM</v>
      </c>
      <c r="AG461" s="346">
        <f t="shared" si="275"/>
        <v>4</v>
      </c>
      <c r="AH461" s="346">
        <f>IF(B461&lt;&gt;"",+IF(H461="x",+VLOOKUP(I461,'AUX-NIV2'!B:AG,32,FALSE),0),"")</f>
        <v>0</v>
      </c>
      <c r="AI461" s="346" t="str">
        <f t="shared" ref="AI461" si="317">IF(B461&lt;&gt;"",+B461,"")</f>
        <v>0-PINCAR</v>
      </c>
      <c r="AK461" s="347">
        <f t="shared" si="276"/>
        <v>459</v>
      </c>
      <c r="AL461" s="348">
        <f t="shared" ref="AL461" si="318">IF(B461&lt;&gt;"",+AK461+AG461-1,"")</f>
        <v>462</v>
      </c>
      <c r="AM461" s="347">
        <f t="shared" ref="AM461" si="319">IF(B461&lt;&gt;"",IF(B461=B460,1+AM460,1),"")</f>
        <v>3</v>
      </c>
      <c r="AN461" s="382">
        <f>IF(AND(AH461&gt;0,B461&lt;&gt;""),VLOOKUP(I461,'AUX-NIV2'!$B:$AP,40,FALSE)*O461,0)</f>
        <v>0</v>
      </c>
      <c r="AO461" s="382">
        <f t="shared" si="277"/>
        <v>0.8</v>
      </c>
      <c r="AQ461" s="395">
        <f>(IF($H461="x",VLOOKUP($I461,'AUX-NIV2'!$B:$X,'AUX-NIV1'!AQ$3,FALSE),0)+($AV461*'AUX-NIV3'!S$4))*$O461+IF($H461=AQ$4,$P461,0)</f>
        <v>0</v>
      </c>
      <c r="AR461" s="395">
        <f>(IF($H461="x",VLOOKUP($I461,'AUX-NIV2'!$B:$X,'AUX-NIV1'!AR$3,FALSE),0)+($AV461*'AUX-NIV3'!T$4))*$O461+IF($H461=AR$4,$P461,0)</f>
        <v>0</v>
      </c>
      <c r="AS461" s="395">
        <f>(IF($H461="x",VLOOKUP($I461,'AUX-NIV2'!$B:$X,'AUX-NIV1'!AS$3,FALSE),0)+($AV461*'AUX-NIV3'!U$4))*$O461+IF($H461=AS$4,$P461,0)</f>
        <v>12.47</v>
      </c>
      <c r="AT461" s="395">
        <f>(IF($H461="x",VLOOKUP($I461,'AUX-NIV2'!$B:$X,'AUX-NIV1'!AT$3,FALSE),0)+($AV461*'AUX-NIV3'!V$4))*$O461+IF($H461=AT$4,$P461,0)</f>
        <v>0</v>
      </c>
      <c r="AU461" s="395">
        <f>(IF($H461="x",VLOOKUP($I461,'AUX-NIV2'!$B:$X,'AUX-NIV1'!AU$3,FALSE),0)+($AV461*'AUX-NIV3'!W$4))*$O461+IF($H461=AU$4,$P461,0)</f>
        <v>0</v>
      </c>
      <c r="AV461" s="395">
        <f>+IF($H461="x",VLOOKUP($I461,'AUX-NIV2'!$B:$X,'AUX-NIV1'!AV$3,FALSE),0)</f>
        <v>0</v>
      </c>
    </row>
    <row r="462" spans="2:48" ht="14.4" hidden="1" thickTop="1" thickBot="1">
      <c r="B462" s="501" t="s">
        <v>3856</v>
      </c>
      <c r="C462" s="950" t="s">
        <v>3857</v>
      </c>
      <c r="D462" s="326" t="s">
        <v>501</v>
      </c>
      <c r="E462" s="349">
        <f>IF(B462&lt;&gt;"",+SUMIF(Items!C:C,'AUX-NIV1'!B462,Items!H:H),"")</f>
        <v>0</v>
      </c>
      <c r="F462" s="349">
        <f t="shared" si="267"/>
        <v>530.87053210924796</v>
      </c>
      <c r="G462" s="349">
        <f t="shared" si="268"/>
        <v>0</v>
      </c>
      <c r="H462" s="1395" t="str">
        <f t="shared" si="292"/>
        <v>A</v>
      </c>
      <c r="I462" s="1398" t="s">
        <v>1746</v>
      </c>
      <c r="J462" s="350" t="str">
        <f>IF(B462&lt;&gt;"",+VLOOKUP(I462,Recursos!C:F,2,FALSE),"")</f>
        <v>OFICIAL</v>
      </c>
      <c r="K462" s="351" t="str">
        <f>IF(B462&lt;&gt;"",+VLOOKUP(I462,Recursos!C:F,3,FALSE),"")</f>
        <v>hh</v>
      </c>
      <c r="L462" s="436">
        <f>IF(B462&lt;&gt;"",+VLOOKUP(I462,Recursos!C:F,4,FALSE),"")</f>
        <v>496.91595439275824</v>
      </c>
      <c r="M462" s="1080">
        <v>4</v>
      </c>
      <c r="N462" s="1088">
        <v>5</v>
      </c>
      <c r="O462" s="439">
        <f>M462/N462</f>
        <v>0.8</v>
      </c>
      <c r="P462" s="440">
        <f t="shared" si="293"/>
        <v>397.53276351420664</v>
      </c>
      <c r="Q462" s="349">
        <f t="shared" si="294"/>
        <v>0</v>
      </c>
      <c r="R462" s="353">
        <f t="shared" si="295"/>
        <v>0</v>
      </c>
      <c r="S462" s="354">
        <f t="shared" si="269"/>
        <v>397.53276351420664</v>
      </c>
      <c r="T462" s="354">
        <f t="shared" si="270"/>
        <v>0</v>
      </c>
      <c r="U462" s="355">
        <f t="shared" si="271"/>
        <v>133.33776859504135</v>
      </c>
      <c r="V462" s="355">
        <f t="shared" si="272"/>
        <v>0</v>
      </c>
      <c r="W462" s="355">
        <f t="shared" si="273"/>
        <v>0</v>
      </c>
      <c r="X462" s="355">
        <f t="shared" si="274"/>
        <v>0</v>
      </c>
      <c r="Y462" s="396"/>
      <c r="Z462" s="346" t="str">
        <f t="shared" si="296"/>
        <v>0-PINCARA</v>
      </c>
      <c r="AA462" s="346" t="str">
        <f t="shared" si="297"/>
        <v>0-PINCARE</v>
      </c>
      <c r="AB462" s="346" t="str">
        <f t="shared" si="298"/>
        <v>0-PINCARM</v>
      </c>
      <c r="AC462" s="346" t="str">
        <f t="shared" si="299"/>
        <v>0-PINCART</v>
      </c>
      <c r="AD462" s="346" t="str">
        <f t="shared" si="300"/>
        <v>0-PINCARS</v>
      </c>
      <c r="AE462" s="346" t="str">
        <f t="shared" si="301"/>
        <v>0-PINCARX</v>
      </c>
      <c r="AF462" s="346" t="str">
        <f t="shared" si="302"/>
        <v>0-PINCARA</v>
      </c>
      <c r="AG462" s="346">
        <f t="shared" si="275"/>
        <v>4</v>
      </c>
      <c r="AH462" s="346">
        <f>IF(B462&lt;&gt;"",+IF(H462="x",+VLOOKUP(I462,'AUX-NIV2'!B:AG,32,FALSE),0),"")</f>
        <v>0</v>
      </c>
      <c r="AI462" s="346" t="str">
        <f t="shared" si="303"/>
        <v>0-PINCAR</v>
      </c>
      <c r="AK462" s="347">
        <f t="shared" si="276"/>
        <v>459</v>
      </c>
      <c r="AL462" s="348">
        <f t="shared" si="304"/>
        <v>462</v>
      </c>
      <c r="AM462" s="347">
        <f>IF(B462&lt;&gt;"",IF(B462=B460,1+AM460,1),"")</f>
        <v>3</v>
      </c>
      <c r="AN462" s="382">
        <f>IF(AND(AH462&gt;0,B462&lt;&gt;""),VLOOKUP(I462,'AUX-NIV2'!$B:$AP,40,FALSE)*O462,0)</f>
        <v>0</v>
      </c>
      <c r="AO462" s="382">
        <f t="shared" si="277"/>
        <v>0.8</v>
      </c>
      <c r="AQ462" s="395">
        <f>(IF($H462="x",VLOOKUP($I462,'AUX-NIV2'!$B:$X,'AUX-NIV1'!AQ$3,FALSE),0)+($AV462*'AUX-NIV3'!S$4))*$O462+IF($H462=AQ$4,$P462,0)</f>
        <v>397.53276351420664</v>
      </c>
      <c r="AR462" s="395">
        <f>(IF($H462="x",VLOOKUP($I462,'AUX-NIV2'!$B:$X,'AUX-NIV1'!AR$3,FALSE),0)+($AV462*'AUX-NIV3'!T$4))*$O462+IF($H462=AR$4,$P462,0)</f>
        <v>0</v>
      </c>
      <c r="AS462" s="395">
        <f>(IF($H462="x",VLOOKUP($I462,'AUX-NIV2'!$B:$X,'AUX-NIV1'!AS$3,FALSE),0)+($AV462*'AUX-NIV3'!U$4))*$O462+IF($H462=AS$4,$P462,0)</f>
        <v>0</v>
      </c>
      <c r="AT462" s="395">
        <f>(IF($H462="x",VLOOKUP($I462,'AUX-NIV2'!$B:$X,'AUX-NIV1'!AT$3,FALSE),0)+($AV462*'AUX-NIV3'!V$4))*$O462+IF($H462=AT$4,$P462,0)</f>
        <v>0</v>
      </c>
      <c r="AU462" s="395">
        <f>(IF($H462="x",VLOOKUP($I462,'AUX-NIV2'!$B:$X,'AUX-NIV1'!AU$3,FALSE),0)+($AV462*'AUX-NIV3'!W$4))*$O462+IF($H462=AU$4,$P462,0)</f>
        <v>0</v>
      </c>
      <c r="AV462" s="395">
        <f>+IF($H462="x",VLOOKUP($I462,'AUX-NIV2'!$B:$X,'AUX-NIV1'!AV$3,FALSE),0)</f>
        <v>0</v>
      </c>
    </row>
    <row r="463" spans="2:48" ht="13.8" hidden="1" thickTop="1">
      <c r="B463" s="1421" t="s">
        <v>3864</v>
      </c>
      <c r="C463" s="1422" t="s">
        <v>3865</v>
      </c>
      <c r="D463" s="1423" t="s">
        <v>501</v>
      </c>
      <c r="E463" s="349">
        <f>IF(B463&lt;&gt;"",+SUMIF(Items!C:C,'AUX-NIV1'!B463,Items!H:H),"")</f>
        <v>0</v>
      </c>
      <c r="F463" s="349">
        <f t="shared" si="267"/>
        <v>665.81662866063186</v>
      </c>
      <c r="G463" s="349">
        <f t="shared" si="268"/>
        <v>0</v>
      </c>
      <c r="H463" s="1395" t="str">
        <f t="shared" ref="H463:H466" si="320">IF(B463&lt;&gt;"",+LEFT(I463,1),"")</f>
        <v>M</v>
      </c>
      <c r="I463" s="1375" t="s">
        <v>3866</v>
      </c>
      <c r="J463" s="350" t="str">
        <f>IF(B463&lt;&gt;"",+VLOOKUP(I463,Recursos!C:F,2,FALSE),"")</f>
        <v>LACA IMPERMEABILIZANTE</v>
      </c>
      <c r="K463" s="351" t="str">
        <f>IF(B463&lt;&gt;"",+VLOOKUP(I463,Recursos!C:F,3,FALSE),"")</f>
        <v>LTS</v>
      </c>
      <c r="L463" s="436">
        <f>IF(B463&lt;&gt;"",+VLOOKUP(I463,Recursos!C:F,4,FALSE),"")</f>
        <v>957</v>
      </c>
      <c r="M463" s="1092">
        <v>4</v>
      </c>
      <c r="N463" s="1084"/>
      <c r="O463" s="439">
        <f>1/M463</f>
        <v>0.25</v>
      </c>
      <c r="P463" s="440">
        <f t="shared" ref="P463:P466" si="321">IF(B463&lt;&gt;"",O463*L463,"")</f>
        <v>239.25</v>
      </c>
      <c r="Q463" s="349">
        <f t="shared" ref="Q463:Q466" si="322">IF(B463&lt;&gt;"",+O463*E463,"")</f>
        <v>0</v>
      </c>
      <c r="R463" s="353">
        <f t="shared" ref="R463:R466" si="323">IF(B463&lt;&gt;"",Q463*L463,"")</f>
        <v>0</v>
      </c>
      <c r="S463" s="354">
        <f t="shared" si="269"/>
        <v>414.09662866063189</v>
      </c>
      <c r="T463" s="354">
        <f t="shared" si="270"/>
        <v>0</v>
      </c>
      <c r="U463" s="355">
        <f t="shared" si="271"/>
        <v>251.72</v>
      </c>
      <c r="V463" s="355">
        <f t="shared" si="272"/>
        <v>0</v>
      </c>
      <c r="W463" s="355">
        <f t="shared" si="273"/>
        <v>0</v>
      </c>
      <c r="X463" s="355">
        <f t="shared" si="274"/>
        <v>0</v>
      </c>
      <c r="Y463" s="396"/>
      <c r="Z463" s="346" t="str">
        <f t="shared" ref="Z463:Z466" si="324">IF(B463&lt;&gt;"",+$B463&amp;"A","")</f>
        <v>0-PINLACA</v>
      </c>
      <c r="AA463" s="346" t="str">
        <f t="shared" ref="AA463:AA466" si="325">IF(B463&lt;&gt;"",+$B463&amp;"E","")</f>
        <v>0-PINLACE</v>
      </c>
      <c r="AB463" s="346" t="str">
        <f t="shared" ref="AB463:AB466" si="326">IF(B463&lt;&gt;"",++$B463&amp;"M","")</f>
        <v>0-PINLACM</v>
      </c>
      <c r="AC463" s="346" t="str">
        <f t="shared" ref="AC463:AC466" si="327">IF(B463&lt;&gt;"",+$B463&amp;"T","")</f>
        <v>0-PINLACT</v>
      </c>
      <c r="AD463" s="346" t="str">
        <f t="shared" ref="AD463:AD466" si="328">IF(B463&lt;&gt;"",+$B463&amp;"S","")</f>
        <v>0-PINLACS</v>
      </c>
      <c r="AE463" s="346" t="str">
        <f t="shared" ref="AE463:AE466" si="329">IF(B463&lt;&gt;"",+$B463&amp;"X","")</f>
        <v>0-PINLACX</v>
      </c>
      <c r="AF463" s="346" t="str">
        <f t="shared" ref="AF463:AF466" si="330">IF(B463&lt;&gt;"",+B463&amp;H463,"")</f>
        <v>0-PINLACM</v>
      </c>
      <c r="AG463" s="346">
        <f t="shared" si="275"/>
        <v>3</v>
      </c>
      <c r="AH463" s="346">
        <f>IF(B463&lt;&gt;"",+IF(H463="x",+VLOOKUP(I463,'AUX-NIV2'!B:AG,32,FALSE),0),"")</f>
        <v>0</v>
      </c>
      <c r="AI463" s="346" t="str">
        <f t="shared" ref="AI463:AI466" si="331">IF(B463&lt;&gt;"",+B463,"")</f>
        <v>0-PINLAC</v>
      </c>
      <c r="AK463" s="347">
        <f t="shared" si="276"/>
        <v>463</v>
      </c>
      <c r="AL463" s="348">
        <f t="shared" ref="AL463:AL466" si="332">IF(B463&lt;&gt;"",+AK463+AG463-1,"")</f>
        <v>465</v>
      </c>
      <c r="AM463" s="347">
        <f t="shared" ref="AM463:AM466" si="333">IF(B463&lt;&gt;"",IF(B463=B461,1+AM461,1),"")</f>
        <v>1</v>
      </c>
      <c r="AN463" s="382">
        <f>IF(AND(AH463&gt;0,B463&lt;&gt;""),VLOOKUP(I463,'AUX-NIV2'!$B:$AP,40,FALSE)*O463,0)</f>
        <v>0</v>
      </c>
      <c r="AO463" s="382">
        <f t="shared" si="277"/>
        <v>0.83333333333333337</v>
      </c>
      <c r="AQ463" s="395">
        <f>(IF($H463="x",VLOOKUP($I463,'AUX-NIV2'!$B:$X,'AUX-NIV1'!AQ$3,FALSE),0)+($AV463*'AUX-NIV3'!S$4))*$O463+IF($H463=AQ$4,$P463,0)</f>
        <v>0</v>
      </c>
      <c r="AR463" s="395">
        <f>(IF($H463="x",VLOOKUP($I463,'AUX-NIV2'!$B:$X,'AUX-NIV1'!AR$3,FALSE),0)+($AV463*'AUX-NIV3'!T$4))*$O463+IF($H463=AR$4,$P463,0)</f>
        <v>0</v>
      </c>
      <c r="AS463" s="395">
        <f>(IF($H463="x",VLOOKUP($I463,'AUX-NIV2'!$B:$X,'AUX-NIV1'!AS$3,FALSE),0)+($AV463*'AUX-NIV3'!U$4))*$O463+IF($H463=AS$4,$P463,0)</f>
        <v>239.25</v>
      </c>
      <c r="AT463" s="395">
        <f>(IF($H463="x",VLOOKUP($I463,'AUX-NIV2'!$B:$X,'AUX-NIV1'!AT$3,FALSE),0)+($AV463*'AUX-NIV3'!V$4))*$O463+IF($H463=AT$4,$P463,0)</f>
        <v>0</v>
      </c>
      <c r="AU463" s="395">
        <f>(IF($H463="x",VLOOKUP($I463,'AUX-NIV2'!$B:$X,'AUX-NIV1'!AU$3,FALSE),0)+($AV463*'AUX-NIV3'!W$4))*$O463+IF($H463=AU$4,$P463,0)</f>
        <v>0</v>
      </c>
      <c r="AV463" s="395">
        <f>+IF($H463="x",VLOOKUP($I463,'AUX-NIV2'!$B:$X,'AUX-NIV1'!AV$3,FALSE),0)</f>
        <v>0</v>
      </c>
    </row>
    <row r="464" spans="2:48" ht="13.8" hidden="1" thickTop="1">
      <c r="B464" s="1421" t="s">
        <v>3864</v>
      </c>
      <c r="C464" s="1422" t="s">
        <v>3865</v>
      </c>
      <c r="D464" s="1423" t="s">
        <v>501</v>
      </c>
      <c r="E464" s="349">
        <f>IF(B464&lt;&gt;"",+SUMIF(Items!C:C,'AUX-NIV1'!B464,Items!H:H),"")</f>
        <v>0</v>
      </c>
      <c r="F464" s="349">
        <f t="shared" si="267"/>
        <v>665.81662866063186</v>
      </c>
      <c r="G464" s="349">
        <f t="shared" si="268"/>
        <v>0</v>
      </c>
      <c r="H464" s="1395" t="str">
        <f t="shared" si="320"/>
        <v>M</v>
      </c>
      <c r="I464" s="1375" t="s">
        <v>3860</v>
      </c>
      <c r="J464" s="350" t="str">
        <f>IF(B464&lt;&gt;"",+VLOOKUP(I464,Recursos!C:F,2,FALSE),"")</f>
        <v>AGUARRAS</v>
      </c>
      <c r="K464" s="351" t="str">
        <f>IF(B464&lt;&gt;"",+VLOOKUP(I464,Recursos!C:F,3,FALSE),"")</f>
        <v>LTS</v>
      </c>
      <c r="L464" s="436">
        <f>IF(B464&lt;&gt;"",+VLOOKUP(I464,Recursos!C:F,4,FALSE),"")</f>
        <v>124.7</v>
      </c>
      <c r="M464" s="550">
        <v>10</v>
      </c>
      <c r="N464" s="1085"/>
      <c r="O464" s="769">
        <f>1/M464</f>
        <v>0.1</v>
      </c>
      <c r="P464" s="440">
        <f t="shared" si="321"/>
        <v>12.47</v>
      </c>
      <c r="Q464" s="349">
        <f t="shared" si="322"/>
        <v>0</v>
      </c>
      <c r="R464" s="353">
        <f t="shared" si="323"/>
        <v>0</v>
      </c>
      <c r="S464" s="354">
        <f t="shared" si="269"/>
        <v>414.09662866063189</v>
      </c>
      <c r="T464" s="354">
        <f t="shared" si="270"/>
        <v>0</v>
      </c>
      <c r="U464" s="355">
        <f t="shared" si="271"/>
        <v>251.72</v>
      </c>
      <c r="V464" s="355">
        <f t="shared" si="272"/>
        <v>0</v>
      </c>
      <c r="W464" s="355">
        <f t="shared" si="273"/>
        <v>0</v>
      </c>
      <c r="X464" s="355">
        <f t="shared" si="274"/>
        <v>0</v>
      </c>
      <c r="Y464" s="396"/>
      <c r="Z464" s="346" t="str">
        <f t="shared" si="324"/>
        <v>0-PINLACA</v>
      </c>
      <c r="AA464" s="346" t="str">
        <f t="shared" si="325"/>
        <v>0-PINLACE</v>
      </c>
      <c r="AB464" s="346" t="str">
        <f t="shared" si="326"/>
        <v>0-PINLACM</v>
      </c>
      <c r="AC464" s="346" t="str">
        <f t="shared" si="327"/>
        <v>0-PINLACT</v>
      </c>
      <c r="AD464" s="346" t="str">
        <f t="shared" si="328"/>
        <v>0-PINLACS</v>
      </c>
      <c r="AE464" s="346" t="str">
        <f t="shared" si="329"/>
        <v>0-PINLACX</v>
      </c>
      <c r="AF464" s="346" t="str">
        <f t="shared" si="330"/>
        <v>0-PINLACM</v>
      </c>
      <c r="AG464" s="346">
        <f t="shared" si="275"/>
        <v>3</v>
      </c>
      <c r="AH464" s="346">
        <f>IF(B464&lt;&gt;"",+IF(H464="x",+VLOOKUP(I464,'AUX-NIV2'!B:AG,32,FALSE),0),"")</f>
        <v>0</v>
      </c>
      <c r="AI464" s="346" t="str">
        <f t="shared" si="331"/>
        <v>0-PINLAC</v>
      </c>
      <c r="AK464" s="347">
        <f t="shared" si="276"/>
        <v>463</v>
      </c>
      <c r="AL464" s="348">
        <f t="shared" si="332"/>
        <v>465</v>
      </c>
      <c r="AM464" s="347">
        <f t="shared" si="333"/>
        <v>1</v>
      </c>
      <c r="AN464" s="382">
        <f>IF(AND(AH464&gt;0,B464&lt;&gt;""),VLOOKUP(I464,'AUX-NIV2'!$B:$AP,40,FALSE)*O464,0)</f>
        <v>0</v>
      </c>
      <c r="AO464" s="382">
        <f t="shared" si="277"/>
        <v>0.83333333333333337</v>
      </c>
      <c r="AQ464" s="395">
        <f>(IF($H464="x",VLOOKUP($I464,'AUX-NIV2'!$B:$X,'AUX-NIV1'!AQ$3,FALSE),0)+($AV464*'AUX-NIV3'!S$4))*$O464+IF($H464=AQ$4,$P464,0)</f>
        <v>0</v>
      </c>
      <c r="AR464" s="395">
        <f>(IF($H464="x",VLOOKUP($I464,'AUX-NIV2'!$B:$X,'AUX-NIV1'!AR$3,FALSE),0)+($AV464*'AUX-NIV3'!T$4))*$O464+IF($H464=AR$4,$P464,0)</f>
        <v>0</v>
      </c>
      <c r="AS464" s="395">
        <f>(IF($H464="x",VLOOKUP($I464,'AUX-NIV2'!$B:$X,'AUX-NIV1'!AS$3,FALSE),0)+($AV464*'AUX-NIV3'!U$4))*$O464+IF($H464=AS$4,$P464,0)</f>
        <v>12.47</v>
      </c>
      <c r="AT464" s="395">
        <f>(IF($H464="x",VLOOKUP($I464,'AUX-NIV2'!$B:$X,'AUX-NIV1'!AT$3,FALSE),0)+($AV464*'AUX-NIV3'!V$4))*$O464+IF($H464=AT$4,$P464,0)</f>
        <v>0</v>
      </c>
      <c r="AU464" s="395">
        <f>(IF($H464="x",VLOOKUP($I464,'AUX-NIV2'!$B:$X,'AUX-NIV1'!AU$3,FALSE),0)+($AV464*'AUX-NIV3'!W$4))*$O464+IF($H464=AU$4,$P464,0)</f>
        <v>0</v>
      </c>
      <c r="AV464" s="395">
        <f>+IF($H464="x",VLOOKUP($I464,'AUX-NIV2'!$B:$X,'AUX-NIV1'!AV$3,FALSE),0)</f>
        <v>0</v>
      </c>
    </row>
    <row r="465" spans="2:48" ht="14.4" hidden="1" thickTop="1" thickBot="1">
      <c r="B465" s="1421" t="s">
        <v>3864</v>
      </c>
      <c r="C465" s="1422" t="s">
        <v>3865</v>
      </c>
      <c r="D465" s="1423" t="s">
        <v>501</v>
      </c>
      <c r="E465" s="349">
        <f>IF(B465&lt;&gt;"",+SUMIF(Items!C:C,'AUX-NIV1'!B465,Items!H:H),"")</f>
        <v>0</v>
      </c>
      <c r="F465" s="349">
        <f t="shared" si="267"/>
        <v>665.81662866063186</v>
      </c>
      <c r="G465" s="349">
        <f t="shared" si="268"/>
        <v>0</v>
      </c>
      <c r="H465" s="1395" t="str">
        <f t="shared" si="320"/>
        <v>A</v>
      </c>
      <c r="I465" s="1398" t="s">
        <v>1746</v>
      </c>
      <c r="J465" s="350" t="str">
        <f>IF(B465&lt;&gt;"",+VLOOKUP(I465,Recursos!C:F,2,FALSE),"")</f>
        <v>OFICIAL</v>
      </c>
      <c r="K465" s="351" t="str">
        <f>IF(B465&lt;&gt;"",+VLOOKUP(I465,Recursos!C:F,3,FALSE),"")</f>
        <v>hh</v>
      </c>
      <c r="L465" s="436">
        <f>IF(B465&lt;&gt;"",+VLOOKUP(I465,Recursos!C:F,4,FALSE),"")</f>
        <v>496.91595439275824</v>
      </c>
      <c r="M465" s="1080">
        <v>1.25</v>
      </c>
      <c r="N465" s="1088">
        <v>1.5</v>
      </c>
      <c r="O465" s="439">
        <f>M465/N465</f>
        <v>0.83333333333333337</v>
      </c>
      <c r="P465" s="440">
        <f t="shared" si="321"/>
        <v>414.09662866063189</v>
      </c>
      <c r="Q465" s="349">
        <f t="shared" si="322"/>
        <v>0</v>
      </c>
      <c r="R465" s="353">
        <f t="shared" si="323"/>
        <v>0</v>
      </c>
      <c r="S465" s="354">
        <f t="shared" si="269"/>
        <v>414.09662866063189</v>
      </c>
      <c r="T465" s="354">
        <f t="shared" si="270"/>
        <v>0</v>
      </c>
      <c r="U465" s="355">
        <f t="shared" si="271"/>
        <v>251.72</v>
      </c>
      <c r="V465" s="355">
        <f t="shared" si="272"/>
        <v>0</v>
      </c>
      <c r="W465" s="355">
        <f t="shared" si="273"/>
        <v>0</v>
      </c>
      <c r="X465" s="355">
        <f t="shared" si="274"/>
        <v>0</v>
      </c>
      <c r="Y465" s="396"/>
      <c r="Z465" s="346" t="str">
        <f t="shared" si="324"/>
        <v>0-PINLACA</v>
      </c>
      <c r="AA465" s="346" t="str">
        <f t="shared" si="325"/>
        <v>0-PINLACE</v>
      </c>
      <c r="AB465" s="346" t="str">
        <f t="shared" si="326"/>
        <v>0-PINLACM</v>
      </c>
      <c r="AC465" s="346" t="str">
        <f t="shared" si="327"/>
        <v>0-PINLACT</v>
      </c>
      <c r="AD465" s="346" t="str">
        <f t="shared" si="328"/>
        <v>0-PINLACS</v>
      </c>
      <c r="AE465" s="346" t="str">
        <f t="shared" si="329"/>
        <v>0-PINLACX</v>
      </c>
      <c r="AF465" s="346" t="str">
        <f t="shared" si="330"/>
        <v>0-PINLACA</v>
      </c>
      <c r="AG465" s="346">
        <f t="shared" si="275"/>
        <v>3</v>
      </c>
      <c r="AH465" s="346">
        <f>IF(B465&lt;&gt;"",+IF(H465="x",+VLOOKUP(I465,'AUX-NIV2'!B:AG,32,FALSE),0),"")</f>
        <v>0</v>
      </c>
      <c r="AI465" s="346" t="str">
        <f t="shared" si="331"/>
        <v>0-PINLAC</v>
      </c>
      <c r="AK465" s="347">
        <f t="shared" si="276"/>
        <v>463</v>
      </c>
      <c r="AL465" s="348">
        <f t="shared" si="332"/>
        <v>465</v>
      </c>
      <c r="AM465" s="347">
        <f t="shared" si="333"/>
        <v>2</v>
      </c>
      <c r="AN465" s="382">
        <f>IF(AND(AH465&gt;0,B465&lt;&gt;""),VLOOKUP(I465,'AUX-NIV2'!$B:$AP,40,FALSE)*O465,0)</f>
        <v>0</v>
      </c>
      <c r="AO465" s="382">
        <f t="shared" si="277"/>
        <v>0.83333333333333337</v>
      </c>
      <c r="AQ465" s="395">
        <f>(IF($H465="x",VLOOKUP($I465,'AUX-NIV2'!$B:$X,'AUX-NIV1'!AQ$3,FALSE),0)+($AV465*'AUX-NIV3'!S$4))*$O465+IF($H465=AQ$4,$P465,0)</f>
        <v>414.09662866063189</v>
      </c>
      <c r="AR465" s="395">
        <f>(IF($H465="x",VLOOKUP($I465,'AUX-NIV2'!$B:$X,'AUX-NIV1'!AR$3,FALSE),0)+($AV465*'AUX-NIV3'!T$4))*$O465+IF($H465=AR$4,$P465,0)</f>
        <v>0</v>
      </c>
      <c r="AS465" s="395">
        <f>(IF($H465="x",VLOOKUP($I465,'AUX-NIV2'!$B:$X,'AUX-NIV1'!AS$3,FALSE),0)+($AV465*'AUX-NIV3'!U$4))*$O465+IF($H465=AS$4,$P465,0)</f>
        <v>0</v>
      </c>
      <c r="AT465" s="395">
        <f>(IF($H465="x",VLOOKUP($I465,'AUX-NIV2'!$B:$X,'AUX-NIV1'!AT$3,FALSE),0)+($AV465*'AUX-NIV3'!V$4))*$O465+IF($H465=AT$4,$P465,0)</f>
        <v>0</v>
      </c>
      <c r="AU465" s="395">
        <f>(IF($H465="x",VLOOKUP($I465,'AUX-NIV2'!$B:$X,'AUX-NIV1'!AU$3,FALSE),0)+($AV465*'AUX-NIV3'!W$4))*$O465+IF($H465=AU$4,$P465,0)</f>
        <v>0</v>
      </c>
      <c r="AV465" s="395">
        <f>+IF($H465="x",VLOOKUP($I465,'AUX-NIV2'!$B:$X,'AUX-NIV1'!AV$3,FALSE),0)</f>
        <v>0</v>
      </c>
    </row>
    <row r="466" spans="2:48" ht="13.8" hidden="1" thickTop="1">
      <c r="B466" s="501" t="s">
        <v>3498</v>
      </c>
      <c r="C466" s="950" t="s">
        <v>3499</v>
      </c>
      <c r="D466" s="326" t="s">
        <v>1160</v>
      </c>
      <c r="E466" s="349">
        <f>IF(B466&lt;&gt;"",+SUMIF(Items!C:C,'AUX-NIV1'!B466,Items!H:H),"")</f>
        <v>0</v>
      </c>
      <c r="F466" s="349">
        <f t="shared" si="267"/>
        <v>5868.1547457791366</v>
      </c>
      <c r="G466" s="349">
        <f t="shared" si="268"/>
        <v>0</v>
      </c>
      <c r="H466" s="1395" t="str">
        <f t="shared" si="320"/>
        <v>E</v>
      </c>
      <c r="I466" s="1375" t="s">
        <v>1552</v>
      </c>
      <c r="J466" s="350" t="str">
        <f>IF(B466&lt;&gt;"",+VLOOKUP(I466,Recursos!C:F,2,FALSE),"")</f>
        <v>RETROEXCAVADORA S/CARRILES  0,9 M2</v>
      </c>
      <c r="K466" s="351" t="str">
        <f>IF(B466&lt;&gt;"",+VLOOKUP(I466,Recursos!C:F,3,FALSE),"")</f>
        <v>HR</v>
      </c>
      <c r="L466" s="436">
        <f>IF(B466&lt;&gt;"",+VLOOKUP(I466,Recursos!C:F,4,FALSE),"")</f>
        <v>2743.02</v>
      </c>
      <c r="M466" s="973">
        <v>10</v>
      </c>
      <c r="N466" s="974">
        <v>1</v>
      </c>
      <c r="O466" s="439">
        <f>(1-N473)*N466/M466</f>
        <v>0</v>
      </c>
      <c r="P466" s="440">
        <f t="shared" si="321"/>
        <v>0</v>
      </c>
      <c r="Q466" s="349">
        <f t="shared" si="322"/>
        <v>0</v>
      </c>
      <c r="R466" s="353">
        <f t="shared" si="323"/>
        <v>0</v>
      </c>
      <c r="S466" s="354">
        <f t="shared" si="269"/>
        <v>3843.1363207791364</v>
      </c>
      <c r="T466" s="354">
        <f t="shared" si="270"/>
        <v>1555.018425</v>
      </c>
      <c r="U466" s="355">
        <f t="shared" si="271"/>
        <v>470</v>
      </c>
      <c r="V466" s="355">
        <f t="shared" si="272"/>
        <v>0</v>
      </c>
      <c r="W466" s="355">
        <f t="shared" si="273"/>
        <v>0</v>
      </c>
      <c r="X466" s="355">
        <f t="shared" si="274"/>
        <v>0</v>
      </c>
      <c r="Y466" s="396"/>
      <c r="Z466" s="346" t="str">
        <f t="shared" si="324"/>
        <v>0-DEMOMA</v>
      </c>
      <c r="AA466" s="346" t="str">
        <f t="shared" si="325"/>
        <v>0-DEMOME</v>
      </c>
      <c r="AB466" s="346" t="str">
        <f t="shared" si="326"/>
        <v>0-DEMOMM</v>
      </c>
      <c r="AC466" s="346" t="str">
        <f t="shared" si="327"/>
        <v>0-DEMOMT</v>
      </c>
      <c r="AD466" s="346" t="str">
        <f t="shared" si="328"/>
        <v>0-DEMOMS</v>
      </c>
      <c r="AE466" s="346" t="str">
        <f t="shared" si="329"/>
        <v>0-DEMOMX</v>
      </c>
      <c r="AF466" s="346" t="str">
        <f t="shared" si="330"/>
        <v>0-DEMOME</v>
      </c>
      <c r="AG466" s="346">
        <f t="shared" si="275"/>
        <v>11</v>
      </c>
      <c r="AH466" s="346">
        <f>IF(B466&lt;&gt;"",+IF(H466="x",+VLOOKUP(I466,'AUX-NIV2'!B:AG,32,FALSE),0),"")</f>
        <v>0</v>
      </c>
      <c r="AI466" s="346" t="str">
        <f t="shared" si="331"/>
        <v>0-DEMOM</v>
      </c>
      <c r="AK466" s="347">
        <f t="shared" si="276"/>
        <v>466</v>
      </c>
      <c r="AL466" s="348">
        <f t="shared" si="332"/>
        <v>476</v>
      </c>
      <c r="AM466" s="347">
        <f t="shared" si="333"/>
        <v>1</v>
      </c>
      <c r="AN466" s="382">
        <f>IF(AND(AH466&gt;0,B466&lt;&gt;""),VLOOKUP(I466,'AUX-NIV2'!$B:$AP,40,FALSE)*O466,0)</f>
        <v>0</v>
      </c>
      <c r="AO466" s="382">
        <f t="shared" si="277"/>
        <v>7.9375</v>
      </c>
      <c r="AQ466" s="395">
        <f>(IF($H466="x",VLOOKUP($I466,'AUX-NIV2'!$B:$X,'AUX-NIV1'!AQ$3,FALSE),0)+($AV466*'AUX-NIV3'!S$4))*$O466+IF($H466=AQ$4,$P466,0)</f>
        <v>0</v>
      </c>
      <c r="AR466" s="395">
        <f>(IF($H466="x",VLOOKUP($I466,'AUX-NIV2'!$B:$X,'AUX-NIV1'!AR$3,FALSE),0)+($AV466*'AUX-NIV3'!T$4))*$O466+IF($H466=AR$4,$P466,0)</f>
        <v>0</v>
      </c>
      <c r="AS466" s="395">
        <f>(IF($H466="x",VLOOKUP($I466,'AUX-NIV2'!$B:$X,'AUX-NIV1'!AS$3,FALSE),0)+($AV466*'AUX-NIV3'!U$4))*$O466+IF($H466=AS$4,$P466,0)</f>
        <v>0</v>
      </c>
      <c r="AT466" s="395">
        <f>(IF($H466="x",VLOOKUP($I466,'AUX-NIV2'!$B:$X,'AUX-NIV1'!AT$3,FALSE),0)+($AV466*'AUX-NIV3'!V$4))*$O466+IF($H466=AT$4,$P466,0)</f>
        <v>0</v>
      </c>
      <c r="AU466" s="395">
        <f>(IF($H466="x",VLOOKUP($I466,'AUX-NIV2'!$B:$X,'AUX-NIV1'!AU$3,FALSE),0)+($AV466*'AUX-NIV3'!W$4))*$O466+IF($H466=AU$4,$P466,0)</f>
        <v>0</v>
      </c>
      <c r="AV466" s="395">
        <f>+IF($H466="x",VLOOKUP($I466,'AUX-NIV2'!$B:$X,'AUX-NIV1'!AV$3,FALSE),0)</f>
        <v>0</v>
      </c>
    </row>
    <row r="467" spans="2:48" ht="13.8" hidden="1" thickTop="1">
      <c r="B467" s="501" t="s">
        <v>3498</v>
      </c>
      <c r="C467" s="950" t="s">
        <v>3499</v>
      </c>
      <c r="D467" s="326" t="s">
        <v>1160</v>
      </c>
      <c r="E467" s="349">
        <f>IF(B467&lt;&gt;"",+SUMIF(Items!C:C,'AUX-NIV1'!B467,Items!H:H),"")</f>
        <v>0</v>
      </c>
      <c r="F467" s="349">
        <f t="shared" si="267"/>
        <v>5868.1547457791366</v>
      </c>
      <c r="G467" s="349">
        <f t="shared" si="268"/>
        <v>0</v>
      </c>
      <c r="H467" s="1395" t="str">
        <f t="shared" si="215"/>
        <v>A</v>
      </c>
      <c r="I467" s="1375" t="s">
        <v>3310</v>
      </c>
      <c r="J467" s="350" t="str">
        <f>IF(B467&lt;&gt;"",+VLOOKUP(I467,Recursos!C:F,2,FALSE),"")</f>
        <v>OFICIAL ESPECIALIZADO</v>
      </c>
      <c r="K467" s="351" t="str">
        <f>IF(B467&lt;&gt;"",+VLOOKUP(I467,Recursos!C:F,3,FALSE),"")</f>
        <v>hh</v>
      </c>
      <c r="L467" s="436">
        <f>IF(B467&lt;&gt;"",+VLOOKUP(I467,Recursos!C:F,4,FALSE),"")</f>
        <v>581.06120476836554</v>
      </c>
      <c r="M467" s="975"/>
      <c r="N467" s="976">
        <v>1</v>
      </c>
      <c r="O467" s="439">
        <f>+N467/M466*(1-N473)</f>
        <v>0</v>
      </c>
      <c r="P467" s="440">
        <f t="shared" si="216"/>
        <v>0</v>
      </c>
      <c r="Q467" s="349">
        <f t="shared" si="217"/>
        <v>0</v>
      </c>
      <c r="R467" s="353">
        <f t="shared" si="218"/>
        <v>0</v>
      </c>
      <c r="S467" s="354">
        <f t="shared" si="269"/>
        <v>3843.1363207791364</v>
      </c>
      <c r="T467" s="354">
        <f t="shared" si="270"/>
        <v>1555.018425</v>
      </c>
      <c r="U467" s="355">
        <f t="shared" si="271"/>
        <v>470</v>
      </c>
      <c r="V467" s="355">
        <f t="shared" si="272"/>
        <v>0</v>
      </c>
      <c r="W467" s="355">
        <f t="shared" si="273"/>
        <v>0</v>
      </c>
      <c r="X467" s="355">
        <f t="shared" si="274"/>
        <v>0</v>
      </c>
      <c r="Y467" s="396"/>
      <c r="Z467" s="346" t="str">
        <f t="shared" si="219"/>
        <v>0-DEMOMA</v>
      </c>
      <c r="AA467" s="346" t="str">
        <f t="shared" si="220"/>
        <v>0-DEMOME</v>
      </c>
      <c r="AB467" s="346" t="str">
        <f t="shared" si="221"/>
        <v>0-DEMOMM</v>
      </c>
      <c r="AC467" s="346" t="str">
        <f t="shared" si="222"/>
        <v>0-DEMOMT</v>
      </c>
      <c r="AD467" s="346" t="str">
        <f t="shared" si="223"/>
        <v>0-DEMOMS</v>
      </c>
      <c r="AE467" s="346" t="str">
        <f t="shared" si="224"/>
        <v>0-DEMOMX</v>
      </c>
      <c r="AF467" s="346" t="str">
        <f t="shared" si="225"/>
        <v>0-DEMOMA</v>
      </c>
      <c r="AG467" s="346">
        <f t="shared" si="275"/>
        <v>11</v>
      </c>
      <c r="AH467" s="346">
        <f>IF(B467&lt;&gt;"",+IF(H467="x",+VLOOKUP(I467,'AUX-NIV2'!B:AG,32,FALSE),0),"")</f>
        <v>0</v>
      </c>
      <c r="AI467" s="346" t="str">
        <f t="shared" si="226"/>
        <v>0-DEMOM</v>
      </c>
      <c r="AK467" s="347">
        <f t="shared" si="276"/>
        <v>466</v>
      </c>
      <c r="AL467" s="348">
        <f t="shared" si="227"/>
        <v>476</v>
      </c>
      <c r="AM467" s="347">
        <f t="shared" si="228"/>
        <v>2</v>
      </c>
      <c r="AN467" s="382">
        <f>IF(AND(AH467&gt;0,B467&lt;&gt;""),VLOOKUP(I467,'AUX-NIV2'!$B:$AP,40,FALSE)*O467,0)</f>
        <v>0</v>
      </c>
      <c r="AO467" s="382">
        <f t="shared" si="277"/>
        <v>7.9375</v>
      </c>
      <c r="AQ467" s="395">
        <f>(IF($H467="x",VLOOKUP($I467,'AUX-NIV2'!$B:$X,'AUX-NIV1'!AQ$3,FALSE),0)+($AV467*'AUX-NIV3'!S$4))*$O467+IF($H467=AQ$4,$P467,0)</f>
        <v>0</v>
      </c>
      <c r="AR467" s="395">
        <f>(IF($H467="x",VLOOKUP($I467,'AUX-NIV2'!$B:$X,'AUX-NIV1'!AR$3,FALSE),0)+($AV467*'AUX-NIV3'!T$4))*$O467+IF($H467=AR$4,$P467,0)</f>
        <v>0</v>
      </c>
      <c r="AS467" s="395">
        <f>(IF($H467="x",VLOOKUP($I467,'AUX-NIV2'!$B:$X,'AUX-NIV1'!AS$3,FALSE),0)+($AV467*'AUX-NIV3'!U$4))*$O467+IF($H467=AS$4,$P467,0)</f>
        <v>0</v>
      </c>
      <c r="AT467" s="395">
        <f>(IF($H467="x",VLOOKUP($I467,'AUX-NIV2'!$B:$X,'AUX-NIV1'!AT$3,FALSE),0)+($AV467*'AUX-NIV3'!V$4))*$O467+IF($H467=AT$4,$P467,0)</f>
        <v>0</v>
      </c>
      <c r="AU467" s="395">
        <f>(IF($H467="x",VLOOKUP($I467,'AUX-NIV2'!$B:$X,'AUX-NIV1'!AU$3,FALSE),0)+($AV467*'AUX-NIV3'!W$4))*$O467+IF($H467=AU$4,$P467,0)</f>
        <v>0</v>
      </c>
      <c r="AV467" s="395">
        <f>+IF($H467="x",VLOOKUP($I467,'AUX-NIV2'!$B:$X,'AUX-NIV1'!AV$3,FALSE),0)</f>
        <v>0</v>
      </c>
    </row>
    <row r="468" spans="2:48" ht="13.8" hidden="1" thickTop="1">
      <c r="B468" s="501" t="s">
        <v>3498</v>
      </c>
      <c r="C468" s="950" t="s">
        <v>3499</v>
      </c>
      <c r="D468" s="326" t="s">
        <v>1160</v>
      </c>
      <c r="E468" s="349">
        <f>IF(B468&lt;&gt;"",+SUMIF(Items!C:C,'AUX-NIV1'!B468,Items!H:H),"")</f>
        <v>0</v>
      </c>
      <c r="F468" s="349">
        <f t="shared" si="267"/>
        <v>5868.1547457791366</v>
      </c>
      <c r="G468" s="349">
        <f t="shared" si="268"/>
        <v>0</v>
      </c>
      <c r="H468" s="1395" t="str">
        <f t="shared" si="215"/>
        <v>A</v>
      </c>
      <c r="I468" s="1375" t="s">
        <v>1745</v>
      </c>
      <c r="J468" s="350" t="str">
        <f>IF(B468&lt;&gt;"",+VLOOKUP(I468,Recursos!C:F,2,FALSE),"")</f>
        <v>AYUDANTE</v>
      </c>
      <c r="K468" s="351" t="str">
        <f>IF(B468&lt;&gt;"",+VLOOKUP(I468,Recursos!C:F,3,FALSE),"")</f>
        <v>hh</v>
      </c>
      <c r="L468" s="436">
        <f>IF(B468&lt;&gt;"",+VLOOKUP(I468,Recursos!C:F,4,FALSE),"")</f>
        <v>422.48042769667234</v>
      </c>
      <c r="M468" s="980"/>
      <c r="N468" s="981">
        <v>1</v>
      </c>
      <c r="O468" s="439">
        <f>+N468/M466*(1-N473)</f>
        <v>0</v>
      </c>
      <c r="P468" s="440">
        <f t="shared" si="216"/>
        <v>0</v>
      </c>
      <c r="Q468" s="349">
        <f t="shared" si="217"/>
        <v>0</v>
      </c>
      <c r="R468" s="353">
        <f t="shared" si="218"/>
        <v>0</v>
      </c>
      <c r="S468" s="354">
        <f t="shared" si="269"/>
        <v>3843.1363207791364</v>
      </c>
      <c r="T468" s="354">
        <f t="shared" si="270"/>
        <v>1555.018425</v>
      </c>
      <c r="U468" s="355">
        <f t="shared" si="271"/>
        <v>470</v>
      </c>
      <c r="V468" s="355">
        <f t="shared" si="272"/>
        <v>0</v>
      </c>
      <c r="W468" s="355">
        <f t="shared" si="273"/>
        <v>0</v>
      </c>
      <c r="X468" s="355">
        <f t="shared" si="274"/>
        <v>0</v>
      </c>
      <c r="Y468" s="396"/>
      <c r="Z468" s="346" t="str">
        <f t="shared" si="219"/>
        <v>0-DEMOMA</v>
      </c>
      <c r="AA468" s="346" t="str">
        <f t="shared" si="220"/>
        <v>0-DEMOME</v>
      </c>
      <c r="AB468" s="346" t="str">
        <f t="shared" si="221"/>
        <v>0-DEMOMM</v>
      </c>
      <c r="AC468" s="346" t="str">
        <f t="shared" si="222"/>
        <v>0-DEMOMT</v>
      </c>
      <c r="AD468" s="346" t="str">
        <f t="shared" si="223"/>
        <v>0-DEMOMS</v>
      </c>
      <c r="AE468" s="346" t="str">
        <f t="shared" si="224"/>
        <v>0-DEMOMX</v>
      </c>
      <c r="AF468" s="346" t="str">
        <f t="shared" si="225"/>
        <v>0-DEMOMA</v>
      </c>
      <c r="AG468" s="346">
        <f t="shared" si="275"/>
        <v>11</v>
      </c>
      <c r="AH468" s="346">
        <f>IF(B468&lt;&gt;"",+IF(H468="x",+VLOOKUP(I468,'AUX-NIV2'!B:AG,32,FALSE),0),"")</f>
        <v>0</v>
      </c>
      <c r="AI468" s="346" t="str">
        <f t="shared" si="226"/>
        <v>0-DEMOM</v>
      </c>
      <c r="AK468" s="347">
        <f t="shared" si="276"/>
        <v>466</v>
      </c>
      <c r="AL468" s="348">
        <f t="shared" si="227"/>
        <v>476</v>
      </c>
      <c r="AM468" s="347">
        <f t="shared" si="228"/>
        <v>3</v>
      </c>
      <c r="AN468" s="382">
        <f>IF(AND(AH468&gt;0,B468&lt;&gt;""),VLOOKUP(I468,'AUX-NIV2'!$B:$AP,40,FALSE)*O468,0)</f>
        <v>0</v>
      </c>
      <c r="AO468" s="382">
        <f t="shared" si="277"/>
        <v>7.9375</v>
      </c>
      <c r="AQ468" s="395">
        <f>(IF($H468="x",VLOOKUP($I468,'AUX-NIV2'!$B:$X,'AUX-NIV1'!AQ$3,FALSE),0)+($AV468*'AUX-NIV3'!S$4))*$O468+IF($H468=AQ$4,$P468,0)</f>
        <v>0</v>
      </c>
      <c r="AR468" s="395">
        <f>(IF($H468="x",VLOOKUP($I468,'AUX-NIV2'!$B:$X,'AUX-NIV1'!AR$3,FALSE),0)+($AV468*'AUX-NIV3'!T$4))*$O468+IF($H468=AR$4,$P468,0)</f>
        <v>0</v>
      </c>
      <c r="AS468" s="395">
        <f>(IF($H468="x",VLOOKUP($I468,'AUX-NIV2'!$B:$X,'AUX-NIV1'!AS$3,FALSE),0)+($AV468*'AUX-NIV3'!U$4))*$O468+IF($H468=AS$4,$P468,0)</f>
        <v>0</v>
      </c>
      <c r="AT468" s="395">
        <f>(IF($H468="x",VLOOKUP($I468,'AUX-NIV2'!$B:$X,'AUX-NIV1'!AT$3,FALSE),0)+($AV468*'AUX-NIV3'!V$4))*$O468+IF($H468=AT$4,$P468,0)</f>
        <v>0</v>
      </c>
      <c r="AU468" s="395">
        <f>(IF($H468="x",VLOOKUP($I468,'AUX-NIV2'!$B:$X,'AUX-NIV1'!AU$3,FALSE),0)+($AV468*'AUX-NIV3'!W$4))*$O468+IF($H468=AU$4,$P468,0)</f>
        <v>0</v>
      </c>
      <c r="AV468" s="395">
        <f>+IF($H468="x",VLOOKUP($I468,'AUX-NIV2'!$B:$X,'AUX-NIV1'!AV$3,FALSE),0)</f>
        <v>0</v>
      </c>
    </row>
    <row r="469" spans="2:48" ht="13.8" hidden="1" thickTop="1">
      <c r="B469" s="501" t="s">
        <v>3498</v>
      </c>
      <c r="C469" s="950" t="s">
        <v>3499</v>
      </c>
      <c r="D469" s="326" t="s">
        <v>1160</v>
      </c>
      <c r="E469" s="349">
        <f>IF(B469&lt;&gt;"",+SUMIF(Items!C:C,'AUX-NIV1'!B469,Items!H:H),"")</f>
        <v>0</v>
      </c>
      <c r="F469" s="349">
        <f t="shared" si="267"/>
        <v>5868.1547457791366</v>
      </c>
      <c r="G469" s="349">
        <f t="shared" si="268"/>
        <v>0</v>
      </c>
      <c r="H469" s="1395" t="str">
        <f t="shared" si="215"/>
        <v>A</v>
      </c>
      <c r="I469" s="1375" t="s">
        <v>3310</v>
      </c>
      <c r="J469" s="350" t="str">
        <f>IF(B469&lt;&gt;"",+VLOOKUP(I469,Recursos!C:F,2,FALSE),"")</f>
        <v>OFICIAL ESPECIALIZADO</v>
      </c>
      <c r="K469" s="351" t="str">
        <f>IF(B469&lt;&gt;"",+VLOOKUP(I469,Recursos!C:F,3,FALSE),"")</f>
        <v>hh</v>
      </c>
      <c r="L469" s="436">
        <f>IF(B469&lt;&gt;"",+VLOOKUP(I469,Recursos!C:F,4,FALSE),"")</f>
        <v>581.06120476836554</v>
      </c>
      <c r="M469" s="982"/>
      <c r="N469" s="986">
        <v>1</v>
      </c>
      <c r="O469" s="439">
        <f>N474*N469/M472*N473+N474*N469/M466*(1-N473)</f>
        <v>1.5625</v>
      </c>
      <c r="P469" s="440">
        <f t="shared" si="216"/>
        <v>907.9081324505712</v>
      </c>
      <c r="Q469" s="349">
        <f t="shared" si="217"/>
        <v>0</v>
      </c>
      <c r="R469" s="353">
        <f t="shared" si="218"/>
        <v>0</v>
      </c>
      <c r="S469" s="354">
        <f t="shared" si="269"/>
        <v>3843.1363207791364</v>
      </c>
      <c r="T469" s="354">
        <f t="shared" si="270"/>
        <v>1555.018425</v>
      </c>
      <c r="U469" s="355">
        <f t="shared" si="271"/>
        <v>470</v>
      </c>
      <c r="V469" s="355">
        <f t="shared" si="272"/>
        <v>0</v>
      </c>
      <c r="W469" s="355">
        <f t="shared" si="273"/>
        <v>0</v>
      </c>
      <c r="X469" s="355">
        <f t="shared" si="274"/>
        <v>0</v>
      </c>
      <c r="Y469" s="396"/>
      <c r="Z469" s="346" t="str">
        <f t="shared" si="219"/>
        <v>0-DEMOMA</v>
      </c>
      <c r="AA469" s="346" t="str">
        <f t="shared" si="220"/>
        <v>0-DEMOME</v>
      </c>
      <c r="AB469" s="346" t="str">
        <f t="shared" si="221"/>
        <v>0-DEMOMM</v>
      </c>
      <c r="AC469" s="346" t="str">
        <f t="shared" si="222"/>
        <v>0-DEMOMT</v>
      </c>
      <c r="AD469" s="346" t="str">
        <f t="shared" si="223"/>
        <v>0-DEMOMS</v>
      </c>
      <c r="AE469" s="346" t="str">
        <f t="shared" si="224"/>
        <v>0-DEMOMX</v>
      </c>
      <c r="AF469" s="346" t="str">
        <f t="shared" si="225"/>
        <v>0-DEMOMA</v>
      </c>
      <c r="AG469" s="346">
        <f t="shared" si="275"/>
        <v>11</v>
      </c>
      <c r="AH469" s="346">
        <f>IF(B469&lt;&gt;"",+IF(H469="x",+VLOOKUP(I469,'AUX-NIV2'!B:AG,32,FALSE),0),"")</f>
        <v>0</v>
      </c>
      <c r="AI469" s="346" t="str">
        <f t="shared" si="226"/>
        <v>0-DEMOM</v>
      </c>
      <c r="AK469" s="347">
        <f t="shared" si="276"/>
        <v>466</v>
      </c>
      <c r="AL469" s="348">
        <f t="shared" si="227"/>
        <v>476</v>
      </c>
      <c r="AM469" s="347">
        <f t="shared" si="228"/>
        <v>4</v>
      </c>
      <c r="AN469" s="382">
        <f>IF(AND(AH469&gt;0,B469&lt;&gt;""),VLOOKUP(I469,'AUX-NIV2'!$B:$AP,40,FALSE)*O469,0)</f>
        <v>0</v>
      </c>
      <c r="AO469" s="382">
        <f t="shared" si="277"/>
        <v>7.9375</v>
      </c>
      <c r="AQ469" s="395">
        <f>(IF($H469="x",VLOOKUP($I469,'AUX-NIV2'!$B:$X,'AUX-NIV1'!AQ$3,FALSE),0)+($AV469*'AUX-NIV3'!S$4))*$O469+IF($H469=AQ$4,$P469,0)</f>
        <v>907.9081324505712</v>
      </c>
      <c r="AR469" s="395">
        <f>(IF($H469="x",VLOOKUP($I469,'AUX-NIV2'!$B:$X,'AUX-NIV1'!AR$3,FALSE),0)+($AV469*'AUX-NIV3'!T$4))*$O469+IF($H469=AR$4,$P469,0)</f>
        <v>0</v>
      </c>
      <c r="AS469" s="395">
        <f>(IF($H469="x",VLOOKUP($I469,'AUX-NIV2'!$B:$X,'AUX-NIV1'!AS$3,FALSE),0)+($AV469*'AUX-NIV3'!U$4))*$O469+IF($H469=AS$4,$P469,0)</f>
        <v>0</v>
      </c>
      <c r="AT469" s="395">
        <f>(IF($H469="x",VLOOKUP($I469,'AUX-NIV2'!$B:$X,'AUX-NIV1'!AT$3,FALSE),0)+($AV469*'AUX-NIV3'!V$4))*$O469+IF($H469=AT$4,$P469,0)</f>
        <v>0</v>
      </c>
      <c r="AU469" s="395">
        <f>(IF($H469="x",VLOOKUP($I469,'AUX-NIV2'!$B:$X,'AUX-NIV1'!AU$3,FALSE),0)+($AV469*'AUX-NIV3'!W$4))*$O469+IF($H469=AU$4,$P469,0)</f>
        <v>0</v>
      </c>
      <c r="AV469" s="395">
        <f>+IF($H469="x",VLOOKUP($I469,'AUX-NIV2'!$B:$X,'AUX-NIV1'!AV$3,FALSE),0)</f>
        <v>0</v>
      </c>
    </row>
    <row r="470" spans="2:48" ht="13.8" hidden="1" thickTop="1">
      <c r="B470" s="501" t="s">
        <v>3498</v>
      </c>
      <c r="C470" s="950" t="s">
        <v>3499</v>
      </c>
      <c r="D470" s="326" t="s">
        <v>1160</v>
      </c>
      <c r="E470" s="349">
        <f>IF(B470&lt;&gt;"",+SUMIF(Items!C:C,'AUX-NIV1'!B470,Items!H:H),"")</f>
        <v>0</v>
      </c>
      <c r="F470" s="349">
        <f t="shared" si="267"/>
        <v>5868.1547457791366</v>
      </c>
      <c r="G470" s="349">
        <f t="shared" si="268"/>
        <v>0</v>
      </c>
      <c r="H470" s="1395" t="str">
        <f t="shared" si="215"/>
        <v>A</v>
      </c>
      <c r="I470" s="1375" t="s">
        <v>1745</v>
      </c>
      <c r="J470" s="350" t="str">
        <f>IF(B470&lt;&gt;"",+VLOOKUP(I470,Recursos!C:F,2,FALSE),"")</f>
        <v>AYUDANTE</v>
      </c>
      <c r="K470" s="351" t="str">
        <f>IF(B470&lt;&gt;"",+VLOOKUP(I470,Recursos!C:F,3,FALSE),"")</f>
        <v>hh</v>
      </c>
      <c r="L470" s="436">
        <f>IF(B470&lt;&gt;"",+VLOOKUP(I470,Recursos!C:F,4,FALSE),"")</f>
        <v>422.48042769667234</v>
      </c>
      <c r="M470" s="975"/>
      <c r="N470" s="977"/>
      <c r="O470" s="439">
        <f>N472*N474*N473/M472</f>
        <v>3.125</v>
      </c>
      <c r="P470" s="440">
        <f t="shared" si="216"/>
        <v>1320.2513365521011</v>
      </c>
      <c r="Q470" s="349">
        <f t="shared" si="217"/>
        <v>0</v>
      </c>
      <c r="R470" s="353">
        <f t="shared" si="218"/>
        <v>0</v>
      </c>
      <c r="S470" s="354">
        <f t="shared" si="269"/>
        <v>3843.1363207791364</v>
      </c>
      <c r="T470" s="354">
        <f t="shared" si="270"/>
        <v>1555.018425</v>
      </c>
      <c r="U470" s="355">
        <f t="shared" si="271"/>
        <v>470</v>
      </c>
      <c r="V470" s="355">
        <f t="shared" si="272"/>
        <v>0</v>
      </c>
      <c r="W470" s="355">
        <f t="shared" si="273"/>
        <v>0</v>
      </c>
      <c r="X470" s="355">
        <f t="shared" si="274"/>
        <v>0</v>
      </c>
      <c r="Y470" s="396"/>
      <c r="Z470" s="346" t="str">
        <f t="shared" si="219"/>
        <v>0-DEMOMA</v>
      </c>
      <c r="AA470" s="346" t="str">
        <f t="shared" si="220"/>
        <v>0-DEMOME</v>
      </c>
      <c r="AB470" s="346" t="str">
        <f t="shared" si="221"/>
        <v>0-DEMOMM</v>
      </c>
      <c r="AC470" s="346" t="str">
        <f t="shared" si="222"/>
        <v>0-DEMOMT</v>
      </c>
      <c r="AD470" s="346" t="str">
        <f t="shared" si="223"/>
        <v>0-DEMOMS</v>
      </c>
      <c r="AE470" s="346" t="str">
        <f t="shared" si="224"/>
        <v>0-DEMOMX</v>
      </c>
      <c r="AF470" s="346" t="str">
        <f t="shared" si="225"/>
        <v>0-DEMOMA</v>
      </c>
      <c r="AG470" s="346">
        <f t="shared" si="275"/>
        <v>11</v>
      </c>
      <c r="AH470" s="346">
        <f>IF(B470&lt;&gt;"",+IF(H470="x",+VLOOKUP(I470,'AUX-NIV2'!B:AG,32,FALSE),0),"")</f>
        <v>0</v>
      </c>
      <c r="AI470" s="346" t="str">
        <f t="shared" si="226"/>
        <v>0-DEMOM</v>
      </c>
      <c r="AK470" s="347">
        <f t="shared" si="276"/>
        <v>466</v>
      </c>
      <c r="AL470" s="348">
        <f t="shared" si="227"/>
        <v>476</v>
      </c>
      <c r="AM470" s="347">
        <f t="shared" si="228"/>
        <v>5</v>
      </c>
      <c r="AN470" s="382">
        <f>IF(AND(AH470&gt;0,B470&lt;&gt;""),VLOOKUP(I470,'AUX-NIV2'!$B:$AP,40,FALSE)*O470,0)</f>
        <v>0</v>
      </c>
      <c r="AO470" s="382">
        <f t="shared" si="277"/>
        <v>7.9375</v>
      </c>
      <c r="AQ470" s="395">
        <f>(IF($H470="x",VLOOKUP($I470,'AUX-NIV2'!$B:$X,'AUX-NIV1'!AQ$3,FALSE),0)+($AV470*'AUX-NIV3'!S$4))*$O470+IF($H470=AQ$4,$P470,0)</f>
        <v>1320.2513365521011</v>
      </c>
      <c r="AR470" s="395">
        <f>(IF($H470="x",VLOOKUP($I470,'AUX-NIV2'!$B:$X,'AUX-NIV1'!AR$3,FALSE),0)+($AV470*'AUX-NIV3'!T$4))*$O470+IF($H470=AR$4,$P470,0)</f>
        <v>0</v>
      </c>
      <c r="AS470" s="395">
        <f>(IF($H470="x",VLOOKUP($I470,'AUX-NIV2'!$B:$X,'AUX-NIV1'!AS$3,FALSE),0)+($AV470*'AUX-NIV3'!U$4))*$O470+IF($H470=AS$4,$P470,0)</f>
        <v>0</v>
      </c>
      <c r="AT470" s="395">
        <f>(IF($H470="x",VLOOKUP($I470,'AUX-NIV2'!$B:$X,'AUX-NIV1'!AT$3,FALSE),0)+($AV470*'AUX-NIV3'!V$4))*$O470+IF($H470=AT$4,$P470,0)</f>
        <v>0</v>
      </c>
      <c r="AU470" s="395">
        <f>(IF($H470="x",VLOOKUP($I470,'AUX-NIV2'!$B:$X,'AUX-NIV1'!AU$3,FALSE),0)+($AV470*'AUX-NIV3'!W$4))*$O470+IF($H470=AU$4,$P470,0)</f>
        <v>0</v>
      </c>
      <c r="AV470" s="395">
        <f>+IF($H470="x",VLOOKUP($I470,'AUX-NIV2'!$B:$X,'AUX-NIV1'!AV$3,FALSE),0)</f>
        <v>0</v>
      </c>
    </row>
    <row r="471" spans="2:48" ht="13.8" hidden="1" thickTop="1">
      <c r="B471" s="501" t="s">
        <v>3498</v>
      </c>
      <c r="C471" s="950" t="s">
        <v>3499</v>
      </c>
      <c r="D471" s="326" t="s">
        <v>1160</v>
      </c>
      <c r="E471" s="349">
        <f>IF(B471&lt;&gt;"",+SUMIF(Items!C:C,'AUX-NIV1'!B471,Items!H:H),"")</f>
        <v>0</v>
      </c>
      <c r="F471" s="349">
        <f t="shared" si="267"/>
        <v>5868.1547457791366</v>
      </c>
      <c r="G471" s="349">
        <f t="shared" si="268"/>
        <v>0</v>
      </c>
      <c r="H471" s="1395" t="str">
        <f t="shared" si="215"/>
        <v>A</v>
      </c>
      <c r="I471" s="1375" t="s">
        <v>1746</v>
      </c>
      <c r="J471" s="350" t="str">
        <f>IF(B471&lt;&gt;"",+VLOOKUP(I471,Recursos!C:F,2,FALSE),"")</f>
        <v>OFICIAL</v>
      </c>
      <c r="K471" s="351" t="str">
        <f>IF(B471&lt;&gt;"",+VLOOKUP(I471,Recursos!C:F,3,FALSE),"")</f>
        <v>hh</v>
      </c>
      <c r="L471" s="436">
        <f>IF(B471&lt;&gt;"",+VLOOKUP(I471,Recursos!C:F,4,FALSE),"")</f>
        <v>496.91595439275824</v>
      </c>
      <c r="M471" s="975"/>
      <c r="N471" s="977"/>
      <c r="O471" s="439">
        <f>N472*N474*N473/M472</f>
        <v>3.125</v>
      </c>
      <c r="P471" s="440">
        <f t="shared" si="216"/>
        <v>1552.8623574773694</v>
      </c>
      <c r="Q471" s="349">
        <f t="shared" si="217"/>
        <v>0</v>
      </c>
      <c r="R471" s="353">
        <f t="shared" si="218"/>
        <v>0</v>
      </c>
      <c r="S471" s="354">
        <f t="shared" si="269"/>
        <v>3843.1363207791364</v>
      </c>
      <c r="T471" s="354">
        <f t="shared" si="270"/>
        <v>1555.018425</v>
      </c>
      <c r="U471" s="355">
        <f t="shared" si="271"/>
        <v>470</v>
      </c>
      <c r="V471" s="355">
        <f t="shared" si="272"/>
        <v>0</v>
      </c>
      <c r="W471" s="355">
        <f t="shared" si="273"/>
        <v>0</v>
      </c>
      <c r="X471" s="355">
        <f t="shared" si="274"/>
        <v>0</v>
      </c>
      <c r="Y471" s="396"/>
      <c r="Z471" s="346" t="str">
        <f t="shared" si="219"/>
        <v>0-DEMOMA</v>
      </c>
      <c r="AA471" s="346" t="str">
        <f t="shared" si="220"/>
        <v>0-DEMOME</v>
      </c>
      <c r="AB471" s="346" t="str">
        <f t="shared" si="221"/>
        <v>0-DEMOMM</v>
      </c>
      <c r="AC471" s="346" t="str">
        <f t="shared" si="222"/>
        <v>0-DEMOMT</v>
      </c>
      <c r="AD471" s="346" t="str">
        <f t="shared" si="223"/>
        <v>0-DEMOMS</v>
      </c>
      <c r="AE471" s="346" t="str">
        <f t="shared" si="224"/>
        <v>0-DEMOMX</v>
      </c>
      <c r="AF471" s="346" t="str">
        <f t="shared" si="225"/>
        <v>0-DEMOMA</v>
      </c>
      <c r="AG471" s="346">
        <f t="shared" si="275"/>
        <v>11</v>
      </c>
      <c r="AH471" s="346">
        <f>IF(B471&lt;&gt;"",+IF(H471="x",+VLOOKUP(I471,'AUX-NIV2'!B:AG,32,FALSE),0),"")</f>
        <v>0</v>
      </c>
      <c r="AI471" s="346" t="str">
        <f t="shared" si="226"/>
        <v>0-DEMOM</v>
      </c>
      <c r="AK471" s="347">
        <f t="shared" si="276"/>
        <v>466</v>
      </c>
      <c r="AL471" s="348">
        <f t="shared" si="227"/>
        <v>476</v>
      </c>
      <c r="AM471" s="347">
        <f t="shared" si="228"/>
        <v>6</v>
      </c>
      <c r="AN471" s="382">
        <f>IF(AND(AH471&gt;0,B471&lt;&gt;""),VLOOKUP(I471,'AUX-NIV2'!$B:$AP,40,FALSE)*O471,0)</f>
        <v>0</v>
      </c>
      <c r="AO471" s="382">
        <f t="shared" si="277"/>
        <v>7.9375</v>
      </c>
      <c r="AQ471" s="395">
        <f>(IF($H471="x",VLOOKUP($I471,'AUX-NIV2'!$B:$X,'AUX-NIV1'!AQ$3,FALSE),0)+($AV471*'AUX-NIV3'!S$4))*$O471+IF($H471=AQ$4,$P471,0)</f>
        <v>1552.8623574773694</v>
      </c>
      <c r="AR471" s="395">
        <f>(IF($H471="x",VLOOKUP($I471,'AUX-NIV2'!$B:$X,'AUX-NIV1'!AR$3,FALSE),0)+($AV471*'AUX-NIV3'!T$4))*$O471+IF($H471=AR$4,$P471,0)</f>
        <v>0</v>
      </c>
      <c r="AS471" s="395">
        <f>(IF($H471="x",VLOOKUP($I471,'AUX-NIV2'!$B:$X,'AUX-NIV1'!AS$3,FALSE),0)+($AV471*'AUX-NIV3'!U$4))*$O471+IF($H471=AS$4,$P471,0)</f>
        <v>0</v>
      </c>
      <c r="AT471" s="395">
        <f>(IF($H471="x",VLOOKUP($I471,'AUX-NIV2'!$B:$X,'AUX-NIV1'!AT$3,FALSE),0)+($AV471*'AUX-NIV3'!V$4))*$O471+IF($H471=AT$4,$P471,0)</f>
        <v>0</v>
      </c>
      <c r="AU471" s="395">
        <f>(IF($H471="x",VLOOKUP($I471,'AUX-NIV2'!$B:$X,'AUX-NIV1'!AU$3,FALSE),0)+($AV471*'AUX-NIV3'!W$4))*$O471+IF($H471=AU$4,$P471,0)</f>
        <v>0</v>
      </c>
      <c r="AV471" s="395">
        <f>+IF($H471="x",VLOOKUP($I471,'AUX-NIV2'!$B:$X,'AUX-NIV1'!AV$3,FALSE),0)</f>
        <v>0</v>
      </c>
    </row>
    <row r="472" spans="2:48" ht="13.8" hidden="1" thickTop="1">
      <c r="B472" s="501" t="s">
        <v>3498</v>
      </c>
      <c r="C472" s="950" t="s">
        <v>3499</v>
      </c>
      <c r="D472" s="326" t="s">
        <v>1160</v>
      </c>
      <c r="E472" s="349">
        <f>IF(B472&lt;&gt;"",+SUMIF(Items!C:C,'AUX-NIV1'!B472,Items!H:H),"")</f>
        <v>0</v>
      </c>
      <c r="F472" s="349">
        <f t="shared" si="267"/>
        <v>5868.1547457791366</v>
      </c>
      <c r="G472" s="349">
        <f t="shared" si="268"/>
        <v>0</v>
      </c>
      <c r="H472" s="1395" t="str">
        <f t="shared" si="215"/>
        <v>E</v>
      </c>
      <c r="I472" s="1375" t="s">
        <v>1690</v>
      </c>
      <c r="J472" s="350" t="str">
        <f>IF(B472&lt;&gt;"",+VLOOKUP(I472,Recursos!C:F,2,FALSE),"")</f>
        <v>MARTILLO NEUMATICO DEMOLEDOR 22 Kg</v>
      </c>
      <c r="K472" s="351" t="str">
        <f>IF(B472&lt;&gt;"",+VLOOKUP(I472,Recursos!C:F,3,FALSE),"")</f>
        <v>HR</v>
      </c>
      <c r="L472" s="436">
        <f>IF(B472&lt;&gt;"",+VLOOKUP(I472,Recursos!C:F,4,FALSE),"")</f>
        <v>17.266859999999998</v>
      </c>
      <c r="M472" s="978">
        <v>0.8</v>
      </c>
      <c r="N472" s="976">
        <v>2</v>
      </c>
      <c r="O472" s="439">
        <f>+N472/M472*N473</f>
        <v>2.5</v>
      </c>
      <c r="P472" s="440">
        <f t="shared" si="216"/>
        <v>43.167149999999992</v>
      </c>
      <c r="Q472" s="349">
        <f t="shared" si="217"/>
        <v>0</v>
      </c>
      <c r="R472" s="353">
        <f t="shared" si="218"/>
        <v>0</v>
      </c>
      <c r="S472" s="354">
        <f t="shared" si="269"/>
        <v>3843.1363207791364</v>
      </c>
      <c r="T472" s="354">
        <f t="shared" si="270"/>
        <v>1555.018425</v>
      </c>
      <c r="U472" s="355">
        <f t="shared" si="271"/>
        <v>470</v>
      </c>
      <c r="V472" s="355">
        <f t="shared" si="272"/>
        <v>0</v>
      </c>
      <c r="W472" s="355">
        <f t="shared" si="273"/>
        <v>0</v>
      </c>
      <c r="X472" s="355">
        <f t="shared" si="274"/>
        <v>0</v>
      </c>
      <c r="Y472" s="396"/>
      <c r="Z472" s="346" t="str">
        <f t="shared" si="219"/>
        <v>0-DEMOMA</v>
      </c>
      <c r="AA472" s="346" t="str">
        <f t="shared" si="220"/>
        <v>0-DEMOME</v>
      </c>
      <c r="AB472" s="346" t="str">
        <f t="shared" si="221"/>
        <v>0-DEMOMM</v>
      </c>
      <c r="AC472" s="346" t="str">
        <f t="shared" si="222"/>
        <v>0-DEMOMT</v>
      </c>
      <c r="AD472" s="346" t="str">
        <f t="shared" si="223"/>
        <v>0-DEMOMS</v>
      </c>
      <c r="AE472" s="346" t="str">
        <f t="shared" si="224"/>
        <v>0-DEMOMX</v>
      </c>
      <c r="AF472" s="346" t="str">
        <f t="shared" si="225"/>
        <v>0-DEMOME</v>
      </c>
      <c r="AG472" s="346">
        <f t="shared" si="275"/>
        <v>11</v>
      </c>
      <c r="AH472" s="346">
        <f>IF(B472&lt;&gt;"",+IF(H472="x",+VLOOKUP(I472,'AUX-NIV2'!B:AG,32,FALSE),0),"")</f>
        <v>0</v>
      </c>
      <c r="AI472" s="346" t="str">
        <f t="shared" si="226"/>
        <v>0-DEMOM</v>
      </c>
      <c r="AK472" s="347">
        <f t="shared" si="276"/>
        <v>466</v>
      </c>
      <c r="AL472" s="348">
        <f t="shared" si="227"/>
        <v>476</v>
      </c>
      <c r="AM472" s="347">
        <f t="shared" si="228"/>
        <v>7</v>
      </c>
      <c r="AN472" s="382">
        <f>IF(AND(AH472&gt;0,B472&lt;&gt;""),VLOOKUP(I472,'AUX-NIV2'!$B:$AP,40,FALSE)*O472,0)</f>
        <v>0</v>
      </c>
      <c r="AO472" s="382">
        <f t="shared" si="277"/>
        <v>7.9375</v>
      </c>
      <c r="AQ472" s="395">
        <f>(IF($H472="x",VLOOKUP($I472,'AUX-NIV2'!$B:$X,'AUX-NIV1'!AQ$3,FALSE),0)+($AV472*'AUX-NIV3'!S$4))*$O472+IF($H472=AQ$4,$P472,0)</f>
        <v>0</v>
      </c>
      <c r="AR472" s="395">
        <f>(IF($H472="x",VLOOKUP($I472,'AUX-NIV2'!$B:$X,'AUX-NIV1'!AR$3,FALSE),0)+($AV472*'AUX-NIV3'!T$4))*$O472+IF($H472=AR$4,$P472,0)</f>
        <v>43.167149999999992</v>
      </c>
      <c r="AS472" s="395">
        <f>(IF($H472="x",VLOOKUP($I472,'AUX-NIV2'!$B:$X,'AUX-NIV1'!AS$3,FALSE),0)+($AV472*'AUX-NIV3'!U$4))*$O472+IF($H472=AS$4,$P472,0)</f>
        <v>0</v>
      </c>
      <c r="AT472" s="395">
        <f>(IF($H472="x",VLOOKUP($I472,'AUX-NIV2'!$B:$X,'AUX-NIV1'!AT$3,FALSE),0)+($AV472*'AUX-NIV3'!V$4))*$O472+IF($H472=AT$4,$P472,0)</f>
        <v>0</v>
      </c>
      <c r="AU472" s="395">
        <f>(IF($H472="x",VLOOKUP($I472,'AUX-NIV2'!$B:$X,'AUX-NIV1'!AU$3,FALSE),0)+($AV472*'AUX-NIV3'!W$4))*$O472+IF($H472=AU$4,$P472,0)</f>
        <v>0</v>
      </c>
      <c r="AV472" s="395">
        <f>+IF($H472="x",VLOOKUP($I472,'AUX-NIV2'!$B:$X,'AUX-NIV1'!AV$3,FALSE),0)</f>
        <v>0</v>
      </c>
    </row>
    <row r="473" spans="2:48" ht="13.8" hidden="1" thickTop="1">
      <c r="B473" s="501" t="s">
        <v>3498</v>
      </c>
      <c r="C473" s="950" t="s">
        <v>3499</v>
      </c>
      <c r="D473" s="326" t="s">
        <v>1160</v>
      </c>
      <c r="E473" s="349">
        <f>IF(B473&lt;&gt;"",+SUMIF(Items!C:C,'AUX-NIV1'!B473,Items!H:H),"")</f>
        <v>0</v>
      </c>
      <c r="F473" s="349">
        <f t="shared" si="267"/>
        <v>5868.1547457791366</v>
      </c>
      <c r="G473" s="349">
        <f t="shared" si="268"/>
        <v>0</v>
      </c>
      <c r="H473" s="1395" t="str">
        <f t="shared" si="215"/>
        <v>E</v>
      </c>
      <c r="I473" s="1375" t="s">
        <v>1692</v>
      </c>
      <c r="J473" s="350" t="str">
        <f>IF(B473&lt;&gt;"",+VLOOKUP(I473,Recursos!C:F,2,FALSE),"")</f>
        <v>MOTOCOMPRESOR 7 m3/min-250 cfm</v>
      </c>
      <c r="K473" s="351" t="str">
        <f>IF(B473&lt;&gt;"",+VLOOKUP(I473,Recursos!C:F,3,FALSE),"")</f>
        <v>HR</v>
      </c>
      <c r="L473" s="436">
        <f>IF(B473&lt;&gt;"",+VLOOKUP(I473,Recursos!C:F,4,FALSE),"")</f>
        <v>942.82014000000004</v>
      </c>
      <c r="M473" s="983"/>
      <c r="N473" s="984">
        <v>1</v>
      </c>
      <c r="O473" s="439">
        <f>+N473/M472</f>
        <v>1.25</v>
      </c>
      <c r="P473" s="440">
        <f t="shared" si="216"/>
        <v>1178.525175</v>
      </c>
      <c r="Q473" s="349">
        <f t="shared" si="217"/>
        <v>0</v>
      </c>
      <c r="R473" s="353">
        <f t="shared" si="218"/>
        <v>0</v>
      </c>
      <c r="S473" s="354">
        <f t="shared" si="269"/>
        <v>3843.1363207791364</v>
      </c>
      <c r="T473" s="354">
        <f t="shared" si="270"/>
        <v>1555.018425</v>
      </c>
      <c r="U473" s="355">
        <f t="shared" si="271"/>
        <v>470</v>
      </c>
      <c r="V473" s="355">
        <f t="shared" si="272"/>
        <v>0</v>
      </c>
      <c r="W473" s="355">
        <f t="shared" si="273"/>
        <v>0</v>
      </c>
      <c r="X473" s="355">
        <f t="shared" si="274"/>
        <v>0</v>
      </c>
      <c r="Y473" s="396"/>
      <c r="Z473" s="346" t="str">
        <f t="shared" si="219"/>
        <v>0-DEMOMA</v>
      </c>
      <c r="AA473" s="346" t="str">
        <f t="shared" si="220"/>
        <v>0-DEMOME</v>
      </c>
      <c r="AB473" s="346" t="str">
        <f t="shared" si="221"/>
        <v>0-DEMOMM</v>
      </c>
      <c r="AC473" s="346" t="str">
        <f t="shared" si="222"/>
        <v>0-DEMOMT</v>
      </c>
      <c r="AD473" s="346" t="str">
        <f t="shared" si="223"/>
        <v>0-DEMOMS</v>
      </c>
      <c r="AE473" s="346" t="str">
        <f t="shared" si="224"/>
        <v>0-DEMOMX</v>
      </c>
      <c r="AF473" s="346" t="str">
        <f t="shared" si="225"/>
        <v>0-DEMOME</v>
      </c>
      <c r="AG473" s="346">
        <f t="shared" si="275"/>
        <v>11</v>
      </c>
      <c r="AH473" s="346">
        <f>IF(B473&lt;&gt;"",+IF(H473="x",+VLOOKUP(I473,'AUX-NIV2'!B:AG,32,FALSE),0),"")</f>
        <v>0</v>
      </c>
      <c r="AI473" s="346" t="str">
        <f t="shared" si="226"/>
        <v>0-DEMOM</v>
      </c>
      <c r="AK473" s="347">
        <f t="shared" si="276"/>
        <v>466</v>
      </c>
      <c r="AL473" s="348">
        <f t="shared" si="227"/>
        <v>476</v>
      </c>
      <c r="AM473" s="347">
        <f t="shared" si="228"/>
        <v>8</v>
      </c>
      <c r="AN473" s="382">
        <f>IF(AND(AH473&gt;0,B473&lt;&gt;""),VLOOKUP(I473,'AUX-NIV2'!$B:$AP,40,FALSE)*O473,0)</f>
        <v>0</v>
      </c>
      <c r="AO473" s="382">
        <f t="shared" si="277"/>
        <v>7.9375</v>
      </c>
      <c r="AQ473" s="395">
        <f>(IF($H473="x",VLOOKUP($I473,'AUX-NIV2'!$B:$X,'AUX-NIV1'!AQ$3,FALSE),0)+($AV473*'AUX-NIV3'!S$4))*$O473+IF($H473=AQ$4,$P473,0)</f>
        <v>0</v>
      </c>
      <c r="AR473" s="395">
        <f>(IF($H473="x",VLOOKUP($I473,'AUX-NIV2'!$B:$X,'AUX-NIV1'!AR$3,FALSE),0)+($AV473*'AUX-NIV3'!T$4))*$O473+IF($H473=AR$4,$P473,0)</f>
        <v>1178.525175</v>
      </c>
      <c r="AS473" s="395">
        <f>(IF($H473="x",VLOOKUP($I473,'AUX-NIV2'!$B:$X,'AUX-NIV1'!AS$3,FALSE),0)+($AV473*'AUX-NIV3'!U$4))*$O473+IF($H473=AS$4,$P473,0)</f>
        <v>0</v>
      </c>
      <c r="AT473" s="395">
        <f>(IF($H473="x",VLOOKUP($I473,'AUX-NIV2'!$B:$X,'AUX-NIV1'!AT$3,FALSE),0)+($AV473*'AUX-NIV3'!V$4))*$O473+IF($H473=AT$4,$P473,0)</f>
        <v>0</v>
      </c>
      <c r="AU473" s="395">
        <f>(IF($H473="x",VLOOKUP($I473,'AUX-NIV2'!$B:$X,'AUX-NIV1'!AU$3,FALSE),0)+($AV473*'AUX-NIV3'!W$4))*$O473+IF($H473=AU$4,$P473,0)</f>
        <v>0</v>
      </c>
      <c r="AV473" s="395">
        <f>+IF($H473="x",VLOOKUP($I473,'AUX-NIV2'!$B:$X,'AUX-NIV1'!AV$3,FALSE),0)</f>
        <v>0</v>
      </c>
    </row>
    <row r="474" spans="2:48" ht="13.8" hidden="1" thickTop="1">
      <c r="B474" s="501" t="s">
        <v>3498</v>
      </c>
      <c r="C474" s="950" t="s">
        <v>3499</v>
      </c>
      <c r="D474" s="326" t="s">
        <v>1160</v>
      </c>
      <c r="E474" s="349">
        <f>IF(B474&lt;&gt;"",+SUMIF(Items!C:C,'AUX-NIV1'!B474,Items!H:H),"")</f>
        <v>0</v>
      </c>
      <c r="F474" s="349">
        <f t="shared" si="267"/>
        <v>5868.1547457791366</v>
      </c>
      <c r="G474" s="349">
        <f t="shared" si="268"/>
        <v>0</v>
      </c>
      <c r="H474" s="1395" t="str">
        <f t="shared" si="215"/>
        <v>A</v>
      </c>
      <c r="I474" s="1375" t="s">
        <v>1746</v>
      </c>
      <c r="J474" s="350" t="str">
        <f>IF(B474&lt;&gt;"",+VLOOKUP(I474,Recursos!C:F,2,FALSE),"")</f>
        <v>OFICIAL</v>
      </c>
      <c r="K474" s="351" t="str">
        <f>IF(B474&lt;&gt;"",+VLOOKUP(I474,Recursos!C:F,3,FALSE),"")</f>
        <v>hh</v>
      </c>
      <c r="L474" s="436">
        <f>IF(B474&lt;&gt;"",+VLOOKUP(I474,Recursos!C:F,4,FALSE),"")</f>
        <v>496.91595439275824</v>
      </c>
      <c r="M474" s="982"/>
      <c r="N474" s="763">
        <v>1.25</v>
      </c>
      <c r="O474" s="439">
        <f>+N475*N474/M466</f>
        <v>0.125</v>
      </c>
      <c r="P474" s="440">
        <f t="shared" si="216"/>
        <v>62.11449429909478</v>
      </c>
      <c r="Q474" s="349">
        <f t="shared" si="217"/>
        <v>0</v>
      </c>
      <c r="R474" s="353">
        <f t="shared" si="218"/>
        <v>0</v>
      </c>
      <c r="S474" s="354">
        <f t="shared" si="269"/>
        <v>3843.1363207791364</v>
      </c>
      <c r="T474" s="354">
        <f t="shared" si="270"/>
        <v>1555.018425</v>
      </c>
      <c r="U474" s="355">
        <f t="shared" si="271"/>
        <v>470</v>
      </c>
      <c r="V474" s="355">
        <f t="shared" si="272"/>
        <v>0</v>
      </c>
      <c r="W474" s="355">
        <f t="shared" si="273"/>
        <v>0</v>
      </c>
      <c r="X474" s="355">
        <f t="shared" si="274"/>
        <v>0</v>
      </c>
      <c r="Y474" s="396"/>
      <c r="Z474" s="346" t="str">
        <f t="shared" si="219"/>
        <v>0-DEMOMA</v>
      </c>
      <c r="AA474" s="346" t="str">
        <f t="shared" si="220"/>
        <v>0-DEMOME</v>
      </c>
      <c r="AB474" s="346" t="str">
        <f t="shared" si="221"/>
        <v>0-DEMOMM</v>
      </c>
      <c r="AC474" s="346" t="str">
        <f t="shared" si="222"/>
        <v>0-DEMOMT</v>
      </c>
      <c r="AD474" s="346" t="str">
        <f t="shared" si="223"/>
        <v>0-DEMOMS</v>
      </c>
      <c r="AE474" s="346" t="str">
        <f t="shared" si="224"/>
        <v>0-DEMOMX</v>
      </c>
      <c r="AF474" s="346" t="str">
        <f t="shared" si="225"/>
        <v>0-DEMOMA</v>
      </c>
      <c r="AG474" s="346">
        <f t="shared" si="275"/>
        <v>11</v>
      </c>
      <c r="AH474" s="346">
        <f>IF(B474&lt;&gt;"",+IF(H474="x",+VLOOKUP(I474,'AUX-NIV2'!B:AG,32,FALSE),0),"")</f>
        <v>0</v>
      </c>
      <c r="AI474" s="346" t="str">
        <f t="shared" si="226"/>
        <v>0-DEMOM</v>
      </c>
      <c r="AK474" s="347">
        <f t="shared" si="276"/>
        <v>466</v>
      </c>
      <c r="AL474" s="348">
        <f t="shared" si="227"/>
        <v>476</v>
      </c>
      <c r="AM474" s="347">
        <f t="shared" si="228"/>
        <v>9</v>
      </c>
      <c r="AN474" s="382">
        <f>IF(AND(AH474&gt;0,B474&lt;&gt;""),VLOOKUP(I474,'AUX-NIV2'!$B:$AP,40,FALSE)*O474,0)</f>
        <v>0</v>
      </c>
      <c r="AO474" s="382">
        <f t="shared" si="277"/>
        <v>7.9375</v>
      </c>
      <c r="AQ474" s="395">
        <f>(IF($H474="x",VLOOKUP($I474,'AUX-NIV2'!$B:$X,'AUX-NIV1'!AQ$3,FALSE),0)+($AV474*'AUX-NIV3'!S$4))*$O474+IF($H474=AQ$4,$P474,0)</f>
        <v>62.11449429909478</v>
      </c>
      <c r="AR474" s="395">
        <f>(IF($H474="x",VLOOKUP($I474,'AUX-NIV2'!$B:$X,'AUX-NIV1'!AR$3,FALSE),0)+($AV474*'AUX-NIV3'!T$4))*$O474+IF($H474=AR$4,$P474,0)</f>
        <v>0</v>
      </c>
      <c r="AS474" s="395">
        <f>(IF($H474="x",VLOOKUP($I474,'AUX-NIV2'!$B:$X,'AUX-NIV1'!AS$3,FALSE),0)+($AV474*'AUX-NIV3'!U$4))*$O474+IF($H474=AS$4,$P474,0)</f>
        <v>0</v>
      </c>
      <c r="AT474" s="395">
        <f>(IF($H474="x",VLOOKUP($I474,'AUX-NIV2'!$B:$X,'AUX-NIV1'!AT$3,FALSE),0)+($AV474*'AUX-NIV3'!V$4))*$O474+IF($H474=AT$4,$P474,0)</f>
        <v>0</v>
      </c>
      <c r="AU474" s="395">
        <f>(IF($H474="x",VLOOKUP($I474,'AUX-NIV2'!$B:$X,'AUX-NIV1'!AU$3,FALSE),0)+($AV474*'AUX-NIV3'!W$4))*$O474+IF($H474=AU$4,$P474,0)</f>
        <v>0</v>
      </c>
      <c r="AV474" s="395">
        <f>+IF($H474="x",VLOOKUP($I474,'AUX-NIV2'!$B:$X,'AUX-NIV1'!AV$3,FALSE),0)</f>
        <v>0</v>
      </c>
    </row>
    <row r="475" spans="2:48" ht="13.8" hidden="1" thickTop="1">
      <c r="B475" s="501" t="s">
        <v>3498</v>
      </c>
      <c r="C475" s="950" t="s">
        <v>3499</v>
      </c>
      <c r="D475" s="326" t="s">
        <v>1160</v>
      </c>
      <c r="E475" s="349">
        <f>IF(B475&lt;&gt;"",+SUMIF(Items!C:C,'AUX-NIV1'!B475,Items!H:H),"")</f>
        <v>0</v>
      </c>
      <c r="F475" s="349">
        <f t="shared" si="267"/>
        <v>5868.1547457791366</v>
      </c>
      <c r="G475" s="349">
        <f t="shared" si="268"/>
        <v>0</v>
      </c>
      <c r="H475" s="1395" t="str">
        <f t="shared" si="215"/>
        <v>E</v>
      </c>
      <c r="I475" s="1375" t="s">
        <v>1555</v>
      </c>
      <c r="J475" s="350" t="str">
        <f>IF(B475&lt;&gt;"",+VLOOKUP(I475,Recursos!C:F,2,FALSE),"")</f>
        <v>CAMION VOLCADOR 6x4 CAP. 24 T=15 m3</v>
      </c>
      <c r="K475" s="351" t="str">
        <f>IF(B475&lt;&gt;"",+VLOOKUP(I475,Recursos!C:F,3,FALSE),"")</f>
        <v>HR</v>
      </c>
      <c r="L475" s="436">
        <f>IF(B475&lt;&gt;"",+VLOOKUP(I475,Recursos!C:F,4,FALSE),"")</f>
        <v>3333.261</v>
      </c>
      <c r="M475" s="980"/>
      <c r="N475" s="981">
        <v>1</v>
      </c>
      <c r="O475" s="439">
        <f>+N475/M466</f>
        <v>0.1</v>
      </c>
      <c r="P475" s="440">
        <f t="shared" si="216"/>
        <v>333.3261</v>
      </c>
      <c r="Q475" s="349">
        <f t="shared" si="217"/>
        <v>0</v>
      </c>
      <c r="R475" s="353">
        <f t="shared" si="218"/>
        <v>0</v>
      </c>
      <c r="S475" s="354">
        <f t="shared" si="269"/>
        <v>3843.1363207791364</v>
      </c>
      <c r="T475" s="354">
        <f t="shared" si="270"/>
        <v>1555.018425</v>
      </c>
      <c r="U475" s="355">
        <f t="shared" si="271"/>
        <v>470</v>
      </c>
      <c r="V475" s="355">
        <f t="shared" si="272"/>
        <v>0</v>
      </c>
      <c r="W475" s="355">
        <f t="shared" si="273"/>
        <v>0</v>
      </c>
      <c r="X475" s="355">
        <f t="shared" si="274"/>
        <v>0</v>
      </c>
      <c r="Y475" s="396"/>
      <c r="Z475" s="346" t="str">
        <f t="shared" si="219"/>
        <v>0-DEMOMA</v>
      </c>
      <c r="AA475" s="346" t="str">
        <f t="shared" si="220"/>
        <v>0-DEMOME</v>
      </c>
      <c r="AB475" s="346" t="str">
        <f t="shared" si="221"/>
        <v>0-DEMOMM</v>
      </c>
      <c r="AC475" s="346" t="str">
        <f t="shared" si="222"/>
        <v>0-DEMOMT</v>
      </c>
      <c r="AD475" s="346" t="str">
        <f t="shared" si="223"/>
        <v>0-DEMOMS</v>
      </c>
      <c r="AE475" s="346" t="str">
        <f t="shared" si="224"/>
        <v>0-DEMOMX</v>
      </c>
      <c r="AF475" s="346" t="str">
        <f t="shared" si="225"/>
        <v>0-DEMOME</v>
      </c>
      <c r="AG475" s="346">
        <f t="shared" si="275"/>
        <v>11</v>
      </c>
      <c r="AH475" s="346">
        <f>IF(B475&lt;&gt;"",+IF(H475="x",+VLOOKUP(I475,'AUX-NIV2'!B:AG,32,FALSE),0),"")</f>
        <v>0</v>
      </c>
      <c r="AI475" s="346" t="str">
        <f t="shared" si="226"/>
        <v>0-DEMOM</v>
      </c>
      <c r="AK475" s="347">
        <f t="shared" si="276"/>
        <v>466</v>
      </c>
      <c r="AL475" s="348">
        <f t="shared" si="227"/>
        <v>476</v>
      </c>
      <c r="AM475" s="347">
        <f t="shared" si="228"/>
        <v>10</v>
      </c>
      <c r="AN475" s="382">
        <f>IF(AND(AH475&gt;0,B475&lt;&gt;""),VLOOKUP(I475,'AUX-NIV2'!$B:$AP,40,FALSE)*O475,0)</f>
        <v>0</v>
      </c>
      <c r="AO475" s="382">
        <f t="shared" si="277"/>
        <v>7.9375</v>
      </c>
      <c r="AQ475" s="395">
        <f>(IF($H475="x",VLOOKUP($I475,'AUX-NIV2'!$B:$X,'AUX-NIV1'!AQ$3,FALSE),0)+($AV475*'AUX-NIV3'!S$4))*$O475+IF($H475=AQ$4,$P475,0)</f>
        <v>0</v>
      </c>
      <c r="AR475" s="395">
        <f>(IF($H475="x",VLOOKUP($I475,'AUX-NIV2'!$B:$X,'AUX-NIV1'!AR$3,FALSE),0)+($AV475*'AUX-NIV3'!T$4))*$O475+IF($H475=AR$4,$P475,0)</f>
        <v>333.3261</v>
      </c>
      <c r="AS475" s="395">
        <f>(IF($H475="x",VLOOKUP($I475,'AUX-NIV2'!$B:$X,'AUX-NIV1'!AS$3,FALSE),0)+($AV475*'AUX-NIV3'!U$4))*$O475+IF($H475=AS$4,$P475,0)</f>
        <v>0</v>
      </c>
      <c r="AT475" s="395">
        <f>(IF($H475="x",VLOOKUP($I475,'AUX-NIV2'!$B:$X,'AUX-NIV1'!AT$3,FALSE),0)+($AV475*'AUX-NIV3'!V$4))*$O475+IF($H475=AT$4,$P475,0)</f>
        <v>0</v>
      </c>
      <c r="AU475" s="395">
        <f>(IF($H475="x",VLOOKUP($I475,'AUX-NIV2'!$B:$X,'AUX-NIV1'!AU$3,FALSE),0)+($AV475*'AUX-NIV3'!W$4))*$O475+IF($H475=AU$4,$P475,0)</f>
        <v>0</v>
      </c>
      <c r="AV475" s="395">
        <f>+IF($H475="x",VLOOKUP($I475,'AUX-NIV2'!$B:$X,'AUX-NIV1'!AV$3,FALSE),0)</f>
        <v>0</v>
      </c>
    </row>
    <row r="476" spans="2:48" ht="13.8" hidden="1" thickTop="1">
      <c r="B476" s="501" t="s">
        <v>3498</v>
      </c>
      <c r="C476" s="950" t="s">
        <v>3499</v>
      </c>
      <c r="D476" s="326" t="s">
        <v>1160</v>
      </c>
      <c r="E476" s="349">
        <f>IF(B476&lt;&gt;"",+SUMIF(Items!C:C,'AUX-NIV1'!B476,Items!H:H),"")</f>
        <v>0</v>
      </c>
      <c r="F476" s="349">
        <f t="shared" si="267"/>
        <v>5868.1547457791366</v>
      </c>
      <c r="G476" s="349">
        <f t="shared" si="268"/>
        <v>0</v>
      </c>
      <c r="H476" s="1395" t="str">
        <f t="shared" ref="H476:H546" si="334">IF(B476&lt;&gt;"",+LEFT(I476,1),"")</f>
        <v>M</v>
      </c>
      <c r="I476" s="1375" t="s">
        <v>2142</v>
      </c>
      <c r="J476" s="350" t="str">
        <f>IF(B476&lt;&gt;"",+VLOOKUP(I476,Recursos!C:F,2,FALSE),"")</f>
        <v>HERRAMIENTAS MENORES</v>
      </c>
      <c r="K476" s="351" t="str">
        <f>IF(B476&lt;&gt;"",+VLOOKUP(I476,Recursos!C:F,3,FALSE),"")</f>
        <v>un</v>
      </c>
      <c r="L476" s="436">
        <f>IF(B476&lt;&gt;"",+VLOOKUP(I476,Recursos!C:F,4,FALSE),"")</f>
        <v>1</v>
      </c>
      <c r="M476" s="985">
        <f>4700*10%</f>
        <v>470</v>
      </c>
      <c r="N476" s="987"/>
      <c r="O476" s="439">
        <f>+M476</f>
        <v>470</v>
      </c>
      <c r="P476" s="440">
        <f t="shared" ref="P476:P546" si="335">IF(B476&lt;&gt;"",O476*L476,"")</f>
        <v>470</v>
      </c>
      <c r="Q476" s="349">
        <f t="shared" ref="Q476:Q546" si="336">IF(B476&lt;&gt;"",+O476*E476,"")</f>
        <v>0</v>
      </c>
      <c r="R476" s="353">
        <f t="shared" ref="R476:R546" si="337">IF(B476&lt;&gt;"",Q476*L476,"")</f>
        <v>0</v>
      </c>
      <c r="S476" s="354">
        <f t="shared" si="269"/>
        <v>3843.1363207791364</v>
      </c>
      <c r="T476" s="354">
        <f t="shared" si="270"/>
        <v>1555.018425</v>
      </c>
      <c r="U476" s="355">
        <f t="shared" si="271"/>
        <v>470</v>
      </c>
      <c r="V476" s="355">
        <f t="shared" si="272"/>
        <v>0</v>
      </c>
      <c r="W476" s="355">
        <f t="shared" si="273"/>
        <v>0</v>
      </c>
      <c r="X476" s="355">
        <f t="shared" si="274"/>
        <v>0</v>
      </c>
      <c r="Y476" s="396"/>
      <c r="Z476" s="346" t="str">
        <f t="shared" ref="Z476:Z546" si="338">IF(B476&lt;&gt;"",+$B476&amp;"A","")</f>
        <v>0-DEMOMA</v>
      </c>
      <c r="AA476" s="346" t="str">
        <f t="shared" ref="AA476:AA546" si="339">IF(B476&lt;&gt;"",+$B476&amp;"E","")</f>
        <v>0-DEMOME</v>
      </c>
      <c r="AB476" s="346" t="str">
        <f t="shared" ref="AB476:AB546" si="340">IF(B476&lt;&gt;"",++$B476&amp;"M","")</f>
        <v>0-DEMOMM</v>
      </c>
      <c r="AC476" s="346" t="str">
        <f t="shared" ref="AC476:AC546" si="341">IF(B476&lt;&gt;"",+$B476&amp;"T","")</f>
        <v>0-DEMOMT</v>
      </c>
      <c r="AD476" s="346" t="str">
        <f t="shared" ref="AD476:AD546" si="342">IF(B476&lt;&gt;"",+$B476&amp;"S","")</f>
        <v>0-DEMOMS</v>
      </c>
      <c r="AE476" s="346" t="str">
        <f t="shared" ref="AE476:AE546" si="343">IF(B476&lt;&gt;"",+$B476&amp;"X","")</f>
        <v>0-DEMOMX</v>
      </c>
      <c r="AF476" s="346" t="str">
        <f t="shared" ref="AF476:AF546" si="344">IF(B476&lt;&gt;"",+B476&amp;H476,"")</f>
        <v>0-DEMOMM</v>
      </c>
      <c r="AG476" s="346">
        <f t="shared" si="275"/>
        <v>11</v>
      </c>
      <c r="AH476" s="346">
        <f>IF(B476&lt;&gt;"",+IF(H476="x",+VLOOKUP(I476,'AUX-NIV2'!B:AG,32,FALSE),0),"")</f>
        <v>0</v>
      </c>
      <c r="AI476" s="346" t="str">
        <f t="shared" ref="AI476:AI546" si="345">IF(B476&lt;&gt;"",+B476,"")</f>
        <v>0-DEMOM</v>
      </c>
      <c r="AK476" s="347">
        <f t="shared" si="276"/>
        <v>466</v>
      </c>
      <c r="AL476" s="348">
        <f t="shared" ref="AL476:AL546" si="346">IF(B476&lt;&gt;"",+AK476+AG476-1,"")</f>
        <v>476</v>
      </c>
      <c r="AM476" s="347">
        <f t="shared" ref="AM476:AM546" si="347">IF(B476&lt;&gt;"",IF(B476=B475,1+AM475,1),"")</f>
        <v>11</v>
      </c>
      <c r="AN476" s="382">
        <f>IF(AND(AH476&gt;0,B476&lt;&gt;""),VLOOKUP(I476,'AUX-NIV2'!$B:$AP,40,FALSE)*O476,0)</f>
        <v>0</v>
      </c>
      <c r="AO476" s="382">
        <f t="shared" si="277"/>
        <v>7.9375</v>
      </c>
      <c r="AQ476" s="395">
        <f>(IF($H476="x",VLOOKUP($I476,'AUX-NIV2'!$B:$X,'AUX-NIV1'!AQ$3,FALSE),0)+($AV476*'AUX-NIV3'!S$4))*$O476+IF($H476=AQ$4,$P476,0)</f>
        <v>0</v>
      </c>
      <c r="AR476" s="395">
        <f>(IF($H476="x",VLOOKUP($I476,'AUX-NIV2'!$B:$X,'AUX-NIV1'!AR$3,FALSE),0)+($AV476*'AUX-NIV3'!T$4))*$O476+IF($H476=AR$4,$P476,0)</f>
        <v>0</v>
      </c>
      <c r="AS476" s="395">
        <f>(IF($H476="x",VLOOKUP($I476,'AUX-NIV2'!$B:$X,'AUX-NIV1'!AS$3,FALSE),0)+($AV476*'AUX-NIV3'!U$4))*$O476+IF($H476=AS$4,$P476,0)</f>
        <v>470</v>
      </c>
      <c r="AT476" s="395">
        <f>(IF($H476="x",VLOOKUP($I476,'AUX-NIV2'!$B:$X,'AUX-NIV1'!AT$3,FALSE),0)+($AV476*'AUX-NIV3'!V$4))*$O476+IF($H476=AT$4,$P476,0)</f>
        <v>0</v>
      </c>
      <c r="AU476" s="395">
        <f>(IF($H476="x",VLOOKUP($I476,'AUX-NIV2'!$B:$X,'AUX-NIV1'!AU$3,FALSE),0)+($AV476*'AUX-NIV3'!W$4))*$O476+IF($H476=AU$4,$P476,0)</f>
        <v>0</v>
      </c>
      <c r="AV476" s="395">
        <f>+IF($H476="x",VLOOKUP($I476,'AUX-NIV2'!$B:$X,'AUX-NIV1'!AV$3,FALSE),0)</f>
        <v>0</v>
      </c>
    </row>
    <row r="477" spans="2:48" ht="14.4" hidden="1" thickTop="1" thickBot="1">
      <c r="B477" s="501" t="s">
        <v>3508</v>
      </c>
      <c r="C477" s="950" t="s">
        <v>3499</v>
      </c>
      <c r="D477" s="326" t="s">
        <v>1160</v>
      </c>
      <c r="E477" s="349">
        <f>IF(B477&lt;&gt;"",+SUMIF(Items!C:C,'AUX-NIV1'!B477,Items!H:H),"")</f>
        <v>0</v>
      </c>
      <c r="F477" s="349">
        <f t="shared" si="267"/>
        <v>15418.76109442304</v>
      </c>
      <c r="G477" s="349">
        <f t="shared" si="268"/>
        <v>0</v>
      </c>
      <c r="H477" s="1395" t="str">
        <f t="shared" si="334"/>
        <v>M</v>
      </c>
      <c r="I477" s="1375" t="s">
        <v>621</v>
      </c>
      <c r="J477" s="350" t="str">
        <f>IF(B477&lt;&gt;"",+VLOOKUP(I477,Recursos!C:F,2,FALSE),"")</f>
        <v>MATERIALES VARIOS</v>
      </c>
      <c r="K477" s="351" t="str">
        <f>IF(B477&lt;&gt;"",+VLOOKUP(I477,Recursos!C:F,3,FALSE),"")</f>
        <v>GL</v>
      </c>
      <c r="L477" s="436">
        <f>IF(B477&lt;&gt;"",+VLOOKUP(I477,Recursos!C:F,4,FALSE),"")</f>
        <v>0.5</v>
      </c>
      <c r="M477" s="979">
        <f>4700*5%</f>
        <v>235</v>
      </c>
      <c r="N477" s="988"/>
      <c r="O477" s="439">
        <f>+M477</f>
        <v>235</v>
      </c>
      <c r="P477" s="440">
        <f t="shared" si="335"/>
        <v>117.5</v>
      </c>
      <c r="Q477" s="349">
        <f t="shared" si="336"/>
        <v>0</v>
      </c>
      <c r="R477" s="353">
        <f t="shared" si="337"/>
        <v>0</v>
      </c>
      <c r="S477" s="354">
        <f t="shared" si="269"/>
        <v>0</v>
      </c>
      <c r="T477" s="354">
        <f t="shared" si="270"/>
        <v>0</v>
      </c>
      <c r="U477" s="355">
        <f t="shared" si="271"/>
        <v>14232.25</v>
      </c>
      <c r="V477" s="355">
        <f t="shared" si="272"/>
        <v>0</v>
      </c>
      <c r="W477" s="355">
        <f t="shared" si="273"/>
        <v>0</v>
      </c>
      <c r="X477" s="355">
        <f t="shared" si="274"/>
        <v>1186.5110944230391</v>
      </c>
      <c r="Y477" s="396"/>
      <c r="Z477" s="346" t="str">
        <f t="shared" si="338"/>
        <v>0-HORCÑA</v>
      </c>
      <c r="AA477" s="346" t="str">
        <f t="shared" si="339"/>
        <v>0-HORCÑE</v>
      </c>
      <c r="AB477" s="346" t="str">
        <f t="shared" si="340"/>
        <v>0-HORCÑM</v>
      </c>
      <c r="AC477" s="346" t="str">
        <f t="shared" si="341"/>
        <v>0-HORCÑT</v>
      </c>
      <c r="AD477" s="346" t="str">
        <f t="shared" si="342"/>
        <v>0-HORCÑS</v>
      </c>
      <c r="AE477" s="346" t="str">
        <f t="shared" si="343"/>
        <v>0-HORCÑX</v>
      </c>
      <c r="AF477" s="346" t="str">
        <f t="shared" si="344"/>
        <v>0-HORCÑM</v>
      </c>
      <c r="AG477" s="346">
        <f t="shared" si="275"/>
        <v>5</v>
      </c>
      <c r="AH477" s="346">
        <f>IF(B477&lt;&gt;"",+IF(H477="x",+VLOOKUP(I477,'AUX-NIV2'!B:AG,32,FALSE),0),"")</f>
        <v>0</v>
      </c>
      <c r="AI477" s="346" t="str">
        <f t="shared" si="345"/>
        <v>0-HORCÑ</v>
      </c>
      <c r="AK477" s="347">
        <f t="shared" si="276"/>
        <v>477</v>
      </c>
      <c r="AL477" s="348">
        <f t="shared" si="346"/>
        <v>481</v>
      </c>
      <c r="AM477" s="347">
        <f t="shared" si="347"/>
        <v>1</v>
      </c>
      <c r="AN477" s="382">
        <f>IF(AND(AH477&gt;0,B477&lt;&gt;""),VLOOKUP(I477,'AUX-NIV2'!$B:$AP,40,FALSE)*O477,0)</f>
        <v>0</v>
      </c>
      <c r="AO477" s="382">
        <f t="shared" si="277"/>
        <v>2.0125000000000002</v>
      </c>
      <c r="AQ477" s="395">
        <f>(IF($H477="x",VLOOKUP($I477,'AUX-NIV2'!$B:$X,'AUX-NIV1'!AQ$3,FALSE),0)+($AV477*'AUX-NIV3'!S$4))*$O477+IF($H477=AQ$4,$P477,0)</f>
        <v>0</v>
      </c>
      <c r="AR477" s="395">
        <f>(IF($H477="x",VLOOKUP($I477,'AUX-NIV2'!$B:$X,'AUX-NIV1'!AR$3,FALSE),0)+($AV477*'AUX-NIV3'!T$4))*$O477+IF($H477=AR$4,$P477,0)</f>
        <v>0</v>
      </c>
      <c r="AS477" s="395">
        <f>(IF($H477="x",VLOOKUP($I477,'AUX-NIV2'!$B:$X,'AUX-NIV1'!AS$3,FALSE),0)+($AV477*'AUX-NIV3'!U$4))*$O477+IF($H477=AS$4,$P477,0)</f>
        <v>117.5</v>
      </c>
      <c r="AT477" s="395">
        <f>(IF($H477="x",VLOOKUP($I477,'AUX-NIV2'!$B:$X,'AUX-NIV1'!AT$3,FALSE),0)+($AV477*'AUX-NIV3'!V$4))*$O477+IF($H477=AT$4,$P477,0)</f>
        <v>0</v>
      </c>
      <c r="AU477" s="395">
        <f>(IF($H477="x",VLOOKUP($I477,'AUX-NIV2'!$B:$X,'AUX-NIV1'!AU$3,FALSE),0)+($AV477*'AUX-NIV3'!W$4))*$O477+IF($H477=AU$4,$P477,0)</f>
        <v>0</v>
      </c>
      <c r="AV477" s="395">
        <f>+IF($H477="x",VLOOKUP($I477,'AUX-NIV2'!$B:$X,'AUX-NIV1'!AV$3,FALSE),0)</f>
        <v>0</v>
      </c>
    </row>
    <row r="478" spans="2:48" ht="13.8" hidden="1" thickTop="1">
      <c r="B478" s="501" t="s">
        <v>3508</v>
      </c>
      <c r="C478" s="950" t="s">
        <v>3509</v>
      </c>
      <c r="D478" s="326" t="s">
        <v>1160</v>
      </c>
      <c r="E478" s="349">
        <f>IF(B478&lt;&gt;"",+SUMIF(Items!C:C,'AUX-NIV1'!B478,Items!H:H),"")</f>
        <v>0</v>
      </c>
      <c r="F478" s="349">
        <f t="shared" si="267"/>
        <v>15418.76109442304</v>
      </c>
      <c r="G478" s="349">
        <f t="shared" si="268"/>
        <v>0</v>
      </c>
      <c r="H478" s="1395" t="str">
        <f t="shared" si="334"/>
        <v>X</v>
      </c>
      <c r="I478" s="1375" t="s">
        <v>2865</v>
      </c>
      <c r="J478" s="350" t="str">
        <f>IF(B478&lt;&gt;"",+VLOOKUP(I478,Recursos!C:F,2,FALSE),"")</f>
        <v>Colado Hormigón desde Mixer</v>
      </c>
      <c r="K478" s="351" t="str">
        <f>IF(B478&lt;&gt;"",+VLOOKUP(I478,Recursos!C:F,3,FALSE),"")</f>
        <v>m3</v>
      </c>
      <c r="L478" s="436">
        <f>IF(B478&lt;&gt;"",+VLOOKUP(I478,Recursos!C:F,4,FALSE),"")</f>
        <v>1031.7487777591643</v>
      </c>
      <c r="M478" s="1072">
        <v>1.1000000000000001</v>
      </c>
      <c r="N478" s="1073">
        <v>0.05</v>
      </c>
      <c r="O478" s="439">
        <f>+M478+N478</f>
        <v>1.1500000000000001</v>
      </c>
      <c r="P478" s="440">
        <f t="shared" si="335"/>
        <v>1186.5110944230391</v>
      </c>
      <c r="Q478" s="349">
        <f t="shared" si="336"/>
        <v>0</v>
      </c>
      <c r="R478" s="353">
        <f t="shared" si="337"/>
        <v>0</v>
      </c>
      <c r="S478" s="354">
        <f t="shared" si="269"/>
        <v>0</v>
      </c>
      <c r="T478" s="354">
        <f t="shared" si="270"/>
        <v>0</v>
      </c>
      <c r="U478" s="355">
        <f t="shared" si="271"/>
        <v>14232.25</v>
      </c>
      <c r="V478" s="355">
        <f t="shared" si="272"/>
        <v>0</v>
      </c>
      <c r="W478" s="355">
        <f t="shared" si="273"/>
        <v>0</v>
      </c>
      <c r="X478" s="355">
        <f t="shared" si="274"/>
        <v>1186.5110944230391</v>
      </c>
      <c r="Y478" s="396"/>
      <c r="Z478" s="346" t="str">
        <f t="shared" si="338"/>
        <v>0-HORCÑA</v>
      </c>
      <c r="AA478" s="346" t="str">
        <f t="shared" si="339"/>
        <v>0-HORCÑE</v>
      </c>
      <c r="AB478" s="346" t="str">
        <f t="shared" si="340"/>
        <v>0-HORCÑM</v>
      </c>
      <c r="AC478" s="346" t="str">
        <f t="shared" si="341"/>
        <v>0-HORCÑT</v>
      </c>
      <c r="AD478" s="346" t="str">
        <f t="shared" si="342"/>
        <v>0-HORCÑS</v>
      </c>
      <c r="AE478" s="346" t="str">
        <f t="shared" si="343"/>
        <v>0-HORCÑX</v>
      </c>
      <c r="AF478" s="346" t="str">
        <f t="shared" si="344"/>
        <v>0-HORCÑX</v>
      </c>
      <c r="AG478" s="346">
        <f t="shared" si="275"/>
        <v>5</v>
      </c>
      <c r="AH478" s="346">
        <f>IF(B478&lt;&gt;"",+IF(H478="x",+VLOOKUP(I478,'AUX-NIV2'!B:AG,32,FALSE),0),"")</f>
        <v>8</v>
      </c>
      <c r="AI478" s="346" t="str">
        <f t="shared" si="345"/>
        <v>0-HORCÑ</v>
      </c>
      <c r="AK478" s="347">
        <f t="shared" si="276"/>
        <v>477</v>
      </c>
      <c r="AL478" s="348">
        <f t="shared" si="346"/>
        <v>481</v>
      </c>
      <c r="AM478" s="347">
        <f t="shared" si="347"/>
        <v>2</v>
      </c>
      <c r="AN478" s="382">
        <f>IF(AND(AH478&gt;0,B478&lt;&gt;""),VLOOKUP(I478,'AUX-NIV2'!$B:$AP,40,FALSE)*O478,0)</f>
        <v>2.0125000000000002</v>
      </c>
      <c r="AO478" s="382">
        <f t="shared" si="277"/>
        <v>2.0125000000000002</v>
      </c>
      <c r="AQ478" s="395">
        <f>(IF($H478="x",VLOOKUP($I478,'AUX-NIV2'!$B:$X,'AUX-NIV1'!AQ$3,FALSE),0)+($AV478*'AUX-NIV3'!S$4))*$O478+IF($H478=AQ$4,$P478,0)</f>
        <v>960.03447592303894</v>
      </c>
      <c r="AR478" s="395">
        <f>(IF($H478="x",VLOOKUP($I478,'AUX-NIV2'!$B:$X,'AUX-NIV1'!AR$3,FALSE),0)+($AV478*'AUX-NIV3'!T$4))*$O478+IF($H478=AR$4,$P478,0)</f>
        <v>226.4766185</v>
      </c>
      <c r="AS478" s="395">
        <f>(IF($H478="x",VLOOKUP($I478,'AUX-NIV2'!$B:$X,'AUX-NIV1'!AS$3,FALSE),0)+($AV478*'AUX-NIV3'!U$4))*$O478+IF($H478=AS$4,$P478,0)</f>
        <v>0</v>
      </c>
      <c r="AT478" s="395">
        <f>(IF($H478="x",VLOOKUP($I478,'AUX-NIV2'!$B:$X,'AUX-NIV1'!AT$3,FALSE),0)+($AV478*'AUX-NIV3'!V$4))*$O478+IF($H478=AT$4,$P478,0)</f>
        <v>0</v>
      </c>
      <c r="AU478" s="395">
        <f>(IF($H478="x",VLOOKUP($I478,'AUX-NIV2'!$B:$X,'AUX-NIV1'!AU$3,FALSE),0)+($AV478*'AUX-NIV3'!W$4))*$O478+IF($H478=AU$4,$P478,0)</f>
        <v>0</v>
      </c>
      <c r="AV478" s="395">
        <f>+IF($H478="x",VLOOKUP($I478,'AUX-NIV2'!$B:$X,'AUX-NIV1'!AV$3,FALSE),0)</f>
        <v>0</v>
      </c>
    </row>
    <row r="479" spans="2:48" ht="13.8" hidden="1" thickTop="1">
      <c r="B479" s="501" t="s">
        <v>3508</v>
      </c>
      <c r="C479" s="950" t="s">
        <v>3509</v>
      </c>
      <c r="D479" s="326" t="s">
        <v>1160</v>
      </c>
      <c r="E479" s="349">
        <f>IF(B479&lt;&gt;"",+SUMIF(Items!C:C,'AUX-NIV1'!B479,Items!H:H),"")</f>
        <v>0</v>
      </c>
      <c r="F479" s="349">
        <f t="shared" si="267"/>
        <v>15418.76109442304</v>
      </c>
      <c r="G479" s="349">
        <f t="shared" si="268"/>
        <v>0</v>
      </c>
      <c r="H479" s="1395" t="str">
        <f t="shared" si="334"/>
        <v>M</v>
      </c>
      <c r="I479" s="1375" t="s">
        <v>3081</v>
      </c>
      <c r="J479" s="350" t="str">
        <f>IF(B479&lt;&gt;"",+VLOOKUP(I479,Recursos!C:F,2,FALSE),"")</f>
        <v>CAÑO PVC CLOACAL DN 160 mm</v>
      </c>
      <c r="K479" s="351" t="str">
        <f>IF(B479&lt;&gt;"",+VLOOKUP(I479,Recursos!C:F,3,FALSE),"")</f>
        <v>m</v>
      </c>
      <c r="L479" s="436">
        <f>IF(B479&lt;&gt;"",+VLOOKUP(I479,Recursos!C:F,4,FALSE),"")</f>
        <v>392</v>
      </c>
      <c r="M479" s="1077">
        <v>20</v>
      </c>
      <c r="N479" s="1078">
        <v>1.02</v>
      </c>
      <c r="O479" s="542">
        <f>M479*N479</f>
        <v>20.399999999999999</v>
      </c>
      <c r="P479" s="440">
        <f t="shared" si="335"/>
        <v>7996.7999999999993</v>
      </c>
      <c r="Q479" s="349">
        <f t="shared" si="336"/>
        <v>0</v>
      </c>
      <c r="R479" s="353">
        <f t="shared" si="337"/>
        <v>0</v>
      </c>
      <c r="S479" s="354">
        <f t="shared" si="269"/>
        <v>0</v>
      </c>
      <c r="T479" s="354">
        <f t="shared" si="270"/>
        <v>0</v>
      </c>
      <c r="U479" s="355">
        <f t="shared" si="271"/>
        <v>14232.25</v>
      </c>
      <c r="V479" s="355">
        <f t="shared" si="272"/>
        <v>0</v>
      </c>
      <c r="W479" s="355">
        <f t="shared" si="273"/>
        <v>0</v>
      </c>
      <c r="X479" s="355">
        <f t="shared" si="274"/>
        <v>1186.5110944230391</v>
      </c>
      <c r="Y479" s="396"/>
      <c r="Z479" s="346" t="str">
        <f t="shared" si="338"/>
        <v>0-HORCÑA</v>
      </c>
      <c r="AA479" s="346" t="str">
        <f t="shared" si="339"/>
        <v>0-HORCÑE</v>
      </c>
      <c r="AB479" s="346" t="str">
        <f t="shared" si="340"/>
        <v>0-HORCÑM</v>
      </c>
      <c r="AC479" s="346" t="str">
        <f t="shared" si="341"/>
        <v>0-HORCÑT</v>
      </c>
      <c r="AD479" s="346" t="str">
        <f t="shared" si="342"/>
        <v>0-HORCÑS</v>
      </c>
      <c r="AE479" s="346" t="str">
        <f t="shared" si="343"/>
        <v>0-HORCÑX</v>
      </c>
      <c r="AF479" s="346" t="str">
        <f t="shared" si="344"/>
        <v>0-HORCÑM</v>
      </c>
      <c r="AG479" s="346">
        <f t="shared" si="275"/>
        <v>5</v>
      </c>
      <c r="AH479" s="346">
        <f>IF(B479&lt;&gt;"",+IF(H479="x",+VLOOKUP(I479,'AUX-NIV2'!B:AG,32,FALSE),0),"")</f>
        <v>0</v>
      </c>
      <c r="AI479" s="346" t="str">
        <f t="shared" si="345"/>
        <v>0-HORCÑ</v>
      </c>
      <c r="AK479" s="347">
        <f t="shared" si="276"/>
        <v>477</v>
      </c>
      <c r="AL479" s="348">
        <f t="shared" si="346"/>
        <v>481</v>
      </c>
      <c r="AM479" s="347">
        <f t="shared" si="347"/>
        <v>3</v>
      </c>
      <c r="AN479" s="382">
        <f>IF(AND(AH479&gt;0,B479&lt;&gt;""),VLOOKUP(I479,'AUX-NIV2'!$B:$AP,40,FALSE)*O479,0)</f>
        <v>0</v>
      </c>
      <c r="AO479" s="382">
        <f t="shared" si="277"/>
        <v>2.0125000000000002</v>
      </c>
      <c r="AQ479" s="395">
        <f>(IF($H479="x",VLOOKUP($I479,'AUX-NIV2'!$B:$X,'AUX-NIV1'!AQ$3,FALSE),0)+($AV479*'AUX-NIV3'!S$4))*$O479+IF($H479=AQ$4,$P479,0)</f>
        <v>0</v>
      </c>
      <c r="AR479" s="395">
        <f>(IF($H479="x",VLOOKUP($I479,'AUX-NIV2'!$B:$X,'AUX-NIV1'!AR$3,FALSE),0)+($AV479*'AUX-NIV3'!T$4))*$O479+IF($H479=AR$4,$P479,0)</f>
        <v>0</v>
      </c>
      <c r="AS479" s="395">
        <f>(IF($H479="x",VLOOKUP($I479,'AUX-NIV2'!$B:$X,'AUX-NIV1'!AS$3,FALSE),0)+($AV479*'AUX-NIV3'!U$4))*$O479+IF($H479=AS$4,$P479,0)</f>
        <v>7996.7999999999993</v>
      </c>
      <c r="AT479" s="395">
        <f>(IF($H479="x",VLOOKUP($I479,'AUX-NIV2'!$B:$X,'AUX-NIV1'!AT$3,FALSE),0)+($AV479*'AUX-NIV3'!V$4))*$O479+IF($H479=AT$4,$P479,0)</f>
        <v>0</v>
      </c>
      <c r="AU479" s="395">
        <f>(IF($H479="x",VLOOKUP($I479,'AUX-NIV2'!$B:$X,'AUX-NIV1'!AU$3,FALSE),0)+($AV479*'AUX-NIV3'!W$4))*$O479+IF($H479=AU$4,$P479,0)</f>
        <v>0</v>
      </c>
      <c r="AV479" s="395">
        <f>+IF($H479="x",VLOOKUP($I479,'AUX-NIV2'!$B:$X,'AUX-NIV1'!AV$3,FALSE),0)</f>
        <v>0</v>
      </c>
    </row>
    <row r="480" spans="2:48" ht="13.8" hidden="1" thickTop="1">
      <c r="B480" s="501" t="s">
        <v>3508</v>
      </c>
      <c r="C480" s="950" t="s">
        <v>3509</v>
      </c>
      <c r="D480" s="326" t="s">
        <v>1160</v>
      </c>
      <c r="E480" s="349">
        <f>IF(B480&lt;&gt;"",+SUMIF(Items!C:C,'AUX-NIV1'!B480,Items!H:H),"")</f>
        <v>0</v>
      </c>
      <c r="F480" s="349">
        <f t="shared" si="267"/>
        <v>15418.76109442304</v>
      </c>
      <c r="G480" s="349">
        <f t="shared" si="268"/>
        <v>0</v>
      </c>
      <c r="H480" s="1395" t="str">
        <f t="shared" si="334"/>
        <v>M</v>
      </c>
      <c r="I480" s="1397" t="s">
        <v>3213</v>
      </c>
      <c r="J480" s="350" t="str">
        <f>IF(B480&lt;&gt;"",+VLOOKUP(I480,Recursos!C:F,2,FALSE),"")</f>
        <v>HORMIGON ELABORADO H25 TRANSPORTADO</v>
      </c>
      <c r="K480" s="351" t="str">
        <f>IF(B480&lt;&gt;"",+VLOOKUP(I480,Recursos!C:F,3,FALSE),"")</f>
        <v>m3</v>
      </c>
      <c r="L480" s="436">
        <f>IF(B480&lt;&gt;"",+VLOOKUP(I480,Recursos!C:F,4,FALSE),"")</f>
        <v>6117.95</v>
      </c>
      <c r="M480" s="541"/>
      <c r="N480" s="442"/>
      <c r="O480" s="542">
        <f>+M482</f>
        <v>1</v>
      </c>
      <c r="P480" s="440">
        <f t="shared" si="335"/>
        <v>6117.95</v>
      </c>
      <c r="Q480" s="349">
        <f t="shared" si="336"/>
        <v>0</v>
      </c>
      <c r="R480" s="353">
        <f t="shared" si="337"/>
        <v>0</v>
      </c>
      <c r="S480" s="354">
        <f t="shared" si="269"/>
        <v>0</v>
      </c>
      <c r="T480" s="354">
        <f t="shared" si="270"/>
        <v>0</v>
      </c>
      <c r="U480" s="355">
        <f t="shared" si="271"/>
        <v>14232.25</v>
      </c>
      <c r="V480" s="355">
        <f t="shared" si="272"/>
        <v>0</v>
      </c>
      <c r="W480" s="355">
        <f t="shared" si="273"/>
        <v>0</v>
      </c>
      <c r="X480" s="355">
        <f t="shared" si="274"/>
        <v>1186.5110944230391</v>
      </c>
      <c r="Y480" s="396"/>
      <c r="Z480" s="346" t="str">
        <f t="shared" si="338"/>
        <v>0-HORCÑA</v>
      </c>
      <c r="AA480" s="346" t="str">
        <f t="shared" si="339"/>
        <v>0-HORCÑE</v>
      </c>
      <c r="AB480" s="346" t="str">
        <f t="shared" si="340"/>
        <v>0-HORCÑM</v>
      </c>
      <c r="AC480" s="346" t="str">
        <f t="shared" si="341"/>
        <v>0-HORCÑT</v>
      </c>
      <c r="AD480" s="346" t="str">
        <f t="shared" si="342"/>
        <v>0-HORCÑS</v>
      </c>
      <c r="AE480" s="346" t="str">
        <f t="shared" si="343"/>
        <v>0-HORCÑX</v>
      </c>
      <c r="AF480" s="346" t="str">
        <f t="shared" si="344"/>
        <v>0-HORCÑM</v>
      </c>
      <c r="AG480" s="346">
        <f t="shared" si="275"/>
        <v>5</v>
      </c>
      <c r="AH480" s="346">
        <f>IF(B480&lt;&gt;"",+IF(H480="x",+VLOOKUP(I480,'AUX-NIV2'!B:AG,32,FALSE),0),"")</f>
        <v>0</v>
      </c>
      <c r="AI480" s="346" t="str">
        <f t="shared" si="345"/>
        <v>0-HORCÑ</v>
      </c>
      <c r="AK480" s="347">
        <f t="shared" si="276"/>
        <v>477</v>
      </c>
      <c r="AL480" s="348">
        <f t="shared" si="346"/>
        <v>481</v>
      </c>
      <c r="AM480" s="347">
        <f t="shared" si="347"/>
        <v>4</v>
      </c>
      <c r="AN480" s="382">
        <f>IF(AND(AH480&gt;0,B480&lt;&gt;""),VLOOKUP(I480,'AUX-NIV2'!$B:$AP,40,FALSE)*O480,0)</f>
        <v>0</v>
      </c>
      <c r="AO480" s="382">
        <f t="shared" si="277"/>
        <v>2.0125000000000002</v>
      </c>
      <c r="AQ480" s="395">
        <f>(IF($H480="x",VLOOKUP($I480,'AUX-NIV2'!$B:$X,'AUX-NIV1'!AQ$3,FALSE),0)+($AV480*'AUX-NIV3'!S$4))*$O480+IF($H480=AQ$4,$P480,0)</f>
        <v>0</v>
      </c>
      <c r="AR480" s="395">
        <f>(IF($H480="x",VLOOKUP($I480,'AUX-NIV2'!$B:$X,'AUX-NIV1'!AR$3,FALSE),0)+($AV480*'AUX-NIV3'!T$4))*$O480+IF($H480=AR$4,$P480,0)</f>
        <v>0</v>
      </c>
      <c r="AS480" s="395">
        <f>(IF($H480="x",VLOOKUP($I480,'AUX-NIV2'!$B:$X,'AUX-NIV1'!AS$3,FALSE),0)+($AV480*'AUX-NIV3'!U$4))*$O480+IF($H480=AS$4,$P480,0)</f>
        <v>6117.95</v>
      </c>
      <c r="AT480" s="395">
        <f>(IF($H480="x",VLOOKUP($I480,'AUX-NIV2'!$B:$X,'AUX-NIV1'!AT$3,FALSE),0)+($AV480*'AUX-NIV3'!V$4))*$O480+IF($H480=AT$4,$P480,0)</f>
        <v>0</v>
      </c>
      <c r="AU480" s="395">
        <f>(IF($H480="x",VLOOKUP($I480,'AUX-NIV2'!$B:$X,'AUX-NIV1'!AU$3,FALSE),0)+($AV480*'AUX-NIV3'!W$4))*$O480+IF($H480=AU$4,$P480,0)</f>
        <v>0</v>
      </c>
      <c r="AV480" s="395">
        <f>+IF($H480="x",VLOOKUP($I480,'AUX-NIV2'!$B:$X,'AUX-NIV1'!AV$3,FALSE),0)</f>
        <v>0</v>
      </c>
    </row>
    <row r="481" spans="2:48" ht="13.8" hidden="1" thickTop="1">
      <c r="B481" s="501" t="s">
        <v>3508</v>
      </c>
      <c r="C481" s="950" t="s">
        <v>3509</v>
      </c>
      <c r="D481" s="326" t="s">
        <v>1160</v>
      </c>
      <c r="E481" s="349">
        <f>IF(B481&lt;&gt;"",+SUMIF(Items!C:C,'AUX-NIV1'!B481,Items!H:H),"")</f>
        <v>0</v>
      </c>
      <c r="F481" s="349">
        <f t="shared" si="267"/>
        <v>15418.76109442304</v>
      </c>
      <c r="G481" s="349">
        <f t="shared" si="268"/>
        <v>0</v>
      </c>
      <c r="H481" s="1395" t="str">
        <f t="shared" si="334"/>
        <v>X</v>
      </c>
      <c r="I481" s="1397" t="s">
        <v>3022</v>
      </c>
      <c r="J481" s="350" t="str">
        <f>IF(B481&lt;&gt;"",+VLOOKUP(I481,Recursos!C:F,2,FALSE),"")</f>
        <v>Elaboración de Hgón H25</v>
      </c>
      <c r="K481" s="351" t="str">
        <f>IF(B481&lt;&gt;"",+VLOOKUP(I481,Recursos!C:F,3,FALSE),"")</f>
        <v>m3</v>
      </c>
      <c r="L481" s="436">
        <f>IF(B481&lt;&gt;"",+VLOOKUP(I481,Recursos!C:F,4,FALSE),"")</f>
        <v>5089.5514149046503</v>
      </c>
      <c r="M481" s="443"/>
      <c r="N481" s="442"/>
      <c r="O481" s="439">
        <f>(1-M482)</f>
        <v>0</v>
      </c>
      <c r="P481" s="440">
        <f t="shared" si="335"/>
        <v>0</v>
      </c>
      <c r="Q481" s="349">
        <f t="shared" si="336"/>
        <v>0</v>
      </c>
      <c r="R481" s="353">
        <f t="shared" si="337"/>
        <v>0</v>
      </c>
      <c r="S481" s="354">
        <f t="shared" si="269"/>
        <v>0</v>
      </c>
      <c r="T481" s="354">
        <f t="shared" si="270"/>
        <v>0</v>
      </c>
      <c r="U481" s="355">
        <f t="shared" si="271"/>
        <v>14232.25</v>
      </c>
      <c r="V481" s="355">
        <f t="shared" si="272"/>
        <v>0</v>
      </c>
      <c r="W481" s="355">
        <f t="shared" si="273"/>
        <v>0</v>
      </c>
      <c r="X481" s="355">
        <f t="shared" si="274"/>
        <v>1186.5110944230391</v>
      </c>
      <c r="Y481" s="396"/>
      <c r="Z481" s="346" t="str">
        <f t="shared" si="338"/>
        <v>0-HORCÑA</v>
      </c>
      <c r="AA481" s="346" t="str">
        <f t="shared" si="339"/>
        <v>0-HORCÑE</v>
      </c>
      <c r="AB481" s="346" t="str">
        <f t="shared" si="340"/>
        <v>0-HORCÑM</v>
      </c>
      <c r="AC481" s="346" t="str">
        <f t="shared" si="341"/>
        <v>0-HORCÑT</v>
      </c>
      <c r="AD481" s="346" t="str">
        <f t="shared" si="342"/>
        <v>0-HORCÑS</v>
      </c>
      <c r="AE481" s="346" t="str">
        <f t="shared" si="343"/>
        <v>0-HORCÑX</v>
      </c>
      <c r="AF481" s="346" t="str">
        <f t="shared" si="344"/>
        <v>0-HORCÑX</v>
      </c>
      <c r="AG481" s="346">
        <f t="shared" si="275"/>
        <v>5</v>
      </c>
      <c r="AH481" s="346">
        <f>IF(B481&lt;&gt;"",+IF(H481="x",+VLOOKUP(I481,'AUX-NIV2'!B:AG,32,FALSE),0),"")</f>
        <v>7</v>
      </c>
      <c r="AI481" s="346" t="str">
        <f t="shared" si="345"/>
        <v>0-HORCÑ</v>
      </c>
      <c r="AK481" s="347">
        <f t="shared" si="276"/>
        <v>477</v>
      </c>
      <c r="AL481" s="348">
        <f t="shared" si="346"/>
        <v>481</v>
      </c>
      <c r="AM481" s="347">
        <f t="shared" si="347"/>
        <v>5</v>
      </c>
      <c r="AN481" s="382">
        <f>IF(AND(AH481&gt;0,B481&lt;&gt;""),VLOOKUP(I481,'AUX-NIV2'!$B:$AP,40,FALSE)*O481,0)</f>
        <v>0</v>
      </c>
      <c r="AO481" s="382">
        <f t="shared" si="277"/>
        <v>2.0125000000000002</v>
      </c>
      <c r="AQ481" s="395">
        <f>(IF($H481="x",VLOOKUP($I481,'AUX-NIV2'!$B:$X,'AUX-NIV1'!AQ$3,FALSE),0)+($AV481*'AUX-NIV3'!S$4))*$O481+IF($H481=AQ$4,$P481,0)</f>
        <v>0</v>
      </c>
      <c r="AR481" s="395">
        <f>(IF($H481="x",VLOOKUP($I481,'AUX-NIV2'!$B:$X,'AUX-NIV1'!AR$3,FALSE),0)+($AV481*'AUX-NIV3'!T$4))*$O481+IF($H481=AR$4,$P481,0)</f>
        <v>0</v>
      </c>
      <c r="AS481" s="395">
        <f>(IF($H481="x",VLOOKUP($I481,'AUX-NIV2'!$B:$X,'AUX-NIV1'!AS$3,FALSE),0)+($AV481*'AUX-NIV3'!U$4))*$O481+IF($H481=AS$4,$P481,0)</f>
        <v>0</v>
      </c>
      <c r="AT481" s="395">
        <f>(IF($H481="x",VLOOKUP($I481,'AUX-NIV2'!$B:$X,'AUX-NIV1'!AT$3,FALSE),0)+($AV481*'AUX-NIV3'!V$4))*$O481+IF($H481=AT$4,$P481,0)</f>
        <v>0</v>
      </c>
      <c r="AU481" s="395">
        <f>(IF($H481="x",VLOOKUP($I481,'AUX-NIV2'!$B:$X,'AUX-NIV1'!AU$3,FALSE),0)+($AV481*'AUX-NIV3'!W$4))*$O481+IF($H481=AU$4,$P481,0)</f>
        <v>0</v>
      </c>
      <c r="AV481" s="395">
        <f>+IF($H481="x",VLOOKUP($I481,'AUX-NIV2'!$B:$X,'AUX-NIV1'!AV$3,FALSE),0)</f>
        <v>1097.135386677397</v>
      </c>
    </row>
    <row r="482" spans="2:48" ht="14.4" hidden="1" thickTop="1" thickBot="1">
      <c r="B482" s="501" t="s">
        <v>3510</v>
      </c>
      <c r="C482" s="950" t="s">
        <v>3509</v>
      </c>
      <c r="D482" s="326" t="s">
        <v>1160</v>
      </c>
      <c r="E482" s="349">
        <f>IF(B482&lt;&gt;"",+SUMIF(Items!C:C,'AUX-NIV1'!B482,Items!H:H),"")</f>
        <v>0</v>
      </c>
      <c r="F482" s="349">
        <f t="shared" si="267"/>
        <v>0</v>
      </c>
      <c r="G482" s="349">
        <f t="shared" si="268"/>
        <v>0</v>
      </c>
      <c r="H482" s="1395" t="str">
        <f t="shared" si="334"/>
        <v>X</v>
      </c>
      <c r="I482" s="1397" t="s">
        <v>1504</v>
      </c>
      <c r="J482" s="350" t="str">
        <f>IF(B482&lt;&gt;"",+VLOOKUP(I482,Recursos!C:F,2,FALSE),"")</f>
        <v>Transporte de Hormigón</v>
      </c>
      <c r="K482" s="351" t="str">
        <f>IF(B482&lt;&gt;"",+VLOOKUP(I482,Recursos!C:F,3,FALSE),"")</f>
        <v>m3</v>
      </c>
      <c r="L482" s="436">
        <f>IF(B482&lt;&gt;"",+VLOOKUP(I482,Recursos!C:F,4,FALSE),"")</f>
        <v>440.72547018462734</v>
      </c>
      <c r="M482" s="1071">
        <v>1</v>
      </c>
      <c r="N482" s="445"/>
      <c r="O482" s="439">
        <f>+(M478+N478)*(1-M482)</f>
        <v>0</v>
      </c>
      <c r="P482" s="440">
        <f t="shared" si="335"/>
        <v>0</v>
      </c>
      <c r="Q482" s="349">
        <f t="shared" si="336"/>
        <v>0</v>
      </c>
      <c r="R482" s="353">
        <f t="shared" si="337"/>
        <v>0</v>
      </c>
      <c r="S482" s="354">
        <f t="shared" si="269"/>
        <v>0</v>
      </c>
      <c r="T482" s="354">
        <f t="shared" si="270"/>
        <v>0</v>
      </c>
      <c r="U482" s="355">
        <f t="shared" si="271"/>
        <v>0</v>
      </c>
      <c r="V482" s="355">
        <f t="shared" si="272"/>
        <v>0</v>
      </c>
      <c r="W482" s="355">
        <f t="shared" si="273"/>
        <v>0</v>
      </c>
      <c r="X482" s="355">
        <f t="shared" si="274"/>
        <v>0</v>
      </c>
      <c r="Y482" s="396"/>
      <c r="Z482" s="346" t="str">
        <f t="shared" si="338"/>
        <v>0-CEEL01A</v>
      </c>
      <c r="AA482" s="346" t="str">
        <f t="shared" si="339"/>
        <v>0-CEEL01E</v>
      </c>
      <c r="AB482" s="346" t="str">
        <f t="shared" si="340"/>
        <v>0-CEEL01M</v>
      </c>
      <c r="AC482" s="346" t="str">
        <f t="shared" si="341"/>
        <v>0-CEEL01T</v>
      </c>
      <c r="AD482" s="346" t="str">
        <f t="shared" si="342"/>
        <v>0-CEEL01S</v>
      </c>
      <c r="AE482" s="346" t="str">
        <f t="shared" si="343"/>
        <v>0-CEEL01X</v>
      </c>
      <c r="AF482" s="346" t="str">
        <f t="shared" si="344"/>
        <v>0-CEEL01X</v>
      </c>
      <c r="AG482" s="346">
        <f t="shared" si="275"/>
        <v>1</v>
      </c>
      <c r="AH482" s="346">
        <f>IF(B482&lt;&gt;"",+IF(H482="x",+VLOOKUP(I482,'AUX-NIV2'!B:AG,32,FALSE),0),"")</f>
        <v>2</v>
      </c>
      <c r="AI482" s="346" t="str">
        <f t="shared" si="345"/>
        <v>0-CEEL01</v>
      </c>
      <c r="AK482" s="347">
        <f t="shared" si="276"/>
        <v>482</v>
      </c>
      <c r="AL482" s="348">
        <f t="shared" si="346"/>
        <v>482</v>
      </c>
      <c r="AM482" s="347">
        <f t="shared" si="347"/>
        <v>1</v>
      </c>
      <c r="AN482" s="382">
        <f>IF(AND(AH482&gt;0,B482&lt;&gt;""),VLOOKUP(I482,'AUX-NIV2'!$B:$AP,40,FALSE)*O482,0)</f>
        <v>0</v>
      </c>
      <c r="AO482" s="382">
        <f t="shared" si="277"/>
        <v>0</v>
      </c>
      <c r="AQ482" s="395">
        <f>(IF($H482="x",VLOOKUP($I482,'AUX-NIV2'!$B:$X,'AUX-NIV1'!AQ$3,FALSE),0)+($AV482*'AUX-NIV3'!S$4))*$O482+IF($H482=AQ$4,$P482,0)</f>
        <v>0</v>
      </c>
      <c r="AR482" s="395">
        <f>(IF($H482="x",VLOOKUP($I482,'AUX-NIV2'!$B:$X,'AUX-NIV1'!AR$3,FALSE),0)+($AV482*'AUX-NIV3'!T$4))*$O482+IF($H482=AR$4,$P482,0)</f>
        <v>0</v>
      </c>
      <c r="AS482" s="395">
        <f>(IF($H482="x",VLOOKUP($I482,'AUX-NIV2'!$B:$X,'AUX-NIV1'!AS$3,FALSE),0)+($AV482*'AUX-NIV3'!U$4))*$O482+IF($H482=AS$4,$P482,0)</f>
        <v>0</v>
      </c>
      <c r="AT482" s="395">
        <f>(IF($H482="x",VLOOKUP($I482,'AUX-NIV2'!$B:$X,'AUX-NIV1'!AT$3,FALSE),0)+($AV482*'AUX-NIV3'!V$4))*$O482+IF($H482=AT$4,$P482,0)</f>
        <v>0</v>
      </c>
      <c r="AU482" s="395">
        <f>(IF($H482="x",VLOOKUP($I482,'AUX-NIV2'!$B:$X,'AUX-NIV1'!AU$3,FALSE),0)+($AV482*'AUX-NIV3'!W$4))*$O482+IF($H482=AU$4,$P482,0)</f>
        <v>0</v>
      </c>
      <c r="AV482" s="395">
        <f>+IF($H482="x",VLOOKUP($I482,'AUX-NIV2'!$B:$X,'AUX-NIV1'!AV$3,FALSE),0)</f>
        <v>0</v>
      </c>
    </row>
    <row r="483" spans="2:48" ht="13.8" thickTop="1">
      <c r="B483" s="501" t="s">
        <v>4684</v>
      </c>
      <c r="C483" s="950" t="s">
        <v>4637</v>
      </c>
      <c r="D483" s="326" t="s">
        <v>4638</v>
      </c>
      <c r="E483" s="349">
        <f>IF(B483&lt;&gt;"",+SUMIF(Items!C:C,'AUX-NIV1'!B483,Items!H:H),"")</f>
        <v>0</v>
      </c>
      <c r="F483" s="349">
        <f t="shared" si="267"/>
        <v>6238.792764178861</v>
      </c>
      <c r="G483" s="349">
        <f t="shared" si="268"/>
        <v>0</v>
      </c>
      <c r="H483" s="1395" t="str">
        <f t="shared" si="334"/>
        <v>A</v>
      </c>
      <c r="I483" s="1398" t="s">
        <v>1745</v>
      </c>
      <c r="J483" s="350" t="str">
        <f>IF(B483&lt;&gt;"",+VLOOKUP(I483,Recursos!C:F,2,FALSE),"")</f>
        <v>AYUDANTE</v>
      </c>
      <c r="K483" s="351" t="str">
        <f>IF(B483&lt;&gt;"",+VLOOKUP(I483,Recursos!C:F,3,FALSE),"")</f>
        <v>hh</v>
      </c>
      <c r="L483" s="436">
        <f>IF(B483&lt;&gt;"",+VLOOKUP(I483,Recursos!C:F,4,FALSE),"")</f>
        <v>422.48042769667234</v>
      </c>
      <c r="M483" s="550"/>
      <c r="N483" s="1087">
        <v>2</v>
      </c>
      <c r="O483" s="439">
        <f>N483</f>
        <v>2</v>
      </c>
      <c r="P483" s="440">
        <f t="shared" si="335"/>
        <v>844.96085539334467</v>
      </c>
      <c r="Q483" s="349">
        <f t="shared" si="336"/>
        <v>0</v>
      </c>
      <c r="R483" s="353">
        <f t="shared" si="337"/>
        <v>0</v>
      </c>
      <c r="S483" s="354">
        <f t="shared" si="269"/>
        <v>1838.792764178861</v>
      </c>
      <c r="T483" s="354">
        <f t="shared" si="270"/>
        <v>0</v>
      </c>
      <c r="U483" s="355">
        <f t="shared" si="271"/>
        <v>4400</v>
      </c>
      <c r="V483" s="355">
        <f t="shared" si="272"/>
        <v>0</v>
      </c>
      <c r="W483" s="355">
        <f t="shared" si="273"/>
        <v>0</v>
      </c>
      <c r="X483" s="355">
        <f t="shared" si="274"/>
        <v>0</v>
      </c>
      <c r="Y483" s="396"/>
      <c r="Z483" s="346" t="str">
        <f t="shared" si="338"/>
        <v>0-ESPEJOA</v>
      </c>
      <c r="AA483" s="346" t="str">
        <f t="shared" si="339"/>
        <v>0-ESPEJOE</v>
      </c>
      <c r="AB483" s="346" t="str">
        <f t="shared" si="340"/>
        <v>0-ESPEJOM</v>
      </c>
      <c r="AC483" s="346" t="str">
        <f t="shared" si="341"/>
        <v>0-ESPEJOT</v>
      </c>
      <c r="AD483" s="346" t="str">
        <f t="shared" si="342"/>
        <v>0-ESPEJOS</v>
      </c>
      <c r="AE483" s="346" t="str">
        <f t="shared" si="343"/>
        <v>0-ESPEJOX</v>
      </c>
      <c r="AF483" s="346" t="str">
        <f t="shared" si="344"/>
        <v>0-ESPEJOA</v>
      </c>
      <c r="AG483" s="346">
        <f t="shared" si="275"/>
        <v>3</v>
      </c>
      <c r="AH483" s="346">
        <f>IF(B483&lt;&gt;"",+IF(H483="x",+VLOOKUP(I483,'AUX-NIV2'!B:AG,32,FALSE),0),"")</f>
        <v>0</v>
      </c>
      <c r="AI483" s="346" t="str">
        <f t="shared" si="345"/>
        <v>0-ESPEJO</v>
      </c>
      <c r="AK483" s="347">
        <f t="shared" si="276"/>
        <v>483</v>
      </c>
      <c r="AL483" s="348">
        <f t="shared" si="346"/>
        <v>485</v>
      </c>
      <c r="AM483" s="347">
        <f t="shared" si="347"/>
        <v>1</v>
      </c>
      <c r="AN483" s="382">
        <f>IF(AND(AH483&gt;0,B483&lt;&gt;""),VLOOKUP(I483,'AUX-NIV2'!$B:$AP,40,FALSE)*O483,0)</f>
        <v>0</v>
      </c>
      <c r="AO483" s="382">
        <f t="shared" si="277"/>
        <v>4</v>
      </c>
      <c r="AQ483" s="395">
        <f>(IF($H483="x",VLOOKUP($I483,'AUX-NIV2'!$B:$X,'AUX-NIV1'!AQ$3,FALSE),0)+($AV483*'AUX-NIV3'!S$4))*$O483+IF($H483=AQ$4,$P483,0)</f>
        <v>844.96085539334467</v>
      </c>
      <c r="AR483" s="395">
        <f>(IF($H483="x",VLOOKUP($I483,'AUX-NIV2'!$B:$X,'AUX-NIV1'!AR$3,FALSE),0)+($AV483*'AUX-NIV3'!T$4))*$O483+IF($H483=AR$4,$P483,0)</f>
        <v>0</v>
      </c>
      <c r="AS483" s="395">
        <f>(IF($H483="x",VLOOKUP($I483,'AUX-NIV2'!$B:$X,'AUX-NIV1'!AS$3,FALSE),0)+($AV483*'AUX-NIV3'!U$4))*$O483+IF($H483=AS$4,$P483,0)</f>
        <v>0</v>
      </c>
      <c r="AT483" s="395">
        <f>(IF($H483="x",VLOOKUP($I483,'AUX-NIV2'!$B:$X,'AUX-NIV1'!AT$3,FALSE),0)+($AV483*'AUX-NIV3'!V$4))*$O483+IF($H483=AT$4,$P483,0)</f>
        <v>0</v>
      </c>
      <c r="AU483" s="395">
        <f>(IF($H483="x",VLOOKUP($I483,'AUX-NIV2'!$B:$X,'AUX-NIV1'!AU$3,FALSE),0)+($AV483*'AUX-NIV3'!W$4))*$O483+IF($H483=AU$4,$P483,0)</f>
        <v>0</v>
      </c>
      <c r="AV483" s="395">
        <f>+IF($H483="x",VLOOKUP($I483,'AUX-NIV2'!$B:$X,'AUX-NIV1'!AV$3,FALSE),0)</f>
        <v>0</v>
      </c>
    </row>
    <row r="484" spans="2:48">
      <c r="B484" s="501" t="s">
        <v>4684</v>
      </c>
      <c r="C484" s="950" t="s">
        <v>4637</v>
      </c>
      <c r="D484" s="326" t="s">
        <v>4638</v>
      </c>
      <c r="E484" s="349">
        <f>IF(B484&lt;&gt;"",+SUMIF(Items!C:C,'AUX-NIV1'!B484,Items!H:H),"")</f>
        <v>0</v>
      </c>
      <c r="F484" s="349">
        <f t="shared" si="267"/>
        <v>6238.792764178861</v>
      </c>
      <c r="G484" s="349">
        <f t="shared" si="268"/>
        <v>0</v>
      </c>
      <c r="H484" s="1395" t="str">
        <f t="shared" si="334"/>
        <v>A</v>
      </c>
      <c r="I484" s="1398" t="s">
        <v>1746</v>
      </c>
      <c r="J484" s="350" t="str">
        <f>IF(B484&lt;&gt;"",+VLOOKUP(I484,Recursos!C:F,2,FALSE),"")</f>
        <v>OFICIAL</v>
      </c>
      <c r="K484" s="351" t="str">
        <f>IF(B484&lt;&gt;"",+VLOOKUP(I484,Recursos!C:F,3,FALSE),"")</f>
        <v>hh</v>
      </c>
      <c r="L484" s="436">
        <f>IF(B484&lt;&gt;"",+VLOOKUP(I484,Recursos!C:F,4,FALSE),"")</f>
        <v>496.91595439275824</v>
      </c>
      <c r="M484" s="550"/>
      <c r="N484" s="1087">
        <v>2</v>
      </c>
      <c r="O484" s="439">
        <f>N484</f>
        <v>2</v>
      </c>
      <c r="P484" s="440">
        <f t="shared" si="335"/>
        <v>993.83190878551648</v>
      </c>
      <c r="Q484" s="349">
        <f t="shared" si="336"/>
        <v>0</v>
      </c>
      <c r="R484" s="353">
        <f t="shared" si="337"/>
        <v>0</v>
      </c>
      <c r="S484" s="354">
        <f t="shared" si="269"/>
        <v>1838.792764178861</v>
      </c>
      <c r="T484" s="354">
        <f t="shared" si="270"/>
        <v>0</v>
      </c>
      <c r="U484" s="355">
        <f t="shared" si="271"/>
        <v>4400</v>
      </c>
      <c r="V484" s="355">
        <f t="shared" si="272"/>
        <v>0</v>
      </c>
      <c r="W484" s="355">
        <f t="shared" si="273"/>
        <v>0</v>
      </c>
      <c r="X484" s="355">
        <f t="shared" si="274"/>
        <v>0</v>
      </c>
      <c r="Y484" s="396"/>
      <c r="Z484" s="346" t="str">
        <f t="shared" si="338"/>
        <v>0-ESPEJOA</v>
      </c>
      <c r="AA484" s="346" t="str">
        <f t="shared" si="339"/>
        <v>0-ESPEJOE</v>
      </c>
      <c r="AB484" s="346" t="str">
        <f t="shared" si="340"/>
        <v>0-ESPEJOM</v>
      </c>
      <c r="AC484" s="346" t="str">
        <f t="shared" si="341"/>
        <v>0-ESPEJOT</v>
      </c>
      <c r="AD484" s="346" t="str">
        <f t="shared" si="342"/>
        <v>0-ESPEJOS</v>
      </c>
      <c r="AE484" s="346" t="str">
        <f t="shared" si="343"/>
        <v>0-ESPEJOX</v>
      </c>
      <c r="AF484" s="346" t="str">
        <f t="shared" si="344"/>
        <v>0-ESPEJOA</v>
      </c>
      <c r="AG484" s="346">
        <f t="shared" si="275"/>
        <v>3</v>
      </c>
      <c r="AH484" s="346">
        <f>IF(B484&lt;&gt;"",+IF(H484="x",+VLOOKUP(I484,'AUX-NIV2'!B:AG,32,FALSE),0),"")</f>
        <v>0</v>
      </c>
      <c r="AI484" s="346" t="str">
        <f t="shared" si="345"/>
        <v>0-ESPEJO</v>
      </c>
      <c r="AK484" s="347">
        <f t="shared" si="276"/>
        <v>483</v>
      </c>
      <c r="AL484" s="348">
        <f t="shared" si="346"/>
        <v>485</v>
      </c>
      <c r="AM484" s="347">
        <f t="shared" si="347"/>
        <v>2</v>
      </c>
      <c r="AN484" s="382">
        <f>IF(AND(AH484&gt;0,B484&lt;&gt;""),VLOOKUP(I484,'AUX-NIV2'!$B:$AP,40,FALSE)*O484,0)</f>
        <v>0</v>
      </c>
      <c r="AO484" s="382">
        <f t="shared" si="277"/>
        <v>4</v>
      </c>
      <c r="AQ484" s="395">
        <f>(IF($H484="x",VLOOKUP($I484,'AUX-NIV2'!$B:$X,'AUX-NIV1'!AQ$3,FALSE),0)+($AV484*'AUX-NIV3'!S$4))*$O484+IF($H484=AQ$4,$P484,0)</f>
        <v>993.83190878551648</v>
      </c>
      <c r="AR484" s="395">
        <f>(IF($H484="x",VLOOKUP($I484,'AUX-NIV2'!$B:$X,'AUX-NIV1'!AR$3,FALSE),0)+($AV484*'AUX-NIV3'!T$4))*$O484+IF($H484=AR$4,$P484,0)</f>
        <v>0</v>
      </c>
      <c r="AS484" s="395">
        <f>(IF($H484="x",VLOOKUP($I484,'AUX-NIV2'!$B:$X,'AUX-NIV1'!AS$3,FALSE),0)+($AV484*'AUX-NIV3'!U$4))*$O484+IF($H484=AS$4,$P484,0)</f>
        <v>0</v>
      </c>
      <c r="AT484" s="395">
        <f>(IF($H484="x",VLOOKUP($I484,'AUX-NIV2'!$B:$X,'AUX-NIV1'!AT$3,FALSE),0)+($AV484*'AUX-NIV3'!V$4))*$O484+IF($H484=AT$4,$P484,0)</f>
        <v>0</v>
      </c>
      <c r="AU484" s="395">
        <f>(IF($H484="x",VLOOKUP($I484,'AUX-NIV2'!$B:$X,'AUX-NIV1'!AU$3,FALSE),0)+($AV484*'AUX-NIV3'!W$4))*$O484+IF($H484=AU$4,$P484,0)</f>
        <v>0</v>
      </c>
      <c r="AV484" s="395">
        <f>+IF($H484="x",VLOOKUP($I484,'AUX-NIV2'!$B:$X,'AUX-NIV1'!AV$3,FALSE),0)</f>
        <v>0</v>
      </c>
    </row>
    <row r="485" spans="2:48" ht="13.8" thickBot="1">
      <c r="B485" s="501" t="s">
        <v>4684</v>
      </c>
      <c r="C485" s="950" t="s">
        <v>4637</v>
      </c>
      <c r="D485" s="326" t="s">
        <v>4638</v>
      </c>
      <c r="E485" s="349">
        <f>IF(B485&lt;&gt;"",+SUMIF(Items!C:C,'AUX-NIV1'!B485,Items!H:H),"")</f>
        <v>0</v>
      </c>
      <c r="F485" s="349">
        <f t="shared" si="267"/>
        <v>6238.792764178861</v>
      </c>
      <c r="G485" s="349">
        <f t="shared" si="268"/>
        <v>0</v>
      </c>
      <c r="H485" s="1395" t="str">
        <f t="shared" si="334"/>
        <v>M</v>
      </c>
      <c r="I485" s="1375" t="s">
        <v>4682</v>
      </c>
      <c r="J485" s="350" t="str">
        <f>IF(B485&lt;&gt;"",+VLOOKUP(I485,Recursos!C:F,2,FALSE),"")</f>
        <v>Accesorios Baño - Espejo 1,20 x 0,60</v>
      </c>
      <c r="K485" s="351" t="str">
        <f>IF(B485&lt;&gt;"",+VLOOKUP(I485,Recursos!C:F,3,FALSE),"")</f>
        <v>Un</v>
      </c>
      <c r="L485" s="436">
        <f>IF(B485&lt;&gt;"",+VLOOKUP(I485,Recursos!C:F,4,FALSE),"")</f>
        <v>2200</v>
      </c>
      <c r="M485" s="1080"/>
      <c r="N485" s="1088">
        <v>2</v>
      </c>
      <c r="O485" s="769">
        <f>N485</f>
        <v>2</v>
      </c>
      <c r="P485" s="440">
        <f t="shared" si="335"/>
        <v>4400</v>
      </c>
      <c r="Q485" s="349">
        <f t="shared" si="336"/>
        <v>0</v>
      </c>
      <c r="R485" s="353">
        <f t="shared" si="337"/>
        <v>0</v>
      </c>
      <c r="S485" s="354">
        <f t="shared" si="269"/>
        <v>1838.792764178861</v>
      </c>
      <c r="T485" s="354">
        <f t="shared" si="270"/>
        <v>0</v>
      </c>
      <c r="U485" s="355">
        <f t="shared" si="271"/>
        <v>4400</v>
      </c>
      <c r="V485" s="355">
        <f t="shared" si="272"/>
        <v>0</v>
      </c>
      <c r="W485" s="355">
        <f t="shared" si="273"/>
        <v>0</v>
      </c>
      <c r="X485" s="355">
        <f t="shared" si="274"/>
        <v>0</v>
      </c>
      <c r="Y485" s="396"/>
      <c r="Z485" s="346" t="str">
        <f t="shared" si="338"/>
        <v>0-ESPEJOA</v>
      </c>
      <c r="AA485" s="346" t="str">
        <f t="shared" si="339"/>
        <v>0-ESPEJOE</v>
      </c>
      <c r="AB485" s="346" t="str">
        <f t="shared" si="340"/>
        <v>0-ESPEJOM</v>
      </c>
      <c r="AC485" s="346" t="str">
        <f t="shared" si="341"/>
        <v>0-ESPEJOT</v>
      </c>
      <c r="AD485" s="346" t="str">
        <f t="shared" si="342"/>
        <v>0-ESPEJOS</v>
      </c>
      <c r="AE485" s="346" t="str">
        <f t="shared" si="343"/>
        <v>0-ESPEJOX</v>
      </c>
      <c r="AF485" s="346" t="str">
        <f t="shared" si="344"/>
        <v>0-ESPEJOM</v>
      </c>
      <c r="AG485" s="346">
        <f t="shared" si="275"/>
        <v>3</v>
      </c>
      <c r="AH485" s="346">
        <f>IF(B485&lt;&gt;"",+IF(H485="x",+VLOOKUP(I485,'AUX-NIV2'!B:AG,32,FALSE),0),"")</f>
        <v>0</v>
      </c>
      <c r="AI485" s="346" t="str">
        <f t="shared" si="345"/>
        <v>0-ESPEJO</v>
      </c>
      <c r="AK485" s="347">
        <f t="shared" si="276"/>
        <v>483</v>
      </c>
      <c r="AL485" s="348">
        <f t="shared" si="346"/>
        <v>485</v>
      </c>
      <c r="AM485" s="347" t="e">
        <f>IF(B485&lt;&gt;"",IF(B485=#REF!,1+#REF!,1),"")</f>
        <v>#REF!</v>
      </c>
      <c r="AN485" s="382">
        <f>IF(AND(AH485&gt;0,B485&lt;&gt;""),VLOOKUP(I485,'AUX-NIV2'!$B:$AP,40,FALSE)*O485,0)</f>
        <v>0</v>
      </c>
      <c r="AO485" s="382">
        <f t="shared" si="277"/>
        <v>4</v>
      </c>
      <c r="AQ485" s="395">
        <f>(IF($H485="x",VLOOKUP($I485,'AUX-NIV2'!$B:$X,'AUX-NIV1'!AQ$3,FALSE),0)+($AV485*'AUX-NIV3'!S$4))*$O485+IF($H485=AQ$4,$P485,0)</f>
        <v>0</v>
      </c>
      <c r="AR485" s="395">
        <f>(IF($H485="x",VLOOKUP($I485,'AUX-NIV2'!$B:$X,'AUX-NIV1'!AR$3,FALSE),0)+($AV485*'AUX-NIV3'!T$4))*$O485+IF($H485=AR$4,$P485,0)</f>
        <v>0</v>
      </c>
      <c r="AS485" s="395">
        <f>(IF($H485="x",VLOOKUP($I485,'AUX-NIV2'!$B:$X,'AUX-NIV1'!AS$3,FALSE),0)+($AV485*'AUX-NIV3'!U$4))*$O485+IF($H485=AS$4,$P485,0)</f>
        <v>4400</v>
      </c>
      <c r="AT485" s="395">
        <f>(IF($H485="x",VLOOKUP($I485,'AUX-NIV2'!$B:$X,'AUX-NIV1'!AT$3,FALSE),0)+($AV485*'AUX-NIV3'!V$4))*$O485+IF($H485=AT$4,$P485,0)</f>
        <v>0</v>
      </c>
      <c r="AU485" s="395">
        <f>(IF($H485="x",VLOOKUP($I485,'AUX-NIV2'!$B:$X,'AUX-NIV1'!AU$3,FALSE),0)+($AV485*'AUX-NIV3'!W$4))*$O485+IF($H485=AU$4,$P485,0)</f>
        <v>0</v>
      </c>
      <c r="AV485" s="395">
        <f>+IF($H485="x",VLOOKUP($I485,'AUX-NIV2'!$B:$X,'AUX-NIV1'!AV$3,FALSE),0)</f>
        <v>0</v>
      </c>
    </row>
    <row r="486" spans="2:48" ht="13.8" thickTop="1">
      <c r="B486" s="501" t="s">
        <v>3669</v>
      </c>
      <c r="C486" s="951" t="s">
        <v>3670</v>
      </c>
      <c r="D486" s="1280" t="s">
        <v>1233</v>
      </c>
      <c r="E486" s="1281">
        <f>IF(B486&lt;&gt;"",+SUMIF(Items!C:C,'AUX-NIV1'!B486,Items!H:H),"")</f>
        <v>1</v>
      </c>
      <c r="F486" s="1281">
        <f t="shared" si="267"/>
        <v>1939.9217107866893</v>
      </c>
      <c r="G486" s="1281">
        <f t="shared" si="268"/>
        <v>1939.9217107866893</v>
      </c>
      <c r="H486" s="1395" t="str">
        <f t="shared" si="334"/>
        <v>A</v>
      </c>
      <c r="I486" s="1375" t="s">
        <v>1745</v>
      </c>
      <c r="J486" s="350" t="str">
        <f>IF(B486&lt;&gt;"",+VLOOKUP(I486,Recursos!C:F,2,FALSE),"")</f>
        <v>AYUDANTE</v>
      </c>
      <c r="K486" s="351" t="str">
        <f>IF(B486&lt;&gt;"",+VLOOKUP(I486,Recursos!C:F,3,FALSE),"")</f>
        <v>hh</v>
      </c>
      <c r="L486" s="436">
        <f>IF(B486&lt;&gt;"",+VLOOKUP(I486,Recursos!C:F,4,FALSE),"")</f>
        <v>422.48042769667234</v>
      </c>
      <c r="M486" s="1304">
        <v>4</v>
      </c>
      <c r="N486" s="1367"/>
      <c r="O486" s="1286">
        <f>M486</f>
        <v>4</v>
      </c>
      <c r="P486" s="1287">
        <f t="shared" si="335"/>
        <v>1689.9217107866893</v>
      </c>
      <c r="Q486" s="1281">
        <f t="shared" si="336"/>
        <v>4</v>
      </c>
      <c r="R486" s="1288">
        <f t="shared" si="337"/>
        <v>1689.9217107866893</v>
      </c>
      <c r="S486" s="1289">
        <f t="shared" si="269"/>
        <v>1689.9217107866893</v>
      </c>
      <c r="T486" s="1289">
        <f t="shared" si="270"/>
        <v>0</v>
      </c>
      <c r="U486" s="1290">
        <f t="shared" si="271"/>
        <v>250</v>
      </c>
      <c r="V486" s="1290">
        <f t="shared" si="272"/>
        <v>0</v>
      </c>
      <c r="W486" s="1290">
        <f t="shared" si="273"/>
        <v>0</v>
      </c>
      <c r="X486" s="1290">
        <f t="shared" si="274"/>
        <v>0</v>
      </c>
      <c r="Y486" s="396"/>
      <c r="Z486" s="1291" t="str">
        <f t="shared" si="338"/>
        <v>0-LIMTERA</v>
      </c>
      <c r="AA486" s="1291" t="str">
        <f t="shared" si="339"/>
        <v>0-LIMTERE</v>
      </c>
      <c r="AB486" s="1291" t="str">
        <f t="shared" si="340"/>
        <v>0-LIMTERM</v>
      </c>
      <c r="AC486" s="1291" t="str">
        <f t="shared" si="341"/>
        <v>0-LIMTERT</v>
      </c>
      <c r="AD486" s="1291" t="str">
        <f t="shared" si="342"/>
        <v>0-LIMTERS</v>
      </c>
      <c r="AE486" s="1291" t="str">
        <f t="shared" si="343"/>
        <v>0-LIMTERX</v>
      </c>
      <c r="AF486" s="1291" t="str">
        <f t="shared" si="344"/>
        <v>0-LIMTERA</v>
      </c>
      <c r="AG486" s="1291">
        <f t="shared" si="275"/>
        <v>5</v>
      </c>
      <c r="AH486" s="1291">
        <f>IF(B486&lt;&gt;"",+IF(H486="x",+VLOOKUP(I486,'AUX-NIV2'!B:AG,32,FALSE),0),"")</f>
        <v>0</v>
      </c>
      <c r="AI486" s="1291" t="str">
        <f t="shared" si="345"/>
        <v>0-LIMTER</v>
      </c>
      <c r="AK486" s="347">
        <f t="shared" si="276"/>
        <v>486</v>
      </c>
      <c r="AL486" s="348">
        <f t="shared" si="346"/>
        <v>490</v>
      </c>
      <c r="AM486" s="347">
        <f>IF(B486&lt;&gt;"",IF(B486=B482,1+AM482,1),"")</f>
        <v>1</v>
      </c>
      <c r="AN486" s="382">
        <f>IF(AND(AH486&gt;0,B486&lt;&gt;""),VLOOKUP(I486,'AUX-NIV2'!$B:$AP,40,FALSE)*O486,0)</f>
        <v>0</v>
      </c>
      <c r="AO486" s="382">
        <f t="shared" si="277"/>
        <v>4</v>
      </c>
      <c r="AQ486" s="395">
        <f>(IF($H486="x",VLOOKUP($I486,'AUX-NIV2'!$B:$X,'AUX-NIV1'!AQ$3,FALSE),0)+($AV486*'AUX-NIV3'!S$4))*$O486+IF($H486=AQ$4,$P486,0)</f>
        <v>1689.9217107866893</v>
      </c>
      <c r="AR486" s="395">
        <f>(IF($H486="x",VLOOKUP($I486,'AUX-NIV2'!$B:$X,'AUX-NIV1'!AR$3,FALSE),0)+($AV486*'AUX-NIV3'!T$4))*$O486+IF($H486=AR$4,$P486,0)</f>
        <v>0</v>
      </c>
      <c r="AS486" s="395">
        <f>(IF($H486="x",VLOOKUP($I486,'AUX-NIV2'!$B:$X,'AUX-NIV1'!AS$3,FALSE),0)+($AV486*'AUX-NIV3'!U$4))*$O486+IF($H486=AS$4,$P486,0)</f>
        <v>0</v>
      </c>
      <c r="AT486" s="395">
        <f>(IF($H486="x",VLOOKUP($I486,'AUX-NIV2'!$B:$X,'AUX-NIV1'!AT$3,FALSE),0)+($AV486*'AUX-NIV3'!V$4))*$O486+IF($H486=AT$4,$P486,0)</f>
        <v>0</v>
      </c>
      <c r="AU486" s="395">
        <f>(IF($H486="x",VLOOKUP($I486,'AUX-NIV2'!$B:$X,'AUX-NIV1'!AU$3,FALSE),0)+($AV486*'AUX-NIV3'!W$4))*$O486+IF($H486=AU$4,$P486,0)</f>
        <v>0</v>
      </c>
      <c r="AV486" s="395">
        <f>+IF($H486="x",VLOOKUP($I486,'AUX-NIV2'!$B:$X,'AUX-NIV1'!AV$3,FALSE),0)</f>
        <v>0</v>
      </c>
    </row>
    <row r="487" spans="2:48">
      <c r="B487" s="501" t="s">
        <v>3669</v>
      </c>
      <c r="C487" s="951" t="s">
        <v>3670</v>
      </c>
      <c r="D487" s="1280" t="s">
        <v>1233</v>
      </c>
      <c r="E487" s="1281">
        <f>IF(B487&lt;&gt;"",+SUMIF(Items!C:C,'AUX-NIV1'!B487,Items!H:H),"")</f>
        <v>1</v>
      </c>
      <c r="F487" s="1281">
        <f t="shared" si="267"/>
        <v>1939.9217107866893</v>
      </c>
      <c r="G487" s="1281">
        <f t="shared" si="268"/>
        <v>1939.9217107866893</v>
      </c>
      <c r="H487" s="1395" t="str">
        <f t="shared" si="334"/>
        <v>A</v>
      </c>
      <c r="I487" s="1375" t="s">
        <v>1746</v>
      </c>
      <c r="J487" s="350" t="str">
        <f>IF(B487&lt;&gt;"",+VLOOKUP(I487,Recursos!C:F,2,FALSE),"")</f>
        <v>OFICIAL</v>
      </c>
      <c r="K487" s="351" t="str">
        <f>IF(B487&lt;&gt;"",+VLOOKUP(I487,Recursos!C:F,3,FALSE),"")</f>
        <v>hh</v>
      </c>
      <c r="L487" s="436">
        <f>IF(B487&lt;&gt;"",+VLOOKUP(I487,Recursos!C:F,4,FALSE),"")</f>
        <v>496.91595439275824</v>
      </c>
      <c r="M487" s="1305">
        <v>0</v>
      </c>
      <c r="N487" s="1306"/>
      <c r="O487" s="1286">
        <f>M487</f>
        <v>0</v>
      </c>
      <c r="P487" s="1287">
        <f t="shared" si="335"/>
        <v>0</v>
      </c>
      <c r="Q487" s="1281">
        <f t="shared" si="336"/>
        <v>0</v>
      </c>
      <c r="R487" s="1288">
        <f t="shared" si="337"/>
        <v>0</v>
      </c>
      <c r="S487" s="1289">
        <f t="shared" si="269"/>
        <v>1689.9217107866893</v>
      </c>
      <c r="T487" s="1289">
        <f t="shared" si="270"/>
        <v>0</v>
      </c>
      <c r="U487" s="1290">
        <f t="shared" si="271"/>
        <v>250</v>
      </c>
      <c r="V487" s="1290">
        <f t="shared" si="272"/>
        <v>0</v>
      </c>
      <c r="W487" s="1290">
        <f t="shared" si="273"/>
        <v>0</v>
      </c>
      <c r="X487" s="1290">
        <f t="shared" si="274"/>
        <v>0</v>
      </c>
      <c r="Y487" s="396"/>
      <c r="Z487" s="1291" t="str">
        <f t="shared" si="338"/>
        <v>0-LIMTERA</v>
      </c>
      <c r="AA487" s="1291" t="str">
        <f t="shared" si="339"/>
        <v>0-LIMTERE</v>
      </c>
      <c r="AB487" s="1291" t="str">
        <f t="shared" si="340"/>
        <v>0-LIMTERM</v>
      </c>
      <c r="AC487" s="1291" t="str">
        <f t="shared" si="341"/>
        <v>0-LIMTERT</v>
      </c>
      <c r="AD487" s="1291" t="str">
        <f t="shared" si="342"/>
        <v>0-LIMTERS</v>
      </c>
      <c r="AE487" s="1291" t="str">
        <f t="shared" si="343"/>
        <v>0-LIMTERX</v>
      </c>
      <c r="AF487" s="1291" t="str">
        <f t="shared" si="344"/>
        <v>0-LIMTERA</v>
      </c>
      <c r="AG487" s="1291">
        <f t="shared" si="275"/>
        <v>5</v>
      </c>
      <c r="AH487" s="1291">
        <f>IF(B487&lt;&gt;"",+IF(H487="x",+VLOOKUP(I487,'AUX-NIV2'!B:AG,32,FALSE),0),"")</f>
        <v>0</v>
      </c>
      <c r="AI487" s="1291" t="str">
        <f t="shared" si="345"/>
        <v>0-LIMTER</v>
      </c>
      <c r="AK487" s="347">
        <f t="shared" si="276"/>
        <v>486</v>
      </c>
      <c r="AL487" s="348">
        <f t="shared" si="346"/>
        <v>490</v>
      </c>
      <c r="AM487" s="347">
        <f t="shared" si="347"/>
        <v>2</v>
      </c>
      <c r="AN487" s="382">
        <f>IF(AND(AH487&gt;0,B487&lt;&gt;""),VLOOKUP(I487,'AUX-NIV2'!$B:$AP,40,FALSE)*O487,0)</f>
        <v>0</v>
      </c>
      <c r="AO487" s="382">
        <f t="shared" si="277"/>
        <v>4</v>
      </c>
      <c r="AQ487" s="395">
        <f>(IF($H487="x",VLOOKUP($I487,'AUX-NIV2'!$B:$X,'AUX-NIV1'!AQ$3,FALSE),0)+($AV487*'AUX-NIV3'!S$4))*$O487+IF($H487=AQ$4,$P487,0)</f>
        <v>0</v>
      </c>
      <c r="AR487" s="395">
        <f>(IF($H487="x",VLOOKUP($I487,'AUX-NIV2'!$B:$X,'AUX-NIV1'!AR$3,FALSE),0)+($AV487*'AUX-NIV3'!T$4))*$O487+IF($H487=AR$4,$P487,0)</f>
        <v>0</v>
      </c>
      <c r="AS487" s="395">
        <f>(IF($H487="x",VLOOKUP($I487,'AUX-NIV2'!$B:$X,'AUX-NIV1'!AS$3,FALSE),0)+($AV487*'AUX-NIV3'!U$4))*$O487+IF($H487=AS$4,$P487,0)</f>
        <v>0</v>
      </c>
      <c r="AT487" s="395">
        <f>(IF($H487="x",VLOOKUP($I487,'AUX-NIV2'!$B:$X,'AUX-NIV1'!AT$3,FALSE),0)+($AV487*'AUX-NIV3'!V$4))*$O487+IF($H487=AT$4,$P487,0)</f>
        <v>0</v>
      </c>
      <c r="AU487" s="395">
        <f>(IF($H487="x",VLOOKUP($I487,'AUX-NIV2'!$B:$X,'AUX-NIV1'!AU$3,FALSE),0)+($AV487*'AUX-NIV3'!W$4))*$O487+IF($H487=AU$4,$P487,0)</f>
        <v>0</v>
      </c>
      <c r="AV487" s="395">
        <f>+IF($H487="x",VLOOKUP($I487,'AUX-NIV2'!$B:$X,'AUX-NIV1'!AV$3,FALSE),0)</f>
        <v>0</v>
      </c>
    </row>
    <row r="488" spans="2:48">
      <c r="B488" s="501" t="s">
        <v>3669</v>
      </c>
      <c r="C488" s="951" t="s">
        <v>3670</v>
      </c>
      <c r="D488" s="1280" t="s">
        <v>1233</v>
      </c>
      <c r="E488" s="1281">
        <f>IF(B488&lt;&gt;"",+SUMIF(Items!C:C,'AUX-NIV1'!B488,Items!H:H),"")</f>
        <v>1</v>
      </c>
      <c r="F488" s="1281">
        <f t="shared" si="267"/>
        <v>1939.9217107866893</v>
      </c>
      <c r="G488" s="1281">
        <f t="shared" si="268"/>
        <v>1939.9217107866893</v>
      </c>
      <c r="H488" s="1395" t="str">
        <f t="shared" ref="H488" si="348">IF(B488&lt;&gt;"",+LEFT(I488,1),"")</f>
        <v>M</v>
      </c>
      <c r="I488" s="1375" t="s">
        <v>621</v>
      </c>
      <c r="J488" s="350" t="str">
        <f>IF(B488&lt;&gt;"",+VLOOKUP(I488,Recursos!C:F,2,FALSE),"")</f>
        <v>MATERIALES VARIOS</v>
      </c>
      <c r="K488" s="351" t="str">
        <f>IF(B488&lt;&gt;"",+VLOOKUP(I488,Recursos!C:F,3,FALSE),"")</f>
        <v>GL</v>
      </c>
      <c r="L488" s="436">
        <f>IF(B488&lt;&gt;"",+VLOOKUP(I488,Recursos!C:F,4,FALSE),"")</f>
        <v>0.5</v>
      </c>
      <c r="M488" s="970"/>
      <c r="N488" s="1306">
        <v>500</v>
      </c>
      <c r="O488" s="1286">
        <f>N488</f>
        <v>500</v>
      </c>
      <c r="P488" s="1287">
        <f t="shared" ref="P488" si="349">IF(B488&lt;&gt;"",O488*L488,"")</f>
        <v>250</v>
      </c>
      <c r="Q488" s="1281">
        <f t="shared" ref="Q488" si="350">IF(B488&lt;&gt;"",+O488*E488,"")</f>
        <v>500</v>
      </c>
      <c r="R488" s="1288">
        <f t="shared" ref="R488" si="351">IF(B488&lt;&gt;"",Q488*L488,"")</f>
        <v>250</v>
      </c>
      <c r="S488" s="1289">
        <f t="shared" si="269"/>
        <v>1689.9217107866893</v>
      </c>
      <c r="T488" s="1289">
        <f t="shared" si="270"/>
        <v>0</v>
      </c>
      <c r="U488" s="1290">
        <f t="shared" si="271"/>
        <v>250</v>
      </c>
      <c r="V488" s="1290">
        <f t="shared" si="272"/>
        <v>0</v>
      </c>
      <c r="W488" s="1290">
        <f t="shared" si="273"/>
        <v>0</v>
      </c>
      <c r="X488" s="1290">
        <f t="shared" si="274"/>
        <v>0</v>
      </c>
      <c r="Y488" s="396"/>
      <c r="Z488" s="1291" t="str">
        <f t="shared" ref="Z488" si="352">IF(B488&lt;&gt;"",+$B488&amp;"A","")</f>
        <v>0-LIMTERA</v>
      </c>
      <c r="AA488" s="1291" t="str">
        <f t="shared" ref="AA488" si="353">IF(B488&lt;&gt;"",+$B488&amp;"E","")</f>
        <v>0-LIMTERE</v>
      </c>
      <c r="AB488" s="1291" t="str">
        <f t="shared" ref="AB488" si="354">IF(B488&lt;&gt;"",++$B488&amp;"M","")</f>
        <v>0-LIMTERM</v>
      </c>
      <c r="AC488" s="1291" t="str">
        <f t="shared" ref="AC488" si="355">IF(B488&lt;&gt;"",+$B488&amp;"T","")</f>
        <v>0-LIMTERT</v>
      </c>
      <c r="AD488" s="1291" t="str">
        <f t="shared" ref="AD488" si="356">IF(B488&lt;&gt;"",+$B488&amp;"S","")</f>
        <v>0-LIMTERS</v>
      </c>
      <c r="AE488" s="1291" t="str">
        <f t="shared" ref="AE488" si="357">IF(B488&lt;&gt;"",+$B488&amp;"X","")</f>
        <v>0-LIMTERX</v>
      </c>
      <c r="AF488" s="1291" t="str">
        <f t="shared" ref="AF488" si="358">IF(B488&lt;&gt;"",+B488&amp;H488,"")</f>
        <v>0-LIMTERM</v>
      </c>
      <c r="AG488" s="1291">
        <f t="shared" si="275"/>
        <v>5</v>
      </c>
      <c r="AH488" s="1291">
        <f>IF(B488&lt;&gt;"",+IF(H488="x",+VLOOKUP(I488,'AUX-NIV2'!B:AG,32,FALSE),0),"")</f>
        <v>0</v>
      </c>
      <c r="AI488" s="1291" t="str">
        <f t="shared" ref="AI488" si="359">IF(B488&lt;&gt;"",+B488,"")</f>
        <v>0-LIMTER</v>
      </c>
      <c r="AK488" s="347">
        <f t="shared" si="276"/>
        <v>486</v>
      </c>
      <c r="AL488" s="348">
        <f t="shared" ref="AL488" si="360">IF(B488&lt;&gt;"",+AK488+AG488-1,"")</f>
        <v>490</v>
      </c>
      <c r="AM488" s="347">
        <f>IF(B488&lt;&gt;"",IF(B488=B486,1+AM486,1),"")</f>
        <v>2</v>
      </c>
      <c r="AN488" s="382">
        <f>IF(AND(AH488&gt;0,B488&lt;&gt;""),VLOOKUP(I488,'AUX-NIV2'!$B:$AP,40,FALSE)*O488,0)</f>
        <v>0</v>
      </c>
      <c r="AO488" s="382">
        <f t="shared" si="277"/>
        <v>4</v>
      </c>
      <c r="AQ488" s="395">
        <f>(IF($H488="x",VLOOKUP($I488,'AUX-NIV2'!$B:$X,'AUX-NIV1'!AQ$3,FALSE),0)+($AV488*'AUX-NIV3'!S$4))*$O488+IF($H488=AQ$4,$P488,0)</f>
        <v>0</v>
      </c>
      <c r="AR488" s="395">
        <f>(IF($H488="x",VLOOKUP($I488,'AUX-NIV2'!$B:$X,'AUX-NIV1'!AR$3,FALSE),0)+($AV488*'AUX-NIV3'!T$4))*$O488+IF($H488=AR$4,$P488,0)</f>
        <v>0</v>
      </c>
      <c r="AS488" s="395">
        <f>(IF($H488="x",VLOOKUP($I488,'AUX-NIV2'!$B:$X,'AUX-NIV1'!AS$3,FALSE),0)+($AV488*'AUX-NIV3'!U$4))*$O488+IF($H488=AS$4,$P488,0)</f>
        <v>250</v>
      </c>
      <c r="AT488" s="395">
        <f>(IF($H488="x",VLOOKUP($I488,'AUX-NIV2'!$B:$X,'AUX-NIV1'!AT$3,FALSE),0)+($AV488*'AUX-NIV3'!V$4))*$O488+IF($H488=AT$4,$P488,0)</f>
        <v>0</v>
      </c>
      <c r="AU488" s="395">
        <f>(IF($H488="x",VLOOKUP($I488,'AUX-NIV2'!$B:$X,'AUX-NIV1'!AU$3,FALSE),0)+($AV488*'AUX-NIV3'!W$4))*$O488+IF($H488=AU$4,$P488,0)</f>
        <v>0</v>
      </c>
      <c r="AV488" s="395">
        <f>+IF($H488="x",VLOOKUP($I488,'AUX-NIV2'!$B:$X,'AUX-NIV1'!AV$3,FALSE),0)</f>
        <v>0</v>
      </c>
    </row>
    <row r="489" spans="2:48">
      <c r="B489" s="501" t="s">
        <v>3669</v>
      </c>
      <c r="C489" s="951" t="s">
        <v>3670</v>
      </c>
      <c r="D489" s="1280" t="s">
        <v>1233</v>
      </c>
      <c r="E489" s="1281">
        <f>IF(B489&lt;&gt;"",+SUMIF(Items!C:C,'AUX-NIV1'!B489,Items!H:H),"")</f>
        <v>1</v>
      </c>
      <c r="F489" s="1281">
        <f t="shared" si="267"/>
        <v>1939.9217107866893</v>
      </c>
      <c r="G489" s="1281">
        <f t="shared" si="268"/>
        <v>1939.9217107866893</v>
      </c>
      <c r="H489" s="1395" t="str">
        <f t="shared" si="334"/>
        <v>E</v>
      </c>
      <c r="I489" s="1375" t="s">
        <v>1540</v>
      </c>
      <c r="J489" s="350" t="str">
        <f>IF(B489&lt;&gt;"",+VLOOKUP(I489,Recursos!C:F,2,FALSE),"")</f>
        <v>MINICARG. BOBCAT S/NEUM. (0,40 M3)</v>
      </c>
      <c r="K489" s="351" t="str">
        <f>IF(B489&lt;&gt;"",+VLOOKUP(I489,Recursos!C:F,3,FALSE),"")</f>
        <v>HR</v>
      </c>
      <c r="L489" s="436">
        <f>IF(B489&lt;&gt;"",+VLOOKUP(I489,Recursos!C:F,4,FALSE),"")</f>
        <v>1346.0740000000001</v>
      </c>
      <c r="M489" s="970"/>
      <c r="N489" s="1306">
        <v>0</v>
      </c>
      <c r="O489" s="1286">
        <f>N489</f>
        <v>0</v>
      </c>
      <c r="P489" s="1287">
        <f t="shared" si="335"/>
        <v>0</v>
      </c>
      <c r="Q489" s="1281">
        <f t="shared" si="336"/>
        <v>0</v>
      </c>
      <c r="R489" s="1288">
        <f t="shared" si="337"/>
        <v>0</v>
      </c>
      <c r="S489" s="1289">
        <f t="shared" si="269"/>
        <v>1689.9217107866893</v>
      </c>
      <c r="T489" s="1289">
        <f t="shared" si="270"/>
        <v>0</v>
      </c>
      <c r="U489" s="1290">
        <f t="shared" si="271"/>
        <v>250</v>
      </c>
      <c r="V489" s="1290">
        <f t="shared" si="272"/>
        <v>0</v>
      </c>
      <c r="W489" s="1290">
        <f t="shared" si="273"/>
        <v>0</v>
      </c>
      <c r="X489" s="1290">
        <f t="shared" si="274"/>
        <v>0</v>
      </c>
      <c r="Y489" s="396"/>
      <c r="Z489" s="1291" t="str">
        <f t="shared" si="338"/>
        <v>0-LIMTERA</v>
      </c>
      <c r="AA489" s="1291" t="str">
        <f t="shared" si="339"/>
        <v>0-LIMTERE</v>
      </c>
      <c r="AB489" s="1291" t="str">
        <f t="shared" si="340"/>
        <v>0-LIMTERM</v>
      </c>
      <c r="AC489" s="1291" t="str">
        <f t="shared" si="341"/>
        <v>0-LIMTERT</v>
      </c>
      <c r="AD489" s="1291" t="str">
        <f t="shared" si="342"/>
        <v>0-LIMTERS</v>
      </c>
      <c r="AE489" s="1291" t="str">
        <f t="shared" si="343"/>
        <v>0-LIMTERX</v>
      </c>
      <c r="AF489" s="1291" t="str">
        <f t="shared" si="344"/>
        <v>0-LIMTERE</v>
      </c>
      <c r="AG489" s="1291">
        <f t="shared" si="275"/>
        <v>5</v>
      </c>
      <c r="AH489" s="1291">
        <f>IF(B489&lt;&gt;"",+IF(H489="x",+VLOOKUP(I489,'AUX-NIV2'!B:AG,32,FALSE),0),"")</f>
        <v>0</v>
      </c>
      <c r="AI489" s="1291" t="str">
        <f t="shared" si="345"/>
        <v>0-LIMTER</v>
      </c>
      <c r="AK489" s="347">
        <f t="shared" si="276"/>
        <v>486</v>
      </c>
      <c r="AL489" s="348">
        <f t="shared" si="346"/>
        <v>490</v>
      </c>
      <c r="AM489" s="347">
        <f>IF(B489&lt;&gt;"",IF(B489=B487,1+AM487,1),"")</f>
        <v>3</v>
      </c>
      <c r="AN489" s="382">
        <f>IF(AND(AH489&gt;0,B489&lt;&gt;""),VLOOKUP(I489,'AUX-NIV2'!$B:$AP,40,FALSE)*O489,0)</f>
        <v>0</v>
      </c>
      <c r="AO489" s="382">
        <f t="shared" si="277"/>
        <v>4</v>
      </c>
      <c r="AQ489" s="395">
        <f>(IF($H489="x",VLOOKUP($I489,'AUX-NIV2'!$B:$X,'AUX-NIV1'!AQ$3,FALSE),0)+($AV489*'AUX-NIV3'!S$4))*$O489+IF($H489=AQ$4,$P489,0)</f>
        <v>0</v>
      </c>
      <c r="AR489" s="395">
        <f>(IF($H489="x",VLOOKUP($I489,'AUX-NIV2'!$B:$X,'AUX-NIV1'!AR$3,FALSE),0)+($AV489*'AUX-NIV3'!T$4))*$O489+IF($H489=AR$4,$P489,0)</f>
        <v>0</v>
      </c>
      <c r="AS489" s="395">
        <f>(IF($H489="x",VLOOKUP($I489,'AUX-NIV2'!$B:$X,'AUX-NIV1'!AS$3,FALSE),0)+($AV489*'AUX-NIV3'!U$4))*$O489+IF($H489=AS$4,$P489,0)</f>
        <v>0</v>
      </c>
      <c r="AT489" s="395">
        <f>(IF($H489="x",VLOOKUP($I489,'AUX-NIV2'!$B:$X,'AUX-NIV1'!AT$3,FALSE),0)+($AV489*'AUX-NIV3'!V$4))*$O489+IF($H489=AT$4,$P489,0)</f>
        <v>0</v>
      </c>
      <c r="AU489" s="395">
        <f>(IF($H489="x",VLOOKUP($I489,'AUX-NIV2'!$B:$X,'AUX-NIV1'!AU$3,FALSE),0)+($AV489*'AUX-NIV3'!W$4))*$O489+IF($H489=AU$4,$P489,0)</f>
        <v>0</v>
      </c>
      <c r="AV489" s="395">
        <f>+IF($H489="x",VLOOKUP($I489,'AUX-NIV2'!$B:$X,'AUX-NIV1'!AV$3,FALSE),0)</f>
        <v>0</v>
      </c>
    </row>
    <row r="490" spans="2:48" ht="13.8" thickBot="1">
      <c r="B490" s="501" t="s">
        <v>3669</v>
      </c>
      <c r="C490" s="951" t="s">
        <v>3670</v>
      </c>
      <c r="D490" s="1280" t="s">
        <v>1233</v>
      </c>
      <c r="E490" s="1281">
        <f>IF(B490&lt;&gt;"",+SUMIF(Items!C:C,'AUX-NIV1'!B490,Items!H:H),"")</f>
        <v>1</v>
      </c>
      <c r="F490" s="1281">
        <f t="shared" si="267"/>
        <v>1939.9217107866893</v>
      </c>
      <c r="G490" s="1281">
        <f t="shared" si="268"/>
        <v>1939.9217107866893</v>
      </c>
      <c r="H490" s="1395" t="str">
        <f t="shared" si="334"/>
        <v>E</v>
      </c>
      <c r="I490" s="1375" t="s">
        <v>1556</v>
      </c>
      <c r="J490" s="350" t="str">
        <f>IF(B490&lt;&gt;"",+VLOOKUP(I490,Recursos!C:F,2,FALSE),"")</f>
        <v>CAMION VOLCADOR CAP. 15 T=9 m3</v>
      </c>
      <c r="K490" s="351" t="str">
        <f>IF(B490&lt;&gt;"",+VLOOKUP(I490,Recursos!C:F,3,FALSE),"")</f>
        <v>HR</v>
      </c>
      <c r="L490" s="436">
        <f>IF(B490&lt;&gt;"",+VLOOKUP(I490,Recursos!C:F,4,FALSE),"")</f>
        <v>2547.7823376623378</v>
      </c>
      <c r="M490" s="1309"/>
      <c r="N490" s="1308">
        <v>0</v>
      </c>
      <c r="O490" s="1286">
        <f>N490</f>
        <v>0</v>
      </c>
      <c r="P490" s="1287">
        <f t="shared" si="335"/>
        <v>0</v>
      </c>
      <c r="Q490" s="1281">
        <f t="shared" si="336"/>
        <v>0</v>
      </c>
      <c r="R490" s="1288">
        <f t="shared" si="337"/>
        <v>0</v>
      </c>
      <c r="S490" s="1289">
        <f t="shared" si="269"/>
        <v>1689.9217107866893</v>
      </c>
      <c r="T490" s="1289">
        <f t="shared" si="270"/>
        <v>0</v>
      </c>
      <c r="U490" s="1290">
        <f t="shared" si="271"/>
        <v>250</v>
      </c>
      <c r="V490" s="1290">
        <f t="shared" si="272"/>
        <v>0</v>
      </c>
      <c r="W490" s="1290">
        <f t="shared" si="273"/>
        <v>0</v>
      </c>
      <c r="X490" s="1290">
        <f t="shared" si="274"/>
        <v>0</v>
      </c>
      <c r="Y490" s="396"/>
      <c r="Z490" s="1291" t="str">
        <f t="shared" si="338"/>
        <v>0-LIMTERA</v>
      </c>
      <c r="AA490" s="1291" t="str">
        <f t="shared" si="339"/>
        <v>0-LIMTERE</v>
      </c>
      <c r="AB490" s="1291" t="str">
        <f t="shared" si="340"/>
        <v>0-LIMTERM</v>
      </c>
      <c r="AC490" s="1291" t="str">
        <f t="shared" si="341"/>
        <v>0-LIMTERT</v>
      </c>
      <c r="AD490" s="1291" t="str">
        <f t="shared" si="342"/>
        <v>0-LIMTERS</v>
      </c>
      <c r="AE490" s="1291" t="str">
        <f t="shared" si="343"/>
        <v>0-LIMTERX</v>
      </c>
      <c r="AF490" s="1291" t="str">
        <f t="shared" si="344"/>
        <v>0-LIMTERE</v>
      </c>
      <c r="AG490" s="1291">
        <f t="shared" si="275"/>
        <v>5</v>
      </c>
      <c r="AH490" s="1291">
        <f>IF(B490&lt;&gt;"",+IF(H490="x",+VLOOKUP(I490,'AUX-NIV2'!B:AG,32,FALSE),0),"")</f>
        <v>0</v>
      </c>
      <c r="AI490" s="1291" t="str">
        <f t="shared" si="345"/>
        <v>0-LIMTER</v>
      </c>
      <c r="AK490" s="347">
        <f t="shared" si="276"/>
        <v>486</v>
      </c>
      <c r="AL490" s="348">
        <f t="shared" si="346"/>
        <v>490</v>
      </c>
      <c r="AM490" s="347">
        <f t="shared" si="347"/>
        <v>4</v>
      </c>
      <c r="AN490" s="382">
        <f>IF(AND(AH490&gt;0,B490&lt;&gt;""),VLOOKUP(I490,'AUX-NIV2'!$B:$AP,40,FALSE)*O490,0)</f>
        <v>0</v>
      </c>
      <c r="AO490" s="382">
        <f t="shared" si="277"/>
        <v>4</v>
      </c>
      <c r="AQ490" s="395">
        <f>(IF($H490="x",VLOOKUP($I490,'AUX-NIV2'!$B:$X,'AUX-NIV1'!AQ$3,FALSE),0)+($AV490*'AUX-NIV3'!S$4))*$O490+IF($H490=AQ$4,$P490,0)</f>
        <v>0</v>
      </c>
      <c r="AR490" s="395">
        <f>(IF($H490="x",VLOOKUP($I490,'AUX-NIV2'!$B:$X,'AUX-NIV1'!AR$3,FALSE),0)+($AV490*'AUX-NIV3'!T$4))*$O490+IF($H490=AR$4,$P490,0)</f>
        <v>0</v>
      </c>
      <c r="AS490" s="395">
        <f>(IF($H490="x",VLOOKUP($I490,'AUX-NIV2'!$B:$X,'AUX-NIV1'!AS$3,FALSE),0)+($AV490*'AUX-NIV3'!U$4))*$O490+IF($H490=AS$4,$P490,0)</f>
        <v>0</v>
      </c>
      <c r="AT490" s="395">
        <f>(IF($H490="x",VLOOKUP($I490,'AUX-NIV2'!$B:$X,'AUX-NIV1'!AT$3,FALSE),0)+($AV490*'AUX-NIV3'!V$4))*$O490+IF($H490=AT$4,$P490,0)</f>
        <v>0</v>
      </c>
      <c r="AU490" s="395">
        <f>(IF($H490="x",VLOOKUP($I490,'AUX-NIV2'!$B:$X,'AUX-NIV1'!AU$3,FALSE),0)+($AV490*'AUX-NIV3'!W$4))*$O490+IF($H490=AU$4,$P490,0)</f>
        <v>0</v>
      </c>
      <c r="AV490" s="395">
        <f>+IF($H490="x",VLOOKUP($I490,'AUX-NIV2'!$B:$X,'AUX-NIV1'!AV$3,FALSE),0)</f>
        <v>0</v>
      </c>
    </row>
    <row r="491" spans="2:48" ht="14.4" hidden="1" thickTop="1" thickBot="1">
      <c r="B491" s="501" t="s">
        <v>3671</v>
      </c>
      <c r="C491" s="951" t="s">
        <v>3672</v>
      </c>
      <c r="D491" s="1280" t="s">
        <v>501</v>
      </c>
      <c r="E491" s="1281">
        <f>IF(B491&lt;&gt;"",+SUMIF(Items!C:C,'AUX-NIV1'!B491,Items!H:H),"")</f>
        <v>0</v>
      </c>
      <c r="F491" s="1281">
        <f t="shared" si="267"/>
        <v>3046.125</v>
      </c>
      <c r="G491" s="1281">
        <f t="shared" si="268"/>
        <v>0</v>
      </c>
      <c r="H491" s="1395" t="str">
        <f t="shared" si="334"/>
        <v>S</v>
      </c>
      <c r="I491" s="1375" t="s">
        <v>696</v>
      </c>
      <c r="J491" s="350" t="str">
        <f>IF(B491&lt;&gt;"",+VLOOKUP(I491,Recursos!C:F,2,FALSE),"")</f>
        <v>EDIFICIOS DE CAMPAMENTOS</v>
      </c>
      <c r="K491" s="351" t="str">
        <f>IF(B491&lt;&gt;"",+VLOOKUP(I491,Recursos!C:F,3,FALSE),"")</f>
        <v>M2</v>
      </c>
      <c r="L491" s="436">
        <f>IF(B491&lt;&gt;"",+VLOOKUP(I491,Recursos!C:F,4,FALSE),"")</f>
        <v>1530.75</v>
      </c>
      <c r="M491" s="989"/>
      <c r="N491" s="1292">
        <v>1.5</v>
      </c>
      <c r="O491" s="1286">
        <f>N491</f>
        <v>1.5</v>
      </c>
      <c r="P491" s="1287">
        <f t="shared" si="335"/>
        <v>2296.125</v>
      </c>
      <c r="Q491" s="1281">
        <f t="shared" si="336"/>
        <v>0</v>
      </c>
      <c r="R491" s="1288">
        <f t="shared" si="337"/>
        <v>0</v>
      </c>
      <c r="S491" s="1289">
        <f t="shared" si="269"/>
        <v>0</v>
      </c>
      <c r="T491" s="1289">
        <f t="shared" si="270"/>
        <v>0</v>
      </c>
      <c r="U491" s="1290">
        <f t="shared" si="271"/>
        <v>0</v>
      </c>
      <c r="V491" s="1290">
        <f t="shared" si="272"/>
        <v>0</v>
      </c>
      <c r="W491" s="1290">
        <f t="shared" si="273"/>
        <v>3046.125</v>
      </c>
      <c r="X491" s="1290">
        <f t="shared" si="274"/>
        <v>0</v>
      </c>
      <c r="Y491" s="396"/>
      <c r="Z491" s="1291" t="str">
        <f t="shared" si="338"/>
        <v>0-OBRA</v>
      </c>
      <c r="AA491" s="1291" t="str">
        <f t="shared" si="339"/>
        <v>0-OBRE</v>
      </c>
      <c r="AB491" s="1291" t="str">
        <f t="shared" si="340"/>
        <v>0-OBRM</v>
      </c>
      <c r="AC491" s="1291" t="str">
        <f t="shared" si="341"/>
        <v>0-OBRT</v>
      </c>
      <c r="AD491" s="1291" t="str">
        <f t="shared" si="342"/>
        <v>0-OBRS</v>
      </c>
      <c r="AE491" s="1291" t="str">
        <f t="shared" si="343"/>
        <v>0-OBRX</v>
      </c>
      <c r="AF491" s="1291" t="str">
        <f t="shared" si="344"/>
        <v>0-OBRS</v>
      </c>
      <c r="AG491" s="1291">
        <f t="shared" si="275"/>
        <v>2</v>
      </c>
      <c r="AH491" s="1291">
        <f>IF(B491&lt;&gt;"",+IF(H491="x",+VLOOKUP(I491,'AUX-NIV2'!B:AG,32,FALSE),0),"")</f>
        <v>0</v>
      </c>
      <c r="AI491" s="1291" t="str">
        <f t="shared" si="345"/>
        <v>0-OBR</v>
      </c>
      <c r="AK491" s="347">
        <f t="shared" si="276"/>
        <v>491</v>
      </c>
      <c r="AL491" s="348">
        <f t="shared" si="346"/>
        <v>492</v>
      </c>
      <c r="AM491" s="347">
        <f t="shared" si="347"/>
        <v>1</v>
      </c>
      <c r="AN491" s="382">
        <f>IF(AND(AH491&gt;0,B491&lt;&gt;""),VLOOKUP(I491,'AUX-NIV2'!$B:$AP,40,FALSE)*O491,0)</f>
        <v>0</v>
      </c>
      <c r="AO491" s="382">
        <f t="shared" si="277"/>
        <v>0</v>
      </c>
      <c r="AQ491" s="395">
        <f>(IF($H491="x",VLOOKUP($I491,'AUX-NIV2'!$B:$X,'AUX-NIV1'!AQ$3,FALSE),0)+($AV491*'AUX-NIV3'!S$4))*$O491+IF($H491=AQ$4,$P491,0)</f>
        <v>0</v>
      </c>
      <c r="AR491" s="395">
        <f>(IF($H491="x",VLOOKUP($I491,'AUX-NIV2'!$B:$X,'AUX-NIV1'!AR$3,FALSE),0)+($AV491*'AUX-NIV3'!T$4))*$O491+IF($H491=AR$4,$P491,0)</f>
        <v>0</v>
      </c>
      <c r="AS491" s="395">
        <f>(IF($H491="x",VLOOKUP($I491,'AUX-NIV2'!$B:$X,'AUX-NIV1'!AS$3,FALSE),0)+($AV491*'AUX-NIV3'!U$4))*$O491+IF($H491=AS$4,$P491,0)</f>
        <v>0</v>
      </c>
      <c r="AT491" s="395">
        <f>(IF($H491="x",VLOOKUP($I491,'AUX-NIV2'!$B:$X,'AUX-NIV1'!AT$3,FALSE),0)+($AV491*'AUX-NIV3'!V$4))*$O491+IF($H491=AT$4,$P491,0)</f>
        <v>0</v>
      </c>
      <c r="AU491" s="395">
        <f>(IF($H491="x",VLOOKUP($I491,'AUX-NIV2'!$B:$X,'AUX-NIV1'!AU$3,FALSE),0)+($AV491*'AUX-NIV3'!W$4))*$O491+IF($H491=AU$4,$P491,0)</f>
        <v>2296.125</v>
      </c>
      <c r="AV491" s="395">
        <f>+IF($H491="x",VLOOKUP($I491,'AUX-NIV2'!$B:$X,'AUX-NIV1'!AV$3,FALSE),0)</f>
        <v>0</v>
      </c>
    </row>
    <row r="492" spans="2:48" ht="14.4" hidden="1" thickTop="1" thickBot="1">
      <c r="B492" s="501" t="s">
        <v>3671</v>
      </c>
      <c r="C492" s="951" t="s">
        <v>3672</v>
      </c>
      <c r="D492" s="1280" t="s">
        <v>501</v>
      </c>
      <c r="E492" s="1281">
        <f>IF(B492&lt;&gt;"",+SUMIF(Items!C:C,'AUX-NIV1'!B492,Items!H:H),"")</f>
        <v>0</v>
      </c>
      <c r="F492" s="1281">
        <f t="shared" si="267"/>
        <v>3046.125</v>
      </c>
      <c r="G492" s="1281">
        <f t="shared" si="268"/>
        <v>0</v>
      </c>
      <c r="H492" s="1395" t="str">
        <f t="shared" ref="H492" si="361">IF(B492&lt;&gt;"",+LEFT(I492,1),"")</f>
        <v>S</v>
      </c>
      <c r="I492" s="1375" t="s">
        <v>650</v>
      </c>
      <c r="J492" s="350" t="str">
        <f>IF(B492&lt;&gt;"",+VLOOKUP(I492,Recursos!C:F,2,FALSE),"")</f>
        <v>CONSTRUCCION DE CERO PERIMETRAL</v>
      </c>
      <c r="K492" s="351" t="str">
        <f>IF(B492&lt;&gt;"",+VLOOKUP(I492,Recursos!C:F,3,FALSE),"")</f>
        <v>M</v>
      </c>
      <c r="L492" s="436">
        <f>IF(B492&lt;&gt;"",+VLOOKUP(I492,Recursos!C:F,4,FALSE),"")</f>
        <v>1500</v>
      </c>
      <c r="M492" s="1517">
        <v>120</v>
      </c>
      <c r="N492" s="1457">
        <v>60</v>
      </c>
      <c r="O492" s="1286">
        <f>N492/M492</f>
        <v>0.5</v>
      </c>
      <c r="P492" s="1287">
        <f t="shared" ref="P492" si="362">IF(B492&lt;&gt;"",O492*L492,"")</f>
        <v>750</v>
      </c>
      <c r="Q492" s="1281">
        <f t="shared" ref="Q492" si="363">IF(B492&lt;&gt;"",+O492*E492,"")</f>
        <v>0</v>
      </c>
      <c r="R492" s="1288">
        <f t="shared" ref="R492" si="364">IF(B492&lt;&gt;"",Q492*L492,"")</f>
        <v>0</v>
      </c>
      <c r="S492" s="1289">
        <f t="shared" si="269"/>
        <v>0</v>
      </c>
      <c r="T492" s="1289">
        <f t="shared" si="270"/>
        <v>0</v>
      </c>
      <c r="U492" s="1290">
        <f t="shared" si="271"/>
        <v>0</v>
      </c>
      <c r="V492" s="1290">
        <f t="shared" si="272"/>
        <v>0</v>
      </c>
      <c r="W492" s="1290">
        <f t="shared" si="273"/>
        <v>3046.125</v>
      </c>
      <c r="X492" s="1290">
        <f t="shared" si="274"/>
        <v>0</v>
      </c>
      <c r="Y492" s="396"/>
      <c r="Z492" s="1291" t="str">
        <f t="shared" ref="Z492" si="365">IF(B492&lt;&gt;"",+$B492&amp;"A","")</f>
        <v>0-OBRA</v>
      </c>
      <c r="AA492" s="1291" t="str">
        <f t="shared" ref="AA492" si="366">IF(B492&lt;&gt;"",+$B492&amp;"E","")</f>
        <v>0-OBRE</v>
      </c>
      <c r="AB492" s="1291" t="str">
        <f t="shared" ref="AB492" si="367">IF(B492&lt;&gt;"",++$B492&amp;"M","")</f>
        <v>0-OBRM</v>
      </c>
      <c r="AC492" s="1291" t="str">
        <f t="shared" ref="AC492" si="368">IF(B492&lt;&gt;"",+$B492&amp;"T","")</f>
        <v>0-OBRT</v>
      </c>
      <c r="AD492" s="1291" t="str">
        <f t="shared" ref="AD492" si="369">IF(B492&lt;&gt;"",+$B492&amp;"S","")</f>
        <v>0-OBRS</v>
      </c>
      <c r="AE492" s="1291" t="str">
        <f t="shared" ref="AE492" si="370">IF(B492&lt;&gt;"",+$B492&amp;"X","")</f>
        <v>0-OBRX</v>
      </c>
      <c r="AF492" s="1291" t="str">
        <f t="shared" ref="AF492" si="371">IF(B492&lt;&gt;"",+B492&amp;H492,"")</f>
        <v>0-OBRS</v>
      </c>
      <c r="AG492" s="1291">
        <f t="shared" si="275"/>
        <v>2</v>
      </c>
      <c r="AH492" s="1291">
        <f>IF(B492&lt;&gt;"",+IF(H492="x",+VLOOKUP(I492,'AUX-NIV2'!B:AG,32,FALSE),0),"")</f>
        <v>0</v>
      </c>
      <c r="AI492" s="1291" t="str">
        <f t="shared" ref="AI492" si="372">IF(B492&lt;&gt;"",+B492,"")</f>
        <v>0-OBR</v>
      </c>
      <c r="AK492" s="347">
        <f t="shared" si="276"/>
        <v>491</v>
      </c>
      <c r="AL492" s="348">
        <f t="shared" ref="AL492" si="373">IF(B492&lt;&gt;"",+AK492+AG492-1,"")</f>
        <v>492</v>
      </c>
      <c r="AM492" s="347">
        <f t="shared" ref="AM492" si="374">IF(B492&lt;&gt;"",IF(B492=B491,1+AM491,1),"")</f>
        <v>2</v>
      </c>
      <c r="AN492" s="382">
        <f>IF(AND(AH492&gt;0,B492&lt;&gt;""),VLOOKUP(I492,'AUX-NIV2'!$B:$AP,40,FALSE)*O492,0)</f>
        <v>0</v>
      </c>
      <c r="AO492" s="382">
        <f t="shared" si="277"/>
        <v>0</v>
      </c>
      <c r="AQ492" s="395">
        <f>(IF($H492="x",VLOOKUP($I492,'AUX-NIV2'!$B:$X,'AUX-NIV1'!AQ$3,FALSE),0)+($AV492*'AUX-NIV3'!S$4))*$O492+IF($H492=AQ$4,$P492,0)</f>
        <v>0</v>
      </c>
      <c r="AR492" s="395">
        <f>(IF($H492="x",VLOOKUP($I492,'AUX-NIV2'!$B:$X,'AUX-NIV1'!AR$3,FALSE),0)+($AV492*'AUX-NIV3'!T$4))*$O492+IF($H492=AR$4,$P492,0)</f>
        <v>0</v>
      </c>
      <c r="AS492" s="395">
        <f>(IF($H492="x",VLOOKUP($I492,'AUX-NIV2'!$B:$X,'AUX-NIV1'!AS$3,FALSE),0)+($AV492*'AUX-NIV3'!U$4))*$O492+IF($H492=AS$4,$P492,0)</f>
        <v>0</v>
      </c>
      <c r="AT492" s="395">
        <f>(IF($H492="x",VLOOKUP($I492,'AUX-NIV2'!$B:$X,'AUX-NIV1'!AT$3,FALSE),0)+($AV492*'AUX-NIV3'!V$4))*$O492+IF($H492=AT$4,$P492,0)</f>
        <v>0</v>
      </c>
      <c r="AU492" s="395">
        <f>(IF($H492="x",VLOOKUP($I492,'AUX-NIV2'!$B:$X,'AUX-NIV1'!AU$3,FALSE),0)+($AV492*'AUX-NIV3'!W$4))*$O492+IF($H492=AU$4,$P492,0)</f>
        <v>750</v>
      </c>
      <c r="AV492" s="395">
        <f>+IF($H492="x",VLOOKUP($I492,'AUX-NIV2'!$B:$X,'AUX-NIV1'!AV$3,FALSE),0)</f>
        <v>0</v>
      </c>
    </row>
    <row r="493" spans="2:48" ht="14.4" hidden="1" thickTop="1" thickBot="1">
      <c r="B493" s="501" t="s">
        <v>3673</v>
      </c>
      <c r="C493" s="951" t="s">
        <v>3674</v>
      </c>
      <c r="D493" s="1280" t="s">
        <v>501</v>
      </c>
      <c r="E493" s="1281">
        <f>IF(B493&lt;&gt;"",+SUMIF(Items!C:C,'AUX-NIV1'!B493,Items!H:H),"")</f>
        <v>0</v>
      </c>
      <c r="F493" s="1281">
        <f t="shared" si="267"/>
        <v>3600</v>
      </c>
      <c r="G493" s="1281">
        <f t="shared" si="268"/>
        <v>0</v>
      </c>
      <c r="H493" s="1395" t="str">
        <f t="shared" si="334"/>
        <v>S</v>
      </c>
      <c r="I493" s="1375" t="s">
        <v>3676</v>
      </c>
      <c r="J493" s="350" t="str">
        <f>IF(B493&lt;&gt;"",+VLOOKUP(I493,Recursos!C:F,2,FALSE),"")</f>
        <v>BAÑO QUIMICO</v>
      </c>
      <c r="K493" s="351" t="str">
        <f>IF(B493&lt;&gt;"",+VLOOKUP(I493,Recursos!C:F,3,FALSE),"")</f>
        <v>mes</v>
      </c>
      <c r="L493" s="436">
        <f>IF(B493&lt;&gt;"",+VLOOKUP(I493,Recursos!C:F,4,FALSE),"")</f>
        <v>1000</v>
      </c>
      <c r="M493" s="989">
        <v>2</v>
      </c>
      <c r="N493" s="1311"/>
      <c r="O493" s="1286">
        <f>M493</f>
        <v>2</v>
      </c>
      <c r="P493" s="1287">
        <f t="shared" si="335"/>
        <v>2000</v>
      </c>
      <c r="Q493" s="1281">
        <f t="shared" si="336"/>
        <v>0</v>
      </c>
      <c r="R493" s="1288">
        <f t="shared" si="337"/>
        <v>0</v>
      </c>
      <c r="S493" s="1289">
        <f t="shared" si="269"/>
        <v>0</v>
      </c>
      <c r="T493" s="1289">
        <f t="shared" si="270"/>
        <v>0</v>
      </c>
      <c r="U493" s="1290">
        <f t="shared" si="271"/>
        <v>0</v>
      </c>
      <c r="V493" s="1290">
        <f t="shared" si="272"/>
        <v>0</v>
      </c>
      <c r="W493" s="1290">
        <f t="shared" si="273"/>
        <v>3600</v>
      </c>
      <c r="X493" s="1290">
        <f t="shared" si="274"/>
        <v>0</v>
      </c>
      <c r="Y493" s="396"/>
      <c r="Z493" s="1291" t="str">
        <f t="shared" si="338"/>
        <v>0-SANITA</v>
      </c>
      <c r="AA493" s="1291" t="str">
        <f t="shared" si="339"/>
        <v>0-SANITE</v>
      </c>
      <c r="AB493" s="1291" t="str">
        <f t="shared" si="340"/>
        <v>0-SANITM</v>
      </c>
      <c r="AC493" s="1291" t="str">
        <f t="shared" si="341"/>
        <v>0-SANITT</v>
      </c>
      <c r="AD493" s="1291" t="str">
        <f t="shared" si="342"/>
        <v>0-SANITS</v>
      </c>
      <c r="AE493" s="1291" t="str">
        <f t="shared" si="343"/>
        <v>0-SANITX</v>
      </c>
      <c r="AF493" s="1291" t="str">
        <f t="shared" si="344"/>
        <v>0-SANITS</v>
      </c>
      <c r="AG493" s="1291">
        <f t="shared" si="275"/>
        <v>2</v>
      </c>
      <c r="AH493" s="1291">
        <f>IF(B493&lt;&gt;"",+IF(H493="x",+VLOOKUP(I493,'AUX-NIV2'!B:AG,32,FALSE),0),"")</f>
        <v>0</v>
      </c>
      <c r="AI493" s="1291" t="str">
        <f t="shared" si="345"/>
        <v>0-SANIT</v>
      </c>
      <c r="AK493" s="347">
        <f t="shared" si="276"/>
        <v>493</v>
      </c>
      <c r="AL493" s="348">
        <f t="shared" si="346"/>
        <v>494</v>
      </c>
      <c r="AM493" s="347">
        <f>IF(B493&lt;&gt;"",IF(B493=B491,1+AM491,1),"")</f>
        <v>1</v>
      </c>
      <c r="AN493" s="382">
        <f>IF(AND(AH493&gt;0,B493&lt;&gt;""),VLOOKUP(I493,'AUX-NIV2'!$B:$AP,40,FALSE)*O493,0)</f>
        <v>0</v>
      </c>
      <c r="AO493" s="382">
        <f t="shared" si="277"/>
        <v>0</v>
      </c>
      <c r="AQ493" s="395">
        <f>(IF($H493="x",VLOOKUP($I493,'AUX-NIV2'!$B:$X,'AUX-NIV1'!AQ$3,FALSE),0)+($AV493*'AUX-NIV3'!S$4))*$O493+IF($H493=AQ$4,$P493,0)</f>
        <v>0</v>
      </c>
      <c r="AR493" s="395">
        <f>(IF($H493="x",VLOOKUP($I493,'AUX-NIV2'!$B:$X,'AUX-NIV1'!AR$3,FALSE),0)+($AV493*'AUX-NIV3'!T$4))*$O493+IF($H493=AR$4,$P493,0)</f>
        <v>0</v>
      </c>
      <c r="AS493" s="395">
        <f>(IF($H493="x",VLOOKUP($I493,'AUX-NIV2'!$B:$X,'AUX-NIV1'!AS$3,FALSE),0)+($AV493*'AUX-NIV3'!U$4))*$O493+IF($H493=AS$4,$P493,0)</f>
        <v>0</v>
      </c>
      <c r="AT493" s="395">
        <f>(IF($H493="x",VLOOKUP($I493,'AUX-NIV2'!$B:$X,'AUX-NIV1'!AT$3,FALSE),0)+($AV493*'AUX-NIV3'!V$4))*$O493+IF($H493=AT$4,$P493,0)</f>
        <v>0</v>
      </c>
      <c r="AU493" s="395">
        <f>(IF($H493="x",VLOOKUP($I493,'AUX-NIV2'!$B:$X,'AUX-NIV1'!AU$3,FALSE),0)+($AV493*'AUX-NIV3'!W$4))*$O493+IF($H493=AU$4,$P493,0)</f>
        <v>2000</v>
      </c>
      <c r="AV493" s="395">
        <f>+IF($H493="x",VLOOKUP($I493,'AUX-NIV2'!$B:$X,'AUX-NIV1'!AV$3,FALSE),0)</f>
        <v>0</v>
      </c>
    </row>
    <row r="494" spans="2:48" ht="14.4" hidden="1" thickTop="1" thickBot="1">
      <c r="B494" s="501" t="s">
        <v>3673</v>
      </c>
      <c r="C494" s="951" t="s">
        <v>3674</v>
      </c>
      <c r="D494" s="1280" t="s">
        <v>501</v>
      </c>
      <c r="E494" s="1281">
        <f>IF(B494&lt;&gt;"",+SUMIF(Items!C:C,'AUX-NIV1'!B494,Items!H:H),"")</f>
        <v>0</v>
      </c>
      <c r="F494" s="1281">
        <f t="shared" si="267"/>
        <v>3600</v>
      </c>
      <c r="G494" s="1281">
        <f t="shared" si="268"/>
        <v>0</v>
      </c>
      <c r="H494" s="1395" t="str">
        <f t="shared" si="334"/>
        <v>S</v>
      </c>
      <c r="I494" s="1375" t="s">
        <v>3677</v>
      </c>
      <c r="J494" s="1283" t="str">
        <f>IF(B494&lt;&gt;"",+VLOOKUP(I494,Recursos!C:F,2,FALSE),"")</f>
        <v>BAÑO QUIMICO LIMPIEZA</v>
      </c>
      <c r="K494" s="1284" t="str">
        <f>IF(B494&lt;&gt;"",+VLOOKUP(I494,Recursos!C:F,3,FALSE),"")</f>
        <v>mes</v>
      </c>
      <c r="L494" s="1285">
        <f>IF(B494&lt;&gt;"",+VLOOKUP(I494,Recursos!C:F,4,FALSE),"")</f>
        <v>800</v>
      </c>
      <c r="M494" s="1309"/>
      <c r="N494" s="1310"/>
      <c r="O494" s="1286">
        <f>M493</f>
        <v>2</v>
      </c>
      <c r="P494" s="1287">
        <f t="shared" si="335"/>
        <v>1600</v>
      </c>
      <c r="Q494" s="1281">
        <f t="shared" si="336"/>
        <v>0</v>
      </c>
      <c r="R494" s="1288">
        <f t="shared" si="337"/>
        <v>0</v>
      </c>
      <c r="S494" s="1289">
        <f t="shared" si="269"/>
        <v>0</v>
      </c>
      <c r="T494" s="1289">
        <f t="shared" si="270"/>
        <v>0</v>
      </c>
      <c r="U494" s="1290">
        <f t="shared" si="271"/>
        <v>0</v>
      </c>
      <c r="V494" s="1290">
        <f t="shared" si="272"/>
        <v>0</v>
      </c>
      <c r="W494" s="1290">
        <f t="shared" si="273"/>
        <v>3600</v>
      </c>
      <c r="X494" s="1290">
        <f t="shared" si="274"/>
        <v>0</v>
      </c>
      <c r="Y494" s="396"/>
      <c r="Z494" s="1291" t="str">
        <f t="shared" si="338"/>
        <v>0-SANITA</v>
      </c>
      <c r="AA494" s="1291" t="str">
        <f t="shared" si="339"/>
        <v>0-SANITE</v>
      </c>
      <c r="AB494" s="1291" t="str">
        <f t="shared" si="340"/>
        <v>0-SANITM</v>
      </c>
      <c r="AC494" s="1291" t="str">
        <f t="shared" si="341"/>
        <v>0-SANITT</v>
      </c>
      <c r="AD494" s="1291" t="str">
        <f t="shared" si="342"/>
        <v>0-SANITS</v>
      </c>
      <c r="AE494" s="1291" t="str">
        <f t="shared" si="343"/>
        <v>0-SANITX</v>
      </c>
      <c r="AF494" s="1291" t="str">
        <f t="shared" si="344"/>
        <v>0-SANITS</v>
      </c>
      <c r="AG494" s="1291">
        <f t="shared" si="275"/>
        <v>2</v>
      </c>
      <c r="AH494" s="1291">
        <f>IF(B494&lt;&gt;"",+IF(H494="x",+VLOOKUP(I494,'AUX-NIV2'!B:AG,32,FALSE),0),"")</f>
        <v>0</v>
      </c>
      <c r="AI494" s="1291" t="str">
        <f t="shared" si="345"/>
        <v>0-SANIT</v>
      </c>
      <c r="AK494" s="347">
        <f t="shared" si="276"/>
        <v>493</v>
      </c>
      <c r="AL494" s="348">
        <f t="shared" si="346"/>
        <v>494</v>
      </c>
      <c r="AM494" s="347">
        <f t="shared" si="347"/>
        <v>2</v>
      </c>
      <c r="AN494" s="382">
        <f>IF(AND(AH494&gt;0,B494&lt;&gt;""),VLOOKUP(I494,'AUX-NIV2'!$B:$AP,40,FALSE)*O494,0)</f>
        <v>0</v>
      </c>
      <c r="AO494" s="382">
        <f t="shared" si="277"/>
        <v>0</v>
      </c>
      <c r="AQ494" s="395">
        <f>(IF($H494="x",VLOOKUP($I494,'AUX-NIV2'!$B:$X,'AUX-NIV1'!AQ$3,FALSE),0)+($AV494*'AUX-NIV3'!S$4))*$O494+IF($H494=AQ$4,$P494,0)</f>
        <v>0</v>
      </c>
      <c r="AR494" s="395">
        <f>(IF($H494="x",VLOOKUP($I494,'AUX-NIV2'!$B:$X,'AUX-NIV1'!AR$3,FALSE),0)+($AV494*'AUX-NIV3'!T$4))*$O494+IF($H494=AR$4,$P494,0)</f>
        <v>0</v>
      </c>
      <c r="AS494" s="395">
        <f>(IF($H494="x",VLOOKUP($I494,'AUX-NIV2'!$B:$X,'AUX-NIV1'!AS$3,FALSE),0)+($AV494*'AUX-NIV3'!U$4))*$O494+IF($H494=AS$4,$P494,0)</f>
        <v>0</v>
      </c>
      <c r="AT494" s="395">
        <f>(IF($H494="x",VLOOKUP($I494,'AUX-NIV2'!$B:$X,'AUX-NIV1'!AT$3,FALSE),0)+($AV494*'AUX-NIV3'!V$4))*$O494+IF($H494=AT$4,$P494,0)</f>
        <v>0</v>
      </c>
      <c r="AU494" s="395">
        <f>(IF($H494="x",VLOOKUP($I494,'AUX-NIV2'!$B:$X,'AUX-NIV1'!AU$3,FALSE),0)+($AV494*'AUX-NIV3'!W$4))*$O494+IF($H494=AU$4,$P494,0)</f>
        <v>1600</v>
      </c>
      <c r="AV494" s="395">
        <f>+IF($H494="x",VLOOKUP($I494,'AUX-NIV2'!$B:$X,'AUX-NIV1'!AV$3,FALSE),0)</f>
        <v>0</v>
      </c>
    </row>
    <row r="495" spans="2:48" ht="14.4" hidden="1" thickTop="1" thickBot="1">
      <c r="B495" s="501" t="s">
        <v>3679</v>
      </c>
      <c r="C495" s="951" t="s">
        <v>3680</v>
      </c>
      <c r="D495" s="1280" t="s">
        <v>501</v>
      </c>
      <c r="E495" s="1281">
        <f>IF(B495&lt;&gt;"",+SUMIF(Items!C:C,'AUX-NIV1'!B495,Items!H:H),"")</f>
        <v>0</v>
      </c>
      <c r="F495" s="1281">
        <f t="shared" si="267"/>
        <v>2.6399999999999997</v>
      </c>
      <c r="G495" s="1281">
        <f t="shared" si="268"/>
        <v>0</v>
      </c>
      <c r="H495" s="1395" t="str">
        <f t="shared" si="334"/>
        <v>S</v>
      </c>
      <c r="I495" s="1375" t="s">
        <v>3681</v>
      </c>
      <c r="J495" s="1283" t="str">
        <f>IF(B495&lt;&gt;"",+VLOOKUP(I495,Recursos!C:F,2,FALSE),"")</f>
        <v>AGUA POTABLE PARA CONSTRUCCION</v>
      </c>
      <c r="K495" s="1284" t="str">
        <f>IF(B495&lt;&gt;"",+VLOOKUP(I495,Recursos!C:F,3,FALSE),"")</f>
        <v>m2</v>
      </c>
      <c r="L495" s="1285">
        <f>IF(B495&lt;&gt;"",+VLOOKUP(I495,Recursos!C:F,4,FALSE),"")</f>
        <v>0.24</v>
      </c>
      <c r="M495" s="1293">
        <v>11</v>
      </c>
      <c r="N495" s="1312"/>
      <c r="O495" s="1286">
        <f>M495</f>
        <v>11</v>
      </c>
      <c r="P495" s="1287">
        <f t="shared" si="335"/>
        <v>2.6399999999999997</v>
      </c>
      <c r="Q495" s="1281">
        <f t="shared" si="336"/>
        <v>0</v>
      </c>
      <c r="R495" s="1288">
        <f t="shared" si="337"/>
        <v>0</v>
      </c>
      <c r="S495" s="1289">
        <f t="shared" si="269"/>
        <v>0</v>
      </c>
      <c r="T495" s="1289">
        <f t="shared" si="270"/>
        <v>0</v>
      </c>
      <c r="U495" s="1290">
        <f t="shared" si="271"/>
        <v>0</v>
      </c>
      <c r="V495" s="1290">
        <f t="shared" si="272"/>
        <v>0</v>
      </c>
      <c r="W495" s="1290">
        <f t="shared" si="273"/>
        <v>2.6399999999999997</v>
      </c>
      <c r="X495" s="1290">
        <f t="shared" si="274"/>
        <v>0</v>
      </c>
      <c r="Y495" s="396"/>
      <c r="Z495" s="1291" t="str">
        <f t="shared" si="338"/>
        <v>0-AGUCA</v>
      </c>
      <c r="AA495" s="1291" t="str">
        <f t="shared" si="339"/>
        <v>0-AGUCE</v>
      </c>
      <c r="AB495" s="1291" t="str">
        <f t="shared" si="340"/>
        <v>0-AGUCM</v>
      </c>
      <c r="AC495" s="1291" t="str">
        <f t="shared" si="341"/>
        <v>0-AGUCT</v>
      </c>
      <c r="AD495" s="1291" t="str">
        <f t="shared" si="342"/>
        <v>0-AGUCS</v>
      </c>
      <c r="AE495" s="1291" t="str">
        <f t="shared" si="343"/>
        <v>0-AGUCX</v>
      </c>
      <c r="AF495" s="1291" t="str">
        <f t="shared" si="344"/>
        <v>0-AGUCS</v>
      </c>
      <c r="AG495" s="1291">
        <f t="shared" si="275"/>
        <v>1</v>
      </c>
      <c r="AH495" s="1291">
        <f>IF(B495&lt;&gt;"",+IF(H495="x",+VLOOKUP(I495,'AUX-NIV2'!B:AG,32,FALSE),0),"")</f>
        <v>0</v>
      </c>
      <c r="AI495" s="1291" t="str">
        <f t="shared" si="345"/>
        <v>0-AGUC</v>
      </c>
      <c r="AK495" s="347">
        <f t="shared" si="276"/>
        <v>495</v>
      </c>
      <c r="AL495" s="348">
        <f t="shared" si="346"/>
        <v>495</v>
      </c>
      <c r="AM495" s="347">
        <f t="shared" si="347"/>
        <v>1</v>
      </c>
      <c r="AN495" s="382">
        <f>IF(AND(AH495&gt;0,B495&lt;&gt;""),VLOOKUP(I495,'AUX-NIV2'!$B:$AP,40,FALSE)*O495,0)</f>
        <v>0</v>
      </c>
      <c r="AO495" s="382">
        <f t="shared" si="277"/>
        <v>0</v>
      </c>
      <c r="AQ495" s="395">
        <f>(IF($H495="x",VLOOKUP($I495,'AUX-NIV2'!$B:$X,'AUX-NIV1'!AQ$3,FALSE),0)+($AV495*'AUX-NIV3'!S$4))*$O495+IF($H495=AQ$4,$P495,0)</f>
        <v>0</v>
      </c>
      <c r="AR495" s="395">
        <f>(IF($H495="x",VLOOKUP($I495,'AUX-NIV2'!$B:$X,'AUX-NIV1'!AR$3,FALSE),0)+($AV495*'AUX-NIV3'!T$4))*$O495+IF($H495=AR$4,$P495,0)</f>
        <v>0</v>
      </c>
      <c r="AS495" s="395">
        <f>(IF($H495="x",VLOOKUP($I495,'AUX-NIV2'!$B:$X,'AUX-NIV1'!AS$3,FALSE),0)+($AV495*'AUX-NIV3'!U$4))*$O495+IF($H495=AS$4,$P495,0)</f>
        <v>0</v>
      </c>
      <c r="AT495" s="395">
        <f>(IF($H495="x",VLOOKUP($I495,'AUX-NIV2'!$B:$X,'AUX-NIV1'!AT$3,FALSE),0)+($AV495*'AUX-NIV3'!V$4))*$O495+IF($H495=AT$4,$P495,0)</f>
        <v>0</v>
      </c>
      <c r="AU495" s="395">
        <f>(IF($H495="x",VLOOKUP($I495,'AUX-NIV2'!$B:$X,'AUX-NIV1'!AU$3,FALSE),0)+($AV495*'AUX-NIV3'!W$4))*$O495+IF($H495=AU$4,$P495,0)</f>
        <v>2.6399999999999997</v>
      </c>
      <c r="AV495" s="395">
        <f>+IF($H495="x",VLOOKUP($I495,'AUX-NIV2'!$B:$X,'AUX-NIV1'!AV$3,FALSE),0)</f>
        <v>0</v>
      </c>
    </row>
    <row r="496" spans="2:48" ht="13.8" thickTop="1">
      <c r="B496" s="501" t="s">
        <v>3683</v>
      </c>
      <c r="C496" s="951" t="s">
        <v>3534</v>
      </c>
      <c r="D496" s="1280" t="s">
        <v>1172</v>
      </c>
      <c r="E496" s="1281">
        <f>IF(B496&lt;&gt;"",+SUMIF(Items!C:C,'AUX-NIV1'!B496,Items!H:H),"")</f>
        <v>1</v>
      </c>
      <c r="F496" s="1281">
        <f t="shared" si="267"/>
        <v>4748.8052663737772</v>
      </c>
      <c r="G496" s="1281">
        <f t="shared" si="268"/>
        <v>4748.8052663737772</v>
      </c>
      <c r="H496" s="1395" t="str">
        <f t="shared" si="334"/>
        <v>X</v>
      </c>
      <c r="I496" s="1375" t="s">
        <v>3262</v>
      </c>
      <c r="J496" s="1283" t="str">
        <f>IF(B496&lt;&gt;"",+VLOOKUP(I496,Recursos!C:F,2,FALSE),"")</f>
        <v>Ayuda de gremio</v>
      </c>
      <c r="K496" s="1284" t="str">
        <f>IF(B496&lt;&gt;"",+VLOOKUP(I496,Recursos!C:F,3,FALSE),"")</f>
        <v>hs</v>
      </c>
      <c r="L496" s="1285">
        <f>IF(B496&lt;&gt;"",+VLOOKUP(I496,Recursos!C:F,4,FALSE),"")</f>
        <v>2498.6725181930856</v>
      </c>
      <c r="M496" s="989">
        <f>60*12</f>
        <v>720</v>
      </c>
      <c r="N496" s="1292">
        <v>800</v>
      </c>
      <c r="O496" s="1286">
        <f>M496/N496</f>
        <v>0.9</v>
      </c>
      <c r="P496" s="1287">
        <f t="shared" si="335"/>
        <v>2248.8052663737772</v>
      </c>
      <c r="Q496" s="1281">
        <f t="shared" si="336"/>
        <v>0.9</v>
      </c>
      <c r="R496" s="1288">
        <f t="shared" si="337"/>
        <v>2248.8052663737772</v>
      </c>
      <c r="S496" s="1289">
        <f t="shared" si="269"/>
        <v>0</v>
      </c>
      <c r="T496" s="1289">
        <f t="shared" si="270"/>
        <v>0</v>
      </c>
      <c r="U496" s="1290">
        <f t="shared" si="271"/>
        <v>2500</v>
      </c>
      <c r="V496" s="1290">
        <f t="shared" si="272"/>
        <v>0</v>
      </c>
      <c r="W496" s="1290">
        <f t="shared" si="273"/>
        <v>0</v>
      </c>
      <c r="X496" s="1290">
        <f t="shared" si="274"/>
        <v>2248.8052663737772</v>
      </c>
      <c r="Y496" s="396"/>
      <c r="Z496" s="1291" t="str">
        <f t="shared" si="338"/>
        <v>0-REPLA</v>
      </c>
      <c r="AA496" s="1291" t="str">
        <f t="shared" si="339"/>
        <v>0-REPLE</v>
      </c>
      <c r="AB496" s="1291" t="str">
        <f t="shared" si="340"/>
        <v>0-REPLM</v>
      </c>
      <c r="AC496" s="1291" t="str">
        <f t="shared" si="341"/>
        <v>0-REPLT</v>
      </c>
      <c r="AD496" s="1291" t="str">
        <f t="shared" si="342"/>
        <v>0-REPLS</v>
      </c>
      <c r="AE496" s="1291" t="str">
        <f t="shared" si="343"/>
        <v>0-REPLX</v>
      </c>
      <c r="AF496" s="1291" t="str">
        <f t="shared" si="344"/>
        <v>0-REPLX</v>
      </c>
      <c r="AG496" s="1291">
        <f t="shared" si="275"/>
        <v>2</v>
      </c>
      <c r="AH496" s="1291">
        <f>IF(B496&lt;&gt;"",+IF(H496="x",+VLOOKUP(I496,'AUX-NIV2'!B:AG,32,FALSE),0),"")</f>
        <v>4</v>
      </c>
      <c r="AI496" s="1291" t="str">
        <f t="shared" si="345"/>
        <v>0-REPL</v>
      </c>
      <c r="AK496" s="347">
        <f t="shared" si="276"/>
        <v>496</v>
      </c>
      <c r="AL496" s="348">
        <f t="shared" si="346"/>
        <v>497</v>
      </c>
      <c r="AM496" s="347">
        <f t="shared" si="347"/>
        <v>1</v>
      </c>
      <c r="AN496" s="382">
        <f>IF(AND(AH496&gt;0,B496&lt;&gt;""),VLOOKUP(I496,'AUX-NIV2'!$B:$AP,40,FALSE)*O496,0)</f>
        <v>4.5</v>
      </c>
      <c r="AO496" s="382">
        <f t="shared" si="277"/>
        <v>4.5</v>
      </c>
      <c r="AQ496" s="395">
        <f>(IF($H496="x",VLOOKUP($I496,'AUX-NIV2'!$B:$X,'AUX-NIV1'!AQ$3,FALSE),0)+($AV496*'AUX-NIV3'!S$4))*$O496+IF($H496=AQ$4,$P496,0)</f>
        <v>2163.3052663737772</v>
      </c>
      <c r="AR496" s="395">
        <f>(IF($H496="x",VLOOKUP($I496,'AUX-NIV2'!$B:$X,'AUX-NIV1'!AR$3,FALSE),0)+($AV496*'AUX-NIV3'!T$4))*$O496+IF($H496=AR$4,$P496,0)</f>
        <v>0</v>
      </c>
      <c r="AS496" s="395">
        <f>(IF($H496="x",VLOOKUP($I496,'AUX-NIV2'!$B:$X,'AUX-NIV1'!AS$3,FALSE),0)+($AV496*'AUX-NIV3'!U$4))*$O496+IF($H496=AS$4,$P496,0)</f>
        <v>85.5</v>
      </c>
      <c r="AT496" s="395">
        <f>(IF($H496="x",VLOOKUP($I496,'AUX-NIV2'!$B:$X,'AUX-NIV1'!AT$3,FALSE),0)+($AV496*'AUX-NIV3'!V$4))*$O496+IF($H496=AT$4,$P496,0)</f>
        <v>0</v>
      </c>
      <c r="AU496" s="395">
        <f>(IF($H496="x",VLOOKUP($I496,'AUX-NIV2'!$B:$X,'AUX-NIV1'!AU$3,FALSE),0)+($AV496*'AUX-NIV3'!W$4))*$O496+IF($H496=AU$4,$P496,0)</f>
        <v>0</v>
      </c>
      <c r="AV496" s="395">
        <f>+IF($H496="x",VLOOKUP($I496,'AUX-NIV2'!$B:$X,'AUX-NIV1'!AV$3,FALSE),0)</f>
        <v>0</v>
      </c>
    </row>
    <row r="497" spans="2:48" ht="13.8" thickBot="1">
      <c r="B497" s="501" t="s">
        <v>3683</v>
      </c>
      <c r="C497" s="951" t="s">
        <v>3534</v>
      </c>
      <c r="D497" s="1280" t="s">
        <v>1172</v>
      </c>
      <c r="E497" s="1281">
        <f>IF(B497&lt;&gt;"",+SUMIF(Items!C:C,'AUX-NIV1'!B497,Items!H:H),"")</f>
        <v>1</v>
      </c>
      <c r="F497" s="1281">
        <f t="shared" si="267"/>
        <v>4748.8052663737772</v>
      </c>
      <c r="G497" s="1281">
        <f t="shared" si="268"/>
        <v>4748.8052663737772</v>
      </c>
      <c r="H497" s="1395" t="str">
        <f t="shared" si="334"/>
        <v>M</v>
      </c>
      <c r="I497" s="1375" t="s">
        <v>621</v>
      </c>
      <c r="J497" s="1283" t="str">
        <f>IF(B497&lt;&gt;"",+VLOOKUP(I497,Recursos!C:F,2,FALSE),"")</f>
        <v>MATERIALES VARIOS</v>
      </c>
      <c r="K497" s="1284" t="str">
        <f>IF(B497&lt;&gt;"",+VLOOKUP(I497,Recursos!C:F,3,FALSE),"")</f>
        <v>GL</v>
      </c>
      <c r="L497" s="1285">
        <f>IF(B497&lt;&gt;"",+VLOOKUP(I497,Recursos!C:F,4,FALSE),"")</f>
        <v>0.5</v>
      </c>
      <c r="M497" s="1307">
        <f>5000</f>
        <v>5000</v>
      </c>
      <c r="N497" s="1310"/>
      <c r="O497" s="1286">
        <f>M497</f>
        <v>5000</v>
      </c>
      <c r="P497" s="1287">
        <f t="shared" si="335"/>
        <v>2500</v>
      </c>
      <c r="Q497" s="1281">
        <f t="shared" si="336"/>
        <v>5000</v>
      </c>
      <c r="R497" s="1288">
        <f t="shared" si="337"/>
        <v>2500</v>
      </c>
      <c r="S497" s="1289">
        <f t="shared" si="269"/>
        <v>0</v>
      </c>
      <c r="T497" s="1289">
        <f t="shared" si="270"/>
        <v>0</v>
      </c>
      <c r="U497" s="1290">
        <f t="shared" si="271"/>
        <v>2500</v>
      </c>
      <c r="V497" s="1290">
        <f t="shared" si="272"/>
        <v>0</v>
      </c>
      <c r="W497" s="1290">
        <f t="shared" si="273"/>
        <v>0</v>
      </c>
      <c r="X497" s="1290">
        <f t="shared" si="274"/>
        <v>2248.8052663737772</v>
      </c>
      <c r="Y497" s="396"/>
      <c r="Z497" s="1291" t="str">
        <f t="shared" si="338"/>
        <v>0-REPLA</v>
      </c>
      <c r="AA497" s="1291" t="str">
        <f t="shared" si="339"/>
        <v>0-REPLE</v>
      </c>
      <c r="AB497" s="1291" t="str">
        <f t="shared" si="340"/>
        <v>0-REPLM</v>
      </c>
      <c r="AC497" s="1291" t="str">
        <f t="shared" si="341"/>
        <v>0-REPLT</v>
      </c>
      <c r="AD497" s="1291" t="str">
        <f t="shared" si="342"/>
        <v>0-REPLS</v>
      </c>
      <c r="AE497" s="1291" t="str">
        <f t="shared" si="343"/>
        <v>0-REPLX</v>
      </c>
      <c r="AF497" s="1291" t="str">
        <f t="shared" si="344"/>
        <v>0-REPLM</v>
      </c>
      <c r="AG497" s="1291">
        <f t="shared" si="275"/>
        <v>2</v>
      </c>
      <c r="AH497" s="1291">
        <f>IF(B497&lt;&gt;"",+IF(H497="x",+VLOOKUP(I497,'AUX-NIV2'!B:AG,32,FALSE),0),"")</f>
        <v>0</v>
      </c>
      <c r="AI497" s="1291" t="str">
        <f t="shared" si="345"/>
        <v>0-REPL</v>
      </c>
      <c r="AK497" s="347">
        <f t="shared" si="276"/>
        <v>496</v>
      </c>
      <c r="AL497" s="348">
        <f t="shared" si="346"/>
        <v>497</v>
      </c>
      <c r="AM497" s="347">
        <f t="shared" si="347"/>
        <v>2</v>
      </c>
      <c r="AN497" s="382">
        <f>IF(AND(AH497&gt;0,B497&lt;&gt;""),VLOOKUP(I497,'AUX-NIV2'!$B:$AP,40,FALSE)*O497,0)</f>
        <v>0</v>
      </c>
      <c r="AO497" s="382">
        <f t="shared" si="277"/>
        <v>4.5</v>
      </c>
      <c r="AQ497" s="395">
        <f>(IF($H497="x",VLOOKUP($I497,'AUX-NIV2'!$B:$X,'AUX-NIV1'!AQ$3,FALSE),0)+($AV497*'AUX-NIV3'!S$4))*$O497+IF($H497=AQ$4,$P497,0)</f>
        <v>0</v>
      </c>
      <c r="AR497" s="395">
        <f>(IF($H497="x",VLOOKUP($I497,'AUX-NIV2'!$B:$X,'AUX-NIV1'!AR$3,FALSE),0)+($AV497*'AUX-NIV3'!T$4))*$O497+IF($H497=AR$4,$P497,0)</f>
        <v>0</v>
      </c>
      <c r="AS497" s="395">
        <f>(IF($H497="x",VLOOKUP($I497,'AUX-NIV2'!$B:$X,'AUX-NIV1'!AS$3,FALSE),0)+($AV497*'AUX-NIV3'!U$4))*$O497+IF($H497=AS$4,$P497,0)</f>
        <v>2500</v>
      </c>
      <c r="AT497" s="395">
        <f>(IF($H497="x",VLOOKUP($I497,'AUX-NIV2'!$B:$X,'AUX-NIV1'!AT$3,FALSE),0)+($AV497*'AUX-NIV3'!V$4))*$O497+IF($H497=AT$4,$P497,0)</f>
        <v>0</v>
      </c>
      <c r="AU497" s="395">
        <f>(IF($H497="x",VLOOKUP($I497,'AUX-NIV2'!$B:$X,'AUX-NIV1'!AU$3,FALSE),0)+($AV497*'AUX-NIV3'!W$4))*$O497+IF($H497=AU$4,$P497,0)</f>
        <v>0</v>
      </c>
      <c r="AV497" s="395">
        <f>+IF($H497="x",VLOOKUP($I497,'AUX-NIV2'!$B:$X,'AUX-NIV1'!AV$3,FALSE),0)</f>
        <v>0</v>
      </c>
    </row>
    <row r="498" spans="2:48" ht="14.4" hidden="1" thickTop="1" thickBot="1">
      <c r="B498" s="501" t="s">
        <v>3685</v>
      </c>
      <c r="C498" s="951" t="s">
        <v>3686</v>
      </c>
      <c r="D498" s="1280" t="s">
        <v>3535</v>
      </c>
      <c r="E498" s="1281">
        <f>IF(B498&lt;&gt;"",+SUMIF(Items!C:C,'AUX-NIV1'!B498,Items!H:H),"")</f>
        <v>0</v>
      </c>
      <c r="F498" s="1281">
        <f t="shared" si="267"/>
        <v>2611.2402138483362</v>
      </c>
      <c r="G498" s="1281">
        <f t="shared" si="268"/>
        <v>0</v>
      </c>
      <c r="H498" s="1395" t="str">
        <f t="shared" si="334"/>
        <v>M</v>
      </c>
      <c r="I498" s="1375" t="s">
        <v>3295</v>
      </c>
      <c r="J498" s="1283" t="str">
        <f>IF(B498&lt;&gt;"",+VLOOKUP(I498,Recursos!C:F,2,FALSE),"")</f>
        <v>ANDAMIO TUBULAR 2x3x1,3</v>
      </c>
      <c r="K498" s="1284" t="str">
        <f>IF(B498&lt;&gt;"",+VLOOKUP(I498,Recursos!C:F,3,FALSE),"")</f>
        <v>Mod</v>
      </c>
      <c r="L498" s="1285">
        <f>IF(B498&lt;&gt;"",+VLOOKUP(I498,Recursos!C:F,4,FALSE),"")</f>
        <v>8000</v>
      </c>
      <c r="M498" s="1313">
        <v>0.03</v>
      </c>
      <c r="N498" s="1292">
        <v>10</v>
      </c>
      <c r="O498" s="1286">
        <f>M498*N498</f>
        <v>0.3</v>
      </c>
      <c r="P498" s="1287">
        <f t="shared" si="335"/>
        <v>2400</v>
      </c>
      <c r="Q498" s="1281">
        <f t="shared" si="336"/>
        <v>0</v>
      </c>
      <c r="R498" s="1288">
        <f t="shared" si="337"/>
        <v>0</v>
      </c>
      <c r="S498" s="1289">
        <f t="shared" si="269"/>
        <v>211.24021384833617</v>
      </c>
      <c r="T498" s="1289">
        <f t="shared" si="270"/>
        <v>0</v>
      </c>
      <c r="U498" s="1290">
        <f t="shared" si="271"/>
        <v>2400</v>
      </c>
      <c r="V498" s="1290">
        <f t="shared" si="272"/>
        <v>0</v>
      </c>
      <c r="W498" s="1290">
        <f t="shared" si="273"/>
        <v>0</v>
      </c>
      <c r="X498" s="1290">
        <f t="shared" si="274"/>
        <v>0</v>
      </c>
      <c r="Y498" s="396"/>
      <c r="Z498" s="1291" t="str">
        <f t="shared" si="338"/>
        <v>0-ANDA</v>
      </c>
      <c r="AA498" s="1291" t="str">
        <f t="shared" si="339"/>
        <v>0-ANDE</v>
      </c>
      <c r="AB498" s="1291" t="str">
        <f t="shared" si="340"/>
        <v>0-ANDM</v>
      </c>
      <c r="AC498" s="1291" t="str">
        <f t="shared" si="341"/>
        <v>0-ANDT</v>
      </c>
      <c r="AD498" s="1291" t="str">
        <f t="shared" si="342"/>
        <v>0-ANDS</v>
      </c>
      <c r="AE498" s="1291" t="str">
        <f t="shared" si="343"/>
        <v>0-ANDX</v>
      </c>
      <c r="AF498" s="1291" t="str">
        <f t="shared" si="344"/>
        <v>0-ANDM</v>
      </c>
      <c r="AG498" s="1291">
        <f t="shared" si="275"/>
        <v>3</v>
      </c>
      <c r="AH498" s="1291">
        <f>IF(B498&lt;&gt;"",+IF(H498="x",+VLOOKUP(I498,'AUX-NIV2'!B:AG,32,FALSE),0),"")</f>
        <v>0</v>
      </c>
      <c r="AI498" s="1291" t="str">
        <f t="shared" si="345"/>
        <v>0-AND</v>
      </c>
      <c r="AK498" s="347">
        <f t="shared" si="276"/>
        <v>498</v>
      </c>
      <c r="AL498" s="348">
        <f t="shared" si="346"/>
        <v>500</v>
      </c>
      <c r="AM498" s="347">
        <f t="shared" si="347"/>
        <v>1</v>
      </c>
      <c r="AN498" s="382">
        <f>IF(AND(AH498&gt;0,B498&lt;&gt;""),VLOOKUP(I498,'AUX-NIV2'!$B:$AP,40,FALSE)*O498,0)</f>
        <v>0</v>
      </c>
      <c r="AO498" s="382">
        <f t="shared" si="277"/>
        <v>0.5</v>
      </c>
      <c r="AQ498" s="395">
        <f>(IF($H498="x",VLOOKUP($I498,'AUX-NIV2'!$B:$X,'AUX-NIV1'!AQ$3,FALSE),0)+($AV498*'AUX-NIV3'!S$4))*$O498+IF($H498=AQ$4,$P498,0)</f>
        <v>0</v>
      </c>
      <c r="AR498" s="395">
        <f>(IF($H498="x",VLOOKUP($I498,'AUX-NIV2'!$B:$X,'AUX-NIV1'!AR$3,FALSE),0)+($AV498*'AUX-NIV3'!T$4))*$O498+IF($H498=AR$4,$P498,0)</f>
        <v>0</v>
      </c>
      <c r="AS498" s="395">
        <f>(IF($H498="x",VLOOKUP($I498,'AUX-NIV2'!$B:$X,'AUX-NIV1'!AS$3,FALSE),0)+($AV498*'AUX-NIV3'!U$4))*$O498+IF($H498=AS$4,$P498,0)</f>
        <v>2400</v>
      </c>
      <c r="AT498" s="395">
        <f>(IF($H498="x",VLOOKUP($I498,'AUX-NIV2'!$B:$X,'AUX-NIV1'!AT$3,FALSE),0)+($AV498*'AUX-NIV3'!V$4))*$O498+IF($H498=AT$4,$P498,0)</f>
        <v>0</v>
      </c>
      <c r="AU498" s="395">
        <f>(IF($H498="x",VLOOKUP($I498,'AUX-NIV2'!$B:$X,'AUX-NIV1'!AU$3,FALSE),0)+($AV498*'AUX-NIV3'!W$4))*$O498+IF($H498=AU$4,$P498,0)</f>
        <v>0</v>
      </c>
      <c r="AV498" s="395">
        <f>+IF($H498="x",VLOOKUP($I498,'AUX-NIV2'!$B:$X,'AUX-NIV1'!AV$3,FALSE),0)</f>
        <v>0</v>
      </c>
    </row>
    <row r="499" spans="2:48" ht="14.4" hidden="1" thickTop="1" thickBot="1">
      <c r="B499" s="501" t="s">
        <v>3685</v>
      </c>
      <c r="C499" s="951" t="s">
        <v>3686</v>
      </c>
      <c r="D499" s="1280" t="s">
        <v>3535</v>
      </c>
      <c r="E499" s="1281">
        <f>IF(B499&lt;&gt;"",+SUMIF(Items!C:C,'AUX-NIV1'!B499,Items!H:H),"")</f>
        <v>0</v>
      </c>
      <c r="F499" s="1281">
        <f t="shared" si="267"/>
        <v>2611.2402138483362</v>
      </c>
      <c r="G499" s="1281">
        <f t="shared" si="268"/>
        <v>0</v>
      </c>
      <c r="H499" s="1395" t="str">
        <f t="shared" si="334"/>
        <v>A</v>
      </c>
      <c r="I499" s="1375" t="s">
        <v>1745</v>
      </c>
      <c r="J499" s="1283" t="str">
        <f>IF(B499&lt;&gt;"",+VLOOKUP(I499,Recursos!C:F,2,FALSE),"")</f>
        <v>AYUDANTE</v>
      </c>
      <c r="K499" s="1284" t="str">
        <f>IF(B499&lt;&gt;"",+VLOOKUP(I499,Recursos!C:F,3,FALSE),"")</f>
        <v>hh</v>
      </c>
      <c r="L499" s="1285">
        <f>IF(B499&lt;&gt;"",+VLOOKUP(I499,Recursos!C:F,4,FALSE),"")</f>
        <v>422.48042769667234</v>
      </c>
      <c r="M499" s="1305">
        <v>5</v>
      </c>
      <c r="N499" s="1306">
        <v>2</v>
      </c>
      <c r="O499" s="1286">
        <f>N499/M499/M500*N498</f>
        <v>0.5</v>
      </c>
      <c r="P499" s="1287">
        <f t="shared" si="335"/>
        <v>211.24021384833617</v>
      </c>
      <c r="Q499" s="1281">
        <f t="shared" si="336"/>
        <v>0</v>
      </c>
      <c r="R499" s="1288">
        <f t="shared" si="337"/>
        <v>0</v>
      </c>
      <c r="S499" s="1289">
        <f t="shared" si="269"/>
        <v>211.24021384833617</v>
      </c>
      <c r="T499" s="1289">
        <f t="shared" si="270"/>
        <v>0</v>
      </c>
      <c r="U499" s="1290">
        <f t="shared" si="271"/>
        <v>2400</v>
      </c>
      <c r="V499" s="1290">
        <f t="shared" si="272"/>
        <v>0</v>
      </c>
      <c r="W499" s="1290">
        <f t="shared" si="273"/>
        <v>0</v>
      </c>
      <c r="X499" s="1290">
        <f t="shared" si="274"/>
        <v>0</v>
      </c>
      <c r="Y499" s="396"/>
      <c r="Z499" s="1291" t="str">
        <f t="shared" si="338"/>
        <v>0-ANDA</v>
      </c>
      <c r="AA499" s="1291" t="str">
        <f t="shared" si="339"/>
        <v>0-ANDE</v>
      </c>
      <c r="AB499" s="1291" t="str">
        <f t="shared" si="340"/>
        <v>0-ANDM</v>
      </c>
      <c r="AC499" s="1291" t="str">
        <f t="shared" si="341"/>
        <v>0-ANDT</v>
      </c>
      <c r="AD499" s="1291" t="str">
        <f t="shared" si="342"/>
        <v>0-ANDS</v>
      </c>
      <c r="AE499" s="1291" t="str">
        <f t="shared" si="343"/>
        <v>0-ANDX</v>
      </c>
      <c r="AF499" s="1291" t="str">
        <f t="shared" si="344"/>
        <v>0-ANDA</v>
      </c>
      <c r="AG499" s="1291">
        <f t="shared" si="275"/>
        <v>3</v>
      </c>
      <c r="AH499" s="1291">
        <f>IF(B499&lt;&gt;"",+IF(H499="x",+VLOOKUP(I499,'AUX-NIV2'!B:AG,32,FALSE),0),"")</f>
        <v>0</v>
      </c>
      <c r="AI499" s="1291" t="str">
        <f t="shared" si="345"/>
        <v>0-AND</v>
      </c>
      <c r="AK499" s="347">
        <f t="shared" si="276"/>
        <v>498</v>
      </c>
      <c r="AL499" s="348">
        <f t="shared" si="346"/>
        <v>500</v>
      </c>
      <c r="AM499" s="347">
        <f t="shared" si="347"/>
        <v>2</v>
      </c>
      <c r="AN499" s="382">
        <f>IF(AND(AH499&gt;0,B499&lt;&gt;""),VLOOKUP(I499,'AUX-NIV2'!$B:$AP,40,FALSE)*O499,0)</f>
        <v>0</v>
      </c>
      <c r="AO499" s="382">
        <f t="shared" si="277"/>
        <v>0.5</v>
      </c>
      <c r="AQ499" s="395">
        <f>(IF($H499="x",VLOOKUP($I499,'AUX-NIV2'!$B:$X,'AUX-NIV1'!AQ$3,FALSE),0)+($AV499*'AUX-NIV3'!S$4))*$O499+IF($H499=AQ$4,$P499,0)</f>
        <v>211.24021384833617</v>
      </c>
      <c r="AR499" s="395">
        <f>(IF($H499="x",VLOOKUP($I499,'AUX-NIV2'!$B:$X,'AUX-NIV1'!AR$3,FALSE),0)+($AV499*'AUX-NIV3'!T$4))*$O499+IF($H499=AR$4,$P499,0)</f>
        <v>0</v>
      </c>
      <c r="AS499" s="395">
        <f>(IF($H499="x",VLOOKUP($I499,'AUX-NIV2'!$B:$X,'AUX-NIV1'!AS$3,FALSE),0)+($AV499*'AUX-NIV3'!U$4))*$O499+IF($H499=AS$4,$P499,0)</f>
        <v>0</v>
      </c>
      <c r="AT499" s="395">
        <f>(IF($H499="x",VLOOKUP($I499,'AUX-NIV2'!$B:$X,'AUX-NIV1'!AT$3,FALSE),0)+($AV499*'AUX-NIV3'!V$4))*$O499+IF($H499=AT$4,$P499,0)</f>
        <v>0</v>
      </c>
      <c r="AU499" s="395">
        <f>(IF($H499="x",VLOOKUP($I499,'AUX-NIV2'!$B:$X,'AUX-NIV1'!AU$3,FALSE),0)+($AV499*'AUX-NIV3'!W$4))*$O499+IF($H499=AU$4,$P499,0)</f>
        <v>0</v>
      </c>
      <c r="AV499" s="395">
        <f>+IF($H499="x",VLOOKUP($I499,'AUX-NIV2'!$B:$X,'AUX-NIV1'!AV$3,FALSE),0)</f>
        <v>0</v>
      </c>
    </row>
    <row r="500" spans="2:48" ht="14.4" hidden="1" thickTop="1" thickBot="1">
      <c r="B500" s="501" t="s">
        <v>3685</v>
      </c>
      <c r="C500" s="951" t="s">
        <v>3686</v>
      </c>
      <c r="D500" s="1280" t="s">
        <v>3535</v>
      </c>
      <c r="E500" s="1281">
        <f>IF(B500&lt;&gt;"",+SUMIF(Items!C:C,'AUX-NIV1'!B500,Items!H:H),"")</f>
        <v>0</v>
      </c>
      <c r="F500" s="1281">
        <f t="shared" si="267"/>
        <v>2611.2402138483362</v>
      </c>
      <c r="G500" s="1281">
        <f t="shared" si="268"/>
        <v>0</v>
      </c>
      <c r="H500" s="1395" t="str">
        <f t="shared" si="334"/>
        <v>A</v>
      </c>
      <c r="I500" s="1375" t="s">
        <v>1746</v>
      </c>
      <c r="J500" s="1283" t="str">
        <f>IF(B500&lt;&gt;"",+VLOOKUP(I500,Recursos!C:F,2,FALSE),"")</f>
        <v>OFICIAL</v>
      </c>
      <c r="K500" s="1284" t="str">
        <f>IF(B500&lt;&gt;"",+VLOOKUP(I500,Recursos!C:F,3,FALSE),"")</f>
        <v>hh</v>
      </c>
      <c r="L500" s="1285">
        <f>IF(B500&lt;&gt;"",+VLOOKUP(I500,Recursos!C:F,4,FALSE),"")</f>
        <v>496.91595439275824</v>
      </c>
      <c r="M500" s="1307">
        <v>8</v>
      </c>
      <c r="N500" s="1308">
        <v>0</v>
      </c>
      <c r="O500" s="1286">
        <f>N500/M499/M500*N498</f>
        <v>0</v>
      </c>
      <c r="P500" s="1287">
        <f t="shared" si="335"/>
        <v>0</v>
      </c>
      <c r="Q500" s="1281">
        <f t="shared" si="336"/>
        <v>0</v>
      </c>
      <c r="R500" s="1288">
        <f t="shared" si="337"/>
        <v>0</v>
      </c>
      <c r="S500" s="1289">
        <f t="shared" si="269"/>
        <v>211.24021384833617</v>
      </c>
      <c r="T500" s="1289">
        <f t="shared" si="270"/>
        <v>0</v>
      </c>
      <c r="U500" s="1290">
        <f t="shared" si="271"/>
        <v>2400</v>
      </c>
      <c r="V500" s="1290">
        <f t="shared" si="272"/>
        <v>0</v>
      </c>
      <c r="W500" s="1290">
        <f t="shared" si="273"/>
        <v>0</v>
      </c>
      <c r="X500" s="1290">
        <f t="shared" si="274"/>
        <v>0</v>
      </c>
      <c r="Y500" s="396"/>
      <c r="Z500" s="1291" t="str">
        <f t="shared" si="338"/>
        <v>0-ANDA</v>
      </c>
      <c r="AA500" s="1291" t="str">
        <f t="shared" si="339"/>
        <v>0-ANDE</v>
      </c>
      <c r="AB500" s="1291" t="str">
        <f t="shared" si="340"/>
        <v>0-ANDM</v>
      </c>
      <c r="AC500" s="1291" t="str">
        <f t="shared" si="341"/>
        <v>0-ANDT</v>
      </c>
      <c r="AD500" s="1291" t="str">
        <f t="shared" si="342"/>
        <v>0-ANDS</v>
      </c>
      <c r="AE500" s="1291" t="str">
        <f t="shared" si="343"/>
        <v>0-ANDX</v>
      </c>
      <c r="AF500" s="1291" t="str">
        <f t="shared" si="344"/>
        <v>0-ANDA</v>
      </c>
      <c r="AG500" s="1291">
        <f t="shared" si="275"/>
        <v>3</v>
      </c>
      <c r="AH500" s="1291">
        <f>IF(B500&lt;&gt;"",+IF(H500="x",+VLOOKUP(I500,'AUX-NIV2'!B:AG,32,FALSE),0),"")</f>
        <v>0</v>
      </c>
      <c r="AI500" s="1291" t="str">
        <f t="shared" si="345"/>
        <v>0-AND</v>
      </c>
      <c r="AK500" s="347">
        <f t="shared" si="276"/>
        <v>498</v>
      </c>
      <c r="AL500" s="348">
        <f t="shared" si="346"/>
        <v>500</v>
      </c>
      <c r="AM500" s="347">
        <f t="shared" si="347"/>
        <v>3</v>
      </c>
      <c r="AN500" s="382">
        <f>IF(AND(AH500&gt;0,B500&lt;&gt;""),VLOOKUP(I500,'AUX-NIV2'!$B:$AP,40,FALSE)*O500,0)</f>
        <v>0</v>
      </c>
      <c r="AO500" s="382">
        <f t="shared" si="277"/>
        <v>0.5</v>
      </c>
      <c r="AQ500" s="395">
        <f>(IF($H500="x",VLOOKUP($I500,'AUX-NIV2'!$B:$X,'AUX-NIV1'!AQ$3,FALSE),0)+($AV500*'AUX-NIV3'!S$4))*$O500+IF($H500=AQ$4,$P500,0)</f>
        <v>0</v>
      </c>
      <c r="AR500" s="395">
        <f>(IF($H500="x",VLOOKUP($I500,'AUX-NIV2'!$B:$X,'AUX-NIV1'!AR$3,FALSE),0)+($AV500*'AUX-NIV3'!T$4))*$O500+IF($H500=AR$4,$P500,0)</f>
        <v>0</v>
      </c>
      <c r="AS500" s="395">
        <f>(IF($H500="x",VLOOKUP($I500,'AUX-NIV2'!$B:$X,'AUX-NIV1'!AS$3,FALSE),0)+($AV500*'AUX-NIV3'!U$4))*$O500+IF($H500=AS$4,$P500,0)</f>
        <v>0</v>
      </c>
      <c r="AT500" s="395">
        <f>(IF($H500="x",VLOOKUP($I500,'AUX-NIV2'!$B:$X,'AUX-NIV1'!AT$3,FALSE),0)+($AV500*'AUX-NIV3'!V$4))*$O500+IF($H500=AT$4,$P500,0)</f>
        <v>0</v>
      </c>
      <c r="AU500" s="395">
        <f>(IF($H500="x",VLOOKUP($I500,'AUX-NIV2'!$B:$X,'AUX-NIV1'!AU$3,FALSE),0)+($AV500*'AUX-NIV3'!W$4))*$O500+IF($H500=AU$4,$P500,0)</f>
        <v>0</v>
      </c>
      <c r="AV500" s="395">
        <f>+IF($H500="x",VLOOKUP($I500,'AUX-NIV2'!$B:$X,'AUX-NIV1'!AV$3,FALSE),0)</f>
        <v>0</v>
      </c>
    </row>
    <row r="501" spans="2:48" ht="14.4" hidden="1" thickTop="1" thickBot="1">
      <c r="B501" s="1048" t="s">
        <v>3684</v>
      </c>
      <c r="C501" s="1315" t="s">
        <v>3687</v>
      </c>
      <c r="D501" s="1316" t="s">
        <v>1160</v>
      </c>
      <c r="E501" s="1317">
        <f>IF(B501&lt;&gt;"",+SUMIF(Items!C:C,'AUX-NIV1'!B501,Items!H:H),"")</f>
        <v>0</v>
      </c>
      <c r="F501" s="1317">
        <f t="shared" si="267"/>
        <v>2073.254660696477</v>
      </c>
      <c r="G501" s="1317">
        <f t="shared" si="268"/>
        <v>0</v>
      </c>
      <c r="H501" s="1395" t="str">
        <f t="shared" si="334"/>
        <v>M</v>
      </c>
      <c r="I501" s="1375" t="s">
        <v>1768</v>
      </c>
      <c r="J501" s="1318" t="str">
        <f>IF(B501&lt;&gt;"",+VLOOKUP(I501,Recursos!C:F,2,FALSE),"")</f>
        <v>AGREGADO CLASIFICADO</v>
      </c>
      <c r="K501" s="1319" t="str">
        <f>IF(B501&lt;&gt;"",+VLOOKUP(I501,Recursos!C:F,3,FALSE),"")</f>
        <v>Tn</v>
      </c>
      <c r="L501" s="1320">
        <f>IF(B501&lt;&gt;"",+VLOOKUP(I501,Recursos!C:F,4,FALSE),"")</f>
        <v>700</v>
      </c>
      <c r="M501" s="705">
        <v>1.1000000000000001</v>
      </c>
      <c r="N501" s="736"/>
      <c r="O501" s="1321">
        <f>M501*M503</f>
        <v>2.2000000000000002</v>
      </c>
      <c r="P501" s="1322">
        <f t="shared" si="335"/>
        <v>1540.0000000000002</v>
      </c>
      <c r="Q501" s="1317">
        <f t="shared" si="336"/>
        <v>0</v>
      </c>
      <c r="R501" s="1323">
        <f t="shared" si="337"/>
        <v>0</v>
      </c>
      <c r="S501" s="1324">
        <f t="shared" si="269"/>
        <v>0</v>
      </c>
      <c r="T501" s="1324">
        <f t="shared" si="270"/>
        <v>0</v>
      </c>
      <c r="U501" s="1325">
        <f t="shared" si="271"/>
        <v>1540.0000000000002</v>
      </c>
      <c r="V501" s="1325">
        <f t="shared" si="272"/>
        <v>0</v>
      </c>
      <c r="W501" s="1325">
        <f t="shared" si="273"/>
        <v>0</v>
      </c>
      <c r="X501" s="1325">
        <f t="shared" si="274"/>
        <v>533.25466069647678</v>
      </c>
      <c r="Y501" s="396"/>
      <c r="Z501" s="1326" t="str">
        <f t="shared" si="338"/>
        <v>0-RELLA</v>
      </c>
      <c r="AA501" s="1326" t="str">
        <f t="shared" si="339"/>
        <v>0-RELLE</v>
      </c>
      <c r="AB501" s="1326" t="str">
        <f t="shared" si="340"/>
        <v>0-RELLM</v>
      </c>
      <c r="AC501" s="1326" t="str">
        <f t="shared" si="341"/>
        <v>0-RELLT</v>
      </c>
      <c r="AD501" s="1326" t="str">
        <f t="shared" si="342"/>
        <v>0-RELLS</v>
      </c>
      <c r="AE501" s="1326" t="str">
        <f t="shared" si="343"/>
        <v>0-RELLX</v>
      </c>
      <c r="AF501" s="1326" t="str">
        <f t="shared" si="344"/>
        <v>0-RELLM</v>
      </c>
      <c r="AG501" s="1326">
        <f t="shared" si="275"/>
        <v>3</v>
      </c>
      <c r="AH501" s="1326">
        <f>IF(B501&lt;&gt;"",+IF(H501="x",+VLOOKUP(I501,'AUX-NIV2'!B:AG,32,FALSE),0),"")</f>
        <v>0</v>
      </c>
      <c r="AI501" s="1326" t="str">
        <f t="shared" si="345"/>
        <v>0-RELL</v>
      </c>
      <c r="AK501" s="347">
        <f t="shared" si="276"/>
        <v>501</v>
      </c>
      <c r="AL501" s="348">
        <f t="shared" si="346"/>
        <v>503</v>
      </c>
      <c r="AM501" s="347">
        <f t="shared" si="347"/>
        <v>1</v>
      </c>
      <c r="AN501" s="382">
        <f>IF(AND(AH501&gt;0,B501&lt;&gt;""),VLOOKUP(I501,'AUX-NIV2'!$B:$AP,40,FALSE)*O501,0)</f>
        <v>0</v>
      </c>
      <c r="AO501" s="382">
        <f t="shared" si="277"/>
        <v>0.66666666666666663</v>
      </c>
      <c r="AQ501" s="395">
        <f>(IF($H501="x",VLOOKUP($I501,'AUX-NIV2'!$B:$X,'AUX-NIV1'!AQ$3,FALSE),0)+($AV501*'AUX-NIV3'!S$4))*$O501+IF($H501=AQ$4,$P501,0)</f>
        <v>0</v>
      </c>
      <c r="AR501" s="395">
        <f>(IF($H501="x",VLOOKUP($I501,'AUX-NIV2'!$B:$X,'AUX-NIV1'!AR$3,FALSE),0)+($AV501*'AUX-NIV3'!T$4))*$O501+IF($H501=AR$4,$P501,0)</f>
        <v>0</v>
      </c>
      <c r="AS501" s="395">
        <f>(IF($H501="x",VLOOKUP($I501,'AUX-NIV2'!$B:$X,'AUX-NIV1'!AS$3,FALSE),0)+($AV501*'AUX-NIV3'!U$4))*$O501+IF($H501=AS$4,$P501,0)</f>
        <v>1540.0000000000002</v>
      </c>
      <c r="AT501" s="395">
        <f>(IF($H501="x",VLOOKUP($I501,'AUX-NIV2'!$B:$X,'AUX-NIV1'!AT$3,FALSE),0)+($AV501*'AUX-NIV3'!V$4))*$O501+IF($H501=AT$4,$P501,0)</f>
        <v>0</v>
      </c>
      <c r="AU501" s="395">
        <f>(IF($H501="x",VLOOKUP($I501,'AUX-NIV2'!$B:$X,'AUX-NIV1'!AU$3,FALSE),0)+($AV501*'AUX-NIV3'!W$4))*$O501+IF($H501=AU$4,$P501,0)</f>
        <v>0</v>
      </c>
      <c r="AV501" s="395">
        <f>+IF($H501="x",VLOOKUP($I501,'AUX-NIV2'!$B:$X,'AUX-NIV1'!AV$3,FALSE),0)</f>
        <v>0</v>
      </c>
    </row>
    <row r="502" spans="2:48" ht="14.4" hidden="1" thickTop="1" thickBot="1">
      <c r="B502" s="1048" t="s">
        <v>3684</v>
      </c>
      <c r="C502" s="1315" t="s">
        <v>3687</v>
      </c>
      <c r="D502" s="1316" t="s">
        <v>1160</v>
      </c>
      <c r="E502" s="1317">
        <f>IF(B502&lt;&gt;"",+SUMIF(Items!C:C,'AUX-NIV1'!B502,Items!H:H),"")</f>
        <v>0</v>
      </c>
      <c r="F502" s="1317">
        <f t="shared" si="267"/>
        <v>2073.254660696477</v>
      </c>
      <c r="G502" s="1317">
        <f t="shared" si="268"/>
        <v>0</v>
      </c>
      <c r="H502" s="1395" t="str">
        <f t="shared" si="334"/>
        <v>X</v>
      </c>
      <c r="I502" s="1375" t="s">
        <v>2988</v>
      </c>
      <c r="J502" s="1318" t="str">
        <f>IF(B502&lt;&gt;"",+VLOOKUP(I502,Recursos!C:F,2,FALSE),"")</f>
        <v>Riego Relleno en Zanja</v>
      </c>
      <c r="K502" s="1319" t="str">
        <f>IF(B502&lt;&gt;"",+VLOOKUP(I502,Recursos!C:F,3,FALSE),"")</f>
        <v>m3</v>
      </c>
      <c r="L502" s="1320">
        <f>IF(B502&lt;&gt;"",+VLOOKUP(I502,Recursos!C:F,4,FALSE),"")</f>
        <v>731.32286155504607</v>
      </c>
      <c r="M502" s="1327">
        <f>0.08*0</f>
        <v>0</v>
      </c>
      <c r="N502" s="1063"/>
      <c r="O502" s="1321">
        <f>M502*M501</f>
        <v>0</v>
      </c>
      <c r="P502" s="1322">
        <f t="shared" si="335"/>
        <v>0</v>
      </c>
      <c r="Q502" s="1317">
        <f t="shared" si="336"/>
        <v>0</v>
      </c>
      <c r="R502" s="1323">
        <f t="shared" si="337"/>
        <v>0</v>
      </c>
      <c r="S502" s="1324">
        <f t="shared" si="269"/>
        <v>0</v>
      </c>
      <c r="T502" s="1324">
        <f t="shared" si="270"/>
        <v>0</v>
      </c>
      <c r="U502" s="1325">
        <f t="shared" si="271"/>
        <v>1540.0000000000002</v>
      </c>
      <c r="V502" s="1325">
        <f t="shared" si="272"/>
        <v>0</v>
      </c>
      <c r="W502" s="1325">
        <f t="shared" si="273"/>
        <v>0</v>
      </c>
      <c r="X502" s="1325">
        <f t="shared" si="274"/>
        <v>533.25466069647678</v>
      </c>
      <c r="Y502" s="396"/>
      <c r="Z502" s="1326" t="str">
        <f t="shared" si="338"/>
        <v>0-RELLA</v>
      </c>
      <c r="AA502" s="1326" t="str">
        <f t="shared" si="339"/>
        <v>0-RELLE</v>
      </c>
      <c r="AB502" s="1326" t="str">
        <f t="shared" si="340"/>
        <v>0-RELLM</v>
      </c>
      <c r="AC502" s="1326" t="str">
        <f t="shared" si="341"/>
        <v>0-RELLT</v>
      </c>
      <c r="AD502" s="1326" t="str">
        <f t="shared" si="342"/>
        <v>0-RELLS</v>
      </c>
      <c r="AE502" s="1326" t="str">
        <f t="shared" si="343"/>
        <v>0-RELLX</v>
      </c>
      <c r="AF502" s="1326" t="str">
        <f t="shared" si="344"/>
        <v>0-RELLX</v>
      </c>
      <c r="AG502" s="1326">
        <f t="shared" si="275"/>
        <v>3</v>
      </c>
      <c r="AH502" s="1326">
        <f>IF(B502&lt;&gt;"",+IF(H502="x",+VLOOKUP(I502,'AUX-NIV2'!B:AG,32,FALSE),0),"")</f>
        <v>3</v>
      </c>
      <c r="AI502" s="1326" t="str">
        <f t="shared" si="345"/>
        <v>0-RELL</v>
      </c>
      <c r="AK502" s="347">
        <f t="shared" si="276"/>
        <v>501</v>
      </c>
      <c r="AL502" s="348">
        <f t="shared" si="346"/>
        <v>503</v>
      </c>
      <c r="AM502" s="347">
        <f t="shared" si="347"/>
        <v>2</v>
      </c>
      <c r="AN502" s="382">
        <f>IF(AND(AH502&gt;0,B502&lt;&gt;""),VLOOKUP(I502,'AUX-NIV2'!$B:$AP,40,FALSE)*O502,0)</f>
        <v>0</v>
      </c>
      <c r="AO502" s="382">
        <f t="shared" si="277"/>
        <v>0.66666666666666663</v>
      </c>
      <c r="AQ502" s="395">
        <f>(IF($H502="x",VLOOKUP($I502,'AUX-NIV2'!$B:$X,'AUX-NIV1'!AQ$3,FALSE),0)+($AV502*'AUX-NIV3'!S$4))*$O502+IF($H502=AQ$4,$P502,0)</f>
        <v>0</v>
      </c>
      <c r="AR502" s="395">
        <f>(IF($H502="x",VLOOKUP($I502,'AUX-NIV2'!$B:$X,'AUX-NIV1'!AR$3,FALSE),0)+($AV502*'AUX-NIV3'!T$4))*$O502+IF($H502=AR$4,$P502,0)</f>
        <v>0</v>
      </c>
      <c r="AS502" s="395">
        <f>(IF($H502="x",VLOOKUP($I502,'AUX-NIV2'!$B:$X,'AUX-NIV1'!AS$3,FALSE),0)+($AV502*'AUX-NIV3'!U$4))*$O502+IF($H502=AS$4,$P502,0)</f>
        <v>0</v>
      </c>
      <c r="AT502" s="395">
        <f>(IF($H502="x",VLOOKUP($I502,'AUX-NIV2'!$B:$X,'AUX-NIV1'!AT$3,FALSE),0)+($AV502*'AUX-NIV3'!V$4))*$O502+IF($H502=AT$4,$P502,0)</f>
        <v>0</v>
      </c>
      <c r="AU502" s="395">
        <f>(IF($H502="x",VLOOKUP($I502,'AUX-NIV2'!$B:$X,'AUX-NIV1'!AU$3,FALSE),0)+($AV502*'AUX-NIV3'!W$4))*$O502+IF($H502=AU$4,$P502,0)</f>
        <v>0</v>
      </c>
      <c r="AV502" s="395">
        <f>+IF($H502="x",VLOOKUP($I502,'AUX-NIV2'!$B:$X,'AUX-NIV1'!AV$3,FALSE),0)</f>
        <v>731.32286155504607</v>
      </c>
    </row>
    <row r="503" spans="2:48" ht="14.4" hidden="1" thickTop="1" thickBot="1">
      <c r="B503" s="1048" t="s">
        <v>3684</v>
      </c>
      <c r="C503" s="1315" t="s">
        <v>3687</v>
      </c>
      <c r="D503" s="1316" t="s">
        <v>1160</v>
      </c>
      <c r="E503" s="1317">
        <f>IF(B503&lt;&gt;"",+SUMIF(Items!C:C,'AUX-NIV1'!B503,Items!H:H),"")</f>
        <v>0</v>
      </c>
      <c r="F503" s="1317">
        <f t="shared" si="267"/>
        <v>2073.254660696477</v>
      </c>
      <c r="G503" s="1317">
        <f t="shared" si="268"/>
        <v>0</v>
      </c>
      <c r="H503" s="1395" t="str">
        <f t="shared" si="334"/>
        <v>X</v>
      </c>
      <c r="I503" s="1375" t="s">
        <v>1265</v>
      </c>
      <c r="J503" s="1318" t="str">
        <f>IF(B503&lt;&gt;"",+VLOOKUP(I503,Recursos!C:F,2,FALSE),"")</f>
        <v xml:space="preserve">Relleno Manual y compactación </v>
      </c>
      <c r="K503" s="1319" t="str">
        <f>IF(B503&lt;&gt;"",+VLOOKUP(I503,Recursos!C:F,3,FALSE),"")</f>
        <v>m3</v>
      </c>
      <c r="L503" s="1320">
        <f>IF(B503&lt;&gt;"",+VLOOKUP(I503,Recursos!C:F,4,FALSE),"")</f>
        <v>533.25466069647678</v>
      </c>
      <c r="M503" s="1327">
        <v>2</v>
      </c>
      <c r="N503" s="1063"/>
      <c r="O503" s="1321">
        <v>1</v>
      </c>
      <c r="P503" s="1322">
        <f t="shared" si="335"/>
        <v>533.25466069647678</v>
      </c>
      <c r="Q503" s="1317">
        <f t="shared" si="336"/>
        <v>0</v>
      </c>
      <c r="R503" s="1323">
        <f t="shared" si="337"/>
        <v>0</v>
      </c>
      <c r="S503" s="1324">
        <f t="shared" si="269"/>
        <v>0</v>
      </c>
      <c r="T503" s="1324">
        <f t="shared" si="270"/>
        <v>0</v>
      </c>
      <c r="U503" s="1325">
        <f t="shared" si="271"/>
        <v>1540.0000000000002</v>
      </c>
      <c r="V503" s="1325">
        <f t="shared" si="272"/>
        <v>0</v>
      </c>
      <c r="W503" s="1325">
        <f t="shared" si="273"/>
        <v>0</v>
      </c>
      <c r="X503" s="1325">
        <f t="shared" si="274"/>
        <v>533.25466069647678</v>
      </c>
      <c r="Y503" s="396"/>
      <c r="Z503" s="1326" t="str">
        <f t="shared" si="338"/>
        <v>0-RELLA</v>
      </c>
      <c r="AA503" s="1326" t="str">
        <f t="shared" si="339"/>
        <v>0-RELLE</v>
      </c>
      <c r="AB503" s="1326" t="str">
        <f t="shared" si="340"/>
        <v>0-RELLM</v>
      </c>
      <c r="AC503" s="1326" t="str">
        <f t="shared" si="341"/>
        <v>0-RELLT</v>
      </c>
      <c r="AD503" s="1326" t="str">
        <f t="shared" si="342"/>
        <v>0-RELLS</v>
      </c>
      <c r="AE503" s="1326" t="str">
        <f t="shared" si="343"/>
        <v>0-RELLX</v>
      </c>
      <c r="AF503" s="1326" t="str">
        <f t="shared" si="344"/>
        <v>0-RELLX</v>
      </c>
      <c r="AG503" s="1326">
        <f t="shared" si="275"/>
        <v>3</v>
      </c>
      <c r="AH503" s="1326">
        <f>IF(B503&lt;&gt;"",+IF(H503="x",+VLOOKUP(I503,'AUX-NIV2'!B:AG,32,FALSE),0),"")</f>
        <v>5</v>
      </c>
      <c r="AI503" s="1326" t="str">
        <f t="shared" si="345"/>
        <v>0-RELL</v>
      </c>
      <c r="AK503" s="347">
        <f t="shared" si="276"/>
        <v>501</v>
      </c>
      <c r="AL503" s="348">
        <f t="shared" si="346"/>
        <v>503</v>
      </c>
      <c r="AM503" s="347">
        <f t="shared" si="347"/>
        <v>3</v>
      </c>
      <c r="AN503" s="382">
        <f>IF(AND(AH503&gt;0,B503&lt;&gt;""),VLOOKUP(I503,'AUX-NIV2'!$B:$AP,40,FALSE)*O503,0)</f>
        <v>0.66666666666666663</v>
      </c>
      <c r="AO503" s="382">
        <f t="shared" si="277"/>
        <v>0.66666666666666663</v>
      </c>
      <c r="AQ503" s="395">
        <f>(IF($H503="x",VLOOKUP($I503,'AUX-NIV2'!$B:$X,'AUX-NIV1'!AQ$3,FALSE),0)+($AV503*'AUX-NIV3'!S$4))*$O503+IF($H503=AQ$4,$P503,0)</f>
        <v>306.46546069647684</v>
      </c>
      <c r="AR503" s="395">
        <f>(IF($H503="x",VLOOKUP($I503,'AUX-NIV2'!$B:$X,'AUX-NIV1'!AR$3,FALSE),0)+($AV503*'AUX-NIV3'!T$4))*$O503+IF($H503=AR$4,$P503,0)</f>
        <v>208.03919999999999</v>
      </c>
      <c r="AS503" s="395">
        <f>(IF($H503="x",VLOOKUP($I503,'AUX-NIV2'!$B:$X,'AUX-NIV1'!AS$3,FALSE),0)+($AV503*'AUX-NIV3'!U$4))*$O503+IF($H503=AS$4,$P503,0)</f>
        <v>18.75</v>
      </c>
      <c r="AT503" s="395">
        <f>(IF($H503="x",VLOOKUP($I503,'AUX-NIV2'!$B:$X,'AUX-NIV1'!AT$3,FALSE),0)+($AV503*'AUX-NIV3'!V$4))*$O503+IF($H503=AT$4,$P503,0)</f>
        <v>0</v>
      </c>
      <c r="AU503" s="395">
        <f>(IF($H503="x",VLOOKUP($I503,'AUX-NIV2'!$B:$X,'AUX-NIV1'!AU$3,FALSE),0)+($AV503*'AUX-NIV3'!W$4))*$O503+IF($H503=AU$4,$P503,0)</f>
        <v>0</v>
      </c>
      <c r="AV503" s="395">
        <f>+IF($H503="x",VLOOKUP($I503,'AUX-NIV2'!$B:$X,'AUX-NIV1'!AV$3,FALSE),0)</f>
        <v>0</v>
      </c>
    </row>
    <row r="504" spans="2:48" ht="14.4" hidden="1" thickTop="1" thickBot="1">
      <c r="B504" s="501" t="s">
        <v>3688</v>
      </c>
      <c r="C504" s="951" t="s">
        <v>3689</v>
      </c>
      <c r="D504" s="1280" t="s">
        <v>501</v>
      </c>
      <c r="E504" s="1281">
        <f>IF(B504&lt;&gt;"",+SUMIF(Items!C:C,'AUX-NIV1'!B504,Items!H:H),"")</f>
        <v>0</v>
      </c>
      <c r="F504" s="1281">
        <f t="shared" si="267"/>
        <v>43.416624725858448</v>
      </c>
      <c r="G504" s="1281">
        <f t="shared" si="268"/>
        <v>0</v>
      </c>
      <c r="H504" s="1395" t="str">
        <f t="shared" si="334"/>
        <v>X</v>
      </c>
      <c r="I504" s="1375" t="s">
        <v>3262</v>
      </c>
      <c r="J504" s="1283" t="str">
        <f>IF(B504&lt;&gt;"",+VLOOKUP(I504,Recursos!C:F,2,FALSE),"")</f>
        <v>Ayuda de gremio</v>
      </c>
      <c r="K504" s="1284" t="str">
        <f>IF(B504&lt;&gt;"",+VLOOKUP(I504,Recursos!C:F,3,FALSE),"")</f>
        <v>hs</v>
      </c>
      <c r="L504" s="1285">
        <f>IF(B504&lt;&gt;"",+VLOOKUP(I504,Recursos!C:F,4,FALSE),"")</f>
        <v>2498.6725181930856</v>
      </c>
      <c r="M504" s="989"/>
      <c r="N504" s="1292">
        <v>0.2</v>
      </c>
      <c r="O504" s="1286">
        <f>1/N506*N504</f>
        <v>1.0000000000000002E-2</v>
      </c>
      <c r="P504" s="1287">
        <f t="shared" si="335"/>
        <v>24.986725181930861</v>
      </c>
      <c r="Q504" s="1281">
        <f t="shared" si="336"/>
        <v>0</v>
      </c>
      <c r="R504" s="1288">
        <f t="shared" si="337"/>
        <v>0</v>
      </c>
      <c r="S504" s="1289">
        <f t="shared" si="269"/>
        <v>4.9691595439275833</v>
      </c>
      <c r="T504" s="1289">
        <f t="shared" si="270"/>
        <v>13.460740000000003</v>
      </c>
      <c r="U504" s="1290">
        <f t="shared" si="271"/>
        <v>0</v>
      </c>
      <c r="V504" s="1290">
        <f t="shared" si="272"/>
        <v>0</v>
      </c>
      <c r="W504" s="1290">
        <f t="shared" si="273"/>
        <v>0</v>
      </c>
      <c r="X504" s="1290">
        <f t="shared" si="274"/>
        <v>24.986725181930861</v>
      </c>
      <c r="Y504" s="396"/>
      <c r="Z504" s="1291" t="str">
        <f t="shared" si="338"/>
        <v>0-NIVA</v>
      </c>
      <c r="AA504" s="1291" t="str">
        <f t="shared" si="339"/>
        <v>0-NIVE</v>
      </c>
      <c r="AB504" s="1291" t="str">
        <f t="shared" si="340"/>
        <v>0-NIVM</v>
      </c>
      <c r="AC504" s="1291" t="str">
        <f t="shared" si="341"/>
        <v>0-NIVT</v>
      </c>
      <c r="AD504" s="1291" t="str">
        <f t="shared" si="342"/>
        <v>0-NIVS</v>
      </c>
      <c r="AE504" s="1291" t="str">
        <f t="shared" si="343"/>
        <v>0-NIVX</v>
      </c>
      <c r="AF504" s="1291" t="str">
        <f t="shared" si="344"/>
        <v>0-NIVX</v>
      </c>
      <c r="AG504" s="1291">
        <f t="shared" si="275"/>
        <v>3</v>
      </c>
      <c r="AH504" s="1291">
        <f>IF(B504&lt;&gt;"",+IF(H504="x",+VLOOKUP(I504,'AUX-NIV2'!B:AG,32,FALSE),0),"")</f>
        <v>4</v>
      </c>
      <c r="AI504" s="1291" t="str">
        <f t="shared" si="345"/>
        <v>0-NIV</v>
      </c>
      <c r="AK504" s="347">
        <f t="shared" si="276"/>
        <v>504</v>
      </c>
      <c r="AL504" s="348">
        <f t="shared" si="346"/>
        <v>506</v>
      </c>
      <c r="AM504" s="347">
        <f>IF(B504&lt;&gt;"",IF(B504=B503,1+AM503,1),"")</f>
        <v>1</v>
      </c>
      <c r="AN504" s="382">
        <f>IF(AND(AH504&gt;0,B504&lt;&gt;""),VLOOKUP(I504,'AUX-NIV2'!$B:$AP,40,FALSE)*O504,0)</f>
        <v>5.000000000000001E-2</v>
      </c>
      <c r="AO504" s="382">
        <f t="shared" si="277"/>
        <v>6.0000000000000012E-2</v>
      </c>
      <c r="AQ504" s="395">
        <f>(IF($H504="x",VLOOKUP($I504,'AUX-NIV2'!$B:$X,'AUX-NIV1'!AQ$3,FALSE),0)+($AV504*'AUX-NIV3'!S$4))*$O504+IF($H504=AQ$4,$P504,0)</f>
        <v>24.036725181930862</v>
      </c>
      <c r="AR504" s="395">
        <f>(IF($H504="x",VLOOKUP($I504,'AUX-NIV2'!$B:$X,'AUX-NIV1'!AR$3,FALSE),0)+($AV504*'AUX-NIV3'!T$4))*$O504+IF($H504=AR$4,$P504,0)</f>
        <v>0</v>
      </c>
      <c r="AS504" s="395">
        <f>(IF($H504="x",VLOOKUP($I504,'AUX-NIV2'!$B:$X,'AUX-NIV1'!AS$3,FALSE),0)+($AV504*'AUX-NIV3'!U$4))*$O504+IF($H504=AS$4,$P504,0)</f>
        <v>0.95000000000000018</v>
      </c>
      <c r="AT504" s="395">
        <f>(IF($H504="x",VLOOKUP($I504,'AUX-NIV2'!$B:$X,'AUX-NIV1'!AT$3,FALSE),0)+($AV504*'AUX-NIV3'!V$4))*$O504+IF($H504=AT$4,$P504,0)</f>
        <v>0</v>
      </c>
      <c r="AU504" s="395">
        <f>(IF($H504="x",VLOOKUP($I504,'AUX-NIV2'!$B:$X,'AUX-NIV1'!AU$3,FALSE),0)+($AV504*'AUX-NIV3'!W$4))*$O504+IF($H504=AU$4,$P504,0)</f>
        <v>0</v>
      </c>
      <c r="AV504" s="395">
        <f>+IF($H504="x",VLOOKUP($I504,'AUX-NIV2'!$B:$X,'AUX-NIV1'!AV$3,FALSE),0)</f>
        <v>0</v>
      </c>
    </row>
    <row r="505" spans="2:48" ht="14.4" hidden="1" thickTop="1" thickBot="1">
      <c r="B505" s="501" t="s">
        <v>3688</v>
      </c>
      <c r="C505" s="951" t="s">
        <v>3689</v>
      </c>
      <c r="D505" s="1280" t="s">
        <v>501</v>
      </c>
      <c r="E505" s="1281">
        <f>IF(B505&lt;&gt;"",+SUMIF(Items!C:C,'AUX-NIV1'!B505,Items!H:H),"")</f>
        <v>0</v>
      </c>
      <c r="F505" s="1281">
        <f t="shared" si="267"/>
        <v>43.416624725858448</v>
      </c>
      <c r="G505" s="1281">
        <f t="shared" si="268"/>
        <v>0</v>
      </c>
      <c r="H505" s="1395" t="str">
        <f t="shared" si="334"/>
        <v>A</v>
      </c>
      <c r="I505" s="1375" t="s">
        <v>1746</v>
      </c>
      <c r="J505" s="1283" t="str">
        <f>IF(B505&lt;&gt;"",+VLOOKUP(I505,Recursos!C:F,2,FALSE),"")</f>
        <v>OFICIAL</v>
      </c>
      <c r="K505" s="1284" t="str">
        <f>IF(B505&lt;&gt;"",+VLOOKUP(I505,Recursos!C:F,3,FALSE),"")</f>
        <v>hh</v>
      </c>
      <c r="L505" s="1285">
        <f>IF(B505&lt;&gt;"",+VLOOKUP(I505,Recursos!C:F,4,FALSE),"")</f>
        <v>496.91595439275824</v>
      </c>
      <c r="M505" s="1328"/>
      <c r="N505" s="1329"/>
      <c r="O505" s="1286">
        <f>1/N506*N504</f>
        <v>1.0000000000000002E-2</v>
      </c>
      <c r="P505" s="1287">
        <f t="shared" si="335"/>
        <v>4.9691595439275833</v>
      </c>
      <c r="Q505" s="1281">
        <f t="shared" si="336"/>
        <v>0</v>
      </c>
      <c r="R505" s="1288">
        <f t="shared" si="337"/>
        <v>0</v>
      </c>
      <c r="S505" s="1289">
        <f t="shared" si="269"/>
        <v>4.9691595439275833</v>
      </c>
      <c r="T505" s="1289">
        <f t="shared" si="270"/>
        <v>13.460740000000003</v>
      </c>
      <c r="U505" s="1290">
        <f t="shared" si="271"/>
        <v>0</v>
      </c>
      <c r="V505" s="1290">
        <f t="shared" si="272"/>
        <v>0</v>
      </c>
      <c r="W505" s="1290">
        <f t="shared" si="273"/>
        <v>0</v>
      </c>
      <c r="X505" s="1290">
        <f t="shared" si="274"/>
        <v>24.986725181930861</v>
      </c>
      <c r="Y505" s="396"/>
      <c r="Z505" s="1291" t="str">
        <f t="shared" si="338"/>
        <v>0-NIVA</v>
      </c>
      <c r="AA505" s="1291" t="str">
        <f t="shared" si="339"/>
        <v>0-NIVE</v>
      </c>
      <c r="AB505" s="1291" t="str">
        <f t="shared" si="340"/>
        <v>0-NIVM</v>
      </c>
      <c r="AC505" s="1291" t="str">
        <f t="shared" si="341"/>
        <v>0-NIVT</v>
      </c>
      <c r="AD505" s="1291" t="str">
        <f t="shared" si="342"/>
        <v>0-NIVS</v>
      </c>
      <c r="AE505" s="1291" t="str">
        <f t="shared" si="343"/>
        <v>0-NIVX</v>
      </c>
      <c r="AF505" s="1291" t="str">
        <f t="shared" si="344"/>
        <v>0-NIVA</v>
      </c>
      <c r="AG505" s="1291">
        <f t="shared" si="275"/>
        <v>3</v>
      </c>
      <c r="AH505" s="1291">
        <f>IF(B505&lt;&gt;"",+IF(H505="x",+VLOOKUP(I505,'AUX-NIV2'!B:AG,32,FALSE),0),"")</f>
        <v>0</v>
      </c>
      <c r="AI505" s="1291" t="str">
        <f t="shared" si="345"/>
        <v>0-NIV</v>
      </c>
      <c r="AK505" s="347">
        <f t="shared" si="276"/>
        <v>504</v>
      </c>
      <c r="AL505" s="348">
        <f t="shared" si="346"/>
        <v>506</v>
      </c>
      <c r="AM505" s="347">
        <f t="shared" si="347"/>
        <v>2</v>
      </c>
      <c r="AN505" s="382">
        <f>IF(AND(AH505&gt;0,B505&lt;&gt;""),VLOOKUP(I505,'AUX-NIV2'!$B:$AP,40,FALSE)*O505,0)</f>
        <v>0</v>
      </c>
      <c r="AO505" s="382">
        <f t="shared" si="277"/>
        <v>6.0000000000000012E-2</v>
      </c>
      <c r="AQ505" s="395">
        <f>(IF($H505="x",VLOOKUP($I505,'AUX-NIV2'!$B:$X,'AUX-NIV1'!AQ$3,FALSE),0)+($AV505*'AUX-NIV3'!S$4))*$O505+IF($H505=AQ$4,$P505,0)</f>
        <v>4.9691595439275833</v>
      </c>
      <c r="AR505" s="395">
        <f>(IF($H505="x",VLOOKUP($I505,'AUX-NIV2'!$B:$X,'AUX-NIV1'!AR$3,FALSE),0)+($AV505*'AUX-NIV3'!T$4))*$O505+IF($H505=AR$4,$P505,0)</f>
        <v>0</v>
      </c>
      <c r="AS505" s="395">
        <f>(IF($H505="x",VLOOKUP($I505,'AUX-NIV2'!$B:$X,'AUX-NIV1'!AS$3,FALSE),0)+($AV505*'AUX-NIV3'!U$4))*$O505+IF($H505=AS$4,$P505,0)</f>
        <v>0</v>
      </c>
      <c r="AT505" s="395">
        <f>(IF($H505="x",VLOOKUP($I505,'AUX-NIV2'!$B:$X,'AUX-NIV1'!AT$3,FALSE),0)+($AV505*'AUX-NIV3'!V$4))*$O505+IF($H505=AT$4,$P505,0)</f>
        <v>0</v>
      </c>
      <c r="AU505" s="395">
        <f>(IF($H505="x",VLOOKUP($I505,'AUX-NIV2'!$B:$X,'AUX-NIV1'!AU$3,FALSE),0)+($AV505*'AUX-NIV3'!W$4))*$O505+IF($H505=AU$4,$P505,0)</f>
        <v>0</v>
      </c>
      <c r="AV505" s="395">
        <f>+IF($H505="x",VLOOKUP($I505,'AUX-NIV2'!$B:$X,'AUX-NIV1'!AV$3,FALSE),0)</f>
        <v>0</v>
      </c>
    </row>
    <row r="506" spans="2:48" ht="14.4" hidden="1" thickTop="1" thickBot="1">
      <c r="B506" s="501" t="s">
        <v>3688</v>
      </c>
      <c r="C506" s="951" t="s">
        <v>3689</v>
      </c>
      <c r="D506" s="1280" t="s">
        <v>501</v>
      </c>
      <c r="E506" s="1281">
        <f>IF(B506&lt;&gt;"",+SUMIF(Items!C:C,'AUX-NIV1'!B506,Items!H:H),"")</f>
        <v>0</v>
      </c>
      <c r="F506" s="1281">
        <f t="shared" si="267"/>
        <v>43.416624725858448</v>
      </c>
      <c r="G506" s="1281">
        <f t="shared" si="268"/>
        <v>0</v>
      </c>
      <c r="H506" s="1395" t="str">
        <f t="shared" si="334"/>
        <v>E</v>
      </c>
      <c r="I506" s="1375" t="s">
        <v>1540</v>
      </c>
      <c r="J506" s="1283" t="str">
        <f>IF(B506&lt;&gt;"",+VLOOKUP(I506,Recursos!C:F,2,FALSE),"")</f>
        <v>MINICARG. BOBCAT S/NEUM. (0,40 M3)</v>
      </c>
      <c r="K506" s="1284" t="str">
        <f>IF(B506&lt;&gt;"",+VLOOKUP(I506,Recursos!C:F,3,FALSE),"")</f>
        <v>HR</v>
      </c>
      <c r="L506" s="1285">
        <f>IF(B506&lt;&gt;"",+VLOOKUP(I506,Recursos!C:F,4,FALSE),"")</f>
        <v>1346.0740000000001</v>
      </c>
      <c r="M506" s="1330"/>
      <c r="N506" s="1331">
        <v>20</v>
      </c>
      <c r="O506" s="1286">
        <f>1/N506*N504</f>
        <v>1.0000000000000002E-2</v>
      </c>
      <c r="P506" s="1287">
        <f t="shared" si="335"/>
        <v>13.460740000000003</v>
      </c>
      <c r="Q506" s="1281">
        <f t="shared" si="336"/>
        <v>0</v>
      </c>
      <c r="R506" s="1288">
        <f t="shared" si="337"/>
        <v>0</v>
      </c>
      <c r="S506" s="1289">
        <f t="shared" si="269"/>
        <v>4.9691595439275833</v>
      </c>
      <c r="T506" s="1289">
        <f t="shared" si="270"/>
        <v>13.460740000000003</v>
      </c>
      <c r="U506" s="1290">
        <f t="shared" si="271"/>
        <v>0</v>
      </c>
      <c r="V506" s="1290">
        <f t="shared" si="272"/>
        <v>0</v>
      </c>
      <c r="W506" s="1290">
        <f t="shared" si="273"/>
        <v>0</v>
      </c>
      <c r="X506" s="1290">
        <f t="shared" si="274"/>
        <v>24.986725181930861</v>
      </c>
      <c r="Y506" s="396"/>
      <c r="Z506" s="1291" t="str">
        <f t="shared" si="338"/>
        <v>0-NIVA</v>
      </c>
      <c r="AA506" s="1291" t="str">
        <f t="shared" si="339"/>
        <v>0-NIVE</v>
      </c>
      <c r="AB506" s="1291" t="str">
        <f t="shared" si="340"/>
        <v>0-NIVM</v>
      </c>
      <c r="AC506" s="1291" t="str">
        <f t="shared" si="341"/>
        <v>0-NIVT</v>
      </c>
      <c r="AD506" s="1291" t="str">
        <f t="shared" si="342"/>
        <v>0-NIVS</v>
      </c>
      <c r="AE506" s="1291" t="str">
        <f t="shared" si="343"/>
        <v>0-NIVX</v>
      </c>
      <c r="AF506" s="1291" t="str">
        <f t="shared" si="344"/>
        <v>0-NIVE</v>
      </c>
      <c r="AG506" s="1291">
        <f t="shared" si="275"/>
        <v>3</v>
      </c>
      <c r="AH506" s="1291">
        <f>IF(B506&lt;&gt;"",+IF(H506="x",+VLOOKUP(I506,'AUX-NIV2'!B:AG,32,FALSE),0),"")</f>
        <v>0</v>
      </c>
      <c r="AI506" s="1291" t="str">
        <f t="shared" si="345"/>
        <v>0-NIV</v>
      </c>
      <c r="AK506" s="347">
        <f t="shared" si="276"/>
        <v>504</v>
      </c>
      <c r="AL506" s="348">
        <f t="shared" si="346"/>
        <v>506</v>
      </c>
      <c r="AM506" s="347">
        <f t="shared" si="347"/>
        <v>3</v>
      </c>
      <c r="AN506" s="382">
        <f>IF(AND(AH506&gt;0,B506&lt;&gt;""),VLOOKUP(I506,'AUX-NIV2'!$B:$AP,40,FALSE)*O506,0)</f>
        <v>0</v>
      </c>
      <c r="AO506" s="382">
        <f t="shared" si="277"/>
        <v>6.0000000000000012E-2</v>
      </c>
      <c r="AQ506" s="395">
        <f>(IF($H506="x",VLOOKUP($I506,'AUX-NIV2'!$B:$X,'AUX-NIV1'!AQ$3,FALSE),0)+($AV506*'AUX-NIV3'!S$4))*$O506+IF($H506=AQ$4,$P506,0)</f>
        <v>0</v>
      </c>
      <c r="AR506" s="395">
        <f>(IF($H506="x",VLOOKUP($I506,'AUX-NIV2'!$B:$X,'AUX-NIV1'!AR$3,FALSE),0)+($AV506*'AUX-NIV3'!T$4))*$O506+IF($H506=AR$4,$P506,0)</f>
        <v>13.460740000000003</v>
      </c>
      <c r="AS506" s="395">
        <f>(IF($H506="x",VLOOKUP($I506,'AUX-NIV2'!$B:$X,'AUX-NIV1'!AS$3,FALSE),0)+($AV506*'AUX-NIV3'!U$4))*$O506+IF($H506=AS$4,$P506,0)</f>
        <v>0</v>
      </c>
      <c r="AT506" s="395">
        <f>(IF($H506="x",VLOOKUP($I506,'AUX-NIV2'!$B:$X,'AUX-NIV1'!AT$3,FALSE),0)+($AV506*'AUX-NIV3'!V$4))*$O506+IF($H506=AT$4,$P506,0)</f>
        <v>0</v>
      </c>
      <c r="AU506" s="395">
        <f>(IF($H506="x",VLOOKUP($I506,'AUX-NIV2'!$B:$X,'AUX-NIV1'!AU$3,FALSE),0)+($AV506*'AUX-NIV3'!W$4))*$O506+IF($H506=AU$4,$P506,0)</f>
        <v>0</v>
      </c>
      <c r="AV506" s="395">
        <f>+IF($H506="x",VLOOKUP($I506,'AUX-NIV2'!$B:$X,'AUX-NIV1'!AV$3,FALSE),0)</f>
        <v>0</v>
      </c>
    </row>
    <row r="507" spans="2:48" ht="13.8" thickTop="1">
      <c r="B507" s="501" t="s">
        <v>4639</v>
      </c>
      <c r="C507" s="951" t="s">
        <v>4640</v>
      </c>
      <c r="D507" s="1280" t="s">
        <v>1233</v>
      </c>
      <c r="E507" s="1281">
        <f>IF(B507&lt;&gt;"",+SUMIF(Items!C:C,'AUX-NIV1'!B507,Items!H:H),"")</f>
        <v>1</v>
      </c>
      <c r="F507" s="1281">
        <f t="shared" si="267"/>
        <v>10111.25082984959</v>
      </c>
      <c r="G507" s="1281">
        <f t="shared" si="268"/>
        <v>10111.25082984959</v>
      </c>
      <c r="H507" s="1395" t="str">
        <f t="shared" ref="H507:H509" si="375">IF(B507&lt;&gt;"",+LEFT(I507,1),"")</f>
        <v>A</v>
      </c>
      <c r="I507" s="1375" t="s">
        <v>1745</v>
      </c>
      <c r="J507" s="1283" t="str">
        <f>IF(B507&lt;&gt;"",+VLOOKUP(I507,Recursos!C:F,2,FALSE),"")</f>
        <v>AYUDANTE</v>
      </c>
      <c r="K507" s="1284" t="str">
        <f>IF(B507&lt;&gt;"",+VLOOKUP(I507,Recursos!C:F,3,FALSE),"")</f>
        <v>hh</v>
      </c>
      <c r="L507" s="1285">
        <f>IF(B507&lt;&gt;"",+VLOOKUP(I507,Recursos!C:F,4,FALSE),"")</f>
        <v>422.48042769667234</v>
      </c>
      <c r="M507" s="989">
        <v>30</v>
      </c>
      <c r="N507" s="1292">
        <f>1/4</f>
        <v>0.25</v>
      </c>
      <c r="O507" s="1286">
        <f>M507*N507</f>
        <v>7.5</v>
      </c>
      <c r="P507" s="1287">
        <f t="shared" ref="P507:P509" si="376">IF(B507&lt;&gt;"",O507*L507,"")</f>
        <v>3168.6032077250425</v>
      </c>
      <c r="Q507" s="1281">
        <f t="shared" ref="Q507:Q509" si="377">IF(B507&lt;&gt;"",+O507*E507,"")</f>
        <v>7.5</v>
      </c>
      <c r="R507" s="1288">
        <f t="shared" ref="R507:R509" si="378">IF(B507&lt;&gt;"",Q507*L507,"")</f>
        <v>3168.6032077250425</v>
      </c>
      <c r="S507" s="1289">
        <f t="shared" si="269"/>
        <v>6895.4728656707293</v>
      </c>
      <c r="T507" s="1289">
        <f t="shared" si="270"/>
        <v>0</v>
      </c>
      <c r="U507" s="1290">
        <f t="shared" si="271"/>
        <v>16.25</v>
      </c>
      <c r="V507" s="1290">
        <f t="shared" si="272"/>
        <v>0</v>
      </c>
      <c r="W507" s="1290">
        <f t="shared" si="273"/>
        <v>0</v>
      </c>
      <c r="X507" s="1290">
        <f t="shared" si="274"/>
        <v>3199.5279641788607</v>
      </c>
      <c r="Y507" s="396"/>
      <c r="Z507" s="1291" t="str">
        <f t="shared" ref="Z507:Z509" si="379">IF(B507&lt;&gt;"",+$B507&amp;"A","")</f>
        <v>0-NIVGLA</v>
      </c>
      <c r="AA507" s="1291" t="str">
        <f t="shared" ref="AA507:AA509" si="380">IF(B507&lt;&gt;"",+$B507&amp;"E","")</f>
        <v>0-NIVGLE</v>
      </c>
      <c r="AB507" s="1291" t="str">
        <f t="shared" ref="AB507:AB509" si="381">IF(B507&lt;&gt;"",++$B507&amp;"M","")</f>
        <v>0-NIVGLM</v>
      </c>
      <c r="AC507" s="1291" t="str">
        <f t="shared" ref="AC507:AC509" si="382">IF(B507&lt;&gt;"",+$B507&amp;"T","")</f>
        <v>0-NIVGLT</v>
      </c>
      <c r="AD507" s="1291" t="str">
        <f t="shared" ref="AD507:AD509" si="383">IF(B507&lt;&gt;"",+$B507&amp;"S","")</f>
        <v>0-NIVGLS</v>
      </c>
      <c r="AE507" s="1291" t="str">
        <f t="shared" ref="AE507:AE509" si="384">IF(B507&lt;&gt;"",+$B507&amp;"X","")</f>
        <v>0-NIVGLX</v>
      </c>
      <c r="AF507" s="1291" t="str">
        <f t="shared" ref="AF507:AF509" si="385">IF(B507&lt;&gt;"",+B507&amp;H507,"")</f>
        <v>0-NIVGLA</v>
      </c>
      <c r="AG507" s="1291">
        <f t="shared" si="275"/>
        <v>4</v>
      </c>
      <c r="AH507" s="1291">
        <f>IF(B507&lt;&gt;"",+IF(H507="x",+VLOOKUP(I507,'AUX-NIV2'!B:AG,32,FALSE),0),"")</f>
        <v>0</v>
      </c>
      <c r="AI507" s="1291" t="str">
        <f t="shared" ref="AI507:AI509" si="386">IF(B507&lt;&gt;"",+B507,"")</f>
        <v>0-NIVGL</v>
      </c>
      <c r="AK507" s="347">
        <f t="shared" si="276"/>
        <v>507</v>
      </c>
      <c r="AL507" s="348">
        <f t="shared" ref="AL507:AL509" si="387">IF(B507&lt;&gt;"",+AK507+AG507-1,"")</f>
        <v>510</v>
      </c>
      <c r="AM507" s="347">
        <f t="shared" ref="AM507:AM509" si="388">IF(B507&lt;&gt;"",IF(B507=B506,1+AM506,1),"")</f>
        <v>1</v>
      </c>
      <c r="AN507" s="382">
        <f>IF(AND(AH507&gt;0,B507&lt;&gt;""),VLOOKUP(I507,'AUX-NIV2'!$B:$AP,40,FALSE)*O507,0)</f>
        <v>0</v>
      </c>
      <c r="AO507" s="382">
        <f t="shared" si="277"/>
        <v>19</v>
      </c>
      <c r="AQ507" s="395">
        <f>(IF($H507="x",VLOOKUP($I507,'AUX-NIV2'!$B:$X,'AUX-NIV1'!AQ$3,FALSE),0)+($AV507*'AUX-NIV3'!S$4))*$O507+IF($H507=AQ$4,$P507,0)</f>
        <v>3168.6032077250425</v>
      </c>
      <c r="AR507" s="395">
        <f>(IF($H507="x",VLOOKUP($I507,'AUX-NIV2'!$B:$X,'AUX-NIV1'!AR$3,FALSE),0)+($AV507*'AUX-NIV3'!T$4))*$O507+IF($H507=AR$4,$P507,0)</f>
        <v>0</v>
      </c>
      <c r="AS507" s="395">
        <f>(IF($H507="x",VLOOKUP($I507,'AUX-NIV2'!$B:$X,'AUX-NIV1'!AS$3,FALSE),0)+($AV507*'AUX-NIV3'!U$4))*$O507+IF($H507=AS$4,$P507,0)</f>
        <v>0</v>
      </c>
      <c r="AT507" s="395">
        <f>(IF($H507="x",VLOOKUP($I507,'AUX-NIV2'!$B:$X,'AUX-NIV1'!AT$3,FALSE),0)+($AV507*'AUX-NIV3'!V$4))*$O507+IF($H507=AT$4,$P507,0)</f>
        <v>0</v>
      </c>
      <c r="AU507" s="395">
        <f>(IF($H507="x",VLOOKUP($I507,'AUX-NIV2'!$B:$X,'AUX-NIV1'!AU$3,FALSE),0)+($AV507*'AUX-NIV3'!W$4))*$O507+IF($H507=AU$4,$P507,0)</f>
        <v>0</v>
      </c>
      <c r="AV507" s="395">
        <f>+IF($H507="x",VLOOKUP($I507,'AUX-NIV2'!$B:$X,'AUX-NIV1'!AV$3,FALSE),0)</f>
        <v>0</v>
      </c>
    </row>
    <row r="508" spans="2:48">
      <c r="B508" s="501" t="s">
        <v>4639</v>
      </c>
      <c r="C508" s="951" t="s">
        <v>4640</v>
      </c>
      <c r="D508" s="1280" t="s">
        <v>1233</v>
      </c>
      <c r="E508" s="1281">
        <f>IF(B508&lt;&gt;"",+SUMIF(Items!C:C,'AUX-NIV1'!B508,Items!H:H),"")</f>
        <v>1</v>
      </c>
      <c r="F508" s="1281">
        <f t="shared" si="267"/>
        <v>10111.25082984959</v>
      </c>
      <c r="G508" s="1281">
        <f t="shared" si="268"/>
        <v>10111.25082984959</v>
      </c>
      <c r="H508" s="1395" t="str">
        <f t="shared" si="375"/>
        <v>A</v>
      </c>
      <c r="I508" s="1375" t="s">
        <v>1746</v>
      </c>
      <c r="J508" s="1283" t="str">
        <f>IF(B508&lt;&gt;"",+VLOOKUP(I508,Recursos!C:F,2,FALSE),"")</f>
        <v>OFICIAL</v>
      </c>
      <c r="K508" s="1284" t="str">
        <f>IF(B508&lt;&gt;"",+VLOOKUP(I508,Recursos!C:F,3,FALSE),"")</f>
        <v>hh</v>
      </c>
      <c r="L508" s="1285">
        <f>IF(B508&lt;&gt;"",+VLOOKUP(I508,Recursos!C:F,4,FALSE),"")</f>
        <v>496.91595439275824</v>
      </c>
      <c r="M508" s="1328"/>
      <c r="N508" s="1329">
        <f>N507</f>
        <v>0.25</v>
      </c>
      <c r="O508" s="1286">
        <f>M507*N508</f>
        <v>7.5</v>
      </c>
      <c r="P508" s="1287">
        <f t="shared" si="376"/>
        <v>3726.8696579456869</v>
      </c>
      <c r="Q508" s="1281">
        <f t="shared" si="377"/>
        <v>7.5</v>
      </c>
      <c r="R508" s="1288">
        <f t="shared" si="378"/>
        <v>3726.8696579456869</v>
      </c>
      <c r="S508" s="1289">
        <f t="shared" si="269"/>
        <v>6895.4728656707293</v>
      </c>
      <c r="T508" s="1289">
        <f t="shared" si="270"/>
        <v>0</v>
      </c>
      <c r="U508" s="1290">
        <f t="shared" si="271"/>
        <v>16.25</v>
      </c>
      <c r="V508" s="1290">
        <f t="shared" si="272"/>
        <v>0</v>
      </c>
      <c r="W508" s="1290">
        <f t="shared" si="273"/>
        <v>0</v>
      </c>
      <c r="X508" s="1290">
        <f t="shared" si="274"/>
        <v>3199.5279641788607</v>
      </c>
      <c r="Y508" s="396"/>
      <c r="Z508" s="1291" t="str">
        <f t="shared" si="379"/>
        <v>0-NIVGLA</v>
      </c>
      <c r="AA508" s="1291" t="str">
        <f t="shared" si="380"/>
        <v>0-NIVGLE</v>
      </c>
      <c r="AB508" s="1291" t="str">
        <f t="shared" si="381"/>
        <v>0-NIVGLM</v>
      </c>
      <c r="AC508" s="1291" t="str">
        <f t="shared" si="382"/>
        <v>0-NIVGLT</v>
      </c>
      <c r="AD508" s="1291" t="str">
        <f t="shared" si="383"/>
        <v>0-NIVGLS</v>
      </c>
      <c r="AE508" s="1291" t="str">
        <f t="shared" si="384"/>
        <v>0-NIVGLX</v>
      </c>
      <c r="AF508" s="1291" t="str">
        <f t="shared" si="385"/>
        <v>0-NIVGLA</v>
      </c>
      <c r="AG508" s="1291">
        <f t="shared" si="275"/>
        <v>4</v>
      </c>
      <c r="AH508" s="1291">
        <f>IF(B508&lt;&gt;"",+IF(H508="x",+VLOOKUP(I508,'AUX-NIV2'!B:AG,32,FALSE),0),"")</f>
        <v>0</v>
      </c>
      <c r="AI508" s="1291" t="str">
        <f t="shared" si="386"/>
        <v>0-NIVGL</v>
      </c>
      <c r="AK508" s="347">
        <f t="shared" si="276"/>
        <v>507</v>
      </c>
      <c r="AL508" s="348">
        <f t="shared" si="387"/>
        <v>510</v>
      </c>
      <c r="AM508" s="347">
        <f t="shared" si="388"/>
        <v>2</v>
      </c>
      <c r="AN508" s="382">
        <f>IF(AND(AH508&gt;0,B508&lt;&gt;""),VLOOKUP(I508,'AUX-NIV2'!$B:$AP,40,FALSE)*O508,0)</f>
        <v>0</v>
      </c>
      <c r="AO508" s="382">
        <f t="shared" si="277"/>
        <v>19</v>
      </c>
      <c r="AQ508" s="395">
        <f>(IF($H508="x",VLOOKUP($I508,'AUX-NIV2'!$B:$X,'AUX-NIV1'!AQ$3,FALSE),0)+($AV508*'AUX-NIV3'!S$4))*$O508+IF($H508=AQ$4,$P508,0)</f>
        <v>3726.8696579456869</v>
      </c>
      <c r="AR508" s="395">
        <f>(IF($H508="x",VLOOKUP($I508,'AUX-NIV2'!$B:$X,'AUX-NIV1'!AR$3,FALSE),0)+($AV508*'AUX-NIV3'!T$4))*$O508+IF($H508=AR$4,$P508,0)</f>
        <v>0</v>
      </c>
      <c r="AS508" s="395">
        <f>(IF($H508="x",VLOOKUP($I508,'AUX-NIV2'!$B:$X,'AUX-NIV1'!AS$3,FALSE),0)+($AV508*'AUX-NIV3'!U$4))*$O508+IF($H508=AS$4,$P508,0)</f>
        <v>0</v>
      </c>
      <c r="AT508" s="395">
        <f>(IF($H508="x",VLOOKUP($I508,'AUX-NIV2'!$B:$X,'AUX-NIV1'!AT$3,FALSE),0)+($AV508*'AUX-NIV3'!V$4))*$O508+IF($H508=AT$4,$P508,0)</f>
        <v>0</v>
      </c>
      <c r="AU508" s="395">
        <f>(IF($H508="x",VLOOKUP($I508,'AUX-NIV2'!$B:$X,'AUX-NIV1'!AU$3,FALSE),0)+($AV508*'AUX-NIV3'!W$4))*$O508+IF($H508=AU$4,$P508,0)</f>
        <v>0</v>
      </c>
      <c r="AV508" s="395">
        <f>+IF($H508="x",VLOOKUP($I508,'AUX-NIV2'!$B:$X,'AUX-NIV1'!AV$3,FALSE),0)</f>
        <v>0</v>
      </c>
    </row>
    <row r="509" spans="2:48">
      <c r="B509" s="501" t="s">
        <v>4639</v>
      </c>
      <c r="C509" s="951" t="s">
        <v>4640</v>
      </c>
      <c r="D509" s="1280" t="s">
        <v>1233</v>
      </c>
      <c r="E509" s="1281">
        <f>IF(B509&lt;&gt;"",+SUMIF(Items!C:C,'AUX-NIV1'!B509,Items!H:H),"")</f>
        <v>1</v>
      </c>
      <c r="F509" s="1281">
        <f t="shared" si="267"/>
        <v>10111.25082984959</v>
      </c>
      <c r="G509" s="1281">
        <f t="shared" si="268"/>
        <v>10111.25082984959</v>
      </c>
      <c r="H509" s="1395" t="str">
        <f t="shared" si="375"/>
        <v>X</v>
      </c>
      <c r="I509" s="1375" t="s">
        <v>1265</v>
      </c>
      <c r="J509" s="1283" t="str">
        <f>IF(B509&lt;&gt;"",+VLOOKUP(I509,Recursos!C:F,2,FALSE),"")</f>
        <v xml:space="preserve">Relleno Manual y compactación </v>
      </c>
      <c r="K509" s="1284" t="str">
        <f>IF(B509&lt;&gt;"",+VLOOKUP(I509,Recursos!C:F,3,FALSE),"")</f>
        <v>m3</v>
      </c>
      <c r="L509" s="1285">
        <f>IF(B509&lt;&gt;"",+VLOOKUP(I509,Recursos!C:F,4,FALSE),"")</f>
        <v>533.25466069647678</v>
      </c>
      <c r="M509" s="1328"/>
      <c r="N509" s="1329">
        <f>M507*0.2</f>
        <v>6</v>
      </c>
      <c r="O509" s="1286">
        <f>N509</f>
        <v>6</v>
      </c>
      <c r="P509" s="1287">
        <f t="shared" si="376"/>
        <v>3199.5279641788607</v>
      </c>
      <c r="Q509" s="1281">
        <f t="shared" si="377"/>
        <v>6</v>
      </c>
      <c r="R509" s="1288">
        <f t="shared" si="378"/>
        <v>3199.5279641788607</v>
      </c>
      <c r="S509" s="1289">
        <f t="shared" si="269"/>
        <v>6895.4728656707293</v>
      </c>
      <c r="T509" s="1289">
        <f t="shared" si="270"/>
        <v>0</v>
      </c>
      <c r="U509" s="1290">
        <f t="shared" si="271"/>
        <v>16.25</v>
      </c>
      <c r="V509" s="1290">
        <f t="shared" si="272"/>
        <v>0</v>
      </c>
      <c r="W509" s="1290">
        <f t="shared" si="273"/>
        <v>0</v>
      </c>
      <c r="X509" s="1290">
        <f t="shared" si="274"/>
        <v>3199.5279641788607</v>
      </c>
      <c r="Y509" s="396"/>
      <c r="Z509" s="1291" t="str">
        <f t="shared" si="379"/>
        <v>0-NIVGLA</v>
      </c>
      <c r="AA509" s="1291" t="str">
        <f t="shared" si="380"/>
        <v>0-NIVGLE</v>
      </c>
      <c r="AB509" s="1291" t="str">
        <f t="shared" si="381"/>
        <v>0-NIVGLM</v>
      </c>
      <c r="AC509" s="1291" t="str">
        <f t="shared" si="382"/>
        <v>0-NIVGLT</v>
      </c>
      <c r="AD509" s="1291" t="str">
        <f t="shared" si="383"/>
        <v>0-NIVGLS</v>
      </c>
      <c r="AE509" s="1291" t="str">
        <f t="shared" si="384"/>
        <v>0-NIVGLX</v>
      </c>
      <c r="AF509" s="1291" t="str">
        <f t="shared" si="385"/>
        <v>0-NIVGLX</v>
      </c>
      <c r="AG509" s="1291">
        <f t="shared" si="275"/>
        <v>4</v>
      </c>
      <c r="AH509" s="1291">
        <f>IF(B509&lt;&gt;"",+IF(H509="x",+VLOOKUP(I509,'AUX-NIV2'!B:AG,32,FALSE),0),"")</f>
        <v>5</v>
      </c>
      <c r="AI509" s="1291" t="str">
        <f t="shared" si="386"/>
        <v>0-NIVGL</v>
      </c>
      <c r="AK509" s="347">
        <f t="shared" si="276"/>
        <v>507</v>
      </c>
      <c r="AL509" s="348">
        <f t="shared" si="387"/>
        <v>510</v>
      </c>
      <c r="AM509" s="347">
        <f t="shared" si="388"/>
        <v>3</v>
      </c>
      <c r="AN509" s="382">
        <f>IF(AND(AH509&gt;0,B509&lt;&gt;""),VLOOKUP(I509,'AUX-NIV2'!$B:$AP,40,FALSE)*O509,0)</f>
        <v>4</v>
      </c>
      <c r="AO509" s="382">
        <f t="shared" si="277"/>
        <v>19</v>
      </c>
      <c r="AQ509" s="395">
        <f>(IF($H509="x",VLOOKUP($I509,'AUX-NIV2'!$B:$X,'AUX-NIV1'!AQ$3,FALSE),0)+($AV509*'AUX-NIV3'!S$4))*$O509+IF($H509=AQ$4,$P509,0)</f>
        <v>1838.792764178861</v>
      </c>
      <c r="AR509" s="395">
        <f>(IF($H509="x",VLOOKUP($I509,'AUX-NIV2'!$B:$X,'AUX-NIV1'!AR$3,FALSE),0)+($AV509*'AUX-NIV3'!T$4))*$O509+IF($H509=AR$4,$P509,0)</f>
        <v>1248.2352000000001</v>
      </c>
      <c r="AS509" s="395">
        <f>(IF($H509="x",VLOOKUP($I509,'AUX-NIV2'!$B:$X,'AUX-NIV1'!AS$3,FALSE),0)+($AV509*'AUX-NIV3'!U$4))*$O509+IF($H509=AS$4,$P509,0)</f>
        <v>112.5</v>
      </c>
      <c r="AT509" s="395">
        <f>(IF($H509="x",VLOOKUP($I509,'AUX-NIV2'!$B:$X,'AUX-NIV1'!AT$3,FALSE),0)+($AV509*'AUX-NIV3'!V$4))*$O509+IF($H509=AT$4,$P509,0)</f>
        <v>0</v>
      </c>
      <c r="AU509" s="395">
        <f>(IF($H509="x",VLOOKUP($I509,'AUX-NIV2'!$B:$X,'AUX-NIV1'!AU$3,FALSE),0)+($AV509*'AUX-NIV3'!W$4))*$O509+IF($H509=AU$4,$P509,0)</f>
        <v>0</v>
      </c>
      <c r="AV509" s="395">
        <f>+IF($H509="x",VLOOKUP($I509,'AUX-NIV2'!$B:$X,'AUX-NIV1'!AV$3,FALSE),0)</f>
        <v>0</v>
      </c>
    </row>
    <row r="510" spans="2:48" ht="13.8" thickBot="1">
      <c r="B510" s="501" t="s">
        <v>4639</v>
      </c>
      <c r="C510" s="951" t="s">
        <v>4640</v>
      </c>
      <c r="D510" s="1280" t="s">
        <v>1233</v>
      </c>
      <c r="E510" s="1317">
        <f>IF(B510&lt;&gt;"",+SUMIF(Items!C:C,'AUX-NIV1'!B510,Items!H:H),"")</f>
        <v>1</v>
      </c>
      <c r="F510" s="1317">
        <f t="shared" si="267"/>
        <v>10111.25082984959</v>
      </c>
      <c r="G510" s="1317">
        <f t="shared" si="268"/>
        <v>10111.25082984959</v>
      </c>
      <c r="H510" s="1395" t="str">
        <f t="shared" ref="H510" si="389">IF(B510&lt;&gt;"",+LEFT(I510,1),"")</f>
        <v>M</v>
      </c>
      <c r="I510" s="1375" t="s">
        <v>2227</v>
      </c>
      <c r="J510" s="1318" t="str">
        <f>IF(B510&lt;&gt;"",+VLOOKUP(I510,Recursos!C:F,2,FALSE),"")</f>
        <v>SUELO SELECCIONADO</v>
      </c>
      <c r="K510" s="1319" t="str">
        <f>IF(B510&lt;&gt;"",+VLOOKUP(I510,Recursos!C:F,3,FALSE),"")</f>
        <v>Tn</v>
      </c>
      <c r="L510" s="1320">
        <f>IF(B510&lt;&gt;"",+VLOOKUP(I510,Recursos!C:F,4,FALSE),"")</f>
        <v>16.25</v>
      </c>
      <c r="M510" s="1330"/>
      <c r="N510" s="1331">
        <f>N509*1.6/1.25</f>
        <v>7.6800000000000015</v>
      </c>
      <c r="O510" s="1321">
        <v>1</v>
      </c>
      <c r="P510" s="1322">
        <f t="shared" ref="P510" si="390">IF(B510&lt;&gt;"",O510*L510,"")</f>
        <v>16.25</v>
      </c>
      <c r="Q510" s="1317">
        <f t="shared" ref="Q510" si="391">IF(B510&lt;&gt;"",+O510*E510,"")</f>
        <v>1</v>
      </c>
      <c r="R510" s="1323">
        <f t="shared" ref="R510" si="392">IF(B510&lt;&gt;"",Q510*L510,"")</f>
        <v>16.25</v>
      </c>
      <c r="S510" s="1324">
        <f t="shared" si="269"/>
        <v>6895.4728656707293</v>
      </c>
      <c r="T510" s="1324">
        <f t="shared" si="270"/>
        <v>0</v>
      </c>
      <c r="U510" s="1325">
        <f t="shared" si="271"/>
        <v>16.25</v>
      </c>
      <c r="V510" s="1325">
        <f t="shared" si="272"/>
        <v>0</v>
      </c>
      <c r="W510" s="1325">
        <f t="shared" si="273"/>
        <v>0</v>
      </c>
      <c r="X510" s="1325">
        <f t="shared" si="274"/>
        <v>3199.5279641788607</v>
      </c>
      <c r="Y510" s="396"/>
      <c r="Z510" s="1326" t="str">
        <f>IF(B510&lt;&gt;"",+$B510&amp;"A","")</f>
        <v>0-NIVGLA</v>
      </c>
      <c r="AA510" s="1326" t="str">
        <f>IF(B510&lt;&gt;"",+$B510&amp;"E","")</f>
        <v>0-NIVGLE</v>
      </c>
      <c r="AB510" s="1326" t="str">
        <f>IF(B510&lt;&gt;"",++$B510&amp;"M","")</f>
        <v>0-NIVGLM</v>
      </c>
      <c r="AC510" s="1326" t="str">
        <f>IF(B510&lt;&gt;"",+$B510&amp;"T","")</f>
        <v>0-NIVGLT</v>
      </c>
      <c r="AD510" s="1326" t="str">
        <f>IF(B510&lt;&gt;"",+$B510&amp;"S","")</f>
        <v>0-NIVGLS</v>
      </c>
      <c r="AE510" s="1326" t="str">
        <f>IF(B510&lt;&gt;"",+$B510&amp;"X","")</f>
        <v>0-NIVGLX</v>
      </c>
      <c r="AF510" s="1326" t="str">
        <f t="shared" ref="AF510" si="393">IF(B510&lt;&gt;"",+B510&amp;H510,"")</f>
        <v>0-NIVGLM</v>
      </c>
      <c r="AG510" s="1326">
        <f t="shared" si="275"/>
        <v>4</v>
      </c>
      <c r="AH510" s="1326">
        <f>IF(B510&lt;&gt;"",+IF(H510="x",+VLOOKUP(I510,'AUX-NIV2'!B:AG,32,FALSE),0),"")</f>
        <v>0</v>
      </c>
      <c r="AI510" s="1326" t="str">
        <f t="shared" ref="AI510" si="394">IF(B510&lt;&gt;"",+B510,"")</f>
        <v>0-NIVGL</v>
      </c>
      <c r="AK510" s="347">
        <f t="shared" si="276"/>
        <v>507</v>
      </c>
      <c r="AL510" s="348">
        <f t="shared" ref="AL510" si="395">IF(B510&lt;&gt;"",+AK510+AG510-1,"")</f>
        <v>510</v>
      </c>
      <c r="AM510" s="347">
        <f>IF(B510&lt;&gt;"",IF(B510=B503,1+AM503,1),"")</f>
        <v>1</v>
      </c>
      <c r="AN510" s="382">
        <f>IF(AND(AH510&gt;0,B510&lt;&gt;""),VLOOKUP(I510,'AUX-NIV2'!$B:$AP,40,FALSE)*O510,0)</f>
        <v>0</v>
      </c>
      <c r="AO510" s="382">
        <f t="shared" si="277"/>
        <v>19</v>
      </c>
      <c r="AQ510" s="395">
        <f>(IF($H510="x",VLOOKUP($I510,'AUX-NIV2'!$B:$X,'AUX-NIV1'!AQ$3,FALSE),0)+($AV510*'AUX-NIV3'!S$4))*$O510+IF($H510=AQ$4,$P510,0)</f>
        <v>0</v>
      </c>
      <c r="AR510" s="395">
        <f>(IF($H510="x",VLOOKUP($I510,'AUX-NIV2'!$B:$X,'AUX-NIV1'!AR$3,FALSE),0)+($AV510*'AUX-NIV3'!T$4))*$O510+IF($H510=AR$4,$P510,0)</f>
        <v>0</v>
      </c>
      <c r="AS510" s="395">
        <f>(IF($H510="x",VLOOKUP($I510,'AUX-NIV2'!$B:$X,'AUX-NIV1'!AS$3,FALSE),0)+($AV510*'AUX-NIV3'!U$4))*$O510+IF($H510=AS$4,$P510,0)</f>
        <v>16.25</v>
      </c>
      <c r="AT510" s="395">
        <f>(IF($H510="x",VLOOKUP($I510,'AUX-NIV2'!$B:$X,'AUX-NIV1'!AT$3,FALSE),0)+($AV510*'AUX-NIV3'!V$4))*$O510+IF($H510=AT$4,$P510,0)</f>
        <v>0</v>
      </c>
      <c r="AU510" s="395">
        <f>(IF($H510="x",VLOOKUP($I510,'AUX-NIV2'!$B:$X,'AUX-NIV1'!AU$3,FALSE),0)+($AV510*'AUX-NIV3'!W$4))*$O510+IF($H510=AU$4,$P510,0)</f>
        <v>0</v>
      </c>
      <c r="AV510" s="395">
        <f>+IF($H510="x",VLOOKUP($I510,'AUX-NIV2'!$B:$X,'AUX-NIV1'!AV$3,FALSE),0)</f>
        <v>0</v>
      </c>
    </row>
    <row r="511" spans="2:48" ht="14.4" hidden="1" thickTop="1" thickBot="1">
      <c r="B511" s="501" t="s">
        <v>3690</v>
      </c>
      <c r="C511" s="951" t="s">
        <v>1244</v>
      </c>
      <c r="D511" s="1280" t="s">
        <v>1233</v>
      </c>
      <c r="E511" s="1281">
        <f>IF(B511&lt;&gt;"",+SUMIF(Items!C:C,'AUX-NIV1'!B511,Items!H:H),"")</f>
        <v>0</v>
      </c>
      <c r="F511" s="1281">
        <f t="shared" si="267"/>
        <v>300000</v>
      </c>
      <c r="G511" s="1281">
        <f t="shared" si="268"/>
        <v>0</v>
      </c>
      <c r="H511" s="1395" t="str">
        <f t="shared" si="334"/>
        <v>S</v>
      </c>
      <c r="I511" s="1375" t="s">
        <v>682</v>
      </c>
      <c r="J511" s="1283" t="str">
        <f>IF(B511&lt;&gt;"",+VLOOKUP(I511,Recursos!C:F,2,FALSE),"")</f>
        <v>PROYECTO EJECUTIVO</v>
      </c>
      <c r="K511" s="1284" t="str">
        <f>IF(B511&lt;&gt;"",+VLOOKUP(I511,Recursos!C:F,3,FALSE),"")</f>
        <v>GL</v>
      </c>
      <c r="L511" s="1285">
        <f>IF(B511&lt;&gt;"",+VLOOKUP(I511,Recursos!C:F,4,FALSE),"")</f>
        <v>300000</v>
      </c>
      <c r="M511" s="1293"/>
      <c r="N511" s="1294">
        <v>1</v>
      </c>
      <c r="O511" s="1286">
        <f>N511</f>
        <v>1</v>
      </c>
      <c r="P511" s="1287">
        <f t="shared" si="335"/>
        <v>300000</v>
      </c>
      <c r="Q511" s="1281">
        <f t="shared" si="336"/>
        <v>0</v>
      </c>
      <c r="R511" s="1288">
        <f t="shared" si="337"/>
        <v>0</v>
      </c>
      <c r="S511" s="1289">
        <f t="shared" si="269"/>
        <v>0</v>
      </c>
      <c r="T511" s="1289">
        <f t="shared" si="270"/>
        <v>0</v>
      </c>
      <c r="U511" s="1290">
        <f t="shared" si="271"/>
        <v>0</v>
      </c>
      <c r="V511" s="1290">
        <f t="shared" si="272"/>
        <v>0</v>
      </c>
      <c r="W511" s="1290">
        <f t="shared" si="273"/>
        <v>300000</v>
      </c>
      <c r="X511" s="1290">
        <f t="shared" si="274"/>
        <v>0</v>
      </c>
      <c r="Y511" s="396"/>
      <c r="Z511" s="1291" t="str">
        <f t="shared" si="338"/>
        <v>0-PRYEJA</v>
      </c>
      <c r="AA511" s="1291" t="str">
        <f t="shared" si="339"/>
        <v>0-PRYEJE</v>
      </c>
      <c r="AB511" s="1291" t="str">
        <f t="shared" si="340"/>
        <v>0-PRYEJM</v>
      </c>
      <c r="AC511" s="1291" t="str">
        <f t="shared" si="341"/>
        <v>0-PRYEJT</v>
      </c>
      <c r="AD511" s="1291" t="str">
        <f t="shared" si="342"/>
        <v>0-PRYEJS</v>
      </c>
      <c r="AE511" s="1291" t="str">
        <f t="shared" si="343"/>
        <v>0-PRYEJX</v>
      </c>
      <c r="AF511" s="1291" t="str">
        <f t="shared" si="344"/>
        <v>0-PRYEJS</v>
      </c>
      <c r="AG511" s="1291">
        <f t="shared" si="275"/>
        <v>1</v>
      </c>
      <c r="AH511" s="1291">
        <f>IF(B511&lt;&gt;"",+IF(H511="x",+VLOOKUP(I511,'AUX-NIV2'!B:AG,32,FALSE),0),"")</f>
        <v>0</v>
      </c>
      <c r="AI511" s="1291" t="str">
        <f t="shared" si="345"/>
        <v>0-PRYEJ</v>
      </c>
      <c r="AK511" s="347">
        <f t="shared" si="276"/>
        <v>511</v>
      </c>
      <c r="AL511" s="348">
        <f t="shared" si="346"/>
        <v>511</v>
      </c>
      <c r="AM511" s="347">
        <f>IF(B511&lt;&gt;"",IF(B511=B506,1+AM506,1),"")</f>
        <v>1</v>
      </c>
      <c r="AN511" s="382">
        <f>IF(AND(AH511&gt;0,B511&lt;&gt;""),VLOOKUP(I511,'AUX-NIV2'!$B:$AP,40,FALSE)*O511,0)</f>
        <v>0</v>
      </c>
      <c r="AO511" s="382">
        <f t="shared" si="277"/>
        <v>0</v>
      </c>
      <c r="AQ511" s="395">
        <f>(IF($H511="x",VLOOKUP($I511,'AUX-NIV2'!$B:$X,'AUX-NIV1'!AQ$3,FALSE),0)+($AV511*'AUX-NIV3'!S$4))*$O511+IF($H511=AQ$4,$P511,0)</f>
        <v>0</v>
      </c>
      <c r="AR511" s="395">
        <f>(IF($H511="x",VLOOKUP($I511,'AUX-NIV2'!$B:$X,'AUX-NIV1'!AR$3,FALSE),0)+($AV511*'AUX-NIV3'!T$4))*$O511+IF($H511=AR$4,$P511,0)</f>
        <v>0</v>
      </c>
      <c r="AS511" s="395">
        <f>(IF($H511="x",VLOOKUP($I511,'AUX-NIV2'!$B:$X,'AUX-NIV1'!AS$3,FALSE),0)+($AV511*'AUX-NIV3'!U$4))*$O511+IF($H511=AS$4,$P511,0)</f>
        <v>0</v>
      </c>
      <c r="AT511" s="395">
        <f>(IF($H511="x",VLOOKUP($I511,'AUX-NIV2'!$B:$X,'AUX-NIV1'!AT$3,FALSE),0)+($AV511*'AUX-NIV3'!V$4))*$O511+IF($H511=AT$4,$P511,0)</f>
        <v>0</v>
      </c>
      <c r="AU511" s="395">
        <f>(IF($H511="x",VLOOKUP($I511,'AUX-NIV2'!$B:$X,'AUX-NIV1'!AU$3,FALSE),0)+($AV511*'AUX-NIV3'!W$4))*$O511+IF($H511=AU$4,$P511,0)</f>
        <v>300000</v>
      </c>
      <c r="AV511" s="395">
        <f>+IF($H511="x",VLOOKUP($I511,'AUX-NIV2'!$B:$X,'AUX-NIV1'!AV$3,FALSE),0)</f>
        <v>0</v>
      </c>
    </row>
    <row r="512" spans="2:48" ht="14.4" hidden="1" thickTop="1" thickBot="1">
      <c r="B512" s="501" t="s">
        <v>3691</v>
      </c>
      <c r="C512" s="951" t="s">
        <v>3692</v>
      </c>
      <c r="D512" s="1280" t="s">
        <v>1233</v>
      </c>
      <c r="E512" s="1281">
        <f>IF(B512&lt;&gt;"",+SUMIF(Items!C:C,'AUX-NIV1'!B512,Items!H:H),"")</f>
        <v>0</v>
      </c>
      <c r="F512" s="1281">
        <f t="shared" si="267"/>
        <v>50000</v>
      </c>
      <c r="G512" s="1281">
        <f t="shared" si="268"/>
        <v>0</v>
      </c>
      <c r="H512" s="1395" t="str">
        <f t="shared" si="334"/>
        <v>S</v>
      </c>
      <c r="I512" s="1375" t="s">
        <v>644</v>
      </c>
      <c r="J512" s="1283" t="str">
        <f>IF(B512&lt;&gt;"",+VLOOKUP(I512,Recursos!C:F,2,FALSE),"")</f>
        <v>ESTUDIOS DE SUELOS S/PLIEGO</v>
      </c>
      <c r="K512" s="1284" t="str">
        <f>IF(B512&lt;&gt;"",+VLOOKUP(I512,Recursos!C:F,3,FALSE),"")</f>
        <v>GL</v>
      </c>
      <c r="L512" s="1285">
        <f>IF(B512&lt;&gt;"",+VLOOKUP(I512,Recursos!C:F,4,FALSE),"")</f>
        <v>50000</v>
      </c>
      <c r="M512" s="1293"/>
      <c r="N512" s="1294">
        <v>1</v>
      </c>
      <c r="O512" s="1286">
        <f>N512</f>
        <v>1</v>
      </c>
      <c r="P512" s="1287">
        <f t="shared" si="335"/>
        <v>50000</v>
      </c>
      <c r="Q512" s="1281">
        <f t="shared" si="336"/>
        <v>0</v>
      </c>
      <c r="R512" s="1288">
        <f t="shared" si="337"/>
        <v>0</v>
      </c>
      <c r="S512" s="1289">
        <f t="shared" si="269"/>
        <v>0</v>
      </c>
      <c r="T512" s="1289">
        <f t="shared" si="270"/>
        <v>0</v>
      </c>
      <c r="U512" s="1290">
        <f t="shared" si="271"/>
        <v>0</v>
      </c>
      <c r="V512" s="1290">
        <f t="shared" si="272"/>
        <v>0</v>
      </c>
      <c r="W512" s="1290">
        <f t="shared" si="273"/>
        <v>50000</v>
      </c>
      <c r="X512" s="1290">
        <f t="shared" si="274"/>
        <v>0</v>
      </c>
      <c r="Y512" s="396"/>
      <c r="Z512" s="1291" t="str">
        <f t="shared" si="338"/>
        <v>0-ESTSUA</v>
      </c>
      <c r="AA512" s="1291" t="str">
        <f t="shared" si="339"/>
        <v>0-ESTSUE</v>
      </c>
      <c r="AB512" s="1291" t="str">
        <f t="shared" si="340"/>
        <v>0-ESTSUM</v>
      </c>
      <c r="AC512" s="1291" t="str">
        <f t="shared" si="341"/>
        <v>0-ESTSUT</v>
      </c>
      <c r="AD512" s="1291" t="str">
        <f t="shared" si="342"/>
        <v>0-ESTSUS</v>
      </c>
      <c r="AE512" s="1291" t="str">
        <f t="shared" si="343"/>
        <v>0-ESTSUX</v>
      </c>
      <c r="AF512" s="1291" t="str">
        <f t="shared" si="344"/>
        <v>0-ESTSUS</v>
      </c>
      <c r="AG512" s="1291">
        <f t="shared" si="275"/>
        <v>1</v>
      </c>
      <c r="AH512" s="1291">
        <f>IF(B512&lt;&gt;"",+IF(H512="x",+VLOOKUP(I512,'AUX-NIV2'!B:AG,32,FALSE),0),"")</f>
        <v>0</v>
      </c>
      <c r="AI512" s="1291" t="str">
        <f t="shared" si="345"/>
        <v>0-ESTSU</v>
      </c>
      <c r="AK512" s="347">
        <f t="shared" si="276"/>
        <v>512</v>
      </c>
      <c r="AL512" s="348">
        <f t="shared" si="346"/>
        <v>512</v>
      </c>
      <c r="AM512" s="347">
        <f t="shared" si="347"/>
        <v>1</v>
      </c>
      <c r="AN512" s="382">
        <f>IF(AND(AH512&gt;0,B512&lt;&gt;""),VLOOKUP(I512,'AUX-NIV2'!$B:$AP,40,FALSE)*O512,0)</f>
        <v>0</v>
      </c>
      <c r="AO512" s="382">
        <f t="shared" si="277"/>
        <v>0</v>
      </c>
      <c r="AQ512" s="395">
        <f>(IF($H512="x",VLOOKUP($I512,'AUX-NIV2'!$B:$X,'AUX-NIV1'!AQ$3,FALSE),0)+($AV512*'AUX-NIV3'!S$4))*$O512+IF($H512=AQ$4,$P512,0)</f>
        <v>0</v>
      </c>
      <c r="AR512" s="395">
        <f>(IF($H512="x",VLOOKUP($I512,'AUX-NIV2'!$B:$X,'AUX-NIV1'!AR$3,FALSE),0)+($AV512*'AUX-NIV3'!T$4))*$O512+IF($H512=AR$4,$P512,0)</f>
        <v>0</v>
      </c>
      <c r="AS512" s="395">
        <f>(IF($H512="x",VLOOKUP($I512,'AUX-NIV2'!$B:$X,'AUX-NIV1'!AS$3,FALSE),0)+($AV512*'AUX-NIV3'!U$4))*$O512+IF($H512=AS$4,$P512,0)</f>
        <v>0</v>
      </c>
      <c r="AT512" s="395">
        <f>(IF($H512="x",VLOOKUP($I512,'AUX-NIV2'!$B:$X,'AUX-NIV1'!AT$3,FALSE),0)+($AV512*'AUX-NIV3'!V$4))*$O512+IF($H512=AT$4,$P512,0)</f>
        <v>0</v>
      </c>
      <c r="AU512" s="395">
        <f>(IF($H512="x",VLOOKUP($I512,'AUX-NIV2'!$B:$X,'AUX-NIV1'!AU$3,FALSE),0)+($AV512*'AUX-NIV3'!W$4))*$O512+IF($H512=AU$4,$P512,0)</f>
        <v>50000</v>
      </c>
      <c r="AV512" s="395">
        <f>+IF($H512="x",VLOOKUP($I512,'AUX-NIV2'!$B:$X,'AUX-NIV1'!AV$3,FALSE),0)</f>
        <v>0</v>
      </c>
    </row>
    <row r="513" spans="2:48" ht="14.4" hidden="1" thickTop="1" thickBot="1">
      <c r="B513" s="501" t="s">
        <v>3693</v>
      </c>
      <c r="C513" s="951" t="s">
        <v>3694</v>
      </c>
      <c r="D513" s="1280" t="s">
        <v>1160</v>
      </c>
      <c r="E513" s="1281">
        <f>IF(B513&lt;&gt;"",+SUMIF(Items!C:C,'AUX-NIV1'!B513,Items!H:H),"")</f>
        <v>0</v>
      </c>
      <c r="F513" s="1281">
        <f t="shared" si="267"/>
        <v>6751.7487777591641</v>
      </c>
      <c r="G513" s="1281">
        <f t="shared" si="268"/>
        <v>0</v>
      </c>
      <c r="H513" s="1395" t="str">
        <f t="shared" si="334"/>
        <v>M</v>
      </c>
      <c r="I513" s="1375" t="s">
        <v>3695</v>
      </c>
      <c r="J513" s="1283" t="str">
        <f>IF(B513&lt;&gt;"",+VLOOKUP(I513,Recursos!C:F,2,FALSE),"")</f>
        <v>HORMIGON ELABORADO H21 TRANSPORTADO</v>
      </c>
      <c r="K513" s="1284" t="str">
        <f>IF(B513&lt;&gt;"",+VLOOKUP(I513,Recursos!C:F,3,FALSE),"")</f>
        <v>m3</v>
      </c>
      <c r="L513" s="1285">
        <f>IF(B513&lt;&gt;"",+VLOOKUP(I513,Recursos!C:F,4,FALSE),"")</f>
        <v>4400</v>
      </c>
      <c r="M513" s="743"/>
      <c r="N513" s="1292">
        <v>1.3</v>
      </c>
      <c r="O513" s="1286">
        <f>N513</f>
        <v>1.3</v>
      </c>
      <c r="P513" s="1287">
        <f t="shared" si="335"/>
        <v>5720</v>
      </c>
      <c r="Q513" s="1281">
        <f t="shared" si="336"/>
        <v>0</v>
      </c>
      <c r="R513" s="1288">
        <f t="shared" si="337"/>
        <v>0</v>
      </c>
      <c r="S513" s="1289">
        <f t="shared" si="269"/>
        <v>0</v>
      </c>
      <c r="T513" s="1289">
        <f t="shared" si="270"/>
        <v>0</v>
      </c>
      <c r="U513" s="1290">
        <f t="shared" si="271"/>
        <v>5720</v>
      </c>
      <c r="V513" s="1290">
        <f t="shared" si="272"/>
        <v>0</v>
      </c>
      <c r="W513" s="1290">
        <f t="shared" si="273"/>
        <v>0</v>
      </c>
      <c r="X513" s="1290">
        <f t="shared" si="274"/>
        <v>1031.7487777591643</v>
      </c>
      <c r="Y513" s="396"/>
      <c r="Z513" s="1291" t="str">
        <f t="shared" si="338"/>
        <v>0-HORLIMA</v>
      </c>
      <c r="AA513" s="1291" t="str">
        <f t="shared" si="339"/>
        <v>0-HORLIME</v>
      </c>
      <c r="AB513" s="1291" t="str">
        <f t="shared" si="340"/>
        <v>0-HORLIMM</v>
      </c>
      <c r="AC513" s="1291" t="str">
        <f t="shared" si="341"/>
        <v>0-HORLIMT</v>
      </c>
      <c r="AD513" s="1291" t="str">
        <f t="shared" si="342"/>
        <v>0-HORLIMS</v>
      </c>
      <c r="AE513" s="1291" t="str">
        <f t="shared" si="343"/>
        <v>0-HORLIMX</v>
      </c>
      <c r="AF513" s="1291" t="str">
        <f t="shared" si="344"/>
        <v>0-HORLIMM</v>
      </c>
      <c r="AG513" s="1291">
        <f t="shared" si="275"/>
        <v>2</v>
      </c>
      <c r="AH513" s="1291">
        <f>IF(B513&lt;&gt;"",+IF(H513="x",+VLOOKUP(I513,'AUX-NIV2'!B:AG,32,FALSE),0),"")</f>
        <v>0</v>
      </c>
      <c r="AI513" s="1291" t="str">
        <f t="shared" si="345"/>
        <v>0-HORLIM</v>
      </c>
      <c r="AK513" s="347">
        <f t="shared" si="276"/>
        <v>513</v>
      </c>
      <c r="AL513" s="348">
        <f t="shared" si="346"/>
        <v>514</v>
      </c>
      <c r="AM513" s="347">
        <f t="shared" si="347"/>
        <v>1</v>
      </c>
      <c r="AN513" s="382">
        <f>IF(AND(AH513&gt;0,B513&lt;&gt;""),VLOOKUP(I513,'AUX-NIV2'!$B:$AP,40,FALSE)*O513,0)</f>
        <v>0</v>
      </c>
      <c r="AO513" s="382">
        <f t="shared" si="277"/>
        <v>1.75</v>
      </c>
      <c r="AQ513" s="395">
        <f>(IF($H513="x",VLOOKUP($I513,'AUX-NIV2'!$B:$X,'AUX-NIV1'!AQ$3,FALSE),0)+($AV513*'AUX-NIV3'!S$4))*$O513+IF($H513=AQ$4,$P513,0)</f>
        <v>0</v>
      </c>
      <c r="AR513" s="395">
        <f>(IF($H513="x",VLOOKUP($I513,'AUX-NIV2'!$B:$X,'AUX-NIV1'!AR$3,FALSE),0)+($AV513*'AUX-NIV3'!T$4))*$O513+IF($H513=AR$4,$P513,0)</f>
        <v>0</v>
      </c>
      <c r="AS513" s="395">
        <f>(IF($H513="x",VLOOKUP($I513,'AUX-NIV2'!$B:$X,'AUX-NIV1'!AS$3,FALSE),0)+($AV513*'AUX-NIV3'!U$4))*$O513+IF($H513=AS$4,$P513,0)</f>
        <v>5720</v>
      </c>
      <c r="AT513" s="395">
        <f>(IF($H513="x",VLOOKUP($I513,'AUX-NIV2'!$B:$X,'AUX-NIV1'!AT$3,FALSE),0)+($AV513*'AUX-NIV3'!V$4))*$O513+IF($H513=AT$4,$P513,0)</f>
        <v>0</v>
      </c>
      <c r="AU513" s="395">
        <f>(IF($H513="x",VLOOKUP($I513,'AUX-NIV2'!$B:$X,'AUX-NIV1'!AU$3,FALSE),0)+($AV513*'AUX-NIV3'!W$4))*$O513+IF($H513=AU$4,$P513,0)</f>
        <v>0</v>
      </c>
      <c r="AV513" s="395">
        <f>+IF($H513="x",VLOOKUP($I513,'AUX-NIV2'!$B:$X,'AUX-NIV1'!AV$3,FALSE),0)</f>
        <v>0</v>
      </c>
    </row>
    <row r="514" spans="2:48" ht="14.4" hidden="1" thickTop="1" thickBot="1">
      <c r="B514" s="501" t="s">
        <v>3693</v>
      </c>
      <c r="C514" s="951" t="s">
        <v>3694</v>
      </c>
      <c r="D514" s="1280" t="s">
        <v>1160</v>
      </c>
      <c r="E514" s="1281">
        <f>IF(B514&lt;&gt;"",+SUMIF(Items!C:C,'AUX-NIV1'!B514,Items!H:H),"")</f>
        <v>0</v>
      </c>
      <c r="F514" s="1281">
        <f t="shared" si="267"/>
        <v>6751.7487777591641</v>
      </c>
      <c r="G514" s="1281">
        <f t="shared" si="268"/>
        <v>0</v>
      </c>
      <c r="H514" s="1395" t="str">
        <f t="shared" si="334"/>
        <v>X</v>
      </c>
      <c r="I514" s="1375" t="s">
        <v>2865</v>
      </c>
      <c r="J514" s="1283" t="str">
        <f>IF(B514&lt;&gt;"",+VLOOKUP(I514,Recursos!C:F,2,FALSE),"")</f>
        <v>Colado Hormigón desde Mixer</v>
      </c>
      <c r="K514" s="1284" t="str">
        <f>IF(B514&lt;&gt;"",+VLOOKUP(I514,Recursos!C:F,3,FALSE),"")</f>
        <v>m3</v>
      </c>
      <c r="L514" s="1285">
        <f>IF(B514&lt;&gt;"",+VLOOKUP(I514,Recursos!C:F,4,FALSE),"")</f>
        <v>1031.7487777591643</v>
      </c>
      <c r="M514" s="1335"/>
      <c r="N514" s="1331">
        <v>1</v>
      </c>
      <c r="O514" s="1286">
        <f>N514</f>
        <v>1</v>
      </c>
      <c r="P514" s="1287">
        <f t="shared" si="335"/>
        <v>1031.7487777591643</v>
      </c>
      <c r="Q514" s="1281">
        <f t="shared" si="336"/>
        <v>0</v>
      </c>
      <c r="R514" s="1288">
        <f t="shared" si="337"/>
        <v>0</v>
      </c>
      <c r="S514" s="1289">
        <f t="shared" si="269"/>
        <v>0</v>
      </c>
      <c r="T514" s="1289">
        <f t="shared" si="270"/>
        <v>0</v>
      </c>
      <c r="U514" s="1290">
        <f t="shared" si="271"/>
        <v>5720</v>
      </c>
      <c r="V514" s="1290">
        <f t="shared" si="272"/>
        <v>0</v>
      </c>
      <c r="W514" s="1290">
        <f t="shared" si="273"/>
        <v>0</v>
      </c>
      <c r="X514" s="1290">
        <f t="shared" si="274"/>
        <v>1031.7487777591643</v>
      </c>
      <c r="Y514" s="396"/>
      <c r="Z514" s="1291" t="str">
        <f t="shared" si="338"/>
        <v>0-HORLIMA</v>
      </c>
      <c r="AA514" s="1291" t="str">
        <f t="shared" si="339"/>
        <v>0-HORLIME</v>
      </c>
      <c r="AB514" s="1291" t="str">
        <f t="shared" si="340"/>
        <v>0-HORLIMM</v>
      </c>
      <c r="AC514" s="1291" t="str">
        <f t="shared" si="341"/>
        <v>0-HORLIMT</v>
      </c>
      <c r="AD514" s="1291" t="str">
        <f t="shared" si="342"/>
        <v>0-HORLIMS</v>
      </c>
      <c r="AE514" s="1291" t="str">
        <f t="shared" si="343"/>
        <v>0-HORLIMX</v>
      </c>
      <c r="AF514" s="1291" t="str">
        <f t="shared" si="344"/>
        <v>0-HORLIMX</v>
      </c>
      <c r="AG514" s="1291">
        <f t="shared" si="275"/>
        <v>2</v>
      </c>
      <c r="AH514" s="1291">
        <f>IF(B514&lt;&gt;"",+IF(H514="x",+VLOOKUP(I514,'AUX-NIV2'!B:AG,32,FALSE),0),"")</f>
        <v>8</v>
      </c>
      <c r="AI514" s="1291" t="str">
        <f t="shared" si="345"/>
        <v>0-HORLIM</v>
      </c>
      <c r="AK514" s="347">
        <f t="shared" si="276"/>
        <v>513</v>
      </c>
      <c r="AL514" s="348">
        <f t="shared" si="346"/>
        <v>514</v>
      </c>
      <c r="AM514" s="347">
        <f t="shared" si="347"/>
        <v>2</v>
      </c>
      <c r="AN514" s="382">
        <f>IF(AND(AH514&gt;0,B514&lt;&gt;""),VLOOKUP(I514,'AUX-NIV2'!$B:$AP,40,FALSE)*O514,0)</f>
        <v>1.75</v>
      </c>
      <c r="AO514" s="382">
        <f t="shared" si="277"/>
        <v>1.75</v>
      </c>
      <c r="AQ514" s="395">
        <f>(IF($H514="x",VLOOKUP($I514,'AUX-NIV2'!$B:$X,'AUX-NIV1'!AQ$3,FALSE),0)+($AV514*'AUX-NIV3'!S$4))*$O514+IF($H514=AQ$4,$P514,0)</f>
        <v>834.81258775916422</v>
      </c>
      <c r="AR514" s="395">
        <f>(IF($H514="x",VLOOKUP($I514,'AUX-NIV2'!$B:$X,'AUX-NIV1'!AR$3,FALSE),0)+($AV514*'AUX-NIV3'!T$4))*$O514+IF($H514=AR$4,$P514,0)</f>
        <v>196.93618999999998</v>
      </c>
      <c r="AS514" s="395">
        <f>(IF($H514="x",VLOOKUP($I514,'AUX-NIV2'!$B:$X,'AUX-NIV1'!AS$3,FALSE),0)+($AV514*'AUX-NIV3'!U$4))*$O514+IF($H514=AS$4,$P514,0)</f>
        <v>0</v>
      </c>
      <c r="AT514" s="395">
        <f>(IF($H514="x",VLOOKUP($I514,'AUX-NIV2'!$B:$X,'AUX-NIV1'!AT$3,FALSE),0)+($AV514*'AUX-NIV3'!V$4))*$O514+IF($H514=AT$4,$P514,0)</f>
        <v>0</v>
      </c>
      <c r="AU514" s="395">
        <f>(IF($H514="x",VLOOKUP($I514,'AUX-NIV2'!$B:$X,'AUX-NIV1'!AU$3,FALSE),0)+($AV514*'AUX-NIV3'!W$4))*$O514+IF($H514=AU$4,$P514,0)</f>
        <v>0</v>
      </c>
      <c r="AV514" s="395">
        <f>+IF($H514="x",VLOOKUP($I514,'AUX-NIV2'!$B:$X,'AUX-NIV1'!AV$3,FALSE),0)</f>
        <v>0</v>
      </c>
    </row>
    <row r="515" spans="2:48" ht="13.8" thickTop="1">
      <c r="B515" s="501" t="s">
        <v>3697</v>
      </c>
      <c r="C515" s="951" t="s">
        <v>4633</v>
      </c>
      <c r="D515" s="1280" t="s">
        <v>1160</v>
      </c>
      <c r="E515" s="1281">
        <f>IF(B515&lt;&gt;"",+SUMIF(Items!C:C,'AUX-NIV1'!B515,Items!H:H),"")</f>
        <v>7.61</v>
      </c>
      <c r="F515" s="1281">
        <f t="shared" si="267"/>
        <v>14084.506818268681</v>
      </c>
      <c r="G515" s="1281">
        <f t="shared" si="268"/>
        <v>107183.09688702466</v>
      </c>
      <c r="H515" s="1395" t="str">
        <f t="shared" si="334"/>
        <v>X</v>
      </c>
      <c r="I515" s="1375" t="s">
        <v>1254</v>
      </c>
      <c r="J515" s="1283" t="str">
        <f>IF(B515&lt;&gt;"",+VLOOKUP(I515,Recursos!C:F,2,FALSE),"")</f>
        <v>Producción de Hormigón - In Situ- Hormigonera 500 L(Sin Materiales)</v>
      </c>
      <c r="K515" s="1284" t="str">
        <f>IF(B515&lt;&gt;"",+VLOOKUP(I515,Recursos!C:F,3,FALSE),"")</f>
        <v>m3</v>
      </c>
      <c r="L515" s="1285">
        <f>IF(B515&lt;&gt;"",+VLOOKUP(I515,Recursos!C:F,4,FALSE),"")</f>
        <v>1555.538909786103</v>
      </c>
      <c r="M515" s="989"/>
      <c r="N515" s="1292">
        <v>1.05</v>
      </c>
      <c r="O515" s="1286">
        <f>N515</f>
        <v>1.05</v>
      </c>
      <c r="P515" s="1287">
        <f t="shared" si="335"/>
        <v>1633.3158552754082</v>
      </c>
      <c r="Q515" s="1281">
        <f t="shared" si="336"/>
        <v>7.9905000000000008</v>
      </c>
      <c r="R515" s="1288">
        <f t="shared" si="337"/>
        <v>12429.533658645858</v>
      </c>
      <c r="S515" s="1289">
        <f t="shared" si="269"/>
        <v>0</v>
      </c>
      <c r="T515" s="1289">
        <f t="shared" si="270"/>
        <v>0</v>
      </c>
      <c r="U515" s="1290">
        <f t="shared" si="271"/>
        <v>5879.9314919530234</v>
      </c>
      <c r="V515" s="1290">
        <f t="shared" si="272"/>
        <v>0</v>
      </c>
      <c r="W515" s="1290">
        <f t="shared" si="273"/>
        <v>0</v>
      </c>
      <c r="X515" s="1290">
        <f t="shared" si="274"/>
        <v>8204.5753263156585</v>
      </c>
      <c r="Y515" s="396"/>
      <c r="Z515" s="1291" t="str">
        <f t="shared" si="338"/>
        <v>0-HORBASA</v>
      </c>
      <c r="AA515" s="1291" t="str">
        <f t="shared" si="339"/>
        <v>0-HORBASE</v>
      </c>
      <c r="AB515" s="1291" t="str">
        <f t="shared" si="340"/>
        <v>0-HORBASM</v>
      </c>
      <c r="AC515" s="1291" t="str">
        <f t="shared" si="341"/>
        <v>0-HORBAST</v>
      </c>
      <c r="AD515" s="1291" t="str">
        <f t="shared" si="342"/>
        <v>0-HORBASS</v>
      </c>
      <c r="AE515" s="1291" t="str">
        <f t="shared" si="343"/>
        <v>0-HORBASX</v>
      </c>
      <c r="AF515" s="1291" t="str">
        <f t="shared" si="344"/>
        <v>0-HORBASX</v>
      </c>
      <c r="AG515" s="1291">
        <f t="shared" si="275"/>
        <v>7</v>
      </c>
      <c r="AH515" s="1291">
        <f>IF(B515&lt;&gt;"",+IF(H515="x",+VLOOKUP(I515,'AUX-NIV2'!B:AG,32,FALSE),0),"")</f>
        <v>4</v>
      </c>
      <c r="AI515" s="1291" t="str">
        <f t="shared" si="345"/>
        <v>0-HORBAS</v>
      </c>
      <c r="AK515" s="347">
        <f t="shared" si="276"/>
        <v>515</v>
      </c>
      <c r="AL515" s="348">
        <f t="shared" si="346"/>
        <v>521</v>
      </c>
      <c r="AM515" s="347">
        <f t="shared" si="347"/>
        <v>1</v>
      </c>
      <c r="AN515" s="382">
        <f>IF(AND(AH515&gt;0,B515&lt;&gt;""),VLOOKUP(I515,'AUX-NIV2'!$B:$AP,40,FALSE)*O515,0)</f>
        <v>3.1500000000000004</v>
      </c>
      <c r="AO515" s="382">
        <f t="shared" si="277"/>
        <v>8.5620345263157898</v>
      </c>
      <c r="AQ515" s="395">
        <f>(IF($H515="x",VLOOKUP($I515,'AUX-NIV2'!$B:$X,'AUX-NIV1'!AQ$3,FALSE),0)+($AV515*'AUX-NIV3'!S$4))*$O515+IF($H515=AQ$4,$P515,0)</f>
        <v>1408.9706502754082</v>
      </c>
      <c r="AR515" s="395">
        <f>(IF($H515="x",VLOOKUP($I515,'AUX-NIV2'!$B:$X,'AUX-NIV1'!AR$3,FALSE),0)+($AV515*'AUX-NIV3'!T$4))*$O515+IF($H515=AR$4,$P515,0)</f>
        <v>223.82020499999999</v>
      </c>
      <c r="AS515" s="395">
        <f>(IF($H515="x",VLOOKUP($I515,'AUX-NIV2'!$B:$X,'AUX-NIV1'!AS$3,FALSE),0)+($AV515*'AUX-NIV3'!U$4))*$O515+IF($H515=AS$4,$P515,0)</f>
        <v>0.52500000000000002</v>
      </c>
      <c r="AT515" s="395">
        <f>(IF($H515="x",VLOOKUP($I515,'AUX-NIV2'!$B:$X,'AUX-NIV1'!AT$3,FALSE),0)+($AV515*'AUX-NIV3'!V$4))*$O515+IF($H515=AT$4,$P515,0)</f>
        <v>0</v>
      </c>
      <c r="AU515" s="395">
        <f>(IF($H515="x",VLOOKUP($I515,'AUX-NIV2'!$B:$X,'AUX-NIV1'!AU$3,FALSE),0)+($AV515*'AUX-NIV3'!W$4))*$O515+IF($H515=AU$4,$P515,0)</f>
        <v>0</v>
      </c>
      <c r="AV515" s="395">
        <f>+IF($H515="x",VLOOKUP($I515,'AUX-NIV2'!$B:$X,'AUX-NIV1'!AV$3,FALSE),0)</f>
        <v>0</v>
      </c>
    </row>
    <row r="516" spans="2:48">
      <c r="B516" s="501" t="s">
        <v>3697</v>
      </c>
      <c r="C516" s="951" t="s">
        <v>4633</v>
      </c>
      <c r="D516" s="1280" t="s">
        <v>1160</v>
      </c>
      <c r="E516" s="1281">
        <f>IF(B516&lt;&gt;"",+SUMIF(Items!C:C,'AUX-NIV1'!B516,Items!H:H),"")</f>
        <v>7.61</v>
      </c>
      <c r="F516" s="1281">
        <f t="shared" si="267"/>
        <v>14084.506818268681</v>
      </c>
      <c r="G516" s="1281">
        <f t="shared" si="268"/>
        <v>107183.09688702466</v>
      </c>
      <c r="H516" s="1395" t="str">
        <f t="shared" ref="H516" si="396">IF(B516&lt;&gt;"",+LEFT(I516,1),"")</f>
        <v>X</v>
      </c>
      <c r="I516" s="1375" t="s">
        <v>1262</v>
      </c>
      <c r="J516" s="1283" t="str">
        <f>IF(B516&lt;&gt;"",+VLOOKUP(I516,Recursos!C:F,2,FALSE),"")</f>
        <v xml:space="preserve">Materiales Dosificación Hormigón H17 </v>
      </c>
      <c r="K516" s="1284" t="str">
        <f>IF(B516&lt;&gt;"",+VLOOKUP(I516,Recursos!C:F,3,FALSE),"")</f>
        <v>m3</v>
      </c>
      <c r="L516" s="1285">
        <f>IF(B516&lt;&gt;"",+VLOOKUP(I516,Recursos!C:F,4,FALSE),"")</f>
        <v>5756.0283072512138</v>
      </c>
      <c r="M516" s="1336"/>
      <c r="N516" s="1337"/>
      <c r="O516" s="1286">
        <f>N515</f>
        <v>1.05</v>
      </c>
      <c r="P516" s="1287">
        <f t="shared" ref="P516" si="397">IF(B516&lt;&gt;"",O516*L516,"")</f>
        <v>6043.8297226137747</v>
      </c>
      <c r="Q516" s="1281">
        <f t="shared" ref="Q516" si="398">IF(B516&lt;&gt;"",+O516*E516,"")</f>
        <v>7.9905000000000008</v>
      </c>
      <c r="R516" s="1288">
        <f t="shared" ref="R516" si="399">IF(B516&lt;&gt;"",Q516*L516,"")</f>
        <v>45993.544189090826</v>
      </c>
      <c r="S516" s="1289">
        <f t="shared" si="269"/>
        <v>0</v>
      </c>
      <c r="T516" s="1289">
        <f t="shared" si="270"/>
        <v>0</v>
      </c>
      <c r="U516" s="1290">
        <f t="shared" si="271"/>
        <v>5879.9314919530234</v>
      </c>
      <c r="V516" s="1290">
        <f t="shared" si="272"/>
        <v>0</v>
      </c>
      <c r="W516" s="1290">
        <f t="shared" si="273"/>
        <v>0</v>
      </c>
      <c r="X516" s="1290">
        <f t="shared" si="274"/>
        <v>8204.5753263156585</v>
      </c>
      <c r="Y516" s="396"/>
      <c r="Z516" s="1291" t="str">
        <f t="shared" ref="Z516" si="400">IF(B516&lt;&gt;"",+$B516&amp;"A","")</f>
        <v>0-HORBASA</v>
      </c>
      <c r="AA516" s="1291" t="str">
        <f t="shared" ref="AA516" si="401">IF(B516&lt;&gt;"",+$B516&amp;"E","")</f>
        <v>0-HORBASE</v>
      </c>
      <c r="AB516" s="1291" t="str">
        <f t="shared" ref="AB516" si="402">IF(B516&lt;&gt;"",++$B516&amp;"M","")</f>
        <v>0-HORBASM</v>
      </c>
      <c r="AC516" s="1291" t="str">
        <f t="shared" ref="AC516" si="403">IF(B516&lt;&gt;"",+$B516&amp;"T","")</f>
        <v>0-HORBAST</v>
      </c>
      <c r="AD516" s="1291" t="str">
        <f t="shared" ref="AD516" si="404">IF(B516&lt;&gt;"",+$B516&amp;"S","")</f>
        <v>0-HORBASS</v>
      </c>
      <c r="AE516" s="1291" t="str">
        <f t="shared" ref="AE516" si="405">IF(B516&lt;&gt;"",+$B516&amp;"X","")</f>
        <v>0-HORBASX</v>
      </c>
      <c r="AF516" s="1291" t="str">
        <f t="shared" ref="AF516" si="406">IF(B516&lt;&gt;"",+B516&amp;H516,"")</f>
        <v>0-HORBASX</v>
      </c>
      <c r="AG516" s="1291">
        <f t="shared" si="275"/>
        <v>7</v>
      </c>
      <c r="AH516" s="1291">
        <f>IF(B516&lt;&gt;"",+IF(H516="x",+VLOOKUP(I516,'AUX-NIV2'!B:AG,32,FALSE),0),"")</f>
        <v>13</v>
      </c>
      <c r="AI516" s="1291" t="str">
        <f t="shared" ref="AI516" si="407">IF(B516&lt;&gt;"",+B516,"")</f>
        <v>0-HORBAS</v>
      </c>
      <c r="AK516" s="347">
        <f t="shared" si="276"/>
        <v>515</v>
      </c>
      <c r="AL516" s="348">
        <f t="shared" ref="AL516" si="408">IF(B516&lt;&gt;"",+AK516+AG516-1,"")</f>
        <v>521</v>
      </c>
      <c r="AM516" s="347">
        <f>IF(B516&lt;&gt;"",IF(B516=B514,1+AM514,1),"")</f>
        <v>1</v>
      </c>
      <c r="AN516" s="382">
        <f>IF(AND(AH516&gt;0,B516&lt;&gt;""),VLOOKUP(I516,'AUX-NIV2'!$B:$AP,40,FALSE)*O516,0)</f>
        <v>4.352824</v>
      </c>
      <c r="AO516" s="382">
        <f t="shared" si="277"/>
        <v>8.5620345263157898</v>
      </c>
      <c r="AQ516" s="395">
        <f>(IF($H516="x",VLOOKUP($I516,'AUX-NIV2'!$B:$X,'AUX-NIV1'!AQ$3,FALSE),0)+($AV516*'AUX-NIV3'!S$4))*$O516+IF($H516=AQ$4,$P516,0)</f>
        <v>1857.0299958884846</v>
      </c>
      <c r="AR516" s="395">
        <f>(IF($H516="x",VLOOKUP($I516,'AUX-NIV2'!$B:$X,'AUX-NIV1'!AR$3,FALSE),0)+($AV516*'AUX-NIV3'!T$4))*$O516+IF($H516=AR$4,$P516,0)</f>
        <v>714.46534656000017</v>
      </c>
      <c r="AS516" s="395">
        <f>(IF($H516="x",VLOOKUP($I516,'AUX-NIV2'!$B:$X,'AUX-NIV1'!AS$3,FALSE),0)+($AV516*'AUX-NIV3'!U$4))*$O516+IF($H516=AS$4,$P516,0)</f>
        <v>3472.3343801652895</v>
      </c>
      <c r="AT516" s="395">
        <f>(IF($H516="x",VLOOKUP($I516,'AUX-NIV2'!$B:$X,'AUX-NIV1'!AT$3,FALSE),0)+($AV516*'AUX-NIV3'!V$4))*$O516+IF($H516=AT$4,$P516,0)</f>
        <v>0</v>
      </c>
      <c r="AU516" s="395">
        <f>(IF($H516="x",VLOOKUP($I516,'AUX-NIV2'!$B:$X,'AUX-NIV1'!AU$3,FALSE),0)+($AV516*'AUX-NIV3'!W$4))*$O516+IF($H516=AU$4,$P516,0)</f>
        <v>0</v>
      </c>
      <c r="AV516" s="395">
        <f>+IF($H516="x",VLOOKUP($I516,'AUX-NIV2'!$B:$X,'AUX-NIV1'!AV$3,FALSE),0)</f>
        <v>760.32147249758168</v>
      </c>
    </row>
    <row r="517" spans="2:48">
      <c r="B517" s="501" t="s">
        <v>3697</v>
      </c>
      <c r="C517" s="951" t="s">
        <v>4633</v>
      </c>
      <c r="D517" s="1280" t="s">
        <v>1160</v>
      </c>
      <c r="E517" s="1281">
        <f>IF(B517&lt;&gt;"",+SUMIF(Items!C:C,'AUX-NIV1'!B517,Items!H:H),"")</f>
        <v>7.61</v>
      </c>
      <c r="F517" s="1281">
        <f t="shared" si="267"/>
        <v>14084.506818268681</v>
      </c>
      <c r="G517" s="1281">
        <f t="shared" si="268"/>
        <v>107183.09688702466</v>
      </c>
      <c r="H517" s="1395" t="str">
        <f t="shared" si="334"/>
        <v>X</v>
      </c>
      <c r="I517" s="1375" t="s">
        <v>2865</v>
      </c>
      <c r="J517" s="1283" t="str">
        <f>IF(B517&lt;&gt;"",+VLOOKUP(I517,Recursos!C:F,2,FALSE),"")</f>
        <v>Colado Hormigón desde Mixer</v>
      </c>
      <c r="K517" s="1284" t="str">
        <f>IF(B517&lt;&gt;"",+VLOOKUP(I517,Recursos!C:F,3,FALSE),"")</f>
        <v>m3</v>
      </c>
      <c r="L517" s="1285">
        <f>IF(B517&lt;&gt;"",+VLOOKUP(I517,Recursos!C:F,4,FALSE),"")</f>
        <v>1031.7487777591643</v>
      </c>
      <c r="M517" s="1336"/>
      <c r="N517" s="1337"/>
      <c r="O517" s="1286">
        <f>N517</f>
        <v>0</v>
      </c>
      <c r="P517" s="1287">
        <f t="shared" si="335"/>
        <v>0</v>
      </c>
      <c r="Q517" s="1281">
        <f t="shared" si="336"/>
        <v>0</v>
      </c>
      <c r="R517" s="1288">
        <f t="shared" si="337"/>
        <v>0</v>
      </c>
      <c r="S517" s="1289">
        <f t="shared" si="269"/>
        <v>0</v>
      </c>
      <c r="T517" s="1289">
        <f t="shared" si="270"/>
        <v>0</v>
      </c>
      <c r="U517" s="1290">
        <f t="shared" si="271"/>
        <v>5879.9314919530234</v>
      </c>
      <c r="V517" s="1290">
        <f t="shared" si="272"/>
        <v>0</v>
      </c>
      <c r="W517" s="1290">
        <f t="shared" si="273"/>
        <v>0</v>
      </c>
      <c r="X517" s="1290">
        <f t="shared" si="274"/>
        <v>8204.5753263156585</v>
      </c>
      <c r="Y517" s="396"/>
      <c r="Z517" s="1291" t="str">
        <f t="shared" si="338"/>
        <v>0-HORBASA</v>
      </c>
      <c r="AA517" s="1291" t="str">
        <f t="shared" si="339"/>
        <v>0-HORBASE</v>
      </c>
      <c r="AB517" s="1291" t="str">
        <f t="shared" si="340"/>
        <v>0-HORBASM</v>
      </c>
      <c r="AC517" s="1291" t="str">
        <f t="shared" si="341"/>
        <v>0-HORBAST</v>
      </c>
      <c r="AD517" s="1291" t="str">
        <f t="shared" si="342"/>
        <v>0-HORBASS</v>
      </c>
      <c r="AE517" s="1291" t="str">
        <f t="shared" si="343"/>
        <v>0-HORBASX</v>
      </c>
      <c r="AF517" s="1291" t="str">
        <f t="shared" si="344"/>
        <v>0-HORBASX</v>
      </c>
      <c r="AG517" s="1291">
        <f t="shared" si="275"/>
        <v>7</v>
      </c>
      <c r="AH517" s="1291">
        <f>IF(B517&lt;&gt;"",+IF(H517="x",+VLOOKUP(I517,'AUX-NIV2'!B:AG,32,FALSE),0),"")</f>
        <v>8</v>
      </c>
      <c r="AI517" s="1291" t="str">
        <f t="shared" si="345"/>
        <v>0-HORBAS</v>
      </c>
      <c r="AK517" s="347">
        <f t="shared" si="276"/>
        <v>515</v>
      </c>
      <c r="AL517" s="348">
        <f t="shared" si="346"/>
        <v>521</v>
      </c>
      <c r="AM517" s="347">
        <f>IF(B517&lt;&gt;"",IF(B517=B515,1+AM515,1),"")</f>
        <v>2</v>
      </c>
      <c r="AN517" s="382">
        <f>IF(AND(AH517&gt;0,B517&lt;&gt;""),VLOOKUP(I517,'AUX-NIV2'!$B:$AP,40,FALSE)*O517,0)</f>
        <v>0</v>
      </c>
      <c r="AO517" s="382">
        <f t="shared" si="277"/>
        <v>8.5620345263157898</v>
      </c>
      <c r="AQ517" s="395">
        <f>(IF($H517="x",VLOOKUP($I517,'AUX-NIV2'!$B:$X,'AUX-NIV1'!AQ$3,FALSE),0)+($AV517*'AUX-NIV3'!S$4))*$O517+IF($H517=AQ$4,$P517,0)</f>
        <v>0</v>
      </c>
      <c r="AR517" s="395">
        <f>(IF($H517="x",VLOOKUP($I517,'AUX-NIV2'!$B:$X,'AUX-NIV1'!AR$3,FALSE),0)+($AV517*'AUX-NIV3'!T$4))*$O517+IF($H517=AR$4,$P517,0)</f>
        <v>0</v>
      </c>
      <c r="AS517" s="395">
        <f>(IF($H517="x",VLOOKUP($I517,'AUX-NIV2'!$B:$X,'AUX-NIV1'!AS$3,FALSE),0)+($AV517*'AUX-NIV3'!U$4))*$O517+IF($H517=AS$4,$P517,0)</f>
        <v>0</v>
      </c>
      <c r="AT517" s="395">
        <f>(IF($H517="x",VLOOKUP($I517,'AUX-NIV2'!$B:$X,'AUX-NIV1'!AT$3,FALSE),0)+($AV517*'AUX-NIV3'!V$4))*$O517+IF($H517=AT$4,$P517,0)</f>
        <v>0</v>
      </c>
      <c r="AU517" s="395">
        <f>(IF($H517="x",VLOOKUP($I517,'AUX-NIV2'!$B:$X,'AUX-NIV1'!AU$3,FALSE),0)+($AV517*'AUX-NIV3'!W$4))*$O517+IF($H517=AU$4,$P517,0)</f>
        <v>0</v>
      </c>
      <c r="AV517" s="395">
        <f>+IF($H517="x",VLOOKUP($I517,'AUX-NIV2'!$B:$X,'AUX-NIV1'!AV$3,FALSE),0)</f>
        <v>0</v>
      </c>
    </row>
    <row r="518" spans="2:48">
      <c r="B518" s="501" t="s">
        <v>3697</v>
      </c>
      <c r="C518" s="951" t="s">
        <v>4633</v>
      </c>
      <c r="D518" s="1280" t="s">
        <v>1160</v>
      </c>
      <c r="E518" s="1281">
        <f>IF(B518&lt;&gt;"",+SUMIF(Items!C:C,'AUX-NIV1'!B518,Items!H:H),"")</f>
        <v>7.61</v>
      </c>
      <c r="F518" s="1281">
        <f t="shared" si="267"/>
        <v>14084.506818268681</v>
      </c>
      <c r="G518" s="1281">
        <f t="shared" si="268"/>
        <v>107183.09688702466</v>
      </c>
      <c r="H518" s="1395" t="str">
        <f t="shared" si="334"/>
        <v>M</v>
      </c>
      <c r="I518" s="1375" t="s">
        <v>1751</v>
      </c>
      <c r="J518" s="1283" t="str">
        <f>IF(B518&lt;&gt;"",+VLOOKUP(I518,Recursos!C:F,2,FALSE),"")</f>
        <v>ACERO TIPO ADN 420</v>
      </c>
      <c r="K518" s="1284" t="str">
        <f>IF(B518&lt;&gt;"",+VLOOKUP(I518,Recursos!C:F,3,FALSE),"")</f>
        <v>tn</v>
      </c>
      <c r="L518" s="1285">
        <f>IF(B518&lt;&gt;"",+VLOOKUP(I518,Recursos!C:F,4,FALSE),"")</f>
        <v>185041.32231404958</v>
      </c>
      <c r="M518" s="441">
        <v>1.05</v>
      </c>
      <c r="N518" s="497">
        <f>230/7.6/1000</f>
        <v>3.0263157894736843E-2</v>
      </c>
      <c r="O518" s="439">
        <f>N518*M518</f>
        <v>3.1776315789473687E-2</v>
      </c>
      <c r="P518" s="1287">
        <f>IF(B518&lt;&gt;"",O518*L518,"")</f>
        <v>5879.9314919530234</v>
      </c>
      <c r="Q518" s="1281">
        <f>IF(B518&lt;&gt;"",+O518*E518,"")</f>
        <v>0.24181776315789477</v>
      </c>
      <c r="R518" s="1288">
        <f>IF(B518&lt;&gt;"",Q518*L518,"")</f>
        <v>44746.278653762514</v>
      </c>
      <c r="S518" s="1289">
        <f t="shared" si="269"/>
        <v>0</v>
      </c>
      <c r="T518" s="1289">
        <f t="shared" si="270"/>
        <v>0</v>
      </c>
      <c r="U518" s="1290">
        <f t="shared" si="271"/>
        <v>5879.9314919530234</v>
      </c>
      <c r="V518" s="1290">
        <f t="shared" si="272"/>
        <v>0</v>
      </c>
      <c r="W518" s="1290">
        <f t="shared" si="273"/>
        <v>0</v>
      </c>
      <c r="X518" s="1290">
        <f t="shared" si="274"/>
        <v>8204.5753263156585</v>
      </c>
      <c r="Y518" s="396"/>
      <c r="Z518" s="1291" t="str">
        <f t="shared" si="338"/>
        <v>0-HORBASA</v>
      </c>
      <c r="AA518" s="1291" t="str">
        <f t="shared" si="339"/>
        <v>0-HORBASE</v>
      </c>
      <c r="AB518" s="1291" t="str">
        <f t="shared" si="340"/>
        <v>0-HORBASM</v>
      </c>
      <c r="AC518" s="1291" t="str">
        <f t="shared" si="341"/>
        <v>0-HORBAST</v>
      </c>
      <c r="AD518" s="1291" t="str">
        <f t="shared" si="342"/>
        <v>0-HORBASS</v>
      </c>
      <c r="AE518" s="1291" t="str">
        <f t="shared" si="343"/>
        <v>0-HORBASX</v>
      </c>
      <c r="AF518" s="1291" t="str">
        <f t="shared" si="344"/>
        <v>0-HORBASM</v>
      </c>
      <c r="AG518" s="1291">
        <f t="shared" si="275"/>
        <v>7</v>
      </c>
      <c r="AH518" s="1291">
        <f>IF(B518&lt;&gt;"",+IF(H518="x",+VLOOKUP(I518,'AUX-NIV2'!B:AG,32,FALSE),0),"")</f>
        <v>0</v>
      </c>
      <c r="AI518" s="1291" t="str">
        <f t="shared" si="345"/>
        <v>0-HORBAS</v>
      </c>
      <c r="AK518" s="347">
        <f t="shared" si="276"/>
        <v>515</v>
      </c>
      <c r="AL518" s="348">
        <f t="shared" si="346"/>
        <v>521</v>
      </c>
      <c r="AM518" s="347">
        <f t="shared" si="347"/>
        <v>3</v>
      </c>
      <c r="AN518" s="382">
        <f>IF(AND(AH518&gt;0,B518&lt;&gt;""),VLOOKUP(I518,'AUX-NIV2'!$B:$AP,40,FALSE)*O518,0)</f>
        <v>0</v>
      </c>
      <c r="AO518" s="382">
        <f t="shared" si="277"/>
        <v>8.5620345263157898</v>
      </c>
      <c r="AQ518" s="395">
        <f>(IF($H518="x",VLOOKUP($I518,'AUX-NIV2'!$B:$X,'AUX-NIV1'!AQ$3,FALSE),0)+($AV518*'AUX-NIV3'!S$4))*$O518+IF($H518=AQ$4,$P518,0)</f>
        <v>0</v>
      </c>
      <c r="AR518" s="395">
        <f>(IF($H518="x",VLOOKUP($I518,'AUX-NIV2'!$B:$X,'AUX-NIV1'!AR$3,FALSE),0)+($AV518*'AUX-NIV3'!T$4))*$O518+IF($H518=AR$4,$P518,0)</f>
        <v>0</v>
      </c>
      <c r="AS518" s="395">
        <f>(IF($H518="x",VLOOKUP($I518,'AUX-NIV2'!$B:$X,'AUX-NIV1'!AS$3,FALSE),0)+($AV518*'AUX-NIV3'!U$4))*$O518+IF($H518=AS$4,$P518,0)</f>
        <v>5879.9314919530234</v>
      </c>
      <c r="AT518" s="395">
        <f>(IF($H518="x",VLOOKUP($I518,'AUX-NIV2'!$B:$X,'AUX-NIV1'!AT$3,FALSE),0)+($AV518*'AUX-NIV3'!V$4))*$O518+IF($H518=AT$4,$P518,0)</f>
        <v>0</v>
      </c>
      <c r="AU518" s="395">
        <f>(IF($H518="x",VLOOKUP($I518,'AUX-NIV2'!$B:$X,'AUX-NIV1'!AU$3,FALSE),0)+($AV518*'AUX-NIV3'!W$4))*$O518+IF($H518=AU$4,$P518,0)</f>
        <v>0</v>
      </c>
      <c r="AV518" s="395">
        <f>+IF($H518="x",VLOOKUP($I518,'AUX-NIV2'!$B:$X,'AUX-NIV1'!AV$3,FALSE),0)</f>
        <v>0</v>
      </c>
    </row>
    <row r="519" spans="2:48">
      <c r="B519" s="501" t="s">
        <v>3697</v>
      </c>
      <c r="C519" s="951" t="s">
        <v>4633</v>
      </c>
      <c r="D519" s="1280" t="s">
        <v>1160</v>
      </c>
      <c r="E519" s="1281">
        <f>IF(B519&lt;&gt;"",+SUMIF(Items!C:C,'AUX-NIV1'!B519,Items!H:H),"")</f>
        <v>7.61</v>
      </c>
      <c r="F519" s="1281">
        <f t="shared" ref="F519:F582" si="409">IF(B519&lt;&gt;"",+SUMIF(B:B,B519,P:P),"")</f>
        <v>14084.506818268681</v>
      </c>
      <c r="G519" s="1281">
        <f t="shared" ref="G519:G582" si="410">IF(B519&lt;&gt;"",+SUMIF(B:B,B519,R:R),"")</f>
        <v>107183.09688702466</v>
      </c>
      <c r="H519" s="1395" t="str">
        <f t="shared" si="334"/>
        <v>X</v>
      </c>
      <c r="I519" s="1375" t="s">
        <v>2883</v>
      </c>
      <c r="J519" s="1283" t="str">
        <f>IF(B519&lt;&gt;"",+VLOOKUP(I519,Recursos!C:F,2,FALSE),"")</f>
        <v>Corte y doblado de acero</v>
      </c>
      <c r="K519" s="1284" t="str">
        <f>IF(B519&lt;&gt;"",+VLOOKUP(I519,Recursos!C:F,3,FALSE),"")</f>
        <v>tn</v>
      </c>
      <c r="L519" s="1285">
        <f>IF(B519&lt;&gt;"",+VLOOKUP(I519,Recursos!C:F,4,FALSE),"")</f>
        <v>17428.113426266111</v>
      </c>
      <c r="M519" s="441">
        <v>1</v>
      </c>
      <c r="N519" s="442"/>
      <c r="O519" s="439">
        <f>N518*M519</f>
        <v>3.0263157894736843E-2</v>
      </c>
      <c r="P519" s="1287">
        <f t="shared" si="335"/>
        <v>527.42974842647436</v>
      </c>
      <c r="Q519" s="1281">
        <f t="shared" si="336"/>
        <v>0.23030263157894737</v>
      </c>
      <c r="R519" s="1288">
        <f t="shared" si="337"/>
        <v>4013.7403855254702</v>
      </c>
      <c r="S519" s="1289">
        <f t="shared" ref="S519:S582" si="411">IF(B519&lt;&gt;"",+SUMIF($AF:$AF,Z519,$P:$P),"")</f>
        <v>0</v>
      </c>
      <c r="T519" s="1289">
        <f t="shared" ref="T519:T582" si="412">IF(B519&lt;&gt;"",+SUMIF($AF:$AF,AA519,$P:$P),"")</f>
        <v>0</v>
      </c>
      <c r="U519" s="1290">
        <f t="shared" ref="U519:U582" si="413">IF(B519&lt;&gt;"",+SUMIF($AF:$AF,AB519,$P:$P),"")</f>
        <v>5879.9314919530234</v>
      </c>
      <c r="V519" s="1290">
        <f t="shared" ref="V519:V582" si="414">IF(B519&lt;&gt;"",+SUMIF($AF:$AF,AC519,$P:$P),"")</f>
        <v>0</v>
      </c>
      <c r="W519" s="1290">
        <f t="shared" ref="W519:W582" si="415">IF(B519&lt;&gt;"",+SUMIF($AF:$AF,AD519,$P:$P),"")</f>
        <v>0</v>
      </c>
      <c r="X519" s="1290">
        <f t="shared" ref="X519:X582" si="416">IF(B519&lt;&gt;"",+SUMIF($AF:$AF,AE519,$P:$P),"")</f>
        <v>8204.5753263156585</v>
      </c>
      <c r="Y519" s="396"/>
      <c r="Z519" s="1291" t="str">
        <f t="shared" si="338"/>
        <v>0-HORBASA</v>
      </c>
      <c r="AA519" s="1291" t="str">
        <f t="shared" si="339"/>
        <v>0-HORBASE</v>
      </c>
      <c r="AB519" s="1291" t="str">
        <f t="shared" si="340"/>
        <v>0-HORBASM</v>
      </c>
      <c r="AC519" s="1291" t="str">
        <f t="shared" si="341"/>
        <v>0-HORBAST</v>
      </c>
      <c r="AD519" s="1291" t="str">
        <f t="shared" si="342"/>
        <v>0-HORBASS</v>
      </c>
      <c r="AE519" s="1291" t="str">
        <f t="shared" si="343"/>
        <v>0-HORBASX</v>
      </c>
      <c r="AF519" s="1291" t="str">
        <f t="shared" si="344"/>
        <v>0-HORBASX</v>
      </c>
      <c r="AG519" s="1291">
        <f t="shared" ref="AG519:AG582" si="417">IF(B519&lt;&gt;"",+COUNTIF(B:B,B519),"")</f>
        <v>7</v>
      </c>
      <c r="AH519" s="1291">
        <f>IF(B519&lt;&gt;"",+IF(H519="x",+VLOOKUP(I519,'AUX-NIV2'!B:AG,32,FALSE),0),"")</f>
        <v>4</v>
      </c>
      <c r="AI519" s="1291" t="str">
        <f t="shared" si="345"/>
        <v>0-HORBAS</v>
      </c>
      <c r="AK519" s="347">
        <f t="shared" ref="AK519:AK582" si="418">IF(B519&lt;&gt;"",+MATCH(B519,B:B,0),"")</f>
        <v>515</v>
      </c>
      <c r="AL519" s="348">
        <f t="shared" si="346"/>
        <v>521</v>
      </c>
      <c r="AM519" s="347">
        <f t="shared" si="347"/>
        <v>4</v>
      </c>
      <c r="AN519" s="382">
        <f>IF(AND(AH519&gt;0,B519&lt;&gt;""),VLOOKUP(I519,'AUX-NIV2'!$B:$AP,40,FALSE)*O519,0)</f>
        <v>1.0592105263157894</v>
      </c>
      <c r="AO519" s="382">
        <f t="shared" ref="AO519:AO582" si="419">+IF(B519&lt;&gt;"",SUMIF(AF:AF,Z519,O:O)+SUMIF(Z:Z,Z519,AN:AN),0)</f>
        <v>8.5620345263157898</v>
      </c>
      <c r="AQ519" s="395">
        <f>(IF($H519="x",VLOOKUP($I519,'AUX-NIV2'!$B:$X,'AUX-NIV1'!AQ$3,FALSE),0)+($AV519*'AUX-NIV3'!S$4))*$O519+IF($H519=AQ$4,$P519,0)</f>
        <v>515.07533910015866</v>
      </c>
      <c r="AR519" s="395">
        <f>(IF($H519="x",VLOOKUP($I519,'AUX-NIV2'!$B:$X,'AUX-NIV1'!AR$3,FALSE),0)+($AV519*'AUX-NIV3'!T$4))*$O519+IF($H519=AR$4,$P519,0)</f>
        <v>12.354409326315789</v>
      </c>
      <c r="AS519" s="395">
        <f>(IF($H519="x",VLOOKUP($I519,'AUX-NIV2'!$B:$X,'AUX-NIV1'!AS$3,FALSE),0)+($AV519*'AUX-NIV3'!U$4))*$O519+IF($H519=AS$4,$P519,0)</f>
        <v>0</v>
      </c>
      <c r="AT519" s="395">
        <f>(IF($H519="x",VLOOKUP($I519,'AUX-NIV2'!$B:$X,'AUX-NIV1'!AT$3,FALSE),0)+($AV519*'AUX-NIV3'!V$4))*$O519+IF($H519=AT$4,$P519,0)</f>
        <v>0</v>
      </c>
      <c r="AU519" s="395">
        <f>(IF($H519="x",VLOOKUP($I519,'AUX-NIV2'!$B:$X,'AUX-NIV1'!AU$3,FALSE),0)+($AV519*'AUX-NIV3'!W$4))*$O519+IF($H519=AU$4,$P519,0)</f>
        <v>0</v>
      </c>
      <c r="AV519" s="395">
        <f>+IF($H519="x",VLOOKUP($I519,'AUX-NIV2'!$B:$X,'AUX-NIV1'!AV$3,FALSE),0)</f>
        <v>0</v>
      </c>
    </row>
    <row r="520" spans="2:48">
      <c r="B520" s="501" t="s">
        <v>3697</v>
      </c>
      <c r="C520" s="951" t="s">
        <v>4633</v>
      </c>
      <c r="D520" s="1280" t="s">
        <v>1160</v>
      </c>
      <c r="E520" s="1281">
        <f>IF(B520&lt;&gt;"",+SUMIF(Items!C:C,'AUX-NIV1'!B520,Items!H:H),"")</f>
        <v>7.61</v>
      </c>
      <c r="F520" s="1281">
        <f t="shared" si="409"/>
        <v>14084.506818268681</v>
      </c>
      <c r="G520" s="1281">
        <f t="shared" si="410"/>
        <v>107183.09688702466</v>
      </c>
      <c r="H520" s="1395" t="str">
        <f t="shared" si="334"/>
        <v>X</v>
      </c>
      <c r="I520" s="1375" t="s">
        <v>2884</v>
      </c>
      <c r="J520" s="1283" t="str">
        <f>IF(B520&lt;&gt;"",+VLOOKUP(I520,Recursos!C:F,2,FALSE),"")</f>
        <v>Colocación de acero manual</v>
      </c>
      <c r="K520" s="1284" t="str">
        <f>IF(B520&lt;&gt;"",+VLOOKUP(I520,Recursos!C:F,3,FALSE),"")</f>
        <v>tn</v>
      </c>
      <c r="L520" s="1285">
        <f>IF(B520&lt;&gt;"",+VLOOKUP(I520,Recursos!C:F,4,FALSE),"")</f>
        <v>51380.730969341719</v>
      </c>
      <c r="M520" s="441">
        <v>0</v>
      </c>
      <c r="N520" s="442"/>
      <c r="O520" s="439">
        <f>M520*N518</f>
        <v>0</v>
      </c>
      <c r="P520" s="1287">
        <f t="shared" si="335"/>
        <v>0</v>
      </c>
      <c r="Q520" s="1281">
        <f t="shared" si="336"/>
        <v>0</v>
      </c>
      <c r="R520" s="1288">
        <f t="shared" si="337"/>
        <v>0</v>
      </c>
      <c r="S520" s="1289">
        <f t="shared" si="411"/>
        <v>0</v>
      </c>
      <c r="T520" s="1289">
        <f t="shared" si="412"/>
        <v>0</v>
      </c>
      <c r="U520" s="1290">
        <f t="shared" si="413"/>
        <v>5879.9314919530234</v>
      </c>
      <c r="V520" s="1290">
        <f t="shared" si="414"/>
        <v>0</v>
      </c>
      <c r="W520" s="1290">
        <f t="shared" si="415"/>
        <v>0</v>
      </c>
      <c r="X520" s="1290">
        <f t="shared" si="416"/>
        <v>8204.5753263156585</v>
      </c>
      <c r="Y520" s="396"/>
      <c r="Z520" s="1291" t="str">
        <f t="shared" si="338"/>
        <v>0-HORBASA</v>
      </c>
      <c r="AA520" s="1291" t="str">
        <f t="shared" si="339"/>
        <v>0-HORBASE</v>
      </c>
      <c r="AB520" s="1291" t="str">
        <f t="shared" si="340"/>
        <v>0-HORBASM</v>
      </c>
      <c r="AC520" s="1291" t="str">
        <f t="shared" si="341"/>
        <v>0-HORBAST</v>
      </c>
      <c r="AD520" s="1291" t="str">
        <f t="shared" si="342"/>
        <v>0-HORBASS</v>
      </c>
      <c r="AE520" s="1291" t="str">
        <f t="shared" si="343"/>
        <v>0-HORBASX</v>
      </c>
      <c r="AF520" s="1291" t="str">
        <f t="shared" si="344"/>
        <v>0-HORBASX</v>
      </c>
      <c r="AG520" s="1291">
        <f t="shared" si="417"/>
        <v>7</v>
      </c>
      <c r="AH520" s="1291">
        <f>IF(B520&lt;&gt;"",+IF(H520="x",+VLOOKUP(I520,'AUX-NIV2'!B:AG,32,FALSE),0),"")</f>
        <v>8</v>
      </c>
      <c r="AI520" s="1291" t="str">
        <f t="shared" si="345"/>
        <v>0-HORBAS</v>
      </c>
      <c r="AK520" s="347">
        <f t="shared" si="418"/>
        <v>515</v>
      </c>
      <c r="AL520" s="348">
        <f t="shared" si="346"/>
        <v>521</v>
      </c>
      <c r="AM520" s="347">
        <f t="shared" si="347"/>
        <v>5</v>
      </c>
      <c r="AN520" s="382">
        <f>IF(AND(AH520&gt;0,B520&lt;&gt;""),VLOOKUP(I520,'AUX-NIV2'!$B:$AP,40,FALSE)*O520,0)</f>
        <v>0</v>
      </c>
      <c r="AO520" s="382">
        <f t="shared" si="419"/>
        <v>8.5620345263157898</v>
      </c>
      <c r="AQ520" s="395">
        <f>(IF($H520="x",VLOOKUP($I520,'AUX-NIV2'!$B:$X,'AUX-NIV1'!AQ$3,FALSE),0)+($AV520*'AUX-NIV3'!S$4))*$O520+IF($H520=AQ$4,$P520,0)</f>
        <v>0</v>
      </c>
      <c r="AR520" s="395">
        <f>(IF($H520="x",VLOOKUP($I520,'AUX-NIV2'!$B:$X,'AUX-NIV1'!AR$3,FALSE),0)+($AV520*'AUX-NIV3'!T$4))*$O520+IF($H520=AR$4,$P520,0)</f>
        <v>0</v>
      </c>
      <c r="AS520" s="395">
        <f>(IF($H520="x",VLOOKUP($I520,'AUX-NIV2'!$B:$X,'AUX-NIV1'!AS$3,FALSE),0)+($AV520*'AUX-NIV3'!U$4))*$O520+IF($H520=AS$4,$P520,0)</f>
        <v>0</v>
      </c>
      <c r="AT520" s="395">
        <f>(IF($H520="x",VLOOKUP($I520,'AUX-NIV2'!$B:$X,'AUX-NIV1'!AT$3,FALSE),0)+($AV520*'AUX-NIV3'!V$4))*$O520+IF($H520=AT$4,$P520,0)</f>
        <v>0</v>
      </c>
      <c r="AU520" s="395">
        <f>(IF($H520="x",VLOOKUP($I520,'AUX-NIV2'!$B:$X,'AUX-NIV1'!AU$3,FALSE),0)+($AV520*'AUX-NIV3'!W$4))*$O520+IF($H520=AU$4,$P520,0)</f>
        <v>0</v>
      </c>
      <c r="AV520" s="395">
        <f>+IF($H520="x",VLOOKUP($I520,'AUX-NIV2'!$B:$X,'AUX-NIV1'!AV$3,FALSE),0)</f>
        <v>0</v>
      </c>
    </row>
    <row r="521" spans="2:48" ht="13.8" thickBot="1">
      <c r="B521" s="501" t="s">
        <v>3697</v>
      </c>
      <c r="C521" s="951" t="s">
        <v>4633</v>
      </c>
      <c r="D521" s="1280" t="s">
        <v>1160</v>
      </c>
      <c r="E521" s="1281">
        <f>IF(B521&lt;&gt;"",+SUMIF(Items!C:C,'AUX-NIV1'!B521,Items!H:H),"")</f>
        <v>7.61</v>
      </c>
      <c r="F521" s="1281">
        <f t="shared" si="409"/>
        <v>14084.506818268681</v>
      </c>
      <c r="G521" s="1281">
        <f t="shared" si="410"/>
        <v>107183.09688702466</v>
      </c>
      <c r="H521" s="1395" t="str">
        <f t="shared" si="334"/>
        <v>X</v>
      </c>
      <c r="I521" s="1375" t="s">
        <v>2886</v>
      </c>
      <c r="J521" s="1283" t="str">
        <f>IF(B521&lt;&gt;"",+VLOOKUP(I521,Recursos!C:F,2,FALSE),"")</f>
        <v>Colocación de acero con grúa</v>
      </c>
      <c r="K521" s="1284" t="str">
        <f>IF(B521&lt;&gt;"",+VLOOKUP(I521,Recursos!C:F,3,FALSE),"")</f>
        <v>tn</v>
      </c>
      <c r="L521" s="1285">
        <f>IF(B521&lt;&gt;"",+VLOOKUP(I521,Recursos!C:F,4,FALSE),"")</f>
        <v>40888.822227420533</v>
      </c>
      <c r="M521" s="444"/>
      <c r="N521" s="445"/>
      <c r="O521" s="439">
        <f>0*(1-M520)*N518</f>
        <v>0</v>
      </c>
      <c r="P521" s="1287">
        <f t="shared" si="335"/>
        <v>0</v>
      </c>
      <c r="Q521" s="1281">
        <f t="shared" si="336"/>
        <v>0</v>
      </c>
      <c r="R521" s="1288">
        <f t="shared" si="337"/>
        <v>0</v>
      </c>
      <c r="S521" s="1289">
        <f t="shared" si="411"/>
        <v>0</v>
      </c>
      <c r="T521" s="1289">
        <f t="shared" si="412"/>
        <v>0</v>
      </c>
      <c r="U521" s="1290">
        <f t="shared" si="413"/>
        <v>5879.9314919530234</v>
      </c>
      <c r="V521" s="1290">
        <f t="shared" si="414"/>
        <v>0</v>
      </c>
      <c r="W521" s="1290">
        <f t="shared" si="415"/>
        <v>0</v>
      </c>
      <c r="X521" s="1290">
        <f t="shared" si="416"/>
        <v>8204.5753263156585</v>
      </c>
      <c r="Y521" s="396"/>
      <c r="Z521" s="1291" t="str">
        <f t="shared" si="338"/>
        <v>0-HORBASA</v>
      </c>
      <c r="AA521" s="1291" t="str">
        <f t="shared" si="339"/>
        <v>0-HORBASE</v>
      </c>
      <c r="AB521" s="1291" t="str">
        <f t="shared" si="340"/>
        <v>0-HORBASM</v>
      </c>
      <c r="AC521" s="1291" t="str">
        <f t="shared" si="341"/>
        <v>0-HORBAST</v>
      </c>
      <c r="AD521" s="1291" t="str">
        <f t="shared" si="342"/>
        <v>0-HORBASS</v>
      </c>
      <c r="AE521" s="1291" t="str">
        <f t="shared" si="343"/>
        <v>0-HORBASX</v>
      </c>
      <c r="AF521" s="1291" t="str">
        <f t="shared" si="344"/>
        <v>0-HORBASX</v>
      </c>
      <c r="AG521" s="1291">
        <f t="shared" si="417"/>
        <v>7</v>
      </c>
      <c r="AH521" s="1291">
        <f>IF(B521&lt;&gt;"",+IF(H521="x",+VLOOKUP(I521,'AUX-NIV2'!B:AG,32,FALSE),0),"")</f>
        <v>8</v>
      </c>
      <c r="AI521" s="1291" t="str">
        <f t="shared" si="345"/>
        <v>0-HORBAS</v>
      </c>
      <c r="AK521" s="347">
        <f t="shared" si="418"/>
        <v>515</v>
      </c>
      <c r="AL521" s="348">
        <f t="shared" si="346"/>
        <v>521</v>
      </c>
      <c r="AM521" s="347">
        <f t="shared" si="347"/>
        <v>6</v>
      </c>
      <c r="AN521" s="382">
        <f>IF(AND(AH521&gt;0,B521&lt;&gt;""),VLOOKUP(I521,'AUX-NIV2'!$B:$AP,40,FALSE)*O521,0)</f>
        <v>0</v>
      </c>
      <c r="AO521" s="382">
        <f t="shared" si="419"/>
        <v>8.5620345263157898</v>
      </c>
      <c r="AQ521" s="395">
        <f>(IF($H521="x",VLOOKUP($I521,'AUX-NIV2'!$B:$X,'AUX-NIV1'!AQ$3,FALSE),0)+($AV521*'AUX-NIV3'!S$4))*$O521+IF($H521=AQ$4,$P521,0)</f>
        <v>0</v>
      </c>
      <c r="AR521" s="395">
        <f>(IF($H521="x",VLOOKUP($I521,'AUX-NIV2'!$B:$X,'AUX-NIV1'!AR$3,FALSE),0)+($AV521*'AUX-NIV3'!T$4))*$O521+IF($H521=AR$4,$P521,0)</f>
        <v>0</v>
      </c>
      <c r="AS521" s="395">
        <f>(IF($H521="x",VLOOKUP($I521,'AUX-NIV2'!$B:$X,'AUX-NIV1'!AS$3,FALSE),0)+($AV521*'AUX-NIV3'!U$4))*$O521+IF($H521=AS$4,$P521,0)</f>
        <v>0</v>
      </c>
      <c r="AT521" s="395">
        <f>(IF($H521="x",VLOOKUP($I521,'AUX-NIV2'!$B:$X,'AUX-NIV1'!AT$3,FALSE),0)+($AV521*'AUX-NIV3'!V$4))*$O521+IF($H521=AT$4,$P521,0)</f>
        <v>0</v>
      </c>
      <c r="AU521" s="395">
        <f>(IF($H521="x",VLOOKUP($I521,'AUX-NIV2'!$B:$X,'AUX-NIV1'!AU$3,FALSE),0)+($AV521*'AUX-NIV3'!W$4))*$O521+IF($H521=AU$4,$P521,0)</f>
        <v>0</v>
      </c>
      <c r="AV521" s="395">
        <f>+IF($H521="x",VLOOKUP($I521,'AUX-NIV2'!$B:$X,'AUX-NIV1'!AV$3,FALSE),0)</f>
        <v>0</v>
      </c>
    </row>
    <row r="522" spans="2:48" ht="13.8" hidden="1" thickTop="1">
      <c r="B522" s="501" t="s">
        <v>3698</v>
      </c>
      <c r="C522" s="951" t="s">
        <v>3699</v>
      </c>
      <c r="D522" s="1280" t="s">
        <v>1160</v>
      </c>
      <c r="E522" s="1281">
        <f>IF(B522&lt;&gt;"",+SUMIF(Items!C:C,'AUX-NIV1'!B522,Items!H:H),"")</f>
        <v>0</v>
      </c>
      <c r="F522" s="1281">
        <f t="shared" si="409"/>
        <v>36886.565495885101</v>
      </c>
      <c r="G522" s="1281">
        <f t="shared" si="410"/>
        <v>0</v>
      </c>
      <c r="H522" s="1395" t="str">
        <f t="shared" si="334"/>
        <v>M</v>
      </c>
      <c r="I522" s="1375" t="s">
        <v>3695</v>
      </c>
      <c r="J522" s="1283" t="str">
        <f>IF(B522&lt;&gt;"",+VLOOKUP(I522,Recursos!C:F,2,FALSE),"")</f>
        <v>HORMIGON ELABORADO H21 TRANSPORTADO</v>
      </c>
      <c r="K522" s="1284" t="str">
        <f>IF(B522&lt;&gt;"",+VLOOKUP(I522,Recursos!C:F,3,FALSE),"")</f>
        <v>m3</v>
      </c>
      <c r="L522" s="1285">
        <f>IF(B522&lt;&gt;"",+VLOOKUP(I522,Recursos!C:F,4,FALSE),"")</f>
        <v>4400</v>
      </c>
      <c r="M522" s="989"/>
      <c r="N522" s="1292">
        <v>1.05</v>
      </c>
      <c r="O522" s="1286">
        <f>N522</f>
        <v>1.05</v>
      </c>
      <c r="P522" s="1287">
        <f t="shared" si="335"/>
        <v>4620</v>
      </c>
      <c r="Q522" s="1281">
        <f t="shared" si="336"/>
        <v>0</v>
      </c>
      <c r="R522" s="1288">
        <f t="shared" si="337"/>
        <v>0</v>
      </c>
      <c r="S522" s="1289">
        <f t="shared" si="411"/>
        <v>0</v>
      </c>
      <c r="T522" s="1289">
        <f t="shared" si="412"/>
        <v>0</v>
      </c>
      <c r="U522" s="1290">
        <f t="shared" si="413"/>
        <v>24974.545454545456</v>
      </c>
      <c r="V522" s="1290">
        <f t="shared" si="414"/>
        <v>0</v>
      </c>
      <c r="W522" s="1290">
        <f t="shared" si="415"/>
        <v>0</v>
      </c>
      <c r="X522" s="1290">
        <f t="shared" si="416"/>
        <v>11912.020041339641</v>
      </c>
      <c r="Y522" s="396"/>
      <c r="Z522" s="1291" t="str">
        <f t="shared" si="338"/>
        <v>0-HORVARA</v>
      </c>
      <c r="AA522" s="1291" t="str">
        <f t="shared" si="339"/>
        <v>0-HORVARE</v>
      </c>
      <c r="AB522" s="1291" t="str">
        <f t="shared" si="340"/>
        <v>0-HORVARM</v>
      </c>
      <c r="AC522" s="1291" t="str">
        <f t="shared" si="341"/>
        <v>0-HORVART</v>
      </c>
      <c r="AD522" s="1291" t="str">
        <f t="shared" si="342"/>
        <v>0-HORVARS</v>
      </c>
      <c r="AE522" s="1291" t="str">
        <f t="shared" si="343"/>
        <v>0-HORVARX</v>
      </c>
      <c r="AF522" s="1291" t="str">
        <f t="shared" si="344"/>
        <v>0-HORVARM</v>
      </c>
      <c r="AG522" s="1291">
        <f t="shared" si="417"/>
        <v>7</v>
      </c>
      <c r="AH522" s="1291">
        <f>IF(B522&lt;&gt;"",+IF(H522="x",+VLOOKUP(I522,'AUX-NIV2'!B:AG,32,FALSE),0),"")</f>
        <v>0</v>
      </c>
      <c r="AI522" s="1291" t="str">
        <f t="shared" si="345"/>
        <v>0-HORVAR</v>
      </c>
      <c r="AK522" s="347">
        <f t="shared" si="418"/>
        <v>522</v>
      </c>
      <c r="AL522" s="348">
        <f t="shared" si="346"/>
        <v>528</v>
      </c>
      <c r="AM522" s="347">
        <f t="shared" si="347"/>
        <v>1</v>
      </c>
      <c r="AN522" s="382">
        <f>IF(AND(AH522&gt;0,B522&lt;&gt;""),VLOOKUP(I522,'AUX-NIV2'!$B:$AP,40,FALSE)*O522,0)</f>
        <v>0</v>
      </c>
      <c r="AO522" s="382">
        <f t="shared" si="419"/>
        <v>19.980357142857144</v>
      </c>
      <c r="AQ522" s="395">
        <f>(IF($H522="x",VLOOKUP($I522,'AUX-NIV2'!$B:$X,'AUX-NIV1'!AQ$3,FALSE),0)+($AV522*'AUX-NIV3'!S$4))*$O522+IF($H522=AQ$4,$P522,0)</f>
        <v>0</v>
      </c>
      <c r="AR522" s="395">
        <f>(IF($H522="x",VLOOKUP($I522,'AUX-NIV2'!$B:$X,'AUX-NIV1'!AR$3,FALSE),0)+($AV522*'AUX-NIV3'!T$4))*$O522+IF($H522=AR$4,$P522,0)</f>
        <v>0</v>
      </c>
      <c r="AS522" s="395">
        <f>(IF($H522="x",VLOOKUP($I522,'AUX-NIV2'!$B:$X,'AUX-NIV1'!AS$3,FALSE),0)+($AV522*'AUX-NIV3'!U$4))*$O522+IF($H522=AS$4,$P522,0)</f>
        <v>4620</v>
      </c>
      <c r="AT522" s="395">
        <f>(IF($H522="x",VLOOKUP($I522,'AUX-NIV2'!$B:$X,'AUX-NIV1'!AT$3,FALSE),0)+($AV522*'AUX-NIV3'!V$4))*$O522+IF($H522=AT$4,$P522,0)</f>
        <v>0</v>
      </c>
      <c r="AU522" s="395">
        <f>(IF($H522="x",VLOOKUP($I522,'AUX-NIV2'!$B:$X,'AUX-NIV1'!AU$3,FALSE),0)+($AV522*'AUX-NIV3'!W$4))*$O522+IF($H522=AU$4,$P522,0)</f>
        <v>0</v>
      </c>
      <c r="AV522" s="395">
        <f>+IF($H522="x",VLOOKUP($I522,'AUX-NIV2'!$B:$X,'AUX-NIV1'!AV$3,FALSE),0)</f>
        <v>0</v>
      </c>
    </row>
    <row r="523" spans="2:48" ht="13.8" hidden="1" thickTop="1">
      <c r="B523" s="501" t="s">
        <v>3698</v>
      </c>
      <c r="C523" s="951" t="s">
        <v>3699</v>
      </c>
      <c r="D523" s="1280" t="s">
        <v>1160</v>
      </c>
      <c r="E523" s="1281">
        <f>IF(B523&lt;&gt;"",+SUMIF(Items!C:C,'AUX-NIV1'!B523,Items!H:H),"")</f>
        <v>0</v>
      </c>
      <c r="F523" s="1281">
        <f t="shared" si="409"/>
        <v>36886.565495885101</v>
      </c>
      <c r="G523" s="1281">
        <f t="shared" si="410"/>
        <v>0</v>
      </c>
      <c r="H523" s="1395" t="str">
        <f t="shared" si="334"/>
        <v>X</v>
      </c>
      <c r="I523" s="1375" t="s">
        <v>2865</v>
      </c>
      <c r="J523" s="1283" t="str">
        <f>IF(B523&lt;&gt;"",+VLOOKUP(I523,Recursos!C:F,2,FALSE),"")</f>
        <v>Colado Hormigón desde Mixer</v>
      </c>
      <c r="K523" s="1284" t="str">
        <f>IF(B523&lt;&gt;"",+VLOOKUP(I523,Recursos!C:F,3,FALSE),"")</f>
        <v>m3</v>
      </c>
      <c r="L523" s="1285">
        <f>IF(B523&lt;&gt;"",+VLOOKUP(I523,Recursos!C:F,4,FALSE),"")</f>
        <v>1031.7487777591643</v>
      </c>
      <c r="M523" s="1336">
        <v>1</v>
      </c>
      <c r="N523" s="1337"/>
      <c r="O523" s="1286">
        <f>N522</f>
        <v>1.05</v>
      </c>
      <c r="P523" s="1287">
        <f t="shared" si="335"/>
        <v>1083.3362166471227</v>
      </c>
      <c r="Q523" s="1281">
        <f t="shared" si="336"/>
        <v>0</v>
      </c>
      <c r="R523" s="1288">
        <f t="shared" si="337"/>
        <v>0</v>
      </c>
      <c r="S523" s="1289">
        <f t="shared" si="411"/>
        <v>0</v>
      </c>
      <c r="T523" s="1289">
        <f t="shared" si="412"/>
        <v>0</v>
      </c>
      <c r="U523" s="1290">
        <f t="shared" si="413"/>
        <v>24974.545454545456</v>
      </c>
      <c r="V523" s="1290">
        <f t="shared" si="414"/>
        <v>0</v>
      </c>
      <c r="W523" s="1290">
        <f t="shared" si="415"/>
        <v>0</v>
      </c>
      <c r="X523" s="1290">
        <f t="shared" si="416"/>
        <v>11912.020041339641</v>
      </c>
      <c r="Y523" s="396"/>
      <c r="Z523" s="1291" t="str">
        <f t="shared" si="338"/>
        <v>0-HORVARA</v>
      </c>
      <c r="AA523" s="1291" t="str">
        <f t="shared" si="339"/>
        <v>0-HORVARE</v>
      </c>
      <c r="AB523" s="1291" t="str">
        <f t="shared" si="340"/>
        <v>0-HORVARM</v>
      </c>
      <c r="AC523" s="1291" t="str">
        <f t="shared" si="341"/>
        <v>0-HORVART</v>
      </c>
      <c r="AD523" s="1291" t="str">
        <f t="shared" si="342"/>
        <v>0-HORVARS</v>
      </c>
      <c r="AE523" s="1291" t="str">
        <f t="shared" si="343"/>
        <v>0-HORVARX</v>
      </c>
      <c r="AF523" s="1291" t="str">
        <f t="shared" si="344"/>
        <v>0-HORVARX</v>
      </c>
      <c r="AG523" s="1291">
        <f t="shared" si="417"/>
        <v>7</v>
      </c>
      <c r="AH523" s="1291">
        <f>IF(B523&lt;&gt;"",+IF(H523="x",+VLOOKUP(I523,'AUX-NIV2'!B:AG,32,FALSE),0),"")</f>
        <v>8</v>
      </c>
      <c r="AI523" s="1291" t="str">
        <f t="shared" si="345"/>
        <v>0-HORVAR</v>
      </c>
      <c r="AK523" s="347">
        <f t="shared" si="418"/>
        <v>522</v>
      </c>
      <c r="AL523" s="348">
        <f t="shared" si="346"/>
        <v>528</v>
      </c>
      <c r="AM523" s="347">
        <f t="shared" si="347"/>
        <v>2</v>
      </c>
      <c r="AN523" s="382">
        <f>IF(AND(AH523&gt;0,B523&lt;&gt;""),VLOOKUP(I523,'AUX-NIV2'!$B:$AP,40,FALSE)*O523,0)</f>
        <v>1.8375000000000001</v>
      </c>
      <c r="AO523" s="382">
        <f t="shared" si="419"/>
        <v>19.980357142857144</v>
      </c>
      <c r="AQ523" s="395">
        <f>(IF($H523="x",VLOOKUP($I523,'AUX-NIV2'!$B:$X,'AUX-NIV1'!AQ$3,FALSE),0)+($AV523*'AUX-NIV3'!S$4))*$O523+IF($H523=AQ$4,$P523,0)</f>
        <v>876.5532171471225</v>
      </c>
      <c r="AR523" s="395">
        <f>(IF($H523="x",VLOOKUP($I523,'AUX-NIV2'!$B:$X,'AUX-NIV1'!AR$3,FALSE),0)+($AV523*'AUX-NIV3'!T$4))*$O523+IF($H523=AR$4,$P523,0)</f>
        <v>206.78299949999999</v>
      </c>
      <c r="AS523" s="395">
        <f>(IF($H523="x",VLOOKUP($I523,'AUX-NIV2'!$B:$X,'AUX-NIV1'!AS$3,FALSE),0)+($AV523*'AUX-NIV3'!U$4))*$O523+IF($H523=AS$4,$P523,0)</f>
        <v>0</v>
      </c>
      <c r="AT523" s="395">
        <f>(IF($H523="x",VLOOKUP($I523,'AUX-NIV2'!$B:$X,'AUX-NIV1'!AT$3,FALSE),0)+($AV523*'AUX-NIV3'!V$4))*$O523+IF($H523=AT$4,$P523,0)</f>
        <v>0</v>
      </c>
      <c r="AU523" s="395">
        <f>(IF($H523="x",VLOOKUP($I523,'AUX-NIV2'!$B:$X,'AUX-NIV1'!AU$3,FALSE),0)+($AV523*'AUX-NIV3'!W$4))*$O523+IF($H523=AU$4,$P523,0)</f>
        <v>0</v>
      </c>
      <c r="AV523" s="395">
        <f>+IF($H523="x",VLOOKUP($I523,'AUX-NIV2'!$B:$X,'AUX-NIV1'!AV$3,FALSE),0)</f>
        <v>0</v>
      </c>
    </row>
    <row r="524" spans="2:48" ht="13.8" hidden="1" thickTop="1">
      <c r="B524" s="501" t="s">
        <v>3698</v>
      </c>
      <c r="C524" s="951" t="s">
        <v>3699</v>
      </c>
      <c r="D524" s="1280" t="s">
        <v>1160</v>
      </c>
      <c r="E524" s="1281">
        <f>IF(B524&lt;&gt;"",+SUMIF(Items!C:C,'AUX-NIV1'!B524,Items!H:H),"")</f>
        <v>0</v>
      </c>
      <c r="F524" s="1281">
        <f t="shared" si="409"/>
        <v>36886.565495885101</v>
      </c>
      <c r="G524" s="1281">
        <f t="shared" si="410"/>
        <v>0</v>
      </c>
      <c r="H524" s="1395" t="str">
        <f t="shared" si="334"/>
        <v>M</v>
      </c>
      <c r="I524" s="1375" t="s">
        <v>1751</v>
      </c>
      <c r="J524" s="1283" t="str">
        <f>IF(B524&lt;&gt;"",+VLOOKUP(I524,Recursos!C:F,2,FALSE),"")</f>
        <v>ACERO TIPO ADN 420</v>
      </c>
      <c r="K524" s="1284" t="str">
        <f>IF(B524&lt;&gt;"",+VLOOKUP(I524,Recursos!C:F,3,FALSE),"")</f>
        <v>tn</v>
      </c>
      <c r="L524" s="1285">
        <f>IF(B524&lt;&gt;"",+VLOOKUP(I524,Recursos!C:F,4,FALSE),"")</f>
        <v>185041.32231404958</v>
      </c>
      <c r="M524" s="441">
        <v>1.1000000000000001</v>
      </c>
      <c r="N524" s="497">
        <v>0.1</v>
      </c>
      <c r="O524" s="439">
        <f>N524*M524</f>
        <v>0.11000000000000001</v>
      </c>
      <c r="P524" s="1287">
        <f t="shared" si="335"/>
        <v>20354.545454545456</v>
      </c>
      <c r="Q524" s="1281">
        <f t="shared" si="336"/>
        <v>0</v>
      </c>
      <c r="R524" s="1288">
        <f t="shared" si="337"/>
        <v>0</v>
      </c>
      <c r="S524" s="1289">
        <f t="shared" si="411"/>
        <v>0</v>
      </c>
      <c r="T524" s="1289">
        <f t="shared" si="412"/>
        <v>0</v>
      </c>
      <c r="U524" s="1290">
        <f t="shared" si="413"/>
        <v>24974.545454545456</v>
      </c>
      <c r="V524" s="1290">
        <f t="shared" si="414"/>
        <v>0</v>
      </c>
      <c r="W524" s="1290">
        <f t="shared" si="415"/>
        <v>0</v>
      </c>
      <c r="X524" s="1290">
        <f t="shared" si="416"/>
        <v>11912.020041339641</v>
      </c>
      <c r="Y524" s="396"/>
      <c r="Z524" s="1291" t="str">
        <f t="shared" si="338"/>
        <v>0-HORVARA</v>
      </c>
      <c r="AA524" s="1291" t="str">
        <f t="shared" si="339"/>
        <v>0-HORVARE</v>
      </c>
      <c r="AB524" s="1291" t="str">
        <f t="shared" si="340"/>
        <v>0-HORVARM</v>
      </c>
      <c r="AC524" s="1291" t="str">
        <f t="shared" si="341"/>
        <v>0-HORVART</v>
      </c>
      <c r="AD524" s="1291" t="str">
        <f t="shared" si="342"/>
        <v>0-HORVARS</v>
      </c>
      <c r="AE524" s="1291" t="str">
        <f t="shared" si="343"/>
        <v>0-HORVARX</v>
      </c>
      <c r="AF524" s="1291" t="str">
        <f t="shared" si="344"/>
        <v>0-HORVARM</v>
      </c>
      <c r="AG524" s="1291">
        <f t="shared" si="417"/>
        <v>7</v>
      </c>
      <c r="AH524" s="1291">
        <f>IF(B524&lt;&gt;"",+IF(H524="x",+VLOOKUP(I524,'AUX-NIV2'!B:AG,32,FALSE),0),"")</f>
        <v>0</v>
      </c>
      <c r="AI524" s="1291" t="str">
        <f t="shared" si="345"/>
        <v>0-HORVAR</v>
      </c>
      <c r="AK524" s="347">
        <f t="shared" si="418"/>
        <v>522</v>
      </c>
      <c r="AL524" s="348">
        <f t="shared" si="346"/>
        <v>528</v>
      </c>
      <c r="AM524" s="347">
        <f t="shared" si="347"/>
        <v>3</v>
      </c>
      <c r="AN524" s="382">
        <f>IF(AND(AH524&gt;0,B524&lt;&gt;""),VLOOKUP(I524,'AUX-NIV2'!$B:$AP,40,FALSE)*O524,0)</f>
        <v>0</v>
      </c>
      <c r="AO524" s="382">
        <f t="shared" si="419"/>
        <v>19.980357142857144</v>
      </c>
      <c r="AQ524" s="395">
        <f>(IF($H524="x",VLOOKUP($I524,'AUX-NIV2'!$B:$X,'AUX-NIV1'!AQ$3,FALSE),0)+($AV524*'AUX-NIV3'!S$4))*$O524+IF($H524=AQ$4,$P524,0)</f>
        <v>0</v>
      </c>
      <c r="AR524" s="395">
        <f>(IF($H524="x",VLOOKUP($I524,'AUX-NIV2'!$B:$X,'AUX-NIV1'!AR$3,FALSE),0)+($AV524*'AUX-NIV3'!T$4))*$O524+IF($H524=AR$4,$P524,0)</f>
        <v>0</v>
      </c>
      <c r="AS524" s="395">
        <f>(IF($H524="x",VLOOKUP($I524,'AUX-NIV2'!$B:$X,'AUX-NIV1'!AS$3,FALSE),0)+($AV524*'AUX-NIV3'!U$4))*$O524+IF($H524=AS$4,$P524,0)</f>
        <v>20354.545454545456</v>
      </c>
      <c r="AT524" s="395">
        <f>(IF($H524="x",VLOOKUP($I524,'AUX-NIV2'!$B:$X,'AUX-NIV1'!AT$3,FALSE),0)+($AV524*'AUX-NIV3'!V$4))*$O524+IF($H524=AT$4,$P524,0)</f>
        <v>0</v>
      </c>
      <c r="AU524" s="395">
        <f>(IF($H524="x",VLOOKUP($I524,'AUX-NIV2'!$B:$X,'AUX-NIV1'!AU$3,FALSE),0)+($AV524*'AUX-NIV3'!W$4))*$O524+IF($H524=AU$4,$P524,0)</f>
        <v>0</v>
      </c>
      <c r="AV524" s="395">
        <f>+IF($H524="x",VLOOKUP($I524,'AUX-NIV2'!$B:$X,'AUX-NIV1'!AV$3,FALSE),0)</f>
        <v>0</v>
      </c>
    </row>
    <row r="525" spans="2:48" ht="13.8" hidden="1" thickTop="1">
      <c r="B525" s="501" t="s">
        <v>3698</v>
      </c>
      <c r="C525" s="951" t="s">
        <v>3699</v>
      </c>
      <c r="D525" s="1280" t="s">
        <v>1160</v>
      </c>
      <c r="E525" s="1281">
        <f>IF(B525&lt;&gt;"",+SUMIF(Items!C:C,'AUX-NIV1'!B525,Items!H:H),"")</f>
        <v>0</v>
      </c>
      <c r="F525" s="1281">
        <f t="shared" si="409"/>
        <v>36886.565495885101</v>
      </c>
      <c r="G525" s="1281">
        <f t="shared" si="410"/>
        <v>0</v>
      </c>
      <c r="H525" s="1395" t="str">
        <f t="shared" si="334"/>
        <v>X</v>
      </c>
      <c r="I525" s="1375" t="s">
        <v>2883</v>
      </c>
      <c r="J525" s="1283" t="str">
        <f>IF(B525&lt;&gt;"",+VLOOKUP(I525,Recursos!C:F,2,FALSE),"")</f>
        <v>Corte y doblado de acero</v>
      </c>
      <c r="K525" s="1284" t="str">
        <f>IF(B525&lt;&gt;"",+VLOOKUP(I525,Recursos!C:F,3,FALSE),"")</f>
        <v>tn</v>
      </c>
      <c r="L525" s="1285">
        <f>IF(B525&lt;&gt;"",+VLOOKUP(I525,Recursos!C:F,4,FALSE),"")</f>
        <v>17428.113426266111</v>
      </c>
      <c r="M525" s="441">
        <v>1</v>
      </c>
      <c r="N525" s="442"/>
      <c r="O525" s="439">
        <f>N524*M525</f>
        <v>0.1</v>
      </c>
      <c r="P525" s="1287">
        <f t="shared" si="335"/>
        <v>1742.8113426266111</v>
      </c>
      <c r="Q525" s="1281">
        <f t="shared" si="336"/>
        <v>0</v>
      </c>
      <c r="R525" s="1288">
        <f t="shared" si="337"/>
        <v>0</v>
      </c>
      <c r="S525" s="1289">
        <f t="shared" si="411"/>
        <v>0</v>
      </c>
      <c r="T525" s="1289">
        <f t="shared" si="412"/>
        <v>0</v>
      </c>
      <c r="U525" s="1290">
        <f t="shared" si="413"/>
        <v>24974.545454545456</v>
      </c>
      <c r="V525" s="1290">
        <f t="shared" si="414"/>
        <v>0</v>
      </c>
      <c r="W525" s="1290">
        <f t="shared" si="415"/>
        <v>0</v>
      </c>
      <c r="X525" s="1290">
        <f t="shared" si="416"/>
        <v>11912.020041339641</v>
      </c>
      <c r="Y525" s="396"/>
      <c r="Z525" s="1291" t="str">
        <f t="shared" si="338"/>
        <v>0-HORVARA</v>
      </c>
      <c r="AA525" s="1291" t="str">
        <f t="shared" si="339"/>
        <v>0-HORVARE</v>
      </c>
      <c r="AB525" s="1291" t="str">
        <f t="shared" si="340"/>
        <v>0-HORVARM</v>
      </c>
      <c r="AC525" s="1291" t="str">
        <f t="shared" si="341"/>
        <v>0-HORVART</v>
      </c>
      <c r="AD525" s="1291" t="str">
        <f t="shared" si="342"/>
        <v>0-HORVARS</v>
      </c>
      <c r="AE525" s="1291" t="str">
        <f t="shared" si="343"/>
        <v>0-HORVARX</v>
      </c>
      <c r="AF525" s="1291" t="str">
        <f t="shared" si="344"/>
        <v>0-HORVARX</v>
      </c>
      <c r="AG525" s="1291">
        <f t="shared" si="417"/>
        <v>7</v>
      </c>
      <c r="AH525" s="1291">
        <f>IF(B525&lt;&gt;"",+IF(H525="x",+VLOOKUP(I525,'AUX-NIV2'!B:AG,32,FALSE),0),"")</f>
        <v>4</v>
      </c>
      <c r="AI525" s="1291" t="str">
        <f t="shared" si="345"/>
        <v>0-HORVAR</v>
      </c>
      <c r="AK525" s="347">
        <f t="shared" si="418"/>
        <v>522</v>
      </c>
      <c r="AL525" s="348">
        <f t="shared" si="346"/>
        <v>528</v>
      </c>
      <c r="AM525" s="347">
        <f t="shared" si="347"/>
        <v>4</v>
      </c>
      <c r="AN525" s="382">
        <f>IF(AND(AH525&gt;0,B525&lt;&gt;""),VLOOKUP(I525,'AUX-NIV2'!$B:$AP,40,FALSE)*O525,0)</f>
        <v>3.5</v>
      </c>
      <c r="AO525" s="382">
        <f t="shared" si="419"/>
        <v>19.980357142857144</v>
      </c>
      <c r="AQ525" s="395">
        <f>(IF($H525="x",VLOOKUP($I525,'AUX-NIV2'!$B:$X,'AUX-NIV1'!AQ$3,FALSE),0)+($AV525*'AUX-NIV3'!S$4))*$O525+IF($H525=AQ$4,$P525,0)</f>
        <v>1701.9880770266111</v>
      </c>
      <c r="AR525" s="395">
        <f>(IF($H525="x",VLOOKUP($I525,'AUX-NIV2'!$B:$X,'AUX-NIV1'!AR$3,FALSE),0)+($AV525*'AUX-NIV3'!T$4))*$O525+IF($H525=AR$4,$P525,0)</f>
        <v>40.823265599999999</v>
      </c>
      <c r="AS525" s="395">
        <f>(IF($H525="x",VLOOKUP($I525,'AUX-NIV2'!$B:$X,'AUX-NIV1'!AS$3,FALSE),0)+($AV525*'AUX-NIV3'!U$4))*$O525+IF($H525=AS$4,$P525,0)</f>
        <v>0</v>
      </c>
      <c r="AT525" s="395">
        <f>(IF($H525="x",VLOOKUP($I525,'AUX-NIV2'!$B:$X,'AUX-NIV1'!AT$3,FALSE),0)+($AV525*'AUX-NIV3'!V$4))*$O525+IF($H525=AT$4,$P525,0)</f>
        <v>0</v>
      </c>
      <c r="AU525" s="395">
        <f>(IF($H525="x",VLOOKUP($I525,'AUX-NIV2'!$B:$X,'AUX-NIV1'!AU$3,FALSE),0)+($AV525*'AUX-NIV3'!W$4))*$O525+IF($H525=AU$4,$P525,0)</f>
        <v>0</v>
      </c>
      <c r="AV525" s="395">
        <f>+IF($H525="x",VLOOKUP($I525,'AUX-NIV2'!$B:$X,'AUX-NIV1'!AV$3,FALSE),0)</f>
        <v>0</v>
      </c>
    </row>
    <row r="526" spans="2:48" ht="13.8" hidden="1" thickTop="1">
      <c r="B526" s="501" t="s">
        <v>3698</v>
      </c>
      <c r="C526" s="951" t="s">
        <v>3699</v>
      </c>
      <c r="D526" s="1280" t="s">
        <v>1160</v>
      </c>
      <c r="E526" s="1281">
        <f>IF(B526&lt;&gt;"",+SUMIF(Items!C:C,'AUX-NIV1'!B526,Items!H:H),"")</f>
        <v>0</v>
      </c>
      <c r="F526" s="1281">
        <f t="shared" si="409"/>
        <v>36886.565495885101</v>
      </c>
      <c r="G526" s="1281">
        <f t="shared" si="410"/>
        <v>0</v>
      </c>
      <c r="H526" s="1395" t="str">
        <f t="shared" si="334"/>
        <v>X</v>
      </c>
      <c r="I526" s="1375" t="s">
        <v>2884</v>
      </c>
      <c r="J526" s="1283" t="str">
        <f>IF(B526&lt;&gt;"",+VLOOKUP(I526,Recursos!C:F,2,FALSE),"")</f>
        <v>Colocación de acero manual</v>
      </c>
      <c r="K526" s="1284" t="str">
        <f>IF(B526&lt;&gt;"",+VLOOKUP(I526,Recursos!C:F,3,FALSE),"")</f>
        <v>tn</v>
      </c>
      <c r="L526" s="1285">
        <f>IF(B526&lt;&gt;"",+VLOOKUP(I526,Recursos!C:F,4,FALSE),"")</f>
        <v>51380.730969341719</v>
      </c>
      <c r="M526" s="441">
        <v>1</v>
      </c>
      <c r="N526" s="442"/>
      <c r="O526" s="439">
        <f>M526*N524</f>
        <v>0.1</v>
      </c>
      <c r="P526" s="1287">
        <f t="shared" si="335"/>
        <v>5138.0730969341721</v>
      </c>
      <c r="Q526" s="1281">
        <f t="shared" si="336"/>
        <v>0</v>
      </c>
      <c r="R526" s="1288">
        <f t="shared" si="337"/>
        <v>0</v>
      </c>
      <c r="S526" s="1289">
        <f t="shared" si="411"/>
        <v>0</v>
      </c>
      <c r="T526" s="1289">
        <f t="shared" si="412"/>
        <v>0</v>
      </c>
      <c r="U526" s="1290">
        <f t="shared" si="413"/>
        <v>24974.545454545456</v>
      </c>
      <c r="V526" s="1290">
        <f t="shared" si="414"/>
        <v>0</v>
      </c>
      <c r="W526" s="1290">
        <f t="shared" si="415"/>
        <v>0</v>
      </c>
      <c r="X526" s="1290">
        <f t="shared" si="416"/>
        <v>11912.020041339641</v>
      </c>
      <c r="Y526" s="396"/>
      <c r="Z526" s="1291" t="str">
        <f t="shared" si="338"/>
        <v>0-HORVARA</v>
      </c>
      <c r="AA526" s="1291" t="str">
        <f t="shared" si="339"/>
        <v>0-HORVARE</v>
      </c>
      <c r="AB526" s="1291" t="str">
        <f t="shared" si="340"/>
        <v>0-HORVARM</v>
      </c>
      <c r="AC526" s="1291" t="str">
        <f t="shared" si="341"/>
        <v>0-HORVART</v>
      </c>
      <c r="AD526" s="1291" t="str">
        <f t="shared" si="342"/>
        <v>0-HORVARS</v>
      </c>
      <c r="AE526" s="1291" t="str">
        <f t="shared" si="343"/>
        <v>0-HORVARX</v>
      </c>
      <c r="AF526" s="1291" t="str">
        <f t="shared" si="344"/>
        <v>0-HORVARX</v>
      </c>
      <c r="AG526" s="1291">
        <f t="shared" si="417"/>
        <v>7</v>
      </c>
      <c r="AH526" s="1291">
        <f>IF(B526&lt;&gt;"",+IF(H526="x",+VLOOKUP(I526,'AUX-NIV2'!B:AG,32,FALSE),0),"")</f>
        <v>8</v>
      </c>
      <c r="AI526" s="1291" t="str">
        <f t="shared" si="345"/>
        <v>0-HORVAR</v>
      </c>
      <c r="AK526" s="347">
        <f t="shared" si="418"/>
        <v>522</v>
      </c>
      <c r="AL526" s="348">
        <f t="shared" si="346"/>
        <v>528</v>
      </c>
      <c r="AM526" s="347">
        <f t="shared" si="347"/>
        <v>5</v>
      </c>
      <c r="AN526" s="382">
        <f>IF(AND(AH526&gt;0,B526&lt;&gt;""),VLOOKUP(I526,'AUX-NIV2'!$B:$AP,40,FALSE)*O526,0)</f>
        <v>7.5</v>
      </c>
      <c r="AO526" s="382">
        <f t="shared" si="419"/>
        <v>19.980357142857144</v>
      </c>
      <c r="AQ526" s="395">
        <f>(IF($H526="x",VLOOKUP($I526,'AUX-NIV2'!$B:$X,'AUX-NIV1'!AQ$3,FALSE),0)+($AV526*'AUX-NIV3'!S$4))*$O526+IF($H526=AQ$4,$P526,0)</f>
        <v>3666.9987167688832</v>
      </c>
      <c r="AR526" s="395">
        <f>(IF($H526="x",VLOOKUP($I526,'AUX-NIV2'!$B:$X,'AUX-NIV1'!AR$3,FALSE),0)+($AV526*'AUX-NIV3'!T$4))*$O526+IF($H526=AR$4,$P526,0)</f>
        <v>0</v>
      </c>
      <c r="AS526" s="395">
        <f>(IF($H526="x",VLOOKUP($I526,'AUX-NIV2'!$B:$X,'AUX-NIV1'!AS$3,FALSE),0)+($AV526*'AUX-NIV3'!U$4))*$O526+IF($H526=AS$4,$P526,0)</f>
        <v>1471.0743801652895</v>
      </c>
      <c r="AT526" s="395">
        <f>(IF($H526="x",VLOOKUP($I526,'AUX-NIV2'!$B:$X,'AUX-NIV1'!AT$3,FALSE),0)+($AV526*'AUX-NIV3'!V$4))*$O526+IF($H526=AT$4,$P526,0)</f>
        <v>0</v>
      </c>
      <c r="AU526" s="395">
        <f>(IF($H526="x",VLOOKUP($I526,'AUX-NIV2'!$B:$X,'AUX-NIV1'!AU$3,FALSE),0)+($AV526*'AUX-NIV3'!W$4))*$O526+IF($H526=AU$4,$P526,0)</f>
        <v>0</v>
      </c>
      <c r="AV526" s="395">
        <f>+IF($H526="x",VLOOKUP($I526,'AUX-NIV2'!$B:$X,'AUX-NIV1'!AV$3,FALSE),0)</f>
        <v>0</v>
      </c>
    </row>
    <row r="527" spans="2:48" ht="13.8" hidden="1" thickTop="1">
      <c r="B527" s="501" t="s">
        <v>3698</v>
      </c>
      <c r="C527" s="951" t="s">
        <v>3699</v>
      </c>
      <c r="D527" s="1280" t="s">
        <v>1160</v>
      </c>
      <c r="E527" s="1281">
        <f>IF(B527&lt;&gt;"",+SUMIF(Items!C:C,'AUX-NIV1'!B527,Items!H:H),"")</f>
        <v>0</v>
      </c>
      <c r="F527" s="1281">
        <f t="shared" si="409"/>
        <v>36886.565495885101</v>
      </c>
      <c r="G527" s="1281">
        <f t="shared" si="410"/>
        <v>0</v>
      </c>
      <c r="H527" s="1395" t="str">
        <f t="shared" si="334"/>
        <v>X</v>
      </c>
      <c r="I527" s="1375" t="s">
        <v>2886</v>
      </c>
      <c r="J527" s="1283" t="str">
        <f>IF(B527&lt;&gt;"",+VLOOKUP(I527,Recursos!C:F,2,FALSE),"")</f>
        <v>Colocación de acero con grúa</v>
      </c>
      <c r="K527" s="1284" t="str">
        <f>IF(B527&lt;&gt;"",+VLOOKUP(I527,Recursos!C:F,3,FALSE),"")</f>
        <v>tn</v>
      </c>
      <c r="L527" s="1285">
        <f>IF(B527&lt;&gt;"",+VLOOKUP(I527,Recursos!C:F,4,FALSE),"")</f>
        <v>40888.822227420533</v>
      </c>
      <c r="M527" s="1338"/>
      <c r="N527" s="1339"/>
      <c r="O527" s="439">
        <f>(1-M526)*N524</f>
        <v>0</v>
      </c>
      <c r="P527" s="1287">
        <f t="shared" si="335"/>
        <v>0</v>
      </c>
      <c r="Q527" s="1281">
        <f t="shared" si="336"/>
        <v>0</v>
      </c>
      <c r="R527" s="1288">
        <f t="shared" si="337"/>
        <v>0</v>
      </c>
      <c r="S527" s="1289">
        <f t="shared" si="411"/>
        <v>0</v>
      </c>
      <c r="T527" s="1289">
        <f t="shared" si="412"/>
        <v>0</v>
      </c>
      <c r="U527" s="1290">
        <f t="shared" si="413"/>
        <v>24974.545454545456</v>
      </c>
      <c r="V527" s="1290">
        <f t="shared" si="414"/>
        <v>0</v>
      </c>
      <c r="W527" s="1290">
        <f t="shared" si="415"/>
        <v>0</v>
      </c>
      <c r="X527" s="1290">
        <f t="shared" si="416"/>
        <v>11912.020041339641</v>
      </c>
      <c r="Y527" s="396"/>
      <c r="Z527" s="1291" t="str">
        <f t="shared" si="338"/>
        <v>0-HORVARA</v>
      </c>
      <c r="AA527" s="1291" t="str">
        <f t="shared" si="339"/>
        <v>0-HORVARE</v>
      </c>
      <c r="AB527" s="1291" t="str">
        <f t="shared" si="340"/>
        <v>0-HORVARM</v>
      </c>
      <c r="AC527" s="1291" t="str">
        <f t="shared" si="341"/>
        <v>0-HORVART</v>
      </c>
      <c r="AD527" s="1291" t="str">
        <f t="shared" si="342"/>
        <v>0-HORVARS</v>
      </c>
      <c r="AE527" s="1291" t="str">
        <f t="shared" si="343"/>
        <v>0-HORVARX</v>
      </c>
      <c r="AF527" s="1291" t="str">
        <f t="shared" si="344"/>
        <v>0-HORVARX</v>
      </c>
      <c r="AG527" s="1291">
        <f t="shared" si="417"/>
        <v>7</v>
      </c>
      <c r="AH527" s="1291">
        <f>IF(B527&lt;&gt;"",+IF(H527="x",+VLOOKUP(I527,'AUX-NIV2'!B:AG,32,FALSE),0),"")</f>
        <v>8</v>
      </c>
      <c r="AI527" s="1291" t="str">
        <f t="shared" si="345"/>
        <v>0-HORVAR</v>
      </c>
      <c r="AK527" s="347">
        <f t="shared" si="418"/>
        <v>522</v>
      </c>
      <c r="AL527" s="348">
        <f t="shared" si="346"/>
        <v>528</v>
      </c>
      <c r="AM527" s="347">
        <f t="shared" si="347"/>
        <v>6</v>
      </c>
      <c r="AN527" s="382">
        <f>IF(AND(AH527&gt;0,B527&lt;&gt;""),VLOOKUP(I527,'AUX-NIV2'!$B:$AP,40,FALSE)*O527,0)</f>
        <v>0</v>
      </c>
      <c r="AO527" s="382">
        <f t="shared" si="419"/>
        <v>19.980357142857144</v>
      </c>
      <c r="AQ527" s="395">
        <f>(IF($H527="x",VLOOKUP($I527,'AUX-NIV2'!$B:$X,'AUX-NIV1'!AQ$3,FALSE),0)+($AV527*'AUX-NIV3'!S$4))*$O527+IF($H527=AQ$4,$P527,0)</f>
        <v>0</v>
      </c>
      <c r="AR527" s="395">
        <f>(IF($H527="x",VLOOKUP($I527,'AUX-NIV2'!$B:$X,'AUX-NIV1'!AR$3,FALSE),0)+($AV527*'AUX-NIV3'!T$4))*$O527+IF($H527=AR$4,$P527,0)</f>
        <v>0</v>
      </c>
      <c r="AS527" s="395">
        <f>(IF($H527="x",VLOOKUP($I527,'AUX-NIV2'!$B:$X,'AUX-NIV1'!AS$3,FALSE),0)+($AV527*'AUX-NIV3'!U$4))*$O527+IF($H527=AS$4,$P527,0)</f>
        <v>0</v>
      </c>
      <c r="AT527" s="395">
        <f>(IF($H527="x",VLOOKUP($I527,'AUX-NIV2'!$B:$X,'AUX-NIV1'!AT$3,FALSE),0)+($AV527*'AUX-NIV3'!V$4))*$O527+IF($H527=AT$4,$P527,0)</f>
        <v>0</v>
      </c>
      <c r="AU527" s="395">
        <f>(IF($H527="x",VLOOKUP($I527,'AUX-NIV2'!$B:$X,'AUX-NIV1'!AU$3,FALSE),0)+($AV527*'AUX-NIV3'!W$4))*$O527+IF($H527=AU$4,$P527,0)</f>
        <v>0</v>
      </c>
      <c r="AV527" s="395">
        <f>+IF($H527="x",VLOOKUP($I527,'AUX-NIV2'!$B:$X,'AUX-NIV1'!AV$3,FALSE),0)</f>
        <v>0</v>
      </c>
    </row>
    <row r="528" spans="2:48" ht="14.4" hidden="1" thickTop="1" thickBot="1">
      <c r="B528" s="501" t="s">
        <v>3698</v>
      </c>
      <c r="C528" s="951" t="s">
        <v>3699</v>
      </c>
      <c r="D528" s="1280" t="s">
        <v>1160</v>
      </c>
      <c r="E528" s="1281">
        <f>IF(B528&lt;&gt;"",+SUMIF(Items!C:C,'AUX-NIV1'!B528,Items!H:H),"")</f>
        <v>0</v>
      </c>
      <c r="F528" s="1281">
        <f t="shared" si="409"/>
        <v>36886.565495885101</v>
      </c>
      <c r="G528" s="1281">
        <f t="shared" si="410"/>
        <v>0</v>
      </c>
      <c r="H528" s="1395" t="str">
        <f t="shared" si="334"/>
        <v>X</v>
      </c>
      <c r="I528" s="1375" t="s">
        <v>3700</v>
      </c>
      <c r="J528" s="1283" t="str">
        <f>IF(B528&lt;&gt;"",+VLOOKUP(I528,Recursos!C:F,2,FALSE),"")</f>
        <v>Encofrado vigas en piso</v>
      </c>
      <c r="K528" s="1284" t="str">
        <f>IF(B528&lt;&gt;"",+VLOOKUP(I528,Recursos!C:F,3,FALSE),"")</f>
        <v>m2</v>
      </c>
      <c r="L528" s="1285">
        <f>IF(B528&lt;&gt;"",+VLOOKUP(I528,Recursos!C:F,4,FALSE),"")</f>
        <v>2763.4595695922139</v>
      </c>
      <c r="M528" s="1341"/>
      <c r="N528" s="1340">
        <f>0.5*2/(0.5*0.7)/2</f>
        <v>1.4285714285714286</v>
      </c>
      <c r="O528" s="1286">
        <f>N528</f>
        <v>1.4285714285714286</v>
      </c>
      <c r="P528" s="1287">
        <f t="shared" si="335"/>
        <v>3947.7993851317342</v>
      </c>
      <c r="Q528" s="1281">
        <f t="shared" si="336"/>
        <v>0</v>
      </c>
      <c r="R528" s="1288">
        <f t="shared" si="337"/>
        <v>0</v>
      </c>
      <c r="S528" s="1289">
        <f t="shared" si="411"/>
        <v>0</v>
      </c>
      <c r="T528" s="1289">
        <f t="shared" si="412"/>
        <v>0</v>
      </c>
      <c r="U528" s="1290">
        <f t="shared" si="413"/>
        <v>24974.545454545456</v>
      </c>
      <c r="V528" s="1290">
        <f t="shared" si="414"/>
        <v>0</v>
      </c>
      <c r="W528" s="1290">
        <f t="shared" si="415"/>
        <v>0</v>
      </c>
      <c r="X528" s="1290">
        <f t="shared" si="416"/>
        <v>11912.020041339641</v>
      </c>
      <c r="Y528" s="396"/>
      <c r="Z528" s="1291" t="str">
        <f t="shared" si="338"/>
        <v>0-HORVARA</v>
      </c>
      <c r="AA528" s="1291" t="str">
        <f t="shared" si="339"/>
        <v>0-HORVARE</v>
      </c>
      <c r="AB528" s="1291" t="str">
        <f t="shared" si="340"/>
        <v>0-HORVARM</v>
      </c>
      <c r="AC528" s="1291" t="str">
        <f t="shared" si="341"/>
        <v>0-HORVART</v>
      </c>
      <c r="AD528" s="1291" t="str">
        <f t="shared" si="342"/>
        <v>0-HORVARS</v>
      </c>
      <c r="AE528" s="1291" t="str">
        <f t="shared" si="343"/>
        <v>0-HORVARX</v>
      </c>
      <c r="AF528" s="1291" t="str">
        <f t="shared" si="344"/>
        <v>0-HORVARX</v>
      </c>
      <c r="AG528" s="1291">
        <f t="shared" si="417"/>
        <v>7</v>
      </c>
      <c r="AH528" s="1291">
        <f>IF(B528&lt;&gt;"",+IF(H528="x",+VLOOKUP(I528,'AUX-NIV2'!B:AG,32,FALSE),0),"")</f>
        <v>13</v>
      </c>
      <c r="AI528" s="1291" t="str">
        <f t="shared" si="345"/>
        <v>0-HORVAR</v>
      </c>
      <c r="AK528" s="347">
        <f t="shared" si="418"/>
        <v>522</v>
      </c>
      <c r="AL528" s="348">
        <f t="shared" si="346"/>
        <v>528</v>
      </c>
      <c r="AM528" s="347">
        <f t="shared" si="347"/>
        <v>7</v>
      </c>
      <c r="AN528" s="382">
        <f>IF(AND(AH528&gt;0,B528&lt;&gt;""),VLOOKUP(I528,'AUX-NIV2'!$B:$AP,40,FALSE)*O528,0)</f>
        <v>7.1428571428571432</v>
      </c>
      <c r="AO528" s="382">
        <f t="shared" si="419"/>
        <v>19.980357142857144</v>
      </c>
      <c r="AQ528" s="395">
        <f>(IF($H528="x",VLOOKUP($I528,'AUX-NIV2'!$B:$X,'AUX-NIV1'!AQ$3,FALSE),0)+($AV528*'AUX-NIV3'!S$4))*$O528+IF($H528=AQ$4,$P528,0)</f>
        <v>3456.9342413531804</v>
      </c>
      <c r="AR528" s="395">
        <f>(IF($H528="x",VLOOKUP($I528,'AUX-NIV2'!$B:$X,'AUX-NIV1'!AR$3,FALSE),0)+($AV528*'AUX-NIV3'!T$4))*$O528+IF($H528=AR$4,$P528,0)</f>
        <v>0</v>
      </c>
      <c r="AS528" s="395">
        <f>(IF($H528="x",VLOOKUP($I528,'AUX-NIV2'!$B:$X,'AUX-NIV1'!AS$3,FALSE),0)+($AV528*'AUX-NIV3'!U$4))*$O528+IF($H528=AS$4,$P528,0)</f>
        <v>490.86514377855417</v>
      </c>
      <c r="AT528" s="395">
        <f>(IF($H528="x",VLOOKUP($I528,'AUX-NIV2'!$B:$X,'AUX-NIV1'!AT$3,FALSE),0)+($AV528*'AUX-NIV3'!V$4))*$O528+IF($H528=AT$4,$P528,0)</f>
        <v>0</v>
      </c>
      <c r="AU528" s="395">
        <f>(IF($H528="x",VLOOKUP($I528,'AUX-NIV2'!$B:$X,'AUX-NIV1'!AU$3,FALSE),0)+($AV528*'AUX-NIV3'!W$4))*$O528+IF($H528=AU$4,$P528,0)</f>
        <v>0</v>
      </c>
      <c r="AV528" s="395">
        <f>+IF($H528="x",VLOOKUP($I528,'AUX-NIV2'!$B:$X,'AUX-NIV1'!AV$3,FALSE),0)</f>
        <v>0</v>
      </c>
    </row>
    <row r="529" spans="2:48" ht="13.8" hidden="1" thickTop="1">
      <c r="B529" s="501" t="s">
        <v>3702</v>
      </c>
      <c r="C529" s="951" t="s">
        <v>3705</v>
      </c>
      <c r="D529" s="1280" t="s">
        <v>1160</v>
      </c>
      <c r="E529" s="1281">
        <f>IF(B529&lt;&gt;"",+SUMIF(Items!C:C,'AUX-NIV1'!B529,Items!H:H),"")</f>
        <v>0</v>
      </c>
      <c r="F529" s="1281">
        <f t="shared" si="409"/>
        <v>71245.613711035025</v>
      </c>
      <c r="G529" s="1281">
        <f t="shared" si="410"/>
        <v>0</v>
      </c>
      <c r="H529" s="1395" t="str">
        <f t="shared" si="334"/>
        <v>M</v>
      </c>
      <c r="I529" s="1375" t="s">
        <v>3695</v>
      </c>
      <c r="J529" s="1283" t="str">
        <f>IF(B529&lt;&gt;"",+VLOOKUP(I529,Recursos!C:F,2,FALSE),"")</f>
        <v>HORMIGON ELABORADO H21 TRANSPORTADO</v>
      </c>
      <c r="K529" s="1284" t="str">
        <f>IF(B529&lt;&gt;"",+VLOOKUP(I529,Recursos!C:F,3,FALSE),"")</f>
        <v>m3</v>
      </c>
      <c r="L529" s="1285">
        <f>IF(B529&lt;&gt;"",+VLOOKUP(I529,Recursos!C:F,4,FALSE),"")</f>
        <v>4400</v>
      </c>
      <c r="M529" s="743"/>
      <c r="N529" s="1292">
        <v>1.05</v>
      </c>
      <c r="O529" s="1286">
        <f>N529</f>
        <v>1.05</v>
      </c>
      <c r="P529" s="1287">
        <f t="shared" si="335"/>
        <v>4620</v>
      </c>
      <c r="Q529" s="1281">
        <f t="shared" si="336"/>
        <v>0</v>
      </c>
      <c r="R529" s="1288">
        <f t="shared" si="337"/>
        <v>0</v>
      </c>
      <c r="S529" s="1289">
        <f t="shared" si="411"/>
        <v>0</v>
      </c>
      <c r="T529" s="1289">
        <f t="shared" si="412"/>
        <v>0</v>
      </c>
      <c r="U529" s="1290">
        <f t="shared" si="413"/>
        <v>35151.818181818184</v>
      </c>
      <c r="V529" s="1290">
        <f t="shared" si="414"/>
        <v>0</v>
      </c>
      <c r="W529" s="1290">
        <f t="shared" si="415"/>
        <v>0</v>
      </c>
      <c r="X529" s="1290">
        <f t="shared" si="416"/>
        <v>36093.795529216848</v>
      </c>
      <c r="Y529" s="396"/>
      <c r="Z529" s="1291" t="str">
        <f t="shared" si="338"/>
        <v>0-HORCOLA</v>
      </c>
      <c r="AA529" s="1291" t="str">
        <f t="shared" si="339"/>
        <v>0-HORCOLE</v>
      </c>
      <c r="AB529" s="1291" t="str">
        <f t="shared" si="340"/>
        <v>0-HORCOLM</v>
      </c>
      <c r="AC529" s="1291" t="str">
        <f t="shared" si="341"/>
        <v>0-HORCOLT</v>
      </c>
      <c r="AD529" s="1291" t="str">
        <f t="shared" si="342"/>
        <v>0-HORCOLS</v>
      </c>
      <c r="AE529" s="1291" t="str">
        <f t="shared" si="343"/>
        <v>0-HORCOLX</v>
      </c>
      <c r="AF529" s="1291" t="str">
        <f t="shared" si="344"/>
        <v>0-HORCOLM</v>
      </c>
      <c r="AG529" s="1291">
        <f t="shared" si="417"/>
        <v>8</v>
      </c>
      <c r="AH529" s="1291">
        <f>IF(B529&lt;&gt;"",+IF(H529="x",+VLOOKUP(I529,'AUX-NIV2'!B:AG,32,FALSE),0),"")</f>
        <v>0</v>
      </c>
      <c r="AI529" s="1291" t="str">
        <f t="shared" si="345"/>
        <v>0-HORCOL</v>
      </c>
      <c r="AK529" s="347">
        <f t="shared" si="418"/>
        <v>529</v>
      </c>
      <c r="AL529" s="348">
        <f t="shared" si="346"/>
        <v>536</v>
      </c>
      <c r="AM529" s="347">
        <f t="shared" si="347"/>
        <v>1</v>
      </c>
      <c r="AN529" s="382">
        <f>IF(AND(AH529&gt;0,B529&lt;&gt;""),VLOOKUP(I529,'AUX-NIV2'!$B:$AP,40,FALSE)*O529,0)</f>
        <v>0</v>
      </c>
      <c r="AO529" s="382">
        <f t="shared" si="419"/>
        <v>63.837499999999999</v>
      </c>
      <c r="AQ529" s="395">
        <f>(IF($H529="x",VLOOKUP($I529,'AUX-NIV2'!$B:$X,'AUX-NIV1'!AQ$3,FALSE),0)+($AV529*'AUX-NIV3'!S$4))*$O529+IF($H529=AQ$4,$P529,0)</f>
        <v>0</v>
      </c>
      <c r="AR529" s="395">
        <f>(IF($H529="x",VLOOKUP($I529,'AUX-NIV2'!$B:$X,'AUX-NIV1'!AR$3,FALSE),0)+($AV529*'AUX-NIV3'!T$4))*$O529+IF($H529=AR$4,$P529,0)</f>
        <v>0</v>
      </c>
      <c r="AS529" s="395">
        <f>(IF($H529="x",VLOOKUP($I529,'AUX-NIV2'!$B:$X,'AUX-NIV1'!AS$3,FALSE),0)+($AV529*'AUX-NIV3'!U$4))*$O529+IF($H529=AS$4,$P529,0)</f>
        <v>4620</v>
      </c>
      <c r="AT529" s="395">
        <f>(IF($H529="x",VLOOKUP($I529,'AUX-NIV2'!$B:$X,'AUX-NIV1'!AT$3,FALSE),0)+($AV529*'AUX-NIV3'!V$4))*$O529+IF($H529=AT$4,$P529,0)</f>
        <v>0</v>
      </c>
      <c r="AU529" s="395">
        <f>(IF($H529="x",VLOOKUP($I529,'AUX-NIV2'!$B:$X,'AUX-NIV1'!AU$3,FALSE),0)+($AV529*'AUX-NIV3'!W$4))*$O529+IF($H529=AU$4,$P529,0)</f>
        <v>0</v>
      </c>
      <c r="AV529" s="395">
        <f>+IF($H529="x",VLOOKUP($I529,'AUX-NIV2'!$B:$X,'AUX-NIV1'!AV$3,FALSE),0)</f>
        <v>0</v>
      </c>
    </row>
    <row r="530" spans="2:48" ht="13.8" hidden="1" thickTop="1">
      <c r="B530" s="501" t="s">
        <v>3702</v>
      </c>
      <c r="C530" s="951" t="s">
        <v>3705</v>
      </c>
      <c r="D530" s="1280" t="s">
        <v>1160</v>
      </c>
      <c r="E530" s="1281">
        <f>IF(B530&lt;&gt;"",+SUMIF(Items!C:C,'AUX-NIV1'!B530,Items!H:H),"")</f>
        <v>0</v>
      </c>
      <c r="F530" s="1281">
        <f t="shared" si="409"/>
        <v>71245.613711035025</v>
      </c>
      <c r="G530" s="1281">
        <f t="shared" si="410"/>
        <v>0</v>
      </c>
      <c r="H530" s="1395" t="str">
        <f t="shared" si="334"/>
        <v>X</v>
      </c>
      <c r="I530" s="1375" t="s">
        <v>2865</v>
      </c>
      <c r="J530" s="1283" t="str">
        <f>IF(B530&lt;&gt;"",+VLOOKUP(I530,Recursos!C:F,2,FALSE),"")</f>
        <v>Colado Hormigón desde Mixer</v>
      </c>
      <c r="K530" s="1284" t="str">
        <f>IF(B530&lt;&gt;"",+VLOOKUP(I530,Recursos!C:F,3,FALSE),"")</f>
        <v>m3</v>
      </c>
      <c r="L530" s="1285">
        <f>IF(B530&lt;&gt;"",+VLOOKUP(I530,Recursos!C:F,4,FALSE),"")</f>
        <v>1031.7487777591643</v>
      </c>
      <c r="M530" s="1336">
        <v>1</v>
      </c>
      <c r="N530" s="1343"/>
      <c r="O530" s="1286">
        <f>N529*M530</f>
        <v>1.05</v>
      </c>
      <c r="P530" s="1287">
        <f t="shared" si="335"/>
        <v>1083.3362166471227</v>
      </c>
      <c r="Q530" s="1281">
        <f t="shared" si="336"/>
        <v>0</v>
      </c>
      <c r="R530" s="1288">
        <f t="shared" si="337"/>
        <v>0</v>
      </c>
      <c r="S530" s="1289">
        <f t="shared" si="411"/>
        <v>0</v>
      </c>
      <c r="T530" s="1289">
        <f t="shared" si="412"/>
        <v>0</v>
      </c>
      <c r="U530" s="1290">
        <f t="shared" si="413"/>
        <v>35151.818181818184</v>
      </c>
      <c r="V530" s="1290">
        <f t="shared" si="414"/>
        <v>0</v>
      </c>
      <c r="W530" s="1290">
        <f t="shared" si="415"/>
        <v>0</v>
      </c>
      <c r="X530" s="1290">
        <f t="shared" si="416"/>
        <v>36093.795529216848</v>
      </c>
      <c r="Y530" s="396"/>
      <c r="Z530" s="1291" t="str">
        <f t="shared" si="338"/>
        <v>0-HORCOLA</v>
      </c>
      <c r="AA530" s="1291" t="str">
        <f t="shared" si="339"/>
        <v>0-HORCOLE</v>
      </c>
      <c r="AB530" s="1291" t="str">
        <f t="shared" si="340"/>
        <v>0-HORCOLM</v>
      </c>
      <c r="AC530" s="1291" t="str">
        <f t="shared" si="341"/>
        <v>0-HORCOLT</v>
      </c>
      <c r="AD530" s="1291" t="str">
        <f t="shared" si="342"/>
        <v>0-HORCOLS</v>
      </c>
      <c r="AE530" s="1291" t="str">
        <f t="shared" si="343"/>
        <v>0-HORCOLX</v>
      </c>
      <c r="AF530" s="1291" t="str">
        <f t="shared" si="344"/>
        <v>0-HORCOLX</v>
      </c>
      <c r="AG530" s="1291">
        <f t="shared" si="417"/>
        <v>8</v>
      </c>
      <c r="AH530" s="1291">
        <f>IF(B530&lt;&gt;"",+IF(H530="x",+VLOOKUP(I530,'AUX-NIV2'!B:AG,32,FALSE),0),"")</f>
        <v>8</v>
      </c>
      <c r="AI530" s="1291" t="str">
        <f t="shared" si="345"/>
        <v>0-HORCOL</v>
      </c>
      <c r="AK530" s="347">
        <f t="shared" si="418"/>
        <v>529</v>
      </c>
      <c r="AL530" s="348">
        <f t="shared" si="346"/>
        <v>536</v>
      </c>
      <c r="AM530" s="347">
        <f t="shared" si="347"/>
        <v>2</v>
      </c>
      <c r="AN530" s="382">
        <f>IF(AND(AH530&gt;0,B530&lt;&gt;""),VLOOKUP(I530,'AUX-NIV2'!$B:$AP,40,FALSE)*O530,0)</f>
        <v>1.8375000000000001</v>
      </c>
      <c r="AO530" s="382">
        <f t="shared" si="419"/>
        <v>63.837499999999999</v>
      </c>
      <c r="AQ530" s="395">
        <f>(IF($H530="x",VLOOKUP($I530,'AUX-NIV2'!$B:$X,'AUX-NIV1'!AQ$3,FALSE),0)+($AV530*'AUX-NIV3'!S$4))*$O530+IF($H530=AQ$4,$P530,0)</f>
        <v>876.5532171471225</v>
      </c>
      <c r="AR530" s="395">
        <f>(IF($H530="x",VLOOKUP($I530,'AUX-NIV2'!$B:$X,'AUX-NIV1'!AR$3,FALSE),0)+($AV530*'AUX-NIV3'!T$4))*$O530+IF($H530=AR$4,$P530,0)</f>
        <v>206.78299949999999</v>
      </c>
      <c r="AS530" s="395">
        <f>(IF($H530="x",VLOOKUP($I530,'AUX-NIV2'!$B:$X,'AUX-NIV1'!AS$3,FALSE),0)+($AV530*'AUX-NIV3'!U$4))*$O530+IF($H530=AS$4,$P530,0)</f>
        <v>0</v>
      </c>
      <c r="AT530" s="395">
        <f>(IF($H530="x",VLOOKUP($I530,'AUX-NIV2'!$B:$X,'AUX-NIV1'!AT$3,FALSE),0)+($AV530*'AUX-NIV3'!V$4))*$O530+IF($H530=AT$4,$P530,0)</f>
        <v>0</v>
      </c>
      <c r="AU530" s="395">
        <f>(IF($H530="x",VLOOKUP($I530,'AUX-NIV2'!$B:$X,'AUX-NIV1'!AU$3,FALSE),0)+($AV530*'AUX-NIV3'!W$4))*$O530+IF($H530=AU$4,$P530,0)</f>
        <v>0</v>
      </c>
      <c r="AV530" s="395">
        <f>+IF($H530="x",VLOOKUP($I530,'AUX-NIV2'!$B:$X,'AUX-NIV1'!AV$3,FALSE),0)</f>
        <v>0</v>
      </c>
    </row>
    <row r="531" spans="2:48" ht="13.8" hidden="1" thickTop="1">
      <c r="B531" s="501" t="s">
        <v>3702</v>
      </c>
      <c r="C531" s="951" t="s">
        <v>3705</v>
      </c>
      <c r="D531" s="1280" t="s">
        <v>1160</v>
      </c>
      <c r="E531" s="1281">
        <f>IF(B531&lt;&gt;"",+SUMIF(Items!C:C,'AUX-NIV1'!B531,Items!H:H),"")</f>
        <v>0</v>
      </c>
      <c r="F531" s="1281">
        <f t="shared" si="409"/>
        <v>71245.613711035025</v>
      </c>
      <c r="G531" s="1281">
        <f t="shared" si="410"/>
        <v>0</v>
      </c>
      <c r="H531" s="1395" t="str">
        <f t="shared" ref="H531" si="420">IF(B531&lt;&gt;"",+LEFT(I531,1),"")</f>
        <v>X</v>
      </c>
      <c r="I531" s="1375" t="s">
        <v>2897</v>
      </c>
      <c r="J531" s="1283" t="str">
        <f>IF(B531&lt;&gt;"",+VLOOKUP(I531,Recursos!C:F,2,FALSE),"")</f>
        <v>Colado de hgón con bomba</v>
      </c>
      <c r="K531" s="1284" t="str">
        <f>IF(B531&lt;&gt;"",+VLOOKUP(I531,Recursos!C:F,3,FALSE),"")</f>
        <v>m3</v>
      </c>
      <c r="L531" s="1285">
        <f>IF(B531&lt;&gt;"",+VLOOKUP(I531,Recursos!C:F,4,FALSE),"")</f>
        <v>4223.8879328752682</v>
      </c>
      <c r="M531" s="1342"/>
      <c r="N531" s="1343"/>
      <c r="O531" s="1286">
        <f>N529*(1-M530)</f>
        <v>0</v>
      </c>
      <c r="P531" s="1287">
        <f t="shared" ref="P531" si="421">IF(B531&lt;&gt;"",O531*L531,"")</f>
        <v>0</v>
      </c>
      <c r="Q531" s="1281">
        <f t="shared" ref="Q531" si="422">IF(B531&lt;&gt;"",+O531*E531,"")</f>
        <v>0</v>
      </c>
      <c r="R531" s="1288">
        <f t="shared" ref="R531" si="423">IF(B531&lt;&gt;"",Q531*L531,"")</f>
        <v>0</v>
      </c>
      <c r="S531" s="1289">
        <f t="shared" si="411"/>
        <v>0</v>
      </c>
      <c r="T531" s="1289">
        <f t="shared" si="412"/>
        <v>0</v>
      </c>
      <c r="U531" s="1290">
        <f t="shared" si="413"/>
        <v>35151.818181818184</v>
      </c>
      <c r="V531" s="1290">
        <f t="shared" si="414"/>
        <v>0</v>
      </c>
      <c r="W531" s="1290">
        <f t="shared" si="415"/>
        <v>0</v>
      </c>
      <c r="X531" s="1290">
        <f t="shared" si="416"/>
        <v>36093.795529216848</v>
      </c>
      <c r="Y531" s="396"/>
      <c r="Z531" s="1291" t="str">
        <f t="shared" ref="Z531" si="424">IF(B531&lt;&gt;"",+$B531&amp;"A","")</f>
        <v>0-HORCOLA</v>
      </c>
      <c r="AA531" s="1291" t="str">
        <f t="shared" ref="AA531" si="425">IF(B531&lt;&gt;"",+$B531&amp;"E","")</f>
        <v>0-HORCOLE</v>
      </c>
      <c r="AB531" s="1291" t="str">
        <f t="shared" ref="AB531" si="426">IF(B531&lt;&gt;"",++$B531&amp;"M","")</f>
        <v>0-HORCOLM</v>
      </c>
      <c r="AC531" s="1291" t="str">
        <f t="shared" ref="AC531" si="427">IF(B531&lt;&gt;"",+$B531&amp;"T","")</f>
        <v>0-HORCOLT</v>
      </c>
      <c r="AD531" s="1291" t="str">
        <f t="shared" ref="AD531" si="428">IF(B531&lt;&gt;"",+$B531&amp;"S","")</f>
        <v>0-HORCOLS</v>
      </c>
      <c r="AE531" s="1291" t="str">
        <f t="shared" ref="AE531" si="429">IF(B531&lt;&gt;"",+$B531&amp;"X","")</f>
        <v>0-HORCOLX</v>
      </c>
      <c r="AF531" s="1291" t="str">
        <f t="shared" ref="AF531" si="430">IF(B531&lt;&gt;"",+B531&amp;H531,"")</f>
        <v>0-HORCOLX</v>
      </c>
      <c r="AG531" s="1291">
        <f t="shared" si="417"/>
        <v>8</v>
      </c>
      <c r="AH531" s="1291">
        <f>IF(B531&lt;&gt;"",+IF(H531="x",+VLOOKUP(I531,'AUX-NIV2'!B:AG,32,FALSE),0),"")</f>
        <v>10</v>
      </c>
      <c r="AI531" s="1291" t="str">
        <f t="shared" ref="AI531" si="431">IF(B531&lt;&gt;"",+B531,"")</f>
        <v>0-HORCOL</v>
      </c>
      <c r="AK531" s="347">
        <f t="shared" si="418"/>
        <v>529</v>
      </c>
      <c r="AL531" s="348">
        <f t="shared" ref="AL531" si="432">IF(B531&lt;&gt;"",+AK531+AG531-1,"")</f>
        <v>536</v>
      </c>
      <c r="AM531" s="347">
        <f t="shared" ref="AM531" si="433">IF(B531&lt;&gt;"",IF(B531=B530,1+AM530,1),"")</f>
        <v>3</v>
      </c>
      <c r="AN531" s="382">
        <f>IF(AND(AH531&gt;0,B531&lt;&gt;""),VLOOKUP(I531,'AUX-NIV2'!$B:$AP,40,FALSE)*O531,0)</f>
        <v>0</v>
      </c>
      <c r="AO531" s="382">
        <f t="shared" si="419"/>
        <v>63.837499999999999</v>
      </c>
      <c r="AQ531" s="395">
        <f>(IF($H531="x",VLOOKUP($I531,'AUX-NIV2'!$B:$X,'AUX-NIV1'!AQ$3,FALSE),0)+($AV531*'AUX-NIV3'!S$4))*$O531+IF($H531=AQ$4,$P531,0)</f>
        <v>0</v>
      </c>
      <c r="AR531" s="395">
        <f>(IF($H531="x",VLOOKUP($I531,'AUX-NIV2'!$B:$X,'AUX-NIV1'!AR$3,FALSE),0)+($AV531*'AUX-NIV3'!T$4))*$O531+IF($H531=AR$4,$P531,0)</f>
        <v>0</v>
      </c>
      <c r="AS531" s="395">
        <f>(IF($H531="x",VLOOKUP($I531,'AUX-NIV2'!$B:$X,'AUX-NIV1'!AS$3,FALSE),0)+($AV531*'AUX-NIV3'!U$4))*$O531+IF($H531=AS$4,$P531,0)</f>
        <v>0</v>
      </c>
      <c r="AT531" s="395">
        <f>(IF($H531="x",VLOOKUP($I531,'AUX-NIV2'!$B:$X,'AUX-NIV1'!AT$3,FALSE),0)+($AV531*'AUX-NIV3'!V$4))*$O531+IF($H531=AT$4,$P531,0)</f>
        <v>0</v>
      </c>
      <c r="AU531" s="395">
        <f>(IF($H531="x",VLOOKUP($I531,'AUX-NIV2'!$B:$X,'AUX-NIV1'!AU$3,FALSE),0)+($AV531*'AUX-NIV3'!W$4))*$O531+IF($H531=AU$4,$P531,0)</f>
        <v>0</v>
      </c>
      <c r="AV531" s="395">
        <f>+IF($H531="x",VLOOKUP($I531,'AUX-NIV2'!$B:$X,'AUX-NIV1'!AV$3,FALSE),0)</f>
        <v>0</v>
      </c>
    </row>
    <row r="532" spans="2:48" ht="13.8" hidden="1" thickTop="1">
      <c r="B532" s="501" t="s">
        <v>3702</v>
      </c>
      <c r="C532" s="951" t="s">
        <v>3705</v>
      </c>
      <c r="D532" s="1280" t="s">
        <v>1160</v>
      </c>
      <c r="E532" s="1281">
        <f>IF(B532&lt;&gt;"",+SUMIF(Items!C:C,'AUX-NIV1'!B532,Items!H:H),"")</f>
        <v>0</v>
      </c>
      <c r="F532" s="1281">
        <f t="shared" si="409"/>
        <v>71245.613711035025</v>
      </c>
      <c r="G532" s="1281">
        <f t="shared" si="410"/>
        <v>0</v>
      </c>
      <c r="H532" s="1395" t="str">
        <f t="shared" si="334"/>
        <v>M</v>
      </c>
      <c r="I532" s="1375" t="s">
        <v>1751</v>
      </c>
      <c r="J532" s="1283" t="str">
        <f>IF(B532&lt;&gt;"",+VLOOKUP(I532,Recursos!C:F,2,FALSE),"")</f>
        <v>ACERO TIPO ADN 420</v>
      </c>
      <c r="K532" s="1284" t="str">
        <f>IF(B532&lt;&gt;"",+VLOOKUP(I532,Recursos!C:F,3,FALSE),"")</f>
        <v>tn</v>
      </c>
      <c r="L532" s="1285">
        <f>IF(B532&lt;&gt;"",+VLOOKUP(I532,Recursos!C:F,4,FALSE),"")</f>
        <v>185041.32231404958</v>
      </c>
      <c r="M532" s="441">
        <v>1.1000000000000001</v>
      </c>
      <c r="N532" s="497">
        <v>0.15</v>
      </c>
      <c r="O532" s="439">
        <f>N532*M532</f>
        <v>0.16500000000000001</v>
      </c>
      <c r="P532" s="1287">
        <f t="shared" si="335"/>
        <v>30531.818181818184</v>
      </c>
      <c r="Q532" s="1281">
        <f t="shared" si="336"/>
        <v>0</v>
      </c>
      <c r="R532" s="1288">
        <f t="shared" si="337"/>
        <v>0</v>
      </c>
      <c r="S532" s="1289">
        <f t="shared" si="411"/>
        <v>0</v>
      </c>
      <c r="T532" s="1289">
        <f t="shared" si="412"/>
        <v>0</v>
      </c>
      <c r="U532" s="1290">
        <f t="shared" si="413"/>
        <v>35151.818181818184</v>
      </c>
      <c r="V532" s="1290">
        <f t="shared" si="414"/>
        <v>0</v>
      </c>
      <c r="W532" s="1290">
        <f t="shared" si="415"/>
        <v>0</v>
      </c>
      <c r="X532" s="1290">
        <f t="shared" si="416"/>
        <v>36093.795529216848</v>
      </c>
      <c r="Y532" s="396"/>
      <c r="Z532" s="1291" t="str">
        <f t="shared" si="338"/>
        <v>0-HORCOLA</v>
      </c>
      <c r="AA532" s="1291" t="str">
        <f t="shared" si="339"/>
        <v>0-HORCOLE</v>
      </c>
      <c r="AB532" s="1291" t="str">
        <f t="shared" si="340"/>
        <v>0-HORCOLM</v>
      </c>
      <c r="AC532" s="1291" t="str">
        <f t="shared" si="341"/>
        <v>0-HORCOLT</v>
      </c>
      <c r="AD532" s="1291" t="str">
        <f t="shared" si="342"/>
        <v>0-HORCOLS</v>
      </c>
      <c r="AE532" s="1291" t="str">
        <f t="shared" si="343"/>
        <v>0-HORCOLX</v>
      </c>
      <c r="AF532" s="1291" t="str">
        <f t="shared" si="344"/>
        <v>0-HORCOLM</v>
      </c>
      <c r="AG532" s="1291">
        <f t="shared" si="417"/>
        <v>8</v>
      </c>
      <c r="AH532" s="1291">
        <f>IF(B532&lt;&gt;"",+IF(H532="x",+VLOOKUP(I532,'AUX-NIV2'!B:AG,32,FALSE),0),"")</f>
        <v>0</v>
      </c>
      <c r="AI532" s="1291" t="str">
        <f t="shared" si="345"/>
        <v>0-HORCOL</v>
      </c>
      <c r="AK532" s="347">
        <f t="shared" si="418"/>
        <v>529</v>
      </c>
      <c r="AL532" s="348">
        <f t="shared" si="346"/>
        <v>536</v>
      </c>
      <c r="AM532" s="347">
        <f>IF(B532&lt;&gt;"",IF(B532=B530,1+AM530,1),"")</f>
        <v>3</v>
      </c>
      <c r="AN532" s="382">
        <f>IF(AND(AH532&gt;0,B532&lt;&gt;""),VLOOKUP(I532,'AUX-NIV2'!$B:$AP,40,FALSE)*O532,0)</f>
        <v>0</v>
      </c>
      <c r="AO532" s="382">
        <f t="shared" si="419"/>
        <v>63.837499999999999</v>
      </c>
      <c r="AQ532" s="395">
        <f>(IF($H532="x",VLOOKUP($I532,'AUX-NIV2'!$B:$X,'AUX-NIV1'!AQ$3,FALSE),0)+($AV532*'AUX-NIV3'!S$4))*$O532+IF($H532=AQ$4,$P532,0)</f>
        <v>0</v>
      </c>
      <c r="AR532" s="395">
        <f>(IF($H532="x",VLOOKUP($I532,'AUX-NIV2'!$B:$X,'AUX-NIV1'!AR$3,FALSE),0)+($AV532*'AUX-NIV3'!T$4))*$O532+IF($H532=AR$4,$P532,0)</f>
        <v>0</v>
      </c>
      <c r="AS532" s="395">
        <f>(IF($H532="x",VLOOKUP($I532,'AUX-NIV2'!$B:$X,'AUX-NIV1'!AS$3,FALSE),0)+($AV532*'AUX-NIV3'!U$4))*$O532+IF($H532=AS$4,$P532,0)</f>
        <v>30531.818181818184</v>
      </c>
      <c r="AT532" s="395">
        <f>(IF($H532="x",VLOOKUP($I532,'AUX-NIV2'!$B:$X,'AUX-NIV1'!AT$3,FALSE),0)+($AV532*'AUX-NIV3'!V$4))*$O532+IF($H532=AT$4,$P532,0)</f>
        <v>0</v>
      </c>
      <c r="AU532" s="395">
        <f>(IF($H532="x",VLOOKUP($I532,'AUX-NIV2'!$B:$X,'AUX-NIV1'!AU$3,FALSE),0)+($AV532*'AUX-NIV3'!W$4))*$O532+IF($H532=AU$4,$P532,0)</f>
        <v>0</v>
      </c>
      <c r="AV532" s="395">
        <f>+IF($H532="x",VLOOKUP($I532,'AUX-NIV2'!$B:$X,'AUX-NIV1'!AV$3,FALSE),0)</f>
        <v>0</v>
      </c>
    </row>
    <row r="533" spans="2:48" ht="13.8" hidden="1" thickTop="1">
      <c r="B533" s="501" t="s">
        <v>3702</v>
      </c>
      <c r="C533" s="951" t="s">
        <v>3705</v>
      </c>
      <c r="D533" s="1280" t="s">
        <v>1160</v>
      </c>
      <c r="E533" s="1281">
        <f>IF(B533&lt;&gt;"",+SUMIF(Items!C:C,'AUX-NIV1'!B533,Items!H:H),"")</f>
        <v>0</v>
      </c>
      <c r="F533" s="1281">
        <f t="shared" si="409"/>
        <v>71245.613711035025</v>
      </c>
      <c r="G533" s="1281">
        <f t="shared" si="410"/>
        <v>0</v>
      </c>
      <c r="H533" s="1395" t="str">
        <f t="shared" si="334"/>
        <v>X</v>
      </c>
      <c r="I533" s="1375" t="s">
        <v>2883</v>
      </c>
      <c r="J533" s="1283" t="str">
        <f>IF(B533&lt;&gt;"",+VLOOKUP(I533,Recursos!C:F,2,FALSE),"")</f>
        <v>Corte y doblado de acero</v>
      </c>
      <c r="K533" s="1284" t="str">
        <f>IF(B533&lt;&gt;"",+VLOOKUP(I533,Recursos!C:F,3,FALSE),"")</f>
        <v>tn</v>
      </c>
      <c r="L533" s="1285">
        <f>IF(B533&lt;&gt;"",+VLOOKUP(I533,Recursos!C:F,4,FALSE),"")</f>
        <v>17428.113426266111</v>
      </c>
      <c r="M533" s="441">
        <v>1</v>
      </c>
      <c r="N533" s="442"/>
      <c r="O533" s="439">
        <f>N532*M533</f>
        <v>0.15</v>
      </c>
      <c r="P533" s="1287">
        <f t="shared" si="335"/>
        <v>2614.2170139399163</v>
      </c>
      <c r="Q533" s="1281">
        <f t="shared" si="336"/>
        <v>0</v>
      </c>
      <c r="R533" s="1288">
        <f t="shared" si="337"/>
        <v>0</v>
      </c>
      <c r="S533" s="1289">
        <f t="shared" si="411"/>
        <v>0</v>
      </c>
      <c r="T533" s="1289">
        <f t="shared" si="412"/>
        <v>0</v>
      </c>
      <c r="U533" s="1290">
        <f t="shared" si="413"/>
        <v>35151.818181818184</v>
      </c>
      <c r="V533" s="1290">
        <f t="shared" si="414"/>
        <v>0</v>
      </c>
      <c r="W533" s="1290">
        <f t="shared" si="415"/>
        <v>0</v>
      </c>
      <c r="X533" s="1290">
        <f t="shared" si="416"/>
        <v>36093.795529216848</v>
      </c>
      <c r="Y533" s="396"/>
      <c r="Z533" s="1291" t="str">
        <f t="shared" si="338"/>
        <v>0-HORCOLA</v>
      </c>
      <c r="AA533" s="1291" t="str">
        <f t="shared" si="339"/>
        <v>0-HORCOLE</v>
      </c>
      <c r="AB533" s="1291" t="str">
        <f t="shared" si="340"/>
        <v>0-HORCOLM</v>
      </c>
      <c r="AC533" s="1291" t="str">
        <f t="shared" si="341"/>
        <v>0-HORCOLT</v>
      </c>
      <c r="AD533" s="1291" t="str">
        <f t="shared" si="342"/>
        <v>0-HORCOLS</v>
      </c>
      <c r="AE533" s="1291" t="str">
        <f t="shared" si="343"/>
        <v>0-HORCOLX</v>
      </c>
      <c r="AF533" s="1291" t="str">
        <f t="shared" si="344"/>
        <v>0-HORCOLX</v>
      </c>
      <c r="AG533" s="1291">
        <f t="shared" si="417"/>
        <v>8</v>
      </c>
      <c r="AH533" s="1291">
        <f>IF(B533&lt;&gt;"",+IF(H533="x",+VLOOKUP(I533,'AUX-NIV2'!B:AG,32,FALSE),0),"")</f>
        <v>4</v>
      </c>
      <c r="AI533" s="1291" t="str">
        <f t="shared" si="345"/>
        <v>0-HORCOL</v>
      </c>
      <c r="AK533" s="347">
        <f t="shared" si="418"/>
        <v>529</v>
      </c>
      <c r="AL533" s="348">
        <f t="shared" si="346"/>
        <v>536</v>
      </c>
      <c r="AM533" s="347">
        <f t="shared" si="347"/>
        <v>4</v>
      </c>
      <c r="AN533" s="382">
        <f>IF(AND(AH533&gt;0,B533&lt;&gt;""),VLOOKUP(I533,'AUX-NIV2'!$B:$AP,40,FALSE)*O533,0)</f>
        <v>5.25</v>
      </c>
      <c r="AO533" s="382">
        <f t="shared" si="419"/>
        <v>63.837499999999999</v>
      </c>
      <c r="AQ533" s="395">
        <f>(IF($H533="x",VLOOKUP($I533,'AUX-NIV2'!$B:$X,'AUX-NIV1'!AQ$3,FALSE),0)+($AV533*'AUX-NIV3'!S$4))*$O533+IF($H533=AQ$4,$P533,0)</f>
        <v>2552.9821155399163</v>
      </c>
      <c r="AR533" s="395">
        <f>(IF($H533="x",VLOOKUP($I533,'AUX-NIV2'!$B:$X,'AUX-NIV1'!AR$3,FALSE),0)+($AV533*'AUX-NIV3'!T$4))*$O533+IF($H533=AR$4,$P533,0)</f>
        <v>61.234898399999992</v>
      </c>
      <c r="AS533" s="395">
        <f>(IF($H533="x",VLOOKUP($I533,'AUX-NIV2'!$B:$X,'AUX-NIV1'!AS$3,FALSE),0)+($AV533*'AUX-NIV3'!U$4))*$O533+IF($H533=AS$4,$P533,0)</f>
        <v>0</v>
      </c>
      <c r="AT533" s="395">
        <f>(IF($H533="x",VLOOKUP($I533,'AUX-NIV2'!$B:$X,'AUX-NIV1'!AT$3,FALSE),0)+($AV533*'AUX-NIV3'!V$4))*$O533+IF($H533=AT$4,$P533,0)</f>
        <v>0</v>
      </c>
      <c r="AU533" s="395">
        <f>(IF($H533="x",VLOOKUP($I533,'AUX-NIV2'!$B:$X,'AUX-NIV1'!AU$3,FALSE),0)+($AV533*'AUX-NIV3'!W$4))*$O533+IF($H533=AU$4,$P533,0)</f>
        <v>0</v>
      </c>
      <c r="AV533" s="395">
        <f>+IF($H533="x",VLOOKUP($I533,'AUX-NIV2'!$B:$X,'AUX-NIV1'!AV$3,FALSE),0)</f>
        <v>0</v>
      </c>
    </row>
    <row r="534" spans="2:48" ht="13.8" hidden="1" thickTop="1">
      <c r="B534" s="501" t="s">
        <v>3702</v>
      </c>
      <c r="C534" s="951" t="s">
        <v>3705</v>
      </c>
      <c r="D534" s="1280" t="s">
        <v>1160</v>
      </c>
      <c r="E534" s="1281">
        <f>IF(B534&lt;&gt;"",+SUMIF(Items!C:C,'AUX-NIV1'!B534,Items!H:H),"")</f>
        <v>0</v>
      </c>
      <c r="F534" s="1281">
        <f t="shared" si="409"/>
        <v>71245.613711035025</v>
      </c>
      <c r="G534" s="1281">
        <f t="shared" si="410"/>
        <v>0</v>
      </c>
      <c r="H534" s="1395" t="str">
        <f t="shared" si="334"/>
        <v>X</v>
      </c>
      <c r="I534" s="1375" t="s">
        <v>2884</v>
      </c>
      <c r="J534" s="1283" t="str">
        <f>IF(B534&lt;&gt;"",+VLOOKUP(I534,Recursos!C:F,2,FALSE),"")</f>
        <v>Colocación de acero manual</v>
      </c>
      <c r="K534" s="1284" t="str">
        <f>IF(B534&lt;&gt;"",+VLOOKUP(I534,Recursos!C:F,3,FALSE),"")</f>
        <v>tn</v>
      </c>
      <c r="L534" s="1285">
        <f>IF(B534&lt;&gt;"",+VLOOKUP(I534,Recursos!C:F,4,FALSE),"")</f>
        <v>51380.730969341719</v>
      </c>
      <c r="M534" s="441">
        <v>1</v>
      </c>
      <c r="N534" s="442"/>
      <c r="O534" s="439">
        <f>M534*N532</f>
        <v>0.15</v>
      </c>
      <c r="P534" s="1287">
        <f t="shared" si="335"/>
        <v>7707.1096454012577</v>
      </c>
      <c r="Q534" s="1281">
        <f t="shared" si="336"/>
        <v>0</v>
      </c>
      <c r="R534" s="1288">
        <f t="shared" si="337"/>
        <v>0</v>
      </c>
      <c r="S534" s="1289">
        <f t="shared" si="411"/>
        <v>0</v>
      </c>
      <c r="T534" s="1289">
        <f t="shared" si="412"/>
        <v>0</v>
      </c>
      <c r="U534" s="1290">
        <f t="shared" si="413"/>
        <v>35151.818181818184</v>
      </c>
      <c r="V534" s="1290">
        <f t="shared" si="414"/>
        <v>0</v>
      </c>
      <c r="W534" s="1290">
        <f t="shared" si="415"/>
        <v>0</v>
      </c>
      <c r="X534" s="1290">
        <f t="shared" si="416"/>
        <v>36093.795529216848</v>
      </c>
      <c r="Y534" s="396"/>
      <c r="Z534" s="1291" t="str">
        <f t="shared" si="338"/>
        <v>0-HORCOLA</v>
      </c>
      <c r="AA534" s="1291" t="str">
        <f t="shared" si="339"/>
        <v>0-HORCOLE</v>
      </c>
      <c r="AB534" s="1291" t="str">
        <f t="shared" si="340"/>
        <v>0-HORCOLM</v>
      </c>
      <c r="AC534" s="1291" t="str">
        <f t="shared" si="341"/>
        <v>0-HORCOLT</v>
      </c>
      <c r="AD534" s="1291" t="str">
        <f t="shared" si="342"/>
        <v>0-HORCOLS</v>
      </c>
      <c r="AE534" s="1291" t="str">
        <f t="shared" si="343"/>
        <v>0-HORCOLX</v>
      </c>
      <c r="AF534" s="1291" t="str">
        <f t="shared" si="344"/>
        <v>0-HORCOLX</v>
      </c>
      <c r="AG534" s="1291">
        <f t="shared" si="417"/>
        <v>8</v>
      </c>
      <c r="AH534" s="1291">
        <f>IF(B534&lt;&gt;"",+IF(H534="x",+VLOOKUP(I534,'AUX-NIV2'!B:AG,32,FALSE),0),"")</f>
        <v>8</v>
      </c>
      <c r="AI534" s="1291" t="str">
        <f t="shared" si="345"/>
        <v>0-HORCOL</v>
      </c>
      <c r="AK534" s="347">
        <f t="shared" si="418"/>
        <v>529</v>
      </c>
      <c r="AL534" s="348">
        <f t="shared" si="346"/>
        <v>536</v>
      </c>
      <c r="AM534" s="347">
        <f t="shared" si="347"/>
        <v>5</v>
      </c>
      <c r="AN534" s="382">
        <f>IF(AND(AH534&gt;0,B534&lt;&gt;""),VLOOKUP(I534,'AUX-NIV2'!$B:$AP,40,FALSE)*O534,0)</f>
        <v>11.25</v>
      </c>
      <c r="AO534" s="382">
        <f t="shared" si="419"/>
        <v>63.837499999999999</v>
      </c>
      <c r="AQ534" s="395">
        <f>(IF($H534="x",VLOOKUP($I534,'AUX-NIV2'!$B:$X,'AUX-NIV1'!AQ$3,FALSE),0)+($AV534*'AUX-NIV3'!S$4))*$O534+IF($H534=AQ$4,$P534,0)</f>
        <v>5500.498075153324</v>
      </c>
      <c r="AR534" s="395">
        <f>(IF($H534="x",VLOOKUP($I534,'AUX-NIV2'!$B:$X,'AUX-NIV1'!AR$3,FALSE),0)+($AV534*'AUX-NIV3'!T$4))*$O534+IF($H534=AR$4,$P534,0)</f>
        <v>0</v>
      </c>
      <c r="AS534" s="395">
        <f>(IF($H534="x",VLOOKUP($I534,'AUX-NIV2'!$B:$X,'AUX-NIV1'!AS$3,FALSE),0)+($AV534*'AUX-NIV3'!U$4))*$O534+IF($H534=AS$4,$P534,0)</f>
        <v>2206.6115702479342</v>
      </c>
      <c r="AT534" s="395">
        <f>(IF($H534="x",VLOOKUP($I534,'AUX-NIV2'!$B:$X,'AUX-NIV1'!AT$3,FALSE),0)+($AV534*'AUX-NIV3'!V$4))*$O534+IF($H534=AT$4,$P534,0)</f>
        <v>0</v>
      </c>
      <c r="AU534" s="395">
        <f>(IF($H534="x",VLOOKUP($I534,'AUX-NIV2'!$B:$X,'AUX-NIV1'!AU$3,FALSE),0)+($AV534*'AUX-NIV3'!W$4))*$O534+IF($H534=AU$4,$P534,0)</f>
        <v>0</v>
      </c>
      <c r="AV534" s="395">
        <f>+IF($H534="x",VLOOKUP($I534,'AUX-NIV2'!$B:$X,'AUX-NIV1'!AV$3,FALSE),0)</f>
        <v>0</v>
      </c>
    </row>
    <row r="535" spans="2:48" ht="13.8" hidden="1" thickTop="1">
      <c r="B535" s="501" t="s">
        <v>3702</v>
      </c>
      <c r="C535" s="951" t="s">
        <v>3705</v>
      </c>
      <c r="D535" s="1280" t="s">
        <v>1160</v>
      </c>
      <c r="E535" s="1281">
        <f>IF(B535&lt;&gt;"",+SUMIF(Items!C:C,'AUX-NIV1'!B535,Items!H:H),"")</f>
        <v>0</v>
      </c>
      <c r="F535" s="1281">
        <f t="shared" si="409"/>
        <v>71245.613711035025</v>
      </c>
      <c r="G535" s="1281">
        <f t="shared" si="410"/>
        <v>0</v>
      </c>
      <c r="H535" s="1395" t="str">
        <f t="shared" si="334"/>
        <v>X</v>
      </c>
      <c r="I535" s="1375" t="s">
        <v>2886</v>
      </c>
      <c r="J535" s="1283" t="str">
        <f>IF(B535&lt;&gt;"",+VLOOKUP(I535,Recursos!C:F,2,FALSE),"")</f>
        <v>Colocación de acero con grúa</v>
      </c>
      <c r="K535" s="1284" t="str">
        <f>IF(B535&lt;&gt;"",+VLOOKUP(I535,Recursos!C:F,3,FALSE),"")</f>
        <v>tn</v>
      </c>
      <c r="L535" s="1285">
        <f>IF(B535&lt;&gt;"",+VLOOKUP(I535,Recursos!C:F,4,FALSE),"")</f>
        <v>40888.822227420533</v>
      </c>
      <c r="M535" s="1338"/>
      <c r="N535" s="1339"/>
      <c r="O535" s="439">
        <f>(1-M534)*N532</f>
        <v>0</v>
      </c>
      <c r="P535" s="1287">
        <f t="shared" si="335"/>
        <v>0</v>
      </c>
      <c r="Q535" s="1281">
        <f t="shared" si="336"/>
        <v>0</v>
      </c>
      <c r="R535" s="1288">
        <f t="shared" si="337"/>
        <v>0</v>
      </c>
      <c r="S535" s="1289">
        <f t="shared" si="411"/>
        <v>0</v>
      </c>
      <c r="T535" s="1289">
        <f t="shared" si="412"/>
        <v>0</v>
      </c>
      <c r="U535" s="1290">
        <f t="shared" si="413"/>
        <v>35151.818181818184</v>
      </c>
      <c r="V535" s="1290">
        <f t="shared" si="414"/>
        <v>0</v>
      </c>
      <c r="W535" s="1290">
        <f t="shared" si="415"/>
        <v>0</v>
      </c>
      <c r="X535" s="1290">
        <f t="shared" si="416"/>
        <v>36093.795529216848</v>
      </c>
      <c r="Y535" s="396"/>
      <c r="Z535" s="1291" t="str">
        <f t="shared" si="338"/>
        <v>0-HORCOLA</v>
      </c>
      <c r="AA535" s="1291" t="str">
        <f t="shared" si="339"/>
        <v>0-HORCOLE</v>
      </c>
      <c r="AB535" s="1291" t="str">
        <f t="shared" si="340"/>
        <v>0-HORCOLM</v>
      </c>
      <c r="AC535" s="1291" t="str">
        <f t="shared" si="341"/>
        <v>0-HORCOLT</v>
      </c>
      <c r="AD535" s="1291" t="str">
        <f t="shared" si="342"/>
        <v>0-HORCOLS</v>
      </c>
      <c r="AE535" s="1291" t="str">
        <f t="shared" si="343"/>
        <v>0-HORCOLX</v>
      </c>
      <c r="AF535" s="1291" t="str">
        <f t="shared" si="344"/>
        <v>0-HORCOLX</v>
      </c>
      <c r="AG535" s="1291">
        <f t="shared" si="417"/>
        <v>8</v>
      </c>
      <c r="AH535" s="1291">
        <f>IF(B535&lt;&gt;"",+IF(H535="x",+VLOOKUP(I535,'AUX-NIV2'!B:AG,32,FALSE),0),"")</f>
        <v>8</v>
      </c>
      <c r="AI535" s="1291" t="str">
        <f t="shared" si="345"/>
        <v>0-HORCOL</v>
      </c>
      <c r="AK535" s="347">
        <f t="shared" si="418"/>
        <v>529</v>
      </c>
      <c r="AL535" s="348">
        <f t="shared" si="346"/>
        <v>536</v>
      </c>
      <c r="AM535" s="347">
        <f t="shared" si="347"/>
        <v>6</v>
      </c>
      <c r="AN535" s="382">
        <f>IF(AND(AH535&gt;0,B535&lt;&gt;""),VLOOKUP(I535,'AUX-NIV2'!$B:$AP,40,FALSE)*O535,0)</f>
        <v>0</v>
      </c>
      <c r="AO535" s="382">
        <f t="shared" si="419"/>
        <v>63.837499999999999</v>
      </c>
      <c r="AQ535" s="395">
        <f>(IF($H535="x",VLOOKUP($I535,'AUX-NIV2'!$B:$X,'AUX-NIV1'!AQ$3,FALSE),0)+($AV535*'AUX-NIV3'!S$4))*$O535+IF($H535=AQ$4,$P535,0)</f>
        <v>0</v>
      </c>
      <c r="AR535" s="395">
        <f>(IF($H535="x",VLOOKUP($I535,'AUX-NIV2'!$B:$X,'AUX-NIV1'!AR$3,FALSE),0)+($AV535*'AUX-NIV3'!T$4))*$O535+IF($H535=AR$4,$P535,0)</f>
        <v>0</v>
      </c>
      <c r="AS535" s="395">
        <f>(IF($H535="x",VLOOKUP($I535,'AUX-NIV2'!$B:$X,'AUX-NIV1'!AS$3,FALSE),0)+($AV535*'AUX-NIV3'!U$4))*$O535+IF($H535=AS$4,$P535,0)</f>
        <v>0</v>
      </c>
      <c r="AT535" s="395">
        <f>(IF($H535="x",VLOOKUP($I535,'AUX-NIV2'!$B:$X,'AUX-NIV1'!AT$3,FALSE),0)+($AV535*'AUX-NIV3'!V$4))*$O535+IF($H535=AT$4,$P535,0)</f>
        <v>0</v>
      </c>
      <c r="AU535" s="395">
        <f>(IF($H535="x",VLOOKUP($I535,'AUX-NIV2'!$B:$X,'AUX-NIV1'!AU$3,FALSE),0)+($AV535*'AUX-NIV3'!W$4))*$O535+IF($H535=AU$4,$P535,0)</f>
        <v>0</v>
      </c>
      <c r="AV535" s="395">
        <f>+IF($H535="x",VLOOKUP($I535,'AUX-NIV2'!$B:$X,'AUX-NIV1'!AV$3,FALSE),0)</f>
        <v>0</v>
      </c>
    </row>
    <row r="536" spans="2:48" ht="14.4" hidden="1" thickTop="1" thickBot="1">
      <c r="B536" s="501" t="s">
        <v>3702</v>
      </c>
      <c r="C536" s="951" t="s">
        <v>3705</v>
      </c>
      <c r="D536" s="1280" t="s">
        <v>1160</v>
      </c>
      <c r="E536" s="1281">
        <f>IF(B536&lt;&gt;"",+SUMIF(Items!C:C,'AUX-NIV1'!B536,Items!H:H),"")</f>
        <v>0</v>
      </c>
      <c r="F536" s="1281">
        <f t="shared" si="409"/>
        <v>71245.613711035025</v>
      </c>
      <c r="G536" s="1281">
        <f t="shared" si="410"/>
        <v>0</v>
      </c>
      <c r="H536" s="1395" t="str">
        <f t="shared" si="334"/>
        <v>X</v>
      </c>
      <c r="I536" s="1375" t="s">
        <v>2871</v>
      </c>
      <c r="J536" s="1283" t="str">
        <f>IF(B536&lt;&gt;"",+VLOOKUP(I536,Recursos!C:F,2,FALSE),"")</f>
        <v>Encofrado para obras menores</v>
      </c>
      <c r="K536" s="1284" t="str">
        <f>IF(B536&lt;&gt;"",+VLOOKUP(I536,Recursos!C:F,3,FALSE),"")</f>
        <v>m2</v>
      </c>
      <c r="L536" s="1285">
        <f>IF(B536&lt;&gt;"",+VLOOKUP(I536,Recursos!C:F,4,FALSE),"")</f>
        <v>3798.3281004967002</v>
      </c>
      <c r="M536" s="1341"/>
      <c r="N536" s="1340">
        <f>(0.25+0.4)*2/(0.25*0.4)/2</f>
        <v>6.5</v>
      </c>
      <c r="O536" s="1286">
        <f>N536</f>
        <v>6.5</v>
      </c>
      <c r="P536" s="1287">
        <f t="shared" si="335"/>
        <v>24689.132653228553</v>
      </c>
      <c r="Q536" s="1281">
        <f t="shared" si="336"/>
        <v>0</v>
      </c>
      <c r="R536" s="1288">
        <f t="shared" si="337"/>
        <v>0</v>
      </c>
      <c r="S536" s="1289">
        <f t="shared" si="411"/>
        <v>0</v>
      </c>
      <c r="T536" s="1289">
        <f t="shared" si="412"/>
        <v>0</v>
      </c>
      <c r="U536" s="1290">
        <f t="shared" si="413"/>
        <v>35151.818181818184</v>
      </c>
      <c r="V536" s="1290">
        <f t="shared" si="414"/>
        <v>0</v>
      </c>
      <c r="W536" s="1290">
        <f t="shared" si="415"/>
        <v>0</v>
      </c>
      <c r="X536" s="1290">
        <f t="shared" si="416"/>
        <v>36093.795529216848</v>
      </c>
      <c r="Y536" s="396"/>
      <c r="Z536" s="1291" t="str">
        <f t="shared" si="338"/>
        <v>0-HORCOLA</v>
      </c>
      <c r="AA536" s="1291" t="str">
        <f t="shared" si="339"/>
        <v>0-HORCOLE</v>
      </c>
      <c r="AB536" s="1291" t="str">
        <f t="shared" si="340"/>
        <v>0-HORCOLM</v>
      </c>
      <c r="AC536" s="1291" t="str">
        <f t="shared" si="341"/>
        <v>0-HORCOLT</v>
      </c>
      <c r="AD536" s="1291" t="str">
        <f t="shared" si="342"/>
        <v>0-HORCOLS</v>
      </c>
      <c r="AE536" s="1291" t="str">
        <f t="shared" si="343"/>
        <v>0-HORCOLX</v>
      </c>
      <c r="AF536" s="1291" t="str">
        <f t="shared" si="344"/>
        <v>0-HORCOLX</v>
      </c>
      <c r="AG536" s="1291">
        <f t="shared" si="417"/>
        <v>8</v>
      </c>
      <c r="AH536" s="1291">
        <f>IF(B536&lt;&gt;"",+IF(H536="x",+VLOOKUP(I536,'AUX-NIV2'!B:AG,32,FALSE),0),"")</f>
        <v>13</v>
      </c>
      <c r="AI536" s="1291" t="str">
        <f t="shared" si="345"/>
        <v>0-HORCOL</v>
      </c>
      <c r="AK536" s="347">
        <f t="shared" si="418"/>
        <v>529</v>
      </c>
      <c r="AL536" s="348">
        <f t="shared" si="346"/>
        <v>536</v>
      </c>
      <c r="AM536" s="347">
        <f t="shared" si="347"/>
        <v>7</v>
      </c>
      <c r="AN536" s="382">
        <f>IF(AND(AH536&gt;0,B536&lt;&gt;""),VLOOKUP(I536,'AUX-NIV2'!$B:$AP,40,FALSE)*O536,0)</f>
        <v>45.5</v>
      </c>
      <c r="AO536" s="382">
        <f t="shared" si="419"/>
        <v>63.837499999999999</v>
      </c>
      <c r="AQ536" s="395">
        <f>(IF($H536="x",VLOOKUP($I536,'AUX-NIV2'!$B:$X,'AUX-NIV1'!AQ$3,FALSE),0)+($AV536*'AUX-NIV3'!S$4))*$O536+IF($H536=AQ$4,$P536,0)</f>
        <v>21697.362915702801</v>
      </c>
      <c r="AR536" s="395">
        <f>(IF($H536="x",VLOOKUP($I536,'AUX-NIV2'!$B:$X,'AUX-NIV1'!AR$3,FALSE),0)+($AV536*'AUX-NIV3'!T$4))*$O536+IF($H536=AR$4,$P536,0)</f>
        <v>0</v>
      </c>
      <c r="AS536" s="395">
        <f>(IF($H536="x",VLOOKUP($I536,'AUX-NIV2'!$B:$X,'AUX-NIV1'!AS$3,FALSE),0)+($AV536*'AUX-NIV3'!U$4))*$O536+IF($H536=AS$4,$P536,0)</f>
        <v>2991.7697375257549</v>
      </c>
      <c r="AT536" s="395">
        <f>(IF($H536="x",VLOOKUP($I536,'AUX-NIV2'!$B:$X,'AUX-NIV1'!AT$3,FALSE),0)+($AV536*'AUX-NIV3'!V$4))*$O536+IF($H536=AT$4,$P536,0)</f>
        <v>0</v>
      </c>
      <c r="AU536" s="395">
        <f>(IF($H536="x",VLOOKUP($I536,'AUX-NIV2'!$B:$X,'AUX-NIV1'!AU$3,FALSE),0)+($AV536*'AUX-NIV3'!W$4))*$O536+IF($H536=AU$4,$P536,0)</f>
        <v>0</v>
      </c>
      <c r="AV536" s="395">
        <f>+IF($H536="x",VLOOKUP($I536,'AUX-NIV2'!$B:$X,'AUX-NIV1'!AV$3,FALSE),0)</f>
        <v>0</v>
      </c>
    </row>
    <row r="537" spans="2:48" ht="13.8" hidden="1" thickTop="1">
      <c r="B537" s="501" t="s">
        <v>3703</v>
      </c>
      <c r="C537" s="951" t="s">
        <v>3706</v>
      </c>
      <c r="D537" s="1280" t="s">
        <v>1160</v>
      </c>
      <c r="E537" s="1281">
        <f>IF(B537&lt;&gt;"",+SUMIF(Items!C:C,'AUX-NIV1'!B537,Items!H:H),"")</f>
        <v>0</v>
      </c>
      <c r="F537" s="1281">
        <f t="shared" si="409"/>
        <v>47159.990001721992</v>
      </c>
      <c r="G537" s="1281">
        <f t="shared" si="410"/>
        <v>0</v>
      </c>
      <c r="H537" s="1395" t="str">
        <f t="shared" si="334"/>
        <v>M</v>
      </c>
      <c r="I537" s="1375" t="s">
        <v>3695</v>
      </c>
      <c r="J537" s="1283" t="str">
        <f>IF(B537&lt;&gt;"",+VLOOKUP(I537,Recursos!C:F,2,FALSE),"")</f>
        <v>HORMIGON ELABORADO H21 TRANSPORTADO</v>
      </c>
      <c r="K537" s="1284" t="str">
        <f>IF(B537&lt;&gt;"",+VLOOKUP(I537,Recursos!C:F,3,FALSE),"")</f>
        <v>m3</v>
      </c>
      <c r="L537" s="1285">
        <f>IF(B537&lt;&gt;"",+VLOOKUP(I537,Recursos!C:F,4,FALSE),"")</f>
        <v>4400</v>
      </c>
      <c r="M537" s="743"/>
      <c r="N537" s="1292">
        <v>1.05</v>
      </c>
      <c r="O537" s="1286">
        <f>N537</f>
        <v>1.05</v>
      </c>
      <c r="P537" s="1287">
        <f t="shared" si="335"/>
        <v>4620</v>
      </c>
      <c r="Q537" s="1281">
        <f t="shared" si="336"/>
        <v>0</v>
      </c>
      <c r="R537" s="1288">
        <f t="shared" si="337"/>
        <v>0</v>
      </c>
      <c r="S537" s="1289">
        <f t="shared" si="411"/>
        <v>0</v>
      </c>
      <c r="T537" s="1289">
        <f t="shared" si="412"/>
        <v>0</v>
      </c>
      <c r="U537" s="1290">
        <f t="shared" si="413"/>
        <v>29045.454545454548</v>
      </c>
      <c r="V537" s="1290">
        <f t="shared" si="414"/>
        <v>0</v>
      </c>
      <c r="W537" s="1290">
        <f t="shared" si="415"/>
        <v>0</v>
      </c>
      <c r="X537" s="1290">
        <f t="shared" si="416"/>
        <v>18114.53545626744</v>
      </c>
      <c r="Y537" s="396"/>
      <c r="Z537" s="1291" t="str">
        <f t="shared" si="338"/>
        <v>0-HORVIGA</v>
      </c>
      <c r="AA537" s="1291" t="str">
        <f t="shared" si="339"/>
        <v>0-HORVIGE</v>
      </c>
      <c r="AB537" s="1291" t="str">
        <f t="shared" si="340"/>
        <v>0-HORVIGM</v>
      </c>
      <c r="AC537" s="1291" t="str">
        <f t="shared" si="341"/>
        <v>0-HORVIGT</v>
      </c>
      <c r="AD537" s="1291" t="str">
        <f t="shared" si="342"/>
        <v>0-HORVIGS</v>
      </c>
      <c r="AE537" s="1291" t="str">
        <f t="shared" si="343"/>
        <v>0-HORVIGX</v>
      </c>
      <c r="AF537" s="1291" t="str">
        <f t="shared" si="344"/>
        <v>0-HORVIGM</v>
      </c>
      <c r="AG537" s="1291">
        <f t="shared" si="417"/>
        <v>8</v>
      </c>
      <c r="AH537" s="1291">
        <f>IF(B537&lt;&gt;"",+IF(H537="x",+VLOOKUP(I537,'AUX-NIV2'!B:AG,32,FALSE),0),"")</f>
        <v>0</v>
      </c>
      <c r="AI537" s="1291" t="str">
        <f t="shared" si="345"/>
        <v>0-HORVIG</v>
      </c>
      <c r="AK537" s="347">
        <f t="shared" si="418"/>
        <v>537</v>
      </c>
      <c r="AL537" s="348">
        <f t="shared" si="346"/>
        <v>544</v>
      </c>
      <c r="AM537" s="347">
        <f t="shared" si="347"/>
        <v>1</v>
      </c>
      <c r="AN537" s="382">
        <f>IF(AND(AH537&gt;0,B537&lt;&gt;""),VLOOKUP(I537,'AUX-NIV2'!$B:$AP,40,FALSE)*O537,0)</f>
        <v>0</v>
      </c>
      <c r="AO537" s="382">
        <f t="shared" si="419"/>
        <v>31.2075</v>
      </c>
      <c r="AQ537" s="395">
        <f>(IF($H537="x",VLOOKUP($I537,'AUX-NIV2'!$B:$X,'AUX-NIV1'!AQ$3,FALSE),0)+($AV537*'AUX-NIV3'!S$4))*$O537+IF($H537=AQ$4,$P537,0)</f>
        <v>0</v>
      </c>
      <c r="AR537" s="395">
        <f>(IF($H537="x",VLOOKUP($I537,'AUX-NIV2'!$B:$X,'AUX-NIV1'!AR$3,FALSE),0)+($AV537*'AUX-NIV3'!T$4))*$O537+IF($H537=AR$4,$P537,0)</f>
        <v>0</v>
      </c>
      <c r="AS537" s="395">
        <f>(IF($H537="x",VLOOKUP($I537,'AUX-NIV2'!$B:$X,'AUX-NIV1'!AS$3,FALSE),0)+($AV537*'AUX-NIV3'!U$4))*$O537+IF($H537=AS$4,$P537,0)</f>
        <v>4620</v>
      </c>
      <c r="AT537" s="395">
        <f>(IF($H537="x",VLOOKUP($I537,'AUX-NIV2'!$B:$X,'AUX-NIV1'!AT$3,FALSE),0)+($AV537*'AUX-NIV3'!V$4))*$O537+IF($H537=AT$4,$P537,0)</f>
        <v>0</v>
      </c>
      <c r="AU537" s="395">
        <f>(IF($H537="x",VLOOKUP($I537,'AUX-NIV2'!$B:$X,'AUX-NIV1'!AU$3,FALSE),0)+($AV537*'AUX-NIV3'!W$4))*$O537+IF($H537=AU$4,$P537,0)</f>
        <v>0</v>
      </c>
      <c r="AV537" s="395">
        <f>+IF($H537="x",VLOOKUP($I537,'AUX-NIV2'!$B:$X,'AUX-NIV1'!AV$3,FALSE),0)</f>
        <v>0</v>
      </c>
    </row>
    <row r="538" spans="2:48" ht="13.8" hidden="1" thickTop="1">
      <c r="B538" s="501" t="s">
        <v>3703</v>
      </c>
      <c r="C538" s="951" t="s">
        <v>3706</v>
      </c>
      <c r="D538" s="1280" t="s">
        <v>1160</v>
      </c>
      <c r="E538" s="1281">
        <f>IF(B538&lt;&gt;"",+SUMIF(Items!C:C,'AUX-NIV1'!B538,Items!H:H),"")</f>
        <v>0</v>
      </c>
      <c r="F538" s="1281">
        <f t="shared" si="409"/>
        <v>47159.990001721992</v>
      </c>
      <c r="G538" s="1281">
        <f t="shared" si="410"/>
        <v>0</v>
      </c>
      <c r="H538" s="1395" t="str">
        <f t="shared" si="334"/>
        <v>X</v>
      </c>
      <c r="I538" s="1375" t="s">
        <v>2865</v>
      </c>
      <c r="J538" s="1283" t="str">
        <f>IF(B538&lt;&gt;"",+VLOOKUP(I538,Recursos!C:F,2,FALSE),"")</f>
        <v>Colado Hormigón desde Mixer</v>
      </c>
      <c r="K538" s="1284" t="str">
        <f>IF(B538&lt;&gt;"",+VLOOKUP(I538,Recursos!C:F,3,FALSE),"")</f>
        <v>m3</v>
      </c>
      <c r="L538" s="1285">
        <f>IF(B538&lt;&gt;"",+VLOOKUP(I538,Recursos!C:F,4,FALSE),"")</f>
        <v>1031.7487777591643</v>
      </c>
      <c r="M538" s="1336">
        <v>1</v>
      </c>
      <c r="N538" s="1343"/>
      <c r="O538" s="1286">
        <f>N537*M538</f>
        <v>1.05</v>
      </c>
      <c r="P538" s="1287">
        <f t="shared" si="335"/>
        <v>1083.3362166471227</v>
      </c>
      <c r="Q538" s="1281">
        <f t="shared" si="336"/>
        <v>0</v>
      </c>
      <c r="R538" s="1288">
        <f t="shared" si="337"/>
        <v>0</v>
      </c>
      <c r="S538" s="1289">
        <f t="shared" si="411"/>
        <v>0</v>
      </c>
      <c r="T538" s="1289">
        <f t="shared" si="412"/>
        <v>0</v>
      </c>
      <c r="U538" s="1290">
        <f t="shared" si="413"/>
        <v>29045.454545454548</v>
      </c>
      <c r="V538" s="1290">
        <f t="shared" si="414"/>
        <v>0</v>
      </c>
      <c r="W538" s="1290">
        <f t="shared" si="415"/>
        <v>0</v>
      </c>
      <c r="X538" s="1290">
        <f t="shared" si="416"/>
        <v>18114.53545626744</v>
      </c>
      <c r="Y538" s="396"/>
      <c r="Z538" s="1291" t="str">
        <f t="shared" si="338"/>
        <v>0-HORVIGA</v>
      </c>
      <c r="AA538" s="1291" t="str">
        <f t="shared" si="339"/>
        <v>0-HORVIGE</v>
      </c>
      <c r="AB538" s="1291" t="str">
        <f t="shared" si="340"/>
        <v>0-HORVIGM</v>
      </c>
      <c r="AC538" s="1291" t="str">
        <f t="shared" si="341"/>
        <v>0-HORVIGT</v>
      </c>
      <c r="AD538" s="1291" t="str">
        <f t="shared" si="342"/>
        <v>0-HORVIGS</v>
      </c>
      <c r="AE538" s="1291" t="str">
        <f t="shared" si="343"/>
        <v>0-HORVIGX</v>
      </c>
      <c r="AF538" s="1291" t="str">
        <f t="shared" si="344"/>
        <v>0-HORVIGX</v>
      </c>
      <c r="AG538" s="1291">
        <f t="shared" si="417"/>
        <v>8</v>
      </c>
      <c r="AH538" s="1291">
        <f>IF(B538&lt;&gt;"",+IF(H538="x",+VLOOKUP(I538,'AUX-NIV2'!B:AG,32,FALSE),0),"")</f>
        <v>8</v>
      </c>
      <c r="AI538" s="1291" t="str">
        <f t="shared" si="345"/>
        <v>0-HORVIG</v>
      </c>
      <c r="AK538" s="347">
        <f t="shared" si="418"/>
        <v>537</v>
      </c>
      <c r="AL538" s="348">
        <f t="shared" si="346"/>
        <v>544</v>
      </c>
      <c r="AM538" s="347">
        <f t="shared" si="347"/>
        <v>2</v>
      </c>
      <c r="AN538" s="382">
        <f>IF(AND(AH538&gt;0,B538&lt;&gt;""),VLOOKUP(I538,'AUX-NIV2'!$B:$AP,40,FALSE)*O538,0)</f>
        <v>1.8375000000000001</v>
      </c>
      <c r="AO538" s="382">
        <f t="shared" si="419"/>
        <v>31.2075</v>
      </c>
      <c r="AQ538" s="395">
        <f>(IF($H538="x",VLOOKUP($I538,'AUX-NIV2'!$B:$X,'AUX-NIV1'!AQ$3,FALSE),0)+($AV538*'AUX-NIV3'!S$4))*$O538+IF($H538=AQ$4,$P538,0)</f>
        <v>876.5532171471225</v>
      </c>
      <c r="AR538" s="395">
        <f>(IF($H538="x",VLOOKUP($I538,'AUX-NIV2'!$B:$X,'AUX-NIV1'!AR$3,FALSE),0)+($AV538*'AUX-NIV3'!T$4))*$O538+IF($H538=AR$4,$P538,0)</f>
        <v>206.78299949999999</v>
      </c>
      <c r="AS538" s="395">
        <f>(IF($H538="x",VLOOKUP($I538,'AUX-NIV2'!$B:$X,'AUX-NIV1'!AS$3,FALSE),0)+($AV538*'AUX-NIV3'!U$4))*$O538+IF($H538=AS$4,$P538,0)</f>
        <v>0</v>
      </c>
      <c r="AT538" s="395">
        <f>(IF($H538="x",VLOOKUP($I538,'AUX-NIV2'!$B:$X,'AUX-NIV1'!AT$3,FALSE),0)+($AV538*'AUX-NIV3'!V$4))*$O538+IF($H538=AT$4,$P538,0)</f>
        <v>0</v>
      </c>
      <c r="AU538" s="395">
        <f>(IF($H538="x",VLOOKUP($I538,'AUX-NIV2'!$B:$X,'AUX-NIV1'!AU$3,FALSE),0)+($AV538*'AUX-NIV3'!W$4))*$O538+IF($H538=AU$4,$P538,0)</f>
        <v>0</v>
      </c>
      <c r="AV538" s="395">
        <f>+IF($H538="x",VLOOKUP($I538,'AUX-NIV2'!$B:$X,'AUX-NIV1'!AV$3,FALSE),0)</f>
        <v>0</v>
      </c>
    </row>
    <row r="539" spans="2:48" ht="13.8" hidden="1" thickTop="1">
      <c r="B539" s="501" t="s">
        <v>3703</v>
      </c>
      <c r="C539" s="951" t="s">
        <v>3706</v>
      </c>
      <c r="D539" s="1280" t="s">
        <v>1160</v>
      </c>
      <c r="E539" s="1281">
        <f>IF(B539&lt;&gt;"",+SUMIF(Items!C:C,'AUX-NIV1'!B539,Items!H:H),"")</f>
        <v>0</v>
      </c>
      <c r="F539" s="1281">
        <f t="shared" si="409"/>
        <v>47159.990001721992</v>
      </c>
      <c r="G539" s="1281">
        <f t="shared" si="410"/>
        <v>0</v>
      </c>
      <c r="H539" s="1395" t="str">
        <f t="shared" si="334"/>
        <v>X</v>
      </c>
      <c r="I539" s="1375" t="s">
        <v>2897</v>
      </c>
      <c r="J539" s="1283" t="str">
        <f>IF(B539&lt;&gt;"",+VLOOKUP(I539,Recursos!C:F,2,FALSE),"")</f>
        <v>Colado de hgón con bomba</v>
      </c>
      <c r="K539" s="1284" t="str">
        <f>IF(B539&lt;&gt;"",+VLOOKUP(I539,Recursos!C:F,3,FALSE),"")</f>
        <v>m3</v>
      </c>
      <c r="L539" s="1285">
        <f>IF(B539&lt;&gt;"",+VLOOKUP(I539,Recursos!C:F,4,FALSE),"")</f>
        <v>4223.8879328752682</v>
      </c>
      <c r="M539" s="1342"/>
      <c r="N539" s="1343"/>
      <c r="O539" s="1286">
        <f>N537*(1-M538)</f>
        <v>0</v>
      </c>
      <c r="P539" s="1287">
        <f t="shared" si="335"/>
        <v>0</v>
      </c>
      <c r="Q539" s="1281">
        <f t="shared" si="336"/>
        <v>0</v>
      </c>
      <c r="R539" s="1288">
        <f t="shared" si="337"/>
        <v>0</v>
      </c>
      <c r="S539" s="1289">
        <f t="shared" si="411"/>
        <v>0</v>
      </c>
      <c r="T539" s="1289">
        <f t="shared" si="412"/>
        <v>0</v>
      </c>
      <c r="U539" s="1290">
        <f t="shared" si="413"/>
        <v>29045.454545454548</v>
      </c>
      <c r="V539" s="1290">
        <f t="shared" si="414"/>
        <v>0</v>
      </c>
      <c r="W539" s="1290">
        <f t="shared" si="415"/>
        <v>0</v>
      </c>
      <c r="X539" s="1290">
        <f t="shared" si="416"/>
        <v>18114.53545626744</v>
      </c>
      <c r="Y539" s="396"/>
      <c r="Z539" s="1291" t="str">
        <f t="shared" si="338"/>
        <v>0-HORVIGA</v>
      </c>
      <c r="AA539" s="1291" t="str">
        <f t="shared" si="339"/>
        <v>0-HORVIGE</v>
      </c>
      <c r="AB539" s="1291" t="str">
        <f t="shared" si="340"/>
        <v>0-HORVIGM</v>
      </c>
      <c r="AC539" s="1291" t="str">
        <f t="shared" si="341"/>
        <v>0-HORVIGT</v>
      </c>
      <c r="AD539" s="1291" t="str">
        <f t="shared" si="342"/>
        <v>0-HORVIGS</v>
      </c>
      <c r="AE539" s="1291" t="str">
        <f t="shared" si="343"/>
        <v>0-HORVIGX</v>
      </c>
      <c r="AF539" s="1291" t="str">
        <f t="shared" si="344"/>
        <v>0-HORVIGX</v>
      </c>
      <c r="AG539" s="1291">
        <f t="shared" si="417"/>
        <v>8</v>
      </c>
      <c r="AH539" s="1291">
        <f>IF(B539&lt;&gt;"",+IF(H539="x",+VLOOKUP(I539,'AUX-NIV2'!B:AG,32,FALSE),0),"")</f>
        <v>10</v>
      </c>
      <c r="AI539" s="1291" t="str">
        <f t="shared" si="345"/>
        <v>0-HORVIG</v>
      </c>
      <c r="AK539" s="347">
        <f t="shared" si="418"/>
        <v>537</v>
      </c>
      <c r="AL539" s="348">
        <f t="shared" si="346"/>
        <v>544</v>
      </c>
      <c r="AM539" s="347">
        <f t="shared" si="347"/>
        <v>3</v>
      </c>
      <c r="AN539" s="382">
        <f>IF(AND(AH539&gt;0,B539&lt;&gt;""),VLOOKUP(I539,'AUX-NIV2'!$B:$AP,40,FALSE)*O539,0)</f>
        <v>0</v>
      </c>
      <c r="AO539" s="382">
        <f t="shared" si="419"/>
        <v>31.2075</v>
      </c>
      <c r="AQ539" s="395">
        <f>(IF($H539="x",VLOOKUP($I539,'AUX-NIV2'!$B:$X,'AUX-NIV1'!AQ$3,FALSE),0)+($AV539*'AUX-NIV3'!S$4))*$O539+IF($H539=AQ$4,$P539,0)</f>
        <v>0</v>
      </c>
      <c r="AR539" s="395">
        <f>(IF($H539="x",VLOOKUP($I539,'AUX-NIV2'!$B:$X,'AUX-NIV1'!AR$3,FALSE),0)+($AV539*'AUX-NIV3'!T$4))*$O539+IF($H539=AR$4,$P539,0)</f>
        <v>0</v>
      </c>
      <c r="AS539" s="395">
        <f>(IF($H539="x",VLOOKUP($I539,'AUX-NIV2'!$B:$X,'AUX-NIV1'!AS$3,FALSE),0)+($AV539*'AUX-NIV3'!U$4))*$O539+IF($H539=AS$4,$P539,0)</f>
        <v>0</v>
      </c>
      <c r="AT539" s="395">
        <f>(IF($H539="x",VLOOKUP($I539,'AUX-NIV2'!$B:$X,'AUX-NIV1'!AT$3,FALSE),0)+($AV539*'AUX-NIV3'!V$4))*$O539+IF($H539=AT$4,$P539,0)</f>
        <v>0</v>
      </c>
      <c r="AU539" s="395">
        <f>(IF($H539="x",VLOOKUP($I539,'AUX-NIV2'!$B:$X,'AUX-NIV1'!AU$3,FALSE),0)+($AV539*'AUX-NIV3'!W$4))*$O539+IF($H539=AU$4,$P539,0)</f>
        <v>0</v>
      </c>
      <c r="AV539" s="395">
        <f>+IF($H539="x",VLOOKUP($I539,'AUX-NIV2'!$B:$X,'AUX-NIV1'!AV$3,FALSE),0)</f>
        <v>0</v>
      </c>
    </row>
    <row r="540" spans="2:48" ht="13.8" hidden="1" thickTop="1">
      <c r="B540" s="501" t="s">
        <v>3703</v>
      </c>
      <c r="C540" s="951" t="s">
        <v>3706</v>
      </c>
      <c r="D540" s="1280" t="s">
        <v>1160</v>
      </c>
      <c r="E540" s="1281">
        <f>IF(B540&lt;&gt;"",+SUMIF(Items!C:C,'AUX-NIV1'!B540,Items!H:H),"")</f>
        <v>0</v>
      </c>
      <c r="F540" s="1281">
        <f t="shared" si="409"/>
        <v>47159.990001721992</v>
      </c>
      <c r="G540" s="1281">
        <f t="shared" si="410"/>
        <v>0</v>
      </c>
      <c r="H540" s="1395" t="str">
        <f t="shared" si="334"/>
        <v>M</v>
      </c>
      <c r="I540" s="1375" t="s">
        <v>1751</v>
      </c>
      <c r="J540" s="1283" t="str">
        <f>IF(B540&lt;&gt;"",+VLOOKUP(I540,Recursos!C:F,2,FALSE),"")</f>
        <v>ACERO TIPO ADN 420</v>
      </c>
      <c r="K540" s="1284" t="str">
        <f>IF(B540&lt;&gt;"",+VLOOKUP(I540,Recursos!C:F,3,FALSE),"")</f>
        <v>tn</v>
      </c>
      <c r="L540" s="1285">
        <f>IF(B540&lt;&gt;"",+VLOOKUP(I540,Recursos!C:F,4,FALSE),"")</f>
        <v>185041.32231404958</v>
      </c>
      <c r="M540" s="441">
        <v>1.1000000000000001</v>
      </c>
      <c r="N540" s="497">
        <v>0.12</v>
      </c>
      <c r="O540" s="439">
        <f>N540*M540</f>
        <v>0.13200000000000001</v>
      </c>
      <c r="P540" s="1287">
        <f t="shared" si="335"/>
        <v>24425.454545454548</v>
      </c>
      <c r="Q540" s="1281">
        <f t="shared" si="336"/>
        <v>0</v>
      </c>
      <c r="R540" s="1288">
        <f t="shared" si="337"/>
        <v>0</v>
      </c>
      <c r="S540" s="1289">
        <f t="shared" si="411"/>
        <v>0</v>
      </c>
      <c r="T540" s="1289">
        <f t="shared" si="412"/>
        <v>0</v>
      </c>
      <c r="U540" s="1290">
        <f t="shared" si="413"/>
        <v>29045.454545454548</v>
      </c>
      <c r="V540" s="1290">
        <f t="shared" si="414"/>
        <v>0</v>
      </c>
      <c r="W540" s="1290">
        <f t="shared" si="415"/>
        <v>0</v>
      </c>
      <c r="X540" s="1290">
        <f t="shared" si="416"/>
        <v>18114.53545626744</v>
      </c>
      <c r="Y540" s="396"/>
      <c r="Z540" s="1291" t="str">
        <f t="shared" si="338"/>
        <v>0-HORVIGA</v>
      </c>
      <c r="AA540" s="1291" t="str">
        <f t="shared" si="339"/>
        <v>0-HORVIGE</v>
      </c>
      <c r="AB540" s="1291" t="str">
        <f t="shared" si="340"/>
        <v>0-HORVIGM</v>
      </c>
      <c r="AC540" s="1291" t="str">
        <f t="shared" si="341"/>
        <v>0-HORVIGT</v>
      </c>
      <c r="AD540" s="1291" t="str">
        <f t="shared" si="342"/>
        <v>0-HORVIGS</v>
      </c>
      <c r="AE540" s="1291" t="str">
        <f t="shared" si="343"/>
        <v>0-HORVIGX</v>
      </c>
      <c r="AF540" s="1291" t="str">
        <f t="shared" si="344"/>
        <v>0-HORVIGM</v>
      </c>
      <c r="AG540" s="1291">
        <f t="shared" si="417"/>
        <v>8</v>
      </c>
      <c r="AH540" s="1291">
        <f>IF(B540&lt;&gt;"",+IF(H540="x",+VLOOKUP(I540,'AUX-NIV2'!B:AG,32,FALSE),0),"")</f>
        <v>0</v>
      </c>
      <c r="AI540" s="1291" t="str">
        <f t="shared" si="345"/>
        <v>0-HORVIG</v>
      </c>
      <c r="AK540" s="347">
        <f t="shared" si="418"/>
        <v>537</v>
      </c>
      <c r="AL540" s="348">
        <f t="shared" si="346"/>
        <v>544</v>
      </c>
      <c r="AM540" s="347">
        <f t="shared" si="347"/>
        <v>4</v>
      </c>
      <c r="AN540" s="382">
        <f>IF(AND(AH540&gt;0,B540&lt;&gt;""),VLOOKUP(I540,'AUX-NIV2'!$B:$AP,40,FALSE)*O540,0)</f>
        <v>0</v>
      </c>
      <c r="AO540" s="382">
        <f t="shared" si="419"/>
        <v>31.2075</v>
      </c>
      <c r="AQ540" s="395">
        <f>(IF($H540="x",VLOOKUP($I540,'AUX-NIV2'!$B:$X,'AUX-NIV1'!AQ$3,FALSE),0)+($AV540*'AUX-NIV3'!S$4))*$O540+IF($H540=AQ$4,$P540,0)</f>
        <v>0</v>
      </c>
      <c r="AR540" s="395">
        <f>(IF($H540="x",VLOOKUP($I540,'AUX-NIV2'!$B:$X,'AUX-NIV1'!AR$3,FALSE),0)+($AV540*'AUX-NIV3'!T$4))*$O540+IF($H540=AR$4,$P540,0)</f>
        <v>0</v>
      </c>
      <c r="AS540" s="395">
        <f>(IF($H540="x",VLOOKUP($I540,'AUX-NIV2'!$B:$X,'AUX-NIV1'!AS$3,FALSE),0)+($AV540*'AUX-NIV3'!U$4))*$O540+IF($H540=AS$4,$P540,0)</f>
        <v>24425.454545454548</v>
      </c>
      <c r="AT540" s="395">
        <f>(IF($H540="x",VLOOKUP($I540,'AUX-NIV2'!$B:$X,'AUX-NIV1'!AT$3,FALSE),0)+($AV540*'AUX-NIV3'!V$4))*$O540+IF($H540=AT$4,$P540,0)</f>
        <v>0</v>
      </c>
      <c r="AU540" s="395">
        <f>(IF($H540="x",VLOOKUP($I540,'AUX-NIV2'!$B:$X,'AUX-NIV1'!AU$3,FALSE),0)+($AV540*'AUX-NIV3'!W$4))*$O540+IF($H540=AU$4,$P540,0)</f>
        <v>0</v>
      </c>
      <c r="AV540" s="395">
        <f>+IF($H540="x",VLOOKUP($I540,'AUX-NIV2'!$B:$X,'AUX-NIV1'!AV$3,FALSE),0)</f>
        <v>0</v>
      </c>
    </row>
    <row r="541" spans="2:48" ht="13.8" hidden="1" thickTop="1">
      <c r="B541" s="501" t="s">
        <v>3703</v>
      </c>
      <c r="C541" s="951" t="s">
        <v>3706</v>
      </c>
      <c r="D541" s="1280" t="s">
        <v>1160</v>
      </c>
      <c r="E541" s="1281">
        <f>IF(B541&lt;&gt;"",+SUMIF(Items!C:C,'AUX-NIV1'!B541,Items!H:H),"")</f>
        <v>0</v>
      </c>
      <c r="F541" s="1281">
        <f t="shared" si="409"/>
        <v>47159.990001721992</v>
      </c>
      <c r="G541" s="1281">
        <f t="shared" si="410"/>
        <v>0</v>
      </c>
      <c r="H541" s="1395" t="str">
        <f t="shared" si="334"/>
        <v>X</v>
      </c>
      <c r="I541" s="1375" t="s">
        <v>2883</v>
      </c>
      <c r="J541" s="1283" t="str">
        <f>IF(B541&lt;&gt;"",+VLOOKUP(I541,Recursos!C:F,2,FALSE),"")</f>
        <v>Corte y doblado de acero</v>
      </c>
      <c r="K541" s="1284" t="str">
        <f>IF(B541&lt;&gt;"",+VLOOKUP(I541,Recursos!C:F,3,FALSE),"")</f>
        <v>tn</v>
      </c>
      <c r="L541" s="1285">
        <f>IF(B541&lt;&gt;"",+VLOOKUP(I541,Recursos!C:F,4,FALSE),"")</f>
        <v>17428.113426266111</v>
      </c>
      <c r="M541" s="441">
        <v>1</v>
      </c>
      <c r="N541" s="442"/>
      <c r="O541" s="439">
        <f>N540*M541</f>
        <v>0.12</v>
      </c>
      <c r="P541" s="1287">
        <f t="shared" si="335"/>
        <v>2091.3736111519333</v>
      </c>
      <c r="Q541" s="1281">
        <f t="shared" si="336"/>
        <v>0</v>
      </c>
      <c r="R541" s="1288">
        <f t="shared" si="337"/>
        <v>0</v>
      </c>
      <c r="S541" s="1289">
        <f t="shared" si="411"/>
        <v>0</v>
      </c>
      <c r="T541" s="1289">
        <f t="shared" si="412"/>
        <v>0</v>
      </c>
      <c r="U541" s="1290">
        <f t="shared" si="413"/>
        <v>29045.454545454548</v>
      </c>
      <c r="V541" s="1290">
        <f t="shared" si="414"/>
        <v>0</v>
      </c>
      <c r="W541" s="1290">
        <f t="shared" si="415"/>
        <v>0</v>
      </c>
      <c r="X541" s="1290">
        <f t="shared" si="416"/>
        <v>18114.53545626744</v>
      </c>
      <c r="Y541" s="396"/>
      <c r="Z541" s="1291" t="str">
        <f t="shared" si="338"/>
        <v>0-HORVIGA</v>
      </c>
      <c r="AA541" s="1291" t="str">
        <f t="shared" si="339"/>
        <v>0-HORVIGE</v>
      </c>
      <c r="AB541" s="1291" t="str">
        <f t="shared" si="340"/>
        <v>0-HORVIGM</v>
      </c>
      <c r="AC541" s="1291" t="str">
        <f t="shared" si="341"/>
        <v>0-HORVIGT</v>
      </c>
      <c r="AD541" s="1291" t="str">
        <f t="shared" si="342"/>
        <v>0-HORVIGS</v>
      </c>
      <c r="AE541" s="1291" t="str">
        <f t="shared" si="343"/>
        <v>0-HORVIGX</v>
      </c>
      <c r="AF541" s="1291" t="str">
        <f t="shared" si="344"/>
        <v>0-HORVIGX</v>
      </c>
      <c r="AG541" s="1291">
        <f t="shared" si="417"/>
        <v>8</v>
      </c>
      <c r="AH541" s="1291">
        <f>IF(B541&lt;&gt;"",+IF(H541="x",+VLOOKUP(I541,'AUX-NIV2'!B:AG,32,FALSE),0),"")</f>
        <v>4</v>
      </c>
      <c r="AI541" s="1291" t="str">
        <f t="shared" si="345"/>
        <v>0-HORVIG</v>
      </c>
      <c r="AK541" s="347">
        <f t="shared" si="418"/>
        <v>537</v>
      </c>
      <c r="AL541" s="348">
        <f t="shared" si="346"/>
        <v>544</v>
      </c>
      <c r="AM541" s="347">
        <f t="shared" si="347"/>
        <v>5</v>
      </c>
      <c r="AN541" s="382">
        <f>IF(AND(AH541&gt;0,B541&lt;&gt;""),VLOOKUP(I541,'AUX-NIV2'!$B:$AP,40,FALSE)*O541,0)</f>
        <v>4.2</v>
      </c>
      <c r="AO541" s="382">
        <f t="shared" si="419"/>
        <v>31.2075</v>
      </c>
      <c r="AQ541" s="395">
        <f>(IF($H541="x",VLOOKUP($I541,'AUX-NIV2'!$B:$X,'AUX-NIV1'!AQ$3,FALSE),0)+($AV541*'AUX-NIV3'!S$4))*$O541+IF($H541=AQ$4,$P541,0)</f>
        <v>2042.3856924319332</v>
      </c>
      <c r="AR541" s="395">
        <f>(IF($H541="x",VLOOKUP($I541,'AUX-NIV2'!$B:$X,'AUX-NIV1'!AR$3,FALSE),0)+($AV541*'AUX-NIV3'!T$4))*$O541+IF($H541=AR$4,$P541,0)</f>
        <v>48.987918719999996</v>
      </c>
      <c r="AS541" s="395">
        <f>(IF($H541="x",VLOOKUP($I541,'AUX-NIV2'!$B:$X,'AUX-NIV1'!AS$3,FALSE),0)+($AV541*'AUX-NIV3'!U$4))*$O541+IF($H541=AS$4,$P541,0)</f>
        <v>0</v>
      </c>
      <c r="AT541" s="395">
        <f>(IF($H541="x",VLOOKUP($I541,'AUX-NIV2'!$B:$X,'AUX-NIV1'!AT$3,FALSE),0)+($AV541*'AUX-NIV3'!V$4))*$O541+IF($H541=AT$4,$P541,0)</f>
        <v>0</v>
      </c>
      <c r="AU541" s="395">
        <f>(IF($H541="x",VLOOKUP($I541,'AUX-NIV2'!$B:$X,'AUX-NIV1'!AU$3,FALSE),0)+($AV541*'AUX-NIV3'!W$4))*$O541+IF($H541=AU$4,$P541,0)</f>
        <v>0</v>
      </c>
      <c r="AV541" s="395">
        <f>+IF($H541="x",VLOOKUP($I541,'AUX-NIV2'!$B:$X,'AUX-NIV1'!AV$3,FALSE),0)</f>
        <v>0</v>
      </c>
    </row>
    <row r="542" spans="2:48" ht="13.8" hidden="1" thickTop="1">
      <c r="B542" s="501" t="s">
        <v>3703</v>
      </c>
      <c r="C542" s="951" t="s">
        <v>3706</v>
      </c>
      <c r="D542" s="1280" t="s">
        <v>1160</v>
      </c>
      <c r="E542" s="1281">
        <f>IF(B542&lt;&gt;"",+SUMIF(Items!C:C,'AUX-NIV1'!B542,Items!H:H),"")</f>
        <v>0</v>
      </c>
      <c r="F542" s="1281">
        <f t="shared" si="409"/>
        <v>47159.990001721992</v>
      </c>
      <c r="G542" s="1281">
        <f t="shared" si="410"/>
        <v>0</v>
      </c>
      <c r="H542" s="1395" t="str">
        <f t="shared" si="334"/>
        <v>X</v>
      </c>
      <c r="I542" s="1375" t="s">
        <v>2884</v>
      </c>
      <c r="J542" s="1283" t="str">
        <f>IF(B542&lt;&gt;"",+VLOOKUP(I542,Recursos!C:F,2,FALSE),"")</f>
        <v>Colocación de acero manual</v>
      </c>
      <c r="K542" s="1284" t="str">
        <f>IF(B542&lt;&gt;"",+VLOOKUP(I542,Recursos!C:F,3,FALSE),"")</f>
        <v>tn</v>
      </c>
      <c r="L542" s="1285">
        <f>IF(B542&lt;&gt;"",+VLOOKUP(I542,Recursos!C:F,4,FALSE),"")</f>
        <v>51380.730969341719</v>
      </c>
      <c r="M542" s="441">
        <v>1</v>
      </c>
      <c r="N542" s="442"/>
      <c r="O542" s="439">
        <f>M542*N540</f>
        <v>0.12</v>
      </c>
      <c r="P542" s="1287">
        <f t="shared" si="335"/>
        <v>6165.6877163210065</v>
      </c>
      <c r="Q542" s="1281">
        <f t="shared" si="336"/>
        <v>0</v>
      </c>
      <c r="R542" s="1288">
        <f t="shared" si="337"/>
        <v>0</v>
      </c>
      <c r="S542" s="1289">
        <f t="shared" si="411"/>
        <v>0</v>
      </c>
      <c r="T542" s="1289">
        <f t="shared" si="412"/>
        <v>0</v>
      </c>
      <c r="U542" s="1290">
        <f t="shared" si="413"/>
        <v>29045.454545454548</v>
      </c>
      <c r="V542" s="1290">
        <f t="shared" si="414"/>
        <v>0</v>
      </c>
      <c r="W542" s="1290">
        <f t="shared" si="415"/>
        <v>0</v>
      </c>
      <c r="X542" s="1290">
        <f t="shared" si="416"/>
        <v>18114.53545626744</v>
      </c>
      <c r="Y542" s="396"/>
      <c r="Z542" s="1291" t="str">
        <f t="shared" si="338"/>
        <v>0-HORVIGA</v>
      </c>
      <c r="AA542" s="1291" t="str">
        <f t="shared" si="339"/>
        <v>0-HORVIGE</v>
      </c>
      <c r="AB542" s="1291" t="str">
        <f t="shared" si="340"/>
        <v>0-HORVIGM</v>
      </c>
      <c r="AC542" s="1291" t="str">
        <f t="shared" si="341"/>
        <v>0-HORVIGT</v>
      </c>
      <c r="AD542" s="1291" t="str">
        <f t="shared" si="342"/>
        <v>0-HORVIGS</v>
      </c>
      <c r="AE542" s="1291" t="str">
        <f t="shared" si="343"/>
        <v>0-HORVIGX</v>
      </c>
      <c r="AF542" s="1291" t="str">
        <f t="shared" si="344"/>
        <v>0-HORVIGX</v>
      </c>
      <c r="AG542" s="1291">
        <f t="shared" si="417"/>
        <v>8</v>
      </c>
      <c r="AH542" s="1291">
        <f>IF(B542&lt;&gt;"",+IF(H542="x",+VLOOKUP(I542,'AUX-NIV2'!B:AG,32,FALSE),0),"")</f>
        <v>8</v>
      </c>
      <c r="AI542" s="1291" t="str">
        <f t="shared" si="345"/>
        <v>0-HORVIG</v>
      </c>
      <c r="AK542" s="347">
        <f t="shared" si="418"/>
        <v>537</v>
      </c>
      <c r="AL542" s="348">
        <f t="shared" si="346"/>
        <v>544</v>
      </c>
      <c r="AM542" s="347">
        <f t="shared" si="347"/>
        <v>6</v>
      </c>
      <c r="AN542" s="382">
        <f>IF(AND(AH542&gt;0,B542&lt;&gt;""),VLOOKUP(I542,'AUX-NIV2'!$B:$AP,40,FALSE)*O542,0)</f>
        <v>9</v>
      </c>
      <c r="AO542" s="382">
        <f t="shared" si="419"/>
        <v>31.2075</v>
      </c>
      <c r="AQ542" s="395">
        <f>(IF($H542="x",VLOOKUP($I542,'AUX-NIV2'!$B:$X,'AUX-NIV1'!AQ$3,FALSE),0)+($AV542*'AUX-NIV3'!S$4))*$O542+IF($H542=AQ$4,$P542,0)</f>
        <v>4400.3984601226593</v>
      </c>
      <c r="AR542" s="395">
        <f>(IF($H542="x",VLOOKUP($I542,'AUX-NIV2'!$B:$X,'AUX-NIV1'!AR$3,FALSE),0)+($AV542*'AUX-NIV3'!T$4))*$O542+IF($H542=AR$4,$P542,0)</f>
        <v>0</v>
      </c>
      <c r="AS542" s="395">
        <f>(IF($H542="x",VLOOKUP($I542,'AUX-NIV2'!$B:$X,'AUX-NIV1'!AS$3,FALSE),0)+($AV542*'AUX-NIV3'!U$4))*$O542+IF($H542=AS$4,$P542,0)</f>
        <v>1765.2892561983472</v>
      </c>
      <c r="AT542" s="395">
        <f>(IF($H542="x",VLOOKUP($I542,'AUX-NIV2'!$B:$X,'AUX-NIV1'!AT$3,FALSE),0)+($AV542*'AUX-NIV3'!V$4))*$O542+IF($H542=AT$4,$P542,0)</f>
        <v>0</v>
      </c>
      <c r="AU542" s="395">
        <f>(IF($H542="x",VLOOKUP($I542,'AUX-NIV2'!$B:$X,'AUX-NIV1'!AU$3,FALSE),0)+($AV542*'AUX-NIV3'!W$4))*$O542+IF($H542=AU$4,$P542,0)</f>
        <v>0</v>
      </c>
      <c r="AV542" s="395">
        <f>+IF($H542="x",VLOOKUP($I542,'AUX-NIV2'!$B:$X,'AUX-NIV1'!AV$3,FALSE),0)</f>
        <v>0</v>
      </c>
    </row>
    <row r="543" spans="2:48" ht="13.8" hidden="1" thickTop="1">
      <c r="B543" s="501" t="s">
        <v>3703</v>
      </c>
      <c r="C543" s="951" t="s">
        <v>3706</v>
      </c>
      <c r="D543" s="1280" t="s">
        <v>1160</v>
      </c>
      <c r="E543" s="1281">
        <f>IF(B543&lt;&gt;"",+SUMIF(Items!C:C,'AUX-NIV1'!B543,Items!H:H),"")</f>
        <v>0</v>
      </c>
      <c r="F543" s="1281">
        <f t="shared" si="409"/>
        <v>47159.990001721992</v>
      </c>
      <c r="G543" s="1281">
        <f t="shared" si="410"/>
        <v>0</v>
      </c>
      <c r="H543" s="1395" t="str">
        <f t="shared" si="334"/>
        <v>X</v>
      </c>
      <c r="I543" s="1375" t="s">
        <v>2886</v>
      </c>
      <c r="J543" s="1283" t="str">
        <f>IF(B543&lt;&gt;"",+VLOOKUP(I543,Recursos!C:F,2,FALSE),"")</f>
        <v>Colocación de acero con grúa</v>
      </c>
      <c r="K543" s="1284" t="str">
        <f>IF(B543&lt;&gt;"",+VLOOKUP(I543,Recursos!C:F,3,FALSE),"")</f>
        <v>tn</v>
      </c>
      <c r="L543" s="1285">
        <f>IF(B543&lt;&gt;"",+VLOOKUP(I543,Recursos!C:F,4,FALSE),"")</f>
        <v>40888.822227420533</v>
      </c>
      <c r="M543" s="1338"/>
      <c r="N543" s="1339"/>
      <c r="O543" s="439">
        <f>(1-M542)*N540</f>
        <v>0</v>
      </c>
      <c r="P543" s="1287">
        <f t="shared" si="335"/>
        <v>0</v>
      </c>
      <c r="Q543" s="1281">
        <f t="shared" si="336"/>
        <v>0</v>
      </c>
      <c r="R543" s="1288">
        <f t="shared" si="337"/>
        <v>0</v>
      </c>
      <c r="S543" s="1289">
        <f t="shared" si="411"/>
        <v>0</v>
      </c>
      <c r="T543" s="1289">
        <f t="shared" si="412"/>
        <v>0</v>
      </c>
      <c r="U543" s="1290">
        <f t="shared" si="413"/>
        <v>29045.454545454548</v>
      </c>
      <c r="V543" s="1290">
        <f t="shared" si="414"/>
        <v>0</v>
      </c>
      <c r="W543" s="1290">
        <f t="shared" si="415"/>
        <v>0</v>
      </c>
      <c r="X543" s="1290">
        <f t="shared" si="416"/>
        <v>18114.53545626744</v>
      </c>
      <c r="Y543" s="396"/>
      <c r="Z543" s="1291" t="str">
        <f t="shared" si="338"/>
        <v>0-HORVIGA</v>
      </c>
      <c r="AA543" s="1291" t="str">
        <f t="shared" si="339"/>
        <v>0-HORVIGE</v>
      </c>
      <c r="AB543" s="1291" t="str">
        <f t="shared" si="340"/>
        <v>0-HORVIGM</v>
      </c>
      <c r="AC543" s="1291" t="str">
        <f t="shared" si="341"/>
        <v>0-HORVIGT</v>
      </c>
      <c r="AD543" s="1291" t="str">
        <f t="shared" si="342"/>
        <v>0-HORVIGS</v>
      </c>
      <c r="AE543" s="1291" t="str">
        <f t="shared" si="343"/>
        <v>0-HORVIGX</v>
      </c>
      <c r="AF543" s="1291" t="str">
        <f t="shared" si="344"/>
        <v>0-HORVIGX</v>
      </c>
      <c r="AG543" s="1291">
        <f t="shared" si="417"/>
        <v>8</v>
      </c>
      <c r="AH543" s="1291">
        <f>IF(B543&lt;&gt;"",+IF(H543="x",+VLOOKUP(I543,'AUX-NIV2'!B:AG,32,FALSE),0),"")</f>
        <v>8</v>
      </c>
      <c r="AI543" s="1291" t="str">
        <f t="shared" si="345"/>
        <v>0-HORVIG</v>
      </c>
      <c r="AK543" s="347">
        <f t="shared" si="418"/>
        <v>537</v>
      </c>
      <c r="AL543" s="348">
        <f t="shared" si="346"/>
        <v>544</v>
      </c>
      <c r="AM543" s="347">
        <f t="shared" si="347"/>
        <v>7</v>
      </c>
      <c r="AN543" s="382">
        <f>IF(AND(AH543&gt;0,B543&lt;&gt;""),VLOOKUP(I543,'AUX-NIV2'!$B:$AP,40,FALSE)*O543,0)</f>
        <v>0</v>
      </c>
      <c r="AO543" s="382">
        <f t="shared" si="419"/>
        <v>31.2075</v>
      </c>
      <c r="AQ543" s="395">
        <f>(IF($H543="x",VLOOKUP($I543,'AUX-NIV2'!$B:$X,'AUX-NIV1'!AQ$3,FALSE),0)+($AV543*'AUX-NIV3'!S$4))*$O543+IF($H543=AQ$4,$P543,0)</f>
        <v>0</v>
      </c>
      <c r="AR543" s="395">
        <f>(IF($H543="x",VLOOKUP($I543,'AUX-NIV2'!$B:$X,'AUX-NIV1'!AR$3,FALSE),0)+($AV543*'AUX-NIV3'!T$4))*$O543+IF($H543=AR$4,$P543,0)</f>
        <v>0</v>
      </c>
      <c r="AS543" s="395">
        <f>(IF($H543="x",VLOOKUP($I543,'AUX-NIV2'!$B:$X,'AUX-NIV1'!AS$3,FALSE),0)+($AV543*'AUX-NIV3'!U$4))*$O543+IF($H543=AS$4,$P543,0)</f>
        <v>0</v>
      </c>
      <c r="AT543" s="395">
        <f>(IF($H543="x",VLOOKUP($I543,'AUX-NIV2'!$B:$X,'AUX-NIV1'!AT$3,FALSE),0)+($AV543*'AUX-NIV3'!V$4))*$O543+IF($H543=AT$4,$P543,0)</f>
        <v>0</v>
      </c>
      <c r="AU543" s="395">
        <f>(IF($H543="x",VLOOKUP($I543,'AUX-NIV2'!$B:$X,'AUX-NIV1'!AU$3,FALSE),0)+($AV543*'AUX-NIV3'!W$4))*$O543+IF($H543=AU$4,$P543,0)</f>
        <v>0</v>
      </c>
      <c r="AV543" s="395">
        <f>+IF($H543="x",VLOOKUP($I543,'AUX-NIV2'!$B:$X,'AUX-NIV1'!AV$3,FALSE),0)</f>
        <v>0</v>
      </c>
    </row>
    <row r="544" spans="2:48" ht="14.4" hidden="1" thickTop="1" thickBot="1">
      <c r="B544" s="501" t="s">
        <v>3703</v>
      </c>
      <c r="C544" s="951" t="s">
        <v>3706</v>
      </c>
      <c r="D544" s="1280" t="s">
        <v>1160</v>
      </c>
      <c r="E544" s="1281">
        <f>IF(B544&lt;&gt;"",+SUMIF(Items!C:C,'AUX-NIV1'!B544,Items!H:H),"")</f>
        <v>0</v>
      </c>
      <c r="F544" s="1281">
        <f t="shared" si="409"/>
        <v>47159.990001721992</v>
      </c>
      <c r="G544" s="1281">
        <f t="shared" si="410"/>
        <v>0</v>
      </c>
      <c r="H544" s="1395" t="str">
        <f t="shared" si="334"/>
        <v>X</v>
      </c>
      <c r="I544" s="1375" t="s">
        <v>2871</v>
      </c>
      <c r="J544" s="1283" t="str">
        <f>IF(B544&lt;&gt;"",+VLOOKUP(I544,Recursos!C:F,2,FALSE),"")</f>
        <v>Encofrado para obras menores</v>
      </c>
      <c r="K544" s="1284" t="str">
        <f>IF(B544&lt;&gt;"",+VLOOKUP(I544,Recursos!C:F,3,FALSE),"")</f>
        <v>m2</v>
      </c>
      <c r="L544" s="1285">
        <f>IF(B544&lt;&gt;"",+VLOOKUP(I544,Recursos!C:F,4,FALSE),"")</f>
        <v>3798.3281004967002</v>
      </c>
      <c r="M544" s="1341"/>
      <c r="N544" s="1340">
        <f>(0.25+0.7*2)/0.25*0.7/2</f>
        <v>2.3099999999999996</v>
      </c>
      <c r="O544" s="1286">
        <f>N544</f>
        <v>2.3099999999999996</v>
      </c>
      <c r="P544" s="1287">
        <f t="shared" si="335"/>
        <v>8774.1379121473765</v>
      </c>
      <c r="Q544" s="1281">
        <f t="shared" si="336"/>
        <v>0</v>
      </c>
      <c r="R544" s="1288">
        <f t="shared" si="337"/>
        <v>0</v>
      </c>
      <c r="S544" s="1289">
        <f t="shared" si="411"/>
        <v>0</v>
      </c>
      <c r="T544" s="1289">
        <f t="shared" si="412"/>
        <v>0</v>
      </c>
      <c r="U544" s="1290">
        <f t="shared" si="413"/>
        <v>29045.454545454548</v>
      </c>
      <c r="V544" s="1290">
        <f t="shared" si="414"/>
        <v>0</v>
      </c>
      <c r="W544" s="1290">
        <f t="shared" si="415"/>
        <v>0</v>
      </c>
      <c r="X544" s="1290">
        <f t="shared" si="416"/>
        <v>18114.53545626744</v>
      </c>
      <c r="Y544" s="396"/>
      <c r="Z544" s="1291" t="str">
        <f t="shared" si="338"/>
        <v>0-HORVIGA</v>
      </c>
      <c r="AA544" s="1291" t="str">
        <f t="shared" si="339"/>
        <v>0-HORVIGE</v>
      </c>
      <c r="AB544" s="1291" t="str">
        <f t="shared" si="340"/>
        <v>0-HORVIGM</v>
      </c>
      <c r="AC544" s="1291" t="str">
        <f t="shared" si="341"/>
        <v>0-HORVIGT</v>
      </c>
      <c r="AD544" s="1291" t="str">
        <f t="shared" si="342"/>
        <v>0-HORVIGS</v>
      </c>
      <c r="AE544" s="1291" t="str">
        <f t="shared" si="343"/>
        <v>0-HORVIGX</v>
      </c>
      <c r="AF544" s="1291" t="str">
        <f t="shared" si="344"/>
        <v>0-HORVIGX</v>
      </c>
      <c r="AG544" s="1291">
        <f t="shared" si="417"/>
        <v>8</v>
      </c>
      <c r="AH544" s="1291">
        <f>IF(B544&lt;&gt;"",+IF(H544="x",+VLOOKUP(I544,'AUX-NIV2'!B:AG,32,FALSE),0),"")</f>
        <v>13</v>
      </c>
      <c r="AI544" s="1291" t="str">
        <f t="shared" si="345"/>
        <v>0-HORVIG</v>
      </c>
      <c r="AK544" s="347">
        <f t="shared" si="418"/>
        <v>537</v>
      </c>
      <c r="AL544" s="348">
        <f t="shared" si="346"/>
        <v>544</v>
      </c>
      <c r="AM544" s="347">
        <f t="shared" si="347"/>
        <v>8</v>
      </c>
      <c r="AN544" s="382">
        <f>IF(AND(AH544&gt;0,B544&lt;&gt;""),VLOOKUP(I544,'AUX-NIV2'!$B:$AP,40,FALSE)*O544,0)</f>
        <v>16.169999999999998</v>
      </c>
      <c r="AO544" s="382">
        <f t="shared" si="419"/>
        <v>31.2075</v>
      </c>
      <c r="AQ544" s="395">
        <f>(IF($H544="x",VLOOKUP($I544,'AUX-NIV2'!$B:$X,'AUX-NIV1'!AQ$3,FALSE),0)+($AV544*'AUX-NIV3'!S$4))*$O544+IF($H544=AQ$4,$P544,0)</f>
        <v>7710.9089746574555</v>
      </c>
      <c r="AR544" s="395">
        <f>(IF($H544="x",VLOOKUP($I544,'AUX-NIV2'!$B:$X,'AUX-NIV1'!AR$3,FALSE),0)+($AV544*'AUX-NIV3'!T$4))*$O544+IF($H544=AR$4,$P544,0)</f>
        <v>0</v>
      </c>
      <c r="AS544" s="395">
        <f>(IF($H544="x",VLOOKUP($I544,'AUX-NIV2'!$B:$X,'AUX-NIV1'!AS$3,FALSE),0)+($AV544*'AUX-NIV3'!U$4))*$O544+IF($H544=AS$4,$P544,0)</f>
        <v>1063.2289374899219</v>
      </c>
      <c r="AT544" s="395">
        <f>(IF($H544="x",VLOOKUP($I544,'AUX-NIV2'!$B:$X,'AUX-NIV1'!AT$3,FALSE),0)+($AV544*'AUX-NIV3'!V$4))*$O544+IF($H544=AT$4,$P544,0)</f>
        <v>0</v>
      </c>
      <c r="AU544" s="395">
        <f>(IF($H544="x",VLOOKUP($I544,'AUX-NIV2'!$B:$X,'AUX-NIV1'!AU$3,FALSE),0)+($AV544*'AUX-NIV3'!W$4))*$O544+IF($H544=AU$4,$P544,0)</f>
        <v>0</v>
      </c>
      <c r="AV544" s="395">
        <f>+IF($H544="x",VLOOKUP($I544,'AUX-NIV2'!$B:$X,'AUX-NIV1'!AV$3,FALSE),0)</f>
        <v>0</v>
      </c>
    </row>
    <row r="545" spans="2:48" ht="13.8" hidden="1" thickTop="1">
      <c r="B545" s="501" t="s">
        <v>3704</v>
      </c>
      <c r="C545" s="951" t="s">
        <v>3708</v>
      </c>
      <c r="D545" s="1280" t="s">
        <v>1160</v>
      </c>
      <c r="E545" s="1281">
        <f>IF(B545&lt;&gt;"",+SUMIF(Items!C:C,'AUX-NIV1'!B545,Items!H:H),"")</f>
        <v>0</v>
      </c>
      <c r="F545" s="1281">
        <f t="shared" si="409"/>
        <v>77207.509274045384</v>
      </c>
      <c r="G545" s="1281">
        <f t="shared" si="410"/>
        <v>0</v>
      </c>
      <c r="H545" s="1395" t="str">
        <f t="shared" si="334"/>
        <v>M</v>
      </c>
      <c r="I545" s="1375" t="s">
        <v>3695</v>
      </c>
      <c r="J545" s="1283" t="str">
        <f>IF(B545&lt;&gt;"",+VLOOKUP(I545,Recursos!C:F,2,FALSE),"")</f>
        <v>HORMIGON ELABORADO H21 TRANSPORTADO</v>
      </c>
      <c r="K545" s="1284" t="str">
        <f>IF(B545&lt;&gt;"",+VLOOKUP(I545,Recursos!C:F,3,FALSE),"")</f>
        <v>m3</v>
      </c>
      <c r="L545" s="1285">
        <f>IF(B545&lt;&gt;"",+VLOOKUP(I545,Recursos!C:F,4,FALSE),"")</f>
        <v>4400</v>
      </c>
      <c r="M545" s="743"/>
      <c r="N545" s="1292">
        <v>1.05</v>
      </c>
      <c r="O545" s="1286">
        <f>N545</f>
        <v>1.05</v>
      </c>
      <c r="P545" s="1287">
        <f t="shared" si="335"/>
        <v>4620</v>
      </c>
      <c r="Q545" s="1281">
        <f t="shared" si="336"/>
        <v>0</v>
      </c>
      <c r="R545" s="1288">
        <f t="shared" si="337"/>
        <v>0</v>
      </c>
      <c r="S545" s="1289">
        <f t="shared" si="411"/>
        <v>0</v>
      </c>
      <c r="T545" s="1289">
        <f t="shared" si="412"/>
        <v>0</v>
      </c>
      <c r="U545" s="1290">
        <f t="shared" si="413"/>
        <v>34596.694214876028</v>
      </c>
      <c r="V545" s="1290">
        <f t="shared" si="414"/>
        <v>0</v>
      </c>
      <c r="W545" s="1290">
        <f t="shared" si="415"/>
        <v>0</v>
      </c>
      <c r="X545" s="1290">
        <f t="shared" si="416"/>
        <v>42610.815059169341</v>
      </c>
      <c r="Y545" s="396"/>
      <c r="Z545" s="1291" t="str">
        <f t="shared" si="338"/>
        <v>0-HORLOSA</v>
      </c>
      <c r="AA545" s="1291" t="str">
        <f t="shared" si="339"/>
        <v>0-HORLOSE</v>
      </c>
      <c r="AB545" s="1291" t="str">
        <f t="shared" si="340"/>
        <v>0-HORLOSM</v>
      </c>
      <c r="AC545" s="1291" t="str">
        <f t="shared" si="341"/>
        <v>0-HORLOST</v>
      </c>
      <c r="AD545" s="1291" t="str">
        <f t="shared" si="342"/>
        <v>0-HORLOSS</v>
      </c>
      <c r="AE545" s="1291" t="str">
        <f t="shared" si="343"/>
        <v>0-HORLOSX</v>
      </c>
      <c r="AF545" s="1291" t="str">
        <f t="shared" si="344"/>
        <v>0-HORLOSM</v>
      </c>
      <c r="AG545" s="1291">
        <f t="shared" si="417"/>
        <v>8</v>
      </c>
      <c r="AH545" s="1291">
        <f>IF(B545&lt;&gt;"",+IF(H545="x",+VLOOKUP(I545,'AUX-NIV2'!B:AG,32,FALSE),0),"")</f>
        <v>0</v>
      </c>
      <c r="AI545" s="1291" t="str">
        <f t="shared" si="345"/>
        <v>0-HORLOS</v>
      </c>
      <c r="AK545" s="347">
        <f t="shared" si="418"/>
        <v>545</v>
      </c>
      <c r="AL545" s="348">
        <f t="shared" si="346"/>
        <v>552</v>
      </c>
      <c r="AM545" s="347">
        <f t="shared" si="347"/>
        <v>1</v>
      </c>
      <c r="AN545" s="382">
        <f>IF(AND(AH545&gt;0,B545&lt;&gt;""),VLOOKUP(I545,'AUX-NIV2'!$B:$AP,40,FALSE)*O545,0)</f>
        <v>0</v>
      </c>
      <c r="AO545" s="382">
        <f t="shared" si="419"/>
        <v>71.75333333333333</v>
      </c>
      <c r="AQ545" s="395">
        <f>(IF($H545="x",VLOOKUP($I545,'AUX-NIV2'!$B:$X,'AUX-NIV1'!AQ$3,FALSE),0)+($AV545*'AUX-NIV3'!S$4))*$O545+IF($H545=AQ$4,$P545,0)</f>
        <v>0</v>
      </c>
      <c r="AR545" s="395">
        <f>(IF($H545="x",VLOOKUP($I545,'AUX-NIV2'!$B:$X,'AUX-NIV1'!AR$3,FALSE),0)+($AV545*'AUX-NIV3'!T$4))*$O545+IF($H545=AR$4,$P545,0)</f>
        <v>0</v>
      </c>
      <c r="AS545" s="395">
        <f>(IF($H545="x",VLOOKUP($I545,'AUX-NIV2'!$B:$X,'AUX-NIV1'!AS$3,FALSE),0)+($AV545*'AUX-NIV3'!U$4))*$O545+IF($H545=AS$4,$P545,0)</f>
        <v>4620</v>
      </c>
      <c r="AT545" s="395">
        <f>(IF($H545="x",VLOOKUP($I545,'AUX-NIV2'!$B:$X,'AUX-NIV1'!AT$3,FALSE),0)+($AV545*'AUX-NIV3'!V$4))*$O545+IF($H545=AT$4,$P545,0)</f>
        <v>0</v>
      </c>
      <c r="AU545" s="395">
        <f>(IF($H545="x",VLOOKUP($I545,'AUX-NIV2'!$B:$X,'AUX-NIV1'!AU$3,FALSE),0)+($AV545*'AUX-NIV3'!W$4))*$O545+IF($H545=AU$4,$P545,0)</f>
        <v>0</v>
      </c>
      <c r="AV545" s="395">
        <f>+IF($H545="x",VLOOKUP($I545,'AUX-NIV2'!$B:$X,'AUX-NIV1'!AV$3,FALSE),0)</f>
        <v>0</v>
      </c>
    </row>
    <row r="546" spans="2:48" ht="13.8" hidden="1" thickTop="1">
      <c r="B546" s="501" t="s">
        <v>3704</v>
      </c>
      <c r="C546" s="951" t="s">
        <v>3708</v>
      </c>
      <c r="D546" s="1280" t="s">
        <v>1160</v>
      </c>
      <c r="E546" s="1281">
        <f>IF(B546&lt;&gt;"",+SUMIF(Items!C:C,'AUX-NIV1'!B546,Items!H:H),"")</f>
        <v>0</v>
      </c>
      <c r="F546" s="1281">
        <f t="shared" si="409"/>
        <v>77207.509274045384</v>
      </c>
      <c r="G546" s="1281">
        <f t="shared" si="410"/>
        <v>0</v>
      </c>
      <c r="H546" s="1395" t="str">
        <f t="shared" si="334"/>
        <v>X</v>
      </c>
      <c r="I546" s="1375" t="s">
        <v>2865</v>
      </c>
      <c r="J546" s="1283" t="str">
        <f>IF(B546&lt;&gt;"",+VLOOKUP(I546,Recursos!C:F,2,FALSE),"")</f>
        <v>Colado Hormigón desde Mixer</v>
      </c>
      <c r="K546" s="1284" t="str">
        <f>IF(B546&lt;&gt;"",+VLOOKUP(I546,Recursos!C:F,3,FALSE),"")</f>
        <v>m3</v>
      </c>
      <c r="L546" s="1285">
        <f>IF(B546&lt;&gt;"",+VLOOKUP(I546,Recursos!C:F,4,FALSE),"")</f>
        <v>1031.7487777591643</v>
      </c>
      <c r="M546" s="1336">
        <v>0</v>
      </c>
      <c r="N546" s="1343"/>
      <c r="O546" s="1286">
        <f>N545*M546</f>
        <v>0</v>
      </c>
      <c r="P546" s="1287">
        <f t="shared" si="335"/>
        <v>0</v>
      </c>
      <c r="Q546" s="1281">
        <f t="shared" si="336"/>
        <v>0</v>
      </c>
      <c r="R546" s="1288">
        <f t="shared" si="337"/>
        <v>0</v>
      </c>
      <c r="S546" s="1289">
        <f t="shared" si="411"/>
        <v>0</v>
      </c>
      <c r="T546" s="1289">
        <f t="shared" si="412"/>
        <v>0</v>
      </c>
      <c r="U546" s="1290">
        <f t="shared" si="413"/>
        <v>34596.694214876028</v>
      </c>
      <c r="V546" s="1290">
        <f t="shared" si="414"/>
        <v>0</v>
      </c>
      <c r="W546" s="1290">
        <f t="shared" si="415"/>
        <v>0</v>
      </c>
      <c r="X546" s="1290">
        <f t="shared" si="416"/>
        <v>42610.815059169341</v>
      </c>
      <c r="Y546" s="396"/>
      <c r="Z546" s="1291" t="str">
        <f t="shared" si="338"/>
        <v>0-HORLOSA</v>
      </c>
      <c r="AA546" s="1291" t="str">
        <f t="shared" si="339"/>
        <v>0-HORLOSE</v>
      </c>
      <c r="AB546" s="1291" t="str">
        <f t="shared" si="340"/>
        <v>0-HORLOSM</v>
      </c>
      <c r="AC546" s="1291" t="str">
        <f t="shared" si="341"/>
        <v>0-HORLOST</v>
      </c>
      <c r="AD546" s="1291" t="str">
        <f t="shared" si="342"/>
        <v>0-HORLOSS</v>
      </c>
      <c r="AE546" s="1291" t="str">
        <f t="shared" si="343"/>
        <v>0-HORLOSX</v>
      </c>
      <c r="AF546" s="1291" t="str">
        <f t="shared" si="344"/>
        <v>0-HORLOSX</v>
      </c>
      <c r="AG546" s="1291">
        <f t="shared" si="417"/>
        <v>8</v>
      </c>
      <c r="AH546" s="1291">
        <f>IF(B546&lt;&gt;"",+IF(H546="x",+VLOOKUP(I546,'AUX-NIV2'!B:AG,32,FALSE),0),"")</f>
        <v>8</v>
      </c>
      <c r="AI546" s="1291" t="str">
        <f t="shared" si="345"/>
        <v>0-HORLOS</v>
      </c>
      <c r="AK546" s="347">
        <f t="shared" si="418"/>
        <v>545</v>
      </c>
      <c r="AL546" s="348">
        <f t="shared" si="346"/>
        <v>552</v>
      </c>
      <c r="AM546" s="347">
        <f t="shared" si="347"/>
        <v>2</v>
      </c>
      <c r="AN546" s="382">
        <f>IF(AND(AH546&gt;0,B546&lt;&gt;""),VLOOKUP(I546,'AUX-NIV2'!$B:$AP,40,FALSE)*O546,0)</f>
        <v>0</v>
      </c>
      <c r="AO546" s="382">
        <f t="shared" si="419"/>
        <v>71.75333333333333</v>
      </c>
      <c r="AQ546" s="395">
        <f>(IF($H546="x",VLOOKUP($I546,'AUX-NIV2'!$B:$X,'AUX-NIV1'!AQ$3,FALSE),0)+($AV546*'AUX-NIV3'!S$4))*$O546+IF($H546=AQ$4,$P546,0)</f>
        <v>0</v>
      </c>
      <c r="AR546" s="395">
        <f>(IF($H546="x",VLOOKUP($I546,'AUX-NIV2'!$B:$X,'AUX-NIV1'!AR$3,FALSE),0)+($AV546*'AUX-NIV3'!T$4))*$O546+IF($H546=AR$4,$P546,0)</f>
        <v>0</v>
      </c>
      <c r="AS546" s="395">
        <f>(IF($H546="x",VLOOKUP($I546,'AUX-NIV2'!$B:$X,'AUX-NIV1'!AS$3,FALSE),0)+($AV546*'AUX-NIV3'!U$4))*$O546+IF($H546=AS$4,$P546,0)</f>
        <v>0</v>
      </c>
      <c r="AT546" s="395">
        <f>(IF($H546="x",VLOOKUP($I546,'AUX-NIV2'!$B:$X,'AUX-NIV1'!AT$3,FALSE),0)+($AV546*'AUX-NIV3'!V$4))*$O546+IF($H546=AT$4,$P546,0)</f>
        <v>0</v>
      </c>
      <c r="AU546" s="395">
        <f>(IF($H546="x",VLOOKUP($I546,'AUX-NIV2'!$B:$X,'AUX-NIV1'!AU$3,FALSE),0)+($AV546*'AUX-NIV3'!W$4))*$O546+IF($H546=AU$4,$P546,0)</f>
        <v>0</v>
      </c>
      <c r="AV546" s="395">
        <f>+IF($H546="x",VLOOKUP($I546,'AUX-NIV2'!$B:$X,'AUX-NIV1'!AV$3,FALSE),0)</f>
        <v>0</v>
      </c>
    </row>
    <row r="547" spans="2:48" ht="13.8" hidden="1" thickTop="1">
      <c r="B547" s="501" t="s">
        <v>3704</v>
      </c>
      <c r="C547" s="951" t="s">
        <v>3708</v>
      </c>
      <c r="D547" s="1280" t="s">
        <v>1160</v>
      </c>
      <c r="E547" s="1281">
        <f>IF(B547&lt;&gt;"",+SUMIF(Items!C:C,'AUX-NIV1'!B547,Items!H:H),"")</f>
        <v>0</v>
      </c>
      <c r="F547" s="1281">
        <f t="shared" si="409"/>
        <v>77207.509274045384</v>
      </c>
      <c r="G547" s="1281">
        <f t="shared" si="410"/>
        <v>0</v>
      </c>
      <c r="H547" s="1395" t="str">
        <f t="shared" ref="H547:H636" si="434">IF(B547&lt;&gt;"",+LEFT(I547,1),"")</f>
        <v>X</v>
      </c>
      <c r="I547" s="1375" t="s">
        <v>2897</v>
      </c>
      <c r="J547" s="1283" t="str">
        <f>IF(B547&lt;&gt;"",+VLOOKUP(I547,Recursos!C:F,2,FALSE),"")</f>
        <v>Colado de hgón con bomba</v>
      </c>
      <c r="K547" s="1284" t="str">
        <f>IF(B547&lt;&gt;"",+VLOOKUP(I547,Recursos!C:F,3,FALSE),"")</f>
        <v>m3</v>
      </c>
      <c r="L547" s="1285">
        <f>IF(B547&lt;&gt;"",+VLOOKUP(I547,Recursos!C:F,4,FALSE),"")</f>
        <v>4223.8879328752682</v>
      </c>
      <c r="M547" s="1342"/>
      <c r="N547" s="1343"/>
      <c r="O547" s="1286">
        <f>N545*(1-M546)</f>
        <v>1.05</v>
      </c>
      <c r="P547" s="1287">
        <f t="shared" ref="P547:P602" si="435">IF(B547&lt;&gt;"",O547*L547,"")</f>
        <v>4435.0823295190321</v>
      </c>
      <c r="Q547" s="1281">
        <f t="shared" ref="Q547:Q602" si="436">IF(B547&lt;&gt;"",+O547*E547,"")</f>
        <v>0</v>
      </c>
      <c r="R547" s="1288">
        <f t="shared" ref="R547:R602" si="437">IF(B547&lt;&gt;"",Q547*L547,"")</f>
        <v>0</v>
      </c>
      <c r="S547" s="1289">
        <f t="shared" si="411"/>
        <v>0</v>
      </c>
      <c r="T547" s="1289">
        <f t="shared" si="412"/>
        <v>0</v>
      </c>
      <c r="U547" s="1290">
        <f t="shared" si="413"/>
        <v>34596.694214876028</v>
      </c>
      <c r="V547" s="1290">
        <f t="shared" si="414"/>
        <v>0</v>
      </c>
      <c r="W547" s="1290">
        <f t="shared" si="415"/>
        <v>0</v>
      </c>
      <c r="X547" s="1290">
        <f t="shared" si="416"/>
        <v>42610.815059169341</v>
      </c>
      <c r="Y547" s="396"/>
      <c r="Z547" s="1291" t="str">
        <f t="shared" ref="Z547:Z602" si="438">IF(B547&lt;&gt;"",+$B547&amp;"A","")</f>
        <v>0-HORLOSA</v>
      </c>
      <c r="AA547" s="1291" t="str">
        <f t="shared" ref="AA547:AA602" si="439">IF(B547&lt;&gt;"",+$B547&amp;"E","")</f>
        <v>0-HORLOSE</v>
      </c>
      <c r="AB547" s="1291" t="str">
        <f t="shared" ref="AB547:AB602" si="440">IF(B547&lt;&gt;"",++$B547&amp;"M","")</f>
        <v>0-HORLOSM</v>
      </c>
      <c r="AC547" s="1291" t="str">
        <f t="shared" ref="AC547:AC602" si="441">IF(B547&lt;&gt;"",+$B547&amp;"T","")</f>
        <v>0-HORLOST</v>
      </c>
      <c r="AD547" s="1291" t="str">
        <f t="shared" ref="AD547:AD602" si="442">IF(B547&lt;&gt;"",+$B547&amp;"S","")</f>
        <v>0-HORLOSS</v>
      </c>
      <c r="AE547" s="1291" t="str">
        <f t="shared" ref="AE547:AE602" si="443">IF(B547&lt;&gt;"",+$B547&amp;"X","")</f>
        <v>0-HORLOSX</v>
      </c>
      <c r="AF547" s="1291" t="str">
        <f t="shared" ref="AF547:AF602" si="444">IF(B547&lt;&gt;"",+B547&amp;H547,"")</f>
        <v>0-HORLOSX</v>
      </c>
      <c r="AG547" s="1291">
        <f t="shared" si="417"/>
        <v>8</v>
      </c>
      <c r="AH547" s="1291">
        <f>IF(B547&lt;&gt;"",+IF(H547="x",+VLOOKUP(I547,'AUX-NIV2'!B:AG,32,FALSE),0),"")</f>
        <v>10</v>
      </c>
      <c r="AI547" s="1291" t="str">
        <f t="shared" ref="AI547:AI602" si="445">IF(B547&lt;&gt;"",+B547,"")</f>
        <v>0-HORLOS</v>
      </c>
      <c r="AK547" s="347">
        <f t="shared" si="418"/>
        <v>545</v>
      </c>
      <c r="AL547" s="348">
        <f t="shared" ref="AL547:AL602" si="446">IF(B547&lt;&gt;"",+AK547+AG547-1,"")</f>
        <v>552</v>
      </c>
      <c r="AM547" s="347">
        <f t="shared" ref="AM547:AM602" si="447">IF(B547&lt;&gt;"",IF(B547=B546,1+AM546,1),"")</f>
        <v>3</v>
      </c>
      <c r="AN547" s="382">
        <f>IF(AND(AH547&gt;0,B547&lt;&gt;""),VLOOKUP(I547,'AUX-NIV2'!$B:$AP,40,FALSE)*O547,0)</f>
        <v>3.92</v>
      </c>
      <c r="AO547" s="382">
        <f t="shared" si="419"/>
        <v>71.75333333333333</v>
      </c>
      <c r="AQ547" s="395">
        <f>(IF($H547="x",VLOOKUP($I547,'AUX-NIV2'!$B:$X,'AUX-NIV1'!AQ$3,FALSE),0)+($AV547*'AUX-NIV3'!S$4))*$O547+IF($H547=AQ$4,$P547,0)</f>
        <v>1893.5408666856983</v>
      </c>
      <c r="AR547" s="395">
        <f>(IF($H547="x",VLOOKUP($I547,'AUX-NIV2'!$B:$X,'AUX-NIV1'!AR$3,FALSE),0)+($AV547*'AUX-NIV3'!T$4))*$O547+IF($H547=AR$4,$P547,0)</f>
        <v>2541.5414628333333</v>
      </c>
      <c r="AS547" s="395">
        <f>(IF($H547="x",VLOOKUP($I547,'AUX-NIV2'!$B:$X,'AUX-NIV1'!AS$3,FALSE),0)+($AV547*'AUX-NIV3'!U$4))*$O547+IF($H547=AS$4,$P547,0)</f>
        <v>0</v>
      </c>
      <c r="AT547" s="395">
        <f>(IF($H547="x",VLOOKUP($I547,'AUX-NIV2'!$B:$X,'AUX-NIV1'!AT$3,FALSE),0)+($AV547*'AUX-NIV3'!V$4))*$O547+IF($H547=AT$4,$P547,0)</f>
        <v>0</v>
      </c>
      <c r="AU547" s="395">
        <f>(IF($H547="x",VLOOKUP($I547,'AUX-NIV2'!$B:$X,'AUX-NIV1'!AU$3,FALSE),0)+($AV547*'AUX-NIV3'!W$4))*$O547+IF($H547=AU$4,$P547,0)</f>
        <v>0</v>
      </c>
      <c r="AV547" s="395">
        <f>+IF($H547="x",VLOOKUP($I547,'AUX-NIV2'!$B:$X,'AUX-NIV1'!AV$3,FALSE),0)</f>
        <v>0</v>
      </c>
    </row>
    <row r="548" spans="2:48" ht="13.8" hidden="1" thickTop="1">
      <c r="B548" s="501" t="s">
        <v>3704</v>
      </c>
      <c r="C548" s="951" t="s">
        <v>3708</v>
      </c>
      <c r="D548" s="1280" t="s">
        <v>1160</v>
      </c>
      <c r="E548" s="1281">
        <f>IF(B548&lt;&gt;"",+SUMIF(Items!C:C,'AUX-NIV1'!B548,Items!H:H),"")</f>
        <v>0</v>
      </c>
      <c r="F548" s="1281">
        <f t="shared" si="409"/>
        <v>77207.509274045384</v>
      </c>
      <c r="G548" s="1281">
        <f t="shared" si="410"/>
        <v>0</v>
      </c>
      <c r="H548" s="1395" t="str">
        <f t="shared" si="434"/>
        <v>M</v>
      </c>
      <c r="I548" s="1375" t="s">
        <v>1751</v>
      </c>
      <c r="J548" s="1283" t="str">
        <f>IF(B548&lt;&gt;"",+VLOOKUP(I548,Recursos!C:F,2,FALSE),"")</f>
        <v>ACERO TIPO ADN 420</v>
      </c>
      <c r="K548" s="1284" t="str">
        <f>IF(B548&lt;&gt;"",+VLOOKUP(I548,Recursos!C:F,3,FALSE),"")</f>
        <v>tn</v>
      </c>
      <c r="L548" s="1285">
        <f>IF(B548&lt;&gt;"",+VLOOKUP(I548,Recursos!C:F,4,FALSE),"")</f>
        <v>185041.32231404958</v>
      </c>
      <c r="M548" s="441">
        <v>1.08</v>
      </c>
      <c r="N548" s="497">
        <v>0.15</v>
      </c>
      <c r="O548" s="439">
        <f>N548*M548</f>
        <v>0.16200000000000001</v>
      </c>
      <c r="P548" s="1287">
        <f t="shared" si="435"/>
        <v>29976.694214876032</v>
      </c>
      <c r="Q548" s="1281">
        <f t="shared" si="436"/>
        <v>0</v>
      </c>
      <c r="R548" s="1288">
        <f t="shared" si="437"/>
        <v>0</v>
      </c>
      <c r="S548" s="1289">
        <f t="shared" si="411"/>
        <v>0</v>
      </c>
      <c r="T548" s="1289">
        <f t="shared" si="412"/>
        <v>0</v>
      </c>
      <c r="U548" s="1290">
        <f t="shared" si="413"/>
        <v>34596.694214876028</v>
      </c>
      <c r="V548" s="1290">
        <f t="shared" si="414"/>
        <v>0</v>
      </c>
      <c r="W548" s="1290">
        <f t="shared" si="415"/>
        <v>0</v>
      </c>
      <c r="X548" s="1290">
        <f t="shared" si="416"/>
        <v>42610.815059169341</v>
      </c>
      <c r="Y548" s="396"/>
      <c r="Z548" s="1291" t="str">
        <f t="shared" si="438"/>
        <v>0-HORLOSA</v>
      </c>
      <c r="AA548" s="1291" t="str">
        <f t="shared" si="439"/>
        <v>0-HORLOSE</v>
      </c>
      <c r="AB548" s="1291" t="str">
        <f t="shared" si="440"/>
        <v>0-HORLOSM</v>
      </c>
      <c r="AC548" s="1291" t="str">
        <f t="shared" si="441"/>
        <v>0-HORLOST</v>
      </c>
      <c r="AD548" s="1291" t="str">
        <f t="shared" si="442"/>
        <v>0-HORLOSS</v>
      </c>
      <c r="AE548" s="1291" t="str">
        <f t="shared" si="443"/>
        <v>0-HORLOSX</v>
      </c>
      <c r="AF548" s="1291" t="str">
        <f t="shared" si="444"/>
        <v>0-HORLOSM</v>
      </c>
      <c r="AG548" s="1291">
        <f t="shared" si="417"/>
        <v>8</v>
      </c>
      <c r="AH548" s="1291">
        <f>IF(B548&lt;&gt;"",+IF(H548="x",+VLOOKUP(I548,'AUX-NIV2'!B:AG,32,FALSE),0),"")</f>
        <v>0</v>
      </c>
      <c r="AI548" s="1291" t="str">
        <f t="shared" si="445"/>
        <v>0-HORLOS</v>
      </c>
      <c r="AK548" s="347">
        <f t="shared" si="418"/>
        <v>545</v>
      </c>
      <c r="AL548" s="348">
        <f t="shared" si="446"/>
        <v>552</v>
      </c>
      <c r="AM548" s="347">
        <f t="shared" si="447"/>
        <v>4</v>
      </c>
      <c r="AN548" s="382">
        <f>IF(AND(AH548&gt;0,B548&lt;&gt;""),VLOOKUP(I548,'AUX-NIV2'!$B:$AP,40,FALSE)*O548,0)</f>
        <v>0</v>
      </c>
      <c r="AO548" s="382">
        <f t="shared" si="419"/>
        <v>71.75333333333333</v>
      </c>
      <c r="AQ548" s="395">
        <f>(IF($H548="x",VLOOKUP($I548,'AUX-NIV2'!$B:$X,'AUX-NIV1'!AQ$3,FALSE),0)+($AV548*'AUX-NIV3'!S$4))*$O548+IF($H548=AQ$4,$P548,0)</f>
        <v>0</v>
      </c>
      <c r="AR548" s="395">
        <f>(IF($H548="x",VLOOKUP($I548,'AUX-NIV2'!$B:$X,'AUX-NIV1'!AR$3,FALSE),0)+($AV548*'AUX-NIV3'!T$4))*$O548+IF($H548=AR$4,$P548,0)</f>
        <v>0</v>
      </c>
      <c r="AS548" s="395">
        <f>(IF($H548="x",VLOOKUP($I548,'AUX-NIV2'!$B:$X,'AUX-NIV1'!AS$3,FALSE),0)+($AV548*'AUX-NIV3'!U$4))*$O548+IF($H548=AS$4,$P548,0)</f>
        <v>29976.694214876032</v>
      </c>
      <c r="AT548" s="395">
        <f>(IF($H548="x",VLOOKUP($I548,'AUX-NIV2'!$B:$X,'AUX-NIV1'!AT$3,FALSE),0)+($AV548*'AUX-NIV3'!V$4))*$O548+IF($H548=AT$4,$P548,0)</f>
        <v>0</v>
      </c>
      <c r="AU548" s="395">
        <f>(IF($H548="x",VLOOKUP($I548,'AUX-NIV2'!$B:$X,'AUX-NIV1'!AU$3,FALSE),0)+($AV548*'AUX-NIV3'!W$4))*$O548+IF($H548=AU$4,$P548,0)</f>
        <v>0</v>
      </c>
      <c r="AV548" s="395">
        <f>+IF($H548="x",VLOOKUP($I548,'AUX-NIV2'!$B:$X,'AUX-NIV1'!AV$3,FALSE),0)</f>
        <v>0</v>
      </c>
    </row>
    <row r="549" spans="2:48" ht="13.8" hidden="1" thickTop="1">
      <c r="B549" s="501" t="s">
        <v>3704</v>
      </c>
      <c r="C549" s="951" t="s">
        <v>3708</v>
      </c>
      <c r="D549" s="1280" t="s">
        <v>1160</v>
      </c>
      <c r="E549" s="1281">
        <f>IF(B549&lt;&gt;"",+SUMIF(Items!C:C,'AUX-NIV1'!B549,Items!H:H),"")</f>
        <v>0</v>
      </c>
      <c r="F549" s="1281">
        <f t="shared" si="409"/>
        <v>77207.509274045384</v>
      </c>
      <c r="G549" s="1281">
        <f t="shared" si="410"/>
        <v>0</v>
      </c>
      <c r="H549" s="1395" t="str">
        <f t="shared" si="434"/>
        <v>X</v>
      </c>
      <c r="I549" s="1375" t="s">
        <v>2883</v>
      </c>
      <c r="J549" s="1283" t="str">
        <f>IF(B549&lt;&gt;"",+VLOOKUP(I549,Recursos!C:F,2,FALSE),"")</f>
        <v>Corte y doblado de acero</v>
      </c>
      <c r="K549" s="1284" t="str">
        <f>IF(B549&lt;&gt;"",+VLOOKUP(I549,Recursos!C:F,3,FALSE),"")</f>
        <v>tn</v>
      </c>
      <c r="L549" s="1285">
        <f>IF(B549&lt;&gt;"",+VLOOKUP(I549,Recursos!C:F,4,FALSE),"")</f>
        <v>17428.113426266111</v>
      </c>
      <c r="M549" s="441">
        <v>1</v>
      </c>
      <c r="N549" s="442"/>
      <c r="O549" s="439">
        <f>N548*M549</f>
        <v>0.15</v>
      </c>
      <c r="P549" s="1287">
        <f t="shared" si="435"/>
        <v>2614.2170139399163</v>
      </c>
      <c r="Q549" s="1281">
        <f t="shared" si="436"/>
        <v>0</v>
      </c>
      <c r="R549" s="1288">
        <f t="shared" si="437"/>
        <v>0</v>
      </c>
      <c r="S549" s="1289">
        <f t="shared" si="411"/>
        <v>0</v>
      </c>
      <c r="T549" s="1289">
        <f t="shared" si="412"/>
        <v>0</v>
      </c>
      <c r="U549" s="1290">
        <f t="shared" si="413"/>
        <v>34596.694214876028</v>
      </c>
      <c r="V549" s="1290">
        <f t="shared" si="414"/>
        <v>0</v>
      </c>
      <c r="W549" s="1290">
        <f t="shared" si="415"/>
        <v>0</v>
      </c>
      <c r="X549" s="1290">
        <f t="shared" si="416"/>
        <v>42610.815059169341</v>
      </c>
      <c r="Y549" s="396"/>
      <c r="Z549" s="1291" t="str">
        <f t="shared" si="438"/>
        <v>0-HORLOSA</v>
      </c>
      <c r="AA549" s="1291" t="str">
        <f t="shared" si="439"/>
        <v>0-HORLOSE</v>
      </c>
      <c r="AB549" s="1291" t="str">
        <f t="shared" si="440"/>
        <v>0-HORLOSM</v>
      </c>
      <c r="AC549" s="1291" t="str">
        <f t="shared" si="441"/>
        <v>0-HORLOST</v>
      </c>
      <c r="AD549" s="1291" t="str">
        <f t="shared" si="442"/>
        <v>0-HORLOSS</v>
      </c>
      <c r="AE549" s="1291" t="str">
        <f t="shared" si="443"/>
        <v>0-HORLOSX</v>
      </c>
      <c r="AF549" s="1291" t="str">
        <f t="shared" si="444"/>
        <v>0-HORLOSX</v>
      </c>
      <c r="AG549" s="1291">
        <f t="shared" si="417"/>
        <v>8</v>
      </c>
      <c r="AH549" s="1291">
        <f>IF(B549&lt;&gt;"",+IF(H549="x",+VLOOKUP(I549,'AUX-NIV2'!B:AG,32,FALSE),0),"")</f>
        <v>4</v>
      </c>
      <c r="AI549" s="1291" t="str">
        <f t="shared" si="445"/>
        <v>0-HORLOS</v>
      </c>
      <c r="AK549" s="347">
        <f t="shared" si="418"/>
        <v>545</v>
      </c>
      <c r="AL549" s="348">
        <f t="shared" si="446"/>
        <v>552</v>
      </c>
      <c r="AM549" s="347">
        <f t="shared" si="447"/>
        <v>5</v>
      </c>
      <c r="AN549" s="382">
        <f>IF(AND(AH549&gt;0,B549&lt;&gt;""),VLOOKUP(I549,'AUX-NIV2'!$B:$AP,40,FALSE)*O549,0)</f>
        <v>5.25</v>
      </c>
      <c r="AO549" s="382">
        <f t="shared" si="419"/>
        <v>71.75333333333333</v>
      </c>
      <c r="AQ549" s="395">
        <f>(IF($H549="x",VLOOKUP($I549,'AUX-NIV2'!$B:$X,'AUX-NIV1'!AQ$3,FALSE),0)+($AV549*'AUX-NIV3'!S$4))*$O549+IF($H549=AQ$4,$P549,0)</f>
        <v>2552.9821155399163</v>
      </c>
      <c r="AR549" s="395">
        <f>(IF($H549="x",VLOOKUP($I549,'AUX-NIV2'!$B:$X,'AUX-NIV1'!AR$3,FALSE),0)+($AV549*'AUX-NIV3'!T$4))*$O549+IF($H549=AR$4,$P549,0)</f>
        <v>61.234898399999992</v>
      </c>
      <c r="AS549" s="395">
        <f>(IF($H549="x",VLOOKUP($I549,'AUX-NIV2'!$B:$X,'AUX-NIV1'!AS$3,FALSE),0)+($AV549*'AUX-NIV3'!U$4))*$O549+IF($H549=AS$4,$P549,0)</f>
        <v>0</v>
      </c>
      <c r="AT549" s="395">
        <f>(IF($H549="x",VLOOKUP($I549,'AUX-NIV2'!$B:$X,'AUX-NIV1'!AT$3,FALSE),0)+($AV549*'AUX-NIV3'!V$4))*$O549+IF($H549=AT$4,$P549,0)</f>
        <v>0</v>
      </c>
      <c r="AU549" s="395">
        <f>(IF($H549="x",VLOOKUP($I549,'AUX-NIV2'!$B:$X,'AUX-NIV1'!AU$3,FALSE),0)+($AV549*'AUX-NIV3'!W$4))*$O549+IF($H549=AU$4,$P549,0)</f>
        <v>0</v>
      </c>
      <c r="AV549" s="395">
        <f>+IF($H549="x",VLOOKUP($I549,'AUX-NIV2'!$B:$X,'AUX-NIV1'!AV$3,FALSE),0)</f>
        <v>0</v>
      </c>
    </row>
    <row r="550" spans="2:48" ht="13.8" hidden="1" thickTop="1">
      <c r="B550" s="501" t="s">
        <v>3704</v>
      </c>
      <c r="C550" s="951" t="s">
        <v>3708</v>
      </c>
      <c r="D550" s="1280" t="s">
        <v>1160</v>
      </c>
      <c r="E550" s="1281">
        <f>IF(B550&lt;&gt;"",+SUMIF(Items!C:C,'AUX-NIV1'!B550,Items!H:H),"")</f>
        <v>0</v>
      </c>
      <c r="F550" s="1302">
        <f t="shared" si="409"/>
        <v>77207.509274045384</v>
      </c>
      <c r="G550" s="1281">
        <f t="shared" si="410"/>
        <v>0</v>
      </c>
      <c r="H550" s="1395" t="str">
        <f t="shared" si="434"/>
        <v>X</v>
      </c>
      <c r="I550" s="1375" t="s">
        <v>2884</v>
      </c>
      <c r="J550" s="1283" t="str">
        <f>IF(B550&lt;&gt;"",+VLOOKUP(I550,Recursos!C:F,2,FALSE),"")</f>
        <v>Colocación de acero manual</v>
      </c>
      <c r="K550" s="1284" t="str">
        <f>IF(B550&lt;&gt;"",+VLOOKUP(I550,Recursos!C:F,3,FALSE),"")</f>
        <v>tn</v>
      </c>
      <c r="L550" s="1285">
        <f>IF(B550&lt;&gt;"",+VLOOKUP(I550,Recursos!C:F,4,FALSE),"")</f>
        <v>51380.730969341719</v>
      </c>
      <c r="M550" s="441">
        <v>1</v>
      </c>
      <c r="N550" s="442"/>
      <c r="O550" s="439">
        <f>M550*N548</f>
        <v>0.15</v>
      </c>
      <c r="P550" s="1287">
        <f t="shared" si="435"/>
        <v>7707.1096454012577</v>
      </c>
      <c r="Q550" s="1281">
        <f t="shared" si="436"/>
        <v>0</v>
      </c>
      <c r="R550" s="1288">
        <f t="shared" si="437"/>
        <v>0</v>
      </c>
      <c r="S550" s="1289">
        <f t="shared" si="411"/>
        <v>0</v>
      </c>
      <c r="T550" s="1289">
        <f t="shared" si="412"/>
        <v>0</v>
      </c>
      <c r="U550" s="1290">
        <f t="shared" si="413"/>
        <v>34596.694214876028</v>
      </c>
      <c r="V550" s="1290">
        <f t="shared" si="414"/>
        <v>0</v>
      </c>
      <c r="W550" s="1290">
        <f t="shared" si="415"/>
        <v>0</v>
      </c>
      <c r="X550" s="1290">
        <f t="shared" si="416"/>
        <v>42610.815059169341</v>
      </c>
      <c r="Y550" s="396"/>
      <c r="Z550" s="1291" t="str">
        <f t="shared" si="438"/>
        <v>0-HORLOSA</v>
      </c>
      <c r="AA550" s="1291" t="str">
        <f t="shared" si="439"/>
        <v>0-HORLOSE</v>
      </c>
      <c r="AB550" s="1291" t="str">
        <f t="shared" si="440"/>
        <v>0-HORLOSM</v>
      </c>
      <c r="AC550" s="1291" t="str">
        <f t="shared" si="441"/>
        <v>0-HORLOST</v>
      </c>
      <c r="AD550" s="1291" t="str">
        <f t="shared" si="442"/>
        <v>0-HORLOSS</v>
      </c>
      <c r="AE550" s="1291" t="str">
        <f t="shared" si="443"/>
        <v>0-HORLOSX</v>
      </c>
      <c r="AF550" s="1291" t="str">
        <f t="shared" si="444"/>
        <v>0-HORLOSX</v>
      </c>
      <c r="AG550" s="1291">
        <f t="shared" si="417"/>
        <v>8</v>
      </c>
      <c r="AH550" s="1291">
        <f>IF(B550&lt;&gt;"",+IF(H550="x",+VLOOKUP(I550,'AUX-NIV2'!B:AG,32,FALSE),0),"")</f>
        <v>8</v>
      </c>
      <c r="AI550" s="1291" t="str">
        <f t="shared" si="445"/>
        <v>0-HORLOS</v>
      </c>
      <c r="AK550" s="347">
        <f t="shared" si="418"/>
        <v>545</v>
      </c>
      <c r="AL550" s="348">
        <f t="shared" si="446"/>
        <v>552</v>
      </c>
      <c r="AM550" s="347">
        <f t="shared" si="447"/>
        <v>6</v>
      </c>
      <c r="AN550" s="382">
        <f>IF(AND(AH550&gt;0,B550&lt;&gt;""),VLOOKUP(I550,'AUX-NIV2'!$B:$AP,40,FALSE)*O550,0)</f>
        <v>11.25</v>
      </c>
      <c r="AO550" s="382">
        <f t="shared" si="419"/>
        <v>71.75333333333333</v>
      </c>
      <c r="AQ550" s="395">
        <f>(IF($H550="x",VLOOKUP($I550,'AUX-NIV2'!$B:$X,'AUX-NIV1'!AQ$3,FALSE),0)+($AV550*'AUX-NIV3'!S$4))*$O550+IF($H550=AQ$4,$P550,0)</f>
        <v>5500.498075153324</v>
      </c>
      <c r="AR550" s="395">
        <f>(IF($H550="x",VLOOKUP($I550,'AUX-NIV2'!$B:$X,'AUX-NIV1'!AR$3,FALSE),0)+($AV550*'AUX-NIV3'!T$4))*$O550+IF($H550=AR$4,$P550,0)</f>
        <v>0</v>
      </c>
      <c r="AS550" s="395">
        <f>(IF($H550="x",VLOOKUP($I550,'AUX-NIV2'!$B:$X,'AUX-NIV1'!AS$3,FALSE),0)+($AV550*'AUX-NIV3'!U$4))*$O550+IF($H550=AS$4,$P550,0)</f>
        <v>2206.6115702479342</v>
      </c>
      <c r="AT550" s="395">
        <f>(IF($H550="x",VLOOKUP($I550,'AUX-NIV2'!$B:$X,'AUX-NIV1'!AT$3,FALSE),0)+($AV550*'AUX-NIV3'!V$4))*$O550+IF($H550=AT$4,$P550,0)</f>
        <v>0</v>
      </c>
      <c r="AU550" s="395">
        <f>(IF($H550="x",VLOOKUP($I550,'AUX-NIV2'!$B:$X,'AUX-NIV1'!AU$3,FALSE),0)+($AV550*'AUX-NIV3'!W$4))*$O550+IF($H550=AU$4,$P550,0)</f>
        <v>0</v>
      </c>
      <c r="AV550" s="395">
        <f>+IF($H550="x",VLOOKUP($I550,'AUX-NIV2'!$B:$X,'AUX-NIV1'!AV$3,FALSE),0)</f>
        <v>0</v>
      </c>
    </row>
    <row r="551" spans="2:48" ht="13.8" hidden="1" thickTop="1">
      <c r="B551" s="501" t="s">
        <v>3704</v>
      </c>
      <c r="C551" s="951" t="s">
        <v>3708</v>
      </c>
      <c r="D551" s="1280" t="s">
        <v>1160</v>
      </c>
      <c r="E551" s="1281">
        <f>IF(B551&lt;&gt;"",+SUMIF(Items!C:C,'AUX-NIV1'!B551,Items!H:H),"")</f>
        <v>0</v>
      </c>
      <c r="F551" s="1281">
        <f t="shared" si="409"/>
        <v>77207.509274045384</v>
      </c>
      <c r="G551" s="1281">
        <f t="shared" si="410"/>
        <v>0</v>
      </c>
      <c r="H551" s="1395" t="str">
        <f t="shared" si="434"/>
        <v>X</v>
      </c>
      <c r="I551" s="1375" t="s">
        <v>2886</v>
      </c>
      <c r="J551" s="1283" t="str">
        <f>IF(B551&lt;&gt;"",+VLOOKUP(I551,Recursos!C:F,2,FALSE),"")</f>
        <v>Colocación de acero con grúa</v>
      </c>
      <c r="K551" s="1284" t="str">
        <f>IF(B551&lt;&gt;"",+VLOOKUP(I551,Recursos!C:F,3,FALSE),"")</f>
        <v>tn</v>
      </c>
      <c r="L551" s="1285">
        <f>IF(B551&lt;&gt;"",+VLOOKUP(I551,Recursos!C:F,4,FALSE),"")</f>
        <v>40888.822227420533</v>
      </c>
      <c r="M551" s="1338"/>
      <c r="N551" s="1339"/>
      <c r="O551" s="439">
        <f>(1-M550)*N548</f>
        <v>0</v>
      </c>
      <c r="P551" s="1287">
        <f t="shared" si="435"/>
        <v>0</v>
      </c>
      <c r="Q551" s="1281">
        <f t="shared" si="436"/>
        <v>0</v>
      </c>
      <c r="R551" s="1288">
        <f t="shared" si="437"/>
        <v>0</v>
      </c>
      <c r="S551" s="1289">
        <f t="shared" si="411"/>
        <v>0</v>
      </c>
      <c r="T551" s="1289">
        <f t="shared" si="412"/>
        <v>0</v>
      </c>
      <c r="U551" s="1290">
        <f t="shared" si="413"/>
        <v>34596.694214876028</v>
      </c>
      <c r="V551" s="1290">
        <f t="shared" si="414"/>
        <v>0</v>
      </c>
      <c r="W551" s="1290">
        <f t="shared" si="415"/>
        <v>0</v>
      </c>
      <c r="X551" s="1290">
        <f t="shared" si="416"/>
        <v>42610.815059169341</v>
      </c>
      <c r="Y551" s="396"/>
      <c r="Z551" s="1291" t="str">
        <f t="shared" si="438"/>
        <v>0-HORLOSA</v>
      </c>
      <c r="AA551" s="1291" t="str">
        <f t="shared" si="439"/>
        <v>0-HORLOSE</v>
      </c>
      <c r="AB551" s="1291" t="str">
        <f t="shared" si="440"/>
        <v>0-HORLOSM</v>
      </c>
      <c r="AC551" s="1291" t="str">
        <f t="shared" si="441"/>
        <v>0-HORLOST</v>
      </c>
      <c r="AD551" s="1291" t="str">
        <f t="shared" si="442"/>
        <v>0-HORLOSS</v>
      </c>
      <c r="AE551" s="1291" t="str">
        <f t="shared" si="443"/>
        <v>0-HORLOSX</v>
      </c>
      <c r="AF551" s="1291" t="str">
        <f t="shared" si="444"/>
        <v>0-HORLOSX</v>
      </c>
      <c r="AG551" s="1291">
        <f t="shared" si="417"/>
        <v>8</v>
      </c>
      <c r="AH551" s="1291">
        <f>IF(B551&lt;&gt;"",+IF(H551="x",+VLOOKUP(I551,'AUX-NIV2'!B:AG,32,FALSE),0),"")</f>
        <v>8</v>
      </c>
      <c r="AI551" s="1291" t="str">
        <f t="shared" si="445"/>
        <v>0-HORLOS</v>
      </c>
      <c r="AK551" s="347">
        <f t="shared" si="418"/>
        <v>545</v>
      </c>
      <c r="AL551" s="348">
        <f t="shared" si="446"/>
        <v>552</v>
      </c>
      <c r="AM551" s="347">
        <f t="shared" si="447"/>
        <v>7</v>
      </c>
      <c r="AN551" s="382">
        <f>IF(AND(AH551&gt;0,B551&lt;&gt;""),VLOOKUP(I551,'AUX-NIV2'!$B:$AP,40,FALSE)*O551,0)</f>
        <v>0</v>
      </c>
      <c r="AO551" s="382">
        <f t="shared" si="419"/>
        <v>71.75333333333333</v>
      </c>
      <c r="AQ551" s="395">
        <f>(IF($H551="x",VLOOKUP($I551,'AUX-NIV2'!$B:$X,'AUX-NIV1'!AQ$3,FALSE),0)+($AV551*'AUX-NIV3'!S$4))*$O551+IF($H551=AQ$4,$P551,0)</f>
        <v>0</v>
      </c>
      <c r="AR551" s="395">
        <f>(IF($H551="x",VLOOKUP($I551,'AUX-NIV2'!$B:$X,'AUX-NIV1'!AR$3,FALSE),0)+($AV551*'AUX-NIV3'!T$4))*$O551+IF($H551=AR$4,$P551,0)</f>
        <v>0</v>
      </c>
      <c r="AS551" s="395">
        <f>(IF($H551="x",VLOOKUP($I551,'AUX-NIV2'!$B:$X,'AUX-NIV1'!AS$3,FALSE),0)+($AV551*'AUX-NIV3'!U$4))*$O551+IF($H551=AS$4,$P551,0)</f>
        <v>0</v>
      </c>
      <c r="AT551" s="395">
        <f>(IF($H551="x",VLOOKUP($I551,'AUX-NIV2'!$B:$X,'AUX-NIV1'!AT$3,FALSE),0)+($AV551*'AUX-NIV3'!V$4))*$O551+IF($H551=AT$4,$P551,0)</f>
        <v>0</v>
      </c>
      <c r="AU551" s="395">
        <f>(IF($H551="x",VLOOKUP($I551,'AUX-NIV2'!$B:$X,'AUX-NIV1'!AU$3,FALSE),0)+($AV551*'AUX-NIV3'!W$4))*$O551+IF($H551=AU$4,$P551,0)</f>
        <v>0</v>
      </c>
      <c r="AV551" s="395">
        <f>+IF($H551="x",VLOOKUP($I551,'AUX-NIV2'!$B:$X,'AUX-NIV1'!AV$3,FALSE),0)</f>
        <v>0</v>
      </c>
    </row>
    <row r="552" spans="2:48" ht="14.4" hidden="1" thickTop="1" thickBot="1">
      <c r="B552" s="501" t="s">
        <v>3704</v>
      </c>
      <c r="C552" s="951" t="s">
        <v>3708</v>
      </c>
      <c r="D552" s="1280" t="s">
        <v>1160</v>
      </c>
      <c r="E552" s="1281">
        <f>IF(B552&lt;&gt;"",+SUMIF(Items!C:C,'AUX-NIV1'!B552,Items!H:H),"")</f>
        <v>0</v>
      </c>
      <c r="F552" s="1281">
        <f t="shared" si="409"/>
        <v>77207.509274045384</v>
      </c>
      <c r="G552" s="1281">
        <f t="shared" si="410"/>
        <v>0</v>
      </c>
      <c r="H552" s="1395" t="str">
        <f t="shared" si="434"/>
        <v>X</v>
      </c>
      <c r="I552" s="1375" t="s">
        <v>2871</v>
      </c>
      <c r="J552" s="1283" t="str">
        <f>IF(B552&lt;&gt;"",+VLOOKUP(I552,Recursos!C:F,2,FALSE),"")</f>
        <v>Encofrado para obras menores</v>
      </c>
      <c r="K552" s="1284" t="str">
        <f>IF(B552&lt;&gt;"",+VLOOKUP(I552,Recursos!C:F,3,FALSE),"")</f>
        <v>m2</v>
      </c>
      <c r="L552" s="1285">
        <f>IF(B552&lt;&gt;"",+VLOOKUP(I552,Recursos!C:F,4,FALSE),"")</f>
        <v>3798.3281004967002</v>
      </c>
      <c r="M552" s="1341"/>
      <c r="N552" s="1340">
        <f>1/0.15*1.1</f>
        <v>7.3333333333333339</v>
      </c>
      <c r="O552" s="1286">
        <f>N552</f>
        <v>7.3333333333333339</v>
      </c>
      <c r="P552" s="1287">
        <f t="shared" si="435"/>
        <v>27854.406070309138</v>
      </c>
      <c r="Q552" s="1281">
        <f t="shared" si="436"/>
        <v>0</v>
      </c>
      <c r="R552" s="1288">
        <f t="shared" si="437"/>
        <v>0</v>
      </c>
      <c r="S552" s="1289">
        <f t="shared" si="411"/>
        <v>0</v>
      </c>
      <c r="T552" s="1289">
        <f t="shared" si="412"/>
        <v>0</v>
      </c>
      <c r="U552" s="1290">
        <f t="shared" si="413"/>
        <v>34596.694214876028</v>
      </c>
      <c r="V552" s="1290">
        <f t="shared" si="414"/>
        <v>0</v>
      </c>
      <c r="W552" s="1290">
        <f t="shared" si="415"/>
        <v>0</v>
      </c>
      <c r="X552" s="1290">
        <f t="shared" si="416"/>
        <v>42610.815059169341</v>
      </c>
      <c r="Y552" s="396"/>
      <c r="Z552" s="1291" t="str">
        <f t="shared" si="438"/>
        <v>0-HORLOSA</v>
      </c>
      <c r="AA552" s="1291" t="str">
        <f t="shared" si="439"/>
        <v>0-HORLOSE</v>
      </c>
      <c r="AB552" s="1291" t="str">
        <f t="shared" si="440"/>
        <v>0-HORLOSM</v>
      </c>
      <c r="AC552" s="1291" t="str">
        <f t="shared" si="441"/>
        <v>0-HORLOST</v>
      </c>
      <c r="AD552" s="1291" t="str">
        <f t="shared" si="442"/>
        <v>0-HORLOSS</v>
      </c>
      <c r="AE552" s="1291" t="str">
        <f t="shared" si="443"/>
        <v>0-HORLOSX</v>
      </c>
      <c r="AF552" s="1291" t="str">
        <f t="shared" si="444"/>
        <v>0-HORLOSX</v>
      </c>
      <c r="AG552" s="1291">
        <f t="shared" si="417"/>
        <v>8</v>
      </c>
      <c r="AH552" s="1291">
        <f>IF(B552&lt;&gt;"",+IF(H552="x",+VLOOKUP(I552,'AUX-NIV2'!B:AG,32,FALSE),0),"")</f>
        <v>13</v>
      </c>
      <c r="AI552" s="1291" t="str">
        <f t="shared" si="445"/>
        <v>0-HORLOS</v>
      </c>
      <c r="AK552" s="347">
        <f t="shared" si="418"/>
        <v>545</v>
      </c>
      <c r="AL552" s="348">
        <f t="shared" si="446"/>
        <v>552</v>
      </c>
      <c r="AM552" s="347">
        <f t="shared" si="447"/>
        <v>8</v>
      </c>
      <c r="AN552" s="382">
        <f>IF(AND(AH552&gt;0,B552&lt;&gt;""),VLOOKUP(I552,'AUX-NIV2'!$B:$AP,40,FALSE)*O552,0)</f>
        <v>51.333333333333336</v>
      </c>
      <c r="AO552" s="382">
        <f t="shared" si="419"/>
        <v>71.75333333333333</v>
      </c>
      <c r="AQ552" s="395">
        <f>(IF($H552="x",VLOOKUP($I552,'AUX-NIV2'!$B:$X,'AUX-NIV1'!AQ$3,FALSE),0)+($AV552*'AUX-NIV3'!S$4))*$O552+IF($H552=AQ$4,$P552,0)</f>
        <v>24479.076110023674</v>
      </c>
      <c r="AR552" s="395">
        <f>(IF($H552="x",VLOOKUP($I552,'AUX-NIV2'!$B:$X,'AUX-NIV1'!AR$3,FALSE),0)+($AV552*'AUX-NIV3'!T$4))*$O552+IF($H552=AR$4,$P552,0)</f>
        <v>0</v>
      </c>
      <c r="AS552" s="395">
        <f>(IF($H552="x",VLOOKUP($I552,'AUX-NIV2'!$B:$X,'AUX-NIV1'!AS$3,FALSE),0)+($AV552*'AUX-NIV3'!U$4))*$O552+IF($H552=AS$4,$P552,0)</f>
        <v>3375.3299602854677</v>
      </c>
      <c r="AT552" s="395">
        <f>(IF($H552="x",VLOOKUP($I552,'AUX-NIV2'!$B:$X,'AUX-NIV1'!AT$3,FALSE),0)+($AV552*'AUX-NIV3'!V$4))*$O552+IF($H552=AT$4,$P552,0)</f>
        <v>0</v>
      </c>
      <c r="AU552" s="395">
        <f>(IF($H552="x",VLOOKUP($I552,'AUX-NIV2'!$B:$X,'AUX-NIV1'!AU$3,FALSE),0)+($AV552*'AUX-NIV3'!W$4))*$O552+IF($H552=AU$4,$P552,0)</f>
        <v>0</v>
      </c>
      <c r="AV552" s="395">
        <f>+IF($H552="x",VLOOKUP($I552,'AUX-NIV2'!$B:$X,'AUX-NIV1'!AV$3,FALSE),0)</f>
        <v>0</v>
      </c>
    </row>
    <row r="553" spans="2:48" ht="13.8" hidden="1" thickTop="1">
      <c r="B553" s="501" t="s">
        <v>4552</v>
      </c>
      <c r="C553" s="951" t="s">
        <v>4553</v>
      </c>
      <c r="D553" s="1280" t="s">
        <v>501</v>
      </c>
      <c r="E553" s="1281">
        <f>IF(B553&lt;&gt;"",+SUMIF(Items!C:C,'AUX-NIV1'!B553,Items!H:H),"")</f>
        <v>0</v>
      </c>
      <c r="F553" s="1281">
        <f t="shared" si="409"/>
        <v>6602.0375522664999</v>
      </c>
      <c r="G553" s="1281">
        <f t="shared" si="410"/>
        <v>0</v>
      </c>
      <c r="H553" s="1395" t="str">
        <f t="shared" si="434"/>
        <v>M</v>
      </c>
      <c r="I553" s="1375" t="s">
        <v>3695</v>
      </c>
      <c r="J553" s="1283" t="str">
        <f>IF(B553&lt;&gt;"",+VLOOKUP(I553,Recursos!C:F,2,FALSE),"")</f>
        <v>HORMIGON ELABORADO H21 TRANSPORTADO</v>
      </c>
      <c r="K553" s="1284" t="str">
        <f>IF(B553&lt;&gt;"",+VLOOKUP(I553,Recursos!C:F,3,FALSE),"")</f>
        <v>m3</v>
      </c>
      <c r="L553" s="1285">
        <f>IF(B553&lt;&gt;"",+VLOOKUP(I553,Recursos!C:F,4,FALSE),"")</f>
        <v>4400</v>
      </c>
      <c r="M553" s="743"/>
      <c r="N553" s="1292">
        <v>0.05</v>
      </c>
      <c r="O553" s="1286">
        <f>N553</f>
        <v>0.05</v>
      </c>
      <c r="P553" s="1287">
        <f t="shared" si="435"/>
        <v>220</v>
      </c>
      <c r="Q553" s="1281">
        <f t="shared" si="436"/>
        <v>0</v>
      </c>
      <c r="R553" s="1288">
        <f t="shared" si="437"/>
        <v>0</v>
      </c>
      <c r="S553" s="1289">
        <f t="shared" si="411"/>
        <v>91.939638208943066</v>
      </c>
      <c r="T553" s="1289">
        <f t="shared" si="412"/>
        <v>0</v>
      </c>
      <c r="U553" s="1290">
        <f t="shared" si="413"/>
        <v>5539.2378973144523</v>
      </c>
      <c r="V553" s="1290">
        <f t="shared" si="414"/>
        <v>0</v>
      </c>
      <c r="W553" s="1290">
        <f t="shared" si="415"/>
        <v>0</v>
      </c>
      <c r="X553" s="1290">
        <f t="shared" si="416"/>
        <v>970.86001674310353</v>
      </c>
      <c r="Y553" s="396"/>
      <c r="Z553" s="1291" t="str">
        <f t="shared" si="438"/>
        <v>0-LOSACERMA</v>
      </c>
      <c r="AA553" s="1291" t="str">
        <f t="shared" si="439"/>
        <v>0-LOSACERME</v>
      </c>
      <c r="AB553" s="1291" t="str">
        <f t="shared" si="440"/>
        <v>0-LOSACERMM</v>
      </c>
      <c r="AC553" s="1291" t="str">
        <f t="shared" si="441"/>
        <v>0-LOSACERMT</v>
      </c>
      <c r="AD553" s="1291" t="str">
        <f t="shared" si="442"/>
        <v>0-LOSACERMS</v>
      </c>
      <c r="AE553" s="1291" t="str">
        <f t="shared" si="443"/>
        <v>0-LOSACERMX</v>
      </c>
      <c r="AF553" s="1291" t="str">
        <f t="shared" si="444"/>
        <v>0-LOSACERMM</v>
      </c>
      <c r="AG553" s="1291">
        <f t="shared" si="417"/>
        <v>11</v>
      </c>
      <c r="AH553" s="1291">
        <f>IF(B553&lt;&gt;"",+IF(H553="x",+VLOOKUP(I553,'AUX-NIV2'!B:AG,32,FALSE),0),"")</f>
        <v>0</v>
      </c>
      <c r="AI553" s="1291" t="str">
        <f t="shared" si="445"/>
        <v>0-LOSACERM</v>
      </c>
      <c r="AK553" s="347">
        <f t="shared" si="418"/>
        <v>553</v>
      </c>
      <c r="AL553" s="348">
        <f t="shared" si="446"/>
        <v>563</v>
      </c>
      <c r="AM553" s="347">
        <f t="shared" si="447"/>
        <v>1</v>
      </c>
      <c r="AN553" s="382">
        <f>IF(AND(AH553&gt;0,B553&lt;&gt;""),VLOOKUP(I553,'AUX-NIV2'!$B:$AP,40,FALSE)*O553,0)</f>
        <v>0</v>
      </c>
      <c r="AO553" s="382">
        <f t="shared" si="419"/>
        <v>1.7866666666666668</v>
      </c>
      <c r="AQ553" s="395">
        <f>(IF($H553="x",VLOOKUP($I553,'AUX-NIV2'!$B:$X,'AUX-NIV1'!AQ$3,FALSE),0)+($AV553*'AUX-NIV3'!S$4))*$O553+IF($H553=AQ$4,$P553,0)</f>
        <v>0</v>
      </c>
      <c r="AR553" s="395">
        <f>(IF($H553="x",VLOOKUP($I553,'AUX-NIV2'!$B:$X,'AUX-NIV1'!AR$3,FALSE),0)+($AV553*'AUX-NIV3'!T$4))*$O553+IF($H553=AR$4,$P553,0)</f>
        <v>0</v>
      </c>
      <c r="AS553" s="395">
        <f>(IF($H553="x",VLOOKUP($I553,'AUX-NIV2'!$B:$X,'AUX-NIV1'!AS$3,FALSE),0)+($AV553*'AUX-NIV3'!U$4))*$O553+IF($H553=AS$4,$P553,0)</f>
        <v>220</v>
      </c>
      <c r="AT553" s="395">
        <f>(IF($H553="x",VLOOKUP($I553,'AUX-NIV2'!$B:$X,'AUX-NIV1'!AT$3,FALSE),0)+($AV553*'AUX-NIV3'!V$4))*$O553+IF($H553=AT$4,$P553,0)</f>
        <v>0</v>
      </c>
      <c r="AU553" s="395">
        <f>(IF($H553="x",VLOOKUP($I553,'AUX-NIV2'!$B:$X,'AUX-NIV1'!AU$3,FALSE),0)+($AV553*'AUX-NIV3'!W$4))*$O553+IF($H553=AU$4,$P553,0)</f>
        <v>0</v>
      </c>
      <c r="AV553" s="395">
        <f>+IF($H553="x",VLOOKUP($I553,'AUX-NIV2'!$B:$X,'AUX-NIV1'!AV$3,FALSE),0)</f>
        <v>0</v>
      </c>
    </row>
    <row r="554" spans="2:48" ht="13.8" hidden="1" thickTop="1">
      <c r="B554" s="501" t="s">
        <v>4552</v>
      </c>
      <c r="C554" s="951" t="s">
        <v>4553</v>
      </c>
      <c r="D554" s="1280" t="s">
        <v>501</v>
      </c>
      <c r="E554" s="1281">
        <f>IF(B554&lt;&gt;"",+SUMIF(Items!C:C,'AUX-NIV1'!B554,Items!H:H),"")</f>
        <v>0</v>
      </c>
      <c r="F554" s="1281">
        <f t="shared" si="409"/>
        <v>6602.0375522664999</v>
      </c>
      <c r="G554" s="1281">
        <f t="shared" si="410"/>
        <v>0</v>
      </c>
      <c r="H554" s="1395" t="str">
        <f t="shared" si="434"/>
        <v>X</v>
      </c>
      <c r="I554" s="1375" t="s">
        <v>2865</v>
      </c>
      <c r="J554" s="1283" t="str">
        <f>IF(B554&lt;&gt;"",+VLOOKUP(I554,Recursos!C:F,2,FALSE),"")</f>
        <v>Colado Hormigón desde Mixer</v>
      </c>
      <c r="K554" s="1284" t="str">
        <f>IF(B554&lt;&gt;"",+VLOOKUP(I554,Recursos!C:F,3,FALSE),"")</f>
        <v>m3</v>
      </c>
      <c r="L554" s="1285">
        <f>IF(B554&lt;&gt;"",+VLOOKUP(I554,Recursos!C:F,4,FALSE),"")</f>
        <v>1031.7487777591643</v>
      </c>
      <c r="M554" s="1336">
        <v>0</v>
      </c>
      <c r="N554" s="1343"/>
      <c r="O554" s="1286">
        <f>N553*M554</f>
        <v>0</v>
      </c>
      <c r="P554" s="1287">
        <f t="shared" si="435"/>
        <v>0</v>
      </c>
      <c r="Q554" s="1281">
        <f t="shared" si="436"/>
        <v>0</v>
      </c>
      <c r="R554" s="1288">
        <f t="shared" si="437"/>
        <v>0</v>
      </c>
      <c r="S554" s="1289">
        <f t="shared" si="411"/>
        <v>91.939638208943066</v>
      </c>
      <c r="T554" s="1289">
        <f t="shared" si="412"/>
        <v>0</v>
      </c>
      <c r="U554" s="1290">
        <f t="shared" si="413"/>
        <v>5539.2378973144523</v>
      </c>
      <c r="V554" s="1290">
        <f t="shared" si="414"/>
        <v>0</v>
      </c>
      <c r="W554" s="1290">
        <f t="shared" si="415"/>
        <v>0</v>
      </c>
      <c r="X554" s="1290">
        <f t="shared" si="416"/>
        <v>970.86001674310353</v>
      </c>
      <c r="Y554" s="396"/>
      <c r="Z554" s="1291" t="str">
        <f t="shared" si="438"/>
        <v>0-LOSACERMA</v>
      </c>
      <c r="AA554" s="1291" t="str">
        <f t="shared" si="439"/>
        <v>0-LOSACERME</v>
      </c>
      <c r="AB554" s="1291" t="str">
        <f t="shared" si="440"/>
        <v>0-LOSACERMM</v>
      </c>
      <c r="AC554" s="1291" t="str">
        <f t="shared" si="441"/>
        <v>0-LOSACERMT</v>
      </c>
      <c r="AD554" s="1291" t="str">
        <f t="shared" si="442"/>
        <v>0-LOSACERMS</v>
      </c>
      <c r="AE554" s="1291" t="str">
        <f t="shared" si="443"/>
        <v>0-LOSACERMX</v>
      </c>
      <c r="AF554" s="1291" t="str">
        <f t="shared" si="444"/>
        <v>0-LOSACERMX</v>
      </c>
      <c r="AG554" s="1291">
        <f t="shared" si="417"/>
        <v>11</v>
      </c>
      <c r="AH554" s="1291">
        <f>IF(B554&lt;&gt;"",+IF(H554="x",+VLOOKUP(I554,'AUX-NIV2'!B:AG,32,FALSE),0),"")</f>
        <v>8</v>
      </c>
      <c r="AI554" s="1291" t="str">
        <f t="shared" si="445"/>
        <v>0-LOSACERM</v>
      </c>
      <c r="AK554" s="347">
        <f t="shared" si="418"/>
        <v>553</v>
      </c>
      <c r="AL554" s="348">
        <f t="shared" si="446"/>
        <v>563</v>
      </c>
      <c r="AM554" s="347">
        <f t="shared" si="447"/>
        <v>2</v>
      </c>
      <c r="AN554" s="382">
        <f>IF(AND(AH554&gt;0,B554&lt;&gt;""),VLOOKUP(I554,'AUX-NIV2'!$B:$AP,40,FALSE)*O554,0)</f>
        <v>0</v>
      </c>
      <c r="AO554" s="382">
        <f t="shared" si="419"/>
        <v>1.7866666666666668</v>
      </c>
      <c r="AQ554" s="395">
        <f>(IF($H554="x",VLOOKUP($I554,'AUX-NIV2'!$B:$X,'AUX-NIV1'!AQ$3,FALSE),0)+($AV554*'AUX-NIV3'!S$4))*$O554+IF($H554=AQ$4,$P554,0)</f>
        <v>0</v>
      </c>
      <c r="AR554" s="395">
        <f>(IF($H554="x",VLOOKUP($I554,'AUX-NIV2'!$B:$X,'AUX-NIV1'!AR$3,FALSE),0)+($AV554*'AUX-NIV3'!T$4))*$O554+IF($H554=AR$4,$P554,0)</f>
        <v>0</v>
      </c>
      <c r="AS554" s="395">
        <f>(IF($H554="x",VLOOKUP($I554,'AUX-NIV2'!$B:$X,'AUX-NIV1'!AS$3,FALSE),0)+($AV554*'AUX-NIV3'!U$4))*$O554+IF($H554=AS$4,$P554,0)</f>
        <v>0</v>
      </c>
      <c r="AT554" s="395">
        <f>(IF($H554="x",VLOOKUP($I554,'AUX-NIV2'!$B:$X,'AUX-NIV1'!AT$3,FALSE),0)+($AV554*'AUX-NIV3'!V$4))*$O554+IF($H554=AT$4,$P554,0)</f>
        <v>0</v>
      </c>
      <c r="AU554" s="395">
        <f>(IF($H554="x",VLOOKUP($I554,'AUX-NIV2'!$B:$X,'AUX-NIV1'!AU$3,FALSE),0)+($AV554*'AUX-NIV3'!W$4))*$O554+IF($H554=AU$4,$P554,0)</f>
        <v>0</v>
      </c>
      <c r="AV554" s="395">
        <f>+IF($H554="x",VLOOKUP($I554,'AUX-NIV2'!$B:$X,'AUX-NIV1'!AV$3,FALSE),0)</f>
        <v>0</v>
      </c>
    </row>
    <row r="555" spans="2:48" ht="13.8" hidden="1" thickTop="1">
      <c r="B555" s="501" t="s">
        <v>4552</v>
      </c>
      <c r="C555" s="951" t="s">
        <v>4553</v>
      </c>
      <c r="D555" s="1280" t="s">
        <v>501</v>
      </c>
      <c r="E555" s="1281">
        <f>IF(B555&lt;&gt;"",+SUMIF(Items!C:C,'AUX-NIV1'!B555,Items!H:H),"")</f>
        <v>0</v>
      </c>
      <c r="F555" s="1281">
        <f t="shared" si="409"/>
        <v>6602.0375522664999</v>
      </c>
      <c r="G555" s="1281">
        <f t="shared" si="410"/>
        <v>0</v>
      </c>
      <c r="H555" s="1395" t="str">
        <f t="shared" ref="H555:H562" si="448">IF(B555&lt;&gt;"",+LEFT(I555,1),"")</f>
        <v>X</v>
      </c>
      <c r="I555" s="1375" t="s">
        <v>2897</v>
      </c>
      <c r="J555" s="1283" t="str">
        <f>IF(B555&lt;&gt;"",+VLOOKUP(I555,Recursos!C:F,2,FALSE),"")</f>
        <v>Colado de hgón con bomba</v>
      </c>
      <c r="K555" s="1284" t="str">
        <f>IF(B555&lt;&gt;"",+VLOOKUP(I555,Recursos!C:F,3,FALSE),"")</f>
        <v>m3</v>
      </c>
      <c r="L555" s="1285">
        <f>IF(B555&lt;&gt;"",+VLOOKUP(I555,Recursos!C:F,4,FALSE),"")</f>
        <v>4223.8879328752682</v>
      </c>
      <c r="M555" s="1342">
        <v>1</v>
      </c>
      <c r="N555" s="1343"/>
      <c r="O555" s="1286">
        <f>N553*(1-M554)</f>
        <v>0.05</v>
      </c>
      <c r="P555" s="1287">
        <f t="shared" ref="P555:P562" si="449">IF(B555&lt;&gt;"",O555*L555,"")</f>
        <v>211.19439664376341</v>
      </c>
      <c r="Q555" s="1281">
        <f t="shared" ref="Q555:Q562" si="450">IF(B555&lt;&gt;"",+O555*E555,"")</f>
        <v>0</v>
      </c>
      <c r="R555" s="1288">
        <f t="shared" ref="R555:R562" si="451">IF(B555&lt;&gt;"",Q555*L555,"")</f>
        <v>0</v>
      </c>
      <c r="S555" s="1289">
        <f t="shared" si="411"/>
        <v>91.939638208943066</v>
      </c>
      <c r="T555" s="1289">
        <f t="shared" si="412"/>
        <v>0</v>
      </c>
      <c r="U555" s="1290">
        <f t="shared" si="413"/>
        <v>5539.2378973144523</v>
      </c>
      <c r="V555" s="1290">
        <f t="shared" si="414"/>
        <v>0</v>
      </c>
      <c r="W555" s="1290">
        <f t="shared" si="415"/>
        <v>0</v>
      </c>
      <c r="X555" s="1290">
        <f t="shared" si="416"/>
        <v>970.86001674310353</v>
      </c>
      <c r="Y555" s="396"/>
      <c r="Z555" s="1291" t="str">
        <f t="shared" ref="Z555:Z562" si="452">IF(B555&lt;&gt;"",+$B555&amp;"A","")</f>
        <v>0-LOSACERMA</v>
      </c>
      <c r="AA555" s="1291" t="str">
        <f t="shared" ref="AA555:AA562" si="453">IF(B555&lt;&gt;"",+$B555&amp;"E","")</f>
        <v>0-LOSACERME</v>
      </c>
      <c r="AB555" s="1291" t="str">
        <f t="shared" ref="AB555:AB562" si="454">IF(B555&lt;&gt;"",++$B555&amp;"M","")</f>
        <v>0-LOSACERMM</v>
      </c>
      <c r="AC555" s="1291" t="str">
        <f t="shared" ref="AC555:AC562" si="455">IF(B555&lt;&gt;"",+$B555&amp;"T","")</f>
        <v>0-LOSACERMT</v>
      </c>
      <c r="AD555" s="1291" t="str">
        <f t="shared" ref="AD555:AD562" si="456">IF(B555&lt;&gt;"",+$B555&amp;"S","")</f>
        <v>0-LOSACERMS</v>
      </c>
      <c r="AE555" s="1291" t="str">
        <f t="shared" ref="AE555:AE562" si="457">IF(B555&lt;&gt;"",+$B555&amp;"X","")</f>
        <v>0-LOSACERMX</v>
      </c>
      <c r="AF555" s="1291" t="str">
        <f t="shared" ref="AF555:AF562" si="458">IF(B555&lt;&gt;"",+B555&amp;H555,"")</f>
        <v>0-LOSACERMX</v>
      </c>
      <c r="AG555" s="1291">
        <f t="shared" si="417"/>
        <v>11</v>
      </c>
      <c r="AH555" s="1291">
        <f>IF(B555&lt;&gt;"",+IF(H555="x",+VLOOKUP(I555,'AUX-NIV2'!B:AG,32,FALSE),0),"")</f>
        <v>10</v>
      </c>
      <c r="AI555" s="1291" t="str">
        <f t="shared" ref="AI555:AI562" si="459">IF(B555&lt;&gt;"",+B555,"")</f>
        <v>0-LOSACERM</v>
      </c>
      <c r="AK555" s="347">
        <f t="shared" si="418"/>
        <v>553</v>
      </c>
      <c r="AL555" s="348">
        <f t="shared" ref="AL555:AL562" si="460">IF(B555&lt;&gt;"",+AK555+AG555-1,"")</f>
        <v>563</v>
      </c>
      <c r="AM555" s="347">
        <f t="shared" ref="AM555:AM560" si="461">IF(B555&lt;&gt;"",IF(B555=B554,1+AM554,1),"")</f>
        <v>3</v>
      </c>
      <c r="AN555" s="382">
        <f>IF(AND(AH555&gt;0,B555&lt;&gt;""),VLOOKUP(I555,'AUX-NIV2'!$B:$AP,40,FALSE)*O555,0)</f>
        <v>0.18666666666666665</v>
      </c>
      <c r="AO555" s="382">
        <f t="shared" si="419"/>
        <v>1.7866666666666668</v>
      </c>
      <c r="AQ555" s="395">
        <f>(IF($H555="x",VLOOKUP($I555,'AUX-NIV2'!$B:$X,'AUX-NIV1'!AQ$3,FALSE),0)+($AV555*'AUX-NIV3'!S$4))*$O555+IF($H555=AQ$4,$P555,0)</f>
        <v>90.16861269931897</v>
      </c>
      <c r="AR555" s="395">
        <f>(IF($H555="x",VLOOKUP($I555,'AUX-NIV2'!$B:$X,'AUX-NIV1'!AR$3,FALSE),0)+($AV555*'AUX-NIV3'!T$4))*$O555+IF($H555=AR$4,$P555,0)</f>
        <v>121.02578394444446</v>
      </c>
      <c r="AS555" s="395">
        <f>(IF($H555="x",VLOOKUP($I555,'AUX-NIV2'!$B:$X,'AUX-NIV1'!AS$3,FALSE),0)+($AV555*'AUX-NIV3'!U$4))*$O555+IF($H555=AS$4,$P555,0)</f>
        <v>0</v>
      </c>
      <c r="AT555" s="395">
        <f>(IF($H555="x",VLOOKUP($I555,'AUX-NIV2'!$B:$X,'AUX-NIV1'!AT$3,FALSE),0)+($AV555*'AUX-NIV3'!V$4))*$O555+IF($H555=AT$4,$P555,0)</f>
        <v>0</v>
      </c>
      <c r="AU555" s="395">
        <f>(IF($H555="x",VLOOKUP($I555,'AUX-NIV2'!$B:$X,'AUX-NIV1'!AU$3,FALSE),0)+($AV555*'AUX-NIV3'!W$4))*$O555+IF($H555=AU$4,$P555,0)</f>
        <v>0</v>
      </c>
      <c r="AV555" s="395">
        <f>+IF($H555="x",VLOOKUP($I555,'AUX-NIV2'!$B:$X,'AUX-NIV1'!AV$3,FALSE),0)</f>
        <v>0</v>
      </c>
    </row>
    <row r="556" spans="2:48" ht="13.8" hidden="1" thickTop="1">
      <c r="B556" s="501" t="s">
        <v>4552</v>
      </c>
      <c r="C556" s="951" t="s">
        <v>4553</v>
      </c>
      <c r="D556" s="1280" t="s">
        <v>501</v>
      </c>
      <c r="E556" s="1281">
        <f>IF(B556&lt;&gt;"",+SUMIF(Items!C:C,'AUX-NIV1'!B556,Items!H:H),"")</f>
        <v>0</v>
      </c>
      <c r="F556" s="1281">
        <f t="shared" si="409"/>
        <v>6602.0375522664999</v>
      </c>
      <c r="G556" s="1281">
        <f t="shared" si="410"/>
        <v>0</v>
      </c>
      <c r="H556" s="1395" t="str">
        <f t="shared" si="448"/>
        <v>M</v>
      </c>
      <c r="I556" s="1375" t="s">
        <v>4558</v>
      </c>
      <c r="J556" s="1283" t="str">
        <f>IF(B556&lt;&gt;"",+VLOOKUP(I556,Recursos!C:F,2,FALSE),"")</f>
        <v>MALLA SIMA 6mm 20x20</v>
      </c>
      <c r="K556" s="1284" t="str">
        <f>IF(B556&lt;&gt;"",+VLOOKUP(I556,Recursos!C:F,3,FALSE),"")</f>
        <v>m2</v>
      </c>
      <c r="L556" s="1285">
        <f>IF(B556&lt;&gt;"",+VLOOKUP(I556,Recursos!C:F,4,FALSE),"")</f>
        <v>516.94214876033061</v>
      </c>
      <c r="M556" s="441">
        <v>1</v>
      </c>
      <c r="N556" s="497">
        <v>1</v>
      </c>
      <c r="O556" s="439">
        <f>N556*M556</f>
        <v>1</v>
      </c>
      <c r="P556" s="1287">
        <f t="shared" si="449"/>
        <v>516.94214876033061</v>
      </c>
      <c r="Q556" s="1281">
        <f t="shared" si="450"/>
        <v>0</v>
      </c>
      <c r="R556" s="1288">
        <f t="shared" si="451"/>
        <v>0</v>
      </c>
      <c r="S556" s="1289">
        <f t="shared" si="411"/>
        <v>91.939638208943066</v>
      </c>
      <c r="T556" s="1289">
        <f t="shared" si="412"/>
        <v>0</v>
      </c>
      <c r="U556" s="1290">
        <f t="shared" si="413"/>
        <v>5539.2378973144523</v>
      </c>
      <c r="V556" s="1290">
        <f t="shared" si="414"/>
        <v>0</v>
      </c>
      <c r="W556" s="1290">
        <f t="shared" si="415"/>
        <v>0</v>
      </c>
      <c r="X556" s="1290">
        <f t="shared" si="416"/>
        <v>970.86001674310353</v>
      </c>
      <c r="Y556" s="396"/>
      <c r="Z556" s="1291" t="str">
        <f t="shared" si="452"/>
        <v>0-LOSACERMA</v>
      </c>
      <c r="AA556" s="1291" t="str">
        <f t="shared" si="453"/>
        <v>0-LOSACERME</v>
      </c>
      <c r="AB556" s="1291" t="str">
        <f t="shared" si="454"/>
        <v>0-LOSACERMM</v>
      </c>
      <c r="AC556" s="1291" t="str">
        <f t="shared" si="455"/>
        <v>0-LOSACERMT</v>
      </c>
      <c r="AD556" s="1291" t="str">
        <f t="shared" si="456"/>
        <v>0-LOSACERMS</v>
      </c>
      <c r="AE556" s="1291" t="str">
        <f t="shared" si="457"/>
        <v>0-LOSACERMX</v>
      </c>
      <c r="AF556" s="1291" t="str">
        <f t="shared" si="458"/>
        <v>0-LOSACERMM</v>
      </c>
      <c r="AG556" s="1291">
        <f t="shared" si="417"/>
        <v>11</v>
      </c>
      <c r="AH556" s="1291">
        <f>IF(B556&lt;&gt;"",+IF(H556="x",+VLOOKUP(I556,'AUX-NIV2'!B:AG,32,FALSE),0),"")</f>
        <v>0</v>
      </c>
      <c r="AI556" s="1291" t="str">
        <f t="shared" si="459"/>
        <v>0-LOSACERM</v>
      </c>
      <c r="AK556" s="347">
        <f t="shared" si="418"/>
        <v>553</v>
      </c>
      <c r="AL556" s="348">
        <f t="shared" si="460"/>
        <v>563</v>
      </c>
      <c r="AM556" s="347">
        <f t="shared" si="461"/>
        <v>4</v>
      </c>
      <c r="AN556" s="382">
        <f>IF(AND(AH556&gt;0,B556&lt;&gt;""),VLOOKUP(I556,'AUX-NIV2'!$B:$AP,40,FALSE)*O556,0)</f>
        <v>0</v>
      </c>
      <c r="AO556" s="382">
        <f t="shared" si="419"/>
        <v>1.7866666666666668</v>
      </c>
      <c r="AQ556" s="395">
        <f>(IF($H556="x",VLOOKUP($I556,'AUX-NIV2'!$B:$X,'AUX-NIV1'!AQ$3,FALSE),0)+($AV556*'AUX-NIV3'!S$4))*$O556+IF($H556=AQ$4,$P556,0)</f>
        <v>0</v>
      </c>
      <c r="AR556" s="395">
        <f>(IF($H556="x",VLOOKUP($I556,'AUX-NIV2'!$B:$X,'AUX-NIV1'!AR$3,FALSE),0)+($AV556*'AUX-NIV3'!T$4))*$O556+IF($H556=AR$4,$P556,0)</f>
        <v>0</v>
      </c>
      <c r="AS556" s="395">
        <f>(IF($H556="x",VLOOKUP($I556,'AUX-NIV2'!$B:$X,'AUX-NIV1'!AS$3,FALSE),0)+($AV556*'AUX-NIV3'!U$4))*$O556+IF($H556=AS$4,$P556,0)</f>
        <v>516.94214876033061</v>
      </c>
      <c r="AT556" s="395">
        <f>(IF($H556="x",VLOOKUP($I556,'AUX-NIV2'!$B:$X,'AUX-NIV1'!AT$3,FALSE),0)+($AV556*'AUX-NIV3'!V$4))*$O556+IF($H556=AT$4,$P556,0)</f>
        <v>0</v>
      </c>
      <c r="AU556" s="395">
        <f>(IF($H556="x",VLOOKUP($I556,'AUX-NIV2'!$B:$X,'AUX-NIV1'!AU$3,FALSE),0)+($AV556*'AUX-NIV3'!W$4))*$O556+IF($H556=AU$4,$P556,0)</f>
        <v>0</v>
      </c>
      <c r="AV556" s="395">
        <f>+IF($H556="x",VLOOKUP($I556,'AUX-NIV2'!$B:$X,'AUX-NIV1'!AV$3,FALSE),0)</f>
        <v>0</v>
      </c>
    </row>
    <row r="557" spans="2:48" ht="13.8" hidden="1" thickTop="1">
      <c r="B557" s="501" t="s">
        <v>4552</v>
      </c>
      <c r="C557" s="951" t="s">
        <v>4553</v>
      </c>
      <c r="D557" s="1280" t="s">
        <v>501</v>
      </c>
      <c r="E557" s="1281">
        <f>IF(B557&lt;&gt;"",+SUMIF(Items!C:C,'AUX-NIV1'!B557,Items!H:H),"")</f>
        <v>0</v>
      </c>
      <c r="F557" s="1281">
        <f t="shared" si="409"/>
        <v>6602.0375522664999</v>
      </c>
      <c r="G557" s="1281">
        <f t="shared" si="410"/>
        <v>0</v>
      </c>
      <c r="H557" s="1395" t="str">
        <f t="shared" si="448"/>
        <v>M</v>
      </c>
      <c r="I557" s="1375" t="s">
        <v>4554</v>
      </c>
      <c r="J557" s="1283" t="str">
        <f>IF(B557&lt;&gt;"",+VLOOKUP(I557,Recursos!C:F,2,FALSE),"")</f>
        <v>Vigueta tipo PREAR</v>
      </c>
      <c r="K557" s="1284" t="str">
        <f>IF(B557&lt;&gt;"",+VLOOKUP(I557,Recursos!C:F,3,FALSE),"")</f>
        <v>kg</v>
      </c>
      <c r="L557" s="1285">
        <f>IF(B557&lt;&gt;"",+VLOOKUP(I557,Recursos!C:F,4,FALSE),"")</f>
        <v>696.35751453933267</v>
      </c>
      <c r="M557" s="441">
        <v>2</v>
      </c>
      <c r="N557" s="1329">
        <v>0.38</v>
      </c>
      <c r="O557" s="439">
        <f>M557/N557</f>
        <v>5.2631578947368425</v>
      </c>
      <c r="P557" s="1287">
        <f t="shared" si="449"/>
        <v>3665.0395502070141</v>
      </c>
      <c r="Q557" s="1281">
        <f t="shared" si="450"/>
        <v>0</v>
      </c>
      <c r="R557" s="1288">
        <f t="shared" si="451"/>
        <v>0</v>
      </c>
      <c r="S557" s="1289">
        <f t="shared" si="411"/>
        <v>91.939638208943066</v>
      </c>
      <c r="T557" s="1289">
        <f t="shared" si="412"/>
        <v>0</v>
      </c>
      <c r="U557" s="1290">
        <f t="shared" si="413"/>
        <v>5539.2378973144523</v>
      </c>
      <c r="V557" s="1290">
        <f t="shared" si="414"/>
        <v>0</v>
      </c>
      <c r="W557" s="1290">
        <f t="shared" si="415"/>
        <v>0</v>
      </c>
      <c r="X557" s="1290">
        <f t="shared" si="416"/>
        <v>970.86001674310353</v>
      </c>
      <c r="Y557" s="396"/>
      <c r="Z557" s="1291" t="str">
        <f t="shared" si="452"/>
        <v>0-LOSACERMA</v>
      </c>
      <c r="AA557" s="1291" t="str">
        <f t="shared" si="453"/>
        <v>0-LOSACERME</v>
      </c>
      <c r="AB557" s="1291" t="str">
        <f t="shared" si="454"/>
        <v>0-LOSACERMM</v>
      </c>
      <c r="AC557" s="1291" t="str">
        <f t="shared" si="455"/>
        <v>0-LOSACERMT</v>
      </c>
      <c r="AD557" s="1291" t="str">
        <f t="shared" si="456"/>
        <v>0-LOSACERMS</v>
      </c>
      <c r="AE557" s="1291" t="str">
        <f t="shared" si="457"/>
        <v>0-LOSACERMX</v>
      </c>
      <c r="AF557" s="1291" t="str">
        <f t="shared" si="458"/>
        <v>0-LOSACERMM</v>
      </c>
      <c r="AG557" s="1291">
        <f t="shared" si="417"/>
        <v>11</v>
      </c>
      <c r="AH557" s="1291">
        <f>IF(B557&lt;&gt;"",+IF(H557="x",+VLOOKUP(I557,'AUX-NIV2'!B:AG,32,FALSE),0),"")</f>
        <v>0</v>
      </c>
      <c r="AI557" s="1291" t="str">
        <f t="shared" si="459"/>
        <v>0-LOSACERM</v>
      </c>
      <c r="AK557" s="347">
        <f t="shared" si="418"/>
        <v>553</v>
      </c>
      <c r="AL557" s="348">
        <f t="shared" si="460"/>
        <v>563</v>
      </c>
      <c r="AM557" s="347">
        <f t="shared" si="461"/>
        <v>5</v>
      </c>
      <c r="AN557" s="382">
        <f>IF(AND(AH557&gt;0,B557&lt;&gt;""),VLOOKUP(I557,'AUX-NIV2'!$B:$AP,40,FALSE)*O557,0)</f>
        <v>0</v>
      </c>
      <c r="AO557" s="382">
        <f t="shared" si="419"/>
        <v>1.7866666666666668</v>
      </c>
      <c r="AQ557" s="395">
        <f>(IF($H557="x",VLOOKUP($I557,'AUX-NIV2'!$B:$X,'AUX-NIV1'!AQ$3,FALSE),0)+($AV557*'AUX-NIV3'!S$4))*$O557+IF($H557=AQ$4,$P557,0)</f>
        <v>0</v>
      </c>
      <c r="AR557" s="395">
        <f>(IF($H557="x",VLOOKUP($I557,'AUX-NIV2'!$B:$X,'AUX-NIV1'!AR$3,FALSE),0)+($AV557*'AUX-NIV3'!T$4))*$O557+IF($H557=AR$4,$P557,0)</f>
        <v>0</v>
      </c>
      <c r="AS557" s="395">
        <f>(IF($H557="x",VLOOKUP($I557,'AUX-NIV2'!$B:$X,'AUX-NIV1'!AS$3,FALSE),0)+($AV557*'AUX-NIV3'!U$4))*$O557+IF($H557=AS$4,$P557,0)</f>
        <v>3665.0395502070141</v>
      </c>
      <c r="AT557" s="395">
        <f>(IF($H557="x",VLOOKUP($I557,'AUX-NIV2'!$B:$X,'AUX-NIV1'!AT$3,FALSE),0)+($AV557*'AUX-NIV3'!V$4))*$O557+IF($H557=AT$4,$P557,0)</f>
        <v>0</v>
      </c>
      <c r="AU557" s="395">
        <f>(IF($H557="x",VLOOKUP($I557,'AUX-NIV2'!$B:$X,'AUX-NIV1'!AU$3,FALSE),0)+($AV557*'AUX-NIV3'!W$4))*$O557+IF($H557=AU$4,$P557,0)</f>
        <v>0</v>
      </c>
      <c r="AV557" s="395">
        <f>+IF($H557="x",VLOOKUP($I557,'AUX-NIV2'!$B:$X,'AUX-NIV1'!AV$3,FALSE),0)</f>
        <v>0</v>
      </c>
    </row>
    <row r="558" spans="2:48" ht="13.8" hidden="1" thickTop="1">
      <c r="B558" s="501" t="s">
        <v>4552</v>
      </c>
      <c r="C558" s="951" t="s">
        <v>4553</v>
      </c>
      <c r="D558" s="1280" t="s">
        <v>501</v>
      </c>
      <c r="E558" s="1281">
        <f>IF(B558&lt;&gt;"",+SUMIF(Items!C:C,'AUX-NIV1'!B558,Items!H:H),"")</f>
        <v>0</v>
      </c>
      <c r="F558" s="1302">
        <f t="shared" si="409"/>
        <v>6602.0375522664999</v>
      </c>
      <c r="G558" s="1281">
        <f t="shared" si="410"/>
        <v>0</v>
      </c>
      <c r="H558" s="1395" t="str">
        <f t="shared" si="448"/>
        <v>M</v>
      </c>
      <c r="I558" s="1375" t="s">
        <v>4555</v>
      </c>
      <c r="J558" s="1283" t="str">
        <f>IF(B558&lt;&gt;"",+VLOOKUP(I558,Recursos!C:F,2,FALSE),"")</f>
        <v>Loseta Cerámica 11x25x38cm</v>
      </c>
      <c r="K558" s="1284" t="str">
        <f>IF(B558&lt;&gt;"",+VLOOKUP(I558,Recursos!C:F,3,FALSE),"")</f>
        <v>kg</v>
      </c>
      <c r="L558" s="1285">
        <f>IF(B558&lt;&gt;"",+VLOOKUP(I558,Recursos!C:F,4,FALSE),"")</f>
        <v>106</v>
      </c>
      <c r="M558" s="441">
        <v>1</v>
      </c>
      <c r="N558" s="1329">
        <v>8</v>
      </c>
      <c r="O558" s="439">
        <f>M558*N558</f>
        <v>8</v>
      </c>
      <c r="P558" s="1287">
        <f t="shared" si="449"/>
        <v>848</v>
      </c>
      <c r="Q558" s="1281">
        <f t="shared" si="450"/>
        <v>0</v>
      </c>
      <c r="R558" s="1288">
        <f t="shared" si="451"/>
        <v>0</v>
      </c>
      <c r="S558" s="1289">
        <f t="shared" si="411"/>
        <v>91.939638208943066</v>
      </c>
      <c r="T558" s="1289">
        <f t="shared" si="412"/>
        <v>0</v>
      </c>
      <c r="U558" s="1290">
        <f t="shared" si="413"/>
        <v>5539.2378973144523</v>
      </c>
      <c r="V558" s="1290">
        <f t="shared" si="414"/>
        <v>0</v>
      </c>
      <c r="W558" s="1290">
        <f t="shared" si="415"/>
        <v>0</v>
      </c>
      <c r="X558" s="1290">
        <f t="shared" si="416"/>
        <v>970.86001674310353</v>
      </c>
      <c r="Y558" s="396"/>
      <c r="Z558" s="1291" t="str">
        <f t="shared" si="452"/>
        <v>0-LOSACERMA</v>
      </c>
      <c r="AA558" s="1291" t="str">
        <f t="shared" si="453"/>
        <v>0-LOSACERME</v>
      </c>
      <c r="AB558" s="1291" t="str">
        <f t="shared" si="454"/>
        <v>0-LOSACERMM</v>
      </c>
      <c r="AC558" s="1291" t="str">
        <f t="shared" si="455"/>
        <v>0-LOSACERMT</v>
      </c>
      <c r="AD558" s="1291" t="str">
        <f t="shared" si="456"/>
        <v>0-LOSACERMS</v>
      </c>
      <c r="AE558" s="1291" t="str">
        <f t="shared" si="457"/>
        <v>0-LOSACERMX</v>
      </c>
      <c r="AF558" s="1291" t="str">
        <f t="shared" si="458"/>
        <v>0-LOSACERMM</v>
      </c>
      <c r="AG558" s="1291">
        <f t="shared" si="417"/>
        <v>11</v>
      </c>
      <c r="AH558" s="1291">
        <f>IF(B558&lt;&gt;"",+IF(H558="x",+VLOOKUP(I558,'AUX-NIV2'!B:AG,32,FALSE),0),"")</f>
        <v>0</v>
      </c>
      <c r="AI558" s="1291" t="str">
        <f t="shared" si="459"/>
        <v>0-LOSACERM</v>
      </c>
      <c r="AK558" s="347">
        <f t="shared" si="418"/>
        <v>553</v>
      </c>
      <c r="AL558" s="348">
        <f t="shared" si="460"/>
        <v>563</v>
      </c>
      <c r="AM558" s="347">
        <f t="shared" si="461"/>
        <v>6</v>
      </c>
      <c r="AN558" s="382">
        <f>IF(AND(AH558&gt;0,B558&lt;&gt;""),VLOOKUP(I558,'AUX-NIV2'!$B:$AP,40,FALSE)*O558,0)</f>
        <v>0</v>
      </c>
      <c r="AO558" s="382">
        <f t="shared" si="419"/>
        <v>1.7866666666666668</v>
      </c>
      <c r="AQ558" s="395">
        <f>(IF($H558="x",VLOOKUP($I558,'AUX-NIV2'!$B:$X,'AUX-NIV1'!AQ$3,FALSE),0)+($AV558*'AUX-NIV3'!S$4))*$O558+IF($H558=AQ$4,$P558,0)</f>
        <v>0</v>
      </c>
      <c r="AR558" s="395">
        <f>(IF($H558="x",VLOOKUP($I558,'AUX-NIV2'!$B:$X,'AUX-NIV1'!AR$3,FALSE),0)+($AV558*'AUX-NIV3'!T$4))*$O558+IF($H558=AR$4,$P558,0)</f>
        <v>0</v>
      </c>
      <c r="AS558" s="395">
        <f>(IF($H558="x",VLOOKUP($I558,'AUX-NIV2'!$B:$X,'AUX-NIV1'!AS$3,FALSE),0)+($AV558*'AUX-NIV3'!U$4))*$O558+IF($H558=AS$4,$P558,0)</f>
        <v>848</v>
      </c>
      <c r="AT558" s="395">
        <f>(IF($H558="x",VLOOKUP($I558,'AUX-NIV2'!$B:$X,'AUX-NIV1'!AT$3,FALSE),0)+($AV558*'AUX-NIV3'!V$4))*$O558+IF($H558=AT$4,$P558,0)</f>
        <v>0</v>
      </c>
      <c r="AU558" s="395">
        <f>(IF($H558="x",VLOOKUP($I558,'AUX-NIV2'!$B:$X,'AUX-NIV1'!AU$3,FALSE),0)+($AV558*'AUX-NIV3'!W$4))*$O558+IF($H558=AU$4,$P558,0)</f>
        <v>0</v>
      </c>
      <c r="AV558" s="395">
        <f>+IF($H558="x",VLOOKUP($I558,'AUX-NIV2'!$B:$X,'AUX-NIV1'!AV$3,FALSE),0)</f>
        <v>0</v>
      </c>
    </row>
    <row r="559" spans="2:48" ht="13.8" hidden="1" thickTop="1">
      <c r="B559" s="501" t="s">
        <v>4552</v>
      </c>
      <c r="C559" s="951" t="s">
        <v>4553</v>
      </c>
      <c r="D559" s="1280" t="s">
        <v>501</v>
      </c>
      <c r="E559" s="1281">
        <f>IF(B559&lt;&gt;"",+SUMIF(Items!C:C,'AUX-NIV1'!B559,Items!H:H),"")</f>
        <v>0</v>
      </c>
      <c r="F559" s="1281">
        <f t="shared" si="409"/>
        <v>6602.0375522664999</v>
      </c>
      <c r="G559" s="1281">
        <f t="shared" si="410"/>
        <v>0</v>
      </c>
      <c r="H559" s="1395" t="str">
        <f t="shared" si="448"/>
        <v>X</v>
      </c>
      <c r="I559" s="1375" t="s">
        <v>2886</v>
      </c>
      <c r="J559" s="1283" t="str">
        <f>IF(B559&lt;&gt;"",+VLOOKUP(I559,Recursos!C:F,2,FALSE),"")</f>
        <v>Colocación de acero con grúa</v>
      </c>
      <c r="K559" s="1284" t="str">
        <f>IF(B559&lt;&gt;"",+VLOOKUP(I559,Recursos!C:F,3,FALSE),"")</f>
        <v>tn</v>
      </c>
      <c r="L559" s="1285">
        <f>IF(B559&lt;&gt;"",+VLOOKUP(I559,Recursos!C:F,4,FALSE),"")</f>
        <v>40888.822227420533</v>
      </c>
      <c r="M559" s="541"/>
      <c r="N559" s="1362"/>
      <c r="O559" s="439">
        <f>(1-M558)*N556</f>
        <v>0</v>
      </c>
      <c r="P559" s="1287">
        <f t="shared" si="449"/>
        <v>0</v>
      </c>
      <c r="Q559" s="1281">
        <f t="shared" si="450"/>
        <v>0</v>
      </c>
      <c r="R559" s="1288">
        <f t="shared" si="451"/>
        <v>0</v>
      </c>
      <c r="S559" s="1289">
        <f t="shared" si="411"/>
        <v>91.939638208943066</v>
      </c>
      <c r="T559" s="1289">
        <f t="shared" si="412"/>
        <v>0</v>
      </c>
      <c r="U559" s="1290">
        <f t="shared" si="413"/>
        <v>5539.2378973144523</v>
      </c>
      <c r="V559" s="1290">
        <f t="shared" si="414"/>
        <v>0</v>
      </c>
      <c r="W559" s="1290">
        <f t="shared" si="415"/>
        <v>0</v>
      </c>
      <c r="X559" s="1290">
        <f t="shared" si="416"/>
        <v>970.86001674310353</v>
      </c>
      <c r="Y559" s="396"/>
      <c r="Z559" s="1291" t="str">
        <f t="shared" si="452"/>
        <v>0-LOSACERMA</v>
      </c>
      <c r="AA559" s="1291" t="str">
        <f t="shared" si="453"/>
        <v>0-LOSACERME</v>
      </c>
      <c r="AB559" s="1291" t="str">
        <f t="shared" si="454"/>
        <v>0-LOSACERMM</v>
      </c>
      <c r="AC559" s="1291" t="str">
        <f t="shared" si="455"/>
        <v>0-LOSACERMT</v>
      </c>
      <c r="AD559" s="1291" t="str">
        <f t="shared" si="456"/>
        <v>0-LOSACERMS</v>
      </c>
      <c r="AE559" s="1291" t="str">
        <f t="shared" si="457"/>
        <v>0-LOSACERMX</v>
      </c>
      <c r="AF559" s="1291" t="str">
        <f t="shared" si="458"/>
        <v>0-LOSACERMX</v>
      </c>
      <c r="AG559" s="1291">
        <f t="shared" si="417"/>
        <v>11</v>
      </c>
      <c r="AH559" s="1291">
        <f>IF(B559&lt;&gt;"",+IF(H559="x",+VLOOKUP(I559,'AUX-NIV2'!B:AG,32,FALSE),0),"")</f>
        <v>8</v>
      </c>
      <c r="AI559" s="1291" t="str">
        <f t="shared" si="459"/>
        <v>0-LOSACERM</v>
      </c>
      <c r="AK559" s="347">
        <f t="shared" si="418"/>
        <v>553</v>
      </c>
      <c r="AL559" s="348">
        <f t="shared" si="460"/>
        <v>563</v>
      </c>
      <c r="AM559" s="347">
        <f t="shared" si="461"/>
        <v>7</v>
      </c>
      <c r="AN559" s="382">
        <f>IF(AND(AH559&gt;0,B559&lt;&gt;""),VLOOKUP(I559,'AUX-NIV2'!$B:$AP,40,FALSE)*O559,0)</f>
        <v>0</v>
      </c>
      <c r="AO559" s="382">
        <f t="shared" si="419"/>
        <v>1.7866666666666668</v>
      </c>
      <c r="AQ559" s="395">
        <f>(IF($H559="x",VLOOKUP($I559,'AUX-NIV2'!$B:$X,'AUX-NIV1'!AQ$3,FALSE),0)+($AV559*'AUX-NIV3'!S$4))*$O559+IF($H559=AQ$4,$P559,0)</f>
        <v>0</v>
      </c>
      <c r="AR559" s="395">
        <f>(IF($H559="x",VLOOKUP($I559,'AUX-NIV2'!$B:$X,'AUX-NIV1'!AR$3,FALSE),0)+($AV559*'AUX-NIV3'!T$4))*$O559+IF($H559=AR$4,$P559,0)</f>
        <v>0</v>
      </c>
      <c r="AS559" s="395">
        <f>(IF($H559="x",VLOOKUP($I559,'AUX-NIV2'!$B:$X,'AUX-NIV1'!AS$3,FALSE),0)+($AV559*'AUX-NIV3'!U$4))*$O559+IF($H559=AS$4,$P559,0)</f>
        <v>0</v>
      </c>
      <c r="AT559" s="395">
        <f>(IF($H559="x",VLOOKUP($I559,'AUX-NIV2'!$B:$X,'AUX-NIV1'!AT$3,FALSE),0)+($AV559*'AUX-NIV3'!V$4))*$O559+IF($H559=AT$4,$P559,0)</f>
        <v>0</v>
      </c>
      <c r="AU559" s="395">
        <f>(IF($H559="x",VLOOKUP($I559,'AUX-NIV2'!$B:$X,'AUX-NIV1'!AU$3,FALSE),0)+($AV559*'AUX-NIV3'!W$4))*$O559+IF($H559=AU$4,$P559,0)</f>
        <v>0</v>
      </c>
      <c r="AV559" s="395">
        <f>+IF($H559="x",VLOOKUP($I559,'AUX-NIV2'!$B:$X,'AUX-NIV1'!AV$3,FALSE),0)</f>
        <v>0</v>
      </c>
    </row>
    <row r="560" spans="2:48" ht="13.8" hidden="1" thickTop="1">
      <c r="B560" s="501" t="s">
        <v>4552</v>
      </c>
      <c r="C560" s="951" t="s">
        <v>4553</v>
      </c>
      <c r="D560" s="1280" t="s">
        <v>501</v>
      </c>
      <c r="E560" s="1281">
        <f>IF(B560&lt;&gt;"",+SUMIF(Items!C:C,'AUX-NIV1'!B560,Items!H:H),"")</f>
        <v>0</v>
      </c>
      <c r="F560" s="1281">
        <f t="shared" si="409"/>
        <v>6602.0375522664999</v>
      </c>
      <c r="G560" s="1281">
        <f t="shared" si="410"/>
        <v>0</v>
      </c>
      <c r="H560" s="1395" t="str">
        <f t="shared" si="448"/>
        <v>X</v>
      </c>
      <c r="I560" s="1375" t="s">
        <v>2871</v>
      </c>
      <c r="J560" s="1283" t="str">
        <f>IF(B560&lt;&gt;"",+VLOOKUP(I560,Recursos!C:F,2,FALSE),"")</f>
        <v>Encofrado para obras menores</v>
      </c>
      <c r="K560" s="1284" t="str">
        <f>IF(B560&lt;&gt;"",+VLOOKUP(I560,Recursos!C:F,3,FALSE),"")</f>
        <v>m2</v>
      </c>
      <c r="L560" s="1285">
        <f>IF(B560&lt;&gt;"",+VLOOKUP(I560,Recursos!C:F,4,FALSE),"")</f>
        <v>3798.3281004967002</v>
      </c>
      <c r="M560" s="1338"/>
      <c r="N560" s="1679">
        <v>0.2</v>
      </c>
      <c r="O560" s="1286">
        <f>N560</f>
        <v>0.2</v>
      </c>
      <c r="P560" s="1287">
        <f t="shared" si="449"/>
        <v>759.66562009934012</v>
      </c>
      <c r="Q560" s="1281">
        <f t="shared" si="450"/>
        <v>0</v>
      </c>
      <c r="R560" s="1288">
        <f t="shared" si="451"/>
        <v>0</v>
      </c>
      <c r="S560" s="1289">
        <f t="shared" si="411"/>
        <v>91.939638208943066</v>
      </c>
      <c r="T560" s="1289">
        <f t="shared" si="412"/>
        <v>0</v>
      </c>
      <c r="U560" s="1290">
        <f t="shared" si="413"/>
        <v>5539.2378973144523</v>
      </c>
      <c r="V560" s="1290">
        <f t="shared" si="414"/>
        <v>0</v>
      </c>
      <c r="W560" s="1290">
        <f t="shared" si="415"/>
        <v>0</v>
      </c>
      <c r="X560" s="1290">
        <f t="shared" si="416"/>
        <v>970.86001674310353</v>
      </c>
      <c r="Y560" s="396"/>
      <c r="Z560" s="1291" t="str">
        <f t="shared" si="452"/>
        <v>0-LOSACERMA</v>
      </c>
      <c r="AA560" s="1291" t="str">
        <f t="shared" si="453"/>
        <v>0-LOSACERME</v>
      </c>
      <c r="AB560" s="1291" t="str">
        <f t="shared" si="454"/>
        <v>0-LOSACERMM</v>
      </c>
      <c r="AC560" s="1291" t="str">
        <f t="shared" si="455"/>
        <v>0-LOSACERMT</v>
      </c>
      <c r="AD560" s="1291" t="str">
        <f t="shared" si="456"/>
        <v>0-LOSACERMS</v>
      </c>
      <c r="AE560" s="1291" t="str">
        <f t="shared" si="457"/>
        <v>0-LOSACERMX</v>
      </c>
      <c r="AF560" s="1291" t="str">
        <f t="shared" si="458"/>
        <v>0-LOSACERMX</v>
      </c>
      <c r="AG560" s="1291">
        <f t="shared" si="417"/>
        <v>11</v>
      </c>
      <c r="AH560" s="1291">
        <f>IF(B560&lt;&gt;"",+IF(H560="x",+VLOOKUP(I560,'AUX-NIV2'!B:AG,32,FALSE),0),"")</f>
        <v>13</v>
      </c>
      <c r="AI560" s="1291" t="str">
        <f t="shared" si="459"/>
        <v>0-LOSACERM</v>
      </c>
      <c r="AK560" s="347">
        <f t="shared" si="418"/>
        <v>553</v>
      </c>
      <c r="AL560" s="348">
        <f t="shared" si="460"/>
        <v>563</v>
      </c>
      <c r="AM560" s="347">
        <f t="shared" si="461"/>
        <v>8</v>
      </c>
      <c r="AN560" s="382">
        <f>IF(AND(AH560&gt;0,B560&lt;&gt;""),VLOOKUP(I560,'AUX-NIV2'!$B:$AP,40,FALSE)*O560,0)</f>
        <v>1.4000000000000001</v>
      </c>
      <c r="AO560" s="382">
        <f t="shared" si="419"/>
        <v>1.7866666666666668</v>
      </c>
      <c r="AQ560" s="395">
        <f>(IF($H560="x",VLOOKUP($I560,'AUX-NIV2'!$B:$X,'AUX-NIV1'!AQ$3,FALSE),0)+($AV560*'AUX-NIV3'!S$4))*$O560+IF($H560=AQ$4,$P560,0)</f>
        <v>667.61116663700932</v>
      </c>
      <c r="AR560" s="395">
        <f>(IF($H560="x",VLOOKUP($I560,'AUX-NIV2'!$B:$X,'AUX-NIV1'!AR$3,FALSE),0)+($AV560*'AUX-NIV3'!T$4))*$O560+IF($H560=AR$4,$P560,0)</f>
        <v>0</v>
      </c>
      <c r="AS560" s="395">
        <f>(IF($H560="x",VLOOKUP($I560,'AUX-NIV2'!$B:$X,'AUX-NIV1'!AS$3,FALSE),0)+($AV560*'AUX-NIV3'!U$4))*$O560+IF($H560=AS$4,$P560,0)</f>
        <v>92.054453462330926</v>
      </c>
      <c r="AT560" s="395">
        <f>(IF($H560="x",VLOOKUP($I560,'AUX-NIV2'!$B:$X,'AUX-NIV1'!AT$3,FALSE),0)+($AV560*'AUX-NIV3'!V$4))*$O560+IF($H560=AT$4,$P560,0)</f>
        <v>0</v>
      </c>
      <c r="AU560" s="395">
        <f>(IF($H560="x",VLOOKUP($I560,'AUX-NIV2'!$B:$X,'AUX-NIV1'!AU$3,FALSE),0)+($AV560*'AUX-NIV3'!W$4))*$O560+IF($H560=AU$4,$P560,0)</f>
        <v>0</v>
      </c>
      <c r="AV560" s="395">
        <f>+IF($H560="x",VLOOKUP($I560,'AUX-NIV2'!$B:$X,'AUX-NIV1'!AV$3,FALSE),0)</f>
        <v>0</v>
      </c>
    </row>
    <row r="561" spans="2:48" ht="13.8" hidden="1" thickTop="1">
      <c r="B561" s="501" t="s">
        <v>4552</v>
      </c>
      <c r="C561" s="951" t="s">
        <v>4553</v>
      </c>
      <c r="D561" s="1280" t="s">
        <v>501</v>
      </c>
      <c r="E561" s="1281">
        <f>IF(B561&lt;&gt;"",+SUMIF(Items!C:C,'AUX-NIV1'!B561,Items!H:H),"")</f>
        <v>0</v>
      </c>
      <c r="F561" s="1281">
        <f t="shared" si="409"/>
        <v>6602.0375522664999</v>
      </c>
      <c r="G561" s="1281">
        <f t="shared" si="410"/>
        <v>0</v>
      </c>
      <c r="H561" s="1395" t="str">
        <f t="shared" si="448"/>
        <v>A</v>
      </c>
      <c r="I561" s="1375" t="s">
        <v>1746</v>
      </c>
      <c r="J561" s="1283" t="str">
        <f>IF(B561&lt;&gt;"",+VLOOKUP(I561,Recursos!C:F,2,FALSE),"")</f>
        <v>OFICIAL</v>
      </c>
      <c r="K561" s="1284" t="str">
        <f>IF(B561&lt;&gt;"",+VLOOKUP(I561,Recursos!C:F,3,FALSE),"")</f>
        <v>hh</v>
      </c>
      <c r="L561" s="1285">
        <f>IF(B561&lt;&gt;"",+VLOOKUP(I561,Recursos!C:F,4,FALSE),"")</f>
        <v>496.91595439275824</v>
      </c>
      <c r="M561" s="1675">
        <v>10</v>
      </c>
      <c r="N561" s="1676">
        <v>1</v>
      </c>
      <c r="O561" s="1286">
        <f>N561/M561</f>
        <v>0.1</v>
      </c>
      <c r="P561" s="1287">
        <f t="shared" si="449"/>
        <v>49.691595439275829</v>
      </c>
      <c r="Q561" s="1281">
        <f t="shared" si="450"/>
        <v>0</v>
      </c>
      <c r="R561" s="1288">
        <f t="shared" si="451"/>
        <v>0</v>
      </c>
      <c r="S561" s="1289">
        <f t="shared" si="411"/>
        <v>91.939638208943066</v>
      </c>
      <c r="T561" s="1289">
        <f t="shared" si="412"/>
        <v>0</v>
      </c>
      <c r="U561" s="1290">
        <f t="shared" si="413"/>
        <v>5539.2378973144523</v>
      </c>
      <c r="V561" s="1290">
        <f t="shared" si="414"/>
        <v>0</v>
      </c>
      <c r="W561" s="1290">
        <f t="shared" si="415"/>
        <v>0</v>
      </c>
      <c r="X561" s="1290">
        <f t="shared" si="416"/>
        <v>970.86001674310353</v>
      </c>
      <c r="Y561" s="396"/>
      <c r="Z561" s="1291" t="str">
        <f t="shared" si="452"/>
        <v>0-LOSACERMA</v>
      </c>
      <c r="AA561" s="1291" t="str">
        <f t="shared" si="453"/>
        <v>0-LOSACERME</v>
      </c>
      <c r="AB561" s="1291" t="str">
        <f t="shared" si="454"/>
        <v>0-LOSACERMM</v>
      </c>
      <c r="AC561" s="1291" t="str">
        <f t="shared" si="455"/>
        <v>0-LOSACERMT</v>
      </c>
      <c r="AD561" s="1291" t="str">
        <f t="shared" si="456"/>
        <v>0-LOSACERMS</v>
      </c>
      <c r="AE561" s="1291" t="str">
        <f t="shared" si="457"/>
        <v>0-LOSACERMX</v>
      </c>
      <c r="AF561" s="1291" t="str">
        <f t="shared" si="458"/>
        <v>0-LOSACERMA</v>
      </c>
      <c r="AG561" s="1291">
        <f t="shared" si="417"/>
        <v>11</v>
      </c>
      <c r="AH561" s="1291">
        <f>IF(B561&lt;&gt;"",+IF(H561="x",+VLOOKUP(I561,'AUX-NIV2'!B:AG,32,FALSE),0),"")</f>
        <v>0</v>
      </c>
      <c r="AI561" s="1291" t="str">
        <f t="shared" si="459"/>
        <v>0-LOSACERM</v>
      </c>
      <c r="AK561" s="347">
        <f t="shared" si="418"/>
        <v>553</v>
      </c>
      <c r="AL561" s="348">
        <f t="shared" si="460"/>
        <v>563</v>
      </c>
      <c r="AM561" s="347">
        <f>IF(B561&lt;&gt;"",IF(B561=B549,1+AM549,1),"")</f>
        <v>1</v>
      </c>
      <c r="AN561" s="382">
        <f>IF(AND(AH561&gt;0,B561&lt;&gt;""),VLOOKUP(I561,'AUX-NIV2'!$B:$AP,40,FALSE)*O561,0)</f>
        <v>0</v>
      </c>
      <c r="AO561" s="382">
        <f t="shared" si="419"/>
        <v>1.7866666666666668</v>
      </c>
      <c r="AQ561" s="395">
        <f>(IF($H561="x",VLOOKUP($I561,'AUX-NIV2'!$B:$X,'AUX-NIV1'!AQ$3,FALSE),0)+($AV561*'AUX-NIV3'!S$4))*$O561+IF($H561=AQ$4,$P561,0)</f>
        <v>49.691595439275829</v>
      </c>
      <c r="AR561" s="395">
        <f>(IF($H561="x",VLOOKUP($I561,'AUX-NIV2'!$B:$X,'AUX-NIV1'!AR$3,FALSE),0)+($AV561*'AUX-NIV3'!T$4))*$O561+IF($H561=AR$4,$P561,0)</f>
        <v>0</v>
      </c>
      <c r="AS561" s="395">
        <f>(IF($H561="x",VLOOKUP($I561,'AUX-NIV2'!$B:$X,'AUX-NIV1'!AS$3,FALSE),0)+($AV561*'AUX-NIV3'!U$4))*$O561+IF($H561=AS$4,$P561,0)</f>
        <v>0</v>
      </c>
      <c r="AT561" s="395">
        <f>(IF($H561="x",VLOOKUP($I561,'AUX-NIV2'!$B:$X,'AUX-NIV1'!AT$3,FALSE),0)+($AV561*'AUX-NIV3'!V$4))*$O561+IF($H561=AT$4,$P561,0)</f>
        <v>0</v>
      </c>
      <c r="AU561" s="395">
        <f>(IF($H561="x",VLOOKUP($I561,'AUX-NIV2'!$B:$X,'AUX-NIV1'!AU$3,FALSE),0)+($AV561*'AUX-NIV3'!W$4))*$O561+IF($H561=AU$4,$P561,0)</f>
        <v>0</v>
      </c>
      <c r="AV561" s="395">
        <f>+IF($H561="x",VLOOKUP($I561,'AUX-NIV2'!$B:$X,'AUX-NIV1'!AV$3,FALSE),0)</f>
        <v>0</v>
      </c>
    </row>
    <row r="562" spans="2:48" ht="13.8" hidden="1" thickTop="1">
      <c r="B562" s="501" t="s">
        <v>4552</v>
      </c>
      <c r="C562" s="951" t="s">
        <v>4553</v>
      </c>
      <c r="D562" s="1280" t="s">
        <v>501</v>
      </c>
      <c r="E562" s="1281">
        <f>IF(B562&lt;&gt;"",+SUMIF(Items!C:C,'AUX-NIV1'!B562,Items!H:H),"")</f>
        <v>0</v>
      </c>
      <c r="F562" s="1281">
        <f t="shared" si="409"/>
        <v>6602.0375522664999</v>
      </c>
      <c r="G562" s="1281">
        <f t="shared" si="410"/>
        <v>0</v>
      </c>
      <c r="H562" s="1395" t="str">
        <f t="shared" si="448"/>
        <v>A</v>
      </c>
      <c r="I562" s="1375" t="s">
        <v>1745</v>
      </c>
      <c r="J562" s="1283" t="str">
        <f>IF(B562&lt;&gt;"",+VLOOKUP(I562,Recursos!C:F,2,FALSE),"")</f>
        <v>AYUDANTE</v>
      </c>
      <c r="K562" s="1284" t="str">
        <f>IF(B562&lt;&gt;"",+VLOOKUP(I562,Recursos!C:F,3,FALSE),"")</f>
        <v>hh</v>
      </c>
      <c r="L562" s="1285">
        <f>IF(B562&lt;&gt;"",+VLOOKUP(I562,Recursos!C:F,4,FALSE),"")</f>
        <v>422.48042769667234</v>
      </c>
      <c r="M562" s="1677"/>
      <c r="N562" s="1678">
        <v>1</v>
      </c>
      <c r="O562" s="1286">
        <f>N562/M561</f>
        <v>0.1</v>
      </c>
      <c r="P562" s="1287">
        <f t="shared" si="449"/>
        <v>42.248042769667236</v>
      </c>
      <c r="Q562" s="1281">
        <f t="shared" si="450"/>
        <v>0</v>
      </c>
      <c r="R562" s="1288">
        <f t="shared" si="451"/>
        <v>0</v>
      </c>
      <c r="S562" s="1289">
        <f t="shared" si="411"/>
        <v>91.939638208943066</v>
      </c>
      <c r="T562" s="1289">
        <f t="shared" si="412"/>
        <v>0</v>
      </c>
      <c r="U562" s="1290">
        <f t="shared" si="413"/>
        <v>5539.2378973144523</v>
      </c>
      <c r="V562" s="1290">
        <f t="shared" si="414"/>
        <v>0</v>
      </c>
      <c r="W562" s="1290">
        <f t="shared" si="415"/>
        <v>0</v>
      </c>
      <c r="X562" s="1290">
        <f t="shared" si="416"/>
        <v>970.86001674310353</v>
      </c>
      <c r="Y562" s="396"/>
      <c r="Z562" s="1291" t="str">
        <f t="shared" si="452"/>
        <v>0-LOSACERMA</v>
      </c>
      <c r="AA562" s="1291" t="str">
        <f t="shared" si="453"/>
        <v>0-LOSACERME</v>
      </c>
      <c r="AB562" s="1291" t="str">
        <f t="shared" si="454"/>
        <v>0-LOSACERMM</v>
      </c>
      <c r="AC562" s="1291" t="str">
        <f t="shared" si="455"/>
        <v>0-LOSACERMT</v>
      </c>
      <c r="AD562" s="1291" t="str">
        <f t="shared" si="456"/>
        <v>0-LOSACERMS</v>
      </c>
      <c r="AE562" s="1291" t="str">
        <f t="shared" si="457"/>
        <v>0-LOSACERMX</v>
      </c>
      <c r="AF562" s="1291" t="str">
        <f t="shared" si="458"/>
        <v>0-LOSACERMA</v>
      </c>
      <c r="AG562" s="1291">
        <f t="shared" si="417"/>
        <v>11</v>
      </c>
      <c r="AH562" s="1291">
        <f>IF(B562&lt;&gt;"",+IF(H562="x",+VLOOKUP(I562,'AUX-NIV2'!B:AG,32,FALSE),0),"")</f>
        <v>0</v>
      </c>
      <c r="AI562" s="1291" t="str">
        <f t="shared" si="459"/>
        <v>0-LOSACERM</v>
      </c>
      <c r="AK562" s="347">
        <f t="shared" si="418"/>
        <v>553</v>
      </c>
      <c r="AL562" s="348">
        <f t="shared" si="460"/>
        <v>563</v>
      </c>
      <c r="AM562" s="347">
        <f t="shared" ref="AM562" si="462">IF(B562&lt;&gt;"",IF(B562=B561,1+AM561,1),"")</f>
        <v>2</v>
      </c>
      <c r="AN562" s="382">
        <f>IF(AND(AH562&gt;0,B562&lt;&gt;""),VLOOKUP(I562,'AUX-NIV2'!$B:$AP,40,FALSE)*O562,0)</f>
        <v>0</v>
      </c>
      <c r="AO562" s="382">
        <f t="shared" si="419"/>
        <v>1.7866666666666668</v>
      </c>
      <c r="AQ562" s="395">
        <f>(IF($H562="x",VLOOKUP($I562,'AUX-NIV2'!$B:$X,'AUX-NIV1'!AQ$3,FALSE),0)+($AV562*'AUX-NIV3'!S$4))*$O562+IF($H562=AQ$4,$P562,0)</f>
        <v>42.248042769667236</v>
      </c>
      <c r="AR562" s="395">
        <f>(IF($H562="x",VLOOKUP($I562,'AUX-NIV2'!$B:$X,'AUX-NIV1'!AR$3,FALSE),0)+($AV562*'AUX-NIV3'!T$4))*$O562+IF($H562=AR$4,$P562,0)</f>
        <v>0</v>
      </c>
      <c r="AS562" s="395">
        <f>(IF($H562="x",VLOOKUP($I562,'AUX-NIV2'!$B:$X,'AUX-NIV1'!AS$3,FALSE),0)+($AV562*'AUX-NIV3'!U$4))*$O562+IF($H562=AS$4,$P562,0)</f>
        <v>0</v>
      </c>
      <c r="AT562" s="395">
        <f>(IF($H562="x",VLOOKUP($I562,'AUX-NIV2'!$B:$X,'AUX-NIV1'!AT$3,FALSE),0)+($AV562*'AUX-NIV3'!V$4))*$O562+IF($H562=AT$4,$P562,0)</f>
        <v>0</v>
      </c>
      <c r="AU562" s="395">
        <f>(IF($H562="x",VLOOKUP($I562,'AUX-NIV2'!$B:$X,'AUX-NIV1'!AU$3,FALSE),0)+($AV562*'AUX-NIV3'!W$4))*$O562+IF($H562=AU$4,$P562,0)</f>
        <v>0</v>
      </c>
      <c r="AV562" s="395">
        <f>+IF($H562="x",VLOOKUP($I562,'AUX-NIV2'!$B:$X,'AUX-NIV1'!AV$3,FALSE),0)</f>
        <v>0</v>
      </c>
    </row>
    <row r="563" spans="2:48" ht="14.4" hidden="1" thickTop="1" thickBot="1">
      <c r="B563" s="501" t="s">
        <v>4552</v>
      </c>
      <c r="C563" s="951" t="s">
        <v>4553</v>
      </c>
      <c r="D563" s="1280" t="s">
        <v>501</v>
      </c>
      <c r="E563" s="1281">
        <f>IF(B563&lt;&gt;"",+SUMIF(Items!C:C,'AUX-NIV1'!B563,Items!H:H),"")</f>
        <v>0</v>
      </c>
      <c r="F563" s="1281">
        <f t="shared" si="409"/>
        <v>6602.0375522664999</v>
      </c>
      <c r="G563" s="1281">
        <f t="shared" si="410"/>
        <v>0</v>
      </c>
      <c r="H563" s="1395" t="str">
        <f t="shared" ref="H563" si="463">IF(B563&lt;&gt;"",+LEFT(I563,1),"")</f>
        <v>M</v>
      </c>
      <c r="I563" s="1375" t="s">
        <v>3469</v>
      </c>
      <c r="J563" s="1283" t="str">
        <f>IF(B563&lt;&gt;"",+VLOOKUP(I563,Recursos!C:F,2,FALSE),"")</f>
        <v>MEMBRANA ASFALTICA GEOTEXTIL</v>
      </c>
      <c r="K563" s="1284" t="str">
        <f>IF(B563&lt;&gt;"",+VLOOKUP(I563,Recursos!C:F,3,FALSE),"")</f>
        <v>m2</v>
      </c>
      <c r="L563" s="1285">
        <f>IF(B563&lt;&gt;"",+VLOOKUP(I563,Recursos!C:F,4,FALSE),"")</f>
        <v>289.25619834710744</v>
      </c>
      <c r="M563" s="1341"/>
      <c r="N563" s="1340">
        <v>1</v>
      </c>
      <c r="O563" s="1286">
        <f>N563</f>
        <v>1</v>
      </c>
      <c r="P563" s="1287">
        <f t="shared" ref="P563" si="464">IF(B563&lt;&gt;"",O563*L563,"")</f>
        <v>289.25619834710744</v>
      </c>
      <c r="Q563" s="1281">
        <f t="shared" ref="Q563" si="465">IF(B563&lt;&gt;"",+O563*E563,"")</f>
        <v>0</v>
      </c>
      <c r="R563" s="1288">
        <f t="shared" ref="R563" si="466">IF(B563&lt;&gt;"",Q563*L563,"")</f>
        <v>0</v>
      </c>
      <c r="S563" s="1289">
        <f t="shared" si="411"/>
        <v>91.939638208943066</v>
      </c>
      <c r="T563" s="1289">
        <f t="shared" si="412"/>
        <v>0</v>
      </c>
      <c r="U563" s="1290">
        <f t="shared" si="413"/>
        <v>5539.2378973144523</v>
      </c>
      <c r="V563" s="1290">
        <f t="shared" si="414"/>
        <v>0</v>
      </c>
      <c r="W563" s="1290">
        <f t="shared" si="415"/>
        <v>0</v>
      </c>
      <c r="X563" s="1290">
        <f t="shared" si="416"/>
        <v>970.86001674310353</v>
      </c>
      <c r="Y563" s="396"/>
      <c r="Z563" s="1291" t="str">
        <f t="shared" ref="Z563" si="467">IF(B563&lt;&gt;"",+$B563&amp;"A","")</f>
        <v>0-LOSACERMA</v>
      </c>
      <c r="AA563" s="1291" t="str">
        <f t="shared" ref="AA563" si="468">IF(B563&lt;&gt;"",+$B563&amp;"E","")</f>
        <v>0-LOSACERME</v>
      </c>
      <c r="AB563" s="1291" t="str">
        <f t="shared" ref="AB563" si="469">IF(B563&lt;&gt;"",++$B563&amp;"M","")</f>
        <v>0-LOSACERMM</v>
      </c>
      <c r="AC563" s="1291" t="str">
        <f t="shared" ref="AC563" si="470">IF(B563&lt;&gt;"",+$B563&amp;"T","")</f>
        <v>0-LOSACERMT</v>
      </c>
      <c r="AD563" s="1291" t="str">
        <f t="shared" ref="AD563" si="471">IF(B563&lt;&gt;"",+$B563&amp;"S","")</f>
        <v>0-LOSACERMS</v>
      </c>
      <c r="AE563" s="1291" t="str">
        <f t="shared" ref="AE563" si="472">IF(B563&lt;&gt;"",+$B563&amp;"X","")</f>
        <v>0-LOSACERMX</v>
      </c>
      <c r="AF563" s="1291" t="str">
        <f t="shared" ref="AF563" si="473">IF(B563&lt;&gt;"",+B563&amp;H563,"")</f>
        <v>0-LOSACERMM</v>
      </c>
      <c r="AG563" s="1291">
        <f t="shared" si="417"/>
        <v>11</v>
      </c>
      <c r="AH563" s="1291">
        <f>IF(B563&lt;&gt;"",+IF(H563="x",+VLOOKUP(I563,'AUX-NIV2'!B:AG,32,FALSE),0),"")</f>
        <v>0</v>
      </c>
      <c r="AI563" s="1291" t="str">
        <f t="shared" ref="AI563" si="474">IF(B563&lt;&gt;"",+B563,"")</f>
        <v>0-LOSACERM</v>
      </c>
      <c r="AK563" s="347">
        <f t="shared" si="418"/>
        <v>553</v>
      </c>
      <c r="AL563" s="348">
        <f t="shared" ref="AL563" si="475">IF(B563&lt;&gt;"",+AK563+AG563-1,"")</f>
        <v>563</v>
      </c>
      <c r="AM563" s="347">
        <f t="shared" ref="AM563" si="476">IF(B563&lt;&gt;"",IF(B563=B560,1+AM560,1),"")</f>
        <v>9</v>
      </c>
      <c r="AN563" s="382">
        <f>IF(AND(AH563&gt;0,B563&lt;&gt;""),VLOOKUP(I563,'AUX-NIV2'!$B:$AP,40,FALSE)*O563,0)</f>
        <v>0</v>
      </c>
      <c r="AO563" s="382">
        <f t="shared" si="419"/>
        <v>1.7866666666666668</v>
      </c>
      <c r="AQ563" s="395">
        <f>(IF($H563="x",VLOOKUP($I563,'AUX-NIV2'!$B:$X,'AUX-NIV1'!AQ$3,FALSE),0)+($AV563*'AUX-NIV3'!S$4))*$O563+IF($H563=AQ$4,$P563,0)</f>
        <v>0</v>
      </c>
      <c r="AR563" s="395">
        <f>(IF($H563="x",VLOOKUP($I563,'AUX-NIV2'!$B:$X,'AUX-NIV1'!AR$3,FALSE),0)+($AV563*'AUX-NIV3'!T$4))*$O563+IF($H563=AR$4,$P563,0)</f>
        <v>0</v>
      </c>
      <c r="AS563" s="395">
        <f>(IF($H563="x",VLOOKUP($I563,'AUX-NIV2'!$B:$X,'AUX-NIV1'!AS$3,FALSE),0)+($AV563*'AUX-NIV3'!U$4))*$O563+IF($H563=AS$4,$P563,0)</f>
        <v>289.25619834710744</v>
      </c>
      <c r="AT563" s="395">
        <f>(IF($H563="x",VLOOKUP($I563,'AUX-NIV2'!$B:$X,'AUX-NIV1'!AT$3,FALSE),0)+($AV563*'AUX-NIV3'!V$4))*$O563+IF($H563=AT$4,$P563,0)</f>
        <v>0</v>
      </c>
      <c r="AU563" s="395">
        <f>(IF($H563="x",VLOOKUP($I563,'AUX-NIV2'!$B:$X,'AUX-NIV1'!AU$3,FALSE),0)+($AV563*'AUX-NIV3'!W$4))*$O563+IF($H563=AU$4,$P563,0)</f>
        <v>0</v>
      </c>
      <c r="AV563" s="395">
        <f>+IF($H563="x",VLOOKUP($I563,'AUX-NIV2'!$B:$X,'AUX-NIV1'!AV$3,FALSE),0)</f>
        <v>0</v>
      </c>
    </row>
    <row r="564" spans="2:48" ht="13.8" hidden="1" thickTop="1">
      <c r="B564" s="501" t="s">
        <v>3709</v>
      </c>
      <c r="C564" s="951" t="s">
        <v>3711</v>
      </c>
      <c r="D564" s="1280" t="s">
        <v>501</v>
      </c>
      <c r="E564" s="1281">
        <f>IF(B564&lt;&gt;"",+SUMIF(Items!C:C,'AUX-NIV1'!B564,Items!H:H),"")</f>
        <v>0</v>
      </c>
      <c r="F564" s="1281">
        <f t="shared" si="409"/>
        <v>2901.1952985265289</v>
      </c>
      <c r="G564" s="1281">
        <f t="shared" si="410"/>
        <v>0</v>
      </c>
      <c r="H564" s="1395" t="str">
        <f t="shared" si="434"/>
        <v>A</v>
      </c>
      <c r="I564" s="1375" t="s">
        <v>1746</v>
      </c>
      <c r="J564" s="1283" t="str">
        <f>IF(B564&lt;&gt;"",+VLOOKUP(I564,Recursos!C:F,2,FALSE),"")</f>
        <v>OFICIAL</v>
      </c>
      <c r="K564" s="1284" t="str">
        <f>IF(B564&lt;&gt;"",+VLOOKUP(I564,Recursos!C:F,3,FALSE),"")</f>
        <v>hh</v>
      </c>
      <c r="L564" s="1285">
        <f>IF(B564&lt;&gt;"",+VLOOKUP(I564,Recursos!C:F,4,FALSE),"")</f>
        <v>496.91595439275824</v>
      </c>
      <c r="M564" s="989">
        <v>1</v>
      </c>
      <c r="N564" s="1292">
        <v>1</v>
      </c>
      <c r="O564" s="1286">
        <f>N564/M564</f>
        <v>1</v>
      </c>
      <c r="P564" s="1287">
        <f t="shared" si="435"/>
        <v>496.91595439275824</v>
      </c>
      <c r="Q564" s="1281">
        <f t="shared" si="436"/>
        <v>0</v>
      </c>
      <c r="R564" s="1288">
        <f t="shared" si="437"/>
        <v>0</v>
      </c>
      <c r="S564" s="1289">
        <f t="shared" si="411"/>
        <v>919.39638208943052</v>
      </c>
      <c r="T564" s="1289">
        <f t="shared" si="412"/>
        <v>0</v>
      </c>
      <c r="U564" s="1290">
        <f t="shared" si="413"/>
        <v>680</v>
      </c>
      <c r="V564" s="1290">
        <f t="shared" si="414"/>
        <v>0</v>
      </c>
      <c r="W564" s="1290">
        <f t="shared" si="415"/>
        <v>0</v>
      </c>
      <c r="X564" s="1290">
        <f t="shared" si="416"/>
        <v>1301.7989164370983</v>
      </c>
      <c r="Y564" s="396"/>
      <c r="Z564" s="1291" t="str">
        <f t="shared" si="438"/>
        <v>0-MULAD1A</v>
      </c>
      <c r="AA564" s="1291" t="str">
        <f t="shared" si="439"/>
        <v>0-MULAD1E</v>
      </c>
      <c r="AB564" s="1291" t="str">
        <f t="shared" si="440"/>
        <v>0-MULAD1M</v>
      </c>
      <c r="AC564" s="1291" t="str">
        <f t="shared" si="441"/>
        <v>0-MULAD1T</v>
      </c>
      <c r="AD564" s="1291" t="str">
        <f t="shared" si="442"/>
        <v>0-MULAD1S</v>
      </c>
      <c r="AE564" s="1291" t="str">
        <f t="shared" si="443"/>
        <v>0-MULAD1X</v>
      </c>
      <c r="AF564" s="1291" t="str">
        <f t="shared" si="444"/>
        <v>0-MULAD1A</v>
      </c>
      <c r="AG564" s="1291">
        <f t="shared" si="417"/>
        <v>4</v>
      </c>
      <c r="AH564" s="1291">
        <f>IF(B564&lt;&gt;"",+IF(H564="x",+VLOOKUP(I564,'AUX-NIV2'!B:AG,32,FALSE),0),"")</f>
        <v>0</v>
      </c>
      <c r="AI564" s="1291" t="str">
        <f t="shared" si="445"/>
        <v>0-MULAD1</v>
      </c>
      <c r="AK564" s="347">
        <f t="shared" si="418"/>
        <v>564</v>
      </c>
      <c r="AL564" s="348">
        <f t="shared" si="446"/>
        <v>567</v>
      </c>
      <c r="AM564" s="347">
        <f>IF(B564&lt;&gt;"",IF(B564=B552,1+AM552,1),"")</f>
        <v>1</v>
      </c>
      <c r="AN564" s="382">
        <f>IF(AND(AH564&gt;0,B564&lt;&gt;""),VLOOKUP(I564,'AUX-NIV2'!$B:$AP,40,FALSE)*O564,0)</f>
        <v>0</v>
      </c>
      <c r="AO564" s="382">
        <f t="shared" si="419"/>
        <v>2</v>
      </c>
      <c r="AQ564" s="395">
        <f>(IF($H564="x",VLOOKUP($I564,'AUX-NIV2'!$B:$X,'AUX-NIV1'!AQ$3,FALSE),0)+($AV564*'AUX-NIV3'!S$4))*$O564+IF($H564=AQ$4,$P564,0)</f>
        <v>496.91595439275824</v>
      </c>
      <c r="AR564" s="395">
        <f>(IF($H564="x",VLOOKUP($I564,'AUX-NIV2'!$B:$X,'AUX-NIV1'!AR$3,FALSE),0)+($AV564*'AUX-NIV3'!T$4))*$O564+IF($H564=AR$4,$P564,0)</f>
        <v>0</v>
      </c>
      <c r="AS564" s="395">
        <f>(IF($H564="x",VLOOKUP($I564,'AUX-NIV2'!$B:$X,'AUX-NIV1'!AS$3,FALSE),0)+($AV564*'AUX-NIV3'!U$4))*$O564+IF($H564=AS$4,$P564,0)</f>
        <v>0</v>
      </c>
      <c r="AT564" s="395">
        <f>(IF($H564="x",VLOOKUP($I564,'AUX-NIV2'!$B:$X,'AUX-NIV1'!AT$3,FALSE),0)+($AV564*'AUX-NIV3'!V$4))*$O564+IF($H564=AT$4,$P564,0)</f>
        <v>0</v>
      </c>
      <c r="AU564" s="395">
        <f>(IF($H564="x",VLOOKUP($I564,'AUX-NIV2'!$B:$X,'AUX-NIV1'!AU$3,FALSE),0)+($AV564*'AUX-NIV3'!W$4))*$O564+IF($H564=AU$4,$P564,0)</f>
        <v>0</v>
      </c>
      <c r="AV564" s="395">
        <f>+IF($H564="x",VLOOKUP($I564,'AUX-NIV2'!$B:$X,'AUX-NIV1'!AV$3,FALSE),0)</f>
        <v>0</v>
      </c>
    </row>
    <row r="565" spans="2:48" ht="13.8" hidden="1" thickTop="1">
      <c r="B565" s="501" t="s">
        <v>3709</v>
      </c>
      <c r="C565" s="951" t="s">
        <v>3711</v>
      </c>
      <c r="D565" s="1280" t="s">
        <v>501</v>
      </c>
      <c r="E565" s="1281">
        <f>IF(B565&lt;&gt;"",+SUMIF(Items!C:C,'AUX-NIV1'!B565,Items!H:H),"")</f>
        <v>0</v>
      </c>
      <c r="F565" s="1281">
        <f t="shared" si="409"/>
        <v>2901.1952985265289</v>
      </c>
      <c r="G565" s="1281">
        <f t="shared" si="410"/>
        <v>0</v>
      </c>
      <c r="H565" s="1395" t="str">
        <f t="shared" si="434"/>
        <v>A</v>
      </c>
      <c r="I565" s="1375" t="s">
        <v>1745</v>
      </c>
      <c r="J565" s="1283" t="str">
        <f>IF(B565&lt;&gt;"",+VLOOKUP(I565,Recursos!C:F,2,FALSE),"")</f>
        <v>AYUDANTE</v>
      </c>
      <c r="K565" s="1284" t="str">
        <f>IF(B565&lt;&gt;"",+VLOOKUP(I565,Recursos!C:F,3,FALSE),"")</f>
        <v>hh</v>
      </c>
      <c r="L565" s="1285">
        <f>IF(B565&lt;&gt;"",+VLOOKUP(I565,Recursos!C:F,4,FALSE),"")</f>
        <v>422.48042769667234</v>
      </c>
      <c r="M565" s="1351"/>
      <c r="N565" s="1329">
        <v>1</v>
      </c>
      <c r="O565" s="1286">
        <f>N565/M564</f>
        <v>1</v>
      </c>
      <c r="P565" s="1287">
        <f t="shared" si="435"/>
        <v>422.48042769667234</v>
      </c>
      <c r="Q565" s="1281">
        <f t="shared" si="436"/>
        <v>0</v>
      </c>
      <c r="R565" s="1288">
        <f t="shared" si="437"/>
        <v>0</v>
      </c>
      <c r="S565" s="1289">
        <f t="shared" si="411"/>
        <v>919.39638208943052</v>
      </c>
      <c r="T565" s="1289">
        <f t="shared" si="412"/>
        <v>0</v>
      </c>
      <c r="U565" s="1290">
        <f t="shared" si="413"/>
        <v>680</v>
      </c>
      <c r="V565" s="1290">
        <f t="shared" si="414"/>
        <v>0</v>
      </c>
      <c r="W565" s="1290">
        <f t="shared" si="415"/>
        <v>0</v>
      </c>
      <c r="X565" s="1290">
        <f t="shared" si="416"/>
        <v>1301.7989164370983</v>
      </c>
      <c r="Y565" s="396"/>
      <c r="Z565" s="1291" t="str">
        <f t="shared" si="438"/>
        <v>0-MULAD1A</v>
      </c>
      <c r="AA565" s="1291" t="str">
        <f t="shared" si="439"/>
        <v>0-MULAD1E</v>
      </c>
      <c r="AB565" s="1291" t="str">
        <f t="shared" si="440"/>
        <v>0-MULAD1M</v>
      </c>
      <c r="AC565" s="1291" t="str">
        <f t="shared" si="441"/>
        <v>0-MULAD1T</v>
      </c>
      <c r="AD565" s="1291" t="str">
        <f t="shared" si="442"/>
        <v>0-MULAD1S</v>
      </c>
      <c r="AE565" s="1291" t="str">
        <f t="shared" si="443"/>
        <v>0-MULAD1X</v>
      </c>
      <c r="AF565" s="1291" t="str">
        <f t="shared" si="444"/>
        <v>0-MULAD1A</v>
      </c>
      <c r="AG565" s="1291">
        <f t="shared" si="417"/>
        <v>4</v>
      </c>
      <c r="AH565" s="1291">
        <f>IF(B565&lt;&gt;"",+IF(H565="x",+VLOOKUP(I565,'AUX-NIV2'!B:AG,32,FALSE),0),"")</f>
        <v>0</v>
      </c>
      <c r="AI565" s="1291" t="str">
        <f t="shared" si="445"/>
        <v>0-MULAD1</v>
      </c>
      <c r="AK565" s="347">
        <f t="shared" si="418"/>
        <v>564</v>
      </c>
      <c r="AL565" s="348">
        <f t="shared" si="446"/>
        <v>567</v>
      </c>
      <c r="AM565" s="347">
        <f t="shared" si="447"/>
        <v>2</v>
      </c>
      <c r="AN565" s="382">
        <f>IF(AND(AH565&gt;0,B565&lt;&gt;""),VLOOKUP(I565,'AUX-NIV2'!$B:$AP,40,FALSE)*O565,0)</f>
        <v>0</v>
      </c>
      <c r="AO565" s="382">
        <f t="shared" si="419"/>
        <v>2</v>
      </c>
      <c r="AQ565" s="395">
        <f>(IF($H565="x",VLOOKUP($I565,'AUX-NIV2'!$B:$X,'AUX-NIV1'!AQ$3,FALSE),0)+($AV565*'AUX-NIV3'!S$4))*$O565+IF($H565=AQ$4,$P565,0)</f>
        <v>422.48042769667234</v>
      </c>
      <c r="AR565" s="395">
        <f>(IF($H565="x",VLOOKUP($I565,'AUX-NIV2'!$B:$X,'AUX-NIV1'!AR$3,FALSE),0)+($AV565*'AUX-NIV3'!T$4))*$O565+IF($H565=AR$4,$P565,0)</f>
        <v>0</v>
      </c>
      <c r="AS565" s="395">
        <f>(IF($H565="x",VLOOKUP($I565,'AUX-NIV2'!$B:$X,'AUX-NIV1'!AS$3,FALSE),0)+($AV565*'AUX-NIV3'!U$4))*$O565+IF($H565=AS$4,$P565,0)</f>
        <v>0</v>
      </c>
      <c r="AT565" s="395">
        <f>(IF($H565="x",VLOOKUP($I565,'AUX-NIV2'!$B:$X,'AUX-NIV1'!AT$3,FALSE),0)+($AV565*'AUX-NIV3'!V$4))*$O565+IF($H565=AT$4,$P565,0)</f>
        <v>0</v>
      </c>
      <c r="AU565" s="395">
        <f>(IF($H565="x",VLOOKUP($I565,'AUX-NIV2'!$B:$X,'AUX-NIV1'!AU$3,FALSE),0)+($AV565*'AUX-NIV3'!W$4))*$O565+IF($H565=AU$4,$P565,0)</f>
        <v>0</v>
      </c>
      <c r="AV565" s="395">
        <f>+IF($H565="x",VLOOKUP($I565,'AUX-NIV2'!$B:$X,'AUX-NIV1'!AV$3,FALSE),0)</f>
        <v>0</v>
      </c>
    </row>
    <row r="566" spans="2:48" ht="13.8" hidden="1" thickTop="1">
      <c r="B566" s="501" t="s">
        <v>3709</v>
      </c>
      <c r="C566" s="951" t="s">
        <v>3711</v>
      </c>
      <c r="D566" s="1280" t="s">
        <v>501</v>
      </c>
      <c r="E566" s="1281">
        <f>IF(B566&lt;&gt;"",+SUMIF(Items!C:C,'AUX-NIV1'!B566,Items!H:H),"")</f>
        <v>0</v>
      </c>
      <c r="F566" s="1281">
        <f t="shared" si="409"/>
        <v>2901.1952985265289</v>
      </c>
      <c r="G566" s="1281">
        <f t="shared" si="410"/>
        <v>0</v>
      </c>
      <c r="H566" s="1395" t="str">
        <f t="shared" si="434"/>
        <v>M</v>
      </c>
      <c r="I566" s="1375" t="s">
        <v>3712</v>
      </c>
      <c r="J566" s="1283" t="str">
        <f>IF(B566&lt;&gt;"",+VLOOKUP(I566,Recursos!C:F,2,FALSE),"")</f>
        <v>LADRILLON</v>
      </c>
      <c r="K566" s="1284" t="str">
        <f>IF(B566&lt;&gt;"",+VLOOKUP(I566,Recursos!C:F,3,FALSE),"")</f>
        <v>mil</v>
      </c>
      <c r="L566" s="1285">
        <f>IF(B566&lt;&gt;"",+VLOOKUP(I566,Recursos!C:F,4,FALSE),"")</f>
        <v>17000</v>
      </c>
      <c r="M566" s="1351"/>
      <c r="N566" s="1329">
        <v>40</v>
      </c>
      <c r="O566" s="1286">
        <f>N566/1000</f>
        <v>0.04</v>
      </c>
      <c r="P566" s="1287">
        <f t="shared" si="435"/>
        <v>680</v>
      </c>
      <c r="Q566" s="1281">
        <f t="shared" si="436"/>
        <v>0</v>
      </c>
      <c r="R566" s="1288">
        <f t="shared" si="437"/>
        <v>0</v>
      </c>
      <c r="S566" s="1289">
        <f t="shared" si="411"/>
        <v>919.39638208943052</v>
      </c>
      <c r="T566" s="1289">
        <f t="shared" si="412"/>
        <v>0</v>
      </c>
      <c r="U566" s="1290">
        <f t="shared" si="413"/>
        <v>680</v>
      </c>
      <c r="V566" s="1290">
        <f t="shared" si="414"/>
        <v>0</v>
      </c>
      <c r="W566" s="1290">
        <f t="shared" si="415"/>
        <v>0</v>
      </c>
      <c r="X566" s="1290">
        <f t="shared" si="416"/>
        <v>1301.7989164370983</v>
      </c>
      <c r="Y566" s="396"/>
      <c r="Z566" s="1291" t="str">
        <f t="shared" si="438"/>
        <v>0-MULAD1A</v>
      </c>
      <c r="AA566" s="1291" t="str">
        <f t="shared" si="439"/>
        <v>0-MULAD1E</v>
      </c>
      <c r="AB566" s="1291" t="str">
        <f t="shared" si="440"/>
        <v>0-MULAD1M</v>
      </c>
      <c r="AC566" s="1291" t="str">
        <f t="shared" si="441"/>
        <v>0-MULAD1T</v>
      </c>
      <c r="AD566" s="1291" t="str">
        <f t="shared" si="442"/>
        <v>0-MULAD1S</v>
      </c>
      <c r="AE566" s="1291" t="str">
        <f t="shared" si="443"/>
        <v>0-MULAD1X</v>
      </c>
      <c r="AF566" s="1291" t="str">
        <f t="shared" si="444"/>
        <v>0-MULAD1M</v>
      </c>
      <c r="AG566" s="1291">
        <f t="shared" si="417"/>
        <v>4</v>
      </c>
      <c r="AH566" s="1291">
        <f>IF(B566&lt;&gt;"",+IF(H566="x",+VLOOKUP(I566,'AUX-NIV2'!B:AG,32,FALSE),0),"")</f>
        <v>0</v>
      </c>
      <c r="AI566" s="1291" t="str">
        <f t="shared" si="445"/>
        <v>0-MULAD1</v>
      </c>
      <c r="AK566" s="347">
        <f t="shared" si="418"/>
        <v>564</v>
      </c>
      <c r="AL566" s="348">
        <f t="shared" si="446"/>
        <v>567</v>
      </c>
      <c r="AM566" s="347">
        <f t="shared" si="447"/>
        <v>3</v>
      </c>
      <c r="AN566" s="382">
        <f>IF(AND(AH566&gt;0,B566&lt;&gt;""),VLOOKUP(I566,'AUX-NIV2'!$B:$AP,40,FALSE)*O566,0)</f>
        <v>0</v>
      </c>
      <c r="AO566" s="382">
        <f t="shared" si="419"/>
        <v>2</v>
      </c>
      <c r="AQ566" s="395">
        <f>(IF($H566="x",VLOOKUP($I566,'AUX-NIV2'!$B:$X,'AUX-NIV1'!AQ$3,FALSE),0)+($AV566*'AUX-NIV3'!S$4))*$O566+IF($H566=AQ$4,$P566,0)</f>
        <v>0</v>
      </c>
      <c r="AR566" s="395">
        <f>(IF($H566="x",VLOOKUP($I566,'AUX-NIV2'!$B:$X,'AUX-NIV1'!AR$3,FALSE),0)+($AV566*'AUX-NIV3'!T$4))*$O566+IF($H566=AR$4,$P566,0)</f>
        <v>0</v>
      </c>
      <c r="AS566" s="395">
        <f>(IF($H566="x",VLOOKUP($I566,'AUX-NIV2'!$B:$X,'AUX-NIV1'!AS$3,FALSE),0)+($AV566*'AUX-NIV3'!U$4))*$O566+IF($H566=AS$4,$P566,0)</f>
        <v>680</v>
      </c>
      <c r="AT566" s="395">
        <f>(IF($H566="x",VLOOKUP($I566,'AUX-NIV2'!$B:$X,'AUX-NIV1'!AT$3,FALSE),0)+($AV566*'AUX-NIV3'!V$4))*$O566+IF($H566=AT$4,$P566,0)</f>
        <v>0</v>
      </c>
      <c r="AU566" s="395">
        <f>(IF($H566="x",VLOOKUP($I566,'AUX-NIV2'!$B:$X,'AUX-NIV1'!AU$3,FALSE),0)+($AV566*'AUX-NIV3'!W$4))*$O566+IF($H566=AU$4,$P566,0)</f>
        <v>0</v>
      </c>
      <c r="AV566" s="395">
        <f>+IF($H566="x",VLOOKUP($I566,'AUX-NIV2'!$B:$X,'AUX-NIV1'!AV$3,FALSE),0)</f>
        <v>0</v>
      </c>
    </row>
    <row r="567" spans="2:48" ht="14.4" hidden="1" thickTop="1" thickBot="1">
      <c r="B567" s="501" t="s">
        <v>3709</v>
      </c>
      <c r="C567" s="951" t="s">
        <v>3711</v>
      </c>
      <c r="D567" s="1280" t="s">
        <v>501</v>
      </c>
      <c r="E567" s="1281">
        <f>IF(B567&lt;&gt;"",+SUMIF(Items!C:C,'AUX-NIV1'!B567,Items!H:H),"")</f>
        <v>0</v>
      </c>
      <c r="F567" s="1281">
        <f t="shared" si="409"/>
        <v>2901.1952985265289</v>
      </c>
      <c r="G567" s="1281">
        <f t="shared" si="410"/>
        <v>0</v>
      </c>
      <c r="H567" s="1395" t="str">
        <f t="shared" si="434"/>
        <v>X</v>
      </c>
      <c r="I567" s="1375" t="s">
        <v>3735</v>
      </c>
      <c r="J567" s="1283" t="str">
        <f>IF(B567&lt;&gt;"",+VLOOKUP(I567,Recursos!C:F,2,FALSE),"")</f>
        <v>Mortero para ladrillos</v>
      </c>
      <c r="K567" s="1284" t="str">
        <f>IF(B567&lt;&gt;"",+VLOOKUP(I567,Recursos!C:F,3,FALSE),"")</f>
        <v>m3</v>
      </c>
      <c r="L567" s="1285">
        <f>IF(B567&lt;&gt;"",+VLOOKUP(I567,Recursos!C:F,4,FALSE),"")</f>
        <v>5858.095123966943</v>
      </c>
      <c r="M567" s="1335"/>
      <c r="N567" s="1350">
        <f>2/9</f>
        <v>0.22222222222222221</v>
      </c>
      <c r="O567" s="1286">
        <f>N567</f>
        <v>0.22222222222222221</v>
      </c>
      <c r="P567" s="1287">
        <f t="shared" si="435"/>
        <v>1301.7989164370983</v>
      </c>
      <c r="Q567" s="1281">
        <f t="shared" si="436"/>
        <v>0</v>
      </c>
      <c r="R567" s="1288">
        <f t="shared" si="437"/>
        <v>0</v>
      </c>
      <c r="S567" s="1289">
        <f t="shared" si="411"/>
        <v>919.39638208943052</v>
      </c>
      <c r="T567" s="1289">
        <f t="shared" si="412"/>
        <v>0</v>
      </c>
      <c r="U567" s="1290">
        <f t="shared" si="413"/>
        <v>680</v>
      </c>
      <c r="V567" s="1290">
        <f t="shared" si="414"/>
        <v>0</v>
      </c>
      <c r="W567" s="1290">
        <f t="shared" si="415"/>
        <v>0</v>
      </c>
      <c r="X567" s="1290">
        <f t="shared" si="416"/>
        <v>1301.7989164370983</v>
      </c>
      <c r="Y567" s="396"/>
      <c r="Z567" s="1291" t="str">
        <f t="shared" si="438"/>
        <v>0-MULAD1A</v>
      </c>
      <c r="AA567" s="1291" t="str">
        <f t="shared" si="439"/>
        <v>0-MULAD1E</v>
      </c>
      <c r="AB567" s="1291" t="str">
        <f t="shared" si="440"/>
        <v>0-MULAD1M</v>
      </c>
      <c r="AC567" s="1291" t="str">
        <f t="shared" si="441"/>
        <v>0-MULAD1T</v>
      </c>
      <c r="AD567" s="1291" t="str">
        <f t="shared" si="442"/>
        <v>0-MULAD1S</v>
      </c>
      <c r="AE567" s="1291" t="str">
        <f t="shared" si="443"/>
        <v>0-MULAD1X</v>
      </c>
      <c r="AF567" s="1291" t="str">
        <f t="shared" si="444"/>
        <v>0-MULAD1X</v>
      </c>
      <c r="AG567" s="1291">
        <f t="shared" si="417"/>
        <v>4</v>
      </c>
      <c r="AH567" s="1291">
        <f>IF(B567&lt;&gt;"",+IF(H567="x",+VLOOKUP(I567,'AUX-NIV2'!B:AG,32,FALSE),0),"")</f>
        <v>3</v>
      </c>
      <c r="AI567" s="1291" t="str">
        <f t="shared" si="445"/>
        <v>0-MULAD1</v>
      </c>
      <c r="AK567" s="347">
        <f t="shared" si="418"/>
        <v>564</v>
      </c>
      <c r="AL567" s="348">
        <f t="shared" si="446"/>
        <v>567</v>
      </c>
      <c r="AM567" s="347">
        <f t="shared" si="447"/>
        <v>4</v>
      </c>
      <c r="AN567" s="382">
        <f>IF(AND(AH567&gt;0,B567&lt;&gt;""),VLOOKUP(I567,'AUX-NIV2'!$B:$AP,40,FALSE)*O567,0)</f>
        <v>0</v>
      </c>
      <c r="AO567" s="382">
        <f t="shared" si="419"/>
        <v>2</v>
      </c>
      <c r="AQ567" s="395">
        <f>(IF($H567="x",VLOOKUP($I567,'AUX-NIV2'!$B:$X,'AUX-NIV1'!AQ$3,FALSE),0)+($AV567*'AUX-NIV3'!S$4))*$O567+IF($H567=AQ$4,$P567,0)</f>
        <v>0</v>
      </c>
      <c r="AR567" s="395">
        <f>(IF($H567="x",VLOOKUP($I567,'AUX-NIV2'!$B:$X,'AUX-NIV1'!AR$3,FALSE),0)+($AV567*'AUX-NIV3'!T$4))*$O567+IF($H567=AR$4,$P567,0)</f>
        <v>0</v>
      </c>
      <c r="AS567" s="395">
        <f>(IF($H567="x",VLOOKUP($I567,'AUX-NIV2'!$B:$X,'AUX-NIV1'!AS$3,FALSE),0)+($AV567*'AUX-NIV3'!U$4))*$O567+IF($H567=AS$4,$P567,0)</f>
        <v>1301.7989164370983</v>
      </c>
      <c r="AT567" s="395">
        <f>(IF($H567="x",VLOOKUP($I567,'AUX-NIV2'!$B:$X,'AUX-NIV1'!AT$3,FALSE),0)+($AV567*'AUX-NIV3'!V$4))*$O567+IF($H567=AT$4,$P567,0)</f>
        <v>0</v>
      </c>
      <c r="AU567" s="395">
        <f>(IF($H567="x",VLOOKUP($I567,'AUX-NIV2'!$B:$X,'AUX-NIV1'!AU$3,FALSE),0)+($AV567*'AUX-NIV3'!W$4))*$O567+IF($H567=AU$4,$P567,0)</f>
        <v>0</v>
      </c>
      <c r="AV567" s="395">
        <f>+IF($H567="x",VLOOKUP($I567,'AUX-NIV2'!$B:$X,'AUX-NIV1'!AV$3,FALSE),0)</f>
        <v>0</v>
      </c>
    </row>
    <row r="568" spans="2:48" ht="13.8" hidden="1" thickTop="1">
      <c r="B568" s="501" t="s">
        <v>3710</v>
      </c>
      <c r="C568" s="951" t="s">
        <v>3715</v>
      </c>
      <c r="D568" s="1280" t="s">
        <v>501</v>
      </c>
      <c r="E568" s="1281">
        <f>IF(B568&lt;&gt;"",+SUMIF(Items!C:C,'AUX-NIV1'!B568,Items!H:H),"")</f>
        <v>0</v>
      </c>
      <c r="F568" s="1281">
        <f t="shared" si="409"/>
        <v>1840.6868601078625</v>
      </c>
      <c r="G568" s="1281">
        <f t="shared" si="410"/>
        <v>0</v>
      </c>
      <c r="H568" s="1395" t="str">
        <f t="shared" ref="H568:H575" si="477">IF(B568&lt;&gt;"",+LEFT(I568,1),"")</f>
        <v>A</v>
      </c>
      <c r="I568" s="1375" t="s">
        <v>1746</v>
      </c>
      <c r="J568" s="1283" t="str">
        <f>IF(B568&lt;&gt;"",+VLOOKUP(I568,Recursos!C:F,2,FALSE),"")</f>
        <v>OFICIAL</v>
      </c>
      <c r="K568" s="1284" t="str">
        <f>IF(B568&lt;&gt;"",+VLOOKUP(I568,Recursos!C:F,3,FALSE),"")</f>
        <v>hh</v>
      </c>
      <c r="L568" s="1285">
        <f>IF(B568&lt;&gt;"",+VLOOKUP(I568,Recursos!C:F,4,FALSE),"")</f>
        <v>496.91595439275824</v>
      </c>
      <c r="M568" s="989">
        <v>1.25</v>
      </c>
      <c r="N568" s="1292">
        <v>1.5</v>
      </c>
      <c r="O568" s="1286">
        <f>N568/M568</f>
        <v>1.2</v>
      </c>
      <c r="P568" s="1287">
        <f t="shared" ref="P568:P575" si="478">IF(B568&lt;&gt;"",O568*L568,"")</f>
        <v>596.29914527130984</v>
      </c>
      <c r="Q568" s="1281">
        <f t="shared" ref="Q568:Q575" si="479">IF(B568&lt;&gt;"",+O568*E568,"")</f>
        <v>0</v>
      </c>
      <c r="R568" s="1288">
        <f t="shared" ref="R568:R575" si="480">IF(B568&lt;&gt;"",Q568*L568,"")</f>
        <v>0</v>
      </c>
      <c r="S568" s="1289">
        <f t="shared" si="411"/>
        <v>849.78740188931329</v>
      </c>
      <c r="T568" s="1289">
        <f t="shared" si="412"/>
        <v>0</v>
      </c>
      <c r="U568" s="1290">
        <f t="shared" si="413"/>
        <v>340</v>
      </c>
      <c r="V568" s="1290">
        <f t="shared" si="414"/>
        <v>0</v>
      </c>
      <c r="W568" s="1290">
        <f t="shared" si="415"/>
        <v>0</v>
      </c>
      <c r="X568" s="1290">
        <f t="shared" si="416"/>
        <v>650.89945821854917</v>
      </c>
      <c r="Y568" s="396"/>
      <c r="Z568" s="1291" t="str">
        <f t="shared" ref="Z568:Z575" si="481">IF(B568&lt;&gt;"",+$B568&amp;"A","")</f>
        <v>0-MULAD2A</v>
      </c>
      <c r="AA568" s="1291" t="str">
        <f t="shared" ref="AA568:AA575" si="482">IF(B568&lt;&gt;"",+$B568&amp;"E","")</f>
        <v>0-MULAD2E</v>
      </c>
      <c r="AB568" s="1291" t="str">
        <f t="shared" ref="AB568:AB575" si="483">IF(B568&lt;&gt;"",++$B568&amp;"M","")</f>
        <v>0-MULAD2M</v>
      </c>
      <c r="AC568" s="1291" t="str">
        <f t="shared" ref="AC568:AC575" si="484">IF(B568&lt;&gt;"",+$B568&amp;"T","")</f>
        <v>0-MULAD2T</v>
      </c>
      <c r="AD568" s="1291" t="str">
        <f t="shared" ref="AD568:AD575" si="485">IF(B568&lt;&gt;"",+$B568&amp;"S","")</f>
        <v>0-MULAD2S</v>
      </c>
      <c r="AE568" s="1291" t="str">
        <f t="shared" ref="AE568:AE575" si="486">IF(B568&lt;&gt;"",+$B568&amp;"X","")</f>
        <v>0-MULAD2X</v>
      </c>
      <c r="AF568" s="1291" t="str">
        <f t="shared" ref="AF568:AF575" si="487">IF(B568&lt;&gt;"",+B568&amp;H568,"")</f>
        <v>0-MULAD2A</v>
      </c>
      <c r="AG568" s="1291">
        <f t="shared" si="417"/>
        <v>4</v>
      </c>
      <c r="AH568" s="1291">
        <f>IF(B568&lt;&gt;"",+IF(H568="x",+VLOOKUP(I568,'AUX-NIV2'!B:AG,32,FALSE),0),"")</f>
        <v>0</v>
      </c>
      <c r="AI568" s="1291" t="str">
        <f t="shared" ref="AI568:AI575" si="488">IF(B568&lt;&gt;"",+B568,"")</f>
        <v>0-MULAD2</v>
      </c>
      <c r="AK568" s="347">
        <f t="shared" si="418"/>
        <v>568</v>
      </c>
      <c r="AL568" s="348">
        <f t="shared" ref="AL568:AL575" si="489">IF(B568&lt;&gt;"",+AK568+AG568-1,"")</f>
        <v>571</v>
      </c>
      <c r="AM568" s="347">
        <f t="shared" ref="AM568:AM575" si="490">IF(B568&lt;&gt;"",IF(B568=B567,1+AM567,1),"")</f>
        <v>1</v>
      </c>
      <c r="AN568" s="382">
        <f>IF(AND(AH568&gt;0,B568&lt;&gt;""),VLOOKUP(I568,'AUX-NIV2'!$B:$AP,40,FALSE)*O568,0)</f>
        <v>0</v>
      </c>
      <c r="AO568" s="382">
        <f t="shared" si="419"/>
        <v>1.7999999999999998</v>
      </c>
      <c r="AQ568" s="395">
        <f>(IF($H568="x",VLOOKUP($I568,'AUX-NIV2'!$B:$X,'AUX-NIV1'!AQ$3,FALSE),0)+($AV568*'AUX-NIV3'!S$4))*$O568+IF($H568=AQ$4,$P568,0)</f>
        <v>596.29914527130984</v>
      </c>
      <c r="AR568" s="395">
        <f>(IF($H568="x",VLOOKUP($I568,'AUX-NIV2'!$B:$X,'AUX-NIV1'!AR$3,FALSE),0)+($AV568*'AUX-NIV3'!T$4))*$O568+IF($H568=AR$4,$P568,0)</f>
        <v>0</v>
      </c>
      <c r="AS568" s="395">
        <f>(IF($H568="x",VLOOKUP($I568,'AUX-NIV2'!$B:$X,'AUX-NIV1'!AS$3,FALSE),0)+($AV568*'AUX-NIV3'!U$4))*$O568+IF($H568=AS$4,$P568,0)</f>
        <v>0</v>
      </c>
      <c r="AT568" s="395">
        <f>(IF($H568="x",VLOOKUP($I568,'AUX-NIV2'!$B:$X,'AUX-NIV1'!AT$3,FALSE),0)+($AV568*'AUX-NIV3'!V$4))*$O568+IF($H568=AT$4,$P568,0)</f>
        <v>0</v>
      </c>
      <c r="AU568" s="395">
        <f>(IF($H568="x",VLOOKUP($I568,'AUX-NIV2'!$B:$X,'AUX-NIV1'!AU$3,FALSE),0)+($AV568*'AUX-NIV3'!W$4))*$O568+IF($H568=AU$4,$P568,0)</f>
        <v>0</v>
      </c>
      <c r="AV568" s="395">
        <f>+IF($H568="x",VLOOKUP($I568,'AUX-NIV2'!$B:$X,'AUX-NIV1'!AV$3,FALSE),0)</f>
        <v>0</v>
      </c>
    </row>
    <row r="569" spans="2:48" ht="13.8" hidden="1" thickTop="1">
      <c r="B569" s="501" t="s">
        <v>3710</v>
      </c>
      <c r="C569" s="951" t="s">
        <v>3715</v>
      </c>
      <c r="D569" s="1280" t="s">
        <v>501</v>
      </c>
      <c r="E569" s="1281">
        <f>IF(B569&lt;&gt;"",+SUMIF(Items!C:C,'AUX-NIV1'!B569,Items!H:H),"")</f>
        <v>0</v>
      </c>
      <c r="F569" s="1281">
        <f t="shared" si="409"/>
        <v>1840.6868601078625</v>
      </c>
      <c r="G569" s="1281">
        <f t="shared" si="410"/>
        <v>0</v>
      </c>
      <c r="H569" s="1395" t="str">
        <f t="shared" si="477"/>
        <v>A</v>
      </c>
      <c r="I569" s="1375" t="s">
        <v>1745</v>
      </c>
      <c r="J569" s="1283" t="str">
        <f>IF(B569&lt;&gt;"",+VLOOKUP(I569,Recursos!C:F,2,FALSE),"")</f>
        <v>AYUDANTE</v>
      </c>
      <c r="K569" s="1284" t="str">
        <f>IF(B569&lt;&gt;"",+VLOOKUP(I569,Recursos!C:F,3,FALSE),"")</f>
        <v>hh</v>
      </c>
      <c r="L569" s="1285">
        <f>IF(B569&lt;&gt;"",+VLOOKUP(I569,Recursos!C:F,4,FALSE),"")</f>
        <v>422.48042769667234</v>
      </c>
      <c r="M569" s="1351"/>
      <c r="N569" s="1329">
        <v>0.75</v>
      </c>
      <c r="O569" s="1286">
        <f>N569/M568</f>
        <v>0.6</v>
      </c>
      <c r="P569" s="1287">
        <f t="shared" si="478"/>
        <v>253.48825661800339</v>
      </c>
      <c r="Q569" s="1281">
        <f t="shared" si="479"/>
        <v>0</v>
      </c>
      <c r="R569" s="1288">
        <f t="shared" si="480"/>
        <v>0</v>
      </c>
      <c r="S569" s="1289">
        <f t="shared" si="411"/>
        <v>849.78740188931329</v>
      </c>
      <c r="T569" s="1289">
        <f t="shared" si="412"/>
        <v>0</v>
      </c>
      <c r="U569" s="1290">
        <f t="shared" si="413"/>
        <v>340</v>
      </c>
      <c r="V569" s="1290">
        <f t="shared" si="414"/>
        <v>0</v>
      </c>
      <c r="W569" s="1290">
        <f t="shared" si="415"/>
        <v>0</v>
      </c>
      <c r="X569" s="1290">
        <f t="shared" si="416"/>
        <v>650.89945821854917</v>
      </c>
      <c r="Y569" s="396"/>
      <c r="Z569" s="1291" t="str">
        <f t="shared" si="481"/>
        <v>0-MULAD2A</v>
      </c>
      <c r="AA569" s="1291" t="str">
        <f t="shared" si="482"/>
        <v>0-MULAD2E</v>
      </c>
      <c r="AB569" s="1291" t="str">
        <f t="shared" si="483"/>
        <v>0-MULAD2M</v>
      </c>
      <c r="AC569" s="1291" t="str">
        <f t="shared" si="484"/>
        <v>0-MULAD2T</v>
      </c>
      <c r="AD569" s="1291" t="str">
        <f t="shared" si="485"/>
        <v>0-MULAD2S</v>
      </c>
      <c r="AE569" s="1291" t="str">
        <f t="shared" si="486"/>
        <v>0-MULAD2X</v>
      </c>
      <c r="AF569" s="1291" t="str">
        <f t="shared" si="487"/>
        <v>0-MULAD2A</v>
      </c>
      <c r="AG569" s="1291">
        <f t="shared" si="417"/>
        <v>4</v>
      </c>
      <c r="AH569" s="1291">
        <f>IF(B569&lt;&gt;"",+IF(H569="x",+VLOOKUP(I569,'AUX-NIV2'!B:AG,32,FALSE),0),"")</f>
        <v>0</v>
      </c>
      <c r="AI569" s="1291" t="str">
        <f t="shared" si="488"/>
        <v>0-MULAD2</v>
      </c>
      <c r="AK569" s="347">
        <f t="shared" si="418"/>
        <v>568</v>
      </c>
      <c r="AL569" s="348">
        <f t="shared" si="489"/>
        <v>571</v>
      </c>
      <c r="AM569" s="347">
        <f t="shared" si="490"/>
        <v>2</v>
      </c>
      <c r="AN569" s="382">
        <f>IF(AND(AH569&gt;0,B569&lt;&gt;""),VLOOKUP(I569,'AUX-NIV2'!$B:$AP,40,FALSE)*O569,0)</f>
        <v>0</v>
      </c>
      <c r="AO569" s="382">
        <f t="shared" si="419"/>
        <v>1.7999999999999998</v>
      </c>
      <c r="AQ569" s="395">
        <f>(IF($H569="x",VLOOKUP($I569,'AUX-NIV2'!$B:$X,'AUX-NIV1'!AQ$3,FALSE),0)+($AV569*'AUX-NIV3'!S$4))*$O569+IF($H569=AQ$4,$P569,0)</f>
        <v>253.48825661800339</v>
      </c>
      <c r="AR569" s="395">
        <f>(IF($H569="x",VLOOKUP($I569,'AUX-NIV2'!$B:$X,'AUX-NIV1'!AR$3,FALSE),0)+($AV569*'AUX-NIV3'!T$4))*$O569+IF($H569=AR$4,$P569,0)</f>
        <v>0</v>
      </c>
      <c r="AS569" s="395">
        <f>(IF($H569="x",VLOOKUP($I569,'AUX-NIV2'!$B:$X,'AUX-NIV1'!AS$3,FALSE),0)+($AV569*'AUX-NIV3'!U$4))*$O569+IF($H569=AS$4,$P569,0)</f>
        <v>0</v>
      </c>
      <c r="AT569" s="395">
        <f>(IF($H569="x",VLOOKUP($I569,'AUX-NIV2'!$B:$X,'AUX-NIV1'!AT$3,FALSE),0)+($AV569*'AUX-NIV3'!V$4))*$O569+IF($H569=AT$4,$P569,0)</f>
        <v>0</v>
      </c>
      <c r="AU569" s="395">
        <f>(IF($H569="x",VLOOKUP($I569,'AUX-NIV2'!$B:$X,'AUX-NIV1'!AU$3,FALSE),0)+($AV569*'AUX-NIV3'!W$4))*$O569+IF($H569=AU$4,$P569,0)</f>
        <v>0</v>
      </c>
      <c r="AV569" s="395">
        <f>+IF($H569="x",VLOOKUP($I569,'AUX-NIV2'!$B:$X,'AUX-NIV1'!AV$3,FALSE),0)</f>
        <v>0</v>
      </c>
    </row>
    <row r="570" spans="2:48" ht="13.8" hidden="1" thickTop="1">
      <c r="B570" s="501" t="s">
        <v>3710</v>
      </c>
      <c r="C570" s="951" t="s">
        <v>3715</v>
      </c>
      <c r="D570" s="1280" t="s">
        <v>501</v>
      </c>
      <c r="E570" s="1281">
        <f>IF(B570&lt;&gt;"",+SUMIF(Items!C:C,'AUX-NIV1'!B570,Items!H:H),"")</f>
        <v>0</v>
      </c>
      <c r="F570" s="1281">
        <f t="shared" si="409"/>
        <v>1840.6868601078625</v>
      </c>
      <c r="G570" s="1281">
        <f t="shared" si="410"/>
        <v>0</v>
      </c>
      <c r="H570" s="1395" t="str">
        <f t="shared" si="477"/>
        <v>M</v>
      </c>
      <c r="I570" s="1375" t="s">
        <v>3712</v>
      </c>
      <c r="J570" s="1283" t="str">
        <f>IF(B570&lt;&gt;"",+VLOOKUP(I570,Recursos!C:F,2,FALSE),"")</f>
        <v>LADRILLON</v>
      </c>
      <c r="K570" s="1284" t="str">
        <f>IF(B570&lt;&gt;"",+VLOOKUP(I570,Recursos!C:F,3,FALSE),"")</f>
        <v>mil</v>
      </c>
      <c r="L570" s="1285">
        <f>IF(B570&lt;&gt;"",+VLOOKUP(I570,Recursos!C:F,4,FALSE),"")</f>
        <v>17000</v>
      </c>
      <c r="M570" s="1351"/>
      <c r="N570" s="1329">
        <v>20</v>
      </c>
      <c r="O570" s="1286">
        <f>N570/1000</f>
        <v>0.02</v>
      </c>
      <c r="P570" s="1287">
        <f t="shared" si="478"/>
        <v>340</v>
      </c>
      <c r="Q570" s="1281">
        <f t="shared" si="479"/>
        <v>0</v>
      </c>
      <c r="R570" s="1288">
        <f t="shared" si="480"/>
        <v>0</v>
      </c>
      <c r="S570" s="1289">
        <f t="shared" si="411"/>
        <v>849.78740188931329</v>
      </c>
      <c r="T570" s="1289">
        <f t="shared" si="412"/>
        <v>0</v>
      </c>
      <c r="U570" s="1290">
        <f t="shared" si="413"/>
        <v>340</v>
      </c>
      <c r="V570" s="1290">
        <f t="shared" si="414"/>
        <v>0</v>
      </c>
      <c r="W570" s="1290">
        <f t="shared" si="415"/>
        <v>0</v>
      </c>
      <c r="X570" s="1290">
        <f t="shared" si="416"/>
        <v>650.89945821854917</v>
      </c>
      <c r="Y570" s="396"/>
      <c r="Z570" s="1291" t="str">
        <f t="shared" si="481"/>
        <v>0-MULAD2A</v>
      </c>
      <c r="AA570" s="1291" t="str">
        <f t="shared" si="482"/>
        <v>0-MULAD2E</v>
      </c>
      <c r="AB570" s="1291" t="str">
        <f t="shared" si="483"/>
        <v>0-MULAD2M</v>
      </c>
      <c r="AC570" s="1291" t="str">
        <f t="shared" si="484"/>
        <v>0-MULAD2T</v>
      </c>
      <c r="AD570" s="1291" t="str">
        <f t="shared" si="485"/>
        <v>0-MULAD2S</v>
      </c>
      <c r="AE570" s="1291" t="str">
        <f t="shared" si="486"/>
        <v>0-MULAD2X</v>
      </c>
      <c r="AF570" s="1291" t="str">
        <f t="shared" si="487"/>
        <v>0-MULAD2M</v>
      </c>
      <c r="AG570" s="1291">
        <f t="shared" si="417"/>
        <v>4</v>
      </c>
      <c r="AH570" s="1291">
        <f>IF(B570&lt;&gt;"",+IF(H570="x",+VLOOKUP(I570,'AUX-NIV2'!B:AG,32,FALSE),0),"")</f>
        <v>0</v>
      </c>
      <c r="AI570" s="1291" t="str">
        <f t="shared" si="488"/>
        <v>0-MULAD2</v>
      </c>
      <c r="AK570" s="347">
        <f t="shared" si="418"/>
        <v>568</v>
      </c>
      <c r="AL570" s="348">
        <f t="shared" si="489"/>
        <v>571</v>
      </c>
      <c r="AM570" s="347">
        <f t="shared" si="490"/>
        <v>3</v>
      </c>
      <c r="AN570" s="382">
        <f>IF(AND(AH570&gt;0,B570&lt;&gt;""),VLOOKUP(I570,'AUX-NIV2'!$B:$AP,40,FALSE)*O570,0)</f>
        <v>0</v>
      </c>
      <c r="AO570" s="382">
        <f t="shared" si="419"/>
        <v>1.7999999999999998</v>
      </c>
      <c r="AQ570" s="395">
        <f>(IF($H570="x",VLOOKUP($I570,'AUX-NIV2'!$B:$X,'AUX-NIV1'!AQ$3,FALSE),0)+($AV570*'AUX-NIV3'!S$4))*$O570+IF($H570=AQ$4,$P570,0)</f>
        <v>0</v>
      </c>
      <c r="AR570" s="395">
        <f>(IF($H570="x",VLOOKUP($I570,'AUX-NIV2'!$B:$X,'AUX-NIV1'!AR$3,FALSE),0)+($AV570*'AUX-NIV3'!T$4))*$O570+IF($H570=AR$4,$P570,0)</f>
        <v>0</v>
      </c>
      <c r="AS570" s="395">
        <f>(IF($H570="x",VLOOKUP($I570,'AUX-NIV2'!$B:$X,'AUX-NIV1'!AS$3,FALSE),0)+($AV570*'AUX-NIV3'!U$4))*$O570+IF($H570=AS$4,$P570,0)</f>
        <v>340</v>
      </c>
      <c r="AT570" s="395">
        <f>(IF($H570="x",VLOOKUP($I570,'AUX-NIV2'!$B:$X,'AUX-NIV1'!AT$3,FALSE),0)+($AV570*'AUX-NIV3'!V$4))*$O570+IF($H570=AT$4,$P570,0)</f>
        <v>0</v>
      </c>
      <c r="AU570" s="395">
        <f>(IF($H570="x",VLOOKUP($I570,'AUX-NIV2'!$B:$X,'AUX-NIV1'!AU$3,FALSE),0)+($AV570*'AUX-NIV3'!W$4))*$O570+IF($H570=AU$4,$P570,0)</f>
        <v>0</v>
      </c>
      <c r="AV570" s="395">
        <f>+IF($H570="x",VLOOKUP($I570,'AUX-NIV2'!$B:$X,'AUX-NIV1'!AV$3,FALSE),0)</f>
        <v>0</v>
      </c>
    </row>
    <row r="571" spans="2:48" ht="14.4" hidden="1" thickTop="1" thickBot="1">
      <c r="B571" s="501" t="s">
        <v>3710</v>
      </c>
      <c r="C571" s="951" t="s">
        <v>3715</v>
      </c>
      <c r="D571" s="1280" t="s">
        <v>501</v>
      </c>
      <c r="E571" s="1281">
        <f>IF(B571&lt;&gt;"",+SUMIF(Items!C:C,'AUX-NIV1'!B571,Items!H:H),"")</f>
        <v>0</v>
      </c>
      <c r="F571" s="1281">
        <f t="shared" si="409"/>
        <v>1840.6868601078625</v>
      </c>
      <c r="G571" s="1281">
        <f t="shared" si="410"/>
        <v>0</v>
      </c>
      <c r="H571" s="1395" t="str">
        <f t="shared" si="477"/>
        <v>X</v>
      </c>
      <c r="I571" s="1375" t="s">
        <v>3735</v>
      </c>
      <c r="J571" s="1283" t="str">
        <f>IF(B571&lt;&gt;"",+VLOOKUP(I571,Recursos!C:F,2,FALSE),"")</f>
        <v>Mortero para ladrillos</v>
      </c>
      <c r="K571" s="1284" t="str">
        <f>IF(B571&lt;&gt;"",+VLOOKUP(I571,Recursos!C:F,3,FALSE),"")</f>
        <v>m3</v>
      </c>
      <c r="L571" s="1285">
        <f>IF(B571&lt;&gt;"",+VLOOKUP(I571,Recursos!C:F,4,FALSE),"")</f>
        <v>5858.095123966943</v>
      </c>
      <c r="M571" s="1335"/>
      <c r="N571" s="1350">
        <f>2/18</f>
        <v>0.1111111111111111</v>
      </c>
      <c r="O571" s="1286">
        <f>N571</f>
        <v>0.1111111111111111</v>
      </c>
      <c r="P571" s="1287">
        <f t="shared" si="478"/>
        <v>650.89945821854917</v>
      </c>
      <c r="Q571" s="1281">
        <f t="shared" si="479"/>
        <v>0</v>
      </c>
      <c r="R571" s="1288">
        <f t="shared" si="480"/>
        <v>0</v>
      </c>
      <c r="S571" s="1289">
        <f t="shared" si="411"/>
        <v>849.78740188931329</v>
      </c>
      <c r="T571" s="1289">
        <f t="shared" si="412"/>
        <v>0</v>
      </c>
      <c r="U571" s="1290">
        <f t="shared" si="413"/>
        <v>340</v>
      </c>
      <c r="V571" s="1290">
        <f t="shared" si="414"/>
        <v>0</v>
      </c>
      <c r="W571" s="1290">
        <f t="shared" si="415"/>
        <v>0</v>
      </c>
      <c r="X571" s="1290">
        <f t="shared" si="416"/>
        <v>650.89945821854917</v>
      </c>
      <c r="Y571" s="396"/>
      <c r="Z571" s="1291" t="str">
        <f t="shared" si="481"/>
        <v>0-MULAD2A</v>
      </c>
      <c r="AA571" s="1291" t="str">
        <f t="shared" si="482"/>
        <v>0-MULAD2E</v>
      </c>
      <c r="AB571" s="1291" t="str">
        <f t="shared" si="483"/>
        <v>0-MULAD2M</v>
      </c>
      <c r="AC571" s="1291" t="str">
        <f t="shared" si="484"/>
        <v>0-MULAD2T</v>
      </c>
      <c r="AD571" s="1291" t="str">
        <f t="shared" si="485"/>
        <v>0-MULAD2S</v>
      </c>
      <c r="AE571" s="1291" t="str">
        <f t="shared" si="486"/>
        <v>0-MULAD2X</v>
      </c>
      <c r="AF571" s="1291" t="str">
        <f t="shared" si="487"/>
        <v>0-MULAD2X</v>
      </c>
      <c r="AG571" s="1291">
        <f t="shared" si="417"/>
        <v>4</v>
      </c>
      <c r="AH571" s="1291">
        <f>IF(B571&lt;&gt;"",+IF(H571="x",+VLOOKUP(I571,'AUX-NIV2'!B:AG,32,FALSE),0),"")</f>
        <v>3</v>
      </c>
      <c r="AI571" s="1291" t="str">
        <f t="shared" si="488"/>
        <v>0-MULAD2</v>
      </c>
      <c r="AK571" s="347">
        <f t="shared" si="418"/>
        <v>568</v>
      </c>
      <c r="AL571" s="348">
        <f t="shared" si="489"/>
        <v>571</v>
      </c>
      <c r="AM571" s="347">
        <f t="shared" si="490"/>
        <v>4</v>
      </c>
      <c r="AN571" s="382">
        <f>IF(AND(AH571&gt;0,B571&lt;&gt;""),VLOOKUP(I571,'AUX-NIV2'!$B:$AP,40,FALSE)*O571,0)</f>
        <v>0</v>
      </c>
      <c r="AO571" s="382">
        <f t="shared" si="419"/>
        <v>1.7999999999999998</v>
      </c>
      <c r="AQ571" s="395">
        <f>(IF($H571="x",VLOOKUP($I571,'AUX-NIV2'!$B:$X,'AUX-NIV1'!AQ$3,FALSE),0)+($AV571*'AUX-NIV3'!S$4))*$O571+IF($H571=AQ$4,$P571,0)</f>
        <v>0</v>
      </c>
      <c r="AR571" s="395">
        <f>(IF($H571="x",VLOOKUP($I571,'AUX-NIV2'!$B:$X,'AUX-NIV1'!AR$3,FALSE),0)+($AV571*'AUX-NIV3'!T$4))*$O571+IF($H571=AR$4,$P571,0)</f>
        <v>0</v>
      </c>
      <c r="AS571" s="395">
        <f>(IF($H571="x",VLOOKUP($I571,'AUX-NIV2'!$B:$X,'AUX-NIV1'!AS$3,FALSE),0)+($AV571*'AUX-NIV3'!U$4))*$O571+IF($H571=AS$4,$P571,0)</f>
        <v>650.89945821854917</v>
      </c>
      <c r="AT571" s="395">
        <f>(IF($H571="x",VLOOKUP($I571,'AUX-NIV2'!$B:$X,'AUX-NIV1'!AT$3,FALSE),0)+($AV571*'AUX-NIV3'!V$4))*$O571+IF($H571=AT$4,$P571,0)</f>
        <v>0</v>
      </c>
      <c r="AU571" s="395">
        <f>(IF($H571="x",VLOOKUP($I571,'AUX-NIV2'!$B:$X,'AUX-NIV1'!AU$3,FALSE),0)+($AV571*'AUX-NIV3'!W$4))*$O571+IF($H571=AU$4,$P571,0)</f>
        <v>0</v>
      </c>
      <c r="AV571" s="395">
        <f>+IF($H571="x",VLOOKUP($I571,'AUX-NIV2'!$B:$X,'AUX-NIV1'!AV$3,FALSE),0)</f>
        <v>0</v>
      </c>
    </row>
    <row r="572" spans="2:48" ht="13.8" hidden="1" thickTop="1">
      <c r="B572" s="501" t="s">
        <v>4271</v>
      </c>
      <c r="C572" s="951" t="s">
        <v>4273</v>
      </c>
      <c r="D572" s="1280" t="s">
        <v>501</v>
      </c>
      <c r="E572" s="1281">
        <f>IF(B572&lt;&gt;"",+SUMIF(Items!C:C,'AUX-NIV1'!B572,Items!H:H),"")</f>
        <v>0</v>
      </c>
      <c r="F572" s="1281">
        <f t="shared" si="409"/>
        <v>1837.3461111987051</v>
      </c>
      <c r="G572" s="1281">
        <f t="shared" si="410"/>
        <v>0</v>
      </c>
      <c r="H572" s="1395" t="str">
        <f t="shared" si="477"/>
        <v>A</v>
      </c>
      <c r="I572" s="1375" t="s">
        <v>1746</v>
      </c>
      <c r="J572" s="1283" t="str">
        <f>IF(B572&lt;&gt;"",+VLOOKUP(I572,Recursos!C:F,2,FALSE),"")</f>
        <v>OFICIAL</v>
      </c>
      <c r="K572" s="1284" t="str">
        <f>IF(B572&lt;&gt;"",+VLOOKUP(I572,Recursos!C:F,3,FALSE),"")</f>
        <v>hh</v>
      </c>
      <c r="L572" s="1285">
        <f>IF(B572&lt;&gt;"",+VLOOKUP(I572,Recursos!C:F,4,FALSE),"")</f>
        <v>496.91595439275824</v>
      </c>
      <c r="M572" s="989">
        <v>1</v>
      </c>
      <c r="N572" s="1292">
        <v>1</v>
      </c>
      <c r="O572" s="1286">
        <f>N572/M572</f>
        <v>1</v>
      </c>
      <c r="P572" s="1287">
        <f t="shared" si="478"/>
        <v>496.91595439275824</v>
      </c>
      <c r="Q572" s="1281">
        <f t="shared" si="479"/>
        <v>0</v>
      </c>
      <c r="R572" s="1288">
        <f t="shared" si="480"/>
        <v>0</v>
      </c>
      <c r="S572" s="1289">
        <f t="shared" si="411"/>
        <v>919.39638208943052</v>
      </c>
      <c r="T572" s="1289">
        <f t="shared" si="412"/>
        <v>0</v>
      </c>
      <c r="U572" s="1290">
        <f t="shared" si="413"/>
        <v>592.5</v>
      </c>
      <c r="V572" s="1290">
        <f t="shared" si="414"/>
        <v>0</v>
      </c>
      <c r="W572" s="1290">
        <f t="shared" si="415"/>
        <v>0</v>
      </c>
      <c r="X572" s="1290">
        <f t="shared" si="416"/>
        <v>325.44972910927459</v>
      </c>
      <c r="Y572" s="396"/>
      <c r="Z572" s="1291" t="str">
        <f t="shared" si="481"/>
        <v>0-MULAD4A</v>
      </c>
      <c r="AA572" s="1291" t="str">
        <f t="shared" si="482"/>
        <v>0-MULAD4E</v>
      </c>
      <c r="AB572" s="1291" t="str">
        <f t="shared" si="483"/>
        <v>0-MULAD4M</v>
      </c>
      <c r="AC572" s="1291" t="str">
        <f t="shared" si="484"/>
        <v>0-MULAD4T</v>
      </c>
      <c r="AD572" s="1291" t="str">
        <f t="shared" si="485"/>
        <v>0-MULAD4S</v>
      </c>
      <c r="AE572" s="1291" t="str">
        <f t="shared" si="486"/>
        <v>0-MULAD4X</v>
      </c>
      <c r="AF572" s="1291" t="str">
        <f t="shared" si="487"/>
        <v>0-MULAD4A</v>
      </c>
      <c r="AG572" s="1291">
        <f t="shared" si="417"/>
        <v>4</v>
      </c>
      <c r="AH572" s="1291">
        <f>IF(B572&lt;&gt;"",+IF(H572="x",+VLOOKUP(I572,'AUX-NIV2'!B:AG,32,FALSE),0),"")</f>
        <v>0</v>
      </c>
      <c r="AI572" s="1291" t="str">
        <f t="shared" si="488"/>
        <v>0-MULAD4</v>
      </c>
      <c r="AK572" s="347">
        <f t="shared" si="418"/>
        <v>572</v>
      </c>
      <c r="AL572" s="348">
        <f t="shared" si="489"/>
        <v>575</v>
      </c>
      <c r="AM572" s="347">
        <f t="shared" si="490"/>
        <v>1</v>
      </c>
      <c r="AN572" s="382">
        <f>IF(AND(AH572&gt;0,B572&lt;&gt;""),VLOOKUP(I572,'AUX-NIV2'!$B:$AP,40,FALSE)*O572,0)</f>
        <v>0</v>
      </c>
      <c r="AO572" s="382">
        <f t="shared" si="419"/>
        <v>2</v>
      </c>
      <c r="AQ572" s="395">
        <f>(IF($H572="x",VLOOKUP($I572,'AUX-NIV2'!$B:$X,'AUX-NIV1'!AQ$3,FALSE),0)+($AV572*'AUX-NIV3'!S$4))*$O572+IF($H572=AQ$4,$P572,0)</f>
        <v>496.91595439275824</v>
      </c>
      <c r="AR572" s="395">
        <f>(IF($H572="x",VLOOKUP($I572,'AUX-NIV2'!$B:$X,'AUX-NIV1'!AR$3,FALSE),0)+($AV572*'AUX-NIV3'!T$4))*$O572+IF($H572=AR$4,$P572,0)</f>
        <v>0</v>
      </c>
      <c r="AS572" s="395">
        <f>(IF($H572="x",VLOOKUP($I572,'AUX-NIV2'!$B:$X,'AUX-NIV1'!AS$3,FALSE),0)+($AV572*'AUX-NIV3'!U$4))*$O572+IF($H572=AS$4,$P572,0)</f>
        <v>0</v>
      </c>
      <c r="AT572" s="395">
        <f>(IF($H572="x",VLOOKUP($I572,'AUX-NIV2'!$B:$X,'AUX-NIV1'!AT$3,FALSE),0)+($AV572*'AUX-NIV3'!V$4))*$O572+IF($H572=AT$4,$P572,0)</f>
        <v>0</v>
      </c>
      <c r="AU572" s="395">
        <f>(IF($H572="x",VLOOKUP($I572,'AUX-NIV2'!$B:$X,'AUX-NIV1'!AU$3,FALSE),0)+($AV572*'AUX-NIV3'!W$4))*$O572+IF($H572=AU$4,$P572,0)</f>
        <v>0</v>
      </c>
      <c r="AV572" s="395">
        <f>+IF($H572="x",VLOOKUP($I572,'AUX-NIV2'!$B:$X,'AUX-NIV1'!AV$3,FALSE),0)</f>
        <v>0</v>
      </c>
    </row>
    <row r="573" spans="2:48" ht="13.8" hidden="1" thickTop="1">
      <c r="B573" s="501" t="s">
        <v>4271</v>
      </c>
      <c r="C573" s="951" t="s">
        <v>4273</v>
      </c>
      <c r="D573" s="1280" t="s">
        <v>501</v>
      </c>
      <c r="E573" s="1281">
        <f>IF(B573&lt;&gt;"",+SUMIF(Items!C:C,'AUX-NIV1'!B573,Items!H:H),"")</f>
        <v>0</v>
      </c>
      <c r="F573" s="1281">
        <f t="shared" si="409"/>
        <v>1837.3461111987051</v>
      </c>
      <c r="G573" s="1281">
        <f t="shared" si="410"/>
        <v>0</v>
      </c>
      <c r="H573" s="1395" t="str">
        <f t="shared" si="477"/>
        <v>A</v>
      </c>
      <c r="I573" s="1375" t="s">
        <v>1745</v>
      </c>
      <c r="J573" s="1283" t="str">
        <f>IF(B573&lt;&gt;"",+VLOOKUP(I573,Recursos!C:F,2,FALSE),"")</f>
        <v>AYUDANTE</v>
      </c>
      <c r="K573" s="1284" t="str">
        <f>IF(B573&lt;&gt;"",+VLOOKUP(I573,Recursos!C:F,3,FALSE),"")</f>
        <v>hh</v>
      </c>
      <c r="L573" s="1285">
        <f>IF(B573&lt;&gt;"",+VLOOKUP(I573,Recursos!C:F,4,FALSE),"")</f>
        <v>422.48042769667234</v>
      </c>
      <c r="M573" s="1351"/>
      <c r="N573" s="1329">
        <v>1</v>
      </c>
      <c r="O573" s="1286">
        <f>N573/M572</f>
        <v>1</v>
      </c>
      <c r="P573" s="1287">
        <f t="shared" si="478"/>
        <v>422.48042769667234</v>
      </c>
      <c r="Q573" s="1281">
        <f t="shared" si="479"/>
        <v>0</v>
      </c>
      <c r="R573" s="1288">
        <f t="shared" si="480"/>
        <v>0</v>
      </c>
      <c r="S573" s="1289">
        <f t="shared" si="411"/>
        <v>919.39638208943052</v>
      </c>
      <c r="T573" s="1289">
        <f t="shared" si="412"/>
        <v>0</v>
      </c>
      <c r="U573" s="1290">
        <f t="shared" si="413"/>
        <v>592.5</v>
      </c>
      <c r="V573" s="1290">
        <f t="shared" si="414"/>
        <v>0</v>
      </c>
      <c r="W573" s="1290">
        <f t="shared" si="415"/>
        <v>0</v>
      </c>
      <c r="X573" s="1290">
        <f t="shared" si="416"/>
        <v>325.44972910927459</v>
      </c>
      <c r="Y573" s="396"/>
      <c r="Z573" s="1291" t="str">
        <f t="shared" si="481"/>
        <v>0-MULAD4A</v>
      </c>
      <c r="AA573" s="1291" t="str">
        <f t="shared" si="482"/>
        <v>0-MULAD4E</v>
      </c>
      <c r="AB573" s="1291" t="str">
        <f t="shared" si="483"/>
        <v>0-MULAD4M</v>
      </c>
      <c r="AC573" s="1291" t="str">
        <f t="shared" si="484"/>
        <v>0-MULAD4T</v>
      </c>
      <c r="AD573" s="1291" t="str">
        <f t="shared" si="485"/>
        <v>0-MULAD4S</v>
      </c>
      <c r="AE573" s="1291" t="str">
        <f t="shared" si="486"/>
        <v>0-MULAD4X</v>
      </c>
      <c r="AF573" s="1291" t="str">
        <f t="shared" si="487"/>
        <v>0-MULAD4A</v>
      </c>
      <c r="AG573" s="1291">
        <f t="shared" si="417"/>
        <v>4</v>
      </c>
      <c r="AH573" s="1291">
        <f>IF(B573&lt;&gt;"",+IF(H573="x",+VLOOKUP(I573,'AUX-NIV2'!B:AG,32,FALSE),0),"")</f>
        <v>0</v>
      </c>
      <c r="AI573" s="1291" t="str">
        <f t="shared" si="488"/>
        <v>0-MULAD4</v>
      </c>
      <c r="AK573" s="347">
        <f t="shared" si="418"/>
        <v>572</v>
      </c>
      <c r="AL573" s="348">
        <f t="shared" si="489"/>
        <v>575</v>
      </c>
      <c r="AM573" s="347">
        <f t="shared" si="490"/>
        <v>2</v>
      </c>
      <c r="AN573" s="382">
        <f>IF(AND(AH573&gt;0,B573&lt;&gt;""),VLOOKUP(I573,'AUX-NIV2'!$B:$AP,40,FALSE)*O573,0)</f>
        <v>0</v>
      </c>
      <c r="AO573" s="382">
        <f t="shared" si="419"/>
        <v>2</v>
      </c>
      <c r="AQ573" s="395">
        <f>(IF($H573="x",VLOOKUP($I573,'AUX-NIV2'!$B:$X,'AUX-NIV1'!AQ$3,FALSE),0)+($AV573*'AUX-NIV3'!S$4))*$O573+IF($H573=AQ$4,$P573,0)</f>
        <v>422.48042769667234</v>
      </c>
      <c r="AR573" s="395">
        <f>(IF($H573="x",VLOOKUP($I573,'AUX-NIV2'!$B:$X,'AUX-NIV1'!AR$3,FALSE),0)+($AV573*'AUX-NIV3'!T$4))*$O573+IF($H573=AR$4,$P573,0)</f>
        <v>0</v>
      </c>
      <c r="AS573" s="395">
        <f>(IF($H573="x",VLOOKUP($I573,'AUX-NIV2'!$B:$X,'AUX-NIV1'!AS$3,FALSE),0)+($AV573*'AUX-NIV3'!U$4))*$O573+IF($H573=AS$4,$P573,0)</f>
        <v>0</v>
      </c>
      <c r="AT573" s="395">
        <f>(IF($H573="x",VLOOKUP($I573,'AUX-NIV2'!$B:$X,'AUX-NIV1'!AT$3,FALSE),0)+($AV573*'AUX-NIV3'!V$4))*$O573+IF($H573=AT$4,$P573,0)</f>
        <v>0</v>
      </c>
      <c r="AU573" s="395">
        <f>(IF($H573="x",VLOOKUP($I573,'AUX-NIV2'!$B:$X,'AUX-NIV1'!AU$3,FALSE),0)+($AV573*'AUX-NIV3'!W$4))*$O573+IF($H573=AU$4,$P573,0)</f>
        <v>0</v>
      </c>
      <c r="AV573" s="395">
        <f>+IF($H573="x",VLOOKUP($I573,'AUX-NIV2'!$B:$X,'AUX-NIV1'!AV$3,FALSE),0)</f>
        <v>0</v>
      </c>
    </row>
    <row r="574" spans="2:48" ht="13.8" hidden="1" thickTop="1">
      <c r="B574" s="501" t="s">
        <v>4271</v>
      </c>
      <c r="C574" s="951" t="s">
        <v>4273</v>
      </c>
      <c r="D574" s="1280" t="s">
        <v>501</v>
      </c>
      <c r="E574" s="1281">
        <f>IF(B574&lt;&gt;"",+SUMIF(Items!C:C,'AUX-NIV1'!B574,Items!H:H),"")</f>
        <v>0</v>
      </c>
      <c r="F574" s="1281">
        <f t="shared" si="409"/>
        <v>1837.3461111987051</v>
      </c>
      <c r="G574" s="1281">
        <f t="shared" si="410"/>
        <v>0</v>
      </c>
      <c r="H574" s="1395" t="str">
        <f t="shared" si="477"/>
        <v>M</v>
      </c>
      <c r="I574" s="1375" t="s">
        <v>4276</v>
      </c>
      <c r="J574" s="1283" t="str">
        <f>IF(B574&lt;&gt;"",+VLOOKUP(I574,Recursos!C:F,2,FALSE),"")</f>
        <v>LADRILLO HUECO 18x18x33</v>
      </c>
      <c r="K574" s="1284" t="str">
        <f>IF(B574&lt;&gt;"",+VLOOKUP(I574,Recursos!C:F,3,FALSE),"")</f>
        <v>mil</v>
      </c>
      <c r="L574" s="1285">
        <f>IF(B574&lt;&gt;"",+VLOOKUP(I574,Recursos!C:F,4,FALSE),"")</f>
        <v>39500</v>
      </c>
      <c r="M574" s="1351"/>
      <c r="N574" s="1329">
        <v>15</v>
      </c>
      <c r="O574" s="1286">
        <f>N574/1000</f>
        <v>1.4999999999999999E-2</v>
      </c>
      <c r="P574" s="1287">
        <f t="shared" si="478"/>
        <v>592.5</v>
      </c>
      <c r="Q574" s="1281">
        <f t="shared" si="479"/>
        <v>0</v>
      </c>
      <c r="R574" s="1288">
        <f t="shared" si="480"/>
        <v>0</v>
      </c>
      <c r="S574" s="1289">
        <f t="shared" si="411"/>
        <v>919.39638208943052</v>
      </c>
      <c r="T574" s="1289">
        <f t="shared" si="412"/>
        <v>0</v>
      </c>
      <c r="U574" s="1290">
        <f t="shared" si="413"/>
        <v>592.5</v>
      </c>
      <c r="V574" s="1290">
        <f t="shared" si="414"/>
        <v>0</v>
      </c>
      <c r="W574" s="1290">
        <f t="shared" si="415"/>
        <v>0</v>
      </c>
      <c r="X574" s="1290">
        <f t="shared" si="416"/>
        <v>325.44972910927459</v>
      </c>
      <c r="Y574" s="396"/>
      <c r="Z574" s="1291" t="str">
        <f t="shared" si="481"/>
        <v>0-MULAD4A</v>
      </c>
      <c r="AA574" s="1291" t="str">
        <f t="shared" si="482"/>
        <v>0-MULAD4E</v>
      </c>
      <c r="AB574" s="1291" t="str">
        <f t="shared" si="483"/>
        <v>0-MULAD4M</v>
      </c>
      <c r="AC574" s="1291" t="str">
        <f t="shared" si="484"/>
        <v>0-MULAD4T</v>
      </c>
      <c r="AD574" s="1291" t="str">
        <f t="shared" si="485"/>
        <v>0-MULAD4S</v>
      </c>
      <c r="AE574" s="1291" t="str">
        <f t="shared" si="486"/>
        <v>0-MULAD4X</v>
      </c>
      <c r="AF574" s="1291" t="str">
        <f t="shared" si="487"/>
        <v>0-MULAD4M</v>
      </c>
      <c r="AG574" s="1291">
        <f t="shared" si="417"/>
        <v>4</v>
      </c>
      <c r="AH574" s="1291">
        <f>IF(B574&lt;&gt;"",+IF(H574="x",+VLOOKUP(I574,'AUX-NIV2'!B:AG,32,FALSE),0),"")</f>
        <v>0</v>
      </c>
      <c r="AI574" s="1291" t="str">
        <f t="shared" si="488"/>
        <v>0-MULAD4</v>
      </c>
      <c r="AK574" s="347">
        <f t="shared" si="418"/>
        <v>572</v>
      </c>
      <c r="AL574" s="348">
        <f t="shared" si="489"/>
        <v>575</v>
      </c>
      <c r="AM574" s="347">
        <f t="shared" si="490"/>
        <v>3</v>
      </c>
      <c r="AN574" s="382">
        <f>IF(AND(AH574&gt;0,B574&lt;&gt;""),VLOOKUP(I574,'AUX-NIV2'!$B:$AP,40,FALSE)*O574,0)</f>
        <v>0</v>
      </c>
      <c r="AO574" s="382">
        <f t="shared" si="419"/>
        <v>2</v>
      </c>
      <c r="AQ574" s="395">
        <f>(IF($H574="x",VLOOKUP($I574,'AUX-NIV2'!$B:$X,'AUX-NIV1'!AQ$3,FALSE),0)+($AV574*'AUX-NIV3'!S$4))*$O574+IF($H574=AQ$4,$P574,0)</f>
        <v>0</v>
      </c>
      <c r="AR574" s="395">
        <f>(IF($H574="x",VLOOKUP($I574,'AUX-NIV2'!$B:$X,'AUX-NIV1'!AR$3,FALSE),0)+($AV574*'AUX-NIV3'!T$4))*$O574+IF($H574=AR$4,$P574,0)</f>
        <v>0</v>
      </c>
      <c r="AS574" s="395">
        <f>(IF($H574="x",VLOOKUP($I574,'AUX-NIV2'!$B:$X,'AUX-NIV1'!AS$3,FALSE),0)+($AV574*'AUX-NIV3'!U$4))*$O574+IF($H574=AS$4,$P574,0)</f>
        <v>592.5</v>
      </c>
      <c r="AT574" s="395">
        <f>(IF($H574="x",VLOOKUP($I574,'AUX-NIV2'!$B:$X,'AUX-NIV1'!AT$3,FALSE),0)+($AV574*'AUX-NIV3'!V$4))*$O574+IF($H574=AT$4,$P574,0)</f>
        <v>0</v>
      </c>
      <c r="AU574" s="395">
        <f>(IF($H574="x",VLOOKUP($I574,'AUX-NIV2'!$B:$X,'AUX-NIV1'!AU$3,FALSE),0)+($AV574*'AUX-NIV3'!W$4))*$O574+IF($H574=AU$4,$P574,0)</f>
        <v>0</v>
      </c>
      <c r="AV574" s="395">
        <f>+IF($H574="x",VLOOKUP($I574,'AUX-NIV2'!$B:$X,'AUX-NIV1'!AV$3,FALSE),0)</f>
        <v>0</v>
      </c>
    </row>
    <row r="575" spans="2:48" ht="14.4" hidden="1" thickTop="1" thickBot="1">
      <c r="B575" s="501" t="s">
        <v>4271</v>
      </c>
      <c r="C575" s="951" t="s">
        <v>4273</v>
      </c>
      <c r="D575" s="1280" t="s">
        <v>501</v>
      </c>
      <c r="E575" s="1281">
        <f>IF(B575&lt;&gt;"",+SUMIF(Items!C:C,'AUX-NIV1'!B575,Items!H:H),"")</f>
        <v>0</v>
      </c>
      <c r="F575" s="1281">
        <f t="shared" si="409"/>
        <v>1837.3461111987051</v>
      </c>
      <c r="G575" s="1281">
        <f t="shared" si="410"/>
        <v>0</v>
      </c>
      <c r="H575" s="1395" t="str">
        <f t="shared" si="477"/>
        <v>X</v>
      </c>
      <c r="I575" s="1375" t="s">
        <v>3735</v>
      </c>
      <c r="J575" s="1283" t="str">
        <f>IF(B575&lt;&gt;"",+VLOOKUP(I575,Recursos!C:F,2,FALSE),"")</f>
        <v>Mortero para ladrillos</v>
      </c>
      <c r="K575" s="1284" t="str">
        <f>IF(B575&lt;&gt;"",+VLOOKUP(I575,Recursos!C:F,3,FALSE),"")</f>
        <v>m3</v>
      </c>
      <c r="L575" s="1285">
        <f>IF(B575&lt;&gt;"",+VLOOKUP(I575,Recursos!C:F,4,FALSE),"")</f>
        <v>5858.095123966943</v>
      </c>
      <c r="M575" s="1335"/>
      <c r="N575" s="1350">
        <f>1/18</f>
        <v>5.5555555555555552E-2</v>
      </c>
      <c r="O575" s="1286">
        <f>N575</f>
        <v>5.5555555555555552E-2</v>
      </c>
      <c r="P575" s="1287">
        <f t="shared" si="478"/>
        <v>325.44972910927459</v>
      </c>
      <c r="Q575" s="1281">
        <f t="shared" si="479"/>
        <v>0</v>
      </c>
      <c r="R575" s="1288">
        <f t="shared" si="480"/>
        <v>0</v>
      </c>
      <c r="S575" s="1289">
        <f t="shared" si="411"/>
        <v>919.39638208943052</v>
      </c>
      <c r="T575" s="1289">
        <f t="shared" si="412"/>
        <v>0</v>
      </c>
      <c r="U575" s="1290">
        <f t="shared" si="413"/>
        <v>592.5</v>
      </c>
      <c r="V575" s="1290">
        <f t="shared" si="414"/>
        <v>0</v>
      </c>
      <c r="W575" s="1290">
        <f t="shared" si="415"/>
        <v>0</v>
      </c>
      <c r="X575" s="1290">
        <f t="shared" si="416"/>
        <v>325.44972910927459</v>
      </c>
      <c r="Y575" s="396"/>
      <c r="Z575" s="1291" t="str">
        <f t="shared" si="481"/>
        <v>0-MULAD4A</v>
      </c>
      <c r="AA575" s="1291" t="str">
        <f t="shared" si="482"/>
        <v>0-MULAD4E</v>
      </c>
      <c r="AB575" s="1291" t="str">
        <f t="shared" si="483"/>
        <v>0-MULAD4M</v>
      </c>
      <c r="AC575" s="1291" t="str">
        <f t="shared" si="484"/>
        <v>0-MULAD4T</v>
      </c>
      <c r="AD575" s="1291" t="str">
        <f t="shared" si="485"/>
        <v>0-MULAD4S</v>
      </c>
      <c r="AE575" s="1291" t="str">
        <f t="shared" si="486"/>
        <v>0-MULAD4X</v>
      </c>
      <c r="AF575" s="1291" t="str">
        <f t="shared" si="487"/>
        <v>0-MULAD4X</v>
      </c>
      <c r="AG575" s="1291">
        <f t="shared" si="417"/>
        <v>4</v>
      </c>
      <c r="AH575" s="1291">
        <f>IF(B575&lt;&gt;"",+IF(H575="x",+VLOOKUP(I575,'AUX-NIV2'!B:AG,32,FALSE),0),"")</f>
        <v>3</v>
      </c>
      <c r="AI575" s="1291" t="str">
        <f t="shared" si="488"/>
        <v>0-MULAD4</v>
      </c>
      <c r="AK575" s="347">
        <f t="shared" si="418"/>
        <v>572</v>
      </c>
      <c r="AL575" s="348">
        <f t="shared" si="489"/>
        <v>575</v>
      </c>
      <c r="AM575" s="347">
        <f t="shared" si="490"/>
        <v>4</v>
      </c>
      <c r="AN575" s="382">
        <f>IF(AND(AH575&gt;0,B575&lt;&gt;""),VLOOKUP(I575,'AUX-NIV2'!$B:$AP,40,FALSE)*O575,0)</f>
        <v>0</v>
      </c>
      <c r="AO575" s="382">
        <f t="shared" si="419"/>
        <v>2</v>
      </c>
      <c r="AQ575" s="395">
        <f>(IF($H575="x",VLOOKUP($I575,'AUX-NIV2'!$B:$X,'AUX-NIV1'!AQ$3,FALSE),0)+($AV575*'AUX-NIV3'!S$4))*$O575+IF($H575=AQ$4,$P575,0)</f>
        <v>0</v>
      </c>
      <c r="AR575" s="395">
        <f>(IF($H575="x",VLOOKUP($I575,'AUX-NIV2'!$B:$X,'AUX-NIV1'!AR$3,FALSE),0)+($AV575*'AUX-NIV3'!T$4))*$O575+IF($H575=AR$4,$P575,0)</f>
        <v>0</v>
      </c>
      <c r="AS575" s="395">
        <f>(IF($H575="x",VLOOKUP($I575,'AUX-NIV2'!$B:$X,'AUX-NIV1'!AS$3,FALSE),0)+($AV575*'AUX-NIV3'!U$4))*$O575+IF($H575=AS$4,$P575,0)</f>
        <v>325.44972910927459</v>
      </c>
      <c r="AT575" s="395">
        <f>(IF($H575="x",VLOOKUP($I575,'AUX-NIV2'!$B:$X,'AUX-NIV1'!AT$3,FALSE),0)+($AV575*'AUX-NIV3'!V$4))*$O575+IF($H575=AT$4,$P575,0)</f>
        <v>0</v>
      </c>
      <c r="AU575" s="395">
        <f>(IF($H575="x",VLOOKUP($I575,'AUX-NIV2'!$B:$X,'AUX-NIV1'!AU$3,FALSE),0)+($AV575*'AUX-NIV3'!W$4))*$O575+IF($H575=AU$4,$P575,0)</f>
        <v>0</v>
      </c>
      <c r="AV575" s="395">
        <f>+IF($H575="x",VLOOKUP($I575,'AUX-NIV2'!$B:$X,'AUX-NIV1'!AV$3,FALSE),0)</f>
        <v>0</v>
      </c>
    </row>
    <row r="576" spans="2:48" ht="13.8" hidden="1" thickTop="1">
      <c r="B576" s="501" t="s">
        <v>4272</v>
      </c>
      <c r="C576" s="951" t="s">
        <v>4274</v>
      </c>
      <c r="D576" s="1280" t="s">
        <v>501</v>
      </c>
      <c r="E576" s="1281">
        <f>IF(B576&lt;&gt;"",+SUMIF(Items!C:C,'AUX-NIV1'!B576,Items!H:H),"")</f>
        <v>0</v>
      </c>
      <c r="F576" s="1281">
        <f t="shared" si="409"/>
        <v>1595.2371309985879</v>
      </c>
      <c r="G576" s="1281">
        <f t="shared" si="410"/>
        <v>0</v>
      </c>
      <c r="H576" s="1395" t="str">
        <f t="shared" ref="H576:H579" si="491">IF(B576&lt;&gt;"",+LEFT(I576,1),"")</f>
        <v>A</v>
      </c>
      <c r="I576" s="1375" t="s">
        <v>1746</v>
      </c>
      <c r="J576" s="1283" t="str">
        <f>IF(B576&lt;&gt;"",+VLOOKUP(I576,Recursos!C:F,2,FALSE),"")</f>
        <v>OFICIAL</v>
      </c>
      <c r="K576" s="1284" t="str">
        <f>IF(B576&lt;&gt;"",+VLOOKUP(I576,Recursos!C:F,3,FALSE),"")</f>
        <v>hh</v>
      </c>
      <c r="L576" s="1285">
        <f>IF(B576&lt;&gt;"",+VLOOKUP(I576,Recursos!C:F,4,FALSE),"")</f>
        <v>496.91595439275824</v>
      </c>
      <c r="M576" s="989">
        <v>1.25</v>
      </c>
      <c r="N576" s="1292">
        <v>1.5</v>
      </c>
      <c r="O576" s="1286">
        <f>N576/M576</f>
        <v>1.2</v>
      </c>
      <c r="P576" s="1287">
        <f t="shared" ref="P576:P579" si="492">IF(B576&lt;&gt;"",O576*L576,"")</f>
        <v>596.29914527130984</v>
      </c>
      <c r="Q576" s="1281">
        <f t="shared" ref="Q576:Q579" si="493">IF(B576&lt;&gt;"",+O576*E576,"")</f>
        <v>0</v>
      </c>
      <c r="R576" s="1288">
        <f t="shared" ref="R576:R579" si="494">IF(B576&lt;&gt;"",Q576*L576,"")</f>
        <v>0</v>
      </c>
      <c r="S576" s="1289">
        <f t="shared" si="411"/>
        <v>849.78740188931329</v>
      </c>
      <c r="T576" s="1289">
        <f t="shared" si="412"/>
        <v>0</v>
      </c>
      <c r="U576" s="1290">
        <f t="shared" si="413"/>
        <v>420</v>
      </c>
      <c r="V576" s="1290">
        <f t="shared" si="414"/>
        <v>0</v>
      </c>
      <c r="W576" s="1290">
        <f t="shared" si="415"/>
        <v>0</v>
      </c>
      <c r="X576" s="1290">
        <f t="shared" si="416"/>
        <v>325.44972910927459</v>
      </c>
      <c r="Y576" s="396"/>
      <c r="Z576" s="1291" t="str">
        <f t="shared" ref="Z576:Z579" si="495">IF(B576&lt;&gt;"",+$B576&amp;"A","")</f>
        <v>0-MULAD5A</v>
      </c>
      <c r="AA576" s="1291" t="str">
        <f t="shared" ref="AA576:AA579" si="496">IF(B576&lt;&gt;"",+$B576&amp;"E","")</f>
        <v>0-MULAD5E</v>
      </c>
      <c r="AB576" s="1291" t="str">
        <f t="shared" ref="AB576:AB579" si="497">IF(B576&lt;&gt;"",++$B576&amp;"M","")</f>
        <v>0-MULAD5M</v>
      </c>
      <c r="AC576" s="1291" t="str">
        <f t="shared" ref="AC576:AC579" si="498">IF(B576&lt;&gt;"",+$B576&amp;"T","")</f>
        <v>0-MULAD5T</v>
      </c>
      <c r="AD576" s="1291" t="str">
        <f t="shared" ref="AD576:AD579" si="499">IF(B576&lt;&gt;"",+$B576&amp;"S","")</f>
        <v>0-MULAD5S</v>
      </c>
      <c r="AE576" s="1291" t="str">
        <f t="shared" ref="AE576:AE579" si="500">IF(B576&lt;&gt;"",+$B576&amp;"X","")</f>
        <v>0-MULAD5X</v>
      </c>
      <c r="AF576" s="1291" t="str">
        <f t="shared" ref="AF576:AF579" si="501">IF(B576&lt;&gt;"",+B576&amp;H576,"")</f>
        <v>0-MULAD5A</v>
      </c>
      <c r="AG576" s="1291">
        <f t="shared" si="417"/>
        <v>4</v>
      </c>
      <c r="AH576" s="1291">
        <f>IF(B576&lt;&gt;"",+IF(H576="x",+VLOOKUP(I576,'AUX-NIV2'!B:AG,32,FALSE),0),"")</f>
        <v>0</v>
      </c>
      <c r="AI576" s="1291" t="str">
        <f t="shared" ref="AI576:AI579" si="502">IF(B576&lt;&gt;"",+B576,"")</f>
        <v>0-MULAD5</v>
      </c>
      <c r="AK576" s="347">
        <f t="shared" si="418"/>
        <v>576</v>
      </c>
      <c r="AL576" s="348">
        <f t="shared" ref="AL576:AL579" si="503">IF(B576&lt;&gt;"",+AK576+AG576-1,"")</f>
        <v>579</v>
      </c>
      <c r="AM576" s="347">
        <f t="shared" ref="AM576:AM579" si="504">IF(B576&lt;&gt;"",IF(B576=B575,1+AM575,1),"")</f>
        <v>1</v>
      </c>
      <c r="AN576" s="382">
        <f>IF(AND(AH576&gt;0,B576&lt;&gt;""),VLOOKUP(I576,'AUX-NIV2'!$B:$AP,40,FALSE)*O576,0)</f>
        <v>0</v>
      </c>
      <c r="AO576" s="382">
        <f t="shared" si="419"/>
        <v>1.7999999999999998</v>
      </c>
      <c r="AQ576" s="395">
        <f>(IF($H576="x",VLOOKUP($I576,'AUX-NIV2'!$B:$X,'AUX-NIV1'!AQ$3,FALSE),0)+($AV576*'AUX-NIV3'!S$4))*$O576+IF($H576=AQ$4,$P576,0)</f>
        <v>596.29914527130984</v>
      </c>
      <c r="AR576" s="395">
        <f>(IF($H576="x",VLOOKUP($I576,'AUX-NIV2'!$B:$X,'AUX-NIV1'!AR$3,FALSE),0)+($AV576*'AUX-NIV3'!T$4))*$O576+IF($H576=AR$4,$P576,0)</f>
        <v>0</v>
      </c>
      <c r="AS576" s="395">
        <f>(IF($H576="x",VLOOKUP($I576,'AUX-NIV2'!$B:$X,'AUX-NIV1'!AS$3,FALSE),0)+($AV576*'AUX-NIV3'!U$4))*$O576+IF($H576=AS$4,$P576,0)</f>
        <v>0</v>
      </c>
      <c r="AT576" s="395">
        <f>(IF($H576="x",VLOOKUP($I576,'AUX-NIV2'!$B:$X,'AUX-NIV1'!AT$3,FALSE),0)+($AV576*'AUX-NIV3'!V$4))*$O576+IF($H576=AT$4,$P576,0)</f>
        <v>0</v>
      </c>
      <c r="AU576" s="395">
        <f>(IF($H576="x",VLOOKUP($I576,'AUX-NIV2'!$B:$X,'AUX-NIV1'!AU$3,FALSE),0)+($AV576*'AUX-NIV3'!W$4))*$O576+IF($H576=AU$4,$P576,0)</f>
        <v>0</v>
      </c>
      <c r="AV576" s="395">
        <f>+IF($H576="x",VLOOKUP($I576,'AUX-NIV2'!$B:$X,'AUX-NIV1'!AV$3,FALSE),0)</f>
        <v>0</v>
      </c>
    </row>
    <row r="577" spans="2:48" ht="13.8" hidden="1" thickTop="1">
      <c r="B577" s="501" t="s">
        <v>4272</v>
      </c>
      <c r="C577" s="951" t="s">
        <v>4274</v>
      </c>
      <c r="D577" s="1280" t="s">
        <v>501</v>
      </c>
      <c r="E577" s="1281">
        <f>IF(B577&lt;&gt;"",+SUMIF(Items!C:C,'AUX-NIV1'!B577,Items!H:H),"")</f>
        <v>0</v>
      </c>
      <c r="F577" s="1281">
        <f t="shared" si="409"/>
        <v>1595.2371309985879</v>
      </c>
      <c r="G577" s="1281">
        <f t="shared" si="410"/>
        <v>0</v>
      </c>
      <c r="H577" s="1395" t="str">
        <f t="shared" si="491"/>
        <v>A</v>
      </c>
      <c r="I577" s="1375" t="s">
        <v>1745</v>
      </c>
      <c r="J577" s="1283" t="str">
        <f>IF(B577&lt;&gt;"",+VLOOKUP(I577,Recursos!C:F,2,FALSE),"")</f>
        <v>AYUDANTE</v>
      </c>
      <c r="K577" s="1284" t="str">
        <f>IF(B577&lt;&gt;"",+VLOOKUP(I577,Recursos!C:F,3,FALSE),"")</f>
        <v>hh</v>
      </c>
      <c r="L577" s="1285">
        <f>IF(B577&lt;&gt;"",+VLOOKUP(I577,Recursos!C:F,4,FALSE),"")</f>
        <v>422.48042769667234</v>
      </c>
      <c r="M577" s="1351"/>
      <c r="N577" s="1329">
        <v>0.75</v>
      </c>
      <c r="O577" s="1286">
        <f>N577/M576</f>
        <v>0.6</v>
      </c>
      <c r="P577" s="1287">
        <f t="shared" si="492"/>
        <v>253.48825661800339</v>
      </c>
      <c r="Q577" s="1281">
        <f t="shared" si="493"/>
        <v>0</v>
      </c>
      <c r="R577" s="1288">
        <f t="shared" si="494"/>
        <v>0</v>
      </c>
      <c r="S577" s="1289">
        <f t="shared" si="411"/>
        <v>849.78740188931329</v>
      </c>
      <c r="T577" s="1289">
        <f t="shared" si="412"/>
        <v>0</v>
      </c>
      <c r="U577" s="1290">
        <f t="shared" si="413"/>
        <v>420</v>
      </c>
      <c r="V577" s="1290">
        <f t="shared" si="414"/>
        <v>0</v>
      </c>
      <c r="W577" s="1290">
        <f t="shared" si="415"/>
        <v>0</v>
      </c>
      <c r="X577" s="1290">
        <f t="shared" si="416"/>
        <v>325.44972910927459</v>
      </c>
      <c r="Y577" s="396"/>
      <c r="Z577" s="1291" t="str">
        <f t="shared" si="495"/>
        <v>0-MULAD5A</v>
      </c>
      <c r="AA577" s="1291" t="str">
        <f t="shared" si="496"/>
        <v>0-MULAD5E</v>
      </c>
      <c r="AB577" s="1291" t="str">
        <f t="shared" si="497"/>
        <v>0-MULAD5M</v>
      </c>
      <c r="AC577" s="1291" t="str">
        <f t="shared" si="498"/>
        <v>0-MULAD5T</v>
      </c>
      <c r="AD577" s="1291" t="str">
        <f t="shared" si="499"/>
        <v>0-MULAD5S</v>
      </c>
      <c r="AE577" s="1291" t="str">
        <f t="shared" si="500"/>
        <v>0-MULAD5X</v>
      </c>
      <c r="AF577" s="1291" t="str">
        <f t="shared" si="501"/>
        <v>0-MULAD5A</v>
      </c>
      <c r="AG577" s="1291">
        <f t="shared" si="417"/>
        <v>4</v>
      </c>
      <c r="AH577" s="1291">
        <f>IF(B577&lt;&gt;"",+IF(H577="x",+VLOOKUP(I577,'AUX-NIV2'!B:AG,32,FALSE),0),"")</f>
        <v>0</v>
      </c>
      <c r="AI577" s="1291" t="str">
        <f t="shared" si="502"/>
        <v>0-MULAD5</v>
      </c>
      <c r="AK577" s="347">
        <f t="shared" si="418"/>
        <v>576</v>
      </c>
      <c r="AL577" s="348">
        <f t="shared" si="503"/>
        <v>579</v>
      </c>
      <c r="AM577" s="347">
        <f t="shared" si="504"/>
        <v>2</v>
      </c>
      <c r="AN577" s="382">
        <f>IF(AND(AH577&gt;0,B577&lt;&gt;""),VLOOKUP(I577,'AUX-NIV2'!$B:$AP,40,FALSE)*O577,0)</f>
        <v>0</v>
      </c>
      <c r="AO577" s="382">
        <f t="shared" si="419"/>
        <v>1.7999999999999998</v>
      </c>
      <c r="AQ577" s="395">
        <f>(IF($H577="x",VLOOKUP($I577,'AUX-NIV2'!$B:$X,'AUX-NIV1'!AQ$3,FALSE),0)+($AV577*'AUX-NIV3'!S$4))*$O577+IF($H577=AQ$4,$P577,0)</f>
        <v>253.48825661800339</v>
      </c>
      <c r="AR577" s="395">
        <f>(IF($H577="x",VLOOKUP($I577,'AUX-NIV2'!$B:$X,'AUX-NIV1'!AR$3,FALSE),0)+($AV577*'AUX-NIV3'!T$4))*$O577+IF($H577=AR$4,$P577,0)</f>
        <v>0</v>
      </c>
      <c r="AS577" s="395">
        <f>(IF($H577="x",VLOOKUP($I577,'AUX-NIV2'!$B:$X,'AUX-NIV1'!AS$3,FALSE),0)+($AV577*'AUX-NIV3'!U$4))*$O577+IF($H577=AS$4,$P577,0)</f>
        <v>0</v>
      </c>
      <c r="AT577" s="395">
        <f>(IF($H577="x",VLOOKUP($I577,'AUX-NIV2'!$B:$X,'AUX-NIV1'!AT$3,FALSE),0)+($AV577*'AUX-NIV3'!V$4))*$O577+IF($H577=AT$4,$P577,0)</f>
        <v>0</v>
      </c>
      <c r="AU577" s="395">
        <f>(IF($H577="x",VLOOKUP($I577,'AUX-NIV2'!$B:$X,'AUX-NIV1'!AU$3,FALSE),0)+($AV577*'AUX-NIV3'!W$4))*$O577+IF($H577=AU$4,$P577,0)</f>
        <v>0</v>
      </c>
      <c r="AV577" s="395">
        <f>+IF($H577="x",VLOOKUP($I577,'AUX-NIV2'!$B:$X,'AUX-NIV1'!AV$3,FALSE),0)</f>
        <v>0</v>
      </c>
    </row>
    <row r="578" spans="2:48" ht="13.8" hidden="1" thickTop="1">
      <c r="B578" s="501" t="s">
        <v>4272</v>
      </c>
      <c r="C578" s="951" t="s">
        <v>4274</v>
      </c>
      <c r="D578" s="1280" t="s">
        <v>501</v>
      </c>
      <c r="E578" s="1281">
        <f>IF(B578&lt;&gt;"",+SUMIF(Items!C:C,'AUX-NIV1'!B578,Items!H:H),"")</f>
        <v>0</v>
      </c>
      <c r="F578" s="1281">
        <f t="shared" si="409"/>
        <v>1595.2371309985879</v>
      </c>
      <c r="G578" s="1281">
        <f t="shared" si="410"/>
        <v>0</v>
      </c>
      <c r="H578" s="1395" t="str">
        <f t="shared" si="491"/>
        <v>M</v>
      </c>
      <c r="I578" s="1375" t="s">
        <v>4275</v>
      </c>
      <c r="J578" s="1283" t="str">
        <f>IF(B578&lt;&gt;"",+VLOOKUP(I578,Recursos!C:F,2,FALSE),"")</f>
        <v>LADRILLO HUECO 12x18x33</v>
      </c>
      <c r="K578" s="1284" t="str">
        <f>IF(B578&lt;&gt;"",+VLOOKUP(I578,Recursos!C:F,3,FALSE),"")</f>
        <v>mil</v>
      </c>
      <c r="L578" s="1285">
        <f>IF(B578&lt;&gt;"",+VLOOKUP(I578,Recursos!C:F,4,FALSE),"")</f>
        <v>28000</v>
      </c>
      <c r="M578" s="1351"/>
      <c r="N578" s="1329">
        <v>15</v>
      </c>
      <c r="O578" s="1286">
        <f>N578/1000</f>
        <v>1.4999999999999999E-2</v>
      </c>
      <c r="P578" s="1287">
        <f t="shared" si="492"/>
        <v>420</v>
      </c>
      <c r="Q578" s="1281">
        <f t="shared" si="493"/>
        <v>0</v>
      </c>
      <c r="R578" s="1288">
        <f t="shared" si="494"/>
        <v>0</v>
      </c>
      <c r="S578" s="1289">
        <f t="shared" si="411"/>
        <v>849.78740188931329</v>
      </c>
      <c r="T578" s="1289">
        <f t="shared" si="412"/>
        <v>0</v>
      </c>
      <c r="U578" s="1290">
        <f t="shared" si="413"/>
        <v>420</v>
      </c>
      <c r="V578" s="1290">
        <f t="shared" si="414"/>
        <v>0</v>
      </c>
      <c r="W578" s="1290">
        <f t="shared" si="415"/>
        <v>0</v>
      </c>
      <c r="X578" s="1290">
        <f t="shared" si="416"/>
        <v>325.44972910927459</v>
      </c>
      <c r="Y578" s="396"/>
      <c r="Z578" s="1291" t="str">
        <f t="shared" si="495"/>
        <v>0-MULAD5A</v>
      </c>
      <c r="AA578" s="1291" t="str">
        <f t="shared" si="496"/>
        <v>0-MULAD5E</v>
      </c>
      <c r="AB578" s="1291" t="str">
        <f t="shared" si="497"/>
        <v>0-MULAD5M</v>
      </c>
      <c r="AC578" s="1291" t="str">
        <f t="shared" si="498"/>
        <v>0-MULAD5T</v>
      </c>
      <c r="AD578" s="1291" t="str">
        <f t="shared" si="499"/>
        <v>0-MULAD5S</v>
      </c>
      <c r="AE578" s="1291" t="str">
        <f t="shared" si="500"/>
        <v>0-MULAD5X</v>
      </c>
      <c r="AF578" s="1291" t="str">
        <f t="shared" si="501"/>
        <v>0-MULAD5M</v>
      </c>
      <c r="AG578" s="1291">
        <f t="shared" si="417"/>
        <v>4</v>
      </c>
      <c r="AH578" s="1291">
        <f>IF(B578&lt;&gt;"",+IF(H578="x",+VLOOKUP(I578,'AUX-NIV2'!B:AG,32,FALSE),0),"")</f>
        <v>0</v>
      </c>
      <c r="AI578" s="1291" t="str">
        <f t="shared" si="502"/>
        <v>0-MULAD5</v>
      </c>
      <c r="AK578" s="347">
        <f t="shared" si="418"/>
        <v>576</v>
      </c>
      <c r="AL578" s="348">
        <f t="shared" si="503"/>
        <v>579</v>
      </c>
      <c r="AM578" s="347">
        <f t="shared" si="504"/>
        <v>3</v>
      </c>
      <c r="AN578" s="382">
        <f>IF(AND(AH578&gt;0,B578&lt;&gt;""),VLOOKUP(I578,'AUX-NIV2'!$B:$AP,40,FALSE)*O578,0)</f>
        <v>0</v>
      </c>
      <c r="AO578" s="382">
        <f t="shared" si="419"/>
        <v>1.7999999999999998</v>
      </c>
      <c r="AQ578" s="395">
        <f>(IF($H578="x",VLOOKUP($I578,'AUX-NIV2'!$B:$X,'AUX-NIV1'!AQ$3,FALSE),0)+($AV578*'AUX-NIV3'!S$4))*$O578+IF($H578=AQ$4,$P578,0)</f>
        <v>0</v>
      </c>
      <c r="AR578" s="395">
        <f>(IF($H578="x",VLOOKUP($I578,'AUX-NIV2'!$B:$X,'AUX-NIV1'!AR$3,FALSE),0)+($AV578*'AUX-NIV3'!T$4))*$O578+IF($H578=AR$4,$P578,0)</f>
        <v>0</v>
      </c>
      <c r="AS578" s="395">
        <f>(IF($H578="x",VLOOKUP($I578,'AUX-NIV2'!$B:$X,'AUX-NIV1'!AS$3,FALSE),0)+($AV578*'AUX-NIV3'!U$4))*$O578+IF($H578=AS$4,$P578,0)</f>
        <v>420</v>
      </c>
      <c r="AT578" s="395">
        <f>(IF($H578="x",VLOOKUP($I578,'AUX-NIV2'!$B:$X,'AUX-NIV1'!AT$3,FALSE),0)+($AV578*'AUX-NIV3'!V$4))*$O578+IF($H578=AT$4,$P578,0)</f>
        <v>0</v>
      </c>
      <c r="AU578" s="395">
        <f>(IF($H578="x",VLOOKUP($I578,'AUX-NIV2'!$B:$X,'AUX-NIV1'!AU$3,FALSE),0)+($AV578*'AUX-NIV3'!W$4))*$O578+IF($H578=AU$4,$P578,0)</f>
        <v>0</v>
      </c>
      <c r="AV578" s="395">
        <f>+IF($H578="x",VLOOKUP($I578,'AUX-NIV2'!$B:$X,'AUX-NIV1'!AV$3,FALSE),0)</f>
        <v>0</v>
      </c>
    </row>
    <row r="579" spans="2:48" ht="14.4" hidden="1" thickTop="1" thickBot="1">
      <c r="B579" s="501" t="s">
        <v>4272</v>
      </c>
      <c r="C579" s="951" t="s">
        <v>4274</v>
      </c>
      <c r="D579" s="1280" t="s">
        <v>501</v>
      </c>
      <c r="E579" s="1281">
        <f>IF(B579&lt;&gt;"",+SUMIF(Items!C:C,'AUX-NIV1'!B579,Items!H:H),"")</f>
        <v>0</v>
      </c>
      <c r="F579" s="1281">
        <f t="shared" si="409"/>
        <v>1595.2371309985879</v>
      </c>
      <c r="G579" s="1281">
        <f t="shared" si="410"/>
        <v>0</v>
      </c>
      <c r="H579" s="1395" t="str">
        <f t="shared" si="491"/>
        <v>X</v>
      </c>
      <c r="I579" s="1375" t="s">
        <v>3735</v>
      </c>
      <c r="J579" s="1283" t="str">
        <f>IF(B579&lt;&gt;"",+VLOOKUP(I579,Recursos!C:F,2,FALSE),"")</f>
        <v>Mortero para ladrillos</v>
      </c>
      <c r="K579" s="1284" t="str">
        <f>IF(B579&lt;&gt;"",+VLOOKUP(I579,Recursos!C:F,3,FALSE),"")</f>
        <v>m3</v>
      </c>
      <c r="L579" s="1285">
        <f>IF(B579&lt;&gt;"",+VLOOKUP(I579,Recursos!C:F,4,FALSE),"")</f>
        <v>5858.095123966943</v>
      </c>
      <c r="M579" s="1335"/>
      <c r="N579" s="1350">
        <f>1/18</f>
        <v>5.5555555555555552E-2</v>
      </c>
      <c r="O579" s="1286">
        <f>N579</f>
        <v>5.5555555555555552E-2</v>
      </c>
      <c r="P579" s="1287">
        <f t="shared" si="492"/>
        <v>325.44972910927459</v>
      </c>
      <c r="Q579" s="1281">
        <f t="shared" si="493"/>
        <v>0</v>
      </c>
      <c r="R579" s="1288">
        <f t="shared" si="494"/>
        <v>0</v>
      </c>
      <c r="S579" s="1289">
        <f t="shared" si="411"/>
        <v>849.78740188931329</v>
      </c>
      <c r="T579" s="1289">
        <f t="shared" si="412"/>
        <v>0</v>
      </c>
      <c r="U579" s="1290">
        <f t="shared" si="413"/>
        <v>420</v>
      </c>
      <c r="V579" s="1290">
        <f t="shared" si="414"/>
        <v>0</v>
      </c>
      <c r="W579" s="1290">
        <f t="shared" si="415"/>
        <v>0</v>
      </c>
      <c r="X579" s="1290">
        <f t="shared" si="416"/>
        <v>325.44972910927459</v>
      </c>
      <c r="Y579" s="396"/>
      <c r="Z579" s="1291" t="str">
        <f t="shared" si="495"/>
        <v>0-MULAD5A</v>
      </c>
      <c r="AA579" s="1291" t="str">
        <f t="shared" si="496"/>
        <v>0-MULAD5E</v>
      </c>
      <c r="AB579" s="1291" t="str">
        <f t="shared" si="497"/>
        <v>0-MULAD5M</v>
      </c>
      <c r="AC579" s="1291" t="str">
        <f t="shared" si="498"/>
        <v>0-MULAD5T</v>
      </c>
      <c r="AD579" s="1291" t="str">
        <f t="shared" si="499"/>
        <v>0-MULAD5S</v>
      </c>
      <c r="AE579" s="1291" t="str">
        <f t="shared" si="500"/>
        <v>0-MULAD5X</v>
      </c>
      <c r="AF579" s="1291" t="str">
        <f t="shared" si="501"/>
        <v>0-MULAD5X</v>
      </c>
      <c r="AG579" s="1291">
        <f t="shared" si="417"/>
        <v>4</v>
      </c>
      <c r="AH579" s="1291">
        <f>IF(B579&lt;&gt;"",+IF(H579="x",+VLOOKUP(I579,'AUX-NIV2'!B:AG,32,FALSE),0),"")</f>
        <v>3</v>
      </c>
      <c r="AI579" s="1291" t="str">
        <f t="shared" si="502"/>
        <v>0-MULAD5</v>
      </c>
      <c r="AK579" s="347">
        <f t="shared" si="418"/>
        <v>576</v>
      </c>
      <c r="AL579" s="348">
        <f t="shared" si="503"/>
        <v>579</v>
      </c>
      <c r="AM579" s="347">
        <f t="shared" si="504"/>
        <v>4</v>
      </c>
      <c r="AN579" s="382">
        <f>IF(AND(AH579&gt;0,B579&lt;&gt;""),VLOOKUP(I579,'AUX-NIV2'!$B:$AP,40,FALSE)*O579,0)</f>
        <v>0</v>
      </c>
      <c r="AO579" s="382">
        <f t="shared" si="419"/>
        <v>1.7999999999999998</v>
      </c>
      <c r="AQ579" s="395">
        <f>(IF($H579="x",VLOOKUP($I579,'AUX-NIV2'!$B:$X,'AUX-NIV1'!AQ$3,FALSE),0)+($AV579*'AUX-NIV3'!S$4))*$O579+IF($H579=AQ$4,$P579,0)</f>
        <v>0</v>
      </c>
      <c r="AR579" s="395">
        <f>(IF($H579="x",VLOOKUP($I579,'AUX-NIV2'!$B:$X,'AUX-NIV1'!AR$3,FALSE),0)+($AV579*'AUX-NIV3'!T$4))*$O579+IF($H579=AR$4,$P579,0)</f>
        <v>0</v>
      </c>
      <c r="AS579" s="395">
        <f>(IF($H579="x",VLOOKUP($I579,'AUX-NIV2'!$B:$X,'AUX-NIV1'!AS$3,FALSE),0)+($AV579*'AUX-NIV3'!U$4))*$O579+IF($H579=AS$4,$P579,0)</f>
        <v>325.44972910927459</v>
      </c>
      <c r="AT579" s="395">
        <f>(IF($H579="x",VLOOKUP($I579,'AUX-NIV2'!$B:$X,'AUX-NIV1'!AT$3,FALSE),0)+($AV579*'AUX-NIV3'!V$4))*$O579+IF($H579=AT$4,$P579,0)</f>
        <v>0</v>
      </c>
      <c r="AU579" s="395">
        <f>(IF($H579="x",VLOOKUP($I579,'AUX-NIV2'!$B:$X,'AUX-NIV1'!AU$3,FALSE),0)+($AV579*'AUX-NIV3'!W$4))*$O579+IF($H579=AU$4,$P579,0)</f>
        <v>0</v>
      </c>
      <c r="AV579" s="395">
        <f>+IF($H579="x",VLOOKUP($I579,'AUX-NIV2'!$B:$X,'AUX-NIV1'!AV$3,FALSE),0)</f>
        <v>0</v>
      </c>
    </row>
    <row r="580" spans="2:48" ht="13.8" hidden="1" thickTop="1">
      <c r="B580" s="501" t="s">
        <v>3716</v>
      </c>
      <c r="C580" s="951" t="s">
        <v>3717</v>
      </c>
      <c r="D580" s="1280" t="s">
        <v>501</v>
      </c>
      <c r="E580" s="1281">
        <f>IF(B580&lt;&gt;"",+SUMIF(Items!C:C,'AUX-NIV1'!B580,Items!H:H),"")</f>
        <v>0</v>
      </c>
      <c r="F580" s="1281">
        <f t="shared" si="409"/>
        <v>2855.266417300692</v>
      </c>
      <c r="G580" s="1281">
        <f t="shared" si="410"/>
        <v>0</v>
      </c>
      <c r="H580" s="1395" t="str">
        <f t="shared" si="434"/>
        <v>A</v>
      </c>
      <c r="I580" s="1375" t="s">
        <v>1746</v>
      </c>
      <c r="J580" s="1283" t="str">
        <f>IF(B580&lt;&gt;"",+VLOOKUP(I580,Recursos!C:F,2,FALSE),"")</f>
        <v>OFICIAL</v>
      </c>
      <c r="K580" s="1284" t="str">
        <f>IF(B580&lt;&gt;"",+VLOOKUP(I580,Recursos!C:F,3,FALSE),"")</f>
        <v>hh</v>
      </c>
      <c r="L580" s="1285">
        <f>IF(B580&lt;&gt;"",+VLOOKUP(I580,Recursos!C:F,4,FALSE),"")</f>
        <v>496.91595439275824</v>
      </c>
      <c r="M580" s="989">
        <v>0.5</v>
      </c>
      <c r="N580" s="1292">
        <v>1</v>
      </c>
      <c r="O580" s="1286">
        <f>N580/M580</f>
        <v>2</v>
      </c>
      <c r="P580" s="1287">
        <f t="shared" si="435"/>
        <v>993.83190878551648</v>
      </c>
      <c r="Q580" s="1281">
        <f t="shared" si="436"/>
        <v>0</v>
      </c>
      <c r="R580" s="1288">
        <f t="shared" si="437"/>
        <v>0</v>
      </c>
      <c r="S580" s="1289">
        <f t="shared" si="411"/>
        <v>1838.792764178861</v>
      </c>
      <c r="T580" s="1289">
        <f t="shared" si="412"/>
        <v>0</v>
      </c>
      <c r="U580" s="1290">
        <f t="shared" si="413"/>
        <v>1016.4736531218311</v>
      </c>
      <c r="V580" s="1290">
        <f t="shared" si="414"/>
        <v>0</v>
      </c>
      <c r="W580" s="1290">
        <f t="shared" si="415"/>
        <v>0</v>
      </c>
      <c r="X580" s="1290">
        <f t="shared" si="416"/>
        <v>0</v>
      </c>
      <c r="Y580" s="396"/>
      <c r="Z580" s="1291" t="str">
        <f t="shared" si="438"/>
        <v>0-DURLOKA</v>
      </c>
      <c r="AA580" s="1291" t="str">
        <f t="shared" si="439"/>
        <v>0-DURLOKE</v>
      </c>
      <c r="AB580" s="1291" t="str">
        <f t="shared" si="440"/>
        <v>0-DURLOKM</v>
      </c>
      <c r="AC580" s="1291" t="str">
        <f t="shared" si="441"/>
        <v>0-DURLOKT</v>
      </c>
      <c r="AD580" s="1291" t="str">
        <f t="shared" si="442"/>
        <v>0-DURLOKS</v>
      </c>
      <c r="AE580" s="1291" t="str">
        <f t="shared" si="443"/>
        <v>0-DURLOKX</v>
      </c>
      <c r="AF580" s="1291" t="str">
        <f t="shared" si="444"/>
        <v>0-DURLOKA</v>
      </c>
      <c r="AG580" s="1291">
        <f t="shared" si="417"/>
        <v>8</v>
      </c>
      <c r="AH580" s="1291">
        <f>IF(B580&lt;&gt;"",+IF(H580="x",+VLOOKUP(I580,'AUX-NIV2'!B:AG,32,FALSE),0),"")</f>
        <v>0</v>
      </c>
      <c r="AI580" s="1291" t="str">
        <f t="shared" si="445"/>
        <v>0-DURLOK</v>
      </c>
      <c r="AK580" s="347">
        <f t="shared" si="418"/>
        <v>580</v>
      </c>
      <c r="AL580" s="348">
        <f t="shared" si="446"/>
        <v>587</v>
      </c>
      <c r="AM580" s="347">
        <f>IF(B580&lt;&gt;"",IF(B580=B571,1+AM571,1),"")</f>
        <v>1</v>
      </c>
      <c r="AN580" s="382">
        <f>IF(AND(AH580&gt;0,B580&lt;&gt;""),VLOOKUP(I580,'AUX-NIV2'!$B:$AP,40,FALSE)*O580,0)</f>
        <v>0</v>
      </c>
      <c r="AO580" s="382">
        <f t="shared" si="419"/>
        <v>4</v>
      </c>
      <c r="AQ580" s="395">
        <f>(IF($H580="x",VLOOKUP($I580,'AUX-NIV2'!$B:$X,'AUX-NIV1'!AQ$3,FALSE),0)+($AV580*'AUX-NIV3'!S$4))*$O580+IF($H580=AQ$4,$P580,0)</f>
        <v>993.83190878551648</v>
      </c>
      <c r="AR580" s="395">
        <f>(IF($H580="x",VLOOKUP($I580,'AUX-NIV2'!$B:$X,'AUX-NIV1'!AR$3,FALSE),0)+($AV580*'AUX-NIV3'!T$4))*$O580+IF($H580=AR$4,$P580,0)</f>
        <v>0</v>
      </c>
      <c r="AS580" s="395">
        <f>(IF($H580="x",VLOOKUP($I580,'AUX-NIV2'!$B:$X,'AUX-NIV1'!AS$3,FALSE),0)+($AV580*'AUX-NIV3'!U$4))*$O580+IF($H580=AS$4,$P580,0)</f>
        <v>0</v>
      </c>
      <c r="AT580" s="395">
        <f>(IF($H580="x",VLOOKUP($I580,'AUX-NIV2'!$B:$X,'AUX-NIV1'!AT$3,FALSE),0)+($AV580*'AUX-NIV3'!V$4))*$O580+IF($H580=AT$4,$P580,0)</f>
        <v>0</v>
      </c>
      <c r="AU580" s="395">
        <f>(IF($H580="x",VLOOKUP($I580,'AUX-NIV2'!$B:$X,'AUX-NIV1'!AU$3,FALSE),0)+($AV580*'AUX-NIV3'!W$4))*$O580+IF($H580=AU$4,$P580,0)</f>
        <v>0</v>
      </c>
      <c r="AV580" s="395">
        <f>+IF($H580="x",VLOOKUP($I580,'AUX-NIV2'!$B:$X,'AUX-NIV1'!AV$3,FALSE),0)</f>
        <v>0</v>
      </c>
    </row>
    <row r="581" spans="2:48" ht="13.8" hidden="1" thickTop="1">
      <c r="B581" s="501" t="s">
        <v>3716</v>
      </c>
      <c r="C581" s="951" t="s">
        <v>3717</v>
      </c>
      <c r="D581" s="1280" t="s">
        <v>501</v>
      </c>
      <c r="E581" s="1281">
        <f>IF(B581&lt;&gt;"",+SUMIF(Items!C:C,'AUX-NIV1'!B581,Items!H:H),"")</f>
        <v>0</v>
      </c>
      <c r="F581" s="1281">
        <f t="shared" si="409"/>
        <v>2855.266417300692</v>
      </c>
      <c r="G581" s="1281">
        <f t="shared" si="410"/>
        <v>0</v>
      </c>
      <c r="H581" s="1395" t="str">
        <f t="shared" si="434"/>
        <v>A</v>
      </c>
      <c r="I581" s="1375" t="s">
        <v>1745</v>
      </c>
      <c r="J581" s="1283" t="str">
        <f>IF(B581&lt;&gt;"",+VLOOKUP(I581,Recursos!C:F,2,FALSE),"")</f>
        <v>AYUDANTE</v>
      </c>
      <c r="K581" s="1284" t="str">
        <f>IF(B581&lt;&gt;"",+VLOOKUP(I581,Recursos!C:F,3,FALSE),"")</f>
        <v>hh</v>
      </c>
      <c r="L581" s="1285">
        <f>IF(B581&lt;&gt;"",+VLOOKUP(I581,Recursos!C:F,4,FALSE),"")</f>
        <v>422.48042769667234</v>
      </c>
      <c r="M581" s="1351"/>
      <c r="N581" s="1329">
        <v>1</v>
      </c>
      <c r="O581" s="1286">
        <f>N581/M580</f>
        <v>2</v>
      </c>
      <c r="P581" s="1287">
        <f t="shared" si="435"/>
        <v>844.96085539334467</v>
      </c>
      <c r="Q581" s="1281">
        <f t="shared" si="436"/>
        <v>0</v>
      </c>
      <c r="R581" s="1288">
        <f t="shared" si="437"/>
        <v>0</v>
      </c>
      <c r="S581" s="1289">
        <f t="shared" si="411"/>
        <v>1838.792764178861</v>
      </c>
      <c r="T581" s="1289">
        <f t="shared" si="412"/>
        <v>0</v>
      </c>
      <c r="U581" s="1290">
        <f t="shared" si="413"/>
        <v>1016.4736531218311</v>
      </c>
      <c r="V581" s="1290">
        <f t="shared" si="414"/>
        <v>0</v>
      </c>
      <c r="W581" s="1290">
        <f t="shared" si="415"/>
        <v>0</v>
      </c>
      <c r="X581" s="1290">
        <f t="shared" si="416"/>
        <v>0</v>
      </c>
      <c r="Y581" s="396"/>
      <c r="Z581" s="1291" t="str">
        <f t="shared" si="438"/>
        <v>0-DURLOKA</v>
      </c>
      <c r="AA581" s="1291" t="str">
        <f t="shared" si="439"/>
        <v>0-DURLOKE</v>
      </c>
      <c r="AB581" s="1291" t="str">
        <f t="shared" si="440"/>
        <v>0-DURLOKM</v>
      </c>
      <c r="AC581" s="1291" t="str">
        <f t="shared" si="441"/>
        <v>0-DURLOKT</v>
      </c>
      <c r="AD581" s="1291" t="str">
        <f t="shared" si="442"/>
        <v>0-DURLOKS</v>
      </c>
      <c r="AE581" s="1291" t="str">
        <f t="shared" si="443"/>
        <v>0-DURLOKX</v>
      </c>
      <c r="AF581" s="1291" t="str">
        <f t="shared" si="444"/>
        <v>0-DURLOKA</v>
      </c>
      <c r="AG581" s="1291">
        <f t="shared" si="417"/>
        <v>8</v>
      </c>
      <c r="AH581" s="1291">
        <f>IF(B581&lt;&gt;"",+IF(H581="x",+VLOOKUP(I581,'AUX-NIV2'!B:AG,32,FALSE),0),"")</f>
        <v>0</v>
      </c>
      <c r="AI581" s="1291" t="str">
        <f t="shared" si="445"/>
        <v>0-DURLOK</v>
      </c>
      <c r="AK581" s="347">
        <f t="shared" si="418"/>
        <v>580</v>
      </c>
      <c r="AL581" s="348">
        <f t="shared" si="446"/>
        <v>587</v>
      </c>
      <c r="AM581" s="347">
        <f t="shared" si="447"/>
        <v>2</v>
      </c>
      <c r="AN581" s="382">
        <f>IF(AND(AH581&gt;0,B581&lt;&gt;""),VLOOKUP(I581,'AUX-NIV2'!$B:$AP,40,FALSE)*O581,0)</f>
        <v>0</v>
      </c>
      <c r="AO581" s="382">
        <f t="shared" si="419"/>
        <v>4</v>
      </c>
      <c r="AQ581" s="395">
        <f>(IF($H581="x",VLOOKUP($I581,'AUX-NIV2'!$B:$X,'AUX-NIV1'!AQ$3,FALSE),0)+($AV581*'AUX-NIV3'!S$4))*$O581+IF($H581=AQ$4,$P581,0)</f>
        <v>844.96085539334467</v>
      </c>
      <c r="AR581" s="395">
        <f>(IF($H581="x",VLOOKUP($I581,'AUX-NIV2'!$B:$X,'AUX-NIV1'!AR$3,FALSE),0)+($AV581*'AUX-NIV3'!T$4))*$O581+IF($H581=AR$4,$P581,0)</f>
        <v>0</v>
      </c>
      <c r="AS581" s="395">
        <f>(IF($H581="x",VLOOKUP($I581,'AUX-NIV2'!$B:$X,'AUX-NIV1'!AS$3,FALSE),0)+($AV581*'AUX-NIV3'!U$4))*$O581+IF($H581=AS$4,$P581,0)</f>
        <v>0</v>
      </c>
      <c r="AT581" s="395">
        <f>(IF($H581="x",VLOOKUP($I581,'AUX-NIV2'!$B:$X,'AUX-NIV1'!AT$3,FALSE),0)+($AV581*'AUX-NIV3'!V$4))*$O581+IF($H581=AT$4,$P581,0)</f>
        <v>0</v>
      </c>
      <c r="AU581" s="395">
        <f>(IF($H581="x",VLOOKUP($I581,'AUX-NIV2'!$B:$X,'AUX-NIV1'!AU$3,FALSE),0)+($AV581*'AUX-NIV3'!W$4))*$O581+IF($H581=AU$4,$P581,0)</f>
        <v>0</v>
      </c>
      <c r="AV581" s="395">
        <f>+IF($H581="x",VLOOKUP($I581,'AUX-NIV2'!$B:$X,'AUX-NIV1'!AV$3,FALSE),0)</f>
        <v>0</v>
      </c>
    </row>
    <row r="582" spans="2:48" ht="13.8" hidden="1" thickTop="1">
      <c r="B582" s="501" t="s">
        <v>3716</v>
      </c>
      <c r="C582" s="951" t="s">
        <v>3717</v>
      </c>
      <c r="D582" s="1280" t="s">
        <v>501</v>
      </c>
      <c r="E582" s="1281">
        <f>IF(B582&lt;&gt;"",+SUMIF(Items!C:C,'AUX-NIV1'!B582,Items!H:H),"")</f>
        <v>0</v>
      </c>
      <c r="F582" s="1281">
        <f t="shared" si="409"/>
        <v>2855.266417300692</v>
      </c>
      <c r="G582" s="1281">
        <f t="shared" si="410"/>
        <v>0</v>
      </c>
      <c r="H582" s="1395" t="str">
        <f t="shared" si="434"/>
        <v>M</v>
      </c>
      <c r="I582" s="1375" t="s">
        <v>4519</v>
      </c>
      <c r="J582" s="1283" t="str">
        <f>IF(B582&lt;&gt;"",+VLOOKUP(I582,Recursos!C:F,2,FALSE),"")</f>
        <v>PLACA DE YESO 15mm x 1,2m x 2,4m</v>
      </c>
      <c r="K582" s="1284" t="str">
        <f>IF(B582&lt;&gt;"",+VLOOKUP(I582,Recursos!C:F,3,FALSE),"")</f>
        <v>m2</v>
      </c>
      <c r="L582" s="1285">
        <f>IF(B582&lt;&gt;"",+VLOOKUP(I582,Recursos!C:F,4,FALSE),"")</f>
        <v>345.48611111111114</v>
      </c>
      <c r="M582" s="1328">
        <v>1.1000000000000001</v>
      </c>
      <c r="N582" s="1329">
        <v>1</v>
      </c>
      <c r="O582" s="1286">
        <f>N582*M582</f>
        <v>1.1000000000000001</v>
      </c>
      <c r="P582" s="1287">
        <f t="shared" si="435"/>
        <v>380.03472222222229</v>
      </c>
      <c r="Q582" s="1281">
        <f t="shared" si="436"/>
        <v>0</v>
      </c>
      <c r="R582" s="1288">
        <f t="shared" si="437"/>
        <v>0</v>
      </c>
      <c r="S582" s="1289">
        <f t="shared" si="411"/>
        <v>1838.792764178861</v>
      </c>
      <c r="T582" s="1289">
        <f t="shared" si="412"/>
        <v>0</v>
      </c>
      <c r="U582" s="1290">
        <f t="shared" si="413"/>
        <v>1016.4736531218311</v>
      </c>
      <c r="V582" s="1290">
        <f t="shared" si="414"/>
        <v>0</v>
      </c>
      <c r="W582" s="1290">
        <f t="shared" si="415"/>
        <v>0</v>
      </c>
      <c r="X582" s="1290">
        <f t="shared" si="416"/>
        <v>0</v>
      </c>
      <c r="Y582" s="396"/>
      <c r="Z582" s="1291" t="str">
        <f t="shared" si="438"/>
        <v>0-DURLOKA</v>
      </c>
      <c r="AA582" s="1291" t="str">
        <f t="shared" si="439"/>
        <v>0-DURLOKE</v>
      </c>
      <c r="AB582" s="1291" t="str">
        <f t="shared" si="440"/>
        <v>0-DURLOKM</v>
      </c>
      <c r="AC582" s="1291" t="str">
        <f t="shared" si="441"/>
        <v>0-DURLOKT</v>
      </c>
      <c r="AD582" s="1291" t="str">
        <f t="shared" si="442"/>
        <v>0-DURLOKS</v>
      </c>
      <c r="AE582" s="1291" t="str">
        <f t="shared" si="443"/>
        <v>0-DURLOKX</v>
      </c>
      <c r="AF582" s="1291" t="str">
        <f t="shared" si="444"/>
        <v>0-DURLOKM</v>
      </c>
      <c r="AG582" s="1291">
        <f t="shared" si="417"/>
        <v>8</v>
      </c>
      <c r="AH582" s="1291">
        <f>IF(B582&lt;&gt;"",+IF(H582="x",+VLOOKUP(I582,'AUX-NIV2'!B:AG,32,FALSE),0),"")</f>
        <v>0</v>
      </c>
      <c r="AI582" s="1291" t="str">
        <f t="shared" si="445"/>
        <v>0-DURLOK</v>
      </c>
      <c r="AK582" s="347">
        <f t="shared" si="418"/>
        <v>580</v>
      </c>
      <c r="AL582" s="348">
        <f t="shared" si="446"/>
        <v>587</v>
      </c>
      <c r="AM582" s="347">
        <f t="shared" si="447"/>
        <v>3</v>
      </c>
      <c r="AN582" s="382">
        <f>IF(AND(AH582&gt;0,B582&lt;&gt;""),VLOOKUP(I582,'AUX-NIV2'!$B:$AP,40,FALSE)*O582,0)</f>
        <v>0</v>
      </c>
      <c r="AO582" s="382">
        <f t="shared" si="419"/>
        <v>4</v>
      </c>
      <c r="AQ582" s="395">
        <f>(IF($H582="x",VLOOKUP($I582,'AUX-NIV2'!$B:$X,'AUX-NIV1'!AQ$3,FALSE),0)+($AV582*'AUX-NIV3'!S$4))*$O582+IF($H582=AQ$4,$P582,0)</f>
        <v>0</v>
      </c>
      <c r="AR582" s="395">
        <f>(IF($H582="x",VLOOKUP($I582,'AUX-NIV2'!$B:$X,'AUX-NIV1'!AR$3,FALSE),0)+($AV582*'AUX-NIV3'!T$4))*$O582+IF($H582=AR$4,$P582,0)</f>
        <v>0</v>
      </c>
      <c r="AS582" s="395">
        <f>(IF($H582="x",VLOOKUP($I582,'AUX-NIV2'!$B:$X,'AUX-NIV1'!AS$3,FALSE),0)+($AV582*'AUX-NIV3'!U$4))*$O582+IF($H582=AS$4,$P582,0)</f>
        <v>380.03472222222229</v>
      </c>
      <c r="AT582" s="395">
        <f>(IF($H582="x",VLOOKUP($I582,'AUX-NIV2'!$B:$X,'AUX-NIV1'!AT$3,FALSE),0)+($AV582*'AUX-NIV3'!V$4))*$O582+IF($H582=AT$4,$P582,0)</f>
        <v>0</v>
      </c>
      <c r="AU582" s="395">
        <f>(IF($H582="x",VLOOKUP($I582,'AUX-NIV2'!$B:$X,'AUX-NIV1'!AU$3,FALSE),0)+($AV582*'AUX-NIV3'!W$4))*$O582+IF($H582=AU$4,$P582,0)</f>
        <v>0</v>
      </c>
      <c r="AV582" s="395">
        <f>+IF($H582="x",VLOOKUP($I582,'AUX-NIV2'!$B:$X,'AUX-NIV1'!AV$3,FALSE),0)</f>
        <v>0</v>
      </c>
    </row>
    <row r="583" spans="2:48" ht="13.8" hidden="1" thickTop="1">
      <c r="B583" s="501" t="s">
        <v>3716</v>
      </c>
      <c r="C583" s="951" t="s">
        <v>3717</v>
      </c>
      <c r="D583" s="1280" t="s">
        <v>501</v>
      </c>
      <c r="E583" s="1281">
        <f>IF(B583&lt;&gt;"",+SUMIF(Items!C:C,'AUX-NIV1'!B583,Items!H:H),"")</f>
        <v>0</v>
      </c>
      <c r="F583" s="1281">
        <f t="shared" ref="F583:F646" si="505">IF(B583&lt;&gt;"",+SUMIF(B:B,B583,P:P),"")</f>
        <v>2855.266417300692</v>
      </c>
      <c r="G583" s="1281">
        <f t="shared" ref="G583:G646" si="506">IF(B583&lt;&gt;"",+SUMIF(B:B,B583,R:R),"")</f>
        <v>0</v>
      </c>
      <c r="H583" s="1395" t="str">
        <f t="shared" ref="H583" si="507">IF(B583&lt;&gt;"",+LEFT(I583,1),"")</f>
        <v>M</v>
      </c>
      <c r="I583" s="1375" t="s">
        <v>4521</v>
      </c>
      <c r="J583" s="1283" t="str">
        <f>IF(B583&lt;&gt;"",+VLOOKUP(I583,Recursos!C:F,2,FALSE),"")</f>
        <v>PLACA DE YESO 15mm x 1,2m x 2,4m VERDE</v>
      </c>
      <c r="K583" s="1284" t="str">
        <f>IF(B583&lt;&gt;"",+VLOOKUP(I583,Recursos!C:F,3,FALSE),"")</f>
        <v>m2</v>
      </c>
      <c r="L583" s="1285">
        <f>IF(B583&lt;&gt;"",+VLOOKUP(I583,Recursos!C:F,4,FALSE),"")</f>
        <v>625</v>
      </c>
      <c r="M583" s="1328">
        <v>0</v>
      </c>
      <c r="N583" s="1329">
        <v>1</v>
      </c>
      <c r="O583" s="1286">
        <f>N583*M583</f>
        <v>0</v>
      </c>
      <c r="P583" s="1287">
        <f t="shared" ref="P583" si="508">IF(B583&lt;&gt;"",O583*L583,"")</f>
        <v>0</v>
      </c>
      <c r="Q583" s="1281">
        <f t="shared" ref="Q583" si="509">IF(B583&lt;&gt;"",+O583*E583,"")</f>
        <v>0</v>
      </c>
      <c r="R583" s="1288">
        <f t="shared" ref="R583" si="510">IF(B583&lt;&gt;"",Q583*L583,"")</f>
        <v>0</v>
      </c>
      <c r="S583" s="1289">
        <f t="shared" ref="S583:S646" si="511">IF(B583&lt;&gt;"",+SUMIF($AF:$AF,Z583,$P:$P),"")</f>
        <v>1838.792764178861</v>
      </c>
      <c r="T583" s="1289">
        <f t="shared" ref="T583:T646" si="512">IF(B583&lt;&gt;"",+SUMIF($AF:$AF,AA583,$P:$P),"")</f>
        <v>0</v>
      </c>
      <c r="U583" s="1290">
        <f t="shared" ref="U583:U646" si="513">IF(B583&lt;&gt;"",+SUMIF($AF:$AF,AB583,$P:$P),"")</f>
        <v>1016.4736531218311</v>
      </c>
      <c r="V583" s="1290">
        <f t="shared" ref="V583:V646" si="514">IF(B583&lt;&gt;"",+SUMIF($AF:$AF,AC583,$P:$P),"")</f>
        <v>0</v>
      </c>
      <c r="W583" s="1290">
        <f t="shared" ref="W583:W646" si="515">IF(B583&lt;&gt;"",+SUMIF($AF:$AF,AD583,$P:$P),"")</f>
        <v>0</v>
      </c>
      <c r="X583" s="1290">
        <f t="shared" ref="X583:X646" si="516">IF(B583&lt;&gt;"",+SUMIF($AF:$AF,AE583,$P:$P),"")</f>
        <v>0</v>
      </c>
      <c r="Y583" s="396"/>
      <c r="Z583" s="1291" t="str">
        <f t="shared" ref="Z583" si="517">IF(B583&lt;&gt;"",+$B583&amp;"A","")</f>
        <v>0-DURLOKA</v>
      </c>
      <c r="AA583" s="1291" t="str">
        <f t="shared" ref="AA583" si="518">IF(B583&lt;&gt;"",+$B583&amp;"E","")</f>
        <v>0-DURLOKE</v>
      </c>
      <c r="AB583" s="1291" t="str">
        <f t="shared" ref="AB583" si="519">IF(B583&lt;&gt;"",++$B583&amp;"M","")</f>
        <v>0-DURLOKM</v>
      </c>
      <c r="AC583" s="1291" t="str">
        <f t="shared" ref="AC583" si="520">IF(B583&lt;&gt;"",+$B583&amp;"T","")</f>
        <v>0-DURLOKT</v>
      </c>
      <c r="AD583" s="1291" t="str">
        <f t="shared" ref="AD583" si="521">IF(B583&lt;&gt;"",+$B583&amp;"S","")</f>
        <v>0-DURLOKS</v>
      </c>
      <c r="AE583" s="1291" t="str">
        <f t="shared" ref="AE583" si="522">IF(B583&lt;&gt;"",+$B583&amp;"X","")</f>
        <v>0-DURLOKX</v>
      </c>
      <c r="AF583" s="1291" t="str">
        <f t="shared" ref="AF583" si="523">IF(B583&lt;&gt;"",+B583&amp;H583,"")</f>
        <v>0-DURLOKM</v>
      </c>
      <c r="AG583" s="1291">
        <f t="shared" ref="AG583:AG646" si="524">IF(B583&lt;&gt;"",+COUNTIF(B:B,B583),"")</f>
        <v>8</v>
      </c>
      <c r="AH583" s="1291">
        <f>IF(B583&lt;&gt;"",+IF(H583="x",+VLOOKUP(I583,'AUX-NIV2'!B:AG,32,FALSE),0),"")</f>
        <v>0</v>
      </c>
      <c r="AI583" s="1291" t="str">
        <f t="shared" ref="AI583" si="525">IF(B583&lt;&gt;"",+B583,"")</f>
        <v>0-DURLOK</v>
      </c>
      <c r="AK583" s="347">
        <f t="shared" ref="AK583:AK646" si="526">IF(B583&lt;&gt;"",+MATCH(B583,B:B,0),"")</f>
        <v>580</v>
      </c>
      <c r="AL583" s="348">
        <f t="shared" ref="AL583" si="527">IF(B583&lt;&gt;"",+AK583+AG583-1,"")</f>
        <v>587</v>
      </c>
      <c r="AM583" s="347">
        <f t="shared" ref="AM583" si="528">IF(B583&lt;&gt;"",IF(B583=B582,1+AM582,1),"")</f>
        <v>4</v>
      </c>
      <c r="AN583" s="382">
        <f>IF(AND(AH583&gt;0,B583&lt;&gt;""),VLOOKUP(I583,'AUX-NIV2'!$B:$AP,40,FALSE)*O583,0)</f>
        <v>0</v>
      </c>
      <c r="AO583" s="382">
        <f t="shared" ref="AO583:AO646" si="529">+IF(B583&lt;&gt;"",SUMIF(AF:AF,Z583,O:O)+SUMIF(Z:Z,Z583,AN:AN),0)</f>
        <v>4</v>
      </c>
      <c r="AQ583" s="395">
        <f>(IF($H583="x",VLOOKUP($I583,'AUX-NIV2'!$B:$X,'AUX-NIV1'!AQ$3,FALSE),0)+($AV583*'AUX-NIV3'!S$4))*$O583+IF($H583=AQ$4,$P583,0)</f>
        <v>0</v>
      </c>
      <c r="AR583" s="395">
        <f>(IF($H583="x",VLOOKUP($I583,'AUX-NIV2'!$B:$X,'AUX-NIV1'!AR$3,FALSE),0)+($AV583*'AUX-NIV3'!T$4))*$O583+IF($H583=AR$4,$P583,0)</f>
        <v>0</v>
      </c>
      <c r="AS583" s="395">
        <f>(IF($H583="x",VLOOKUP($I583,'AUX-NIV2'!$B:$X,'AUX-NIV1'!AS$3,FALSE),0)+($AV583*'AUX-NIV3'!U$4))*$O583+IF($H583=AS$4,$P583,0)</f>
        <v>0</v>
      </c>
      <c r="AT583" s="395">
        <f>(IF($H583="x",VLOOKUP($I583,'AUX-NIV2'!$B:$X,'AUX-NIV1'!AT$3,FALSE),0)+($AV583*'AUX-NIV3'!V$4))*$O583+IF($H583=AT$4,$P583,0)</f>
        <v>0</v>
      </c>
      <c r="AU583" s="395">
        <f>(IF($H583="x",VLOOKUP($I583,'AUX-NIV2'!$B:$X,'AUX-NIV1'!AU$3,FALSE),0)+($AV583*'AUX-NIV3'!W$4))*$O583+IF($H583=AU$4,$P583,0)</f>
        <v>0</v>
      </c>
      <c r="AV583" s="395">
        <f>+IF($H583="x",VLOOKUP($I583,'AUX-NIV2'!$B:$X,'AUX-NIV1'!AV$3,FALSE),0)</f>
        <v>0</v>
      </c>
    </row>
    <row r="584" spans="2:48" ht="13.8" hidden="1" thickTop="1">
      <c r="B584" s="501" t="s">
        <v>3716</v>
      </c>
      <c r="C584" s="951" t="s">
        <v>3717</v>
      </c>
      <c r="D584" s="1280" t="s">
        <v>501</v>
      </c>
      <c r="E584" s="1281">
        <f>IF(B584&lt;&gt;"",+SUMIF(Items!C:C,'AUX-NIV1'!B584,Items!H:H),"")</f>
        <v>0</v>
      </c>
      <c r="F584" s="1281">
        <f t="shared" si="505"/>
        <v>2855.266417300692</v>
      </c>
      <c r="G584" s="1281">
        <f t="shared" si="506"/>
        <v>0</v>
      </c>
      <c r="H584" s="1395" t="str">
        <f t="shared" si="434"/>
        <v>M</v>
      </c>
      <c r="I584" s="1375" t="s">
        <v>3719</v>
      </c>
      <c r="J584" s="1283" t="str">
        <f>IF(B584&lt;&gt;"",+VLOOKUP(I584,Recursos!C:F,2,FALSE),"")</f>
        <v>PERFILES DE CHAPA GALVANIZADA (2,6m) p/TABUIQUES</v>
      </c>
      <c r="K584" s="1284" t="str">
        <f>IF(B584&lt;&gt;"",+VLOOKUP(I584,Recursos!C:F,3,FALSE),"")</f>
        <v>m</v>
      </c>
      <c r="L584" s="1285">
        <f>IF(B584&lt;&gt;"",+VLOOKUP(I584,Recursos!C:F,4,FALSE),"")</f>
        <v>173.07692307692307</v>
      </c>
      <c r="M584" s="1351"/>
      <c r="N584" s="1329">
        <f>(2.95+1*2)/2.95</f>
        <v>1.6779661016949152</v>
      </c>
      <c r="O584" s="1286">
        <f>N584*M582</f>
        <v>1.8457627118644069</v>
      </c>
      <c r="P584" s="1287">
        <f t="shared" si="435"/>
        <v>319.45893089960884</v>
      </c>
      <c r="Q584" s="1281">
        <f t="shared" si="436"/>
        <v>0</v>
      </c>
      <c r="R584" s="1288">
        <f t="shared" si="437"/>
        <v>0</v>
      </c>
      <c r="S584" s="1289">
        <f t="shared" si="511"/>
        <v>1838.792764178861</v>
      </c>
      <c r="T584" s="1289">
        <f t="shared" si="512"/>
        <v>0</v>
      </c>
      <c r="U584" s="1290">
        <f t="shared" si="513"/>
        <v>1016.4736531218311</v>
      </c>
      <c r="V584" s="1290">
        <f t="shared" si="514"/>
        <v>0</v>
      </c>
      <c r="W584" s="1290">
        <f t="shared" si="515"/>
        <v>0</v>
      </c>
      <c r="X584" s="1290">
        <f t="shared" si="516"/>
        <v>0</v>
      </c>
      <c r="Y584" s="396"/>
      <c r="Z584" s="1291" t="str">
        <f t="shared" si="438"/>
        <v>0-DURLOKA</v>
      </c>
      <c r="AA584" s="1291" t="str">
        <f t="shared" si="439"/>
        <v>0-DURLOKE</v>
      </c>
      <c r="AB584" s="1291" t="str">
        <f t="shared" si="440"/>
        <v>0-DURLOKM</v>
      </c>
      <c r="AC584" s="1291" t="str">
        <f t="shared" si="441"/>
        <v>0-DURLOKT</v>
      </c>
      <c r="AD584" s="1291" t="str">
        <f t="shared" si="442"/>
        <v>0-DURLOKS</v>
      </c>
      <c r="AE584" s="1291" t="str">
        <f t="shared" si="443"/>
        <v>0-DURLOKX</v>
      </c>
      <c r="AF584" s="1291" t="str">
        <f t="shared" si="444"/>
        <v>0-DURLOKM</v>
      </c>
      <c r="AG584" s="1291">
        <f t="shared" si="524"/>
        <v>8</v>
      </c>
      <c r="AH584" s="1291">
        <f>IF(B584&lt;&gt;"",+IF(H584="x",+VLOOKUP(I584,'AUX-NIV2'!B:AG,32,FALSE),0),"")</f>
        <v>0</v>
      </c>
      <c r="AI584" s="1291" t="str">
        <f t="shared" si="445"/>
        <v>0-DURLOK</v>
      </c>
      <c r="AK584" s="347">
        <f t="shared" si="526"/>
        <v>580</v>
      </c>
      <c r="AL584" s="348">
        <f t="shared" si="446"/>
        <v>587</v>
      </c>
      <c r="AM584" s="347">
        <f>IF(B584&lt;&gt;"",IF(B584=B582,1+AM582,1),"")</f>
        <v>4</v>
      </c>
      <c r="AN584" s="382">
        <f>IF(AND(AH584&gt;0,B584&lt;&gt;""),VLOOKUP(I584,'AUX-NIV2'!$B:$AP,40,FALSE)*O584,0)</f>
        <v>0</v>
      </c>
      <c r="AO584" s="382">
        <f t="shared" si="529"/>
        <v>4</v>
      </c>
      <c r="AQ584" s="395">
        <f>(IF($H584="x",VLOOKUP($I584,'AUX-NIV2'!$B:$X,'AUX-NIV1'!AQ$3,FALSE),0)+($AV584*'AUX-NIV3'!S$4))*$O584+IF($H584=AQ$4,$P584,0)</f>
        <v>0</v>
      </c>
      <c r="AR584" s="395">
        <f>(IF($H584="x",VLOOKUP($I584,'AUX-NIV2'!$B:$X,'AUX-NIV1'!AR$3,FALSE),0)+($AV584*'AUX-NIV3'!T$4))*$O584+IF($H584=AR$4,$P584,0)</f>
        <v>0</v>
      </c>
      <c r="AS584" s="395">
        <f>(IF($H584="x",VLOOKUP($I584,'AUX-NIV2'!$B:$X,'AUX-NIV1'!AS$3,FALSE),0)+($AV584*'AUX-NIV3'!U$4))*$O584+IF($H584=AS$4,$P584,0)</f>
        <v>319.45893089960884</v>
      </c>
      <c r="AT584" s="395">
        <f>(IF($H584="x",VLOOKUP($I584,'AUX-NIV2'!$B:$X,'AUX-NIV1'!AT$3,FALSE),0)+($AV584*'AUX-NIV3'!V$4))*$O584+IF($H584=AT$4,$P584,0)</f>
        <v>0</v>
      </c>
      <c r="AU584" s="395">
        <f>(IF($H584="x",VLOOKUP($I584,'AUX-NIV2'!$B:$X,'AUX-NIV1'!AU$3,FALSE),0)+($AV584*'AUX-NIV3'!W$4))*$O584+IF($H584=AU$4,$P584,0)</f>
        <v>0</v>
      </c>
      <c r="AV584" s="395">
        <f>+IF($H584="x",VLOOKUP($I584,'AUX-NIV2'!$B:$X,'AUX-NIV1'!AV$3,FALSE),0)</f>
        <v>0</v>
      </c>
    </row>
    <row r="585" spans="2:48" ht="13.8" hidden="1" thickTop="1">
      <c r="B585" s="501" t="s">
        <v>3716</v>
      </c>
      <c r="C585" s="951" t="s">
        <v>3717</v>
      </c>
      <c r="D585" s="1280" t="s">
        <v>501</v>
      </c>
      <c r="E585" s="1281">
        <f>IF(B585&lt;&gt;"",+SUMIF(Items!C:C,'AUX-NIV1'!B585,Items!H:H),"")</f>
        <v>0</v>
      </c>
      <c r="F585" s="1281">
        <f t="shared" si="505"/>
        <v>2855.266417300692</v>
      </c>
      <c r="G585" s="1281">
        <f t="shared" si="506"/>
        <v>0</v>
      </c>
      <c r="H585" s="1395" t="str">
        <f t="shared" si="434"/>
        <v>M</v>
      </c>
      <c r="I585" s="1375" t="s">
        <v>3720</v>
      </c>
      <c r="J585" s="1283" t="str">
        <f>IF(B585&lt;&gt;"",+VLOOKUP(I585,Recursos!C:F,2,FALSE),"")</f>
        <v>FIJACIONES</v>
      </c>
      <c r="K585" s="1284" t="str">
        <f>IF(B585&lt;&gt;"",+VLOOKUP(I585,Recursos!C:F,3,FALSE),"")</f>
        <v>UN</v>
      </c>
      <c r="L585" s="1285">
        <f>IF(B585&lt;&gt;"",+VLOOKUP(I585,Recursos!C:F,4,FALSE),"")</f>
        <v>5</v>
      </c>
      <c r="M585" s="1351"/>
      <c r="N585" s="1329">
        <v>1.3</v>
      </c>
      <c r="O585" s="1286">
        <f>N585*M582</f>
        <v>1.4300000000000002</v>
      </c>
      <c r="P585" s="1287">
        <f t="shared" si="435"/>
        <v>7.15</v>
      </c>
      <c r="Q585" s="1281">
        <f t="shared" si="436"/>
        <v>0</v>
      </c>
      <c r="R585" s="1288">
        <f t="shared" si="437"/>
        <v>0</v>
      </c>
      <c r="S585" s="1289">
        <f t="shared" si="511"/>
        <v>1838.792764178861</v>
      </c>
      <c r="T585" s="1289">
        <f t="shared" si="512"/>
        <v>0</v>
      </c>
      <c r="U585" s="1290">
        <f t="shared" si="513"/>
        <v>1016.4736531218311</v>
      </c>
      <c r="V585" s="1290">
        <f t="shared" si="514"/>
        <v>0</v>
      </c>
      <c r="W585" s="1290">
        <f t="shared" si="515"/>
        <v>0</v>
      </c>
      <c r="X585" s="1290">
        <f t="shared" si="516"/>
        <v>0</v>
      </c>
      <c r="Y585" s="396"/>
      <c r="Z585" s="1291" t="str">
        <f t="shared" si="438"/>
        <v>0-DURLOKA</v>
      </c>
      <c r="AA585" s="1291" t="str">
        <f t="shared" si="439"/>
        <v>0-DURLOKE</v>
      </c>
      <c r="AB585" s="1291" t="str">
        <f t="shared" si="440"/>
        <v>0-DURLOKM</v>
      </c>
      <c r="AC585" s="1291" t="str">
        <f t="shared" si="441"/>
        <v>0-DURLOKT</v>
      </c>
      <c r="AD585" s="1291" t="str">
        <f t="shared" si="442"/>
        <v>0-DURLOKS</v>
      </c>
      <c r="AE585" s="1291" t="str">
        <f t="shared" si="443"/>
        <v>0-DURLOKX</v>
      </c>
      <c r="AF585" s="1291" t="str">
        <f t="shared" si="444"/>
        <v>0-DURLOKM</v>
      </c>
      <c r="AG585" s="1291">
        <f t="shared" si="524"/>
        <v>8</v>
      </c>
      <c r="AH585" s="1291">
        <f>IF(B585&lt;&gt;"",+IF(H585="x",+VLOOKUP(I585,'AUX-NIV2'!B:AG,32,FALSE),0),"")</f>
        <v>0</v>
      </c>
      <c r="AI585" s="1291" t="str">
        <f t="shared" si="445"/>
        <v>0-DURLOK</v>
      </c>
      <c r="AK585" s="347">
        <f t="shared" si="526"/>
        <v>580</v>
      </c>
      <c r="AL585" s="348">
        <f t="shared" si="446"/>
        <v>587</v>
      </c>
      <c r="AM585" s="347">
        <f t="shared" si="447"/>
        <v>5</v>
      </c>
      <c r="AN585" s="382">
        <f>IF(AND(AH585&gt;0,B585&lt;&gt;""),VLOOKUP(I585,'AUX-NIV2'!$B:$AP,40,FALSE)*O585,0)</f>
        <v>0</v>
      </c>
      <c r="AO585" s="382">
        <f t="shared" si="529"/>
        <v>4</v>
      </c>
      <c r="AQ585" s="395">
        <f>(IF($H585="x",VLOOKUP($I585,'AUX-NIV2'!$B:$X,'AUX-NIV1'!AQ$3,FALSE),0)+($AV585*'AUX-NIV3'!S$4))*$O585+IF($H585=AQ$4,$P585,0)</f>
        <v>0</v>
      </c>
      <c r="AR585" s="395">
        <f>(IF($H585="x",VLOOKUP($I585,'AUX-NIV2'!$B:$X,'AUX-NIV1'!AR$3,FALSE),0)+($AV585*'AUX-NIV3'!T$4))*$O585+IF($H585=AR$4,$P585,0)</f>
        <v>0</v>
      </c>
      <c r="AS585" s="395">
        <f>(IF($H585="x",VLOOKUP($I585,'AUX-NIV2'!$B:$X,'AUX-NIV1'!AS$3,FALSE),0)+($AV585*'AUX-NIV3'!U$4))*$O585+IF($H585=AS$4,$P585,0)</f>
        <v>7.15</v>
      </c>
      <c r="AT585" s="395">
        <f>(IF($H585="x",VLOOKUP($I585,'AUX-NIV2'!$B:$X,'AUX-NIV1'!AT$3,FALSE),0)+($AV585*'AUX-NIV3'!V$4))*$O585+IF($H585=AT$4,$P585,0)</f>
        <v>0</v>
      </c>
      <c r="AU585" s="395">
        <f>(IF($H585="x",VLOOKUP($I585,'AUX-NIV2'!$B:$X,'AUX-NIV1'!AU$3,FALSE),0)+($AV585*'AUX-NIV3'!W$4))*$O585+IF($H585=AU$4,$P585,0)</f>
        <v>0</v>
      </c>
      <c r="AV585" s="395">
        <f>+IF($H585="x",VLOOKUP($I585,'AUX-NIV2'!$B:$X,'AUX-NIV1'!AV$3,FALSE),0)</f>
        <v>0</v>
      </c>
    </row>
    <row r="586" spans="2:48" ht="13.8" hidden="1" thickTop="1">
      <c r="B586" s="501" t="s">
        <v>3716</v>
      </c>
      <c r="C586" s="951" t="s">
        <v>3717</v>
      </c>
      <c r="D586" s="1280" t="s">
        <v>501</v>
      </c>
      <c r="E586" s="1281">
        <f>IF(B586&lt;&gt;"",+SUMIF(Items!C:C,'AUX-NIV1'!B586,Items!H:H),"")</f>
        <v>0</v>
      </c>
      <c r="F586" s="1281">
        <f t="shared" si="505"/>
        <v>2855.266417300692</v>
      </c>
      <c r="G586" s="1281">
        <f t="shared" si="506"/>
        <v>0</v>
      </c>
      <c r="H586" s="1395" t="str">
        <f t="shared" si="434"/>
        <v>M</v>
      </c>
      <c r="I586" s="1375" t="s">
        <v>3721</v>
      </c>
      <c r="J586" s="1283" t="str">
        <f>IF(B586&lt;&gt;"",+VLOOKUP(I586,Recursos!C:F,2,FALSE),"")</f>
        <v>CINTA DURLOCK</v>
      </c>
      <c r="K586" s="1284" t="str">
        <f>IF(B586&lt;&gt;"",+VLOOKUP(I586,Recursos!C:F,3,FALSE),"")</f>
        <v>UN</v>
      </c>
      <c r="L586" s="1285">
        <f>IF(B586&lt;&gt;"",+VLOOKUP(I586,Recursos!C:F,4,FALSE),"")</f>
        <v>600</v>
      </c>
      <c r="M586" s="1351"/>
      <c r="N586" s="1329">
        <v>7.4999999999999997E-2</v>
      </c>
      <c r="O586" s="1286">
        <f>N586*M582</f>
        <v>8.2500000000000004E-2</v>
      </c>
      <c r="P586" s="1287">
        <f t="shared" si="435"/>
        <v>49.5</v>
      </c>
      <c r="Q586" s="1281">
        <f t="shared" si="436"/>
        <v>0</v>
      </c>
      <c r="R586" s="1288">
        <f t="shared" si="437"/>
        <v>0</v>
      </c>
      <c r="S586" s="1289">
        <f t="shared" si="511"/>
        <v>1838.792764178861</v>
      </c>
      <c r="T586" s="1289">
        <f t="shared" si="512"/>
        <v>0</v>
      </c>
      <c r="U586" s="1290">
        <f t="shared" si="513"/>
        <v>1016.4736531218311</v>
      </c>
      <c r="V586" s="1290">
        <f t="shared" si="514"/>
        <v>0</v>
      </c>
      <c r="W586" s="1290">
        <f t="shared" si="515"/>
        <v>0</v>
      </c>
      <c r="X586" s="1290">
        <f t="shared" si="516"/>
        <v>0</v>
      </c>
      <c r="Y586" s="396"/>
      <c r="Z586" s="1291" t="str">
        <f t="shared" si="438"/>
        <v>0-DURLOKA</v>
      </c>
      <c r="AA586" s="1291" t="str">
        <f t="shared" si="439"/>
        <v>0-DURLOKE</v>
      </c>
      <c r="AB586" s="1291" t="str">
        <f t="shared" si="440"/>
        <v>0-DURLOKM</v>
      </c>
      <c r="AC586" s="1291" t="str">
        <f t="shared" si="441"/>
        <v>0-DURLOKT</v>
      </c>
      <c r="AD586" s="1291" t="str">
        <f t="shared" si="442"/>
        <v>0-DURLOKS</v>
      </c>
      <c r="AE586" s="1291" t="str">
        <f t="shared" si="443"/>
        <v>0-DURLOKX</v>
      </c>
      <c r="AF586" s="1291" t="str">
        <f t="shared" si="444"/>
        <v>0-DURLOKM</v>
      </c>
      <c r="AG586" s="1291">
        <f t="shared" si="524"/>
        <v>8</v>
      </c>
      <c r="AH586" s="1291">
        <f>IF(B586&lt;&gt;"",+IF(H586="x",+VLOOKUP(I586,'AUX-NIV2'!B:AG,32,FALSE),0),"")</f>
        <v>0</v>
      </c>
      <c r="AI586" s="1291" t="str">
        <f t="shared" si="445"/>
        <v>0-DURLOK</v>
      </c>
      <c r="AK586" s="347">
        <f t="shared" si="526"/>
        <v>580</v>
      </c>
      <c r="AL586" s="348">
        <f t="shared" si="446"/>
        <v>587</v>
      </c>
      <c r="AM586" s="347">
        <f t="shared" si="447"/>
        <v>6</v>
      </c>
      <c r="AN586" s="382">
        <f>IF(AND(AH586&gt;0,B586&lt;&gt;""),VLOOKUP(I586,'AUX-NIV2'!$B:$AP,40,FALSE)*O586,0)</f>
        <v>0</v>
      </c>
      <c r="AO586" s="382">
        <f t="shared" si="529"/>
        <v>4</v>
      </c>
      <c r="AQ586" s="395">
        <f>(IF($H586="x",VLOOKUP($I586,'AUX-NIV2'!$B:$X,'AUX-NIV1'!AQ$3,FALSE),0)+($AV586*'AUX-NIV3'!S$4))*$O586+IF($H586=AQ$4,$P586,0)</f>
        <v>0</v>
      </c>
      <c r="AR586" s="395">
        <f>(IF($H586="x",VLOOKUP($I586,'AUX-NIV2'!$B:$X,'AUX-NIV1'!AR$3,FALSE),0)+($AV586*'AUX-NIV3'!T$4))*$O586+IF($H586=AR$4,$P586,0)</f>
        <v>0</v>
      </c>
      <c r="AS586" s="395">
        <f>(IF($H586="x",VLOOKUP($I586,'AUX-NIV2'!$B:$X,'AUX-NIV1'!AS$3,FALSE),0)+($AV586*'AUX-NIV3'!U$4))*$O586+IF($H586=AS$4,$P586,0)</f>
        <v>49.5</v>
      </c>
      <c r="AT586" s="395">
        <f>(IF($H586="x",VLOOKUP($I586,'AUX-NIV2'!$B:$X,'AUX-NIV1'!AT$3,FALSE),0)+($AV586*'AUX-NIV3'!V$4))*$O586+IF($H586=AT$4,$P586,0)</f>
        <v>0</v>
      </c>
      <c r="AU586" s="395">
        <f>(IF($H586="x",VLOOKUP($I586,'AUX-NIV2'!$B:$X,'AUX-NIV1'!AU$3,FALSE),0)+($AV586*'AUX-NIV3'!W$4))*$O586+IF($H586=AU$4,$P586,0)</f>
        <v>0</v>
      </c>
      <c r="AV586" s="395">
        <f>+IF($H586="x",VLOOKUP($I586,'AUX-NIV2'!$B:$X,'AUX-NIV1'!AV$3,FALSE),0)</f>
        <v>0</v>
      </c>
    </row>
    <row r="587" spans="2:48" ht="14.4" hidden="1" thickTop="1" thickBot="1">
      <c r="B587" s="501" t="s">
        <v>3716</v>
      </c>
      <c r="C587" s="951" t="s">
        <v>3717</v>
      </c>
      <c r="D587" s="1280" t="s">
        <v>501</v>
      </c>
      <c r="E587" s="1281">
        <f>IF(B587&lt;&gt;"",+SUMIF(Items!C:C,'AUX-NIV1'!B587,Items!H:H),"")</f>
        <v>0</v>
      </c>
      <c r="F587" s="1281">
        <f t="shared" si="505"/>
        <v>2855.266417300692</v>
      </c>
      <c r="G587" s="1281">
        <f t="shared" si="506"/>
        <v>0</v>
      </c>
      <c r="H587" s="1395" t="str">
        <f t="shared" si="434"/>
        <v>M</v>
      </c>
      <c r="I587" s="1375" t="s">
        <v>3722</v>
      </c>
      <c r="J587" s="1283" t="str">
        <f>IF(B587&lt;&gt;"",+VLOOKUP(I587,Recursos!C:F,2,FALSE),"")</f>
        <v>LANA DE VIDRIO ISOVER  2"</v>
      </c>
      <c r="K587" s="1284" t="str">
        <f>IF(B587&lt;&gt;"",+VLOOKUP(I587,Recursos!C:F,3,FALSE),"")</f>
        <v>m2</v>
      </c>
      <c r="L587" s="1285">
        <f>IF(B587&lt;&gt;"",+VLOOKUP(I587,Recursos!C:F,4,FALSE),"")</f>
        <v>260.33</v>
      </c>
      <c r="M587" s="1335"/>
      <c r="N587" s="1331">
        <v>1</v>
      </c>
      <c r="O587" s="1286">
        <f t="shared" ref="O587:O653" si="530">N587</f>
        <v>1</v>
      </c>
      <c r="P587" s="1287">
        <f t="shared" si="435"/>
        <v>260.33</v>
      </c>
      <c r="Q587" s="1281">
        <f t="shared" si="436"/>
        <v>0</v>
      </c>
      <c r="R587" s="1288">
        <f t="shared" si="437"/>
        <v>0</v>
      </c>
      <c r="S587" s="1289">
        <f t="shared" si="511"/>
        <v>1838.792764178861</v>
      </c>
      <c r="T587" s="1289">
        <f t="shared" si="512"/>
        <v>0</v>
      </c>
      <c r="U587" s="1290">
        <f t="shared" si="513"/>
        <v>1016.4736531218311</v>
      </c>
      <c r="V587" s="1290">
        <f t="shared" si="514"/>
        <v>0</v>
      </c>
      <c r="W587" s="1290">
        <f t="shared" si="515"/>
        <v>0</v>
      </c>
      <c r="X587" s="1290">
        <f t="shared" si="516"/>
        <v>0</v>
      </c>
      <c r="Y587" s="396"/>
      <c r="Z587" s="1291" t="str">
        <f t="shared" si="438"/>
        <v>0-DURLOKA</v>
      </c>
      <c r="AA587" s="1291" t="str">
        <f t="shared" si="439"/>
        <v>0-DURLOKE</v>
      </c>
      <c r="AB587" s="1291" t="str">
        <f t="shared" si="440"/>
        <v>0-DURLOKM</v>
      </c>
      <c r="AC587" s="1291" t="str">
        <f t="shared" si="441"/>
        <v>0-DURLOKT</v>
      </c>
      <c r="AD587" s="1291" t="str">
        <f t="shared" si="442"/>
        <v>0-DURLOKS</v>
      </c>
      <c r="AE587" s="1291" t="str">
        <f t="shared" si="443"/>
        <v>0-DURLOKX</v>
      </c>
      <c r="AF587" s="1291" t="str">
        <f t="shared" si="444"/>
        <v>0-DURLOKM</v>
      </c>
      <c r="AG587" s="1291">
        <f t="shared" si="524"/>
        <v>8</v>
      </c>
      <c r="AH587" s="1291">
        <f>IF(B587&lt;&gt;"",+IF(H587="x",+VLOOKUP(I587,'AUX-NIV2'!B:AG,32,FALSE),0),"")</f>
        <v>0</v>
      </c>
      <c r="AI587" s="1291" t="str">
        <f t="shared" si="445"/>
        <v>0-DURLOK</v>
      </c>
      <c r="AK587" s="347">
        <f t="shared" si="526"/>
        <v>580</v>
      </c>
      <c r="AL587" s="348">
        <f t="shared" si="446"/>
        <v>587</v>
      </c>
      <c r="AM587" s="347">
        <f t="shared" si="447"/>
        <v>7</v>
      </c>
      <c r="AN587" s="382">
        <f>IF(AND(AH587&gt;0,B587&lt;&gt;""),VLOOKUP(I587,'AUX-NIV2'!$B:$AP,40,FALSE)*O587,0)</f>
        <v>0</v>
      </c>
      <c r="AO587" s="382">
        <f t="shared" si="529"/>
        <v>4</v>
      </c>
      <c r="AQ587" s="395">
        <f>(IF($H587="x",VLOOKUP($I587,'AUX-NIV2'!$B:$X,'AUX-NIV1'!AQ$3,FALSE),0)+($AV587*'AUX-NIV3'!S$4))*$O587+IF($H587=AQ$4,$P587,0)</f>
        <v>0</v>
      </c>
      <c r="AR587" s="395">
        <f>(IF($H587="x",VLOOKUP($I587,'AUX-NIV2'!$B:$X,'AUX-NIV1'!AR$3,FALSE),0)+($AV587*'AUX-NIV3'!T$4))*$O587+IF($H587=AR$4,$P587,0)</f>
        <v>0</v>
      </c>
      <c r="AS587" s="395">
        <f>(IF($H587="x",VLOOKUP($I587,'AUX-NIV2'!$B:$X,'AUX-NIV1'!AS$3,FALSE),0)+($AV587*'AUX-NIV3'!U$4))*$O587+IF($H587=AS$4,$P587,0)</f>
        <v>260.33</v>
      </c>
      <c r="AT587" s="395">
        <f>(IF($H587="x",VLOOKUP($I587,'AUX-NIV2'!$B:$X,'AUX-NIV1'!AT$3,FALSE),0)+($AV587*'AUX-NIV3'!V$4))*$O587+IF($H587=AT$4,$P587,0)</f>
        <v>0</v>
      </c>
      <c r="AU587" s="395">
        <f>(IF($H587="x",VLOOKUP($I587,'AUX-NIV2'!$B:$X,'AUX-NIV1'!AU$3,FALSE),0)+($AV587*'AUX-NIV3'!W$4))*$O587+IF($H587=AU$4,$P587,0)</f>
        <v>0</v>
      </c>
      <c r="AV587" s="395">
        <f>+IF($H587="x",VLOOKUP($I587,'AUX-NIV2'!$B:$X,'AUX-NIV1'!AV$3,FALSE),0)</f>
        <v>0</v>
      </c>
    </row>
    <row r="588" spans="2:48" ht="13.8" hidden="1" thickTop="1">
      <c r="B588" s="501" t="s">
        <v>4338</v>
      </c>
      <c r="C588" s="951" t="s">
        <v>3717</v>
      </c>
      <c r="D588" s="1280" t="s">
        <v>501</v>
      </c>
      <c r="E588" s="1281">
        <f>IF(B588&lt;&gt;"",+SUMIF(Items!C:C,'AUX-NIV1'!B588,Items!H:H),"")</f>
        <v>0</v>
      </c>
      <c r="F588" s="1281">
        <f t="shared" si="505"/>
        <v>1894.5038395182489</v>
      </c>
      <c r="G588" s="1281">
        <f t="shared" si="506"/>
        <v>0</v>
      </c>
      <c r="H588" s="1395" t="str">
        <f t="shared" ref="H588:H595" si="531">IF(B588&lt;&gt;"",+LEFT(I588,1),"")</f>
        <v>A</v>
      </c>
      <c r="I588" s="1375" t="s">
        <v>1746</v>
      </c>
      <c r="J588" s="1283" t="str">
        <f>IF(B588&lt;&gt;"",+VLOOKUP(I588,Recursos!C:F,2,FALSE),"")</f>
        <v>OFICIAL</v>
      </c>
      <c r="K588" s="1284" t="str">
        <f>IF(B588&lt;&gt;"",+VLOOKUP(I588,Recursos!C:F,3,FALSE),"")</f>
        <v>hh</v>
      </c>
      <c r="L588" s="1285">
        <f>IF(B588&lt;&gt;"",+VLOOKUP(I588,Recursos!C:F,4,FALSE),"")</f>
        <v>496.91595439275824</v>
      </c>
      <c r="M588" s="989">
        <v>1</v>
      </c>
      <c r="N588" s="1292">
        <v>1</v>
      </c>
      <c r="O588" s="1286">
        <f>N588/M588</f>
        <v>1</v>
      </c>
      <c r="P588" s="1287">
        <f t="shared" ref="P588:P595" si="532">IF(B588&lt;&gt;"",O588*L588,"")</f>
        <v>496.91595439275824</v>
      </c>
      <c r="Q588" s="1281">
        <f t="shared" ref="Q588:Q595" si="533">IF(B588&lt;&gt;"",+O588*E588,"")</f>
        <v>0</v>
      </c>
      <c r="R588" s="1288">
        <f t="shared" ref="R588:R595" si="534">IF(B588&lt;&gt;"",Q588*L588,"")</f>
        <v>0</v>
      </c>
      <c r="S588" s="1289">
        <f t="shared" si="511"/>
        <v>919.39638208943052</v>
      </c>
      <c r="T588" s="1289">
        <f t="shared" si="512"/>
        <v>0</v>
      </c>
      <c r="U588" s="1290">
        <f t="shared" si="513"/>
        <v>975.10745742881875</v>
      </c>
      <c r="V588" s="1290">
        <f t="shared" si="514"/>
        <v>0</v>
      </c>
      <c r="W588" s="1290">
        <f t="shared" si="515"/>
        <v>0</v>
      </c>
      <c r="X588" s="1290">
        <f t="shared" si="516"/>
        <v>0</v>
      </c>
      <c r="Y588" s="396"/>
      <c r="Z588" s="1291" t="str">
        <f t="shared" ref="Z588:Z595" si="535">IF(B588&lt;&gt;"",+$B588&amp;"A","")</f>
        <v>0-DURLOK2A</v>
      </c>
      <c r="AA588" s="1291" t="str">
        <f t="shared" ref="AA588:AA595" si="536">IF(B588&lt;&gt;"",+$B588&amp;"E","")</f>
        <v>0-DURLOK2E</v>
      </c>
      <c r="AB588" s="1291" t="str">
        <f t="shared" ref="AB588:AB595" si="537">IF(B588&lt;&gt;"",++$B588&amp;"M","")</f>
        <v>0-DURLOK2M</v>
      </c>
      <c r="AC588" s="1291" t="str">
        <f t="shared" ref="AC588:AC595" si="538">IF(B588&lt;&gt;"",+$B588&amp;"T","")</f>
        <v>0-DURLOK2T</v>
      </c>
      <c r="AD588" s="1291" t="str">
        <f t="shared" ref="AD588:AD595" si="539">IF(B588&lt;&gt;"",+$B588&amp;"S","")</f>
        <v>0-DURLOK2S</v>
      </c>
      <c r="AE588" s="1291" t="str">
        <f t="shared" ref="AE588:AE595" si="540">IF(B588&lt;&gt;"",+$B588&amp;"X","")</f>
        <v>0-DURLOK2X</v>
      </c>
      <c r="AF588" s="1291" t="str">
        <f t="shared" ref="AF588:AF595" si="541">IF(B588&lt;&gt;"",+B588&amp;H588,"")</f>
        <v>0-DURLOK2A</v>
      </c>
      <c r="AG588" s="1291">
        <f t="shared" si="524"/>
        <v>9</v>
      </c>
      <c r="AH588" s="1291">
        <f>IF(B588&lt;&gt;"",+IF(H588="x",+VLOOKUP(I588,'AUX-NIV2'!B:AG,32,FALSE),0),"")</f>
        <v>0</v>
      </c>
      <c r="AI588" s="1291" t="str">
        <f t="shared" ref="AI588:AI595" si="542">IF(B588&lt;&gt;"",+B588,"")</f>
        <v>0-DURLOK2</v>
      </c>
      <c r="AK588" s="347">
        <f t="shared" si="526"/>
        <v>588</v>
      </c>
      <c r="AL588" s="348">
        <f t="shared" ref="AL588:AL595" si="543">IF(B588&lt;&gt;"",+AK588+AG588-1,"")</f>
        <v>596</v>
      </c>
      <c r="AM588" s="347">
        <f>IF(B588&lt;&gt;"",IF(B588=B578,1+AM578,1),"")</f>
        <v>1</v>
      </c>
      <c r="AN588" s="382">
        <f>IF(AND(AH588&gt;0,B588&lt;&gt;""),VLOOKUP(I588,'AUX-NIV2'!$B:$AP,40,FALSE)*O588,0)</f>
        <v>0</v>
      </c>
      <c r="AO588" s="382">
        <f t="shared" si="529"/>
        <v>2</v>
      </c>
      <c r="AQ588" s="395">
        <f>(IF($H588="x",VLOOKUP($I588,'AUX-NIV2'!$B:$X,'AUX-NIV1'!AQ$3,FALSE),0)+($AV588*'AUX-NIV3'!S$4))*$O588+IF($H588=AQ$4,$P588,0)</f>
        <v>496.91595439275824</v>
      </c>
      <c r="AR588" s="395">
        <f>(IF($H588="x",VLOOKUP($I588,'AUX-NIV2'!$B:$X,'AUX-NIV1'!AR$3,FALSE),0)+($AV588*'AUX-NIV3'!T$4))*$O588+IF($H588=AR$4,$P588,0)</f>
        <v>0</v>
      </c>
      <c r="AS588" s="395">
        <f>(IF($H588="x",VLOOKUP($I588,'AUX-NIV2'!$B:$X,'AUX-NIV1'!AS$3,FALSE),0)+($AV588*'AUX-NIV3'!U$4))*$O588+IF($H588=AS$4,$P588,0)</f>
        <v>0</v>
      </c>
      <c r="AT588" s="395">
        <f>(IF($H588="x",VLOOKUP($I588,'AUX-NIV2'!$B:$X,'AUX-NIV1'!AT$3,FALSE),0)+($AV588*'AUX-NIV3'!V$4))*$O588+IF($H588=AT$4,$P588,0)</f>
        <v>0</v>
      </c>
      <c r="AU588" s="395">
        <f>(IF($H588="x",VLOOKUP($I588,'AUX-NIV2'!$B:$X,'AUX-NIV1'!AU$3,FALSE),0)+($AV588*'AUX-NIV3'!W$4))*$O588+IF($H588=AU$4,$P588,0)</f>
        <v>0</v>
      </c>
      <c r="AV588" s="395">
        <f>+IF($H588="x",VLOOKUP($I588,'AUX-NIV2'!$B:$X,'AUX-NIV1'!AV$3,FALSE),0)</f>
        <v>0</v>
      </c>
    </row>
    <row r="589" spans="2:48" ht="13.8" hidden="1" thickTop="1">
      <c r="B589" s="501" t="s">
        <v>4338</v>
      </c>
      <c r="C589" s="951" t="s">
        <v>4339</v>
      </c>
      <c r="D589" s="1280" t="s">
        <v>501</v>
      </c>
      <c r="E589" s="1281">
        <f>IF(B589&lt;&gt;"",+SUMIF(Items!C:C,'AUX-NIV1'!B589,Items!H:H),"")</f>
        <v>0</v>
      </c>
      <c r="F589" s="1281">
        <f t="shared" si="505"/>
        <v>1894.5038395182489</v>
      </c>
      <c r="G589" s="1281">
        <f t="shared" si="506"/>
        <v>0</v>
      </c>
      <c r="H589" s="1395" t="str">
        <f t="shared" si="531"/>
        <v>A</v>
      </c>
      <c r="I589" s="1375" t="s">
        <v>1745</v>
      </c>
      <c r="J589" s="1283" t="str">
        <f>IF(B589&lt;&gt;"",+VLOOKUP(I589,Recursos!C:F,2,FALSE),"")</f>
        <v>AYUDANTE</v>
      </c>
      <c r="K589" s="1284" t="str">
        <f>IF(B589&lt;&gt;"",+VLOOKUP(I589,Recursos!C:F,3,FALSE),"")</f>
        <v>hh</v>
      </c>
      <c r="L589" s="1285">
        <f>IF(B589&lt;&gt;"",+VLOOKUP(I589,Recursos!C:F,4,FALSE),"")</f>
        <v>422.48042769667234</v>
      </c>
      <c r="M589" s="1351"/>
      <c r="N589" s="1329">
        <v>1</v>
      </c>
      <c r="O589" s="1286">
        <f>N589/M588</f>
        <v>1</v>
      </c>
      <c r="P589" s="1287">
        <f t="shared" si="532"/>
        <v>422.48042769667234</v>
      </c>
      <c r="Q589" s="1281">
        <f t="shared" si="533"/>
        <v>0</v>
      </c>
      <c r="R589" s="1288">
        <f t="shared" si="534"/>
        <v>0</v>
      </c>
      <c r="S589" s="1289">
        <f t="shared" si="511"/>
        <v>919.39638208943052</v>
      </c>
      <c r="T589" s="1289">
        <f t="shared" si="512"/>
        <v>0</v>
      </c>
      <c r="U589" s="1290">
        <f t="shared" si="513"/>
        <v>975.10745742881875</v>
      </c>
      <c r="V589" s="1290">
        <f t="shared" si="514"/>
        <v>0</v>
      </c>
      <c r="W589" s="1290">
        <f t="shared" si="515"/>
        <v>0</v>
      </c>
      <c r="X589" s="1290">
        <f t="shared" si="516"/>
        <v>0</v>
      </c>
      <c r="Y589" s="396"/>
      <c r="Z589" s="1291" t="str">
        <f t="shared" si="535"/>
        <v>0-DURLOK2A</v>
      </c>
      <c r="AA589" s="1291" t="str">
        <f t="shared" si="536"/>
        <v>0-DURLOK2E</v>
      </c>
      <c r="AB589" s="1291" t="str">
        <f t="shared" si="537"/>
        <v>0-DURLOK2M</v>
      </c>
      <c r="AC589" s="1291" t="str">
        <f t="shared" si="538"/>
        <v>0-DURLOK2T</v>
      </c>
      <c r="AD589" s="1291" t="str">
        <f t="shared" si="539"/>
        <v>0-DURLOK2S</v>
      </c>
      <c r="AE589" s="1291" t="str">
        <f t="shared" si="540"/>
        <v>0-DURLOK2X</v>
      </c>
      <c r="AF589" s="1291" t="str">
        <f t="shared" si="541"/>
        <v>0-DURLOK2A</v>
      </c>
      <c r="AG589" s="1291">
        <f t="shared" si="524"/>
        <v>9</v>
      </c>
      <c r="AH589" s="1291">
        <f>IF(B589&lt;&gt;"",+IF(H589="x",+VLOOKUP(I589,'AUX-NIV2'!B:AG,32,FALSE),0),"")</f>
        <v>0</v>
      </c>
      <c r="AI589" s="1291" t="str">
        <f t="shared" si="542"/>
        <v>0-DURLOK2</v>
      </c>
      <c r="AK589" s="347">
        <f t="shared" si="526"/>
        <v>588</v>
      </c>
      <c r="AL589" s="348">
        <f t="shared" si="543"/>
        <v>596</v>
      </c>
      <c r="AM589" s="347">
        <f t="shared" ref="AM589:AM595" si="544">IF(B589&lt;&gt;"",IF(B589=B588,1+AM588,1),"")</f>
        <v>2</v>
      </c>
      <c r="AN589" s="382">
        <f>IF(AND(AH589&gt;0,B589&lt;&gt;""),VLOOKUP(I589,'AUX-NIV2'!$B:$AP,40,FALSE)*O589,0)</f>
        <v>0</v>
      </c>
      <c r="AO589" s="382">
        <f t="shared" si="529"/>
        <v>2</v>
      </c>
      <c r="AQ589" s="395">
        <f>(IF($H589="x",VLOOKUP($I589,'AUX-NIV2'!$B:$X,'AUX-NIV1'!AQ$3,FALSE),0)+($AV589*'AUX-NIV3'!S$4))*$O589+IF($H589=AQ$4,$P589,0)</f>
        <v>422.48042769667234</v>
      </c>
      <c r="AR589" s="395">
        <f>(IF($H589="x",VLOOKUP($I589,'AUX-NIV2'!$B:$X,'AUX-NIV1'!AR$3,FALSE),0)+($AV589*'AUX-NIV3'!T$4))*$O589+IF($H589=AR$4,$P589,0)</f>
        <v>0</v>
      </c>
      <c r="AS589" s="395">
        <f>(IF($H589="x",VLOOKUP($I589,'AUX-NIV2'!$B:$X,'AUX-NIV1'!AS$3,FALSE),0)+($AV589*'AUX-NIV3'!U$4))*$O589+IF($H589=AS$4,$P589,0)</f>
        <v>0</v>
      </c>
      <c r="AT589" s="395">
        <f>(IF($H589="x",VLOOKUP($I589,'AUX-NIV2'!$B:$X,'AUX-NIV1'!AT$3,FALSE),0)+($AV589*'AUX-NIV3'!V$4))*$O589+IF($H589=AT$4,$P589,0)</f>
        <v>0</v>
      </c>
      <c r="AU589" s="395">
        <f>(IF($H589="x",VLOOKUP($I589,'AUX-NIV2'!$B:$X,'AUX-NIV1'!AU$3,FALSE),0)+($AV589*'AUX-NIV3'!W$4))*$O589+IF($H589=AU$4,$P589,0)</f>
        <v>0</v>
      </c>
      <c r="AV589" s="395">
        <f>+IF($H589="x",VLOOKUP($I589,'AUX-NIV2'!$B:$X,'AUX-NIV1'!AV$3,FALSE),0)</f>
        <v>0</v>
      </c>
    </row>
    <row r="590" spans="2:48" ht="13.8" hidden="1" thickTop="1">
      <c r="B590" s="501" t="s">
        <v>4338</v>
      </c>
      <c r="C590" s="951" t="s">
        <v>4339</v>
      </c>
      <c r="D590" s="1280" t="s">
        <v>501</v>
      </c>
      <c r="E590" s="1281">
        <f>IF(B590&lt;&gt;"",+SUMIF(Items!C:C,'AUX-NIV1'!B590,Items!H:H),"")</f>
        <v>0</v>
      </c>
      <c r="F590" s="1281">
        <f t="shared" si="505"/>
        <v>1894.5038395182489</v>
      </c>
      <c r="G590" s="1281">
        <f t="shared" si="506"/>
        <v>0</v>
      </c>
      <c r="H590" s="1395" t="str">
        <f t="shared" si="531"/>
        <v>M</v>
      </c>
      <c r="I590" s="1375" t="s">
        <v>4519</v>
      </c>
      <c r="J590" s="1283" t="str">
        <f>IF(B590&lt;&gt;"",+VLOOKUP(I590,Recursos!C:F,2,FALSE),"")</f>
        <v>PLACA DE YESO 15mm x 1,2m x 2,4m</v>
      </c>
      <c r="K590" s="1284" t="str">
        <f>IF(B590&lt;&gt;"",+VLOOKUP(I590,Recursos!C:F,3,FALSE),"")</f>
        <v>m2</v>
      </c>
      <c r="L590" s="1285">
        <f>IF(B590&lt;&gt;"",+VLOOKUP(I590,Recursos!C:F,4,FALSE),"")</f>
        <v>345.48611111111114</v>
      </c>
      <c r="M590" s="1328">
        <v>0.75</v>
      </c>
      <c r="N590" s="1329">
        <v>1.1000000000000001</v>
      </c>
      <c r="O590" s="1286">
        <f>N590*M590</f>
        <v>0.82500000000000007</v>
      </c>
      <c r="P590" s="1287">
        <f t="shared" si="532"/>
        <v>285.02604166666674</v>
      </c>
      <c r="Q590" s="1281">
        <f t="shared" si="533"/>
        <v>0</v>
      </c>
      <c r="R590" s="1288">
        <f t="shared" si="534"/>
        <v>0</v>
      </c>
      <c r="S590" s="1289">
        <f t="shared" si="511"/>
        <v>919.39638208943052</v>
      </c>
      <c r="T590" s="1289">
        <f t="shared" si="512"/>
        <v>0</v>
      </c>
      <c r="U590" s="1290">
        <f t="shared" si="513"/>
        <v>975.10745742881875</v>
      </c>
      <c r="V590" s="1290">
        <f t="shared" si="514"/>
        <v>0</v>
      </c>
      <c r="W590" s="1290">
        <f t="shared" si="515"/>
        <v>0</v>
      </c>
      <c r="X590" s="1290">
        <f t="shared" si="516"/>
        <v>0</v>
      </c>
      <c r="Y590" s="396"/>
      <c r="Z590" s="1291" t="str">
        <f t="shared" si="535"/>
        <v>0-DURLOK2A</v>
      </c>
      <c r="AA590" s="1291" t="str">
        <f t="shared" si="536"/>
        <v>0-DURLOK2E</v>
      </c>
      <c r="AB590" s="1291" t="str">
        <f t="shared" si="537"/>
        <v>0-DURLOK2M</v>
      </c>
      <c r="AC590" s="1291" t="str">
        <f t="shared" si="538"/>
        <v>0-DURLOK2T</v>
      </c>
      <c r="AD590" s="1291" t="str">
        <f t="shared" si="539"/>
        <v>0-DURLOK2S</v>
      </c>
      <c r="AE590" s="1291" t="str">
        <f t="shared" si="540"/>
        <v>0-DURLOK2X</v>
      </c>
      <c r="AF590" s="1291" t="str">
        <f t="shared" si="541"/>
        <v>0-DURLOK2M</v>
      </c>
      <c r="AG590" s="1291">
        <f t="shared" si="524"/>
        <v>9</v>
      </c>
      <c r="AH590" s="1291">
        <f>IF(B590&lt;&gt;"",+IF(H590="x",+VLOOKUP(I590,'AUX-NIV2'!B:AG,32,FALSE),0),"")</f>
        <v>0</v>
      </c>
      <c r="AI590" s="1291" t="str">
        <f t="shared" si="542"/>
        <v>0-DURLOK2</v>
      </c>
      <c r="AK590" s="347">
        <f t="shared" si="526"/>
        <v>588</v>
      </c>
      <c r="AL590" s="348">
        <f t="shared" si="543"/>
        <v>596</v>
      </c>
      <c r="AM590" s="347">
        <f t="shared" si="544"/>
        <v>3</v>
      </c>
      <c r="AN590" s="382">
        <f>IF(AND(AH590&gt;0,B590&lt;&gt;""),VLOOKUP(I590,'AUX-NIV2'!$B:$AP,40,FALSE)*O590,0)</f>
        <v>0</v>
      </c>
      <c r="AO590" s="382">
        <f t="shared" si="529"/>
        <v>2</v>
      </c>
      <c r="AQ590" s="395">
        <f>(IF($H590="x",VLOOKUP($I590,'AUX-NIV2'!$B:$X,'AUX-NIV1'!AQ$3,FALSE),0)+($AV590*'AUX-NIV3'!S$4))*$O590+IF($H590=AQ$4,$P590,0)</f>
        <v>0</v>
      </c>
      <c r="AR590" s="395">
        <f>(IF($H590="x",VLOOKUP($I590,'AUX-NIV2'!$B:$X,'AUX-NIV1'!AR$3,FALSE),0)+($AV590*'AUX-NIV3'!T$4))*$O590+IF($H590=AR$4,$P590,0)</f>
        <v>0</v>
      </c>
      <c r="AS590" s="395">
        <f>(IF($H590="x",VLOOKUP($I590,'AUX-NIV2'!$B:$X,'AUX-NIV1'!AS$3,FALSE),0)+($AV590*'AUX-NIV3'!U$4))*$O590+IF($H590=AS$4,$P590,0)</f>
        <v>285.02604166666674</v>
      </c>
      <c r="AT590" s="395">
        <f>(IF($H590="x",VLOOKUP($I590,'AUX-NIV2'!$B:$X,'AUX-NIV1'!AT$3,FALSE),0)+($AV590*'AUX-NIV3'!V$4))*$O590+IF($H590=AT$4,$P590,0)</f>
        <v>0</v>
      </c>
      <c r="AU590" s="395">
        <f>(IF($H590="x",VLOOKUP($I590,'AUX-NIV2'!$B:$X,'AUX-NIV1'!AU$3,FALSE),0)+($AV590*'AUX-NIV3'!W$4))*$O590+IF($H590=AU$4,$P590,0)</f>
        <v>0</v>
      </c>
      <c r="AV590" s="395">
        <f>+IF($H590="x",VLOOKUP($I590,'AUX-NIV2'!$B:$X,'AUX-NIV1'!AV$3,FALSE),0)</f>
        <v>0</v>
      </c>
    </row>
    <row r="591" spans="2:48" ht="13.8" hidden="1" thickTop="1">
      <c r="B591" s="501" t="s">
        <v>4338</v>
      </c>
      <c r="C591" s="951" t="s">
        <v>4339</v>
      </c>
      <c r="D591" s="1280" t="s">
        <v>501</v>
      </c>
      <c r="E591" s="1281">
        <f>IF(B591&lt;&gt;"",+SUMIF(Items!C:C,'AUX-NIV1'!B591,Items!H:H),"")</f>
        <v>0</v>
      </c>
      <c r="F591" s="1281">
        <f t="shared" si="505"/>
        <v>1894.5038395182489</v>
      </c>
      <c r="G591" s="1281">
        <f t="shared" si="506"/>
        <v>0</v>
      </c>
      <c r="H591" s="1395" t="str">
        <f t="shared" ref="H591" si="545">IF(B591&lt;&gt;"",+LEFT(I591,1),"")</f>
        <v>M</v>
      </c>
      <c r="I591" s="1375" t="s">
        <v>4521</v>
      </c>
      <c r="J591" s="1283" t="str">
        <f>IF(B591&lt;&gt;"",+VLOOKUP(I591,Recursos!C:F,2,FALSE),"")</f>
        <v>PLACA DE YESO 15mm x 1,2m x 2,4m VERDE</v>
      </c>
      <c r="K591" s="1284" t="str">
        <f>IF(B591&lt;&gt;"",+VLOOKUP(I591,Recursos!C:F,3,FALSE),"")</f>
        <v>m2</v>
      </c>
      <c r="L591" s="1285">
        <f>IF(B591&lt;&gt;"",+VLOOKUP(I591,Recursos!C:F,4,FALSE),"")</f>
        <v>625</v>
      </c>
      <c r="M591" s="1328">
        <v>0.25</v>
      </c>
      <c r="N591" s="1329">
        <v>1.1000000000000001</v>
      </c>
      <c r="O591" s="1286">
        <f>N591*M591</f>
        <v>0.27500000000000002</v>
      </c>
      <c r="P591" s="1287">
        <f t="shared" ref="P591" si="546">IF(B591&lt;&gt;"",O591*L591,"")</f>
        <v>171.875</v>
      </c>
      <c r="Q591" s="1281">
        <f t="shared" ref="Q591" si="547">IF(B591&lt;&gt;"",+O591*E591,"")</f>
        <v>0</v>
      </c>
      <c r="R591" s="1288">
        <f t="shared" ref="R591" si="548">IF(B591&lt;&gt;"",Q591*L591,"")</f>
        <v>0</v>
      </c>
      <c r="S591" s="1289">
        <f t="shared" si="511"/>
        <v>919.39638208943052</v>
      </c>
      <c r="T591" s="1289">
        <f t="shared" si="512"/>
        <v>0</v>
      </c>
      <c r="U591" s="1290">
        <f t="shared" si="513"/>
        <v>975.10745742881875</v>
      </c>
      <c r="V591" s="1290">
        <f t="shared" si="514"/>
        <v>0</v>
      </c>
      <c r="W591" s="1290">
        <f t="shared" si="515"/>
        <v>0</v>
      </c>
      <c r="X591" s="1290">
        <f t="shared" si="516"/>
        <v>0</v>
      </c>
      <c r="Y591" s="396"/>
      <c r="Z591" s="1291" t="str">
        <f t="shared" ref="Z591" si="549">IF(B591&lt;&gt;"",+$B591&amp;"A","")</f>
        <v>0-DURLOK2A</v>
      </c>
      <c r="AA591" s="1291" t="str">
        <f t="shared" ref="AA591" si="550">IF(B591&lt;&gt;"",+$B591&amp;"E","")</f>
        <v>0-DURLOK2E</v>
      </c>
      <c r="AB591" s="1291" t="str">
        <f t="shared" ref="AB591" si="551">IF(B591&lt;&gt;"",++$B591&amp;"M","")</f>
        <v>0-DURLOK2M</v>
      </c>
      <c r="AC591" s="1291" t="str">
        <f t="shared" ref="AC591" si="552">IF(B591&lt;&gt;"",+$B591&amp;"T","")</f>
        <v>0-DURLOK2T</v>
      </c>
      <c r="AD591" s="1291" t="str">
        <f t="shared" ref="AD591" si="553">IF(B591&lt;&gt;"",+$B591&amp;"S","")</f>
        <v>0-DURLOK2S</v>
      </c>
      <c r="AE591" s="1291" t="str">
        <f t="shared" ref="AE591" si="554">IF(B591&lt;&gt;"",+$B591&amp;"X","")</f>
        <v>0-DURLOK2X</v>
      </c>
      <c r="AF591" s="1291" t="str">
        <f t="shared" ref="AF591" si="555">IF(B591&lt;&gt;"",+B591&amp;H591,"")</f>
        <v>0-DURLOK2M</v>
      </c>
      <c r="AG591" s="1291">
        <f t="shared" si="524"/>
        <v>9</v>
      </c>
      <c r="AH591" s="1291">
        <f>IF(B591&lt;&gt;"",+IF(H591="x",+VLOOKUP(I591,'AUX-NIV2'!B:AG,32,FALSE),0),"")</f>
        <v>0</v>
      </c>
      <c r="AI591" s="1291" t="str">
        <f t="shared" ref="AI591" si="556">IF(B591&lt;&gt;"",+B591,"")</f>
        <v>0-DURLOK2</v>
      </c>
      <c r="AK591" s="347">
        <f t="shared" si="526"/>
        <v>588</v>
      </c>
      <c r="AL591" s="348">
        <f t="shared" ref="AL591" si="557">IF(B591&lt;&gt;"",+AK591+AG591-1,"")</f>
        <v>596</v>
      </c>
      <c r="AM591" s="347">
        <f t="shared" ref="AM591" si="558">IF(B591&lt;&gt;"",IF(B591=B590,1+AM590,1),"")</f>
        <v>4</v>
      </c>
      <c r="AN591" s="382">
        <f>IF(AND(AH591&gt;0,B591&lt;&gt;""),VLOOKUP(I591,'AUX-NIV2'!$B:$AP,40,FALSE)*O591,0)</f>
        <v>0</v>
      </c>
      <c r="AO591" s="382">
        <f t="shared" si="529"/>
        <v>2</v>
      </c>
      <c r="AQ591" s="395">
        <f>(IF($H591="x",VLOOKUP($I591,'AUX-NIV2'!$B:$X,'AUX-NIV1'!AQ$3,FALSE),0)+($AV591*'AUX-NIV3'!S$4))*$O591+IF($H591=AQ$4,$P591,0)</f>
        <v>0</v>
      </c>
      <c r="AR591" s="395">
        <f>(IF($H591="x",VLOOKUP($I591,'AUX-NIV2'!$B:$X,'AUX-NIV1'!AR$3,FALSE),0)+($AV591*'AUX-NIV3'!T$4))*$O591+IF($H591=AR$4,$P591,0)</f>
        <v>0</v>
      </c>
      <c r="AS591" s="395">
        <f>(IF($H591="x",VLOOKUP($I591,'AUX-NIV2'!$B:$X,'AUX-NIV1'!AS$3,FALSE),0)+($AV591*'AUX-NIV3'!U$4))*$O591+IF($H591=AS$4,$P591,0)</f>
        <v>171.875</v>
      </c>
      <c r="AT591" s="395">
        <f>(IF($H591="x",VLOOKUP($I591,'AUX-NIV2'!$B:$X,'AUX-NIV1'!AT$3,FALSE),0)+($AV591*'AUX-NIV3'!V$4))*$O591+IF($H591=AT$4,$P591,0)</f>
        <v>0</v>
      </c>
      <c r="AU591" s="395">
        <f>(IF($H591="x",VLOOKUP($I591,'AUX-NIV2'!$B:$X,'AUX-NIV1'!AU$3,FALSE),0)+($AV591*'AUX-NIV3'!W$4))*$O591+IF($H591=AU$4,$P591,0)</f>
        <v>0</v>
      </c>
      <c r="AV591" s="395">
        <f>+IF($H591="x",VLOOKUP($I591,'AUX-NIV2'!$B:$X,'AUX-NIV1'!AV$3,FALSE),0)</f>
        <v>0</v>
      </c>
    </row>
    <row r="592" spans="2:48" ht="13.8" hidden="1" thickTop="1">
      <c r="B592" s="501" t="s">
        <v>4338</v>
      </c>
      <c r="C592" s="951" t="s">
        <v>4339</v>
      </c>
      <c r="D592" s="1280" t="s">
        <v>501</v>
      </c>
      <c r="E592" s="1281">
        <f>IF(B592&lt;&gt;"",+SUMIF(Items!C:C,'AUX-NIV1'!B592,Items!H:H),"")</f>
        <v>0</v>
      </c>
      <c r="F592" s="1281">
        <f t="shared" si="505"/>
        <v>1894.5038395182489</v>
      </c>
      <c r="G592" s="1281">
        <f t="shared" si="506"/>
        <v>0</v>
      </c>
      <c r="H592" s="1395" t="str">
        <f t="shared" si="531"/>
        <v>M</v>
      </c>
      <c r="I592" s="1375" t="s">
        <v>3719</v>
      </c>
      <c r="J592" s="1283" t="str">
        <f>IF(B592&lt;&gt;"",+VLOOKUP(I592,Recursos!C:F,2,FALSE),"")</f>
        <v>PERFILES DE CHAPA GALVANIZADA (2,6m) p/TABUIQUES</v>
      </c>
      <c r="K592" s="1284" t="str">
        <f>IF(B592&lt;&gt;"",+VLOOKUP(I592,Recursos!C:F,3,FALSE),"")</f>
        <v>m</v>
      </c>
      <c r="L592" s="1285">
        <f>IF(B592&lt;&gt;"",+VLOOKUP(I592,Recursos!C:F,4,FALSE),"")</f>
        <v>173.07692307692307</v>
      </c>
      <c r="M592" s="1351"/>
      <c r="N592" s="1329">
        <v>1.5</v>
      </c>
      <c r="O592" s="1286">
        <f>N592*M590</f>
        <v>1.125</v>
      </c>
      <c r="P592" s="1287">
        <f t="shared" si="532"/>
        <v>194.71153846153845</v>
      </c>
      <c r="Q592" s="1281">
        <f t="shared" si="533"/>
        <v>0</v>
      </c>
      <c r="R592" s="1288">
        <f t="shared" si="534"/>
        <v>0</v>
      </c>
      <c r="S592" s="1289">
        <f t="shared" si="511"/>
        <v>919.39638208943052</v>
      </c>
      <c r="T592" s="1289">
        <f t="shared" si="512"/>
        <v>0</v>
      </c>
      <c r="U592" s="1290">
        <f t="shared" si="513"/>
        <v>975.10745742881875</v>
      </c>
      <c r="V592" s="1290">
        <f t="shared" si="514"/>
        <v>0</v>
      </c>
      <c r="W592" s="1290">
        <f t="shared" si="515"/>
        <v>0</v>
      </c>
      <c r="X592" s="1290">
        <f t="shared" si="516"/>
        <v>0</v>
      </c>
      <c r="Y592" s="396"/>
      <c r="Z592" s="1291" t="str">
        <f t="shared" si="535"/>
        <v>0-DURLOK2A</v>
      </c>
      <c r="AA592" s="1291" t="str">
        <f t="shared" si="536"/>
        <v>0-DURLOK2E</v>
      </c>
      <c r="AB592" s="1291" t="str">
        <f t="shared" si="537"/>
        <v>0-DURLOK2M</v>
      </c>
      <c r="AC592" s="1291" t="str">
        <f t="shared" si="538"/>
        <v>0-DURLOK2T</v>
      </c>
      <c r="AD592" s="1291" t="str">
        <f t="shared" si="539"/>
        <v>0-DURLOK2S</v>
      </c>
      <c r="AE592" s="1291" t="str">
        <f t="shared" si="540"/>
        <v>0-DURLOK2X</v>
      </c>
      <c r="AF592" s="1291" t="str">
        <f t="shared" si="541"/>
        <v>0-DURLOK2M</v>
      </c>
      <c r="AG592" s="1291">
        <f t="shared" si="524"/>
        <v>9</v>
      </c>
      <c r="AH592" s="1291">
        <f>IF(B592&lt;&gt;"",+IF(H592="x",+VLOOKUP(I592,'AUX-NIV2'!B:AG,32,FALSE),0),"")</f>
        <v>0</v>
      </c>
      <c r="AI592" s="1291" t="str">
        <f t="shared" si="542"/>
        <v>0-DURLOK2</v>
      </c>
      <c r="AK592" s="347">
        <f t="shared" si="526"/>
        <v>588</v>
      </c>
      <c r="AL592" s="348">
        <f t="shared" si="543"/>
        <v>596</v>
      </c>
      <c r="AM592" s="347">
        <f>IF(B592&lt;&gt;"",IF(B592=B590,1+AM590,1),"")</f>
        <v>4</v>
      </c>
      <c r="AN592" s="382">
        <f>IF(AND(AH592&gt;0,B592&lt;&gt;""),VLOOKUP(I592,'AUX-NIV2'!$B:$AP,40,FALSE)*O592,0)</f>
        <v>0</v>
      </c>
      <c r="AO592" s="382">
        <f t="shared" si="529"/>
        <v>2</v>
      </c>
      <c r="AQ592" s="395">
        <f>(IF($H592="x",VLOOKUP($I592,'AUX-NIV2'!$B:$X,'AUX-NIV1'!AQ$3,FALSE),0)+($AV592*'AUX-NIV3'!S$4))*$O592+IF($H592=AQ$4,$P592,0)</f>
        <v>0</v>
      </c>
      <c r="AR592" s="395">
        <f>(IF($H592="x",VLOOKUP($I592,'AUX-NIV2'!$B:$X,'AUX-NIV1'!AR$3,FALSE),0)+($AV592*'AUX-NIV3'!T$4))*$O592+IF($H592=AR$4,$P592,0)</f>
        <v>0</v>
      </c>
      <c r="AS592" s="395">
        <f>(IF($H592="x",VLOOKUP($I592,'AUX-NIV2'!$B:$X,'AUX-NIV1'!AS$3,FALSE),0)+($AV592*'AUX-NIV3'!U$4))*$O592+IF($H592=AS$4,$P592,0)</f>
        <v>194.71153846153845</v>
      </c>
      <c r="AT592" s="395">
        <f>(IF($H592="x",VLOOKUP($I592,'AUX-NIV2'!$B:$X,'AUX-NIV1'!AT$3,FALSE),0)+($AV592*'AUX-NIV3'!V$4))*$O592+IF($H592=AT$4,$P592,0)</f>
        <v>0</v>
      </c>
      <c r="AU592" s="395">
        <f>(IF($H592="x",VLOOKUP($I592,'AUX-NIV2'!$B:$X,'AUX-NIV1'!AU$3,FALSE),0)+($AV592*'AUX-NIV3'!W$4))*$O592+IF($H592=AU$4,$P592,0)</f>
        <v>0</v>
      </c>
      <c r="AV592" s="395">
        <f>+IF($H592="x",VLOOKUP($I592,'AUX-NIV2'!$B:$X,'AUX-NIV1'!AV$3,FALSE),0)</f>
        <v>0</v>
      </c>
    </row>
    <row r="593" spans="2:48" ht="13.8" hidden="1" thickTop="1">
      <c r="B593" s="501" t="s">
        <v>4338</v>
      </c>
      <c r="C593" s="951" t="s">
        <v>4339</v>
      </c>
      <c r="D593" s="1280" t="s">
        <v>501</v>
      </c>
      <c r="E593" s="1281">
        <f>IF(B593&lt;&gt;"",+SUMIF(Items!C:C,'AUX-NIV1'!B593,Items!H:H),"")</f>
        <v>0</v>
      </c>
      <c r="F593" s="1281">
        <f t="shared" si="505"/>
        <v>1894.5038395182489</v>
      </c>
      <c r="G593" s="1281">
        <f t="shared" si="506"/>
        <v>0</v>
      </c>
      <c r="H593" s="1395" t="str">
        <f t="shared" si="531"/>
        <v>M</v>
      </c>
      <c r="I593" s="1375" t="s">
        <v>3720</v>
      </c>
      <c r="J593" s="1283" t="str">
        <f>IF(B593&lt;&gt;"",+VLOOKUP(I593,Recursos!C:F,2,FALSE),"")</f>
        <v>FIJACIONES</v>
      </c>
      <c r="K593" s="1284" t="str">
        <f>IF(B593&lt;&gt;"",+VLOOKUP(I593,Recursos!C:F,3,FALSE),"")</f>
        <v>UN</v>
      </c>
      <c r="L593" s="1285">
        <f>IF(B593&lt;&gt;"",+VLOOKUP(I593,Recursos!C:F,4,FALSE),"")</f>
        <v>5</v>
      </c>
      <c r="M593" s="1351"/>
      <c r="N593" s="1329">
        <v>1.3</v>
      </c>
      <c r="O593" s="1286">
        <f>N593*M590</f>
        <v>0.97500000000000009</v>
      </c>
      <c r="P593" s="1287">
        <f t="shared" si="532"/>
        <v>4.875</v>
      </c>
      <c r="Q593" s="1281">
        <f t="shared" si="533"/>
        <v>0</v>
      </c>
      <c r="R593" s="1288">
        <f t="shared" si="534"/>
        <v>0</v>
      </c>
      <c r="S593" s="1289">
        <f t="shared" si="511"/>
        <v>919.39638208943052</v>
      </c>
      <c r="T593" s="1289">
        <f t="shared" si="512"/>
        <v>0</v>
      </c>
      <c r="U593" s="1290">
        <f t="shared" si="513"/>
        <v>975.10745742881875</v>
      </c>
      <c r="V593" s="1290">
        <f t="shared" si="514"/>
        <v>0</v>
      </c>
      <c r="W593" s="1290">
        <f t="shared" si="515"/>
        <v>0</v>
      </c>
      <c r="X593" s="1290">
        <f t="shared" si="516"/>
        <v>0</v>
      </c>
      <c r="Y593" s="396"/>
      <c r="Z593" s="1291" t="str">
        <f t="shared" si="535"/>
        <v>0-DURLOK2A</v>
      </c>
      <c r="AA593" s="1291" t="str">
        <f t="shared" si="536"/>
        <v>0-DURLOK2E</v>
      </c>
      <c r="AB593" s="1291" t="str">
        <f t="shared" si="537"/>
        <v>0-DURLOK2M</v>
      </c>
      <c r="AC593" s="1291" t="str">
        <f t="shared" si="538"/>
        <v>0-DURLOK2T</v>
      </c>
      <c r="AD593" s="1291" t="str">
        <f t="shared" si="539"/>
        <v>0-DURLOK2S</v>
      </c>
      <c r="AE593" s="1291" t="str">
        <f t="shared" si="540"/>
        <v>0-DURLOK2X</v>
      </c>
      <c r="AF593" s="1291" t="str">
        <f t="shared" si="541"/>
        <v>0-DURLOK2M</v>
      </c>
      <c r="AG593" s="1291">
        <f t="shared" si="524"/>
        <v>9</v>
      </c>
      <c r="AH593" s="1291">
        <f>IF(B593&lt;&gt;"",+IF(H593="x",+VLOOKUP(I593,'AUX-NIV2'!B:AG,32,FALSE),0),"")</f>
        <v>0</v>
      </c>
      <c r="AI593" s="1291" t="str">
        <f t="shared" si="542"/>
        <v>0-DURLOK2</v>
      </c>
      <c r="AK593" s="347">
        <f t="shared" si="526"/>
        <v>588</v>
      </c>
      <c r="AL593" s="348">
        <f t="shared" si="543"/>
        <v>596</v>
      </c>
      <c r="AM593" s="347">
        <f t="shared" si="544"/>
        <v>5</v>
      </c>
      <c r="AN593" s="382">
        <f>IF(AND(AH593&gt;0,B593&lt;&gt;""),VLOOKUP(I593,'AUX-NIV2'!$B:$AP,40,FALSE)*O593,0)</f>
        <v>0</v>
      </c>
      <c r="AO593" s="382">
        <f t="shared" si="529"/>
        <v>2</v>
      </c>
      <c r="AQ593" s="395">
        <f>(IF($H593="x",VLOOKUP($I593,'AUX-NIV2'!$B:$X,'AUX-NIV1'!AQ$3,FALSE),0)+($AV593*'AUX-NIV3'!S$4))*$O593+IF($H593=AQ$4,$P593,0)</f>
        <v>0</v>
      </c>
      <c r="AR593" s="395">
        <f>(IF($H593="x",VLOOKUP($I593,'AUX-NIV2'!$B:$X,'AUX-NIV1'!AR$3,FALSE),0)+($AV593*'AUX-NIV3'!T$4))*$O593+IF($H593=AR$4,$P593,0)</f>
        <v>0</v>
      </c>
      <c r="AS593" s="395">
        <f>(IF($H593="x",VLOOKUP($I593,'AUX-NIV2'!$B:$X,'AUX-NIV1'!AS$3,FALSE),0)+($AV593*'AUX-NIV3'!U$4))*$O593+IF($H593=AS$4,$P593,0)</f>
        <v>4.875</v>
      </c>
      <c r="AT593" s="395">
        <f>(IF($H593="x",VLOOKUP($I593,'AUX-NIV2'!$B:$X,'AUX-NIV1'!AT$3,FALSE),0)+($AV593*'AUX-NIV3'!V$4))*$O593+IF($H593=AT$4,$P593,0)</f>
        <v>0</v>
      </c>
      <c r="AU593" s="395">
        <f>(IF($H593="x",VLOOKUP($I593,'AUX-NIV2'!$B:$X,'AUX-NIV1'!AU$3,FALSE),0)+($AV593*'AUX-NIV3'!W$4))*$O593+IF($H593=AU$4,$P593,0)</f>
        <v>0</v>
      </c>
      <c r="AV593" s="395">
        <f>+IF($H593="x",VLOOKUP($I593,'AUX-NIV2'!$B:$X,'AUX-NIV1'!AV$3,FALSE),0)</f>
        <v>0</v>
      </c>
    </row>
    <row r="594" spans="2:48" ht="13.8" hidden="1" thickTop="1">
      <c r="B594" s="501" t="s">
        <v>4338</v>
      </c>
      <c r="C594" s="951" t="s">
        <v>4339</v>
      </c>
      <c r="D594" s="1280" t="s">
        <v>501</v>
      </c>
      <c r="E594" s="1281">
        <f>IF(B594&lt;&gt;"",+SUMIF(Items!C:C,'AUX-NIV1'!B594,Items!H:H),"")</f>
        <v>0</v>
      </c>
      <c r="F594" s="1281">
        <f t="shared" si="505"/>
        <v>1894.5038395182489</v>
      </c>
      <c r="G594" s="1281">
        <f t="shared" si="506"/>
        <v>0</v>
      </c>
      <c r="H594" s="1395" t="str">
        <f t="shared" si="531"/>
        <v>M</v>
      </c>
      <c r="I594" s="1375" t="s">
        <v>3721</v>
      </c>
      <c r="J594" s="1283" t="str">
        <f>IF(B594&lt;&gt;"",+VLOOKUP(I594,Recursos!C:F,2,FALSE),"")</f>
        <v>CINTA DURLOCK</v>
      </c>
      <c r="K594" s="1284" t="str">
        <f>IF(B594&lt;&gt;"",+VLOOKUP(I594,Recursos!C:F,3,FALSE),"")</f>
        <v>UN</v>
      </c>
      <c r="L594" s="1285">
        <f>IF(B594&lt;&gt;"",+VLOOKUP(I594,Recursos!C:F,4,FALSE),"")</f>
        <v>600</v>
      </c>
      <c r="M594" s="1351"/>
      <c r="N594" s="1329">
        <v>7.4999999999999997E-2</v>
      </c>
      <c r="O594" s="1286">
        <f>N594*M590</f>
        <v>5.6249999999999994E-2</v>
      </c>
      <c r="P594" s="1287">
        <f t="shared" si="532"/>
        <v>33.75</v>
      </c>
      <c r="Q594" s="1281">
        <f t="shared" si="533"/>
        <v>0</v>
      </c>
      <c r="R594" s="1288">
        <f t="shared" si="534"/>
        <v>0</v>
      </c>
      <c r="S594" s="1289">
        <f t="shared" si="511"/>
        <v>919.39638208943052</v>
      </c>
      <c r="T594" s="1289">
        <f t="shared" si="512"/>
        <v>0</v>
      </c>
      <c r="U594" s="1290">
        <f t="shared" si="513"/>
        <v>975.10745742881875</v>
      </c>
      <c r="V594" s="1290">
        <f t="shared" si="514"/>
        <v>0</v>
      </c>
      <c r="W594" s="1290">
        <f t="shared" si="515"/>
        <v>0</v>
      </c>
      <c r="X594" s="1290">
        <f t="shared" si="516"/>
        <v>0</v>
      </c>
      <c r="Y594" s="396"/>
      <c r="Z594" s="1291" t="str">
        <f t="shared" si="535"/>
        <v>0-DURLOK2A</v>
      </c>
      <c r="AA594" s="1291" t="str">
        <f t="shared" si="536"/>
        <v>0-DURLOK2E</v>
      </c>
      <c r="AB594" s="1291" t="str">
        <f t="shared" si="537"/>
        <v>0-DURLOK2M</v>
      </c>
      <c r="AC594" s="1291" t="str">
        <f t="shared" si="538"/>
        <v>0-DURLOK2T</v>
      </c>
      <c r="AD594" s="1291" t="str">
        <f t="shared" si="539"/>
        <v>0-DURLOK2S</v>
      </c>
      <c r="AE594" s="1291" t="str">
        <f t="shared" si="540"/>
        <v>0-DURLOK2X</v>
      </c>
      <c r="AF594" s="1291" t="str">
        <f t="shared" si="541"/>
        <v>0-DURLOK2M</v>
      </c>
      <c r="AG594" s="1291">
        <f t="shared" si="524"/>
        <v>9</v>
      </c>
      <c r="AH594" s="1291">
        <f>IF(B594&lt;&gt;"",+IF(H594="x",+VLOOKUP(I594,'AUX-NIV2'!B:AG,32,FALSE),0),"")</f>
        <v>0</v>
      </c>
      <c r="AI594" s="1291" t="str">
        <f t="shared" si="542"/>
        <v>0-DURLOK2</v>
      </c>
      <c r="AK594" s="347">
        <f t="shared" si="526"/>
        <v>588</v>
      </c>
      <c r="AL594" s="348">
        <f t="shared" si="543"/>
        <v>596</v>
      </c>
      <c r="AM594" s="347">
        <f t="shared" si="544"/>
        <v>6</v>
      </c>
      <c r="AN594" s="382">
        <f>IF(AND(AH594&gt;0,B594&lt;&gt;""),VLOOKUP(I594,'AUX-NIV2'!$B:$AP,40,FALSE)*O594,0)</f>
        <v>0</v>
      </c>
      <c r="AO594" s="382">
        <f t="shared" si="529"/>
        <v>2</v>
      </c>
      <c r="AQ594" s="395">
        <f>(IF($H594="x",VLOOKUP($I594,'AUX-NIV2'!$B:$X,'AUX-NIV1'!AQ$3,FALSE),0)+($AV594*'AUX-NIV3'!S$4))*$O594+IF($H594=AQ$4,$P594,0)</f>
        <v>0</v>
      </c>
      <c r="AR594" s="395">
        <f>(IF($H594="x",VLOOKUP($I594,'AUX-NIV2'!$B:$X,'AUX-NIV1'!AR$3,FALSE),0)+($AV594*'AUX-NIV3'!T$4))*$O594+IF($H594=AR$4,$P594,0)</f>
        <v>0</v>
      </c>
      <c r="AS594" s="395">
        <f>(IF($H594="x",VLOOKUP($I594,'AUX-NIV2'!$B:$X,'AUX-NIV1'!AS$3,FALSE),0)+($AV594*'AUX-NIV3'!U$4))*$O594+IF($H594=AS$4,$P594,0)</f>
        <v>33.75</v>
      </c>
      <c r="AT594" s="395">
        <f>(IF($H594="x",VLOOKUP($I594,'AUX-NIV2'!$B:$X,'AUX-NIV1'!AT$3,FALSE),0)+($AV594*'AUX-NIV3'!V$4))*$O594+IF($H594=AT$4,$P594,0)</f>
        <v>0</v>
      </c>
      <c r="AU594" s="395">
        <f>(IF($H594="x",VLOOKUP($I594,'AUX-NIV2'!$B:$X,'AUX-NIV1'!AU$3,FALSE),0)+($AV594*'AUX-NIV3'!W$4))*$O594+IF($H594=AU$4,$P594,0)</f>
        <v>0</v>
      </c>
      <c r="AV594" s="395">
        <f>+IF($H594="x",VLOOKUP($I594,'AUX-NIV2'!$B:$X,'AUX-NIV1'!AV$3,FALSE),0)</f>
        <v>0</v>
      </c>
    </row>
    <row r="595" spans="2:48" ht="13.8" hidden="1" thickTop="1">
      <c r="B595" s="501" t="s">
        <v>4338</v>
      </c>
      <c r="C595" s="951" t="s">
        <v>4339</v>
      </c>
      <c r="D595" s="1280" t="s">
        <v>501</v>
      </c>
      <c r="E595" s="1281">
        <f>IF(B595&lt;&gt;"",+SUMIF(Items!C:C,'AUX-NIV1'!B595,Items!H:H),"")</f>
        <v>0</v>
      </c>
      <c r="F595" s="1281">
        <f t="shared" si="505"/>
        <v>1894.5038395182489</v>
      </c>
      <c r="G595" s="1281">
        <f t="shared" si="506"/>
        <v>0</v>
      </c>
      <c r="H595" s="1395" t="str">
        <f t="shared" si="531"/>
        <v>M</v>
      </c>
      <c r="I595" s="1375" t="s">
        <v>3722</v>
      </c>
      <c r="J595" s="1283" t="str">
        <f>IF(B595&lt;&gt;"",+VLOOKUP(I595,Recursos!C:F,2,FALSE),"")</f>
        <v>LANA DE VIDRIO ISOVER  2"</v>
      </c>
      <c r="K595" s="1284" t="str">
        <f>IF(B595&lt;&gt;"",+VLOOKUP(I595,Recursos!C:F,3,FALSE),"")</f>
        <v>m2</v>
      </c>
      <c r="L595" s="1285">
        <f>IF(B595&lt;&gt;"",+VLOOKUP(I595,Recursos!C:F,4,FALSE),"")</f>
        <v>260.33</v>
      </c>
      <c r="M595" s="1351"/>
      <c r="N595" s="1329">
        <v>1</v>
      </c>
      <c r="O595" s="1286">
        <f t="shared" ref="O595" si="559">N595</f>
        <v>1</v>
      </c>
      <c r="P595" s="1287">
        <f t="shared" si="532"/>
        <v>260.33</v>
      </c>
      <c r="Q595" s="1281">
        <f t="shared" si="533"/>
        <v>0</v>
      </c>
      <c r="R595" s="1288">
        <f t="shared" si="534"/>
        <v>0</v>
      </c>
      <c r="S595" s="1289">
        <f t="shared" si="511"/>
        <v>919.39638208943052</v>
      </c>
      <c r="T595" s="1289">
        <f t="shared" si="512"/>
        <v>0</v>
      </c>
      <c r="U595" s="1290">
        <f t="shared" si="513"/>
        <v>975.10745742881875</v>
      </c>
      <c r="V595" s="1290">
        <f t="shared" si="514"/>
        <v>0</v>
      </c>
      <c r="W595" s="1290">
        <f t="shared" si="515"/>
        <v>0</v>
      </c>
      <c r="X595" s="1290">
        <f t="shared" si="516"/>
        <v>0</v>
      </c>
      <c r="Y595" s="396"/>
      <c r="Z595" s="1291" t="str">
        <f t="shared" si="535"/>
        <v>0-DURLOK2A</v>
      </c>
      <c r="AA595" s="1291" t="str">
        <f t="shared" si="536"/>
        <v>0-DURLOK2E</v>
      </c>
      <c r="AB595" s="1291" t="str">
        <f t="shared" si="537"/>
        <v>0-DURLOK2M</v>
      </c>
      <c r="AC595" s="1291" t="str">
        <f t="shared" si="538"/>
        <v>0-DURLOK2T</v>
      </c>
      <c r="AD595" s="1291" t="str">
        <f t="shared" si="539"/>
        <v>0-DURLOK2S</v>
      </c>
      <c r="AE595" s="1291" t="str">
        <f t="shared" si="540"/>
        <v>0-DURLOK2X</v>
      </c>
      <c r="AF595" s="1291" t="str">
        <f t="shared" si="541"/>
        <v>0-DURLOK2M</v>
      </c>
      <c r="AG595" s="1291">
        <f t="shared" si="524"/>
        <v>9</v>
      </c>
      <c r="AH595" s="1291">
        <f>IF(B595&lt;&gt;"",+IF(H595="x",+VLOOKUP(I595,'AUX-NIV2'!B:AG,32,FALSE),0),"")</f>
        <v>0</v>
      </c>
      <c r="AI595" s="1291" t="str">
        <f t="shared" si="542"/>
        <v>0-DURLOK2</v>
      </c>
      <c r="AK595" s="347">
        <f t="shared" si="526"/>
        <v>588</v>
      </c>
      <c r="AL595" s="348">
        <f t="shared" si="543"/>
        <v>596</v>
      </c>
      <c r="AM595" s="347">
        <f t="shared" si="544"/>
        <v>7</v>
      </c>
      <c r="AN595" s="382">
        <f>IF(AND(AH595&gt;0,B595&lt;&gt;""),VLOOKUP(I595,'AUX-NIV2'!$B:$AP,40,FALSE)*O595,0)</f>
        <v>0</v>
      </c>
      <c r="AO595" s="382">
        <f t="shared" si="529"/>
        <v>2</v>
      </c>
      <c r="AQ595" s="395">
        <f>(IF($H595="x",VLOOKUP($I595,'AUX-NIV2'!$B:$X,'AUX-NIV1'!AQ$3,FALSE),0)+($AV595*'AUX-NIV3'!S$4))*$O595+IF($H595=AQ$4,$P595,0)</f>
        <v>0</v>
      </c>
      <c r="AR595" s="395">
        <f>(IF($H595="x",VLOOKUP($I595,'AUX-NIV2'!$B:$X,'AUX-NIV1'!AR$3,FALSE),0)+($AV595*'AUX-NIV3'!T$4))*$O595+IF($H595=AR$4,$P595,0)</f>
        <v>0</v>
      </c>
      <c r="AS595" s="395">
        <f>(IF($H595="x",VLOOKUP($I595,'AUX-NIV2'!$B:$X,'AUX-NIV1'!AS$3,FALSE),0)+($AV595*'AUX-NIV3'!U$4))*$O595+IF($H595=AS$4,$P595,0)</f>
        <v>260.33</v>
      </c>
      <c r="AT595" s="395">
        <f>(IF($H595="x",VLOOKUP($I595,'AUX-NIV2'!$B:$X,'AUX-NIV1'!AT$3,FALSE),0)+($AV595*'AUX-NIV3'!V$4))*$O595+IF($H595=AT$4,$P595,0)</f>
        <v>0</v>
      </c>
      <c r="AU595" s="395">
        <f>(IF($H595="x",VLOOKUP($I595,'AUX-NIV2'!$B:$X,'AUX-NIV1'!AU$3,FALSE),0)+($AV595*'AUX-NIV3'!W$4))*$O595+IF($H595=AU$4,$P595,0)</f>
        <v>0</v>
      </c>
      <c r="AV595" s="395">
        <f>+IF($H595="x",VLOOKUP($I595,'AUX-NIV2'!$B:$X,'AUX-NIV1'!AV$3,FALSE),0)</f>
        <v>0</v>
      </c>
    </row>
    <row r="596" spans="2:48" ht="14.4" hidden="1" thickTop="1" thickBot="1">
      <c r="B596" s="501" t="s">
        <v>4338</v>
      </c>
      <c r="C596" s="951" t="s">
        <v>4339</v>
      </c>
      <c r="D596" s="1280" t="s">
        <v>501</v>
      </c>
      <c r="E596" s="1281">
        <f>IF(B596&lt;&gt;"",+SUMIF(Items!C:C,'AUX-NIV1'!B596,Items!H:H),"")</f>
        <v>0</v>
      </c>
      <c r="F596" s="1281">
        <f t="shared" si="505"/>
        <v>1894.5038395182489</v>
      </c>
      <c r="G596" s="1281">
        <f t="shared" si="506"/>
        <v>0</v>
      </c>
      <c r="H596" s="1395" t="str">
        <f t="shared" ref="H596:H598" si="560">IF(B596&lt;&gt;"",+LEFT(I596,1),"")</f>
        <v>M</v>
      </c>
      <c r="I596" s="1375" t="s">
        <v>3295</v>
      </c>
      <c r="J596" s="1283" t="str">
        <f>IF(B596&lt;&gt;"",+VLOOKUP(I596,Recursos!C:F,2,FALSE),"")</f>
        <v>ANDAMIO TUBULAR 2x3x1,3</v>
      </c>
      <c r="K596" s="1284" t="str">
        <f>IF(B596&lt;&gt;"",+VLOOKUP(I596,Recursos!C:F,3,FALSE),"")</f>
        <v>Mod</v>
      </c>
      <c r="L596" s="1285">
        <f>IF(B596&lt;&gt;"",+VLOOKUP(I596,Recursos!C:F,4,FALSE),"")</f>
        <v>8000</v>
      </c>
      <c r="M596" s="1328">
        <f>2*1</f>
        <v>2</v>
      </c>
      <c r="N596" s="1331">
        <f>1/652</f>
        <v>1.5337423312883436E-3</v>
      </c>
      <c r="O596" s="1286">
        <f>M596*N596</f>
        <v>3.0674846625766872E-3</v>
      </c>
      <c r="P596" s="1287">
        <f t="shared" ref="P596:P598" si="561">IF(B596&lt;&gt;"",O596*L596,"")</f>
        <v>24.539877300613497</v>
      </c>
      <c r="Q596" s="1281">
        <f t="shared" ref="Q596:Q598" si="562">IF(B596&lt;&gt;"",+O596*E596,"")</f>
        <v>0</v>
      </c>
      <c r="R596" s="1288">
        <f t="shared" ref="R596:R598" si="563">IF(B596&lt;&gt;"",Q596*L596,"")</f>
        <v>0</v>
      </c>
      <c r="S596" s="1289">
        <f t="shared" si="511"/>
        <v>919.39638208943052</v>
      </c>
      <c r="T596" s="1289">
        <f t="shared" si="512"/>
        <v>0</v>
      </c>
      <c r="U596" s="1290">
        <f t="shared" si="513"/>
        <v>975.10745742881875</v>
      </c>
      <c r="V596" s="1290">
        <f t="shared" si="514"/>
        <v>0</v>
      </c>
      <c r="W596" s="1290">
        <f t="shared" si="515"/>
        <v>0</v>
      </c>
      <c r="X596" s="1290">
        <f t="shared" si="516"/>
        <v>0</v>
      </c>
      <c r="Y596" s="396"/>
      <c r="Z596" s="1291" t="str">
        <f t="shared" ref="Z596:Z598" si="564">IF(B596&lt;&gt;"",+$B596&amp;"A","")</f>
        <v>0-DURLOK2A</v>
      </c>
      <c r="AA596" s="1291" t="str">
        <f t="shared" ref="AA596:AA598" si="565">IF(B596&lt;&gt;"",+$B596&amp;"E","")</f>
        <v>0-DURLOK2E</v>
      </c>
      <c r="AB596" s="1291" t="str">
        <f t="shared" ref="AB596:AB598" si="566">IF(B596&lt;&gt;"",++$B596&amp;"M","")</f>
        <v>0-DURLOK2M</v>
      </c>
      <c r="AC596" s="1291" t="str">
        <f t="shared" ref="AC596:AC598" si="567">IF(B596&lt;&gt;"",+$B596&amp;"T","")</f>
        <v>0-DURLOK2T</v>
      </c>
      <c r="AD596" s="1291" t="str">
        <f t="shared" ref="AD596:AD598" si="568">IF(B596&lt;&gt;"",+$B596&amp;"S","")</f>
        <v>0-DURLOK2S</v>
      </c>
      <c r="AE596" s="1291" t="str">
        <f t="shared" ref="AE596:AE598" si="569">IF(B596&lt;&gt;"",+$B596&amp;"X","")</f>
        <v>0-DURLOK2X</v>
      </c>
      <c r="AF596" s="1291" t="str">
        <f t="shared" ref="AF596:AF598" si="570">IF(B596&lt;&gt;"",+B596&amp;H596,"")</f>
        <v>0-DURLOK2M</v>
      </c>
      <c r="AG596" s="1291">
        <f t="shared" si="524"/>
        <v>9</v>
      </c>
      <c r="AH596" s="1291">
        <f>IF(B596&lt;&gt;"",+IF(H596="x",+VLOOKUP(I596,'AUX-NIV2'!B:AG,32,FALSE),0),"")</f>
        <v>0</v>
      </c>
      <c r="AI596" s="1291" t="str">
        <f t="shared" ref="AI596:AI598" si="571">IF(B596&lt;&gt;"",+B596,"")</f>
        <v>0-DURLOK2</v>
      </c>
      <c r="AK596" s="347">
        <f t="shared" si="526"/>
        <v>588</v>
      </c>
      <c r="AL596" s="348">
        <f t="shared" ref="AL596:AL598" si="572">IF(B596&lt;&gt;"",+AK596+AG596-1,"")</f>
        <v>596</v>
      </c>
      <c r="AM596" s="347">
        <f t="shared" ref="AM596" si="573">IF(B596&lt;&gt;"",IF(B596=B595,1+AM595,1),"")</f>
        <v>8</v>
      </c>
      <c r="AN596" s="382">
        <f>IF(AND(AH596&gt;0,B596&lt;&gt;""),VLOOKUP(I596,'AUX-NIV2'!$B:$AP,40,FALSE)*O596,0)</f>
        <v>0</v>
      </c>
      <c r="AO596" s="382">
        <f t="shared" si="529"/>
        <v>2</v>
      </c>
      <c r="AQ596" s="395">
        <f>(IF($H596="x",VLOOKUP($I596,'AUX-NIV2'!$B:$X,'AUX-NIV1'!AQ$3,FALSE),0)+($AV596*'AUX-NIV3'!S$4))*$O596+IF($H596=AQ$4,$P596,0)</f>
        <v>0</v>
      </c>
      <c r="AR596" s="395">
        <f>(IF($H596="x",VLOOKUP($I596,'AUX-NIV2'!$B:$X,'AUX-NIV1'!AR$3,FALSE),0)+($AV596*'AUX-NIV3'!T$4))*$O596+IF($H596=AR$4,$P596,0)</f>
        <v>0</v>
      </c>
      <c r="AS596" s="395">
        <f>(IF($H596="x",VLOOKUP($I596,'AUX-NIV2'!$B:$X,'AUX-NIV1'!AS$3,FALSE),0)+($AV596*'AUX-NIV3'!U$4))*$O596+IF($H596=AS$4,$P596,0)</f>
        <v>24.539877300613497</v>
      </c>
      <c r="AT596" s="395">
        <f>(IF($H596="x",VLOOKUP($I596,'AUX-NIV2'!$B:$X,'AUX-NIV1'!AT$3,FALSE),0)+($AV596*'AUX-NIV3'!V$4))*$O596+IF($H596=AT$4,$P596,0)</f>
        <v>0</v>
      </c>
      <c r="AU596" s="395">
        <f>(IF($H596="x",VLOOKUP($I596,'AUX-NIV2'!$B:$X,'AUX-NIV1'!AU$3,FALSE),0)+($AV596*'AUX-NIV3'!W$4))*$O596+IF($H596=AU$4,$P596,0)</f>
        <v>0</v>
      </c>
      <c r="AV596" s="395">
        <f>+IF($H596="x",VLOOKUP($I596,'AUX-NIV2'!$B:$X,'AUX-NIV1'!AV$3,FALSE),0)</f>
        <v>0</v>
      </c>
    </row>
    <row r="597" spans="2:48" ht="13.8" thickTop="1">
      <c r="B597" s="501" t="s">
        <v>4653</v>
      </c>
      <c r="C597" s="951" t="s">
        <v>4654</v>
      </c>
      <c r="D597" s="1280" t="s">
        <v>501</v>
      </c>
      <c r="E597" s="1281">
        <f>IF(B597&lt;&gt;"",+SUMIF(Items!C:C,'AUX-NIV1'!B597,Items!H:H),"")</f>
        <v>0</v>
      </c>
      <c r="F597" s="1281">
        <f t="shared" si="505"/>
        <v>2506.656328893243</v>
      </c>
      <c r="G597" s="1281">
        <f t="shared" si="506"/>
        <v>0</v>
      </c>
      <c r="H597" s="1395" t="str">
        <f t="shared" si="560"/>
        <v>X</v>
      </c>
      <c r="I597" s="1375" t="s">
        <v>4656</v>
      </c>
      <c r="J597" s="1283" t="str">
        <f>IF(B597&lt;&gt;"",+VLOOKUP(I597,Recursos!C:F,2,FALSE),"")</f>
        <v>Muro Liviano Durlock</v>
      </c>
      <c r="K597" s="1284" t="str">
        <f>IF(B597&lt;&gt;"",+VLOOKUP(I597,Recursos!C:F,3,FALSE),"")</f>
        <v>m2</v>
      </c>
      <c r="L597" s="1285">
        <f>IF(B597&lt;&gt;"",+VLOOKUP(I597,Recursos!C:F,4,FALSE),"")</f>
        <v>2412.839272532321</v>
      </c>
      <c r="M597" s="1328">
        <v>0.3</v>
      </c>
      <c r="N597" s="1329">
        <v>0.73333333333333328</v>
      </c>
      <c r="O597" s="1286">
        <f>N597*M597</f>
        <v>0.21999999999999997</v>
      </c>
      <c r="P597" s="1287">
        <f t="shared" si="561"/>
        <v>530.82463995711055</v>
      </c>
      <c r="Q597" s="1281">
        <f t="shared" si="562"/>
        <v>0</v>
      </c>
      <c r="R597" s="1288">
        <f t="shared" si="563"/>
        <v>0</v>
      </c>
      <c r="S597" s="1289">
        <f t="shared" si="511"/>
        <v>0</v>
      </c>
      <c r="T597" s="1289">
        <f t="shared" si="512"/>
        <v>0</v>
      </c>
      <c r="U597" s="1290">
        <f t="shared" si="513"/>
        <v>0</v>
      </c>
      <c r="V597" s="1290">
        <f t="shared" si="514"/>
        <v>0</v>
      </c>
      <c r="W597" s="1290">
        <f t="shared" si="515"/>
        <v>0</v>
      </c>
      <c r="X597" s="1290">
        <f t="shared" si="516"/>
        <v>2506.656328893243</v>
      </c>
      <c r="Y597" s="396"/>
      <c r="Z597" s="1291" t="str">
        <f t="shared" si="564"/>
        <v>0-MUROLIVA</v>
      </c>
      <c r="AA597" s="1291" t="str">
        <f t="shared" si="565"/>
        <v>0-MUROLIVE</v>
      </c>
      <c r="AB597" s="1291" t="str">
        <f t="shared" si="566"/>
        <v>0-MUROLIVM</v>
      </c>
      <c r="AC597" s="1291" t="str">
        <f t="shared" si="567"/>
        <v>0-MUROLIVT</v>
      </c>
      <c r="AD597" s="1291" t="str">
        <f t="shared" si="568"/>
        <v>0-MUROLIVS</v>
      </c>
      <c r="AE597" s="1291" t="str">
        <f t="shared" si="569"/>
        <v>0-MUROLIVX</v>
      </c>
      <c r="AF597" s="1291" t="str">
        <f t="shared" si="570"/>
        <v>0-MUROLIVX</v>
      </c>
      <c r="AG597" s="1291">
        <f t="shared" si="524"/>
        <v>2</v>
      </c>
      <c r="AH597" s="1291">
        <f>IF(B597&lt;&gt;"",+IF(H597="x",+VLOOKUP(I597,'AUX-NIV2'!B:AG,32,FALSE),0),"")</f>
        <v>8</v>
      </c>
      <c r="AI597" s="1291" t="str">
        <f t="shared" si="571"/>
        <v>0-MUROLIV</v>
      </c>
      <c r="AK597" s="347">
        <f t="shared" si="526"/>
        <v>597</v>
      </c>
      <c r="AL597" s="348">
        <f t="shared" si="572"/>
        <v>598</v>
      </c>
      <c r="AM597" s="347" t="e">
        <f>IF(B597&lt;&gt;"",IF(B597=#REF!,1+#REF!,1),"")</f>
        <v>#REF!</v>
      </c>
      <c r="AN597" s="382">
        <f>IF(AND(AH597&gt;0,B597&lt;&gt;""),VLOOKUP(I597,'AUX-NIV2'!$B:$AP,40,FALSE)*O597,0)</f>
        <v>0.43999999999999995</v>
      </c>
      <c r="AO597" s="382">
        <f t="shared" si="529"/>
        <v>1.1244444444444444</v>
      </c>
      <c r="AQ597" s="395">
        <f>(IF($H597="x",VLOOKUP($I597,'AUX-NIV2'!$B:$X,'AUX-NIV1'!AQ$3,FALSE),0)+($AV597*'AUX-NIV3'!S$4))*$O597+IF($H597=AQ$4,$P597,0)</f>
        <v>202.2672040596747</v>
      </c>
      <c r="AR597" s="395">
        <f>(IF($H597="x",VLOOKUP($I597,'AUX-NIV2'!$B:$X,'AUX-NIV1'!AR$3,FALSE),0)+($AV597*'AUX-NIV3'!T$4))*$O597+IF($H597=AR$4,$P597,0)</f>
        <v>0</v>
      </c>
      <c r="AS597" s="395">
        <f>(IF($H597="x",VLOOKUP($I597,'AUX-NIV2'!$B:$X,'AUX-NIV1'!AS$3,FALSE),0)+($AV597*'AUX-NIV3'!U$4))*$O597+IF($H597=AS$4,$P597,0)</f>
        <v>328.55743589743588</v>
      </c>
      <c r="AT597" s="395">
        <f>(IF($H597="x",VLOOKUP($I597,'AUX-NIV2'!$B:$X,'AUX-NIV1'!AT$3,FALSE),0)+($AV597*'AUX-NIV3'!V$4))*$O597+IF($H597=AT$4,$P597,0)</f>
        <v>0</v>
      </c>
      <c r="AU597" s="395">
        <f>(IF($H597="x",VLOOKUP($I597,'AUX-NIV2'!$B:$X,'AUX-NIV1'!AU$3,FALSE),0)+($AV597*'AUX-NIV3'!W$4))*$O597+IF($H597=AU$4,$P597,0)</f>
        <v>0</v>
      </c>
      <c r="AV597" s="395">
        <f>+IF($H597="x",VLOOKUP($I597,'AUX-NIV2'!$B:$X,'AUX-NIV1'!AV$3,FALSE),0)</f>
        <v>0</v>
      </c>
    </row>
    <row r="598" spans="2:48" ht="13.8" thickBot="1">
      <c r="B598" s="501" t="s">
        <v>4653</v>
      </c>
      <c r="C598" s="951" t="s">
        <v>4654</v>
      </c>
      <c r="D598" s="1280" t="s">
        <v>501</v>
      </c>
      <c r="E598" s="1281">
        <f>IF(B598&lt;&gt;"",+SUMIF(Items!C:C,'AUX-NIV1'!B598,Items!H:H),"")</f>
        <v>0</v>
      </c>
      <c r="F598" s="1281">
        <f t="shared" si="505"/>
        <v>2506.656328893243</v>
      </c>
      <c r="G598" s="1281">
        <f t="shared" si="506"/>
        <v>0</v>
      </c>
      <c r="H598" s="1395" t="str">
        <f t="shared" si="560"/>
        <v>X</v>
      </c>
      <c r="I598" s="1375" t="s">
        <v>4659</v>
      </c>
      <c r="J598" s="1283" t="str">
        <f>IF(B598&lt;&gt;"",+VLOOKUP(I598,Recursos!C:F,2,FALSE),"")</f>
        <v>Muro Liviano Durlock-Cementicio</v>
      </c>
      <c r="K598" s="1284" t="str">
        <f>IF(B598&lt;&gt;"",+VLOOKUP(I598,Recursos!C:F,3,FALSE),"")</f>
        <v>m2</v>
      </c>
      <c r="L598" s="1285">
        <f>IF(B598&lt;&gt;"",+VLOOKUP(I598,Recursos!C:F,4,FALSE),"")</f>
        <v>3849.022770654803</v>
      </c>
      <c r="M598" s="1328">
        <v>0.7</v>
      </c>
      <c r="N598" s="1329">
        <f>N597</f>
        <v>0.73333333333333328</v>
      </c>
      <c r="O598" s="1286">
        <f>N598*M598</f>
        <v>0.51333333333333331</v>
      </c>
      <c r="P598" s="1287">
        <f t="shared" si="561"/>
        <v>1975.8316889361322</v>
      </c>
      <c r="Q598" s="1281">
        <f t="shared" si="562"/>
        <v>0</v>
      </c>
      <c r="R598" s="1288">
        <f t="shared" si="563"/>
        <v>0</v>
      </c>
      <c r="S598" s="1289">
        <f t="shared" si="511"/>
        <v>0</v>
      </c>
      <c r="T598" s="1289">
        <f t="shared" si="512"/>
        <v>0</v>
      </c>
      <c r="U598" s="1290">
        <f t="shared" si="513"/>
        <v>0</v>
      </c>
      <c r="V598" s="1290">
        <f t="shared" si="514"/>
        <v>0</v>
      </c>
      <c r="W598" s="1290">
        <f t="shared" si="515"/>
        <v>0</v>
      </c>
      <c r="X598" s="1290">
        <f t="shared" si="516"/>
        <v>2506.656328893243</v>
      </c>
      <c r="Y598" s="396"/>
      <c r="Z598" s="1291" t="str">
        <f t="shared" si="564"/>
        <v>0-MUROLIVA</v>
      </c>
      <c r="AA598" s="1291" t="str">
        <f t="shared" si="565"/>
        <v>0-MUROLIVE</v>
      </c>
      <c r="AB598" s="1291" t="str">
        <f t="shared" si="566"/>
        <v>0-MUROLIVM</v>
      </c>
      <c r="AC598" s="1291" t="str">
        <f t="shared" si="567"/>
        <v>0-MUROLIVT</v>
      </c>
      <c r="AD598" s="1291" t="str">
        <f t="shared" si="568"/>
        <v>0-MUROLIVS</v>
      </c>
      <c r="AE598" s="1291" t="str">
        <f t="shared" si="569"/>
        <v>0-MUROLIVX</v>
      </c>
      <c r="AF598" s="1291" t="str">
        <f t="shared" si="570"/>
        <v>0-MUROLIVX</v>
      </c>
      <c r="AG598" s="1291">
        <f t="shared" si="524"/>
        <v>2</v>
      </c>
      <c r="AH598" s="1291">
        <f>IF(B598&lt;&gt;"",+IF(H598="x",+VLOOKUP(I598,'AUX-NIV2'!B:AG,32,FALSE),0),"")</f>
        <v>11</v>
      </c>
      <c r="AI598" s="1291" t="str">
        <f t="shared" si="571"/>
        <v>0-MUROLIV</v>
      </c>
      <c r="AK598" s="347">
        <f t="shared" si="526"/>
        <v>597</v>
      </c>
      <c r="AL598" s="348">
        <f t="shared" si="572"/>
        <v>598</v>
      </c>
      <c r="AM598" s="347" t="e">
        <f t="shared" ref="AM598" si="574">IF(B598&lt;&gt;"",IF(B598=B597,1+AM597,1),"")</f>
        <v>#REF!</v>
      </c>
      <c r="AN598" s="382">
        <f>IF(AND(AH598&gt;0,B598&lt;&gt;""),VLOOKUP(I598,'AUX-NIV2'!$B:$AP,40,FALSE)*O598,0)</f>
        <v>0.68444444444444441</v>
      </c>
      <c r="AO598" s="382">
        <f t="shared" si="529"/>
        <v>1.1244444444444444</v>
      </c>
      <c r="AQ598" s="395">
        <f>(IF($H598="x",VLOOKUP($I598,'AUX-NIV2'!$B:$X,'AUX-NIV1'!AQ$3,FALSE),0)+($AV598*'AUX-NIV3'!S$4))*$O598+IF($H598=AQ$4,$P598,0)</f>
        <v>314.63787298171621</v>
      </c>
      <c r="AR598" s="395">
        <f>(IF($H598="x",VLOOKUP($I598,'AUX-NIV2'!$B:$X,'AUX-NIV1'!AR$3,FALSE),0)+($AV598*'AUX-NIV3'!T$4))*$O598+IF($H598=AR$4,$P598,0)</f>
        <v>0</v>
      </c>
      <c r="AS598" s="395">
        <f>(IF($H598="x",VLOOKUP($I598,'AUX-NIV2'!$B:$X,'AUX-NIV1'!AS$3,FALSE),0)+($AV598*'AUX-NIV3'!U$4))*$O598+IF($H598=AS$4,$P598,0)</f>
        <v>1661.1938159544159</v>
      </c>
      <c r="AT598" s="395">
        <f>(IF($H598="x",VLOOKUP($I598,'AUX-NIV2'!$B:$X,'AUX-NIV1'!AT$3,FALSE),0)+($AV598*'AUX-NIV3'!V$4))*$O598+IF($H598=AT$4,$P598,0)</f>
        <v>0</v>
      </c>
      <c r="AU598" s="395">
        <f>(IF($H598="x",VLOOKUP($I598,'AUX-NIV2'!$B:$X,'AUX-NIV1'!AU$3,FALSE),0)+($AV598*'AUX-NIV3'!W$4))*$O598+IF($H598=AU$4,$P598,0)</f>
        <v>0</v>
      </c>
      <c r="AV598" s="395">
        <f>+IF($H598="x",VLOOKUP($I598,'AUX-NIV2'!$B:$X,'AUX-NIV1'!AV$3,FALSE),0)</f>
        <v>0</v>
      </c>
    </row>
    <row r="599" spans="2:48" ht="14.4" hidden="1" thickTop="1" thickBot="1">
      <c r="B599" s="501" t="s">
        <v>3725</v>
      </c>
      <c r="C599" s="951" t="s">
        <v>3726</v>
      </c>
      <c r="D599" s="1280" t="s">
        <v>1160</v>
      </c>
      <c r="E599" s="1281">
        <f>IF(B599&lt;&gt;"",+SUMIF(Items!C:C,'AUX-NIV1'!B599,Items!H:H),"")</f>
        <v>0</v>
      </c>
      <c r="F599" s="1281">
        <f t="shared" si="505"/>
        <v>14630.03570379279</v>
      </c>
      <c r="G599" s="1281">
        <f t="shared" si="506"/>
        <v>0</v>
      </c>
      <c r="H599" s="1395" t="str">
        <f t="shared" si="434"/>
        <v>A</v>
      </c>
      <c r="I599" s="1375" t="s">
        <v>1746</v>
      </c>
      <c r="J599" s="1283" t="str">
        <f>IF(B599&lt;&gt;"",+VLOOKUP(I599,Recursos!C:F,2,FALSE),"")</f>
        <v>OFICIAL</v>
      </c>
      <c r="K599" s="1284" t="str">
        <f>IF(B599&lt;&gt;"",+VLOOKUP(I599,Recursos!C:F,3,FALSE),"")</f>
        <v>hh</v>
      </c>
      <c r="L599" s="1285">
        <f>IF(B599&lt;&gt;"",+VLOOKUP(I599,Recursos!C:F,4,FALSE),"")</f>
        <v>496.91595439275824</v>
      </c>
      <c r="M599" s="989">
        <v>0.75</v>
      </c>
      <c r="N599" s="1292">
        <v>1.5</v>
      </c>
      <c r="O599" s="1286">
        <f>N599/M599/M600</f>
        <v>6.666666666666667</v>
      </c>
      <c r="P599" s="1287">
        <f t="shared" si="435"/>
        <v>3312.7730292850551</v>
      </c>
      <c r="Q599" s="1281">
        <f t="shared" si="436"/>
        <v>0</v>
      </c>
      <c r="R599" s="1288">
        <f t="shared" si="437"/>
        <v>0</v>
      </c>
      <c r="S599" s="1289">
        <f t="shared" si="511"/>
        <v>4721.0411216072962</v>
      </c>
      <c r="T599" s="1289">
        <f t="shared" si="512"/>
        <v>0</v>
      </c>
      <c r="U599" s="1290">
        <f t="shared" si="513"/>
        <v>3400</v>
      </c>
      <c r="V599" s="1290">
        <f t="shared" si="514"/>
        <v>0</v>
      </c>
      <c r="W599" s="1290">
        <f t="shared" si="515"/>
        <v>0</v>
      </c>
      <c r="X599" s="1290">
        <f t="shared" si="516"/>
        <v>6508.9945821854926</v>
      </c>
      <c r="Y599" s="396"/>
      <c r="Z599" s="1291" t="str">
        <f t="shared" si="438"/>
        <v>0-MULAD3A</v>
      </c>
      <c r="AA599" s="1291" t="str">
        <f t="shared" si="439"/>
        <v>0-MULAD3E</v>
      </c>
      <c r="AB599" s="1291" t="str">
        <f t="shared" si="440"/>
        <v>0-MULAD3M</v>
      </c>
      <c r="AC599" s="1291" t="str">
        <f t="shared" si="441"/>
        <v>0-MULAD3T</v>
      </c>
      <c r="AD599" s="1291" t="str">
        <f t="shared" si="442"/>
        <v>0-MULAD3S</v>
      </c>
      <c r="AE599" s="1291" t="str">
        <f t="shared" si="443"/>
        <v>0-MULAD3X</v>
      </c>
      <c r="AF599" s="1291" t="str">
        <f t="shared" si="444"/>
        <v>0-MULAD3A</v>
      </c>
      <c r="AG599" s="1291">
        <f t="shared" si="524"/>
        <v>4</v>
      </c>
      <c r="AH599" s="1291">
        <f>IF(B599&lt;&gt;"",+IF(H599="x",+VLOOKUP(I599,'AUX-NIV2'!B:AG,32,FALSE),0),"")</f>
        <v>0</v>
      </c>
      <c r="AI599" s="1291" t="str">
        <f t="shared" si="445"/>
        <v>0-MULAD3</v>
      </c>
      <c r="AK599" s="347">
        <f t="shared" si="526"/>
        <v>599</v>
      </c>
      <c r="AL599" s="348">
        <f t="shared" si="446"/>
        <v>602</v>
      </c>
      <c r="AM599" s="347">
        <f>IF(B599&lt;&gt;"",IF(B599=B587,1+AM587,1),"")</f>
        <v>1</v>
      </c>
      <c r="AN599" s="382">
        <f>IF(AND(AH599&gt;0,B599&lt;&gt;""),VLOOKUP(I599,'AUX-NIV2'!$B:$AP,40,FALSE)*O599,0)</f>
        <v>0</v>
      </c>
      <c r="AO599" s="382">
        <f t="shared" si="529"/>
        <v>10</v>
      </c>
      <c r="AQ599" s="395">
        <f>(IF($H599="x",VLOOKUP($I599,'AUX-NIV2'!$B:$X,'AUX-NIV1'!AQ$3,FALSE),0)+($AV599*'AUX-NIV3'!S$4))*$O599+IF($H599=AQ$4,$P599,0)</f>
        <v>3312.7730292850551</v>
      </c>
      <c r="AR599" s="395">
        <f>(IF($H599="x",VLOOKUP($I599,'AUX-NIV2'!$B:$X,'AUX-NIV1'!AR$3,FALSE),0)+($AV599*'AUX-NIV3'!T$4))*$O599+IF($H599=AR$4,$P599,0)</f>
        <v>0</v>
      </c>
      <c r="AS599" s="395">
        <f>(IF($H599="x",VLOOKUP($I599,'AUX-NIV2'!$B:$X,'AUX-NIV1'!AS$3,FALSE),0)+($AV599*'AUX-NIV3'!U$4))*$O599+IF($H599=AS$4,$P599,0)</f>
        <v>0</v>
      </c>
      <c r="AT599" s="395">
        <f>(IF($H599="x",VLOOKUP($I599,'AUX-NIV2'!$B:$X,'AUX-NIV1'!AT$3,FALSE),0)+($AV599*'AUX-NIV3'!V$4))*$O599+IF($H599=AT$4,$P599,0)</f>
        <v>0</v>
      </c>
      <c r="AU599" s="395">
        <f>(IF($H599="x",VLOOKUP($I599,'AUX-NIV2'!$B:$X,'AUX-NIV1'!AU$3,FALSE),0)+($AV599*'AUX-NIV3'!W$4))*$O599+IF($H599=AU$4,$P599,0)</f>
        <v>0</v>
      </c>
      <c r="AV599" s="395">
        <f>+IF($H599="x",VLOOKUP($I599,'AUX-NIV2'!$B:$X,'AUX-NIV1'!AV$3,FALSE),0)</f>
        <v>0</v>
      </c>
    </row>
    <row r="600" spans="2:48" ht="13.8" hidden="1" thickBot="1">
      <c r="B600" s="501" t="s">
        <v>3725</v>
      </c>
      <c r="C600" s="951" t="s">
        <v>3726</v>
      </c>
      <c r="D600" s="1280" t="s">
        <v>1160</v>
      </c>
      <c r="E600" s="1281">
        <f>IF(B600&lt;&gt;"",+SUMIF(Items!C:C,'AUX-NIV1'!B600,Items!H:H),"")</f>
        <v>0</v>
      </c>
      <c r="F600" s="1281">
        <f t="shared" si="505"/>
        <v>14630.03570379279</v>
      </c>
      <c r="G600" s="1281">
        <f t="shared" si="506"/>
        <v>0</v>
      </c>
      <c r="H600" s="1395" t="str">
        <f t="shared" si="434"/>
        <v>A</v>
      </c>
      <c r="I600" s="1375" t="s">
        <v>1745</v>
      </c>
      <c r="J600" s="1283" t="str">
        <f>IF(B600&lt;&gt;"",+VLOOKUP(I600,Recursos!C:F,2,FALSE),"")</f>
        <v>AYUDANTE</v>
      </c>
      <c r="K600" s="1284" t="str">
        <f>IF(B600&lt;&gt;"",+VLOOKUP(I600,Recursos!C:F,3,FALSE),"")</f>
        <v>hh</v>
      </c>
      <c r="L600" s="1285">
        <f>IF(B600&lt;&gt;"",+VLOOKUP(I600,Recursos!C:F,4,FALSE),"")</f>
        <v>422.48042769667234</v>
      </c>
      <c r="M600" s="1328">
        <v>0.3</v>
      </c>
      <c r="N600" s="1329">
        <v>0.75</v>
      </c>
      <c r="O600" s="1286">
        <f>N600/M599/M600</f>
        <v>3.3333333333333335</v>
      </c>
      <c r="P600" s="1287">
        <f t="shared" si="435"/>
        <v>1408.2680923222413</v>
      </c>
      <c r="Q600" s="1281">
        <f t="shared" si="436"/>
        <v>0</v>
      </c>
      <c r="R600" s="1288">
        <f t="shared" si="437"/>
        <v>0</v>
      </c>
      <c r="S600" s="1289">
        <f t="shared" si="511"/>
        <v>4721.0411216072962</v>
      </c>
      <c r="T600" s="1289">
        <f t="shared" si="512"/>
        <v>0</v>
      </c>
      <c r="U600" s="1290">
        <f t="shared" si="513"/>
        <v>3400</v>
      </c>
      <c r="V600" s="1290">
        <f t="shared" si="514"/>
        <v>0</v>
      </c>
      <c r="W600" s="1290">
        <f t="shared" si="515"/>
        <v>0</v>
      </c>
      <c r="X600" s="1290">
        <f t="shared" si="516"/>
        <v>6508.9945821854926</v>
      </c>
      <c r="Y600" s="396"/>
      <c r="Z600" s="1291" t="str">
        <f t="shared" si="438"/>
        <v>0-MULAD3A</v>
      </c>
      <c r="AA600" s="1291" t="str">
        <f t="shared" si="439"/>
        <v>0-MULAD3E</v>
      </c>
      <c r="AB600" s="1291" t="str">
        <f t="shared" si="440"/>
        <v>0-MULAD3M</v>
      </c>
      <c r="AC600" s="1291" t="str">
        <f t="shared" si="441"/>
        <v>0-MULAD3T</v>
      </c>
      <c r="AD600" s="1291" t="str">
        <f t="shared" si="442"/>
        <v>0-MULAD3S</v>
      </c>
      <c r="AE600" s="1291" t="str">
        <f t="shared" si="443"/>
        <v>0-MULAD3X</v>
      </c>
      <c r="AF600" s="1291" t="str">
        <f t="shared" si="444"/>
        <v>0-MULAD3A</v>
      </c>
      <c r="AG600" s="1291">
        <f t="shared" si="524"/>
        <v>4</v>
      </c>
      <c r="AH600" s="1291">
        <f>IF(B600&lt;&gt;"",+IF(H600="x",+VLOOKUP(I600,'AUX-NIV2'!B:AG,32,FALSE),0),"")</f>
        <v>0</v>
      </c>
      <c r="AI600" s="1291" t="str">
        <f t="shared" si="445"/>
        <v>0-MULAD3</v>
      </c>
      <c r="AK600" s="347">
        <f t="shared" si="526"/>
        <v>599</v>
      </c>
      <c r="AL600" s="348">
        <f t="shared" si="446"/>
        <v>602</v>
      </c>
      <c r="AM600" s="347">
        <f t="shared" si="447"/>
        <v>2</v>
      </c>
      <c r="AN600" s="382">
        <f>IF(AND(AH600&gt;0,B600&lt;&gt;""),VLOOKUP(I600,'AUX-NIV2'!$B:$AP,40,FALSE)*O600,0)</f>
        <v>0</v>
      </c>
      <c r="AO600" s="382">
        <f t="shared" si="529"/>
        <v>10</v>
      </c>
      <c r="AQ600" s="395">
        <f>(IF($H600="x",VLOOKUP($I600,'AUX-NIV2'!$B:$X,'AUX-NIV1'!AQ$3,FALSE),0)+($AV600*'AUX-NIV3'!S$4))*$O600+IF($H600=AQ$4,$P600,0)</f>
        <v>1408.2680923222413</v>
      </c>
      <c r="AR600" s="395">
        <f>(IF($H600="x",VLOOKUP($I600,'AUX-NIV2'!$B:$X,'AUX-NIV1'!AR$3,FALSE),0)+($AV600*'AUX-NIV3'!T$4))*$O600+IF($H600=AR$4,$P600,0)</f>
        <v>0</v>
      </c>
      <c r="AS600" s="395">
        <f>(IF($H600="x",VLOOKUP($I600,'AUX-NIV2'!$B:$X,'AUX-NIV1'!AS$3,FALSE),0)+($AV600*'AUX-NIV3'!U$4))*$O600+IF($H600=AS$4,$P600,0)</f>
        <v>0</v>
      </c>
      <c r="AT600" s="395">
        <f>(IF($H600="x",VLOOKUP($I600,'AUX-NIV2'!$B:$X,'AUX-NIV1'!AT$3,FALSE),0)+($AV600*'AUX-NIV3'!V$4))*$O600+IF($H600=AT$4,$P600,0)</f>
        <v>0</v>
      </c>
      <c r="AU600" s="395">
        <f>(IF($H600="x",VLOOKUP($I600,'AUX-NIV2'!$B:$X,'AUX-NIV1'!AU$3,FALSE),0)+($AV600*'AUX-NIV3'!W$4))*$O600+IF($H600=AU$4,$P600,0)</f>
        <v>0</v>
      </c>
      <c r="AV600" s="395">
        <f>+IF($H600="x",VLOOKUP($I600,'AUX-NIV2'!$B:$X,'AUX-NIV1'!AV$3,FALSE),0)</f>
        <v>0</v>
      </c>
    </row>
    <row r="601" spans="2:48" ht="13.8" hidden="1" thickBot="1">
      <c r="B601" s="501" t="s">
        <v>3725</v>
      </c>
      <c r="C601" s="951" t="s">
        <v>3726</v>
      </c>
      <c r="D601" s="1280" t="s">
        <v>1160</v>
      </c>
      <c r="E601" s="1281">
        <f>IF(B601&lt;&gt;"",+SUMIF(Items!C:C,'AUX-NIV1'!B601,Items!H:H),"")</f>
        <v>0</v>
      </c>
      <c r="F601" s="1281">
        <f t="shared" si="505"/>
        <v>14630.03570379279</v>
      </c>
      <c r="G601" s="1281">
        <f t="shared" si="506"/>
        <v>0</v>
      </c>
      <c r="H601" s="1395" t="str">
        <f t="shared" si="434"/>
        <v>M</v>
      </c>
      <c r="I601" s="1375" t="s">
        <v>3712</v>
      </c>
      <c r="J601" s="1283" t="str">
        <f>IF(B601&lt;&gt;"",+VLOOKUP(I601,Recursos!C:F,2,FALSE),"")</f>
        <v>LADRILLON</v>
      </c>
      <c r="K601" s="1284" t="str">
        <f>IF(B601&lt;&gt;"",+VLOOKUP(I601,Recursos!C:F,3,FALSE),"")</f>
        <v>mil</v>
      </c>
      <c r="L601" s="1285">
        <f>IF(B601&lt;&gt;"",+VLOOKUP(I601,Recursos!C:F,4,FALSE),"")</f>
        <v>17000</v>
      </c>
      <c r="M601" s="1351"/>
      <c r="N601" s="1329">
        <v>60</v>
      </c>
      <c r="O601" s="1286">
        <f>N601/1000/M600</f>
        <v>0.2</v>
      </c>
      <c r="P601" s="1287">
        <f t="shared" si="435"/>
        <v>3400</v>
      </c>
      <c r="Q601" s="1281">
        <f t="shared" si="436"/>
        <v>0</v>
      </c>
      <c r="R601" s="1288">
        <f t="shared" si="437"/>
        <v>0</v>
      </c>
      <c r="S601" s="1289">
        <f t="shared" si="511"/>
        <v>4721.0411216072962</v>
      </c>
      <c r="T601" s="1289">
        <f t="shared" si="512"/>
        <v>0</v>
      </c>
      <c r="U601" s="1290">
        <f t="shared" si="513"/>
        <v>3400</v>
      </c>
      <c r="V601" s="1290">
        <f t="shared" si="514"/>
        <v>0</v>
      </c>
      <c r="W601" s="1290">
        <f t="shared" si="515"/>
        <v>0</v>
      </c>
      <c r="X601" s="1290">
        <f t="shared" si="516"/>
        <v>6508.9945821854926</v>
      </c>
      <c r="Y601" s="396"/>
      <c r="Z601" s="1291" t="str">
        <f t="shared" si="438"/>
        <v>0-MULAD3A</v>
      </c>
      <c r="AA601" s="1291" t="str">
        <f t="shared" si="439"/>
        <v>0-MULAD3E</v>
      </c>
      <c r="AB601" s="1291" t="str">
        <f t="shared" si="440"/>
        <v>0-MULAD3M</v>
      </c>
      <c r="AC601" s="1291" t="str">
        <f t="shared" si="441"/>
        <v>0-MULAD3T</v>
      </c>
      <c r="AD601" s="1291" t="str">
        <f t="shared" si="442"/>
        <v>0-MULAD3S</v>
      </c>
      <c r="AE601" s="1291" t="str">
        <f t="shared" si="443"/>
        <v>0-MULAD3X</v>
      </c>
      <c r="AF601" s="1291" t="str">
        <f t="shared" si="444"/>
        <v>0-MULAD3M</v>
      </c>
      <c r="AG601" s="1291">
        <f t="shared" si="524"/>
        <v>4</v>
      </c>
      <c r="AH601" s="1291">
        <f>IF(B601&lt;&gt;"",+IF(H601="x",+VLOOKUP(I601,'AUX-NIV2'!B:AG,32,FALSE),0),"")</f>
        <v>0</v>
      </c>
      <c r="AI601" s="1291" t="str">
        <f t="shared" si="445"/>
        <v>0-MULAD3</v>
      </c>
      <c r="AK601" s="347">
        <f t="shared" si="526"/>
        <v>599</v>
      </c>
      <c r="AL601" s="348">
        <f t="shared" si="446"/>
        <v>602</v>
      </c>
      <c r="AM601" s="347">
        <f t="shared" si="447"/>
        <v>3</v>
      </c>
      <c r="AN601" s="382">
        <f>IF(AND(AH601&gt;0,B601&lt;&gt;""),VLOOKUP(I601,'AUX-NIV2'!$B:$AP,40,FALSE)*O601,0)</f>
        <v>0</v>
      </c>
      <c r="AO601" s="382">
        <f t="shared" si="529"/>
        <v>10</v>
      </c>
      <c r="AQ601" s="395">
        <f>(IF($H601="x",VLOOKUP($I601,'AUX-NIV2'!$B:$X,'AUX-NIV1'!AQ$3,FALSE),0)+($AV601*'AUX-NIV3'!S$4))*$O601+IF($H601=AQ$4,$P601,0)</f>
        <v>0</v>
      </c>
      <c r="AR601" s="395">
        <f>(IF($H601="x",VLOOKUP($I601,'AUX-NIV2'!$B:$X,'AUX-NIV1'!AR$3,FALSE),0)+($AV601*'AUX-NIV3'!T$4))*$O601+IF($H601=AR$4,$P601,0)</f>
        <v>0</v>
      </c>
      <c r="AS601" s="395">
        <f>(IF($H601="x",VLOOKUP($I601,'AUX-NIV2'!$B:$X,'AUX-NIV1'!AS$3,FALSE),0)+($AV601*'AUX-NIV3'!U$4))*$O601+IF($H601=AS$4,$P601,0)</f>
        <v>3400</v>
      </c>
      <c r="AT601" s="395">
        <f>(IF($H601="x",VLOOKUP($I601,'AUX-NIV2'!$B:$X,'AUX-NIV1'!AT$3,FALSE),0)+($AV601*'AUX-NIV3'!V$4))*$O601+IF($H601=AT$4,$P601,0)</f>
        <v>0</v>
      </c>
      <c r="AU601" s="395">
        <f>(IF($H601="x",VLOOKUP($I601,'AUX-NIV2'!$B:$X,'AUX-NIV1'!AU$3,FALSE),0)+($AV601*'AUX-NIV3'!W$4))*$O601+IF($H601=AU$4,$P601,0)</f>
        <v>0</v>
      </c>
      <c r="AV601" s="395">
        <f>+IF($H601="x",VLOOKUP($I601,'AUX-NIV2'!$B:$X,'AUX-NIV1'!AV$3,FALSE),0)</f>
        <v>0</v>
      </c>
    </row>
    <row r="602" spans="2:48" ht="13.8" hidden="1" thickBot="1">
      <c r="B602" s="501" t="s">
        <v>3725</v>
      </c>
      <c r="C602" s="951" t="s">
        <v>3726</v>
      </c>
      <c r="D602" s="1280" t="s">
        <v>1160</v>
      </c>
      <c r="E602" s="1281">
        <f>IF(B602&lt;&gt;"",+SUMIF(Items!C:C,'AUX-NIV1'!B602,Items!H:H),"")</f>
        <v>0</v>
      </c>
      <c r="F602" s="1281">
        <f t="shared" si="505"/>
        <v>14630.03570379279</v>
      </c>
      <c r="G602" s="1281">
        <f t="shared" si="506"/>
        <v>0</v>
      </c>
      <c r="H602" s="1395" t="str">
        <f t="shared" si="434"/>
        <v>X</v>
      </c>
      <c r="I602" s="1375" t="s">
        <v>3735</v>
      </c>
      <c r="J602" s="1283" t="str">
        <f>IF(B602&lt;&gt;"",+VLOOKUP(I602,Recursos!C:F,2,FALSE),"")</f>
        <v>Mortero para ladrillos</v>
      </c>
      <c r="K602" s="1284" t="str">
        <f>IF(B602&lt;&gt;"",+VLOOKUP(I602,Recursos!C:F,3,FALSE),"")</f>
        <v>m3</v>
      </c>
      <c r="L602" s="1285">
        <f>IF(B602&lt;&gt;"",+VLOOKUP(I602,Recursos!C:F,4,FALSE),"")</f>
        <v>5858.095123966943</v>
      </c>
      <c r="M602" s="1335"/>
      <c r="N602" s="1350">
        <f>2/18+2/9</f>
        <v>0.33333333333333331</v>
      </c>
      <c r="O602" s="1286">
        <f>N602/M600</f>
        <v>1.1111111111111112</v>
      </c>
      <c r="P602" s="1287">
        <f t="shared" si="435"/>
        <v>6508.9945821854926</v>
      </c>
      <c r="Q602" s="1281">
        <f t="shared" si="436"/>
        <v>0</v>
      </c>
      <c r="R602" s="1288">
        <f t="shared" si="437"/>
        <v>0</v>
      </c>
      <c r="S602" s="1289">
        <f t="shared" si="511"/>
        <v>4721.0411216072962</v>
      </c>
      <c r="T602" s="1289">
        <f t="shared" si="512"/>
        <v>0</v>
      </c>
      <c r="U602" s="1290">
        <f t="shared" si="513"/>
        <v>3400</v>
      </c>
      <c r="V602" s="1290">
        <f t="shared" si="514"/>
        <v>0</v>
      </c>
      <c r="W602" s="1290">
        <f t="shared" si="515"/>
        <v>0</v>
      </c>
      <c r="X602" s="1290">
        <f t="shared" si="516"/>
        <v>6508.9945821854926</v>
      </c>
      <c r="Y602" s="396"/>
      <c r="Z602" s="1291" t="str">
        <f t="shared" si="438"/>
        <v>0-MULAD3A</v>
      </c>
      <c r="AA602" s="1291" t="str">
        <f t="shared" si="439"/>
        <v>0-MULAD3E</v>
      </c>
      <c r="AB602" s="1291" t="str">
        <f t="shared" si="440"/>
        <v>0-MULAD3M</v>
      </c>
      <c r="AC602" s="1291" t="str">
        <f t="shared" si="441"/>
        <v>0-MULAD3T</v>
      </c>
      <c r="AD602" s="1291" t="str">
        <f t="shared" si="442"/>
        <v>0-MULAD3S</v>
      </c>
      <c r="AE602" s="1291" t="str">
        <f t="shared" si="443"/>
        <v>0-MULAD3X</v>
      </c>
      <c r="AF602" s="1291" t="str">
        <f t="shared" si="444"/>
        <v>0-MULAD3X</v>
      </c>
      <c r="AG602" s="1291">
        <f t="shared" si="524"/>
        <v>4</v>
      </c>
      <c r="AH602" s="1291">
        <f>IF(B602&lt;&gt;"",+IF(H602="x",+VLOOKUP(I602,'AUX-NIV2'!B:AG,32,FALSE),0),"")</f>
        <v>3</v>
      </c>
      <c r="AI602" s="1291" t="str">
        <f t="shared" si="445"/>
        <v>0-MULAD3</v>
      </c>
      <c r="AK602" s="347">
        <f t="shared" si="526"/>
        <v>599</v>
      </c>
      <c r="AL602" s="348">
        <f t="shared" si="446"/>
        <v>602</v>
      </c>
      <c r="AM602" s="347">
        <f t="shared" si="447"/>
        <v>4</v>
      </c>
      <c r="AN602" s="382">
        <f>IF(AND(AH602&gt;0,B602&lt;&gt;""),VLOOKUP(I602,'AUX-NIV2'!$B:$AP,40,FALSE)*O602,0)</f>
        <v>0</v>
      </c>
      <c r="AO602" s="382">
        <f t="shared" si="529"/>
        <v>10</v>
      </c>
      <c r="AQ602" s="395">
        <f>(IF($H602="x",VLOOKUP($I602,'AUX-NIV2'!$B:$X,'AUX-NIV1'!AQ$3,FALSE),0)+($AV602*'AUX-NIV3'!S$4))*$O602+IF($H602=AQ$4,$P602,0)</f>
        <v>0</v>
      </c>
      <c r="AR602" s="395">
        <f>(IF($H602="x",VLOOKUP($I602,'AUX-NIV2'!$B:$X,'AUX-NIV1'!AR$3,FALSE),0)+($AV602*'AUX-NIV3'!T$4))*$O602+IF($H602=AR$4,$P602,0)</f>
        <v>0</v>
      </c>
      <c r="AS602" s="395">
        <f>(IF($H602="x",VLOOKUP($I602,'AUX-NIV2'!$B:$X,'AUX-NIV1'!AS$3,FALSE),0)+($AV602*'AUX-NIV3'!U$4))*$O602+IF($H602=AS$4,$P602,0)</f>
        <v>6508.9945821854926</v>
      </c>
      <c r="AT602" s="395">
        <f>(IF($H602="x",VLOOKUP($I602,'AUX-NIV2'!$B:$X,'AUX-NIV1'!AT$3,FALSE),0)+($AV602*'AUX-NIV3'!V$4))*$O602+IF($H602=AT$4,$P602,0)</f>
        <v>0</v>
      </c>
      <c r="AU602" s="395">
        <f>(IF($H602="x",VLOOKUP($I602,'AUX-NIV2'!$B:$X,'AUX-NIV1'!AU$3,FALSE),0)+($AV602*'AUX-NIV3'!W$4))*$O602+IF($H602=AU$4,$P602,0)</f>
        <v>0</v>
      </c>
      <c r="AV602" s="395">
        <f>+IF($H602="x",VLOOKUP($I602,'AUX-NIV2'!$B:$X,'AUX-NIV1'!AV$3,FALSE),0)</f>
        <v>0</v>
      </c>
    </row>
    <row r="603" spans="2:48" ht="14.4" hidden="1" thickTop="1" thickBot="1">
      <c r="B603" s="501" t="s">
        <v>3727</v>
      </c>
      <c r="C603" s="951" t="s">
        <v>3728</v>
      </c>
      <c r="D603" s="1280" t="s">
        <v>477</v>
      </c>
      <c r="E603" s="1281">
        <f>IF(B603&lt;&gt;"",+SUMIF(Items!C:C,'AUX-NIV1'!B603,Items!H:H),"")</f>
        <v>0</v>
      </c>
      <c r="F603" s="1281">
        <f t="shared" si="505"/>
        <v>2217.1113175189253</v>
      </c>
      <c r="G603" s="1281">
        <f t="shared" si="506"/>
        <v>0</v>
      </c>
      <c r="H603" s="1395" t="str">
        <f t="shared" si="434"/>
        <v>M</v>
      </c>
      <c r="I603" s="1375" t="s">
        <v>3695</v>
      </c>
      <c r="J603" s="1283" t="str">
        <f>IF(B603&lt;&gt;"",+VLOOKUP(I603,Recursos!C:F,2,FALSE),"")</f>
        <v>HORMIGON ELABORADO H21 TRANSPORTADO</v>
      </c>
      <c r="K603" s="1284" t="str">
        <f>IF(B603&lt;&gt;"",+VLOOKUP(I603,Recursos!C:F,3,FALSE),"")</f>
        <v>m3</v>
      </c>
      <c r="L603" s="1285">
        <f>IF(B603&lt;&gt;"",+VLOOKUP(I603,Recursos!C:F,4,FALSE),"")</f>
        <v>4400</v>
      </c>
      <c r="M603" s="743"/>
      <c r="N603" s="1292">
        <v>1.05</v>
      </c>
      <c r="O603" s="1286">
        <f>N603*M605</f>
        <v>3.15E-2</v>
      </c>
      <c r="P603" s="1287">
        <f t="shared" ref="P603:P653" si="575">IF(B603&lt;&gt;"",O603*L603,"")</f>
        <v>138.6</v>
      </c>
      <c r="Q603" s="1281">
        <f t="shared" ref="Q603:Q653" si="576">IF(B603&lt;&gt;"",+O603*E603,"")</f>
        <v>0</v>
      </c>
      <c r="R603" s="1288">
        <f t="shared" ref="R603:R653" si="577">IF(B603&lt;&gt;"",Q603*L603,"")</f>
        <v>0</v>
      </c>
      <c r="S603" s="1289">
        <f t="shared" si="511"/>
        <v>0</v>
      </c>
      <c r="T603" s="1289">
        <f t="shared" si="512"/>
        <v>0</v>
      </c>
      <c r="U603" s="1290">
        <f t="shared" si="513"/>
        <v>738.13388429752069</v>
      </c>
      <c r="V603" s="1290">
        <f t="shared" si="514"/>
        <v>0</v>
      </c>
      <c r="W603" s="1290">
        <f t="shared" si="515"/>
        <v>0</v>
      </c>
      <c r="X603" s="1290">
        <f t="shared" si="516"/>
        <v>1478.9774332214047</v>
      </c>
      <c r="Y603" s="396"/>
      <c r="Z603" s="1291" t="str">
        <f t="shared" ref="Z603:Z653" si="578">IF(B603&lt;&gt;"",+$B603&amp;"A","")</f>
        <v>0-DINTELA</v>
      </c>
      <c r="AA603" s="1291" t="str">
        <f t="shared" ref="AA603:AA653" si="579">IF(B603&lt;&gt;"",+$B603&amp;"E","")</f>
        <v>0-DINTELE</v>
      </c>
      <c r="AB603" s="1291" t="str">
        <f t="shared" ref="AB603:AB653" si="580">IF(B603&lt;&gt;"",++$B603&amp;"M","")</f>
        <v>0-DINTELM</v>
      </c>
      <c r="AC603" s="1291" t="str">
        <f t="shared" ref="AC603:AC653" si="581">IF(B603&lt;&gt;"",+$B603&amp;"T","")</f>
        <v>0-DINTELT</v>
      </c>
      <c r="AD603" s="1291" t="str">
        <f t="shared" ref="AD603:AD653" si="582">IF(B603&lt;&gt;"",+$B603&amp;"S","")</f>
        <v>0-DINTELS</v>
      </c>
      <c r="AE603" s="1291" t="str">
        <f t="shared" ref="AE603:AE653" si="583">IF(B603&lt;&gt;"",+$B603&amp;"X","")</f>
        <v>0-DINTELX</v>
      </c>
      <c r="AF603" s="1291" t="str">
        <f t="shared" ref="AF603:AF653" si="584">IF(B603&lt;&gt;"",+B603&amp;H603,"")</f>
        <v>0-DINTELM</v>
      </c>
      <c r="AG603" s="1291">
        <f t="shared" si="524"/>
        <v>8</v>
      </c>
      <c r="AH603" s="1291">
        <f>IF(B603&lt;&gt;"",+IF(H603="x",+VLOOKUP(I603,'AUX-NIV2'!B:AG,32,FALSE),0),"")</f>
        <v>0</v>
      </c>
      <c r="AI603" s="1291" t="str">
        <f t="shared" ref="AI603:AI653" si="585">IF(B603&lt;&gt;"",+B603,"")</f>
        <v>0-DINTEL</v>
      </c>
      <c r="AK603" s="347">
        <f t="shared" si="526"/>
        <v>603</v>
      </c>
      <c r="AL603" s="348">
        <f t="shared" ref="AL603:AL653" si="586">IF(B603&lt;&gt;"",+AK603+AG603-1,"")</f>
        <v>610</v>
      </c>
      <c r="AM603" s="347">
        <f t="shared" ref="AM603:AM653" si="587">IF(B603&lt;&gt;"",IF(B603=B602,1+AM602,1),"")</f>
        <v>1</v>
      </c>
      <c r="AN603" s="382">
        <f>IF(AND(AH603&gt;0,B603&lt;&gt;""),VLOOKUP(I603,'AUX-NIV2'!$B:$AP,40,FALSE)*O603,0)</f>
        <v>0</v>
      </c>
      <c r="AO603" s="382">
        <f t="shared" si="529"/>
        <v>2.5476000000000001</v>
      </c>
      <c r="AQ603" s="395">
        <f>(IF($H603="x",VLOOKUP($I603,'AUX-NIV2'!$B:$X,'AUX-NIV1'!AQ$3,FALSE),0)+($AV603*'AUX-NIV3'!S$4))*$O603+IF($H603=AQ$4,$P603,0)</f>
        <v>0</v>
      </c>
      <c r="AR603" s="395">
        <f>(IF($H603="x",VLOOKUP($I603,'AUX-NIV2'!$B:$X,'AUX-NIV1'!AR$3,FALSE),0)+($AV603*'AUX-NIV3'!T$4))*$O603+IF($H603=AR$4,$P603,0)</f>
        <v>0</v>
      </c>
      <c r="AS603" s="395">
        <f>(IF($H603="x",VLOOKUP($I603,'AUX-NIV2'!$B:$X,'AUX-NIV1'!AS$3,FALSE),0)+($AV603*'AUX-NIV3'!U$4))*$O603+IF($H603=AS$4,$P603,0)</f>
        <v>138.6</v>
      </c>
      <c r="AT603" s="395">
        <f>(IF($H603="x",VLOOKUP($I603,'AUX-NIV2'!$B:$X,'AUX-NIV1'!AT$3,FALSE),0)+($AV603*'AUX-NIV3'!V$4))*$O603+IF($H603=AT$4,$P603,0)</f>
        <v>0</v>
      </c>
      <c r="AU603" s="395">
        <f>(IF($H603="x",VLOOKUP($I603,'AUX-NIV2'!$B:$X,'AUX-NIV1'!AU$3,FALSE),0)+($AV603*'AUX-NIV3'!W$4))*$O603+IF($H603=AU$4,$P603,0)</f>
        <v>0</v>
      </c>
      <c r="AV603" s="395">
        <f>+IF($H603="x",VLOOKUP($I603,'AUX-NIV2'!$B:$X,'AUX-NIV1'!AV$3,FALSE),0)</f>
        <v>0</v>
      </c>
    </row>
    <row r="604" spans="2:48" ht="13.8" hidden="1" thickBot="1">
      <c r="B604" s="501" t="s">
        <v>3727</v>
      </c>
      <c r="C604" s="951" t="s">
        <v>3728</v>
      </c>
      <c r="D604" s="1280" t="s">
        <v>477</v>
      </c>
      <c r="E604" s="1281">
        <f>IF(B604&lt;&gt;"",+SUMIF(Items!C:C,'AUX-NIV1'!B604,Items!H:H),"")</f>
        <v>0</v>
      </c>
      <c r="F604" s="1281">
        <f t="shared" si="505"/>
        <v>2217.1113175189253</v>
      </c>
      <c r="G604" s="1281">
        <f t="shared" si="506"/>
        <v>0</v>
      </c>
      <c r="H604" s="1395" t="str">
        <f t="shared" si="434"/>
        <v>X</v>
      </c>
      <c r="I604" s="1375" t="s">
        <v>2865</v>
      </c>
      <c r="J604" s="1283" t="str">
        <f>IF(B604&lt;&gt;"",+VLOOKUP(I604,Recursos!C:F,2,FALSE),"")</f>
        <v>Colado Hormigón desde Mixer</v>
      </c>
      <c r="K604" s="1284" t="str">
        <f>IF(B604&lt;&gt;"",+VLOOKUP(I604,Recursos!C:F,3,FALSE),"")</f>
        <v>m3</v>
      </c>
      <c r="L604" s="1285">
        <f>IF(B604&lt;&gt;"",+VLOOKUP(I604,Recursos!C:F,4,FALSE),"")</f>
        <v>1031.7487777591643</v>
      </c>
      <c r="M604" s="1336">
        <v>0</v>
      </c>
      <c r="N604" s="1343"/>
      <c r="O604" s="1286">
        <f>N603*M604*M605</f>
        <v>0</v>
      </c>
      <c r="P604" s="1287">
        <f t="shared" si="575"/>
        <v>0</v>
      </c>
      <c r="Q604" s="1281">
        <f t="shared" si="576"/>
        <v>0</v>
      </c>
      <c r="R604" s="1288">
        <f t="shared" si="577"/>
        <v>0</v>
      </c>
      <c r="S604" s="1289">
        <f t="shared" si="511"/>
        <v>0</v>
      </c>
      <c r="T604" s="1289">
        <f t="shared" si="512"/>
        <v>0</v>
      </c>
      <c r="U604" s="1290">
        <f t="shared" si="513"/>
        <v>738.13388429752069</v>
      </c>
      <c r="V604" s="1290">
        <f t="shared" si="514"/>
        <v>0</v>
      </c>
      <c r="W604" s="1290">
        <f t="shared" si="515"/>
        <v>0</v>
      </c>
      <c r="X604" s="1290">
        <f t="shared" si="516"/>
        <v>1478.9774332214047</v>
      </c>
      <c r="Y604" s="396"/>
      <c r="Z604" s="1291" t="str">
        <f t="shared" si="578"/>
        <v>0-DINTELA</v>
      </c>
      <c r="AA604" s="1291" t="str">
        <f t="shared" si="579"/>
        <v>0-DINTELE</v>
      </c>
      <c r="AB604" s="1291" t="str">
        <f t="shared" si="580"/>
        <v>0-DINTELM</v>
      </c>
      <c r="AC604" s="1291" t="str">
        <f t="shared" si="581"/>
        <v>0-DINTELT</v>
      </c>
      <c r="AD604" s="1291" t="str">
        <f t="shared" si="582"/>
        <v>0-DINTELS</v>
      </c>
      <c r="AE604" s="1291" t="str">
        <f t="shared" si="583"/>
        <v>0-DINTELX</v>
      </c>
      <c r="AF604" s="1291" t="str">
        <f t="shared" si="584"/>
        <v>0-DINTELX</v>
      </c>
      <c r="AG604" s="1291">
        <f t="shared" si="524"/>
        <v>8</v>
      </c>
      <c r="AH604" s="1291">
        <f>IF(B604&lt;&gt;"",+IF(H604="x",+VLOOKUP(I604,'AUX-NIV2'!B:AG,32,FALSE),0),"")</f>
        <v>8</v>
      </c>
      <c r="AI604" s="1291" t="str">
        <f t="shared" si="585"/>
        <v>0-DINTEL</v>
      </c>
      <c r="AK604" s="347">
        <f t="shared" si="526"/>
        <v>603</v>
      </c>
      <c r="AL604" s="348">
        <f t="shared" si="586"/>
        <v>610</v>
      </c>
      <c r="AM604" s="347">
        <f t="shared" si="587"/>
        <v>2</v>
      </c>
      <c r="AN604" s="382">
        <f>IF(AND(AH604&gt;0,B604&lt;&gt;""),VLOOKUP(I604,'AUX-NIV2'!$B:$AP,40,FALSE)*O604,0)</f>
        <v>0</v>
      </c>
      <c r="AO604" s="382">
        <f t="shared" si="529"/>
        <v>2.5476000000000001</v>
      </c>
      <c r="AQ604" s="395">
        <f>(IF($H604="x",VLOOKUP($I604,'AUX-NIV2'!$B:$X,'AUX-NIV1'!AQ$3,FALSE),0)+($AV604*'AUX-NIV3'!S$4))*$O604+IF($H604=AQ$4,$P604,0)</f>
        <v>0</v>
      </c>
      <c r="AR604" s="395">
        <f>(IF($H604="x",VLOOKUP($I604,'AUX-NIV2'!$B:$X,'AUX-NIV1'!AR$3,FALSE),0)+($AV604*'AUX-NIV3'!T$4))*$O604+IF($H604=AR$4,$P604,0)</f>
        <v>0</v>
      </c>
      <c r="AS604" s="395">
        <f>(IF($H604="x",VLOOKUP($I604,'AUX-NIV2'!$B:$X,'AUX-NIV1'!AS$3,FALSE),0)+($AV604*'AUX-NIV3'!U$4))*$O604+IF($H604=AS$4,$P604,0)</f>
        <v>0</v>
      </c>
      <c r="AT604" s="395">
        <f>(IF($H604="x",VLOOKUP($I604,'AUX-NIV2'!$B:$X,'AUX-NIV1'!AT$3,FALSE),0)+($AV604*'AUX-NIV3'!V$4))*$O604+IF($H604=AT$4,$P604,0)</f>
        <v>0</v>
      </c>
      <c r="AU604" s="395">
        <f>(IF($H604="x",VLOOKUP($I604,'AUX-NIV2'!$B:$X,'AUX-NIV1'!AU$3,FALSE),0)+($AV604*'AUX-NIV3'!W$4))*$O604+IF($H604=AU$4,$P604,0)</f>
        <v>0</v>
      </c>
      <c r="AV604" s="395">
        <f>+IF($H604="x",VLOOKUP($I604,'AUX-NIV2'!$B:$X,'AUX-NIV1'!AV$3,FALSE),0)</f>
        <v>0</v>
      </c>
    </row>
    <row r="605" spans="2:48" ht="13.8" hidden="1" thickBot="1">
      <c r="B605" s="501" t="s">
        <v>3727</v>
      </c>
      <c r="C605" s="951" t="s">
        <v>3728</v>
      </c>
      <c r="D605" s="1280" t="s">
        <v>477</v>
      </c>
      <c r="E605" s="1281">
        <f>IF(B605&lt;&gt;"",+SUMIF(Items!C:C,'AUX-NIV1'!B605,Items!H:H),"")</f>
        <v>0</v>
      </c>
      <c r="F605" s="1281">
        <f t="shared" si="505"/>
        <v>2217.1113175189253</v>
      </c>
      <c r="G605" s="1281">
        <f t="shared" si="506"/>
        <v>0</v>
      </c>
      <c r="H605" s="1395" t="str">
        <f t="shared" si="434"/>
        <v>X</v>
      </c>
      <c r="I605" s="1375" t="s">
        <v>2897</v>
      </c>
      <c r="J605" s="1283" t="str">
        <f>IF(B605&lt;&gt;"",+VLOOKUP(I605,Recursos!C:F,2,FALSE),"")</f>
        <v>Colado de hgón con bomba</v>
      </c>
      <c r="K605" s="1284" t="str">
        <f>IF(B605&lt;&gt;"",+VLOOKUP(I605,Recursos!C:F,3,FALSE),"")</f>
        <v>m3</v>
      </c>
      <c r="L605" s="1285">
        <f>IF(B605&lt;&gt;"",+VLOOKUP(I605,Recursos!C:F,4,FALSE),"")</f>
        <v>4223.8879328752682</v>
      </c>
      <c r="M605" s="1336">
        <f>0.15*0.2</f>
        <v>0.03</v>
      </c>
      <c r="N605" s="1343"/>
      <c r="O605" s="1286">
        <f>N603*(1-M604)*M605</f>
        <v>3.15E-2</v>
      </c>
      <c r="P605" s="1287">
        <f t="shared" si="575"/>
        <v>133.05246988557096</v>
      </c>
      <c r="Q605" s="1281">
        <f t="shared" si="576"/>
        <v>0</v>
      </c>
      <c r="R605" s="1288">
        <f t="shared" si="577"/>
        <v>0</v>
      </c>
      <c r="S605" s="1289">
        <f t="shared" si="511"/>
        <v>0</v>
      </c>
      <c r="T605" s="1289">
        <f t="shared" si="512"/>
        <v>0</v>
      </c>
      <c r="U605" s="1290">
        <f t="shared" si="513"/>
        <v>738.13388429752069</v>
      </c>
      <c r="V605" s="1290">
        <f t="shared" si="514"/>
        <v>0</v>
      </c>
      <c r="W605" s="1290">
        <f t="shared" si="515"/>
        <v>0</v>
      </c>
      <c r="X605" s="1290">
        <f t="shared" si="516"/>
        <v>1478.9774332214047</v>
      </c>
      <c r="Y605" s="396"/>
      <c r="Z605" s="1291" t="str">
        <f t="shared" si="578"/>
        <v>0-DINTELA</v>
      </c>
      <c r="AA605" s="1291" t="str">
        <f t="shared" si="579"/>
        <v>0-DINTELE</v>
      </c>
      <c r="AB605" s="1291" t="str">
        <f t="shared" si="580"/>
        <v>0-DINTELM</v>
      </c>
      <c r="AC605" s="1291" t="str">
        <f t="shared" si="581"/>
        <v>0-DINTELT</v>
      </c>
      <c r="AD605" s="1291" t="str">
        <f t="shared" si="582"/>
        <v>0-DINTELS</v>
      </c>
      <c r="AE605" s="1291" t="str">
        <f t="shared" si="583"/>
        <v>0-DINTELX</v>
      </c>
      <c r="AF605" s="1291" t="str">
        <f t="shared" si="584"/>
        <v>0-DINTELX</v>
      </c>
      <c r="AG605" s="1291">
        <f t="shared" si="524"/>
        <v>8</v>
      </c>
      <c r="AH605" s="1291">
        <f>IF(B605&lt;&gt;"",+IF(H605="x",+VLOOKUP(I605,'AUX-NIV2'!B:AG,32,FALSE),0),"")</f>
        <v>10</v>
      </c>
      <c r="AI605" s="1291" t="str">
        <f t="shared" si="585"/>
        <v>0-DINTEL</v>
      </c>
      <c r="AK605" s="347">
        <f t="shared" si="526"/>
        <v>603</v>
      </c>
      <c r="AL605" s="348">
        <f t="shared" si="586"/>
        <v>610</v>
      </c>
      <c r="AM605" s="347">
        <f t="shared" si="587"/>
        <v>3</v>
      </c>
      <c r="AN605" s="382">
        <f>IF(AND(AH605&gt;0,B605&lt;&gt;""),VLOOKUP(I605,'AUX-NIV2'!$B:$AP,40,FALSE)*O605,0)</f>
        <v>0.11759999999999998</v>
      </c>
      <c r="AO605" s="382">
        <f t="shared" si="529"/>
        <v>2.5476000000000001</v>
      </c>
      <c r="AQ605" s="395">
        <f>(IF($H605="x",VLOOKUP($I605,'AUX-NIV2'!$B:$X,'AUX-NIV1'!AQ$3,FALSE),0)+($AV605*'AUX-NIV3'!S$4))*$O605+IF($H605=AQ$4,$P605,0)</f>
        <v>56.806226000570945</v>
      </c>
      <c r="AR605" s="395">
        <f>(IF($H605="x",VLOOKUP($I605,'AUX-NIV2'!$B:$X,'AUX-NIV1'!AR$3,FALSE),0)+($AV605*'AUX-NIV3'!T$4))*$O605+IF($H605=AR$4,$P605,0)</f>
        <v>76.246243884999998</v>
      </c>
      <c r="AS605" s="395">
        <f>(IF($H605="x",VLOOKUP($I605,'AUX-NIV2'!$B:$X,'AUX-NIV1'!AS$3,FALSE),0)+($AV605*'AUX-NIV3'!U$4))*$O605+IF($H605=AS$4,$P605,0)</f>
        <v>0</v>
      </c>
      <c r="AT605" s="395">
        <f>(IF($H605="x",VLOOKUP($I605,'AUX-NIV2'!$B:$X,'AUX-NIV1'!AT$3,FALSE),0)+($AV605*'AUX-NIV3'!V$4))*$O605+IF($H605=AT$4,$P605,0)</f>
        <v>0</v>
      </c>
      <c r="AU605" s="395">
        <f>(IF($H605="x",VLOOKUP($I605,'AUX-NIV2'!$B:$X,'AUX-NIV1'!AU$3,FALSE),0)+($AV605*'AUX-NIV3'!W$4))*$O605+IF($H605=AU$4,$P605,0)</f>
        <v>0</v>
      </c>
      <c r="AV605" s="395">
        <f>+IF($H605="x",VLOOKUP($I605,'AUX-NIV2'!$B:$X,'AUX-NIV1'!AV$3,FALSE),0)</f>
        <v>0</v>
      </c>
    </row>
    <row r="606" spans="2:48" ht="13.8" hidden="1" thickBot="1">
      <c r="B606" s="501" t="s">
        <v>3727</v>
      </c>
      <c r="C606" s="951" t="s">
        <v>3728</v>
      </c>
      <c r="D606" s="1280" t="s">
        <v>477</v>
      </c>
      <c r="E606" s="1281">
        <f>IF(B606&lt;&gt;"",+SUMIF(Items!C:C,'AUX-NIV1'!B606,Items!H:H),"")</f>
        <v>0</v>
      </c>
      <c r="F606" s="1281">
        <f t="shared" si="505"/>
        <v>2217.1113175189253</v>
      </c>
      <c r="G606" s="1281">
        <f t="shared" si="506"/>
        <v>0</v>
      </c>
      <c r="H606" s="1395" t="str">
        <f t="shared" si="434"/>
        <v>M</v>
      </c>
      <c r="I606" s="1375" t="s">
        <v>1751</v>
      </c>
      <c r="J606" s="1283" t="str">
        <f>IF(B606&lt;&gt;"",+VLOOKUP(I606,Recursos!C:F,2,FALSE),"")</f>
        <v>ACERO TIPO ADN 420</v>
      </c>
      <c r="K606" s="1284" t="str">
        <f>IF(B606&lt;&gt;"",+VLOOKUP(I606,Recursos!C:F,3,FALSE),"")</f>
        <v>tn</v>
      </c>
      <c r="L606" s="1285">
        <f>IF(B606&lt;&gt;"",+VLOOKUP(I606,Recursos!C:F,4,FALSE),"")</f>
        <v>185041.32231404958</v>
      </c>
      <c r="M606" s="441">
        <v>1.08</v>
      </c>
      <c r="N606" s="497">
        <v>0.1</v>
      </c>
      <c r="O606" s="439">
        <f>N606*M606*M605</f>
        <v>3.2400000000000003E-3</v>
      </c>
      <c r="P606" s="1287">
        <f t="shared" si="575"/>
        <v>599.53388429752067</v>
      </c>
      <c r="Q606" s="1281">
        <f t="shared" si="576"/>
        <v>0</v>
      </c>
      <c r="R606" s="1288">
        <f t="shared" si="577"/>
        <v>0</v>
      </c>
      <c r="S606" s="1289">
        <f t="shared" si="511"/>
        <v>0</v>
      </c>
      <c r="T606" s="1289">
        <f t="shared" si="512"/>
        <v>0</v>
      </c>
      <c r="U606" s="1290">
        <f t="shared" si="513"/>
        <v>738.13388429752069</v>
      </c>
      <c r="V606" s="1290">
        <f t="shared" si="514"/>
        <v>0</v>
      </c>
      <c r="W606" s="1290">
        <f t="shared" si="515"/>
        <v>0</v>
      </c>
      <c r="X606" s="1290">
        <f t="shared" si="516"/>
        <v>1478.9774332214047</v>
      </c>
      <c r="Y606" s="396"/>
      <c r="Z606" s="1291" t="str">
        <f t="shared" si="578"/>
        <v>0-DINTELA</v>
      </c>
      <c r="AA606" s="1291" t="str">
        <f t="shared" si="579"/>
        <v>0-DINTELE</v>
      </c>
      <c r="AB606" s="1291" t="str">
        <f t="shared" si="580"/>
        <v>0-DINTELM</v>
      </c>
      <c r="AC606" s="1291" t="str">
        <f t="shared" si="581"/>
        <v>0-DINTELT</v>
      </c>
      <c r="AD606" s="1291" t="str">
        <f t="shared" si="582"/>
        <v>0-DINTELS</v>
      </c>
      <c r="AE606" s="1291" t="str">
        <f t="shared" si="583"/>
        <v>0-DINTELX</v>
      </c>
      <c r="AF606" s="1291" t="str">
        <f t="shared" si="584"/>
        <v>0-DINTELM</v>
      </c>
      <c r="AG606" s="1291">
        <f t="shared" si="524"/>
        <v>8</v>
      </c>
      <c r="AH606" s="1291">
        <f>IF(B606&lt;&gt;"",+IF(H606="x",+VLOOKUP(I606,'AUX-NIV2'!B:AG,32,FALSE),0),"")</f>
        <v>0</v>
      </c>
      <c r="AI606" s="1291" t="str">
        <f t="shared" si="585"/>
        <v>0-DINTEL</v>
      </c>
      <c r="AK606" s="347">
        <f t="shared" si="526"/>
        <v>603</v>
      </c>
      <c r="AL606" s="348">
        <f t="shared" si="586"/>
        <v>610</v>
      </c>
      <c r="AM606" s="347">
        <f t="shared" si="587"/>
        <v>4</v>
      </c>
      <c r="AN606" s="382">
        <f>IF(AND(AH606&gt;0,B606&lt;&gt;""),VLOOKUP(I606,'AUX-NIV2'!$B:$AP,40,FALSE)*O606,0)</f>
        <v>0</v>
      </c>
      <c r="AO606" s="382">
        <f t="shared" si="529"/>
        <v>2.5476000000000001</v>
      </c>
      <c r="AQ606" s="395">
        <f>(IF($H606="x",VLOOKUP($I606,'AUX-NIV2'!$B:$X,'AUX-NIV1'!AQ$3,FALSE),0)+($AV606*'AUX-NIV3'!S$4))*$O606+IF($H606=AQ$4,$P606,0)</f>
        <v>0</v>
      </c>
      <c r="AR606" s="395">
        <f>(IF($H606="x",VLOOKUP($I606,'AUX-NIV2'!$B:$X,'AUX-NIV1'!AR$3,FALSE),0)+($AV606*'AUX-NIV3'!T$4))*$O606+IF($H606=AR$4,$P606,0)</f>
        <v>0</v>
      </c>
      <c r="AS606" s="395">
        <f>(IF($H606="x",VLOOKUP($I606,'AUX-NIV2'!$B:$X,'AUX-NIV1'!AS$3,FALSE),0)+($AV606*'AUX-NIV3'!U$4))*$O606+IF($H606=AS$4,$P606,0)</f>
        <v>599.53388429752067</v>
      </c>
      <c r="AT606" s="395">
        <f>(IF($H606="x",VLOOKUP($I606,'AUX-NIV2'!$B:$X,'AUX-NIV1'!AT$3,FALSE),0)+($AV606*'AUX-NIV3'!V$4))*$O606+IF($H606=AT$4,$P606,0)</f>
        <v>0</v>
      </c>
      <c r="AU606" s="395">
        <f>(IF($H606="x",VLOOKUP($I606,'AUX-NIV2'!$B:$X,'AUX-NIV1'!AU$3,FALSE),0)+($AV606*'AUX-NIV3'!W$4))*$O606+IF($H606=AU$4,$P606,0)</f>
        <v>0</v>
      </c>
      <c r="AV606" s="395">
        <f>+IF($H606="x",VLOOKUP($I606,'AUX-NIV2'!$B:$X,'AUX-NIV1'!AV$3,FALSE),0)</f>
        <v>0</v>
      </c>
    </row>
    <row r="607" spans="2:48" ht="13.8" hidden="1" thickBot="1">
      <c r="B607" s="501" t="s">
        <v>3727</v>
      </c>
      <c r="C607" s="951" t="s">
        <v>3728</v>
      </c>
      <c r="D607" s="1280" t="s">
        <v>477</v>
      </c>
      <c r="E607" s="1281">
        <f>IF(B607&lt;&gt;"",+SUMIF(Items!C:C,'AUX-NIV1'!B607,Items!H:H),"")</f>
        <v>0</v>
      </c>
      <c r="F607" s="1281">
        <f t="shared" si="505"/>
        <v>2217.1113175189253</v>
      </c>
      <c r="G607" s="1281">
        <f t="shared" si="506"/>
        <v>0</v>
      </c>
      <c r="H607" s="1395" t="str">
        <f t="shared" si="434"/>
        <v>X</v>
      </c>
      <c r="I607" s="1375" t="s">
        <v>2883</v>
      </c>
      <c r="J607" s="1283" t="str">
        <f>IF(B607&lt;&gt;"",+VLOOKUP(I607,Recursos!C:F,2,FALSE),"")</f>
        <v>Corte y doblado de acero</v>
      </c>
      <c r="K607" s="1284" t="str">
        <f>IF(B607&lt;&gt;"",+VLOOKUP(I607,Recursos!C:F,3,FALSE),"")</f>
        <v>tn</v>
      </c>
      <c r="L607" s="1285">
        <f>IF(B607&lt;&gt;"",+VLOOKUP(I607,Recursos!C:F,4,FALSE),"")</f>
        <v>17428.113426266111</v>
      </c>
      <c r="M607" s="441">
        <v>1</v>
      </c>
      <c r="N607" s="442"/>
      <c r="O607" s="439">
        <f>N606*M607*M605</f>
        <v>3.0000000000000001E-3</v>
      </c>
      <c r="P607" s="1287">
        <f t="shared" si="575"/>
        <v>52.284340278798332</v>
      </c>
      <c r="Q607" s="1281">
        <f t="shared" si="576"/>
        <v>0</v>
      </c>
      <c r="R607" s="1288">
        <f t="shared" si="577"/>
        <v>0</v>
      </c>
      <c r="S607" s="1289">
        <f t="shared" si="511"/>
        <v>0</v>
      </c>
      <c r="T607" s="1289">
        <f t="shared" si="512"/>
        <v>0</v>
      </c>
      <c r="U607" s="1290">
        <f t="shared" si="513"/>
        <v>738.13388429752069</v>
      </c>
      <c r="V607" s="1290">
        <f t="shared" si="514"/>
        <v>0</v>
      </c>
      <c r="W607" s="1290">
        <f t="shared" si="515"/>
        <v>0</v>
      </c>
      <c r="X607" s="1290">
        <f t="shared" si="516"/>
        <v>1478.9774332214047</v>
      </c>
      <c r="Y607" s="396"/>
      <c r="Z607" s="1291" t="str">
        <f t="shared" si="578"/>
        <v>0-DINTELA</v>
      </c>
      <c r="AA607" s="1291" t="str">
        <f t="shared" si="579"/>
        <v>0-DINTELE</v>
      </c>
      <c r="AB607" s="1291" t="str">
        <f t="shared" si="580"/>
        <v>0-DINTELM</v>
      </c>
      <c r="AC607" s="1291" t="str">
        <f t="shared" si="581"/>
        <v>0-DINTELT</v>
      </c>
      <c r="AD607" s="1291" t="str">
        <f t="shared" si="582"/>
        <v>0-DINTELS</v>
      </c>
      <c r="AE607" s="1291" t="str">
        <f t="shared" si="583"/>
        <v>0-DINTELX</v>
      </c>
      <c r="AF607" s="1291" t="str">
        <f t="shared" si="584"/>
        <v>0-DINTELX</v>
      </c>
      <c r="AG607" s="1291">
        <f t="shared" si="524"/>
        <v>8</v>
      </c>
      <c r="AH607" s="1291">
        <f>IF(B607&lt;&gt;"",+IF(H607="x",+VLOOKUP(I607,'AUX-NIV2'!B:AG,32,FALSE),0),"")</f>
        <v>4</v>
      </c>
      <c r="AI607" s="1291" t="str">
        <f t="shared" si="585"/>
        <v>0-DINTEL</v>
      </c>
      <c r="AK607" s="347">
        <f t="shared" si="526"/>
        <v>603</v>
      </c>
      <c r="AL607" s="348">
        <f t="shared" si="586"/>
        <v>610</v>
      </c>
      <c r="AM607" s="347">
        <f t="shared" si="587"/>
        <v>5</v>
      </c>
      <c r="AN607" s="382">
        <f>IF(AND(AH607&gt;0,B607&lt;&gt;""),VLOOKUP(I607,'AUX-NIV2'!$B:$AP,40,FALSE)*O607,0)</f>
        <v>0.105</v>
      </c>
      <c r="AO607" s="382">
        <f t="shared" si="529"/>
        <v>2.5476000000000001</v>
      </c>
      <c r="AQ607" s="395">
        <f>(IF($H607="x",VLOOKUP($I607,'AUX-NIV2'!$B:$X,'AUX-NIV1'!AQ$3,FALSE),0)+($AV607*'AUX-NIV3'!S$4))*$O607+IF($H607=AQ$4,$P607,0)</f>
        <v>51.059642310798331</v>
      </c>
      <c r="AR607" s="395">
        <f>(IF($H607="x",VLOOKUP($I607,'AUX-NIV2'!$B:$X,'AUX-NIV1'!AR$3,FALSE),0)+($AV607*'AUX-NIV3'!T$4))*$O607+IF($H607=AR$4,$P607,0)</f>
        <v>1.2246979679999999</v>
      </c>
      <c r="AS607" s="395">
        <f>(IF($H607="x",VLOOKUP($I607,'AUX-NIV2'!$B:$X,'AUX-NIV1'!AS$3,FALSE),0)+($AV607*'AUX-NIV3'!U$4))*$O607+IF($H607=AS$4,$P607,0)</f>
        <v>0</v>
      </c>
      <c r="AT607" s="395">
        <f>(IF($H607="x",VLOOKUP($I607,'AUX-NIV2'!$B:$X,'AUX-NIV1'!AT$3,FALSE),0)+($AV607*'AUX-NIV3'!V$4))*$O607+IF($H607=AT$4,$P607,0)</f>
        <v>0</v>
      </c>
      <c r="AU607" s="395">
        <f>(IF($H607="x",VLOOKUP($I607,'AUX-NIV2'!$B:$X,'AUX-NIV1'!AU$3,FALSE),0)+($AV607*'AUX-NIV3'!W$4))*$O607+IF($H607=AU$4,$P607,0)</f>
        <v>0</v>
      </c>
      <c r="AV607" s="395">
        <f>+IF($H607="x",VLOOKUP($I607,'AUX-NIV2'!$B:$X,'AUX-NIV1'!AV$3,FALSE),0)</f>
        <v>0</v>
      </c>
    </row>
    <row r="608" spans="2:48" ht="13.8" hidden="1" thickBot="1">
      <c r="B608" s="501" t="s">
        <v>3727</v>
      </c>
      <c r="C608" s="951" t="s">
        <v>3728</v>
      </c>
      <c r="D608" s="1280" t="s">
        <v>477</v>
      </c>
      <c r="E608" s="1281">
        <f>IF(B608&lt;&gt;"",+SUMIF(Items!C:C,'AUX-NIV1'!B608,Items!H:H),"")</f>
        <v>0</v>
      </c>
      <c r="F608" s="1281">
        <f t="shared" si="505"/>
        <v>2217.1113175189253</v>
      </c>
      <c r="G608" s="1281">
        <f t="shared" si="506"/>
        <v>0</v>
      </c>
      <c r="H608" s="1395" t="str">
        <f t="shared" si="434"/>
        <v>X</v>
      </c>
      <c r="I608" s="1375" t="s">
        <v>2884</v>
      </c>
      <c r="J608" s="1283" t="str">
        <f>IF(B608&lt;&gt;"",+VLOOKUP(I608,Recursos!C:F,2,FALSE),"")</f>
        <v>Colocación de acero manual</v>
      </c>
      <c r="K608" s="1284" t="str">
        <f>IF(B608&lt;&gt;"",+VLOOKUP(I608,Recursos!C:F,3,FALSE),"")</f>
        <v>tn</v>
      </c>
      <c r="L608" s="1285">
        <f>IF(B608&lt;&gt;"",+VLOOKUP(I608,Recursos!C:F,4,FALSE),"")</f>
        <v>51380.730969341719</v>
      </c>
      <c r="M608" s="441">
        <v>1</v>
      </c>
      <c r="N608" s="442"/>
      <c r="O608" s="439">
        <f>M608*N606*M605</f>
        <v>3.0000000000000001E-3</v>
      </c>
      <c r="P608" s="1287">
        <f t="shared" si="575"/>
        <v>154.14219290802515</v>
      </c>
      <c r="Q608" s="1281">
        <f t="shared" si="576"/>
        <v>0</v>
      </c>
      <c r="R608" s="1288">
        <f t="shared" si="577"/>
        <v>0</v>
      </c>
      <c r="S608" s="1289">
        <f t="shared" si="511"/>
        <v>0</v>
      </c>
      <c r="T608" s="1289">
        <f t="shared" si="512"/>
        <v>0</v>
      </c>
      <c r="U608" s="1290">
        <f t="shared" si="513"/>
        <v>738.13388429752069</v>
      </c>
      <c r="V608" s="1290">
        <f t="shared" si="514"/>
        <v>0</v>
      </c>
      <c r="W608" s="1290">
        <f t="shared" si="515"/>
        <v>0</v>
      </c>
      <c r="X608" s="1290">
        <f t="shared" si="516"/>
        <v>1478.9774332214047</v>
      </c>
      <c r="Y608" s="396"/>
      <c r="Z608" s="1291" t="str">
        <f t="shared" si="578"/>
        <v>0-DINTELA</v>
      </c>
      <c r="AA608" s="1291" t="str">
        <f t="shared" si="579"/>
        <v>0-DINTELE</v>
      </c>
      <c r="AB608" s="1291" t="str">
        <f t="shared" si="580"/>
        <v>0-DINTELM</v>
      </c>
      <c r="AC608" s="1291" t="str">
        <f t="shared" si="581"/>
        <v>0-DINTELT</v>
      </c>
      <c r="AD608" s="1291" t="str">
        <f t="shared" si="582"/>
        <v>0-DINTELS</v>
      </c>
      <c r="AE608" s="1291" t="str">
        <f t="shared" si="583"/>
        <v>0-DINTELX</v>
      </c>
      <c r="AF608" s="1291" t="str">
        <f t="shared" si="584"/>
        <v>0-DINTELX</v>
      </c>
      <c r="AG608" s="1291">
        <f t="shared" si="524"/>
        <v>8</v>
      </c>
      <c r="AH608" s="1291">
        <f>IF(B608&lt;&gt;"",+IF(H608="x",+VLOOKUP(I608,'AUX-NIV2'!B:AG,32,FALSE),0),"")</f>
        <v>8</v>
      </c>
      <c r="AI608" s="1291" t="str">
        <f t="shared" si="585"/>
        <v>0-DINTEL</v>
      </c>
      <c r="AK608" s="347">
        <f t="shared" si="526"/>
        <v>603</v>
      </c>
      <c r="AL608" s="348">
        <f t="shared" si="586"/>
        <v>610</v>
      </c>
      <c r="AM608" s="347">
        <f t="shared" si="587"/>
        <v>6</v>
      </c>
      <c r="AN608" s="382">
        <f>IF(AND(AH608&gt;0,B608&lt;&gt;""),VLOOKUP(I608,'AUX-NIV2'!$B:$AP,40,FALSE)*O608,0)</f>
        <v>0.22500000000000001</v>
      </c>
      <c r="AO608" s="382">
        <f t="shared" si="529"/>
        <v>2.5476000000000001</v>
      </c>
      <c r="AQ608" s="395">
        <f>(IF($H608="x",VLOOKUP($I608,'AUX-NIV2'!$B:$X,'AUX-NIV1'!AQ$3,FALSE),0)+($AV608*'AUX-NIV3'!S$4))*$O608+IF($H608=AQ$4,$P608,0)</f>
        <v>110.00996150306649</v>
      </c>
      <c r="AR608" s="395">
        <f>(IF($H608="x",VLOOKUP($I608,'AUX-NIV2'!$B:$X,'AUX-NIV1'!AR$3,FALSE),0)+($AV608*'AUX-NIV3'!T$4))*$O608+IF($H608=AR$4,$P608,0)</f>
        <v>0</v>
      </c>
      <c r="AS608" s="395">
        <f>(IF($H608="x",VLOOKUP($I608,'AUX-NIV2'!$B:$X,'AUX-NIV1'!AS$3,FALSE),0)+($AV608*'AUX-NIV3'!U$4))*$O608+IF($H608=AS$4,$P608,0)</f>
        <v>44.132231404958681</v>
      </c>
      <c r="AT608" s="395">
        <f>(IF($H608="x",VLOOKUP($I608,'AUX-NIV2'!$B:$X,'AUX-NIV1'!AT$3,FALSE),0)+($AV608*'AUX-NIV3'!V$4))*$O608+IF($H608=AT$4,$P608,0)</f>
        <v>0</v>
      </c>
      <c r="AU608" s="395">
        <f>(IF($H608="x",VLOOKUP($I608,'AUX-NIV2'!$B:$X,'AUX-NIV1'!AU$3,FALSE),0)+($AV608*'AUX-NIV3'!W$4))*$O608+IF($H608=AU$4,$P608,0)</f>
        <v>0</v>
      </c>
      <c r="AV608" s="395">
        <f>+IF($H608="x",VLOOKUP($I608,'AUX-NIV2'!$B:$X,'AUX-NIV1'!AV$3,FALSE),0)</f>
        <v>0</v>
      </c>
    </row>
    <row r="609" spans="2:48" ht="13.8" hidden="1" thickBot="1">
      <c r="B609" s="501" t="s">
        <v>3727</v>
      </c>
      <c r="C609" s="951" t="s">
        <v>3728</v>
      </c>
      <c r="D609" s="1280" t="s">
        <v>477</v>
      </c>
      <c r="E609" s="1281">
        <f>IF(B609&lt;&gt;"",+SUMIF(Items!C:C,'AUX-NIV1'!B609,Items!H:H),"")</f>
        <v>0</v>
      </c>
      <c r="F609" s="1281">
        <f t="shared" si="505"/>
        <v>2217.1113175189253</v>
      </c>
      <c r="G609" s="1281">
        <f t="shared" si="506"/>
        <v>0</v>
      </c>
      <c r="H609" s="1395" t="str">
        <f t="shared" si="434"/>
        <v>X</v>
      </c>
      <c r="I609" s="1375" t="s">
        <v>2886</v>
      </c>
      <c r="J609" s="1283" t="str">
        <f>IF(B609&lt;&gt;"",+VLOOKUP(I609,Recursos!C:F,2,FALSE),"")</f>
        <v>Colocación de acero con grúa</v>
      </c>
      <c r="K609" s="1284" t="str">
        <f>IF(B609&lt;&gt;"",+VLOOKUP(I609,Recursos!C:F,3,FALSE),"")</f>
        <v>tn</v>
      </c>
      <c r="L609" s="1285">
        <f>IF(B609&lt;&gt;"",+VLOOKUP(I609,Recursos!C:F,4,FALSE),"")</f>
        <v>40888.822227420533</v>
      </c>
      <c r="M609" s="1338"/>
      <c r="N609" s="1339"/>
      <c r="O609" s="439">
        <f>(1-M608)*N606*M605</f>
        <v>0</v>
      </c>
      <c r="P609" s="1287">
        <f t="shared" si="575"/>
        <v>0</v>
      </c>
      <c r="Q609" s="1281">
        <f t="shared" si="576"/>
        <v>0</v>
      </c>
      <c r="R609" s="1288">
        <f t="shared" si="577"/>
        <v>0</v>
      </c>
      <c r="S609" s="1289">
        <f t="shared" si="511"/>
        <v>0</v>
      </c>
      <c r="T609" s="1289">
        <f t="shared" si="512"/>
        <v>0</v>
      </c>
      <c r="U609" s="1290">
        <f t="shared" si="513"/>
        <v>738.13388429752069</v>
      </c>
      <c r="V609" s="1290">
        <f t="shared" si="514"/>
        <v>0</v>
      </c>
      <c r="W609" s="1290">
        <f t="shared" si="515"/>
        <v>0</v>
      </c>
      <c r="X609" s="1290">
        <f t="shared" si="516"/>
        <v>1478.9774332214047</v>
      </c>
      <c r="Y609" s="396"/>
      <c r="Z609" s="1291" t="str">
        <f t="shared" si="578"/>
        <v>0-DINTELA</v>
      </c>
      <c r="AA609" s="1291" t="str">
        <f t="shared" si="579"/>
        <v>0-DINTELE</v>
      </c>
      <c r="AB609" s="1291" t="str">
        <f t="shared" si="580"/>
        <v>0-DINTELM</v>
      </c>
      <c r="AC609" s="1291" t="str">
        <f t="shared" si="581"/>
        <v>0-DINTELT</v>
      </c>
      <c r="AD609" s="1291" t="str">
        <f t="shared" si="582"/>
        <v>0-DINTELS</v>
      </c>
      <c r="AE609" s="1291" t="str">
        <f t="shared" si="583"/>
        <v>0-DINTELX</v>
      </c>
      <c r="AF609" s="1291" t="str">
        <f t="shared" si="584"/>
        <v>0-DINTELX</v>
      </c>
      <c r="AG609" s="1291">
        <f t="shared" si="524"/>
        <v>8</v>
      </c>
      <c r="AH609" s="1291">
        <f>IF(B609&lt;&gt;"",+IF(H609="x",+VLOOKUP(I609,'AUX-NIV2'!B:AG,32,FALSE),0),"")</f>
        <v>8</v>
      </c>
      <c r="AI609" s="1291" t="str">
        <f t="shared" si="585"/>
        <v>0-DINTEL</v>
      </c>
      <c r="AK609" s="347">
        <f t="shared" si="526"/>
        <v>603</v>
      </c>
      <c r="AL609" s="348">
        <f t="shared" si="586"/>
        <v>610</v>
      </c>
      <c r="AM609" s="347">
        <f t="shared" si="587"/>
        <v>7</v>
      </c>
      <c r="AN609" s="382">
        <f>IF(AND(AH609&gt;0,B609&lt;&gt;""),VLOOKUP(I609,'AUX-NIV2'!$B:$AP,40,FALSE)*O609,0)</f>
        <v>0</v>
      </c>
      <c r="AO609" s="382">
        <f t="shared" si="529"/>
        <v>2.5476000000000001</v>
      </c>
      <c r="AQ609" s="395">
        <f>(IF($H609="x",VLOOKUP($I609,'AUX-NIV2'!$B:$X,'AUX-NIV1'!AQ$3,FALSE),0)+($AV609*'AUX-NIV3'!S$4))*$O609+IF($H609=AQ$4,$P609,0)</f>
        <v>0</v>
      </c>
      <c r="AR609" s="395">
        <f>(IF($H609="x",VLOOKUP($I609,'AUX-NIV2'!$B:$X,'AUX-NIV1'!AR$3,FALSE),0)+($AV609*'AUX-NIV3'!T$4))*$O609+IF($H609=AR$4,$P609,0)</f>
        <v>0</v>
      </c>
      <c r="AS609" s="395">
        <f>(IF($H609="x",VLOOKUP($I609,'AUX-NIV2'!$B:$X,'AUX-NIV1'!AS$3,FALSE),0)+($AV609*'AUX-NIV3'!U$4))*$O609+IF($H609=AS$4,$P609,0)</f>
        <v>0</v>
      </c>
      <c r="AT609" s="395">
        <f>(IF($H609="x",VLOOKUP($I609,'AUX-NIV2'!$B:$X,'AUX-NIV1'!AT$3,FALSE),0)+($AV609*'AUX-NIV3'!V$4))*$O609+IF($H609=AT$4,$P609,0)</f>
        <v>0</v>
      </c>
      <c r="AU609" s="395">
        <f>(IF($H609="x",VLOOKUP($I609,'AUX-NIV2'!$B:$X,'AUX-NIV1'!AU$3,FALSE),0)+($AV609*'AUX-NIV3'!W$4))*$O609+IF($H609=AU$4,$P609,0)</f>
        <v>0</v>
      </c>
      <c r="AV609" s="395">
        <f>+IF($H609="x",VLOOKUP($I609,'AUX-NIV2'!$B:$X,'AUX-NIV1'!AV$3,FALSE),0)</f>
        <v>0</v>
      </c>
    </row>
    <row r="610" spans="2:48" ht="13.8" hidden="1" thickBot="1">
      <c r="B610" s="501" t="s">
        <v>3727</v>
      </c>
      <c r="C610" s="951" t="s">
        <v>3728</v>
      </c>
      <c r="D610" s="1280" t="s">
        <v>477</v>
      </c>
      <c r="E610" s="1281">
        <f>IF(B610&lt;&gt;"",+SUMIF(Items!C:C,'AUX-NIV1'!B610,Items!H:H),"")</f>
        <v>0</v>
      </c>
      <c r="F610" s="1281">
        <f t="shared" si="505"/>
        <v>2217.1113175189253</v>
      </c>
      <c r="G610" s="1281">
        <f t="shared" si="506"/>
        <v>0</v>
      </c>
      <c r="H610" s="1395" t="str">
        <f t="shared" si="434"/>
        <v>X</v>
      </c>
      <c r="I610" s="1375" t="s">
        <v>2871</v>
      </c>
      <c r="J610" s="1283" t="str">
        <f>IF(B610&lt;&gt;"",+VLOOKUP(I610,Recursos!C:F,2,FALSE),"")</f>
        <v>Encofrado para obras menores</v>
      </c>
      <c r="K610" s="1284" t="str">
        <f>IF(B610&lt;&gt;"",+VLOOKUP(I610,Recursos!C:F,3,FALSE),"")</f>
        <v>m2</v>
      </c>
      <c r="L610" s="1285">
        <f>IF(B610&lt;&gt;"",+VLOOKUP(I610,Recursos!C:F,4,FALSE),"")</f>
        <v>3798.3281004967002</v>
      </c>
      <c r="M610" s="1341"/>
      <c r="N610" s="1340">
        <f>2/0.2</f>
        <v>10</v>
      </c>
      <c r="O610" s="1286">
        <f>N610*M605</f>
        <v>0.3</v>
      </c>
      <c r="P610" s="1287">
        <f t="shared" si="575"/>
        <v>1139.4984301490101</v>
      </c>
      <c r="Q610" s="1281">
        <f t="shared" si="576"/>
        <v>0</v>
      </c>
      <c r="R610" s="1288">
        <f t="shared" si="577"/>
        <v>0</v>
      </c>
      <c r="S610" s="1289">
        <f t="shared" si="511"/>
        <v>0</v>
      </c>
      <c r="T610" s="1289">
        <f t="shared" si="512"/>
        <v>0</v>
      </c>
      <c r="U610" s="1290">
        <f t="shared" si="513"/>
        <v>738.13388429752069</v>
      </c>
      <c r="V610" s="1290">
        <f t="shared" si="514"/>
        <v>0</v>
      </c>
      <c r="W610" s="1290">
        <f t="shared" si="515"/>
        <v>0</v>
      </c>
      <c r="X610" s="1290">
        <f t="shared" si="516"/>
        <v>1478.9774332214047</v>
      </c>
      <c r="Y610" s="396"/>
      <c r="Z610" s="1291" t="str">
        <f t="shared" si="578"/>
        <v>0-DINTELA</v>
      </c>
      <c r="AA610" s="1291" t="str">
        <f t="shared" si="579"/>
        <v>0-DINTELE</v>
      </c>
      <c r="AB610" s="1291" t="str">
        <f t="shared" si="580"/>
        <v>0-DINTELM</v>
      </c>
      <c r="AC610" s="1291" t="str">
        <f t="shared" si="581"/>
        <v>0-DINTELT</v>
      </c>
      <c r="AD610" s="1291" t="str">
        <f t="shared" si="582"/>
        <v>0-DINTELS</v>
      </c>
      <c r="AE610" s="1291" t="str">
        <f t="shared" si="583"/>
        <v>0-DINTELX</v>
      </c>
      <c r="AF610" s="1291" t="str">
        <f t="shared" si="584"/>
        <v>0-DINTELX</v>
      </c>
      <c r="AG610" s="1291">
        <f t="shared" si="524"/>
        <v>8</v>
      </c>
      <c r="AH610" s="1291">
        <f>IF(B610&lt;&gt;"",+IF(H610="x",+VLOOKUP(I610,'AUX-NIV2'!B:AG,32,FALSE),0),"")</f>
        <v>13</v>
      </c>
      <c r="AI610" s="1291" t="str">
        <f t="shared" si="585"/>
        <v>0-DINTEL</v>
      </c>
      <c r="AK610" s="347">
        <f t="shared" si="526"/>
        <v>603</v>
      </c>
      <c r="AL610" s="348">
        <f t="shared" si="586"/>
        <v>610</v>
      </c>
      <c r="AM610" s="347">
        <f t="shared" si="587"/>
        <v>8</v>
      </c>
      <c r="AN610" s="382">
        <f>IF(AND(AH610&gt;0,B610&lt;&gt;""),VLOOKUP(I610,'AUX-NIV2'!$B:$AP,40,FALSE)*O610,0)</f>
        <v>2.1</v>
      </c>
      <c r="AO610" s="382">
        <f t="shared" si="529"/>
        <v>2.5476000000000001</v>
      </c>
      <c r="AQ610" s="395">
        <f>(IF($H610="x",VLOOKUP($I610,'AUX-NIV2'!$B:$X,'AUX-NIV1'!AQ$3,FALSE),0)+($AV610*'AUX-NIV3'!S$4))*$O610+IF($H610=AQ$4,$P610,0)</f>
        <v>1001.4167499555138</v>
      </c>
      <c r="AR610" s="395">
        <f>(IF($H610="x",VLOOKUP($I610,'AUX-NIV2'!$B:$X,'AUX-NIV1'!AR$3,FALSE),0)+($AV610*'AUX-NIV3'!T$4))*$O610+IF($H610=AR$4,$P610,0)</f>
        <v>0</v>
      </c>
      <c r="AS610" s="395">
        <f>(IF($H610="x",VLOOKUP($I610,'AUX-NIV2'!$B:$X,'AUX-NIV1'!AS$3,FALSE),0)+($AV610*'AUX-NIV3'!U$4))*$O610+IF($H610=AS$4,$P610,0)</f>
        <v>138.08168019349637</v>
      </c>
      <c r="AT610" s="395">
        <f>(IF($H610="x",VLOOKUP($I610,'AUX-NIV2'!$B:$X,'AUX-NIV1'!AT$3,FALSE),0)+($AV610*'AUX-NIV3'!V$4))*$O610+IF($H610=AT$4,$P610,0)</f>
        <v>0</v>
      </c>
      <c r="AU610" s="395">
        <f>(IF($H610="x",VLOOKUP($I610,'AUX-NIV2'!$B:$X,'AUX-NIV1'!AU$3,FALSE),0)+($AV610*'AUX-NIV3'!W$4))*$O610+IF($H610=AU$4,$P610,0)</f>
        <v>0</v>
      </c>
      <c r="AV610" s="395">
        <f>+IF($H610="x",VLOOKUP($I610,'AUX-NIV2'!$B:$X,'AUX-NIV1'!AV$3,FALSE),0)</f>
        <v>0</v>
      </c>
    </row>
    <row r="611" spans="2:48" ht="14.4" hidden="1" thickTop="1" thickBot="1">
      <c r="B611" s="501" t="s">
        <v>3730</v>
      </c>
      <c r="C611" s="951" t="s">
        <v>3733</v>
      </c>
      <c r="D611" s="1280" t="s">
        <v>501</v>
      </c>
      <c r="E611" s="1281">
        <f>IF(B611&lt;&gt;"",+SUMIF(Items!C:C,'AUX-NIV1'!B611,Items!H:H),"")</f>
        <v>0</v>
      </c>
      <c r="F611" s="1281">
        <f t="shared" si="505"/>
        <v>174.35407002712492</v>
      </c>
      <c r="G611" s="1281">
        <f t="shared" si="506"/>
        <v>0</v>
      </c>
      <c r="H611" s="1395" t="str">
        <f t="shared" si="434"/>
        <v>X</v>
      </c>
      <c r="I611" s="1375" t="s">
        <v>3736</v>
      </c>
      <c r="J611" s="1283" t="str">
        <f>IF(B611&lt;&gt;"",+VLOOKUP(I611,Recursos!C:F,2,FALSE),"")</f>
        <v>Mortero hidrofugo</v>
      </c>
      <c r="K611" s="1284" t="str">
        <f>IF(B611&lt;&gt;"",+VLOOKUP(I611,Recursos!C:F,3,FALSE),"")</f>
        <v>m3</v>
      </c>
      <c r="L611" s="1285">
        <f>IF(B611&lt;&gt;"",+VLOOKUP(I611,Recursos!C:F,4,FALSE),"")</f>
        <v>5494.2954545454559</v>
      </c>
      <c r="M611" s="743"/>
      <c r="N611" s="1292">
        <f>1.5/100</f>
        <v>1.4999999999999999E-2</v>
      </c>
      <c r="O611" s="1286">
        <f>N611</f>
        <v>1.4999999999999999E-2</v>
      </c>
      <c r="P611" s="1287">
        <f t="shared" si="575"/>
        <v>82.414431818181839</v>
      </c>
      <c r="Q611" s="1281">
        <f t="shared" si="576"/>
        <v>0</v>
      </c>
      <c r="R611" s="1288">
        <f t="shared" si="577"/>
        <v>0</v>
      </c>
      <c r="S611" s="1289">
        <f t="shared" si="511"/>
        <v>91.939638208943066</v>
      </c>
      <c r="T611" s="1289">
        <f t="shared" si="512"/>
        <v>0</v>
      </c>
      <c r="U611" s="1290">
        <f t="shared" si="513"/>
        <v>0</v>
      </c>
      <c r="V611" s="1290">
        <f t="shared" si="514"/>
        <v>0</v>
      </c>
      <c r="W611" s="1290">
        <f t="shared" si="515"/>
        <v>0</v>
      </c>
      <c r="X611" s="1290">
        <f t="shared" si="516"/>
        <v>82.414431818181839</v>
      </c>
      <c r="Y611" s="396"/>
      <c r="Z611" s="1291" t="str">
        <f t="shared" si="578"/>
        <v>0-CAPAIS1A</v>
      </c>
      <c r="AA611" s="1291" t="str">
        <f t="shared" si="579"/>
        <v>0-CAPAIS1E</v>
      </c>
      <c r="AB611" s="1291" t="str">
        <f t="shared" si="580"/>
        <v>0-CAPAIS1M</v>
      </c>
      <c r="AC611" s="1291" t="str">
        <f t="shared" si="581"/>
        <v>0-CAPAIS1T</v>
      </c>
      <c r="AD611" s="1291" t="str">
        <f t="shared" si="582"/>
        <v>0-CAPAIS1S</v>
      </c>
      <c r="AE611" s="1291" t="str">
        <f t="shared" si="583"/>
        <v>0-CAPAIS1X</v>
      </c>
      <c r="AF611" s="1291" t="str">
        <f t="shared" si="584"/>
        <v>0-CAPAIS1X</v>
      </c>
      <c r="AG611" s="1291">
        <f t="shared" si="524"/>
        <v>3</v>
      </c>
      <c r="AH611" s="1291">
        <f>IF(B611&lt;&gt;"",+IF(H611="x",+VLOOKUP(I611,'AUX-NIV2'!B:AG,32,FALSE),0),"")</f>
        <v>3</v>
      </c>
      <c r="AI611" s="1291" t="str">
        <f t="shared" si="585"/>
        <v>0-CAPAIS1</v>
      </c>
      <c r="AK611" s="347">
        <f t="shared" si="526"/>
        <v>611</v>
      </c>
      <c r="AL611" s="348">
        <f t="shared" si="586"/>
        <v>613</v>
      </c>
      <c r="AM611" s="347">
        <f t="shared" si="587"/>
        <v>1</v>
      </c>
      <c r="AN611" s="382">
        <f>IF(AND(AH611&gt;0,B611&lt;&gt;""),VLOOKUP(I611,'AUX-NIV2'!$B:$AP,40,FALSE)*O611,0)</f>
        <v>0</v>
      </c>
      <c r="AO611" s="382">
        <f t="shared" si="529"/>
        <v>0.2</v>
      </c>
      <c r="AQ611" s="395">
        <f>(IF($H611="x",VLOOKUP($I611,'AUX-NIV2'!$B:$X,'AUX-NIV1'!AQ$3,FALSE),0)+($AV611*'AUX-NIV3'!S$4))*$O611+IF($H611=AQ$4,$P611,0)</f>
        <v>0</v>
      </c>
      <c r="AR611" s="395">
        <f>(IF($H611="x",VLOOKUP($I611,'AUX-NIV2'!$B:$X,'AUX-NIV1'!AR$3,FALSE),0)+($AV611*'AUX-NIV3'!T$4))*$O611+IF($H611=AR$4,$P611,0)</f>
        <v>0</v>
      </c>
      <c r="AS611" s="395">
        <f>(IF($H611="x",VLOOKUP($I611,'AUX-NIV2'!$B:$X,'AUX-NIV1'!AS$3,FALSE),0)+($AV611*'AUX-NIV3'!U$4))*$O611+IF($H611=AS$4,$P611,0)</f>
        <v>82.414431818181839</v>
      </c>
      <c r="AT611" s="395">
        <f>(IF($H611="x",VLOOKUP($I611,'AUX-NIV2'!$B:$X,'AUX-NIV1'!AT$3,FALSE),0)+($AV611*'AUX-NIV3'!V$4))*$O611+IF($H611=AT$4,$P611,0)</f>
        <v>0</v>
      </c>
      <c r="AU611" s="395">
        <f>(IF($H611="x",VLOOKUP($I611,'AUX-NIV2'!$B:$X,'AUX-NIV1'!AU$3,FALSE),0)+($AV611*'AUX-NIV3'!W$4))*$O611+IF($H611=AU$4,$P611,0)</f>
        <v>0</v>
      </c>
      <c r="AV611" s="395">
        <f>+IF($H611="x",VLOOKUP($I611,'AUX-NIV2'!$B:$X,'AUX-NIV1'!AV$3,FALSE),0)</f>
        <v>0</v>
      </c>
    </row>
    <row r="612" spans="2:48" ht="13.8" hidden="1" thickBot="1">
      <c r="B612" s="501" t="s">
        <v>3730</v>
      </c>
      <c r="C612" s="951" t="s">
        <v>3733</v>
      </c>
      <c r="D612" s="1280" t="s">
        <v>501</v>
      </c>
      <c r="E612" s="1281">
        <f>IF(B612&lt;&gt;"",+SUMIF(Items!C:C,'AUX-NIV1'!B612,Items!H:H),"")</f>
        <v>0</v>
      </c>
      <c r="F612" s="1281">
        <f t="shared" si="505"/>
        <v>174.35407002712492</v>
      </c>
      <c r="G612" s="1281">
        <f t="shared" si="506"/>
        <v>0</v>
      </c>
      <c r="H612" s="1395" t="str">
        <f t="shared" si="434"/>
        <v>A</v>
      </c>
      <c r="I612" s="1375" t="s">
        <v>1746</v>
      </c>
      <c r="J612" s="1283" t="str">
        <f>IF(B612&lt;&gt;"",+VLOOKUP(I612,Recursos!C:F,2,FALSE),"")</f>
        <v>OFICIAL</v>
      </c>
      <c r="K612" s="1284" t="str">
        <f>IF(B612&lt;&gt;"",+VLOOKUP(I612,Recursos!C:F,3,FALSE),"")</f>
        <v>hh</v>
      </c>
      <c r="L612" s="1285">
        <f>IF(B612&lt;&gt;"",+VLOOKUP(I612,Recursos!C:F,4,FALSE),"")</f>
        <v>496.91595439275824</v>
      </c>
      <c r="M612" s="1351"/>
      <c r="N612" s="1329">
        <v>10</v>
      </c>
      <c r="O612" s="1286">
        <f>1/N612</f>
        <v>0.1</v>
      </c>
      <c r="P612" s="1287">
        <f t="shared" si="575"/>
        <v>49.691595439275829</v>
      </c>
      <c r="Q612" s="1281">
        <f t="shared" si="576"/>
        <v>0</v>
      </c>
      <c r="R612" s="1288">
        <f t="shared" si="577"/>
        <v>0</v>
      </c>
      <c r="S612" s="1289">
        <f t="shared" si="511"/>
        <v>91.939638208943066</v>
      </c>
      <c r="T612" s="1289">
        <f t="shared" si="512"/>
        <v>0</v>
      </c>
      <c r="U612" s="1290">
        <f t="shared" si="513"/>
        <v>0</v>
      </c>
      <c r="V612" s="1290">
        <f t="shared" si="514"/>
        <v>0</v>
      </c>
      <c r="W612" s="1290">
        <f t="shared" si="515"/>
        <v>0</v>
      </c>
      <c r="X612" s="1290">
        <f t="shared" si="516"/>
        <v>82.414431818181839</v>
      </c>
      <c r="Y612" s="396"/>
      <c r="Z612" s="1291" t="str">
        <f t="shared" si="578"/>
        <v>0-CAPAIS1A</v>
      </c>
      <c r="AA612" s="1291" t="str">
        <f t="shared" si="579"/>
        <v>0-CAPAIS1E</v>
      </c>
      <c r="AB612" s="1291" t="str">
        <f t="shared" si="580"/>
        <v>0-CAPAIS1M</v>
      </c>
      <c r="AC612" s="1291" t="str">
        <f t="shared" si="581"/>
        <v>0-CAPAIS1T</v>
      </c>
      <c r="AD612" s="1291" t="str">
        <f t="shared" si="582"/>
        <v>0-CAPAIS1S</v>
      </c>
      <c r="AE612" s="1291" t="str">
        <f t="shared" si="583"/>
        <v>0-CAPAIS1X</v>
      </c>
      <c r="AF612" s="1291" t="str">
        <f t="shared" si="584"/>
        <v>0-CAPAIS1A</v>
      </c>
      <c r="AG612" s="1291">
        <f t="shared" si="524"/>
        <v>3</v>
      </c>
      <c r="AH612" s="1291">
        <f>IF(B612&lt;&gt;"",+IF(H612="x",+VLOOKUP(I612,'AUX-NIV2'!B:AG,32,FALSE),0),"")</f>
        <v>0</v>
      </c>
      <c r="AI612" s="1291" t="str">
        <f t="shared" si="585"/>
        <v>0-CAPAIS1</v>
      </c>
      <c r="AK612" s="347">
        <f t="shared" si="526"/>
        <v>611</v>
      </c>
      <c r="AL612" s="348">
        <f t="shared" si="586"/>
        <v>613</v>
      </c>
      <c r="AM612" s="347">
        <f t="shared" si="587"/>
        <v>2</v>
      </c>
      <c r="AN612" s="382">
        <f>IF(AND(AH612&gt;0,B612&lt;&gt;""),VLOOKUP(I612,'AUX-NIV2'!$B:$AP,40,FALSE)*O612,0)</f>
        <v>0</v>
      </c>
      <c r="AO612" s="382">
        <f t="shared" si="529"/>
        <v>0.2</v>
      </c>
      <c r="AQ612" s="395">
        <f>(IF($H612="x",VLOOKUP($I612,'AUX-NIV2'!$B:$X,'AUX-NIV1'!AQ$3,FALSE),0)+($AV612*'AUX-NIV3'!S$4))*$O612+IF($H612=AQ$4,$P612,0)</f>
        <v>49.691595439275829</v>
      </c>
      <c r="AR612" s="395">
        <f>(IF($H612="x",VLOOKUP($I612,'AUX-NIV2'!$B:$X,'AUX-NIV1'!AR$3,FALSE),0)+($AV612*'AUX-NIV3'!T$4))*$O612+IF($H612=AR$4,$P612,0)</f>
        <v>0</v>
      </c>
      <c r="AS612" s="395">
        <f>(IF($H612="x",VLOOKUP($I612,'AUX-NIV2'!$B:$X,'AUX-NIV1'!AS$3,FALSE),0)+($AV612*'AUX-NIV3'!U$4))*$O612+IF($H612=AS$4,$P612,0)</f>
        <v>0</v>
      </c>
      <c r="AT612" s="395">
        <f>(IF($H612="x",VLOOKUP($I612,'AUX-NIV2'!$B:$X,'AUX-NIV1'!AT$3,FALSE),0)+($AV612*'AUX-NIV3'!V$4))*$O612+IF($H612=AT$4,$P612,0)</f>
        <v>0</v>
      </c>
      <c r="AU612" s="395">
        <f>(IF($H612="x",VLOOKUP($I612,'AUX-NIV2'!$B:$X,'AUX-NIV1'!AU$3,FALSE),0)+($AV612*'AUX-NIV3'!W$4))*$O612+IF($H612=AU$4,$P612,0)</f>
        <v>0</v>
      </c>
      <c r="AV612" s="395">
        <f>+IF($H612="x",VLOOKUP($I612,'AUX-NIV2'!$B:$X,'AUX-NIV1'!AV$3,FALSE),0)</f>
        <v>0</v>
      </c>
    </row>
    <row r="613" spans="2:48" ht="13.8" hidden="1" thickBot="1">
      <c r="B613" s="501" t="s">
        <v>3730</v>
      </c>
      <c r="C613" s="951" t="s">
        <v>3733</v>
      </c>
      <c r="D613" s="1280" t="s">
        <v>501</v>
      </c>
      <c r="E613" s="1281">
        <f>IF(B613&lt;&gt;"",+SUMIF(Items!C:C,'AUX-NIV1'!B613,Items!H:H),"")</f>
        <v>0</v>
      </c>
      <c r="F613" s="1281">
        <f t="shared" si="505"/>
        <v>174.35407002712492</v>
      </c>
      <c r="G613" s="1281">
        <f t="shared" si="506"/>
        <v>0</v>
      </c>
      <c r="H613" s="1395" t="str">
        <f t="shared" si="434"/>
        <v>A</v>
      </c>
      <c r="I613" s="1375" t="s">
        <v>1745</v>
      </c>
      <c r="J613" s="1283" t="str">
        <f>IF(B613&lt;&gt;"",+VLOOKUP(I613,Recursos!C:F,2,FALSE),"")</f>
        <v>AYUDANTE</v>
      </c>
      <c r="K613" s="1284" t="str">
        <f>IF(B613&lt;&gt;"",+VLOOKUP(I613,Recursos!C:F,3,FALSE),"")</f>
        <v>hh</v>
      </c>
      <c r="L613" s="1285">
        <f>IF(B613&lt;&gt;"",+VLOOKUP(I613,Recursos!C:F,4,FALSE),"")</f>
        <v>422.48042769667234</v>
      </c>
      <c r="M613" s="1335"/>
      <c r="N613" s="1360"/>
      <c r="O613" s="1286">
        <f>1/N612</f>
        <v>0.1</v>
      </c>
      <c r="P613" s="1287">
        <f t="shared" si="575"/>
        <v>42.248042769667236</v>
      </c>
      <c r="Q613" s="1281">
        <f t="shared" si="576"/>
        <v>0</v>
      </c>
      <c r="R613" s="1288">
        <f t="shared" si="577"/>
        <v>0</v>
      </c>
      <c r="S613" s="1289">
        <f t="shared" si="511"/>
        <v>91.939638208943066</v>
      </c>
      <c r="T613" s="1289">
        <f t="shared" si="512"/>
        <v>0</v>
      </c>
      <c r="U613" s="1290">
        <f t="shared" si="513"/>
        <v>0</v>
      </c>
      <c r="V613" s="1290">
        <f t="shared" si="514"/>
        <v>0</v>
      </c>
      <c r="W613" s="1290">
        <f t="shared" si="515"/>
        <v>0</v>
      </c>
      <c r="X613" s="1290">
        <f t="shared" si="516"/>
        <v>82.414431818181839</v>
      </c>
      <c r="Y613" s="396"/>
      <c r="Z613" s="1291" t="str">
        <f t="shared" si="578"/>
        <v>0-CAPAIS1A</v>
      </c>
      <c r="AA613" s="1291" t="str">
        <f t="shared" si="579"/>
        <v>0-CAPAIS1E</v>
      </c>
      <c r="AB613" s="1291" t="str">
        <f t="shared" si="580"/>
        <v>0-CAPAIS1M</v>
      </c>
      <c r="AC613" s="1291" t="str">
        <f t="shared" si="581"/>
        <v>0-CAPAIS1T</v>
      </c>
      <c r="AD613" s="1291" t="str">
        <f t="shared" si="582"/>
        <v>0-CAPAIS1S</v>
      </c>
      <c r="AE613" s="1291" t="str">
        <f t="shared" si="583"/>
        <v>0-CAPAIS1X</v>
      </c>
      <c r="AF613" s="1291" t="str">
        <f t="shared" si="584"/>
        <v>0-CAPAIS1A</v>
      </c>
      <c r="AG613" s="1291">
        <f t="shared" si="524"/>
        <v>3</v>
      </c>
      <c r="AH613" s="1291">
        <f>IF(B613&lt;&gt;"",+IF(H613="x",+VLOOKUP(I613,'AUX-NIV2'!B:AG,32,FALSE),0),"")</f>
        <v>0</v>
      </c>
      <c r="AI613" s="1291" t="str">
        <f t="shared" si="585"/>
        <v>0-CAPAIS1</v>
      </c>
      <c r="AK613" s="347">
        <f t="shared" si="526"/>
        <v>611</v>
      </c>
      <c r="AL613" s="348">
        <f t="shared" si="586"/>
        <v>613</v>
      </c>
      <c r="AM613" s="347">
        <f t="shared" si="587"/>
        <v>3</v>
      </c>
      <c r="AN613" s="382">
        <f>IF(AND(AH613&gt;0,B613&lt;&gt;""),VLOOKUP(I613,'AUX-NIV2'!$B:$AP,40,FALSE)*O613,0)</f>
        <v>0</v>
      </c>
      <c r="AO613" s="382">
        <f t="shared" si="529"/>
        <v>0.2</v>
      </c>
      <c r="AQ613" s="395">
        <f>(IF($H613="x",VLOOKUP($I613,'AUX-NIV2'!$B:$X,'AUX-NIV1'!AQ$3,FALSE),0)+($AV613*'AUX-NIV3'!S$4))*$O613+IF($H613=AQ$4,$P613,0)</f>
        <v>42.248042769667236</v>
      </c>
      <c r="AR613" s="395">
        <f>(IF($H613="x",VLOOKUP($I613,'AUX-NIV2'!$B:$X,'AUX-NIV1'!AR$3,FALSE),0)+($AV613*'AUX-NIV3'!T$4))*$O613+IF($H613=AR$4,$P613,0)</f>
        <v>0</v>
      </c>
      <c r="AS613" s="395">
        <f>(IF($H613="x",VLOOKUP($I613,'AUX-NIV2'!$B:$X,'AUX-NIV1'!AS$3,FALSE),0)+($AV613*'AUX-NIV3'!U$4))*$O613+IF($H613=AS$4,$P613,0)</f>
        <v>0</v>
      </c>
      <c r="AT613" s="395">
        <f>(IF($H613="x",VLOOKUP($I613,'AUX-NIV2'!$B:$X,'AUX-NIV1'!AT$3,FALSE),0)+($AV613*'AUX-NIV3'!V$4))*$O613+IF($H613=AT$4,$P613,0)</f>
        <v>0</v>
      </c>
      <c r="AU613" s="395">
        <f>(IF($H613="x",VLOOKUP($I613,'AUX-NIV2'!$B:$X,'AUX-NIV1'!AU$3,FALSE),0)+($AV613*'AUX-NIV3'!W$4))*$O613+IF($H613=AU$4,$P613,0)</f>
        <v>0</v>
      </c>
      <c r="AV613" s="395">
        <f>+IF($H613="x",VLOOKUP($I613,'AUX-NIV2'!$B:$X,'AUX-NIV1'!AV$3,FALSE),0)</f>
        <v>0</v>
      </c>
    </row>
    <row r="614" spans="2:48" ht="14.4" hidden="1" thickTop="1" thickBot="1">
      <c r="B614" s="501" t="s">
        <v>3731</v>
      </c>
      <c r="C614" s="951" t="s">
        <v>3741</v>
      </c>
      <c r="D614" s="1280" t="s">
        <v>501</v>
      </c>
      <c r="E614" s="1281">
        <f>IF(B614&lt;&gt;"",+SUMIF(Items!C:C,'AUX-NIV1'!B614,Items!H:H),"")</f>
        <v>0</v>
      </c>
      <c r="F614" s="1281">
        <f t="shared" si="505"/>
        <v>174.73538237177382</v>
      </c>
      <c r="G614" s="1281">
        <f t="shared" si="506"/>
        <v>0</v>
      </c>
      <c r="H614" s="1395" t="str">
        <f t="shared" ref="H614:H616" si="588">IF(B614&lt;&gt;"",+LEFT(I614,1),"")</f>
        <v>X</v>
      </c>
      <c r="I614" s="1375" t="s">
        <v>3742</v>
      </c>
      <c r="J614" s="1283" t="str">
        <f>IF(B614&lt;&gt;"",+VLOOKUP(I614,Recursos!C:F,2,FALSE),"")</f>
        <v>Contrapiso Hidrofugo</v>
      </c>
      <c r="K614" s="1284" t="str">
        <f>IF(B614&lt;&gt;"",+VLOOKUP(I614,Recursos!C:F,3,FALSE),"")</f>
        <v>m3</v>
      </c>
      <c r="L614" s="1285">
        <f>IF(B614&lt;&gt;"",+VLOOKUP(I614,Recursos!C:F,4,FALSE),"")</f>
        <v>4905.1163636363644</v>
      </c>
      <c r="M614" s="743"/>
      <c r="N614" s="1292">
        <v>0.03</v>
      </c>
      <c r="O614" s="1286">
        <f>N614</f>
        <v>0.03</v>
      </c>
      <c r="P614" s="1287">
        <f t="shared" ref="P614:P616" si="589">IF(B614&lt;&gt;"",O614*L614,"")</f>
        <v>147.15349090909092</v>
      </c>
      <c r="Q614" s="1281">
        <f t="shared" ref="Q614:Q616" si="590">IF(B614&lt;&gt;"",+O614*E614,"")</f>
        <v>0</v>
      </c>
      <c r="R614" s="1288">
        <f t="shared" ref="R614:R616" si="591">IF(B614&lt;&gt;"",Q614*L614,"")</f>
        <v>0</v>
      </c>
      <c r="S614" s="1289">
        <f t="shared" si="511"/>
        <v>27.581891462682918</v>
      </c>
      <c r="T614" s="1289">
        <f t="shared" si="512"/>
        <v>0</v>
      </c>
      <c r="U614" s="1290">
        <f t="shared" si="513"/>
        <v>0</v>
      </c>
      <c r="V614" s="1290">
        <f t="shared" si="514"/>
        <v>0</v>
      </c>
      <c r="W614" s="1290">
        <f t="shared" si="515"/>
        <v>0</v>
      </c>
      <c r="X614" s="1290">
        <f t="shared" si="516"/>
        <v>147.15349090909092</v>
      </c>
      <c r="Y614" s="396"/>
      <c r="Z614" s="1291" t="str">
        <f t="shared" ref="Z614:Z616" si="592">IF(B614&lt;&gt;"",+$B614&amp;"A","")</f>
        <v>0-CAPAIS2A</v>
      </c>
      <c r="AA614" s="1291" t="str">
        <f t="shared" ref="AA614:AA616" si="593">IF(B614&lt;&gt;"",+$B614&amp;"E","")</f>
        <v>0-CAPAIS2E</v>
      </c>
      <c r="AB614" s="1291" t="str">
        <f t="shared" ref="AB614:AB616" si="594">IF(B614&lt;&gt;"",++$B614&amp;"M","")</f>
        <v>0-CAPAIS2M</v>
      </c>
      <c r="AC614" s="1291" t="str">
        <f t="shared" ref="AC614:AC616" si="595">IF(B614&lt;&gt;"",+$B614&amp;"T","")</f>
        <v>0-CAPAIS2T</v>
      </c>
      <c r="AD614" s="1291" t="str">
        <f t="shared" ref="AD614:AD616" si="596">IF(B614&lt;&gt;"",+$B614&amp;"S","")</f>
        <v>0-CAPAIS2S</v>
      </c>
      <c r="AE614" s="1291" t="str">
        <f t="shared" ref="AE614:AE616" si="597">IF(B614&lt;&gt;"",+$B614&amp;"X","")</f>
        <v>0-CAPAIS2X</v>
      </c>
      <c r="AF614" s="1291" t="str">
        <f t="shared" ref="AF614:AF616" si="598">IF(B614&lt;&gt;"",+B614&amp;H614,"")</f>
        <v>0-CAPAIS2X</v>
      </c>
      <c r="AG614" s="1291">
        <f t="shared" si="524"/>
        <v>3</v>
      </c>
      <c r="AH614" s="1291">
        <f>IF(B614&lt;&gt;"",+IF(H614="x",+VLOOKUP(I614,'AUX-NIV2'!B:AG,32,FALSE),0),"")</f>
        <v>4</v>
      </c>
      <c r="AI614" s="1291" t="str">
        <f t="shared" ref="AI614:AI616" si="599">IF(B614&lt;&gt;"",+B614,"")</f>
        <v>0-CAPAIS2</v>
      </c>
      <c r="AK614" s="347">
        <f t="shared" si="526"/>
        <v>614</v>
      </c>
      <c r="AL614" s="348">
        <f t="shared" ref="AL614:AL616" si="600">IF(B614&lt;&gt;"",+AK614+AG614-1,"")</f>
        <v>616</v>
      </c>
      <c r="AM614" s="347">
        <f t="shared" ref="AM614:AM616" si="601">IF(B614&lt;&gt;"",IF(B614=B613,1+AM613,1),"")</f>
        <v>1</v>
      </c>
      <c r="AN614" s="382">
        <f>IF(AND(AH614&gt;0,B614&lt;&gt;""),VLOOKUP(I614,'AUX-NIV2'!$B:$AP,40,FALSE)*O614,0)</f>
        <v>0</v>
      </c>
      <c r="AO614" s="382">
        <f t="shared" si="529"/>
        <v>0.06</v>
      </c>
      <c r="AQ614" s="395">
        <f>(IF($H614="x",VLOOKUP($I614,'AUX-NIV2'!$B:$X,'AUX-NIV1'!AQ$3,FALSE),0)+($AV614*'AUX-NIV3'!S$4))*$O614+IF($H614=AQ$4,$P614,0)</f>
        <v>0</v>
      </c>
      <c r="AR614" s="395">
        <f>(IF($H614="x",VLOOKUP($I614,'AUX-NIV2'!$B:$X,'AUX-NIV1'!AR$3,FALSE),0)+($AV614*'AUX-NIV3'!T$4))*$O614+IF($H614=AR$4,$P614,0)</f>
        <v>0</v>
      </c>
      <c r="AS614" s="395">
        <f>(IF($H614="x",VLOOKUP($I614,'AUX-NIV2'!$B:$X,'AUX-NIV1'!AS$3,FALSE),0)+($AV614*'AUX-NIV3'!U$4))*$O614+IF($H614=AS$4,$P614,0)</f>
        <v>147.15349090909092</v>
      </c>
      <c r="AT614" s="395">
        <f>(IF($H614="x",VLOOKUP($I614,'AUX-NIV2'!$B:$X,'AUX-NIV1'!AT$3,FALSE),0)+($AV614*'AUX-NIV3'!V$4))*$O614+IF($H614=AT$4,$P614,0)</f>
        <v>0</v>
      </c>
      <c r="AU614" s="395">
        <f>(IF($H614="x",VLOOKUP($I614,'AUX-NIV2'!$B:$X,'AUX-NIV1'!AU$3,FALSE),0)+($AV614*'AUX-NIV3'!W$4))*$O614+IF($H614=AU$4,$P614,0)</f>
        <v>0</v>
      </c>
      <c r="AV614" s="395">
        <f>+IF($H614="x",VLOOKUP($I614,'AUX-NIV2'!$B:$X,'AUX-NIV1'!AV$3,FALSE),0)</f>
        <v>0</v>
      </c>
    </row>
    <row r="615" spans="2:48" ht="13.8" hidden="1" thickBot="1">
      <c r="B615" s="501" t="s">
        <v>3731</v>
      </c>
      <c r="C615" s="951" t="s">
        <v>3741</v>
      </c>
      <c r="D615" s="1280" t="s">
        <v>501</v>
      </c>
      <c r="E615" s="1281">
        <f>IF(B615&lt;&gt;"",+SUMIF(Items!C:C,'AUX-NIV1'!B615,Items!H:H),"")</f>
        <v>0</v>
      </c>
      <c r="F615" s="1281">
        <f t="shared" si="505"/>
        <v>174.73538237177382</v>
      </c>
      <c r="G615" s="1281">
        <f t="shared" si="506"/>
        <v>0</v>
      </c>
      <c r="H615" s="1395" t="str">
        <f t="shared" si="588"/>
        <v>A</v>
      </c>
      <c r="I615" s="1375" t="s">
        <v>1746</v>
      </c>
      <c r="J615" s="1283" t="str">
        <f>IF(B615&lt;&gt;"",+VLOOKUP(I615,Recursos!C:F,2,FALSE),"")</f>
        <v>OFICIAL</v>
      </c>
      <c r="K615" s="1284" t="str">
        <f>IF(B615&lt;&gt;"",+VLOOKUP(I615,Recursos!C:F,3,FALSE),"")</f>
        <v>hh</v>
      </c>
      <c r="L615" s="1285">
        <f>IF(B615&lt;&gt;"",+VLOOKUP(I615,Recursos!C:F,4,FALSE),"")</f>
        <v>496.91595439275824</v>
      </c>
      <c r="M615" s="1351"/>
      <c r="N615" s="1329">
        <v>1</v>
      </c>
      <c r="O615" s="1286">
        <f>1/N615*N614</f>
        <v>0.03</v>
      </c>
      <c r="P615" s="1287">
        <f t="shared" si="589"/>
        <v>14.907478631782746</v>
      </c>
      <c r="Q615" s="1281">
        <f t="shared" si="590"/>
        <v>0</v>
      </c>
      <c r="R615" s="1288">
        <f t="shared" si="591"/>
        <v>0</v>
      </c>
      <c r="S615" s="1289">
        <f t="shared" si="511"/>
        <v>27.581891462682918</v>
      </c>
      <c r="T615" s="1289">
        <f t="shared" si="512"/>
        <v>0</v>
      </c>
      <c r="U615" s="1290">
        <f t="shared" si="513"/>
        <v>0</v>
      </c>
      <c r="V615" s="1290">
        <f t="shared" si="514"/>
        <v>0</v>
      </c>
      <c r="W615" s="1290">
        <f t="shared" si="515"/>
        <v>0</v>
      </c>
      <c r="X615" s="1290">
        <f t="shared" si="516"/>
        <v>147.15349090909092</v>
      </c>
      <c r="Y615" s="396"/>
      <c r="Z615" s="1291" t="str">
        <f t="shared" si="592"/>
        <v>0-CAPAIS2A</v>
      </c>
      <c r="AA615" s="1291" t="str">
        <f t="shared" si="593"/>
        <v>0-CAPAIS2E</v>
      </c>
      <c r="AB615" s="1291" t="str">
        <f t="shared" si="594"/>
        <v>0-CAPAIS2M</v>
      </c>
      <c r="AC615" s="1291" t="str">
        <f t="shared" si="595"/>
        <v>0-CAPAIS2T</v>
      </c>
      <c r="AD615" s="1291" t="str">
        <f t="shared" si="596"/>
        <v>0-CAPAIS2S</v>
      </c>
      <c r="AE615" s="1291" t="str">
        <f t="shared" si="597"/>
        <v>0-CAPAIS2X</v>
      </c>
      <c r="AF615" s="1291" t="str">
        <f t="shared" si="598"/>
        <v>0-CAPAIS2A</v>
      </c>
      <c r="AG615" s="1291">
        <f t="shared" si="524"/>
        <v>3</v>
      </c>
      <c r="AH615" s="1291">
        <f>IF(B615&lt;&gt;"",+IF(H615="x",+VLOOKUP(I615,'AUX-NIV2'!B:AG,32,FALSE),0),"")</f>
        <v>0</v>
      </c>
      <c r="AI615" s="1291" t="str">
        <f t="shared" si="599"/>
        <v>0-CAPAIS2</v>
      </c>
      <c r="AK615" s="347">
        <f t="shared" si="526"/>
        <v>614</v>
      </c>
      <c r="AL615" s="348">
        <f t="shared" si="600"/>
        <v>616</v>
      </c>
      <c r="AM615" s="347">
        <f t="shared" si="601"/>
        <v>2</v>
      </c>
      <c r="AN615" s="382">
        <f>IF(AND(AH615&gt;0,B615&lt;&gt;""),VLOOKUP(I615,'AUX-NIV2'!$B:$AP,40,FALSE)*O615,0)</f>
        <v>0</v>
      </c>
      <c r="AO615" s="382">
        <f t="shared" si="529"/>
        <v>0.06</v>
      </c>
      <c r="AQ615" s="395">
        <f>(IF($H615="x",VLOOKUP($I615,'AUX-NIV2'!$B:$X,'AUX-NIV1'!AQ$3,FALSE),0)+($AV615*'AUX-NIV3'!S$4))*$O615+IF($H615=AQ$4,$P615,0)</f>
        <v>14.907478631782746</v>
      </c>
      <c r="AR615" s="395">
        <f>(IF($H615="x",VLOOKUP($I615,'AUX-NIV2'!$B:$X,'AUX-NIV1'!AR$3,FALSE),0)+($AV615*'AUX-NIV3'!T$4))*$O615+IF($H615=AR$4,$P615,0)</f>
        <v>0</v>
      </c>
      <c r="AS615" s="395">
        <f>(IF($H615="x",VLOOKUP($I615,'AUX-NIV2'!$B:$X,'AUX-NIV1'!AS$3,FALSE),0)+($AV615*'AUX-NIV3'!U$4))*$O615+IF($H615=AS$4,$P615,0)</f>
        <v>0</v>
      </c>
      <c r="AT615" s="395">
        <f>(IF($H615="x",VLOOKUP($I615,'AUX-NIV2'!$B:$X,'AUX-NIV1'!AT$3,FALSE),0)+($AV615*'AUX-NIV3'!V$4))*$O615+IF($H615=AT$4,$P615,0)</f>
        <v>0</v>
      </c>
      <c r="AU615" s="395">
        <f>(IF($H615="x",VLOOKUP($I615,'AUX-NIV2'!$B:$X,'AUX-NIV1'!AU$3,FALSE),0)+($AV615*'AUX-NIV3'!W$4))*$O615+IF($H615=AU$4,$P615,0)</f>
        <v>0</v>
      </c>
      <c r="AV615" s="395">
        <f>+IF($H615="x",VLOOKUP($I615,'AUX-NIV2'!$B:$X,'AUX-NIV1'!AV$3,FALSE),0)</f>
        <v>0</v>
      </c>
    </row>
    <row r="616" spans="2:48" ht="13.8" hidden="1" thickBot="1">
      <c r="B616" s="501" t="s">
        <v>3731</v>
      </c>
      <c r="C616" s="951" t="s">
        <v>3741</v>
      </c>
      <c r="D616" s="1280" t="s">
        <v>501</v>
      </c>
      <c r="E616" s="1281">
        <f>IF(B616&lt;&gt;"",+SUMIF(Items!C:C,'AUX-NIV1'!B616,Items!H:H),"")</f>
        <v>0</v>
      </c>
      <c r="F616" s="1281">
        <f t="shared" si="505"/>
        <v>174.73538237177382</v>
      </c>
      <c r="G616" s="1281">
        <f t="shared" si="506"/>
        <v>0</v>
      </c>
      <c r="H616" s="1395" t="str">
        <f t="shared" si="588"/>
        <v>A</v>
      </c>
      <c r="I616" s="1375" t="s">
        <v>1745</v>
      </c>
      <c r="J616" s="1283" t="str">
        <f>IF(B616&lt;&gt;"",+VLOOKUP(I616,Recursos!C:F,2,FALSE),"")</f>
        <v>AYUDANTE</v>
      </c>
      <c r="K616" s="1284" t="str">
        <f>IF(B616&lt;&gt;"",+VLOOKUP(I616,Recursos!C:F,3,FALSE),"")</f>
        <v>hh</v>
      </c>
      <c r="L616" s="1285">
        <f>IF(B616&lt;&gt;"",+VLOOKUP(I616,Recursos!C:F,4,FALSE),"")</f>
        <v>422.48042769667234</v>
      </c>
      <c r="M616" s="1335"/>
      <c r="N616" s="1360"/>
      <c r="O616" s="1286">
        <f>1/N615*N614</f>
        <v>0.03</v>
      </c>
      <c r="P616" s="1287">
        <f t="shared" si="589"/>
        <v>12.67441283090017</v>
      </c>
      <c r="Q616" s="1281">
        <f t="shared" si="590"/>
        <v>0</v>
      </c>
      <c r="R616" s="1288">
        <f t="shared" si="591"/>
        <v>0</v>
      </c>
      <c r="S616" s="1289">
        <f t="shared" si="511"/>
        <v>27.581891462682918</v>
      </c>
      <c r="T616" s="1289">
        <f t="shared" si="512"/>
        <v>0</v>
      </c>
      <c r="U616" s="1290">
        <f t="shared" si="513"/>
        <v>0</v>
      </c>
      <c r="V616" s="1290">
        <f t="shared" si="514"/>
        <v>0</v>
      </c>
      <c r="W616" s="1290">
        <f t="shared" si="515"/>
        <v>0</v>
      </c>
      <c r="X616" s="1290">
        <f t="shared" si="516"/>
        <v>147.15349090909092</v>
      </c>
      <c r="Y616" s="396"/>
      <c r="Z616" s="1291" t="str">
        <f t="shared" si="592"/>
        <v>0-CAPAIS2A</v>
      </c>
      <c r="AA616" s="1291" t="str">
        <f t="shared" si="593"/>
        <v>0-CAPAIS2E</v>
      </c>
      <c r="AB616" s="1291" t="str">
        <f t="shared" si="594"/>
        <v>0-CAPAIS2M</v>
      </c>
      <c r="AC616" s="1291" t="str">
        <f t="shared" si="595"/>
        <v>0-CAPAIS2T</v>
      </c>
      <c r="AD616" s="1291" t="str">
        <f t="shared" si="596"/>
        <v>0-CAPAIS2S</v>
      </c>
      <c r="AE616" s="1291" t="str">
        <f t="shared" si="597"/>
        <v>0-CAPAIS2X</v>
      </c>
      <c r="AF616" s="1291" t="str">
        <f t="shared" si="598"/>
        <v>0-CAPAIS2A</v>
      </c>
      <c r="AG616" s="1291">
        <f t="shared" si="524"/>
        <v>3</v>
      </c>
      <c r="AH616" s="1291">
        <f>IF(B616&lt;&gt;"",+IF(H616="x",+VLOOKUP(I616,'AUX-NIV2'!B:AG,32,FALSE),0),"")</f>
        <v>0</v>
      </c>
      <c r="AI616" s="1291" t="str">
        <f t="shared" si="599"/>
        <v>0-CAPAIS2</v>
      </c>
      <c r="AK616" s="347">
        <f t="shared" si="526"/>
        <v>614</v>
      </c>
      <c r="AL616" s="348">
        <f t="shared" si="600"/>
        <v>616</v>
      </c>
      <c r="AM616" s="347">
        <f t="shared" si="601"/>
        <v>3</v>
      </c>
      <c r="AN616" s="382">
        <f>IF(AND(AH616&gt;0,B616&lt;&gt;""),VLOOKUP(I616,'AUX-NIV2'!$B:$AP,40,FALSE)*O616,0)</f>
        <v>0</v>
      </c>
      <c r="AO616" s="382">
        <f t="shared" si="529"/>
        <v>0.06</v>
      </c>
      <c r="AQ616" s="395">
        <f>(IF($H616="x",VLOOKUP($I616,'AUX-NIV2'!$B:$X,'AUX-NIV1'!AQ$3,FALSE),0)+($AV616*'AUX-NIV3'!S$4))*$O616+IF($H616=AQ$4,$P616,0)</f>
        <v>12.67441283090017</v>
      </c>
      <c r="AR616" s="395">
        <f>(IF($H616="x",VLOOKUP($I616,'AUX-NIV2'!$B:$X,'AUX-NIV1'!AR$3,FALSE),0)+($AV616*'AUX-NIV3'!T$4))*$O616+IF($H616=AR$4,$P616,0)</f>
        <v>0</v>
      </c>
      <c r="AS616" s="395">
        <f>(IF($H616="x",VLOOKUP($I616,'AUX-NIV2'!$B:$X,'AUX-NIV1'!AS$3,FALSE),0)+($AV616*'AUX-NIV3'!U$4))*$O616+IF($H616=AS$4,$P616,0)</f>
        <v>0</v>
      </c>
      <c r="AT616" s="395">
        <f>(IF($H616="x",VLOOKUP($I616,'AUX-NIV2'!$B:$X,'AUX-NIV1'!AT$3,FALSE),0)+($AV616*'AUX-NIV3'!V$4))*$O616+IF($H616=AT$4,$P616,0)</f>
        <v>0</v>
      </c>
      <c r="AU616" s="395">
        <f>(IF($H616="x",VLOOKUP($I616,'AUX-NIV2'!$B:$X,'AUX-NIV1'!AU$3,FALSE),0)+($AV616*'AUX-NIV3'!W$4))*$O616+IF($H616=AU$4,$P616,0)</f>
        <v>0</v>
      </c>
      <c r="AV616" s="395">
        <f>+IF($H616="x",VLOOKUP($I616,'AUX-NIV2'!$B:$X,'AUX-NIV1'!AV$3,FALSE),0)</f>
        <v>0</v>
      </c>
    </row>
    <row r="617" spans="2:48" ht="14.4" hidden="1" thickTop="1" thickBot="1">
      <c r="B617" s="501" t="s">
        <v>3732</v>
      </c>
      <c r="C617" s="951" t="s">
        <v>3744</v>
      </c>
      <c r="D617" s="1280" t="s">
        <v>501</v>
      </c>
      <c r="E617" s="1281">
        <f>IF(B617&lt;&gt;"",+SUMIF(Items!C:C,'AUX-NIV1'!B617,Items!H:H),"")</f>
        <v>0</v>
      </c>
      <c r="F617" s="1281">
        <f t="shared" si="505"/>
        <v>621.46788913833007</v>
      </c>
      <c r="G617" s="1281">
        <f t="shared" si="506"/>
        <v>0</v>
      </c>
      <c r="H617" s="1395" t="str">
        <f t="shared" si="434"/>
        <v>X</v>
      </c>
      <c r="I617" s="1375" t="s">
        <v>3736</v>
      </c>
      <c r="J617" s="1283" t="str">
        <f>IF(B617&lt;&gt;"",+VLOOKUP(I617,Recursos!C:F,2,FALSE),"")</f>
        <v>Mortero hidrofugo</v>
      </c>
      <c r="K617" s="1284" t="str">
        <f>IF(B617&lt;&gt;"",+VLOOKUP(I617,Recursos!C:F,3,FALSE),"")</f>
        <v>m3</v>
      </c>
      <c r="L617" s="1285">
        <f>IF(B617&lt;&gt;"",+VLOOKUP(I617,Recursos!C:F,4,FALSE),"")</f>
        <v>5494.2954545454559</v>
      </c>
      <c r="M617" s="743"/>
      <c r="N617" s="1292">
        <f>1/100</f>
        <v>0.01</v>
      </c>
      <c r="O617" s="1286">
        <f>N617</f>
        <v>0.01</v>
      </c>
      <c r="P617" s="1287">
        <f t="shared" si="575"/>
        <v>54.942954545454562</v>
      </c>
      <c r="Q617" s="1281">
        <f t="shared" si="576"/>
        <v>0</v>
      </c>
      <c r="R617" s="1288">
        <f t="shared" si="577"/>
        <v>0</v>
      </c>
      <c r="S617" s="1289">
        <f t="shared" si="511"/>
        <v>566.52493459287552</v>
      </c>
      <c r="T617" s="1289">
        <f t="shared" si="512"/>
        <v>0</v>
      </c>
      <c r="U617" s="1290">
        <f t="shared" si="513"/>
        <v>0</v>
      </c>
      <c r="V617" s="1290">
        <f t="shared" si="514"/>
        <v>0</v>
      </c>
      <c r="W617" s="1290">
        <f t="shared" si="515"/>
        <v>0</v>
      </c>
      <c r="X617" s="1290">
        <f t="shared" si="516"/>
        <v>54.942954545454562</v>
      </c>
      <c r="Y617" s="396"/>
      <c r="Z617" s="1291" t="str">
        <f t="shared" si="578"/>
        <v>0-CAPAIS3A</v>
      </c>
      <c r="AA617" s="1291" t="str">
        <f t="shared" si="579"/>
        <v>0-CAPAIS3E</v>
      </c>
      <c r="AB617" s="1291" t="str">
        <f t="shared" si="580"/>
        <v>0-CAPAIS3M</v>
      </c>
      <c r="AC617" s="1291" t="str">
        <f t="shared" si="581"/>
        <v>0-CAPAIS3T</v>
      </c>
      <c r="AD617" s="1291" t="str">
        <f t="shared" si="582"/>
        <v>0-CAPAIS3S</v>
      </c>
      <c r="AE617" s="1291" t="str">
        <f t="shared" si="583"/>
        <v>0-CAPAIS3X</v>
      </c>
      <c r="AF617" s="1291" t="str">
        <f t="shared" si="584"/>
        <v>0-CAPAIS3X</v>
      </c>
      <c r="AG617" s="1291">
        <f t="shared" si="524"/>
        <v>3</v>
      </c>
      <c r="AH617" s="1291">
        <f>IF(B617&lt;&gt;"",+IF(H617="x",+VLOOKUP(I617,'AUX-NIV2'!B:AG,32,FALSE),0),"")</f>
        <v>3</v>
      </c>
      <c r="AI617" s="1291" t="str">
        <f t="shared" si="585"/>
        <v>0-CAPAIS3</v>
      </c>
      <c r="AK617" s="347">
        <f t="shared" si="526"/>
        <v>617</v>
      </c>
      <c r="AL617" s="348">
        <f t="shared" si="586"/>
        <v>619</v>
      </c>
      <c r="AM617" s="347">
        <f t="shared" si="587"/>
        <v>1</v>
      </c>
      <c r="AN617" s="382">
        <f>IF(AND(AH617&gt;0,B617&lt;&gt;""),VLOOKUP(I617,'AUX-NIV2'!$B:$AP,40,FALSE)*O617,0)</f>
        <v>0</v>
      </c>
      <c r="AO617" s="382">
        <f t="shared" si="529"/>
        <v>1.2000000000000002</v>
      </c>
      <c r="AQ617" s="395">
        <f>(IF($H617="x",VLOOKUP($I617,'AUX-NIV2'!$B:$X,'AUX-NIV1'!AQ$3,FALSE),0)+($AV617*'AUX-NIV3'!S$4))*$O617+IF($H617=AQ$4,$P617,0)</f>
        <v>0</v>
      </c>
      <c r="AR617" s="395">
        <f>(IF($H617="x",VLOOKUP($I617,'AUX-NIV2'!$B:$X,'AUX-NIV1'!AR$3,FALSE),0)+($AV617*'AUX-NIV3'!T$4))*$O617+IF($H617=AR$4,$P617,0)</f>
        <v>0</v>
      </c>
      <c r="AS617" s="395">
        <f>(IF($H617="x",VLOOKUP($I617,'AUX-NIV2'!$B:$X,'AUX-NIV1'!AS$3,FALSE),0)+($AV617*'AUX-NIV3'!U$4))*$O617+IF($H617=AS$4,$P617,0)</f>
        <v>54.942954545454562</v>
      </c>
      <c r="AT617" s="395">
        <f>(IF($H617="x",VLOOKUP($I617,'AUX-NIV2'!$B:$X,'AUX-NIV1'!AT$3,FALSE),0)+($AV617*'AUX-NIV3'!V$4))*$O617+IF($H617=AT$4,$P617,0)</f>
        <v>0</v>
      </c>
      <c r="AU617" s="395">
        <f>(IF($H617="x",VLOOKUP($I617,'AUX-NIV2'!$B:$X,'AUX-NIV1'!AU$3,FALSE),0)+($AV617*'AUX-NIV3'!W$4))*$O617+IF($H617=AU$4,$P617,0)</f>
        <v>0</v>
      </c>
      <c r="AV617" s="395">
        <f>+IF($H617="x",VLOOKUP($I617,'AUX-NIV2'!$B:$X,'AUX-NIV1'!AV$3,FALSE),0)</f>
        <v>0</v>
      </c>
    </row>
    <row r="618" spans="2:48" ht="13.8" hidden="1" thickBot="1">
      <c r="B618" s="501" t="s">
        <v>3732</v>
      </c>
      <c r="C618" s="951" t="s">
        <v>3744</v>
      </c>
      <c r="D618" s="1280" t="s">
        <v>501</v>
      </c>
      <c r="E618" s="1281">
        <f>IF(B618&lt;&gt;"",+SUMIF(Items!C:C,'AUX-NIV1'!B618,Items!H:H),"")</f>
        <v>0</v>
      </c>
      <c r="F618" s="1281">
        <f t="shared" si="505"/>
        <v>621.46788913833007</v>
      </c>
      <c r="G618" s="1281">
        <f t="shared" si="506"/>
        <v>0</v>
      </c>
      <c r="H618" s="1395" t="str">
        <f t="shared" si="434"/>
        <v>A</v>
      </c>
      <c r="I618" s="1375" t="s">
        <v>1746</v>
      </c>
      <c r="J618" s="1283" t="str">
        <f>IF(B618&lt;&gt;"",+VLOOKUP(I618,Recursos!C:F,2,FALSE),"")</f>
        <v>OFICIAL</v>
      </c>
      <c r="K618" s="1284" t="str">
        <f>IF(B618&lt;&gt;"",+VLOOKUP(I618,Recursos!C:F,3,FALSE),"")</f>
        <v>hh</v>
      </c>
      <c r="L618" s="1285">
        <f>IF(B618&lt;&gt;"",+VLOOKUP(I618,Recursos!C:F,4,FALSE),"")</f>
        <v>496.91595439275824</v>
      </c>
      <c r="M618" s="1328">
        <v>2</v>
      </c>
      <c r="N618" s="1329">
        <v>2.5</v>
      </c>
      <c r="O618" s="1286">
        <f>M618/N618</f>
        <v>0.8</v>
      </c>
      <c r="P618" s="1287">
        <f t="shared" si="575"/>
        <v>397.53276351420664</v>
      </c>
      <c r="Q618" s="1281">
        <f t="shared" si="576"/>
        <v>0</v>
      </c>
      <c r="R618" s="1288">
        <f t="shared" si="577"/>
        <v>0</v>
      </c>
      <c r="S618" s="1289">
        <f t="shared" si="511"/>
        <v>566.52493459287552</v>
      </c>
      <c r="T618" s="1289">
        <f t="shared" si="512"/>
        <v>0</v>
      </c>
      <c r="U618" s="1290">
        <f t="shared" si="513"/>
        <v>0</v>
      </c>
      <c r="V618" s="1290">
        <f t="shared" si="514"/>
        <v>0</v>
      </c>
      <c r="W618" s="1290">
        <f t="shared" si="515"/>
        <v>0</v>
      </c>
      <c r="X618" s="1290">
        <f t="shared" si="516"/>
        <v>54.942954545454562</v>
      </c>
      <c r="Y618" s="396"/>
      <c r="Z618" s="1291" t="str">
        <f t="shared" si="578"/>
        <v>0-CAPAIS3A</v>
      </c>
      <c r="AA618" s="1291" t="str">
        <f t="shared" si="579"/>
        <v>0-CAPAIS3E</v>
      </c>
      <c r="AB618" s="1291" t="str">
        <f t="shared" si="580"/>
        <v>0-CAPAIS3M</v>
      </c>
      <c r="AC618" s="1291" t="str">
        <f t="shared" si="581"/>
        <v>0-CAPAIS3T</v>
      </c>
      <c r="AD618" s="1291" t="str">
        <f t="shared" si="582"/>
        <v>0-CAPAIS3S</v>
      </c>
      <c r="AE618" s="1291" t="str">
        <f t="shared" si="583"/>
        <v>0-CAPAIS3X</v>
      </c>
      <c r="AF618" s="1291" t="str">
        <f t="shared" si="584"/>
        <v>0-CAPAIS3A</v>
      </c>
      <c r="AG618" s="1291">
        <f t="shared" si="524"/>
        <v>3</v>
      </c>
      <c r="AH618" s="1291">
        <f>IF(B618&lt;&gt;"",+IF(H618="x",+VLOOKUP(I618,'AUX-NIV2'!B:AG,32,FALSE),0),"")</f>
        <v>0</v>
      </c>
      <c r="AI618" s="1291" t="str">
        <f t="shared" si="585"/>
        <v>0-CAPAIS3</v>
      </c>
      <c r="AK618" s="347">
        <f t="shared" si="526"/>
        <v>617</v>
      </c>
      <c r="AL618" s="348">
        <f t="shared" si="586"/>
        <v>619</v>
      </c>
      <c r="AM618" s="347">
        <f t="shared" si="587"/>
        <v>2</v>
      </c>
      <c r="AN618" s="382">
        <f>IF(AND(AH618&gt;0,B618&lt;&gt;""),VLOOKUP(I618,'AUX-NIV2'!$B:$AP,40,FALSE)*O618,0)</f>
        <v>0</v>
      </c>
      <c r="AO618" s="382">
        <f t="shared" si="529"/>
        <v>1.2000000000000002</v>
      </c>
      <c r="AQ618" s="395">
        <f>(IF($H618="x",VLOOKUP($I618,'AUX-NIV2'!$B:$X,'AUX-NIV1'!AQ$3,FALSE),0)+($AV618*'AUX-NIV3'!S$4))*$O618+IF($H618=AQ$4,$P618,0)</f>
        <v>397.53276351420664</v>
      </c>
      <c r="AR618" s="395">
        <f>(IF($H618="x",VLOOKUP($I618,'AUX-NIV2'!$B:$X,'AUX-NIV1'!AR$3,FALSE),0)+($AV618*'AUX-NIV3'!T$4))*$O618+IF($H618=AR$4,$P618,0)</f>
        <v>0</v>
      </c>
      <c r="AS618" s="395">
        <f>(IF($H618="x",VLOOKUP($I618,'AUX-NIV2'!$B:$X,'AUX-NIV1'!AS$3,FALSE),0)+($AV618*'AUX-NIV3'!U$4))*$O618+IF($H618=AS$4,$P618,0)</f>
        <v>0</v>
      </c>
      <c r="AT618" s="395">
        <f>(IF($H618="x",VLOOKUP($I618,'AUX-NIV2'!$B:$X,'AUX-NIV1'!AT$3,FALSE),0)+($AV618*'AUX-NIV3'!V$4))*$O618+IF($H618=AT$4,$P618,0)</f>
        <v>0</v>
      </c>
      <c r="AU618" s="395">
        <f>(IF($H618="x",VLOOKUP($I618,'AUX-NIV2'!$B:$X,'AUX-NIV1'!AU$3,FALSE),0)+($AV618*'AUX-NIV3'!W$4))*$O618+IF($H618=AU$4,$P618,0)</f>
        <v>0</v>
      </c>
      <c r="AV618" s="395">
        <f>+IF($H618="x",VLOOKUP($I618,'AUX-NIV2'!$B:$X,'AUX-NIV1'!AV$3,FALSE),0)</f>
        <v>0</v>
      </c>
    </row>
    <row r="619" spans="2:48" ht="13.8" hidden="1" thickBot="1">
      <c r="B619" s="501" t="s">
        <v>3732</v>
      </c>
      <c r="C619" s="951" t="s">
        <v>3744</v>
      </c>
      <c r="D619" s="1280" t="s">
        <v>501</v>
      </c>
      <c r="E619" s="1281">
        <f>IF(B619&lt;&gt;"",+SUMIF(Items!C:C,'AUX-NIV1'!B619,Items!H:H),"")</f>
        <v>0</v>
      </c>
      <c r="F619" s="1281">
        <f t="shared" si="505"/>
        <v>621.46788913833007</v>
      </c>
      <c r="G619" s="1281">
        <f t="shared" si="506"/>
        <v>0</v>
      </c>
      <c r="H619" s="1395" t="str">
        <f t="shared" si="434"/>
        <v>A</v>
      </c>
      <c r="I619" s="1375" t="s">
        <v>1745</v>
      </c>
      <c r="J619" s="1283" t="str">
        <f>IF(B619&lt;&gt;"",+VLOOKUP(I619,Recursos!C:F,2,FALSE),"")</f>
        <v>AYUDANTE</v>
      </c>
      <c r="K619" s="1284" t="str">
        <f>IF(B619&lt;&gt;"",+VLOOKUP(I619,Recursos!C:F,3,FALSE),"")</f>
        <v>hh</v>
      </c>
      <c r="L619" s="1285">
        <f>IF(B619&lt;&gt;"",+VLOOKUP(I619,Recursos!C:F,4,FALSE),"")</f>
        <v>422.48042769667234</v>
      </c>
      <c r="M619" s="1330">
        <v>1</v>
      </c>
      <c r="N619" s="1360"/>
      <c r="O619" s="1286">
        <f>M619/N618</f>
        <v>0.4</v>
      </c>
      <c r="P619" s="1287">
        <f t="shared" si="575"/>
        <v>168.99217107866895</v>
      </c>
      <c r="Q619" s="1281">
        <f t="shared" si="576"/>
        <v>0</v>
      </c>
      <c r="R619" s="1288">
        <f t="shared" si="577"/>
        <v>0</v>
      </c>
      <c r="S619" s="1289">
        <f t="shared" si="511"/>
        <v>566.52493459287552</v>
      </c>
      <c r="T619" s="1289">
        <f t="shared" si="512"/>
        <v>0</v>
      </c>
      <c r="U619" s="1290">
        <f t="shared" si="513"/>
        <v>0</v>
      </c>
      <c r="V619" s="1290">
        <f t="shared" si="514"/>
        <v>0</v>
      </c>
      <c r="W619" s="1290">
        <f t="shared" si="515"/>
        <v>0</v>
      </c>
      <c r="X619" s="1290">
        <f t="shared" si="516"/>
        <v>54.942954545454562</v>
      </c>
      <c r="Y619" s="396"/>
      <c r="Z619" s="1291" t="str">
        <f t="shared" si="578"/>
        <v>0-CAPAIS3A</v>
      </c>
      <c r="AA619" s="1291" t="str">
        <f t="shared" si="579"/>
        <v>0-CAPAIS3E</v>
      </c>
      <c r="AB619" s="1291" t="str">
        <f t="shared" si="580"/>
        <v>0-CAPAIS3M</v>
      </c>
      <c r="AC619" s="1291" t="str">
        <f t="shared" si="581"/>
        <v>0-CAPAIS3T</v>
      </c>
      <c r="AD619" s="1291" t="str">
        <f t="shared" si="582"/>
        <v>0-CAPAIS3S</v>
      </c>
      <c r="AE619" s="1291" t="str">
        <f t="shared" si="583"/>
        <v>0-CAPAIS3X</v>
      </c>
      <c r="AF619" s="1291" t="str">
        <f t="shared" si="584"/>
        <v>0-CAPAIS3A</v>
      </c>
      <c r="AG619" s="1291">
        <f t="shared" si="524"/>
        <v>3</v>
      </c>
      <c r="AH619" s="1291">
        <f>IF(B619&lt;&gt;"",+IF(H619="x",+VLOOKUP(I619,'AUX-NIV2'!B:AG,32,FALSE),0),"")</f>
        <v>0</v>
      </c>
      <c r="AI619" s="1291" t="str">
        <f t="shared" si="585"/>
        <v>0-CAPAIS3</v>
      </c>
      <c r="AK619" s="347">
        <f t="shared" si="526"/>
        <v>617</v>
      </c>
      <c r="AL619" s="348">
        <f t="shared" si="586"/>
        <v>619</v>
      </c>
      <c r="AM619" s="347">
        <f t="shared" si="587"/>
        <v>3</v>
      </c>
      <c r="AN619" s="382">
        <f>IF(AND(AH619&gt;0,B619&lt;&gt;""),VLOOKUP(I619,'AUX-NIV2'!$B:$AP,40,FALSE)*O619,0)</f>
        <v>0</v>
      </c>
      <c r="AO619" s="382">
        <f t="shared" si="529"/>
        <v>1.2000000000000002</v>
      </c>
      <c r="AQ619" s="395">
        <f>(IF($H619="x",VLOOKUP($I619,'AUX-NIV2'!$B:$X,'AUX-NIV1'!AQ$3,FALSE),0)+($AV619*'AUX-NIV3'!S$4))*$O619+IF($H619=AQ$4,$P619,0)</f>
        <v>168.99217107866895</v>
      </c>
      <c r="AR619" s="395">
        <f>(IF($H619="x",VLOOKUP($I619,'AUX-NIV2'!$B:$X,'AUX-NIV1'!AR$3,FALSE),0)+($AV619*'AUX-NIV3'!T$4))*$O619+IF($H619=AR$4,$P619,0)</f>
        <v>0</v>
      </c>
      <c r="AS619" s="395">
        <f>(IF($H619="x",VLOOKUP($I619,'AUX-NIV2'!$B:$X,'AUX-NIV1'!AS$3,FALSE),0)+($AV619*'AUX-NIV3'!U$4))*$O619+IF($H619=AS$4,$P619,0)</f>
        <v>0</v>
      </c>
      <c r="AT619" s="395">
        <f>(IF($H619="x",VLOOKUP($I619,'AUX-NIV2'!$B:$X,'AUX-NIV1'!AT$3,FALSE),0)+($AV619*'AUX-NIV3'!V$4))*$O619+IF($H619=AT$4,$P619,0)</f>
        <v>0</v>
      </c>
      <c r="AU619" s="395">
        <f>(IF($H619="x",VLOOKUP($I619,'AUX-NIV2'!$B:$X,'AUX-NIV1'!AU$3,FALSE),0)+($AV619*'AUX-NIV3'!W$4))*$O619+IF($H619=AU$4,$P619,0)</f>
        <v>0</v>
      </c>
      <c r="AV619" s="395">
        <f>+IF($H619="x",VLOOKUP($I619,'AUX-NIV2'!$B:$X,'AUX-NIV1'!AV$3,FALSE),0)</f>
        <v>0</v>
      </c>
    </row>
    <row r="620" spans="2:48" ht="14.4" hidden="1" thickTop="1" thickBot="1">
      <c r="B620" s="501" t="s">
        <v>3747</v>
      </c>
      <c r="C620" s="951" t="s">
        <v>3750</v>
      </c>
      <c r="D620" s="1280" t="s">
        <v>501</v>
      </c>
      <c r="E620" s="1281">
        <f>IF(B620&lt;&gt;"",+SUMIF(Items!C:C,'AUX-NIV1'!B620,Items!H:H),"")</f>
        <v>0</v>
      </c>
      <c r="F620" s="1281">
        <f t="shared" si="505"/>
        <v>1406.2755949756961</v>
      </c>
      <c r="G620" s="1281">
        <f t="shared" si="506"/>
        <v>0</v>
      </c>
      <c r="H620" s="1395" t="str">
        <f t="shared" si="434"/>
        <v>X</v>
      </c>
      <c r="I620" s="1375" t="s">
        <v>3745</v>
      </c>
      <c r="J620" s="1283" t="str">
        <f>IF(B620&lt;&gt;"",+VLOOKUP(I620,Recursos!C:F,2,FALSE),"")</f>
        <v>Contrapiso</v>
      </c>
      <c r="K620" s="1284" t="str">
        <f>IF(B620&lt;&gt;"",+VLOOKUP(I620,Recursos!C:F,3,FALSE),"")</f>
        <v>m3</v>
      </c>
      <c r="L620" s="1285">
        <f>IF(B620&lt;&gt;"",+VLOOKUP(I620,Recursos!C:F,4,FALSE),"")</f>
        <v>4902.2479338842986</v>
      </c>
      <c r="M620" s="743"/>
      <c r="N620" s="1292">
        <v>0.15</v>
      </c>
      <c r="O620" s="1286">
        <f>N620</f>
        <v>0.15</v>
      </c>
      <c r="P620" s="1287">
        <f t="shared" si="575"/>
        <v>735.33719008264472</v>
      </c>
      <c r="Q620" s="1281">
        <f t="shared" si="576"/>
        <v>0</v>
      </c>
      <c r="R620" s="1288">
        <f t="shared" si="577"/>
        <v>0</v>
      </c>
      <c r="S620" s="1289">
        <f t="shared" si="511"/>
        <v>670.93840489305148</v>
      </c>
      <c r="T620" s="1289">
        <f t="shared" si="512"/>
        <v>0</v>
      </c>
      <c r="U620" s="1290">
        <f t="shared" si="513"/>
        <v>0</v>
      </c>
      <c r="V620" s="1290">
        <f t="shared" si="514"/>
        <v>0</v>
      </c>
      <c r="W620" s="1290">
        <f t="shared" si="515"/>
        <v>0</v>
      </c>
      <c r="X620" s="1290">
        <f t="shared" si="516"/>
        <v>735.33719008264472</v>
      </c>
      <c r="Y620" s="396"/>
      <c r="Z620" s="1291" t="str">
        <f t="shared" si="578"/>
        <v>0-CONT1A</v>
      </c>
      <c r="AA620" s="1291" t="str">
        <f t="shared" si="579"/>
        <v>0-CONT1E</v>
      </c>
      <c r="AB620" s="1291" t="str">
        <f t="shared" si="580"/>
        <v>0-CONT1M</v>
      </c>
      <c r="AC620" s="1291" t="str">
        <f t="shared" si="581"/>
        <v>0-CONT1T</v>
      </c>
      <c r="AD620" s="1291" t="str">
        <f t="shared" si="582"/>
        <v>0-CONT1S</v>
      </c>
      <c r="AE620" s="1291" t="str">
        <f t="shared" si="583"/>
        <v>0-CONT1X</v>
      </c>
      <c r="AF620" s="1291" t="str">
        <f t="shared" si="584"/>
        <v>0-CONT1X</v>
      </c>
      <c r="AG620" s="1291">
        <f t="shared" si="524"/>
        <v>3</v>
      </c>
      <c r="AH620" s="1291">
        <f>IF(B620&lt;&gt;"",+IF(H620="x",+VLOOKUP(I620,'AUX-NIV2'!B:AG,32,FALSE),0),"")</f>
        <v>3</v>
      </c>
      <c r="AI620" s="1291" t="str">
        <f t="shared" si="585"/>
        <v>0-CONT1</v>
      </c>
      <c r="AK620" s="347">
        <f t="shared" si="526"/>
        <v>620</v>
      </c>
      <c r="AL620" s="348">
        <f t="shared" si="586"/>
        <v>622</v>
      </c>
      <c r="AM620" s="347">
        <f t="shared" si="587"/>
        <v>1</v>
      </c>
      <c r="AN620" s="382">
        <f>IF(AND(AH620&gt;0,B620&lt;&gt;""),VLOOKUP(I620,'AUX-NIV2'!$B:$AP,40,FALSE)*O620,0)</f>
        <v>0</v>
      </c>
      <c r="AO620" s="382">
        <f t="shared" si="529"/>
        <v>1.5</v>
      </c>
      <c r="AQ620" s="395">
        <f>(IF($H620="x",VLOOKUP($I620,'AUX-NIV2'!$B:$X,'AUX-NIV1'!AQ$3,FALSE),0)+($AV620*'AUX-NIV3'!S$4))*$O620+IF($H620=AQ$4,$P620,0)</f>
        <v>0</v>
      </c>
      <c r="AR620" s="395">
        <f>(IF($H620="x",VLOOKUP($I620,'AUX-NIV2'!$B:$X,'AUX-NIV1'!AR$3,FALSE),0)+($AV620*'AUX-NIV3'!T$4))*$O620+IF($H620=AR$4,$P620,0)</f>
        <v>0</v>
      </c>
      <c r="AS620" s="395">
        <f>(IF($H620="x",VLOOKUP($I620,'AUX-NIV2'!$B:$X,'AUX-NIV1'!AS$3,FALSE),0)+($AV620*'AUX-NIV3'!U$4))*$O620+IF($H620=AS$4,$P620,0)</f>
        <v>735.33719008264472</v>
      </c>
      <c r="AT620" s="395">
        <f>(IF($H620="x",VLOOKUP($I620,'AUX-NIV2'!$B:$X,'AUX-NIV1'!AT$3,FALSE),0)+($AV620*'AUX-NIV3'!V$4))*$O620+IF($H620=AT$4,$P620,0)</f>
        <v>0</v>
      </c>
      <c r="AU620" s="395">
        <f>(IF($H620="x",VLOOKUP($I620,'AUX-NIV2'!$B:$X,'AUX-NIV1'!AU$3,FALSE),0)+($AV620*'AUX-NIV3'!W$4))*$O620+IF($H620=AU$4,$P620,0)</f>
        <v>0</v>
      </c>
      <c r="AV620" s="395">
        <f>+IF($H620="x",VLOOKUP($I620,'AUX-NIV2'!$B:$X,'AUX-NIV1'!AV$3,FALSE),0)</f>
        <v>0</v>
      </c>
    </row>
    <row r="621" spans="2:48" ht="13.8" hidden="1" thickBot="1">
      <c r="B621" s="501" t="s">
        <v>3747</v>
      </c>
      <c r="C621" s="951" t="s">
        <v>3750</v>
      </c>
      <c r="D621" s="1280" t="s">
        <v>501</v>
      </c>
      <c r="E621" s="1281">
        <f>IF(B621&lt;&gt;"",+SUMIF(Items!C:C,'AUX-NIV1'!B621,Items!H:H),"")</f>
        <v>0</v>
      </c>
      <c r="F621" s="1281">
        <f t="shared" si="505"/>
        <v>1406.2755949756961</v>
      </c>
      <c r="G621" s="1281">
        <f t="shared" si="506"/>
        <v>0</v>
      </c>
      <c r="H621" s="1395" t="str">
        <f t="shared" si="434"/>
        <v>A</v>
      </c>
      <c r="I621" s="1375" t="s">
        <v>1746</v>
      </c>
      <c r="J621" s="1283" t="str">
        <f>IF(B621&lt;&gt;"",+VLOOKUP(I621,Recursos!C:F,2,FALSE),"")</f>
        <v>OFICIAL</v>
      </c>
      <c r="K621" s="1284" t="str">
        <f>IF(B621&lt;&gt;"",+VLOOKUP(I621,Recursos!C:F,3,FALSE),"")</f>
        <v>hh</v>
      </c>
      <c r="L621" s="1285">
        <f>IF(B621&lt;&gt;"",+VLOOKUP(I621,Recursos!C:F,4,FALSE),"")</f>
        <v>496.91595439275824</v>
      </c>
      <c r="M621" s="1328">
        <v>1</v>
      </c>
      <c r="N621" s="1329">
        <v>2</v>
      </c>
      <c r="O621" s="1286">
        <f>M621/N621</f>
        <v>0.5</v>
      </c>
      <c r="P621" s="1287">
        <f t="shared" si="575"/>
        <v>248.45797719637912</v>
      </c>
      <c r="Q621" s="1281">
        <f t="shared" si="576"/>
        <v>0</v>
      </c>
      <c r="R621" s="1288">
        <f t="shared" si="577"/>
        <v>0</v>
      </c>
      <c r="S621" s="1289">
        <f t="shared" si="511"/>
        <v>670.93840489305148</v>
      </c>
      <c r="T621" s="1289">
        <f t="shared" si="512"/>
        <v>0</v>
      </c>
      <c r="U621" s="1290">
        <f t="shared" si="513"/>
        <v>0</v>
      </c>
      <c r="V621" s="1290">
        <f t="shared" si="514"/>
        <v>0</v>
      </c>
      <c r="W621" s="1290">
        <f t="shared" si="515"/>
        <v>0</v>
      </c>
      <c r="X621" s="1290">
        <f t="shared" si="516"/>
        <v>735.33719008264472</v>
      </c>
      <c r="Y621" s="396"/>
      <c r="Z621" s="1291" t="str">
        <f t="shared" si="578"/>
        <v>0-CONT1A</v>
      </c>
      <c r="AA621" s="1291" t="str">
        <f t="shared" si="579"/>
        <v>0-CONT1E</v>
      </c>
      <c r="AB621" s="1291" t="str">
        <f t="shared" si="580"/>
        <v>0-CONT1M</v>
      </c>
      <c r="AC621" s="1291" t="str">
        <f t="shared" si="581"/>
        <v>0-CONT1T</v>
      </c>
      <c r="AD621" s="1291" t="str">
        <f t="shared" si="582"/>
        <v>0-CONT1S</v>
      </c>
      <c r="AE621" s="1291" t="str">
        <f t="shared" si="583"/>
        <v>0-CONT1X</v>
      </c>
      <c r="AF621" s="1291" t="str">
        <f t="shared" si="584"/>
        <v>0-CONT1A</v>
      </c>
      <c r="AG621" s="1291">
        <f t="shared" si="524"/>
        <v>3</v>
      </c>
      <c r="AH621" s="1291">
        <f>IF(B621&lt;&gt;"",+IF(H621="x",+VLOOKUP(I621,'AUX-NIV2'!B:AG,32,FALSE),0),"")</f>
        <v>0</v>
      </c>
      <c r="AI621" s="1291" t="str">
        <f t="shared" si="585"/>
        <v>0-CONT1</v>
      </c>
      <c r="AK621" s="347">
        <f t="shared" si="526"/>
        <v>620</v>
      </c>
      <c r="AL621" s="348">
        <f t="shared" si="586"/>
        <v>622</v>
      </c>
      <c r="AM621" s="347">
        <f t="shared" si="587"/>
        <v>2</v>
      </c>
      <c r="AN621" s="382">
        <f>IF(AND(AH621&gt;0,B621&lt;&gt;""),VLOOKUP(I621,'AUX-NIV2'!$B:$AP,40,FALSE)*O621,0)</f>
        <v>0</v>
      </c>
      <c r="AO621" s="382">
        <f t="shared" si="529"/>
        <v>1.5</v>
      </c>
      <c r="AQ621" s="395">
        <f>(IF($H621="x",VLOOKUP($I621,'AUX-NIV2'!$B:$X,'AUX-NIV1'!AQ$3,FALSE),0)+($AV621*'AUX-NIV3'!S$4))*$O621+IF($H621=AQ$4,$P621,0)</f>
        <v>248.45797719637912</v>
      </c>
      <c r="AR621" s="395">
        <f>(IF($H621="x",VLOOKUP($I621,'AUX-NIV2'!$B:$X,'AUX-NIV1'!AR$3,FALSE),0)+($AV621*'AUX-NIV3'!T$4))*$O621+IF($H621=AR$4,$P621,0)</f>
        <v>0</v>
      </c>
      <c r="AS621" s="395">
        <f>(IF($H621="x",VLOOKUP($I621,'AUX-NIV2'!$B:$X,'AUX-NIV1'!AS$3,FALSE),0)+($AV621*'AUX-NIV3'!U$4))*$O621+IF($H621=AS$4,$P621,0)</f>
        <v>0</v>
      </c>
      <c r="AT621" s="395">
        <f>(IF($H621="x",VLOOKUP($I621,'AUX-NIV2'!$B:$X,'AUX-NIV1'!AT$3,FALSE),0)+($AV621*'AUX-NIV3'!V$4))*$O621+IF($H621=AT$4,$P621,0)</f>
        <v>0</v>
      </c>
      <c r="AU621" s="395">
        <f>(IF($H621="x",VLOOKUP($I621,'AUX-NIV2'!$B:$X,'AUX-NIV1'!AU$3,FALSE),0)+($AV621*'AUX-NIV3'!W$4))*$O621+IF($H621=AU$4,$P621,0)</f>
        <v>0</v>
      </c>
      <c r="AV621" s="395">
        <f>+IF($H621="x",VLOOKUP($I621,'AUX-NIV2'!$B:$X,'AUX-NIV1'!AV$3,FALSE),0)</f>
        <v>0</v>
      </c>
    </row>
    <row r="622" spans="2:48" ht="13.8" hidden="1" thickBot="1">
      <c r="B622" s="501" t="s">
        <v>3747</v>
      </c>
      <c r="C622" s="951" t="s">
        <v>3750</v>
      </c>
      <c r="D622" s="1280" t="s">
        <v>501</v>
      </c>
      <c r="E622" s="1281">
        <f>IF(B622&lt;&gt;"",+SUMIF(Items!C:C,'AUX-NIV1'!B622,Items!H:H),"")</f>
        <v>0</v>
      </c>
      <c r="F622" s="1281">
        <f t="shared" si="505"/>
        <v>1406.2755949756961</v>
      </c>
      <c r="G622" s="1281">
        <f t="shared" si="506"/>
        <v>0</v>
      </c>
      <c r="H622" s="1395" t="str">
        <f t="shared" si="434"/>
        <v>A</v>
      </c>
      <c r="I622" s="1375" t="s">
        <v>1745</v>
      </c>
      <c r="J622" s="1283" t="str">
        <f>IF(B622&lt;&gt;"",+VLOOKUP(I622,Recursos!C:F,2,FALSE),"")</f>
        <v>AYUDANTE</v>
      </c>
      <c r="K622" s="1284" t="str">
        <f>IF(B622&lt;&gt;"",+VLOOKUP(I622,Recursos!C:F,3,FALSE),"")</f>
        <v>hh</v>
      </c>
      <c r="L622" s="1285">
        <f>IF(B622&lt;&gt;"",+VLOOKUP(I622,Recursos!C:F,4,FALSE),"")</f>
        <v>422.48042769667234</v>
      </c>
      <c r="M622" s="1330">
        <v>2</v>
      </c>
      <c r="N622" s="1360"/>
      <c r="O622" s="1286">
        <f>M622/N621</f>
        <v>1</v>
      </c>
      <c r="P622" s="1287">
        <f t="shared" si="575"/>
        <v>422.48042769667234</v>
      </c>
      <c r="Q622" s="1281">
        <f t="shared" si="576"/>
        <v>0</v>
      </c>
      <c r="R622" s="1288">
        <f t="shared" si="577"/>
        <v>0</v>
      </c>
      <c r="S622" s="1289">
        <f t="shared" si="511"/>
        <v>670.93840489305148</v>
      </c>
      <c r="T622" s="1289">
        <f t="shared" si="512"/>
        <v>0</v>
      </c>
      <c r="U622" s="1290">
        <f t="shared" si="513"/>
        <v>0</v>
      </c>
      <c r="V622" s="1290">
        <f t="shared" si="514"/>
        <v>0</v>
      </c>
      <c r="W622" s="1290">
        <f t="shared" si="515"/>
        <v>0</v>
      </c>
      <c r="X622" s="1290">
        <f t="shared" si="516"/>
        <v>735.33719008264472</v>
      </c>
      <c r="Y622" s="396"/>
      <c r="Z622" s="1291" t="str">
        <f t="shared" si="578"/>
        <v>0-CONT1A</v>
      </c>
      <c r="AA622" s="1291" t="str">
        <f t="shared" si="579"/>
        <v>0-CONT1E</v>
      </c>
      <c r="AB622" s="1291" t="str">
        <f t="shared" si="580"/>
        <v>0-CONT1M</v>
      </c>
      <c r="AC622" s="1291" t="str">
        <f t="shared" si="581"/>
        <v>0-CONT1T</v>
      </c>
      <c r="AD622" s="1291" t="str">
        <f t="shared" si="582"/>
        <v>0-CONT1S</v>
      </c>
      <c r="AE622" s="1291" t="str">
        <f t="shared" si="583"/>
        <v>0-CONT1X</v>
      </c>
      <c r="AF622" s="1291" t="str">
        <f t="shared" si="584"/>
        <v>0-CONT1A</v>
      </c>
      <c r="AG622" s="1291">
        <f t="shared" si="524"/>
        <v>3</v>
      </c>
      <c r="AH622" s="1291">
        <f>IF(B622&lt;&gt;"",+IF(H622="x",+VLOOKUP(I622,'AUX-NIV2'!B:AG,32,FALSE),0),"")</f>
        <v>0</v>
      </c>
      <c r="AI622" s="1291" t="str">
        <f t="shared" si="585"/>
        <v>0-CONT1</v>
      </c>
      <c r="AK622" s="347">
        <f t="shared" si="526"/>
        <v>620</v>
      </c>
      <c r="AL622" s="348">
        <f t="shared" si="586"/>
        <v>622</v>
      </c>
      <c r="AM622" s="347">
        <f t="shared" si="587"/>
        <v>3</v>
      </c>
      <c r="AN622" s="382">
        <f>IF(AND(AH622&gt;0,B622&lt;&gt;""),VLOOKUP(I622,'AUX-NIV2'!$B:$AP,40,FALSE)*O622,0)</f>
        <v>0</v>
      </c>
      <c r="AO622" s="382">
        <f t="shared" si="529"/>
        <v>1.5</v>
      </c>
      <c r="AQ622" s="395">
        <f>(IF($H622="x",VLOOKUP($I622,'AUX-NIV2'!$B:$X,'AUX-NIV1'!AQ$3,FALSE),0)+($AV622*'AUX-NIV3'!S$4))*$O622+IF($H622=AQ$4,$P622,0)</f>
        <v>422.48042769667234</v>
      </c>
      <c r="AR622" s="395">
        <f>(IF($H622="x",VLOOKUP($I622,'AUX-NIV2'!$B:$X,'AUX-NIV1'!AR$3,FALSE),0)+($AV622*'AUX-NIV3'!T$4))*$O622+IF($H622=AR$4,$P622,0)</f>
        <v>0</v>
      </c>
      <c r="AS622" s="395">
        <f>(IF($H622="x",VLOOKUP($I622,'AUX-NIV2'!$B:$X,'AUX-NIV1'!AS$3,FALSE),0)+($AV622*'AUX-NIV3'!U$4))*$O622+IF($H622=AS$4,$P622,0)</f>
        <v>0</v>
      </c>
      <c r="AT622" s="395">
        <f>(IF($H622="x",VLOOKUP($I622,'AUX-NIV2'!$B:$X,'AUX-NIV1'!AT$3,FALSE),0)+($AV622*'AUX-NIV3'!V$4))*$O622+IF($H622=AT$4,$P622,0)</f>
        <v>0</v>
      </c>
      <c r="AU622" s="395">
        <f>(IF($H622="x",VLOOKUP($I622,'AUX-NIV2'!$B:$X,'AUX-NIV1'!AU$3,FALSE),0)+($AV622*'AUX-NIV3'!W$4))*$O622+IF($H622=AU$4,$P622,0)</f>
        <v>0</v>
      </c>
      <c r="AV622" s="395">
        <f>+IF($H622="x",VLOOKUP($I622,'AUX-NIV2'!$B:$X,'AUX-NIV1'!AV$3,FALSE),0)</f>
        <v>0</v>
      </c>
    </row>
    <row r="623" spans="2:48" ht="14.4" hidden="1" thickTop="1" thickBot="1">
      <c r="B623" s="501" t="s">
        <v>3748</v>
      </c>
      <c r="C623" s="951" t="s">
        <v>3751</v>
      </c>
      <c r="D623" s="1280" t="s">
        <v>501</v>
      </c>
      <c r="E623" s="1281">
        <f>IF(B623&lt;&gt;"",+SUMIF(Items!C:C,'AUX-NIV1'!B623,Items!H:H),"")</f>
        <v>0</v>
      </c>
      <c r="F623" s="1281">
        <f t="shared" si="505"/>
        <v>2858.7161826708298</v>
      </c>
      <c r="G623" s="1281">
        <f t="shared" si="506"/>
        <v>0</v>
      </c>
      <c r="H623" s="1395" t="str">
        <f t="shared" si="434"/>
        <v>M</v>
      </c>
      <c r="I623" s="1375" t="s">
        <v>3695</v>
      </c>
      <c r="J623" s="1283" t="str">
        <f>IF(B623&lt;&gt;"",+VLOOKUP(I623,Recursos!C:F,2,FALSE),"")</f>
        <v>HORMIGON ELABORADO H21 TRANSPORTADO</v>
      </c>
      <c r="K623" s="1284" t="str">
        <f>IF(B623&lt;&gt;"",+VLOOKUP(I623,Recursos!C:F,3,FALSE),"")</f>
        <v>m3</v>
      </c>
      <c r="L623" s="1285">
        <f>IF(B623&lt;&gt;"",+VLOOKUP(I623,Recursos!C:F,4,FALSE),"")</f>
        <v>4400</v>
      </c>
      <c r="M623" s="743"/>
      <c r="N623" s="1292">
        <v>0.15</v>
      </c>
      <c r="O623" s="1286">
        <f>N623</f>
        <v>0.15</v>
      </c>
      <c r="P623" s="1287">
        <f t="shared" si="575"/>
        <v>660</v>
      </c>
      <c r="Q623" s="1281">
        <f t="shared" si="576"/>
        <v>0</v>
      </c>
      <c r="R623" s="1288">
        <f t="shared" si="577"/>
        <v>0</v>
      </c>
      <c r="S623" s="1289">
        <f t="shared" si="511"/>
        <v>670.93840489305148</v>
      </c>
      <c r="T623" s="1289">
        <f t="shared" si="512"/>
        <v>0</v>
      </c>
      <c r="U623" s="1290">
        <f t="shared" si="513"/>
        <v>2187.7777777777783</v>
      </c>
      <c r="V623" s="1290">
        <f t="shared" si="514"/>
        <v>0</v>
      </c>
      <c r="W623" s="1290">
        <f t="shared" si="515"/>
        <v>0</v>
      </c>
      <c r="X623" s="1290">
        <f t="shared" si="516"/>
        <v>0</v>
      </c>
      <c r="Y623" s="396"/>
      <c r="Z623" s="1291" t="str">
        <f t="shared" si="578"/>
        <v>0-CONT2A</v>
      </c>
      <c r="AA623" s="1291" t="str">
        <f t="shared" si="579"/>
        <v>0-CONT2E</v>
      </c>
      <c r="AB623" s="1291" t="str">
        <f t="shared" si="580"/>
        <v>0-CONT2M</v>
      </c>
      <c r="AC623" s="1291" t="str">
        <f t="shared" si="581"/>
        <v>0-CONT2T</v>
      </c>
      <c r="AD623" s="1291" t="str">
        <f t="shared" si="582"/>
        <v>0-CONT2S</v>
      </c>
      <c r="AE623" s="1291" t="str">
        <f t="shared" si="583"/>
        <v>0-CONT2X</v>
      </c>
      <c r="AF623" s="1291" t="str">
        <f t="shared" si="584"/>
        <v>0-CONT2M</v>
      </c>
      <c r="AG623" s="1291">
        <f t="shared" si="524"/>
        <v>4</v>
      </c>
      <c r="AH623" s="1291">
        <f>IF(B623&lt;&gt;"",+IF(H623="x",+VLOOKUP(I623,'AUX-NIV2'!B:AG,32,FALSE),0),"")</f>
        <v>0</v>
      </c>
      <c r="AI623" s="1291" t="str">
        <f t="shared" si="585"/>
        <v>0-CONT2</v>
      </c>
      <c r="AK623" s="347">
        <f t="shared" si="526"/>
        <v>623</v>
      </c>
      <c r="AL623" s="348">
        <f t="shared" si="586"/>
        <v>626</v>
      </c>
      <c r="AM623" s="347">
        <f t="shared" si="587"/>
        <v>1</v>
      </c>
      <c r="AN623" s="382">
        <f>IF(AND(AH623&gt;0,B623&lt;&gt;""),VLOOKUP(I623,'AUX-NIV2'!$B:$AP,40,FALSE)*O623,0)</f>
        <v>0</v>
      </c>
      <c r="AO623" s="382">
        <f t="shared" si="529"/>
        <v>1.5</v>
      </c>
      <c r="AQ623" s="395">
        <f>(IF($H623="x",VLOOKUP($I623,'AUX-NIV2'!$B:$X,'AUX-NIV1'!AQ$3,FALSE),0)+($AV623*'AUX-NIV3'!S$4))*$O623+IF($H623=AQ$4,$P623,0)</f>
        <v>0</v>
      </c>
      <c r="AR623" s="395">
        <f>(IF($H623="x",VLOOKUP($I623,'AUX-NIV2'!$B:$X,'AUX-NIV1'!AR$3,FALSE),0)+($AV623*'AUX-NIV3'!T$4))*$O623+IF($H623=AR$4,$P623,0)</f>
        <v>0</v>
      </c>
      <c r="AS623" s="395">
        <f>(IF($H623="x",VLOOKUP($I623,'AUX-NIV2'!$B:$X,'AUX-NIV1'!AS$3,FALSE),0)+($AV623*'AUX-NIV3'!U$4))*$O623+IF($H623=AS$4,$P623,0)</f>
        <v>660</v>
      </c>
      <c r="AT623" s="395">
        <f>(IF($H623="x",VLOOKUP($I623,'AUX-NIV2'!$B:$X,'AUX-NIV1'!AT$3,FALSE),0)+($AV623*'AUX-NIV3'!V$4))*$O623+IF($H623=AT$4,$P623,0)</f>
        <v>0</v>
      </c>
      <c r="AU623" s="395">
        <f>(IF($H623="x",VLOOKUP($I623,'AUX-NIV2'!$B:$X,'AUX-NIV1'!AU$3,FALSE),0)+($AV623*'AUX-NIV3'!W$4))*$O623+IF($H623=AU$4,$P623,0)</f>
        <v>0</v>
      </c>
      <c r="AV623" s="395">
        <f>+IF($H623="x",VLOOKUP($I623,'AUX-NIV2'!$B:$X,'AUX-NIV1'!AV$3,FALSE),0)</f>
        <v>0</v>
      </c>
    </row>
    <row r="624" spans="2:48" ht="13.8" hidden="1" thickBot="1">
      <c r="B624" s="501" t="s">
        <v>3748</v>
      </c>
      <c r="C624" s="951" t="s">
        <v>3751</v>
      </c>
      <c r="D624" s="1280" t="s">
        <v>501</v>
      </c>
      <c r="E624" s="1281">
        <f>IF(B624&lt;&gt;"",+SUMIF(Items!C:C,'AUX-NIV1'!B624,Items!H:H),"")</f>
        <v>0</v>
      </c>
      <c r="F624" s="1281">
        <f t="shared" si="505"/>
        <v>2858.7161826708298</v>
      </c>
      <c r="G624" s="1281">
        <f t="shared" si="506"/>
        <v>0</v>
      </c>
      <c r="H624" s="1395" t="str">
        <f t="shared" si="434"/>
        <v>A</v>
      </c>
      <c r="I624" s="1375" t="s">
        <v>1746</v>
      </c>
      <c r="J624" s="1283" t="str">
        <f>IF(B624&lt;&gt;"",+VLOOKUP(I624,Recursos!C:F,2,FALSE),"")</f>
        <v>OFICIAL</v>
      </c>
      <c r="K624" s="1284" t="str">
        <f>IF(B624&lt;&gt;"",+VLOOKUP(I624,Recursos!C:F,3,FALSE),"")</f>
        <v>hh</v>
      </c>
      <c r="L624" s="1285">
        <f>IF(B624&lt;&gt;"",+VLOOKUP(I624,Recursos!C:F,4,FALSE),"")</f>
        <v>496.91595439275824</v>
      </c>
      <c r="M624" s="1328">
        <v>1</v>
      </c>
      <c r="N624" s="1329">
        <v>2</v>
      </c>
      <c r="O624" s="1286">
        <f>M624/N624</f>
        <v>0.5</v>
      </c>
      <c r="P624" s="1287">
        <f t="shared" si="575"/>
        <v>248.45797719637912</v>
      </c>
      <c r="Q624" s="1281">
        <f t="shared" si="576"/>
        <v>0</v>
      </c>
      <c r="R624" s="1288">
        <f t="shared" si="577"/>
        <v>0</v>
      </c>
      <c r="S624" s="1289">
        <f t="shared" si="511"/>
        <v>670.93840489305148</v>
      </c>
      <c r="T624" s="1289">
        <f t="shared" si="512"/>
        <v>0</v>
      </c>
      <c r="U624" s="1290">
        <f t="shared" si="513"/>
        <v>2187.7777777777783</v>
      </c>
      <c r="V624" s="1290">
        <f t="shared" si="514"/>
        <v>0</v>
      </c>
      <c r="W624" s="1290">
        <f t="shared" si="515"/>
        <v>0</v>
      </c>
      <c r="X624" s="1290">
        <f t="shared" si="516"/>
        <v>0</v>
      </c>
      <c r="Y624" s="396"/>
      <c r="Z624" s="1291" t="str">
        <f t="shared" si="578"/>
        <v>0-CONT2A</v>
      </c>
      <c r="AA624" s="1291" t="str">
        <f t="shared" si="579"/>
        <v>0-CONT2E</v>
      </c>
      <c r="AB624" s="1291" t="str">
        <f t="shared" si="580"/>
        <v>0-CONT2M</v>
      </c>
      <c r="AC624" s="1291" t="str">
        <f t="shared" si="581"/>
        <v>0-CONT2T</v>
      </c>
      <c r="AD624" s="1291" t="str">
        <f t="shared" si="582"/>
        <v>0-CONT2S</v>
      </c>
      <c r="AE624" s="1291" t="str">
        <f t="shared" si="583"/>
        <v>0-CONT2X</v>
      </c>
      <c r="AF624" s="1291" t="str">
        <f t="shared" si="584"/>
        <v>0-CONT2A</v>
      </c>
      <c r="AG624" s="1291">
        <f t="shared" si="524"/>
        <v>4</v>
      </c>
      <c r="AH624" s="1291">
        <f>IF(B624&lt;&gt;"",+IF(H624="x",+VLOOKUP(I624,'AUX-NIV2'!B:AG,32,FALSE),0),"")</f>
        <v>0</v>
      </c>
      <c r="AI624" s="1291" t="str">
        <f t="shared" si="585"/>
        <v>0-CONT2</v>
      </c>
      <c r="AK624" s="347">
        <f t="shared" si="526"/>
        <v>623</v>
      </c>
      <c r="AL624" s="348">
        <f t="shared" si="586"/>
        <v>626</v>
      </c>
      <c r="AM624" s="347">
        <f t="shared" si="587"/>
        <v>2</v>
      </c>
      <c r="AN624" s="382">
        <f>IF(AND(AH624&gt;0,B624&lt;&gt;""),VLOOKUP(I624,'AUX-NIV2'!$B:$AP,40,FALSE)*O624,0)</f>
        <v>0</v>
      </c>
      <c r="AO624" s="382">
        <f t="shared" si="529"/>
        <v>1.5</v>
      </c>
      <c r="AQ624" s="395">
        <f>(IF($H624="x",VLOOKUP($I624,'AUX-NIV2'!$B:$X,'AUX-NIV1'!AQ$3,FALSE),0)+($AV624*'AUX-NIV3'!S$4))*$O624+IF($H624=AQ$4,$P624,0)</f>
        <v>248.45797719637912</v>
      </c>
      <c r="AR624" s="395">
        <f>(IF($H624="x",VLOOKUP($I624,'AUX-NIV2'!$B:$X,'AUX-NIV1'!AR$3,FALSE),0)+($AV624*'AUX-NIV3'!T$4))*$O624+IF($H624=AR$4,$P624,0)</f>
        <v>0</v>
      </c>
      <c r="AS624" s="395">
        <f>(IF($H624="x",VLOOKUP($I624,'AUX-NIV2'!$B:$X,'AUX-NIV1'!AS$3,FALSE),0)+($AV624*'AUX-NIV3'!U$4))*$O624+IF($H624=AS$4,$P624,0)</f>
        <v>0</v>
      </c>
      <c r="AT624" s="395">
        <f>(IF($H624="x",VLOOKUP($I624,'AUX-NIV2'!$B:$X,'AUX-NIV1'!AT$3,FALSE),0)+($AV624*'AUX-NIV3'!V$4))*$O624+IF($H624=AT$4,$P624,0)</f>
        <v>0</v>
      </c>
      <c r="AU624" s="395">
        <f>(IF($H624="x",VLOOKUP($I624,'AUX-NIV2'!$B:$X,'AUX-NIV1'!AU$3,FALSE),0)+($AV624*'AUX-NIV3'!W$4))*$O624+IF($H624=AU$4,$P624,0)</f>
        <v>0</v>
      </c>
      <c r="AV624" s="395">
        <f>+IF($H624="x",VLOOKUP($I624,'AUX-NIV2'!$B:$X,'AUX-NIV1'!AV$3,FALSE),0)</f>
        <v>0</v>
      </c>
    </row>
    <row r="625" spans="2:48" ht="13.8" hidden="1" thickBot="1">
      <c r="B625" s="501" t="s">
        <v>3748</v>
      </c>
      <c r="C625" s="951" t="s">
        <v>3751</v>
      </c>
      <c r="D625" s="1280" t="s">
        <v>501</v>
      </c>
      <c r="E625" s="1281">
        <f>IF(B625&lt;&gt;"",+SUMIF(Items!C:C,'AUX-NIV1'!B625,Items!H:H),"")</f>
        <v>0</v>
      </c>
      <c r="F625" s="1281">
        <f t="shared" si="505"/>
        <v>2858.7161826708298</v>
      </c>
      <c r="G625" s="1281">
        <f t="shared" si="506"/>
        <v>0</v>
      </c>
      <c r="H625" s="1395" t="str">
        <f t="shared" si="434"/>
        <v>A</v>
      </c>
      <c r="I625" s="1375" t="s">
        <v>1745</v>
      </c>
      <c r="J625" s="1283" t="str">
        <f>IF(B625&lt;&gt;"",+VLOOKUP(I625,Recursos!C:F,2,FALSE),"")</f>
        <v>AYUDANTE</v>
      </c>
      <c r="K625" s="1284" t="str">
        <f>IF(B625&lt;&gt;"",+VLOOKUP(I625,Recursos!C:F,3,FALSE),"")</f>
        <v>hh</v>
      </c>
      <c r="L625" s="1285">
        <f>IF(B625&lt;&gt;"",+VLOOKUP(I625,Recursos!C:F,4,FALSE),"")</f>
        <v>422.48042769667234</v>
      </c>
      <c r="M625" s="1328">
        <v>2</v>
      </c>
      <c r="N625" s="1362"/>
      <c r="O625" s="1286">
        <f>M625/N624</f>
        <v>1</v>
      </c>
      <c r="P625" s="1287">
        <f t="shared" si="575"/>
        <v>422.48042769667234</v>
      </c>
      <c r="Q625" s="1281">
        <f t="shared" si="576"/>
        <v>0</v>
      </c>
      <c r="R625" s="1288">
        <f t="shared" si="577"/>
        <v>0</v>
      </c>
      <c r="S625" s="1289">
        <f t="shared" si="511"/>
        <v>670.93840489305148</v>
      </c>
      <c r="T625" s="1289">
        <f t="shared" si="512"/>
        <v>0</v>
      </c>
      <c r="U625" s="1290">
        <f t="shared" si="513"/>
        <v>2187.7777777777783</v>
      </c>
      <c r="V625" s="1290">
        <f t="shared" si="514"/>
        <v>0</v>
      </c>
      <c r="W625" s="1290">
        <f t="shared" si="515"/>
        <v>0</v>
      </c>
      <c r="X625" s="1290">
        <f t="shared" si="516"/>
        <v>0</v>
      </c>
      <c r="Y625" s="396"/>
      <c r="Z625" s="1291" t="str">
        <f t="shared" si="578"/>
        <v>0-CONT2A</v>
      </c>
      <c r="AA625" s="1291" t="str">
        <f t="shared" si="579"/>
        <v>0-CONT2E</v>
      </c>
      <c r="AB625" s="1291" t="str">
        <f t="shared" si="580"/>
        <v>0-CONT2M</v>
      </c>
      <c r="AC625" s="1291" t="str">
        <f t="shared" si="581"/>
        <v>0-CONT2T</v>
      </c>
      <c r="AD625" s="1291" t="str">
        <f t="shared" si="582"/>
        <v>0-CONT2S</v>
      </c>
      <c r="AE625" s="1291" t="str">
        <f t="shared" si="583"/>
        <v>0-CONT2X</v>
      </c>
      <c r="AF625" s="1291" t="str">
        <f t="shared" si="584"/>
        <v>0-CONT2A</v>
      </c>
      <c r="AG625" s="1291">
        <f t="shared" si="524"/>
        <v>4</v>
      </c>
      <c r="AH625" s="1291">
        <f>IF(B625&lt;&gt;"",+IF(H625="x",+VLOOKUP(I625,'AUX-NIV2'!B:AG,32,FALSE),0),"")</f>
        <v>0</v>
      </c>
      <c r="AI625" s="1291" t="str">
        <f t="shared" si="585"/>
        <v>0-CONT2</v>
      </c>
      <c r="AK625" s="347">
        <f t="shared" si="526"/>
        <v>623</v>
      </c>
      <c r="AL625" s="348">
        <f t="shared" si="586"/>
        <v>626</v>
      </c>
      <c r="AM625" s="347">
        <f t="shared" si="587"/>
        <v>3</v>
      </c>
      <c r="AN625" s="382">
        <f>IF(AND(AH625&gt;0,B625&lt;&gt;""),VLOOKUP(I625,'AUX-NIV2'!$B:$AP,40,FALSE)*O625,0)</f>
        <v>0</v>
      </c>
      <c r="AO625" s="382">
        <f t="shared" si="529"/>
        <v>1.5</v>
      </c>
      <c r="AQ625" s="395">
        <f>(IF($H625="x",VLOOKUP($I625,'AUX-NIV2'!$B:$X,'AUX-NIV1'!AQ$3,FALSE),0)+($AV625*'AUX-NIV3'!S$4))*$O625+IF($H625=AQ$4,$P625,0)</f>
        <v>422.48042769667234</v>
      </c>
      <c r="AR625" s="395">
        <f>(IF($H625="x",VLOOKUP($I625,'AUX-NIV2'!$B:$X,'AUX-NIV1'!AR$3,FALSE),0)+($AV625*'AUX-NIV3'!T$4))*$O625+IF($H625=AR$4,$P625,0)</f>
        <v>0</v>
      </c>
      <c r="AS625" s="395">
        <f>(IF($H625="x",VLOOKUP($I625,'AUX-NIV2'!$B:$X,'AUX-NIV1'!AS$3,FALSE),0)+($AV625*'AUX-NIV3'!U$4))*$O625+IF($H625=AS$4,$P625,0)</f>
        <v>0</v>
      </c>
      <c r="AT625" s="395">
        <f>(IF($H625="x",VLOOKUP($I625,'AUX-NIV2'!$B:$X,'AUX-NIV1'!AT$3,FALSE),0)+($AV625*'AUX-NIV3'!V$4))*$O625+IF($H625=AT$4,$P625,0)</f>
        <v>0</v>
      </c>
      <c r="AU625" s="395">
        <f>(IF($H625="x",VLOOKUP($I625,'AUX-NIV2'!$B:$X,'AUX-NIV1'!AU$3,FALSE),0)+($AV625*'AUX-NIV3'!W$4))*$O625+IF($H625=AU$4,$P625,0)</f>
        <v>0</v>
      </c>
      <c r="AV625" s="395">
        <f>+IF($H625="x",VLOOKUP($I625,'AUX-NIV2'!$B:$X,'AUX-NIV1'!AV$3,FALSE),0)</f>
        <v>0</v>
      </c>
    </row>
    <row r="626" spans="2:48" ht="13.8" hidden="1" thickBot="1">
      <c r="B626" s="501" t="s">
        <v>3748</v>
      </c>
      <c r="C626" s="951" t="s">
        <v>3751</v>
      </c>
      <c r="D626" s="1280" t="s">
        <v>501</v>
      </c>
      <c r="E626" s="1281">
        <f>IF(B626&lt;&gt;"",+SUMIF(Items!C:C,'AUX-NIV1'!B626,Items!H:H),"")</f>
        <v>0</v>
      </c>
      <c r="F626" s="1281">
        <f t="shared" si="505"/>
        <v>2858.7161826708298</v>
      </c>
      <c r="G626" s="1281">
        <f t="shared" si="506"/>
        <v>0</v>
      </c>
      <c r="H626" s="1395" t="str">
        <f t="shared" si="434"/>
        <v>M</v>
      </c>
      <c r="I626" s="1375" t="s">
        <v>1807</v>
      </c>
      <c r="J626" s="1283" t="str">
        <f>IF(B626&lt;&gt;"",+VLOOKUP(I626,Recursos!C:F,2,FALSE),"")</f>
        <v>MALLA SIMA Q335 8mm 15x15</v>
      </c>
      <c r="K626" s="1284" t="str">
        <f>IF(B626&lt;&gt;"",+VLOOKUP(I626,Recursos!C:F,3,FALSE),"")</f>
        <v>m2</v>
      </c>
      <c r="L626" s="1285">
        <f>IF(B626&lt;&gt;"",+VLOOKUP(I626,Recursos!C:F,4,FALSE),"")</f>
        <v>763.88888888888903</v>
      </c>
      <c r="M626" s="1335"/>
      <c r="N626" s="1331">
        <v>2</v>
      </c>
      <c r="O626" s="1286">
        <f>N626</f>
        <v>2</v>
      </c>
      <c r="P626" s="1287">
        <f t="shared" si="575"/>
        <v>1527.7777777777781</v>
      </c>
      <c r="Q626" s="1281">
        <f t="shared" si="576"/>
        <v>0</v>
      </c>
      <c r="R626" s="1288">
        <f t="shared" si="577"/>
        <v>0</v>
      </c>
      <c r="S626" s="1289">
        <f t="shared" si="511"/>
        <v>670.93840489305148</v>
      </c>
      <c r="T626" s="1289">
        <f t="shared" si="512"/>
        <v>0</v>
      </c>
      <c r="U626" s="1290">
        <f t="shared" si="513"/>
        <v>2187.7777777777783</v>
      </c>
      <c r="V626" s="1290">
        <f t="shared" si="514"/>
        <v>0</v>
      </c>
      <c r="W626" s="1290">
        <f t="shared" si="515"/>
        <v>0</v>
      </c>
      <c r="X626" s="1290">
        <f t="shared" si="516"/>
        <v>0</v>
      </c>
      <c r="Y626" s="396"/>
      <c r="Z626" s="1291" t="str">
        <f t="shared" si="578"/>
        <v>0-CONT2A</v>
      </c>
      <c r="AA626" s="1291" t="str">
        <f t="shared" si="579"/>
        <v>0-CONT2E</v>
      </c>
      <c r="AB626" s="1291" t="str">
        <f t="shared" si="580"/>
        <v>0-CONT2M</v>
      </c>
      <c r="AC626" s="1291" t="str">
        <f t="shared" si="581"/>
        <v>0-CONT2T</v>
      </c>
      <c r="AD626" s="1291" t="str">
        <f t="shared" si="582"/>
        <v>0-CONT2S</v>
      </c>
      <c r="AE626" s="1291" t="str">
        <f t="shared" si="583"/>
        <v>0-CONT2X</v>
      </c>
      <c r="AF626" s="1291" t="str">
        <f t="shared" si="584"/>
        <v>0-CONT2M</v>
      </c>
      <c r="AG626" s="1291">
        <f t="shared" si="524"/>
        <v>4</v>
      </c>
      <c r="AH626" s="1291">
        <f>IF(B626&lt;&gt;"",+IF(H626="x",+VLOOKUP(I626,'AUX-NIV2'!B:AG,32,FALSE),0),"")</f>
        <v>0</v>
      </c>
      <c r="AI626" s="1291" t="str">
        <f t="shared" si="585"/>
        <v>0-CONT2</v>
      </c>
      <c r="AK626" s="347">
        <f t="shared" si="526"/>
        <v>623</v>
      </c>
      <c r="AL626" s="348">
        <f t="shared" si="586"/>
        <v>626</v>
      </c>
      <c r="AM626" s="347">
        <f t="shared" si="587"/>
        <v>4</v>
      </c>
      <c r="AN626" s="382">
        <f>IF(AND(AH626&gt;0,B626&lt;&gt;""),VLOOKUP(I626,'AUX-NIV2'!$B:$AP,40,FALSE)*O626,0)</f>
        <v>0</v>
      </c>
      <c r="AO626" s="382">
        <f t="shared" si="529"/>
        <v>1.5</v>
      </c>
      <c r="AQ626" s="395">
        <f>(IF($H626="x",VLOOKUP($I626,'AUX-NIV2'!$B:$X,'AUX-NIV1'!AQ$3,FALSE),0)+($AV626*'AUX-NIV3'!S$4))*$O626+IF($H626=AQ$4,$P626,0)</f>
        <v>0</v>
      </c>
      <c r="AR626" s="395">
        <f>(IF($H626="x",VLOOKUP($I626,'AUX-NIV2'!$B:$X,'AUX-NIV1'!AR$3,FALSE),0)+($AV626*'AUX-NIV3'!T$4))*$O626+IF($H626=AR$4,$P626,0)</f>
        <v>0</v>
      </c>
      <c r="AS626" s="395">
        <f>(IF($H626="x",VLOOKUP($I626,'AUX-NIV2'!$B:$X,'AUX-NIV1'!AS$3,FALSE),0)+($AV626*'AUX-NIV3'!U$4))*$O626+IF($H626=AS$4,$P626,0)</f>
        <v>1527.7777777777781</v>
      </c>
      <c r="AT626" s="395">
        <f>(IF($H626="x",VLOOKUP($I626,'AUX-NIV2'!$B:$X,'AUX-NIV1'!AT$3,FALSE),0)+($AV626*'AUX-NIV3'!V$4))*$O626+IF($H626=AT$4,$P626,0)</f>
        <v>0</v>
      </c>
      <c r="AU626" s="395">
        <f>(IF($H626="x",VLOOKUP($I626,'AUX-NIV2'!$B:$X,'AUX-NIV1'!AU$3,FALSE),0)+($AV626*'AUX-NIV3'!W$4))*$O626+IF($H626=AU$4,$P626,0)</f>
        <v>0</v>
      </c>
      <c r="AV626" s="395">
        <f>+IF($H626="x",VLOOKUP($I626,'AUX-NIV2'!$B:$X,'AUX-NIV1'!AV$3,FALSE),0)</f>
        <v>0</v>
      </c>
    </row>
    <row r="627" spans="2:48" ht="14.4" hidden="1" thickTop="1" thickBot="1">
      <c r="B627" s="501" t="s">
        <v>3749</v>
      </c>
      <c r="C627" s="951" t="s">
        <v>3752</v>
      </c>
      <c r="D627" s="1280" t="s">
        <v>501</v>
      </c>
      <c r="E627" s="1281">
        <f>IF(B627&lt;&gt;"",+SUMIF(Items!C:C,'AUX-NIV1'!B627,Items!H:H),"")</f>
        <v>0</v>
      </c>
      <c r="F627" s="1281">
        <f t="shared" si="505"/>
        <v>1651.3879916699111</v>
      </c>
      <c r="G627" s="1281">
        <f t="shared" si="506"/>
        <v>0</v>
      </c>
      <c r="H627" s="1395" t="str">
        <f t="shared" ref="H627:H629" si="602">IF(B627&lt;&gt;"",+LEFT(I627,1),"")</f>
        <v>X</v>
      </c>
      <c r="I627" s="1375" t="s">
        <v>3745</v>
      </c>
      <c r="J627" s="1283" t="str">
        <f>IF(B627&lt;&gt;"",+VLOOKUP(I627,Recursos!C:F,2,FALSE),"")</f>
        <v>Contrapiso</v>
      </c>
      <c r="K627" s="1284" t="str">
        <f>IF(B627&lt;&gt;"",+VLOOKUP(I627,Recursos!C:F,3,FALSE),"")</f>
        <v>m3</v>
      </c>
      <c r="L627" s="1285">
        <f>IF(B627&lt;&gt;"",+VLOOKUP(I627,Recursos!C:F,4,FALSE),"")</f>
        <v>4902.2479338842986</v>
      </c>
      <c r="M627" s="743"/>
      <c r="N627" s="1292">
        <v>0.2</v>
      </c>
      <c r="O627" s="1286">
        <f>N627</f>
        <v>0.2</v>
      </c>
      <c r="P627" s="1287">
        <f t="shared" ref="P627:P629" si="603">IF(B627&lt;&gt;"",O627*L627,"")</f>
        <v>980.44958677685975</v>
      </c>
      <c r="Q627" s="1281">
        <f t="shared" ref="Q627:Q629" si="604">IF(B627&lt;&gt;"",+O627*E627,"")</f>
        <v>0</v>
      </c>
      <c r="R627" s="1288">
        <f t="shared" ref="R627:R629" si="605">IF(B627&lt;&gt;"",Q627*L627,"")</f>
        <v>0</v>
      </c>
      <c r="S627" s="1289">
        <f t="shared" si="511"/>
        <v>670.93840489305148</v>
      </c>
      <c r="T627" s="1289">
        <f t="shared" si="512"/>
        <v>0</v>
      </c>
      <c r="U627" s="1290">
        <f t="shared" si="513"/>
        <v>0</v>
      </c>
      <c r="V627" s="1290">
        <f t="shared" si="514"/>
        <v>0</v>
      </c>
      <c r="W627" s="1290">
        <f t="shared" si="515"/>
        <v>0</v>
      </c>
      <c r="X627" s="1290">
        <f t="shared" si="516"/>
        <v>980.44958677685975</v>
      </c>
      <c r="Y627" s="396"/>
      <c r="Z627" s="1291" t="str">
        <f t="shared" ref="Z627:Z629" si="606">IF(B627&lt;&gt;"",+$B627&amp;"A","")</f>
        <v>0-CONT3A</v>
      </c>
      <c r="AA627" s="1291" t="str">
        <f t="shared" ref="AA627:AA629" si="607">IF(B627&lt;&gt;"",+$B627&amp;"E","")</f>
        <v>0-CONT3E</v>
      </c>
      <c r="AB627" s="1291" t="str">
        <f t="shared" ref="AB627:AB629" si="608">IF(B627&lt;&gt;"",++$B627&amp;"M","")</f>
        <v>0-CONT3M</v>
      </c>
      <c r="AC627" s="1291" t="str">
        <f t="shared" ref="AC627:AC629" si="609">IF(B627&lt;&gt;"",+$B627&amp;"T","")</f>
        <v>0-CONT3T</v>
      </c>
      <c r="AD627" s="1291" t="str">
        <f t="shared" ref="AD627:AD629" si="610">IF(B627&lt;&gt;"",+$B627&amp;"S","")</f>
        <v>0-CONT3S</v>
      </c>
      <c r="AE627" s="1291" t="str">
        <f t="shared" ref="AE627:AE629" si="611">IF(B627&lt;&gt;"",+$B627&amp;"X","")</f>
        <v>0-CONT3X</v>
      </c>
      <c r="AF627" s="1291" t="str">
        <f t="shared" ref="AF627:AF629" si="612">IF(B627&lt;&gt;"",+B627&amp;H627,"")</f>
        <v>0-CONT3X</v>
      </c>
      <c r="AG627" s="1291">
        <f t="shared" si="524"/>
        <v>3</v>
      </c>
      <c r="AH627" s="1291">
        <f>IF(B627&lt;&gt;"",+IF(H627="x",+VLOOKUP(I627,'AUX-NIV2'!B:AG,32,FALSE),0),"")</f>
        <v>3</v>
      </c>
      <c r="AI627" s="1291" t="str">
        <f t="shared" ref="AI627:AI629" si="613">IF(B627&lt;&gt;"",+B627,"")</f>
        <v>0-CONT3</v>
      </c>
      <c r="AK627" s="347">
        <f t="shared" si="526"/>
        <v>627</v>
      </c>
      <c r="AL627" s="348">
        <f t="shared" ref="AL627:AL629" si="614">IF(B627&lt;&gt;"",+AK627+AG627-1,"")</f>
        <v>629</v>
      </c>
      <c r="AM627" s="347">
        <f t="shared" ref="AM627:AM629" si="615">IF(B627&lt;&gt;"",IF(B627=B626,1+AM626,1),"")</f>
        <v>1</v>
      </c>
      <c r="AN627" s="382">
        <f>IF(AND(AH627&gt;0,B627&lt;&gt;""),VLOOKUP(I627,'AUX-NIV2'!$B:$AP,40,FALSE)*O627,0)</f>
        <v>0</v>
      </c>
      <c r="AO627" s="382">
        <f t="shared" si="529"/>
        <v>1.5</v>
      </c>
      <c r="AQ627" s="395">
        <f>(IF($H627="x",VLOOKUP($I627,'AUX-NIV2'!$B:$X,'AUX-NIV1'!AQ$3,FALSE),0)+($AV627*'AUX-NIV3'!S$4))*$O627+IF($H627=AQ$4,$P627,0)</f>
        <v>0</v>
      </c>
      <c r="AR627" s="395">
        <f>(IF($H627="x",VLOOKUP($I627,'AUX-NIV2'!$B:$X,'AUX-NIV1'!AR$3,FALSE),0)+($AV627*'AUX-NIV3'!T$4))*$O627+IF($H627=AR$4,$P627,0)</f>
        <v>0</v>
      </c>
      <c r="AS627" s="395">
        <f>(IF($H627="x",VLOOKUP($I627,'AUX-NIV2'!$B:$X,'AUX-NIV1'!AS$3,FALSE),0)+($AV627*'AUX-NIV3'!U$4))*$O627+IF($H627=AS$4,$P627,0)</f>
        <v>980.44958677685975</v>
      </c>
      <c r="AT627" s="395">
        <f>(IF($H627="x",VLOOKUP($I627,'AUX-NIV2'!$B:$X,'AUX-NIV1'!AT$3,FALSE),0)+($AV627*'AUX-NIV3'!V$4))*$O627+IF($H627=AT$4,$P627,0)</f>
        <v>0</v>
      </c>
      <c r="AU627" s="395">
        <f>(IF($H627="x",VLOOKUP($I627,'AUX-NIV2'!$B:$X,'AUX-NIV1'!AU$3,FALSE),0)+($AV627*'AUX-NIV3'!W$4))*$O627+IF($H627=AU$4,$P627,0)</f>
        <v>0</v>
      </c>
      <c r="AV627" s="395">
        <f>+IF($H627="x",VLOOKUP($I627,'AUX-NIV2'!$B:$X,'AUX-NIV1'!AV$3,FALSE),0)</f>
        <v>0</v>
      </c>
    </row>
    <row r="628" spans="2:48" ht="13.8" hidden="1" thickBot="1">
      <c r="B628" s="501" t="s">
        <v>3749</v>
      </c>
      <c r="C628" s="951" t="s">
        <v>3752</v>
      </c>
      <c r="D628" s="1280" t="s">
        <v>501</v>
      </c>
      <c r="E628" s="1281">
        <f>IF(B628&lt;&gt;"",+SUMIF(Items!C:C,'AUX-NIV1'!B628,Items!H:H),"")</f>
        <v>0</v>
      </c>
      <c r="F628" s="1281">
        <f t="shared" si="505"/>
        <v>1651.3879916699111</v>
      </c>
      <c r="G628" s="1281">
        <f t="shared" si="506"/>
        <v>0</v>
      </c>
      <c r="H628" s="1395" t="str">
        <f t="shared" si="602"/>
        <v>A</v>
      </c>
      <c r="I628" s="1375" t="s">
        <v>1746</v>
      </c>
      <c r="J628" s="1283" t="str">
        <f>IF(B628&lt;&gt;"",+VLOOKUP(I628,Recursos!C:F,2,FALSE),"")</f>
        <v>OFICIAL</v>
      </c>
      <c r="K628" s="1284" t="str">
        <f>IF(B628&lt;&gt;"",+VLOOKUP(I628,Recursos!C:F,3,FALSE),"")</f>
        <v>hh</v>
      </c>
      <c r="L628" s="1285">
        <f>IF(B628&lt;&gt;"",+VLOOKUP(I628,Recursos!C:F,4,FALSE),"")</f>
        <v>496.91595439275824</v>
      </c>
      <c r="M628" s="1328">
        <v>1</v>
      </c>
      <c r="N628" s="1329">
        <v>2</v>
      </c>
      <c r="O628" s="1286">
        <f>M628/N628</f>
        <v>0.5</v>
      </c>
      <c r="P628" s="1287">
        <f t="shared" si="603"/>
        <v>248.45797719637912</v>
      </c>
      <c r="Q628" s="1281">
        <f t="shared" si="604"/>
        <v>0</v>
      </c>
      <c r="R628" s="1288">
        <f t="shared" si="605"/>
        <v>0</v>
      </c>
      <c r="S628" s="1289">
        <f t="shared" si="511"/>
        <v>670.93840489305148</v>
      </c>
      <c r="T628" s="1289">
        <f t="shared" si="512"/>
        <v>0</v>
      </c>
      <c r="U628" s="1290">
        <f t="shared" si="513"/>
        <v>0</v>
      </c>
      <c r="V628" s="1290">
        <f t="shared" si="514"/>
        <v>0</v>
      </c>
      <c r="W628" s="1290">
        <f t="shared" si="515"/>
        <v>0</v>
      </c>
      <c r="X628" s="1290">
        <f t="shared" si="516"/>
        <v>980.44958677685975</v>
      </c>
      <c r="Y628" s="396"/>
      <c r="Z628" s="1291" t="str">
        <f t="shared" si="606"/>
        <v>0-CONT3A</v>
      </c>
      <c r="AA628" s="1291" t="str">
        <f t="shared" si="607"/>
        <v>0-CONT3E</v>
      </c>
      <c r="AB628" s="1291" t="str">
        <f t="shared" si="608"/>
        <v>0-CONT3M</v>
      </c>
      <c r="AC628" s="1291" t="str">
        <f t="shared" si="609"/>
        <v>0-CONT3T</v>
      </c>
      <c r="AD628" s="1291" t="str">
        <f t="shared" si="610"/>
        <v>0-CONT3S</v>
      </c>
      <c r="AE628" s="1291" t="str">
        <f t="shared" si="611"/>
        <v>0-CONT3X</v>
      </c>
      <c r="AF628" s="1291" t="str">
        <f t="shared" si="612"/>
        <v>0-CONT3A</v>
      </c>
      <c r="AG628" s="1291">
        <f t="shared" si="524"/>
        <v>3</v>
      </c>
      <c r="AH628" s="1291">
        <f>IF(B628&lt;&gt;"",+IF(H628="x",+VLOOKUP(I628,'AUX-NIV2'!B:AG,32,FALSE),0),"")</f>
        <v>0</v>
      </c>
      <c r="AI628" s="1291" t="str">
        <f t="shared" si="613"/>
        <v>0-CONT3</v>
      </c>
      <c r="AK628" s="347">
        <f t="shared" si="526"/>
        <v>627</v>
      </c>
      <c r="AL628" s="348">
        <f t="shared" si="614"/>
        <v>629</v>
      </c>
      <c r="AM628" s="347">
        <f t="shared" si="615"/>
        <v>2</v>
      </c>
      <c r="AN628" s="382">
        <f>IF(AND(AH628&gt;0,B628&lt;&gt;""),VLOOKUP(I628,'AUX-NIV2'!$B:$AP,40,FALSE)*O628,0)</f>
        <v>0</v>
      </c>
      <c r="AO628" s="382">
        <f t="shared" si="529"/>
        <v>1.5</v>
      </c>
      <c r="AQ628" s="395">
        <f>(IF($H628="x",VLOOKUP($I628,'AUX-NIV2'!$B:$X,'AUX-NIV1'!AQ$3,FALSE),0)+($AV628*'AUX-NIV3'!S$4))*$O628+IF($H628=AQ$4,$P628,0)</f>
        <v>248.45797719637912</v>
      </c>
      <c r="AR628" s="395">
        <f>(IF($H628="x",VLOOKUP($I628,'AUX-NIV2'!$B:$X,'AUX-NIV1'!AR$3,FALSE),0)+($AV628*'AUX-NIV3'!T$4))*$O628+IF($H628=AR$4,$P628,0)</f>
        <v>0</v>
      </c>
      <c r="AS628" s="395">
        <f>(IF($H628="x",VLOOKUP($I628,'AUX-NIV2'!$B:$X,'AUX-NIV1'!AS$3,FALSE),0)+($AV628*'AUX-NIV3'!U$4))*$O628+IF($H628=AS$4,$P628,0)</f>
        <v>0</v>
      </c>
      <c r="AT628" s="395">
        <f>(IF($H628="x",VLOOKUP($I628,'AUX-NIV2'!$B:$X,'AUX-NIV1'!AT$3,FALSE),0)+($AV628*'AUX-NIV3'!V$4))*$O628+IF($H628=AT$4,$P628,0)</f>
        <v>0</v>
      </c>
      <c r="AU628" s="395">
        <f>(IF($H628="x",VLOOKUP($I628,'AUX-NIV2'!$B:$X,'AUX-NIV1'!AU$3,FALSE),0)+($AV628*'AUX-NIV3'!W$4))*$O628+IF($H628=AU$4,$P628,0)</f>
        <v>0</v>
      </c>
      <c r="AV628" s="395">
        <f>+IF($H628="x",VLOOKUP($I628,'AUX-NIV2'!$B:$X,'AUX-NIV1'!AV$3,FALSE),0)</f>
        <v>0</v>
      </c>
    </row>
    <row r="629" spans="2:48" ht="13.8" hidden="1" thickBot="1">
      <c r="B629" s="501" t="s">
        <v>3749</v>
      </c>
      <c r="C629" s="951" t="s">
        <v>3752</v>
      </c>
      <c r="D629" s="1280" t="s">
        <v>501</v>
      </c>
      <c r="E629" s="1281">
        <f>IF(B629&lt;&gt;"",+SUMIF(Items!C:C,'AUX-NIV1'!B629,Items!H:H),"")</f>
        <v>0</v>
      </c>
      <c r="F629" s="1281">
        <f t="shared" si="505"/>
        <v>1651.3879916699111</v>
      </c>
      <c r="G629" s="1281">
        <f t="shared" si="506"/>
        <v>0</v>
      </c>
      <c r="H629" s="1395" t="str">
        <f t="shared" si="602"/>
        <v>A</v>
      </c>
      <c r="I629" s="1375" t="s">
        <v>1745</v>
      </c>
      <c r="J629" s="1283" t="str">
        <f>IF(B629&lt;&gt;"",+VLOOKUP(I629,Recursos!C:F,2,FALSE),"")</f>
        <v>AYUDANTE</v>
      </c>
      <c r="K629" s="1284" t="str">
        <f>IF(B629&lt;&gt;"",+VLOOKUP(I629,Recursos!C:F,3,FALSE),"")</f>
        <v>hh</v>
      </c>
      <c r="L629" s="1285">
        <f>IF(B629&lt;&gt;"",+VLOOKUP(I629,Recursos!C:F,4,FALSE),"")</f>
        <v>422.48042769667234</v>
      </c>
      <c r="M629" s="1330">
        <v>2</v>
      </c>
      <c r="N629" s="1360"/>
      <c r="O629" s="1286">
        <f>M629/N628</f>
        <v>1</v>
      </c>
      <c r="P629" s="1287">
        <f t="shared" si="603"/>
        <v>422.48042769667234</v>
      </c>
      <c r="Q629" s="1281">
        <f t="shared" si="604"/>
        <v>0</v>
      </c>
      <c r="R629" s="1288">
        <f t="shared" si="605"/>
        <v>0</v>
      </c>
      <c r="S629" s="1289">
        <f t="shared" si="511"/>
        <v>670.93840489305148</v>
      </c>
      <c r="T629" s="1289">
        <f t="shared" si="512"/>
        <v>0</v>
      </c>
      <c r="U629" s="1290">
        <f t="shared" si="513"/>
        <v>0</v>
      </c>
      <c r="V629" s="1290">
        <f t="shared" si="514"/>
        <v>0</v>
      </c>
      <c r="W629" s="1290">
        <f t="shared" si="515"/>
        <v>0</v>
      </c>
      <c r="X629" s="1290">
        <f t="shared" si="516"/>
        <v>980.44958677685975</v>
      </c>
      <c r="Y629" s="396"/>
      <c r="Z629" s="1291" t="str">
        <f t="shared" si="606"/>
        <v>0-CONT3A</v>
      </c>
      <c r="AA629" s="1291" t="str">
        <f t="shared" si="607"/>
        <v>0-CONT3E</v>
      </c>
      <c r="AB629" s="1291" t="str">
        <f t="shared" si="608"/>
        <v>0-CONT3M</v>
      </c>
      <c r="AC629" s="1291" t="str">
        <f t="shared" si="609"/>
        <v>0-CONT3T</v>
      </c>
      <c r="AD629" s="1291" t="str">
        <f t="shared" si="610"/>
        <v>0-CONT3S</v>
      </c>
      <c r="AE629" s="1291" t="str">
        <f t="shared" si="611"/>
        <v>0-CONT3X</v>
      </c>
      <c r="AF629" s="1291" t="str">
        <f t="shared" si="612"/>
        <v>0-CONT3A</v>
      </c>
      <c r="AG629" s="1291">
        <f t="shared" si="524"/>
        <v>3</v>
      </c>
      <c r="AH629" s="1291">
        <f>IF(B629&lt;&gt;"",+IF(H629="x",+VLOOKUP(I629,'AUX-NIV2'!B:AG,32,FALSE),0),"")</f>
        <v>0</v>
      </c>
      <c r="AI629" s="1291" t="str">
        <f t="shared" si="613"/>
        <v>0-CONT3</v>
      </c>
      <c r="AK629" s="347">
        <f t="shared" si="526"/>
        <v>627</v>
      </c>
      <c r="AL629" s="348">
        <f t="shared" si="614"/>
        <v>629</v>
      </c>
      <c r="AM629" s="347">
        <f t="shared" si="615"/>
        <v>3</v>
      </c>
      <c r="AN629" s="382">
        <f>IF(AND(AH629&gt;0,B629&lt;&gt;""),VLOOKUP(I629,'AUX-NIV2'!$B:$AP,40,FALSE)*O629,0)</f>
        <v>0</v>
      </c>
      <c r="AO629" s="382">
        <f t="shared" si="529"/>
        <v>1.5</v>
      </c>
      <c r="AQ629" s="395">
        <f>(IF($H629="x",VLOOKUP($I629,'AUX-NIV2'!$B:$X,'AUX-NIV1'!AQ$3,FALSE),0)+($AV629*'AUX-NIV3'!S$4))*$O629+IF($H629=AQ$4,$P629,0)</f>
        <v>422.48042769667234</v>
      </c>
      <c r="AR629" s="395">
        <f>(IF($H629="x",VLOOKUP($I629,'AUX-NIV2'!$B:$X,'AUX-NIV1'!AR$3,FALSE),0)+($AV629*'AUX-NIV3'!T$4))*$O629+IF($H629=AR$4,$P629,0)</f>
        <v>0</v>
      </c>
      <c r="AS629" s="395">
        <f>(IF($H629="x",VLOOKUP($I629,'AUX-NIV2'!$B:$X,'AUX-NIV1'!AS$3,FALSE),0)+($AV629*'AUX-NIV3'!U$4))*$O629+IF($H629=AS$4,$P629,0)</f>
        <v>0</v>
      </c>
      <c r="AT629" s="395">
        <f>(IF($H629="x",VLOOKUP($I629,'AUX-NIV2'!$B:$X,'AUX-NIV1'!AT$3,FALSE),0)+($AV629*'AUX-NIV3'!V$4))*$O629+IF($H629=AT$4,$P629,0)</f>
        <v>0</v>
      </c>
      <c r="AU629" s="395">
        <f>(IF($H629="x",VLOOKUP($I629,'AUX-NIV2'!$B:$X,'AUX-NIV1'!AU$3,FALSE),0)+($AV629*'AUX-NIV3'!W$4))*$O629+IF($H629=AU$4,$P629,0)</f>
        <v>0</v>
      </c>
      <c r="AV629" s="395">
        <f>+IF($H629="x",VLOOKUP($I629,'AUX-NIV2'!$B:$X,'AUX-NIV1'!AV$3,FALSE),0)</f>
        <v>0</v>
      </c>
    </row>
    <row r="630" spans="2:48" ht="14.4" hidden="1" thickTop="1" thickBot="1">
      <c r="B630" s="501" t="s">
        <v>3753</v>
      </c>
      <c r="C630" s="951" t="s">
        <v>3537</v>
      </c>
      <c r="D630" s="1280" t="s">
        <v>501</v>
      </c>
      <c r="E630" s="1281">
        <f>IF(B630&lt;&gt;"",+SUMIF(Items!C:C,'AUX-NIV1'!B630,Items!H:H),"")</f>
        <v>0</v>
      </c>
      <c r="F630" s="1281">
        <f t="shared" si="505"/>
        <v>846.68125861205976</v>
      </c>
      <c r="G630" s="1281">
        <f t="shared" si="506"/>
        <v>0</v>
      </c>
      <c r="H630" s="1395" t="str">
        <f t="shared" si="434"/>
        <v>X</v>
      </c>
      <c r="I630" s="1375" t="s">
        <v>3735</v>
      </c>
      <c r="J630" s="1283" t="str">
        <f>IF(B630&lt;&gt;"",+VLOOKUP(I630,Recursos!C:F,2,FALSE),"")</f>
        <v>Mortero para ladrillos</v>
      </c>
      <c r="K630" s="1284" t="str">
        <f>IF(B630&lt;&gt;"",+VLOOKUP(I630,Recursos!C:F,3,FALSE),"")</f>
        <v>m3</v>
      </c>
      <c r="L630" s="1285">
        <f>IF(B630&lt;&gt;"",+VLOOKUP(I630,Recursos!C:F,4,FALSE),"")</f>
        <v>5858.095123966943</v>
      </c>
      <c r="M630" s="743"/>
      <c r="N630" s="1292">
        <v>0.03</v>
      </c>
      <c r="O630" s="1286">
        <f>N630</f>
        <v>0.03</v>
      </c>
      <c r="P630" s="1287">
        <f t="shared" si="575"/>
        <v>175.74285371900828</v>
      </c>
      <c r="Q630" s="1281">
        <f t="shared" si="576"/>
        <v>0</v>
      </c>
      <c r="R630" s="1288">
        <f t="shared" si="577"/>
        <v>0</v>
      </c>
      <c r="S630" s="1289">
        <f t="shared" si="511"/>
        <v>670.93840489305148</v>
      </c>
      <c r="T630" s="1289">
        <f t="shared" si="512"/>
        <v>0</v>
      </c>
      <c r="U630" s="1290">
        <f t="shared" si="513"/>
        <v>0</v>
      </c>
      <c r="V630" s="1290">
        <f t="shared" si="514"/>
        <v>0</v>
      </c>
      <c r="W630" s="1290">
        <f t="shared" si="515"/>
        <v>0</v>
      </c>
      <c r="X630" s="1290">
        <f t="shared" si="516"/>
        <v>175.74285371900828</v>
      </c>
      <c r="Y630" s="396"/>
      <c r="Z630" s="1291" t="str">
        <f t="shared" si="578"/>
        <v>0-CARPA</v>
      </c>
      <c r="AA630" s="1291" t="str">
        <f t="shared" si="579"/>
        <v>0-CARPE</v>
      </c>
      <c r="AB630" s="1291" t="str">
        <f t="shared" si="580"/>
        <v>0-CARPM</v>
      </c>
      <c r="AC630" s="1291" t="str">
        <f t="shared" si="581"/>
        <v>0-CARPT</v>
      </c>
      <c r="AD630" s="1291" t="str">
        <f t="shared" si="582"/>
        <v>0-CARPS</v>
      </c>
      <c r="AE630" s="1291" t="str">
        <f t="shared" si="583"/>
        <v>0-CARPX</v>
      </c>
      <c r="AF630" s="1291" t="str">
        <f t="shared" si="584"/>
        <v>0-CARPX</v>
      </c>
      <c r="AG630" s="1291">
        <f t="shared" si="524"/>
        <v>3</v>
      </c>
      <c r="AH630" s="1291">
        <f>IF(B630&lt;&gt;"",+IF(H630="x",+VLOOKUP(I630,'AUX-NIV2'!B:AG,32,FALSE),0),"")</f>
        <v>3</v>
      </c>
      <c r="AI630" s="1291" t="str">
        <f t="shared" si="585"/>
        <v>0-CARP</v>
      </c>
      <c r="AK630" s="347">
        <f t="shared" si="526"/>
        <v>630</v>
      </c>
      <c r="AL630" s="348">
        <f t="shared" si="586"/>
        <v>632</v>
      </c>
      <c r="AM630" s="347">
        <f t="shared" si="587"/>
        <v>1</v>
      </c>
      <c r="AN630" s="382">
        <f>IF(AND(AH630&gt;0,B630&lt;&gt;""),VLOOKUP(I630,'AUX-NIV2'!$B:$AP,40,FALSE)*O630,0)</f>
        <v>0</v>
      </c>
      <c r="AO630" s="382">
        <f t="shared" si="529"/>
        <v>1.5</v>
      </c>
      <c r="AQ630" s="395">
        <f>(IF($H630="x",VLOOKUP($I630,'AUX-NIV2'!$B:$X,'AUX-NIV1'!AQ$3,FALSE),0)+($AV630*'AUX-NIV3'!S$4))*$O630+IF($H630=AQ$4,$P630,0)</f>
        <v>0</v>
      </c>
      <c r="AR630" s="395">
        <f>(IF($H630="x",VLOOKUP($I630,'AUX-NIV2'!$B:$X,'AUX-NIV1'!AR$3,FALSE),0)+($AV630*'AUX-NIV3'!T$4))*$O630+IF($H630=AR$4,$P630,0)</f>
        <v>0</v>
      </c>
      <c r="AS630" s="395">
        <f>(IF($H630="x",VLOOKUP($I630,'AUX-NIV2'!$B:$X,'AUX-NIV1'!AS$3,FALSE),0)+($AV630*'AUX-NIV3'!U$4))*$O630+IF($H630=AS$4,$P630,0)</f>
        <v>175.74285371900828</v>
      </c>
      <c r="AT630" s="395">
        <f>(IF($H630="x",VLOOKUP($I630,'AUX-NIV2'!$B:$X,'AUX-NIV1'!AT$3,FALSE),0)+($AV630*'AUX-NIV3'!V$4))*$O630+IF($H630=AT$4,$P630,0)</f>
        <v>0</v>
      </c>
      <c r="AU630" s="395">
        <f>(IF($H630="x",VLOOKUP($I630,'AUX-NIV2'!$B:$X,'AUX-NIV1'!AU$3,FALSE),0)+($AV630*'AUX-NIV3'!W$4))*$O630+IF($H630=AU$4,$P630,0)</f>
        <v>0</v>
      </c>
      <c r="AV630" s="395">
        <f>+IF($H630="x",VLOOKUP($I630,'AUX-NIV2'!$B:$X,'AUX-NIV1'!AV$3,FALSE),0)</f>
        <v>0</v>
      </c>
    </row>
    <row r="631" spans="2:48" ht="13.8" hidden="1" thickBot="1">
      <c r="B631" s="501" t="s">
        <v>3753</v>
      </c>
      <c r="C631" s="951" t="s">
        <v>3537</v>
      </c>
      <c r="D631" s="1280" t="s">
        <v>501</v>
      </c>
      <c r="E631" s="1281">
        <f>IF(B631&lt;&gt;"",+SUMIF(Items!C:C,'AUX-NIV1'!B631,Items!H:H),"")</f>
        <v>0</v>
      </c>
      <c r="F631" s="1281">
        <f t="shared" si="505"/>
        <v>846.68125861205976</v>
      </c>
      <c r="G631" s="1281">
        <f t="shared" si="506"/>
        <v>0</v>
      </c>
      <c r="H631" s="1395" t="str">
        <f t="shared" si="434"/>
        <v>A</v>
      </c>
      <c r="I631" s="1375" t="s">
        <v>1746</v>
      </c>
      <c r="J631" s="1283" t="str">
        <f>IF(B631&lt;&gt;"",+VLOOKUP(I631,Recursos!C:F,2,FALSE),"")</f>
        <v>OFICIAL</v>
      </c>
      <c r="K631" s="1284" t="str">
        <f>IF(B631&lt;&gt;"",+VLOOKUP(I631,Recursos!C:F,3,FALSE),"")</f>
        <v>hh</v>
      </c>
      <c r="L631" s="1285">
        <f>IF(B631&lt;&gt;"",+VLOOKUP(I631,Recursos!C:F,4,FALSE),"")</f>
        <v>496.91595439275824</v>
      </c>
      <c r="M631" s="1328">
        <v>1</v>
      </c>
      <c r="N631" s="1329">
        <v>2</v>
      </c>
      <c r="O631" s="1286">
        <f>M631/N631</f>
        <v>0.5</v>
      </c>
      <c r="P631" s="1287">
        <f t="shared" si="575"/>
        <v>248.45797719637912</v>
      </c>
      <c r="Q631" s="1281">
        <f t="shared" si="576"/>
        <v>0</v>
      </c>
      <c r="R631" s="1288">
        <f t="shared" si="577"/>
        <v>0</v>
      </c>
      <c r="S631" s="1289">
        <f t="shared" si="511"/>
        <v>670.93840489305148</v>
      </c>
      <c r="T631" s="1289">
        <f t="shared" si="512"/>
        <v>0</v>
      </c>
      <c r="U631" s="1290">
        <f t="shared" si="513"/>
        <v>0</v>
      </c>
      <c r="V631" s="1290">
        <f t="shared" si="514"/>
        <v>0</v>
      </c>
      <c r="W631" s="1290">
        <f t="shared" si="515"/>
        <v>0</v>
      </c>
      <c r="X631" s="1290">
        <f t="shared" si="516"/>
        <v>175.74285371900828</v>
      </c>
      <c r="Y631" s="396"/>
      <c r="Z631" s="1291" t="str">
        <f t="shared" si="578"/>
        <v>0-CARPA</v>
      </c>
      <c r="AA631" s="1291" t="str">
        <f t="shared" si="579"/>
        <v>0-CARPE</v>
      </c>
      <c r="AB631" s="1291" t="str">
        <f t="shared" si="580"/>
        <v>0-CARPM</v>
      </c>
      <c r="AC631" s="1291" t="str">
        <f t="shared" si="581"/>
        <v>0-CARPT</v>
      </c>
      <c r="AD631" s="1291" t="str">
        <f t="shared" si="582"/>
        <v>0-CARPS</v>
      </c>
      <c r="AE631" s="1291" t="str">
        <f t="shared" si="583"/>
        <v>0-CARPX</v>
      </c>
      <c r="AF631" s="1291" t="str">
        <f t="shared" si="584"/>
        <v>0-CARPA</v>
      </c>
      <c r="AG631" s="1291">
        <f t="shared" si="524"/>
        <v>3</v>
      </c>
      <c r="AH631" s="1291">
        <f>IF(B631&lt;&gt;"",+IF(H631="x",+VLOOKUP(I631,'AUX-NIV2'!B:AG,32,FALSE),0),"")</f>
        <v>0</v>
      </c>
      <c r="AI631" s="1291" t="str">
        <f t="shared" si="585"/>
        <v>0-CARP</v>
      </c>
      <c r="AK631" s="347">
        <f t="shared" si="526"/>
        <v>630</v>
      </c>
      <c r="AL631" s="348">
        <f t="shared" si="586"/>
        <v>632</v>
      </c>
      <c r="AM631" s="347">
        <f t="shared" si="587"/>
        <v>2</v>
      </c>
      <c r="AN631" s="382">
        <f>IF(AND(AH631&gt;0,B631&lt;&gt;""),VLOOKUP(I631,'AUX-NIV2'!$B:$AP,40,FALSE)*O631,0)</f>
        <v>0</v>
      </c>
      <c r="AO631" s="382">
        <f t="shared" si="529"/>
        <v>1.5</v>
      </c>
      <c r="AQ631" s="395">
        <f>(IF($H631="x",VLOOKUP($I631,'AUX-NIV2'!$B:$X,'AUX-NIV1'!AQ$3,FALSE),0)+($AV631*'AUX-NIV3'!S$4))*$O631+IF($H631=AQ$4,$P631,0)</f>
        <v>248.45797719637912</v>
      </c>
      <c r="AR631" s="395">
        <f>(IF($H631="x",VLOOKUP($I631,'AUX-NIV2'!$B:$X,'AUX-NIV1'!AR$3,FALSE),0)+($AV631*'AUX-NIV3'!T$4))*$O631+IF($H631=AR$4,$P631,0)</f>
        <v>0</v>
      </c>
      <c r="AS631" s="395">
        <f>(IF($H631="x",VLOOKUP($I631,'AUX-NIV2'!$B:$X,'AUX-NIV1'!AS$3,FALSE),0)+($AV631*'AUX-NIV3'!U$4))*$O631+IF($H631=AS$4,$P631,0)</f>
        <v>0</v>
      </c>
      <c r="AT631" s="395">
        <f>(IF($H631="x",VLOOKUP($I631,'AUX-NIV2'!$B:$X,'AUX-NIV1'!AT$3,FALSE),0)+($AV631*'AUX-NIV3'!V$4))*$O631+IF($H631=AT$4,$P631,0)</f>
        <v>0</v>
      </c>
      <c r="AU631" s="395">
        <f>(IF($H631="x",VLOOKUP($I631,'AUX-NIV2'!$B:$X,'AUX-NIV1'!AU$3,FALSE),0)+($AV631*'AUX-NIV3'!W$4))*$O631+IF($H631=AU$4,$P631,0)</f>
        <v>0</v>
      </c>
      <c r="AV631" s="395">
        <f>+IF($H631="x",VLOOKUP($I631,'AUX-NIV2'!$B:$X,'AUX-NIV1'!AV$3,FALSE),0)</f>
        <v>0</v>
      </c>
    </row>
    <row r="632" spans="2:48" ht="13.8" hidden="1" thickBot="1">
      <c r="B632" s="501" t="s">
        <v>3753</v>
      </c>
      <c r="C632" s="951" t="s">
        <v>3537</v>
      </c>
      <c r="D632" s="1280" t="s">
        <v>501</v>
      </c>
      <c r="E632" s="1281">
        <f>IF(B632&lt;&gt;"",+SUMIF(Items!C:C,'AUX-NIV1'!B632,Items!H:H),"")</f>
        <v>0</v>
      </c>
      <c r="F632" s="1281">
        <f t="shared" si="505"/>
        <v>846.68125861205976</v>
      </c>
      <c r="G632" s="1281">
        <f t="shared" si="506"/>
        <v>0</v>
      </c>
      <c r="H632" s="1395" t="str">
        <f t="shared" si="434"/>
        <v>A</v>
      </c>
      <c r="I632" s="1375" t="s">
        <v>1745</v>
      </c>
      <c r="J632" s="1283" t="str">
        <f>IF(B632&lt;&gt;"",+VLOOKUP(I632,Recursos!C:F,2,FALSE),"")</f>
        <v>AYUDANTE</v>
      </c>
      <c r="K632" s="1284" t="str">
        <f>IF(B632&lt;&gt;"",+VLOOKUP(I632,Recursos!C:F,3,FALSE),"")</f>
        <v>hh</v>
      </c>
      <c r="L632" s="1285">
        <f>IF(B632&lt;&gt;"",+VLOOKUP(I632,Recursos!C:F,4,FALSE),"")</f>
        <v>422.48042769667234</v>
      </c>
      <c r="M632" s="1330">
        <v>2</v>
      </c>
      <c r="N632" s="1360"/>
      <c r="O632" s="1286">
        <f>M632/N631</f>
        <v>1</v>
      </c>
      <c r="P632" s="1287">
        <f t="shared" si="575"/>
        <v>422.48042769667234</v>
      </c>
      <c r="Q632" s="1281">
        <f t="shared" si="576"/>
        <v>0</v>
      </c>
      <c r="R632" s="1288">
        <f t="shared" si="577"/>
        <v>0</v>
      </c>
      <c r="S632" s="1289">
        <f t="shared" si="511"/>
        <v>670.93840489305148</v>
      </c>
      <c r="T632" s="1289">
        <f t="shared" si="512"/>
        <v>0</v>
      </c>
      <c r="U632" s="1290">
        <f t="shared" si="513"/>
        <v>0</v>
      </c>
      <c r="V632" s="1290">
        <f t="shared" si="514"/>
        <v>0</v>
      </c>
      <c r="W632" s="1290">
        <f t="shared" si="515"/>
        <v>0</v>
      </c>
      <c r="X632" s="1290">
        <f t="shared" si="516"/>
        <v>175.74285371900828</v>
      </c>
      <c r="Y632" s="396"/>
      <c r="Z632" s="1291" t="str">
        <f t="shared" si="578"/>
        <v>0-CARPA</v>
      </c>
      <c r="AA632" s="1291" t="str">
        <f t="shared" si="579"/>
        <v>0-CARPE</v>
      </c>
      <c r="AB632" s="1291" t="str">
        <f t="shared" si="580"/>
        <v>0-CARPM</v>
      </c>
      <c r="AC632" s="1291" t="str">
        <f t="shared" si="581"/>
        <v>0-CARPT</v>
      </c>
      <c r="AD632" s="1291" t="str">
        <f t="shared" si="582"/>
        <v>0-CARPS</v>
      </c>
      <c r="AE632" s="1291" t="str">
        <f t="shared" si="583"/>
        <v>0-CARPX</v>
      </c>
      <c r="AF632" s="1291" t="str">
        <f t="shared" si="584"/>
        <v>0-CARPA</v>
      </c>
      <c r="AG632" s="1291">
        <f t="shared" si="524"/>
        <v>3</v>
      </c>
      <c r="AH632" s="1291">
        <f>IF(B632&lt;&gt;"",+IF(H632="x",+VLOOKUP(I632,'AUX-NIV2'!B:AG,32,FALSE),0),"")</f>
        <v>0</v>
      </c>
      <c r="AI632" s="1291" t="str">
        <f t="shared" si="585"/>
        <v>0-CARP</v>
      </c>
      <c r="AK632" s="347">
        <f t="shared" si="526"/>
        <v>630</v>
      </c>
      <c r="AL632" s="348">
        <f t="shared" si="586"/>
        <v>632</v>
      </c>
      <c r="AM632" s="347">
        <f t="shared" si="587"/>
        <v>3</v>
      </c>
      <c r="AN632" s="382">
        <f>IF(AND(AH632&gt;0,B632&lt;&gt;""),VLOOKUP(I632,'AUX-NIV2'!$B:$AP,40,FALSE)*O632,0)</f>
        <v>0</v>
      </c>
      <c r="AO632" s="382">
        <f t="shared" si="529"/>
        <v>1.5</v>
      </c>
      <c r="AQ632" s="395">
        <f>(IF($H632="x",VLOOKUP($I632,'AUX-NIV2'!$B:$X,'AUX-NIV1'!AQ$3,FALSE),0)+($AV632*'AUX-NIV3'!S$4))*$O632+IF($H632=AQ$4,$P632,0)</f>
        <v>422.48042769667234</v>
      </c>
      <c r="AR632" s="395">
        <f>(IF($H632="x",VLOOKUP($I632,'AUX-NIV2'!$B:$X,'AUX-NIV1'!AR$3,FALSE),0)+($AV632*'AUX-NIV3'!T$4))*$O632+IF($H632=AR$4,$P632,0)</f>
        <v>0</v>
      </c>
      <c r="AS632" s="395">
        <f>(IF($H632="x",VLOOKUP($I632,'AUX-NIV2'!$B:$X,'AUX-NIV1'!AS$3,FALSE),0)+($AV632*'AUX-NIV3'!U$4))*$O632+IF($H632=AS$4,$P632,0)</f>
        <v>0</v>
      </c>
      <c r="AT632" s="395">
        <f>(IF($H632="x",VLOOKUP($I632,'AUX-NIV2'!$B:$X,'AUX-NIV1'!AT$3,FALSE),0)+($AV632*'AUX-NIV3'!V$4))*$O632+IF($H632=AT$4,$P632,0)</f>
        <v>0</v>
      </c>
      <c r="AU632" s="395">
        <f>(IF($H632="x",VLOOKUP($I632,'AUX-NIV2'!$B:$X,'AUX-NIV1'!AU$3,FALSE),0)+($AV632*'AUX-NIV3'!W$4))*$O632+IF($H632=AU$4,$P632,0)</f>
        <v>0</v>
      </c>
      <c r="AV632" s="395">
        <f>+IF($H632="x",VLOOKUP($I632,'AUX-NIV2'!$B:$X,'AUX-NIV1'!AV$3,FALSE),0)</f>
        <v>0</v>
      </c>
    </row>
    <row r="633" spans="2:48" ht="14.4" hidden="1" thickTop="1" thickBot="1">
      <c r="B633" s="501" t="s">
        <v>3754</v>
      </c>
      <c r="C633" s="950" t="s">
        <v>3755</v>
      </c>
      <c r="D633" s="326" t="s">
        <v>501</v>
      </c>
      <c r="E633" s="349">
        <f>IF(B633&lt;&gt;"",+SUMIF(Items!C:C,'AUX-NIV1'!B633,Items!H:H),"")</f>
        <v>0</v>
      </c>
      <c r="F633" s="349">
        <f t="shared" si="505"/>
        <v>846.55385103125195</v>
      </c>
      <c r="G633" s="349">
        <f t="shared" si="506"/>
        <v>0</v>
      </c>
      <c r="H633" s="1395" t="str">
        <f t="shared" si="434"/>
        <v>A</v>
      </c>
      <c r="I633" s="1375" t="s">
        <v>1745</v>
      </c>
      <c r="J633" s="350" t="str">
        <f>IF(B633&lt;&gt;"",+VLOOKUP(I633,Recursos!C:F,2,FALSE),"")</f>
        <v>AYUDANTE</v>
      </c>
      <c r="K633" s="351" t="str">
        <f>IF(B633&lt;&gt;"",+VLOOKUP(I633,Recursos!C:F,3,FALSE),"")</f>
        <v>hh</v>
      </c>
      <c r="L633" s="436">
        <f>IF(B633&lt;&gt;"",+VLOOKUP(I633,Recursos!C:F,4,FALSE),"")</f>
        <v>422.48042769667234</v>
      </c>
      <c r="M633" s="1083">
        <v>1</v>
      </c>
      <c r="N633" s="1089">
        <v>2</v>
      </c>
      <c r="O633" s="439">
        <f>M633*N634/N633</f>
        <v>0.625</v>
      </c>
      <c r="P633" s="440">
        <f t="shared" si="575"/>
        <v>264.05026731042022</v>
      </c>
      <c r="Q633" s="349">
        <f t="shared" si="576"/>
        <v>0</v>
      </c>
      <c r="R633" s="353">
        <f t="shared" si="577"/>
        <v>0</v>
      </c>
      <c r="S633" s="354">
        <f t="shared" si="511"/>
        <v>574.62273880589419</v>
      </c>
      <c r="T633" s="354">
        <f t="shared" si="512"/>
        <v>0</v>
      </c>
      <c r="U633" s="355">
        <f t="shared" si="513"/>
        <v>125.47873412618424</v>
      </c>
      <c r="V633" s="355">
        <f t="shared" si="514"/>
        <v>0</v>
      </c>
      <c r="W633" s="355">
        <f t="shared" si="515"/>
        <v>0</v>
      </c>
      <c r="X633" s="355">
        <f t="shared" si="516"/>
        <v>146.45237809917359</v>
      </c>
      <c r="Y633" s="396"/>
      <c r="Z633" s="346" t="str">
        <f t="shared" si="578"/>
        <v>0-REVINTA</v>
      </c>
      <c r="AA633" s="346" t="str">
        <f t="shared" si="579"/>
        <v>0-REVINTE</v>
      </c>
      <c r="AB633" s="346" t="str">
        <f t="shared" si="580"/>
        <v>0-REVINTM</v>
      </c>
      <c r="AC633" s="346" t="str">
        <f t="shared" si="581"/>
        <v>0-REVINTT</v>
      </c>
      <c r="AD633" s="346" t="str">
        <f t="shared" si="582"/>
        <v>0-REVINTS</v>
      </c>
      <c r="AE633" s="346" t="str">
        <f t="shared" si="583"/>
        <v>0-REVINTX</v>
      </c>
      <c r="AF633" s="346" t="str">
        <f t="shared" si="584"/>
        <v>0-REVINTA</v>
      </c>
      <c r="AG633" s="346">
        <f t="shared" si="524"/>
        <v>4</v>
      </c>
      <c r="AH633" s="346">
        <f>IF(B633&lt;&gt;"",+IF(H633="x",+VLOOKUP(I633,'AUX-NIV2'!B:AG,32,FALSE),0),"")</f>
        <v>0</v>
      </c>
      <c r="AI633" s="346" t="str">
        <f t="shared" si="585"/>
        <v>0-REVINT</v>
      </c>
      <c r="AK633" s="347">
        <f t="shared" si="526"/>
        <v>633</v>
      </c>
      <c r="AL633" s="348">
        <f t="shared" si="586"/>
        <v>636</v>
      </c>
      <c r="AM633" s="347">
        <f t="shared" si="587"/>
        <v>1</v>
      </c>
      <c r="AN633" s="382">
        <f>IF(AND(AH633&gt;0,B633&lt;&gt;""),VLOOKUP(I633,'AUX-NIV2'!$B:$AP,40,FALSE)*O633,0)</f>
        <v>0</v>
      </c>
      <c r="AO633" s="382">
        <f t="shared" si="529"/>
        <v>1.25</v>
      </c>
      <c r="AQ633" s="395">
        <f>(IF($H633="x",VLOOKUP($I633,'AUX-NIV2'!$B:$X,'AUX-NIV1'!AQ$3,FALSE),0)+($AV633*'AUX-NIV3'!S$4))*$O633+IF($H633=AQ$4,$P633,0)</f>
        <v>264.05026731042022</v>
      </c>
      <c r="AR633" s="395">
        <f>(IF($H633="x",VLOOKUP($I633,'AUX-NIV2'!$B:$X,'AUX-NIV1'!AR$3,FALSE),0)+($AV633*'AUX-NIV3'!T$4))*$O633+IF($H633=AR$4,$P633,0)</f>
        <v>0</v>
      </c>
      <c r="AS633" s="395">
        <f>(IF($H633="x",VLOOKUP($I633,'AUX-NIV2'!$B:$X,'AUX-NIV1'!AS$3,FALSE),0)+($AV633*'AUX-NIV3'!U$4))*$O633+IF($H633=AS$4,$P633,0)</f>
        <v>0</v>
      </c>
      <c r="AT633" s="395">
        <f>(IF($H633="x",VLOOKUP($I633,'AUX-NIV2'!$B:$X,'AUX-NIV1'!AT$3,FALSE),0)+($AV633*'AUX-NIV3'!V$4))*$O633+IF($H633=AT$4,$P633,0)</f>
        <v>0</v>
      </c>
      <c r="AU633" s="395">
        <f>(IF($H633="x",VLOOKUP($I633,'AUX-NIV2'!$B:$X,'AUX-NIV1'!AU$3,FALSE),0)+($AV633*'AUX-NIV3'!W$4))*$O633+IF($H633=AU$4,$P633,0)</f>
        <v>0</v>
      </c>
      <c r="AV633" s="395">
        <f>+IF($H633="x",VLOOKUP($I633,'AUX-NIV2'!$B:$X,'AUX-NIV1'!AV$3,FALSE),0)</f>
        <v>0</v>
      </c>
    </row>
    <row r="634" spans="2:48" ht="13.8" hidden="1" thickBot="1">
      <c r="B634" s="501" t="s">
        <v>3754</v>
      </c>
      <c r="C634" s="950" t="s">
        <v>3755</v>
      </c>
      <c r="D634" s="326" t="s">
        <v>501</v>
      </c>
      <c r="E634" s="349">
        <f>IF(B634&lt;&gt;"",+SUMIF(Items!C:C,'AUX-NIV1'!B634,Items!H:H),"")</f>
        <v>0</v>
      </c>
      <c r="F634" s="349">
        <f t="shared" si="505"/>
        <v>846.55385103125195</v>
      </c>
      <c r="G634" s="349">
        <f t="shared" si="506"/>
        <v>0</v>
      </c>
      <c r="H634" s="1395" t="str">
        <f t="shared" si="434"/>
        <v>A</v>
      </c>
      <c r="I634" s="1375" t="s">
        <v>1746</v>
      </c>
      <c r="J634" s="350" t="str">
        <f>IF(B634&lt;&gt;"",+VLOOKUP(I634,Recursos!C:F,2,FALSE),"")</f>
        <v>OFICIAL</v>
      </c>
      <c r="K634" s="351" t="str">
        <f>IF(B634&lt;&gt;"",+VLOOKUP(I634,Recursos!C:F,3,FALSE),"")</f>
        <v>hh</v>
      </c>
      <c r="L634" s="436">
        <f>IF(B634&lt;&gt;"",+VLOOKUP(I634,Recursos!C:F,4,FALSE),"")</f>
        <v>496.91595439275824</v>
      </c>
      <c r="M634" s="550">
        <v>1</v>
      </c>
      <c r="N634" s="1087">
        <v>1.25</v>
      </c>
      <c r="O634" s="439">
        <f>M634*N634/N633</f>
        <v>0.625</v>
      </c>
      <c r="P634" s="440">
        <f t="shared" si="575"/>
        <v>310.57247149547391</v>
      </c>
      <c r="Q634" s="349">
        <f t="shared" si="576"/>
        <v>0</v>
      </c>
      <c r="R634" s="353">
        <f t="shared" si="577"/>
        <v>0</v>
      </c>
      <c r="S634" s="354">
        <f t="shared" si="511"/>
        <v>574.62273880589419</v>
      </c>
      <c r="T634" s="354">
        <f t="shared" si="512"/>
        <v>0</v>
      </c>
      <c r="U634" s="355">
        <f t="shared" si="513"/>
        <v>125.47873412618424</v>
      </c>
      <c r="V634" s="355">
        <f t="shared" si="514"/>
        <v>0</v>
      </c>
      <c r="W634" s="355">
        <f t="shared" si="515"/>
        <v>0</v>
      </c>
      <c r="X634" s="355">
        <f t="shared" si="516"/>
        <v>146.45237809917359</v>
      </c>
      <c r="Y634" s="396"/>
      <c r="Z634" s="346" t="str">
        <f t="shared" si="578"/>
        <v>0-REVINTA</v>
      </c>
      <c r="AA634" s="346" t="str">
        <f t="shared" si="579"/>
        <v>0-REVINTE</v>
      </c>
      <c r="AB634" s="346" t="str">
        <f t="shared" si="580"/>
        <v>0-REVINTM</v>
      </c>
      <c r="AC634" s="346" t="str">
        <f t="shared" si="581"/>
        <v>0-REVINTT</v>
      </c>
      <c r="AD634" s="346" t="str">
        <f t="shared" si="582"/>
        <v>0-REVINTS</v>
      </c>
      <c r="AE634" s="346" t="str">
        <f t="shared" si="583"/>
        <v>0-REVINTX</v>
      </c>
      <c r="AF634" s="346" t="str">
        <f t="shared" si="584"/>
        <v>0-REVINTA</v>
      </c>
      <c r="AG634" s="346">
        <f t="shared" si="524"/>
        <v>4</v>
      </c>
      <c r="AH634" s="346">
        <f>IF(B634&lt;&gt;"",+IF(H634="x",+VLOOKUP(I634,'AUX-NIV2'!B:AG,32,FALSE),0),"")</f>
        <v>0</v>
      </c>
      <c r="AI634" s="346" t="str">
        <f t="shared" si="585"/>
        <v>0-REVINT</v>
      </c>
      <c r="AK634" s="347">
        <f t="shared" si="526"/>
        <v>633</v>
      </c>
      <c r="AL634" s="348">
        <f t="shared" si="586"/>
        <v>636</v>
      </c>
      <c r="AM634" s="347">
        <f t="shared" si="587"/>
        <v>2</v>
      </c>
      <c r="AN634" s="382">
        <f>IF(AND(AH634&gt;0,B634&lt;&gt;""),VLOOKUP(I634,'AUX-NIV2'!$B:$AP,40,FALSE)*O634,0)</f>
        <v>0</v>
      </c>
      <c r="AO634" s="382">
        <f t="shared" si="529"/>
        <v>1.25</v>
      </c>
      <c r="AQ634" s="395">
        <f>(IF($H634="x",VLOOKUP($I634,'AUX-NIV2'!$B:$X,'AUX-NIV1'!AQ$3,FALSE),0)+($AV634*'AUX-NIV3'!S$4))*$O634+IF($H634=AQ$4,$P634,0)</f>
        <v>310.57247149547391</v>
      </c>
      <c r="AR634" s="395">
        <f>(IF($H634="x",VLOOKUP($I634,'AUX-NIV2'!$B:$X,'AUX-NIV1'!AR$3,FALSE),0)+($AV634*'AUX-NIV3'!T$4))*$O634+IF($H634=AR$4,$P634,0)</f>
        <v>0</v>
      </c>
      <c r="AS634" s="395">
        <f>(IF($H634="x",VLOOKUP($I634,'AUX-NIV2'!$B:$X,'AUX-NIV1'!AS$3,FALSE),0)+($AV634*'AUX-NIV3'!U$4))*$O634+IF($H634=AS$4,$P634,0)</f>
        <v>0</v>
      </c>
      <c r="AT634" s="395">
        <f>(IF($H634="x",VLOOKUP($I634,'AUX-NIV2'!$B:$X,'AUX-NIV1'!AT$3,FALSE),0)+($AV634*'AUX-NIV3'!V$4))*$O634+IF($H634=AT$4,$P634,0)</f>
        <v>0</v>
      </c>
      <c r="AU634" s="395">
        <f>(IF($H634="x",VLOOKUP($I634,'AUX-NIV2'!$B:$X,'AUX-NIV1'!AU$3,FALSE),0)+($AV634*'AUX-NIV3'!W$4))*$O634+IF($H634=AU$4,$P634,0)</f>
        <v>0</v>
      </c>
      <c r="AV634" s="395">
        <f>+IF($H634="x",VLOOKUP($I634,'AUX-NIV2'!$B:$X,'AUX-NIV1'!AV$3,FALSE),0)</f>
        <v>0</v>
      </c>
    </row>
    <row r="635" spans="2:48" ht="13.8" hidden="1" thickBot="1">
      <c r="B635" s="501" t="s">
        <v>3754</v>
      </c>
      <c r="C635" s="950" t="s">
        <v>3755</v>
      </c>
      <c r="D635" s="326" t="s">
        <v>501</v>
      </c>
      <c r="E635" s="349">
        <f>IF(B635&lt;&gt;"",+SUMIF(Items!C:C,'AUX-NIV1'!B635,Items!H:H),"")</f>
        <v>0</v>
      </c>
      <c r="F635" s="349">
        <f t="shared" si="505"/>
        <v>846.55385103125195</v>
      </c>
      <c r="G635" s="349">
        <f t="shared" si="506"/>
        <v>0</v>
      </c>
      <c r="H635" s="1395" t="str">
        <f t="shared" si="434"/>
        <v>X</v>
      </c>
      <c r="I635" s="1375" t="s">
        <v>3735</v>
      </c>
      <c r="J635" s="350" t="str">
        <f>IF(B635&lt;&gt;"",+VLOOKUP(I635,Recursos!C:F,2,FALSE),"")</f>
        <v>Mortero para ladrillos</v>
      </c>
      <c r="K635" s="351" t="str">
        <f>IF(B635&lt;&gt;"",+VLOOKUP(I635,Recursos!C:F,3,FALSE),"")</f>
        <v>m3</v>
      </c>
      <c r="L635" s="436">
        <f>IF(B635&lt;&gt;"",+VLOOKUP(I635,Recursos!C:F,4,FALSE),"")</f>
        <v>5858.095123966943</v>
      </c>
      <c r="M635" s="550">
        <v>2.5000000000000001E-2</v>
      </c>
      <c r="N635" s="1085"/>
      <c r="O635" s="439">
        <f>M635</f>
        <v>2.5000000000000001E-2</v>
      </c>
      <c r="P635" s="440">
        <f t="shared" si="575"/>
        <v>146.45237809917359</v>
      </c>
      <c r="Q635" s="349">
        <f t="shared" si="576"/>
        <v>0</v>
      </c>
      <c r="R635" s="353">
        <f t="shared" si="577"/>
        <v>0</v>
      </c>
      <c r="S635" s="354">
        <f t="shared" si="511"/>
        <v>574.62273880589419</v>
      </c>
      <c r="T635" s="354">
        <f t="shared" si="512"/>
        <v>0</v>
      </c>
      <c r="U635" s="355">
        <f t="shared" si="513"/>
        <v>125.47873412618424</v>
      </c>
      <c r="V635" s="355">
        <f t="shared" si="514"/>
        <v>0</v>
      </c>
      <c r="W635" s="355">
        <f t="shared" si="515"/>
        <v>0</v>
      </c>
      <c r="X635" s="355">
        <f t="shared" si="516"/>
        <v>146.45237809917359</v>
      </c>
      <c r="Y635" s="396"/>
      <c r="Z635" s="346" t="str">
        <f t="shared" si="578"/>
        <v>0-REVINTA</v>
      </c>
      <c r="AA635" s="346" t="str">
        <f t="shared" si="579"/>
        <v>0-REVINTE</v>
      </c>
      <c r="AB635" s="346" t="str">
        <f t="shared" si="580"/>
        <v>0-REVINTM</v>
      </c>
      <c r="AC635" s="346" t="str">
        <f t="shared" si="581"/>
        <v>0-REVINTT</v>
      </c>
      <c r="AD635" s="346" t="str">
        <f t="shared" si="582"/>
        <v>0-REVINTS</v>
      </c>
      <c r="AE635" s="346" t="str">
        <f t="shared" si="583"/>
        <v>0-REVINTX</v>
      </c>
      <c r="AF635" s="346" t="str">
        <f t="shared" si="584"/>
        <v>0-REVINTX</v>
      </c>
      <c r="AG635" s="346">
        <f t="shared" si="524"/>
        <v>4</v>
      </c>
      <c r="AH635" s="346">
        <f>IF(B635&lt;&gt;"",+IF(H635="x",+VLOOKUP(I635,'AUX-NIV2'!B:AG,32,FALSE),0),"")</f>
        <v>3</v>
      </c>
      <c r="AI635" s="346" t="str">
        <f t="shared" si="585"/>
        <v>0-REVINT</v>
      </c>
      <c r="AK635" s="347">
        <f t="shared" si="526"/>
        <v>633</v>
      </c>
      <c r="AL635" s="348">
        <f t="shared" si="586"/>
        <v>636</v>
      </c>
      <c r="AM635" s="347">
        <f t="shared" si="587"/>
        <v>3</v>
      </c>
      <c r="AN635" s="382">
        <f>IF(AND(AH635&gt;0,B635&lt;&gt;""),VLOOKUP(I635,'AUX-NIV2'!$B:$AP,40,FALSE)*O635,0)</f>
        <v>0</v>
      </c>
      <c r="AO635" s="382">
        <f t="shared" si="529"/>
        <v>1.25</v>
      </c>
      <c r="AQ635" s="395">
        <f>(IF($H635="x",VLOOKUP($I635,'AUX-NIV2'!$B:$X,'AUX-NIV1'!AQ$3,FALSE),0)+($AV635*'AUX-NIV3'!S$4))*$O635+IF($H635=AQ$4,$P635,0)</f>
        <v>0</v>
      </c>
      <c r="AR635" s="395">
        <f>(IF($H635="x",VLOOKUP($I635,'AUX-NIV2'!$B:$X,'AUX-NIV1'!AR$3,FALSE),0)+($AV635*'AUX-NIV3'!T$4))*$O635+IF($H635=AR$4,$P635,0)</f>
        <v>0</v>
      </c>
      <c r="AS635" s="395">
        <f>(IF($H635="x",VLOOKUP($I635,'AUX-NIV2'!$B:$X,'AUX-NIV1'!AS$3,FALSE),0)+($AV635*'AUX-NIV3'!U$4))*$O635+IF($H635=AS$4,$P635,0)</f>
        <v>146.45237809917359</v>
      </c>
      <c r="AT635" s="395">
        <f>(IF($H635="x",VLOOKUP($I635,'AUX-NIV2'!$B:$X,'AUX-NIV1'!AT$3,FALSE),0)+($AV635*'AUX-NIV3'!V$4))*$O635+IF($H635=AT$4,$P635,0)</f>
        <v>0</v>
      </c>
      <c r="AU635" s="395">
        <f>(IF($H635="x",VLOOKUP($I635,'AUX-NIV2'!$B:$X,'AUX-NIV1'!AU$3,FALSE),0)+($AV635*'AUX-NIV3'!W$4))*$O635+IF($H635=AU$4,$P635,0)</f>
        <v>0</v>
      </c>
      <c r="AV635" s="395">
        <f>+IF($H635="x",VLOOKUP($I635,'AUX-NIV2'!$B:$X,'AUX-NIV1'!AV$3,FALSE),0)</f>
        <v>0</v>
      </c>
    </row>
    <row r="636" spans="2:48" ht="13.8" hidden="1" thickBot="1">
      <c r="B636" s="501" t="s">
        <v>3754</v>
      </c>
      <c r="C636" s="950" t="s">
        <v>3755</v>
      </c>
      <c r="D636" s="326" t="s">
        <v>501</v>
      </c>
      <c r="E636" s="1281">
        <f>IF(B636&lt;&gt;"",+SUMIF(Items!C:C,'AUX-NIV1'!B636,Items!H:H),"")</f>
        <v>0</v>
      </c>
      <c r="F636" s="1281">
        <f t="shared" si="505"/>
        <v>846.55385103125195</v>
      </c>
      <c r="G636" s="1281">
        <f t="shared" si="506"/>
        <v>0</v>
      </c>
      <c r="H636" s="1395" t="str">
        <f t="shared" si="434"/>
        <v>M</v>
      </c>
      <c r="I636" s="1375" t="s">
        <v>3756</v>
      </c>
      <c r="J636" s="1283" t="str">
        <f>IF(B636&lt;&gt;"",+VLOOKUP(I636,Recursos!C:F,2,FALSE),"")</f>
        <v>GUARDACANTO DE ALUMINIO  DE 15mm</v>
      </c>
      <c r="K636" s="1284" t="str">
        <f>IF(B636&lt;&gt;"",+VLOOKUP(I636,Recursos!C:F,3,FALSE),"")</f>
        <v>m</v>
      </c>
      <c r="L636" s="1285">
        <f>IF(B636&lt;&gt;"",+VLOOKUP(I636,Recursos!C:F,4,FALSE),"")</f>
        <v>501.91493650473694</v>
      </c>
      <c r="M636" s="1293"/>
      <c r="N636" s="1294">
        <v>4</v>
      </c>
      <c r="O636" s="1286">
        <f>1/N636</f>
        <v>0.25</v>
      </c>
      <c r="P636" s="1287">
        <f t="shared" si="575"/>
        <v>125.47873412618424</v>
      </c>
      <c r="Q636" s="1281">
        <f t="shared" si="576"/>
        <v>0</v>
      </c>
      <c r="R636" s="1288">
        <f t="shared" si="577"/>
        <v>0</v>
      </c>
      <c r="S636" s="1289">
        <f t="shared" si="511"/>
        <v>574.62273880589419</v>
      </c>
      <c r="T636" s="1289">
        <f t="shared" si="512"/>
        <v>0</v>
      </c>
      <c r="U636" s="1290">
        <f t="shared" si="513"/>
        <v>125.47873412618424</v>
      </c>
      <c r="V636" s="1290">
        <f t="shared" si="514"/>
        <v>0</v>
      </c>
      <c r="W636" s="1290">
        <f t="shared" si="515"/>
        <v>0</v>
      </c>
      <c r="X636" s="1290">
        <f t="shared" si="516"/>
        <v>146.45237809917359</v>
      </c>
      <c r="Y636" s="396"/>
      <c r="Z636" s="1291" t="str">
        <f t="shared" si="578"/>
        <v>0-REVINTA</v>
      </c>
      <c r="AA636" s="1291" t="str">
        <f t="shared" si="579"/>
        <v>0-REVINTE</v>
      </c>
      <c r="AB636" s="1291" t="str">
        <f t="shared" si="580"/>
        <v>0-REVINTM</v>
      </c>
      <c r="AC636" s="1291" t="str">
        <f t="shared" si="581"/>
        <v>0-REVINTT</v>
      </c>
      <c r="AD636" s="1291" t="str">
        <f t="shared" si="582"/>
        <v>0-REVINTS</v>
      </c>
      <c r="AE636" s="1291" t="str">
        <f t="shared" si="583"/>
        <v>0-REVINTX</v>
      </c>
      <c r="AF636" s="1291" t="str">
        <f t="shared" si="584"/>
        <v>0-REVINTM</v>
      </c>
      <c r="AG636" s="1291">
        <f t="shared" si="524"/>
        <v>4</v>
      </c>
      <c r="AH636" s="1291">
        <f>IF(B636&lt;&gt;"",+IF(H636="x",+VLOOKUP(I636,'AUX-NIV2'!B:AG,32,FALSE),0),"")</f>
        <v>0</v>
      </c>
      <c r="AI636" s="1291" t="str">
        <f t="shared" si="585"/>
        <v>0-REVINT</v>
      </c>
      <c r="AK636" s="347">
        <f t="shared" si="526"/>
        <v>633</v>
      </c>
      <c r="AL636" s="348">
        <f t="shared" si="586"/>
        <v>636</v>
      </c>
      <c r="AM636" s="347">
        <f t="shared" si="587"/>
        <v>4</v>
      </c>
      <c r="AN636" s="382">
        <f>IF(AND(AH636&gt;0,B636&lt;&gt;""),VLOOKUP(I636,'AUX-NIV2'!$B:$AP,40,FALSE)*O636,0)</f>
        <v>0</v>
      </c>
      <c r="AO636" s="382">
        <f t="shared" si="529"/>
        <v>1.25</v>
      </c>
      <c r="AQ636" s="395">
        <f>(IF($H636="x",VLOOKUP($I636,'AUX-NIV2'!$B:$X,'AUX-NIV1'!AQ$3,FALSE),0)+($AV636*'AUX-NIV3'!S$4))*$O636+IF($H636=AQ$4,$P636,0)</f>
        <v>0</v>
      </c>
      <c r="AR636" s="395">
        <f>(IF($H636="x",VLOOKUP($I636,'AUX-NIV2'!$B:$X,'AUX-NIV1'!AR$3,FALSE),0)+($AV636*'AUX-NIV3'!T$4))*$O636+IF($H636=AR$4,$P636,0)</f>
        <v>0</v>
      </c>
      <c r="AS636" s="395">
        <f>(IF($H636="x",VLOOKUP($I636,'AUX-NIV2'!$B:$X,'AUX-NIV1'!AS$3,FALSE),0)+($AV636*'AUX-NIV3'!U$4))*$O636+IF($H636=AS$4,$P636,0)</f>
        <v>125.47873412618424</v>
      </c>
      <c r="AT636" s="395">
        <f>(IF($H636="x",VLOOKUP($I636,'AUX-NIV2'!$B:$X,'AUX-NIV1'!AT$3,FALSE),0)+($AV636*'AUX-NIV3'!V$4))*$O636+IF($H636=AT$4,$P636,0)</f>
        <v>0</v>
      </c>
      <c r="AU636" s="395">
        <f>(IF($H636="x",VLOOKUP($I636,'AUX-NIV2'!$B:$X,'AUX-NIV1'!AU$3,FALSE),0)+($AV636*'AUX-NIV3'!W$4))*$O636+IF($H636=AU$4,$P636,0)</f>
        <v>0</v>
      </c>
      <c r="AV636" s="395">
        <f>+IF($H636="x",VLOOKUP($I636,'AUX-NIV2'!$B:$X,'AUX-NIV1'!AV$3,FALSE),0)</f>
        <v>0</v>
      </c>
    </row>
    <row r="637" spans="2:48" ht="14.4" hidden="1" thickTop="1" thickBot="1">
      <c r="B637" s="501" t="s">
        <v>3759</v>
      </c>
      <c r="C637" s="950" t="s">
        <v>3758</v>
      </c>
      <c r="D637" s="326" t="s">
        <v>501</v>
      </c>
      <c r="E637" s="349">
        <f>IF(B637&lt;&gt;"",+SUMIF(Items!C:C,'AUX-NIV1'!B637,Items!H:H),"")</f>
        <v>0</v>
      </c>
      <c r="F637" s="349">
        <f t="shared" si="505"/>
        <v>721.07511690506772</v>
      </c>
      <c r="G637" s="349">
        <f t="shared" si="506"/>
        <v>0</v>
      </c>
      <c r="H637" s="1395" t="str">
        <f t="shared" ref="H637:H639" si="616">IF(B637&lt;&gt;"",+LEFT(I637,1),"")</f>
        <v>A</v>
      </c>
      <c r="I637" s="1375" t="s">
        <v>1745</v>
      </c>
      <c r="J637" s="350" t="str">
        <f>IF(B637&lt;&gt;"",+VLOOKUP(I637,Recursos!C:F,2,FALSE),"")</f>
        <v>AYUDANTE</v>
      </c>
      <c r="K637" s="351" t="str">
        <f>IF(B637&lt;&gt;"",+VLOOKUP(I637,Recursos!C:F,3,FALSE),"")</f>
        <v>hh</v>
      </c>
      <c r="L637" s="436">
        <f>IF(B637&lt;&gt;"",+VLOOKUP(I637,Recursos!C:F,4,FALSE),"")</f>
        <v>422.48042769667234</v>
      </c>
      <c r="M637" s="1363">
        <v>1</v>
      </c>
      <c r="N637" s="1364">
        <v>2</v>
      </c>
      <c r="O637" s="439">
        <f>M637*N638/N637</f>
        <v>0.625</v>
      </c>
      <c r="P637" s="440">
        <f t="shared" ref="P637:P639" si="617">IF(B637&lt;&gt;"",O637*L637,"")</f>
        <v>264.05026731042022</v>
      </c>
      <c r="Q637" s="349">
        <f t="shared" ref="Q637:Q639" si="618">IF(B637&lt;&gt;"",+O637*E637,"")</f>
        <v>0</v>
      </c>
      <c r="R637" s="353">
        <f t="shared" ref="R637:R639" si="619">IF(B637&lt;&gt;"",Q637*L637,"")</f>
        <v>0</v>
      </c>
      <c r="S637" s="354">
        <f t="shared" si="511"/>
        <v>574.62273880589419</v>
      </c>
      <c r="T637" s="354">
        <f t="shared" si="512"/>
        <v>0</v>
      </c>
      <c r="U637" s="355">
        <f t="shared" si="513"/>
        <v>0</v>
      </c>
      <c r="V637" s="355">
        <f t="shared" si="514"/>
        <v>0</v>
      </c>
      <c r="W637" s="355">
        <f t="shared" si="515"/>
        <v>0</v>
      </c>
      <c r="X637" s="355">
        <f t="shared" si="516"/>
        <v>146.45237809917359</v>
      </c>
      <c r="Y637" s="396"/>
      <c r="Z637" s="346" t="str">
        <f t="shared" ref="Z637:Z639" si="620">IF(B637&lt;&gt;"",+$B637&amp;"A","")</f>
        <v>0-REVEXTA</v>
      </c>
      <c r="AA637" s="346" t="str">
        <f t="shared" ref="AA637:AA639" si="621">IF(B637&lt;&gt;"",+$B637&amp;"E","")</f>
        <v>0-REVEXTE</v>
      </c>
      <c r="AB637" s="346" t="str">
        <f t="shared" ref="AB637:AB639" si="622">IF(B637&lt;&gt;"",++$B637&amp;"M","")</f>
        <v>0-REVEXTM</v>
      </c>
      <c r="AC637" s="346" t="str">
        <f t="shared" ref="AC637:AC639" si="623">IF(B637&lt;&gt;"",+$B637&amp;"T","")</f>
        <v>0-REVEXTT</v>
      </c>
      <c r="AD637" s="346" t="str">
        <f t="shared" ref="AD637:AD639" si="624">IF(B637&lt;&gt;"",+$B637&amp;"S","")</f>
        <v>0-REVEXTS</v>
      </c>
      <c r="AE637" s="346" t="str">
        <f t="shared" ref="AE637:AE639" si="625">IF(B637&lt;&gt;"",+$B637&amp;"X","")</f>
        <v>0-REVEXTX</v>
      </c>
      <c r="AF637" s="346" t="str">
        <f t="shared" ref="AF637:AF639" si="626">IF(B637&lt;&gt;"",+B637&amp;H637,"")</f>
        <v>0-REVEXTA</v>
      </c>
      <c r="AG637" s="346">
        <f t="shared" si="524"/>
        <v>3</v>
      </c>
      <c r="AH637" s="346">
        <f>IF(B637&lt;&gt;"",+IF(H637="x",+VLOOKUP(I637,'AUX-NIV2'!B:AG,32,FALSE),0),"")</f>
        <v>0</v>
      </c>
      <c r="AI637" s="346" t="str">
        <f t="shared" ref="AI637:AI639" si="627">IF(B637&lt;&gt;"",+B637,"")</f>
        <v>0-REVEXT</v>
      </c>
      <c r="AK637" s="347">
        <f t="shared" si="526"/>
        <v>637</v>
      </c>
      <c r="AL637" s="348">
        <f t="shared" ref="AL637:AL639" si="628">IF(B637&lt;&gt;"",+AK637+AG637-1,"")</f>
        <v>639</v>
      </c>
      <c r="AM637" s="347">
        <f t="shared" ref="AM637:AM639" si="629">IF(B637&lt;&gt;"",IF(B637=B636,1+AM636,1),"")</f>
        <v>1</v>
      </c>
      <c r="AN637" s="382">
        <f>IF(AND(AH637&gt;0,B637&lt;&gt;""),VLOOKUP(I637,'AUX-NIV2'!$B:$AP,40,FALSE)*O637,0)</f>
        <v>0</v>
      </c>
      <c r="AO637" s="382">
        <f t="shared" si="529"/>
        <v>1.25</v>
      </c>
      <c r="AQ637" s="395">
        <f>(IF($H637="x",VLOOKUP($I637,'AUX-NIV2'!$B:$X,'AUX-NIV1'!AQ$3,FALSE),0)+($AV637*'AUX-NIV3'!S$4))*$O637+IF($H637=AQ$4,$P637,0)</f>
        <v>264.05026731042022</v>
      </c>
      <c r="AR637" s="395">
        <f>(IF($H637="x",VLOOKUP($I637,'AUX-NIV2'!$B:$X,'AUX-NIV1'!AR$3,FALSE),0)+($AV637*'AUX-NIV3'!T$4))*$O637+IF($H637=AR$4,$P637,0)</f>
        <v>0</v>
      </c>
      <c r="AS637" s="395">
        <f>(IF($H637="x",VLOOKUP($I637,'AUX-NIV2'!$B:$X,'AUX-NIV1'!AS$3,FALSE),0)+($AV637*'AUX-NIV3'!U$4))*$O637+IF($H637=AS$4,$P637,0)</f>
        <v>0</v>
      </c>
      <c r="AT637" s="395">
        <f>(IF($H637="x",VLOOKUP($I637,'AUX-NIV2'!$B:$X,'AUX-NIV1'!AT$3,FALSE),0)+($AV637*'AUX-NIV3'!V$4))*$O637+IF($H637=AT$4,$P637,0)</f>
        <v>0</v>
      </c>
      <c r="AU637" s="395">
        <f>(IF($H637="x",VLOOKUP($I637,'AUX-NIV2'!$B:$X,'AUX-NIV1'!AU$3,FALSE),0)+($AV637*'AUX-NIV3'!W$4))*$O637+IF($H637=AU$4,$P637,0)</f>
        <v>0</v>
      </c>
      <c r="AV637" s="395">
        <f>+IF($H637="x",VLOOKUP($I637,'AUX-NIV2'!$B:$X,'AUX-NIV1'!AV$3,FALSE),0)</f>
        <v>0</v>
      </c>
    </row>
    <row r="638" spans="2:48" ht="13.8" hidden="1" thickBot="1">
      <c r="B638" s="501" t="s">
        <v>3759</v>
      </c>
      <c r="C638" s="950" t="s">
        <v>3758</v>
      </c>
      <c r="D638" s="326" t="s">
        <v>501</v>
      </c>
      <c r="E638" s="349">
        <f>IF(B638&lt;&gt;"",+SUMIF(Items!C:C,'AUX-NIV1'!B638,Items!H:H),"")</f>
        <v>0</v>
      </c>
      <c r="F638" s="349">
        <f t="shared" si="505"/>
        <v>721.07511690506772</v>
      </c>
      <c r="G638" s="349">
        <f t="shared" si="506"/>
        <v>0</v>
      </c>
      <c r="H638" s="1395" t="str">
        <f t="shared" si="616"/>
        <v>A</v>
      </c>
      <c r="I638" s="1375" t="s">
        <v>1746</v>
      </c>
      <c r="J638" s="350" t="str">
        <f>IF(B638&lt;&gt;"",+VLOOKUP(I638,Recursos!C:F,2,FALSE),"")</f>
        <v>OFICIAL</v>
      </c>
      <c r="K638" s="351" t="str">
        <f>IF(B638&lt;&gt;"",+VLOOKUP(I638,Recursos!C:F,3,FALSE),"")</f>
        <v>hh</v>
      </c>
      <c r="L638" s="436">
        <f>IF(B638&lt;&gt;"",+VLOOKUP(I638,Recursos!C:F,4,FALSE),"")</f>
        <v>496.91595439275824</v>
      </c>
      <c r="M638" s="1365">
        <v>1</v>
      </c>
      <c r="N638" s="1366">
        <v>1.25</v>
      </c>
      <c r="O638" s="439">
        <f>M638*N638/N637</f>
        <v>0.625</v>
      </c>
      <c r="P638" s="440">
        <f t="shared" si="617"/>
        <v>310.57247149547391</v>
      </c>
      <c r="Q638" s="349">
        <f t="shared" si="618"/>
        <v>0</v>
      </c>
      <c r="R638" s="353">
        <f t="shared" si="619"/>
        <v>0</v>
      </c>
      <c r="S638" s="354">
        <f t="shared" si="511"/>
        <v>574.62273880589419</v>
      </c>
      <c r="T638" s="354">
        <f t="shared" si="512"/>
        <v>0</v>
      </c>
      <c r="U638" s="355">
        <f t="shared" si="513"/>
        <v>0</v>
      </c>
      <c r="V638" s="355">
        <f t="shared" si="514"/>
        <v>0</v>
      </c>
      <c r="W638" s="355">
        <f t="shared" si="515"/>
        <v>0</v>
      </c>
      <c r="X638" s="355">
        <f t="shared" si="516"/>
        <v>146.45237809917359</v>
      </c>
      <c r="Y638" s="396"/>
      <c r="Z638" s="346" t="str">
        <f t="shared" si="620"/>
        <v>0-REVEXTA</v>
      </c>
      <c r="AA638" s="346" t="str">
        <f t="shared" si="621"/>
        <v>0-REVEXTE</v>
      </c>
      <c r="AB638" s="346" t="str">
        <f t="shared" si="622"/>
        <v>0-REVEXTM</v>
      </c>
      <c r="AC638" s="346" t="str">
        <f t="shared" si="623"/>
        <v>0-REVEXTT</v>
      </c>
      <c r="AD638" s="346" t="str">
        <f t="shared" si="624"/>
        <v>0-REVEXTS</v>
      </c>
      <c r="AE638" s="346" t="str">
        <f t="shared" si="625"/>
        <v>0-REVEXTX</v>
      </c>
      <c r="AF638" s="346" t="str">
        <f t="shared" si="626"/>
        <v>0-REVEXTA</v>
      </c>
      <c r="AG638" s="346">
        <f t="shared" si="524"/>
        <v>3</v>
      </c>
      <c r="AH638" s="346">
        <f>IF(B638&lt;&gt;"",+IF(H638="x",+VLOOKUP(I638,'AUX-NIV2'!B:AG,32,FALSE),0),"")</f>
        <v>0</v>
      </c>
      <c r="AI638" s="346" t="str">
        <f t="shared" si="627"/>
        <v>0-REVEXT</v>
      </c>
      <c r="AK638" s="347">
        <f t="shared" si="526"/>
        <v>637</v>
      </c>
      <c r="AL638" s="348">
        <f t="shared" si="628"/>
        <v>639</v>
      </c>
      <c r="AM638" s="347">
        <f t="shared" si="629"/>
        <v>2</v>
      </c>
      <c r="AN638" s="382">
        <f>IF(AND(AH638&gt;0,B638&lt;&gt;""),VLOOKUP(I638,'AUX-NIV2'!$B:$AP,40,FALSE)*O638,0)</f>
        <v>0</v>
      </c>
      <c r="AO638" s="382">
        <f t="shared" si="529"/>
        <v>1.25</v>
      </c>
      <c r="AQ638" s="395">
        <f>(IF($H638="x",VLOOKUP($I638,'AUX-NIV2'!$B:$X,'AUX-NIV1'!AQ$3,FALSE),0)+($AV638*'AUX-NIV3'!S$4))*$O638+IF($H638=AQ$4,$P638,0)</f>
        <v>310.57247149547391</v>
      </c>
      <c r="AR638" s="395">
        <f>(IF($H638="x",VLOOKUP($I638,'AUX-NIV2'!$B:$X,'AUX-NIV1'!AR$3,FALSE),0)+($AV638*'AUX-NIV3'!T$4))*$O638+IF($H638=AR$4,$P638,0)</f>
        <v>0</v>
      </c>
      <c r="AS638" s="395">
        <f>(IF($H638="x",VLOOKUP($I638,'AUX-NIV2'!$B:$X,'AUX-NIV1'!AS$3,FALSE),0)+($AV638*'AUX-NIV3'!U$4))*$O638+IF($H638=AS$4,$P638,0)</f>
        <v>0</v>
      </c>
      <c r="AT638" s="395">
        <f>(IF($H638="x",VLOOKUP($I638,'AUX-NIV2'!$B:$X,'AUX-NIV1'!AT$3,FALSE),0)+($AV638*'AUX-NIV3'!V$4))*$O638+IF($H638=AT$4,$P638,0)</f>
        <v>0</v>
      </c>
      <c r="AU638" s="395">
        <f>(IF($H638="x",VLOOKUP($I638,'AUX-NIV2'!$B:$X,'AUX-NIV1'!AU$3,FALSE),0)+($AV638*'AUX-NIV3'!W$4))*$O638+IF($H638=AU$4,$P638,0)</f>
        <v>0</v>
      </c>
      <c r="AV638" s="395">
        <f>+IF($H638="x",VLOOKUP($I638,'AUX-NIV2'!$B:$X,'AUX-NIV1'!AV$3,FALSE),0)</f>
        <v>0</v>
      </c>
    </row>
    <row r="639" spans="2:48" ht="13.8" hidden="1" thickBot="1">
      <c r="B639" s="501" t="s">
        <v>3759</v>
      </c>
      <c r="C639" s="950" t="s">
        <v>3758</v>
      </c>
      <c r="D639" s="326" t="s">
        <v>501</v>
      </c>
      <c r="E639" s="349">
        <f>IF(B639&lt;&gt;"",+SUMIF(Items!C:C,'AUX-NIV1'!B639,Items!H:H),"")</f>
        <v>0</v>
      </c>
      <c r="F639" s="349">
        <f t="shared" si="505"/>
        <v>721.07511690506772</v>
      </c>
      <c r="G639" s="349">
        <f t="shared" si="506"/>
        <v>0</v>
      </c>
      <c r="H639" s="1395" t="str">
        <f t="shared" si="616"/>
        <v>X</v>
      </c>
      <c r="I639" s="1375" t="s">
        <v>3735</v>
      </c>
      <c r="J639" s="350" t="str">
        <f>IF(B639&lt;&gt;"",+VLOOKUP(I639,Recursos!C:F,2,FALSE),"")</f>
        <v>Mortero para ladrillos</v>
      </c>
      <c r="K639" s="351" t="str">
        <f>IF(B639&lt;&gt;"",+VLOOKUP(I639,Recursos!C:F,3,FALSE),"")</f>
        <v>m3</v>
      </c>
      <c r="L639" s="436">
        <f>IF(B639&lt;&gt;"",+VLOOKUP(I639,Recursos!C:F,4,FALSE),"")</f>
        <v>5858.095123966943</v>
      </c>
      <c r="M639" s="1080">
        <v>2.5000000000000001E-2</v>
      </c>
      <c r="N639" s="1086"/>
      <c r="O639" s="439">
        <f>M639</f>
        <v>2.5000000000000001E-2</v>
      </c>
      <c r="P639" s="440">
        <f t="shared" si="617"/>
        <v>146.45237809917359</v>
      </c>
      <c r="Q639" s="349">
        <f t="shared" si="618"/>
        <v>0</v>
      </c>
      <c r="R639" s="353">
        <f t="shared" si="619"/>
        <v>0</v>
      </c>
      <c r="S639" s="354">
        <f t="shared" si="511"/>
        <v>574.62273880589419</v>
      </c>
      <c r="T639" s="354">
        <f t="shared" si="512"/>
        <v>0</v>
      </c>
      <c r="U639" s="355">
        <f t="shared" si="513"/>
        <v>0</v>
      </c>
      <c r="V639" s="355">
        <f t="shared" si="514"/>
        <v>0</v>
      </c>
      <c r="W639" s="355">
        <f t="shared" si="515"/>
        <v>0</v>
      </c>
      <c r="X639" s="355">
        <f t="shared" si="516"/>
        <v>146.45237809917359</v>
      </c>
      <c r="Y639" s="396"/>
      <c r="Z639" s="346" t="str">
        <f t="shared" si="620"/>
        <v>0-REVEXTA</v>
      </c>
      <c r="AA639" s="346" t="str">
        <f t="shared" si="621"/>
        <v>0-REVEXTE</v>
      </c>
      <c r="AB639" s="346" t="str">
        <f t="shared" si="622"/>
        <v>0-REVEXTM</v>
      </c>
      <c r="AC639" s="346" t="str">
        <f t="shared" si="623"/>
        <v>0-REVEXTT</v>
      </c>
      <c r="AD639" s="346" t="str">
        <f t="shared" si="624"/>
        <v>0-REVEXTS</v>
      </c>
      <c r="AE639" s="346" t="str">
        <f t="shared" si="625"/>
        <v>0-REVEXTX</v>
      </c>
      <c r="AF639" s="346" t="str">
        <f t="shared" si="626"/>
        <v>0-REVEXTX</v>
      </c>
      <c r="AG639" s="346">
        <f t="shared" si="524"/>
        <v>3</v>
      </c>
      <c r="AH639" s="346">
        <f>IF(B639&lt;&gt;"",+IF(H639="x",+VLOOKUP(I639,'AUX-NIV2'!B:AG,32,FALSE),0),"")</f>
        <v>3</v>
      </c>
      <c r="AI639" s="346" t="str">
        <f t="shared" si="627"/>
        <v>0-REVEXT</v>
      </c>
      <c r="AK639" s="347">
        <f t="shared" si="526"/>
        <v>637</v>
      </c>
      <c r="AL639" s="348">
        <f t="shared" si="628"/>
        <v>639</v>
      </c>
      <c r="AM639" s="347">
        <f t="shared" si="629"/>
        <v>3</v>
      </c>
      <c r="AN639" s="382">
        <f>IF(AND(AH639&gt;0,B639&lt;&gt;""),VLOOKUP(I639,'AUX-NIV2'!$B:$AP,40,FALSE)*O639,0)</f>
        <v>0</v>
      </c>
      <c r="AO639" s="382">
        <f t="shared" si="529"/>
        <v>1.25</v>
      </c>
      <c r="AQ639" s="395">
        <f>(IF($H639="x",VLOOKUP($I639,'AUX-NIV2'!$B:$X,'AUX-NIV1'!AQ$3,FALSE),0)+($AV639*'AUX-NIV3'!S$4))*$O639+IF($H639=AQ$4,$P639,0)</f>
        <v>0</v>
      </c>
      <c r="AR639" s="395">
        <f>(IF($H639="x",VLOOKUP($I639,'AUX-NIV2'!$B:$X,'AUX-NIV1'!AR$3,FALSE),0)+($AV639*'AUX-NIV3'!T$4))*$O639+IF($H639=AR$4,$P639,0)</f>
        <v>0</v>
      </c>
      <c r="AS639" s="395">
        <f>(IF($H639="x",VLOOKUP($I639,'AUX-NIV2'!$B:$X,'AUX-NIV1'!AS$3,FALSE),0)+($AV639*'AUX-NIV3'!U$4))*$O639+IF($H639=AS$4,$P639,0)</f>
        <v>146.45237809917359</v>
      </c>
      <c r="AT639" s="395">
        <f>(IF($H639="x",VLOOKUP($I639,'AUX-NIV2'!$B:$X,'AUX-NIV1'!AT$3,FALSE),0)+($AV639*'AUX-NIV3'!V$4))*$O639+IF($H639=AT$4,$P639,0)</f>
        <v>0</v>
      </c>
      <c r="AU639" s="395">
        <f>(IF($H639="x",VLOOKUP($I639,'AUX-NIV2'!$B:$X,'AUX-NIV1'!AU$3,FALSE),0)+($AV639*'AUX-NIV3'!W$4))*$O639+IF($H639=AU$4,$P639,0)</f>
        <v>0</v>
      </c>
      <c r="AV639" s="395">
        <f>+IF($H639="x",VLOOKUP($I639,'AUX-NIV2'!$B:$X,'AUX-NIV1'!AV$3,FALSE),0)</f>
        <v>0</v>
      </c>
    </row>
    <row r="640" spans="2:48" ht="14.4" hidden="1" thickTop="1" thickBot="1">
      <c r="B640" s="501" t="s">
        <v>3760</v>
      </c>
      <c r="C640" s="950" t="s">
        <v>3761</v>
      </c>
      <c r="D640" s="326" t="s">
        <v>501</v>
      </c>
      <c r="E640" s="349">
        <f>IF(B640&lt;&gt;"",+SUMIF(Items!C:C,'AUX-NIV1'!B640,Items!H:H),"")</f>
        <v>0</v>
      </c>
      <c r="F640" s="349">
        <f t="shared" si="505"/>
        <v>711.98012516953054</v>
      </c>
      <c r="G640" s="349">
        <f t="shared" si="506"/>
        <v>0</v>
      </c>
      <c r="H640" s="1395" t="str">
        <f t="shared" ref="H640:H642" si="630">IF(B640&lt;&gt;"",+LEFT(I640,1),"")</f>
        <v>A</v>
      </c>
      <c r="I640" s="1375" t="s">
        <v>1745</v>
      </c>
      <c r="J640" s="350" t="str">
        <f>IF(B640&lt;&gt;"",+VLOOKUP(I640,Recursos!C:F,2,FALSE),"")</f>
        <v>AYUDANTE</v>
      </c>
      <c r="K640" s="351" t="str">
        <f>IF(B640&lt;&gt;"",+VLOOKUP(I640,Recursos!C:F,3,FALSE),"")</f>
        <v>hh</v>
      </c>
      <c r="L640" s="436">
        <f>IF(B640&lt;&gt;"",+VLOOKUP(I640,Recursos!C:F,4,FALSE),"")</f>
        <v>422.48042769667234</v>
      </c>
      <c r="M640" s="1363">
        <v>1</v>
      </c>
      <c r="N640" s="1364">
        <v>2</v>
      </c>
      <c r="O640" s="439">
        <f>M640*N641/N640</f>
        <v>0.625</v>
      </c>
      <c r="P640" s="440">
        <f t="shared" ref="P640:P642" si="631">IF(B640&lt;&gt;"",O640*L640,"")</f>
        <v>264.05026731042022</v>
      </c>
      <c r="Q640" s="349">
        <f t="shared" ref="Q640:Q642" si="632">IF(B640&lt;&gt;"",+O640*E640,"")</f>
        <v>0</v>
      </c>
      <c r="R640" s="353">
        <f t="shared" ref="R640:R642" si="633">IF(B640&lt;&gt;"",Q640*L640,"")</f>
        <v>0</v>
      </c>
      <c r="S640" s="354">
        <f t="shared" si="511"/>
        <v>574.62273880589419</v>
      </c>
      <c r="T640" s="354">
        <f t="shared" si="512"/>
        <v>0</v>
      </c>
      <c r="U640" s="355">
        <f t="shared" si="513"/>
        <v>0</v>
      </c>
      <c r="V640" s="355">
        <f t="shared" si="514"/>
        <v>0</v>
      </c>
      <c r="W640" s="355">
        <f t="shared" si="515"/>
        <v>0</v>
      </c>
      <c r="X640" s="355">
        <f t="shared" si="516"/>
        <v>137.35738636363641</v>
      </c>
      <c r="Y640" s="396"/>
      <c r="Z640" s="346" t="str">
        <f t="shared" ref="Z640:Z642" si="634">IF(B640&lt;&gt;"",+$B640&amp;"A","")</f>
        <v>0-REVREVA</v>
      </c>
      <c r="AA640" s="346" t="str">
        <f t="shared" ref="AA640:AA642" si="635">IF(B640&lt;&gt;"",+$B640&amp;"E","")</f>
        <v>0-REVREVE</v>
      </c>
      <c r="AB640" s="346" t="str">
        <f t="shared" ref="AB640:AB642" si="636">IF(B640&lt;&gt;"",++$B640&amp;"M","")</f>
        <v>0-REVREVM</v>
      </c>
      <c r="AC640" s="346" t="str">
        <f t="shared" ref="AC640:AC642" si="637">IF(B640&lt;&gt;"",+$B640&amp;"T","")</f>
        <v>0-REVREVT</v>
      </c>
      <c r="AD640" s="346" t="str">
        <f t="shared" ref="AD640:AD642" si="638">IF(B640&lt;&gt;"",+$B640&amp;"S","")</f>
        <v>0-REVREVS</v>
      </c>
      <c r="AE640" s="346" t="str">
        <f t="shared" ref="AE640:AE642" si="639">IF(B640&lt;&gt;"",+$B640&amp;"X","")</f>
        <v>0-REVREVX</v>
      </c>
      <c r="AF640" s="346" t="str">
        <f t="shared" ref="AF640:AF642" si="640">IF(B640&lt;&gt;"",+B640&amp;H640,"")</f>
        <v>0-REVREVA</v>
      </c>
      <c r="AG640" s="346">
        <f t="shared" si="524"/>
        <v>3</v>
      </c>
      <c r="AH640" s="346">
        <f>IF(B640&lt;&gt;"",+IF(H640="x",+VLOOKUP(I640,'AUX-NIV2'!B:AG,32,FALSE),0),"")</f>
        <v>0</v>
      </c>
      <c r="AI640" s="346" t="str">
        <f t="shared" ref="AI640:AI642" si="641">IF(B640&lt;&gt;"",+B640,"")</f>
        <v>0-REVREV</v>
      </c>
      <c r="AK640" s="347">
        <f t="shared" si="526"/>
        <v>640</v>
      </c>
      <c r="AL640" s="348">
        <f t="shared" ref="AL640:AL642" si="642">IF(B640&lt;&gt;"",+AK640+AG640-1,"")</f>
        <v>642</v>
      </c>
      <c r="AM640" s="347">
        <f t="shared" ref="AM640:AM642" si="643">IF(B640&lt;&gt;"",IF(B640=B639,1+AM639,1),"")</f>
        <v>1</v>
      </c>
      <c r="AN640" s="382">
        <f>IF(AND(AH640&gt;0,B640&lt;&gt;""),VLOOKUP(I640,'AUX-NIV2'!$B:$AP,40,FALSE)*O640,0)</f>
        <v>0</v>
      </c>
      <c r="AO640" s="382">
        <f t="shared" si="529"/>
        <v>1.25</v>
      </c>
      <c r="AQ640" s="395">
        <f>(IF($H640="x",VLOOKUP($I640,'AUX-NIV2'!$B:$X,'AUX-NIV1'!AQ$3,FALSE),0)+($AV640*'AUX-NIV3'!S$4))*$O640+IF($H640=AQ$4,$P640,0)</f>
        <v>264.05026731042022</v>
      </c>
      <c r="AR640" s="395">
        <f>(IF($H640="x",VLOOKUP($I640,'AUX-NIV2'!$B:$X,'AUX-NIV1'!AR$3,FALSE),0)+($AV640*'AUX-NIV3'!T$4))*$O640+IF($H640=AR$4,$P640,0)</f>
        <v>0</v>
      </c>
      <c r="AS640" s="395">
        <f>(IF($H640="x",VLOOKUP($I640,'AUX-NIV2'!$B:$X,'AUX-NIV1'!AS$3,FALSE),0)+($AV640*'AUX-NIV3'!U$4))*$O640+IF($H640=AS$4,$P640,0)</f>
        <v>0</v>
      </c>
      <c r="AT640" s="395">
        <f>(IF($H640="x",VLOOKUP($I640,'AUX-NIV2'!$B:$X,'AUX-NIV1'!AT$3,FALSE),0)+($AV640*'AUX-NIV3'!V$4))*$O640+IF($H640=AT$4,$P640,0)</f>
        <v>0</v>
      </c>
      <c r="AU640" s="395">
        <f>(IF($H640="x",VLOOKUP($I640,'AUX-NIV2'!$B:$X,'AUX-NIV1'!AU$3,FALSE),0)+($AV640*'AUX-NIV3'!W$4))*$O640+IF($H640=AU$4,$P640,0)</f>
        <v>0</v>
      </c>
      <c r="AV640" s="395">
        <f>+IF($H640="x",VLOOKUP($I640,'AUX-NIV2'!$B:$X,'AUX-NIV1'!AV$3,FALSE),0)</f>
        <v>0</v>
      </c>
    </row>
    <row r="641" spans="2:48" ht="13.8" hidden="1" thickBot="1">
      <c r="B641" s="501" t="s">
        <v>3760</v>
      </c>
      <c r="C641" s="950" t="s">
        <v>3761</v>
      </c>
      <c r="D641" s="326" t="s">
        <v>501</v>
      </c>
      <c r="E641" s="349">
        <f>IF(B641&lt;&gt;"",+SUMIF(Items!C:C,'AUX-NIV1'!B641,Items!H:H),"")</f>
        <v>0</v>
      </c>
      <c r="F641" s="349">
        <f t="shared" si="505"/>
        <v>711.98012516953054</v>
      </c>
      <c r="G641" s="349">
        <f t="shared" si="506"/>
        <v>0</v>
      </c>
      <c r="H641" s="1395" t="str">
        <f t="shared" si="630"/>
        <v>A</v>
      </c>
      <c r="I641" s="1375" t="s">
        <v>1746</v>
      </c>
      <c r="J641" s="350" t="str">
        <f>IF(B641&lt;&gt;"",+VLOOKUP(I641,Recursos!C:F,2,FALSE),"")</f>
        <v>OFICIAL</v>
      </c>
      <c r="K641" s="351" t="str">
        <f>IF(B641&lt;&gt;"",+VLOOKUP(I641,Recursos!C:F,3,FALSE),"")</f>
        <v>hh</v>
      </c>
      <c r="L641" s="436">
        <f>IF(B641&lt;&gt;"",+VLOOKUP(I641,Recursos!C:F,4,FALSE),"")</f>
        <v>496.91595439275824</v>
      </c>
      <c r="M641" s="1365">
        <v>1</v>
      </c>
      <c r="N641" s="1366">
        <v>1.25</v>
      </c>
      <c r="O641" s="439">
        <f>M641*N641/N640</f>
        <v>0.625</v>
      </c>
      <c r="P641" s="440">
        <f t="shared" si="631"/>
        <v>310.57247149547391</v>
      </c>
      <c r="Q641" s="349">
        <f t="shared" si="632"/>
        <v>0</v>
      </c>
      <c r="R641" s="353">
        <f t="shared" si="633"/>
        <v>0</v>
      </c>
      <c r="S641" s="354">
        <f t="shared" si="511"/>
        <v>574.62273880589419</v>
      </c>
      <c r="T641" s="354">
        <f t="shared" si="512"/>
        <v>0</v>
      </c>
      <c r="U641" s="355">
        <f t="shared" si="513"/>
        <v>0</v>
      </c>
      <c r="V641" s="355">
        <f t="shared" si="514"/>
        <v>0</v>
      </c>
      <c r="W641" s="355">
        <f t="shared" si="515"/>
        <v>0</v>
      </c>
      <c r="X641" s="355">
        <f t="shared" si="516"/>
        <v>137.35738636363641</v>
      </c>
      <c r="Y641" s="396"/>
      <c r="Z641" s="346" t="str">
        <f t="shared" si="634"/>
        <v>0-REVREVA</v>
      </c>
      <c r="AA641" s="346" t="str">
        <f t="shared" si="635"/>
        <v>0-REVREVE</v>
      </c>
      <c r="AB641" s="346" t="str">
        <f t="shared" si="636"/>
        <v>0-REVREVM</v>
      </c>
      <c r="AC641" s="346" t="str">
        <f t="shared" si="637"/>
        <v>0-REVREVT</v>
      </c>
      <c r="AD641" s="346" t="str">
        <f t="shared" si="638"/>
        <v>0-REVREVS</v>
      </c>
      <c r="AE641" s="346" t="str">
        <f t="shared" si="639"/>
        <v>0-REVREVX</v>
      </c>
      <c r="AF641" s="346" t="str">
        <f t="shared" si="640"/>
        <v>0-REVREVA</v>
      </c>
      <c r="AG641" s="346">
        <f t="shared" si="524"/>
        <v>3</v>
      </c>
      <c r="AH641" s="346">
        <f>IF(B641&lt;&gt;"",+IF(H641="x",+VLOOKUP(I641,'AUX-NIV2'!B:AG,32,FALSE),0),"")</f>
        <v>0</v>
      </c>
      <c r="AI641" s="346" t="str">
        <f t="shared" si="641"/>
        <v>0-REVREV</v>
      </c>
      <c r="AK641" s="347">
        <f t="shared" si="526"/>
        <v>640</v>
      </c>
      <c r="AL641" s="348">
        <f t="shared" si="642"/>
        <v>642</v>
      </c>
      <c r="AM641" s="347">
        <f t="shared" si="643"/>
        <v>2</v>
      </c>
      <c r="AN641" s="382">
        <f>IF(AND(AH641&gt;0,B641&lt;&gt;""),VLOOKUP(I641,'AUX-NIV2'!$B:$AP,40,FALSE)*O641,0)</f>
        <v>0</v>
      </c>
      <c r="AO641" s="382">
        <f t="shared" si="529"/>
        <v>1.25</v>
      </c>
      <c r="AQ641" s="395">
        <f>(IF($H641="x",VLOOKUP($I641,'AUX-NIV2'!$B:$X,'AUX-NIV1'!AQ$3,FALSE),0)+($AV641*'AUX-NIV3'!S$4))*$O641+IF($H641=AQ$4,$P641,0)</f>
        <v>310.57247149547391</v>
      </c>
      <c r="AR641" s="395">
        <f>(IF($H641="x",VLOOKUP($I641,'AUX-NIV2'!$B:$X,'AUX-NIV1'!AR$3,FALSE),0)+($AV641*'AUX-NIV3'!T$4))*$O641+IF($H641=AR$4,$P641,0)</f>
        <v>0</v>
      </c>
      <c r="AS641" s="395">
        <f>(IF($H641="x",VLOOKUP($I641,'AUX-NIV2'!$B:$X,'AUX-NIV1'!AS$3,FALSE),0)+($AV641*'AUX-NIV3'!U$4))*$O641+IF($H641=AS$4,$P641,0)</f>
        <v>0</v>
      </c>
      <c r="AT641" s="395">
        <f>(IF($H641="x",VLOOKUP($I641,'AUX-NIV2'!$B:$X,'AUX-NIV1'!AT$3,FALSE),0)+($AV641*'AUX-NIV3'!V$4))*$O641+IF($H641=AT$4,$P641,0)</f>
        <v>0</v>
      </c>
      <c r="AU641" s="395">
        <f>(IF($H641="x",VLOOKUP($I641,'AUX-NIV2'!$B:$X,'AUX-NIV1'!AU$3,FALSE),0)+($AV641*'AUX-NIV3'!W$4))*$O641+IF($H641=AU$4,$P641,0)</f>
        <v>0</v>
      </c>
      <c r="AV641" s="395">
        <f>+IF($H641="x",VLOOKUP($I641,'AUX-NIV2'!$B:$X,'AUX-NIV1'!AV$3,FALSE),0)</f>
        <v>0</v>
      </c>
    </row>
    <row r="642" spans="2:48" ht="13.8" hidden="1" thickBot="1">
      <c r="B642" s="501" t="s">
        <v>3760</v>
      </c>
      <c r="C642" s="950" t="s">
        <v>3761</v>
      </c>
      <c r="D642" s="326" t="s">
        <v>501</v>
      </c>
      <c r="E642" s="349">
        <f>IF(B642&lt;&gt;"",+SUMIF(Items!C:C,'AUX-NIV1'!B642,Items!H:H),"")</f>
        <v>0</v>
      </c>
      <c r="F642" s="349">
        <f t="shared" si="505"/>
        <v>711.98012516953054</v>
      </c>
      <c r="G642" s="349">
        <f t="shared" si="506"/>
        <v>0</v>
      </c>
      <c r="H642" s="1395" t="str">
        <f t="shared" si="630"/>
        <v>X</v>
      </c>
      <c r="I642" s="1375" t="s">
        <v>3736</v>
      </c>
      <c r="J642" s="350" t="str">
        <f>IF(B642&lt;&gt;"",+VLOOKUP(I642,Recursos!C:F,2,FALSE),"")</f>
        <v>Mortero hidrofugo</v>
      </c>
      <c r="K642" s="351" t="str">
        <f>IF(B642&lt;&gt;"",+VLOOKUP(I642,Recursos!C:F,3,FALSE),"")</f>
        <v>m3</v>
      </c>
      <c r="L642" s="436">
        <f>IF(B642&lt;&gt;"",+VLOOKUP(I642,Recursos!C:F,4,FALSE),"")</f>
        <v>5494.2954545454559</v>
      </c>
      <c r="M642" s="1080">
        <v>2.5000000000000001E-2</v>
      </c>
      <c r="N642" s="1086"/>
      <c r="O642" s="439">
        <f>M642</f>
        <v>2.5000000000000001E-2</v>
      </c>
      <c r="P642" s="440">
        <f t="shared" si="631"/>
        <v>137.35738636363641</v>
      </c>
      <c r="Q642" s="349">
        <f t="shared" si="632"/>
        <v>0</v>
      </c>
      <c r="R642" s="353">
        <f t="shared" si="633"/>
        <v>0</v>
      </c>
      <c r="S642" s="354">
        <f t="shared" si="511"/>
        <v>574.62273880589419</v>
      </c>
      <c r="T642" s="354">
        <f t="shared" si="512"/>
        <v>0</v>
      </c>
      <c r="U642" s="355">
        <f t="shared" si="513"/>
        <v>0</v>
      </c>
      <c r="V642" s="355">
        <f t="shared" si="514"/>
        <v>0</v>
      </c>
      <c r="W642" s="355">
        <f t="shared" si="515"/>
        <v>0</v>
      </c>
      <c r="X642" s="355">
        <f t="shared" si="516"/>
        <v>137.35738636363641</v>
      </c>
      <c r="Y642" s="396"/>
      <c r="Z642" s="346" t="str">
        <f t="shared" si="634"/>
        <v>0-REVREVA</v>
      </c>
      <c r="AA642" s="346" t="str">
        <f t="shared" si="635"/>
        <v>0-REVREVE</v>
      </c>
      <c r="AB642" s="346" t="str">
        <f t="shared" si="636"/>
        <v>0-REVREVM</v>
      </c>
      <c r="AC642" s="346" t="str">
        <f t="shared" si="637"/>
        <v>0-REVREVT</v>
      </c>
      <c r="AD642" s="346" t="str">
        <f t="shared" si="638"/>
        <v>0-REVREVS</v>
      </c>
      <c r="AE642" s="346" t="str">
        <f t="shared" si="639"/>
        <v>0-REVREVX</v>
      </c>
      <c r="AF642" s="346" t="str">
        <f t="shared" si="640"/>
        <v>0-REVREVX</v>
      </c>
      <c r="AG642" s="346">
        <f t="shared" si="524"/>
        <v>3</v>
      </c>
      <c r="AH642" s="346">
        <f>IF(B642&lt;&gt;"",+IF(H642="x",+VLOOKUP(I642,'AUX-NIV2'!B:AG,32,FALSE),0),"")</f>
        <v>3</v>
      </c>
      <c r="AI642" s="346" t="str">
        <f t="shared" si="641"/>
        <v>0-REVREV</v>
      </c>
      <c r="AK642" s="347">
        <f t="shared" si="526"/>
        <v>640</v>
      </c>
      <c r="AL642" s="348">
        <f t="shared" si="642"/>
        <v>642</v>
      </c>
      <c r="AM642" s="347">
        <f t="shared" si="643"/>
        <v>3</v>
      </c>
      <c r="AN642" s="382">
        <f>IF(AND(AH642&gt;0,B642&lt;&gt;""),VLOOKUP(I642,'AUX-NIV2'!$B:$AP,40,FALSE)*O642,0)</f>
        <v>0</v>
      </c>
      <c r="AO642" s="382">
        <f t="shared" si="529"/>
        <v>1.25</v>
      </c>
      <c r="AQ642" s="395">
        <f>(IF($H642="x",VLOOKUP($I642,'AUX-NIV2'!$B:$X,'AUX-NIV1'!AQ$3,FALSE),0)+($AV642*'AUX-NIV3'!S$4))*$O642+IF($H642=AQ$4,$P642,0)</f>
        <v>0</v>
      </c>
      <c r="AR642" s="395">
        <f>(IF($H642="x",VLOOKUP($I642,'AUX-NIV2'!$B:$X,'AUX-NIV1'!AR$3,FALSE),0)+($AV642*'AUX-NIV3'!T$4))*$O642+IF($H642=AR$4,$P642,0)</f>
        <v>0</v>
      </c>
      <c r="AS642" s="395">
        <f>(IF($H642="x",VLOOKUP($I642,'AUX-NIV2'!$B:$X,'AUX-NIV1'!AS$3,FALSE),0)+($AV642*'AUX-NIV3'!U$4))*$O642+IF($H642=AS$4,$P642,0)</f>
        <v>137.35738636363641</v>
      </c>
      <c r="AT642" s="395">
        <f>(IF($H642="x",VLOOKUP($I642,'AUX-NIV2'!$B:$X,'AUX-NIV1'!AT$3,FALSE),0)+($AV642*'AUX-NIV3'!V$4))*$O642+IF($H642=AT$4,$P642,0)</f>
        <v>0</v>
      </c>
      <c r="AU642" s="395">
        <f>(IF($H642="x",VLOOKUP($I642,'AUX-NIV2'!$B:$X,'AUX-NIV1'!AU$3,FALSE),0)+($AV642*'AUX-NIV3'!W$4))*$O642+IF($H642=AU$4,$P642,0)</f>
        <v>0</v>
      </c>
      <c r="AV642" s="395">
        <f>+IF($H642="x",VLOOKUP($I642,'AUX-NIV2'!$B:$X,'AUX-NIV1'!AV$3,FALSE),0)</f>
        <v>0</v>
      </c>
    </row>
    <row r="643" spans="2:48" ht="14.4" hidden="1" thickTop="1" thickBot="1">
      <c r="B643" s="501" t="s">
        <v>3762</v>
      </c>
      <c r="C643" s="951" t="s">
        <v>3763</v>
      </c>
      <c r="D643" s="1280" t="s">
        <v>501</v>
      </c>
      <c r="E643" s="1281">
        <f>IF(B643&lt;&gt;"",+SUMIF(Items!C:C,'AUX-NIV1'!B643,Items!H:H),"")</f>
        <v>0</v>
      </c>
      <c r="F643" s="1281">
        <f t="shared" si="505"/>
        <v>982.37694457988698</v>
      </c>
      <c r="G643" s="1281">
        <f t="shared" si="506"/>
        <v>0</v>
      </c>
      <c r="H643" s="1395" t="str">
        <f t="shared" ref="H643:H653" si="644">IF(B643&lt;&gt;"",+LEFT(I643,1),"")</f>
        <v>A</v>
      </c>
      <c r="I643" s="1375" t="s">
        <v>1745</v>
      </c>
      <c r="J643" s="1283" t="str">
        <f>IF(B643&lt;&gt;"",+VLOOKUP(I643,Recursos!C:F,2,FALSE),"")</f>
        <v>AYUDANTE</v>
      </c>
      <c r="K643" s="1284" t="str">
        <f>IF(B643&lt;&gt;"",+VLOOKUP(I643,Recursos!C:F,3,FALSE),"")</f>
        <v>hh</v>
      </c>
      <c r="L643" s="1285">
        <f>IF(B643&lt;&gt;"",+VLOOKUP(I643,Recursos!C:F,4,FALSE),"")</f>
        <v>422.48042769667234</v>
      </c>
      <c r="M643" s="1304">
        <v>2.5</v>
      </c>
      <c r="N643" s="1367">
        <v>3</v>
      </c>
      <c r="O643" s="1286">
        <f>N643/M643</f>
        <v>1.2</v>
      </c>
      <c r="P643" s="1287">
        <f t="shared" si="575"/>
        <v>506.97651323600678</v>
      </c>
      <c r="Q643" s="1281">
        <f t="shared" si="576"/>
        <v>0</v>
      </c>
      <c r="R643" s="1288">
        <f t="shared" si="577"/>
        <v>0</v>
      </c>
      <c r="S643" s="1289">
        <f t="shared" si="511"/>
        <v>705.7428949931101</v>
      </c>
      <c r="T643" s="1289">
        <f t="shared" si="512"/>
        <v>0</v>
      </c>
      <c r="U643" s="1290">
        <f t="shared" si="513"/>
        <v>40</v>
      </c>
      <c r="V643" s="1290">
        <f t="shared" si="514"/>
        <v>0</v>
      </c>
      <c r="W643" s="1290">
        <f t="shared" si="515"/>
        <v>0</v>
      </c>
      <c r="X643" s="1290">
        <f t="shared" si="516"/>
        <v>236.63404958677688</v>
      </c>
      <c r="Y643" s="396"/>
      <c r="Z643" s="1291" t="str">
        <f t="shared" si="578"/>
        <v>0-CIELO01A</v>
      </c>
      <c r="AA643" s="1291" t="str">
        <f t="shared" si="579"/>
        <v>0-CIELO01E</v>
      </c>
      <c r="AB643" s="1291" t="str">
        <f t="shared" si="580"/>
        <v>0-CIELO01M</v>
      </c>
      <c r="AC643" s="1291" t="str">
        <f t="shared" si="581"/>
        <v>0-CIELO01T</v>
      </c>
      <c r="AD643" s="1291" t="str">
        <f t="shared" si="582"/>
        <v>0-CIELO01S</v>
      </c>
      <c r="AE643" s="1291" t="str">
        <f t="shared" si="583"/>
        <v>0-CIELO01X</v>
      </c>
      <c r="AF643" s="1291" t="str">
        <f t="shared" si="584"/>
        <v>0-CIELO01A</v>
      </c>
      <c r="AG643" s="1291">
        <f t="shared" si="524"/>
        <v>4</v>
      </c>
      <c r="AH643" s="1291">
        <f>IF(B643&lt;&gt;"",+IF(H643="x",+VLOOKUP(I643,'AUX-NIV2'!B:AG,32,FALSE),0),"")</f>
        <v>0</v>
      </c>
      <c r="AI643" s="1291" t="str">
        <f t="shared" si="585"/>
        <v>0-CIELO01</v>
      </c>
      <c r="AK643" s="347">
        <f t="shared" si="526"/>
        <v>643</v>
      </c>
      <c r="AL643" s="348">
        <f t="shared" si="586"/>
        <v>646</v>
      </c>
      <c r="AM643" s="347">
        <f t="shared" si="587"/>
        <v>1</v>
      </c>
      <c r="AN643" s="382">
        <f>IF(AND(AH643&gt;0,B643&lt;&gt;""),VLOOKUP(I643,'AUX-NIV2'!$B:$AP,40,FALSE)*O643,0)</f>
        <v>0</v>
      </c>
      <c r="AO643" s="382">
        <f t="shared" si="529"/>
        <v>1.6</v>
      </c>
      <c r="AQ643" s="395">
        <f>(IF($H643="x",VLOOKUP($I643,'AUX-NIV2'!$B:$X,'AUX-NIV1'!AQ$3,FALSE),0)+($AV643*'AUX-NIV3'!S$4))*$O643+IF($H643=AQ$4,$P643,0)</f>
        <v>506.97651323600678</v>
      </c>
      <c r="AR643" s="395">
        <f>(IF($H643="x",VLOOKUP($I643,'AUX-NIV2'!$B:$X,'AUX-NIV1'!AR$3,FALSE),0)+($AV643*'AUX-NIV3'!T$4))*$O643+IF($H643=AR$4,$P643,0)</f>
        <v>0</v>
      </c>
      <c r="AS643" s="395">
        <f>(IF($H643="x",VLOOKUP($I643,'AUX-NIV2'!$B:$X,'AUX-NIV1'!AS$3,FALSE),0)+($AV643*'AUX-NIV3'!U$4))*$O643+IF($H643=AS$4,$P643,0)</f>
        <v>0</v>
      </c>
      <c r="AT643" s="395">
        <f>(IF($H643="x",VLOOKUP($I643,'AUX-NIV2'!$B:$X,'AUX-NIV1'!AT$3,FALSE),0)+($AV643*'AUX-NIV3'!V$4))*$O643+IF($H643=AT$4,$P643,0)</f>
        <v>0</v>
      </c>
      <c r="AU643" s="395">
        <f>(IF($H643="x",VLOOKUP($I643,'AUX-NIV2'!$B:$X,'AUX-NIV1'!AU$3,FALSE),0)+($AV643*'AUX-NIV3'!W$4))*$O643+IF($H643=AU$4,$P643,0)</f>
        <v>0</v>
      </c>
      <c r="AV643" s="395">
        <f>+IF($H643="x",VLOOKUP($I643,'AUX-NIV2'!$B:$X,'AUX-NIV1'!AV$3,FALSE),0)</f>
        <v>0</v>
      </c>
    </row>
    <row r="644" spans="2:48" ht="13.8" hidden="1" thickBot="1">
      <c r="B644" s="501" t="s">
        <v>3762</v>
      </c>
      <c r="C644" s="951" t="s">
        <v>3763</v>
      </c>
      <c r="D644" s="1280" t="s">
        <v>501</v>
      </c>
      <c r="E644" s="1281">
        <f>IF(B644&lt;&gt;"",+SUMIF(Items!C:C,'AUX-NIV1'!B644,Items!H:H),"")</f>
        <v>0</v>
      </c>
      <c r="F644" s="1281">
        <f t="shared" si="505"/>
        <v>982.37694457988698</v>
      </c>
      <c r="G644" s="1281">
        <f t="shared" si="506"/>
        <v>0</v>
      </c>
      <c r="H644" s="1395" t="str">
        <f t="shared" si="644"/>
        <v>A</v>
      </c>
      <c r="I644" s="1375" t="s">
        <v>1746</v>
      </c>
      <c r="J644" s="1283" t="str">
        <f>IF(B644&lt;&gt;"",+VLOOKUP(I644,Recursos!C:F,2,FALSE),"")</f>
        <v>OFICIAL</v>
      </c>
      <c r="K644" s="1284" t="str">
        <f>IF(B644&lt;&gt;"",+VLOOKUP(I644,Recursos!C:F,3,FALSE),"")</f>
        <v>hh</v>
      </c>
      <c r="L644" s="1285">
        <f>IF(B644&lt;&gt;"",+VLOOKUP(I644,Recursos!C:F,4,FALSE),"")</f>
        <v>496.91595439275824</v>
      </c>
      <c r="M644" s="1351"/>
      <c r="N644" s="1329">
        <v>1</v>
      </c>
      <c r="O644" s="1286">
        <f>N644/M643</f>
        <v>0.4</v>
      </c>
      <c r="P644" s="1287">
        <f t="shared" si="575"/>
        <v>198.76638175710332</v>
      </c>
      <c r="Q644" s="1281">
        <f t="shared" si="576"/>
        <v>0</v>
      </c>
      <c r="R644" s="1288">
        <f t="shared" si="577"/>
        <v>0</v>
      </c>
      <c r="S644" s="1289">
        <f t="shared" si="511"/>
        <v>705.7428949931101</v>
      </c>
      <c r="T644" s="1289">
        <f t="shared" si="512"/>
        <v>0</v>
      </c>
      <c r="U644" s="1290">
        <f t="shared" si="513"/>
        <v>40</v>
      </c>
      <c r="V644" s="1290">
        <f t="shared" si="514"/>
        <v>0</v>
      </c>
      <c r="W644" s="1290">
        <f t="shared" si="515"/>
        <v>0</v>
      </c>
      <c r="X644" s="1290">
        <f t="shared" si="516"/>
        <v>236.63404958677688</v>
      </c>
      <c r="Y644" s="396"/>
      <c r="Z644" s="1291" t="str">
        <f t="shared" si="578"/>
        <v>0-CIELO01A</v>
      </c>
      <c r="AA644" s="1291" t="str">
        <f t="shared" si="579"/>
        <v>0-CIELO01E</v>
      </c>
      <c r="AB644" s="1291" t="str">
        <f t="shared" si="580"/>
        <v>0-CIELO01M</v>
      </c>
      <c r="AC644" s="1291" t="str">
        <f t="shared" si="581"/>
        <v>0-CIELO01T</v>
      </c>
      <c r="AD644" s="1291" t="str">
        <f t="shared" si="582"/>
        <v>0-CIELO01S</v>
      </c>
      <c r="AE644" s="1291" t="str">
        <f t="shared" si="583"/>
        <v>0-CIELO01X</v>
      </c>
      <c r="AF644" s="1291" t="str">
        <f t="shared" si="584"/>
        <v>0-CIELO01A</v>
      </c>
      <c r="AG644" s="1291">
        <f t="shared" si="524"/>
        <v>4</v>
      </c>
      <c r="AH644" s="1291">
        <f>IF(B644&lt;&gt;"",+IF(H644="x",+VLOOKUP(I644,'AUX-NIV2'!B:AG,32,FALSE),0),"")</f>
        <v>0</v>
      </c>
      <c r="AI644" s="1291" t="str">
        <f t="shared" si="585"/>
        <v>0-CIELO01</v>
      </c>
      <c r="AK644" s="347">
        <f t="shared" si="526"/>
        <v>643</v>
      </c>
      <c r="AL644" s="348">
        <f t="shared" si="586"/>
        <v>646</v>
      </c>
      <c r="AM644" s="347">
        <f t="shared" si="587"/>
        <v>2</v>
      </c>
      <c r="AN644" s="382">
        <f>IF(AND(AH644&gt;0,B644&lt;&gt;""),VLOOKUP(I644,'AUX-NIV2'!$B:$AP,40,FALSE)*O644,0)</f>
        <v>0</v>
      </c>
      <c r="AO644" s="382">
        <f t="shared" si="529"/>
        <v>1.6</v>
      </c>
      <c r="AQ644" s="395">
        <f>(IF($H644="x",VLOOKUP($I644,'AUX-NIV2'!$B:$X,'AUX-NIV1'!AQ$3,FALSE),0)+($AV644*'AUX-NIV3'!S$4))*$O644+IF($H644=AQ$4,$P644,0)</f>
        <v>198.76638175710332</v>
      </c>
      <c r="AR644" s="395">
        <f>(IF($H644="x",VLOOKUP($I644,'AUX-NIV2'!$B:$X,'AUX-NIV1'!AR$3,FALSE),0)+($AV644*'AUX-NIV3'!T$4))*$O644+IF($H644=AR$4,$P644,0)</f>
        <v>0</v>
      </c>
      <c r="AS644" s="395">
        <f>(IF($H644="x",VLOOKUP($I644,'AUX-NIV2'!$B:$X,'AUX-NIV1'!AS$3,FALSE),0)+($AV644*'AUX-NIV3'!U$4))*$O644+IF($H644=AS$4,$P644,0)</f>
        <v>0</v>
      </c>
      <c r="AT644" s="395">
        <f>(IF($H644="x",VLOOKUP($I644,'AUX-NIV2'!$B:$X,'AUX-NIV1'!AT$3,FALSE),0)+($AV644*'AUX-NIV3'!V$4))*$O644+IF($H644=AT$4,$P644,0)</f>
        <v>0</v>
      </c>
      <c r="AU644" s="395">
        <f>(IF($H644="x",VLOOKUP($I644,'AUX-NIV2'!$B:$X,'AUX-NIV1'!AU$3,FALSE),0)+($AV644*'AUX-NIV3'!W$4))*$O644+IF($H644=AU$4,$P644,0)</f>
        <v>0</v>
      </c>
      <c r="AV644" s="395">
        <f>+IF($H644="x",VLOOKUP($I644,'AUX-NIV2'!$B:$X,'AUX-NIV1'!AV$3,FALSE),0)</f>
        <v>0</v>
      </c>
    </row>
    <row r="645" spans="2:48" ht="13.8" hidden="1" thickBot="1">
      <c r="B645" s="501" t="s">
        <v>3762</v>
      </c>
      <c r="C645" s="951" t="s">
        <v>3763</v>
      </c>
      <c r="D645" s="1280" t="s">
        <v>501</v>
      </c>
      <c r="E645" s="1281">
        <f>IF(B645&lt;&gt;"",+SUMIF(Items!C:C,'AUX-NIV1'!B645,Items!H:H),"")</f>
        <v>0</v>
      </c>
      <c r="F645" s="1281">
        <f t="shared" si="505"/>
        <v>982.37694457988698</v>
      </c>
      <c r="G645" s="1281">
        <f t="shared" si="506"/>
        <v>0</v>
      </c>
      <c r="H645" s="1395" t="str">
        <f t="shared" si="644"/>
        <v>X</v>
      </c>
      <c r="I645" s="1375" t="s">
        <v>3768</v>
      </c>
      <c r="J645" s="1283" t="str">
        <f>IF(B645&lt;&gt;"",+VLOOKUP(I645,Recursos!C:F,2,FALSE),"")</f>
        <v>Mortero de yeso</v>
      </c>
      <c r="K645" s="1284" t="str">
        <f>IF(B645&lt;&gt;"",+VLOOKUP(I645,Recursos!C:F,3,FALSE),"")</f>
        <v>m3</v>
      </c>
      <c r="L645" s="1285">
        <f>IF(B645&lt;&gt;"",+VLOOKUP(I645,Recursos!C:F,4,FALSE),"")</f>
        <v>11831.702479338845</v>
      </c>
      <c r="M645" s="1368">
        <v>0.02</v>
      </c>
      <c r="N645" s="1369"/>
      <c r="O645" s="1286">
        <f>M645</f>
        <v>0.02</v>
      </c>
      <c r="P645" s="1287">
        <f t="shared" si="575"/>
        <v>236.63404958677688</v>
      </c>
      <c r="Q645" s="1281">
        <f t="shared" si="576"/>
        <v>0</v>
      </c>
      <c r="R645" s="1288">
        <f t="shared" si="577"/>
        <v>0</v>
      </c>
      <c r="S645" s="1289">
        <f t="shared" si="511"/>
        <v>705.7428949931101</v>
      </c>
      <c r="T645" s="1289">
        <f t="shared" si="512"/>
        <v>0</v>
      </c>
      <c r="U645" s="1290">
        <f t="shared" si="513"/>
        <v>40</v>
      </c>
      <c r="V645" s="1290">
        <f t="shared" si="514"/>
        <v>0</v>
      </c>
      <c r="W645" s="1290">
        <f t="shared" si="515"/>
        <v>0</v>
      </c>
      <c r="X645" s="1290">
        <f t="shared" si="516"/>
        <v>236.63404958677688</v>
      </c>
      <c r="Y645" s="396"/>
      <c r="Z645" s="1291" t="str">
        <f t="shared" si="578"/>
        <v>0-CIELO01A</v>
      </c>
      <c r="AA645" s="1291" t="str">
        <f t="shared" si="579"/>
        <v>0-CIELO01E</v>
      </c>
      <c r="AB645" s="1291" t="str">
        <f t="shared" si="580"/>
        <v>0-CIELO01M</v>
      </c>
      <c r="AC645" s="1291" t="str">
        <f t="shared" si="581"/>
        <v>0-CIELO01T</v>
      </c>
      <c r="AD645" s="1291" t="str">
        <f t="shared" si="582"/>
        <v>0-CIELO01S</v>
      </c>
      <c r="AE645" s="1291" t="str">
        <f t="shared" si="583"/>
        <v>0-CIELO01X</v>
      </c>
      <c r="AF645" s="1291" t="str">
        <f t="shared" si="584"/>
        <v>0-CIELO01X</v>
      </c>
      <c r="AG645" s="1291">
        <f t="shared" si="524"/>
        <v>4</v>
      </c>
      <c r="AH645" s="1291">
        <f>IF(B645&lt;&gt;"",+IF(H645="x",+VLOOKUP(I645,'AUX-NIV2'!B:AG,32,FALSE),0),"")</f>
        <v>3</v>
      </c>
      <c r="AI645" s="1291" t="str">
        <f t="shared" si="585"/>
        <v>0-CIELO01</v>
      </c>
      <c r="AK645" s="347">
        <f t="shared" si="526"/>
        <v>643</v>
      </c>
      <c r="AL645" s="348">
        <f t="shared" si="586"/>
        <v>646</v>
      </c>
      <c r="AM645" s="347">
        <f t="shared" si="587"/>
        <v>3</v>
      </c>
      <c r="AN645" s="382">
        <f>IF(AND(AH645&gt;0,B645&lt;&gt;""),VLOOKUP(I645,'AUX-NIV2'!$B:$AP,40,FALSE)*O645,0)</f>
        <v>0</v>
      </c>
      <c r="AO645" s="382">
        <f t="shared" si="529"/>
        <v>1.6</v>
      </c>
      <c r="AQ645" s="395">
        <f>(IF($H645="x",VLOOKUP($I645,'AUX-NIV2'!$B:$X,'AUX-NIV1'!AQ$3,FALSE),0)+($AV645*'AUX-NIV3'!S$4))*$O645+IF($H645=AQ$4,$P645,0)</f>
        <v>0</v>
      </c>
      <c r="AR645" s="395">
        <f>(IF($H645="x",VLOOKUP($I645,'AUX-NIV2'!$B:$X,'AUX-NIV1'!AR$3,FALSE),0)+($AV645*'AUX-NIV3'!T$4))*$O645+IF($H645=AR$4,$P645,0)</f>
        <v>0</v>
      </c>
      <c r="AS645" s="395">
        <f>(IF($H645="x",VLOOKUP($I645,'AUX-NIV2'!$B:$X,'AUX-NIV1'!AS$3,FALSE),0)+($AV645*'AUX-NIV3'!U$4))*$O645+IF($H645=AS$4,$P645,0)</f>
        <v>236.63404958677688</v>
      </c>
      <c r="AT645" s="395">
        <f>(IF($H645="x",VLOOKUP($I645,'AUX-NIV2'!$B:$X,'AUX-NIV1'!AT$3,FALSE),0)+($AV645*'AUX-NIV3'!V$4))*$O645+IF($H645=AT$4,$P645,0)</f>
        <v>0</v>
      </c>
      <c r="AU645" s="395">
        <f>(IF($H645="x",VLOOKUP($I645,'AUX-NIV2'!$B:$X,'AUX-NIV1'!AU$3,FALSE),0)+($AV645*'AUX-NIV3'!W$4))*$O645+IF($H645=AU$4,$P645,0)</f>
        <v>0</v>
      </c>
      <c r="AV645" s="395">
        <f>+IF($H645="x",VLOOKUP($I645,'AUX-NIV2'!$B:$X,'AUX-NIV1'!AV$3,FALSE),0)</f>
        <v>0</v>
      </c>
    </row>
    <row r="646" spans="2:48" ht="13.8" hidden="1" thickBot="1">
      <c r="B646" s="501" t="s">
        <v>3762</v>
      </c>
      <c r="C646" s="951" t="s">
        <v>3763</v>
      </c>
      <c r="D646" s="1280" t="s">
        <v>501</v>
      </c>
      <c r="E646" s="1281">
        <f>IF(B646&lt;&gt;"",+SUMIF(Items!C:C,'AUX-NIV1'!B646,Items!H:H),"")</f>
        <v>0</v>
      </c>
      <c r="F646" s="1281">
        <f t="shared" si="505"/>
        <v>982.37694457988698</v>
      </c>
      <c r="G646" s="1281">
        <f t="shared" si="506"/>
        <v>0</v>
      </c>
      <c r="H646" s="1395" t="str">
        <f t="shared" ref="H646" si="645">IF(B646&lt;&gt;"",+LEFT(I646,1),"")</f>
        <v>M</v>
      </c>
      <c r="I646" s="1375" t="s">
        <v>621</v>
      </c>
      <c r="J646" s="1283" t="str">
        <f>IF(B646&lt;&gt;"",+VLOOKUP(I646,Recursos!C:F,2,FALSE),"")</f>
        <v>MATERIALES VARIOS</v>
      </c>
      <c r="K646" s="1284" t="str">
        <f>IF(B646&lt;&gt;"",+VLOOKUP(I646,Recursos!C:F,3,FALSE),"")</f>
        <v>GL</v>
      </c>
      <c r="L646" s="1285">
        <f>IF(B646&lt;&gt;"",+VLOOKUP(I646,Recursos!C:F,4,FALSE),"")</f>
        <v>0.5</v>
      </c>
      <c r="M646" s="1372"/>
      <c r="N646" s="1371">
        <f>800*10%</f>
        <v>80</v>
      </c>
      <c r="O646" s="1286">
        <f>N646</f>
        <v>80</v>
      </c>
      <c r="P646" s="1287">
        <f t="shared" ref="P646" si="646">IF(B646&lt;&gt;"",O646*L646,"")</f>
        <v>40</v>
      </c>
      <c r="Q646" s="1281">
        <f t="shared" ref="Q646" si="647">IF(B646&lt;&gt;"",+O646*E646,"")</f>
        <v>0</v>
      </c>
      <c r="R646" s="1288">
        <f t="shared" ref="R646" si="648">IF(B646&lt;&gt;"",Q646*L646,"")</f>
        <v>0</v>
      </c>
      <c r="S646" s="1289">
        <f t="shared" si="511"/>
        <v>705.7428949931101</v>
      </c>
      <c r="T646" s="1289">
        <f t="shared" si="512"/>
        <v>0</v>
      </c>
      <c r="U646" s="1290">
        <f t="shared" si="513"/>
        <v>40</v>
      </c>
      <c r="V646" s="1290">
        <f t="shared" si="514"/>
        <v>0</v>
      </c>
      <c r="W646" s="1290">
        <f t="shared" si="515"/>
        <v>0</v>
      </c>
      <c r="X646" s="1290">
        <f t="shared" si="516"/>
        <v>236.63404958677688</v>
      </c>
      <c r="Y646" s="396"/>
      <c r="Z646" s="1291" t="str">
        <f t="shared" ref="Z646" si="649">IF(B646&lt;&gt;"",+$B646&amp;"A","")</f>
        <v>0-CIELO01A</v>
      </c>
      <c r="AA646" s="1291" t="str">
        <f t="shared" ref="AA646" si="650">IF(B646&lt;&gt;"",+$B646&amp;"E","")</f>
        <v>0-CIELO01E</v>
      </c>
      <c r="AB646" s="1291" t="str">
        <f t="shared" ref="AB646" si="651">IF(B646&lt;&gt;"",++$B646&amp;"M","")</f>
        <v>0-CIELO01M</v>
      </c>
      <c r="AC646" s="1291" t="str">
        <f t="shared" ref="AC646" si="652">IF(B646&lt;&gt;"",+$B646&amp;"T","")</f>
        <v>0-CIELO01T</v>
      </c>
      <c r="AD646" s="1291" t="str">
        <f t="shared" ref="AD646" si="653">IF(B646&lt;&gt;"",+$B646&amp;"S","")</f>
        <v>0-CIELO01S</v>
      </c>
      <c r="AE646" s="1291" t="str">
        <f t="shared" ref="AE646" si="654">IF(B646&lt;&gt;"",+$B646&amp;"X","")</f>
        <v>0-CIELO01X</v>
      </c>
      <c r="AF646" s="1291" t="str">
        <f t="shared" ref="AF646" si="655">IF(B646&lt;&gt;"",+B646&amp;H646,"")</f>
        <v>0-CIELO01M</v>
      </c>
      <c r="AG646" s="1291">
        <f t="shared" si="524"/>
        <v>4</v>
      </c>
      <c r="AH646" s="1291">
        <f>IF(B646&lt;&gt;"",+IF(H646="x",+VLOOKUP(I646,'AUX-NIV2'!B:AG,32,FALSE),0),"")</f>
        <v>0</v>
      </c>
      <c r="AI646" s="1291" t="str">
        <f t="shared" ref="AI646" si="656">IF(B646&lt;&gt;"",+B646,"")</f>
        <v>0-CIELO01</v>
      </c>
      <c r="AK646" s="347">
        <f t="shared" si="526"/>
        <v>643</v>
      </c>
      <c r="AL646" s="348">
        <f t="shared" ref="AL646" si="657">IF(B646&lt;&gt;"",+AK646+AG646-1,"")</f>
        <v>646</v>
      </c>
      <c r="AM646" s="347">
        <f t="shared" ref="AM646" si="658">IF(B646&lt;&gt;"",IF(B646=B645,1+AM645,1),"")</f>
        <v>4</v>
      </c>
      <c r="AN646" s="382">
        <f>IF(AND(AH646&gt;0,B646&lt;&gt;""),VLOOKUP(I646,'AUX-NIV2'!$B:$AP,40,FALSE)*O646,0)</f>
        <v>0</v>
      </c>
      <c r="AO646" s="382">
        <f t="shared" si="529"/>
        <v>1.6</v>
      </c>
      <c r="AQ646" s="395">
        <f>(IF($H646="x",VLOOKUP($I646,'AUX-NIV2'!$B:$X,'AUX-NIV1'!AQ$3,FALSE),0)+($AV646*'AUX-NIV3'!S$4))*$O646+IF($H646=AQ$4,$P646,0)</f>
        <v>0</v>
      </c>
      <c r="AR646" s="395">
        <f>(IF($H646="x",VLOOKUP($I646,'AUX-NIV2'!$B:$X,'AUX-NIV1'!AR$3,FALSE),0)+($AV646*'AUX-NIV3'!T$4))*$O646+IF($H646=AR$4,$P646,0)</f>
        <v>0</v>
      </c>
      <c r="AS646" s="395">
        <f>(IF($H646="x",VLOOKUP($I646,'AUX-NIV2'!$B:$X,'AUX-NIV1'!AS$3,FALSE),0)+($AV646*'AUX-NIV3'!U$4))*$O646+IF($H646=AS$4,$P646,0)</f>
        <v>40</v>
      </c>
      <c r="AT646" s="395">
        <f>(IF($H646="x",VLOOKUP($I646,'AUX-NIV2'!$B:$X,'AUX-NIV1'!AT$3,FALSE),0)+($AV646*'AUX-NIV3'!V$4))*$O646+IF($H646=AT$4,$P646,0)</f>
        <v>0</v>
      </c>
      <c r="AU646" s="395">
        <f>(IF($H646="x",VLOOKUP($I646,'AUX-NIV2'!$B:$X,'AUX-NIV1'!AU$3,FALSE),0)+($AV646*'AUX-NIV3'!W$4))*$O646+IF($H646=AU$4,$P646,0)</f>
        <v>0</v>
      </c>
      <c r="AV646" s="395">
        <f>+IF($H646="x",VLOOKUP($I646,'AUX-NIV2'!$B:$X,'AUX-NIV1'!AV$3,FALSE),0)</f>
        <v>0</v>
      </c>
    </row>
    <row r="647" spans="2:48" ht="13.8" thickTop="1">
      <c r="B647" s="501" t="s">
        <v>3770</v>
      </c>
      <c r="C647" s="951" t="s">
        <v>3773</v>
      </c>
      <c r="D647" s="1280" t="s">
        <v>501</v>
      </c>
      <c r="E647" s="1281">
        <f>IF(B647&lt;&gt;"",+SUMIF(Items!C:C,'AUX-NIV1'!B647,Items!H:H),"")</f>
        <v>0</v>
      </c>
      <c r="F647" s="1281">
        <f t="shared" ref="F647:F710" si="659">IF(B647&lt;&gt;"",+SUMIF(B:B,B647,P:P),"")</f>
        <v>2068.1003957197572</v>
      </c>
      <c r="G647" s="1281">
        <f t="shared" ref="G647:G710" si="660">IF(B647&lt;&gt;"",+SUMIF(B:B,B647,R:R),"")</f>
        <v>0</v>
      </c>
      <c r="H647" s="1395" t="str">
        <f t="shared" si="644"/>
        <v>A</v>
      </c>
      <c r="I647" s="1375" t="s">
        <v>1745</v>
      </c>
      <c r="J647" s="1283" t="str">
        <f>IF(B647&lt;&gt;"",+VLOOKUP(I647,Recursos!C:F,2,FALSE),"")</f>
        <v>AYUDANTE</v>
      </c>
      <c r="K647" s="1284" t="str">
        <f>IF(B647&lt;&gt;"",+VLOOKUP(I647,Recursos!C:F,3,FALSE),"")</f>
        <v>hh</v>
      </c>
      <c r="L647" s="1285">
        <f>IF(B647&lt;&gt;"",+VLOOKUP(I647,Recursos!C:F,4,FALSE),"")</f>
        <v>422.48042769667234</v>
      </c>
      <c r="M647" s="989">
        <v>2</v>
      </c>
      <c r="N647" s="1292">
        <v>1</v>
      </c>
      <c r="O647" s="1286">
        <f>N647/M647</f>
        <v>0.5</v>
      </c>
      <c r="P647" s="1287">
        <f t="shared" si="575"/>
        <v>211.24021384833617</v>
      </c>
      <c r="Q647" s="1281">
        <f t="shared" si="576"/>
        <v>0</v>
      </c>
      <c r="R647" s="1288">
        <f t="shared" si="577"/>
        <v>0</v>
      </c>
      <c r="S647" s="1289">
        <f t="shared" ref="S647:S710" si="661">IF(B647&lt;&gt;"",+SUMIF($AF:$AF,Z647,$P:$P),"")</f>
        <v>583.92717964290478</v>
      </c>
      <c r="T647" s="1289">
        <f t="shared" ref="T647:T710" si="662">IF(B647&lt;&gt;"",+SUMIF($AF:$AF,AA647,$P:$P),"")</f>
        <v>0</v>
      </c>
      <c r="U647" s="1290">
        <f t="shared" ref="U647:U710" si="663">IF(B647&lt;&gt;"",+SUMIF($AF:$AF,AB647,$P:$P),"")</f>
        <v>1484.1732160768524</v>
      </c>
      <c r="V647" s="1290">
        <f t="shared" ref="V647:V710" si="664">IF(B647&lt;&gt;"",+SUMIF($AF:$AF,AC647,$P:$P),"")</f>
        <v>0</v>
      </c>
      <c r="W647" s="1290">
        <f t="shared" ref="W647:W710" si="665">IF(B647&lt;&gt;"",+SUMIF($AF:$AF,AD647,$P:$P),"")</f>
        <v>0</v>
      </c>
      <c r="X647" s="1290">
        <f t="shared" ref="X647:X710" si="666">IF(B647&lt;&gt;"",+SUMIF($AF:$AF,AE647,$P:$P),"")</f>
        <v>0</v>
      </c>
      <c r="Y647" s="396"/>
      <c r="Z647" s="1291" t="str">
        <f t="shared" si="578"/>
        <v>0-CIELO02A</v>
      </c>
      <c r="AA647" s="1291" t="str">
        <f t="shared" si="579"/>
        <v>0-CIELO02E</v>
      </c>
      <c r="AB647" s="1291" t="str">
        <f t="shared" si="580"/>
        <v>0-CIELO02M</v>
      </c>
      <c r="AC647" s="1291" t="str">
        <f t="shared" si="581"/>
        <v>0-CIELO02T</v>
      </c>
      <c r="AD647" s="1291" t="str">
        <f t="shared" si="582"/>
        <v>0-CIELO02S</v>
      </c>
      <c r="AE647" s="1291" t="str">
        <f t="shared" si="583"/>
        <v>0-CIELO02X</v>
      </c>
      <c r="AF647" s="1291" t="str">
        <f t="shared" si="584"/>
        <v>0-CIELO02A</v>
      </c>
      <c r="AG647" s="1291">
        <f t="shared" ref="AG647:AG710" si="667">IF(B647&lt;&gt;"",+COUNTIF(B:B,B647),"")</f>
        <v>8</v>
      </c>
      <c r="AH647" s="1291">
        <f>IF(B647&lt;&gt;"",+IF(H647="x",+VLOOKUP(I647,'AUX-NIV2'!B:AG,32,FALSE),0),"")</f>
        <v>0</v>
      </c>
      <c r="AI647" s="1291" t="str">
        <f t="shared" si="585"/>
        <v>0-CIELO02</v>
      </c>
      <c r="AK647" s="347">
        <f t="shared" ref="AK647:AK710" si="668">IF(B647&lt;&gt;"",+MATCH(B647,B:B,0),"")</f>
        <v>647</v>
      </c>
      <c r="AL647" s="348">
        <f t="shared" si="586"/>
        <v>654</v>
      </c>
      <c r="AM647" s="347">
        <f>IF(B647&lt;&gt;"",IF(B647=B645,1+AM645,1),"")</f>
        <v>1</v>
      </c>
      <c r="AN647" s="382">
        <f>IF(AND(AH647&gt;0,B647&lt;&gt;""),VLOOKUP(I647,'AUX-NIV2'!$B:$AP,40,FALSE)*O647,0)</f>
        <v>0</v>
      </c>
      <c r="AO647" s="382">
        <f t="shared" ref="AO647:AO710" si="669">+IF(B647&lt;&gt;"",SUMIF(AF:AF,Z647,O:O)+SUMIF(Z:Z,Z647,AN:AN),0)</f>
        <v>1.25</v>
      </c>
      <c r="AQ647" s="395">
        <f>(IF($H647="x",VLOOKUP($I647,'AUX-NIV2'!$B:$X,'AUX-NIV1'!AQ$3,FALSE),0)+($AV647*'AUX-NIV3'!S$4))*$O647+IF($H647=AQ$4,$P647,0)</f>
        <v>211.24021384833617</v>
      </c>
      <c r="AR647" s="395">
        <f>(IF($H647="x",VLOOKUP($I647,'AUX-NIV2'!$B:$X,'AUX-NIV1'!AR$3,FALSE),0)+($AV647*'AUX-NIV3'!T$4))*$O647+IF($H647=AR$4,$P647,0)</f>
        <v>0</v>
      </c>
      <c r="AS647" s="395">
        <f>(IF($H647="x",VLOOKUP($I647,'AUX-NIV2'!$B:$X,'AUX-NIV1'!AS$3,FALSE),0)+($AV647*'AUX-NIV3'!U$4))*$O647+IF($H647=AS$4,$P647,0)</f>
        <v>0</v>
      </c>
      <c r="AT647" s="395">
        <f>(IF($H647="x",VLOOKUP($I647,'AUX-NIV2'!$B:$X,'AUX-NIV1'!AT$3,FALSE),0)+($AV647*'AUX-NIV3'!V$4))*$O647+IF($H647=AT$4,$P647,0)</f>
        <v>0</v>
      </c>
      <c r="AU647" s="395">
        <f>(IF($H647="x",VLOOKUP($I647,'AUX-NIV2'!$B:$X,'AUX-NIV1'!AU$3,FALSE),0)+($AV647*'AUX-NIV3'!W$4))*$O647+IF($H647=AU$4,$P647,0)</f>
        <v>0</v>
      </c>
      <c r="AV647" s="395">
        <f>+IF($H647="x",VLOOKUP($I647,'AUX-NIV2'!$B:$X,'AUX-NIV1'!AV$3,FALSE),0)</f>
        <v>0</v>
      </c>
    </row>
    <row r="648" spans="2:48">
      <c r="B648" s="501" t="s">
        <v>3770</v>
      </c>
      <c r="C648" s="951" t="s">
        <v>3773</v>
      </c>
      <c r="D648" s="1280" t="s">
        <v>501</v>
      </c>
      <c r="E648" s="1281">
        <f>IF(B648&lt;&gt;"",+SUMIF(Items!C:C,'AUX-NIV1'!B648,Items!H:H),"")</f>
        <v>0</v>
      </c>
      <c r="F648" s="1281">
        <f t="shared" si="659"/>
        <v>2068.1003957197572</v>
      </c>
      <c r="G648" s="1281">
        <f t="shared" si="660"/>
        <v>0</v>
      </c>
      <c r="H648" s="1395" t="str">
        <f t="shared" si="644"/>
        <v>A</v>
      </c>
      <c r="I648" s="1375" t="s">
        <v>1746</v>
      </c>
      <c r="J648" s="1283" t="str">
        <f>IF(B648&lt;&gt;"",+VLOOKUP(I648,Recursos!C:F,2,FALSE),"")</f>
        <v>OFICIAL</v>
      </c>
      <c r="K648" s="1284" t="str">
        <f>IF(B648&lt;&gt;"",+VLOOKUP(I648,Recursos!C:F,3,FALSE),"")</f>
        <v>hh</v>
      </c>
      <c r="L648" s="1285">
        <f>IF(B648&lt;&gt;"",+VLOOKUP(I648,Recursos!C:F,4,FALSE),"")</f>
        <v>496.91595439275824</v>
      </c>
      <c r="M648" s="1351"/>
      <c r="N648" s="1329">
        <v>1.5</v>
      </c>
      <c r="O648" s="1286">
        <f>N648/M647</f>
        <v>0.75</v>
      </c>
      <c r="P648" s="1287">
        <f t="shared" si="575"/>
        <v>372.68696579456866</v>
      </c>
      <c r="Q648" s="1281">
        <f t="shared" si="576"/>
        <v>0</v>
      </c>
      <c r="R648" s="1288">
        <f t="shared" si="577"/>
        <v>0</v>
      </c>
      <c r="S648" s="1289">
        <f t="shared" si="661"/>
        <v>583.92717964290478</v>
      </c>
      <c r="T648" s="1289">
        <f t="shared" si="662"/>
        <v>0</v>
      </c>
      <c r="U648" s="1290">
        <f t="shared" si="663"/>
        <v>1484.1732160768524</v>
      </c>
      <c r="V648" s="1290">
        <f t="shared" si="664"/>
        <v>0</v>
      </c>
      <c r="W648" s="1290">
        <f t="shared" si="665"/>
        <v>0</v>
      </c>
      <c r="X648" s="1290">
        <f t="shared" si="666"/>
        <v>0</v>
      </c>
      <c r="Y648" s="396"/>
      <c r="Z648" s="1291" t="str">
        <f t="shared" si="578"/>
        <v>0-CIELO02A</v>
      </c>
      <c r="AA648" s="1291" t="str">
        <f t="shared" si="579"/>
        <v>0-CIELO02E</v>
      </c>
      <c r="AB648" s="1291" t="str">
        <f t="shared" si="580"/>
        <v>0-CIELO02M</v>
      </c>
      <c r="AC648" s="1291" t="str">
        <f t="shared" si="581"/>
        <v>0-CIELO02T</v>
      </c>
      <c r="AD648" s="1291" t="str">
        <f t="shared" si="582"/>
        <v>0-CIELO02S</v>
      </c>
      <c r="AE648" s="1291" t="str">
        <f t="shared" si="583"/>
        <v>0-CIELO02X</v>
      </c>
      <c r="AF648" s="1291" t="str">
        <f t="shared" si="584"/>
        <v>0-CIELO02A</v>
      </c>
      <c r="AG648" s="1291">
        <f t="shared" si="667"/>
        <v>8</v>
      </c>
      <c r="AH648" s="1291">
        <f>IF(B648&lt;&gt;"",+IF(H648="x",+VLOOKUP(I648,'AUX-NIV2'!B:AG,32,FALSE),0),"")</f>
        <v>0</v>
      </c>
      <c r="AI648" s="1291" t="str">
        <f t="shared" si="585"/>
        <v>0-CIELO02</v>
      </c>
      <c r="AK648" s="347">
        <f t="shared" si="668"/>
        <v>647</v>
      </c>
      <c r="AL648" s="348">
        <f t="shared" si="586"/>
        <v>654</v>
      </c>
      <c r="AM648" s="347">
        <f t="shared" si="587"/>
        <v>2</v>
      </c>
      <c r="AN648" s="382">
        <f>IF(AND(AH648&gt;0,B648&lt;&gt;""),VLOOKUP(I648,'AUX-NIV2'!$B:$AP,40,FALSE)*O648,0)</f>
        <v>0</v>
      </c>
      <c r="AO648" s="382">
        <f t="shared" si="669"/>
        <v>1.25</v>
      </c>
      <c r="AQ648" s="395">
        <f>(IF($H648="x",VLOOKUP($I648,'AUX-NIV2'!$B:$X,'AUX-NIV1'!AQ$3,FALSE),0)+($AV648*'AUX-NIV3'!S$4))*$O648+IF($H648=AQ$4,$P648,0)</f>
        <v>372.68696579456866</v>
      </c>
      <c r="AR648" s="395">
        <f>(IF($H648="x",VLOOKUP($I648,'AUX-NIV2'!$B:$X,'AUX-NIV1'!AR$3,FALSE),0)+($AV648*'AUX-NIV3'!T$4))*$O648+IF($H648=AR$4,$P648,0)</f>
        <v>0</v>
      </c>
      <c r="AS648" s="395">
        <f>(IF($H648="x",VLOOKUP($I648,'AUX-NIV2'!$B:$X,'AUX-NIV1'!AS$3,FALSE),0)+($AV648*'AUX-NIV3'!U$4))*$O648+IF($H648=AS$4,$P648,0)</f>
        <v>0</v>
      </c>
      <c r="AT648" s="395">
        <f>(IF($H648="x",VLOOKUP($I648,'AUX-NIV2'!$B:$X,'AUX-NIV1'!AT$3,FALSE),0)+($AV648*'AUX-NIV3'!V$4))*$O648+IF($H648=AT$4,$P648,0)</f>
        <v>0</v>
      </c>
      <c r="AU648" s="395">
        <f>(IF($H648="x",VLOOKUP($I648,'AUX-NIV2'!$B:$X,'AUX-NIV1'!AU$3,FALSE),0)+($AV648*'AUX-NIV3'!W$4))*$O648+IF($H648=AU$4,$P648,0)</f>
        <v>0</v>
      </c>
      <c r="AV648" s="395">
        <f>+IF($H648="x",VLOOKUP($I648,'AUX-NIV2'!$B:$X,'AUX-NIV1'!AV$3,FALSE),0)</f>
        <v>0</v>
      </c>
    </row>
    <row r="649" spans="2:48">
      <c r="B649" s="501" t="s">
        <v>3770</v>
      </c>
      <c r="C649" s="951" t="s">
        <v>3773</v>
      </c>
      <c r="D649" s="1280" t="s">
        <v>501</v>
      </c>
      <c r="E649" s="1281">
        <f>IF(B649&lt;&gt;"",+SUMIF(Items!C:C,'AUX-NIV1'!B649,Items!H:H),"")</f>
        <v>0</v>
      </c>
      <c r="F649" s="1281">
        <f t="shared" si="659"/>
        <v>2068.1003957197572</v>
      </c>
      <c r="G649" s="1281">
        <f t="shared" si="660"/>
        <v>0</v>
      </c>
      <c r="H649" s="1395" t="str">
        <f t="shared" si="644"/>
        <v>M</v>
      </c>
      <c r="I649" s="1375" t="s">
        <v>3718</v>
      </c>
      <c r="J649" s="1283" t="str">
        <f>IF(B649&lt;&gt;"",+VLOOKUP(I649,Recursos!C:F,2,FALSE),"")</f>
        <v>PLACA DE YESO 12,5mm x 1,2m x 2,4m</v>
      </c>
      <c r="K649" s="1284" t="str">
        <f>IF(B649&lt;&gt;"",+VLOOKUP(I649,Recursos!C:F,3,FALSE),"")</f>
        <v>m2</v>
      </c>
      <c r="L649" s="1285">
        <f>IF(B649&lt;&gt;"",+VLOOKUP(I649,Recursos!C:F,4,FALSE),"")</f>
        <v>249.08172635445365</v>
      </c>
      <c r="M649" s="1351"/>
      <c r="N649" s="1329">
        <v>1.1499999999999999</v>
      </c>
      <c r="O649" s="1286">
        <f>N649</f>
        <v>1.1499999999999999</v>
      </c>
      <c r="P649" s="1287">
        <f t="shared" si="575"/>
        <v>286.44398530762169</v>
      </c>
      <c r="Q649" s="1281">
        <f t="shared" si="576"/>
        <v>0</v>
      </c>
      <c r="R649" s="1288">
        <f t="shared" si="577"/>
        <v>0</v>
      </c>
      <c r="S649" s="1289">
        <f t="shared" si="661"/>
        <v>583.92717964290478</v>
      </c>
      <c r="T649" s="1289">
        <f t="shared" si="662"/>
        <v>0</v>
      </c>
      <c r="U649" s="1290">
        <f t="shared" si="663"/>
        <v>1484.1732160768524</v>
      </c>
      <c r="V649" s="1290">
        <f t="shared" si="664"/>
        <v>0</v>
      </c>
      <c r="W649" s="1290">
        <f t="shared" si="665"/>
        <v>0</v>
      </c>
      <c r="X649" s="1290">
        <f t="shared" si="666"/>
        <v>0</v>
      </c>
      <c r="Y649" s="396"/>
      <c r="Z649" s="1291" t="str">
        <f t="shared" si="578"/>
        <v>0-CIELO02A</v>
      </c>
      <c r="AA649" s="1291" t="str">
        <f t="shared" si="579"/>
        <v>0-CIELO02E</v>
      </c>
      <c r="AB649" s="1291" t="str">
        <f t="shared" si="580"/>
        <v>0-CIELO02M</v>
      </c>
      <c r="AC649" s="1291" t="str">
        <f t="shared" si="581"/>
        <v>0-CIELO02T</v>
      </c>
      <c r="AD649" s="1291" t="str">
        <f t="shared" si="582"/>
        <v>0-CIELO02S</v>
      </c>
      <c r="AE649" s="1291" t="str">
        <f t="shared" si="583"/>
        <v>0-CIELO02X</v>
      </c>
      <c r="AF649" s="1291" t="str">
        <f t="shared" si="584"/>
        <v>0-CIELO02M</v>
      </c>
      <c r="AG649" s="1291">
        <f t="shared" si="667"/>
        <v>8</v>
      </c>
      <c r="AH649" s="1291">
        <f>IF(B649&lt;&gt;"",+IF(H649="x",+VLOOKUP(I649,'AUX-NIV2'!B:AG,32,FALSE),0),"")</f>
        <v>0</v>
      </c>
      <c r="AI649" s="1291" t="str">
        <f t="shared" si="585"/>
        <v>0-CIELO02</v>
      </c>
      <c r="AK649" s="347">
        <f t="shared" si="668"/>
        <v>647</v>
      </c>
      <c r="AL649" s="348">
        <f t="shared" si="586"/>
        <v>654</v>
      </c>
      <c r="AM649" s="347">
        <f t="shared" si="587"/>
        <v>3</v>
      </c>
      <c r="AN649" s="382">
        <f>IF(AND(AH649&gt;0,B649&lt;&gt;""),VLOOKUP(I649,'AUX-NIV2'!$B:$AP,40,FALSE)*O649,0)</f>
        <v>0</v>
      </c>
      <c r="AO649" s="382">
        <f t="shared" si="669"/>
        <v>1.25</v>
      </c>
      <c r="AQ649" s="395">
        <f>(IF($H649="x",VLOOKUP($I649,'AUX-NIV2'!$B:$X,'AUX-NIV1'!AQ$3,FALSE),0)+($AV649*'AUX-NIV3'!S$4))*$O649+IF($H649=AQ$4,$P649,0)</f>
        <v>0</v>
      </c>
      <c r="AR649" s="395">
        <f>(IF($H649="x",VLOOKUP($I649,'AUX-NIV2'!$B:$X,'AUX-NIV1'!AR$3,FALSE),0)+($AV649*'AUX-NIV3'!T$4))*$O649+IF($H649=AR$4,$P649,0)</f>
        <v>0</v>
      </c>
      <c r="AS649" s="395">
        <f>(IF($H649="x",VLOOKUP($I649,'AUX-NIV2'!$B:$X,'AUX-NIV1'!AS$3,FALSE),0)+($AV649*'AUX-NIV3'!U$4))*$O649+IF($H649=AS$4,$P649,0)</f>
        <v>286.44398530762169</v>
      </c>
      <c r="AT649" s="395">
        <f>(IF($H649="x",VLOOKUP($I649,'AUX-NIV2'!$B:$X,'AUX-NIV1'!AT$3,FALSE),0)+($AV649*'AUX-NIV3'!V$4))*$O649+IF($H649=AT$4,$P649,0)</f>
        <v>0</v>
      </c>
      <c r="AU649" s="395">
        <f>(IF($H649="x",VLOOKUP($I649,'AUX-NIV2'!$B:$X,'AUX-NIV1'!AU$3,FALSE),0)+($AV649*'AUX-NIV3'!W$4))*$O649+IF($H649=AU$4,$P649,0)</f>
        <v>0</v>
      </c>
      <c r="AV649" s="395">
        <f>+IF($H649="x",VLOOKUP($I649,'AUX-NIV2'!$B:$X,'AUX-NIV1'!AV$3,FALSE),0)</f>
        <v>0</v>
      </c>
    </row>
    <row r="650" spans="2:48">
      <c r="B650" s="501" t="s">
        <v>3770</v>
      </c>
      <c r="C650" s="951" t="s">
        <v>3773</v>
      </c>
      <c r="D650" s="1280" t="s">
        <v>501</v>
      </c>
      <c r="E650" s="1281">
        <f>IF(B650&lt;&gt;"",+SUMIF(Items!C:C,'AUX-NIV1'!B650,Items!H:H),"")</f>
        <v>0</v>
      </c>
      <c r="F650" s="1281">
        <f t="shared" si="659"/>
        <v>2068.1003957197572</v>
      </c>
      <c r="G650" s="1281">
        <f t="shared" si="660"/>
        <v>0</v>
      </c>
      <c r="H650" s="1395" t="str">
        <f t="shared" si="644"/>
        <v>M</v>
      </c>
      <c r="I650" s="1375" t="s">
        <v>3719</v>
      </c>
      <c r="J650" s="1283" t="str">
        <f>IF(B650&lt;&gt;"",+VLOOKUP(I650,Recursos!C:F,2,FALSE),"")</f>
        <v>PERFILES DE CHAPA GALVANIZADA (2,6m) p/TABUIQUES</v>
      </c>
      <c r="K650" s="1284" t="str">
        <f>IF(B650&lt;&gt;"",+VLOOKUP(I650,Recursos!C:F,3,FALSE),"")</f>
        <v>m</v>
      </c>
      <c r="L650" s="1285">
        <f>IF(B650&lt;&gt;"",+VLOOKUP(I650,Recursos!C:F,4,FALSE),"")</f>
        <v>173.07692307692307</v>
      </c>
      <c r="M650" s="1328">
        <v>4</v>
      </c>
      <c r="N650" s="1329">
        <v>1.2</v>
      </c>
      <c r="O650" s="1286">
        <f>N650*M650</f>
        <v>4.8</v>
      </c>
      <c r="P650" s="1287">
        <f t="shared" si="575"/>
        <v>830.76923076923072</v>
      </c>
      <c r="Q650" s="1281">
        <f t="shared" si="576"/>
        <v>0</v>
      </c>
      <c r="R650" s="1288">
        <f t="shared" si="577"/>
        <v>0</v>
      </c>
      <c r="S650" s="1289">
        <f t="shared" si="661"/>
        <v>583.92717964290478</v>
      </c>
      <c r="T650" s="1289">
        <f t="shared" si="662"/>
        <v>0</v>
      </c>
      <c r="U650" s="1290">
        <f t="shared" si="663"/>
        <v>1484.1732160768524</v>
      </c>
      <c r="V650" s="1290">
        <f t="shared" si="664"/>
        <v>0</v>
      </c>
      <c r="W650" s="1290">
        <f t="shared" si="665"/>
        <v>0</v>
      </c>
      <c r="X650" s="1290">
        <f t="shared" si="666"/>
        <v>0</v>
      </c>
      <c r="Y650" s="396"/>
      <c r="Z650" s="1291" t="str">
        <f t="shared" si="578"/>
        <v>0-CIELO02A</v>
      </c>
      <c r="AA650" s="1291" t="str">
        <f t="shared" si="579"/>
        <v>0-CIELO02E</v>
      </c>
      <c r="AB650" s="1291" t="str">
        <f t="shared" si="580"/>
        <v>0-CIELO02M</v>
      </c>
      <c r="AC650" s="1291" t="str">
        <f t="shared" si="581"/>
        <v>0-CIELO02T</v>
      </c>
      <c r="AD650" s="1291" t="str">
        <f t="shared" si="582"/>
        <v>0-CIELO02S</v>
      </c>
      <c r="AE650" s="1291" t="str">
        <f t="shared" si="583"/>
        <v>0-CIELO02X</v>
      </c>
      <c r="AF650" s="1291" t="str">
        <f t="shared" si="584"/>
        <v>0-CIELO02M</v>
      </c>
      <c r="AG650" s="1291">
        <f t="shared" si="667"/>
        <v>8</v>
      </c>
      <c r="AH650" s="1291">
        <f>IF(B650&lt;&gt;"",+IF(H650="x",+VLOOKUP(I650,'AUX-NIV2'!B:AG,32,FALSE),0),"")</f>
        <v>0</v>
      </c>
      <c r="AI650" s="1291" t="str">
        <f t="shared" si="585"/>
        <v>0-CIELO02</v>
      </c>
      <c r="AK650" s="347">
        <f t="shared" si="668"/>
        <v>647</v>
      </c>
      <c r="AL650" s="348">
        <f t="shared" si="586"/>
        <v>654</v>
      </c>
      <c r="AM650" s="347">
        <f t="shared" si="587"/>
        <v>4</v>
      </c>
      <c r="AN650" s="382">
        <f>IF(AND(AH650&gt;0,B650&lt;&gt;""),VLOOKUP(I650,'AUX-NIV2'!$B:$AP,40,FALSE)*O650,0)</f>
        <v>0</v>
      </c>
      <c r="AO650" s="382">
        <f t="shared" si="669"/>
        <v>1.25</v>
      </c>
      <c r="AQ650" s="395">
        <f>(IF($H650="x",VLOOKUP($I650,'AUX-NIV2'!$B:$X,'AUX-NIV1'!AQ$3,FALSE),0)+($AV650*'AUX-NIV3'!S$4))*$O650+IF($H650=AQ$4,$P650,0)</f>
        <v>0</v>
      </c>
      <c r="AR650" s="395">
        <f>(IF($H650="x",VLOOKUP($I650,'AUX-NIV2'!$B:$X,'AUX-NIV1'!AR$3,FALSE),0)+($AV650*'AUX-NIV3'!T$4))*$O650+IF($H650=AR$4,$P650,0)</f>
        <v>0</v>
      </c>
      <c r="AS650" s="395">
        <f>(IF($H650="x",VLOOKUP($I650,'AUX-NIV2'!$B:$X,'AUX-NIV1'!AS$3,FALSE),0)+($AV650*'AUX-NIV3'!U$4))*$O650+IF($H650=AS$4,$P650,0)</f>
        <v>830.76923076923072</v>
      </c>
      <c r="AT650" s="395">
        <f>(IF($H650="x",VLOOKUP($I650,'AUX-NIV2'!$B:$X,'AUX-NIV1'!AT$3,FALSE),0)+($AV650*'AUX-NIV3'!V$4))*$O650+IF($H650=AT$4,$P650,0)</f>
        <v>0</v>
      </c>
      <c r="AU650" s="395">
        <f>(IF($H650="x",VLOOKUP($I650,'AUX-NIV2'!$B:$X,'AUX-NIV1'!AU$3,FALSE),0)+($AV650*'AUX-NIV3'!W$4))*$O650+IF($H650=AU$4,$P650,0)</f>
        <v>0</v>
      </c>
      <c r="AV650" s="395">
        <f>+IF($H650="x",VLOOKUP($I650,'AUX-NIV2'!$B:$X,'AUX-NIV1'!AV$3,FALSE),0)</f>
        <v>0</v>
      </c>
    </row>
    <row r="651" spans="2:48">
      <c r="B651" s="501" t="s">
        <v>3770</v>
      </c>
      <c r="C651" s="951" t="s">
        <v>3773</v>
      </c>
      <c r="D651" s="1280" t="s">
        <v>501</v>
      </c>
      <c r="E651" s="1281">
        <f>IF(B651&lt;&gt;"",+SUMIF(Items!C:C,'AUX-NIV1'!B651,Items!H:H),"")</f>
        <v>0</v>
      </c>
      <c r="F651" s="1281">
        <f t="shared" si="659"/>
        <v>2068.1003957197572</v>
      </c>
      <c r="G651" s="1281">
        <f t="shared" si="660"/>
        <v>0</v>
      </c>
      <c r="H651" s="1395" t="str">
        <f t="shared" si="644"/>
        <v>M</v>
      </c>
      <c r="I651" s="1375" t="s">
        <v>3720</v>
      </c>
      <c r="J651" s="1283" t="str">
        <f>IF(B651&lt;&gt;"",+VLOOKUP(I651,Recursos!C:F,2,FALSE),"")</f>
        <v>FIJACIONES</v>
      </c>
      <c r="K651" s="1284" t="str">
        <f>IF(B651&lt;&gt;"",+VLOOKUP(I651,Recursos!C:F,3,FALSE),"")</f>
        <v>UN</v>
      </c>
      <c r="L651" s="1285">
        <f>IF(B651&lt;&gt;"",+VLOOKUP(I651,Recursos!C:F,4,FALSE),"")</f>
        <v>5</v>
      </c>
      <c r="M651" s="1328">
        <v>40</v>
      </c>
      <c r="N651" s="1329">
        <v>1.05</v>
      </c>
      <c r="O651" s="1286">
        <f>N651*M651</f>
        <v>42</v>
      </c>
      <c r="P651" s="1287">
        <f t="shared" si="575"/>
        <v>210</v>
      </c>
      <c r="Q651" s="1281">
        <f t="shared" si="576"/>
        <v>0</v>
      </c>
      <c r="R651" s="1288">
        <f t="shared" si="577"/>
        <v>0</v>
      </c>
      <c r="S651" s="1289">
        <f t="shared" si="661"/>
        <v>583.92717964290478</v>
      </c>
      <c r="T651" s="1289">
        <f t="shared" si="662"/>
        <v>0</v>
      </c>
      <c r="U651" s="1290">
        <f t="shared" si="663"/>
        <v>1484.1732160768524</v>
      </c>
      <c r="V651" s="1290">
        <f t="shared" si="664"/>
        <v>0</v>
      </c>
      <c r="W651" s="1290">
        <f t="shared" si="665"/>
        <v>0</v>
      </c>
      <c r="X651" s="1290">
        <f t="shared" si="666"/>
        <v>0</v>
      </c>
      <c r="Y651" s="396"/>
      <c r="Z651" s="1291" t="str">
        <f t="shared" si="578"/>
        <v>0-CIELO02A</v>
      </c>
      <c r="AA651" s="1291" t="str">
        <f t="shared" si="579"/>
        <v>0-CIELO02E</v>
      </c>
      <c r="AB651" s="1291" t="str">
        <f t="shared" si="580"/>
        <v>0-CIELO02M</v>
      </c>
      <c r="AC651" s="1291" t="str">
        <f t="shared" si="581"/>
        <v>0-CIELO02T</v>
      </c>
      <c r="AD651" s="1291" t="str">
        <f t="shared" si="582"/>
        <v>0-CIELO02S</v>
      </c>
      <c r="AE651" s="1291" t="str">
        <f t="shared" si="583"/>
        <v>0-CIELO02X</v>
      </c>
      <c r="AF651" s="1291" t="str">
        <f t="shared" si="584"/>
        <v>0-CIELO02M</v>
      </c>
      <c r="AG651" s="1291">
        <f t="shared" si="667"/>
        <v>8</v>
      </c>
      <c r="AH651" s="1291">
        <f>IF(B651&lt;&gt;"",+IF(H651="x",+VLOOKUP(I651,'AUX-NIV2'!B:AG,32,FALSE),0),"")</f>
        <v>0</v>
      </c>
      <c r="AI651" s="1291" t="str">
        <f t="shared" si="585"/>
        <v>0-CIELO02</v>
      </c>
      <c r="AK651" s="347">
        <f t="shared" si="668"/>
        <v>647</v>
      </c>
      <c r="AL651" s="348">
        <f t="shared" si="586"/>
        <v>654</v>
      </c>
      <c r="AM651" s="347">
        <f t="shared" si="587"/>
        <v>5</v>
      </c>
      <c r="AN651" s="382">
        <f>IF(AND(AH651&gt;0,B651&lt;&gt;""),VLOOKUP(I651,'AUX-NIV2'!$B:$AP,40,FALSE)*O651,0)</f>
        <v>0</v>
      </c>
      <c r="AO651" s="382">
        <f t="shared" si="669"/>
        <v>1.25</v>
      </c>
      <c r="AQ651" s="395">
        <f>(IF($H651="x",VLOOKUP($I651,'AUX-NIV2'!$B:$X,'AUX-NIV1'!AQ$3,FALSE),0)+($AV651*'AUX-NIV3'!S$4))*$O651+IF($H651=AQ$4,$P651,0)</f>
        <v>0</v>
      </c>
      <c r="AR651" s="395">
        <f>(IF($H651="x",VLOOKUP($I651,'AUX-NIV2'!$B:$X,'AUX-NIV1'!AR$3,FALSE),0)+($AV651*'AUX-NIV3'!T$4))*$O651+IF($H651=AR$4,$P651,0)</f>
        <v>0</v>
      </c>
      <c r="AS651" s="395">
        <f>(IF($H651="x",VLOOKUP($I651,'AUX-NIV2'!$B:$X,'AUX-NIV1'!AS$3,FALSE),0)+($AV651*'AUX-NIV3'!U$4))*$O651+IF($H651=AS$4,$P651,0)</f>
        <v>210</v>
      </c>
      <c r="AT651" s="395">
        <f>(IF($H651="x",VLOOKUP($I651,'AUX-NIV2'!$B:$X,'AUX-NIV1'!AT$3,FALSE),0)+($AV651*'AUX-NIV3'!V$4))*$O651+IF($H651=AT$4,$P651,0)</f>
        <v>0</v>
      </c>
      <c r="AU651" s="395">
        <f>(IF($H651="x",VLOOKUP($I651,'AUX-NIV2'!$B:$X,'AUX-NIV1'!AU$3,FALSE),0)+($AV651*'AUX-NIV3'!W$4))*$O651+IF($H651=AU$4,$P651,0)</f>
        <v>0</v>
      </c>
      <c r="AV651" s="395">
        <f>+IF($H651="x",VLOOKUP($I651,'AUX-NIV2'!$B:$X,'AUX-NIV1'!AV$3,FALSE),0)</f>
        <v>0</v>
      </c>
    </row>
    <row r="652" spans="2:48">
      <c r="B652" s="501" t="s">
        <v>3770</v>
      </c>
      <c r="C652" s="951" t="s">
        <v>3773</v>
      </c>
      <c r="D652" s="1280" t="s">
        <v>501</v>
      </c>
      <c r="E652" s="1281">
        <f>IF(B652&lt;&gt;"",+SUMIF(Items!C:C,'AUX-NIV1'!B652,Items!H:H),"")</f>
        <v>0</v>
      </c>
      <c r="F652" s="1281">
        <f t="shared" si="659"/>
        <v>2068.1003957197572</v>
      </c>
      <c r="G652" s="1281">
        <f t="shared" si="660"/>
        <v>0</v>
      </c>
      <c r="H652" s="1395" t="str">
        <f t="shared" si="644"/>
        <v>M</v>
      </c>
      <c r="I652" s="1375" t="s">
        <v>3721</v>
      </c>
      <c r="J652" s="1283" t="str">
        <f>IF(B652&lt;&gt;"",+VLOOKUP(I652,Recursos!C:F,2,FALSE),"")</f>
        <v>CINTA DURLOCK</v>
      </c>
      <c r="K652" s="1284" t="str">
        <f>IF(B652&lt;&gt;"",+VLOOKUP(I652,Recursos!C:F,3,FALSE),"")</f>
        <v>UN</v>
      </c>
      <c r="L652" s="1285">
        <f>IF(B652&lt;&gt;"",+VLOOKUP(I652,Recursos!C:F,4,FALSE),"")</f>
        <v>600</v>
      </c>
      <c r="M652" s="1351"/>
      <c r="N652" s="1329">
        <v>1.4999999999999999E-2</v>
      </c>
      <c r="O652" s="1286">
        <f t="shared" si="530"/>
        <v>1.4999999999999999E-2</v>
      </c>
      <c r="P652" s="1287">
        <f t="shared" si="575"/>
        <v>9</v>
      </c>
      <c r="Q652" s="1281">
        <f t="shared" si="576"/>
        <v>0</v>
      </c>
      <c r="R652" s="1288">
        <f t="shared" si="577"/>
        <v>0</v>
      </c>
      <c r="S652" s="1289">
        <f t="shared" si="661"/>
        <v>583.92717964290478</v>
      </c>
      <c r="T652" s="1289">
        <f t="shared" si="662"/>
        <v>0</v>
      </c>
      <c r="U652" s="1290">
        <f t="shared" si="663"/>
        <v>1484.1732160768524</v>
      </c>
      <c r="V652" s="1290">
        <f t="shared" si="664"/>
        <v>0</v>
      </c>
      <c r="W652" s="1290">
        <f t="shared" si="665"/>
        <v>0</v>
      </c>
      <c r="X652" s="1290">
        <f t="shared" si="666"/>
        <v>0</v>
      </c>
      <c r="Y652" s="396"/>
      <c r="Z652" s="1291" t="str">
        <f t="shared" si="578"/>
        <v>0-CIELO02A</v>
      </c>
      <c r="AA652" s="1291" t="str">
        <f t="shared" si="579"/>
        <v>0-CIELO02E</v>
      </c>
      <c r="AB652" s="1291" t="str">
        <f t="shared" si="580"/>
        <v>0-CIELO02M</v>
      </c>
      <c r="AC652" s="1291" t="str">
        <f t="shared" si="581"/>
        <v>0-CIELO02T</v>
      </c>
      <c r="AD652" s="1291" t="str">
        <f t="shared" si="582"/>
        <v>0-CIELO02S</v>
      </c>
      <c r="AE652" s="1291" t="str">
        <f t="shared" si="583"/>
        <v>0-CIELO02X</v>
      </c>
      <c r="AF652" s="1291" t="str">
        <f t="shared" si="584"/>
        <v>0-CIELO02M</v>
      </c>
      <c r="AG652" s="1291">
        <f t="shared" si="667"/>
        <v>8</v>
      </c>
      <c r="AH652" s="1291">
        <f>IF(B652&lt;&gt;"",+IF(H652="x",+VLOOKUP(I652,'AUX-NIV2'!B:AG,32,FALSE),0),"")</f>
        <v>0</v>
      </c>
      <c r="AI652" s="1291" t="str">
        <f t="shared" si="585"/>
        <v>0-CIELO02</v>
      </c>
      <c r="AK652" s="347">
        <f t="shared" si="668"/>
        <v>647</v>
      </c>
      <c r="AL652" s="348">
        <f t="shared" si="586"/>
        <v>654</v>
      </c>
      <c r="AM652" s="347">
        <f t="shared" si="587"/>
        <v>6</v>
      </c>
      <c r="AN652" s="382">
        <f>IF(AND(AH652&gt;0,B652&lt;&gt;""),VLOOKUP(I652,'AUX-NIV2'!$B:$AP,40,FALSE)*O652,0)</f>
        <v>0</v>
      </c>
      <c r="AO652" s="382">
        <f t="shared" si="669"/>
        <v>1.25</v>
      </c>
      <c r="AQ652" s="395">
        <f>(IF($H652="x",VLOOKUP($I652,'AUX-NIV2'!$B:$X,'AUX-NIV1'!AQ$3,FALSE),0)+($AV652*'AUX-NIV3'!S$4))*$O652+IF($H652=AQ$4,$P652,0)</f>
        <v>0</v>
      </c>
      <c r="AR652" s="395">
        <f>(IF($H652="x",VLOOKUP($I652,'AUX-NIV2'!$B:$X,'AUX-NIV1'!AR$3,FALSE),0)+($AV652*'AUX-NIV3'!T$4))*$O652+IF($H652=AR$4,$P652,0)</f>
        <v>0</v>
      </c>
      <c r="AS652" s="395">
        <f>(IF($H652="x",VLOOKUP($I652,'AUX-NIV2'!$B:$X,'AUX-NIV1'!AS$3,FALSE),0)+($AV652*'AUX-NIV3'!U$4))*$O652+IF($H652=AS$4,$P652,0)</f>
        <v>9</v>
      </c>
      <c r="AT652" s="395">
        <f>(IF($H652="x",VLOOKUP($I652,'AUX-NIV2'!$B:$X,'AUX-NIV1'!AT$3,FALSE),0)+($AV652*'AUX-NIV3'!V$4))*$O652+IF($H652=AT$4,$P652,0)</f>
        <v>0</v>
      </c>
      <c r="AU652" s="395">
        <f>(IF($H652="x",VLOOKUP($I652,'AUX-NIV2'!$B:$X,'AUX-NIV1'!AU$3,FALSE),0)+($AV652*'AUX-NIV3'!W$4))*$O652+IF($H652=AU$4,$P652,0)</f>
        <v>0</v>
      </c>
      <c r="AV652" s="395">
        <f>+IF($H652="x",VLOOKUP($I652,'AUX-NIV2'!$B:$X,'AUX-NIV1'!AV$3,FALSE),0)</f>
        <v>0</v>
      </c>
    </row>
    <row r="653" spans="2:48">
      <c r="B653" s="501" t="s">
        <v>3770</v>
      </c>
      <c r="C653" s="951" t="s">
        <v>3773</v>
      </c>
      <c r="D653" s="1280" t="s">
        <v>501</v>
      </c>
      <c r="E653" s="1281">
        <f>IF(B653&lt;&gt;"",+SUMIF(Items!C:C,'AUX-NIV1'!B653,Items!H:H),"")</f>
        <v>0</v>
      </c>
      <c r="F653" s="1281">
        <f t="shared" si="659"/>
        <v>2068.1003957197572</v>
      </c>
      <c r="G653" s="1281">
        <f t="shared" si="660"/>
        <v>0</v>
      </c>
      <c r="H653" s="1395" t="str">
        <f t="shared" si="644"/>
        <v>M</v>
      </c>
      <c r="I653" s="1375" t="s">
        <v>3774</v>
      </c>
      <c r="J653" s="1283" t="str">
        <f>IF(B653&lt;&gt;"",+VLOOKUP(I653,Recursos!C:F,2,FALSE),"")</f>
        <v>MASILLA DURLOCK</v>
      </c>
      <c r="K653" s="1284" t="str">
        <f>IF(B653&lt;&gt;"",+VLOOKUP(I653,Recursos!C:F,3,FALSE),"")</f>
        <v>Kg</v>
      </c>
      <c r="L653" s="1285">
        <f>IF(B653&lt;&gt;"",+VLOOKUP(I653,Recursos!C:F,4,FALSE),"")</f>
        <v>57</v>
      </c>
      <c r="M653" s="1373"/>
      <c r="N653" s="1370">
        <f>0.04*32</f>
        <v>1.28</v>
      </c>
      <c r="O653" s="1286">
        <f t="shared" si="530"/>
        <v>1.28</v>
      </c>
      <c r="P653" s="1287">
        <f t="shared" si="575"/>
        <v>72.960000000000008</v>
      </c>
      <c r="Q653" s="1281">
        <f t="shared" si="576"/>
        <v>0</v>
      </c>
      <c r="R653" s="1288">
        <f t="shared" si="577"/>
        <v>0</v>
      </c>
      <c r="S653" s="1289">
        <f t="shared" si="661"/>
        <v>583.92717964290478</v>
      </c>
      <c r="T653" s="1289">
        <f t="shared" si="662"/>
        <v>0</v>
      </c>
      <c r="U653" s="1290">
        <f t="shared" si="663"/>
        <v>1484.1732160768524</v>
      </c>
      <c r="V653" s="1290">
        <f t="shared" si="664"/>
        <v>0</v>
      </c>
      <c r="W653" s="1290">
        <f t="shared" si="665"/>
        <v>0</v>
      </c>
      <c r="X653" s="1290">
        <f t="shared" si="666"/>
        <v>0</v>
      </c>
      <c r="Y653" s="396"/>
      <c r="Z653" s="1291" t="str">
        <f t="shared" si="578"/>
        <v>0-CIELO02A</v>
      </c>
      <c r="AA653" s="1291" t="str">
        <f t="shared" si="579"/>
        <v>0-CIELO02E</v>
      </c>
      <c r="AB653" s="1291" t="str">
        <f t="shared" si="580"/>
        <v>0-CIELO02M</v>
      </c>
      <c r="AC653" s="1291" t="str">
        <f t="shared" si="581"/>
        <v>0-CIELO02T</v>
      </c>
      <c r="AD653" s="1291" t="str">
        <f t="shared" si="582"/>
        <v>0-CIELO02S</v>
      </c>
      <c r="AE653" s="1291" t="str">
        <f t="shared" si="583"/>
        <v>0-CIELO02X</v>
      </c>
      <c r="AF653" s="1291" t="str">
        <f t="shared" si="584"/>
        <v>0-CIELO02M</v>
      </c>
      <c r="AG653" s="1291">
        <f t="shared" si="667"/>
        <v>8</v>
      </c>
      <c r="AH653" s="1291">
        <f>IF(B653&lt;&gt;"",+IF(H653="x",+VLOOKUP(I653,'AUX-NIV2'!B:AG,32,FALSE),0),"")</f>
        <v>0</v>
      </c>
      <c r="AI653" s="1291" t="str">
        <f t="shared" si="585"/>
        <v>0-CIELO02</v>
      </c>
      <c r="AK653" s="347">
        <f t="shared" si="668"/>
        <v>647</v>
      </c>
      <c r="AL653" s="348">
        <f t="shared" si="586"/>
        <v>654</v>
      </c>
      <c r="AM653" s="347">
        <f t="shared" si="587"/>
        <v>7</v>
      </c>
      <c r="AN653" s="382">
        <f>IF(AND(AH653&gt;0,B653&lt;&gt;""),VLOOKUP(I653,'AUX-NIV2'!$B:$AP,40,FALSE)*O653,0)</f>
        <v>0</v>
      </c>
      <c r="AO653" s="382">
        <f t="shared" si="669"/>
        <v>1.25</v>
      </c>
      <c r="AQ653" s="395">
        <f>(IF($H653="x",VLOOKUP($I653,'AUX-NIV2'!$B:$X,'AUX-NIV1'!AQ$3,FALSE),0)+($AV653*'AUX-NIV3'!S$4))*$O653+IF($H653=AQ$4,$P653,0)</f>
        <v>0</v>
      </c>
      <c r="AR653" s="395">
        <f>(IF($H653="x",VLOOKUP($I653,'AUX-NIV2'!$B:$X,'AUX-NIV1'!AR$3,FALSE),0)+($AV653*'AUX-NIV3'!T$4))*$O653+IF($H653=AR$4,$P653,0)</f>
        <v>0</v>
      </c>
      <c r="AS653" s="395">
        <f>(IF($H653="x",VLOOKUP($I653,'AUX-NIV2'!$B:$X,'AUX-NIV1'!AS$3,FALSE),0)+($AV653*'AUX-NIV3'!U$4))*$O653+IF($H653=AS$4,$P653,0)</f>
        <v>72.960000000000008</v>
      </c>
      <c r="AT653" s="395">
        <f>(IF($H653="x",VLOOKUP($I653,'AUX-NIV2'!$B:$X,'AUX-NIV1'!AT$3,FALSE),0)+($AV653*'AUX-NIV3'!V$4))*$O653+IF($H653=AT$4,$P653,0)</f>
        <v>0</v>
      </c>
      <c r="AU653" s="395">
        <f>(IF($H653="x",VLOOKUP($I653,'AUX-NIV2'!$B:$X,'AUX-NIV1'!AU$3,FALSE),0)+($AV653*'AUX-NIV3'!W$4))*$O653+IF($H653=AU$4,$P653,0)</f>
        <v>0</v>
      </c>
      <c r="AV653" s="395">
        <f>+IF($H653="x",VLOOKUP($I653,'AUX-NIV2'!$B:$X,'AUX-NIV1'!AV$3,FALSE),0)</f>
        <v>0</v>
      </c>
    </row>
    <row r="654" spans="2:48" ht="13.8" thickBot="1">
      <c r="B654" s="501" t="s">
        <v>3770</v>
      </c>
      <c r="C654" s="951" t="s">
        <v>3773</v>
      </c>
      <c r="D654" s="1280" t="s">
        <v>501</v>
      </c>
      <c r="E654" s="1281">
        <f>IF(B654&lt;&gt;"",+SUMIF(Items!C:C,'AUX-NIV1'!B654,Items!H:H),"")</f>
        <v>0</v>
      </c>
      <c r="F654" s="1281">
        <f t="shared" si="659"/>
        <v>2068.1003957197572</v>
      </c>
      <c r="G654" s="1281">
        <f t="shared" si="660"/>
        <v>0</v>
      </c>
      <c r="H654" s="1395" t="str">
        <f t="shared" ref="H654:H661" si="670">IF(B654&lt;&gt;"",+LEFT(I654,1),"")</f>
        <v>M</v>
      </c>
      <c r="I654" s="1375" t="s">
        <v>621</v>
      </c>
      <c r="J654" s="1283" t="str">
        <f>IF(B654&lt;&gt;"",+VLOOKUP(I654,Recursos!C:F,2,FALSE),"")</f>
        <v>MATERIALES VARIOS</v>
      </c>
      <c r="K654" s="1284" t="str">
        <f>IF(B654&lt;&gt;"",+VLOOKUP(I654,Recursos!C:F,3,FALSE),"")</f>
        <v>GL</v>
      </c>
      <c r="L654" s="1285">
        <f>IF(B654&lt;&gt;"",+VLOOKUP(I654,Recursos!C:F,4,FALSE),"")</f>
        <v>0.5</v>
      </c>
      <c r="M654" s="1372"/>
      <c r="N654" s="1371">
        <f>1500*10%</f>
        <v>150</v>
      </c>
      <c r="O654" s="1286">
        <f t="shared" ref="O654" si="671">N654</f>
        <v>150</v>
      </c>
      <c r="P654" s="1287">
        <f t="shared" ref="P654:P661" si="672">IF(B654&lt;&gt;"",O654*L654,"")</f>
        <v>75</v>
      </c>
      <c r="Q654" s="1281">
        <f t="shared" ref="Q654:Q661" si="673">IF(B654&lt;&gt;"",+O654*E654,"")</f>
        <v>0</v>
      </c>
      <c r="R654" s="1288">
        <f t="shared" ref="R654:R661" si="674">IF(B654&lt;&gt;"",Q654*L654,"")</f>
        <v>0</v>
      </c>
      <c r="S654" s="1289">
        <f t="shared" si="661"/>
        <v>583.92717964290478</v>
      </c>
      <c r="T654" s="1289">
        <f t="shared" si="662"/>
        <v>0</v>
      </c>
      <c r="U654" s="1290">
        <f t="shared" si="663"/>
        <v>1484.1732160768524</v>
      </c>
      <c r="V654" s="1290">
        <f t="shared" si="664"/>
        <v>0</v>
      </c>
      <c r="W654" s="1290">
        <f t="shared" si="665"/>
        <v>0</v>
      </c>
      <c r="X654" s="1290">
        <f t="shared" si="666"/>
        <v>0</v>
      </c>
      <c r="Y654" s="396"/>
      <c r="Z654" s="1291" t="str">
        <f t="shared" ref="Z654:Z661" si="675">IF(B654&lt;&gt;"",+$B654&amp;"A","")</f>
        <v>0-CIELO02A</v>
      </c>
      <c r="AA654" s="1291" t="str">
        <f t="shared" ref="AA654:AA661" si="676">IF(B654&lt;&gt;"",+$B654&amp;"E","")</f>
        <v>0-CIELO02E</v>
      </c>
      <c r="AB654" s="1291" t="str">
        <f t="shared" ref="AB654:AB661" si="677">IF(B654&lt;&gt;"",++$B654&amp;"M","")</f>
        <v>0-CIELO02M</v>
      </c>
      <c r="AC654" s="1291" t="str">
        <f t="shared" ref="AC654:AC661" si="678">IF(B654&lt;&gt;"",+$B654&amp;"T","")</f>
        <v>0-CIELO02T</v>
      </c>
      <c r="AD654" s="1291" t="str">
        <f t="shared" ref="AD654:AD661" si="679">IF(B654&lt;&gt;"",+$B654&amp;"S","")</f>
        <v>0-CIELO02S</v>
      </c>
      <c r="AE654" s="1291" t="str">
        <f t="shared" ref="AE654:AE661" si="680">IF(B654&lt;&gt;"",+$B654&amp;"X","")</f>
        <v>0-CIELO02X</v>
      </c>
      <c r="AF654" s="1291" t="str">
        <f t="shared" ref="AF654:AF661" si="681">IF(B654&lt;&gt;"",+B654&amp;H654,"")</f>
        <v>0-CIELO02M</v>
      </c>
      <c r="AG654" s="1291">
        <f t="shared" si="667"/>
        <v>8</v>
      </c>
      <c r="AH654" s="1291">
        <f>IF(B654&lt;&gt;"",+IF(H654="x",+VLOOKUP(I654,'AUX-NIV2'!B:AG,32,FALSE),0),"")</f>
        <v>0</v>
      </c>
      <c r="AI654" s="1291" t="str">
        <f t="shared" ref="AI654:AI661" si="682">IF(B654&lt;&gt;"",+B654,"")</f>
        <v>0-CIELO02</v>
      </c>
      <c r="AK654" s="347">
        <f t="shared" si="668"/>
        <v>647</v>
      </c>
      <c r="AL654" s="348">
        <f t="shared" ref="AL654:AL661" si="683">IF(B654&lt;&gt;"",+AK654+AG654-1,"")</f>
        <v>654</v>
      </c>
      <c r="AM654" s="347">
        <f t="shared" ref="AM654" si="684">IF(B654&lt;&gt;"",IF(B654=B653,1+AM653,1),"")</f>
        <v>8</v>
      </c>
      <c r="AN654" s="382">
        <f>IF(AND(AH654&gt;0,B654&lt;&gt;""),VLOOKUP(I654,'AUX-NIV2'!$B:$AP,40,FALSE)*O654,0)</f>
        <v>0</v>
      </c>
      <c r="AO654" s="382">
        <f t="shared" si="669"/>
        <v>1.25</v>
      </c>
      <c r="AQ654" s="395">
        <f>(IF($H654="x",VLOOKUP($I654,'AUX-NIV2'!$B:$X,'AUX-NIV1'!AQ$3,FALSE),0)+($AV654*'AUX-NIV3'!S$4))*$O654+IF($H654=AQ$4,$P654,0)</f>
        <v>0</v>
      </c>
      <c r="AR654" s="395">
        <f>(IF($H654="x",VLOOKUP($I654,'AUX-NIV2'!$B:$X,'AUX-NIV1'!AR$3,FALSE),0)+($AV654*'AUX-NIV3'!T$4))*$O654+IF($H654=AR$4,$P654,0)</f>
        <v>0</v>
      </c>
      <c r="AS654" s="395">
        <f>(IF($H654="x",VLOOKUP($I654,'AUX-NIV2'!$B:$X,'AUX-NIV1'!AS$3,FALSE),0)+($AV654*'AUX-NIV3'!U$4))*$O654+IF($H654=AS$4,$P654,0)</f>
        <v>75</v>
      </c>
      <c r="AT654" s="395">
        <f>(IF($H654="x",VLOOKUP($I654,'AUX-NIV2'!$B:$X,'AUX-NIV1'!AT$3,FALSE),0)+($AV654*'AUX-NIV3'!V$4))*$O654+IF($H654=AT$4,$P654,0)</f>
        <v>0</v>
      </c>
      <c r="AU654" s="395">
        <f>(IF($H654="x",VLOOKUP($I654,'AUX-NIV2'!$B:$X,'AUX-NIV1'!AU$3,FALSE),0)+($AV654*'AUX-NIV3'!W$4))*$O654+IF($H654=AU$4,$P654,0)</f>
        <v>0</v>
      </c>
      <c r="AV654" s="395">
        <f>+IF($H654="x",VLOOKUP($I654,'AUX-NIV2'!$B:$X,'AUX-NIV1'!AV$3,FALSE),0)</f>
        <v>0</v>
      </c>
    </row>
    <row r="655" spans="2:48" ht="14.4" hidden="1" thickTop="1" thickBot="1">
      <c r="B655" s="501" t="s">
        <v>4342</v>
      </c>
      <c r="C655" s="951" t="s">
        <v>4343</v>
      </c>
      <c r="D655" s="1280" t="s">
        <v>501</v>
      </c>
      <c r="E655" s="1281">
        <f>IF(B655&lt;&gt;"",+SUMIF(Items!C:C,'AUX-NIV1'!B655,Items!H:H),"")</f>
        <v>0</v>
      </c>
      <c r="F655" s="1281">
        <f t="shared" si="659"/>
        <v>2099.3217339415473</v>
      </c>
      <c r="G655" s="1281">
        <f t="shared" si="660"/>
        <v>0</v>
      </c>
      <c r="H655" s="1395" t="str">
        <f t="shared" si="670"/>
        <v>A</v>
      </c>
      <c r="I655" s="1375" t="s">
        <v>1745</v>
      </c>
      <c r="J655" s="1283" t="str">
        <f>IF(B655&lt;&gt;"",+VLOOKUP(I655,Recursos!C:F,2,FALSE),"")</f>
        <v>AYUDANTE</v>
      </c>
      <c r="K655" s="1284" t="str">
        <f>IF(B655&lt;&gt;"",+VLOOKUP(I655,Recursos!C:F,3,FALSE),"")</f>
        <v>hh</v>
      </c>
      <c r="L655" s="1285">
        <f>IF(B655&lt;&gt;"",+VLOOKUP(I655,Recursos!C:F,4,FALSE),"")</f>
        <v>422.48042769667234</v>
      </c>
      <c r="M655" s="989">
        <v>2</v>
      </c>
      <c r="N655" s="1292">
        <v>1</v>
      </c>
      <c r="O655" s="1286">
        <f>N655/M655</f>
        <v>0.5</v>
      </c>
      <c r="P655" s="1287">
        <f t="shared" si="672"/>
        <v>211.24021384833617</v>
      </c>
      <c r="Q655" s="1281">
        <f t="shared" si="673"/>
        <v>0</v>
      </c>
      <c r="R655" s="1288">
        <f t="shared" si="674"/>
        <v>0</v>
      </c>
      <c r="S655" s="1289">
        <f t="shared" si="661"/>
        <v>583.92717964290478</v>
      </c>
      <c r="T655" s="1289">
        <f t="shared" si="662"/>
        <v>0</v>
      </c>
      <c r="U655" s="1290">
        <f t="shared" si="663"/>
        <v>1515.3945542986426</v>
      </c>
      <c r="V655" s="1290">
        <f t="shared" si="664"/>
        <v>0</v>
      </c>
      <c r="W655" s="1290">
        <f t="shared" si="665"/>
        <v>0</v>
      </c>
      <c r="X655" s="1290">
        <f t="shared" si="666"/>
        <v>0</v>
      </c>
      <c r="Y655" s="396"/>
      <c r="Z655" s="1291" t="str">
        <f t="shared" si="675"/>
        <v>0-CIELO02.1A</v>
      </c>
      <c r="AA655" s="1291" t="str">
        <f t="shared" si="676"/>
        <v>0-CIELO02.1E</v>
      </c>
      <c r="AB655" s="1291" t="str">
        <f t="shared" si="677"/>
        <v>0-CIELO02.1M</v>
      </c>
      <c r="AC655" s="1291" t="str">
        <f t="shared" si="678"/>
        <v>0-CIELO02.1T</v>
      </c>
      <c r="AD655" s="1291" t="str">
        <f t="shared" si="679"/>
        <v>0-CIELO02.1S</v>
      </c>
      <c r="AE655" s="1291" t="str">
        <f t="shared" si="680"/>
        <v>0-CIELO02.1X</v>
      </c>
      <c r="AF655" s="1291" t="str">
        <f t="shared" si="681"/>
        <v>0-CIELO02.1A</v>
      </c>
      <c r="AG655" s="1291">
        <f t="shared" si="667"/>
        <v>9</v>
      </c>
      <c r="AH655" s="1291">
        <f>IF(B655&lt;&gt;"",+IF(H655="x",+VLOOKUP(I655,'AUX-NIV2'!B:AG,32,FALSE),0),"")</f>
        <v>0</v>
      </c>
      <c r="AI655" s="1291" t="str">
        <f t="shared" si="682"/>
        <v>0-CIELO02.1</v>
      </c>
      <c r="AK655" s="347">
        <f t="shared" si="668"/>
        <v>655</v>
      </c>
      <c r="AL655" s="348">
        <f t="shared" si="683"/>
        <v>663</v>
      </c>
      <c r="AM655" s="347">
        <f>IF(B655&lt;&gt;"",IF(B655=B653,1+AM653,1),"")</f>
        <v>1</v>
      </c>
      <c r="AN655" s="382">
        <f>IF(AND(AH655&gt;0,B655&lt;&gt;""),VLOOKUP(I655,'AUX-NIV2'!$B:$AP,40,FALSE)*O655,0)</f>
        <v>0</v>
      </c>
      <c r="AO655" s="382">
        <f t="shared" si="669"/>
        <v>1.25</v>
      </c>
      <c r="AQ655" s="395">
        <f>(IF($H655="x",VLOOKUP($I655,'AUX-NIV2'!$B:$X,'AUX-NIV1'!AQ$3,FALSE),0)+($AV655*'AUX-NIV3'!S$4))*$O655+IF($H655=AQ$4,$P655,0)</f>
        <v>211.24021384833617</v>
      </c>
      <c r="AR655" s="395">
        <f>(IF($H655="x",VLOOKUP($I655,'AUX-NIV2'!$B:$X,'AUX-NIV1'!AR$3,FALSE),0)+($AV655*'AUX-NIV3'!T$4))*$O655+IF($H655=AR$4,$P655,0)</f>
        <v>0</v>
      </c>
      <c r="AS655" s="395">
        <f>(IF($H655="x",VLOOKUP($I655,'AUX-NIV2'!$B:$X,'AUX-NIV1'!AS$3,FALSE),0)+($AV655*'AUX-NIV3'!U$4))*$O655+IF($H655=AS$4,$P655,0)</f>
        <v>0</v>
      </c>
      <c r="AT655" s="395">
        <f>(IF($H655="x",VLOOKUP($I655,'AUX-NIV2'!$B:$X,'AUX-NIV1'!AT$3,FALSE),0)+($AV655*'AUX-NIV3'!V$4))*$O655+IF($H655=AT$4,$P655,0)</f>
        <v>0</v>
      </c>
      <c r="AU655" s="395">
        <f>(IF($H655="x",VLOOKUP($I655,'AUX-NIV2'!$B:$X,'AUX-NIV1'!AU$3,FALSE),0)+($AV655*'AUX-NIV3'!W$4))*$O655+IF($H655=AU$4,$P655,0)</f>
        <v>0</v>
      </c>
      <c r="AV655" s="395">
        <f>+IF($H655="x",VLOOKUP($I655,'AUX-NIV2'!$B:$X,'AUX-NIV1'!AV$3,FALSE),0)</f>
        <v>0</v>
      </c>
    </row>
    <row r="656" spans="2:48" ht="14.4" hidden="1" thickTop="1" thickBot="1">
      <c r="B656" s="501" t="s">
        <v>4342</v>
      </c>
      <c r="C656" s="951" t="s">
        <v>4343</v>
      </c>
      <c r="D656" s="1280" t="s">
        <v>501</v>
      </c>
      <c r="E656" s="1281">
        <f>IF(B656&lt;&gt;"",+SUMIF(Items!C:C,'AUX-NIV1'!B656,Items!H:H),"")</f>
        <v>0</v>
      </c>
      <c r="F656" s="1281">
        <f t="shared" si="659"/>
        <v>2099.3217339415473</v>
      </c>
      <c r="G656" s="1281">
        <f t="shared" si="660"/>
        <v>0</v>
      </c>
      <c r="H656" s="1395" t="str">
        <f t="shared" si="670"/>
        <v>A</v>
      </c>
      <c r="I656" s="1375" t="s">
        <v>1746</v>
      </c>
      <c r="J656" s="1283" t="str">
        <f>IF(B656&lt;&gt;"",+VLOOKUP(I656,Recursos!C:F,2,FALSE),"")</f>
        <v>OFICIAL</v>
      </c>
      <c r="K656" s="1284" t="str">
        <f>IF(B656&lt;&gt;"",+VLOOKUP(I656,Recursos!C:F,3,FALSE),"")</f>
        <v>hh</v>
      </c>
      <c r="L656" s="1285">
        <f>IF(B656&lt;&gt;"",+VLOOKUP(I656,Recursos!C:F,4,FALSE),"")</f>
        <v>496.91595439275824</v>
      </c>
      <c r="M656" s="1351"/>
      <c r="N656" s="1329">
        <v>1.5</v>
      </c>
      <c r="O656" s="1286">
        <f>N656/M655</f>
        <v>0.75</v>
      </c>
      <c r="P656" s="1287">
        <f t="shared" si="672"/>
        <v>372.68696579456866</v>
      </c>
      <c r="Q656" s="1281">
        <f t="shared" si="673"/>
        <v>0</v>
      </c>
      <c r="R656" s="1288">
        <f t="shared" si="674"/>
        <v>0</v>
      </c>
      <c r="S656" s="1289">
        <f t="shared" si="661"/>
        <v>583.92717964290478</v>
      </c>
      <c r="T656" s="1289">
        <f t="shared" si="662"/>
        <v>0</v>
      </c>
      <c r="U656" s="1290">
        <f t="shared" si="663"/>
        <v>1515.3945542986426</v>
      </c>
      <c r="V656" s="1290">
        <f t="shared" si="664"/>
        <v>0</v>
      </c>
      <c r="W656" s="1290">
        <f t="shared" si="665"/>
        <v>0</v>
      </c>
      <c r="X656" s="1290">
        <f t="shared" si="666"/>
        <v>0</v>
      </c>
      <c r="Y656" s="396"/>
      <c r="Z656" s="1291" t="str">
        <f t="shared" si="675"/>
        <v>0-CIELO02.1A</v>
      </c>
      <c r="AA656" s="1291" t="str">
        <f t="shared" si="676"/>
        <v>0-CIELO02.1E</v>
      </c>
      <c r="AB656" s="1291" t="str">
        <f t="shared" si="677"/>
        <v>0-CIELO02.1M</v>
      </c>
      <c r="AC656" s="1291" t="str">
        <f t="shared" si="678"/>
        <v>0-CIELO02.1T</v>
      </c>
      <c r="AD656" s="1291" t="str">
        <f t="shared" si="679"/>
        <v>0-CIELO02.1S</v>
      </c>
      <c r="AE656" s="1291" t="str">
        <f t="shared" si="680"/>
        <v>0-CIELO02.1X</v>
      </c>
      <c r="AF656" s="1291" t="str">
        <f t="shared" si="681"/>
        <v>0-CIELO02.1A</v>
      </c>
      <c r="AG656" s="1291">
        <f t="shared" si="667"/>
        <v>9</v>
      </c>
      <c r="AH656" s="1291">
        <f>IF(B656&lt;&gt;"",+IF(H656="x",+VLOOKUP(I656,'AUX-NIV2'!B:AG,32,FALSE),0),"")</f>
        <v>0</v>
      </c>
      <c r="AI656" s="1291" t="str">
        <f t="shared" si="682"/>
        <v>0-CIELO02.1</v>
      </c>
      <c r="AK656" s="347">
        <f t="shared" si="668"/>
        <v>655</v>
      </c>
      <c r="AL656" s="348">
        <f t="shared" si="683"/>
        <v>663</v>
      </c>
      <c r="AM656" s="347">
        <f t="shared" ref="AM656:AM663" si="685">IF(B656&lt;&gt;"",IF(B656=B655,1+AM655,1),"")</f>
        <v>2</v>
      </c>
      <c r="AN656" s="382">
        <f>IF(AND(AH656&gt;0,B656&lt;&gt;""),VLOOKUP(I656,'AUX-NIV2'!$B:$AP,40,FALSE)*O656,0)</f>
        <v>0</v>
      </c>
      <c r="AO656" s="382">
        <f t="shared" si="669"/>
        <v>1.25</v>
      </c>
      <c r="AQ656" s="395">
        <f>(IF($H656="x",VLOOKUP($I656,'AUX-NIV2'!$B:$X,'AUX-NIV1'!AQ$3,FALSE),0)+($AV656*'AUX-NIV3'!S$4))*$O656+IF($H656=AQ$4,$P656,0)</f>
        <v>372.68696579456866</v>
      </c>
      <c r="AR656" s="395">
        <f>(IF($H656="x",VLOOKUP($I656,'AUX-NIV2'!$B:$X,'AUX-NIV1'!AR$3,FALSE),0)+($AV656*'AUX-NIV3'!T$4))*$O656+IF($H656=AR$4,$P656,0)</f>
        <v>0</v>
      </c>
      <c r="AS656" s="395">
        <f>(IF($H656="x",VLOOKUP($I656,'AUX-NIV2'!$B:$X,'AUX-NIV1'!AS$3,FALSE),0)+($AV656*'AUX-NIV3'!U$4))*$O656+IF($H656=AS$4,$P656,0)</f>
        <v>0</v>
      </c>
      <c r="AT656" s="395">
        <f>(IF($H656="x",VLOOKUP($I656,'AUX-NIV2'!$B:$X,'AUX-NIV1'!AT$3,FALSE),0)+($AV656*'AUX-NIV3'!V$4))*$O656+IF($H656=AT$4,$P656,0)</f>
        <v>0</v>
      </c>
      <c r="AU656" s="395">
        <f>(IF($H656="x",VLOOKUP($I656,'AUX-NIV2'!$B:$X,'AUX-NIV1'!AU$3,FALSE),0)+($AV656*'AUX-NIV3'!W$4))*$O656+IF($H656=AU$4,$P656,0)</f>
        <v>0</v>
      </c>
      <c r="AV656" s="395">
        <f>+IF($H656="x",VLOOKUP($I656,'AUX-NIV2'!$B:$X,'AUX-NIV1'!AV$3,FALSE),0)</f>
        <v>0</v>
      </c>
    </row>
    <row r="657" spans="2:48" ht="14.4" hidden="1" thickTop="1" thickBot="1">
      <c r="B657" s="501" t="s">
        <v>4342</v>
      </c>
      <c r="C657" s="951" t="s">
        <v>4343</v>
      </c>
      <c r="D657" s="1280" t="s">
        <v>501</v>
      </c>
      <c r="E657" s="1281">
        <f>IF(B657&lt;&gt;"",+SUMIF(Items!C:C,'AUX-NIV1'!B657,Items!H:H),"")</f>
        <v>0</v>
      </c>
      <c r="F657" s="1281">
        <f t="shared" si="659"/>
        <v>2099.3217339415473</v>
      </c>
      <c r="G657" s="1281">
        <f t="shared" si="660"/>
        <v>0</v>
      </c>
      <c r="H657" s="1395" t="str">
        <f t="shared" si="670"/>
        <v>M</v>
      </c>
      <c r="I657" s="1375" t="s">
        <v>3776</v>
      </c>
      <c r="J657" s="1283" t="str">
        <f>IF(B657&lt;&gt;"",+VLOOKUP(I657,Recursos!C:F,2,FALSE),"")</f>
        <v>PLACA DE YESO 9mm x 1,2 m x 2,4m</v>
      </c>
      <c r="K657" s="1284" t="str">
        <f>IF(B657&lt;&gt;"",+VLOOKUP(I657,Recursos!C:F,3,FALSE),"")</f>
        <v>m2</v>
      </c>
      <c r="L657" s="1285">
        <f>IF(B657&lt;&gt;"",+VLOOKUP(I657,Recursos!C:F,4,FALSE),"")</f>
        <v>235.31</v>
      </c>
      <c r="M657" s="1351"/>
      <c r="N657" s="1329">
        <v>1.1499999999999999</v>
      </c>
      <c r="O657" s="1286">
        <f>N657</f>
        <v>1.1499999999999999</v>
      </c>
      <c r="P657" s="1287">
        <f t="shared" si="672"/>
        <v>270.60649999999998</v>
      </c>
      <c r="Q657" s="1281">
        <f t="shared" si="673"/>
        <v>0</v>
      </c>
      <c r="R657" s="1288">
        <f t="shared" si="674"/>
        <v>0</v>
      </c>
      <c r="S657" s="1289">
        <f t="shared" si="661"/>
        <v>583.92717964290478</v>
      </c>
      <c r="T657" s="1289">
        <f t="shared" si="662"/>
        <v>0</v>
      </c>
      <c r="U657" s="1290">
        <f t="shared" si="663"/>
        <v>1515.3945542986426</v>
      </c>
      <c r="V657" s="1290">
        <f t="shared" si="664"/>
        <v>0</v>
      </c>
      <c r="W657" s="1290">
        <f t="shared" si="665"/>
        <v>0</v>
      </c>
      <c r="X657" s="1290">
        <f t="shared" si="666"/>
        <v>0</v>
      </c>
      <c r="Y657" s="396"/>
      <c r="Z657" s="1291" t="str">
        <f t="shared" si="675"/>
        <v>0-CIELO02.1A</v>
      </c>
      <c r="AA657" s="1291" t="str">
        <f t="shared" si="676"/>
        <v>0-CIELO02.1E</v>
      </c>
      <c r="AB657" s="1291" t="str">
        <f t="shared" si="677"/>
        <v>0-CIELO02.1M</v>
      </c>
      <c r="AC657" s="1291" t="str">
        <f t="shared" si="678"/>
        <v>0-CIELO02.1T</v>
      </c>
      <c r="AD657" s="1291" t="str">
        <f t="shared" si="679"/>
        <v>0-CIELO02.1S</v>
      </c>
      <c r="AE657" s="1291" t="str">
        <f t="shared" si="680"/>
        <v>0-CIELO02.1X</v>
      </c>
      <c r="AF657" s="1291" t="str">
        <f t="shared" si="681"/>
        <v>0-CIELO02.1M</v>
      </c>
      <c r="AG657" s="1291">
        <f t="shared" si="667"/>
        <v>9</v>
      </c>
      <c r="AH657" s="1291">
        <f>IF(B657&lt;&gt;"",+IF(H657="x",+VLOOKUP(I657,'AUX-NIV2'!B:AG,32,FALSE),0),"")</f>
        <v>0</v>
      </c>
      <c r="AI657" s="1291" t="str">
        <f t="shared" si="682"/>
        <v>0-CIELO02.1</v>
      </c>
      <c r="AK657" s="347">
        <f t="shared" si="668"/>
        <v>655</v>
      </c>
      <c r="AL657" s="348">
        <f t="shared" si="683"/>
        <v>663</v>
      </c>
      <c r="AM657" s="347">
        <f t="shared" si="685"/>
        <v>3</v>
      </c>
      <c r="AN657" s="382">
        <f>IF(AND(AH657&gt;0,B657&lt;&gt;""),VLOOKUP(I657,'AUX-NIV2'!$B:$AP,40,FALSE)*O657,0)</f>
        <v>0</v>
      </c>
      <c r="AO657" s="382">
        <f t="shared" si="669"/>
        <v>1.25</v>
      </c>
      <c r="AQ657" s="395">
        <f>(IF($H657="x",VLOOKUP($I657,'AUX-NIV2'!$B:$X,'AUX-NIV1'!AQ$3,FALSE),0)+($AV657*'AUX-NIV3'!S$4))*$O657+IF($H657=AQ$4,$P657,0)</f>
        <v>0</v>
      </c>
      <c r="AR657" s="395">
        <f>(IF($H657="x",VLOOKUP($I657,'AUX-NIV2'!$B:$X,'AUX-NIV1'!AR$3,FALSE),0)+($AV657*'AUX-NIV3'!T$4))*$O657+IF($H657=AR$4,$P657,0)</f>
        <v>0</v>
      </c>
      <c r="AS657" s="395">
        <f>(IF($H657="x",VLOOKUP($I657,'AUX-NIV2'!$B:$X,'AUX-NIV1'!AS$3,FALSE),0)+($AV657*'AUX-NIV3'!U$4))*$O657+IF($H657=AS$4,$P657,0)</f>
        <v>270.60649999999998</v>
      </c>
      <c r="AT657" s="395">
        <f>(IF($H657="x",VLOOKUP($I657,'AUX-NIV2'!$B:$X,'AUX-NIV1'!AT$3,FALSE),0)+($AV657*'AUX-NIV3'!V$4))*$O657+IF($H657=AT$4,$P657,0)</f>
        <v>0</v>
      </c>
      <c r="AU657" s="395">
        <f>(IF($H657="x",VLOOKUP($I657,'AUX-NIV2'!$B:$X,'AUX-NIV1'!AU$3,FALSE),0)+($AV657*'AUX-NIV3'!W$4))*$O657+IF($H657=AU$4,$P657,0)</f>
        <v>0</v>
      </c>
      <c r="AV657" s="395">
        <f>+IF($H657="x",VLOOKUP($I657,'AUX-NIV2'!$B:$X,'AUX-NIV1'!AV$3,FALSE),0)</f>
        <v>0</v>
      </c>
    </row>
    <row r="658" spans="2:48" ht="14.4" hidden="1" thickTop="1" thickBot="1">
      <c r="B658" s="501" t="s">
        <v>4342</v>
      </c>
      <c r="C658" s="951" t="s">
        <v>4343</v>
      </c>
      <c r="D658" s="1280" t="s">
        <v>501</v>
      </c>
      <c r="E658" s="1281">
        <f>IF(B658&lt;&gt;"",+SUMIF(Items!C:C,'AUX-NIV1'!B658,Items!H:H),"")</f>
        <v>0</v>
      </c>
      <c r="F658" s="1281">
        <f t="shared" si="659"/>
        <v>2099.3217339415473</v>
      </c>
      <c r="G658" s="1281">
        <f t="shared" si="660"/>
        <v>0</v>
      </c>
      <c r="H658" s="1395" t="str">
        <f t="shared" si="670"/>
        <v>M</v>
      </c>
      <c r="I658" s="1375" t="s">
        <v>3719</v>
      </c>
      <c r="J658" s="1283" t="str">
        <f>IF(B658&lt;&gt;"",+VLOOKUP(I658,Recursos!C:F,2,FALSE),"")</f>
        <v>PERFILES DE CHAPA GALVANIZADA (2,6m) p/TABUIQUES</v>
      </c>
      <c r="K658" s="1284" t="str">
        <f>IF(B658&lt;&gt;"",+VLOOKUP(I658,Recursos!C:F,3,FALSE),"")</f>
        <v>m</v>
      </c>
      <c r="L658" s="1285">
        <f>IF(B658&lt;&gt;"",+VLOOKUP(I658,Recursos!C:F,4,FALSE),"")</f>
        <v>173.07692307692307</v>
      </c>
      <c r="M658" s="1328">
        <v>4</v>
      </c>
      <c r="N658" s="1329">
        <v>1.2</v>
      </c>
      <c r="O658" s="1286">
        <f>N658*M658</f>
        <v>4.8</v>
      </c>
      <c r="P658" s="1287">
        <f t="shared" si="672"/>
        <v>830.76923076923072</v>
      </c>
      <c r="Q658" s="1281">
        <f t="shared" si="673"/>
        <v>0</v>
      </c>
      <c r="R658" s="1288">
        <f t="shared" si="674"/>
        <v>0</v>
      </c>
      <c r="S658" s="1289">
        <f t="shared" si="661"/>
        <v>583.92717964290478</v>
      </c>
      <c r="T658" s="1289">
        <f t="shared" si="662"/>
        <v>0</v>
      </c>
      <c r="U658" s="1290">
        <f t="shared" si="663"/>
        <v>1515.3945542986426</v>
      </c>
      <c r="V658" s="1290">
        <f t="shared" si="664"/>
        <v>0</v>
      </c>
      <c r="W658" s="1290">
        <f t="shared" si="665"/>
        <v>0</v>
      </c>
      <c r="X658" s="1290">
        <f t="shared" si="666"/>
        <v>0</v>
      </c>
      <c r="Y658" s="396"/>
      <c r="Z658" s="1291" t="str">
        <f t="shared" si="675"/>
        <v>0-CIELO02.1A</v>
      </c>
      <c r="AA658" s="1291" t="str">
        <f t="shared" si="676"/>
        <v>0-CIELO02.1E</v>
      </c>
      <c r="AB658" s="1291" t="str">
        <f t="shared" si="677"/>
        <v>0-CIELO02.1M</v>
      </c>
      <c r="AC658" s="1291" t="str">
        <f t="shared" si="678"/>
        <v>0-CIELO02.1T</v>
      </c>
      <c r="AD658" s="1291" t="str">
        <f t="shared" si="679"/>
        <v>0-CIELO02.1S</v>
      </c>
      <c r="AE658" s="1291" t="str">
        <f t="shared" si="680"/>
        <v>0-CIELO02.1X</v>
      </c>
      <c r="AF658" s="1291" t="str">
        <f t="shared" si="681"/>
        <v>0-CIELO02.1M</v>
      </c>
      <c r="AG658" s="1291">
        <f t="shared" si="667"/>
        <v>9</v>
      </c>
      <c r="AH658" s="1291">
        <f>IF(B658&lt;&gt;"",+IF(H658="x",+VLOOKUP(I658,'AUX-NIV2'!B:AG,32,FALSE),0),"")</f>
        <v>0</v>
      </c>
      <c r="AI658" s="1291" t="str">
        <f t="shared" si="682"/>
        <v>0-CIELO02.1</v>
      </c>
      <c r="AK658" s="347">
        <f t="shared" si="668"/>
        <v>655</v>
      </c>
      <c r="AL658" s="348">
        <f t="shared" si="683"/>
        <v>663</v>
      </c>
      <c r="AM658" s="347">
        <f t="shared" si="685"/>
        <v>4</v>
      </c>
      <c r="AN658" s="382">
        <f>IF(AND(AH658&gt;0,B658&lt;&gt;""),VLOOKUP(I658,'AUX-NIV2'!$B:$AP,40,FALSE)*O658,0)</f>
        <v>0</v>
      </c>
      <c r="AO658" s="382">
        <f t="shared" si="669"/>
        <v>1.25</v>
      </c>
      <c r="AQ658" s="395">
        <f>(IF($H658="x",VLOOKUP($I658,'AUX-NIV2'!$B:$X,'AUX-NIV1'!AQ$3,FALSE),0)+($AV658*'AUX-NIV3'!S$4))*$O658+IF($H658=AQ$4,$P658,0)</f>
        <v>0</v>
      </c>
      <c r="AR658" s="395">
        <f>(IF($H658="x",VLOOKUP($I658,'AUX-NIV2'!$B:$X,'AUX-NIV1'!AR$3,FALSE),0)+($AV658*'AUX-NIV3'!T$4))*$O658+IF($H658=AR$4,$P658,0)</f>
        <v>0</v>
      </c>
      <c r="AS658" s="395">
        <f>(IF($H658="x",VLOOKUP($I658,'AUX-NIV2'!$B:$X,'AUX-NIV1'!AS$3,FALSE),0)+($AV658*'AUX-NIV3'!U$4))*$O658+IF($H658=AS$4,$P658,0)</f>
        <v>830.76923076923072</v>
      </c>
      <c r="AT658" s="395">
        <f>(IF($H658="x",VLOOKUP($I658,'AUX-NIV2'!$B:$X,'AUX-NIV1'!AT$3,FALSE),0)+($AV658*'AUX-NIV3'!V$4))*$O658+IF($H658=AT$4,$P658,0)</f>
        <v>0</v>
      </c>
      <c r="AU658" s="395">
        <f>(IF($H658="x",VLOOKUP($I658,'AUX-NIV2'!$B:$X,'AUX-NIV1'!AU$3,FALSE),0)+($AV658*'AUX-NIV3'!W$4))*$O658+IF($H658=AU$4,$P658,0)</f>
        <v>0</v>
      </c>
      <c r="AV658" s="395">
        <f>+IF($H658="x",VLOOKUP($I658,'AUX-NIV2'!$B:$X,'AUX-NIV1'!AV$3,FALSE),0)</f>
        <v>0</v>
      </c>
    </row>
    <row r="659" spans="2:48" ht="14.4" hidden="1" thickTop="1" thickBot="1">
      <c r="B659" s="501" t="s">
        <v>4342</v>
      </c>
      <c r="C659" s="951" t="s">
        <v>4343</v>
      </c>
      <c r="D659" s="1280" t="s">
        <v>501</v>
      </c>
      <c r="E659" s="1281">
        <f>IF(B659&lt;&gt;"",+SUMIF(Items!C:C,'AUX-NIV1'!B659,Items!H:H),"")</f>
        <v>0</v>
      </c>
      <c r="F659" s="1281">
        <f t="shared" si="659"/>
        <v>2099.3217339415473</v>
      </c>
      <c r="G659" s="1281">
        <f t="shared" si="660"/>
        <v>0</v>
      </c>
      <c r="H659" s="1395" t="str">
        <f t="shared" si="670"/>
        <v>M</v>
      </c>
      <c r="I659" s="1375" t="s">
        <v>3720</v>
      </c>
      <c r="J659" s="1283" t="str">
        <f>IF(B659&lt;&gt;"",+VLOOKUP(I659,Recursos!C:F,2,FALSE),"")</f>
        <v>FIJACIONES</v>
      </c>
      <c r="K659" s="1284" t="str">
        <f>IF(B659&lt;&gt;"",+VLOOKUP(I659,Recursos!C:F,3,FALSE),"")</f>
        <v>UN</v>
      </c>
      <c r="L659" s="1285">
        <f>IF(B659&lt;&gt;"",+VLOOKUP(I659,Recursos!C:F,4,FALSE),"")</f>
        <v>5</v>
      </c>
      <c r="M659" s="1328">
        <v>40</v>
      </c>
      <c r="N659" s="1329">
        <v>1.05</v>
      </c>
      <c r="O659" s="1286">
        <f>N659*M659</f>
        <v>42</v>
      </c>
      <c r="P659" s="1287">
        <f t="shared" si="672"/>
        <v>210</v>
      </c>
      <c r="Q659" s="1281">
        <f t="shared" si="673"/>
        <v>0</v>
      </c>
      <c r="R659" s="1288">
        <f t="shared" si="674"/>
        <v>0</v>
      </c>
      <c r="S659" s="1289">
        <f t="shared" si="661"/>
        <v>583.92717964290478</v>
      </c>
      <c r="T659" s="1289">
        <f t="shared" si="662"/>
        <v>0</v>
      </c>
      <c r="U659" s="1290">
        <f t="shared" si="663"/>
        <v>1515.3945542986426</v>
      </c>
      <c r="V659" s="1290">
        <f t="shared" si="664"/>
        <v>0</v>
      </c>
      <c r="W659" s="1290">
        <f t="shared" si="665"/>
        <v>0</v>
      </c>
      <c r="X659" s="1290">
        <f t="shared" si="666"/>
        <v>0</v>
      </c>
      <c r="Y659" s="396"/>
      <c r="Z659" s="1291" t="str">
        <f t="shared" si="675"/>
        <v>0-CIELO02.1A</v>
      </c>
      <c r="AA659" s="1291" t="str">
        <f t="shared" si="676"/>
        <v>0-CIELO02.1E</v>
      </c>
      <c r="AB659" s="1291" t="str">
        <f t="shared" si="677"/>
        <v>0-CIELO02.1M</v>
      </c>
      <c r="AC659" s="1291" t="str">
        <f t="shared" si="678"/>
        <v>0-CIELO02.1T</v>
      </c>
      <c r="AD659" s="1291" t="str">
        <f t="shared" si="679"/>
        <v>0-CIELO02.1S</v>
      </c>
      <c r="AE659" s="1291" t="str">
        <f t="shared" si="680"/>
        <v>0-CIELO02.1X</v>
      </c>
      <c r="AF659" s="1291" t="str">
        <f t="shared" si="681"/>
        <v>0-CIELO02.1M</v>
      </c>
      <c r="AG659" s="1291">
        <f t="shared" si="667"/>
        <v>9</v>
      </c>
      <c r="AH659" s="1291">
        <f>IF(B659&lt;&gt;"",+IF(H659="x",+VLOOKUP(I659,'AUX-NIV2'!B:AG,32,FALSE),0),"")</f>
        <v>0</v>
      </c>
      <c r="AI659" s="1291" t="str">
        <f t="shared" si="682"/>
        <v>0-CIELO02.1</v>
      </c>
      <c r="AK659" s="347">
        <f t="shared" si="668"/>
        <v>655</v>
      </c>
      <c r="AL659" s="348">
        <f t="shared" si="683"/>
        <v>663</v>
      </c>
      <c r="AM659" s="347">
        <f t="shared" si="685"/>
        <v>5</v>
      </c>
      <c r="AN659" s="382">
        <f>IF(AND(AH659&gt;0,B659&lt;&gt;""),VLOOKUP(I659,'AUX-NIV2'!$B:$AP,40,FALSE)*O659,0)</f>
        <v>0</v>
      </c>
      <c r="AO659" s="382">
        <f t="shared" si="669"/>
        <v>1.25</v>
      </c>
      <c r="AQ659" s="395">
        <f>(IF($H659="x",VLOOKUP($I659,'AUX-NIV2'!$B:$X,'AUX-NIV1'!AQ$3,FALSE),0)+($AV659*'AUX-NIV3'!S$4))*$O659+IF($H659=AQ$4,$P659,0)</f>
        <v>0</v>
      </c>
      <c r="AR659" s="395">
        <f>(IF($H659="x",VLOOKUP($I659,'AUX-NIV2'!$B:$X,'AUX-NIV1'!AR$3,FALSE),0)+($AV659*'AUX-NIV3'!T$4))*$O659+IF($H659=AR$4,$P659,0)</f>
        <v>0</v>
      </c>
      <c r="AS659" s="395">
        <f>(IF($H659="x",VLOOKUP($I659,'AUX-NIV2'!$B:$X,'AUX-NIV1'!AS$3,FALSE),0)+($AV659*'AUX-NIV3'!U$4))*$O659+IF($H659=AS$4,$P659,0)</f>
        <v>210</v>
      </c>
      <c r="AT659" s="395">
        <f>(IF($H659="x",VLOOKUP($I659,'AUX-NIV2'!$B:$X,'AUX-NIV1'!AT$3,FALSE),0)+($AV659*'AUX-NIV3'!V$4))*$O659+IF($H659=AT$4,$P659,0)</f>
        <v>0</v>
      </c>
      <c r="AU659" s="395">
        <f>(IF($H659="x",VLOOKUP($I659,'AUX-NIV2'!$B:$X,'AUX-NIV1'!AU$3,FALSE),0)+($AV659*'AUX-NIV3'!W$4))*$O659+IF($H659=AU$4,$P659,0)</f>
        <v>0</v>
      </c>
      <c r="AV659" s="395">
        <f>+IF($H659="x",VLOOKUP($I659,'AUX-NIV2'!$B:$X,'AUX-NIV1'!AV$3,FALSE),0)</f>
        <v>0</v>
      </c>
    </row>
    <row r="660" spans="2:48" ht="14.4" hidden="1" thickTop="1" thickBot="1">
      <c r="B660" s="501" t="s">
        <v>4342</v>
      </c>
      <c r="C660" s="951" t="s">
        <v>4343</v>
      </c>
      <c r="D660" s="1280" t="s">
        <v>501</v>
      </c>
      <c r="E660" s="1281">
        <f>IF(B660&lt;&gt;"",+SUMIF(Items!C:C,'AUX-NIV1'!B660,Items!H:H),"")</f>
        <v>0</v>
      </c>
      <c r="F660" s="1281">
        <f t="shared" si="659"/>
        <v>2099.3217339415473</v>
      </c>
      <c r="G660" s="1281">
        <f t="shared" si="660"/>
        <v>0</v>
      </c>
      <c r="H660" s="1395" t="str">
        <f t="shared" si="670"/>
        <v>M</v>
      </c>
      <c r="I660" s="1375" t="s">
        <v>3721</v>
      </c>
      <c r="J660" s="1283" t="str">
        <f>IF(B660&lt;&gt;"",+VLOOKUP(I660,Recursos!C:F,2,FALSE),"")</f>
        <v>CINTA DURLOCK</v>
      </c>
      <c r="K660" s="1284" t="str">
        <f>IF(B660&lt;&gt;"",+VLOOKUP(I660,Recursos!C:F,3,FALSE),"")</f>
        <v>UN</v>
      </c>
      <c r="L660" s="1285">
        <f>IF(B660&lt;&gt;"",+VLOOKUP(I660,Recursos!C:F,4,FALSE),"")</f>
        <v>600</v>
      </c>
      <c r="M660" s="1351"/>
      <c r="N660" s="1329">
        <v>1.4999999999999999E-2</v>
      </c>
      <c r="O660" s="1286">
        <f t="shared" ref="O660:O662" si="686">N660</f>
        <v>1.4999999999999999E-2</v>
      </c>
      <c r="P660" s="1287">
        <f t="shared" si="672"/>
        <v>9</v>
      </c>
      <c r="Q660" s="1281">
        <f t="shared" si="673"/>
        <v>0</v>
      </c>
      <c r="R660" s="1288">
        <f t="shared" si="674"/>
        <v>0</v>
      </c>
      <c r="S660" s="1289">
        <f t="shared" si="661"/>
        <v>583.92717964290478</v>
      </c>
      <c r="T660" s="1289">
        <f t="shared" si="662"/>
        <v>0</v>
      </c>
      <c r="U660" s="1290">
        <f t="shared" si="663"/>
        <v>1515.3945542986426</v>
      </c>
      <c r="V660" s="1290">
        <f t="shared" si="664"/>
        <v>0</v>
      </c>
      <c r="W660" s="1290">
        <f t="shared" si="665"/>
        <v>0</v>
      </c>
      <c r="X660" s="1290">
        <f t="shared" si="666"/>
        <v>0</v>
      </c>
      <c r="Y660" s="396"/>
      <c r="Z660" s="1291" t="str">
        <f t="shared" si="675"/>
        <v>0-CIELO02.1A</v>
      </c>
      <c r="AA660" s="1291" t="str">
        <f t="shared" si="676"/>
        <v>0-CIELO02.1E</v>
      </c>
      <c r="AB660" s="1291" t="str">
        <f t="shared" si="677"/>
        <v>0-CIELO02.1M</v>
      </c>
      <c r="AC660" s="1291" t="str">
        <f t="shared" si="678"/>
        <v>0-CIELO02.1T</v>
      </c>
      <c r="AD660" s="1291" t="str">
        <f t="shared" si="679"/>
        <v>0-CIELO02.1S</v>
      </c>
      <c r="AE660" s="1291" t="str">
        <f t="shared" si="680"/>
        <v>0-CIELO02.1X</v>
      </c>
      <c r="AF660" s="1291" t="str">
        <f t="shared" si="681"/>
        <v>0-CIELO02.1M</v>
      </c>
      <c r="AG660" s="1291">
        <f t="shared" si="667"/>
        <v>9</v>
      </c>
      <c r="AH660" s="1291">
        <f>IF(B660&lt;&gt;"",+IF(H660="x",+VLOOKUP(I660,'AUX-NIV2'!B:AG,32,FALSE),0),"")</f>
        <v>0</v>
      </c>
      <c r="AI660" s="1291" t="str">
        <f t="shared" si="682"/>
        <v>0-CIELO02.1</v>
      </c>
      <c r="AK660" s="347">
        <f t="shared" si="668"/>
        <v>655</v>
      </c>
      <c r="AL660" s="348">
        <f t="shared" si="683"/>
        <v>663</v>
      </c>
      <c r="AM660" s="347">
        <f t="shared" si="685"/>
        <v>6</v>
      </c>
      <c r="AN660" s="382">
        <f>IF(AND(AH660&gt;0,B660&lt;&gt;""),VLOOKUP(I660,'AUX-NIV2'!$B:$AP,40,FALSE)*O660,0)</f>
        <v>0</v>
      </c>
      <c r="AO660" s="382">
        <f t="shared" si="669"/>
        <v>1.25</v>
      </c>
      <c r="AQ660" s="395">
        <f>(IF($H660="x",VLOOKUP($I660,'AUX-NIV2'!$B:$X,'AUX-NIV1'!AQ$3,FALSE),0)+($AV660*'AUX-NIV3'!S$4))*$O660+IF($H660=AQ$4,$P660,0)</f>
        <v>0</v>
      </c>
      <c r="AR660" s="395">
        <f>(IF($H660="x",VLOOKUP($I660,'AUX-NIV2'!$B:$X,'AUX-NIV1'!AR$3,FALSE),0)+($AV660*'AUX-NIV3'!T$4))*$O660+IF($H660=AR$4,$P660,0)</f>
        <v>0</v>
      </c>
      <c r="AS660" s="395">
        <f>(IF($H660="x",VLOOKUP($I660,'AUX-NIV2'!$B:$X,'AUX-NIV1'!AS$3,FALSE),0)+($AV660*'AUX-NIV3'!U$4))*$O660+IF($H660=AS$4,$P660,0)</f>
        <v>9</v>
      </c>
      <c r="AT660" s="395">
        <f>(IF($H660="x",VLOOKUP($I660,'AUX-NIV2'!$B:$X,'AUX-NIV1'!AT$3,FALSE),0)+($AV660*'AUX-NIV3'!V$4))*$O660+IF($H660=AT$4,$P660,0)</f>
        <v>0</v>
      </c>
      <c r="AU660" s="395">
        <f>(IF($H660="x",VLOOKUP($I660,'AUX-NIV2'!$B:$X,'AUX-NIV1'!AU$3,FALSE),0)+($AV660*'AUX-NIV3'!W$4))*$O660+IF($H660=AU$4,$P660,0)</f>
        <v>0</v>
      </c>
      <c r="AV660" s="395">
        <f>+IF($H660="x",VLOOKUP($I660,'AUX-NIV2'!$B:$X,'AUX-NIV1'!AV$3,FALSE),0)</f>
        <v>0</v>
      </c>
    </row>
    <row r="661" spans="2:48" ht="14.4" hidden="1" thickTop="1" thickBot="1">
      <c r="B661" s="501" t="s">
        <v>4342</v>
      </c>
      <c r="C661" s="951" t="s">
        <v>4343</v>
      </c>
      <c r="D661" s="1280" t="s">
        <v>501</v>
      </c>
      <c r="E661" s="1281">
        <f>IF(B661&lt;&gt;"",+SUMIF(Items!C:C,'AUX-NIV1'!B661,Items!H:H),"")</f>
        <v>0</v>
      </c>
      <c r="F661" s="1281">
        <f t="shared" si="659"/>
        <v>2099.3217339415473</v>
      </c>
      <c r="G661" s="1281">
        <f t="shared" si="660"/>
        <v>0</v>
      </c>
      <c r="H661" s="1395" t="str">
        <f t="shared" si="670"/>
        <v>M</v>
      </c>
      <c r="I661" s="1375" t="s">
        <v>3774</v>
      </c>
      <c r="J661" s="1283" t="str">
        <f>IF(B661&lt;&gt;"",+VLOOKUP(I661,Recursos!C:F,2,FALSE),"")</f>
        <v>MASILLA DURLOCK</v>
      </c>
      <c r="K661" s="1284" t="str">
        <f>IF(B661&lt;&gt;"",+VLOOKUP(I661,Recursos!C:F,3,FALSE),"")</f>
        <v>Kg</v>
      </c>
      <c r="L661" s="1285">
        <f>IF(B661&lt;&gt;"",+VLOOKUP(I661,Recursos!C:F,4,FALSE),"")</f>
        <v>57</v>
      </c>
      <c r="M661" s="1373"/>
      <c r="N661" s="1370">
        <f>0.04*32</f>
        <v>1.28</v>
      </c>
      <c r="O661" s="1286">
        <f t="shared" si="686"/>
        <v>1.28</v>
      </c>
      <c r="P661" s="1287">
        <f t="shared" si="672"/>
        <v>72.960000000000008</v>
      </c>
      <c r="Q661" s="1281">
        <f t="shared" si="673"/>
        <v>0</v>
      </c>
      <c r="R661" s="1288">
        <f t="shared" si="674"/>
        <v>0</v>
      </c>
      <c r="S661" s="1289">
        <f t="shared" si="661"/>
        <v>583.92717964290478</v>
      </c>
      <c r="T661" s="1289">
        <f t="shared" si="662"/>
        <v>0</v>
      </c>
      <c r="U661" s="1290">
        <f t="shared" si="663"/>
        <v>1515.3945542986426</v>
      </c>
      <c r="V661" s="1290">
        <f t="shared" si="664"/>
        <v>0</v>
      </c>
      <c r="W661" s="1290">
        <f t="shared" si="665"/>
        <v>0</v>
      </c>
      <c r="X661" s="1290">
        <f t="shared" si="666"/>
        <v>0</v>
      </c>
      <c r="Y661" s="396"/>
      <c r="Z661" s="1291" t="str">
        <f t="shared" si="675"/>
        <v>0-CIELO02.1A</v>
      </c>
      <c r="AA661" s="1291" t="str">
        <f t="shared" si="676"/>
        <v>0-CIELO02.1E</v>
      </c>
      <c r="AB661" s="1291" t="str">
        <f t="shared" si="677"/>
        <v>0-CIELO02.1M</v>
      </c>
      <c r="AC661" s="1291" t="str">
        <f t="shared" si="678"/>
        <v>0-CIELO02.1T</v>
      </c>
      <c r="AD661" s="1291" t="str">
        <f t="shared" si="679"/>
        <v>0-CIELO02.1S</v>
      </c>
      <c r="AE661" s="1291" t="str">
        <f t="shared" si="680"/>
        <v>0-CIELO02.1X</v>
      </c>
      <c r="AF661" s="1291" t="str">
        <f t="shared" si="681"/>
        <v>0-CIELO02.1M</v>
      </c>
      <c r="AG661" s="1291">
        <f t="shared" si="667"/>
        <v>9</v>
      </c>
      <c r="AH661" s="1291">
        <f>IF(B661&lt;&gt;"",+IF(H661="x",+VLOOKUP(I661,'AUX-NIV2'!B:AG,32,FALSE),0),"")</f>
        <v>0</v>
      </c>
      <c r="AI661" s="1291" t="str">
        <f t="shared" si="682"/>
        <v>0-CIELO02.1</v>
      </c>
      <c r="AK661" s="347">
        <f t="shared" si="668"/>
        <v>655</v>
      </c>
      <c r="AL661" s="348">
        <f t="shared" si="683"/>
        <v>663</v>
      </c>
      <c r="AM661" s="347">
        <f t="shared" si="685"/>
        <v>7</v>
      </c>
      <c r="AN661" s="382">
        <f>IF(AND(AH661&gt;0,B661&lt;&gt;""),VLOOKUP(I661,'AUX-NIV2'!$B:$AP,40,FALSE)*O661,0)</f>
        <v>0</v>
      </c>
      <c r="AO661" s="382">
        <f t="shared" si="669"/>
        <v>1.25</v>
      </c>
      <c r="AQ661" s="395">
        <f>(IF($H661="x",VLOOKUP($I661,'AUX-NIV2'!$B:$X,'AUX-NIV1'!AQ$3,FALSE),0)+($AV661*'AUX-NIV3'!S$4))*$O661+IF($H661=AQ$4,$P661,0)</f>
        <v>0</v>
      </c>
      <c r="AR661" s="395">
        <f>(IF($H661="x",VLOOKUP($I661,'AUX-NIV2'!$B:$X,'AUX-NIV1'!AR$3,FALSE),0)+($AV661*'AUX-NIV3'!T$4))*$O661+IF($H661=AR$4,$P661,0)</f>
        <v>0</v>
      </c>
      <c r="AS661" s="395">
        <f>(IF($H661="x",VLOOKUP($I661,'AUX-NIV2'!$B:$X,'AUX-NIV1'!AS$3,FALSE),0)+($AV661*'AUX-NIV3'!U$4))*$O661+IF($H661=AS$4,$P661,0)</f>
        <v>72.960000000000008</v>
      </c>
      <c r="AT661" s="395">
        <f>(IF($H661="x",VLOOKUP($I661,'AUX-NIV2'!$B:$X,'AUX-NIV1'!AT$3,FALSE),0)+($AV661*'AUX-NIV3'!V$4))*$O661+IF($H661=AT$4,$P661,0)</f>
        <v>0</v>
      </c>
      <c r="AU661" s="395">
        <f>(IF($H661="x",VLOOKUP($I661,'AUX-NIV2'!$B:$X,'AUX-NIV1'!AU$3,FALSE),0)+($AV661*'AUX-NIV3'!W$4))*$O661+IF($H661=AU$4,$P661,0)</f>
        <v>0</v>
      </c>
      <c r="AV661" s="395">
        <f>+IF($H661="x",VLOOKUP($I661,'AUX-NIV2'!$B:$X,'AUX-NIV1'!AV$3,FALSE),0)</f>
        <v>0</v>
      </c>
    </row>
    <row r="662" spans="2:48" ht="14.4" hidden="1" thickTop="1" thickBot="1">
      <c r="B662" s="501" t="s">
        <v>4342</v>
      </c>
      <c r="C662" s="951" t="s">
        <v>4343</v>
      </c>
      <c r="D662" s="1280" t="s">
        <v>501</v>
      </c>
      <c r="E662" s="1281">
        <f>IF(B662&lt;&gt;"",+SUMIF(Items!C:C,'AUX-NIV1'!B662,Items!H:H),"")</f>
        <v>0</v>
      </c>
      <c r="F662" s="1281">
        <f t="shared" si="659"/>
        <v>2099.3217339415473</v>
      </c>
      <c r="G662" s="1281">
        <f t="shared" si="660"/>
        <v>0</v>
      </c>
      <c r="H662" s="1395" t="str">
        <f t="shared" ref="H662:H663" si="687">IF(B662&lt;&gt;"",+LEFT(I662,1),"")</f>
        <v>M</v>
      </c>
      <c r="I662" s="1375" t="s">
        <v>621</v>
      </c>
      <c r="J662" s="1283" t="str">
        <f>IF(B662&lt;&gt;"",+VLOOKUP(I662,Recursos!C:F,2,FALSE),"")</f>
        <v>MATERIALES VARIOS</v>
      </c>
      <c r="K662" s="1284" t="str">
        <f>IF(B662&lt;&gt;"",+VLOOKUP(I662,Recursos!C:F,3,FALSE),"")</f>
        <v>GL</v>
      </c>
      <c r="L662" s="1285">
        <f>IF(B662&lt;&gt;"",+VLOOKUP(I662,Recursos!C:F,4,FALSE),"")</f>
        <v>0.5</v>
      </c>
      <c r="M662" s="1373"/>
      <c r="N662" s="1370">
        <f>1500*10%</f>
        <v>150</v>
      </c>
      <c r="O662" s="1286">
        <f t="shared" si="686"/>
        <v>150</v>
      </c>
      <c r="P662" s="1287">
        <f t="shared" ref="P662:P663" si="688">IF(B662&lt;&gt;"",O662*L662,"")</f>
        <v>75</v>
      </c>
      <c r="Q662" s="1281">
        <f t="shared" ref="Q662:Q663" si="689">IF(B662&lt;&gt;"",+O662*E662,"")</f>
        <v>0</v>
      </c>
      <c r="R662" s="1288">
        <f t="shared" ref="R662:R663" si="690">IF(B662&lt;&gt;"",Q662*L662,"")</f>
        <v>0</v>
      </c>
      <c r="S662" s="1289">
        <f t="shared" si="661"/>
        <v>583.92717964290478</v>
      </c>
      <c r="T662" s="1289">
        <f t="shared" si="662"/>
        <v>0</v>
      </c>
      <c r="U662" s="1290">
        <f t="shared" si="663"/>
        <v>1515.3945542986426</v>
      </c>
      <c r="V662" s="1290">
        <f t="shared" si="664"/>
        <v>0</v>
      </c>
      <c r="W662" s="1290">
        <f t="shared" si="665"/>
        <v>0</v>
      </c>
      <c r="X662" s="1290">
        <f t="shared" si="666"/>
        <v>0</v>
      </c>
      <c r="Y662" s="396"/>
      <c r="Z662" s="1291" t="str">
        <f t="shared" ref="Z662:Z663" si="691">IF(B662&lt;&gt;"",+$B662&amp;"A","")</f>
        <v>0-CIELO02.1A</v>
      </c>
      <c r="AA662" s="1291" t="str">
        <f t="shared" ref="AA662:AA663" si="692">IF(B662&lt;&gt;"",+$B662&amp;"E","")</f>
        <v>0-CIELO02.1E</v>
      </c>
      <c r="AB662" s="1291" t="str">
        <f t="shared" ref="AB662:AB663" si="693">IF(B662&lt;&gt;"",++$B662&amp;"M","")</f>
        <v>0-CIELO02.1M</v>
      </c>
      <c r="AC662" s="1291" t="str">
        <f t="shared" ref="AC662:AC663" si="694">IF(B662&lt;&gt;"",+$B662&amp;"T","")</f>
        <v>0-CIELO02.1T</v>
      </c>
      <c r="AD662" s="1291" t="str">
        <f t="shared" ref="AD662:AD663" si="695">IF(B662&lt;&gt;"",+$B662&amp;"S","")</f>
        <v>0-CIELO02.1S</v>
      </c>
      <c r="AE662" s="1291" t="str">
        <f t="shared" ref="AE662:AE663" si="696">IF(B662&lt;&gt;"",+$B662&amp;"X","")</f>
        <v>0-CIELO02.1X</v>
      </c>
      <c r="AF662" s="1291" t="str">
        <f t="shared" ref="AF662:AF663" si="697">IF(B662&lt;&gt;"",+B662&amp;H662,"")</f>
        <v>0-CIELO02.1M</v>
      </c>
      <c r="AG662" s="1291">
        <f t="shared" si="667"/>
        <v>9</v>
      </c>
      <c r="AH662" s="1291">
        <f>IF(B662&lt;&gt;"",+IF(H662="x",+VLOOKUP(I662,'AUX-NIV2'!B:AG,32,FALSE),0),"")</f>
        <v>0</v>
      </c>
      <c r="AI662" s="1291" t="str">
        <f t="shared" ref="AI662:AI663" si="698">IF(B662&lt;&gt;"",+B662,"")</f>
        <v>0-CIELO02.1</v>
      </c>
      <c r="AK662" s="347">
        <f t="shared" si="668"/>
        <v>655</v>
      </c>
      <c r="AL662" s="348">
        <f t="shared" ref="AL662:AL663" si="699">IF(B662&lt;&gt;"",+AK662+AG662-1,"")</f>
        <v>663</v>
      </c>
      <c r="AM662" s="347">
        <f t="shared" si="685"/>
        <v>8</v>
      </c>
      <c r="AN662" s="382">
        <f>IF(AND(AH662&gt;0,B662&lt;&gt;""),VLOOKUP(I662,'AUX-NIV2'!$B:$AP,40,FALSE)*O662,0)</f>
        <v>0</v>
      </c>
      <c r="AO662" s="382">
        <f t="shared" si="669"/>
        <v>1.25</v>
      </c>
      <c r="AQ662" s="395">
        <f>(IF($H662="x",VLOOKUP($I662,'AUX-NIV2'!$B:$X,'AUX-NIV1'!AQ$3,FALSE),0)+($AV662*'AUX-NIV3'!S$4))*$O662+IF($H662=AQ$4,$P662,0)</f>
        <v>0</v>
      </c>
      <c r="AR662" s="395">
        <f>(IF($H662="x",VLOOKUP($I662,'AUX-NIV2'!$B:$X,'AUX-NIV1'!AR$3,FALSE),0)+($AV662*'AUX-NIV3'!T$4))*$O662+IF($H662=AR$4,$P662,0)</f>
        <v>0</v>
      </c>
      <c r="AS662" s="395">
        <f>(IF($H662="x",VLOOKUP($I662,'AUX-NIV2'!$B:$X,'AUX-NIV1'!AS$3,FALSE),0)+($AV662*'AUX-NIV3'!U$4))*$O662+IF($H662=AS$4,$P662,0)</f>
        <v>75</v>
      </c>
      <c r="AT662" s="395">
        <f>(IF($H662="x",VLOOKUP($I662,'AUX-NIV2'!$B:$X,'AUX-NIV1'!AT$3,FALSE),0)+($AV662*'AUX-NIV3'!V$4))*$O662+IF($H662=AT$4,$P662,0)</f>
        <v>0</v>
      </c>
      <c r="AU662" s="395">
        <f>(IF($H662="x",VLOOKUP($I662,'AUX-NIV2'!$B:$X,'AUX-NIV1'!AU$3,FALSE),0)+($AV662*'AUX-NIV3'!W$4))*$O662+IF($H662=AU$4,$P662,0)</f>
        <v>0</v>
      </c>
      <c r="AV662" s="395">
        <f>+IF($H662="x",VLOOKUP($I662,'AUX-NIV2'!$B:$X,'AUX-NIV1'!AV$3,FALSE),0)</f>
        <v>0</v>
      </c>
    </row>
    <row r="663" spans="2:48" ht="14.4" hidden="1" thickTop="1" thickBot="1">
      <c r="B663" s="501" t="s">
        <v>4342</v>
      </c>
      <c r="C663" s="951" t="s">
        <v>4343</v>
      </c>
      <c r="D663" s="1280" t="s">
        <v>501</v>
      </c>
      <c r="E663" s="1281">
        <f>IF(B663&lt;&gt;"",+SUMIF(Items!C:C,'AUX-NIV1'!B663,Items!H:H),"")</f>
        <v>0</v>
      </c>
      <c r="F663" s="1281">
        <f t="shared" si="659"/>
        <v>2099.3217339415473</v>
      </c>
      <c r="G663" s="1281">
        <f t="shared" si="660"/>
        <v>0</v>
      </c>
      <c r="H663" s="1395" t="str">
        <f t="shared" si="687"/>
        <v>M</v>
      </c>
      <c r="I663" s="1375" t="s">
        <v>3295</v>
      </c>
      <c r="J663" s="1283" t="str">
        <f>IF(B663&lt;&gt;"",+VLOOKUP(I663,Recursos!C:F,2,FALSE),"")</f>
        <v>ANDAMIO TUBULAR 2x3x1,3</v>
      </c>
      <c r="K663" s="1284" t="str">
        <f>IF(B663&lt;&gt;"",+VLOOKUP(I663,Recursos!C:F,3,FALSE),"")</f>
        <v>Mod</v>
      </c>
      <c r="L663" s="1285">
        <f>IF(B663&lt;&gt;"",+VLOOKUP(I663,Recursos!C:F,4,FALSE),"")</f>
        <v>8000</v>
      </c>
      <c r="M663" s="1370">
        <f>2*1</f>
        <v>2</v>
      </c>
      <c r="N663" s="1371">
        <f>1/340</f>
        <v>2.9411764705882353E-3</v>
      </c>
      <c r="O663" s="1286">
        <f>M663*N663</f>
        <v>5.8823529411764705E-3</v>
      </c>
      <c r="P663" s="1287">
        <f t="shared" si="688"/>
        <v>47.058823529411761</v>
      </c>
      <c r="Q663" s="1281">
        <f t="shared" si="689"/>
        <v>0</v>
      </c>
      <c r="R663" s="1288">
        <f t="shared" si="690"/>
        <v>0</v>
      </c>
      <c r="S663" s="1289">
        <f t="shared" si="661"/>
        <v>583.92717964290478</v>
      </c>
      <c r="T663" s="1289">
        <f t="shared" si="662"/>
        <v>0</v>
      </c>
      <c r="U663" s="1290">
        <f t="shared" si="663"/>
        <v>1515.3945542986426</v>
      </c>
      <c r="V663" s="1290">
        <f t="shared" si="664"/>
        <v>0</v>
      </c>
      <c r="W663" s="1290">
        <f t="shared" si="665"/>
        <v>0</v>
      </c>
      <c r="X663" s="1290">
        <f t="shared" si="666"/>
        <v>0</v>
      </c>
      <c r="Y663" s="396"/>
      <c r="Z663" s="1291" t="str">
        <f t="shared" si="691"/>
        <v>0-CIELO02.1A</v>
      </c>
      <c r="AA663" s="1291" t="str">
        <f t="shared" si="692"/>
        <v>0-CIELO02.1E</v>
      </c>
      <c r="AB663" s="1291" t="str">
        <f t="shared" si="693"/>
        <v>0-CIELO02.1M</v>
      </c>
      <c r="AC663" s="1291" t="str">
        <f t="shared" si="694"/>
        <v>0-CIELO02.1T</v>
      </c>
      <c r="AD663" s="1291" t="str">
        <f t="shared" si="695"/>
        <v>0-CIELO02.1S</v>
      </c>
      <c r="AE663" s="1291" t="str">
        <f t="shared" si="696"/>
        <v>0-CIELO02.1X</v>
      </c>
      <c r="AF663" s="1291" t="str">
        <f t="shared" si="697"/>
        <v>0-CIELO02.1M</v>
      </c>
      <c r="AG663" s="1291">
        <f t="shared" si="667"/>
        <v>9</v>
      </c>
      <c r="AH663" s="1291">
        <f>IF(B663&lt;&gt;"",+IF(H663="x",+VLOOKUP(I663,'AUX-NIV2'!B:AG,32,FALSE),0),"")</f>
        <v>0</v>
      </c>
      <c r="AI663" s="1291" t="str">
        <f t="shared" si="698"/>
        <v>0-CIELO02.1</v>
      </c>
      <c r="AK663" s="347">
        <f t="shared" si="668"/>
        <v>655</v>
      </c>
      <c r="AL663" s="348">
        <f t="shared" si="699"/>
        <v>663</v>
      </c>
      <c r="AM663" s="347">
        <f t="shared" si="685"/>
        <v>9</v>
      </c>
      <c r="AN663" s="382">
        <f>IF(AND(AH663&gt;0,B663&lt;&gt;""),VLOOKUP(I663,'AUX-NIV2'!$B:$AP,40,FALSE)*O663,0)</f>
        <v>0</v>
      </c>
      <c r="AO663" s="382">
        <f t="shared" si="669"/>
        <v>1.25</v>
      </c>
      <c r="AQ663" s="395">
        <f>(IF($H663="x",VLOOKUP($I663,'AUX-NIV2'!$B:$X,'AUX-NIV1'!AQ$3,FALSE),0)+($AV663*'AUX-NIV3'!S$4))*$O663+IF($H663=AQ$4,$P663,0)</f>
        <v>0</v>
      </c>
      <c r="AR663" s="395">
        <f>(IF($H663="x",VLOOKUP($I663,'AUX-NIV2'!$B:$X,'AUX-NIV1'!AR$3,FALSE),0)+($AV663*'AUX-NIV3'!T$4))*$O663+IF($H663=AR$4,$P663,0)</f>
        <v>0</v>
      </c>
      <c r="AS663" s="395">
        <f>(IF($H663="x",VLOOKUP($I663,'AUX-NIV2'!$B:$X,'AUX-NIV1'!AS$3,FALSE),0)+($AV663*'AUX-NIV3'!U$4))*$O663+IF($H663=AS$4,$P663,0)</f>
        <v>47.058823529411761</v>
      </c>
      <c r="AT663" s="395">
        <f>(IF($H663="x",VLOOKUP($I663,'AUX-NIV2'!$B:$X,'AUX-NIV1'!AT$3,FALSE),0)+($AV663*'AUX-NIV3'!V$4))*$O663+IF($H663=AT$4,$P663,0)</f>
        <v>0</v>
      </c>
      <c r="AU663" s="395">
        <f>(IF($H663="x",VLOOKUP($I663,'AUX-NIV2'!$B:$X,'AUX-NIV1'!AU$3,FALSE),0)+($AV663*'AUX-NIV3'!W$4))*$O663+IF($H663=AU$4,$P663,0)</f>
        <v>0</v>
      </c>
      <c r="AV663" s="395">
        <f>+IF($H663="x",VLOOKUP($I663,'AUX-NIV2'!$B:$X,'AUX-NIV1'!AV$3,FALSE),0)</f>
        <v>0</v>
      </c>
    </row>
    <row r="664" spans="2:48" ht="14.4" hidden="1" thickTop="1" thickBot="1">
      <c r="B664" s="501" t="s">
        <v>3771</v>
      </c>
      <c r="C664" s="951" t="s">
        <v>3777</v>
      </c>
      <c r="D664" s="1280" t="s">
        <v>501</v>
      </c>
      <c r="E664" s="1281">
        <f>IF(B664&lt;&gt;"",+SUMIF(Items!C:C,'AUX-NIV1'!B664,Items!H:H),"")</f>
        <v>0</v>
      </c>
      <c r="F664" s="1281">
        <f t="shared" si="659"/>
        <v>2729.8091881899136</v>
      </c>
      <c r="G664" s="1281">
        <f t="shared" si="660"/>
        <v>0</v>
      </c>
      <c r="H664" s="1395" t="str">
        <f t="shared" ref="H664:H670" si="700">IF(B664&lt;&gt;"",+LEFT(I664,1),"")</f>
        <v>A</v>
      </c>
      <c r="I664" s="1375" t="s">
        <v>1745</v>
      </c>
      <c r="J664" s="1283" t="str">
        <f>IF(B664&lt;&gt;"",+VLOOKUP(I664,Recursos!C:F,2,FALSE),"")</f>
        <v>AYUDANTE</v>
      </c>
      <c r="K664" s="1284" t="str">
        <f>IF(B664&lt;&gt;"",+VLOOKUP(I664,Recursos!C:F,3,FALSE),"")</f>
        <v>hh</v>
      </c>
      <c r="L664" s="1285">
        <f>IF(B664&lt;&gt;"",+VLOOKUP(I664,Recursos!C:F,4,FALSE),"")</f>
        <v>422.48042769667234</v>
      </c>
      <c r="M664" s="989">
        <v>2</v>
      </c>
      <c r="N664" s="1292">
        <v>1</v>
      </c>
      <c r="O664" s="1286">
        <f>N664/M664</f>
        <v>0.5</v>
      </c>
      <c r="P664" s="1287">
        <f t="shared" ref="P664:P670" si="701">IF(B664&lt;&gt;"",O664*L664,"")</f>
        <v>211.24021384833617</v>
      </c>
      <c r="Q664" s="1281">
        <f t="shared" ref="Q664:Q670" si="702">IF(B664&lt;&gt;"",+O664*E664,"")</f>
        <v>0</v>
      </c>
      <c r="R664" s="1288">
        <f t="shared" ref="R664:R670" si="703">IF(B664&lt;&gt;"",Q664*L664,"")</f>
        <v>0</v>
      </c>
      <c r="S664" s="1289">
        <f t="shared" si="661"/>
        <v>583.92717964290478</v>
      </c>
      <c r="T664" s="1289">
        <f t="shared" si="662"/>
        <v>0</v>
      </c>
      <c r="U664" s="1290">
        <f t="shared" si="663"/>
        <v>2145.8820085470084</v>
      </c>
      <c r="V664" s="1290">
        <f t="shared" si="664"/>
        <v>0</v>
      </c>
      <c r="W664" s="1290">
        <f t="shared" si="665"/>
        <v>0</v>
      </c>
      <c r="X664" s="1290">
        <f t="shared" si="666"/>
        <v>0</v>
      </c>
      <c r="Y664" s="396"/>
      <c r="Z664" s="1291" t="str">
        <f t="shared" ref="Z664:Z670" si="704">IF(B664&lt;&gt;"",+$B664&amp;"A","")</f>
        <v>0-CIELO03A</v>
      </c>
      <c r="AA664" s="1291" t="str">
        <f t="shared" ref="AA664:AA670" si="705">IF(B664&lt;&gt;"",+$B664&amp;"E","")</f>
        <v>0-CIELO03E</v>
      </c>
      <c r="AB664" s="1291" t="str">
        <f t="shared" ref="AB664:AB670" si="706">IF(B664&lt;&gt;"",++$B664&amp;"M","")</f>
        <v>0-CIELO03M</v>
      </c>
      <c r="AC664" s="1291" t="str">
        <f t="shared" ref="AC664:AC670" si="707">IF(B664&lt;&gt;"",+$B664&amp;"T","")</f>
        <v>0-CIELO03T</v>
      </c>
      <c r="AD664" s="1291" t="str">
        <f t="shared" ref="AD664:AD670" si="708">IF(B664&lt;&gt;"",+$B664&amp;"S","")</f>
        <v>0-CIELO03S</v>
      </c>
      <c r="AE664" s="1291" t="str">
        <f t="shared" ref="AE664:AE670" si="709">IF(B664&lt;&gt;"",+$B664&amp;"X","")</f>
        <v>0-CIELO03X</v>
      </c>
      <c r="AF664" s="1291" t="str">
        <f t="shared" ref="AF664:AF670" si="710">IF(B664&lt;&gt;"",+B664&amp;H664,"")</f>
        <v>0-CIELO03A</v>
      </c>
      <c r="AG664" s="1291">
        <f t="shared" si="667"/>
        <v>8</v>
      </c>
      <c r="AH664" s="1291">
        <f>IF(B664&lt;&gt;"",+IF(H664="x",+VLOOKUP(I664,'AUX-NIV2'!B:AG,32,FALSE),0),"")</f>
        <v>0</v>
      </c>
      <c r="AI664" s="1291" t="str">
        <f t="shared" ref="AI664:AI670" si="711">IF(B664&lt;&gt;"",+B664,"")</f>
        <v>0-CIELO03</v>
      </c>
      <c r="AK664" s="347">
        <f t="shared" si="668"/>
        <v>664</v>
      </c>
      <c r="AL664" s="348">
        <f t="shared" ref="AL664:AL670" si="712">IF(B664&lt;&gt;"",+AK664+AG664-1,"")</f>
        <v>671</v>
      </c>
      <c r="AM664" s="347">
        <f>IF(B664&lt;&gt;"",IF(B664=B653,1+AM653,1),"")</f>
        <v>1</v>
      </c>
      <c r="AN664" s="382">
        <f>IF(AND(AH664&gt;0,B664&lt;&gt;""),VLOOKUP(I664,'AUX-NIV2'!$B:$AP,40,FALSE)*O664,0)</f>
        <v>0</v>
      </c>
      <c r="AO664" s="382">
        <f t="shared" si="669"/>
        <v>1.25</v>
      </c>
      <c r="AQ664" s="395">
        <f>(IF($H664="x",VLOOKUP($I664,'AUX-NIV2'!$B:$X,'AUX-NIV1'!AQ$3,FALSE),0)+($AV664*'AUX-NIV3'!S$4))*$O664+IF($H664=AQ$4,$P664,0)</f>
        <v>211.24021384833617</v>
      </c>
      <c r="AR664" s="395">
        <f>(IF($H664="x",VLOOKUP($I664,'AUX-NIV2'!$B:$X,'AUX-NIV1'!AR$3,FALSE),0)+($AV664*'AUX-NIV3'!T$4))*$O664+IF($H664=AR$4,$P664,0)</f>
        <v>0</v>
      </c>
      <c r="AS664" s="395">
        <f>(IF($H664="x",VLOOKUP($I664,'AUX-NIV2'!$B:$X,'AUX-NIV1'!AS$3,FALSE),0)+($AV664*'AUX-NIV3'!U$4))*$O664+IF($H664=AS$4,$P664,0)</f>
        <v>0</v>
      </c>
      <c r="AT664" s="395">
        <f>(IF($H664="x",VLOOKUP($I664,'AUX-NIV2'!$B:$X,'AUX-NIV1'!AT$3,FALSE),0)+($AV664*'AUX-NIV3'!V$4))*$O664+IF($H664=AT$4,$P664,0)</f>
        <v>0</v>
      </c>
      <c r="AU664" s="395">
        <f>(IF($H664="x",VLOOKUP($I664,'AUX-NIV2'!$B:$X,'AUX-NIV1'!AU$3,FALSE),0)+($AV664*'AUX-NIV3'!W$4))*$O664+IF($H664=AU$4,$P664,0)</f>
        <v>0</v>
      </c>
      <c r="AV664" s="395">
        <f>+IF($H664="x",VLOOKUP($I664,'AUX-NIV2'!$B:$X,'AUX-NIV1'!AV$3,FALSE),0)</f>
        <v>0</v>
      </c>
    </row>
    <row r="665" spans="2:48" ht="14.4" hidden="1" thickTop="1" thickBot="1">
      <c r="B665" s="501" t="s">
        <v>3771</v>
      </c>
      <c r="C665" s="951" t="s">
        <v>3777</v>
      </c>
      <c r="D665" s="1280" t="s">
        <v>501</v>
      </c>
      <c r="E665" s="1281">
        <f>IF(B665&lt;&gt;"",+SUMIF(Items!C:C,'AUX-NIV1'!B665,Items!H:H),"")</f>
        <v>0</v>
      </c>
      <c r="F665" s="1281">
        <f t="shared" si="659"/>
        <v>2729.8091881899136</v>
      </c>
      <c r="G665" s="1281">
        <f t="shared" si="660"/>
        <v>0</v>
      </c>
      <c r="H665" s="1395" t="str">
        <f t="shared" si="700"/>
        <v>A</v>
      </c>
      <c r="I665" s="1375" t="s">
        <v>1746</v>
      </c>
      <c r="J665" s="1283" t="str">
        <f>IF(B665&lt;&gt;"",+VLOOKUP(I665,Recursos!C:F,2,FALSE),"")</f>
        <v>OFICIAL</v>
      </c>
      <c r="K665" s="1284" t="str">
        <f>IF(B665&lt;&gt;"",+VLOOKUP(I665,Recursos!C:F,3,FALSE),"")</f>
        <v>hh</v>
      </c>
      <c r="L665" s="1285">
        <f>IF(B665&lt;&gt;"",+VLOOKUP(I665,Recursos!C:F,4,FALSE),"")</f>
        <v>496.91595439275824</v>
      </c>
      <c r="M665" s="1351"/>
      <c r="N665" s="1329">
        <v>1.5</v>
      </c>
      <c r="O665" s="1286">
        <f>N665/M664</f>
        <v>0.75</v>
      </c>
      <c r="P665" s="1287">
        <f t="shared" si="701"/>
        <v>372.68696579456866</v>
      </c>
      <c r="Q665" s="1281">
        <f t="shared" si="702"/>
        <v>0</v>
      </c>
      <c r="R665" s="1288">
        <f t="shared" si="703"/>
        <v>0</v>
      </c>
      <c r="S665" s="1289">
        <f t="shared" si="661"/>
        <v>583.92717964290478</v>
      </c>
      <c r="T665" s="1289">
        <f t="shared" si="662"/>
        <v>0</v>
      </c>
      <c r="U665" s="1290">
        <f t="shared" si="663"/>
        <v>2145.8820085470084</v>
      </c>
      <c r="V665" s="1290">
        <f t="shared" si="664"/>
        <v>0</v>
      </c>
      <c r="W665" s="1290">
        <f t="shared" si="665"/>
        <v>0</v>
      </c>
      <c r="X665" s="1290">
        <f t="shared" si="666"/>
        <v>0</v>
      </c>
      <c r="Y665" s="396"/>
      <c r="Z665" s="1291" t="str">
        <f t="shared" si="704"/>
        <v>0-CIELO03A</v>
      </c>
      <c r="AA665" s="1291" t="str">
        <f t="shared" si="705"/>
        <v>0-CIELO03E</v>
      </c>
      <c r="AB665" s="1291" t="str">
        <f t="shared" si="706"/>
        <v>0-CIELO03M</v>
      </c>
      <c r="AC665" s="1291" t="str">
        <f t="shared" si="707"/>
        <v>0-CIELO03T</v>
      </c>
      <c r="AD665" s="1291" t="str">
        <f t="shared" si="708"/>
        <v>0-CIELO03S</v>
      </c>
      <c r="AE665" s="1291" t="str">
        <f t="shared" si="709"/>
        <v>0-CIELO03X</v>
      </c>
      <c r="AF665" s="1291" t="str">
        <f t="shared" si="710"/>
        <v>0-CIELO03A</v>
      </c>
      <c r="AG665" s="1291">
        <f t="shared" si="667"/>
        <v>8</v>
      </c>
      <c r="AH665" s="1291">
        <f>IF(B665&lt;&gt;"",+IF(H665="x",+VLOOKUP(I665,'AUX-NIV2'!B:AG,32,FALSE),0),"")</f>
        <v>0</v>
      </c>
      <c r="AI665" s="1291" t="str">
        <f t="shared" si="711"/>
        <v>0-CIELO03</v>
      </c>
      <c r="AK665" s="347">
        <f t="shared" si="668"/>
        <v>664</v>
      </c>
      <c r="AL665" s="348">
        <f t="shared" si="712"/>
        <v>671</v>
      </c>
      <c r="AM665" s="347">
        <f t="shared" ref="AM665:AM670" si="713">IF(B665&lt;&gt;"",IF(B665=B664,1+AM664,1),"")</f>
        <v>2</v>
      </c>
      <c r="AN665" s="382">
        <f>IF(AND(AH665&gt;0,B665&lt;&gt;""),VLOOKUP(I665,'AUX-NIV2'!$B:$AP,40,FALSE)*O665,0)</f>
        <v>0</v>
      </c>
      <c r="AO665" s="382">
        <f t="shared" si="669"/>
        <v>1.25</v>
      </c>
      <c r="AQ665" s="395">
        <f>(IF($H665="x",VLOOKUP($I665,'AUX-NIV2'!$B:$X,'AUX-NIV1'!AQ$3,FALSE),0)+($AV665*'AUX-NIV3'!S$4))*$O665+IF($H665=AQ$4,$P665,0)</f>
        <v>372.68696579456866</v>
      </c>
      <c r="AR665" s="395">
        <f>(IF($H665="x",VLOOKUP($I665,'AUX-NIV2'!$B:$X,'AUX-NIV1'!AR$3,FALSE),0)+($AV665*'AUX-NIV3'!T$4))*$O665+IF($H665=AR$4,$P665,0)</f>
        <v>0</v>
      </c>
      <c r="AS665" s="395">
        <f>(IF($H665="x",VLOOKUP($I665,'AUX-NIV2'!$B:$X,'AUX-NIV1'!AS$3,FALSE),0)+($AV665*'AUX-NIV3'!U$4))*$O665+IF($H665=AS$4,$P665,0)</f>
        <v>0</v>
      </c>
      <c r="AT665" s="395">
        <f>(IF($H665="x",VLOOKUP($I665,'AUX-NIV2'!$B:$X,'AUX-NIV1'!AT$3,FALSE),0)+($AV665*'AUX-NIV3'!V$4))*$O665+IF($H665=AT$4,$P665,0)</f>
        <v>0</v>
      </c>
      <c r="AU665" s="395">
        <f>(IF($H665="x",VLOOKUP($I665,'AUX-NIV2'!$B:$X,'AUX-NIV1'!AU$3,FALSE),0)+($AV665*'AUX-NIV3'!W$4))*$O665+IF($H665=AU$4,$P665,0)</f>
        <v>0</v>
      </c>
      <c r="AV665" s="395">
        <f>+IF($H665="x",VLOOKUP($I665,'AUX-NIV2'!$B:$X,'AUX-NIV1'!AV$3,FALSE),0)</f>
        <v>0</v>
      </c>
    </row>
    <row r="666" spans="2:48" ht="14.4" hidden="1" thickTop="1" thickBot="1">
      <c r="B666" s="501" t="s">
        <v>3771</v>
      </c>
      <c r="C666" s="951" t="s">
        <v>3777</v>
      </c>
      <c r="D666" s="1280" t="s">
        <v>501</v>
      </c>
      <c r="E666" s="1281">
        <f>IF(B666&lt;&gt;"",+SUMIF(Items!C:C,'AUX-NIV1'!B666,Items!H:H),"")</f>
        <v>0</v>
      </c>
      <c r="F666" s="1281">
        <f t="shared" si="659"/>
        <v>2729.8091881899136</v>
      </c>
      <c r="G666" s="1281">
        <f t="shared" si="660"/>
        <v>0</v>
      </c>
      <c r="H666" s="1395" t="str">
        <f t="shared" si="700"/>
        <v>M</v>
      </c>
      <c r="I666" s="1375" t="s">
        <v>3778</v>
      </c>
      <c r="J666" s="1283" t="str">
        <f>IF(B666&lt;&gt;"",+VLOOKUP(I666,Recursos!C:F,2,FALSE),"")</f>
        <v>PLACA CEMENTICIA 8mm 1,2m x 2,4m</v>
      </c>
      <c r="K666" s="1284" t="str">
        <f>IF(B666&lt;&gt;"",+VLOOKUP(I666,Recursos!C:F,3,FALSE),"")</f>
        <v>m2</v>
      </c>
      <c r="L666" s="1285">
        <f>IF(B666&lt;&gt;"",+VLOOKUP(I666,Recursos!C:F,4,FALSE),"")</f>
        <v>798.6111111111112</v>
      </c>
      <c r="M666" s="1351"/>
      <c r="N666" s="1329">
        <v>1.1499999999999999</v>
      </c>
      <c r="O666" s="1286">
        <f>N666</f>
        <v>1.1499999999999999</v>
      </c>
      <c r="P666" s="1287">
        <f t="shared" si="701"/>
        <v>918.40277777777783</v>
      </c>
      <c r="Q666" s="1281">
        <f t="shared" si="702"/>
        <v>0</v>
      </c>
      <c r="R666" s="1288">
        <f t="shared" si="703"/>
        <v>0</v>
      </c>
      <c r="S666" s="1289">
        <f t="shared" si="661"/>
        <v>583.92717964290478</v>
      </c>
      <c r="T666" s="1289">
        <f t="shared" si="662"/>
        <v>0</v>
      </c>
      <c r="U666" s="1290">
        <f t="shared" si="663"/>
        <v>2145.8820085470084</v>
      </c>
      <c r="V666" s="1290">
        <f t="shared" si="664"/>
        <v>0</v>
      </c>
      <c r="W666" s="1290">
        <f t="shared" si="665"/>
        <v>0</v>
      </c>
      <c r="X666" s="1290">
        <f t="shared" si="666"/>
        <v>0</v>
      </c>
      <c r="Y666" s="396"/>
      <c r="Z666" s="1291" t="str">
        <f t="shared" si="704"/>
        <v>0-CIELO03A</v>
      </c>
      <c r="AA666" s="1291" t="str">
        <f t="shared" si="705"/>
        <v>0-CIELO03E</v>
      </c>
      <c r="AB666" s="1291" t="str">
        <f t="shared" si="706"/>
        <v>0-CIELO03M</v>
      </c>
      <c r="AC666" s="1291" t="str">
        <f t="shared" si="707"/>
        <v>0-CIELO03T</v>
      </c>
      <c r="AD666" s="1291" t="str">
        <f t="shared" si="708"/>
        <v>0-CIELO03S</v>
      </c>
      <c r="AE666" s="1291" t="str">
        <f t="shared" si="709"/>
        <v>0-CIELO03X</v>
      </c>
      <c r="AF666" s="1291" t="str">
        <f t="shared" si="710"/>
        <v>0-CIELO03M</v>
      </c>
      <c r="AG666" s="1291">
        <f t="shared" si="667"/>
        <v>8</v>
      </c>
      <c r="AH666" s="1291">
        <f>IF(B666&lt;&gt;"",+IF(H666="x",+VLOOKUP(I666,'AUX-NIV2'!B:AG,32,FALSE),0),"")</f>
        <v>0</v>
      </c>
      <c r="AI666" s="1291" t="str">
        <f t="shared" si="711"/>
        <v>0-CIELO03</v>
      </c>
      <c r="AK666" s="347">
        <f t="shared" si="668"/>
        <v>664</v>
      </c>
      <c r="AL666" s="348">
        <f t="shared" si="712"/>
        <v>671</v>
      </c>
      <c r="AM666" s="347">
        <f t="shared" si="713"/>
        <v>3</v>
      </c>
      <c r="AN666" s="382">
        <f>IF(AND(AH666&gt;0,B666&lt;&gt;""),VLOOKUP(I666,'AUX-NIV2'!$B:$AP,40,FALSE)*O666,0)</f>
        <v>0</v>
      </c>
      <c r="AO666" s="382">
        <f t="shared" si="669"/>
        <v>1.25</v>
      </c>
      <c r="AQ666" s="395">
        <f>(IF($H666="x",VLOOKUP($I666,'AUX-NIV2'!$B:$X,'AUX-NIV1'!AQ$3,FALSE),0)+($AV666*'AUX-NIV3'!S$4))*$O666+IF($H666=AQ$4,$P666,0)</f>
        <v>0</v>
      </c>
      <c r="AR666" s="395">
        <f>(IF($H666="x",VLOOKUP($I666,'AUX-NIV2'!$B:$X,'AUX-NIV1'!AR$3,FALSE),0)+($AV666*'AUX-NIV3'!T$4))*$O666+IF($H666=AR$4,$P666,0)</f>
        <v>0</v>
      </c>
      <c r="AS666" s="395">
        <f>(IF($H666="x",VLOOKUP($I666,'AUX-NIV2'!$B:$X,'AUX-NIV1'!AS$3,FALSE),0)+($AV666*'AUX-NIV3'!U$4))*$O666+IF($H666=AS$4,$P666,0)</f>
        <v>918.40277777777783</v>
      </c>
      <c r="AT666" s="395">
        <f>(IF($H666="x",VLOOKUP($I666,'AUX-NIV2'!$B:$X,'AUX-NIV1'!AT$3,FALSE),0)+($AV666*'AUX-NIV3'!V$4))*$O666+IF($H666=AT$4,$P666,0)</f>
        <v>0</v>
      </c>
      <c r="AU666" s="395">
        <f>(IF($H666="x",VLOOKUP($I666,'AUX-NIV2'!$B:$X,'AUX-NIV1'!AU$3,FALSE),0)+($AV666*'AUX-NIV3'!W$4))*$O666+IF($H666=AU$4,$P666,0)</f>
        <v>0</v>
      </c>
      <c r="AV666" s="395">
        <f>+IF($H666="x",VLOOKUP($I666,'AUX-NIV2'!$B:$X,'AUX-NIV1'!AV$3,FALSE),0)</f>
        <v>0</v>
      </c>
    </row>
    <row r="667" spans="2:48" ht="14.4" hidden="1" thickTop="1" thickBot="1">
      <c r="B667" s="501" t="s">
        <v>3771</v>
      </c>
      <c r="C667" s="951" t="s">
        <v>3777</v>
      </c>
      <c r="D667" s="1280" t="s">
        <v>501</v>
      </c>
      <c r="E667" s="1281">
        <f>IF(B667&lt;&gt;"",+SUMIF(Items!C:C,'AUX-NIV1'!B667,Items!H:H),"")</f>
        <v>0</v>
      </c>
      <c r="F667" s="1281">
        <f t="shared" si="659"/>
        <v>2729.8091881899136</v>
      </c>
      <c r="G667" s="1281">
        <f t="shared" si="660"/>
        <v>0</v>
      </c>
      <c r="H667" s="1395" t="str">
        <f t="shared" si="700"/>
        <v>M</v>
      </c>
      <c r="I667" s="1375" t="s">
        <v>3719</v>
      </c>
      <c r="J667" s="1283" t="str">
        <f>IF(B667&lt;&gt;"",+VLOOKUP(I667,Recursos!C:F,2,FALSE),"")</f>
        <v>PERFILES DE CHAPA GALVANIZADA (2,6m) p/TABUIQUES</v>
      </c>
      <c r="K667" s="1284" t="str">
        <f>IF(B667&lt;&gt;"",+VLOOKUP(I667,Recursos!C:F,3,FALSE),"")</f>
        <v>m</v>
      </c>
      <c r="L667" s="1285">
        <f>IF(B667&lt;&gt;"",+VLOOKUP(I667,Recursos!C:F,4,FALSE),"")</f>
        <v>173.07692307692307</v>
      </c>
      <c r="M667" s="1328">
        <v>4</v>
      </c>
      <c r="N667" s="1329">
        <v>1.2</v>
      </c>
      <c r="O667" s="1286">
        <f>N667*M667</f>
        <v>4.8</v>
      </c>
      <c r="P667" s="1287">
        <f t="shared" si="701"/>
        <v>830.76923076923072</v>
      </c>
      <c r="Q667" s="1281">
        <f t="shared" si="702"/>
        <v>0</v>
      </c>
      <c r="R667" s="1288">
        <f t="shared" si="703"/>
        <v>0</v>
      </c>
      <c r="S667" s="1289">
        <f t="shared" si="661"/>
        <v>583.92717964290478</v>
      </c>
      <c r="T667" s="1289">
        <f t="shared" si="662"/>
        <v>0</v>
      </c>
      <c r="U667" s="1290">
        <f t="shared" si="663"/>
        <v>2145.8820085470084</v>
      </c>
      <c r="V667" s="1290">
        <f t="shared" si="664"/>
        <v>0</v>
      </c>
      <c r="W667" s="1290">
        <f t="shared" si="665"/>
        <v>0</v>
      </c>
      <c r="X667" s="1290">
        <f t="shared" si="666"/>
        <v>0</v>
      </c>
      <c r="Y667" s="396"/>
      <c r="Z667" s="1291" t="str">
        <f t="shared" si="704"/>
        <v>0-CIELO03A</v>
      </c>
      <c r="AA667" s="1291" t="str">
        <f t="shared" si="705"/>
        <v>0-CIELO03E</v>
      </c>
      <c r="AB667" s="1291" t="str">
        <f t="shared" si="706"/>
        <v>0-CIELO03M</v>
      </c>
      <c r="AC667" s="1291" t="str">
        <f t="shared" si="707"/>
        <v>0-CIELO03T</v>
      </c>
      <c r="AD667" s="1291" t="str">
        <f t="shared" si="708"/>
        <v>0-CIELO03S</v>
      </c>
      <c r="AE667" s="1291" t="str">
        <f t="shared" si="709"/>
        <v>0-CIELO03X</v>
      </c>
      <c r="AF667" s="1291" t="str">
        <f t="shared" si="710"/>
        <v>0-CIELO03M</v>
      </c>
      <c r="AG667" s="1291">
        <f t="shared" si="667"/>
        <v>8</v>
      </c>
      <c r="AH667" s="1291">
        <f>IF(B667&lt;&gt;"",+IF(H667="x",+VLOOKUP(I667,'AUX-NIV2'!B:AG,32,FALSE),0),"")</f>
        <v>0</v>
      </c>
      <c r="AI667" s="1291" t="str">
        <f t="shared" si="711"/>
        <v>0-CIELO03</v>
      </c>
      <c r="AK667" s="347">
        <f t="shared" si="668"/>
        <v>664</v>
      </c>
      <c r="AL667" s="348">
        <f t="shared" si="712"/>
        <v>671</v>
      </c>
      <c r="AM667" s="347">
        <f t="shared" si="713"/>
        <v>4</v>
      </c>
      <c r="AN667" s="382">
        <f>IF(AND(AH667&gt;0,B667&lt;&gt;""),VLOOKUP(I667,'AUX-NIV2'!$B:$AP,40,FALSE)*O667,0)</f>
        <v>0</v>
      </c>
      <c r="AO667" s="382">
        <f t="shared" si="669"/>
        <v>1.25</v>
      </c>
      <c r="AQ667" s="395">
        <f>(IF($H667="x",VLOOKUP($I667,'AUX-NIV2'!$B:$X,'AUX-NIV1'!AQ$3,FALSE),0)+($AV667*'AUX-NIV3'!S$4))*$O667+IF($H667=AQ$4,$P667,0)</f>
        <v>0</v>
      </c>
      <c r="AR667" s="395">
        <f>(IF($H667="x",VLOOKUP($I667,'AUX-NIV2'!$B:$X,'AUX-NIV1'!AR$3,FALSE),0)+($AV667*'AUX-NIV3'!T$4))*$O667+IF($H667=AR$4,$P667,0)</f>
        <v>0</v>
      </c>
      <c r="AS667" s="395">
        <f>(IF($H667="x",VLOOKUP($I667,'AUX-NIV2'!$B:$X,'AUX-NIV1'!AS$3,FALSE),0)+($AV667*'AUX-NIV3'!U$4))*$O667+IF($H667=AS$4,$P667,0)</f>
        <v>830.76923076923072</v>
      </c>
      <c r="AT667" s="395">
        <f>(IF($H667="x",VLOOKUP($I667,'AUX-NIV2'!$B:$X,'AUX-NIV1'!AT$3,FALSE),0)+($AV667*'AUX-NIV3'!V$4))*$O667+IF($H667=AT$4,$P667,0)</f>
        <v>0</v>
      </c>
      <c r="AU667" s="395">
        <f>(IF($H667="x",VLOOKUP($I667,'AUX-NIV2'!$B:$X,'AUX-NIV1'!AU$3,FALSE),0)+($AV667*'AUX-NIV3'!W$4))*$O667+IF($H667=AU$4,$P667,0)</f>
        <v>0</v>
      </c>
      <c r="AV667" s="395">
        <f>+IF($H667="x",VLOOKUP($I667,'AUX-NIV2'!$B:$X,'AUX-NIV1'!AV$3,FALSE),0)</f>
        <v>0</v>
      </c>
    </row>
    <row r="668" spans="2:48" ht="14.4" hidden="1" thickTop="1" thickBot="1">
      <c r="B668" s="501" t="s">
        <v>3771</v>
      </c>
      <c r="C668" s="951" t="s">
        <v>3777</v>
      </c>
      <c r="D668" s="1280" t="s">
        <v>501</v>
      </c>
      <c r="E668" s="1281">
        <f>IF(B668&lt;&gt;"",+SUMIF(Items!C:C,'AUX-NIV1'!B668,Items!H:H),"")</f>
        <v>0</v>
      </c>
      <c r="F668" s="1281">
        <f t="shared" si="659"/>
        <v>2729.8091881899136</v>
      </c>
      <c r="G668" s="1281">
        <f t="shared" si="660"/>
        <v>0</v>
      </c>
      <c r="H668" s="1395" t="str">
        <f t="shared" si="700"/>
        <v>M</v>
      </c>
      <c r="I668" s="1375" t="s">
        <v>3720</v>
      </c>
      <c r="J668" s="1283" t="str">
        <f>IF(B668&lt;&gt;"",+VLOOKUP(I668,Recursos!C:F,2,FALSE),"")</f>
        <v>FIJACIONES</v>
      </c>
      <c r="K668" s="1284" t="str">
        <f>IF(B668&lt;&gt;"",+VLOOKUP(I668,Recursos!C:F,3,FALSE),"")</f>
        <v>UN</v>
      </c>
      <c r="L668" s="1285">
        <f>IF(B668&lt;&gt;"",+VLOOKUP(I668,Recursos!C:F,4,FALSE),"")</f>
        <v>5</v>
      </c>
      <c r="M668" s="1328">
        <v>40</v>
      </c>
      <c r="N668" s="1329">
        <v>1.05</v>
      </c>
      <c r="O668" s="1286">
        <f>N668*M668</f>
        <v>42</v>
      </c>
      <c r="P668" s="1287">
        <f t="shared" si="701"/>
        <v>210</v>
      </c>
      <c r="Q668" s="1281">
        <f t="shared" si="702"/>
        <v>0</v>
      </c>
      <c r="R668" s="1288">
        <f t="shared" si="703"/>
        <v>0</v>
      </c>
      <c r="S668" s="1289">
        <f t="shared" si="661"/>
        <v>583.92717964290478</v>
      </c>
      <c r="T668" s="1289">
        <f t="shared" si="662"/>
        <v>0</v>
      </c>
      <c r="U668" s="1290">
        <f t="shared" si="663"/>
        <v>2145.8820085470084</v>
      </c>
      <c r="V668" s="1290">
        <f t="shared" si="664"/>
        <v>0</v>
      </c>
      <c r="W668" s="1290">
        <f t="shared" si="665"/>
        <v>0</v>
      </c>
      <c r="X668" s="1290">
        <f t="shared" si="666"/>
        <v>0</v>
      </c>
      <c r="Y668" s="396"/>
      <c r="Z668" s="1291" t="str">
        <f t="shared" si="704"/>
        <v>0-CIELO03A</v>
      </c>
      <c r="AA668" s="1291" t="str">
        <f t="shared" si="705"/>
        <v>0-CIELO03E</v>
      </c>
      <c r="AB668" s="1291" t="str">
        <f t="shared" si="706"/>
        <v>0-CIELO03M</v>
      </c>
      <c r="AC668" s="1291" t="str">
        <f t="shared" si="707"/>
        <v>0-CIELO03T</v>
      </c>
      <c r="AD668" s="1291" t="str">
        <f t="shared" si="708"/>
        <v>0-CIELO03S</v>
      </c>
      <c r="AE668" s="1291" t="str">
        <f t="shared" si="709"/>
        <v>0-CIELO03X</v>
      </c>
      <c r="AF668" s="1291" t="str">
        <f t="shared" si="710"/>
        <v>0-CIELO03M</v>
      </c>
      <c r="AG668" s="1291">
        <f t="shared" si="667"/>
        <v>8</v>
      </c>
      <c r="AH668" s="1291">
        <f>IF(B668&lt;&gt;"",+IF(H668="x",+VLOOKUP(I668,'AUX-NIV2'!B:AG,32,FALSE),0),"")</f>
        <v>0</v>
      </c>
      <c r="AI668" s="1291" t="str">
        <f t="shared" si="711"/>
        <v>0-CIELO03</v>
      </c>
      <c r="AK668" s="347">
        <f t="shared" si="668"/>
        <v>664</v>
      </c>
      <c r="AL668" s="348">
        <f t="shared" si="712"/>
        <v>671</v>
      </c>
      <c r="AM668" s="347">
        <f t="shared" si="713"/>
        <v>5</v>
      </c>
      <c r="AN668" s="382">
        <f>IF(AND(AH668&gt;0,B668&lt;&gt;""),VLOOKUP(I668,'AUX-NIV2'!$B:$AP,40,FALSE)*O668,0)</f>
        <v>0</v>
      </c>
      <c r="AO668" s="382">
        <f t="shared" si="669"/>
        <v>1.25</v>
      </c>
      <c r="AQ668" s="395">
        <f>(IF($H668="x",VLOOKUP($I668,'AUX-NIV2'!$B:$X,'AUX-NIV1'!AQ$3,FALSE),0)+($AV668*'AUX-NIV3'!S$4))*$O668+IF($H668=AQ$4,$P668,0)</f>
        <v>0</v>
      </c>
      <c r="AR668" s="395">
        <f>(IF($H668="x",VLOOKUP($I668,'AUX-NIV2'!$B:$X,'AUX-NIV1'!AR$3,FALSE),0)+($AV668*'AUX-NIV3'!T$4))*$O668+IF($H668=AR$4,$P668,0)</f>
        <v>0</v>
      </c>
      <c r="AS668" s="395">
        <f>(IF($H668="x",VLOOKUP($I668,'AUX-NIV2'!$B:$X,'AUX-NIV1'!AS$3,FALSE),0)+($AV668*'AUX-NIV3'!U$4))*$O668+IF($H668=AS$4,$P668,0)</f>
        <v>210</v>
      </c>
      <c r="AT668" s="395">
        <f>(IF($H668="x",VLOOKUP($I668,'AUX-NIV2'!$B:$X,'AUX-NIV1'!AT$3,FALSE),0)+($AV668*'AUX-NIV3'!V$4))*$O668+IF($H668=AT$4,$P668,0)</f>
        <v>0</v>
      </c>
      <c r="AU668" s="395">
        <f>(IF($H668="x",VLOOKUP($I668,'AUX-NIV2'!$B:$X,'AUX-NIV1'!AU$3,FALSE),0)+($AV668*'AUX-NIV3'!W$4))*$O668+IF($H668=AU$4,$P668,0)</f>
        <v>0</v>
      </c>
      <c r="AV668" s="395">
        <f>+IF($H668="x",VLOOKUP($I668,'AUX-NIV2'!$B:$X,'AUX-NIV1'!AV$3,FALSE),0)</f>
        <v>0</v>
      </c>
    </row>
    <row r="669" spans="2:48" ht="14.4" hidden="1" thickTop="1" thickBot="1">
      <c r="B669" s="501" t="s">
        <v>3771</v>
      </c>
      <c r="C669" s="951" t="s">
        <v>3777</v>
      </c>
      <c r="D669" s="1280" t="s">
        <v>501</v>
      </c>
      <c r="E669" s="1281">
        <f>IF(B669&lt;&gt;"",+SUMIF(Items!C:C,'AUX-NIV1'!B669,Items!H:H),"")</f>
        <v>0</v>
      </c>
      <c r="F669" s="1281">
        <f t="shared" si="659"/>
        <v>2729.8091881899136</v>
      </c>
      <c r="G669" s="1281">
        <f t="shared" si="660"/>
        <v>0</v>
      </c>
      <c r="H669" s="1395" t="str">
        <f t="shared" si="700"/>
        <v>M</v>
      </c>
      <c r="I669" s="1375" t="s">
        <v>3781</v>
      </c>
      <c r="J669" s="1283" t="str">
        <f>IF(B669&lt;&gt;"",+VLOOKUP(I669,Recursos!C:F,2,FALSE),"")</f>
        <v>CINTA TRAMADA SUPERBOARD</v>
      </c>
      <c r="K669" s="1284" t="str">
        <f>IF(B669&lt;&gt;"",+VLOOKUP(I669,Recursos!C:F,3,FALSE),"")</f>
        <v>UN</v>
      </c>
      <c r="L669" s="1285">
        <f>IF(B669&lt;&gt;"",+VLOOKUP(I669,Recursos!C:F,4,FALSE),"")</f>
        <v>475</v>
      </c>
      <c r="M669" s="1351"/>
      <c r="N669" s="1329">
        <v>0.05</v>
      </c>
      <c r="O669" s="1286">
        <f t="shared" ref="O669:O670" si="714">N669</f>
        <v>0.05</v>
      </c>
      <c r="P669" s="1287">
        <f t="shared" si="701"/>
        <v>23.75</v>
      </c>
      <c r="Q669" s="1281">
        <f t="shared" si="702"/>
        <v>0</v>
      </c>
      <c r="R669" s="1288">
        <f t="shared" si="703"/>
        <v>0</v>
      </c>
      <c r="S669" s="1289">
        <f t="shared" si="661"/>
        <v>583.92717964290478</v>
      </c>
      <c r="T669" s="1289">
        <f t="shared" si="662"/>
        <v>0</v>
      </c>
      <c r="U669" s="1290">
        <f t="shared" si="663"/>
        <v>2145.8820085470084</v>
      </c>
      <c r="V669" s="1290">
        <f t="shared" si="664"/>
        <v>0</v>
      </c>
      <c r="W669" s="1290">
        <f t="shared" si="665"/>
        <v>0</v>
      </c>
      <c r="X669" s="1290">
        <f t="shared" si="666"/>
        <v>0</v>
      </c>
      <c r="Y669" s="396"/>
      <c r="Z669" s="1291" t="str">
        <f t="shared" si="704"/>
        <v>0-CIELO03A</v>
      </c>
      <c r="AA669" s="1291" t="str">
        <f t="shared" si="705"/>
        <v>0-CIELO03E</v>
      </c>
      <c r="AB669" s="1291" t="str">
        <f t="shared" si="706"/>
        <v>0-CIELO03M</v>
      </c>
      <c r="AC669" s="1291" t="str">
        <f t="shared" si="707"/>
        <v>0-CIELO03T</v>
      </c>
      <c r="AD669" s="1291" t="str">
        <f t="shared" si="708"/>
        <v>0-CIELO03S</v>
      </c>
      <c r="AE669" s="1291" t="str">
        <f t="shared" si="709"/>
        <v>0-CIELO03X</v>
      </c>
      <c r="AF669" s="1291" t="str">
        <f t="shared" si="710"/>
        <v>0-CIELO03M</v>
      </c>
      <c r="AG669" s="1291">
        <f t="shared" si="667"/>
        <v>8</v>
      </c>
      <c r="AH669" s="1291">
        <f>IF(B669&lt;&gt;"",+IF(H669="x",+VLOOKUP(I669,'AUX-NIV2'!B:AG,32,FALSE),0),"")</f>
        <v>0</v>
      </c>
      <c r="AI669" s="1291" t="str">
        <f t="shared" si="711"/>
        <v>0-CIELO03</v>
      </c>
      <c r="AK669" s="347">
        <f t="shared" si="668"/>
        <v>664</v>
      </c>
      <c r="AL669" s="348">
        <f t="shared" si="712"/>
        <v>671</v>
      </c>
      <c r="AM669" s="347">
        <f t="shared" si="713"/>
        <v>6</v>
      </c>
      <c r="AN669" s="382">
        <f>IF(AND(AH669&gt;0,B669&lt;&gt;""),VLOOKUP(I669,'AUX-NIV2'!$B:$AP,40,FALSE)*O669,0)</f>
        <v>0</v>
      </c>
      <c r="AO669" s="382">
        <f t="shared" si="669"/>
        <v>1.25</v>
      </c>
      <c r="AQ669" s="395">
        <f>(IF($H669="x",VLOOKUP($I669,'AUX-NIV2'!$B:$X,'AUX-NIV1'!AQ$3,FALSE),0)+($AV669*'AUX-NIV3'!S$4))*$O669+IF($H669=AQ$4,$P669,0)</f>
        <v>0</v>
      </c>
      <c r="AR669" s="395">
        <f>(IF($H669="x",VLOOKUP($I669,'AUX-NIV2'!$B:$X,'AUX-NIV1'!AR$3,FALSE),0)+($AV669*'AUX-NIV3'!T$4))*$O669+IF($H669=AR$4,$P669,0)</f>
        <v>0</v>
      </c>
      <c r="AS669" s="395">
        <f>(IF($H669="x",VLOOKUP($I669,'AUX-NIV2'!$B:$X,'AUX-NIV1'!AS$3,FALSE),0)+($AV669*'AUX-NIV3'!U$4))*$O669+IF($H669=AS$4,$P669,0)</f>
        <v>23.75</v>
      </c>
      <c r="AT669" s="395">
        <f>(IF($H669="x",VLOOKUP($I669,'AUX-NIV2'!$B:$X,'AUX-NIV1'!AT$3,FALSE),0)+($AV669*'AUX-NIV3'!V$4))*$O669+IF($H669=AT$4,$P669,0)</f>
        <v>0</v>
      </c>
      <c r="AU669" s="395">
        <f>(IF($H669="x",VLOOKUP($I669,'AUX-NIV2'!$B:$X,'AUX-NIV1'!AU$3,FALSE),0)+($AV669*'AUX-NIV3'!W$4))*$O669+IF($H669=AU$4,$P669,0)</f>
        <v>0</v>
      </c>
      <c r="AV669" s="395">
        <f>+IF($H669="x",VLOOKUP($I669,'AUX-NIV2'!$B:$X,'AUX-NIV1'!AV$3,FALSE),0)</f>
        <v>0</v>
      </c>
    </row>
    <row r="670" spans="2:48" ht="14.4" hidden="1" thickTop="1" thickBot="1">
      <c r="B670" s="501" t="s">
        <v>3771</v>
      </c>
      <c r="C670" s="951" t="s">
        <v>3777</v>
      </c>
      <c r="D670" s="1280" t="s">
        <v>501</v>
      </c>
      <c r="E670" s="1281">
        <f>IF(B670&lt;&gt;"",+SUMIF(Items!C:C,'AUX-NIV1'!B670,Items!H:H),"")</f>
        <v>0</v>
      </c>
      <c r="F670" s="1281">
        <f t="shared" si="659"/>
        <v>2729.8091881899136</v>
      </c>
      <c r="G670" s="1281">
        <f t="shared" si="660"/>
        <v>0</v>
      </c>
      <c r="H670" s="1395" t="str">
        <f t="shared" si="700"/>
        <v>M</v>
      </c>
      <c r="I670" s="1375" t="s">
        <v>3774</v>
      </c>
      <c r="J670" s="1283" t="str">
        <f>IF(B670&lt;&gt;"",+VLOOKUP(I670,Recursos!C:F,2,FALSE),"")</f>
        <v>MASILLA DURLOCK</v>
      </c>
      <c r="K670" s="1284" t="str">
        <f>IF(B670&lt;&gt;"",+VLOOKUP(I670,Recursos!C:F,3,FALSE),"")</f>
        <v>Kg</v>
      </c>
      <c r="L670" s="1285">
        <f>IF(B670&lt;&gt;"",+VLOOKUP(I670,Recursos!C:F,4,FALSE),"")</f>
        <v>57</v>
      </c>
      <c r="M670" s="1373"/>
      <c r="N670" s="1370">
        <f>0.04*32</f>
        <v>1.28</v>
      </c>
      <c r="O670" s="1286">
        <f t="shared" si="714"/>
        <v>1.28</v>
      </c>
      <c r="P670" s="1287">
        <f t="shared" si="701"/>
        <v>72.960000000000008</v>
      </c>
      <c r="Q670" s="1281">
        <f t="shared" si="702"/>
        <v>0</v>
      </c>
      <c r="R670" s="1288">
        <f t="shared" si="703"/>
        <v>0</v>
      </c>
      <c r="S670" s="1289">
        <f t="shared" si="661"/>
        <v>583.92717964290478</v>
      </c>
      <c r="T670" s="1289">
        <f t="shared" si="662"/>
        <v>0</v>
      </c>
      <c r="U670" s="1290">
        <f t="shared" si="663"/>
        <v>2145.8820085470084</v>
      </c>
      <c r="V670" s="1290">
        <f t="shared" si="664"/>
        <v>0</v>
      </c>
      <c r="W670" s="1290">
        <f t="shared" si="665"/>
        <v>0</v>
      </c>
      <c r="X670" s="1290">
        <f t="shared" si="666"/>
        <v>0</v>
      </c>
      <c r="Y670" s="396"/>
      <c r="Z670" s="1291" t="str">
        <f t="shared" si="704"/>
        <v>0-CIELO03A</v>
      </c>
      <c r="AA670" s="1291" t="str">
        <f t="shared" si="705"/>
        <v>0-CIELO03E</v>
      </c>
      <c r="AB670" s="1291" t="str">
        <f t="shared" si="706"/>
        <v>0-CIELO03M</v>
      </c>
      <c r="AC670" s="1291" t="str">
        <f t="shared" si="707"/>
        <v>0-CIELO03T</v>
      </c>
      <c r="AD670" s="1291" t="str">
        <f t="shared" si="708"/>
        <v>0-CIELO03S</v>
      </c>
      <c r="AE670" s="1291" t="str">
        <f t="shared" si="709"/>
        <v>0-CIELO03X</v>
      </c>
      <c r="AF670" s="1291" t="str">
        <f t="shared" si="710"/>
        <v>0-CIELO03M</v>
      </c>
      <c r="AG670" s="1291">
        <f t="shared" si="667"/>
        <v>8</v>
      </c>
      <c r="AH670" s="1291">
        <f>IF(B670&lt;&gt;"",+IF(H670="x",+VLOOKUP(I670,'AUX-NIV2'!B:AG,32,FALSE),0),"")</f>
        <v>0</v>
      </c>
      <c r="AI670" s="1291" t="str">
        <f t="shared" si="711"/>
        <v>0-CIELO03</v>
      </c>
      <c r="AK670" s="347">
        <f t="shared" si="668"/>
        <v>664</v>
      </c>
      <c r="AL670" s="348">
        <f t="shared" si="712"/>
        <v>671</v>
      </c>
      <c r="AM670" s="347">
        <f t="shared" si="713"/>
        <v>7</v>
      </c>
      <c r="AN670" s="382">
        <f>IF(AND(AH670&gt;0,B670&lt;&gt;""),VLOOKUP(I670,'AUX-NIV2'!$B:$AP,40,FALSE)*O670,0)</f>
        <v>0</v>
      </c>
      <c r="AO670" s="382">
        <f t="shared" si="669"/>
        <v>1.25</v>
      </c>
      <c r="AQ670" s="395">
        <f>(IF($H670="x",VLOOKUP($I670,'AUX-NIV2'!$B:$X,'AUX-NIV1'!AQ$3,FALSE),0)+($AV670*'AUX-NIV3'!S$4))*$O670+IF($H670=AQ$4,$P670,0)</f>
        <v>0</v>
      </c>
      <c r="AR670" s="395">
        <f>(IF($H670="x",VLOOKUP($I670,'AUX-NIV2'!$B:$X,'AUX-NIV1'!AR$3,FALSE),0)+($AV670*'AUX-NIV3'!T$4))*$O670+IF($H670=AR$4,$P670,0)</f>
        <v>0</v>
      </c>
      <c r="AS670" s="395">
        <f>(IF($H670="x",VLOOKUP($I670,'AUX-NIV2'!$B:$X,'AUX-NIV1'!AS$3,FALSE),0)+($AV670*'AUX-NIV3'!U$4))*$O670+IF($H670=AS$4,$P670,0)</f>
        <v>72.960000000000008</v>
      </c>
      <c r="AT670" s="395">
        <f>(IF($H670="x",VLOOKUP($I670,'AUX-NIV2'!$B:$X,'AUX-NIV1'!AT$3,FALSE),0)+($AV670*'AUX-NIV3'!V$4))*$O670+IF($H670=AT$4,$P670,0)</f>
        <v>0</v>
      </c>
      <c r="AU670" s="395">
        <f>(IF($H670="x",VLOOKUP($I670,'AUX-NIV2'!$B:$X,'AUX-NIV1'!AU$3,FALSE),0)+($AV670*'AUX-NIV3'!W$4))*$O670+IF($H670=AU$4,$P670,0)</f>
        <v>0</v>
      </c>
      <c r="AV670" s="395">
        <f>+IF($H670="x",VLOOKUP($I670,'AUX-NIV2'!$B:$X,'AUX-NIV1'!AV$3,FALSE),0)</f>
        <v>0</v>
      </c>
    </row>
    <row r="671" spans="2:48" ht="14.4" hidden="1" thickTop="1" thickBot="1">
      <c r="B671" s="501" t="s">
        <v>3771</v>
      </c>
      <c r="C671" s="951" t="s">
        <v>3777</v>
      </c>
      <c r="D671" s="1280" t="s">
        <v>501</v>
      </c>
      <c r="E671" s="1281">
        <f>IF(B671&lt;&gt;"",+SUMIF(Items!C:C,'AUX-NIV1'!B671,Items!H:H),"")</f>
        <v>0</v>
      </c>
      <c r="F671" s="1281">
        <f t="shared" si="659"/>
        <v>2729.8091881899136</v>
      </c>
      <c r="G671" s="1281">
        <f t="shared" si="660"/>
        <v>0</v>
      </c>
      <c r="H671" s="1395" t="str">
        <f t="shared" ref="H671" si="715">IF(B671&lt;&gt;"",+LEFT(I671,1),"")</f>
        <v>M</v>
      </c>
      <c r="I671" s="1375" t="s">
        <v>621</v>
      </c>
      <c r="J671" s="1283" t="str">
        <f>IF(B671&lt;&gt;"",+VLOOKUP(I671,Recursos!C:F,2,FALSE),"")</f>
        <v>MATERIALES VARIOS</v>
      </c>
      <c r="K671" s="1284" t="str">
        <f>IF(B671&lt;&gt;"",+VLOOKUP(I671,Recursos!C:F,3,FALSE),"")</f>
        <v>GL</v>
      </c>
      <c r="L671" s="1285">
        <f>IF(B671&lt;&gt;"",+VLOOKUP(I671,Recursos!C:F,4,FALSE),"")</f>
        <v>0.5</v>
      </c>
      <c r="M671" s="1372"/>
      <c r="N671" s="1371">
        <f>1800*10%</f>
        <v>180</v>
      </c>
      <c r="O671" s="1286">
        <f t="shared" ref="O671" si="716">N671</f>
        <v>180</v>
      </c>
      <c r="P671" s="1287">
        <f t="shared" ref="P671" si="717">IF(B671&lt;&gt;"",O671*L671,"")</f>
        <v>90</v>
      </c>
      <c r="Q671" s="1281">
        <f t="shared" ref="Q671" si="718">IF(B671&lt;&gt;"",+O671*E671,"")</f>
        <v>0</v>
      </c>
      <c r="R671" s="1288">
        <f t="shared" ref="R671" si="719">IF(B671&lt;&gt;"",Q671*L671,"")</f>
        <v>0</v>
      </c>
      <c r="S671" s="1289">
        <f t="shared" si="661"/>
        <v>583.92717964290478</v>
      </c>
      <c r="T671" s="1289">
        <f t="shared" si="662"/>
        <v>0</v>
      </c>
      <c r="U671" s="1290">
        <f t="shared" si="663"/>
        <v>2145.8820085470084</v>
      </c>
      <c r="V671" s="1290">
        <f t="shared" si="664"/>
        <v>0</v>
      </c>
      <c r="W671" s="1290">
        <f t="shared" si="665"/>
        <v>0</v>
      </c>
      <c r="X671" s="1290">
        <f t="shared" si="666"/>
        <v>0</v>
      </c>
      <c r="Y671" s="396"/>
      <c r="Z671" s="1291" t="str">
        <f t="shared" ref="Z671" si="720">IF(B671&lt;&gt;"",+$B671&amp;"A","")</f>
        <v>0-CIELO03A</v>
      </c>
      <c r="AA671" s="1291" t="str">
        <f t="shared" ref="AA671" si="721">IF(B671&lt;&gt;"",+$B671&amp;"E","")</f>
        <v>0-CIELO03E</v>
      </c>
      <c r="AB671" s="1291" t="str">
        <f t="shared" ref="AB671" si="722">IF(B671&lt;&gt;"",++$B671&amp;"M","")</f>
        <v>0-CIELO03M</v>
      </c>
      <c r="AC671" s="1291" t="str">
        <f t="shared" ref="AC671" si="723">IF(B671&lt;&gt;"",+$B671&amp;"T","")</f>
        <v>0-CIELO03T</v>
      </c>
      <c r="AD671" s="1291" t="str">
        <f t="shared" ref="AD671" si="724">IF(B671&lt;&gt;"",+$B671&amp;"S","")</f>
        <v>0-CIELO03S</v>
      </c>
      <c r="AE671" s="1291" t="str">
        <f t="shared" ref="AE671" si="725">IF(B671&lt;&gt;"",+$B671&amp;"X","")</f>
        <v>0-CIELO03X</v>
      </c>
      <c r="AF671" s="1291" t="str">
        <f t="shared" ref="AF671" si="726">IF(B671&lt;&gt;"",+B671&amp;H671,"")</f>
        <v>0-CIELO03M</v>
      </c>
      <c r="AG671" s="1291">
        <f t="shared" si="667"/>
        <v>8</v>
      </c>
      <c r="AH671" s="1291">
        <f>IF(B671&lt;&gt;"",+IF(H671="x",+VLOOKUP(I671,'AUX-NIV2'!B:AG,32,FALSE),0),"")</f>
        <v>0</v>
      </c>
      <c r="AI671" s="1291" t="str">
        <f t="shared" ref="AI671" si="727">IF(B671&lt;&gt;"",+B671,"")</f>
        <v>0-CIELO03</v>
      </c>
      <c r="AK671" s="347">
        <f t="shared" si="668"/>
        <v>664</v>
      </c>
      <c r="AL671" s="348">
        <f t="shared" ref="AL671" si="728">IF(B671&lt;&gt;"",+AK671+AG671-1,"")</f>
        <v>671</v>
      </c>
      <c r="AM671" s="347">
        <f t="shared" ref="AM671" si="729">IF(B671&lt;&gt;"",IF(B671=B670,1+AM670,1),"")</f>
        <v>8</v>
      </c>
      <c r="AN671" s="382">
        <f>IF(AND(AH671&gt;0,B671&lt;&gt;""),VLOOKUP(I671,'AUX-NIV2'!$B:$AP,40,FALSE)*O671,0)</f>
        <v>0</v>
      </c>
      <c r="AO671" s="382">
        <f t="shared" si="669"/>
        <v>1.25</v>
      </c>
      <c r="AQ671" s="395">
        <f>(IF($H671="x",VLOOKUP($I671,'AUX-NIV2'!$B:$X,'AUX-NIV1'!AQ$3,FALSE),0)+($AV671*'AUX-NIV3'!S$4))*$O671+IF($H671=AQ$4,$P671,0)</f>
        <v>0</v>
      </c>
      <c r="AR671" s="395">
        <f>(IF($H671="x",VLOOKUP($I671,'AUX-NIV2'!$B:$X,'AUX-NIV1'!AR$3,FALSE),0)+($AV671*'AUX-NIV3'!T$4))*$O671+IF($H671=AR$4,$P671,0)</f>
        <v>0</v>
      </c>
      <c r="AS671" s="395">
        <f>(IF($H671="x",VLOOKUP($I671,'AUX-NIV2'!$B:$X,'AUX-NIV1'!AS$3,FALSE),0)+($AV671*'AUX-NIV3'!U$4))*$O671+IF($H671=AS$4,$P671,0)</f>
        <v>90</v>
      </c>
      <c r="AT671" s="395">
        <f>(IF($H671="x",VLOOKUP($I671,'AUX-NIV2'!$B:$X,'AUX-NIV1'!AT$3,FALSE),0)+($AV671*'AUX-NIV3'!V$4))*$O671+IF($H671=AT$4,$P671,0)</f>
        <v>0</v>
      </c>
      <c r="AU671" s="395">
        <f>(IF($H671="x",VLOOKUP($I671,'AUX-NIV2'!$B:$X,'AUX-NIV1'!AU$3,FALSE),0)+($AV671*'AUX-NIV3'!W$4))*$O671+IF($H671=AU$4,$P671,0)</f>
        <v>0</v>
      </c>
      <c r="AV671" s="395">
        <f>+IF($H671="x",VLOOKUP($I671,'AUX-NIV2'!$B:$X,'AUX-NIV1'!AV$3,FALSE),0)</f>
        <v>0</v>
      </c>
    </row>
    <row r="672" spans="2:48" ht="14.4" hidden="1" thickTop="1" thickBot="1">
      <c r="B672" s="501" t="s">
        <v>3772</v>
      </c>
      <c r="C672" s="951" t="s">
        <v>3783</v>
      </c>
      <c r="D672" s="1280" t="s">
        <v>501</v>
      </c>
      <c r="E672" s="1281">
        <f>IF(B672&lt;&gt;"",+SUMIF(Items!C:C,'AUX-NIV1'!B672,Items!H:H),"")</f>
        <v>0</v>
      </c>
      <c r="F672" s="1281">
        <f t="shared" si="659"/>
        <v>2167.5791489620142</v>
      </c>
      <c r="G672" s="1281">
        <f t="shared" si="660"/>
        <v>0</v>
      </c>
      <c r="H672" s="1395" t="str">
        <f t="shared" ref="H672:H677" si="730">IF(B672&lt;&gt;"",+LEFT(I672,1),"")</f>
        <v>A</v>
      </c>
      <c r="I672" s="1375" t="s">
        <v>1745</v>
      </c>
      <c r="J672" s="1283" t="str">
        <f>IF(B672&lt;&gt;"",+VLOOKUP(I672,Recursos!C:F,2,FALSE),"")</f>
        <v>AYUDANTE</v>
      </c>
      <c r="K672" s="1284" t="str">
        <f>IF(B672&lt;&gt;"",+VLOOKUP(I672,Recursos!C:F,3,FALSE),"")</f>
        <v>hh</v>
      </c>
      <c r="L672" s="1285">
        <f>IF(B672&lt;&gt;"",+VLOOKUP(I672,Recursos!C:F,4,FALSE),"")</f>
        <v>422.48042769667234</v>
      </c>
      <c r="M672" s="989">
        <v>1.25</v>
      </c>
      <c r="N672" s="1292">
        <v>1</v>
      </c>
      <c r="O672" s="1286">
        <f>N672/M672</f>
        <v>0.8</v>
      </c>
      <c r="P672" s="1287">
        <f t="shared" ref="P672:P677" si="731">IF(B672&lt;&gt;"",O672*L672,"")</f>
        <v>337.98434215733789</v>
      </c>
      <c r="Q672" s="1281">
        <f t="shared" ref="Q672:Q677" si="732">IF(B672&lt;&gt;"",+O672*E672,"")</f>
        <v>0</v>
      </c>
      <c r="R672" s="1288">
        <f t="shared" ref="R672:R677" si="733">IF(B672&lt;&gt;"",Q672*L672,"")</f>
        <v>0</v>
      </c>
      <c r="S672" s="1289">
        <f t="shared" si="661"/>
        <v>934.28348742864773</v>
      </c>
      <c r="T672" s="1289">
        <f t="shared" si="662"/>
        <v>0</v>
      </c>
      <c r="U672" s="1290">
        <f t="shared" si="663"/>
        <v>1233.2956615333665</v>
      </c>
      <c r="V672" s="1290">
        <f t="shared" si="664"/>
        <v>0</v>
      </c>
      <c r="W672" s="1290">
        <f t="shared" si="665"/>
        <v>0</v>
      </c>
      <c r="X672" s="1290">
        <f t="shared" si="666"/>
        <v>0</v>
      </c>
      <c r="Y672" s="396"/>
      <c r="Z672" s="1291" t="str">
        <f t="shared" ref="Z672:Z677" si="734">IF(B672&lt;&gt;"",+$B672&amp;"A","")</f>
        <v>0-CIELO04A</v>
      </c>
      <c r="AA672" s="1291" t="str">
        <f t="shared" ref="AA672:AA677" si="735">IF(B672&lt;&gt;"",+$B672&amp;"E","")</f>
        <v>0-CIELO04E</v>
      </c>
      <c r="AB672" s="1291" t="str">
        <f t="shared" ref="AB672:AB677" si="736">IF(B672&lt;&gt;"",++$B672&amp;"M","")</f>
        <v>0-CIELO04M</v>
      </c>
      <c r="AC672" s="1291" t="str">
        <f t="shared" ref="AC672:AC677" si="737">IF(B672&lt;&gt;"",+$B672&amp;"T","")</f>
        <v>0-CIELO04T</v>
      </c>
      <c r="AD672" s="1291" t="str">
        <f t="shared" ref="AD672:AD677" si="738">IF(B672&lt;&gt;"",+$B672&amp;"S","")</f>
        <v>0-CIELO04S</v>
      </c>
      <c r="AE672" s="1291" t="str">
        <f t="shared" ref="AE672:AE677" si="739">IF(B672&lt;&gt;"",+$B672&amp;"X","")</f>
        <v>0-CIELO04X</v>
      </c>
      <c r="AF672" s="1291" t="str">
        <f t="shared" ref="AF672:AF677" si="740">IF(B672&lt;&gt;"",+B672&amp;H672,"")</f>
        <v>0-CIELO04A</v>
      </c>
      <c r="AG672" s="1291">
        <f t="shared" si="667"/>
        <v>7</v>
      </c>
      <c r="AH672" s="1291">
        <f>IF(B672&lt;&gt;"",+IF(H672="x",+VLOOKUP(I672,'AUX-NIV2'!B:AG,32,FALSE),0),"")</f>
        <v>0</v>
      </c>
      <c r="AI672" s="1291" t="str">
        <f t="shared" ref="AI672:AI677" si="741">IF(B672&lt;&gt;"",+B672,"")</f>
        <v>0-CIELO04</v>
      </c>
      <c r="AK672" s="347">
        <f t="shared" si="668"/>
        <v>672</v>
      </c>
      <c r="AL672" s="348">
        <f t="shared" ref="AL672:AL677" si="742">IF(B672&lt;&gt;"",+AK672+AG672-1,"")</f>
        <v>678</v>
      </c>
      <c r="AM672" s="347">
        <f>IF(B672&lt;&gt;"",IF(B672=B670,1+AM670,1),"")</f>
        <v>1</v>
      </c>
      <c r="AN672" s="382">
        <f>IF(AND(AH672&gt;0,B672&lt;&gt;""),VLOOKUP(I672,'AUX-NIV2'!$B:$AP,40,FALSE)*O672,0)</f>
        <v>0</v>
      </c>
      <c r="AO672" s="382">
        <f t="shared" si="669"/>
        <v>2</v>
      </c>
      <c r="AQ672" s="395">
        <f>(IF($H672="x",VLOOKUP($I672,'AUX-NIV2'!$B:$X,'AUX-NIV1'!AQ$3,FALSE),0)+($AV672*'AUX-NIV3'!S$4))*$O672+IF($H672=AQ$4,$P672,0)</f>
        <v>337.98434215733789</v>
      </c>
      <c r="AR672" s="395">
        <f>(IF($H672="x",VLOOKUP($I672,'AUX-NIV2'!$B:$X,'AUX-NIV1'!AR$3,FALSE),0)+($AV672*'AUX-NIV3'!T$4))*$O672+IF($H672=AR$4,$P672,0)</f>
        <v>0</v>
      </c>
      <c r="AS672" s="395">
        <f>(IF($H672="x",VLOOKUP($I672,'AUX-NIV2'!$B:$X,'AUX-NIV1'!AS$3,FALSE),0)+($AV672*'AUX-NIV3'!U$4))*$O672+IF($H672=AS$4,$P672,0)</f>
        <v>0</v>
      </c>
      <c r="AT672" s="395">
        <f>(IF($H672="x",VLOOKUP($I672,'AUX-NIV2'!$B:$X,'AUX-NIV1'!AT$3,FALSE),0)+($AV672*'AUX-NIV3'!V$4))*$O672+IF($H672=AT$4,$P672,0)</f>
        <v>0</v>
      </c>
      <c r="AU672" s="395">
        <f>(IF($H672="x",VLOOKUP($I672,'AUX-NIV2'!$B:$X,'AUX-NIV1'!AU$3,FALSE),0)+($AV672*'AUX-NIV3'!W$4))*$O672+IF($H672=AU$4,$P672,0)</f>
        <v>0</v>
      </c>
      <c r="AV672" s="395">
        <f>+IF($H672="x",VLOOKUP($I672,'AUX-NIV2'!$B:$X,'AUX-NIV1'!AV$3,FALSE),0)</f>
        <v>0</v>
      </c>
    </row>
    <row r="673" spans="2:48" ht="14.4" hidden="1" thickTop="1" thickBot="1">
      <c r="B673" s="501" t="s">
        <v>3772</v>
      </c>
      <c r="C673" s="951" t="s">
        <v>3783</v>
      </c>
      <c r="D673" s="1280" t="s">
        <v>501</v>
      </c>
      <c r="E673" s="1281">
        <f>IF(B673&lt;&gt;"",+SUMIF(Items!C:C,'AUX-NIV1'!B673,Items!H:H),"")</f>
        <v>0</v>
      </c>
      <c r="F673" s="1281">
        <f t="shared" si="659"/>
        <v>2167.5791489620142</v>
      </c>
      <c r="G673" s="1281">
        <f t="shared" si="660"/>
        <v>0</v>
      </c>
      <c r="H673" s="1395" t="str">
        <f t="shared" si="730"/>
        <v>A</v>
      </c>
      <c r="I673" s="1375" t="s">
        <v>1746</v>
      </c>
      <c r="J673" s="1283" t="str">
        <f>IF(B673&lt;&gt;"",+VLOOKUP(I673,Recursos!C:F,2,FALSE),"")</f>
        <v>OFICIAL</v>
      </c>
      <c r="K673" s="1284" t="str">
        <f>IF(B673&lt;&gt;"",+VLOOKUP(I673,Recursos!C:F,3,FALSE),"")</f>
        <v>hh</v>
      </c>
      <c r="L673" s="1285">
        <f>IF(B673&lt;&gt;"",+VLOOKUP(I673,Recursos!C:F,4,FALSE),"")</f>
        <v>496.91595439275824</v>
      </c>
      <c r="M673" s="1351"/>
      <c r="N673" s="1329">
        <v>1.5</v>
      </c>
      <c r="O673" s="1286">
        <f>N673/M672</f>
        <v>1.2</v>
      </c>
      <c r="P673" s="1287">
        <f t="shared" si="731"/>
        <v>596.29914527130984</v>
      </c>
      <c r="Q673" s="1281">
        <f t="shared" si="732"/>
        <v>0</v>
      </c>
      <c r="R673" s="1288">
        <f t="shared" si="733"/>
        <v>0</v>
      </c>
      <c r="S673" s="1289">
        <f t="shared" si="661"/>
        <v>934.28348742864773</v>
      </c>
      <c r="T673" s="1289">
        <f t="shared" si="662"/>
        <v>0</v>
      </c>
      <c r="U673" s="1290">
        <f t="shared" si="663"/>
        <v>1233.2956615333665</v>
      </c>
      <c r="V673" s="1290">
        <f t="shared" si="664"/>
        <v>0</v>
      </c>
      <c r="W673" s="1290">
        <f t="shared" si="665"/>
        <v>0</v>
      </c>
      <c r="X673" s="1290">
        <f t="shared" si="666"/>
        <v>0</v>
      </c>
      <c r="Y673" s="396"/>
      <c r="Z673" s="1291" t="str">
        <f t="shared" si="734"/>
        <v>0-CIELO04A</v>
      </c>
      <c r="AA673" s="1291" t="str">
        <f t="shared" si="735"/>
        <v>0-CIELO04E</v>
      </c>
      <c r="AB673" s="1291" t="str">
        <f t="shared" si="736"/>
        <v>0-CIELO04M</v>
      </c>
      <c r="AC673" s="1291" t="str">
        <f t="shared" si="737"/>
        <v>0-CIELO04T</v>
      </c>
      <c r="AD673" s="1291" t="str">
        <f t="shared" si="738"/>
        <v>0-CIELO04S</v>
      </c>
      <c r="AE673" s="1291" t="str">
        <f t="shared" si="739"/>
        <v>0-CIELO04X</v>
      </c>
      <c r="AF673" s="1291" t="str">
        <f t="shared" si="740"/>
        <v>0-CIELO04A</v>
      </c>
      <c r="AG673" s="1291">
        <f t="shared" si="667"/>
        <v>7</v>
      </c>
      <c r="AH673" s="1291">
        <f>IF(B673&lt;&gt;"",+IF(H673="x",+VLOOKUP(I673,'AUX-NIV2'!B:AG,32,FALSE),0),"")</f>
        <v>0</v>
      </c>
      <c r="AI673" s="1291" t="str">
        <f t="shared" si="741"/>
        <v>0-CIELO04</v>
      </c>
      <c r="AK673" s="347">
        <f t="shared" si="668"/>
        <v>672</v>
      </c>
      <c r="AL673" s="348">
        <f t="shared" si="742"/>
        <v>678</v>
      </c>
      <c r="AM673" s="347">
        <f t="shared" ref="AM673:AM677" si="743">IF(B673&lt;&gt;"",IF(B673=B672,1+AM672,1),"")</f>
        <v>2</v>
      </c>
      <c r="AN673" s="382">
        <f>IF(AND(AH673&gt;0,B673&lt;&gt;""),VLOOKUP(I673,'AUX-NIV2'!$B:$AP,40,FALSE)*O673,0)</f>
        <v>0</v>
      </c>
      <c r="AO673" s="382">
        <f t="shared" si="669"/>
        <v>2</v>
      </c>
      <c r="AQ673" s="395">
        <f>(IF($H673="x",VLOOKUP($I673,'AUX-NIV2'!$B:$X,'AUX-NIV1'!AQ$3,FALSE),0)+($AV673*'AUX-NIV3'!S$4))*$O673+IF($H673=AQ$4,$P673,0)</f>
        <v>596.29914527130984</v>
      </c>
      <c r="AR673" s="395">
        <f>(IF($H673="x",VLOOKUP($I673,'AUX-NIV2'!$B:$X,'AUX-NIV1'!AR$3,FALSE),0)+($AV673*'AUX-NIV3'!T$4))*$O673+IF($H673=AR$4,$P673,0)</f>
        <v>0</v>
      </c>
      <c r="AS673" s="395">
        <f>(IF($H673="x",VLOOKUP($I673,'AUX-NIV2'!$B:$X,'AUX-NIV1'!AS$3,FALSE),0)+($AV673*'AUX-NIV3'!U$4))*$O673+IF($H673=AS$4,$P673,0)</f>
        <v>0</v>
      </c>
      <c r="AT673" s="395">
        <f>(IF($H673="x",VLOOKUP($I673,'AUX-NIV2'!$B:$X,'AUX-NIV1'!AT$3,FALSE),0)+($AV673*'AUX-NIV3'!V$4))*$O673+IF($H673=AT$4,$P673,0)</f>
        <v>0</v>
      </c>
      <c r="AU673" s="395">
        <f>(IF($H673="x",VLOOKUP($I673,'AUX-NIV2'!$B:$X,'AUX-NIV1'!AU$3,FALSE),0)+($AV673*'AUX-NIV3'!W$4))*$O673+IF($H673=AU$4,$P673,0)</f>
        <v>0</v>
      </c>
      <c r="AV673" s="395">
        <f>+IF($H673="x",VLOOKUP($I673,'AUX-NIV2'!$B:$X,'AUX-NIV1'!AV$3,FALSE),0)</f>
        <v>0</v>
      </c>
    </row>
    <row r="674" spans="2:48" ht="14.4" hidden="1" thickTop="1" thickBot="1">
      <c r="B674" s="501" t="s">
        <v>3772</v>
      </c>
      <c r="C674" s="951" t="s">
        <v>3783</v>
      </c>
      <c r="D674" s="1280" t="s">
        <v>501</v>
      </c>
      <c r="E674" s="1281">
        <f>IF(B674&lt;&gt;"",+SUMIF(Items!C:C,'AUX-NIV1'!B674,Items!H:H),"")</f>
        <v>0</v>
      </c>
      <c r="F674" s="1281">
        <f t="shared" si="659"/>
        <v>2167.5791489620142</v>
      </c>
      <c r="G674" s="1281">
        <f t="shared" si="660"/>
        <v>0</v>
      </c>
      <c r="H674" s="1395" t="str">
        <f t="shared" si="730"/>
        <v>M</v>
      </c>
      <c r="I674" s="1375" t="s">
        <v>3784</v>
      </c>
      <c r="J674" s="1283" t="str">
        <f>IF(B674&lt;&gt;"",+VLOOKUP(I674,Recursos!C:F,2,FALSE),"")</f>
        <v>PLACAS DESMONTABLES DURLOCK 60x60 CLASIC</v>
      </c>
      <c r="K674" s="1284" t="str">
        <f>IF(B674&lt;&gt;"",+VLOOKUP(I674,Recursos!C:F,3,FALSE),"")</f>
        <v>m2</v>
      </c>
      <c r="L674" s="1285">
        <f>IF(B674&lt;&gt;"",+VLOOKUP(I674,Recursos!C:F,4,FALSE),"")</f>
        <v>541.78145087235998</v>
      </c>
      <c r="M674" s="1351"/>
      <c r="N674" s="1329">
        <v>1.1000000000000001</v>
      </c>
      <c r="O674" s="1286">
        <f>N674</f>
        <v>1.1000000000000001</v>
      </c>
      <c r="P674" s="1287">
        <f t="shared" si="731"/>
        <v>595.95959595959607</v>
      </c>
      <c r="Q674" s="1281">
        <f t="shared" si="732"/>
        <v>0</v>
      </c>
      <c r="R674" s="1288">
        <f t="shared" si="733"/>
        <v>0</v>
      </c>
      <c r="S674" s="1289">
        <f t="shared" si="661"/>
        <v>934.28348742864773</v>
      </c>
      <c r="T674" s="1289">
        <f t="shared" si="662"/>
        <v>0</v>
      </c>
      <c r="U674" s="1290">
        <f t="shared" si="663"/>
        <v>1233.2956615333665</v>
      </c>
      <c r="V674" s="1290">
        <f t="shared" si="664"/>
        <v>0</v>
      </c>
      <c r="W674" s="1290">
        <f t="shared" si="665"/>
        <v>0</v>
      </c>
      <c r="X674" s="1290">
        <f t="shared" si="666"/>
        <v>0</v>
      </c>
      <c r="Y674" s="396"/>
      <c r="Z674" s="1291" t="str">
        <f t="shared" si="734"/>
        <v>0-CIELO04A</v>
      </c>
      <c r="AA674" s="1291" t="str">
        <f t="shared" si="735"/>
        <v>0-CIELO04E</v>
      </c>
      <c r="AB674" s="1291" t="str">
        <f t="shared" si="736"/>
        <v>0-CIELO04M</v>
      </c>
      <c r="AC674" s="1291" t="str">
        <f t="shared" si="737"/>
        <v>0-CIELO04T</v>
      </c>
      <c r="AD674" s="1291" t="str">
        <f t="shared" si="738"/>
        <v>0-CIELO04S</v>
      </c>
      <c r="AE674" s="1291" t="str">
        <f t="shared" si="739"/>
        <v>0-CIELO04X</v>
      </c>
      <c r="AF674" s="1291" t="str">
        <f t="shared" si="740"/>
        <v>0-CIELO04M</v>
      </c>
      <c r="AG674" s="1291">
        <f t="shared" si="667"/>
        <v>7</v>
      </c>
      <c r="AH674" s="1291">
        <f>IF(B674&lt;&gt;"",+IF(H674="x",+VLOOKUP(I674,'AUX-NIV2'!B:AG,32,FALSE),0),"")</f>
        <v>0</v>
      </c>
      <c r="AI674" s="1291" t="str">
        <f t="shared" si="741"/>
        <v>0-CIELO04</v>
      </c>
      <c r="AK674" s="347">
        <f t="shared" si="668"/>
        <v>672</v>
      </c>
      <c r="AL674" s="348">
        <f t="shared" si="742"/>
        <v>678</v>
      </c>
      <c r="AM674" s="347">
        <f t="shared" si="743"/>
        <v>3</v>
      </c>
      <c r="AN674" s="382">
        <f>IF(AND(AH674&gt;0,B674&lt;&gt;""),VLOOKUP(I674,'AUX-NIV2'!$B:$AP,40,FALSE)*O674,0)</f>
        <v>0</v>
      </c>
      <c r="AO674" s="382">
        <f t="shared" si="669"/>
        <v>2</v>
      </c>
      <c r="AQ674" s="395">
        <f>(IF($H674="x",VLOOKUP($I674,'AUX-NIV2'!$B:$X,'AUX-NIV1'!AQ$3,FALSE),0)+($AV674*'AUX-NIV3'!S$4))*$O674+IF($H674=AQ$4,$P674,0)</f>
        <v>0</v>
      </c>
      <c r="AR674" s="395">
        <f>(IF($H674="x",VLOOKUP($I674,'AUX-NIV2'!$B:$X,'AUX-NIV1'!AR$3,FALSE),0)+($AV674*'AUX-NIV3'!T$4))*$O674+IF($H674=AR$4,$P674,0)</f>
        <v>0</v>
      </c>
      <c r="AS674" s="395">
        <f>(IF($H674="x",VLOOKUP($I674,'AUX-NIV2'!$B:$X,'AUX-NIV1'!AS$3,FALSE),0)+($AV674*'AUX-NIV3'!U$4))*$O674+IF($H674=AS$4,$P674,0)</f>
        <v>595.95959595959607</v>
      </c>
      <c r="AT674" s="395">
        <f>(IF($H674="x",VLOOKUP($I674,'AUX-NIV2'!$B:$X,'AUX-NIV1'!AT$3,FALSE),0)+($AV674*'AUX-NIV3'!V$4))*$O674+IF($H674=AT$4,$P674,0)</f>
        <v>0</v>
      </c>
      <c r="AU674" s="395">
        <f>(IF($H674="x",VLOOKUP($I674,'AUX-NIV2'!$B:$X,'AUX-NIV1'!AU$3,FALSE),0)+($AV674*'AUX-NIV3'!W$4))*$O674+IF($H674=AU$4,$P674,0)</f>
        <v>0</v>
      </c>
      <c r="AV674" s="395">
        <f>+IF($H674="x",VLOOKUP($I674,'AUX-NIV2'!$B:$X,'AUX-NIV1'!AV$3,FALSE),0)</f>
        <v>0</v>
      </c>
    </row>
    <row r="675" spans="2:48" ht="14.4" hidden="1" thickTop="1" thickBot="1">
      <c r="B675" s="501" t="s">
        <v>3772</v>
      </c>
      <c r="C675" s="951" t="s">
        <v>3783</v>
      </c>
      <c r="D675" s="1280" t="s">
        <v>501</v>
      </c>
      <c r="E675" s="1281">
        <f>IF(B675&lt;&gt;"",+SUMIF(Items!C:C,'AUX-NIV1'!B675,Items!H:H),"")</f>
        <v>0</v>
      </c>
      <c r="F675" s="1281">
        <f t="shared" si="659"/>
        <v>2167.5791489620142</v>
      </c>
      <c r="G675" s="1281">
        <f t="shared" si="660"/>
        <v>0</v>
      </c>
      <c r="H675" s="1395" t="str">
        <f t="shared" si="730"/>
        <v>M</v>
      </c>
      <c r="I675" s="1375" t="s">
        <v>3720</v>
      </c>
      <c r="J675" s="1283" t="str">
        <f>IF(B675&lt;&gt;"",+VLOOKUP(I675,Recursos!C:F,2,FALSE),"")</f>
        <v>FIJACIONES</v>
      </c>
      <c r="K675" s="1284" t="str">
        <f>IF(B675&lt;&gt;"",+VLOOKUP(I675,Recursos!C:F,3,FALSE),"")</f>
        <v>UN</v>
      </c>
      <c r="L675" s="1285">
        <f>IF(B675&lt;&gt;"",+VLOOKUP(I675,Recursos!C:F,4,FALSE),"")</f>
        <v>5</v>
      </c>
      <c r="M675" s="1328">
        <v>40</v>
      </c>
      <c r="N675" s="1329">
        <v>1.05</v>
      </c>
      <c r="O675" s="1286">
        <f>N675*M675</f>
        <v>42</v>
      </c>
      <c r="P675" s="1287">
        <f t="shared" si="731"/>
        <v>210</v>
      </c>
      <c r="Q675" s="1281">
        <f t="shared" si="732"/>
        <v>0</v>
      </c>
      <c r="R675" s="1288">
        <f t="shared" si="733"/>
        <v>0</v>
      </c>
      <c r="S675" s="1289">
        <f t="shared" si="661"/>
        <v>934.28348742864773</v>
      </c>
      <c r="T675" s="1289">
        <f t="shared" si="662"/>
        <v>0</v>
      </c>
      <c r="U675" s="1290">
        <f t="shared" si="663"/>
        <v>1233.2956615333665</v>
      </c>
      <c r="V675" s="1290">
        <f t="shared" si="664"/>
        <v>0</v>
      </c>
      <c r="W675" s="1290">
        <f t="shared" si="665"/>
        <v>0</v>
      </c>
      <c r="X675" s="1290">
        <f t="shared" si="666"/>
        <v>0</v>
      </c>
      <c r="Y675" s="396"/>
      <c r="Z675" s="1291" t="str">
        <f t="shared" si="734"/>
        <v>0-CIELO04A</v>
      </c>
      <c r="AA675" s="1291" t="str">
        <f t="shared" si="735"/>
        <v>0-CIELO04E</v>
      </c>
      <c r="AB675" s="1291" t="str">
        <f t="shared" si="736"/>
        <v>0-CIELO04M</v>
      </c>
      <c r="AC675" s="1291" t="str">
        <f t="shared" si="737"/>
        <v>0-CIELO04T</v>
      </c>
      <c r="AD675" s="1291" t="str">
        <f t="shared" si="738"/>
        <v>0-CIELO04S</v>
      </c>
      <c r="AE675" s="1291" t="str">
        <f t="shared" si="739"/>
        <v>0-CIELO04X</v>
      </c>
      <c r="AF675" s="1291" t="str">
        <f t="shared" si="740"/>
        <v>0-CIELO04M</v>
      </c>
      <c r="AG675" s="1291">
        <f t="shared" si="667"/>
        <v>7</v>
      </c>
      <c r="AH675" s="1291">
        <f>IF(B675&lt;&gt;"",+IF(H675="x",+VLOOKUP(I675,'AUX-NIV2'!B:AG,32,FALSE),0),"")</f>
        <v>0</v>
      </c>
      <c r="AI675" s="1291" t="str">
        <f t="shared" si="741"/>
        <v>0-CIELO04</v>
      </c>
      <c r="AK675" s="347">
        <f t="shared" si="668"/>
        <v>672</v>
      </c>
      <c r="AL675" s="348">
        <f t="shared" si="742"/>
        <v>678</v>
      </c>
      <c r="AM675" s="347" t="e">
        <f>IF(B675&lt;&gt;"",IF(B675=#REF!,1+#REF!,1),"")</f>
        <v>#REF!</v>
      </c>
      <c r="AN675" s="382">
        <f>IF(AND(AH675&gt;0,B675&lt;&gt;""),VLOOKUP(I675,'AUX-NIV2'!$B:$AP,40,FALSE)*O675,0)</f>
        <v>0</v>
      </c>
      <c r="AO675" s="382">
        <f t="shared" si="669"/>
        <v>2</v>
      </c>
      <c r="AQ675" s="395">
        <f>(IF($H675="x",VLOOKUP($I675,'AUX-NIV2'!$B:$X,'AUX-NIV1'!AQ$3,FALSE),0)+($AV675*'AUX-NIV3'!S$4))*$O675+IF($H675=AQ$4,$P675,0)</f>
        <v>0</v>
      </c>
      <c r="AR675" s="395">
        <f>(IF($H675="x",VLOOKUP($I675,'AUX-NIV2'!$B:$X,'AUX-NIV1'!AR$3,FALSE),0)+($AV675*'AUX-NIV3'!T$4))*$O675+IF($H675=AR$4,$P675,0)</f>
        <v>0</v>
      </c>
      <c r="AS675" s="395">
        <f>(IF($H675="x",VLOOKUP($I675,'AUX-NIV2'!$B:$X,'AUX-NIV1'!AS$3,FALSE),0)+($AV675*'AUX-NIV3'!U$4))*$O675+IF($H675=AS$4,$P675,0)</f>
        <v>210</v>
      </c>
      <c r="AT675" s="395">
        <f>(IF($H675="x",VLOOKUP($I675,'AUX-NIV2'!$B:$X,'AUX-NIV1'!AT$3,FALSE),0)+($AV675*'AUX-NIV3'!V$4))*$O675+IF($H675=AT$4,$P675,0)</f>
        <v>0</v>
      </c>
      <c r="AU675" s="395">
        <f>(IF($H675="x",VLOOKUP($I675,'AUX-NIV2'!$B:$X,'AUX-NIV1'!AU$3,FALSE),0)+($AV675*'AUX-NIV3'!W$4))*$O675+IF($H675=AU$4,$P675,0)</f>
        <v>0</v>
      </c>
      <c r="AV675" s="395">
        <f>+IF($H675="x",VLOOKUP($I675,'AUX-NIV2'!$B:$X,'AUX-NIV1'!AV$3,FALSE),0)</f>
        <v>0</v>
      </c>
    </row>
    <row r="676" spans="2:48" ht="14.4" hidden="1" thickTop="1" thickBot="1">
      <c r="B676" s="501" t="s">
        <v>3772</v>
      </c>
      <c r="C676" s="951" t="s">
        <v>3783</v>
      </c>
      <c r="D676" s="1280" t="s">
        <v>501</v>
      </c>
      <c r="E676" s="1281">
        <f>IF(B676&lt;&gt;"",+SUMIF(Items!C:C,'AUX-NIV1'!B676,Items!H:H),"")</f>
        <v>0</v>
      </c>
      <c r="F676" s="1281">
        <f t="shared" si="659"/>
        <v>2167.5791489620142</v>
      </c>
      <c r="G676" s="1281">
        <f t="shared" si="660"/>
        <v>0</v>
      </c>
      <c r="H676" s="1395" t="str">
        <f t="shared" si="730"/>
        <v>M</v>
      </c>
      <c r="I676" s="1375" t="s">
        <v>3785</v>
      </c>
      <c r="J676" s="1283" t="str">
        <f>IF(B676&lt;&gt;"",+VLOOKUP(I676,Recursos!C:F,2,FALSE),"")</f>
        <v>LARGUEROS PARA SUJESION DE PLACAS DESMONTABLES</v>
      </c>
      <c r="K676" s="1284" t="str">
        <f>IF(B676&lt;&gt;"",+VLOOKUP(I676,Recursos!C:F,3,FALSE),"")</f>
        <v>m</v>
      </c>
      <c r="L676" s="1285">
        <f>IF(B676&lt;&gt;"",+VLOOKUP(I676,Recursos!C:F,4,FALSE),"")</f>
        <v>119.94535519125682</v>
      </c>
      <c r="M676" s="1351"/>
      <c r="N676" s="1329">
        <v>3</v>
      </c>
      <c r="O676" s="1286">
        <f t="shared" ref="O676:O677" si="744">N676</f>
        <v>3</v>
      </c>
      <c r="P676" s="1287">
        <f t="shared" si="731"/>
        <v>359.8360655737705</v>
      </c>
      <c r="Q676" s="1281">
        <f t="shared" si="732"/>
        <v>0</v>
      </c>
      <c r="R676" s="1288">
        <f t="shared" si="733"/>
        <v>0</v>
      </c>
      <c r="S676" s="1289">
        <f t="shared" si="661"/>
        <v>934.28348742864773</v>
      </c>
      <c r="T676" s="1289">
        <f t="shared" si="662"/>
        <v>0</v>
      </c>
      <c r="U676" s="1290">
        <f t="shared" si="663"/>
        <v>1233.2956615333665</v>
      </c>
      <c r="V676" s="1290">
        <f t="shared" si="664"/>
        <v>0</v>
      </c>
      <c r="W676" s="1290">
        <f t="shared" si="665"/>
        <v>0</v>
      </c>
      <c r="X676" s="1290">
        <f t="shared" si="666"/>
        <v>0</v>
      </c>
      <c r="Y676" s="396"/>
      <c r="Z676" s="1291" t="str">
        <f t="shared" si="734"/>
        <v>0-CIELO04A</v>
      </c>
      <c r="AA676" s="1291" t="str">
        <f t="shared" si="735"/>
        <v>0-CIELO04E</v>
      </c>
      <c r="AB676" s="1291" t="str">
        <f t="shared" si="736"/>
        <v>0-CIELO04M</v>
      </c>
      <c r="AC676" s="1291" t="str">
        <f t="shared" si="737"/>
        <v>0-CIELO04T</v>
      </c>
      <c r="AD676" s="1291" t="str">
        <f t="shared" si="738"/>
        <v>0-CIELO04S</v>
      </c>
      <c r="AE676" s="1291" t="str">
        <f t="shared" si="739"/>
        <v>0-CIELO04X</v>
      </c>
      <c r="AF676" s="1291" t="str">
        <f t="shared" si="740"/>
        <v>0-CIELO04M</v>
      </c>
      <c r="AG676" s="1291">
        <f t="shared" si="667"/>
        <v>7</v>
      </c>
      <c r="AH676" s="1291">
        <f>IF(B676&lt;&gt;"",+IF(H676="x",+VLOOKUP(I676,'AUX-NIV2'!B:AG,32,FALSE),0),"")</f>
        <v>0</v>
      </c>
      <c r="AI676" s="1291" t="str">
        <f t="shared" si="741"/>
        <v>0-CIELO04</v>
      </c>
      <c r="AK676" s="347">
        <f t="shared" si="668"/>
        <v>672</v>
      </c>
      <c r="AL676" s="348">
        <f t="shared" si="742"/>
        <v>678</v>
      </c>
      <c r="AM676" s="347" t="e">
        <f t="shared" si="743"/>
        <v>#REF!</v>
      </c>
      <c r="AN676" s="382">
        <f>IF(AND(AH676&gt;0,B676&lt;&gt;""),VLOOKUP(I676,'AUX-NIV2'!$B:$AP,40,FALSE)*O676,0)</f>
        <v>0</v>
      </c>
      <c r="AO676" s="382">
        <f t="shared" si="669"/>
        <v>2</v>
      </c>
      <c r="AQ676" s="395">
        <f>(IF($H676="x",VLOOKUP($I676,'AUX-NIV2'!$B:$X,'AUX-NIV1'!AQ$3,FALSE),0)+($AV676*'AUX-NIV3'!S$4))*$O676+IF($H676=AQ$4,$P676,0)</f>
        <v>0</v>
      </c>
      <c r="AR676" s="395">
        <f>(IF($H676="x",VLOOKUP($I676,'AUX-NIV2'!$B:$X,'AUX-NIV1'!AR$3,FALSE),0)+($AV676*'AUX-NIV3'!T$4))*$O676+IF($H676=AR$4,$P676,0)</f>
        <v>0</v>
      </c>
      <c r="AS676" s="395">
        <f>(IF($H676="x",VLOOKUP($I676,'AUX-NIV2'!$B:$X,'AUX-NIV1'!AS$3,FALSE),0)+($AV676*'AUX-NIV3'!U$4))*$O676+IF($H676=AS$4,$P676,0)</f>
        <v>359.8360655737705</v>
      </c>
      <c r="AT676" s="395">
        <f>(IF($H676="x",VLOOKUP($I676,'AUX-NIV2'!$B:$X,'AUX-NIV1'!AT$3,FALSE),0)+($AV676*'AUX-NIV3'!V$4))*$O676+IF($H676=AT$4,$P676,0)</f>
        <v>0</v>
      </c>
      <c r="AU676" s="395">
        <f>(IF($H676="x",VLOOKUP($I676,'AUX-NIV2'!$B:$X,'AUX-NIV1'!AU$3,FALSE),0)+($AV676*'AUX-NIV3'!W$4))*$O676+IF($H676=AU$4,$P676,0)</f>
        <v>0</v>
      </c>
      <c r="AV676" s="395">
        <f>+IF($H676="x",VLOOKUP($I676,'AUX-NIV2'!$B:$X,'AUX-NIV1'!AV$3,FALSE),0)</f>
        <v>0</v>
      </c>
    </row>
    <row r="677" spans="2:48" ht="14.4" hidden="1" thickTop="1" thickBot="1">
      <c r="B677" s="501" t="s">
        <v>3772</v>
      </c>
      <c r="C677" s="951" t="s">
        <v>3783</v>
      </c>
      <c r="D677" s="1280" t="s">
        <v>501</v>
      </c>
      <c r="E677" s="1281">
        <f>IF(B677&lt;&gt;"",+SUMIF(Items!C:C,'AUX-NIV1'!B677,Items!H:H),"")</f>
        <v>0</v>
      </c>
      <c r="F677" s="1281">
        <f t="shared" si="659"/>
        <v>2167.5791489620142</v>
      </c>
      <c r="G677" s="1281">
        <f t="shared" si="660"/>
        <v>0</v>
      </c>
      <c r="H677" s="1395" t="str">
        <f t="shared" si="730"/>
        <v>M</v>
      </c>
      <c r="I677" s="1375" t="s">
        <v>3786</v>
      </c>
      <c r="J677" s="1283" t="str">
        <f>IF(B677&lt;&gt;"",+VLOOKUP(I677,Recursos!C:F,2,FALSE),"")</f>
        <v>PERIMETRALES PARA SUJESION DE PLACAS DESMONTABLES</v>
      </c>
      <c r="K677" s="1284" t="str">
        <f>IF(B677&lt;&gt;"",+VLOOKUP(I677,Recursos!C:F,3,FALSE),"")</f>
        <v>m</v>
      </c>
      <c r="L677" s="1285">
        <f>IF(B677&lt;&gt;"",+VLOOKUP(I677,Recursos!C:F,4,FALSE),"")</f>
        <v>60</v>
      </c>
      <c r="M677" s="1373"/>
      <c r="N677" s="1370">
        <v>0.5</v>
      </c>
      <c r="O677" s="1286">
        <f t="shared" si="744"/>
        <v>0.5</v>
      </c>
      <c r="P677" s="1287">
        <f t="shared" si="731"/>
        <v>30</v>
      </c>
      <c r="Q677" s="1281">
        <f t="shared" si="732"/>
        <v>0</v>
      </c>
      <c r="R677" s="1288">
        <f t="shared" si="733"/>
        <v>0</v>
      </c>
      <c r="S677" s="1289">
        <f t="shared" si="661"/>
        <v>934.28348742864773</v>
      </c>
      <c r="T677" s="1289">
        <f t="shared" si="662"/>
        <v>0</v>
      </c>
      <c r="U677" s="1290">
        <f t="shared" si="663"/>
        <v>1233.2956615333665</v>
      </c>
      <c r="V677" s="1290">
        <f t="shared" si="664"/>
        <v>0</v>
      </c>
      <c r="W677" s="1290">
        <f t="shared" si="665"/>
        <v>0</v>
      </c>
      <c r="X677" s="1290">
        <f t="shared" si="666"/>
        <v>0</v>
      </c>
      <c r="Y677" s="396"/>
      <c r="Z677" s="1291" t="str">
        <f t="shared" si="734"/>
        <v>0-CIELO04A</v>
      </c>
      <c r="AA677" s="1291" t="str">
        <f t="shared" si="735"/>
        <v>0-CIELO04E</v>
      </c>
      <c r="AB677" s="1291" t="str">
        <f t="shared" si="736"/>
        <v>0-CIELO04M</v>
      </c>
      <c r="AC677" s="1291" t="str">
        <f t="shared" si="737"/>
        <v>0-CIELO04T</v>
      </c>
      <c r="AD677" s="1291" t="str">
        <f t="shared" si="738"/>
        <v>0-CIELO04S</v>
      </c>
      <c r="AE677" s="1291" t="str">
        <f t="shared" si="739"/>
        <v>0-CIELO04X</v>
      </c>
      <c r="AF677" s="1291" t="str">
        <f t="shared" si="740"/>
        <v>0-CIELO04M</v>
      </c>
      <c r="AG677" s="1291">
        <f t="shared" si="667"/>
        <v>7</v>
      </c>
      <c r="AH677" s="1291">
        <f>IF(B677&lt;&gt;"",+IF(H677="x",+VLOOKUP(I677,'AUX-NIV2'!B:AG,32,FALSE),0),"")</f>
        <v>0</v>
      </c>
      <c r="AI677" s="1291" t="str">
        <f t="shared" si="741"/>
        <v>0-CIELO04</v>
      </c>
      <c r="AK677" s="347">
        <f t="shared" si="668"/>
        <v>672</v>
      </c>
      <c r="AL677" s="348">
        <f t="shared" si="742"/>
        <v>678</v>
      </c>
      <c r="AM677" s="347" t="e">
        <f t="shared" si="743"/>
        <v>#REF!</v>
      </c>
      <c r="AN677" s="382">
        <f>IF(AND(AH677&gt;0,B677&lt;&gt;""),VLOOKUP(I677,'AUX-NIV2'!$B:$AP,40,FALSE)*O677,0)</f>
        <v>0</v>
      </c>
      <c r="AO677" s="382">
        <f t="shared" si="669"/>
        <v>2</v>
      </c>
      <c r="AQ677" s="395">
        <f>(IF($H677="x",VLOOKUP($I677,'AUX-NIV2'!$B:$X,'AUX-NIV1'!AQ$3,FALSE),0)+($AV677*'AUX-NIV3'!S$4))*$O677+IF($H677=AQ$4,$P677,0)</f>
        <v>0</v>
      </c>
      <c r="AR677" s="395">
        <f>(IF($H677="x",VLOOKUP($I677,'AUX-NIV2'!$B:$X,'AUX-NIV1'!AR$3,FALSE),0)+($AV677*'AUX-NIV3'!T$4))*$O677+IF($H677=AR$4,$P677,0)</f>
        <v>0</v>
      </c>
      <c r="AS677" s="395">
        <f>(IF($H677="x",VLOOKUP($I677,'AUX-NIV2'!$B:$X,'AUX-NIV1'!AS$3,FALSE),0)+($AV677*'AUX-NIV3'!U$4))*$O677+IF($H677=AS$4,$P677,0)</f>
        <v>30</v>
      </c>
      <c r="AT677" s="395">
        <f>(IF($H677="x",VLOOKUP($I677,'AUX-NIV2'!$B:$X,'AUX-NIV1'!AT$3,FALSE),0)+($AV677*'AUX-NIV3'!V$4))*$O677+IF($H677=AT$4,$P677,0)</f>
        <v>0</v>
      </c>
      <c r="AU677" s="395">
        <f>(IF($H677="x",VLOOKUP($I677,'AUX-NIV2'!$B:$X,'AUX-NIV1'!AU$3,FALSE),0)+($AV677*'AUX-NIV3'!W$4))*$O677+IF($H677=AU$4,$P677,0)</f>
        <v>0</v>
      </c>
      <c r="AV677" s="395">
        <f>+IF($H677="x",VLOOKUP($I677,'AUX-NIV2'!$B:$X,'AUX-NIV1'!AV$3,FALSE),0)</f>
        <v>0</v>
      </c>
    </row>
    <row r="678" spans="2:48" ht="14.4" hidden="1" thickTop="1" thickBot="1">
      <c r="B678" s="501" t="s">
        <v>3772</v>
      </c>
      <c r="C678" s="951" t="s">
        <v>3783</v>
      </c>
      <c r="D678" s="1280" t="s">
        <v>501</v>
      </c>
      <c r="E678" s="1281">
        <f>IF(B678&lt;&gt;"",+SUMIF(Items!C:C,'AUX-NIV1'!B678,Items!H:H),"")</f>
        <v>0</v>
      </c>
      <c r="F678" s="1281">
        <f t="shared" si="659"/>
        <v>2167.5791489620142</v>
      </c>
      <c r="G678" s="1281">
        <f t="shared" si="660"/>
        <v>0</v>
      </c>
      <c r="H678" s="1395" t="str">
        <f t="shared" ref="H678:H744" si="745">IF(B678&lt;&gt;"",+LEFT(I678,1),"")</f>
        <v>M</v>
      </c>
      <c r="I678" s="1375" t="s">
        <v>621</v>
      </c>
      <c r="J678" s="1283" t="str">
        <f>IF(B678&lt;&gt;"",+VLOOKUP(I678,Recursos!C:F,2,FALSE),"")</f>
        <v>MATERIALES VARIOS</v>
      </c>
      <c r="K678" s="1284" t="str">
        <f>IF(B678&lt;&gt;"",+VLOOKUP(I678,Recursos!C:F,3,FALSE),"")</f>
        <v>GL</v>
      </c>
      <c r="L678" s="1285">
        <f>IF(B678&lt;&gt;"",+VLOOKUP(I678,Recursos!C:F,4,FALSE),"")</f>
        <v>0.5</v>
      </c>
      <c r="M678" s="1372"/>
      <c r="N678" s="1371">
        <f>1500*5%</f>
        <v>75</v>
      </c>
      <c r="O678" s="1286">
        <f t="shared" ref="O678:O744" si="746">N678</f>
        <v>75</v>
      </c>
      <c r="P678" s="1287">
        <f t="shared" ref="P678:P744" si="747">IF(B678&lt;&gt;"",O678*L678,"")</f>
        <v>37.5</v>
      </c>
      <c r="Q678" s="1281">
        <f t="shared" ref="Q678:Q744" si="748">IF(B678&lt;&gt;"",+O678*E678,"")</f>
        <v>0</v>
      </c>
      <c r="R678" s="1288">
        <f t="shared" ref="R678:R744" si="749">IF(B678&lt;&gt;"",Q678*L678,"")</f>
        <v>0</v>
      </c>
      <c r="S678" s="1289">
        <f t="shared" si="661"/>
        <v>934.28348742864773</v>
      </c>
      <c r="T678" s="1289">
        <f t="shared" si="662"/>
        <v>0</v>
      </c>
      <c r="U678" s="1290">
        <f t="shared" si="663"/>
        <v>1233.2956615333665</v>
      </c>
      <c r="V678" s="1290">
        <f t="shared" si="664"/>
        <v>0</v>
      </c>
      <c r="W678" s="1290">
        <f t="shared" si="665"/>
        <v>0</v>
      </c>
      <c r="X678" s="1290">
        <f t="shared" si="666"/>
        <v>0</v>
      </c>
      <c r="Y678" s="396"/>
      <c r="Z678" s="1291" t="str">
        <f t="shared" ref="Z678:Z744" si="750">IF(B678&lt;&gt;"",+$B678&amp;"A","")</f>
        <v>0-CIELO04A</v>
      </c>
      <c r="AA678" s="1291" t="str">
        <f t="shared" ref="AA678:AA744" si="751">IF(B678&lt;&gt;"",+$B678&amp;"E","")</f>
        <v>0-CIELO04E</v>
      </c>
      <c r="AB678" s="1291" t="str">
        <f t="shared" ref="AB678:AB744" si="752">IF(B678&lt;&gt;"",++$B678&amp;"M","")</f>
        <v>0-CIELO04M</v>
      </c>
      <c r="AC678" s="1291" t="str">
        <f t="shared" ref="AC678:AC744" si="753">IF(B678&lt;&gt;"",+$B678&amp;"T","")</f>
        <v>0-CIELO04T</v>
      </c>
      <c r="AD678" s="1291" t="str">
        <f t="shared" ref="AD678:AD744" si="754">IF(B678&lt;&gt;"",+$B678&amp;"S","")</f>
        <v>0-CIELO04S</v>
      </c>
      <c r="AE678" s="1291" t="str">
        <f t="shared" ref="AE678:AE744" si="755">IF(B678&lt;&gt;"",+$B678&amp;"X","")</f>
        <v>0-CIELO04X</v>
      </c>
      <c r="AF678" s="1291" t="str">
        <f t="shared" ref="AF678:AF744" si="756">IF(B678&lt;&gt;"",+B678&amp;H678,"")</f>
        <v>0-CIELO04M</v>
      </c>
      <c r="AG678" s="1291">
        <f t="shared" si="667"/>
        <v>7</v>
      </c>
      <c r="AH678" s="1291">
        <f>IF(B678&lt;&gt;"",+IF(H678="x",+VLOOKUP(I678,'AUX-NIV2'!B:AG,32,FALSE),0),"")</f>
        <v>0</v>
      </c>
      <c r="AI678" s="1291" t="str">
        <f t="shared" ref="AI678:AI744" si="757">IF(B678&lt;&gt;"",+B678,"")</f>
        <v>0-CIELO04</v>
      </c>
      <c r="AK678" s="347">
        <f t="shared" si="668"/>
        <v>672</v>
      </c>
      <c r="AL678" s="348">
        <f t="shared" ref="AL678:AL744" si="758">IF(B678&lt;&gt;"",+AK678+AG678-1,"")</f>
        <v>678</v>
      </c>
      <c r="AM678" s="347" t="e">
        <f t="shared" ref="AM678:AM744" si="759">IF(B678&lt;&gt;"",IF(B678=B677,1+AM677,1),"")</f>
        <v>#REF!</v>
      </c>
      <c r="AN678" s="382">
        <f>IF(AND(AH678&gt;0,B678&lt;&gt;""),VLOOKUP(I678,'AUX-NIV2'!$B:$AP,40,FALSE)*O678,0)</f>
        <v>0</v>
      </c>
      <c r="AO678" s="382">
        <f t="shared" si="669"/>
        <v>2</v>
      </c>
      <c r="AQ678" s="395">
        <f>(IF($H678="x",VLOOKUP($I678,'AUX-NIV2'!$B:$X,'AUX-NIV1'!AQ$3,FALSE),0)+($AV678*'AUX-NIV3'!S$4))*$O678+IF($H678=AQ$4,$P678,0)</f>
        <v>0</v>
      </c>
      <c r="AR678" s="395">
        <f>(IF($H678="x",VLOOKUP($I678,'AUX-NIV2'!$B:$X,'AUX-NIV1'!AR$3,FALSE),0)+($AV678*'AUX-NIV3'!T$4))*$O678+IF($H678=AR$4,$P678,0)</f>
        <v>0</v>
      </c>
      <c r="AS678" s="395">
        <f>(IF($H678="x",VLOOKUP($I678,'AUX-NIV2'!$B:$X,'AUX-NIV1'!AS$3,FALSE),0)+($AV678*'AUX-NIV3'!U$4))*$O678+IF($H678=AS$4,$P678,0)</f>
        <v>37.5</v>
      </c>
      <c r="AT678" s="395">
        <f>(IF($H678="x",VLOOKUP($I678,'AUX-NIV2'!$B:$X,'AUX-NIV1'!AT$3,FALSE),0)+($AV678*'AUX-NIV3'!V$4))*$O678+IF($H678=AT$4,$P678,0)</f>
        <v>0</v>
      </c>
      <c r="AU678" s="395">
        <f>(IF($H678="x",VLOOKUP($I678,'AUX-NIV2'!$B:$X,'AUX-NIV1'!AU$3,FALSE),0)+($AV678*'AUX-NIV3'!W$4))*$O678+IF($H678=AU$4,$P678,0)</f>
        <v>0</v>
      </c>
      <c r="AV678" s="395">
        <f>+IF($H678="x",VLOOKUP($I678,'AUX-NIV2'!$B:$X,'AUX-NIV1'!AV$3,FALSE),0)</f>
        <v>0</v>
      </c>
    </row>
    <row r="679" spans="2:48" ht="14.4" hidden="1" thickTop="1" thickBot="1">
      <c r="B679" s="1374" t="s">
        <v>3791</v>
      </c>
      <c r="C679" s="1375" t="s">
        <v>3792</v>
      </c>
      <c r="D679" s="1376" t="s">
        <v>477</v>
      </c>
      <c r="E679" s="1377">
        <f>IF(B679&lt;&gt;"",+SUMIF(Items!C:C,'AUX-NIV1'!B679,Items!H:H),"")</f>
        <v>0</v>
      </c>
      <c r="F679" s="1377">
        <f t="shared" si="659"/>
        <v>1789.365550878081</v>
      </c>
      <c r="G679" s="1377">
        <f t="shared" si="660"/>
        <v>0</v>
      </c>
      <c r="H679" s="1395" t="str">
        <f t="shared" si="745"/>
        <v>M</v>
      </c>
      <c r="I679" s="1375" t="s">
        <v>1905</v>
      </c>
      <c r="J679" s="1378" t="str">
        <f>IF(B679&lt;&gt;"",+VLOOKUP(I679,Recursos!C:F,2,FALSE),"")</f>
        <v>CEMENTO BLANCO bolsa 25 kg,en obra</v>
      </c>
      <c r="K679" s="1379" t="str">
        <f>IF(B679&lt;&gt;"",+VLOOKUP(I679,Recursos!C:F,3,FALSE),"")</f>
        <v>Un</v>
      </c>
      <c r="L679" s="1380">
        <f>IF(B679&lt;&gt;"",+VLOOKUP(I679,Recursos!C:F,4,FALSE),"")</f>
        <v>42</v>
      </c>
      <c r="M679" s="1072">
        <v>0</v>
      </c>
      <c r="N679" s="1381"/>
      <c r="O679" s="1382">
        <f>+M679</f>
        <v>0</v>
      </c>
      <c r="P679" s="1383">
        <f t="shared" si="747"/>
        <v>0</v>
      </c>
      <c r="Q679" s="1377">
        <f t="shared" si="748"/>
        <v>0</v>
      </c>
      <c r="R679" s="1384">
        <f t="shared" si="749"/>
        <v>0</v>
      </c>
      <c r="S679" s="1385">
        <f t="shared" si="661"/>
        <v>0</v>
      </c>
      <c r="T679" s="1385">
        <f t="shared" si="662"/>
        <v>0</v>
      </c>
      <c r="U679" s="1386">
        <f t="shared" si="663"/>
        <v>841.55925619834716</v>
      </c>
      <c r="V679" s="1386">
        <f t="shared" si="664"/>
        <v>0</v>
      </c>
      <c r="W679" s="1386">
        <f t="shared" si="665"/>
        <v>0</v>
      </c>
      <c r="X679" s="1386">
        <f t="shared" si="666"/>
        <v>947.80629467973392</v>
      </c>
      <c r="Y679" s="396"/>
      <c r="Z679" s="1387" t="str">
        <f t="shared" si="750"/>
        <v>0-CORDONA</v>
      </c>
      <c r="AA679" s="1387" t="str">
        <f t="shared" si="751"/>
        <v>0-CORDONE</v>
      </c>
      <c r="AB679" s="1387" t="str">
        <f t="shared" si="752"/>
        <v>0-CORDONM</v>
      </c>
      <c r="AC679" s="1387" t="str">
        <f t="shared" si="753"/>
        <v>0-CORDONT</v>
      </c>
      <c r="AD679" s="1387" t="str">
        <f t="shared" si="754"/>
        <v>0-CORDONS</v>
      </c>
      <c r="AE679" s="1387" t="str">
        <f t="shared" si="755"/>
        <v>0-CORDONX</v>
      </c>
      <c r="AF679" s="1387" t="str">
        <f t="shared" si="756"/>
        <v>0-CORDONM</v>
      </c>
      <c r="AG679" s="1387">
        <f t="shared" si="667"/>
        <v>11</v>
      </c>
      <c r="AH679" s="1387">
        <f>IF(B679&lt;&gt;"",+IF(H679="x",+VLOOKUP(I679,'AUX-NIV2'!B:AG,32,FALSE),0),"")</f>
        <v>0</v>
      </c>
      <c r="AI679" s="1387" t="str">
        <f t="shared" si="757"/>
        <v>0-CORDON</v>
      </c>
      <c r="AK679" s="347">
        <f t="shared" si="668"/>
        <v>679</v>
      </c>
      <c r="AL679" s="348">
        <f t="shared" si="758"/>
        <v>689</v>
      </c>
      <c r="AM679" s="347">
        <f t="shared" si="759"/>
        <v>1</v>
      </c>
      <c r="AN679" s="382">
        <f>IF(AND(AH679&gt;0,B679&lt;&gt;""),VLOOKUP(I679,'AUX-NIV2'!$B:$AP,40,FALSE)*O679,0)</f>
        <v>0</v>
      </c>
      <c r="AO679" s="382">
        <f t="shared" si="669"/>
        <v>1.6881250000000001</v>
      </c>
      <c r="AQ679" s="395">
        <f>(IF($H679="x",VLOOKUP($I679,'AUX-NIV2'!$B:$X,'AUX-NIV1'!AQ$3,FALSE),0)+($AV679*'AUX-NIV3'!S$4))*$O679+IF($H679=AQ$4,$P679,0)</f>
        <v>0</v>
      </c>
      <c r="AR679" s="395">
        <f>(IF($H679="x",VLOOKUP($I679,'AUX-NIV2'!$B:$X,'AUX-NIV1'!AR$3,FALSE),0)+($AV679*'AUX-NIV3'!T$4))*$O679+IF($H679=AR$4,$P679,0)</f>
        <v>0</v>
      </c>
      <c r="AS679" s="395">
        <f>(IF($H679="x",VLOOKUP($I679,'AUX-NIV2'!$B:$X,'AUX-NIV1'!AS$3,FALSE),0)+($AV679*'AUX-NIV3'!U$4))*$O679+IF($H679=AS$4,$P679,0)</f>
        <v>0</v>
      </c>
      <c r="AT679" s="395">
        <f>(IF($H679="x",VLOOKUP($I679,'AUX-NIV2'!$B:$X,'AUX-NIV1'!AT$3,FALSE),0)+($AV679*'AUX-NIV3'!V$4))*$O679+IF($H679=AT$4,$P679,0)</f>
        <v>0</v>
      </c>
      <c r="AU679" s="395">
        <f>(IF($H679="x",VLOOKUP($I679,'AUX-NIV2'!$B:$X,'AUX-NIV1'!AU$3,FALSE),0)+($AV679*'AUX-NIV3'!W$4))*$O679+IF($H679=AU$4,$P679,0)</f>
        <v>0</v>
      </c>
      <c r="AV679" s="395">
        <f>+IF($H679="x",VLOOKUP($I679,'AUX-NIV2'!$B:$X,'AUX-NIV1'!AV$3,FALSE),0)</f>
        <v>0</v>
      </c>
    </row>
    <row r="680" spans="2:48" ht="14.4" hidden="1" thickTop="1" thickBot="1">
      <c r="B680" s="1374" t="s">
        <v>3791</v>
      </c>
      <c r="C680" s="1375" t="s">
        <v>3792</v>
      </c>
      <c r="D680" s="1376" t="s">
        <v>477</v>
      </c>
      <c r="E680" s="1377">
        <f>IF(B680&lt;&gt;"",+SUMIF(Items!C:C,'AUX-NIV1'!B680,Items!H:H),"")</f>
        <v>0</v>
      </c>
      <c r="F680" s="1377">
        <f t="shared" si="659"/>
        <v>1789.365550878081</v>
      </c>
      <c r="G680" s="1377">
        <f t="shared" si="660"/>
        <v>0</v>
      </c>
      <c r="H680" s="1395" t="str">
        <f t="shared" si="745"/>
        <v>X</v>
      </c>
      <c r="I680" s="1375" t="s">
        <v>1508</v>
      </c>
      <c r="J680" s="1378" t="str">
        <f>IF(B680&lt;&gt;"",+VLOOKUP(I680,Recursos!C:F,2,FALSE),"")</f>
        <v>Elaboración de Hgón H30</v>
      </c>
      <c r="K680" s="1379" t="str">
        <f>IF(B680&lt;&gt;"",+VLOOKUP(I680,Recursos!C:F,3,FALSE),"")</f>
        <v>m3</v>
      </c>
      <c r="L680" s="1380">
        <f>IF(B680&lt;&gt;"",+VLOOKUP(I680,Recursos!C:F,4,FALSE),"")</f>
        <v>5751.7751431377656</v>
      </c>
      <c r="M680" s="1388"/>
      <c r="N680" s="497">
        <v>0.3</v>
      </c>
      <c r="O680" s="1382">
        <f>+M681*M684*(1-M683)</f>
        <v>0</v>
      </c>
      <c r="P680" s="1383">
        <f t="shared" si="747"/>
        <v>0</v>
      </c>
      <c r="Q680" s="1377">
        <f t="shared" si="748"/>
        <v>0</v>
      </c>
      <c r="R680" s="1384">
        <f t="shared" si="749"/>
        <v>0</v>
      </c>
      <c r="S680" s="1385">
        <f t="shared" si="661"/>
        <v>0</v>
      </c>
      <c r="T680" s="1385">
        <f t="shared" si="662"/>
        <v>0</v>
      </c>
      <c r="U680" s="1386">
        <f t="shared" si="663"/>
        <v>841.55925619834716</v>
      </c>
      <c r="V680" s="1386">
        <f t="shared" si="664"/>
        <v>0</v>
      </c>
      <c r="W680" s="1386">
        <f t="shared" si="665"/>
        <v>0</v>
      </c>
      <c r="X680" s="1386">
        <f t="shared" si="666"/>
        <v>947.80629467973392</v>
      </c>
      <c r="Y680" s="396"/>
      <c r="Z680" s="1387" t="str">
        <f t="shared" si="750"/>
        <v>0-CORDONA</v>
      </c>
      <c r="AA680" s="1387" t="str">
        <f t="shared" si="751"/>
        <v>0-CORDONE</v>
      </c>
      <c r="AB680" s="1387" t="str">
        <f t="shared" si="752"/>
        <v>0-CORDONM</v>
      </c>
      <c r="AC680" s="1387" t="str">
        <f t="shared" si="753"/>
        <v>0-CORDONT</v>
      </c>
      <c r="AD680" s="1387" t="str">
        <f t="shared" si="754"/>
        <v>0-CORDONS</v>
      </c>
      <c r="AE680" s="1387" t="str">
        <f t="shared" si="755"/>
        <v>0-CORDONX</v>
      </c>
      <c r="AF680" s="1387" t="str">
        <f t="shared" si="756"/>
        <v>0-CORDONX</v>
      </c>
      <c r="AG680" s="1387">
        <f t="shared" si="667"/>
        <v>11</v>
      </c>
      <c r="AH680" s="1387">
        <f>IF(B680&lt;&gt;"",+IF(H680="x",+VLOOKUP(I680,'AUX-NIV2'!B:AG,32,FALSE),0),"")</f>
        <v>7</v>
      </c>
      <c r="AI680" s="1387" t="str">
        <f t="shared" si="757"/>
        <v>0-CORDON</v>
      </c>
      <c r="AK680" s="347">
        <f t="shared" si="668"/>
        <v>679</v>
      </c>
      <c r="AL680" s="348">
        <f t="shared" si="758"/>
        <v>689</v>
      </c>
      <c r="AM680" s="347">
        <f t="shared" si="759"/>
        <v>2</v>
      </c>
      <c r="AN680" s="382">
        <f>IF(AND(AH680&gt;0,B680&lt;&gt;""),VLOOKUP(I680,'AUX-NIV2'!$B:$AP,40,FALSE)*O680,0)</f>
        <v>0</v>
      </c>
      <c r="AO680" s="382">
        <f t="shared" si="669"/>
        <v>1.6881250000000001</v>
      </c>
      <c r="AQ680" s="395">
        <f>(IF($H680="x",VLOOKUP($I680,'AUX-NIV2'!$B:$X,'AUX-NIV1'!AQ$3,FALSE),0)+($AV680*'AUX-NIV3'!S$4))*$O680+IF($H680=AQ$4,$P680,0)</f>
        <v>0</v>
      </c>
      <c r="AR680" s="395">
        <f>(IF($H680="x",VLOOKUP($I680,'AUX-NIV2'!$B:$X,'AUX-NIV1'!AR$3,FALSE),0)+($AV680*'AUX-NIV3'!T$4))*$O680+IF($H680=AR$4,$P680,0)</f>
        <v>0</v>
      </c>
      <c r="AS680" s="395">
        <f>(IF($H680="x",VLOOKUP($I680,'AUX-NIV2'!$B:$X,'AUX-NIV1'!AS$3,FALSE),0)+($AV680*'AUX-NIV3'!U$4))*$O680+IF($H680=AS$4,$P680,0)</f>
        <v>0</v>
      </c>
      <c r="AT680" s="395">
        <f>(IF($H680="x",VLOOKUP($I680,'AUX-NIV2'!$B:$X,'AUX-NIV1'!AT$3,FALSE),0)+($AV680*'AUX-NIV3'!V$4))*$O680+IF($H680=AT$4,$P680,0)</f>
        <v>0</v>
      </c>
      <c r="AU680" s="395">
        <f>(IF($H680="x",VLOOKUP($I680,'AUX-NIV2'!$B:$X,'AUX-NIV1'!AU$3,FALSE),0)+($AV680*'AUX-NIV3'!W$4))*$O680+IF($H680=AU$4,$P680,0)</f>
        <v>0</v>
      </c>
      <c r="AV680" s="395">
        <f>+IF($H680="x",VLOOKUP($I680,'AUX-NIV2'!$B:$X,'AUX-NIV1'!AV$3,FALSE),0)</f>
        <v>1100.9244514415236</v>
      </c>
    </row>
    <row r="681" spans="2:48" ht="14.4" hidden="1" thickTop="1" thickBot="1">
      <c r="B681" s="1374" t="s">
        <v>3791</v>
      </c>
      <c r="C681" s="1375" t="s">
        <v>3792</v>
      </c>
      <c r="D681" s="1376" t="s">
        <v>477</v>
      </c>
      <c r="E681" s="1377">
        <f>IF(B681&lt;&gt;"",+SUMIF(Items!C:C,'AUX-NIV1'!B681,Items!H:H),"")</f>
        <v>0</v>
      </c>
      <c r="F681" s="1377">
        <f t="shared" si="659"/>
        <v>1789.365550878081</v>
      </c>
      <c r="G681" s="1377">
        <f t="shared" si="660"/>
        <v>0</v>
      </c>
      <c r="H681" s="1395" t="str">
        <f t="shared" si="745"/>
        <v>X</v>
      </c>
      <c r="I681" s="1375" t="s">
        <v>2779</v>
      </c>
      <c r="J681" s="1378" t="str">
        <f>IF(B681&lt;&gt;"",+VLOOKUP(I681,Recursos!C:F,2,FALSE),"")</f>
        <v>Relleno Alcantarilla y fundación</v>
      </c>
      <c r="K681" s="1379" t="str">
        <f>IF(B681&lt;&gt;"",+VLOOKUP(I681,Recursos!C:F,3,FALSE),"")</f>
        <v>m3</v>
      </c>
      <c r="L681" s="1380">
        <f>IF(B681&lt;&gt;"",+VLOOKUP(I681,Recursos!C:F,4,FALSE),"")</f>
        <v>835.00912158392737</v>
      </c>
      <c r="M681" s="441">
        <f>0.15*0.15+0.5*0.15</f>
        <v>9.7500000000000003E-2</v>
      </c>
      <c r="N681" s="497">
        <v>0</v>
      </c>
      <c r="O681" s="1382">
        <f>+N681*N680*M684</f>
        <v>0</v>
      </c>
      <c r="P681" s="1383">
        <f t="shared" si="747"/>
        <v>0</v>
      </c>
      <c r="Q681" s="1377">
        <f t="shared" si="748"/>
        <v>0</v>
      </c>
      <c r="R681" s="1384">
        <f t="shared" si="749"/>
        <v>0</v>
      </c>
      <c r="S681" s="1385">
        <f t="shared" si="661"/>
        <v>0</v>
      </c>
      <c r="T681" s="1385">
        <f t="shared" si="662"/>
        <v>0</v>
      </c>
      <c r="U681" s="1386">
        <f t="shared" si="663"/>
        <v>841.55925619834716</v>
      </c>
      <c r="V681" s="1386">
        <f t="shared" si="664"/>
        <v>0</v>
      </c>
      <c r="W681" s="1386">
        <f t="shared" si="665"/>
        <v>0</v>
      </c>
      <c r="X681" s="1386">
        <f t="shared" si="666"/>
        <v>947.80629467973392</v>
      </c>
      <c r="Y681" s="396"/>
      <c r="Z681" s="1387" t="str">
        <f t="shared" si="750"/>
        <v>0-CORDONA</v>
      </c>
      <c r="AA681" s="1387" t="str">
        <f t="shared" si="751"/>
        <v>0-CORDONE</v>
      </c>
      <c r="AB681" s="1387" t="str">
        <f t="shared" si="752"/>
        <v>0-CORDONM</v>
      </c>
      <c r="AC681" s="1387" t="str">
        <f t="shared" si="753"/>
        <v>0-CORDONT</v>
      </c>
      <c r="AD681" s="1387" t="str">
        <f t="shared" si="754"/>
        <v>0-CORDONS</v>
      </c>
      <c r="AE681" s="1387" t="str">
        <f t="shared" si="755"/>
        <v>0-CORDONX</v>
      </c>
      <c r="AF681" s="1387" t="str">
        <f t="shared" si="756"/>
        <v>0-CORDONX</v>
      </c>
      <c r="AG681" s="1387">
        <f t="shared" si="667"/>
        <v>11</v>
      </c>
      <c r="AH681" s="1387">
        <f>IF(B681&lt;&gt;"",+IF(H681="x",+VLOOKUP(I681,'AUX-NIV2'!B:AG,32,FALSE),0),"")</f>
        <v>6</v>
      </c>
      <c r="AI681" s="1387" t="str">
        <f t="shared" si="757"/>
        <v>0-CORDON</v>
      </c>
      <c r="AK681" s="347">
        <f t="shared" si="668"/>
        <v>679</v>
      </c>
      <c r="AL681" s="348">
        <f t="shared" si="758"/>
        <v>689</v>
      </c>
      <c r="AM681" s="347">
        <f t="shared" si="759"/>
        <v>3</v>
      </c>
      <c r="AN681" s="382">
        <f>IF(AND(AH681&gt;0,B681&lt;&gt;""),VLOOKUP(I681,'AUX-NIV2'!$B:$AP,40,FALSE)*O681,0)</f>
        <v>0</v>
      </c>
      <c r="AO681" s="382">
        <f t="shared" si="669"/>
        <v>1.6881250000000001</v>
      </c>
      <c r="AQ681" s="395">
        <f>(IF($H681="x",VLOOKUP($I681,'AUX-NIV2'!$B:$X,'AUX-NIV1'!AQ$3,FALSE),0)+($AV681*'AUX-NIV3'!S$4))*$O681+IF($H681=AQ$4,$P681,0)</f>
        <v>0</v>
      </c>
      <c r="AR681" s="395">
        <f>(IF($H681="x",VLOOKUP($I681,'AUX-NIV2'!$B:$X,'AUX-NIV1'!AR$3,FALSE),0)+($AV681*'AUX-NIV3'!T$4))*$O681+IF($H681=AR$4,$P681,0)</f>
        <v>0</v>
      </c>
      <c r="AS681" s="395">
        <f>(IF($H681="x",VLOOKUP($I681,'AUX-NIV2'!$B:$X,'AUX-NIV1'!AS$3,FALSE),0)+($AV681*'AUX-NIV3'!U$4))*$O681+IF($H681=AS$4,$P681,0)</f>
        <v>0</v>
      </c>
      <c r="AT681" s="395">
        <f>(IF($H681="x",VLOOKUP($I681,'AUX-NIV2'!$B:$X,'AUX-NIV1'!AT$3,FALSE),0)+($AV681*'AUX-NIV3'!V$4))*$O681+IF($H681=AT$4,$P681,0)</f>
        <v>0</v>
      </c>
      <c r="AU681" s="395">
        <f>(IF($H681="x",VLOOKUP($I681,'AUX-NIV2'!$B:$X,'AUX-NIV1'!AU$3,FALSE),0)+($AV681*'AUX-NIV3'!W$4))*$O681+IF($H681=AU$4,$P681,0)</f>
        <v>0</v>
      </c>
      <c r="AV681" s="395">
        <f>+IF($H681="x",VLOOKUP($I681,'AUX-NIV2'!$B:$X,'AUX-NIV1'!AV$3,FALSE),0)</f>
        <v>835.00912158392737</v>
      </c>
    </row>
    <row r="682" spans="2:48" ht="14.4" hidden="1" thickTop="1" thickBot="1">
      <c r="B682" s="1374" t="s">
        <v>3791</v>
      </c>
      <c r="C682" s="1375" t="s">
        <v>3792</v>
      </c>
      <c r="D682" s="1376" t="s">
        <v>477</v>
      </c>
      <c r="E682" s="1377">
        <f>IF(B682&lt;&gt;"",+SUMIF(Items!C:C,'AUX-NIV1'!B682,Items!H:H),"")</f>
        <v>0</v>
      </c>
      <c r="F682" s="1377">
        <f t="shared" si="659"/>
        <v>1789.365550878081</v>
      </c>
      <c r="G682" s="1377">
        <f t="shared" si="660"/>
        <v>0</v>
      </c>
      <c r="H682" s="1395" t="str">
        <f t="shared" si="745"/>
        <v>X</v>
      </c>
      <c r="I682" s="1375" t="s">
        <v>1504</v>
      </c>
      <c r="J682" s="1378" t="str">
        <f>IF(B682&lt;&gt;"",+VLOOKUP(I682,Recursos!C:F,2,FALSE),"")</f>
        <v>Transporte de Hormigón</v>
      </c>
      <c r="K682" s="1379" t="str">
        <f>IF(B682&lt;&gt;"",+VLOOKUP(I682,Recursos!C:F,3,FALSE),"")</f>
        <v>m3</v>
      </c>
      <c r="L682" s="1380">
        <f>IF(B682&lt;&gt;"",+VLOOKUP(I682,Recursos!C:F,4,FALSE),"")</f>
        <v>440.72547018462734</v>
      </c>
      <c r="M682" s="441"/>
      <c r="N682" s="1389"/>
      <c r="O682" s="1382">
        <f>+M681*M684*(1-M683)</f>
        <v>0</v>
      </c>
      <c r="P682" s="1383">
        <f t="shared" si="747"/>
        <v>0</v>
      </c>
      <c r="Q682" s="1377">
        <f t="shared" si="748"/>
        <v>0</v>
      </c>
      <c r="R682" s="1384">
        <f t="shared" si="749"/>
        <v>0</v>
      </c>
      <c r="S682" s="1385">
        <f t="shared" si="661"/>
        <v>0</v>
      </c>
      <c r="T682" s="1385">
        <f t="shared" si="662"/>
        <v>0</v>
      </c>
      <c r="U682" s="1386">
        <f t="shared" si="663"/>
        <v>841.55925619834716</v>
      </c>
      <c r="V682" s="1386">
        <f t="shared" si="664"/>
        <v>0</v>
      </c>
      <c r="W682" s="1386">
        <f t="shared" si="665"/>
        <v>0</v>
      </c>
      <c r="X682" s="1386">
        <f t="shared" si="666"/>
        <v>947.80629467973392</v>
      </c>
      <c r="Y682" s="396"/>
      <c r="Z682" s="1387" t="str">
        <f t="shared" si="750"/>
        <v>0-CORDONA</v>
      </c>
      <c r="AA682" s="1387" t="str">
        <f t="shared" si="751"/>
        <v>0-CORDONE</v>
      </c>
      <c r="AB682" s="1387" t="str">
        <f t="shared" si="752"/>
        <v>0-CORDONM</v>
      </c>
      <c r="AC682" s="1387" t="str">
        <f t="shared" si="753"/>
        <v>0-CORDONT</v>
      </c>
      <c r="AD682" s="1387" t="str">
        <f t="shared" si="754"/>
        <v>0-CORDONS</v>
      </c>
      <c r="AE682" s="1387" t="str">
        <f t="shared" si="755"/>
        <v>0-CORDONX</v>
      </c>
      <c r="AF682" s="1387" t="str">
        <f t="shared" si="756"/>
        <v>0-CORDONX</v>
      </c>
      <c r="AG682" s="1387">
        <f t="shared" si="667"/>
        <v>11</v>
      </c>
      <c r="AH682" s="1387">
        <f>IF(B682&lt;&gt;"",+IF(H682="x",+VLOOKUP(I682,'AUX-NIV2'!B:AG,32,FALSE),0),"")</f>
        <v>2</v>
      </c>
      <c r="AI682" s="1387" t="str">
        <f t="shared" si="757"/>
        <v>0-CORDON</v>
      </c>
      <c r="AK682" s="347">
        <f t="shared" si="668"/>
        <v>679</v>
      </c>
      <c r="AL682" s="348">
        <f t="shared" si="758"/>
        <v>689</v>
      </c>
      <c r="AM682" s="347">
        <f t="shared" si="759"/>
        <v>4</v>
      </c>
      <c r="AN682" s="382">
        <f>IF(AND(AH682&gt;0,B682&lt;&gt;""),VLOOKUP(I682,'AUX-NIV2'!$B:$AP,40,FALSE)*O682,0)</f>
        <v>0</v>
      </c>
      <c r="AO682" s="382">
        <f t="shared" si="669"/>
        <v>1.6881250000000001</v>
      </c>
      <c r="AQ682" s="395">
        <f>(IF($H682="x",VLOOKUP($I682,'AUX-NIV2'!$B:$X,'AUX-NIV1'!AQ$3,FALSE),0)+($AV682*'AUX-NIV3'!S$4))*$O682+IF($H682=AQ$4,$P682,0)</f>
        <v>0</v>
      </c>
      <c r="AR682" s="395">
        <f>(IF($H682="x",VLOOKUP($I682,'AUX-NIV2'!$B:$X,'AUX-NIV1'!AR$3,FALSE),0)+($AV682*'AUX-NIV3'!T$4))*$O682+IF($H682=AR$4,$P682,0)</f>
        <v>0</v>
      </c>
      <c r="AS682" s="395">
        <f>(IF($H682="x",VLOOKUP($I682,'AUX-NIV2'!$B:$X,'AUX-NIV1'!AS$3,FALSE),0)+($AV682*'AUX-NIV3'!U$4))*$O682+IF($H682=AS$4,$P682,0)</f>
        <v>0</v>
      </c>
      <c r="AT682" s="395">
        <f>(IF($H682="x",VLOOKUP($I682,'AUX-NIV2'!$B:$X,'AUX-NIV1'!AT$3,FALSE),0)+($AV682*'AUX-NIV3'!V$4))*$O682+IF($H682=AT$4,$P682,0)</f>
        <v>0</v>
      </c>
      <c r="AU682" s="395">
        <f>(IF($H682="x",VLOOKUP($I682,'AUX-NIV2'!$B:$X,'AUX-NIV1'!AU$3,FALSE),0)+($AV682*'AUX-NIV3'!W$4))*$O682+IF($H682=AU$4,$P682,0)</f>
        <v>0</v>
      </c>
      <c r="AV682" s="395">
        <f>+IF($H682="x",VLOOKUP($I682,'AUX-NIV2'!$B:$X,'AUX-NIV1'!AV$3,FALSE),0)</f>
        <v>0</v>
      </c>
    </row>
    <row r="683" spans="2:48" ht="14.4" hidden="1" thickTop="1" thickBot="1">
      <c r="B683" s="1374" t="s">
        <v>3791</v>
      </c>
      <c r="C683" s="1375" t="s">
        <v>3792</v>
      </c>
      <c r="D683" s="1376" t="s">
        <v>477</v>
      </c>
      <c r="E683" s="1377">
        <f>IF(B683&lt;&gt;"",+SUMIF(Items!C:C,'AUX-NIV1'!B683,Items!H:H),"")</f>
        <v>0</v>
      </c>
      <c r="F683" s="1377">
        <f t="shared" si="659"/>
        <v>1789.365550878081</v>
      </c>
      <c r="G683" s="1377">
        <f t="shared" si="660"/>
        <v>0</v>
      </c>
      <c r="H683" s="1395" t="str">
        <f t="shared" si="745"/>
        <v>M</v>
      </c>
      <c r="I683" s="1375" t="s">
        <v>3695</v>
      </c>
      <c r="J683" s="1378" t="str">
        <f>IF(B683&lt;&gt;"",+VLOOKUP(I683,Recursos!C:F,2,FALSE),"")</f>
        <v>HORMIGON ELABORADO H21 TRANSPORTADO</v>
      </c>
      <c r="K683" s="1379" t="str">
        <f>IF(B683&lt;&gt;"",+VLOOKUP(I683,Recursos!C:F,3,FALSE),"")</f>
        <v>m3</v>
      </c>
      <c r="L683" s="1380">
        <f>IF(B683&lt;&gt;"",+VLOOKUP(I683,Recursos!C:F,4,FALSE),"")</f>
        <v>4400</v>
      </c>
      <c r="M683" s="1390">
        <v>1</v>
      </c>
      <c r="N683" s="1389"/>
      <c r="O683" s="1382">
        <f>+M681*M684*M683</f>
        <v>0.100425</v>
      </c>
      <c r="P683" s="1383">
        <f t="shared" si="747"/>
        <v>441.87</v>
      </c>
      <c r="Q683" s="1377">
        <f t="shared" si="748"/>
        <v>0</v>
      </c>
      <c r="R683" s="1384">
        <f t="shared" si="749"/>
        <v>0</v>
      </c>
      <c r="S683" s="1385">
        <f t="shared" si="661"/>
        <v>0</v>
      </c>
      <c r="T683" s="1385">
        <f t="shared" si="662"/>
        <v>0</v>
      </c>
      <c r="U683" s="1386">
        <f t="shared" si="663"/>
        <v>841.55925619834716</v>
      </c>
      <c r="V683" s="1386">
        <f t="shared" si="664"/>
        <v>0</v>
      </c>
      <c r="W683" s="1386">
        <f t="shared" si="665"/>
        <v>0</v>
      </c>
      <c r="X683" s="1386">
        <f t="shared" si="666"/>
        <v>947.80629467973392</v>
      </c>
      <c r="Y683" s="396"/>
      <c r="Z683" s="1387" t="str">
        <f t="shared" si="750"/>
        <v>0-CORDONA</v>
      </c>
      <c r="AA683" s="1387" t="str">
        <f t="shared" si="751"/>
        <v>0-CORDONE</v>
      </c>
      <c r="AB683" s="1387" t="str">
        <f t="shared" si="752"/>
        <v>0-CORDONM</v>
      </c>
      <c r="AC683" s="1387" t="str">
        <f t="shared" si="753"/>
        <v>0-CORDONT</v>
      </c>
      <c r="AD683" s="1387" t="str">
        <f t="shared" si="754"/>
        <v>0-CORDONS</v>
      </c>
      <c r="AE683" s="1387" t="str">
        <f t="shared" si="755"/>
        <v>0-CORDONX</v>
      </c>
      <c r="AF683" s="1387" t="str">
        <f t="shared" si="756"/>
        <v>0-CORDONM</v>
      </c>
      <c r="AG683" s="1387">
        <f t="shared" si="667"/>
        <v>11</v>
      </c>
      <c r="AH683" s="1387">
        <f>IF(B683&lt;&gt;"",+IF(H683="x",+VLOOKUP(I683,'AUX-NIV2'!B:AG,32,FALSE),0),"")</f>
        <v>0</v>
      </c>
      <c r="AI683" s="1387" t="str">
        <f t="shared" si="757"/>
        <v>0-CORDON</v>
      </c>
      <c r="AK683" s="347">
        <f t="shared" si="668"/>
        <v>679</v>
      </c>
      <c r="AL683" s="348">
        <f t="shared" si="758"/>
        <v>689</v>
      </c>
      <c r="AM683" s="347">
        <f t="shared" si="759"/>
        <v>5</v>
      </c>
      <c r="AN683" s="382">
        <f>IF(AND(AH683&gt;0,B683&lt;&gt;""),VLOOKUP(I683,'AUX-NIV2'!$B:$AP,40,FALSE)*O683,0)</f>
        <v>0</v>
      </c>
      <c r="AO683" s="382">
        <f t="shared" si="669"/>
        <v>1.6881250000000001</v>
      </c>
      <c r="AQ683" s="395">
        <f>(IF($H683="x",VLOOKUP($I683,'AUX-NIV2'!$B:$X,'AUX-NIV1'!AQ$3,FALSE),0)+($AV683*'AUX-NIV3'!S$4))*$O683+IF($H683=AQ$4,$P683,0)</f>
        <v>0</v>
      </c>
      <c r="AR683" s="395">
        <f>(IF($H683="x",VLOOKUP($I683,'AUX-NIV2'!$B:$X,'AUX-NIV1'!AR$3,FALSE),0)+($AV683*'AUX-NIV3'!T$4))*$O683+IF($H683=AR$4,$P683,0)</f>
        <v>0</v>
      </c>
      <c r="AS683" s="395">
        <f>(IF($H683="x",VLOOKUP($I683,'AUX-NIV2'!$B:$X,'AUX-NIV1'!AS$3,FALSE),0)+($AV683*'AUX-NIV3'!U$4))*$O683+IF($H683=AS$4,$P683,0)</f>
        <v>441.87</v>
      </c>
      <c r="AT683" s="395">
        <f>(IF($H683="x",VLOOKUP($I683,'AUX-NIV2'!$B:$X,'AUX-NIV1'!AT$3,FALSE),0)+($AV683*'AUX-NIV3'!V$4))*$O683+IF($H683=AT$4,$P683,0)</f>
        <v>0</v>
      </c>
      <c r="AU683" s="395">
        <f>(IF($H683="x",VLOOKUP($I683,'AUX-NIV2'!$B:$X,'AUX-NIV1'!AU$3,FALSE),0)+($AV683*'AUX-NIV3'!W$4))*$O683+IF($H683=AU$4,$P683,0)</f>
        <v>0</v>
      </c>
      <c r="AV683" s="395">
        <f>+IF($H683="x",VLOOKUP($I683,'AUX-NIV2'!$B:$X,'AUX-NIV1'!AV$3,FALSE),0)</f>
        <v>0</v>
      </c>
    </row>
    <row r="684" spans="2:48" ht="14.4" hidden="1" thickTop="1" thickBot="1">
      <c r="B684" s="1374" t="s">
        <v>3791</v>
      </c>
      <c r="C684" s="1375" t="s">
        <v>3792</v>
      </c>
      <c r="D684" s="1376" t="s">
        <v>477</v>
      </c>
      <c r="E684" s="1377">
        <f>IF(B684&lt;&gt;"",+SUMIF(Items!C:C,'AUX-NIV1'!B684,Items!H:H),"")</f>
        <v>0</v>
      </c>
      <c r="F684" s="1377">
        <f t="shared" si="659"/>
        <v>1789.365550878081</v>
      </c>
      <c r="G684" s="1377">
        <f t="shared" si="660"/>
        <v>0</v>
      </c>
      <c r="H684" s="1395" t="str">
        <f t="shared" si="745"/>
        <v>X</v>
      </c>
      <c r="I684" s="1375" t="s">
        <v>2865</v>
      </c>
      <c r="J684" s="1378" t="str">
        <f>IF(B684&lt;&gt;"",+VLOOKUP(I684,Recursos!C:F,2,FALSE),"")</f>
        <v>Colado Hormigón desde Mixer</v>
      </c>
      <c r="K684" s="1379" t="str">
        <f>IF(B684&lt;&gt;"",+VLOOKUP(I684,Recursos!C:F,3,FALSE),"")</f>
        <v>m3</v>
      </c>
      <c r="L684" s="1380">
        <f>IF(B684&lt;&gt;"",+VLOOKUP(I684,Recursos!C:F,4,FALSE),"")</f>
        <v>1031.7487777591643</v>
      </c>
      <c r="M684" s="441">
        <v>1.03</v>
      </c>
      <c r="N684" s="1389"/>
      <c r="O684" s="1382">
        <f>+M681</f>
        <v>9.7500000000000003E-2</v>
      </c>
      <c r="P684" s="1383">
        <f t="shared" si="747"/>
        <v>100.59550583151852</v>
      </c>
      <c r="Q684" s="1377">
        <f t="shared" si="748"/>
        <v>0</v>
      </c>
      <c r="R684" s="1384">
        <f t="shared" si="749"/>
        <v>0</v>
      </c>
      <c r="S684" s="1385">
        <f t="shared" si="661"/>
        <v>0</v>
      </c>
      <c r="T684" s="1385">
        <f t="shared" si="662"/>
        <v>0</v>
      </c>
      <c r="U684" s="1386">
        <f t="shared" si="663"/>
        <v>841.55925619834716</v>
      </c>
      <c r="V684" s="1386">
        <f t="shared" si="664"/>
        <v>0</v>
      </c>
      <c r="W684" s="1386">
        <f t="shared" si="665"/>
        <v>0</v>
      </c>
      <c r="X684" s="1386">
        <f t="shared" si="666"/>
        <v>947.80629467973392</v>
      </c>
      <c r="Y684" s="396"/>
      <c r="Z684" s="1387" t="str">
        <f t="shared" si="750"/>
        <v>0-CORDONA</v>
      </c>
      <c r="AA684" s="1387" t="str">
        <f t="shared" si="751"/>
        <v>0-CORDONE</v>
      </c>
      <c r="AB684" s="1387" t="str">
        <f t="shared" si="752"/>
        <v>0-CORDONM</v>
      </c>
      <c r="AC684" s="1387" t="str">
        <f t="shared" si="753"/>
        <v>0-CORDONT</v>
      </c>
      <c r="AD684" s="1387" t="str">
        <f t="shared" si="754"/>
        <v>0-CORDONS</v>
      </c>
      <c r="AE684" s="1387" t="str">
        <f t="shared" si="755"/>
        <v>0-CORDONX</v>
      </c>
      <c r="AF684" s="1387" t="str">
        <f t="shared" si="756"/>
        <v>0-CORDONX</v>
      </c>
      <c r="AG684" s="1387">
        <f t="shared" si="667"/>
        <v>11</v>
      </c>
      <c r="AH684" s="1387">
        <f>IF(B684&lt;&gt;"",+IF(H684="x",+VLOOKUP(I684,'AUX-NIV2'!B:AG,32,FALSE),0),"")</f>
        <v>8</v>
      </c>
      <c r="AI684" s="1387" t="str">
        <f t="shared" si="757"/>
        <v>0-CORDON</v>
      </c>
      <c r="AK684" s="347">
        <f t="shared" si="668"/>
        <v>679</v>
      </c>
      <c r="AL684" s="348">
        <f t="shared" si="758"/>
        <v>689</v>
      </c>
      <c r="AM684" s="347">
        <f t="shared" si="759"/>
        <v>6</v>
      </c>
      <c r="AN684" s="382">
        <f>IF(AND(AH684&gt;0,B684&lt;&gt;""),VLOOKUP(I684,'AUX-NIV2'!$B:$AP,40,FALSE)*O684,0)</f>
        <v>0.170625</v>
      </c>
      <c r="AO684" s="382">
        <f t="shared" si="669"/>
        <v>1.6881250000000001</v>
      </c>
      <c r="AQ684" s="395">
        <f>(IF($H684="x",VLOOKUP($I684,'AUX-NIV2'!$B:$X,'AUX-NIV1'!AQ$3,FALSE),0)+($AV684*'AUX-NIV3'!S$4))*$O684+IF($H684=AQ$4,$P684,0)</f>
        <v>81.394227306518516</v>
      </c>
      <c r="AR684" s="395">
        <f>(IF($H684="x",VLOOKUP($I684,'AUX-NIV2'!$B:$X,'AUX-NIV1'!AR$3,FALSE),0)+($AV684*'AUX-NIV3'!T$4))*$O684+IF($H684=AR$4,$P684,0)</f>
        <v>19.201278524999999</v>
      </c>
      <c r="AS684" s="395">
        <f>(IF($H684="x",VLOOKUP($I684,'AUX-NIV2'!$B:$X,'AUX-NIV1'!AS$3,FALSE),0)+($AV684*'AUX-NIV3'!U$4))*$O684+IF($H684=AS$4,$P684,0)</f>
        <v>0</v>
      </c>
      <c r="AT684" s="395">
        <f>(IF($H684="x",VLOOKUP($I684,'AUX-NIV2'!$B:$X,'AUX-NIV1'!AT$3,FALSE),0)+($AV684*'AUX-NIV3'!V$4))*$O684+IF($H684=AT$4,$P684,0)</f>
        <v>0</v>
      </c>
      <c r="AU684" s="395">
        <f>(IF($H684="x",VLOOKUP($I684,'AUX-NIV2'!$B:$X,'AUX-NIV1'!AU$3,FALSE),0)+($AV684*'AUX-NIV3'!W$4))*$O684+IF($H684=AU$4,$P684,0)</f>
        <v>0</v>
      </c>
      <c r="AV684" s="395">
        <f>+IF($H684="x",VLOOKUP($I684,'AUX-NIV2'!$B:$X,'AUX-NIV1'!AV$3,FALSE),0)</f>
        <v>0</v>
      </c>
    </row>
    <row r="685" spans="2:48" ht="14.4" hidden="1" thickTop="1" thickBot="1">
      <c r="B685" s="1374" t="s">
        <v>3791</v>
      </c>
      <c r="C685" s="1375" t="s">
        <v>3792</v>
      </c>
      <c r="D685" s="1376" t="s">
        <v>477</v>
      </c>
      <c r="E685" s="1377">
        <f>IF(B685&lt;&gt;"",+SUMIF(Items!C:C,'AUX-NIV1'!B685,Items!H:H),"")</f>
        <v>0</v>
      </c>
      <c r="F685" s="1377">
        <f t="shared" si="659"/>
        <v>1789.365550878081</v>
      </c>
      <c r="G685" s="1377">
        <f t="shared" si="660"/>
        <v>0</v>
      </c>
      <c r="H685" s="1395" t="str">
        <f t="shared" si="745"/>
        <v>X</v>
      </c>
      <c r="I685" s="1375" t="s">
        <v>1506</v>
      </c>
      <c r="J685" s="1378" t="str">
        <f>IF(B685&lt;&gt;"",+VLOOKUP(I685,Recursos!C:F,2,FALSE),"")</f>
        <v>Curado de Hormigón</v>
      </c>
      <c r="K685" s="1379" t="str">
        <f>IF(B685&lt;&gt;"",+VLOOKUP(I685,Recursos!C:F,3,FALSE),"")</f>
        <v>m2</v>
      </c>
      <c r="L685" s="1380">
        <f>IF(B685&lt;&gt;"",+VLOOKUP(I685,Recursos!C:F,4,FALSE),"")</f>
        <v>119.57804276966723</v>
      </c>
      <c r="M685" s="541"/>
      <c r="N685" s="1389"/>
      <c r="O685" s="1382">
        <f>+M686</f>
        <v>0.6</v>
      </c>
      <c r="P685" s="1383">
        <f t="shared" si="747"/>
        <v>71.746825661800344</v>
      </c>
      <c r="Q685" s="1377">
        <f t="shared" si="748"/>
        <v>0</v>
      </c>
      <c r="R685" s="1384">
        <f t="shared" si="749"/>
        <v>0</v>
      </c>
      <c r="S685" s="1385">
        <f t="shared" si="661"/>
        <v>0</v>
      </c>
      <c r="T685" s="1385">
        <f t="shared" si="662"/>
        <v>0</v>
      </c>
      <c r="U685" s="1386">
        <f t="shared" si="663"/>
        <v>841.55925619834716</v>
      </c>
      <c r="V685" s="1386">
        <f t="shared" si="664"/>
        <v>0</v>
      </c>
      <c r="W685" s="1386">
        <f t="shared" si="665"/>
        <v>0</v>
      </c>
      <c r="X685" s="1386">
        <f t="shared" si="666"/>
        <v>947.80629467973392</v>
      </c>
      <c r="Y685" s="396"/>
      <c r="Z685" s="1387" t="str">
        <f t="shared" si="750"/>
        <v>0-CORDONA</v>
      </c>
      <c r="AA685" s="1387" t="str">
        <f t="shared" si="751"/>
        <v>0-CORDONE</v>
      </c>
      <c r="AB685" s="1387" t="str">
        <f t="shared" si="752"/>
        <v>0-CORDONM</v>
      </c>
      <c r="AC685" s="1387" t="str">
        <f t="shared" si="753"/>
        <v>0-CORDONT</v>
      </c>
      <c r="AD685" s="1387" t="str">
        <f t="shared" si="754"/>
        <v>0-CORDONS</v>
      </c>
      <c r="AE685" s="1387" t="str">
        <f t="shared" si="755"/>
        <v>0-CORDONX</v>
      </c>
      <c r="AF685" s="1387" t="str">
        <f t="shared" si="756"/>
        <v>0-CORDONX</v>
      </c>
      <c r="AG685" s="1387">
        <f t="shared" si="667"/>
        <v>11</v>
      </c>
      <c r="AH685" s="1387">
        <f>IF(B685&lt;&gt;"",+IF(H685="x",+VLOOKUP(I685,'AUX-NIV2'!B:AG,32,FALSE),0),"")</f>
        <v>3</v>
      </c>
      <c r="AI685" s="1387" t="str">
        <f t="shared" si="757"/>
        <v>0-CORDON</v>
      </c>
      <c r="AK685" s="347">
        <f t="shared" si="668"/>
        <v>679</v>
      </c>
      <c r="AL685" s="348">
        <f t="shared" si="758"/>
        <v>689</v>
      </c>
      <c r="AM685" s="347">
        <f t="shared" si="759"/>
        <v>7</v>
      </c>
      <c r="AN685" s="382">
        <f>IF(AND(AH685&gt;0,B685&lt;&gt;""),VLOOKUP(I685,'AUX-NIV2'!$B:$AP,40,FALSE)*O685,0)</f>
        <v>0.06</v>
      </c>
      <c r="AO685" s="382">
        <f t="shared" si="669"/>
        <v>1.6881250000000001</v>
      </c>
      <c r="AQ685" s="395">
        <f>(IF($H685="x",VLOOKUP($I685,'AUX-NIV2'!$B:$X,'AUX-NIV1'!AQ$3,FALSE),0)+($AV685*'AUX-NIV3'!S$4))*$O685+IF($H685=AQ$4,$P685,0)</f>
        <v>25.34882566180034</v>
      </c>
      <c r="AR685" s="395">
        <f>(IF($H685="x",VLOOKUP($I685,'AUX-NIV2'!$B:$X,'AUX-NIV1'!AR$3,FALSE),0)+($AV685*'AUX-NIV3'!T$4))*$O685+IF($H685=AR$4,$P685,0)</f>
        <v>0</v>
      </c>
      <c r="AS685" s="395">
        <f>(IF($H685="x",VLOOKUP($I685,'AUX-NIV2'!$B:$X,'AUX-NIV1'!AS$3,FALSE),0)+($AV685*'AUX-NIV3'!U$4))*$O685+IF($H685=AS$4,$P685,0)</f>
        <v>46.397999999999996</v>
      </c>
      <c r="AT685" s="395">
        <f>(IF($H685="x",VLOOKUP($I685,'AUX-NIV2'!$B:$X,'AUX-NIV1'!AT$3,FALSE),0)+($AV685*'AUX-NIV3'!V$4))*$O685+IF($H685=AT$4,$P685,0)</f>
        <v>0</v>
      </c>
      <c r="AU685" s="395">
        <f>(IF($H685="x",VLOOKUP($I685,'AUX-NIV2'!$B:$X,'AUX-NIV1'!AU$3,FALSE),0)+($AV685*'AUX-NIV3'!W$4))*$O685+IF($H685=AU$4,$P685,0)</f>
        <v>0</v>
      </c>
      <c r="AV685" s="395">
        <f>+IF($H685="x",VLOOKUP($I685,'AUX-NIV2'!$B:$X,'AUX-NIV1'!AV$3,FALSE),0)</f>
        <v>0</v>
      </c>
    </row>
    <row r="686" spans="2:48" ht="14.4" hidden="1" thickTop="1" thickBot="1">
      <c r="B686" s="1374" t="s">
        <v>3791</v>
      </c>
      <c r="C686" s="1375" t="s">
        <v>3792</v>
      </c>
      <c r="D686" s="1376" t="s">
        <v>477</v>
      </c>
      <c r="E686" s="1377">
        <f>IF(B686&lt;&gt;"",+SUMIF(Items!C:C,'AUX-NIV1'!B686,Items!H:H),"")</f>
        <v>0</v>
      </c>
      <c r="F686" s="1377">
        <f t="shared" si="659"/>
        <v>1789.365550878081</v>
      </c>
      <c r="G686" s="1377">
        <f t="shared" si="660"/>
        <v>0</v>
      </c>
      <c r="H686" s="1395" t="str">
        <f t="shared" si="745"/>
        <v>X</v>
      </c>
      <c r="I686" s="1375" t="s">
        <v>3506</v>
      </c>
      <c r="J686" s="1378" t="str">
        <f>IF(B686&lt;&gt;"",+VLOOKUP(I686,Recursos!C:F,2,FALSE),"")</f>
        <v>Encofrado para cordón</v>
      </c>
      <c r="K686" s="1379" t="str">
        <f>IF(B686&lt;&gt;"",+VLOOKUP(I686,Recursos!C:F,3,FALSE),"")</f>
        <v>m2</v>
      </c>
      <c r="L686" s="1380">
        <f>IF(B686&lt;&gt;"",+VLOOKUP(I686,Recursos!C:F,4,FALSE),"")</f>
        <v>1063.0771239919991</v>
      </c>
      <c r="M686" s="441">
        <f>(0.15*2+0.3)</f>
        <v>0.6</v>
      </c>
      <c r="N686" s="1389"/>
      <c r="O686" s="1382">
        <f>+M686</f>
        <v>0.6</v>
      </c>
      <c r="P686" s="1383">
        <f t="shared" si="747"/>
        <v>637.84627439519943</v>
      </c>
      <c r="Q686" s="1377">
        <f t="shared" si="748"/>
        <v>0</v>
      </c>
      <c r="R686" s="1384">
        <f t="shared" si="749"/>
        <v>0</v>
      </c>
      <c r="S686" s="1385">
        <f t="shared" si="661"/>
        <v>0</v>
      </c>
      <c r="T686" s="1385">
        <f t="shared" si="662"/>
        <v>0</v>
      </c>
      <c r="U686" s="1386">
        <f t="shared" si="663"/>
        <v>841.55925619834716</v>
      </c>
      <c r="V686" s="1386">
        <f t="shared" si="664"/>
        <v>0</v>
      </c>
      <c r="W686" s="1386">
        <f t="shared" si="665"/>
        <v>0</v>
      </c>
      <c r="X686" s="1386">
        <f t="shared" si="666"/>
        <v>947.80629467973392</v>
      </c>
      <c r="Y686" s="396"/>
      <c r="Z686" s="1387" t="str">
        <f t="shared" si="750"/>
        <v>0-CORDONA</v>
      </c>
      <c r="AA686" s="1387" t="str">
        <f t="shared" si="751"/>
        <v>0-CORDONE</v>
      </c>
      <c r="AB686" s="1387" t="str">
        <f t="shared" si="752"/>
        <v>0-CORDONM</v>
      </c>
      <c r="AC686" s="1387" t="str">
        <f t="shared" si="753"/>
        <v>0-CORDONT</v>
      </c>
      <c r="AD686" s="1387" t="str">
        <f t="shared" si="754"/>
        <v>0-CORDONS</v>
      </c>
      <c r="AE686" s="1387" t="str">
        <f t="shared" si="755"/>
        <v>0-CORDONX</v>
      </c>
      <c r="AF686" s="1387" t="str">
        <f t="shared" si="756"/>
        <v>0-CORDONX</v>
      </c>
      <c r="AG686" s="1387">
        <f t="shared" si="667"/>
        <v>11</v>
      </c>
      <c r="AH686" s="1387">
        <f>IF(B686&lt;&gt;"",+IF(H686="x",+VLOOKUP(I686,'AUX-NIV2'!B:AG,32,FALSE),0),"")</f>
        <v>11</v>
      </c>
      <c r="AI686" s="1387" t="str">
        <f t="shared" si="757"/>
        <v>0-CORDON</v>
      </c>
      <c r="AK686" s="347">
        <f t="shared" si="668"/>
        <v>679</v>
      </c>
      <c r="AL686" s="348">
        <f t="shared" si="758"/>
        <v>689</v>
      </c>
      <c r="AM686" s="347">
        <f t="shared" si="759"/>
        <v>8</v>
      </c>
      <c r="AN686" s="382">
        <f>IF(AND(AH686&gt;0,B686&lt;&gt;""),VLOOKUP(I686,'AUX-NIV2'!$B:$AP,40,FALSE)*O686,0)</f>
        <v>1.2375</v>
      </c>
      <c r="AO686" s="382">
        <f t="shared" si="669"/>
        <v>1.6881250000000001</v>
      </c>
      <c r="AQ686" s="395">
        <f>(IF($H686="x",VLOOKUP($I686,'AUX-NIV2'!$B:$X,'AUX-NIV1'!AQ$3,FALSE),0)+($AV686*'AUX-NIV3'!S$4))*$O686+IF($H686=AQ$4,$P686,0)</f>
        <v>595.51575265606891</v>
      </c>
      <c r="AR686" s="395">
        <f>(IF($H686="x",VLOOKUP($I686,'AUX-NIV2'!$B:$X,'AUX-NIV1'!AR$3,FALSE),0)+($AV686*'AUX-NIV3'!T$4))*$O686+IF($H686=AR$4,$P686,0)</f>
        <v>0</v>
      </c>
      <c r="AS686" s="395">
        <f>(IF($H686="x",VLOOKUP($I686,'AUX-NIV2'!$B:$X,'AUX-NIV1'!AS$3,FALSE),0)+($AV686*'AUX-NIV3'!U$4))*$O686+IF($H686=AS$4,$P686,0)</f>
        <v>42.33052173913044</v>
      </c>
      <c r="AT686" s="395">
        <f>(IF($H686="x",VLOOKUP($I686,'AUX-NIV2'!$B:$X,'AUX-NIV1'!AT$3,FALSE),0)+($AV686*'AUX-NIV3'!V$4))*$O686+IF($H686=AT$4,$P686,0)</f>
        <v>0</v>
      </c>
      <c r="AU686" s="395">
        <f>(IF($H686="x",VLOOKUP($I686,'AUX-NIV2'!$B:$X,'AUX-NIV1'!AU$3,FALSE),0)+($AV686*'AUX-NIV3'!W$4))*$O686+IF($H686=AU$4,$P686,0)</f>
        <v>0</v>
      </c>
      <c r="AV686" s="395">
        <f>+IF($H686="x",VLOOKUP($I686,'AUX-NIV2'!$B:$X,'AUX-NIV1'!AV$3,FALSE),0)</f>
        <v>0</v>
      </c>
    </row>
    <row r="687" spans="2:48" ht="14.4" hidden="1" thickTop="1" thickBot="1">
      <c r="B687" s="1374" t="s">
        <v>3791</v>
      </c>
      <c r="C687" s="1375" t="s">
        <v>3792</v>
      </c>
      <c r="D687" s="1376" t="s">
        <v>477</v>
      </c>
      <c r="E687" s="1377">
        <f>IF(B687&lt;&gt;"",+SUMIF(Items!C:C,'AUX-NIV1'!B687,Items!H:H),"")</f>
        <v>0</v>
      </c>
      <c r="F687" s="1377">
        <f t="shared" si="659"/>
        <v>1789.365550878081</v>
      </c>
      <c r="G687" s="1377">
        <f t="shared" si="660"/>
        <v>0</v>
      </c>
      <c r="H687" s="1395" t="str">
        <f t="shared" si="745"/>
        <v>M</v>
      </c>
      <c r="I687" s="1375" t="s">
        <v>1751</v>
      </c>
      <c r="J687" s="1378" t="str">
        <f>IF(B687&lt;&gt;"",+VLOOKUP(I687,Recursos!C:F,2,FALSE),"")</f>
        <v>ACERO TIPO ADN 420</v>
      </c>
      <c r="K687" s="1379" t="str">
        <f>IF(B687&lt;&gt;"",+VLOOKUP(I687,Recursos!C:F,3,FALSE),"")</f>
        <v>tn</v>
      </c>
      <c r="L687" s="1380">
        <f>IF(B687&lt;&gt;"",+VLOOKUP(I687,Recursos!C:F,4,FALSE),"")</f>
        <v>185041.32231404958</v>
      </c>
      <c r="M687" s="441">
        <v>2E-3</v>
      </c>
      <c r="N687" s="1391">
        <v>1.08</v>
      </c>
      <c r="O687" s="1382">
        <f>+M687*N687</f>
        <v>2.16E-3</v>
      </c>
      <c r="P687" s="1383">
        <f t="shared" si="747"/>
        <v>399.6892561983471</v>
      </c>
      <c r="Q687" s="1377">
        <f t="shared" si="748"/>
        <v>0</v>
      </c>
      <c r="R687" s="1384">
        <f t="shared" si="749"/>
        <v>0</v>
      </c>
      <c r="S687" s="1385">
        <f t="shared" si="661"/>
        <v>0</v>
      </c>
      <c r="T687" s="1385">
        <f t="shared" si="662"/>
        <v>0</v>
      </c>
      <c r="U687" s="1386">
        <f t="shared" si="663"/>
        <v>841.55925619834716</v>
      </c>
      <c r="V687" s="1386">
        <f t="shared" si="664"/>
        <v>0</v>
      </c>
      <c r="W687" s="1386">
        <f t="shared" si="665"/>
        <v>0</v>
      </c>
      <c r="X687" s="1386">
        <f t="shared" si="666"/>
        <v>947.80629467973392</v>
      </c>
      <c r="Y687" s="396"/>
      <c r="Z687" s="1387" t="str">
        <f t="shared" si="750"/>
        <v>0-CORDONA</v>
      </c>
      <c r="AA687" s="1387" t="str">
        <f t="shared" si="751"/>
        <v>0-CORDONE</v>
      </c>
      <c r="AB687" s="1387" t="str">
        <f t="shared" si="752"/>
        <v>0-CORDONM</v>
      </c>
      <c r="AC687" s="1387" t="str">
        <f t="shared" si="753"/>
        <v>0-CORDONT</v>
      </c>
      <c r="AD687" s="1387" t="str">
        <f t="shared" si="754"/>
        <v>0-CORDONS</v>
      </c>
      <c r="AE687" s="1387" t="str">
        <f t="shared" si="755"/>
        <v>0-CORDONX</v>
      </c>
      <c r="AF687" s="1387" t="str">
        <f t="shared" si="756"/>
        <v>0-CORDONM</v>
      </c>
      <c r="AG687" s="1387">
        <f t="shared" si="667"/>
        <v>11</v>
      </c>
      <c r="AH687" s="1387">
        <f>IF(B687&lt;&gt;"",+IF(H687="x",+VLOOKUP(I687,'AUX-NIV2'!B:AG,32,FALSE),0),"")</f>
        <v>0</v>
      </c>
      <c r="AI687" s="1387" t="str">
        <f t="shared" si="757"/>
        <v>0-CORDON</v>
      </c>
      <c r="AK687" s="347">
        <f t="shared" si="668"/>
        <v>679</v>
      </c>
      <c r="AL687" s="348">
        <f t="shared" si="758"/>
        <v>689</v>
      </c>
      <c r="AM687" s="347">
        <f t="shared" si="759"/>
        <v>9</v>
      </c>
      <c r="AN687" s="382">
        <f>IF(AND(AH687&gt;0,B687&lt;&gt;""),VLOOKUP(I687,'AUX-NIV2'!$B:$AP,40,FALSE)*O687,0)</f>
        <v>0</v>
      </c>
      <c r="AO687" s="382">
        <f t="shared" si="669"/>
        <v>1.6881250000000001</v>
      </c>
      <c r="AQ687" s="395">
        <f>(IF($H687="x",VLOOKUP($I687,'AUX-NIV2'!$B:$X,'AUX-NIV1'!AQ$3,FALSE),0)+($AV687*'AUX-NIV3'!S$4))*$O687+IF($H687=AQ$4,$P687,0)</f>
        <v>0</v>
      </c>
      <c r="AR687" s="395">
        <f>(IF($H687="x",VLOOKUP($I687,'AUX-NIV2'!$B:$X,'AUX-NIV1'!AR$3,FALSE),0)+($AV687*'AUX-NIV3'!T$4))*$O687+IF($H687=AR$4,$P687,0)</f>
        <v>0</v>
      </c>
      <c r="AS687" s="395">
        <f>(IF($H687="x",VLOOKUP($I687,'AUX-NIV2'!$B:$X,'AUX-NIV1'!AS$3,FALSE),0)+($AV687*'AUX-NIV3'!U$4))*$O687+IF($H687=AS$4,$P687,0)</f>
        <v>399.6892561983471</v>
      </c>
      <c r="AT687" s="395">
        <f>(IF($H687="x",VLOOKUP($I687,'AUX-NIV2'!$B:$X,'AUX-NIV1'!AT$3,FALSE),0)+($AV687*'AUX-NIV3'!V$4))*$O687+IF($H687=AT$4,$P687,0)</f>
        <v>0</v>
      </c>
      <c r="AU687" s="395">
        <f>(IF($H687="x",VLOOKUP($I687,'AUX-NIV2'!$B:$X,'AUX-NIV1'!AU$3,FALSE),0)+($AV687*'AUX-NIV3'!W$4))*$O687+IF($H687=AU$4,$P687,0)</f>
        <v>0</v>
      </c>
      <c r="AV687" s="395">
        <f>+IF($H687="x",VLOOKUP($I687,'AUX-NIV2'!$B:$X,'AUX-NIV1'!AV$3,FALSE),0)</f>
        <v>0</v>
      </c>
    </row>
    <row r="688" spans="2:48" ht="14.4" hidden="1" thickTop="1" thickBot="1">
      <c r="B688" s="1374" t="s">
        <v>3791</v>
      </c>
      <c r="C688" s="1375" t="s">
        <v>3792</v>
      </c>
      <c r="D688" s="1376" t="s">
        <v>477</v>
      </c>
      <c r="E688" s="1377">
        <f>IF(B688&lt;&gt;"",+SUMIF(Items!C:C,'AUX-NIV1'!B688,Items!H:H),"")</f>
        <v>0</v>
      </c>
      <c r="F688" s="1377">
        <f t="shared" si="659"/>
        <v>1789.365550878081</v>
      </c>
      <c r="G688" s="1377">
        <f t="shared" si="660"/>
        <v>0</v>
      </c>
      <c r="H688" s="1395" t="str">
        <f t="shared" si="745"/>
        <v>X</v>
      </c>
      <c r="I688" s="1375" t="s">
        <v>2883</v>
      </c>
      <c r="J688" s="1378" t="str">
        <f>IF(B688&lt;&gt;"",+VLOOKUP(I688,Recursos!C:F,2,FALSE),"")</f>
        <v>Corte y doblado de acero</v>
      </c>
      <c r="K688" s="1379" t="str">
        <f>IF(B688&lt;&gt;"",+VLOOKUP(I688,Recursos!C:F,3,FALSE),"")</f>
        <v>tn</v>
      </c>
      <c r="L688" s="1380">
        <f>IF(B688&lt;&gt;"",+VLOOKUP(I688,Recursos!C:F,4,FALSE),"")</f>
        <v>17428.113426266111</v>
      </c>
      <c r="M688" s="541"/>
      <c r="N688" s="1389"/>
      <c r="O688" s="1382">
        <f>M687</f>
        <v>2E-3</v>
      </c>
      <c r="P688" s="1383">
        <f t="shared" si="747"/>
        <v>34.856226852532224</v>
      </c>
      <c r="Q688" s="1377">
        <f t="shared" si="748"/>
        <v>0</v>
      </c>
      <c r="R688" s="1384">
        <f t="shared" si="749"/>
        <v>0</v>
      </c>
      <c r="S688" s="1385">
        <f t="shared" si="661"/>
        <v>0</v>
      </c>
      <c r="T688" s="1385">
        <f t="shared" si="662"/>
        <v>0</v>
      </c>
      <c r="U688" s="1386">
        <f t="shared" si="663"/>
        <v>841.55925619834716</v>
      </c>
      <c r="V688" s="1386">
        <f t="shared" si="664"/>
        <v>0</v>
      </c>
      <c r="W688" s="1386">
        <f t="shared" si="665"/>
        <v>0</v>
      </c>
      <c r="X688" s="1386">
        <f t="shared" si="666"/>
        <v>947.80629467973392</v>
      </c>
      <c r="Y688" s="396"/>
      <c r="Z688" s="1387" t="str">
        <f t="shared" si="750"/>
        <v>0-CORDONA</v>
      </c>
      <c r="AA688" s="1387" t="str">
        <f t="shared" si="751"/>
        <v>0-CORDONE</v>
      </c>
      <c r="AB688" s="1387" t="str">
        <f t="shared" si="752"/>
        <v>0-CORDONM</v>
      </c>
      <c r="AC688" s="1387" t="str">
        <f t="shared" si="753"/>
        <v>0-CORDONT</v>
      </c>
      <c r="AD688" s="1387" t="str">
        <f t="shared" si="754"/>
        <v>0-CORDONS</v>
      </c>
      <c r="AE688" s="1387" t="str">
        <f t="shared" si="755"/>
        <v>0-CORDONX</v>
      </c>
      <c r="AF688" s="1387" t="str">
        <f t="shared" si="756"/>
        <v>0-CORDONX</v>
      </c>
      <c r="AG688" s="1387">
        <f t="shared" si="667"/>
        <v>11</v>
      </c>
      <c r="AH688" s="1387">
        <f>IF(B688&lt;&gt;"",+IF(H688="x",+VLOOKUP(I688,'AUX-NIV2'!B:AG,32,FALSE),0),"")</f>
        <v>4</v>
      </c>
      <c r="AI688" s="1387" t="str">
        <f t="shared" si="757"/>
        <v>0-CORDON</v>
      </c>
      <c r="AK688" s="347">
        <f t="shared" si="668"/>
        <v>679</v>
      </c>
      <c r="AL688" s="348">
        <f t="shared" si="758"/>
        <v>689</v>
      </c>
      <c r="AM688" s="347">
        <f t="shared" si="759"/>
        <v>10</v>
      </c>
      <c r="AN688" s="382">
        <f>IF(AND(AH688&gt;0,B688&lt;&gt;""),VLOOKUP(I688,'AUX-NIV2'!$B:$AP,40,FALSE)*O688,0)</f>
        <v>7.0000000000000007E-2</v>
      </c>
      <c r="AO688" s="382">
        <f t="shared" si="669"/>
        <v>1.6881250000000001</v>
      </c>
      <c r="AQ688" s="395">
        <f>(IF($H688="x",VLOOKUP($I688,'AUX-NIV2'!$B:$X,'AUX-NIV1'!AQ$3,FALSE),0)+($AV688*'AUX-NIV3'!S$4))*$O688+IF($H688=AQ$4,$P688,0)</f>
        <v>34.039761540532218</v>
      </c>
      <c r="AR688" s="395">
        <f>(IF($H688="x",VLOOKUP($I688,'AUX-NIV2'!$B:$X,'AUX-NIV1'!AR$3,FALSE),0)+($AV688*'AUX-NIV3'!T$4))*$O688+IF($H688=AR$4,$P688,0)</f>
        <v>0.81646531199999994</v>
      </c>
      <c r="AS688" s="395">
        <f>(IF($H688="x",VLOOKUP($I688,'AUX-NIV2'!$B:$X,'AUX-NIV1'!AS$3,FALSE),0)+($AV688*'AUX-NIV3'!U$4))*$O688+IF($H688=AS$4,$P688,0)</f>
        <v>0</v>
      </c>
      <c r="AT688" s="395">
        <f>(IF($H688="x",VLOOKUP($I688,'AUX-NIV2'!$B:$X,'AUX-NIV1'!AT$3,FALSE),0)+($AV688*'AUX-NIV3'!V$4))*$O688+IF($H688=AT$4,$P688,0)</f>
        <v>0</v>
      </c>
      <c r="AU688" s="395">
        <f>(IF($H688="x",VLOOKUP($I688,'AUX-NIV2'!$B:$X,'AUX-NIV1'!AU$3,FALSE),0)+($AV688*'AUX-NIV3'!W$4))*$O688+IF($H688=AU$4,$P688,0)</f>
        <v>0</v>
      </c>
      <c r="AV688" s="395">
        <f>+IF($H688="x",VLOOKUP($I688,'AUX-NIV2'!$B:$X,'AUX-NIV1'!AV$3,FALSE),0)</f>
        <v>0</v>
      </c>
    </row>
    <row r="689" spans="2:48" ht="14.4" hidden="1" thickTop="1" thickBot="1">
      <c r="B689" s="1374" t="s">
        <v>3791</v>
      </c>
      <c r="C689" s="1375" t="s">
        <v>3792</v>
      </c>
      <c r="D689" s="1376" t="s">
        <v>477</v>
      </c>
      <c r="E689" s="1377">
        <f>IF(B689&lt;&gt;"",+SUMIF(Items!C:C,'AUX-NIV1'!B689,Items!H:H),"")</f>
        <v>0</v>
      </c>
      <c r="F689" s="1377">
        <f t="shared" si="659"/>
        <v>1789.365550878081</v>
      </c>
      <c r="G689" s="1377">
        <f t="shared" si="660"/>
        <v>0</v>
      </c>
      <c r="H689" s="1395" t="str">
        <f t="shared" si="745"/>
        <v>X</v>
      </c>
      <c r="I689" s="1375" t="s">
        <v>2884</v>
      </c>
      <c r="J689" s="1378" t="str">
        <f>IF(B689&lt;&gt;"",+VLOOKUP(I689,Recursos!C:F,2,FALSE),"")</f>
        <v>Colocación de acero manual</v>
      </c>
      <c r="K689" s="1379" t="str">
        <f>IF(B689&lt;&gt;"",+VLOOKUP(I689,Recursos!C:F,3,FALSE),"")</f>
        <v>tn</v>
      </c>
      <c r="L689" s="1380">
        <f>IF(B689&lt;&gt;"",+VLOOKUP(I689,Recursos!C:F,4,FALSE),"")</f>
        <v>51380.730969341719</v>
      </c>
      <c r="M689" s="1392"/>
      <c r="N689" s="1393"/>
      <c r="O689" s="1382">
        <f>M687</f>
        <v>2E-3</v>
      </c>
      <c r="P689" s="1383">
        <f t="shared" si="747"/>
        <v>102.76146193868344</v>
      </c>
      <c r="Q689" s="1377">
        <f t="shared" si="748"/>
        <v>0</v>
      </c>
      <c r="R689" s="1384">
        <f t="shared" si="749"/>
        <v>0</v>
      </c>
      <c r="S689" s="1385">
        <f t="shared" si="661"/>
        <v>0</v>
      </c>
      <c r="T689" s="1385">
        <f t="shared" si="662"/>
        <v>0</v>
      </c>
      <c r="U689" s="1386">
        <f t="shared" si="663"/>
        <v>841.55925619834716</v>
      </c>
      <c r="V689" s="1386">
        <f t="shared" si="664"/>
        <v>0</v>
      </c>
      <c r="W689" s="1386">
        <f t="shared" si="665"/>
        <v>0</v>
      </c>
      <c r="X689" s="1386">
        <f t="shared" si="666"/>
        <v>947.80629467973392</v>
      </c>
      <c r="Y689" s="396"/>
      <c r="Z689" s="1387" t="str">
        <f t="shared" si="750"/>
        <v>0-CORDONA</v>
      </c>
      <c r="AA689" s="1387" t="str">
        <f t="shared" si="751"/>
        <v>0-CORDONE</v>
      </c>
      <c r="AB689" s="1387" t="str">
        <f t="shared" si="752"/>
        <v>0-CORDONM</v>
      </c>
      <c r="AC689" s="1387" t="str">
        <f t="shared" si="753"/>
        <v>0-CORDONT</v>
      </c>
      <c r="AD689" s="1387" t="str">
        <f t="shared" si="754"/>
        <v>0-CORDONS</v>
      </c>
      <c r="AE689" s="1387" t="str">
        <f t="shared" si="755"/>
        <v>0-CORDONX</v>
      </c>
      <c r="AF689" s="1387" t="str">
        <f t="shared" si="756"/>
        <v>0-CORDONX</v>
      </c>
      <c r="AG689" s="1387">
        <f t="shared" si="667"/>
        <v>11</v>
      </c>
      <c r="AH689" s="1387">
        <f>IF(B689&lt;&gt;"",+IF(H689="x",+VLOOKUP(I689,'AUX-NIV2'!B:AG,32,FALSE),0),"")</f>
        <v>8</v>
      </c>
      <c r="AI689" s="1387" t="str">
        <f t="shared" si="757"/>
        <v>0-CORDON</v>
      </c>
      <c r="AK689" s="347">
        <f t="shared" si="668"/>
        <v>679</v>
      </c>
      <c r="AL689" s="348">
        <f t="shared" si="758"/>
        <v>689</v>
      </c>
      <c r="AM689" s="347">
        <f t="shared" si="759"/>
        <v>11</v>
      </c>
      <c r="AN689" s="382">
        <f>IF(AND(AH689&gt;0,B689&lt;&gt;""),VLOOKUP(I689,'AUX-NIV2'!$B:$AP,40,FALSE)*O689,0)</f>
        <v>0.15</v>
      </c>
      <c r="AO689" s="382">
        <f t="shared" si="669"/>
        <v>1.6881250000000001</v>
      </c>
      <c r="AQ689" s="395">
        <f>(IF($H689="x",VLOOKUP($I689,'AUX-NIV2'!$B:$X,'AUX-NIV1'!AQ$3,FALSE),0)+($AV689*'AUX-NIV3'!S$4))*$O689+IF($H689=AQ$4,$P689,0)</f>
        <v>73.339974335377661</v>
      </c>
      <c r="AR689" s="395">
        <f>(IF($H689="x",VLOOKUP($I689,'AUX-NIV2'!$B:$X,'AUX-NIV1'!AR$3,FALSE),0)+($AV689*'AUX-NIV3'!T$4))*$O689+IF($H689=AR$4,$P689,0)</f>
        <v>0</v>
      </c>
      <c r="AS689" s="395">
        <f>(IF($H689="x",VLOOKUP($I689,'AUX-NIV2'!$B:$X,'AUX-NIV1'!AS$3,FALSE),0)+($AV689*'AUX-NIV3'!U$4))*$O689+IF($H689=AS$4,$P689,0)</f>
        <v>29.421487603305788</v>
      </c>
      <c r="AT689" s="395">
        <f>(IF($H689="x",VLOOKUP($I689,'AUX-NIV2'!$B:$X,'AUX-NIV1'!AT$3,FALSE),0)+($AV689*'AUX-NIV3'!V$4))*$O689+IF($H689=AT$4,$P689,0)</f>
        <v>0</v>
      </c>
      <c r="AU689" s="395">
        <f>(IF($H689="x",VLOOKUP($I689,'AUX-NIV2'!$B:$X,'AUX-NIV1'!AU$3,FALSE),0)+($AV689*'AUX-NIV3'!W$4))*$O689+IF($H689=AU$4,$P689,0)</f>
        <v>0</v>
      </c>
      <c r="AV689" s="395">
        <f>+IF($H689="x",VLOOKUP($I689,'AUX-NIV2'!$B:$X,'AUX-NIV1'!AV$3,FALSE),0)</f>
        <v>0</v>
      </c>
    </row>
    <row r="690" spans="2:48" ht="14.4" hidden="1" thickTop="1" thickBot="1">
      <c r="B690" s="501" t="s">
        <v>3793</v>
      </c>
      <c r="C690" s="951" t="s">
        <v>3794</v>
      </c>
      <c r="D690" s="1280" t="s">
        <v>501</v>
      </c>
      <c r="E690" s="1281">
        <f>IF(B690&lt;&gt;"",+SUMIF(Items!C:C,'AUX-NIV1'!B690,Items!H:H),"")</f>
        <v>0</v>
      </c>
      <c r="F690" s="1281">
        <f t="shared" si="659"/>
        <v>2388.4585216232281</v>
      </c>
      <c r="G690" s="1281">
        <f t="shared" si="660"/>
        <v>0</v>
      </c>
      <c r="H690" s="1395" t="str">
        <f t="shared" si="745"/>
        <v>A</v>
      </c>
      <c r="I690" s="1375" t="s">
        <v>1745</v>
      </c>
      <c r="J690" s="1283" t="str">
        <f>IF(B690&lt;&gt;"",+VLOOKUP(I690,Recursos!C:F,2,FALSE),"")</f>
        <v>AYUDANTE</v>
      </c>
      <c r="K690" s="1284" t="str">
        <f>IF(B690&lt;&gt;"",+VLOOKUP(I690,Recursos!C:F,3,FALSE),"")</f>
        <v>hh</v>
      </c>
      <c r="L690" s="1285">
        <f>IF(B690&lt;&gt;"",+VLOOKUP(I690,Recursos!C:F,4,FALSE),"")</f>
        <v>422.48042769667234</v>
      </c>
      <c r="M690" s="1304">
        <v>1</v>
      </c>
      <c r="N690" s="1367">
        <v>2</v>
      </c>
      <c r="O690" s="1286">
        <f>M690/N690</f>
        <v>0.5</v>
      </c>
      <c r="P690" s="1287">
        <f t="shared" si="747"/>
        <v>211.24021384833617</v>
      </c>
      <c r="Q690" s="1281">
        <f t="shared" si="748"/>
        <v>0</v>
      </c>
      <c r="R690" s="1288">
        <f t="shared" si="749"/>
        <v>0</v>
      </c>
      <c r="S690" s="1289">
        <f t="shared" si="661"/>
        <v>459.69819104471526</v>
      </c>
      <c r="T690" s="1289">
        <f t="shared" si="662"/>
        <v>0</v>
      </c>
      <c r="U690" s="1290">
        <f t="shared" si="663"/>
        <v>1928.7603305785126</v>
      </c>
      <c r="V690" s="1290">
        <f t="shared" si="664"/>
        <v>0</v>
      </c>
      <c r="W690" s="1290">
        <f t="shared" si="665"/>
        <v>0</v>
      </c>
      <c r="X690" s="1290">
        <f t="shared" si="666"/>
        <v>0</v>
      </c>
      <c r="Y690" s="396"/>
      <c r="Z690" s="1291" t="str">
        <f t="shared" si="750"/>
        <v>0-PISPORA</v>
      </c>
      <c r="AA690" s="1291" t="str">
        <f t="shared" si="751"/>
        <v>0-PISPORE</v>
      </c>
      <c r="AB690" s="1291" t="str">
        <f t="shared" si="752"/>
        <v>0-PISPORM</v>
      </c>
      <c r="AC690" s="1291" t="str">
        <f t="shared" si="753"/>
        <v>0-PISPORT</v>
      </c>
      <c r="AD690" s="1291" t="str">
        <f t="shared" si="754"/>
        <v>0-PISPORS</v>
      </c>
      <c r="AE690" s="1291" t="str">
        <f t="shared" si="755"/>
        <v>0-PISPORX</v>
      </c>
      <c r="AF690" s="1291" t="str">
        <f t="shared" si="756"/>
        <v>0-PISPORA</v>
      </c>
      <c r="AG690" s="1291">
        <f t="shared" si="667"/>
        <v>6</v>
      </c>
      <c r="AH690" s="1291">
        <f>IF(B690&lt;&gt;"",+IF(H690="x",+VLOOKUP(I690,'AUX-NIV2'!B:AG,32,FALSE),0),"")</f>
        <v>0</v>
      </c>
      <c r="AI690" s="1291" t="str">
        <f t="shared" si="757"/>
        <v>0-PISPOR</v>
      </c>
      <c r="AK690" s="347">
        <f t="shared" si="668"/>
        <v>690</v>
      </c>
      <c r="AL690" s="348">
        <f t="shared" si="758"/>
        <v>695</v>
      </c>
      <c r="AM690" s="347">
        <f t="shared" si="759"/>
        <v>1</v>
      </c>
      <c r="AN690" s="382">
        <f>IF(AND(AH690&gt;0,B690&lt;&gt;""),VLOOKUP(I690,'AUX-NIV2'!$B:$AP,40,FALSE)*O690,0)</f>
        <v>0</v>
      </c>
      <c r="AO690" s="382">
        <f t="shared" si="669"/>
        <v>1</v>
      </c>
      <c r="AQ690" s="395">
        <f>(IF($H690="x",VLOOKUP($I690,'AUX-NIV2'!$B:$X,'AUX-NIV1'!AQ$3,FALSE),0)+($AV690*'AUX-NIV3'!S$4))*$O690+IF($H690=AQ$4,$P690,0)</f>
        <v>211.24021384833617</v>
      </c>
      <c r="AR690" s="395">
        <f>(IF($H690="x",VLOOKUP($I690,'AUX-NIV2'!$B:$X,'AUX-NIV1'!AR$3,FALSE),0)+($AV690*'AUX-NIV3'!T$4))*$O690+IF($H690=AR$4,$P690,0)</f>
        <v>0</v>
      </c>
      <c r="AS690" s="395">
        <f>(IF($H690="x",VLOOKUP($I690,'AUX-NIV2'!$B:$X,'AUX-NIV1'!AS$3,FALSE),0)+($AV690*'AUX-NIV3'!U$4))*$O690+IF($H690=AS$4,$P690,0)</f>
        <v>0</v>
      </c>
      <c r="AT690" s="395">
        <f>(IF($H690="x",VLOOKUP($I690,'AUX-NIV2'!$B:$X,'AUX-NIV1'!AT$3,FALSE),0)+($AV690*'AUX-NIV3'!V$4))*$O690+IF($H690=AT$4,$P690,0)</f>
        <v>0</v>
      </c>
      <c r="AU690" s="395">
        <f>(IF($H690="x",VLOOKUP($I690,'AUX-NIV2'!$B:$X,'AUX-NIV1'!AU$3,FALSE),0)+($AV690*'AUX-NIV3'!W$4))*$O690+IF($H690=AU$4,$P690,0)</f>
        <v>0</v>
      </c>
      <c r="AV690" s="395">
        <f>+IF($H690="x",VLOOKUP($I690,'AUX-NIV2'!$B:$X,'AUX-NIV1'!AV$3,FALSE),0)</f>
        <v>0</v>
      </c>
    </row>
    <row r="691" spans="2:48" ht="14.4" hidden="1" thickTop="1" thickBot="1">
      <c r="B691" s="501" t="s">
        <v>3793</v>
      </c>
      <c r="C691" s="951" t="s">
        <v>3794</v>
      </c>
      <c r="D691" s="1280" t="s">
        <v>501</v>
      </c>
      <c r="E691" s="1281">
        <f>IF(B691&lt;&gt;"",+SUMIF(Items!C:C,'AUX-NIV1'!B691,Items!H:H),"")</f>
        <v>0</v>
      </c>
      <c r="F691" s="1281">
        <f t="shared" si="659"/>
        <v>2388.4585216232281</v>
      </c>
      <c r="G691" s="1281">
        <f t="shared" si="660"/>
        <v>0</v>
      </c>
      <c r="H691" s="1395" t="str">
        <f t="shared" si="745"/>
        <v>A</v>
      </c>
      <c r="I691" s="1375" t="s">
        <v>1746</v>
      </c>
      <c r="J691" s="1283" t="str">
        <f>IF(B691&lt;&gt;"",+VLOOKUP(I691,Recursos!C:F,2,FALSE),"")</f>
        <v>OFICIAL</v>
      </c>
      <c r="K691" s="1284" t="str">
        <f>IF(B691&lt;&gt;"",+VLOOKUP(I691,Recursos!C:F,3,FALSE),"")</f>
        <v>hh</v>
      </c>
      <c r="L691" s="1285">
        <f>IF(B691&lt;&gt;"",+VLOOKUP(I691,Recursos!C:F,4,FALSE),"")</f>
        <v>496.91595439275824</v>
      </c>
      <c r="M691" s="1399">
        <v>1</v>
      </c>
      <c r="N691" s="1403"/>
      <c r="O691" s="1286">
        <f>M691/N690</f>
        <v>0.5</v>
      </c>
      <c r="P691" s="1287">
        <f t="shared" si="747"/>
        <v>248.45797719637912</v>
      </c>
      <c r="Q691" s="1281">
        <f t="shared" si="748"/>
        <v>0</v>
      </c>
      <c r="R691" s="1288">
        <f t="shared" si="749"/>
        <v>0</v>
      </c>
      <c r="S691" s="1289">
        <f t="shared" si="661"/>
        <v>459.69819104471526</v>
      </c>
      <c r="T691" s="1289">
        <f t="shared" si="662"/>
        <v>0</v>
      </c>
      <c r="U691" s="1290">
        <f t="shared" si="663"/>
        <v>1928.7603305785126</v>
      </c>
      <c r="V691" s="1290">
        <f t="shared" si="664"/>
        <v>0</v>
      </c>
      <c r="W691" s="1290">
        <f t="shared" si="665"/>
        <v>0</v>
      </c>
      <c r="X691" s="1290">
        <f t="shared" si="666"/>
        <v>0</v>
      </c>
      <c r="Y691" s="396"/>
      <c r="Z691" s="1291" t="str">
        <f t="shared" si="750"/>
        <v>0-PISPORA</v>
      </c>
      <c r="AA691" s="1291" t="str">
        <f t="shared" si="751"/>
        <v>0-PISPORE</v>
      </c>
      <c r="AB691" s="1291" t="str">
        <f t="shared" si="752"/>
        <v>0-PISPORM</v>
      </c>
      <c r="AC691" s="1291" t="str">
        <f t="shared" si="753"/>
        <v>0-PISPORT</v>
      </c>
      <c r="AD691" s="1291" t="str">
        <f t="shared" si="754"/>
        <v>0-PISPORS</v>
      </c>
      <c r="AE691" s="1291" t="str">
        <f t="shared" si="755"/>
        <v>0-PISPORX</v>
      </c>
      <c r="AF691" s="1291" t="str">
        <f t="shared" si="756"/>
        <v>0-PISPORA</v>
      </c>
      <c r="AG691" s="1291">
        <f t="shared" si="667"/>
        <v>6</v>
      </c>
      <c r="AH691" s="1291">
        <f>IF(B691&lt;&gt;"",+IF(H691="x",+VLOOKUP(I691,'AUX-NIV2'!B:AG,32,FALSE),0),"")</f>
        <v>0</v>
      </c>
      <c r="AI691" s="1291" t="str">
        <f t="shared" si="757"/>
        <v>0-PISPOR</v>
      </c>
      <c r="AK691" s="347">
        <f t="shared" si="668"/>
        <v>690</v>
      </c>
      <c r="AL691" s="348">
        <f t="shared" si="758"/>
        <v>695</v>
      </c>
      <c r="AM691" s="347">
        <f t="shared" si="759"/>
        <v>2</v>
      </c>
      <c r="AN691" s="382">
        <f>IF(AND(AH691&gt;0,B691&lt;&gt;""),VLOOKUP(I691,'AUX-NIV2'!$B:$AP,40,FALSE)*O691,0)</f>
        <v>0</v>
      </c>
      <c r="AO691" s="382">
        <f t="shared" si="669"/>
        <v>1</v>
      </c>
      <c r="AQ691" s="395">
        <f>(IF($H691="x",VLOOKUP($I691,'AUX-NIV2'!$B:$X,'AUX-NIV1'!AQ$3,FALSE),0)+($AV691*'AUX-NIV3'!S$4))*$O691+IF($H691=AQ$4,$P691,0)</f>
        <v>248.45797719637912</v>
      </c>
      <c r="AR691" s="395">
        <f>(IF($H691="x",VLOOKUP($I691,'AUX-NIV2'!$B:$X,'AUX-NIV1'!AR$3,FALSE),0)+($AV691*'AUX-NIV3'!T$4))*$O691+IF($H691=AR$4,$P691,0)</f>
        <v>0</v>
      </c>
      <c r="AS691" s="395">
        <f>(IF($H691="x",VLOOKUP($I691,'AUX-NIV2'!$B:$X,'AUX-NIV1'!AS$3,FALSE),0)+($AV691*'AUX-NIV3'!U$4))*$O691+IF($H691=AS$4,$P691,0)</f>
        <v>0</v>
      </c>
      <c r="AT691" s="395">
        <f>(IF($H691="x",VLOOKUP($I691,'AUX-NIV2'!$B:$X,'AUX-NIV1'!AT$3,FALSE),0)+($AV691*'AUX-NIV3'!V$4))*$O691+IF($H691=AT$4,$P691,0)</f>
        <v>0</v>
      </c>
      <c r="AU691" s="395">
        <f>(IF($H691="x",VLOOKUP($I691,'AUX-NIV2'!$B:$X,'AUX-NIV1'!AU$3,FALSE),0)+($AV691*'AUX-NIV3'!W$4))*$O691+IF($H691=AU$4,$P691,0)</f>
        <v>0</v>
      </c>
      <c r="AV691" s="395">
        <f>+IF($H691="x",VLOOKUP($I691,'AUX-NIV2'!$B:$X,'AUX-NIV1'!AV$3,FALSE),0)</f>
        <v>0</v>
      </c>
    </row>
    <row r="692" spans="2:48" ht="14.4" hidden="1" thickTop="1" thickBot="1">
      <c r="B692" s="501" t="s">
        <v>3793</v>
      </c>
      <c r="C692" s="951" t="s">
        <v>3794</v>
      </c>
      <c r="D692" s="1280" t="s">
        <v>501</v>
      </c>
      <c r="E692" s="1281">
        <f>IF(B692&lt;&gt;"",+SUMIF(Items!C:C,'AUX-NIV1'!B692,Items!H:H),"")</f>
        <v>0</v>
      </c>
      <c r="F692" s="1281">
        <f t="shared" si="659"/>
        <v>2388.4585216232281</v>
      </c>
      <c r="G692" s="1281">
        <f t="shared" si="660"/>
        <v>0</v>
      </c>
      <c r="H692" s="1395" t="str">
        <f t="shared" si="745"/>
        <v>M</v>
      </c>
      <c r="I692" s="1375" t="s">
        <v>3795</v>
      </c>
      <c r="J692" s="1283" t="str">
        <f>IF(B692&lt;&gt;"",+VLOOKUP(I692,Recursos!C:F,2,FALSE),"")</f>
        <v>PORCELANATO 60x60</v>
      </c>
      <c r="K692" s="1284" t="str">
        <f>IF(B692&lt;&gt;"",+VLOOKUP(I692,Recursos!C:F,3,FALSE),"")</f>
        <v>m2</v>
      </c>
      <c r="L692" s="1285">
        <f>IF(B692&lt;&gt;"",+VLOOKUP(I692,Recursos!C:F,4,FALSE),"")</f>
        <v>1500</v>
      </c>
      <c r="M692" s="1404"/>
      <c r="N692" s="1400">
        <v>1.1000000000000001</v>
      </c>
      <c r="O692" s="1286">
        <f t="shared" si="746"/>
        <v>1.1000000000000001</v>
      </c>
      <c r="P692" s="1287">
        <f t="shared" si="747"/>
        <v>1650.0000000000002</v>
      </c>
      <c r="Q692" s="1281">
        <f t="shared" si="748"/>
        <v>0</v>
      </c>
      <c r="R692" s="1288">
        <f t="shared" si="749"/>
        <v>0</v>
      </c>
      <c r="S692" s="1289">
        <f t="shared" si="661"/>
        <v>459.69819104471526</v>
      </c>
      <c r="T692" s="1289">
        <f t="shared" si="662"/>
        <v>0</v>
      </c>
      <c r="U692" s="1290">
        <f t="shared" si="663"/>
        <v>1928.7603305785126</v>
      </c>
      <c r="V692" s="1290">
        <f t="shared" si="664"/>
        <v>0</v>
      </c>
      <c r="W692" s="1290">
        <f t="shared" si="665"/>
        <v>0</v>
      </c>
      <c r="X692" s="1290">
        <f t="shared" si="666"/>
        <v>0</v>
      </c>
      <c r="Y692" s="396"/>
      <c r="Z692" s="1291" t="str">
        <f t="shared" si="750"/>
        <v>0-PISPORA</v>
      </c>
      <c r="AA692" s="1291" t="str">
        <f t="shared" si="751"/>
        <v>0-PISPORE</v>
      </c>
      <c r="AB692" s="1291" t="str">
        <f t="shared" si="752"/>
        <v>0-PISPORM</v>
      </c>
      <c r="AC692" s="1291" t="str">
        <f t="shared" si="753"/>
        <v>0-PISPORT</v>
      </c>
      <c r="AD692" s="1291" t="str">
        <f t="shared" si="754"/>
        <v>0-PISPORS</v>
      </c>
      <c r="AE692" s="1291" t="str">
        <f t="shared" si="755"/>
        <v>0-PISPORX</v>
      </c>
      <c r="AF692" s="1291" t="str">
        <f t="shared" si="756"/>
        <v>0-PISPORM</v>
      </c>
      <c r="AG692" s="1291">
        <f t="shared" si="667"/>
        <v>6</v>
      </c>
      <c r="AH692" s="1291">
        <f>IF(B692&lt;&gt;"",+IF(H692="x",+VLOOKUP(I692,'AUX-NIV2'!B:AG,32,FALSE),0),"")</f>
        <v>0</v>
      </c>
      <c r="AI692" s="1291" t="str">
        <f t="shared" si="757"/>
        <v>0-PISPOR</v>
      </c>
      <c r="AK692" s="347">
        <f t="shared" si="668"/>
        <v>690</v>
      </c>
      <c r="AL692" s="348">
        <f t="shared" si="758"/>
        <v>695</v>
      </c>
      <c r="AM692" s="347">
        <f t="shared" si="759"/>
        <v>3</v>
      </c>
      <c r="AN692" s="382">
        <f>IF(AND(AH692&gt;0,B692&lt;&gt;""),VLOOKUP(I692,'AUX-NIV2'!$B:$AP,40,FALSE)*O692,0)</f>
        <v>0</v>
      </c>
      <c r="AO692" s="382">
        <f t="shared" si="669"/>
        <v>1</v>
      </c>
      <c r="AQ692" s="395">
        <f>(IF($H692="x",VLOOKUP($I692,'AUX-NIV2'!$B:$X,'AUX-NIV1'!AQ$3,FALSE),0)+($AV692*'AUX-NIV3'!S$4))*$O692+IF($H692=AQ$4,$P692,0)</f>
        <v>0</v>
      </c>
      <c r="AR692" s="395">
        <f>(IF($H692="x",VLOOKUP($I692,'AUX-NIV2'!$B:$X,'AUX-NIV1'!AR$3,FALSE),0)+($AV692*'AUX-NIV3'!T$4))*$O692+IF($H692=AR$4,$P692,0)</f>
        <v>0</v>
      </c>
      <c r="AS692" s="395">
        <f>(IF($H692="x",VLOOKUP($I692,'AUX-NIV2'!$B:$X,'AUX-NIV1'!AS$3,FALSE),0)+($AV692*'AUX-NIV3'!U$4))*$O692+IF($H692=AS$4,$P692,0)</f>
        <v>1650.0000000000002</v>
      </c>
      <c r="AT692" s="395">
        <f>(IF($H692="x",VLOOKUP($I692,'AUX-NIV2'!$B:$X,'AUX-NIV1'!AT$3,FALSE),0)+($AV692*'AUX-NIV3'!V$4))*$O692+IF($H692=AT$4,$P692,0)</f>
        <v>0</v>
      </c>
      <c r="AU692" s="395">
        <f>(IF($H692="x",VLOOKUP($I692,'AUX-NIV2'!$B:$X,'AUX-NIV1'!AU$3,FALSE),0)+($AV692*'AUX-NIV3'!W$4))*$O692+IF($H692=AU$4,$P692,0)</f>
        <v>0</v>
      </c>
      <c r="AV692" s="395">
        <f>+IF($H692="x",VLOOKUP($I692,'AUX-NIV2'!$B:$X,'AUX-NIV1'!AV$3,FALSE),0)</f>
        <v>0</v>
      </c>
    </row>
    <row r="693" spans="2:48" ht="14.4" hidden="1" thickTop="1" thickBot="1">
      <c r="B693" s="501" t="s">
        <v>3793</v>
      </c>
      <c r="C693" s="951" t="s">
        <v>3794</v>
      </c>
      <c r="D693" s="1280" t="s">
        <v>501</v>
      </c>
      <c r="E693" s="1281">
        <f>IF(B693&lt;&gt;"",+SUMIF(Items!C:C,'AUX-NIV1'!B693,Items!H:H),"")</f>
        <v>0</v>
      </c>
      <c r="F693" s="1281">
        <f t="shared" si="659"/>
        <v>2388.4585216232281</v>
      </c>
      <c r="G693" s="1281">
        <f t="shared" si="660"/>
        <v>0</v>
      </c>
      <c r="H693" s="1395" t="str">
        <f t="shared" si="745"/>
        <v>M</v>
      </c>
      <c r="I693" s="1375" t="s">
        <v>3796</v>
      </c>
      <c r="J693" s="1283" t="str">
        <f>IF(B693&lt;&gt;"",+VLOOKUP(I693,Recursos!C:F,2,FALSE),"")</f>
        <v>PEGAMENTO P/PISO PORCELANATO (BOLSA 30Kg)</v>
      </c>
      <c r="K693" s="1284" t="str">
        <f>IF(B693&lt;&gt;"",+VLOOKUP(I693,Recursos!C:F,3,FALSE),"")</f>
        <v>Un</v>
      </c>
      <c r="L693" s="1285">
        <f>IF(B693&lt;&gt;"",+VLOOKUP(I693,Recursos!C:F,4,FALSE),"")</f>
        <v>752.06611570247935</v>
      </c>
      <c r="M693" s="1404"/>
      <c r="N693" s="1400">
        <v>0.2</v>
      </c>
      <c r="O693" s="1286">
        <f t="shared" si="746"/>
        <v>0.2</v>
      </c>
      <c r="P693" s="1287">
        <f t="shared" si="747"/>
        <v>150.41322314049589</v>
      </c>
      <c r="Q693" s="1281">
        <f t="shared" si="748"/>
        <v>0</v>
      </c>
      <c r="R693" s="1288">
        <f t="shared" si="749"/>
        <v>0</v>
      </c>
      <c r="S693" s="1289">
        <f t="shared" si="661"/>
        <v>459.69819104471526</v>
      </c>
      <c r="T693" s="1289">
        <f t="shared" si="662"/>
        <v>0</v>
      </c>
      <c r="U693" s="1290">
        <f t="shared" si="663"/>
        <v>1928.7603305785126</v>
      </c>
      <c r="V693" s="1290">
        <f t="shared" si="664"/>
        <v>0</v>
      </c>
      <c r="W693" s="1290">
        <f t="shared" si="665"/>
        <v>0</v>
      </c>
      <c r="X693" s="1290">
        <f t="shared" si="666"/>
        <v>0</v>
      </c>
      <c r="Y693" s="396"/>
      <c r="Z693" s="1291" t="str">
        <f t="shared" si="750"/>
        <v>0-PISPORA</v>
      </c>
      <c r="AA693" s="1291" t="str">
        <f t="shared" si="751"/>
        <v>0-PISPORE</v>
      </c>
      <c r="AB693" s="1291" t="str">
        <f t="shared" si="752"/>
        <v>0-PISPORM</v>
      </c>
      <c r="AC693" s="1291" t="str">
        <f t="shared" si="753"/>
        <v>0-PISPORT</v>
      </c>
      <c r="AD693" s="1291" t="str">
        <f t="shared" si="754"/>
        <v>0-PISPORS</v>
      </c>
      <c r="AE693" s="1291" t="str">
        <f t="shared" si="755"/>
        <v>0-PISPORX</v>
      </c>
      <c r="AF693" s="1291" t="str">
        <f t="shared" si="756"/>
        <v>0-PISPORM</v>
      </c>
      <c r="AG693" s="1291">
        <f t="shared" si="667"/>
        <v>6</v>
      </c>
      <c r="AH693" s="1291">
        <f>IF(B693&lt;&gt;"",+IF(H693="x",+VLOOKUP(I693,'AUX-NIV2'!B:AG,32,FALSE),0),"")</f>
        <v>0</v>
      </c>
      <c r="AI693" s="1291" t="str">
        <f t="shared" si="757"/>
        <v>0-PISPOR</v>
      </c>
      <c r="AK693" s="347">
        <f t="shared" si="668"/>
        <v>690</v>
      </c>
      <c r="AL693" s="348">
        <f t="shared" si="758"/>
        <v>695</v>
      </c>
      <c r="AM693" s="347">
        <f t="shared" si="759"/>
        <v>4</v>
      </c>
      <c r="AN693" s="382">
        <f>IF(AND(AH693&gt;0,B693&lt;&gt;""),VLOOKUP(I693,'AUX-NIV2'!$B:$AP,40,FALSE)*O693,0)</f>
        <v>0</v>
      </c>
      <c r="AO693" s="382">
        <f t="shared" si="669"/>
        <v>1</v>
      </c>
      <c r="AQ693" s="395">
        <f>(IF($H693="x",VLOOKUP($I693,'AUX-NIV2'!$B:$X,'AUX-NIV1'!AQ$3,FALSE),0)+($AV693*'AUX-NIV3'!S$4))*$O693+IF($H693=AQ$4,$P693,0)</f>
        <v>0</v>
      </c>
      <c r="AR693" s="395">
        <f>(IF($H693="x",VLOOKUP($I693,'AUX-NIV2'!$B:$X,'AUX-NIV1'!AR$3,FALSE),0)+($AV693*'AUX-NIV3'!T$4))*$O693+IF($H693=AR$4,$P693,0)</f>
        <v>0</v>
      </c>
      <c r="AS693" s="395">
        <f>(IF($H693="x",VLOOKUP($I693,'AUX-NIV2'!$B:$X,'AUX-NIV1'!AS$3,FALSE),0)+($AV693*'AUX-NIV3'!U$4))*$O693+IF($H693=AS$4,$P693,0)</f>
        <v>150.41322314049589</v>
      </c>
      <c r="AT693" s="395">
        <f>(IF($H693="x",VLOOKUP($I693,'AUX-NIV2'!$B:$X,'AUX-NIV1'!AT$3,FALSE),0)+($AV693*'AUX-NIV3'!V$4))*$O693+IF($H693=AT$4,$P693,0)</f>
        <v>0</v>
      </c>
      <c r="AU693" s="395">
        <f>(IF($H693="x",VLOOKUP($I693,'AUX-NIV2'!$B:$X,'AUX-NIV1'!AU$3,FALSE),0)+($AV693*'AUX-NIV3'!W$4))*$O693+IF($H693=AU$4,$P693,0)</f>
        <v>0</v>
      </c>
      <c r="AV693" s="395">
        <f>+IF($H693="x",VLOOKUP($I693,'AUX-NIV2'!$B:$X,'AUX-NIV1'!AV$3,FALSE),0)</f>
        <v>0</v>
      </c>
    </row>
    <row r="694" spans="2:48" ht="14.4" hidden="1" thickTop="1" thickBot="1">
      <c r="B694" s="501" t="s">
        <v>3793</v>
      </c>
      <c r="C694" s="951" t="s">
        <v>3794</v>
      </c>
      <c r="D694" s="1280" t="s">
        <v>501</v>
      </c>
      <c r="E694" s="1281">
        <f>IF(B694&lt;&gt;"",+SUMIF(Items!C:C,'AUX-NIV1'!B694,Items!H:H),"")</f>
        <v>0</v>
      </c>
      <c r="F694" s="1281">
        <f t="shared" si="659"/>
        <v>2388.4585216232281</v>
      </c>
      <c r="G694" s="1281">
        <f t="shared" si="660"/>
        <v>0</v>
      </c>
      <c r="H694" s="1395" t="str">
        <f t="shared" si="745"/>
        <v>M</v>
      </c>
      <c r="I694" s="1375" t="s">
        <v>3384</v>
      </c>
      <c r="J694" s="1283" t="str">
        <f>IF(B694&lt;&gt;"",+VLOOKUP(I694,Recursos!C:F,2,FALSE),"")</f>
        <v>PASTINA COLOR</v>
      </c>
      <c r="K694" s="1284" t="str">
        <f>IF(B694&lt;&gt;"",+VLOOKUP(I694,Recursos!C:F,3,FALSE),"")</f>
        <v>Kg</v>
      </c>
      <c r="L694" s="1285">
        <f>IF(B694&lt;&gt;"",+VLOOKUP(I694,Recursos!C:F,4,FALSE),"")</f>
        <v>152.89256198347107</v>
      </c>
      <c r="M694" s="1404"/>
      <c r="N694" s="1400">
        <v>0.12</v>
      </c>
      <c r="O694" s="1286">
        <f t="shared" si="746"/>
        <v>0.12</v>
      </c>
      <c r="P694" s="1287">
        <f t="shared" si="747"/>
        <v>18.347107438016529</v>
      </c>
      <c r="Q694" s="1281">
        <f t="shared" si="748"/>
        <v>0</v>
      </c>
      <c r="R694" s="1288">
        <f t="shared" si="749"/>
        <v>0</v>
      </c>
      <c r="S694" s="1289">
        <f t="shared" si="661"/>
        <v>459.69819104471526</v>
      </c>
      <c r="T694" s="1289">
        <f t="shared" si="662"/>
        <v>0</v>
      </c>
      <c r="U694" s="1290">
        <f t="shared" si="663"/>
        <v>1928.7603305785126</v>
      </c>
      <c r="V694" s="1290">
        <f t="shared" si="664"/>
        <v>0</v>
      </c>
      <c r="W694" s="1290">
        <f t="shared" si="665"/>
        <v>0</v>
      </c>
      <c r="X694" s="1290">
        <f t="shared" si="666"/>
        <v>0</v>
      </c>
      <c r="Y694" s="396"/>
      <c r="Z694" s="1291" t="str">
        <f t="shared" si="750"/>
        <v>0-PISPORA</v>
      </c>
      <c r="AA694" s="1291" t="str">
        <f t="shared" si="751"/>
        <v>0-PISPORE</v>
      </c>
      <c r="AB694" s="1291" t="str">
        <f t="shared" si="752"/>
        <v>0-PISPORM</v>
      </c>
      <c r="AC694" s="1291" t="str">
        <f t="shared" si="753"/>
        <v>0-PISPORT</v>
      </c>
      <c r="AD694" s="1291" t="str">
        <f t="shared" si="754"/>
        <v>0-PISPORS</v>
      </c>
      <c r="AE694" s="1291" t="str">
        <f t="shared" si="755"/>
        <v>0-PISPORX</v>
      </c>
      <c r="AF694" s="1291" t="str">
        <f t="shared" si="756"/>
        <v>0-PISPORM</v>
      </c>
      <c r="AG694" s="1291">
        <f t="shared" si="667"/>
        <v>6</v>
      </c>
      <c r="AH694" s="1291">
        <f>IF(B694&lt;&gt;"",+IF(H694="x",+VLOOKUP(I694,'AUX-NIV2'!B:AG,32,FALSE),0),"")</f>
        <v>0</v>
      </c>
      <c r="AI694" s="1291" t="str">
        <f t="shared" si="757"/>
        <v>0-PISPOR</v>
      </c>
      <c r="AK694" s="347">
        <f t="shared" si="668"/>
        <v>690</v>
      </c>
      <c r="AL694" s="348">
        <f t="shared" si="758"/>
        <v>695</v>
      </c>
      <c r="AM694" s="347">
        <f t="shared" si="759"/>
        <v>5</v>
      </c>
      <c r="AN694" s="382">
        <f>IF(AND(AH694&gt;0,B694&lt;&gt;""),VLOOKUP(I694,'AUX-NIV2'!$B:$AP,40,FALSE)*O694,0)</f>
        <v>0</v>
      </c>
      <c r="AO694" s="382">
        <f t="shared" si="669"/>
        <v>1</v>
      </c>
      <c r="AQ694" s="395">
        <f>(IF($H694="x",VLOOKUP($I694,'AUX-NIV2'!$B:$X,'AUX-NIV1'!AQ$3,FALSE),0)+($AV694*'AUX-NIV3'!S$4))*$O694+IF($H694=AQ$4,$P694,0)</f>
        <v>0</v>
      </c>
      <c r="AR694" s="395">
        <f>(IF($H694="x",VLOOKUP($I694,'AUX-NIV2'!$B:$X,'AUX-NIV1'!AR$3,FALSE),0)+($AV694*'AUX-NIV3'!T$4))*$O694+IF($H694=AR$4,$P694,0)</f>
        <v>0</v>
      </c>
      <c r="AS694" s="395">
        <f>(IF($H694="x",VLOOKUP($I694,'AUX-NIV2'!$B:$X,'AUX-NIV1'!AS$3,FALSE),0)+($AV694*'AUX-NIV3'!U$4))*$O694+IF($H694=AS$4,$P694,0)</f>
        <v>18.347107438016529</v>
      </c>
      <c r="AT694" s="395">
        <f>(IF($H694="x",VLOOKUP($I694,'AUX-NIV2'!$B:$X,'AUX-NIV1'!AT$3,FALSE),0)+($AV694*'AUX-NIV3'!V$4))*$O694+IF($H694=AT$4,$P694,0)</f>
        <v>0</v>
      </c>
      <c r="AU694" s="395">
        <f>(IF($H694="x",VLOOKUP($I694,'AUX-NIV2'!$B:$X,'AUX-NIV1'!AU$3,FALSE),0)+($AV694*'AUX-NIV3'!W$4))*$O694+IF($H694=AU$4,$P694,0)</f>
        <v>0</v>
      </c>
      <c r="AV694" s="395">
        <f>+IF($H694="x",VLOOKUP($I694,'AUX-NIV2'!$B:$X,'AUX-NIV1'!AV$3,FALSE),0)</f>
        <v>0</v>
      </c>
    </row>
    <row r="695" spans="2:48" ht="14.4" hidden="1" thickTop="1" thickBot="1">
      <c r="B695" s="501" t="s">
        <v>3793</v>
      </c>
      <c r="C695" s="951" t="s">
        <v>3794</v>
      </c>
      <c r="D695" s="1280" t="s">
        <v>501</v>
      </c>
      <c r="E695" s="1281">
        <f>IF(B695&lt;&gt;"",+SUMIF(Items!C:C,'AUX-NIV1'!B695,Items!H:H),"")</f>
        <v>0</v>
      </c>
      <c r="F695" s="1281">
        <f t="shared" si="659"/>
        <v>2388.4585216232281</v>
      </c>
      <c r="G695" s="1281">
        <f t="shared" si="660"/>
        <v>0</v>
      </c>
      <c r="H695" s="1395" t="str">
        <f t="shared" ref="H695:H700" si="760">IF(B695&lt;&gt;"",+LEFT(I695,1),"")</f>
        <v>M</v>
      </c>
      <c r="I695" s="1375" t="s">
        <v>621</v>
      </c>
      <c r="J695" s="1283" t="str">
        <f>IF(B695&lt;&gt;"",+VLOOKUP(I695,Recursos!C:F,2,FALSE),"")</f>
        <v>MATERIALES VARIOS</v>
      </c>
      <c r="K695" s="1284" t="str">
        <f>IF(B695&lt;&gt;"",+VLOOKUP(I695,Recursos!C:F,3,FALSE),"")</f>
        <v>GL</v>
      </c>
      <c r="L695" s="1285">
        <f>IF(B695&lt;&gt;"",+VLOOKUP(I695,Recursos!C:F,4,FALSE),"")</f>
        <v>0.5</v>
      </c>
      <c r="M695" s="1405"/>
      <c r="N695" s="1402">
        <f>2200*10%</f>
        <v>220</v>
      </c>
      <c r="O695" s="1286">
        <f t="shared" ref="O695" si="761">N695</f>
        <v>220</v>
      </c>
      <c r="P695" s="1287">
        <f t="shared" ref="P695:P700" si="762">IF(B695&lt;&gt;"",O695*L695,"")</f>
        <v>110</v>
      </c>
      <c r="Q695" s="1281">
        <f t="shared" ref="Q695:Q700" si="763">IF(B695&lt;&gt;"",+O695*E695,"")</f>
        <v>0</v>
      </c>
      <c r="R695" s="1288">
        <f t="shared" ref="R695:R700" si="764">IF(B695&lt;&gt;"",Q695*L695,"")</f>
        <v>0</v>
      </c>
      <c r="S695" s="1289">
        <f t="shared" si="661"/>
        <v>459.69819104471526</v>
      </c>
      <c r="T695" s="1289">
        <f t="shared" si="662"/>
        <v>0</v>
      </c>
      <c r="U695" s="1290">
        <f t="shared" si="663"/>
        <v>1928.7603305785126</v>
      </c>
      <c r="V695" s="1290">
        <f t="shared" si="664"/>
        <v>0</v>
      </c>
      <c r="W695" s="1290">
        <f t="shared" si="665"/>
        <v>0</v>
      </c>
      <c r="X695" s="1290">
        <f t="shared" si="666"/>
        <v>0</v>
      </c>
      <c r="Y695" s="396"/>
      <c r="Z695" s="1291" t="str">
        <f t="shared" ref="Z695:Z700" si="765">IF(B695&lt;&gt;"",+$B695&amp;"A","")</f>
        <v>0-PISPORA</v>
      </c>
      <c r="AA695" s="1291" t="str">
        <f t="shared" ref="AA695:AA700" si="766">IF(B695&lt;&gt;"",+$B695&amp;"E","")</f>
        <v>0-PISPORE</v>
      </c>
      <c r="AB695" s="1291" t="str">
        <f t="shared" ref="AB695:AB700" si="767">IF(B695&lt;&gt;"",++$B695&amp;"M","")</f>
        <v>0-PISPORM</v>
      </c>
      <c r="AC695" s="1291" t="str">
        <f t="shared" ref="AC695:AC700" si="768">IF(B695&lt;&gt;"",+$B695&amp;"T","")</f>
        <v>0-PISPORT</v>
      </c>
      <c r="AD695" s="1291" t="str">
        <f t="shared" ref="AD695:AD700" si="769">IF(B695&lt;&gt;"",+$B695&amp;"S","")</f>
        <v>0-PISPORS</v>
      </c>
      <c r="AE695" s="1291" t="str">
        <f t="shared" ref="AE695:AE700" si="770">IF(B695&lt;&gt;"",+$B695&amp;"X","")</f>
        <v>0-PISPORX</v>
      </c>
      <c r="AF695" s="1291" t="str">
        <f t="shared" ref="AF695:AF700" si="771">IF(B695&lt;&gt;"",+B695&amp;H695,"")</f>
        <v>0-PISPORM</v>
      </c>
      <c r="AG695" s="1291">
        <f t="shared" si="667"/>
        <v>6</v>
      </c>
      <c r="AH695" s="1291">
        <f>IF(B695&lt;&gt;"",+IF(H695="x",+VLOOKUP(I695,'AUX-NIV2'!B:AG,32,FALSE),0),"")</f>
        <v>0</v>
      </c>
      <c r="AI695" s="1291" t="str">
        <f t="shared" ref="AI695:AI700" si="772">IF(B695&lt;&gt;"",+B695,"")</f>
        <v>0-PISPOR</v>
      </c>
      <c r="AK695" s="347">
        <f t="shared" si="668"/>
        <v>690</v>
      </c>
      <c r="AL695" s="348">
        <f t="shared" ref="AL695:AL700" si="773">IF(B695&lt;&gt;"",+AK695+AG695-1,"")</f>
        <v>695</v>
      </c>
      <c r="AM695" s="347">
        <f t="shared" ref="AM695:AM700" si="774">IF(B695&lt;&gt;"",IF(B695=B694,1+AM694,1),"")</f>
        <v>6</v>
      </c>
      <c r="AN695" s="382">
        <f>IF(AND(AH695&gt;0,B695&lt;&gt;""),VLOOKUP(I695,'AUX-NIV2'!$B:$AP,40,FALSE)*O695,0)</f>
        <v>0</v>
      </c>
      <c r="AO695" s="382">
        <f t="shared" si="669"/>
        <v>1</v>
      </c>
      <c r="AQ695" s="395">
        <f>(IF($H695="x",VLOOKUP($I695,'AUX-NIV2'!$B:$X,'AUX-NIV1'!AQ$3,FALSE),0)+($AV695*'AUX-NIV3'!S$4))*$O695+IF($H695=AQ$4,$P695,0)</f>
        <v>0</v>
      </c>
      <c r="AR695" s="395">
        <f>(IF($H695="x",VLOOKUP($I695,'AUX-NIV2'!$B:$X,'AUX-NIV1'!AR$3,FALSE),0)+($AV695*'AUX-NIV3'!T$4))*$O695+IF($H695=AR$4,$P695,0)</f>
        <v>0</v>
      </c>
      <c r="AS695" s="395">
        <f>(IF($H695="x",VLOOKUP($I695,'AUX-NIV2'!$B:$X,'AUX-NIV1'!AS$3,FALSE),0)+($AV695*'AUX-NIV3'!U$4))*$O695+IF($H695=AS$4,$P695,0)</f>
        <v>110</v>
      </c>
      <c r="AT695" s="395">
        <f>(IF($H695="x",VLOOKUP($I695,'AUX-NIV2'!$B:$X,'AUX-NIV1'!AT$3,FALSE),0)+($AV695*'AUX-NIV3'!V$4))*$O695+IF($H695=AT$4,$P695,0)</f>
        <v>0</v>
      </c>
      <c r="AU695" s="395">
        <f>(IF($H695="x",VLOOKUP($I695,'AUX-NIV2'!$B:$X,'AUX-NIV1'!AU$3,FALSE),0)+($AV695*'AUX-NIV3'!W$4))*$O695+IF($H695=AU$4,$P695,0)</f>
        <v>0</v>
      </c>
      <c r="AV695" s="395">
        <f>+IF($H695="x",VLOOKUP($I695,'AUX-NIV2'!$B:$X,'AUX-NIV1'!AV$3,FALSE),0)</f>
        <v>0</v>
      </c>
    </row>
    <row r="696" spans="2:48" ht="13.8" thickTop="1">
      <c r="B696" s="501" t="s">
        <v>4665</v>
      </c>
      <c r="C696" s="951" t="s">
        <v>4666</v>
      </c>
      <c r="D696" s="1280" t="s">
        <v>501</v>
      </c>
      <c r="E696" s="1281">
        <f>IF(B696&lt;&gt;"",+SUMIF(Items!C:C,'AUX-NIV1'!B696,Items!H:H),"")</f>
        <v>0</v>
      </c>
      <c r="F696" s="1281">
        <f t="shared" si="659"/>
        <v>1664.0783563339719</v>
      </c>
      <c r="G696" s="1281">
        <f t="shared" si="660"/>
        <v>0</v>
      </c>
      <c r="H696" s="1395" t="str">
        <f t="shared" si="760"/>
        <v>A</v>
      </c>
      <c r="I696" s="1375" t="s">
        <v>1745</v>
      </c>
      <c r="J696" s="1283" t="str">
        <f>IF(B696&lt;&gt;"",+VLOOKUP(I696,Recursos!C:F,2,FALSE),"")</f>
        <v>AYUDANTE</v>
      </c>
      <c r="K696" s="1284" t="str">
        <f>IF(B696&lt;&gt;"",+VLOOKUP(I696,Recursos!C:F,3,FALSE),"")</f>
        <v>hh</v>
      </c>
      <c r="L696" s="1285">
        <f>IF(B696&lt;&gt;"",+VLOOKUP(I696,Recursos!C:F,4,FALSE),"")</f>
        <v>422.48042769667234</v>
      </c>
      <c r="M696" s="1304">
        <v>1</v>
      </c>
      <c r="N696" s="1367">
        <v>2</v>
      </c>
      <c r="O696" s="1286">
        <f>M696/N696</f>
        <v>0.5</v>
      </c>
      <c r="P696" s="1287">
        <f t="shared" si="762"/>
        <v>211.24021384833617</v>
      </c>
      <c r="Q696" s="1281">
        <f t="shared" si="763"/>
        <v>0</v>
      </c>
      <c r="R696" s="1288">
        <f t="shared" si="764"/>
        <v>0</v>
      </c>
      <c r="S696" s="1289">
        <f t="shared" si="661"/>
        <v>459.69819104471526</v>
      </c>
      <c r="T696" s="1289">
        <f t="shared" si="662"/>
        <v>0</v>
      </c>
      <c r="U696" s="1290">
        <f t="shared" si="663"/>
        <v>1204.3801652892564</v>
      </c>
      <c r="V696" s="1290">
        <f t="shared" si="664"/>
        <v>0</v>
      </c>
      <c r="W696" s="1290">
        <f t="shared" si="665"/>
        <v>0</v>
      </c>
      <c r="X696" s="1290">
        <f t="shared" si="666"/>
        <v>0</v>
      </c>
      <c r="Y696" s="396"/>
      <c r="Z696" s="1291" t="str">
        <f t="shared" si="765"/>
        <v>0-PISCERA</v>
      </c>
      <c r="AA696" s="1291" t="str">
        <f t="shared" si="766"/>
        <v>0-PISCERE</v>
      </c>
      <c r="AB696" s="1291" t="str">
        <f t="shared" si="767"/>
        <v>0-PISCERM</v>
      </c>
      <c r="AC696" s="1291" t="str">
        <f t="shared" si="768"/>
        <v>0-PISCERT</v>
      </c>
      <c r="AD696" s="1291" t="str">
        <f t="shared" si="769"/>
        <v>0-PISCERS</v>
      </c>
      <c r="AE696" s="1291" t="str">
        <f t="shared" si="770"/>
        <v>0-PISCERX</v>
      </c>
      <c r="AF696" s="1291" t="str">
        <f t="shared" si="771"/>
        <v>0-PISCERA</v>
      </c>
      <c r="AG696" s="1291">
        <f t="shared" si="667"/>
        <v>6</v>
      </c>
      <c r="AH696" s="1291">
        <f>IF(B696&lt;&gt;"",+IF(H696="x",+VLOOKUP(I696,'AUX-NIV2'!B:AG,32,FALSE),0),"")</f>
        <v>0</v>
      </c>
      <c r="AI696" s="1291" t="str">
        <f t="shared" si="772"/>
        <v>0-PISCER</v>
      </c>
      <c r="AK696" s="347">
        <f t="shared" si="668"/>
        <v>696</v>
      </c>
      <c r="AL696" s="348">
        <f t="shared" si="773"/>
        <v>701</v>
      </c>
      <c r="AM696" s="347">
        <f t="shared" si="774"/>
        <v>1</v>
      </c>
      <c r="AN696" s="382">
        <f>IF(AND(AH696&gt;0,B696&lt;&gt;""),VLOOKUP(I696,'AUX-NIV2'!$B:$AP,40,FALSE)*O696,0)</f>
        <v>0</v>
      </c>
      <c r="AO696" s="382">
        <f t="shared" si="669"/>
        <v>1</v>
      </c>
      <c r="AQ696" s="395">
        <f>(IF($H696="x",VLOOKUP($I696,'AUX-NIV2'!$B:$X,'AUX-NIV1'!AQ$3,FALSE),0)+($AV696*'AUX-NIV3'!S$4))*$O696+IF($H696=AQ$4,$P696,0)</f>
        <v>211.24021384833617</v>
      </c>
      <c r="AR696" s="395">
        <f>(IF($H696="x",VLOOKUP($I696,'AUX-NIV2'!$B:$X,'AUX-NIV1'!AR$3,FALSE),0)+($AV696*'AUX-NIV3'!T$4))*$O696+IF($H696=AR$4,$P696,0)</f>
        <v>0</v>
      </c>
      <c r="AS696" s="395">
        <f>(IF($H696="x",VLOOKUP($I696,'AUX-NIV2'!$B:$X,'AUX-NIV1'!AS$3,FALSE),0)+($AV696*'AUX-NIV3'!U$4))*$O696+IF($H696=AS$4,$P696,0)</f>
        <v>0</v>
      </c>
      <c r="AT696" s="395">
        <f>(IF($H696="x",VLOOKUP($I696,'AUX-NIV2'!$B:$X,'AUX-NIV1'!AT$3,FALSE),0)+($AV696*'AUX-NIV3'!V$4))*$O696+IF($H696=AT$4,$P696,0)</f>
        <v>0</v>
      </c>
      <c r="AU696" s="395">
        <f>(IF($H696="x",VLOOKUP($I696,'AUX-NIV2'!$B:$X,'AUX-NIV1'!AU$3,FALSE),0)+($AV696*'AUX-NIV3'!W$4))*$O696+IF($H696=AU$4,$P696,0)</f>
        <v>0</v>
      </c>
      <c r="AV696" s="395">
        <f>+IF($H696="x",VLOOKUP($I696,'AUX-NIV2'!$B:$X,'AUX-NIV1'!AV$3,FALSE),0)</f>
        <v>0</v>
      </c>
    </row>
    <row r="697" spans="2:48">
      <c r="B697" s="501" t="s">
        <v>4665</v>
      </c>
      <c r="C697" s="951" t="s">
        <v>4666</v>
      </c>
      <c r="D697" s="1280" t="s">
        <v>501</v>
      </c>
      <c r="E697" s="1281">
        <f>IF(B697&lt;&gt;"",+SUMIF(Items!C:C,'AUX-NIV1'!B697,Items!H:H),"")</f>
        <v>0</v>
      </c>
      <c r="F697" s="1281">
        <f t="shared" si="659"/>
        <v>1664.0783563339719</v>
      </c>
      <c r="G697" s="1281">
        <f t="shared" si="660"/>
        <v>0</v>
      </c>
      <c r="H697" s="1395" t="str">
        <f t="shared" si="760"/>
        <v>A</v>
      </c>
      <c r="I697" s="1375" t="s">
        <v>1746</v>
      </c>
      <c r="J697" s="1283" t="str">
        <f>IF(B697&lt;&gt;"",+VLOOKUP(I697,Recursos!C:F,2,FALSE),"")</f>
        <v>OFICIAL</v>
      </c>
      <c r="K697" s="1284" t="str">
        <f>IF(B697&lt;&gt;"",+VLOOKUP(I697,Recursos!C:F,3,FALSE),"")</f>
        <v>hh</v>
      </c>
      <c r="L697" s="1285">
        <f>IF(B697&lt;&gt;"",+VLOOKUP(I697,Recursos!C:F,4,FALSE),"")</f>
        <v>496.91595439275824</v>
      </c>
      <c r="M697" s="1399">
        <v>1</v>
      </c>
      <c r="N697" s="1403"/>
      <c r="O697" s="1286">
        <f>M697/N696</f>
        <v>0.5</v>
      </c>
      <c r="P697" s="1287">
        <f t="shared" si="762"/>
        <v>248.45797719637912</v>
      </c>
      <c r="Q697" s="1281">
        <f t="shared" si="763"/>
        <v>0</v>
      </c>
      <c r="R697" s="1288">
        <f t="shared" si="764"/>
        <v>0</v>
      </c>
      <c r="S697" s="1289">
        <f t="shared" si="661"/>
        <v>459.69819104471526</v>
      </c>
      <c r="T697" s="1289">
        <f t="shared" si="662"/>
        <v>0</v>
      </c>
      <c r="U697" s="1290">
        <f t="shared" si="663"/>
        <v>1204.3801652892564</v>
      </c>
      <c r="V697" s="1290">
        <f t="shared" si="664"/>
        <v>0</v>
      </c>
      <c r="W697" s="1290">
        <f t="shared" si="665"/>
        <v>0</v>
      </c>
      <c r="X697" s="1290">
        <f t="shared" si="666"/>
        <v>0</v>
      </c>
      <c r="Y697" s="396"/>
      <c r="Z697" s="1291" t="str">
        <f t="shared" si="765"/>
        <v>0-PISCERA</v>
      </c>
      <c r="AA697" s="1291" t="str">
        <f t="shared" si="766"/>
        <v>0-PISCERE</v>
      </c>
      <c r="AB697" s="1291" t="str">
        <f t="shared" si="767"/>
        <v>0-PISCERM</v>
      </c>
      <c r="AC697" s="1291" t="str">
        <f t="shared" si="768"/>
        <v>0-PISCERT</v>
      </c>
      <c r="AD697" s="1291" t="str">
        <f t="shared" si="769"/>
        <v>0-PISCERS</v>
      </c>
      <c r="AE697" s="1291" t="str">
        <f t="shared" si="770"/>
        <v>0-PISCERX</v>
      </c>
      <c r="AF697" s="1291" t="str">
        <f t="shared" si="771"/>
        <v>0-PISCERA</v>
      </c>
      <c r="AG697" s="1291">
        <f t="shared" si="667"/>
        <v>6</v>
      </c>
      <c r="AH697" s="1291">
        <f>IF(B697&lt;&gt;"",+IF(H697="x",+VLOOKUP(I697,'AUX-NIV2'!B:AG,32,FALSE),0),"")</f>
        <v>0</v>
      </c>
      <c r="AI697" s="1291" t="str">
        <f t="shared" si="772"/>
        <v>0-PISCER</v>
      </c>
      <c r="AK697" s="347">
        <f t="shared" si="668"/>
        <v>696</v>
      </c>
      <c r="AL697" s="348">
        <f t="shared" si="773"/>
        <v>701</v>
      </c>
      <c r="AM697" s="347">
        <f t="shared" si="774"/>
        <v>2</v>
      </c>
      <c r="AN697" s="382">
        <f>IF(AND(AH697&gt;0,B697&lt;&gt;""),VLOOKUP(I697,'AUX-NIV2'!$B:$AP,40,FALSE)*O697,0)</f>
        <v>0</v>
      </c>
      <c r="AO697" s="382">
        <f t="shared" si="669"/>
        <v>1</v>
      </c>
      <c r="AQ697" s="395">
        <f>(IF($H697="x",VLOOKUP($I697,'AUX-NIV2'!$B:$X,'AUX-NIV1'!AQ$3,FALSE),0)+($AV697*'AUX-NIV3'!S$4))*$O697+IF($H697=AQ$4,$P697,0)</f>
        <v>248.45797719637912</v>
      </c>
      <c r="AR697" s="395">
        <f>(IF($H697="x",VLOOKUP($I697,'AUX-NIV2'!$B:$X,'AUX-NIV1'!AR$3,FALSE),0)+($AV697*'AUX-NIV3'!T$4))*$O697+IF($H697=AR$4,$P697,0)</f>
        <v>0</v>
      </c>
      <c r="AS697" s="395">
        <f>(IF($H697="x",VLOOKUP($I697,'AUX-NIV2'!$B:$X,'AUX-NIV1'!AS$3,FALSE),0)+($AV697*'AUX-NIV3'!U$4))*$O697+IF($H697=AS$4,$P697,0)</f>
        <v>0</v>
      </c>
      <c r="AT697" s="395">
        <f>(IF($H697="x",VLOOKUP($I697,'AUX-NIV2'!$B:$X,'AUX-NIV1'!AT$3,FALSE),0)+($AV697*'AUX-NIV3'!V$4))*$O697+IF($H697=AT$4,$P697,0)</f>
        <v>0</v>
      </c>
      <c r="AU697" s="395">
        <f>(IF($H697="x",VLOOKUP($I697,'AUX-NIV2'!$B:$X,'AUX-NIV1'!AU$3,FALSE),0)+($AV697*'AUX-NIV3'!W$4))*$O697+IF($H697=AU$4,$P697,0)</f>
        <v>0</v>
      </c>
      <c r="AV697" s="395">
        <f>+IF($H697="x",VLOOKUP($I697,'AUX-NIV2'!$B:$X,'AUX-NIV1'!AV$3,FALSE),0)</f>
        <v>0</v>
      </c>
    </row>
    <row r="698" spans="2:48">
      <c r="B698" s="501" t="s">
        <v>4665</v>
      </c>
      <c r="C698" s="951" t="s">
        <v>4666</v>
      </c>
      <c r="D698" s="1280" t="s">
        <v>501</v>
      </c>
      <c r="E698" s="1281">
        <f>IF(B698&lt;&gt;"",+SUMIF(Items!C:C,'AUX-NIV1'!B698,Items!H:H),"")</f>
        <v>0</v>
      </c>
      <c r="F698" s="1281">
        <f t="shared" si="659"/>
        <v>1664.0783563339719</v>
      </c>
      <c r="G698" s="1281">
        <f t="shared" si="660"/>
        <v>0</v>
      </c>
      <c r="H698" s="1395" t="str">
        <f t="shared" si="760"/>
        <v>M</v>
      </c>
      <c r="I698" s="1375" t="s">
        <v>3797</v>
      </c>
      <c r="J698" s="1283" t="str">
        <f>IF(B698&lt;&gt;"",+VLOOKUP(I698,Recursos!C:F,2,FALSE),"")</f>
        <v>CERAMICA 30x60</v>
      </c>
      <c r="K698" s="1284" t="str">
        <f>IF(B698&lt;&gt;"",+VLOOKUP(I698,Recursos!C:F,3,FALSE),"")</f>
        <v>m2</v>
      </c>
      <c r="L698" s="1285">
        <f>IF(B698&lt;&gt;"",+VLOOKUP(I698,Recursos!C:F,4,FALSE),"")</f>
        <v>743.80165289256206</v>
      </c>
      <c r="M698" s="1404"/>
      <c r="N698" s="1400">
        <v>1.1000000000000001</v>
      </c>
      <c r="O698" s="1286">
        <f t="shared" ref="O698:O701" si="775">N698</f>
        <v>1.1000000000000001</v>
      </c>
      <c r="P698" s="1287">
        <f t="shared" si="762"/>
        <v>818.18181818181836</v>
      </c>
      <c r="Q698" s="1281">
        <f t="shared" si="763"/>
        <v>0</v>
      </c>
      <c r="R698" s="1288">
        <f t="shared" si="764"/>
        <v>0</v>
      </c>
      <c r="S698" s="1289">
        <f t="shared" si="661"/>
        <v>459.69819104471526</v>
      </c>
      <c r="T698" s="1289">
        <f t="shared" si="662"/>
        <v>0</v>
      </c>
      <c r="U698" s="1290">
        <f t="shared" si="663"/>
        <v>1204.3801652892564</v>
      </c>
      <c r="V698" s="1290">
        <f t="shared" si="664"/>
        <v>0</v>
      </c>
      <c r="W698" s="1290">
        <f t="shared" si="665"/>
        <v>0</v>
      </c>
      <c r="X698" s="1290">
        <f t="shared" si="666"/>
        <v>0</v>
      </c>
      <c r="Y698" s="396"/>
      <c r="Z698" s="1291" t="str">
        <f t="shared" si="765"/>
        <v>0-PISCERA</v>
      </c>
      <c r="AA698" s="1291" t="str">
        <f t="shared" si="766"/>
        <v>0-PISCERE</v>
      </c>
      <c r="AB698" s="1291" t="str">
        <f t="shared" si="767"/>
        <v>0-PISCERM</v>
      </c>
      <c r="AC698" s="1291" t="str">
        <f t="shared" si="768"/>
        <v>0-PISCERT</v>
      </c>
      <c r="AD698" s="1291" t="str">
        <f t="shared" si="769"/>
        <v>0-PISCERS</v>
      </c>
      <c r="AE698" s="1291" t="str">
        <f t="shared" si="770"/>
        <v>0-PISCERX</v>
      </c>
      <c r="AF698" s="1291" t="str">
        <f t="shared" si="771"/>
        <v>0-PISCERM</v>
      </c>
      <c r="AG698" s="1291">
        <f t="shared" si="667"/>
        <v>6</v>
      </c>
      <c r="AH698" s="1291">
        <f>IF(B698&lt;&gt;"",+IF(H698="x",+VLOOKUP(I698,'AUX-NIV2'!B:AG,32,FALSE),0),"")</f>
        <v>0</v>
      </c>
      <c r="AI698" s="1291" t="str">
        <f t="shared" si="772"/>
        <v>0-PISCER</v>
      </c>
      <c r="AK698" s="347">
        <f t="shared" si="668"/>
        <v>696</v>
      </c>
      <c r="AL698" s="348">
        <f t="shared" si="773"/>
        <v>701</v>
      </c>
      <c r="AM698" s="347">
        <f t="shared" si="774"/>
        <v>3</v>
      </c>
      <c r="AN698" s="382">
        <f>IF(AND(AH698&gt;0,B698&lt;&gt;""),VLOOKUP(I698,'AUX-NIV2'!$B:$AP,40,FALSE)*O698,0)</f>
        <v>0</v>
      </c>
      <c r="AO698" s="382">
        <f t="shared" si="669"/>
        <v>1</v>
      </c>
      <c r="AQ698" s="395">
        <f>(IF($H698="x",VLOOKUP($I698,'AUX-NIV2'!$B:$X,'AUX-NIV1'!AQ$3,FALSE),0)+($AV698*'AUX-NIV3'!S$4))*$O698+IF($H698=AQ$4,$P698,0)</f>
        <v>0</v>
      </c>
      <c r="AR698" s="395">
        <f>(IF($H698="x",VLOOKUP($I698,'AUX-NIV2'!$B:$X,'AUX-NIV1'!AR$3,FALSE),0)+($AV698*'AUX-NIV3'!T$4))*$O698+IF($H698=AR$4,$P698,0)</f>
        <v>0</v>
      </c>
      <c r="AS698" s="395">
        <f>(IF($H698="x",VLOOKUP($I698,'AUX-NIV2'!$B:$X,'AUX-NIV1'!AS$3,FALSE),0)+($AV698*'AUX-NIV3'!U$4))*$O698+IF($H698=AS$4,$P698,0)</f>
        <v>818.18181818181836</v>
      </c>
      <c r="AT698" s="395">
        <f>(IF($H698="x",VLOOKUP($I698,'AUX-NIV2'!$B:$X,'AUX-NIV1'!AT$3,FALSE),0)+($AV698*'AUX-NIV3'!V$4))*$O698+IF($H698=AT$4,$P698,0)</f>
        <v>0</v>
      </c>
      <c r="AU698" s="395">
        <f>(IF($H698="x",VLOOKUP($I698,'AUX-NIV2'!$B:$X,'AUX-NIV1'!AU$3,FALSE),0)+($AV698*'AUX-NIV3'!W$4))*$O698+IF($H698=AU$4,$P698,0)</f>
        <v>0</v>
      </c>
      <c r="AV698" s="395">
        <f>+IF($H698="x",VLOOKUP($I698,'AUX-NIV2'!$B:$X,'AUX-NIV1'!AV$3,FALSE),0)</f>
        <v>0</v>
      </c>
    </row>
    <row r="699" spans="2:48">
      <c r="B699" s="501" t="s">
        <v>4665</v>
      </c>
      <c r="C699" s="951" t="s">
        <v>4666</v>
      </c>
      <c r="D699" s="1280" t="s">
        <v>501</v>
      </c>
      <c r="E699" s="1281">
        <f>IF(B699&lt;&gt;"",+SUMIF(Items!C:C,'AUX-NIV1'!B699,Items!H:H),"")</f>
        <v>0</v>
      </c>
      <c r="F699" s="1281">
        <f t="shared" si="659"/>
        <v>1664.0783563339719</v>
      </c>
      <c r="G699" s="1281">
        <f t="shared" si="660"/>
        <v>0</v>
      </c>
      <c r="H699" s="1395" t="str">
        <f t="shared" si="760"/>
        <v>M</v>
      </c>
      <c r="I699" s="1375" t="s">
        <v>4686</v>
      </c>
      <c r="J699" s="1283" t="str">
        <f>IF(B699&lt;&gt;"",+VLOOKUP(I699,Recursos!C:F,2,FALSE),"")</f>
        <v>PEGAMENTO P/PISO CERAMICO (BOLSA 30Kg)</v>
      </c>
      <c r="K699" s="1284" t="str">
        <f>IF(B699&lt;&gt;"",+VLOOKUP(I699,Recursos!C:F,3,FALSE),"")</f>
        <v>Un</v>
      </c>
      <c r="L699" s="1285">
        <f>IF(B699&lt;&gt;"",+VLOOKUP(I699,Recursos!C:F,4,FALSE),"")</f>
        <v>1289.2561983471076</v>
      </c>
      <c r="M699" s="1404"/>
      <c r="N699" s="1400">
        <v>0.2</v>
      </c>
      <c r="O699" s="1286">
        <f t="shared" si="775"/>
        <v>0.2</v>
      </c>
      <c r="P699" s="1287">
        <f t="shared" si="762"/>
        <v>257.85123966942155</v>
      </c>
      <c r="Q699" s="1281">
        <f t="shared" si="763"/>
        <v>0</v>
      </c>
      <c r="R699" s="1288">
        <f t="shared" si="764"/>
        <v>0</v>
      </c>
      <c r="S699" s="1289">
        <f t="shared" si="661"/>
        <v>459.69819104471526</v>
      </c>
      <c r="T699" s="1289">
        <f t="shared" si="662"/>
        <v>0</v>
      </c>
      <c r="U699" s="1290">
        <f t="shared" si="663"/>
        <v>1204.3801652892564</v>
      </c>
      <c r="V699" s="1290">
        <f t="shared" si="664"/>
        <v>0</v>
      </c>
      <c r="W699" s="1290">
        <f t="shared" si="665"/>
        <v>0</v>
      </c>
      <c r="X699" s="1290">
        <f t="shared" si="666"/>
        <v>0</v>
      </c>
      <c r="Y699" s="396"/>
      <c r="Z699" s="1291" t="str">
        <f t="shared" si="765"/>
        <v>0-PISCERA</v>
      </c>
      <c r="AA699" s="1291" t="str">
        <f t="shared" si="766"/>
        <v>0-PISCERE</v>
      </c>
      <c r="AB699" s="1291" t="str">
        <f t="shared" si="767"/>
        <v>0-PISCERM</v>
      </c>
      <c r="AC699" s="1291" t="str">
        <f t="shared" si="768"/>
        <v>0-PISCERT</v>
      </c>
      <c r="AD699" s="1291" t="str">
        <f t="shared" si="769"/>
        <v>0-PISCERS</v>
      </c>
      <c r="AE699" s="1291" t="str">
        <f t="shared" si="770"/>
        <v>0-PISCERX</v>
      </c>
      <c r="AF699" s="1291" t="str">
        <f t="shared" si="771"/>
        <v>0-PISCERM</v>
      </c>
      <c r="AG699" s="1291">
        <f t="shared" si="667"/>
        <v>6</v>
      </c>
      <c r="AH699" s="1291">
        <f>IF(B699&lt;&gt;"",+IF(H699="x",+VLOOKUP(I699,'AUX-NIV2'!B:AG,32,FALSE),0),"")</f>
        <v>0</v>
      </c>
      <c r="AI699" s="1291" t="str">
        <f t="shared" si="772"/>
        <v>0-PISCER</v>
      </c>
      <c r="AK699" s="347">
        <f t="shared" si="668"/>
        <v>696</v>
      </c>
      <c r="AL699" s="348">
        <f t="shared" si="773"/>
        <v>701</v>
      </c>
      <c r="AM699" s="347">
        <f t="shared" si="774"/>
        <v>4</v>
      </c>
      <c r="AN699" s="382">
        <f>IF(AND(AH699&gt;0,B699&lt;&gt;""),VLOOKUP(I699,'AUX-NIV2'!$B:$AP,40,FALSE)*O699,0)</f>
        <v>0</v>
      </c>
      <c r="AO699" s="382">
        <f t="shared" si="669"/>
        <v>1</v>
      </c>
      <c r="AQ699" s="395">
        <f>(IF($H699="x",VLOOKUP($I699,'AUX-NIV2'!$B:$X,'AUX-NIV1'!AQ$3,FALSE),0)+($AV699*'AUX-NIV3'!S$4))*$O699+IF($H699=AQ$4,$P699,0)</f>
        <v>0</v>
      </c>
      <c r="AR699" s="395">
        <f>(IF($H699="x",VLOOKUP($I699,'AUX-NIV2'!$B:$X,'AUX-NIV1'!AR$3,FALSE),0)+($AV699*'AUX-NIV3'!T$4))*$O699+IF($H699=AR$4,$P699,0)</f>
        <v>0</v>
      </c>
      <c r="AS699" s="395">
        <f>(IF($H699="x",VLOOKUP($I699,'AUX-NIV2'!$B:$X,'AUX-NIV1'!AS$3,FALSE),0)+($AV699*'AUX-NIV3'!U$4))*$O699+IF($H699=AS$4,$P699,0)</f>
        <v>257.85123966942155</v>
      </c>
      <c r="AT699" s="395">
        <f>(IF($H699="x",VLOOKUP($I699,'AUX-NIV2'!$B:$X,'AUX-NIV1'!AT$3,FALSE),0)+($AV699*'AUX-NIV3'!V$4))*$O699+IF($H699=AT$4,$P699,0)</f>
        <v>0</v>
      </c>
      <c r="AU699" s="395">
        <f>(IF($H699="x",VLOOKUP($I699,'AUX-NIV2'!$B:$X,'AUX-NIV1'!AU$3,FALSE),0)+($AV699*'AUX-NIV3'!W$4))*$O699+IF($H699=AU$4,$P699,0)</f>
        <v>0</v>
      </c>
      <c r="AV699" s="395">
        <f>+IF($H699="x",VLOOKUP($I699,'AUX-NIV2'!$B:$X,'AUX-NIV1'!AV$3,FALSE),0)</f>
        <v>0</v>
      </c>
    </row>
    <row r="700" spans="2:48">
      <c r="B700" s="501" t="s">
        <v>4665</v>
      </c>
      <c r="C700" s="951" t="s">
        <v>4666</v>
      </c>
      <c r="D700" s="1280" t="s">
        <v>501</v>
      </c>
      <c r="E700" s="1281">
        <f>IF(B700&lt;&gt;"",+SUMIF(Items!C:C,'AUX-NIV1'!B700,Items!H:H),"")</f>
        <v>0</v>
      </c>
      <c r="F700" s="1281">
        <f t="shared" si="659"/>
        <v>1664.0783563339719</v>
      </c>
      <c r="G700" s="1281">
        <f t="shared" si="660"/>
        <v>0</v>
      </c>
      <c r="H700" s="1395" t="str">
        <f t="shared" si="760"/>
        <v>M</v>
      </c>
      <c r="I700" s="1375" t="s">
        <v>3384</v>
      </c>
      <c r="J700" s="1283" t="str">
        <f>IF(B700&lt;&gt;"",+VLOOKUP(I700,Recursos!C:F,2,FALSE),"")</f>
        <v>PASTINA COLOR</v>
      </c>
      <c r="K700" s="1284" t="str">
        <f>IF(B700&lt;&gt;"",+VLOOKUP(I700,Recursos!C:F,3,FALSE),"")</f>
        <v>Kg</v>
      </c>
      <c r="L700" s="1285">
        <f>IF(B700&lt;&gt;"",+VLOOKUP(I700,Recursos!C:F,4,FALSE),"")</f>
        <v>152.89256198347107</v>
      </c>
      <c r="M700" s="1404"/>
      <c r="N700" s="1400">
        <v>0.12</v>
      </c>
      <c r="O700" s="1286">
        <f t="shared" si="775"/>
        <v>0.12</v>
      </c>
      <c r="P700" s="1287">
        <f t="shared" si="762"/>
        <v>18.347107438016529</v>
      </c>
      <c r="Q700" s="1281">
        <f t="shared" si="763"/>
        <v>0</v>
      </c>
      <c r="R700" s="1288">
        <f t="shared" si="764"/>
        <v>0</v>
      </c>
      <c r="S700" s="1289">
        <f t="shared" si="661"/>
        <v>459.69819104471526</v>
      </c>
      <c r="T700" s="1289">
        <f t="shared" si="662"/>
        <v>0</v>
      </c>
      <c r="U700" s="1290">
        <f t="shared" si="663"/>
        <v>1204.3801652892564</v>
      </c>
      <c r="V700" s="1290">
        <f t="shared" si="664"/>
        <v>0</v>
      </c>
      <c r="W700" s="1290">
        <f t="shared" si="665"/>
        <v>0</v>
      </c>
      <c r="X700" s="1290">
        <f t="shared" si="666"/>
        <v>0</v>
      </c>
      <c r="Y700" s="396"/>
      <c r="Z700" s="1291" t="str">
        <f t="shared" si="765"/>
        <v>0-PISCERA</v>
      </c>
      <c r="AA700" s="1291" t="str">
        <f t="shared" si="766"/>
        <v>0-PISCERE</v>
      </c>
      <c r="AB700" s="1291" t="str">
        <f t="shared" si="767"/>
        <v>0-PISCERM</v>
      </c>
      <c r="AC700" s="1291" t="str">
        <f t="shared" si="768"/>
        <v>0-PISCERT</v>
      </c>
      <c r="AD700" s="1291" t="str">
        <f t="shared" si="769"/>
        <v>0-PISCERS</v>
      </c>
      <c r="AE700" s="1291" t="str">
        <f t="shared" si="770"/>
        <v>0-PISCERX</v>
      </c>
      <c r="AF700" s="1291" t="str">
        <f t="shared" si="771"/>
        <v>0-PISCERM</v>
      </c>
      <c r="AG700" s="1291">
        <f t="shared" si="667"/>
        <v>6</v>
      </c>
      <c r="AH700" s="1291">
        <f>IF(B700&lt;&gt;"",+IF(H700="x",+VLOOKUP(I700,'AUX-NIV2'!B:AG,32,FALSE),0),"")</f>
        <v>0</v>
      </c>
      <c r="AI700" s="1291" t="str">
        <f t="shared" si="772"/>
        <v>0-PISCER</v>
      </c>
      <c r="AK700" s="347">
        <f t="shared" si="668"/>
        <v>696</v>
      </c>
      <c r="AL700" s="348">
        <f t="shared" si="773"/>
        <v>701</v>
      </c>
      <c r="AM700" s="347">
        <f t="shared" si="774"/>
        <v>5</v>
      </c>
      <c r="AN700" s="382">
        <f>IF(AND(AH700&gt;0,B700&lt;&gt;""),VLOOKUP(I700,'AUX-NIV2'!$B:$AP,40,FALSE)*O700,0)</f>
        <v>0</v>
      </c>
      <c r="AO700" s="382">
        <f t="shared" si="669"/>
        <v>1</v>
      </c>
      <c r="AQ700" s="395">
        <f>(IF($H700="x",VLOOKUP($I700,'AUX-NIV2'!$B:$X,'AUX-NIV1'!AQ$3,FALSE),0)+($AV700*'AUX-NIV3'!S$4))*$O700+IF($H700=AQ$4,$P700,0)</f>
        <v>0</v>
      </c>
      <c r="AR700" s="395">
        <f>(IF($H700="x",VLOOKUP($I700,'AUX-NIV2'!$B:$X,'AUX-NIV1'!AR$3,FALSE),0)+($AV700*'AUX-NIV3'!T$4))*$O700+IF($H700=AR$4,$P700,0)</f>
        <v>0</v>
      </c>
      <c r="AS700" s="395">
        <f>(IF($H700="x",VLOOKUP($I700,'AUX-NIV2'!$B:$X,'AUX-NIV1'!AS$3,FALSE),0)+($AV700*'AUX-NIV3'!U$4))*$O700+IF($H700=AS$4,$P700,0)</f>
        <v>18.347107438016529</v>
      </c>
      <c r="AT700" s="395">
        <f>(IF($H700="x",VLOOKUP($I700,'AUX-NIV2'!$B:$X,'AUX-NIV1'!AT$3,FALSE),0)+($AV700*'AUX-NIV3'!V$4))*$O700+IF($H700=AT$4,$P700,0)</f>
        <v>0</v>
      </c>
      <c r="AU700" s="395">
        <f>(IF($H700="x",VLOOKUP($I700,'AUX-NIV2'!$B:$X,'AUX-NIV1'!AU$3,FALSE),0)+($AV700*'AUX-NIV3'!W$4))*$O700+IF($H700=AU$4,$P700,0)</f>
        <v>0</v>
      </c>
      <c r="AV700" s="395">
        <f>+IF($H700="x",VLOOKUP($I700,'AUX-NIV2'!$B:$X,'AUX-NIV1'!AV$3,FALSE),0)</f>
        <v>0</v>
      </c>
    </row>
    <row r="701" spans="2:48" ht="13.8" thickBot="1">
      <c r="B701" s="501" t="s">
        <v>4665</v>
      </c>
      <c r="C701" s="951" t="s">
        <v>4666</v>
      </c>
      <c r="D701" s="1280" t="s">
        <v>501</v>
      </c>
      <c r="E701" s="1281">
        <f>IF(B701&lt;&gt;"",+SUMIF(Items!C:C,'AUX-NIV1'!B701,Items!H:H),"")</f>
        <v>0</v>
      </c>
      <c r="F701" s="1281">
        <f t="shared" si="659"/>
        <v>1664.0783563339719</v>
      </c>
      <c r="G701" s="1281">
        <f t="shared" si="660"/>
        <v>0</v>
      </c>
      <c r="H701" s="1395" t="str">
        <f t="shared" ref="H701" si="776">IF(B701&lt;&gt;"",+LEFT(I701,1),"")</f>
        <v>M</v>
      </c>
      <c r="I701" s="1375" t="s">
        <v>621</v>
      </c>
      <c r="J701" s="1283" t="str">
        <f>IF(B701&lt;&gt;"",+VLOOKUP(I701,Recursos!C:F,2,FALSE),"")</f>
        <v>MATERIALES VARIOS</v>
      </c>
      <c r="K701" s="1284" t="str">
        <f>IF(B701&lt;&gt;"",+VLOOKUP(I701,Recursos!C:F,3,FALSE),"")</f>
        <v>GL</v>
      </c>
      <c r="L701" s="1285">
        <f>IF(B701&lt;&gt;"",+VLOOKUP(I701,Recursos!C:F,4,FALSE),"")</f>
        <v>0.5</v>
      </c>
      <c r="M701" s="1405"/>
      <c r="N701" s="1402">
        <f>2200*10%</f>
        <v>220</v>
      </c>
      <c r="O701" s="1286">
        <f t="shared" si="775"/>
        <v>220</v>
      </c>
      <c r="P701" s="1287">
        <f t="shared" ref="P701" si="777">IF(B701&lt;&gt;"",O701*L701,"")</f>
        <v>110</v>
      </c>
      <c r="Q701" s="1281">
        <f t="shared" ref="Q701" si="778">IF(B701&lt;&gt;"",+O701*E701,"")</f>
        <v>0</v>
      </c>
      <c r="R701" s="1288">
        <f t="shared" ref="R701" si="779">IF(B701&lt;&gt;"",Q701*L701,"")</f>
        <v>0</v>
      </c>
      <c r="S701" s="1289">
        <f t="shared" si="661"/>
        <v>459.69819104471526</v>
      </c>
      <c r="T701" s="1289">
        <f t="shared" si="662"/>
        <v>0</v>
      </c>
      <c r="U701" s="1290">
        <f t="shared" si="663"/>
        <v>1204.3801652892564</v>
      </c>
      <c r="V701" s="1290">
        <f t="shared" si="664"/>
        <v>0</v>
      </c>
      <c r="W701" s="1290">
        <f t="shared" si="665"/>
        <v>0</v>
      </c>
      <c r="X701" s="1290">
        <f t="shared" si="666"/>
        <v>0</v>
      </c>
      <c r="Y701" s="396"/>
      <c r="Z701" s="1291" t="str">
        <f t="shared" ref="Z701" si="780">IF(B701&lt;&gt;"",+$B701&amp;"A","")</f>
        <v>0-PISCERA</v>
      </c>
      <c r="AA701" s="1291" t="str">
        <f t="shared" ref="AA701" si="781">IF(B701&lt;&gt;"",+$B701&amp;"E","")</f>
        <v>0-PISCERE</v>
      </c>
      <c r="AB701" s="1291" t="str">
        <f t="shared" ref="AB701" si="782">IF(B701&lt;&gt;"",++$B701&amp;"M","")</f>
        <v>0-PISCERM</v>
      </c>
      <c r="AC701" s="1291" t="str">
        <f t="shared" ref="AC701" si="783">IF(B701&lt;&gt;"",+$B701&amp;"T","")</f>
        <v>0-PISCERT</v>
      </c>
      <c r="AD701" s="1291" t="str">
        <f t="shared" ref="AD701" si="784">IF(B701&lt;&gt;"",+$B701&amp;"S","")</f>
        <v>0-PISCERS</v>
      </c>
      <c r="AE701" s="1291" t="str">
        <f t="shared" ref="AE701" si="785">IF(B701&lt;&gt;"",+$B701&amp;"X","")</f>
        <v>0-PISCERX</v>
      </c>
      <c r="AF701" s="1291" t="str">
        <f t="shared" ref="AF701" si="786">IF(B701&lt;&gt;"",+B701&amp;H701,"")</f>
        <v>0-PISCERM</v>
      </c>
      <c r="AG701" s="1291">
        <f t="shared" si="667"/>
        <v>6</v>
      </c>
      <c r="AH701" s="1291">
        <f>IF(B701&lt;&gt;"",+IF(H701="x",+VLOOKUP(I701,'AUX-NIV2'!B:AG,32,FALSE),0),"")</f>
        <v>0</v>
      </c>
      <c r="AI701" s="1291" t="str">
        <f t="shared" ref="AI701" si="787">IF(B701&lt;&gt;"",+B701,"")</f>
        <v>0-PISCER</v>
      </c>
      <c r="AK701" s="347">
        <f t="shared" si="668"/>
        <v>696</v>
      </c>
      <c r="AL701" s="348">
        <f t="shared" ref="AL701" si="788">IF(B701&lt;&gt;"",+AK701+AG701-1,"")</f>
        <v>701</v>
      </c>
      <c r="AM701" s="347">
        <f t="shared" ref="AM701" si="789">IF(B701&lt;&gt;"",IF(B701=B700,1+AM700,1),"")</f>
        <v>6</v>
      </c>
      <c r="AN701" s="382">
        <f>IF(AND(AH701&gt;0,B701&lt;&gt;""),VLOOKUP(I701,'AUX-NIV2'!$B:$AP,40,FALSE)*O701,0)</f>
        <v>0</v>
      </c>
      <c r="AO701" s="382">
        <f t="shared" si="669"/>
        <v>1</v>
      </c>
      <c r="AQ701" s="395">
        <f>(IF($H701="x",VLOOKUP($I701,'AUX-NIV2'!$B:$X,'AUX-NIV1'!AQ$3,FALSE),0)+($AV701*'AUX-NIV3'!S$4))*$O701+IF($H701=AQ$4,$P701,0)</f>
        <v>0</v>
      </c>
      <c r="AR701" s="395">
        <f>(IF($H701="x",VLOOKUP($I701,'AUX-NIV2'!$B:$X,'AUX-NIV1'!AR$3,FALSE),0)+($AV701*'AUX-NIV3'!T$4))*$O701+IF($H701=AR$4,$P701,0)</f>
        <v>0</v>
      </c>
      <c r="AS701" s="395">
        <f>(IF($H701="x",VLOOKUP($I701,'AUX-NIV2'!$B:$X,'AUX-NIV1'!AS$3,FALSE),0)+($AV701*'AUX-NIV3'!U$4))*$O701+IF($H701=AS$4,$P701,0)</f>
        <v>110</v>
      </c>
      <c r="AT701" s="395">
        <f>(IF($H701="x",VLOOKUP($I701,'AUX-NIV2'!$B:$X,'AUX-NIV1'!AT$3,FALSE),0)+($AV701*'AUX-NIV3'!V$4))*$O701+IF($H701=AT$4,$P701,0)</f>
        <v>0</v>
      </c>
      <c r="AU701" s="395">
        <f>(IF($H701="x",VLOOKUP($I701,'AUX-NIV2'!$B:$X,'AUX-NIV1'!AU$3,FALSE),0)+($AV701*'AUX-NIV3'!W$4))*$O701+IF($H701=AU$4,$P701,0)</f>
        <v>0</v>
      </c>
      <c r="AV701" s="395">
        <f>+IF($H701="x",VLOOKUP($I701,'AUX-NIV2'!$B:$X,'AUX-NIV1'!AV$3,FALSE),0)</f>
        <v>0</v>
      </c>
    </row>
    <row r="702" spans="2:48" ht="14.4" hidden="1" thickTop="1" thickBot="1">
      <c r="B702" s="501" t="s">
        <v>3806</v>
      </c>
      <c r="C702" s="951" t="s">
        <v>3807</v>
      </c>
      <c r="D702" s="1280" t="s">
        <v>501</v>
      </c>
      <c r="E702" s="1281">
        <f>IF(B702&lt;&gt;"",+SUMIF(Items!C:C,'AUX-NIV1'!B702,Items!H:H),"")</f>
        <v>0</v>
      </c>
      <c r="F702" s="1281">
        <f t="shared" si="659"/>
        <v>10082.540000000001</v>
      </c>
      <c r="G702" s="1281">
        <f t="shared" si="660"/>
        <v>0</v>
      </c>
      <c r="H702" s="1395" t="str">
        <f t="shared" si="745"/>
        <v>S</v>
      </c>
      <c r="I702" s="1375" t="s">
        <v>3808</v>
      </c>
      <c r="J702" s="1283" t="str">
        <f>IF(B702&lt;&gt;"",+VLOOKUP(I702,Recursos!C:F,2,FALSE),"")</f>
        <v>PISO TECNICO</v>
      </c>
      <c r="K702" s="1284" t="str">
        <f>IF(B702&lt;&gt;"",+VLOOKUP(I702,Recursos!C:F,3,FALSE),"")</f>
        <v>m2</v>
      </c>
      <c r="L702" s="1285">
        <f>IF(B702&lt;&gt;"",+VLOOKUP(I702,Recursos!C:F,4,FALSE),"")</f>
        <v>9694.75</v>
      </c>
      <c r="M702" s="1293"/>
      <c r="N702" s="1294">
        <v>1.04</v>
      </c>
      <c r="O702" s="1286">
        <f t="shared" si="746"/>
        <v>1.04</v>
      </c>
      <c r="P702" s="1287">
        <f t="shared" si="747"/>
        <v>10082.540000000001</v>
      </c>
      <c r="Q702" s="1281">
        <f t="shared" si="748"/>
        <v>0</v>
      </c>
      <c r="R702" s="1288">
        <f t="shared" si="749"/>
        <v>0</v>
      </c>
      <c r="S702" s="1289">
        <f t="shared" si="661"/>
        <v>0</v>
      </c>
      <c r="T702" s="1289">
        <f t="shared" si="662"/>
        <v>0</v>
      </c>
      <c r="U702" s="1290">
        <f t="shared" si="663"/>
        <v>0</v>
      </c>
      <c r="V702" s="1290">
        <f t="shared" si="664"/>
        <v>0</v>
      </c>
      <c r="W702" s="1290">
        <f t="shared" si="665"/>
        <v>10082.540000000001</v>
      </c>
      <c r="X702" s="1290">
        <f t="shared" si="666"/>
        <v>0</v>
      </c>
      <c r="Y702" s="396"/>
      <c r="Z702" s="1291" t="str">
        <f t="shared" si="750"/>
        <v>0-PISTECA</v>
      </c>
      <c r="AA702" s="1291" t="str">
        <f t="shared" si="751"/>
        <v>0-PISTECE</v>
      </c>
      <c r="AB702" s="1291" t="str">
        <f t="shared" si="752"/>
        <v>0-PISTECM</v>
      </c>
      <c r="AC702" s="1291" t="str">
        <f t="shared" si="753"/>
        <v>0-PISTECT</v>
      </c>
      <c r="AD702" s="1291" t="str">
        <f t="shared" si="754"/>
        <v>0-PISTECS</v>
      </c>
      <c r="AE702" s="1291" t="str">
        <f t="shared" si="755"/>
        <v>0-PISTECX</v>
      </c>
      <c r="AF702" s="1291" t="str">
        <f t="shared" si="756"/>
        <v>0-PISTECS</v>
      </c>
      <c r="AG702" s="1291">
        <f t="shared" si="667"/>
        <v>1</v>
      </c>
      <c r="AH702" s="1291">
        <f>IF(B702&lt;&gt;"",+IF(H702="x",+VLOOKUP(I702,'AUX-NIV2'!B:AG,32,FALSE),0),"")</f>
        <v>0</v>
      </c>
      <c r="AI702" s="1291" t="str">
        <f t="shared" si="757"/>
        <v>0-PISTEC</v>
      </c>
      <c r="AK702" s="347">
        <f t="shared" si="668"/>
        <v>702</v>
      </c>
      <c r="AL702" s="348">
        <f t="shared" si="758"/>
        <v>702</v>
      </c>
      <c r="AM702" s="347">
        <f>IF(B702&lt;&gt;"",IF(B702=B694,1+AM694,1),"")</f>
        <v>1</v>
      </c>
      <c r="AN702" s="382">
        <f>IF(AND(AH702&gt;0,B702&lt;&gt;""),VLOOKUP(I702,'AUX-NIV2'!$B:$AP,40,FALSE)*O702,0)</f>
        <v>0</v>
      </c>
      <c r="AO702" s="382">
        <f t="shared" si="669"/>
        <v>0</v>
      </c>
      <c r="AQ702" s="395">
        <f>(IF($H702="x",VLOOKUP($I702,'AUX-NIV2'!$B:$X,'AUX-NIV1'!AQ$3,FALSE),0)+($AV702*'AUX-NIV3'!S$4))*$O702+IF($H702=AQ$4,$P702,0)</f>
        <v>0</v>
      </c>
      <c r="AR702" s="395">
        <f>(IF($H702="x",VLOOKUP($I702,'AUX-NIV2'!$B:$X,'AUX-NIV1'!AR$3,FALSE),0)+($AV702*'AUX-NIV3'!T$4))*$O702+IF($H702=AR$4,$P702,0)</f>
        <v>0</v>
      </c>
      <c r="AS702" s="395">
        <f>(IF($H702="x",VLOOKUP($I702,'AUX-NIV2'!$B:$X,'AUX-NIV1'!AS$3,FALSE),0)+($AV702*'AUX-NIV3'!U$4))*$O702+IF($H702=AS$4,$P702,0)</f>
        <v>0</v>
      </c>
      <c r="AT702" s="395">
        <f>(IF($H702="x",VLOOKUP($I702,'AUX-NIV2'!$B:$X,'AUX-NIV1'!AT$3,FALSE),0)+($AV702*'AUX-NIV3'!V$4))*$O702+IF($H702=AT$4,$P702,0)</f>
        <v>0</v>
      </c>
      <c r="AU702" s="395">
        <f>(IF($H702="x",VLOOKUP($I702,'AUX-NIV2'!$B:$X,'AUX-NIV1'!AU$3,FALSE),0)+($AV702*'AUX-NIV3'!W$4))*$O702+IF($H702=AU$4,$P702,0)</f>
        <v>10082.540000000001</v>
      </c>
      <c r="AV702" s="395">
        <f>+IF($H702="x",VLOOKUP($I702,'AUX-NIV2'!$B:$X,'AUX-NIV1'!AV$3,FALSE),0)</f>
        <v>0</v>
      </c>
    </row>
    <row r="703" spans="2:48" ht="14.4" hidden="1" thickTop="1" thickBot="1">
      <c r="B703" s="501" t="s">
        <v>3810</v>
      </c>
      <c r="C703" s="951" t="s">
        <v>3811</v>
      </c>
      <c r="D703" s="1280" t="s">
        <v>501</v>
      </c>
      <c r="E703" s="1281">
        <f>IF(B703&lt;&gt;"",+SUMIF(Items!C:C,'AUX-NIV1'!B703,Items!H:H),"")</f>
        <v>0</v>
      </c>
      <c r="F703" s="1281">
        <f t="shared" si="659"/>
        <v>2191.8340617332015</v>
      </c>
      <c r="G703" s="1281">
        <f t="shared" si="660"/>
        <v>0</v>
      </c>
      <c r="H703" s="1395" t="str">
        <f t="shared" si="745"/>
        <v>A</v>
      </c>
      <c r="I703" s="1375" t="s">
        <v>1745</v>
      </c>
      <c r="J703" s="1283" t="str">
        <f>IF(B703&lt;&gt;"",+VLOOKUP(I703,Recursos!C:F,2,FALSE),"")</f>
        <v>AYUDANTE</v>
      </c>
      <c r="K703" s="1284" t="str">
        <f>IF(B703&lt;&gt;"",+VLOOKUP(I703,Recursos!C:F,3,FALSE),"")</f>
        <v>hh</v>
      </c>
      <c r="L703" s="1285">
        <f>IF(B703&lt;&gt;"",+VLOOKUP(I703,Recursos!C:F,4,FALSE),"")</f>
        <v>422.48042769667234</v>
      </c>
      <c r="M703" s="1304">
        <v>2</v>
      </c>
      <c r="N703" s="1367">
        <v>1.35</v>
      </c>
      <c r="O703" s="1286">
        <f>M703/N703</f>
        <v>1.4814814814814814</v>
      </c>
      <c r="P703" s="1287">
        <f t="shared" si="747"/>
        <v>625.89692992099606</v>
      </c>
      <c r="Q703" s="1281">
        <f t="shared" si="748"/>
        <v>0</v>
      </c>
      <c r="R703" s="1288">
        <f t="shared" si="749"/>
        <v>0</v>
      </c>
      <c r="S703" s="1289">
        <f t="shared" si="661"/>
        <v>993.98282206377985</v>
      </c>
      <c r="T703" s="1289">
        <f t="shared" si="662"/>
        <v>0</v>
      </c>
      <c r="U703" s="1290">
        <f t="shared" si="663"/>
        <v>1197.8512396694216</v>
      </c>
      <c r="V703" s="1290">
        <f t="shared" si="664"/>
        <v>0</v>
      </c>
      <c r="W703" s="1290">
        <f t="shared" si="665"/>
        <v>0</v>
      </c>
      <c r="X703" s="1290">
        <f t="shared" si="666"/>
        <v>0</v>
      </c>
      <c r="Y703" s="396"/>
      <c r="Z703" s="1291" t="str">
        <f t="shared" si="750"/>
        <v>0-REVPORA</v>
      </c>
      <c r="AA703" s="1291" t="str">
        <f t="shared" si="751"/>
        <v>0-REVPORE</v>
      </c>
      <c r="AB703" s="1291" t="str">
        <f t="shared" si="752"/>
        <v>0-REVPORM</v>
      </c>
      <c r="AC703" s="1291" t="str">
        <f t="shared" si="753"/>
        <v>0-REVPORT</v>
      </c>
      <c r="AD703" s="1291" t="str">
        <f t="shared" si="754"/>
        <v>0-REVPORS</v>
      </c>
      <c r="AE703" s="1291" t="str">
        <f t="shared" si="755"/>
        <v>0-REVPORX</v>
      </c>
      <c r="AF703" s="1291" t="str">
        <f t="shared" si="756"/>
        <v>0-REVPORA</v>
      </c>
      <c r="AG703" s="1291">
        <f t="shared" si="667"/>
        <v>6</v>
      </c>
      <c r="AH703" s="1291">
        <f>IF(B703&lt;&gt;"",+IF(H703="x",+VLOOKUP(I703,'AUX-NIV2'!B:AG,32,FALSE),0),"")</f>
        <v>0</v>
      </c>
      <c r="AI703" s="1291" t="str">
        <f t="shared" si="757"/>
        <v>0-REVPOR</v>
      </c>
      <c r="AK703" s="347">
        <f t="shared" si="668"/>
        <v>703</v>
      </c>
      <c r="AL703" s="348">
        <f t="shared" si="758"/>
        <v>708</v>
      </c>
      <c r="AM703" s="347">
        <f t="shared" si="759"/>
        <v>1</v>
      </c>
      <c r="AN703" s="382">
        <f>IF(AND(AH703&gt;0,B703&lt;&gt;""),VLOOKUP(I703,'AUX-NIV2'!$B:$AP,40,FALSE)*O703,0)</f>
        <v>0</v>
      </c>
      <c r="AO703" s="382">
        <f t="shared" si="669"/>
        <v>2.2222222222222223</v>
      </c>
      <c r="AQ703" s="395">
        <f>(IF($H703="x",VLOOKUP($I703,'AUX-NIV2'!$B:$X,'AUX-NIV1'!AQ$3,FALSE),0)+($AV703*'AUX-NIV3'!S$4))*$O703+IF($H703=AQ$4,$P703,0)</f>
        <v>625.89692992099606</v>
      </c>
      <c r="AR703" s="395">
        <f>(IF($H703="x",VLOOKUP($I703,'AUX-NIV2'!$B:$X,'AUX-NIV1'!AR$3,FALSE),0)+($AV703*'AUX-NIV3'!T$4))*$O703+IF($H703=AR$4,$P703,0)</f>
        <v>0</v>
      </c>
      <c r="AS703" s="395">
        <f>(IF($H703="x",VLOOKUP($I703,'AUX-NIV2'!$B:$X,'AUX-NIV1'!AS$3,FALSE),0)+($AV703*'AUX-NIV3'!U$4))*$O703+IF($H703=AS$4,$P703,0)</f>
        <v>0</v>
      </c>
      <c r="AT703" s="395">
        <f>(IF($H703="x",VLOOKUP($I703,'AUX-NIV2'!$B:$X,'AUX-NIV1'!AT$3,FALSE),0)+($AV703*'AUX-NIV3'!V$4))*$O703+IF($H703=AT$4,$P703,0)</f>
        <v>0</v>
      </c>
      <c r="AU703" s="395">
        <f>(IF($H703="x",VLOOKUP($I703,'AUX-NIV2'!$B:$X,'AUX-NIV1'!AU$3,FALSE),0)+($AV703*'AUX-NIV3'!W$4))*$O703+IF($H703=AU$4,$P703,0)</f>
        <v>0</v>
      </c>
      <c r="AV703" s="395">
        <f>+IF($H703="x",VLOOKUP($I703,'AUX-NIV2'!$B:$X,'AUX-NIV1'!AV$3,FALSE),0)</f>
        <v>0</v>
      </c>
    </row>
    <row r="704" spans="2:48" ht="14.4" hidden="1" thickTop="1" thickBot="1">
      <c r="B704" s="501" t="s">
        <v>3810</v>
      </c>
      <c r="C704" s="951" t="s">
        <v>3811</v>
      </c>
      <c r="D704" s="1280" t="s">
        <v>501</v>
      </c>
      <c r="E704" s="1281">
        <f>IF(B704&lt;&gt;"",+SUMIF(Items!C:C,'AUX-NIV1'!B704,Items!H:H),"")</f>
        <v>0</v>
      </c>
      <c r="F704" s="1281">
        <f t="shared" si="659"/>
        <v>2191.8340617332015</v>
      </c>
      <c r="G704" s="1281">
        <f t="shared" si="660"/>
        <v>0</v>
      </c>
      <c r="H704" s="1395" t="str">
        <f t="shared" si="745"/>
        <v>A</v>
      </c>
      <c r="I704" s="1375" t="s">
        <v>1746</v>
      </c>
      <c r="J704" s="1283" t="str">
        <f>IF(B704&lt;&gt;"",+VLOOKUP(I704,Recursos!C:F,2,FALSE),"")</f>
        <v>OFICIAL</v>
      </c>
      <c r="K704" s="1284" t="str">
        <f>IF(B704&lt;&gt;"",+VLOOKUP(I704,Recursos!C:F,3,FALSE),"")</f>
        <v>hh</v>
      </c>
      <c r="L704" s="1285">
        <f>IF(B704&lt;&gt;"",+VLOOKUP(I704,Recursos!C:F,4,FALSE),"")</f>
        <v>496.91595439275824</v>
      </c>
      <c r="M704" s="1399">
        <v>1</v>
      </c>
      <c r="N704" s="1403"/>
      <c r="O704" s="1286">
        <f>M704/N703</f>
        <v>0.7407407407407407</v>
      </c>
      <c r="P704" s="1287">
        <f t="shared" si="747"/>
        <v>368.08589214278385</v>
      </c>
      <c r="Q704" s="1281">
        <f t="shared" si="748"/>
        <v>0</v>
      </c>
      <c r="R704" s="1288">
        <f t="shared" si="749"/>
        <v>0</v>
      </c>
      <c r="S704" s="1289">
        <f t="shared" si="661"/>
        <v>993.98282206377985</v>
      </c>
      <c r="T704" s="1289">
        <f t="shared" si="662"/>
        <v>0</v>
      </c>
      <c r="U704" s="1290">
        <f t="shared" si="663"/>
        <v>1197.8512396694216</v>
      </c>
      <c r="V704" s="1290">
        <f t="shared" si="664"/>
        <v>0</v>
      </c>
      <c r="W704" s="1290">
        <f t="shared" si="665"/>
        <v>0</v>
      </c>
      <c r="X704" s="1290">
        <f t="shared" si="666"/>
        <v>0</v>
      </c>
      <c r="Y704" s="396"/>
      <c r="Z704" s="1291" t="str">
        <f t="shared" si="750"/>
        <v>0-REVPORA</v>
      </c>
      <c r="AA704" s="1291" t="str">
        <f t="shared" si="751"/>
        <v>0-REVPORE</v>
      </c>
      <c r="AB704" s="1291" t="str">
        <f t="shared" si="752"/>
        <v>0-REVPORM</v>
      </c>
      <c r="AC704" s="1291" t="str">
        <f t="shared" si="753"/>
        <v>0-REVPORT</v>
      </c>
      <c r="AD704" s="1291" t="str">
        <f t="shared" si="754"/>
        <v>0-REVPORS</v>
      </c>
      <c r="AE704" s="1291" t="str">
        <f t="shared" si="755"/>
        <v>0-REVPORX</v>
      </c>
      <c r="AF704" s="1291" t="str">
        <f t="shared" si="756"/>
        <v>0-REVPORA</v>
      </c>
      <c r="AG704" s="1291">
        <f t="shared" si="667"/>
        <v>6</v>
      </c>
      <c r="AH704" s="1291">
        <f>IF(B704&lt;&gt;"",+IF(H704="x",+VLOOKUP(I704,'AUX-NIV2'!B:AG,32,FALSE),0),"")</f>
        <v>0</v>
      </c>
      <c r="AI704" s="1291" t="str">
        <f t="shared" si="757"/>
        <v>0-REVPOR</v>
      </c>
      <c r="AK704" s="347">
        <f t="shared" si="668"/>
        <v>703</v>
      </c>
      <c r="AL704" s="348">
        <f t="shared" si="758"/>
        <v>708</v>
      </c>
      <c r="AM704" s="347">
        <f t="shared" si="759"/>
        <v>2</v>
      </c>
      <c r="AN704" s="382">
        <f>IF(AND(AH704&gt;0,B704&lt;&gt;""),VLOOKUP(I704,'AUX-NIV2'!$B:$AP,40,FALSE)*O704,0)</f>
        <v>0</v>
      </c>
      <c r="AO704" s="382">
        <f t="shared" si="669"/>
        <v>2.2222222222222223</v>
      </c>
      <c r="AQ704" s="395">
        <f>(IF($H704="x",VLOOKUP($I704,'AUX-NIV2'!$B:$X,'AUX-NIV1'!AQ$3,FALSE),0)+($AV704*'AUX-NIV3'!S$4))*$O704+IF($H704=AQ$4,$P704,0)</f>
        <v>368.08589214278385</v>
      </c>
      <c r="AR704" s="395">
        <f>(IF($H704="x",VLOOKUP($I704,'AUX-NIV2'!$B:$X,'AUX-NIV1'!AR$3,FALSE),0)+($AV704*'AUX-NIV3'!T$4))*$O704+IF($H704=AR$4,$P704,0)</f>
        <v>0</v>
      </c>
      <c r="AS704" s="395">
        <f>(IF($H704="x",VLOOKUP($I704,'AUX-NIV2'!$B:$X,'AUX-NIV1'!AS$3,FALSE),0)+($AV704*'AUX-NIV3'!U$4))*$O704+IF($H704=AS$4,$P704,0)</f>
        <v>0</v>
      </c>
      <c r="AT704" s="395">
        <f>(IF($H704="x",VLOOKUP($I704,'AUX-NIV2'!$B:$X,'AUX-NIV1'!AT$3,FALSE),0)+($AV704*'AUX-NIV3'!V$4))*$O704+IF($H704=AT$4,$P704,0)</f>
        <v>0</v>
      </c>
      <c r="AU704" s="395">
        <f>(IF($H704="x",VLOOKUP($I704,'AUX-NIV2'!$B:$X,'AUX-NIV1'!AU$3,FALSE),0)+($AV704*'AUX-NIV3'!W$4))*$O704+IF($H704=AU$4,$P704,0)</f>
        <v>0</v>
      </c>
      <c r="AV704" s="395">
        <f>+IF($H704="x",VLOOKUP($I704,'AUX-NIV2'!$B:$X,'AUX-NIV1'!AV$3,FALSE),0)</f>
        <v>0</v>
      </c>
    </row>
    <row r="705" spans="2:48" ht="14.4" hidden="1" thickTop="1" thickBot="1">
      <c r="B705" s="501" t="s">
        <v>3810</v>
      </c>
      <c r="C705" s="951" t="s">
        <v>3811</v>
      </c>
      <c r="D705" s="1280" t="s">
        <v>501</v>
      </c>
      <c r="E705" s="1281">
        <f>IF(B705&lt;&gt;"",+SUMIF(Items!C:C,'AUX-NIV1'!B705,Items!H:H),"")</f>
        <v>0</v>
      </c>
      <c r="F705" s="1281">
        <f t="shared" si="659"/>
        <v>2191.8340617332015</v>
      </c>
      <c r="G705" s="1281">
        <f t="shared" si="660"/>
        <v>0</v>
      </c>
      <c r="H705" s="1395" t="str">
        <f t="shared" si="745"/>
        <v>M</v>
      </c>
      <c r="I705" s="1375" t="s">
        <v>3797</v>
      </c>
      <c r="J705" s="1283" t="str">
        <f>IF(B705&lt;&gt;"",+VLOOKUP(I705,Recursos!C:F,2,FALSE),"")</f>
        <v>CERAMICA 30x60</v>
      </c>
      <c r="K705" s="1284" t="str">
        <f>IF(B705&lt;&gt;"",+VLOOKUP(I705,Recursos!C:F,3,FALSE),"")</f>
        <v>m2</v>
      </c>
      <c r="L705" s="1285">
        <f>IF(B705&lt;&gt;"",+VLOOKUP(I705,Recursos!C:F,4,FALSE),"")</f>
        <v>743.80165289256206</v>
      </c>
      <c r="M705" s="1404"/>
      <c r="N705" s="1400">
        <v>1.05</v>
      </c>
      <c r="O705" s="1286">
        <f t="shared" ref="O705:O708" si="790">N705</f>
        <v>1.05</v>
      </c>
      <c r="P705" s="1287">
        <f t="shared" si="747"/>
        <v>780.99173553719015</v>
      </c>
      <c r="Q705" s="1281">
        <f t="shared" si="748"/>
        <v>0</v>
      </c>
      <c r="R705" s="1288">
        <f t="shared" si="749"/>
        <v>0</v>
      </c>
      <c r="S705" s="1289">
        <f t="shared" si="661"/>
        <v>993.98282206377985</v>
      </c>
      <c r="T705" s="1289">
        <f t="shared" si="662"/>
        <v>0</v>
      </c>
      <c r="U705" s="1290">
        <f t="shared" si="663"/>
        <v>1197.8512396694216</v>
      </c>
      <c r="V705" s="1290">
        <f t="shared" si="664"/>
        <v>0</v>
      </c>
      <c r="W705" s="1290">
        <f t="shared" si="665"/>
        <v>0</v>
      </c>
      <c r="X705" s="1290">
        <f t="shared" si="666"/>
        <v>0</v>
      </c>
      <c r="Y705" s="396"/>
      <c r="Z705" s="1291" t="str">
        <f t="shared" si="750"/>
        <v>0-REVPORA</v>
      </c>
      <c r="AA705" s="1291" t="str">
        <f t="shared" si="751"/>
        <v>0-REVPORE</v>
      </c>
      <c r="AB705" s="1291" t="str">
        <f t="shared" si="752"/>
        <v>0-REVPORM</v>
      </c>
      <c r="AC705" s="1291" t="str">
        <f t="shared" si="753"/>
        <v>0-REVPORT</v>
      </c>
      <c r="AD705" s="1291" t="str">
        <f t="shared" si="754"/>
        <v>0-REVPORS</v>
      </c>
      <c r="AE705" s="1291" t="str">
        <f t="shared" si="755"/>
        <v>0-REVPORX</v>
      </c>
      <c r="AF705" s="1291" t="str">
        <f t="shared" si="756"/>
        <v>0-REVPORM</v>
      </c>
      <c r="AG705" s="1291">
        <f t="shared" si="667"/>
        <v>6</v>
      </c>
      <c r="AH705" s="1291">
        <f>IF(B705&lt;&gt;"",+IF(H705="x",+VLOOKUP(I705,'AUX-NIV2'!B:AG,32,FALSE),0),"")</f>
        <v>0</v>
      </c>
      <c r="AI705" s="1291" t="str">
        <f t="shared" si="757"/>
        <v>0-REVPOR</v>
      </c>
      <c r="AK705" s="347">
        <f t="shared" si="668"/>
        <v>703</v>
      </c>
      <c r="AL705" s="348">
        <f t="shared" si="758"/>
        <v>708</v>
      </c>
      <c r="AM705" s="347">
        <f t="shared" si="759"/>
        <v>3</v>
      </c>
      <c r="AN705" s="382">
        <f>IF(AND(AH705&gt;0,B705&lt;&gt;""),VLOOKUP(I705,'AUX-NIV2'!$B:$AP,40,FALSE)*O705,0)</f>
        <v>0</v>
      </c>
      <c r="AO705" s="382">
        <f t="shared" si="669"/>
        <v>2.2222222222222223</v>
      </c>
      <c r="AQ705" s="395">
        <f>(IF($H705="x",VLOOKUP($I705,'AUX-NIV2'!$B:$X,'AUX-NIV1'!AQ$3,FALSE),0)+($AV705*'AUX-NIV3'!S$4))*$O705+IF($H705=AQ$4,$P705,0)</f>
        <v>0</v>
      </c>
      <c r="AR705" s="395">
        <f>(IF($H705="x",VLOOKUP($I705,'AUX-NIV2'!$B:$X,'AUX-NIV1'!AR$3,FALSE),0)+($AV705*'AUX-NIV3'!T$4))*$O705+IF($H705=AR$4,$P705,0)</f>
        <v>0</v>
      </c>
      <c r="AS705" s="395">
        <f>(IF($H705="x",VLOOKUP($I705,'AUX-NIV2'!$B:$X,'AUX-NIV1'!AS$3,FALSE),0)+($AV705*'AUX-NIV3'!U$4))*$O705+IF($H705=AS$4,$P705,0)</f>
        <v>780.99173553719015</v>
      </c>
      <c r="AT705" s="395">
        <f>(IF($H705="x",VLOOKUP($I705,'AUX-NIV2'!$B:$X,'AUX-NIV1'!AT$3,FALSE),0)+($AV705*'AUX-NIV3'!V$4))*$O705+IF($H705=AT$4,$P705,0)</f>
        <v>0</v>
      </c>
      <c r="AU705" s="395">
        <f>(IF($H705="x",VLOOKUP($I705,'AUX-NIV2'!$B:$X,'AUX-NIV1'!AU$3,FALSE),0)+($AV705*'AUX-NIV3'!W$4))*$O705+IF($H705=AU$4,$P705,0)</f>
        <v>0</v>
      </c>
      <c r="AV705" s="395">
        <f>+IF($H705="x",VLOOKUP($I705,'AUX-NIV2'!$B:$X,'AUX-NIV1'!AV$3,FALSE),0)</f>
        <v>0</v>
      </c>
    </row>
    <row r="706" spans="2:48" ht="14.4" hidden="1" thickTop="1" thickBot="1">
      <c r="B706" s="501" t="s">
        <v>3810</v>
      </c>
      <c r="C706" s="951" t="s">
        <v>3811</v>
      </c>
      <c r="D706" s="1280" t="s">
        <v>501</v>
      </c>
      <c r="E706" s="1281">
        <f>IF(B706&lt;&gt;"",+SUMIF(Items!C:C,'AUX-NIV1'!B706,Items!H:H),"")</f>
        <v>0</v>
      </c>
      <c r="F706" s="1281">
        <f t="shared" si="659"/>
        <v>2191.8340617332015</v>
      </c>
      <c r="G706" s="1281">
        <f t="shared" si="660"/>
        <v>0</v>
      </c>
      <c r="H706" s="1395" t="str">
        <f t="shared" si="745"/>
        <v>M</v>
      </c>
      <c r="I706" s="1375" t="s">
        <v>3796</v>
      </c>
      <c r="J706" s="1283" t="str">
        <f>IF(B706&lt;&gt;"",+VLOOKUP(I706,Recursos!C:F,2,FALSE),"")</f>
        <v>PEGAMENTO P/PISO PORCELANATO (BOLSA 30Kg)</v>
      </c>
      <c r="K706" s="1284" t="str">
        <f>IF(B706&lt;&gt;"",+VLOOKUP(I706,Recursos!C:F,3,FALSE),"")</f>
        <v>Un</v>
      </c>
      <c r="L706" s="1285">
        <f>IF(B706&lt;&gt;"",+VLOOKUP(I706,Recursos!C:F,4,FALSE),"")</f>
        <v>752.06611570247935</v>
      </c>
      <c r="M706" s="1404"/>
      <c r="N706" s="1400">
        <v>0.2</v>
      </c>
      <c r="O706" s="1286">
        <f t="shared" si="790"/>
        <v>0.2</v>
      </c>
      <c r="P706" s="1287">
        <f t="shared" si="747"/>
        <v>150.41322314049589</v>
      </c>
      <c r="Q706" s="1281">
        <f t="shared" si="748"/>
        <v>0</v>
      </c>
      <c r="R706" s="1288">
        <f t="shared" si="749"/>
        <v>0</v>
      </c>
      <c r="S706" s="1289">
        <f t="shared" si="661"/>
        <v>993.98282206377985</v>
      </c>
      <c r="T706" s="1289">
        <f t="shared" si="662"/>
        <v>0</v>
      </c>
      <c r="U706" s="1290">
        <f t="shared" si="663"/>
        <v>1197.8512396694216</v>
      </c>
      <c r="V706" s="1290">
        <f t="shared" si="664"/>
        <v>0</v>
      </c>
      <c r="W706" s="1290">
        <f t="shared" si="665"/>
        <v>0</v>
      </c>
      <c r="X706" s="1290">
        <f t="shared" si="666"/>
        <v>0</v>
      </c>
      <c r="Y706" s="396"/>
      <c r="Z706" s="1291" t="str">
        <f t="shared" si="750"/>
        <v>0-REVPORA</v>
      </c>
      <c r="AA706" s="1291" t="str">
        <f t="shared" si="751"/>
        <v>0-REVPORE</v>
      </c>
      <c r="AB706" s="1291" t="str">
        <f t="shared" si="752"/>
        <v>0-REVPORM</v>
      </c>
      <c r="AC706" s="1291" t="str">
        <f t="shared" si="753"/>
        <v>0-REVPORT</v>
      </c>
      <c r="AD706" s="1291" t="str">
        <f t="shared" si="754"/>
        <v>0-REVPORS</v>
      </c>
      <c r="AE706" s="1291" t="str">
        <f t="shared" si="755"/>
        <v>0-REVPORX</v>
      </c>
      <c r="AF706" s="1291" t="str">
        <f t="shared" si="756"/>
        <v>0-REVPORM</v>
      </c>
      <c r="AG706" s="1291">
        <f t="shared" si="667"/>
        <v>6</v>
      </c>
      <c r="AH706" s="1291">
        <f>IF(B706&lt;&gt;"",+IF(H706="x",+VLOOKUP(I706,'AUX-NIV2'!B:AG,32,FALSE),0),"")</f>
        <v>0</v>
      </c>
      <c r="AI706" s="1291" t="str">
        <f t="shared" si="757"/>
        <v>0-REVPOR</v>
      </c>
      <c r="AK706" s="347">
        <f t="shared" si="668"/>
        <v>703</v>
      </c>
      <c r="AL706" s="348">
        <f t="shared" si="758"/>
        <v>708</v>
      </c>
      <c r="AM706" s="347">
        <f t="shared" si="759"/>
        <v>4</v>
      </c>
      <c r="AN706" s="382">
        <f>IF(AND(AH706&gt;0,B706&lt;&gt;""),VLOOKUP(I706,'AUX-NIV2'!$B:$AP,40,FALSE)*O706,0)</f>
        <v>0</v>
      </c>
      <c r="AO706" s="382">
        <f t="shared" si="669"/>
        <v>2.2222222222222223</v>
      </c>
      <c r="AQ706" s="395">
        <f>(IF($H706="x",VLOOKUP($I706,'AUX-NIV2'!$B:$X,'AUX-NIV1'!AQ$3,FALSE),0)+($AV706*'AUX-NIV3'!S$4))*$O706+IF($H706=AQ$4,$P706,0)</f>
        <v>0</v>
      </c>
      <c r="AR706" s="395">
        <f>(IF($H706="x",VLOOKUP($I706,'AUX-NIV2'!$B:$X,'AUX-NIV1'!AR$3,FALSE),0)+($AV706*'AUX-NIV3'!T$4))*$O706+IF($H706=AR$4,$P706,0)</f>
        <v>0</v>
      </c>
      <c r="AS706" s="395">
        <f>(IF($H706="x",VLOOKUP($I706,'AUX-NIV2'!$B:$X,'AUX-NIV1'!AS$3,FALSE),0)+($AV706*'AUX-NIV3'!U$4))*$O706+IF($H706=AS$4,$P706,0)</f>
        <v>150.41322314049589</v>
      </c>
      <c r="AT706" s="395">
        <f>(IF($H706="x",VLOOKUP($I706,'AUX-NIV2'!$B:$X,'AUX-NIV1'!AT$3,FALSE),0)+($AV706*'AUX-NIV3'!V$4))*$O706+IF($H706=AT$4,$P706,0)</f>
        <v>0</v>
      </c>
      <c r="AU706" s="395">
        <f>(IF($H706="x",VLOOKUP($I706,'AUX-NIV2'!$B:$X,'AUX-NIV1'!AU$3,FALSE),0)+($AV706*'AUX-NIV3'!W$4))*$O706+IF($H706=AU$4,$P706,0)</f>
        <v>0</v>
      </c>
      <c r="AV706" s="395">
        <f>+IF($H706="x",VLOOKUP($I706,'AUX-NIV2'!$B:$X,'AUX-NIV1'!AV$3,FALSE),0)</f>
        <v>0</v>
      </c>
    </row>
    <row r="707" spans="2:48" ht="14.4" hidden="1" thickTop="1" thickBot="1">
      <c r="B707" s="501" t="s">
        <v>3810</v>
      </c>
      <c r="C707" s="951" t="s">
        <v>3811</v>
      </c>
      <c r="D707" s="1280" t="s">
        <v>501</v>
      </c>
      <c r="E707" s="1281">
        <f>IF(B707&lt;&gt;"",+SUMIF(Items!C:C,'AUX-NIV1'!B707,Items!H:H),"")</f>
        <v>0</v>
      </c>
      <c r="F707" s="1281">
        <f t="shared" si="659"/>
        <v>2191.8340617332015</v>
      </c>
      <c r="G707" s="1281">
        <f t="shared" si="660"/>
        <v>0</v>
      </c>
      <c r="H707" s="1395" t="str">
        <f t="shared" si="745"/>
        <v>M</v>
      </c>
      <c r="I707" s="1375" t="s">
        <v>3384</v>
      </c>
      <c r="J707" s="1283" t="str">
        <f>IF(B707&lt;&gt;"",+VLOOKUP(I707,Recursos!C:F,2,FALSE),"")</f>
        <v>PASTINA COLOR</v>
      </c>
      <c r="K707" s="1284" t="str">
        <f>IF(B707&lt;&gt;"",+VLOOKUP(I707,Recursos!C:F,3,FALSE),"")</f>
        <v>Kg</v>
      </c>
      <c r="L707" s="1285">
        <f>IF(B707&lt;&gt;"",+VLOOKUP(I707,Recursos!C:F,4,FALSE),"")</f>
        <v>152.89256198347107</v>
      </c>
      <c r="M707" s="1404"/>
      <c r="N707" s="1400">
        <v>0.5</v>
      </c>
      <c r="O707" s="1286">
        <f t="shared" si="790"/>
        <v>0.5</v>
      </c>
      <c r="P707" s="1287">
        <f t="shared" si="747"/>
        <v>76.446280991735534</v>
      </c>
      <c r="Q707" s="1281">
        <f t="shared" si="748"/>
        <v>0</v>
      </c>
      <c r="R707" s="1288">
        <f t="shared" si="749"/>
        <v>0</v>
      </c>
      <c r="S707" s="1289">
        <f t="shared" si="661"/>
        <v>993.98282206377985</v>
      </c>
      <c r="T707" s="1289">
        <f t="shared" si="662"/>
        <v>0</v>
      </c>
      <c r="U707" s="1290">
        <f t="shared" si="663"/>
        <v>1197.8512396694216</v>
      </c>
      <c r="V707" s="1290">
        <f t="shared" si="664"/>
        <v>0</v>
      </c>
      <c r="W707" s="1290">
        <f t="shared" si="665"/>
        <v>0</v>
      </c>
      <c r="X707" s="1290">
        <f t="shared" si="666"/>
        <v>0</v>
      </c>
      <c r="Y707" s="396"/>
      <c r="Z707" s="1291" t="str">
        <f t="shared" si="750"/>
        <v>0-REVPORA</v>
      </c>
      <c r="AA707" s="1291" t="str">
        <f t="shared" si="751"/>
        <v>0-REVPORE</v>
      </c>
      <c r="AB707" s="1291" t="str">
        <f t="shared" si="752"/>
        <v>0-REVPORM</v>
      </c>
      <c r="AC707" s="1291" t="str">
        <f t="shared" si="753"/>
        <v>0-REVPORT</v>
      </c>
      <c r="AD707" s="1291" t="str">
        <f t="shared" si="754"/>
        <v>0-REVPORS</v>
      </c>
      <c r="AE707" s="1291" t="str">
        <f t="shared" si="755"/>
        <v>0-REVPORX</v>
      </c>
      <c r="AF707" s="1291" t="str">
        <f t="shared" si="756"/>
        <v>0-REVPORM</v>
      </c>
      <c r="AG707" s="1291">
        <f t="shared" si="667"/>
        <v>6</v>
      </c>
      <c r="AH707" s="1291">
        <f>IF(B707&lt;&gt;"",+IF(H707="x",+VLOOKUP(I707,'AUX-NIV2'!B:AG,32,FALSE),0),"")</f>
        <v>0</v>
      </c>
      <c r="AI707" s="1291" t="str">
        <f t="shared" si="757"/>
        <v>0-REVPOR</v>
      </c>
      <c r="AK707" s="347">
        <f t="shared" si="668"/>
        <v>703</v>
      </c>
      <c r="AL707" s="348">
        <f t="shared" si="758"/>
        <v>708</v>
      </c>
      <c r="AM707" s="347">
        <f t="shared" si="759"/>
        <v>5</v>
      </c>
      <c r="AN707" s="382">
        <f>IF(AND(AH707&gt;0,B707&lt;&gt;""),VLOOKUP(I707,'AUX-NIV2'!$B:$AP,40,FALSE)*O707,0)</f>
        <v>0</v>
      </c>
      <c r="AO707" s="382">
        <f t="shared" si="669"/>
        <v>2.2222222222222223</v>
      </c>
      <c r="AQ707" s="395">
        <f>(IF($H707="x",VLOOKUP($I707,'AUX-NIV2'!$B:$X,'AUX-NIV1'!AQ$3,FALSE),0)+($AV707*'AUX-NIV3'!S$4))*$O707+IF($H707=AQ$4,$P707,0)</f>
        <v>0</v>
      </c>
      <c r="AR707" s="395">
        <f>(IF($H707="x",VLOOKUP($I707,'AUX-NIV2'!$B:$X,'AUX-NIV1'!AR$3,FALSE),0)+($AV707*'AUX-NIV3'!T$4))*$O707+IF($H707=AR$4,$P707,0)</f>
        <v>0</v>
      </c>
      <c r="AS707" s="395">
        <f>(IF($H707="x",VLOOKUP($I707,'AUX-NIV2'!$B:$X,'AUX-NIV1'!AS$3,FALSE),0)+($AV707*'AUX-NIV3'!U$4))*$O707+IF($H707=AS$4,$P707,0)</f>
        <v>76.446280991735534</v>
      </c>
      <c r="AT707" s="395">
        <f>(IF($H707="x",VLOOKUP($I707,'AUX-NIV2'!$B:$X,'AUX-NIV1'!AT$3,FALSE),0)+($AV707*'AUX-NIV3'!V$4))*$O707+IF($H707=AT$4,$P707,0)</f>
        <v>0</v>
      </c>
      <c r="AU707" s="395">
        <f>(IF($H707="x",VLOOKUP($I707,'AUX-NIV2'!$B:$X,'AUX-NIV1'!AU$3,FALSE),0)+($AV707*'AUX-NIV3'!W$4))*$O707+IF($H707=AU$4,$P707,0)</f>
        <v>0</v>
      </c>
      <c r="AV707" s="395">
        <f>+IF($H707="x",VLOOKUP($I707,'AUX-NIV2'!$B:$X,'AUX-NIV1'!AV$3,FALSE),0)</f>
        <v>0</v>
      </c>
    </row>
    <row r="708" spans="2:48" ht="14.4" hidden="1" thickTop="1" thickBot="1">
      <c r="B708" s="501" t="s">
        <v>3810</v>
      </c>
      <c r="C708" s="951" t="s">
        <v>3811</v>
      </c>
      <c r="D708" s="1280" t="s">
        <v>501</v>
      </c>
      <c r="E708" s="1281">
        <f>IF(B708&lt;&gt;"",+SUMIF(Items!C:C,'AUX-NIV1'!B708,Items!H:H),"")</f>
        <v>0</v>
      </c>
      <c r="F708" s="1281">
        <f t="shared" si="659"/>
        <v>2191.8340617332015</v>
      </c>
      <c r="G708" s="1281">
        <f t="shared" si="660"/>
        <v>0</v>
      </c>
      <c r="H708" s="1395" t="str">
        <f t="shared" si="745"/>
        <v>M</v>
      </c>
      <c r="I708" s="1375" t="s">
        <v>621</v>
      </c>
      <c r="J708" s="1283" t="str">
        <f>IF(B708&lt;&gt;"",+VLOOKUP(I708,Recursos!C:F,2,FALSE),"")</f>
        <v>MATERIALES VARIOS</v>
      </c>
      <c r="K708" s="1284" t="str">
        <f>IF(B708&lt;&gt;"",+VLOOKUP(I708,Recursos!C:F,3,FALSE),"")</f>
        <v>GL</v>
      </c>
      <c r="L708" s="1285">
        <f>IF(B708&lt;&gt;"",+VLOOKUP(I708,Recursos!C:F,4,FALSE),"")</f>
        <v>0.5</v>
      </c>
      <c r="M708" s="1405"/>
      <c r="N708" s="1402">
        <f>3800*10%</f>
        <v>380</v>
      </c>
      <c r="O708" s="1286">
        <f t="shared" si="790"/>
        <v>380</v>
      </c>
      <c r="P708" s="1287">
        <f t="shared" si="747"/>
        <v>190</v>
      </c>
      <c r="Q708" s="1281">
        <f t="shared" si="748"/>
        <v>0</v>
      </c>
      <c r="R708" s="1288">
        <f t="shared" si="749"/>
        <v>0</v>
      </c>
      <c r="S708" s="1289">
        <f t="shared" si="661"/>
        <v>993.98282206377985</v>
      </c>
      <c r="T708" s="1289">
        <f t="shared" si="662"/>
        <v>0</v>
      </c>
      <c r="U708" s="1290">
        <f t="shared" si="663"/>
        <v>1197.8512396694216</v>
      </c>
      <c r="V708" s="1290">
        <f t="shared" si="664"/>
        <v>0</v>
      </c>
      <c r="W708" s="1290">
        <f t="shared" si="665"/>
        <v>0</v>
      </c>
      <c r="X708" s="1290">
        <f t="shared" si="666"/>
        <v>0</v>
      </c>
      <c r="Y708" s="396"/>
      <c r="Z708" s="1291" t="str">
        <f t="shared" si="750"/>
        <v>0-REVPORA</v>
      </c>
      <c r="AA708" s="1291" t="str">
        <f t="shared" si="751"/>
        <v>0-REVPORE</v>
      </c>
      <c r="AB708" s="1291" t="str">
        <f t="shared" si="752"/>
        <v>0-REVPORM</v>
      </c>
      <c r="AC708" s="1291" t="str">
        <f t="shared" si="753"/>
        <v>0-REVPORT</v>
      </c>
      <c r="AD708" s="1291" t="str">
        <f t="shared" si="754"/>
        <v>0-REVPORS</v>
      </c>
      <c r="AE708" s="1291" t="str">
        <f t="shared" si="755"/>
        <v>0-REVPORX</v>
      </c>
      <c r="AF708" s="1291" t="str">
        <f t="shared" si="756"/>
        <v>0-REVPORM</v>
      </c>
      <c r="AG708" s="1291">
        <f t="shared" si="667"/>
        <v>6</v>
      </c>
      <c r="AH708" s="1291">
        <f>IF(B708&lt;&gt;"",+IF(H708="x",+VLOOKUP(I708,'AUX-NIV2'!B:AG,32,FALSE),0),"")</f>
        <v>0</v>
      </c>
      <c r="AI708" s="1291" t="str">
        <f t="shared" si="757"/>
        <v>0-REVPOR</v>
      </c>
      <c r="AK708" s="347">
        <f t="shared" si="668"/>
        <v>703</v>
      </c>
      <c r="AL708" s="348">
        <f t="shared" si="758"/>
        <v>708</v>
      </c>
      <c r="AM708" s="347">
        <f t="shared" si="759"/>
        <v>6</v>
      </c>
      <c r="AN708" s="382">
        <f>IF(AND(AH708&gt;0,B708&lt;&gt;""),VLOOKUP(I708,'AUX-NIV2'!$B:$AP,40,FALSE)*O708,0)</f>
        <v>0</v>
      </c>
      <c r="AO708" s="382">
        <f t="shared" si="669"/>
        <v>2.2222222222222223</v>
      </c>
      <c r="AQ708" s="395">
        <f>(IF($H708="x",VLOOKUP($I708,'AUX-NIV2'!$B:$X,'AUX-NIV1'!AQ$3,FALSE),0)+($AV708*'AUX-NIV3'!S$4))*$O708+IF($H708=AQ$4,$P708,0)</f>
        <v>0</v>
      </c>
      <c r="AR708" s="395">
        <f>(IF($H708="x",VLOOKUP($I708,'AUX-NIV2'!$B:$X,'AUX-NIV1'!AR$3,FALSE),0)+($AV708*'AUX-NIV3'!T$4))*$O708+IF($H708=AR$4,$P708,0)</f>
        <v>0</v>
      </c>
      <c r="AS708" s="395">
        <f>(IF($H708="x",VLOOKUP($I708,'AUX-NIV2'!$B:$X,'AUX-NIV1'!AS$3,FALSE),0)+($AV708*'AUX-NIV3'!U$4))*$O708+IF($H708=AS$4,$P708,0)</f>
        <v>190</v>
      </c>
      <c r="AT708" s="395">
        <f>(IF($H708="x",VLOOKUP($I708,'AUX-NIV2'!$B:$X,'AUX-NIV1'!AT$3,FALSE),0)+($AV708*'AUX-NIV3'!V$4))*$O708+IF($H708=AT$4,$P708,0)</f>
        <v>0</v>
      </c>
      <c r="AU708" s="395">
        <f>(IF($H708="x",VLOOKUP($I708,'AUX-NIV2'!$B:$X,'AUX-NIV1'!AU$3,FALSE),0)+($AV708*'AUX-NIV3'!W$4))*$O708+IF($H708=AU$4,$P708,0)</f>
        <v>0</v>
      </c>
      <c r="AV708" s="395">
        <f>+IF($H708="x",VLOOKUP($I708,'AUX-NIV2'!$B:$X,'AUX-NIV1'!AV$3,FALSE),0)</f>
        <v>0</v>
      </c>
    </row>
    <row r="709" spans="2:48" ht="13.8" thickTop="1">
      <c r="B709" s="501" t="s">
        <v>4667</v>
      </c>
      <c r="C709" s="951" t="s">
        <v>4668</v>
      </c>
      <c r="D709" s="1280" t="s">
        <v>501</v>
      </c>
      <c r="E709" s="1281">
        <f>IF(B709&lt;&gt;"",+SUMIF(Items!C:C,'AUX-NIV1'!B709,Items!H:H),"")</f>
        <v>0</v>
      </c>
      <c r="F709" s="1281">
        <f t="shared" si="659"/>
        <v>2299.2720782621273</v>
      </c>
      <c r="G709" s="1281">
        <f t="shared" si="660"/>
        <v>0</v>
      </c>
      <c r="H709" s="1395" t="str">
        <f t="shared" ref="H709:H714" si="791">IF(B709&lt;&gt;"",+LEFT(I709,1),"")</f>
        <v>A</v>
      </c>
      <c r="I709" s="1375" t="s">
        <v>1745</v>
      </c>
      <c r="J709" s="1283" t="str">
        <f>IF(B709&lt;&gt;"",+VLOOKUP(I709,Recursos!C:F,2,FALSE),"")</f>
        <v>AYUDANTE</v>
      </c>
      <c r="K709" s="1284" t="str">
        <f>IF(B709&lt;&gt;"",+VLOOKUP(I709,Recursos!C:F,3,FALSE),"")</f>
        <v>hh</v>
      </c>
      <c r="L709" s="1285">
        <f>IF(B709&lt;&gt;"",+VLOOKUP(I709,Recursos!C:F,4,FALSE),"")</f>
        <v>422.48042769667234</v>
      </c>
      <c r="M709" s="1304">
        <v>2</v>
      </c>
      <c r="N709" s="1367">
        <v>1.35</v>
      </c>
      <c r="O709" s="1286">
        <f>M709/N709</f>
        <v>1.4814814814814814</v>
      </c>
      <c r="P709" s="1287">
        <f t="shared" ref="P709:P714" si="792">IF(B709&lt;&gt;"",O709*L709,"")</f>
        <v>625.89692992099606</v>
      </c>
      <c r="Q709" s="1281">
        <f t="shared" ref="Q709:Q714" si="793">IF(B709&lt;&gt;"",+O709*E709,"")</f>
        <v>0</v>
      </c>
      <c r="R709" s="1288">
        <f t="shared" ref="R709:R714" si="794">IF(B709&lt;&gt;"",Q709*L709,"")</f>
        <v>0</v>
      </c>
      <c r="S709" s="1289">
        <f t="shared" si="661"/>
        <v>993.98282206377985</v>
      </c>
      <c r="T709" s="1289">
        <f t="shared" si="662"/>
        <v>0</v>
      </c>
      <c r="U709" s="1290">
        <f t="shared" si="663"/>
        <v>1305.2892561983472</v>
      </c>
      <c r="V709" s="1290">
        <f t="shared" si="664"/>
        <v>0</v>
      </c>
      <c r="W709" s="1290">
        <f t="shared" si="665"/>
        <v>0</v>
      </c>
      <c r="X709" s="1290">
        <f t="shared" si="666"/>
        <v>0</v>
      </c>
      <c r="Y709" s="396"/>
      <c r="Z709" s="1291" t="str">
        <f t="shared" ref="Z709:Z714" si="795">IF(B709&lt;&gt;"",+$B709&amp;"A","")</f>
        <v>0-REVCERA</v>
      </c>
      <c r="AA709" s="1291" t="str">
        <f t="shared" ref="AA709:AA714" si="796">IF(B709&lt;&gt;"",+$B709&amp;"E","")</f>
        <v>0-REVCERE</v>
      </c>
      <c r="AB709" s="1291" t="str">
        <f t="shared" ref="AB709:AB714" si="797">IF(B709&lt;&gt;"",++$B709&amp;"M","")</f>
        <v>0-REVCERM</v>
      </c>
      <c r="AC709" s="1291" t="str">
        <f t="shared" ref="AC709:AC714" si="798">IF(B709&lt;&gt;"",+$B709&amp;"T","")</f>
        <v>0-REVCERT</v>
      </c>
      <c r="AD709" s="1291" t="str">
        <f t="shared" ref="AD709:AD714" si="799">IF(B709&lt;&gt;"",+$B709&amp;"S","")</f>
        <v>0-REVCERS</v>
      </c>
      <c r="AE709" s="1291" t="str">
        <f t="shared" ref="AE709:AE714" si="800">IF(B709&lt;&gt;"",+$B709&amp;"X","")</f>
        <v>0-REVCERX</v>
      </c>
      <c r="AF709" s="1291" t="str">
        <f t="shared" ref="AF709:AF714" si="801">IF(B709&lt;&gt;"",+B709&amp;H709,"")</f>
        <v>0-REVCERA</v>
      </c>
      <c r="AG709" s="1291">
        <f t="shared" si="667"/>
        <v>6</v>
      </c>
      <c r="AH709" s="1291">
        <f>IF(B709&lt;&gt;"",+IF(H709="x",+VLOOKUP(I709,'AUX-NIV2'!B:AG,32,FALSE),0),"")</f>
        <v>0</v>
      </c>
      <c r="AI709" s="1291" t="str">
        <f t="shared" ref="AI709:AI714" si="802">IF(B709&lt;&gt;"",+B709,"")</f>
        <v>0-REVCER</v>
      </c>
      <c r="AK709" s="347">
        <f t="shared" si="668"/>
        <v>709</v>
      </c>
      <c r="AL709" s="348">
        <f t="shared" ref="AL709:AL714" si="803">IF(B709&lt;&gt;"",+AK709+AG709-1,"")</f>
        <v>714</v>
      </c>
      <c r="AM709" s="347">
        <f t="shared" ref="AM709:AM714" si="804">IF(B709&lt;&gt;"",IF(B709=B708,1+AM708,1),"")</f>
        <v>1</v>
      </c>
      <c r="AN709" s="382">
        <f>IF(AND(AH709&gt;0,B709&lt;&gt;""),VLOOKUP(I709,'AUX-NIV2'!$B:$AP,40,FALSE)*O709,0)</f>
        <v>0</v>
      </c>
      <c r="AO709" s="382">
        <f t="shared" si="669"/>
        <v>2.2222222222222223</v>
      </c>
      <c r="AQ709" s="395">
        <f>(IF($H709="x",VLOOKUP($I709,'AUX-NIV2'!$B:$X,'AUX-NIV1'!AQ$3,FALSE),0)+($AV709*'AUX-NIV3'!S$4))*$O709+IF($H709=AQ$4,$P709,0)</f>
        <v>625.89692992099606</v>
      </c>
      <c r="AR709" s="395">
        <f>(IF($H709="x",VLOOKUP($I709,'AUX-NIV2'!$B:$X,'AUX-NIV1'!AR$3,FALSE),0)+($AV709*'AUX-NIV3'!T$4))*$O709+IF($H709=AR$4,$P709,0)</f>
        <v>0</v>
      </c>
      <c r="AS709" s="395">
        <f>(IF($H709="x",VLOOKUP($I709,'AUX-NIV2'!$B:$X,'AUX-NIV1'!AS$3,FALSE),0)+($AV709*'AUX-NIV3'!U$4))*$O709+IF($H709=AS$4,$P709,0)</f>
        <v>0</v>
      </c>
      <c r="AT709" s="395">
        <f>(IF($H709="x",VLOOKUP($I709,'AUX-NIV2'!$B:$X,'AUX-NIV1'!AT$3,FALSE),0)+($AV709*'AUX-NIV3'!V$4))*$O709+IF($H709=AT$4,$P709,0)</f>
        <v>0</v>
      </c>
      <c r="AU709" s="395">
        <f>(IF($H709="x",VLOOKUP($I709,'AUX-NIV2'!$B:$X,'AUX-NIV1'!AU$3,FALSE),0)+($AV709*'AUX-NIV3'!W$4))*$O709+IF($H709=AU$4,$P709,0)</f>
        <v>0</v>
      </c>
      <c r="AV709" s="395">
        <f>+IF($H709="x",VLOOKUP($I709,'AUX-NIV2'!$B:$X,'AUX-NIV1'!AV$3,FALSE),0)</f>
        <v>0</v>
      </c>
    </row>
    <row r="710" spans="2:48">
      <c r="B710" s="501" t="s">
        <v>4667</v>
      </c>
      <c r="C710" s="951" t="s">
        <v>4668</v>
      </c>
      <c r="D710" s="1280" t="s">
        <v>501</v>
      </c>
      <c r="E710" s="1281">
        <f>IF(B710&lt;&gt;"",+SUMIF(Items!C:C,'AUX-NIV1'!B710,Items!H:H),"")</f>
        <v>0</v>
      </c>
      <c r="F710" s="1281">
        <f t="shared" si="659"/>
        <v>2299.2720782621273</v>
      </c>
      <c r="G710" s="1281">
        <f t="shared" si="660"/>
        <v>0</v>
      </c>
      <c r="H710" s="1395" t="str">
        <f t="shared" si="791"/>
        <v>A</v>
      </c>
      <c r="I710" s="1375" t="s">
        <v>1746</v>
      </c>
      <c r="J710" s="1283" t="str">
        <f>IF(B710&lt;&gt;"",+VLOOKUP(I710,Recursos!C:F,2,FALSE),"")</f>
        <v>OFICIAL</v>
      </c>
      <c r="K710" s="1284" t="str">
        <f>IF(B710&lt;&gt;"",+VLOOKUP(I710,Recursos!C:F,3,FALSE),"")</f>
        <v>hh</v>
      </c>
      <c r="L710" s="1285">
        <f>IF(B710&lt;&gt;"",+VLOOKUP(I710,Recursos!C:F,4,FALSE),"")</f>
        <v>496.91595439275824</v>
      </c>
      <c r="M710" s="1399">
        <v>1</v>
      </c>
      <c r="N710" s="1403"/>
      <c r="O710" s="1286">
        <f>M710/N709</f>
        <v>0.7407407407407407</v>
      </c>
      <c r="P710" s="1287">
        <f t="shared" si="792"/>
        <v>368.08589214278385</v>
      </c>
      <c r="Q710" s="1281">
        <f t="shared" si="793"/>
        <v>0</v>
      </c>
      <c r="R710" s="1288">
        <f t="shared" si="794"/>
        <v>0</v>
      </c>
      <c r="S710" s="1289">
        <f t="shared" si="661"/>
        <v>993.98282206377985</v>
      </c>
      <c r="T710" s="1289">
        <f t="shared" si="662"/>
        <v>0</v>
      </c>
      <c r="U710" s="1290">
        <f t="shared" si="663"/>
        <v>1305.2892561983472</v>
      </c>
      <c r="V710" s="1290">
        <f t="shared" si="664"/>
        <v>0</v>
      </c>
      <c r="W710" s="1290">
        <f t="shared" si="665"/>
        <v>0</v>
      </c>
      <c r="X710" s="1290">
        <f t="shared" si="666"/>
        <v>0</v>
      </c>
      <c r="Y710" s="396"/>
      <c r="Z710" s="1291" t="str">
        <f t="shared" si="795"/>
        <v>0-REVCERA</v>
      </c>
      <c r="AA710" s="1291" t="str">
        <f t="shared" si="796"/>
        <v>0-REVCERE</v>
      </c>
      <c r="AB710" s="1291" t="str">
        <f t="shared" si="797"/>
        <v>0-REVCERM</v>
      </c>
      <c r="AC710" s="1291" t="str">
        <f t="shared" si="798"/>
        <v>0-REVCERT</v>
      </c>
      <c r="AD710" s="1291" t="str">
        <f t="shared" si="799"/>
        <v>0-REVCERS</v>
      </c>
      <c r="AE710" s="1291" t="str">
        <f t="shared" si="800"/>
        <v>0-REVCERX</v>
      </c>
      <c r="AF710" s="1291" t="str">
        <f t="shared" si="801"/>
        <v>0-REVCERA</v>
      </c>
      <c r="AG710" s="1291">
        <f t="shared" si="667"/>
        <v>6</v>
      </c>
      <c r="AH710" s="1291">
        <f>IF(B710&lt;&gt;"",+IF(H710="x",+VLOOKUP(I710,'AUX-NIV2'!B:AG,32,FALSE),0),"")</f>
        <v>0</v>
      </c>
      <c r="AI710" s="1291" t="str">
        <f t="shared" si="802"/>
        <v>0-REVCER</v>
      </c>
      <c r="AK710" s="347">
        <f t="shared" si="668"/>
        <v>709</v>
      </c>
      <c r="AL710" s="348">
        <f t="shared" si="803"/>
        <v>714</v>
      </c>
      <c r="AM710" s="347">
        <f t="shared" si="804"/>
        <v>2</v>
      </c>
      <c r="AN710" s="382">
        <f>IF(AND(AH710&gt;0,B710&lt;&gt;""),VLOOKUP(I710,'AUX-NIV2'!$B:$AP,40,FALSE)*O710,0)</f>
        <v>0</v>
      </c>
      <c r="AO710" s="382">
        <f t="shared" si="669"/>
        <v>2.2222222222222223</v>
      </c>
      <c r="AQ710" s="395">
        <f>(IF($H710="x",VLOOKUP($I710,'AUX-NIV2'!$B:$X,'AUX-NIV1'!AQ$3,FALSE),0)+($AV710*'AUX-NIV3'!S$4))*$O710+IF($H710=AQ$4,$P710,0)</f>
        <v>368.08589214278385</v>
      </c>
      <c r="AR710" s="395">
        <f>(IF($H710="x",VLOOKUP($I710,'AUX-NIV2'!$B:$X,'AUX-NIV1'!AR$3,FALSE),0)+($AV710*'AUX-NIV3'!T$4))*$O710+IF($H710=AR$4,$P710,0)</f>
        <v>0</v>
      </c>
      <c r="AS710" s="395">
        <f>(IF($H710="x",VLOOKUP($I710,'AUX-NIV2'!$B:$X,'AUX-NIV1'!AS$3,FALSE),0)+($AV710*'AUX-NIV3'!U$4))*$O710+IF($H710=AS$4,$P710,0)</f>
        <v>0</v>
      </c>
      <c r="AT710" s="395">
        <f>(IF($H710="x",VLOOKUP($I710,'AUX-NIV2'!$B:$X,'AUX-NIV1'!AT$3,FALSE),0)+($AV710*'AUX-NIV3'!V$4))*$O710+IF($H710=AT$4,$P710,0)</f>
        <v>0</v>
      </c>
      <c r="AU710" s="395">
        <f>(IF($H710="x",VLOOKUP($I710,'AUX-NIV2'!$B:$X,'AUX-NIV1'!AU$3,FALSE),0)+($AV710*'AUX-NIV3'!W$4))*$O710+IF($H710=AU$4,$P710,0)</f>
        <v>0</v>
      </c>
      <c r="AV710" s="395">
        <f>+IF($H710="x",VLOOKUP($I710,'AUX-NIV2'!$B:$X,'AUX-NIV1'!AV$3,FALSE),0)</f>
        <v>0</v>
      </c>
    </row>
    <row r="711" spans="2:48">
      <c r="B711" s="501" t="s">
        <v>4667</v>
      </c>
      <c r="C711" s="951" t="s">
        <v>4668</v>
      </c>
      <c r="D711" s="1280" t="s">
        <v>501</v>
      </c>
      <c r="E711" s="1281">
        <f>IF(B711&lt;&gt;"",+SUMIF(Items!C:C,'AUX-NIV1'!B711,Items!H:H),"")</f>
        <v>0</v>
      </c>
      <c r="F711" s="1281">
        <f t="shared" ref="F711:F774" si="805">IF(B711&lt;&gt;"",+SUMIF(B:B,B711,P:P),"")</f>
        <v>2299.2720782621273</v>
      </c>
      <c r="G711" s="1281">
        <f t="shared" ref="G711:G774" si="806">IF(B711&lt;&gt;"",+SUMIF(B:B,B711,R:R),"")</f>
        <v>0</v>
      </c>
      <c r="H711" s="1395" t="str">
        <f t="shared" si="791"/>
        <v>M</v>
      </c>
      <c r="I711" s="1375" t="s">
        <v>3797</v>
      </c>
      <c r="J711" s="1283" t="str">
        <f>IF(B711&lt;&gt;"",+VLOOKUP(I711,Recursos!C:F,2,FALSE),"")</f>
        <v>CERAMICA 30x60</v>
      </c>
      <c r="K711" s="1284" t="str">
        <f>IF(B711&lt;&gt;"",+VLOOKUP(I711,Recursos!C:F,3,FALSE),"")</f>
        <v>m2</v>
      </c>
      <c r="L711" s="1285">
        <f>IF(B711&lt;&gt;"",+VLOOKUP(I711,Recursos!C:F,4,FALSE),"")</f>
        <v>743.80165289256206</v>
      </c>
      <c r="M711" s="1404"/>
      <c r="N711" s="1400">
        <v>1.05</v>
      </c>
      <c r="O711" s="1286">
        <f t="shared" ref="O711:O714" si="807">N711</f>
        <v>1.05</v>
      </c>
      <c r="P711" s="1287">
        <f t="shared" si="792"/>
        <v>780.99173553719015</v>
      </c>
      <c r="Q711" s="1281">
        <f t="shared" si="793"/>
        <v>0</v>
      </c>
      <c r="R711" s="1288">
        <f t="shared" si="794"/>
        <v>0</v>
      </c>
      <c r="S711" s="1289">
        <f t="shared" ref="S711:S774" si="808">IF(B711&lt;&gt;"",+SUMIF($AF:$AF,Z711,$P:$P),"")</f>
        <v>993.98282206377985</v>
      </c>
      <c r="T711" s="1289">
        <f t="shared" ref="T711:T774" si="809">IF(B711&lt;&gt;"",+SUMIF($AF:$AF,AA711,$P:$P),"")</f>
        <v>0</v>
      </c>
      <c r="U711" s="1290">
        <f t="shared" ref="U711:U774" si="810">IF(B711&lt;&gt;"",+SUMIF($AF:$AF,AB711,$P:$P),"")</f>
        <v>1305.2892561983472</v>
      </c>
      <c r="V711" s="1290">
        <f t="shared" ref="V711:V774" si="811">IF(B711&lt;&gt;"",+SUMIF($AF:$AF,AC711,$P:$P),"")</f>
        <v>0</v>
      </c>
      <c r="W711" s="1290">
        <f t="shared" ref="W711:W774" si="812">IF(B711&lt;&gt;"",+SUMIF($AF:$AF,AD711,$P:$P),"")</f>
        <v>0</v>
      </c>
      <c r="X711" s="1290">
        <f t="shared" ref="X711:X774" si="813">IF(B711&lt;&gt;"",+SUMIF($AF:$AF,AE711,$P:$P),"")</f>
        <v>0</v>
      </c>
      <c r="Y711" s="396"/>
      <c r="Z711" s="1291" t="str">
        <f t="shared" si="795"/>
        <v>0-REVCERA</v>
      </c>
      <c r="AA711" s="1291" t="str">
        <f t="shared" si="796"/>
        <v>0-REVCERE</v>
      </c>
      <c r="AB711" s="1291" t="str">
        <f t="shared" si="797"/>
        <v>0-REVCERM</v>
      </c>
      <c r="AC711" s="1291" t="str">
        <f t="shared" si="798"/>
        <v>0-REVCERT</v>
      </c>
      <c r="AD711" s="1291" t="str">
        <f t="shared" si="799"/>
        <v>0-REVCERS</v>
      </c>
      <c r="AE711" s="1291" t="str">
        <f t="shared" si="800"/>
        <v>0-REVCERX</v>
      </c>
      <c r="AF711" s="1291" t="str">
        <f t="shared" si="801"/>
        <v>0-REVCERM</v>
      </c>
      <c r="AG711" s="1291">
        <f t="shared" ref="AG711:AG774" si="814">IF(B711&lt;&gt;"",+COUNTIF(B:B,B711),"")</f>
        <v>6</v>
      </c>
      <c r="AH711" s="1291">
        <f>IF(B711&lt;&gt;"",+IF(H711="x",+VLOOKUP(I711,'AUX-NIV2'!B:AG,32,FALSE),0),"")</f>
        <v>0</v>
      </c>
      <c r="AI711" s="1291" t="str">
        <f t="shared" si="802"/>
        <v>0-REVCER</v>
      </c>
      <c r="AK711" s="347">
        <f t="shared" ref="AK711:AK774" si="815">IF(B711&lt;&gt;"",+MATCH(B711,B:B,0),"")</f>
        <v>709</v>
      </c>
      <c r="AL711" s="348">
        <f t="shared" si="803"/>
        <v>714</v>
      </c>
      <c r="AM711" s="347">
        <f t="shared" si="804"/>
        <v>3</v>
      </c>
      <c r="AN711" s="382">
        <f>IF(AND(AH711&gt;0,B711&lt;&gt;""),VLOOKUP(I711,'AUX-NIV2'!$B:$AP,40,FALSE)*O711,0)</f>
        <v>0</v>
      </c>
      <c r="AO711" s="382">
        <f t="shared" ref="AO711:AO774" si="816">+IF(B711&lt;&gt;"",SUMIF(AF:AF,Z711,O:O)+SUMIF(Z:Z,Z711,AN:AN),0)</f>
        <v>2.2222222222222223</v>
      </c>
      <c r="AQ711" s="395">
        <f>(IF($H711="x",VLOOKUP($I711,'AUX-NIV2'!$B:$X,'AUX-NIV1'!AQ$3,FALSE),0)+($AV711*'AUX-NIV3'!S$4))*$O711+IF($H711=AQ$4,$P711,0)</f>
        <v>0</v>
      </c>
      <c r="AR711" s="395">
        <f>(IF($H711="x",VLOOKUP($I711,'AUX-NIV2'!$B:$X,'AUX-NIV1'!AR$3,FALSE),0)+($AV711*'AUX-NIV3'!T$4))*$O711+IF($H711=AR$4,$P711,0)</f>
        <v>0</v>
      </c>
      <c r="AS711" s="395">
        <f>(IF($H711="x",VLOOKUP($I711,'AUX-NIV2'!$B:$X,'AUX-NIV1'!AS$3,FALSE),0)+($AV711*'AUX-NIV3'!U$4))*$O711+IF($H711=AS$4,$P711,0)</f>
        <v>780.99173553719015</v>
      </c>
      <c r="AT711" s="395">
        <f>(IF($H711="x",VLOOKUP($I711,'AUX-NIV2'!$B:$X,'AUX-NIV1'!AT$3,FALSE),0)+($AV711*'AUX-NIV3'!V$4))*$O711+IF($H711=AT$4,$P711,0)</f>
        <v>0</v>
      </c>
      <c r="AU711" s="395">
        <f>(IF($H711="x",VLOOKUP($I711,'AUX-NIV2'!$B:$X,'AUX-NIV1'!AU$3,FALSE),0)+($AV711*'AUX-NIV3'!W$4))*$O711+IF($H711=AU$4,$P711,0)</f>
        <v>0</v>
      </c>
      <c r="AV711" s="395">
        <f>+IF($H711="x",VLOOKUP($I711,'AUX-NIV2'!$B:$X,'AUX-NIV1'!AV$3,FALSE),0)</f>
        <v>0</v>
      </c>
    </row>
    <row r="712" spans="2:48">
      <c r="B712" s="501" t="s">
        <v>4667</v>
      </c>
      <c r="C712" s="951" t="s">
        <v>4668</v>
      </c>
      <c r="D712" s="1280" t="s">
        <v>501</v>
      </c>
      <c r="E712" s="1281">
        <f>IF(B712&lt;&gt;"",+SUMIF(Items!C:C,'AUX-NIV1'!B712,Items!H:H),"")</f>
        <v>0</v>
      </c>
      <c r="F712" s="1281">
        <f t="shared" si="805"/>
        <v>2299.2720782621273</v>
      </c>
      <c r="G712" s="1281">
        <f t="shared" si="806"/>
        <v>0</v>
      </c>
      <c r="H712" s="1395" t="str">
        <f t="shared" si="791"/>
        <v>M</v>
      </c>
      <c r="I712" s="1375" t="s">
        <v>4686</v>
      </c>
      <c r="J712" s="1283" t="str">
        <f>IF(B712&lt;&gt;"",+VLOOKUP(I712,Recursos!C:F,2,FALSE),"")</f>
        <v>PEGAMENTO P/PISO CERAMICO (BOLSA 30Kg)</v>
      </c>
      <c r="K712" s="1284" t="str">
        <f>IF(B712&lt;&gt;"",+VLOOKUP(I712,Recursos!C:F,3,FALSE),"")</f>
        <v>Un</v>
      </c>
      <c r="L712" s="1285">
        <f>IF(B712&lt;&gt;"",+VLOOKUP(I712,Recursos!C:F,4,FALSE),"")</f>
        <v>1289.2561983471076</v>
      </c>
      <c r="M712" s="1404"/>
      <c r="N712" s="1400">
        <v>0.2</v>
      </c>
      <c r="O712" s="1286">
        <f t="shared" si="807"/>
        <v>0.2</v>
      </c>
      <c r="P712" s="1287">
        <f t="shared" si="792"/>
        <v>257.85123966942155</v>
      </c>
      <c r="Q712" s="1281">
        <f t="shared" si="793"/>
        <v>0</v>
      </c>
      <c r="R712" s="1288">
        <f t="shared" si="794"/>
        <v>0</v>
      </c>
      <c r="S712" s="1289">
        <f t="shared" si="808"/>
        <v>993.98282206377985</v>
      </c>
      <c r="T712" s="1289">
        <f t="shared" si="809"/>
        <v>0</v>
      </c>
      <c r="U712" s="1290">
        <f t="shared" si="810"/>
        <v>1305.2892561983472</v>
      </c>
      <c r="V712" s="1290">
        <f t="shared" si="811"/>
        <v>0</v>
      </c>
      <c r="W712" s="1290">
        <f t="shared" si="812"/>
        <v>0</v>
      </c>
      <c r="X712" s="1290">
        <f t="shared" si="813"/>
        <v>0</v>
      </c>
      <c r="Y712" s="396"/>
      <c r="Z712" s="1291" t="str">
        <f t="shared" si="795"/>
        <v>0-REVCERA</v>
      </c>
      <c r="AA712" s="1291" t="str">
        <f t="shared" si="796"/>
        <v>0-REVCERE</v>
      </c>
      <c r="AB712" s="1291" t="str">
        <f t="shared" si="797"/>
        <v>0-REVCERM</v>
      </c>
      <c r="AC712" s="1291" t="str">
        <f t="shared" si="798"/>
        <v>0-REVCERT</v>
      </c>
      <c r="AD712" s="1291" t="str">
        <f t="shared" si="799"/>
        <v>0-REVCERS</v>
      </c>
      <c r="AE712" s="1291" t="str">
        <f t="shared" si="800"/>
        <v>0-REVCERX</v>
      </c>
      <c r="AF712" s="1291" t="str">
        <f t="shared" si="801"/>
        <v>0-REVCERM</v>
      </c>
      <c r="AG712" s="1291">
        <f t="shared" si="814"/>
        <v>6</v>
      </c>
      <c r="AH712" s="1291">
        <f>IF(B712&lt;&gt;"",+IF(H712="x",+VLOOKUP(I712,'AUX-NIV2'!B:AG,32,FALSE),0),"")</f>
        <v>0</v>
      </c>
      <c r="AI712" s="1291" t="str">
        <f t="shared" si="802"/>
        <v>0-REVCER</v>
      </c>
      <c r="AK712" s="347">
        <f t="shared" si="815"/>
        <v>709</v>
      </c>
      <c r="AL712" s="348">
        <f t="shared" si="803"/>
        <v>714</v>
      </c>
      <c r="AM712" s="347">
        <f t="shared" si="804"/>
        <v>4</v>
      </c>
      <c r="AN712" s="382">
        <f>IF(AND(AH712&gt;0,B712&lt;&gt;""),VLOOKUP(I712,'AUX-NIV2'!$B:$AP,40,FALSE)*O712,0)</f>
        <v>0</v>
      </c>
      <c r="AO712" s="382">
        <f t="shared" si="816"/>
        <v>2.2222222222222223</v>
      </c>
      <c r="AQ712" s="395">
        <f>(IF($H712="x",VLOOKUP($I712,'AUX-NIV2'!$B:$X,'AUX-NIV1'!AQ$3,FALSE),0)+($AV712*'AUX-NIV3'!S$4))*$O712+IF($H712=AQ$4,$P712,0)</f>
        <v>0</v>
      </c>
      <c r="AR712" s="395">
        <f>(IF($H712="x",VLOOKUP($I712,'AUX-NIV2'!$B:$X,'AUX-NIV1'!AR$3,FALSE),0)+($AV712*'AUX-NIV3'!T$4))*$O712+IF($H712=AR$4,$P712,0)</f>
        <v>0</v>
      </c>
      <c r="AS712" s="395">
        <f>(IF($H712="x",VLOOKUP($I712,'AUX-NIV2'!$B:$X,'AUX-NIV1'!AS$3,FALSE),0)+($AV712*'AUX-NIV3'!U$4))*$O712+IF($H712=AS$4,$P712,0)</f>
        <v>257.85123966942155</v>
      </c>
      <c r="AT712" s="395">
        <f>(IF($H712="x",VLOOKUP($I712,'AUX-NIV2'!$B:$X,'AUX-NIV1'!AT$3,FALSE),0)+($AV712*'AUX-NIV3'!V$4))*$O712+IF($H712=AT$4,$P712,0)</f>
        <v>0</v>
      </c>
      <c r="AU712" s="395">
        <f>(IF($H712="x",VLOOKUP($I712,'AUX-NIV2'!$B:$X,'AUX-NIV1'!AU$3,FALSE),0)+($AV712*'AUX-NIV3'!W$4))*$O712+IF($H712=AU$4,$P712,0)</f>
        <v>0</v>
      </c>
      <c r="AV712" s="395">
        <f>+IF($H712="x",VLOOKUP($I712,'AUX-NIV2'!$B:$X,'AUX-NIV1'!AV$3,FALSE),0)</f>
        <v>0</v>
      </c>
    </row>
    <row r="713" spans="2:48">
      <c r="B713" s="501" t="s">
        <v>4667</v>
      </c>
      <c r="C713" s="951" t="s">
        <v>4668</v>
      </c>
      <c r="D713" s="1280" t="s">
        <v>501</v>
      </c>
      <c r="E713" s="1281">
        <f>IF(B713&lt;&gt;"",+SUMIF(Items!C:C,'AUX-NIV1'!B713,Items!H:H),"")</f>
        <v>0</v>
      </c>
      <c r="F713" s="1281">
        <f t="shared" si="805"/>
        <v>2299.2720782621273</v>
      </c>
      <c r="G713" s="1281">
        <f t="shared" si="806"/>
        <v>0</v>
      </c>
      <c r="H713" s="1395" t="str">
        <f t="shared" si="791"/>
        <v>M</v>
      </c>
      <c r="I713" s="1375" t="s">
        <v>3384</v>
      </c>
      <c r="J713" s="1283" t="str">
        <f>IF(B713&lt;&gt;"",+VLOOKUP(I713,Recursos!C:F,2,FALSE),"")</f>
        <v>PASTINA COLOR</v>
      </c>
      <c r="K713" s="1284" t="str">
        <f>IF(B713&lt;&gt;"",+VLOOKUP(I713,Recursos!C:F,3,FALSE),"")</f>
        <v>Kg</v>
      </c>
      <c r="L713" s="1285">
        <f>IF(B713&lt;&gt;"",+VLOOKUP(I713,Recursos!C:F,4,FALSE),"")</f>
        <v>152.89256198347107</v>
      </c>
      <c r="M713" s="1404"/>
      <c r="N713" s="1400">
        <v>0.5</v>
      </c>
      <c r="O713" s="1286">
        <f t="shared" si="807"/>
        <v>0.5</v>
      </c>
      <c r="P713" s="1287">
        <f t="shared" si="792"/>
        <v>76.446280991735534</v>
      </c>
      <c r="Q713" s="1281">
        <f t="shared" si="793"/>
        <v>0</v>
      </c>
      <c r="R713" s="1288">
        <f t="shared" si="794"/>
        <v>0</v>
      </c>
      <c r="S713" s="1289">
        <f t="shared" si="808"/>
        <v>993.98282206377985</v>
      </c>
      <c r="T713" s="1289">
        <f t="shared" si="809"/>
        <v>0</v>
      </c>
      <c r="U713" s="1290">
        <f t="shared" si="810"/>
        <v>1305.2892561983472</v>
      </c>
      <c r="V713" s="1290">
        <f t="shared" si="811"/>
        <v>0</v>
      </c>
      <c r="W713" s="1290">
        <f t="shared" si="812"/>
        <v>0</v>
      </c>
      <c r="X713" s="1290">
        <f t="shared" si="813"/>
        <v>0</v>
      </c>
      <c r="Y713" s="396"/>
      <c r="Z713" s="1291" t="str">
        <f t="shared" si="795"/>
        <v>0-REVCERA</v>
      </c>
      <c r="AA713" s="1291" t="str">
        <f t="shared" si="796"/>
        <v>0-REVCERE</v>
      </c>
      <c r="AB713" s="1291" t="str">
        <f t="shared" si="797"/>
        <v>0-REVCERM</v>
      </c>
      <c r="AC713" s="1291" t="str">
        <f t="shared" si="798"/>
        <v>0-REVCERT</v>
      </c>
      <c r="AD713" s="1291" t="str">
        <f t="shared" si="799"/>
        <v>0-REVCERS</v>
      </c>
      <c r="AE713" s="1291" t="str">
        <f t="shared" si="800"/>
        <v>0-REVCERX</v>
      </c>
      <c r="AF713" s="1291" t="str">
        <f t="shared" si="801"/>
        <v>0-REVCERM</v>
      </c>
      <c r="AG713" s="1291">
        <f t="shared" si="814"/>
        <v>6</v>
      </c>
      <c r="AH713" s="1291">
        <f>IF(B713&lt;&gt;"",+IF(H713="x",+VLOOKUP(I713,'AUX-NIV2'!B:AG,32,FALSE),0),"")</f>
        <v>0</v>
      </c>
      <c r="AI713" s="1291" t="str">
        <f t="shared" si="802"/>
        <v>0-REVCER</v>
      </c>
      <c r="AK713" s="347">
        <f t="shared" si="815"/>
        <v>709</v>
      </c>
      <c r="AL713" s="348">
        <f t="shared" si="803"/>
        <v>714</v>
      </c>
      <c r="AM713" s="347">
        <f t="shared" si="804"/>
        <v>5</v>
      </c>
      <c r="AN713" s="382">
        <f>IF(AND(AH713&gt;0,B713&lt;&gt;""),VLOOKUP(I713,'AUX-NIV2'!$B:$AP,40,FALSE)*O713,0)</f>
        <v>0</v>
      </c>
      <c r="AO713" s="382">
        <f t="shared" si="816"/>
        <v>2.2222222222222223</v>
      </c>
      <c r="AQ713" s="395">
        <f>(IF($H713="x",VLOOKUP($I713,'AUX-NIV2'!$B:$X,'AUX-NIV1'!AQ$3,FALSE),0)+($AV713*'AUX-NIV3'!S$4))*$O713+IF($H713=AQ$4,$P713,0)</f>
        <v>0</v>
      </c>
      <c r="AR713" s="395">
        <f>(IF($H713="x",VLOOKUP($I713,'AUX-NIV2'!$B:$X,'AUX-NIV1'!AR$3,FALSE),0)+($AV713*'AUX-NIV3'!T$4))*$O713+IF($H713=AR$4,$P713,0)</f>
        <v>0</v>
      </c>
      <c r="AS713" s="395">
        <f>(IF($H713="x",VLOOKUP($I713,'AUX-NIV2'!$B:$X,'AUX-NIV1'!AS$3,FALSE),0)+($AV713*'AUX-NIV3'!U$4))*$O713+IF($H713=AS$4,$P713,0)</f>
        <v>76.446280991735534</v>
      </c>
      <c r="AT713" s="395">
        <f>(IF($H713="x",VLOOKUP($I713,'AUX-NIV2'!$B:$X,'AUX-NIV1'!AT$3,FALSE),0)+($AV713*'AUX-NIV3'!V$4))*$O713+IF($H713=AT$4,$P713,0)</f>
        <v>0</v>
      </c>
      <c r="AU713" s="395">
        <f>(IF($H713="x",VLOOKUP($I713,'AUX-NIV2'!$B:$X,'AUX-NIV1'!AU$3,FALSE),0)+($AV713*'AUX-NIV3'!W$4))*$O713+IF($H713=AU$4,$P713,0)</f>
        <v>0</v>
      </c>
      <c r="AV713" s="395">
        <f>+IF($H713="x",VLOOKUP($I713,'AUX-NIV2'!$B:$X,'AUX-NIV1'!AV$3,FALSE),0)</f>
        <v>0</v>
      </c>
    </row>
    <row r="714" spans="2:48" ht="13.8" thickBot="1">
      <c r="B714" s="501" t="s">
        <v>4667</v>
      </c>
      <c r="C714" s="951" t="s">
        <v>4668</v>
      </c>
      <c r="D714" s="1280" t="s">
        <v>501</v>
      </c>
      <c r="E714" s="1281">
        <f>IF(B714&lt;&gt;"",+SUMIF(Items!C:C,'AUX-NIV1'!B714,Items!H:H),"")</f>
        <v>0</v>
      </c>
      <c r="F714" s="1281">
        <f t="shared" si="805"/>
        <v>2299.2720782621273</v>
      </c>
      <c r="G714" s="1281">
        <f t="shared" si="806"/>
        <v>0</v>
      </c>
      <c r="H714" s="1395" t="str">
        <f t="shared" si="791"/>
        <v>M</v>
      </c>
      <c r="I714" s="1375" t="s">
        <v>621</v>
      </c>
      <c r="J714" s="1283" t="str">
        <f>IF(B714&lt;&gt;"",+VLOOKUP(I714,Recursos!C:F,2,FALSE),"")</f>
        <v>MATERIALES VARIOS</v>
      </c>
      <c r="K714" s="1284" t="str">
        <f>IF(B714&lt;&gt;"",+VLOOKUP(I714,Recursos!C:F,3,FALSE),"")</f>
        <v>GL</v>
      </c>
      <c r="L714" s="1285">
        <f>IF(B714&lt;&gt;"",+VLOOKUP(I714,Recursos!C:F,4,FALSE),"")</f>
        <v>0.5</v>
      </c>
      <c r="M714" s="1405"/>
      <c r="N714" s="1402">
        <f>3800*10%</f>
        <v>380</v>
      </c>
      <c r="O714" s="1286">
        <f t="shared" si="807"/>
        <v>380</v>
      </c>
      <c r="P714" s="1287">
        <f t="shared" si="792"/>
        <v>190</v>
      </c>
      <c r="Q714" s="1281">
        <f t="shared" si="793"/>
        <v>0</v>
      </c>
      <c r="R714" s="1288">
        <f t="shared" si="794"/>
        <v>0</v>
      </c>
      <c r="S714" s="1289">
        <f t="shared" si="808"/>
        <v>993.98282206377985</v>
      </c>
      <c r="T714" s="1289">
        <f t="shared" si="809"/>
        <v>0</v>
      </c>
      <c r="U714" s="1290">
        <f t="shared" si="810"/>
        <v>1305.2892561983472</v>
      </c>
      <c r="V714" s="1290">
        <f t="shared" si="811"/>
        <v>0</v>
      </c>
      <c r="W714" s="1290">
        <f t="shared" si="812"/>
        <v>0</v>
      </c>
      <c r="X714" s="1290">
        <f t="shared" si="813"/>
        <v>0</v>
      </c>
      <c r="Y714" s="396"/>
      <c r="Z714" s="1291" t="str">
        <f t="shared" si="795"/>
        <v>0-REVCERA</v>
      </c>
      <c r="AA714" s="1291" t="str">
        <f t="shared" si="796"/>
        <v>0-REVCERE</v>
      </c>
      <c r="AB714" s="1291" t="str">
        <f t="shared" si="797"/>
        <v>0-REVCERM</v>
      </c>
      <c r="AC714" s="1291" t="str">
        <f t="shared" si="798"/>
        <v>0-REVCERT</v>
      </c>
      <c r="AD714" s="1291" t="str">
        <f t="shared" si="799"/>
        <v>0-REVCERS</v>
      </c>
      <c r="AE714" s="1291" t="str">
        <f t="shared" si="800"/>
        <v>0-REVCERX</v>
      </c>
      <c r="AF714" s="1291" t="str">
        <f t="shared" si="801"/>
        <v>0-REVCERM</v>
      </c>
      <c r="AG714" s="1291">
        <f t="shared" si="814"/>
        <v>6</v>
      </c>
      <c r="AH714" s="1291">
        <f>IF(B714&lt;&gt;"",+IF(H714="x",+VLOOKUP(I714,'AUX-NIV2'!B:AG,32,FALSE),0),"")</f>
        <v>0</v>
      </c>
      <c r="AI714" s="1291" t="str">
        <f t="shared" si="802"/>
        <v>0-REVCER</v>
      </c>
      <c r="AK714" s="347">
        <f t="shared" si="815"/>
        <v>709</v>
      </c>
      <c r="AL714" s="348">
        <f t="shared" si="803"/>
        <v>714</v>
      </c>
      <c r="AM714" s="347">
        <f t="shared" si="804"/>
        <v>6</v>
      </c>
      <c r="AN714" s="382">
        <f>IF(AND(AH714&gt;0,B714&lt;&gt;""),VLOOKUP(I714,'AUX-NIV2'!$B:$AP,40,FALSE)*O714,0)</f>
        <v>0</v>
      </c>
      <c r="AO714" s="382">
        <f t="shared" si="816"/>
        <v>2.2222222222222223</v>
      </c>
      <c r="AQ714" s="395">
        <f>(IF($H714="x",VLOOKUP($I714,'AUX-NIV2'!$B:$X,'AUX-NIV1'!AQ$3,FALSE),0)+($AV714*'AUX-NIV3'!S$4))*$O714+IF($H714=AQ$4,$P714,0)</f>
        <v>0</v>
      </c>
      <c r="AR714" s="395">
        <f>(IF($H714="x",VLOOKUP($I714,'AUX-NIV2'!$B:$X,'AUX-NIV1'!AR$3,FALSE),0)+($AV714*'AUX-NIV3'!T$4))*$O714+IF($H714=AR$4,$P714,0)</f>
        <v>0</v>
      </c>
      <c r="AS714" s="395">
        <f>(IF($H714="x",VLOOKUP($I714,'AUX-NIV2'!$B:$X,'AUX-NIV1'!AS$3,FALSE),0)+($AV714*'AUX-NIV3'!U$4))*$O714+IF($H714=AS$4,$P714,0)</f>
        <v>190</v>
      </c>
      <c r="AT714" s="395">
        <f>(IF($H714="x",VLOOKUP($I714,'AUX-NIV2'!$B:$X,'AUX-NIV1'!AT$3,FALSE),0)+($AV714*'AUX-NIV3'!V$4))*$O714+IF($H714=AT$4,$P714,0)</f>
        <v>0</v>
      </c>
      <c r="AU714" s="395">
        <f>(IF($H714="x",VLOOKUP($I714,'AUX-NIV2'!$B:$X,'AUX-NIV1'!AU$3,FALSE),0)+($AV714*'AUX-NIV3'!W$4))*$O714+IF($H714=AU$4,$P714,0)</f>
        <v>0</v>
      </c>
      <c r="AV714" s="395">
        <f>+IF($H714="x",VLOOKUP($I714,'AUX-NIV2'!$B:$X,'AUX-NIV1'!AV$3,FALSE),0)</f>
        <v>0</v>
      </c>
    </row>
    <row r="715" spans="2:48" ht="13.8" hidden="1" thickTop="1">
      <c r="B715" s="501" t="s">
        <v>3814</v>
      </c>
      <c r="C715" s="951" t="s">
        <v>3815</v>
      </c>
      <c r="D715" s="1280" t="s">
        <v>477</v>
      </c>
      <c r="E715" s="1281">
        <f>IF(B715&lt;&gt;"",+SUMIF(Items!C:C,'AUX-NIV1'!B715,Items!H:H),"")</f>
        <v>0</v>
      </c>
      <c r="F715" s="1281">
        <f t="shared" si="805"/>
        <v>1069.36706810547</v>
      </c>
      <c r="G715" s="1281">
        <f t="shared" si="806"/>
        <v>0</v>
      </c>
      <c r="H715" s="1395" t="str">
        <f t="shared" si="745"/>
        <v>M</v>
      </c>
      <c r="I715" s="1375" t="s">
        <v>3798</v>
      </c>
      <c r="J715" s="1283" t="str">
        <f>IF(B715&lt;&gt;"",+VLOOKUP(I715,Recursos!C:F,2,FALSE),"")</f>
        <v>LISTEL DE ACERO INOXIDABLE</v>
      </c>
      <c r="K715" s="1284" t="str">
        <f>IF(B715&lt;&gt;"",+VLOOKUP(I715,Recursos!C:F,3,FALSE),"")</f>
        <v>m</v>
      </c>
      <c r="L715" s="1285">
        <f>IF(B715&lt;&gt;"",+VLOOKUP(I715,Recursos!C:F,4,FALSE),"")</f>
        <v>781.81818181818187</v>
      </c>
      <c r="M715" s="743"/>
      <c r="N715" s="1292">
        <v>1.05</v>
      </c>
      <c r="O715" s="1286">
        <f t="shared" si="746"/>
        <v>1.05</v>
      </c>
      <c r="P715" s="1287">
        <f t="shared" si="747"/>
        <v>820.90909090909099</v>
      </c>
      <c r="Q715" s="1281">
        <f t="shared" si="748"/>
        <v>0</v>
      </c>
      <c r="R715" s="1288">
        <f t="shared" si="749"/>
        <v>0</v>
      </c>
      <c r="S715" s="1289">
        <f t="shared" si="808"/>
        <v>248.45797719637912</v>
      </c>
      <c r="T715" s="1289">
        <f t="shared" si="809"/>
        <v>0</v>
      </c>
      <c r="U715" s="1290">
        <f t="shared" si="810"/>
        <v>820.90909090909099</v>
      </c>
      <c r="V715" s="1290">
        <f t="shared" si="811"/>
        <v>0</v>
      </c>
      <c r="W715" s="1290">
        <f t="shared" si="812"/>
        <v>0</v>
      </c>
      <c r="X715" s="1290">
        <f t="shared" si="813"/>
        <v>0</v>
      </c>
      <c r="Y715" s="396"/>
      <c r="Z715" s="1291" t="str">
        <f t="shared" si="750"/>
        <v>0-REVTERA</v>
      </c>
      <c r="AA715" s="1291" t="str">
        <f t="shared" si="751"/>
        <v>0-REVTERE</v>
      </c>
      <c r="AB715" s="1291" t="str">
        <f t="shared" si="752"/>
        <v>0-REVTERM</v>
      </c>
      <c r="AC715" s="1291" t="str">
        <f t="shared" si="753"/>
        <v>0-REVTERT</v>
      </c>
      <c r="AD715" s="1291" t="str">
        <f t="shared" si="754"/>
        <v>0-REVTERS</v>
      </c>
      <c r="AE715" s="1291" t="str">
        <f t="shared" si="755"/>
        <v>0-REVTERX</v>
      </c>
      <c r="AF715" s="1291" t="str">
        <f t="shared" si="756"/>
        <v>0-REVTERM</v>
      </c>
      <c r="AG715" s="1291">
        <f t="shared" si="814"/>
        <v>2</v>
      </c>
      <c r="AH715" s="1291">
        <f>IF(B715&lt;&gt;"",+IF(H715="x",+VLOOKUP(I715,'AUX-NIV2'!B:AG,32,FALSE),0),"")</f>
        <v>0</v>
      </c>
      <c r="AI715" s="1291" t="str">
        <f t="shared" si="757"/>
        <v>0-REVTER</v>
      </c>
      <c r="AK715" s="347">
        <f t="shared" si="815"/>
        <v>715</v>
      </c>
      <c r="AL715" s="348">
        <f t="shared" si="758"/>
        <v>716</v>
      </c>
      <c r="AM715" s="347">
        <f>IF(B715&lt;&gt;"",IF(B715=B708,1+AM708,1),"")</f>
        <v>1</v>
      </c>
      <c r="AN715" s="382">
        <f>IF(AND(AH715&gt;0,B715&lt;&gt;""),VLOOKUP(I715,'AUX-NIV2'!$B:$AP,40,FALSE)*O715,0)</f>
        <v>0</v>
      </c>
      <c r="AO715" s="382">
        <f t="shared" si="816"/>
        <v>0.5</v>
      </c>
      <c r="AQ715" s="395">
        <f>(IF($H715="x",VLOOKUP($I715,'AUX-NIV2'!$B:$X,'AUX-NIV1'!AQ$3,FALSE),0)+($AV715*'AUX-NIV3'!S$4))*$O715+IF($H715=AQ$4,$P715,0)</f>
        <v>0</v>
      </c>
      <c r="AR715" s="395">
        <f>(IF($H715="x",VLOOKUP($I715,'AUX-NIV2'!$B:$X,'AUX-NIV1'!AR$3,FALSE),0)+($AV715*'AUX-NIV3'!T$4))*$O715+IF($H715=AR$4,$P715,0)</f>
        <v>0</v>
      </c>
      <c r="AS715" s="395">
        <f>(IF($H715="x",VLOOKUP($I715,'AUX-NIV2'!$B:$X,'AUX-NIV1'!AS$3,FALSE),0)+($AV715*'AUX-NIV3'!U$4))*$O715+IF($H715=AS$4,$P715,0)</f>
        <v>820.90909090909099</v>
      </c>
      <c r="AT715" s="395">
        <f>(IF($H715="x",VLOOKUP($I715,'AUX-NIV2'!$B:$X,'AUX-NIV1'!AT$3,FALSE),0)+($AV715*'AUX-NIV3'!V$4))*$O715+IF($H715=AT$4,$P715,0)</f>
        <v>0</v>
      </c>
      <c r="AU715" s="395">
        <f>(IF($H715="x",VLOOKUP($I715,'AUX-NIV2'!$B:$X,'AUX-NIV1'!AU$3,FALSE),0)+($AV715*'AUX-NIV3'!W$4))*$O715+IF($H715=AU$4,$P715,0)</f>
        <v>0</v>
      </c>
      <c r="AV715" s="395">
        <f>+IF($H715="x",VLOOKUP($I715,'AUX-NIV2'!$B:$X,'AUX-NIV1'!AV$3,FALSE),0)</f>
        <v>0</v>
      </c>
    </row>
    <row r="716" spans="2:48" ht="14.4" hidden="1" thickTop="1" thickBot="1">
      <c r="B716" s="501" t="s">
        <v>3814</v>
      </c>
      <c r="C716" s="951" t="s">
        <v>3815</v>
      </c>
      <c r="D716" s="1280" t="s">
        <v>477</v>
      </c>
      <c r="E716" s="1281">
        <f>IF(B716&lt;&gt;"",+SUMIF(Items!C:C,'AUX-NIV1'!B716,Items!H:H),"")</f>
        <v>0</v>
      </c>
      <c r="F716" s="1281">
        <f t="shared" si="805"/>
        <v>1069.36706810547</v>
      </c>
      <c r="G716" s="1281">
        <f t="shared" si="806"/>
        <v>0</v>
      </c>
      <c r="H716" s="1395" t="str">
        <f t="shared" si="745"/>
        <v>A</v>
      </c>
      <c r="I716" s="1375" t="s">
        <v>1746</v>
      </c>
      <c r="J716" s="1283" t="str">
        <f>IF(B716&lt;&gt;"",+VLOOKUP(I716,Recursos!C:F,2,FALSE),"")</f>
        <v>OFICIAL</v>
      </c>
      <c r="K716" s="1284" t="str">
        <f>IF(B716&lt;&gt;"",+VLOOKUP(I716,Recursos!C:F,3,FALSE),"")</f>
        <v>hh</v>
      </c>
      <c r="L716" s="1285">
        <f>IF(B716&lt;&gt;"",+VLOOKUP(I716,Recursos!C:F,4,FALSE),"")</f>
        <v>496.91595439275824</v>
      </c>
      <c r="M716" s="1405"/>
      <c r="N716" s="1402">
        <v>0.5</v>
      </c>
      <c r="O716" s="1286">
        <f t="shared" si="746"/>
        <v>0.5</v>
      </c>
      <c r="P716" s="1287">
        <f t="shared" si="747"/>
        <v>248.45797719637912</v>
      </c>
      <c r="Q716" s="1281">
        <f t="shared" si="748"/>
        <v>0</v>
      </c>
      <c r="R716" s="1288">
        <f t="shared" si="749"/>
        <v>0</v>
      </c>
      <c r="S716" s="1289">
        <f t="shared" si="808"/>
        <v>248.45797719637912</v>
      </c>
      <c r="T716" s="1289">
        <f t="shared" si="809"/>
        <v>0</v>
      </c>
      <c r="U716" s="1290">
        <f t="shared" si="810"/>
        <v>820.90909090909099</v>
      </c>
      <c r="V716" s="1290">
        <f t="shared" si="811"/>
        <v>0</v>
      </c>
      <c r="W716" s="1290">
        <f t="shared" si="812"/>
        <v>0</v>
      </c>
      <c r="X716" s="1290">
        <f t="shared" si="813"/>
        <v>0</v>
      </c>
      <c r="Y716" s="396"/>
      <c r="Z716" s="1291" t="str">
        <f t="shared" si="750"/>
        <v>0-REVTERA</v>
      </c>
      <c r="AA716" s="1291" t="str">
        <f t="shared" si="751"/>
        <v>0-REVTERE</v>
      </c>
      <c r="AB716" s="1291" t="str">
        <f t="shared" si="752"/>
        <v>0-REVTERM</v>
      </c>
      <c r="AC716" s="1291" t="str">
        <f t="shared" si="753"/>
        <v>0-REVTERT</v>
      </c>
      <c r="AD716" s="1291" t="str">
        <f t="shared" si="754"/>
        <v>0-REVTERS</v>
      </c>
      <c r="AE716" s="1291" t="str">
        <f t="shared" si="755"/>
        <v>0-REVTERX</v>
      </c>
      <c r="AF716" s="1291" t="str">
        <f t="shared" si="756"/>
        <v>0-REVTERA</v>
      </c>
      <c r="AG716" s="1291">
        <f t="shared" si="814"/>
        <v>2</v>
      </c>
      <c r="AH716" s="1291">
        <f>IF(B716&lt;&gt;"",+IF(H716="x",+VLOOKUP(I716,'AUX-NIV2'!B:AG,32,FALSE),0),"")</f>
        <v>0</v>
      </c>
      <c r="AI716" s="1291" t="str">
        <f t="shared" si="757"/>
        <v>0-REVTER</v>
      </c>
      <c r="AK716" s="347">
        <f t="shared" si="815"/>
        <v>715</v>
      </c>
      <c r="AL716" s="348">
        <f t="shared" si="758"/>
        <v>716</v>
      </c>
      <c r="AM716" s="347">
        <f t="shared" si="759"/>
        <v>2</v>
      </c>
      <c r="AN716" s="382">
        <f>IF(AND(AH716&gt;0,B716&lt;&gt;""),VLOOKUP(I716,'AUX-NIV2'!$B:$AP,40,FALSE)*O716,0)</f>
        <v>0</v>
      </c>
      <c r="AO716" s="382">
        <f t="shared" si="816"/>
        <v>0.5</v>
      </c>
      <c r="AQ716" s="395">
        <f>(IF($H716="x",VLOOKUP($I716,'AUX-NIV2'!$B:$X,'AUX-NIV1'!AQ$3,FALSE),0)+($AV716*'AUX-NIV3'!S$4))*$O716+IF($H716=AQ$4,$P716,0)</f>
        <v>248.45797719637912</v>
      </c>
      <c r="AR716" s="395">
        <f>(IF($H716="x",VLOOKUP($I716,'AUX-NIV2'!$B:$X,'AUX-NIV1'!AR$3,FALSE),0)+($AV716*'AUX-NIV3'!T$4))*$O716+IF($H716=AR$4,$P716,0)</f>
        <v>0</v>
      </c>
      <c r="AS716" s="395">
        <f>(IF($H716="x",VLOOKUP($I716,'AUX-NIV2'!$B:$X,'AUX-NIV1'!AS$3,FALSE),0)+($AV716*'AUX-NIV3'!U$4))*$O716+IF($H716=AS$4,$P716,0)</f>
        <v>0</v>
      </c>
      <c r="AT716" s="395">
        <f>(IF($H716="x",VLOOKUP($I716,'AUX-NIV2'!$B:$X,'AUX-NIV1'!AT$3,FALSE),0)+($AV716*'AUX-NIV3'!V$4))*$O716+IF($H716=AT$4,$P716,0)</f>
        <v>0</v>
      </c>
      <c r="AU716" s="395">
        <f>(IF($H716="x",VLOOKUP($I716,'AUX-NIV2'!$B:$X,'AUX-NIV1'!AU$3,FALSE),0)+($AV716*'AUX-NIV3'!W$4))*$O716+IF($H716=AU$4,$P716,0)</f>
        <v>0</v>
      </c>
      <c r="AV716" s="395">
        <f>+IF($H716="x",VLOOKUP($I716,'AUX-NIV2'!$B:$X,'AUX-NIV1'!AV$3,FALSE),0)</f>
        <v>0</v>
      </c>
    </row>
    <row r="717" spans="2:48" ht="13.8" hidden="1" thickTop="1">
      <c r="B717" s="501" t="s">
        <v>3816</v>
      </c>
      <c r="C717" s="951" t="s">
        <v>3817</v>
      </c>
      <c r="D717" s="1280" t="s">
        <v>501</v>
      </c>
      <c r="E717" s="1281">
        <f>IF(B717&lt;&gt;"",+SUMIF(Items!C:C,'AUX-NIV1'!B717,Items!H:H),"")</f>
        <v>0</v>
      </c>
      <c r="F717" s="1281">
        <f t="shared" si="805"/>
        <v>740.0786536011401</v>
      </c>
      <c r="G717" s="1281">
        <f t="shared" si="806"/>
        <v>0</v>
      </c>
      <c r="H717" s="1395" t="str">
        <f t="shared" si="745"/>
        <v>M</v>
      </c>
      <c r="I717" s="1375" t="s">
        <v>3799</v>
      </c>
      <c r="J717" s="1283" t="str">
        <f>IF(B717&lt;&gt;"",+VLOOKUP(I717,Recursos!C:F,2,FALSE),"")</f>
        <v>RESTIMIENTO TEXTURABLE</v>
      </c>
      <c r="K717" s="1284" t="str">
        <f>IF(B717&lt;&gt;"",+VLOOKUP(I717,Recursos!C:F,3,FALSE),"")</f>
        <v>Kg</v>
      </c>
      <c r="L717" s="1285">
        <f>IF(B717&lt;&gt;"",+VLOOKUP(I717,Recursos!C:F,4,FALSE),"")</f>
        <v>123.96694214876034</v>
      </c>
      <c r="M717" s="989"/>
      <c r="N717" s="1292">
        <v>1.4</v>
      </c>
      <c r="O717" s="1286">
        <f t="shared" si="746"/>
        <v>1.4</v>
      </c>
      <c r="P717" s="1287">
        <f t="shared" si="747"/>
        <v>173.55371900826447</v>
      </c>
      <c r="Q717" s="1281">
        <f t="shared" si="748"/>
        <v>0</v>
      </c>
      <c r="R717" s="1288">
        <f t="shared" si="749"/>
        <v>0</v>
      </c>
      <c r="S717" s="1289">
        <f t="shared" si="808"/>
        <v>566.52493459287552</v>
      </c>
      <c r="T717" s="1289">
        <f t="shared" si="809"/>
        <v>0</v>
      </c>
      <c r="U717" s="1290">
        <f t="shared" si="810"/>
        <v>173.55371900826447</v>
      </c>
      <c r="V717" s="1290">
        <f t="shared" si="811"/>
        <v>0</v>
      </c>
      <c r="W717" s="1290">
        <f t="shared" si="812"/>
        <v>0</v>
      </c>
      <c r="X717" s="1290">
        <f t="shared" si="813"/>
        <v>0</v>
      </c>
      <c r="Y717" s="396"/>
      <c r="Z717" s="1291" t="str">
        <f t="shared" si="750"/>
        <v>0-REVTEXA</v>
      </c>
      <c r="AA717" s="1291" t="str">
        <f t="shared" si="751"/>
        <v>0-REVTEXE</v>
      </c>
      <c r="AB717" s="1291" t="str">
        <f t="shared" si="752"/>
        <v>0-REVTEXM</v>
      </c>
      <c r="AC717" s="1291" t="str">
        <f t="shared" si="753"/>
        <v>0-REVTEXT</v>
      </c>
      <c r="AD717" s="1291" t="str">
        <f t="shared" si="754"/>
        <v>0-REVTEXS</v>
      </c>
      <c r="AE717" s="1291" t="str">
        <f t="shared" si="755"/>
        <v>0-REVTEXX</v>
      </c>
      <c r="AF717" s="1291" t="str">
        <f t="shared" si="756"/>
        <v>0-REVTEXM</v>
      </c>
      <c r="AG717" s="1291">
        <f t="shared" si="814"/>
        <v>3</v>
      </c>
      <c r="AH717" s="1291">
        <f>IF(B717&lt;&gt;"",+IF(H717="x",+VLOOKUP(I717,'AUX-NIV2'!B:AG,32,FALSE),0),"")</f>
        <v>0</v>
      </c>
      <c r="AI717" s="1291" t="str">
        <f t="shared" si="757"/>
        <v>0-REVTEX</v>
      </c>
      <c r="AK717" s="347">
        <f t="shared" si="815"/>
        <v>717</v>
      </c>
      <c r="AL717" s="348">
        <f t="shared" si="758"/>
        <v>719</v>
      </c>
      <c r="AM717" s="347">
        <f t="shared" si="759"/>
        <v>1</v>
      </c>
      <c r="AN717" s="382">
        <f>IF(AND(AH717&gt;0,B717&lt;&gt;""),VLOOKUP(I717,'AUX-NIV2'!$B:$AP,40,FALSE)*O717,0)</f>
        <v>0</v>
      </c>
      <c r="AO717" s="382">
        <f t="shared" si="816"/>
        <v>1.2000000000000002</v>
      </c>
      <c r="AQ717" s="395">
        <f>(IF($H717="x",VLOOKUP($I717,'AUX-NIV2'!$B:$X,'AUX-NIV1'!AQ$3,FALSE),0)+($AV717*'AUX-NIV3'!S$4))*$O717+IF($H717=AQ$4,$P717,0)</f>
        <v>0</v>
      </c>
      <c r="AR717" s="395">
        <f>(IF($H717="x",VLOOKUP($I717,'AUX-NIV2'!$B:$X,'AUX-NIV1'!AR$3,FALSE),0)+($AV717*'AUX-NIV3'!T$4))*$O717+IF($H717=AR$4,$P717,0)</f>
        <v>0</v>
      </c>
      <c r="AS717" s="395">
        <f>(IF($H717="x",VLOOKUP($I717,'AUX-NIV2'!$B:$X,'AUX-NIV1'!AS$3,FALSE),0)+($AV717*'AUX-NIV3'!U$4))*$O717+IF($H717=AS$4,$P717,0)</f>
        <v>173.55371900826447</v>
      </c>
      <c r="AT717" s="395">
        <f>(IF($H717="x",VLOOKUP($I717,'AUX-NIV2'!$B:$X,'AUX-NIV1'!AT$3,FALSE),0)+($AV717*'AUX-NIV3'!V$4))*$O717+IF($H717=AT$4,$P717,0)</f>
        <v>0</v>
      </c>
      <c r="AU717" s="395">
        <f>(IF($H717="x",VLOOKUP($I717,'AUX-NIV2'!$B:$X,'AUX-NIV1'!AU$3,FALSE),0)+($AV717*'AUX-NIV3'!W$4))*$O717+IF($H717=AU$4,$P717,0)</f>
        <v>0</v>
      </c>
      <c r="AV717" s="395">
        <f>+IF($H717="x",VLOOKUP($I717,'AUX-NIV2'!$B:$X,'AUX-NIV1'!AV$3,FALSE),0)</f>
        <v>0</v>
      </c>
    </row>
    <row r="718" spans="2:48" ht="13.8" hidden="1" thickTop="1">
      <c r="B718" s="501" t="s">
        <v>3816</v>
      </c>
      <c r="C718" s="951" t="s">
        <v>3817</v>
      </c>
      <c r="D718" s="1280" t="s">
        <v>501</v>
      </c>
      <c r="E718" s="1281">
        <f>IF(B718&lt;&gt;"",+SUMIF(Items!C:C,'AUX-NIV1'!B718,Items!H:H),"")</f>
        <v>0</v>
      </c>
      <c r="F718" s="1281">
        <f t="shared" si="805"/>
        <v>740.0786536011401</v>
      </c>
      <c r="G718" s="1281">
        <f t="shared" si="806"/>
        <v>0</v>
      </c>
      <c r="H718" s="1395" t="str">
        <f t="shared" si="745"/>
        <v>A</v>
      </c>
      <c r="I718" s="1375" t="s">
        <v>1745</v>
      </c>
      <c r="J718" s="1283" t="str">
        <f>IF(B718&lt;&gt;"",+VLOOKUP(I718,Recursos!C:F,2,FALSE),"")</f>
        <v>AYUDANTE</v>
      </c>
      <c r="K718" s="1284" t="str">
        <f>IF(B718&lt;&gt;"",+VLOOKUP(I718,Recursos!C:F,3,FALSE),"")</f>
        <v>hh</v>
      </c>
      <c r="L718" s="1285">
        <f>IF(B718&lt;&gt;"",+VLOOKUP(I718,Recursos!C:F,4,FALSE),"")</f>
        <v>422.48042769667234</v>
      </c>
      <c r="M718" s="1399"/>
      <c r="N718" s="1400">
        <v>1</v>
      </c>
      <c r="O718" s="1286">
        <f>N718/M719</f>
        <v>0.4</v>
      </c>
      <c r="P718" s="1287">
        <f t="shared" si="747"/>
        <v>168.99217107866895</v>
      </c>
      <c r="Q718" s="1281">
        <f t="shared" si="748"/>
        <v>0</v>
      </c>
      <c r="R718" s="1288">
        <f t="shared" si="749"/>
        <v>0</v>
      </c>
      <c r="S718" s="1289">
        <f t="shared" si="808"/>
        <v>566.52493459287552</v>
      </c>
      <c r="T718" s="1289">
        <f t="shared" si="809"/>
        <v>0</v>
      </c>
      <c r="U718" s="1290">
        <f t="shared" si="810"/>
        <v>173.55371900826447</v>
      </c>
      <c r="V718" s="1290">
        <f t="shared" si="811"/>
        <v>0</v>
      </c>
      <c r="W718" s="1290">
        <f t="shared" si="812"/>
        <v>0</v>
      </c>
      <c r="X718" s="1290">
        <f t="shared" si="813"/>
        <v>0</v>
      </c>
      <c r="Y718" s="396"/>
      <c r="Z718" s="1291" t="str">
        <f t="shared" si="750"/>
        <v>0-REVTEXA</v>
      </c>
      <c r="AA718" s="1291" t="str">
        <f t="shared" si="751"/>
        <v>0-REVTEXE</v>
      </c>
      <c r="AB718" s="1291" t="str">
        <f t="shared" si="752"/>
        <v>0-REVTEXM</v>
      </c>
      <c r="AC718" s="1291" t="str">
        <f t="shared" si="753"/>
        <v>0-REVTEXT</v>
      </c>
      <c r="AD718" s="1291" t="str">
        <f t="shared" si="754"/>
        <v>0-REVTEXS</v>
      </c>
      <c r="AE718" s="1291" t="str">
        <f t="shared" si="755"/>
        <v>0-REVTEXX</v>
      </c>
      <c r="AF718" s="1291" t="str">
        <f t="shared" si="756"/>
        <v>0-REVTEXA</v>
      </c>
      <c r="AG718" s="1291">
        <f t="shared" si="814"/>
        <v>3</v>
      </c>
      <c r="AH718" s="1291">
        <f>IF(B718&lt;&gt;"",+IF(H718="x",+VLOOKUP(I718,'AUX-NIV2'!B:AG,32,FALSE),0),"")</f>
        <v>0</v>
      </c>
      <c r="AI718" s="1291" t="str">
        <f t="shared" si="757"/>
        <v>0-REVTEX</v>
      </c>
      <c r="AK718" s="347">
        <f t="shared" si="815"/>
        <v>717</v>
      </c>
      <c r="AL718" s="348">
        <f t="shared" si="758"/>
        <v>719</v>
      </c>
      <c r="AM718" s="347">
        <f t="shared" si="759"/>
        <v>2</v>
      </c>
      <c r="AN718" s="382">
        <f>IF(AND(AH718&gt;0,B718&lt;&gt;""),VLOOKUP(I718,'AUX-NIV2'!$B:$AP,40,FALSE)*O718,0)</f>
        <v>0</v>
      </c>
      <c r="AO718" s="382">
        <f t="shared" si="816"/>
        <v>1.2000000000000002</v>
      </c>
      <c r="AQ718" s="395">
        <f>(IF($H718="x",VLOOKUP($I718,'AUX-NIV2'!$B:$X,'AUX-NIV1'!AQ$3,FALSE),0)+($AV718*'AUX-NIV3'!S$4))*$O718+IF($H718=AQ$4,$P718,0)</f>
        <v>168.99217107866895</v>
      </c>
      <c r="AR718" s="395">
        <f>(IF($H718="x",VLOOKUP($I718,'AUX-NIV2'!$B:$X,'AUX-NIV1'!AR$3,FALSE),0)+($AV718*'AUX-NIV3'!T$4))*$O718+IF($H718=AR$4,$P718,0)</f>
        <v>0</v>
      </c>
      <c r="AS718" s="395">
        <f>(IF($H718="x",VLOOKUP($I718,'AUX-NIV2'!$B:$X,'AUX-NIV1'!AS$3,FALSE),0)+($AV718*'AUX-NIV3'!U$4))*$O718+IF($H718=AS$4,$P718,0)</f>
        <v>0</v>
      </c>
      <c r="AT718" s="395">
        <f>(IF($H718="x",VLOOKUP($I718,'AUX-NIV2'!$B:$X,'AUX-NIV1'!AT$3,FALSE),0)+($AV718*'AUX-NIV3'!V$4))*$O718+IF($H718=AT$4,$P718,0)</f>
        <v>0</v>
      </c>
      <c r="AU718" s="395">
        <f>(IF($H718="x",VLOOKUP($I718,'AUX-NIV2'!$B:$X,'AUX-NIV1'!AU$3,FALSE),0)+($AV718*'AUX-NIV3'!W$4))*$O718+IF($H718=AU$4,$P718,0)</f>
        <v>0</v>
      </c>
      <c r="AV718" s="395">
        <f>+IF($H718="x",VLOOKUP($I718,'AUX-NIV2'!$B:$X,'AUX-NIV1'!AV$3,FALSE),0)</f>
        <v>0</v>
      </c>
    </row>
    <row r="719" spans="2:48" ht="14.4" hidden="1" thickTop="1" thickBot="1">
      <c r="B719" s="501" t="s">
        <v>3816</v>
      </c>
      <c r="C719" s="951" t="s">
        <v>3817</v>
      </c>
      <c r="D719" s="1280" t="s">
        <v>501</v>
      </c>
      <c r="E719" s="1281">
        <f>IF(B719&lt;&gt;"",+SUMIF(Items!C:C,'AUX-NIV1'!B719,Items!H:H),"")</f>
        <v>0</v>
      </c>
      <c r="F719" s="1281">
        <f t="shared" si="805"/>
        <v>740.0786536011401</v>
      </c>
      <c r="G719" s="1281">
        <f t="shared" si="806"/>
        <v>0</v>
      </c>
      <c r="H719" s="1395" t="str">
        <f t="shared" si="745"/>
        <v>A</v>
      </c>
      <c r="I719" s="1375" t="s">
        <v>1746</v>
      </c>
      <c r="J719" s="1283" t="str">
        <f>IF(B719&lt;&gt;"",+VLOOKUP(I719,Recursos!C:F,2,FALSE),"")</f>
        <v>OFICIAL</v>
      </c>
      <c r="K719" s="1284" t="str">
        <f>IF(B719&lt;&gt;"",+VLOOKUP(I719,Recursos!C:F,3,FALSE),"")</f>
        <v>hh</v>
      </c>
      <c r="L719" s="1285">
        <f>IF(B719&lt;&gt;"",+VLOOKUP(I719,Recursos!C:F,4,FALSE),"")</f>
        <v>496.91595439275824</v>
      </c>
      <c r="M719" s="1401">
        <v>2.5</v>
      </c>
      <c r="N719" s="1402">
        <v>2</v>
      </c>
      <c r="O719" s="1286">
        <f>N719/M719</f>
        <v>0.8</v>
      </c>
      <c r="P719" s="1287">
        <f t="shared" si="747"/>
        <v>397.53276351420664</v>
      </c>
      <c r="Q719" s="1281">
        <f t="shared" si="748"/>
        <v>0</v>
      </c>
      <c r="R719" s="1288">
        <f t="shared" si="749"/>
        <v>0</v>
      </c>
      <c r="S719" s="1289">
        <f t="shared" si="808"/>
        <v>566.52493459287552</v>
      </c>
      <c r="T719" s="1289">
        <f t="shared" si="809"/>
        <v>0</v>
      </c>
      <c r="U719" s="1290">
        <f t="shared" si="810"/>
        <v>173.55371900826447</v>
      </c>
      <c r="V719" s="1290">
        <f t="shared" si="811"/>
        <v>0</v>
      </c>
      <c r="W719" s="1290">
        <f t="shared" si="812"/>
        <v>0</v>
      </c>
      <c r="X719" s="1290">
        <f t="shared" si="813"/>
        <v>0</v>
      </c>
      <c r="Y719" s="396"/>
      <c r="Z719" s="1291" t="str">
        <f t="shared" si="750"/>
        <v>0-REVTEXA</v>
      </c>
      <c r="AA719" s="1291" t="str">
        <f t="shared" si="751"/>
        <v>0-REVTEXE</v>
      </c>
      <c r="AB719" s="1291" t="str">
        <f t="shared" si="752"/>
        <v>0-REVTEXM</v>
      </c>
      <c r="AC719" s="1291" t="str">
        <f t="shared" si="753"/>
        <v>0-REVTEXT</v>
      </c>
      <c r="AD719" s="1291" t="str">
        <f t="shared" si="754"/>
        <v>0-REVTEXS</v>
      </c>
      <c r="AE719" s="1291" t="str">
        <f t="shared" si="755"/>
        <v>0-REVTEXX</v>
      </c>
      <c r="AF719" s="1291" t="str">
        <f t="shared" si="756"/>
        <v>0-REVTEXA</v>
      </c>
      <c r="AG719" s="1291">
        <f t="shared" si="814"/>
        <v>3</v>
      </c>
      <c r="AH719" s="1291">
        <f>IF(B719&lt;&gt;"",+IF(H719="x",+VLOOKUP(I719,'AUX-NIV2'!B:AG,32,FALSE),0),"")</f>
        <v>0</v>
      </c>
      <c r="AI719" s="1291" t="str">
        <f t="shared" si="757"/>
        <v>0-REVTEX</v>
      </c>
      <c r="AK719" s="347">
        <f t="shared" si="815"/>
        <v>717</v>
      </c>
      <c r="AL719" s="348">
        <f t="shared" si="758"/>
        <v>719</v>
      </c>
      <c r="AM719" s="347">
        <f t="shared" si="759"/>
        <v>3</v>
      </c>
      <c r="AN719" s="382">
        <f>IF(AND(AH719&gt;0,B719&lt;&gt;""),VLOOKUP(I719,'AUX-NIV2'!$B:$AP,40,FALSE)*O719,0)</f>
        <v>0</v>
      </c>
      <c r="AO719" s="382">
        <f t="shared" si="816"/>
        <v>1.2000000000000002</v>
      </c>
      <c r="AQ719" s="395">
        <f>(IF($H719="x",VLOOKUP($I719,'AUX-NIV2'!$B:$X,'AUX-NIV1'!AQ$3,FALSE),0)+($AV719*'AUX-NIV3'!S$4))*$O719+IF($H719=AQ$4,$P719,0)</f>
        <v>397.53276351420664</v>
      </c>
      <c r="AR719" s="395">
        <f>(IF($H719="x",VLOOKUP($I719,'AUX-NIV2'!$B:$X,'AUX-NIV1'!AR$3,FALSE),0)+($AV719*'AUX-NIV3'!T$4))*$O719+IF($H719=AR$4,$P719,0)</f>
        <v>0</v>
      </c>
      <c r="AS719" s="395">
        <f>(IF($H719="x",VLOOKUP($I719,'AUX-NIV2'!$B:$X,'AUX-NIV1'!AS$3,FALSE),0)+($AV719*'AUX-NIV3'!U$4))*$O719+IF($H719=AS$4,$P719,0)</f>
        <v>0</v>
      </c>
      <c r="AT719" s="395">
        <f>(IF($H719="x",VLOOKUP($I719,'AUX-NIV2'!$B:$X,'AUX-NIV1'!AT$3,FALSE),0)+($AV719*'AUX-NIV3'!V$4))*$O719+IF($H719=AT$4,$P719,0)</f>
        <v>0</v>
      </c>
      <c r="AU719" s="395">
        <f>(IF($H719="x",VLOOKUP($I719,'AUX-NIV2'!$B:$X,'AUX-NIV1'!AU$3,FALSE),0)+($AV719*'AUX-NIV3'!W$4))*$O719+IF($H719=AU$4,$P719,0)</f>
        <v>0</v>
      </c>
      <c r="AV719" s="395">
        <f>+IF($H719="x",VLOOKUP($I719,'AUX-NIV2'!$B:$X,'AUX-NIV1'!AV$3,FALSE),0)</f>
        <v>0</v>
      </c>
    </row>
    <row r="720" spans="2:48" ht="13.8" hidden="1" thickTop="1">
      <c r="B720" s="501" t="s">
        <v>3819</v>
      </c>
      <c r="C720" s="951" t="s">
        <v>3820</v>
      </c>
      <c r="D720" s="1280" t="s">
        <v>501</v>
      </c>
      <c r="E720" s="1281">
        <f>IF(B720&lt;&gt;"",+SUMIF(Items!C:C,'AUX-NIV1'!B720,Items!H:H),"")</f>
        <v>0</v>
      </c>
      <c r="F720" s="1281">
        <f t="shared" si="805"/>
        <v>6199.9878699555184</v>
      </c>
      <c r="G720" s="1281">
        <f t="shared" si="806"/>
        <v>0</v>
      </c>
      <c r="H720" s="1395" t="str">
        <f t="shared" si="745"/>
        <v>A</v>
      </c>
      <c r="I720" s="1375" t="s">
        <v>1745</v>
      </c>
      <c r="J720" s="1283" t="str">
        <f>IF(B720&lt;&gt;"",+VLOOKUP(I720,Recursos!C:F,2,FALSE),"")</f>
        <v>AYUDANTE</v>
      </c>
      <c r="K720" s="1284" t="str">
        <f>IF(B720&lt;&gt;"",+VLOOKUP(I720,Recursos!C:F,3,FALSE),"")</f>
        <v>hh</v>
      </c>
      <c r="L720" s="1285">
        <f>IF(B720&lt;&gt;"",+VLOOKUP(I720,Recursos!C:F,4,FALSE),"")</f>
        <v>422.48042769667234</v>
      </c>
      <c r="M720" s="989">
        <v>0.25</v>
      </c>
      <c r="N720" s="1292">
        <v>1</v>
      </c>
      <c r="O720" s="1286">
        <f>N720/M720</f>
        <v>4</v>
      </c>
      <c r="P720" s="1287">
        <f t="shared" si="747"/>
        <v>1689.9217107866893</v>
      </c>
      <c r="Q720" s="1281">
        <f t="shared" si="748"/>
        <v>0</v>
      </c>
      <c r="R720" s="1288">
        <f t="shared" si="749"/>
        <v>0</v>
      </c>
      <c r="S720" s="1289">
        <f t="shared" si="808"/>
        <v>3677.5855283577221</v>
      </c>
      <c r="T720" s="1289">
        <f t="shared" si="809"/>
        <v>0</v>
      </c>
      <c r="U720" s="1290">
        <f t="shared" si="810"/>
        <v>2277.2899449035813</v>
      </c>
      <c r="V720" s="1290">
        <f t="shared" si="811"/>
        <v>0</v>
      </c>
      <c r="W720" s="1290">
        <f t="shared" si="812"/>
        <v>0</v>
      </c>
      <c r="X720" s="1290">
        <f t="shared" si="813"/>
        <v>245.11239669421494</v>
      </c>
      <c r="Y720" s="396"/>
      <c r="Z720" s="1291" t="str">
        <f t="shared" si="750"/>
        <v>0-REVPIEA</v>
      </c>
      <c r="AA720" s="1291" t="str">
        <f t="shared" si="751"/>
        <v>0-REVPIEE</v>
      </c>
      <c r="AB720" s="1291" t="str">
        <f t="shared" si="752"/>
        <v>0-REVPIEM</v>
      </c>
      <c r="AC720" s="1291" t="str">
        <f t="shared" si="753"/>
        <v>0-REVPIET</v>
      </c>
      <c r="AD720" s="1291" t="str">
        <f t="shared" si="754"/>
        <v>0-REVPIES</v>
      </c>
      <c r="AE720" s="1291" t="str">
        <f t="shared" si="755"/>
        <v>0-REVPIEX</v>
      </c>
      <c r="AF720" s="1291" t="str">
        <f t="shared" si="756"/>
        <v>0-REVPIEA</v>
      </c>
      <c r="AG720" s="1291">
        <f t="shared" si="814"/>
        <v>5</v>
      </c>
      <c r="AH720" s="1291">
        <f>IF(B720&lt;&gt;"",+IF(H720="x",+VLOOKUP(I720,'AUX-NIV2'!B:AG,32,FALSE),0),"")</f>
        <v>0</v>
      </c>
      <c r="AI720" s="1291" t="str">
        <f t="shared" si="757"/>
        <v>0-REVPIE</v>
      </c>
      <c r="AK720" s="347">
        <f t="shared" si="815"/>
        <v>720</v>
      </c>
      <c r="AL720" s="348">
        <f t="shared" si="758"/>
        <v>724</v>
      </c>
      <c r="AM720" s="347">
        <f t="shared" si="759"/>
        <v>1</v>
      </c>
      <c r="AN720" s="382">
        <f>IF(AND(AH720&gt;0,B720&lt;&gt;""),VLOOKUP(I720,'AUX-NIV2'!$B:$AP,40,FALSE)*O720,0)</f>
        <v>0</v>
      </c>
      <c r="AO720" s="382">
        <f t="shared" si="816"/>
        <v>8</v>
      </c>
      <c r="AQ720" s="395">
        <f>(IF($H720="x",VLOOKUP($I720,'AUX-NIV2'!$B:$X,'AUX-NIV1'!AQ$3,FALSE),0)+($AV720*'AUX-NIV3'!S$4))*$O720+IF($H720=AQ$4,$P720,0)</f>
        <v>1689.9217107866893</v>
      </c>
      <c r="AR720" s="395">
        <f>(IF($H720="x",VLOOKUP($I720,'AUX-NIV2'!$B:$X,'AUX-NIV1'!AR$3,FALSE),0)+($AV720*'AUX-NIV3'!T$4))*$O720+IF($H720=AR$4,$P720,0)</f>
        <v>0</v>
      </c>
      <c r="AS720" s="395">
        <f>(IF($H720="x",VLOOKUP($I720,'AUX-NIV2'!$B:$X,'AUX-NIV1'!AS$3,FALSE),0)+($AV720*'AUX-NIV3'!U$4))*$O720+IF($H720=AS$4,$P720,0)</f>
        <v>0</v>
      </c>
      <c r="AT720" s="395">
        <f>(IF($H720="x",VLOOKUP($I720,'AUX-NIV2'!$B:$X,'AUX-NIV1'!AT$3,FALSE),0)+($AV720*'AUX-NIV3'!V$4))*$O720+IF($H720=AT$4,$P720,0)</f>
        <v>0</v>
      </c>
      <c r="AU720" s="395">
        <f>(IF($H720="x",VLOOKUP($I720,'AUX-NIV2'!$B:$X,'AUX-NIV1'!AU$3,FALSE),0)+($AV720*'AUX-NIV3'!W$4))*$O720+IF($H720=AU$4,$P720,0)</f>
        <v>0</v>
      </c>
      <c r="AV720" s="395">
        <f>+IF($H720="x",VLOOKUP($I720,'AUX-NIV2'!$B:$X,'AUX-NIV1'!AV$3,FALSE),0)</f>
        <v>0</v>
      </c>
    </row>
    <row r="721" spans="2:48" ht="13.8" hidden="1" thickTop="1">
      <c r="B721" s="501" t="s">
        <v>3819</v>
      </c>
      <c r="C721" s="951" t="s">
        <v>3820</v>
      </c>
      <c r="D721" s="1280" t="s">
        <v>501</v>
      </c>
      <c r="E721" s="1281">
        <f>IF(B721&lt;&gt;"",+SUMIF(Items!C:C,'AUX-NIV1'!B721,Items!H:H),"")</f>
        <v>0</v>
      </c>
      <c r="F721" s="1281">
        <f t="shared" si="805"/>
        <v>6199.9878699555184</v>
      </c>
      <c r="G721" s="1281">
        <f t="shared" si="806"/>
        <v>0</v>
      </c>
      <c r="H721" s="1395" t="str">
        <f t="shared" si="745"/>
        <v>A</v>
      </c>
      <c r="I721" s="1375" t="s">
        <v>1746</v>
      </c>
      <c r="J721" s="1283" t="str">
        <f>IF(B721&lt;&gt;"",+VLOOKUP(I721,Recursos!C:F,2,FALSE),"")</f>
        <v>OFICIAL</v>
      </c>
      <c r="K721" s="1284" t="str">
        <f>IF(B721&lt;&gt;"",+VLOOKUP(I721,Recursos!C:F,3,FALSE),"")</f>
        <v>hh</v>
      </c>
      <c r="L721" s="1285">
        <f>IF(B721&lt;&gt;"",+VLOOKUP(I721,Recursos!C:F,4,FALSE),"")</f>
        <v>496.91595439275824</v>
      </c>
      <c r="M721" s="1399"/>
      <c r="N721" s="1400">
        <v>1</v>
      </c>
      <c r="O721" s="1286">
        <f>N721/M720</f>
        <v>4</v>
      </c>
      <c r="P721" s="1287">
        <f t="shared" si="747"/>
        <v>1987.663817571033</v>
      </c>
      <c r="Q721" s="1281">
        <f t="shared" si="748"/>
        <v>0</v>
      </c>
      <c r="R721" s="1288">
        <f t="shared" si="749"/>
        <v>0</v>
      </c>
      <c r="S721" s="1289">
        <f t="shared" si="808"/>
        <v>3677.5855283577221</v>
      </c>
      <c r="T721" s="1289">
        <f t="shared" si="809"/>
        <v>0</v>
      </c>
      <c r="U721" s="1290">
        <f t="shared" si="810"/>
        <v>2277.2899449035813</v>
      </c>
      <c r="V721" s="1290">
        <f t="shared" si="811"/>
        <v>0</v>
      </c>
      <c r="W721" s="1290">
        <f t="shared" si="812"/>
        <v>0</v>
      </c>
      <c r="X721" s="1290">
        <f t="shared" si="813"/>
        <v>245.11239669421494</v>
      </c>
      <c r="Y721" s="396"/>
      <c r="Z721" s="1291" t="str">
        <f t="shared" si="750"/>
        <v>0-REVPIEA</v>
      </c>
      <c r="AA721" s="1291" t="str">
        <f t="shared" si="751"/>
        <v>0-REVPIEE</v>
      </c>
      <c r="AB721" s="1291" t="str">
        <f t="shared" si="752"/>
        <v>0-REVPIEM</v>
      </c>
      <c r="AC721" s="1291" t="str">
        <f t="shared" si="753"/>
        <v>0-REVPIET</v>
      </c>
      <c r="AD721" s="1291" t="str">
        <f t="shared" si="754"/>
        <v>0-REVPIES</v>
      </c>
      <c r="AE721" s="1291" t="str">
        <f t="shared" si="755"/>
        <v>0-REVPIEX</v>
      </c>
      <c r="AF721" s="1291" t="str">
        <f t="shared" si="756"/>
        <v>0-REVPIEA</v>
      </c>
      <c r="AG721" s="1291">
        <f t="shared" si="814"/>
        <v>5</v>
      </c>
      <c r="AH721" s="1291">
        <f>IF(B721&lt;&gt;"",+IF(H721="x",+VLOOKUP(I721,'AUX-NIV2'!B:AG,32,FALSE),0),"")</f>
        <v>0</v>
      </c>
      <c r="AI721" s="1291" t="str">
        <f t="shared" si="757"/>
        <v>0-REVPIE</v>
      </c>
      <c r="AK721" s="347">
        <f t="shared" si="815"/>
        <v>720</v>
      </c>
      <c r="AL721" s="348">
        <f t="shared" si="758"/>
        <v>724</v>
      </c>
      <c r="AM721" s="347">
        <f t="shared" si="759"/>
        <v>2</v>
      </c>
      <c r="AN721" s="382">
        <f>IF(AND(AH721&gt;0,B721&lt;&gt;""),VLOOKUP(I721,'AUX-NIV2'!$B:$AP,40,FALSE)*O721,0)</f>
        <v>0</v>
      </c>
      <c r="AO721" s="382">
        <f t="shared" si="816"/>
        <v>8</v>
      </c>
      <c r="AQ721" s="395">
        <f>(IF($H721="x",VLOOKUP($I721,'AUX-NIV2'!$B:$X,'AUX-NIV1'!AQ$3,FALSE),0)+($AV721*'AUX-NIV3'!S$4))*$O721+IF($H721=AQ$4,$P721,0)</f>
        <v>1987.663817571033</v>
      </c>
      <c r="AR721" s="395">
        <f>(IF($H721="x",VLOOKUP($I721,'AUX-NIV2'!$B:$X,'AUX-NIV1'!AR$3,FALSE),0)+($AV721*'AUX-NIV3'!T$4))*$O721+IF($H721=AR$4,$P721,0)</f>
        <v>0</v>
      </c>
      <c r="AS721" s="395">
        <f>(IF($H721="x",VLOOKUP($I721,'AUX-NIV2'!$B:$X,'AUX-NIV1'!AS$3,FALSE),0)+($AV721*'AUX-NIV3'!U$4))*$O721+IF($H721=AS$4,$P721,0)</f>
        <v>0</v>
      </c>
      <c r="AT721" s="395">
        <f>(IF($H721="x",VLOOKUP($I721,'AUX-NIV2'!$B:$X,'AUX-NIV1'!AT$3,FALSE),0)+($AV721*'AUX-NIV3'!V$4))*$O721+IF($H721=AT$4,$P721,0)</f>
        <v>0</v>
      </c>
      <c r="AU721" s="395">
        <f>(IF($H721="x",VLOOKUP($I721,'AUX-NIV2'!$B:$X,'AUX-NIV1'!AU$3,FALSE),0)+($AV721*'AUX-NIV3'!W$4))*$O721+IF($H721=AU$4,$P721,0)</f>
        <v>0</v>
      </c>
      <c r="AV721" s="395">
        <f>+IF($H721="x",VLOOKUP($I721,'AUX-NIV2'!$B:$X,'AUX-NIV1'!AV$3,FALSE),0)</f>
        <v>0</v>
      </c>
    </row>
    <row r="722" spans="2:48" ht="13.8" hidden="1" thickTop="1">
      <c r="B722" s="501" t="s">
        <v>3819</v>
      </c>
      <c r="C722" s="951" t="s">
        <v>3820</v>
      </c>
      <c r="D722" s="1280" t="s">
        <v>501</v>
      </c>
      <c r="E722" s="1281">
        <f>IF(B722&lt;&gt;"",+SUMIF(Items!C:C,'AUX-NIV1'!B722,Items!H:H),"")</f>
        <v>0</v>
      </c>
      <c r="F722" s="1281">
        <f t="shared" si="805"/>
        <v>6199.9878699555184</v>
      </c>
      <c r="G722" s="1281">
        <f t="shared" si="806"/>
        <v>0</v>
      </c>
      <c r="H722" s="1395" t="str">
        <f t="shared" si="745"/>
        <v>M</v>
      </c>
      <c r="I722" s="1375" t="s">
        <v>3800</v>
      </c>
      <c r="J722" s="1283" t="str">
        <f>IF(B722&lt;&gt;"",+VLOOKUP(I722,Recursos!C:F,2,FALSE),"")</f>
        <v>REVESTIMIENTO DE PIEDRA</v>
      </c>
      <c r="K722" s="1284" t="str">
        <f>IF(B722&lt;&gt;"",+VLOOKUP(I722,Recursos!C:F,3,FALSE),"")</f>
        <v>m2</v>
      </c>
      <c r="L722" s="1285">
        <f>IF(B722&lt;&gt;"",+VLOOKUP(I722,Recursos!C:F,4,FALSE),"")</f>
        <v>1404.9586776859505</v>
      </c>
      <c r="M722" s="1399"/>
      <c r="N722" s="1400">
        <v>1.05</v>
      </c>
      <c r="O722" s="1286">
        <f>N722</f>
        <v>1.05</v>
      </c>
      <c r="P722" s="1287">
        <f t="shared" si="747"/>
        <v>1475.206611570248</v>
      </c>
      <c r="Q722" s="1281">
        <f t="shared" si="748"/>
        <v>0</v>
      </c>
      <c r="R722" s="1288">
        <f t="shared" si="749"/>
        <v>0</v>
      </c>
      <c r="S722" s="1289">
        <f t="shared" si="808"/>
        <v>3677.5855283577221</v>
      </c>
      <c r="T722" s="1289">
        <f t="shared" si="809"/>
        <v>0</v>
      </c>
      <c r="U722" s="1290">
        <f t="shared" si="810"/>
        <v>2277.2899449035813</v>
      </c>
      <c r="V722" s="1290">
        <f t="shared" si="811"/>
        <v>0</v>
      </c>
      <c r="W722" s="1290">
        <f t="shared" si="812"/>
        <v>0</v>
      </c>
      <c r="X722" s="1290">
        <f t="shared" si="813"/>
        <v>245.11239669421494</v>
      </c>
      <c r="Y722" s="396"/>
      <c r="Z722" s="1291" t="str">
        <f t="shared" si="750"/>
        <v>0-REVPIEA</v>
      </c>
      <c r="AA722" s="1291" t="str">
        <f t="shared" si="751"/>
        <v>0-REVPIEE</v>
      </c>
      <c r="AB722" s="1291" t="str">
        <f t="shared" si="752"/>
        <v>0-REVPIEM</v>
      </c>
      <c r="AC722" s="1291" t="str">
        <f t="shared" si="753"/>
        <v>0-REVPIET</v>
      </c>
      <c r="AD722" s="1291" t="str">
        <f t="shared" si="754"/>
        <v>0-REVPIES</v>
      </c>
      <c r="AE722" s="1291" t="str">
        <f t="shared" si="755"/>
        <v>0-REVPIEX</v>
      </c>
      <c r="AF722" s="1291" t="str">
        <f t="shared" si="756"/>
        <v>0-REVPIEM</v>
      </c>
      <c r="AG722" s="1291">
        <f t="shared" si="814"/>
        <v>5</v>
      </c>
      <c r="AH722" s="1291">
        <f>IF(B722&lt;&gt;"",+IF(H722="x",+VLOOKUP(I722,'AUX-NIV2'!B:AG,32,FALSE),0),"")</f>
        <v>0</v>
      </c>
      <c r="AI722" s="1291" t="str">
        <f t="shared" si="757"/>
        <v>0-REVPIE</v>
      </c>
      <c r="AK722" s="347">
        <f t="shared" si="815"/>
        <v>720</v>
      </c>
      <c r="AL722" s="348">
        <f t="shared" si="758"/>
        <v>724</v>
      </c>
      <c r="AM722" s="347">
        <f t="shared" si="759"/>
        <v>3</v>
      </c>
      <c r="AN722" s="382">
        <f>IF(AND(AH722&gt;0,B722&lt;&gt;""),VLOOKUP(I722,'AUX-NIV2'!$B:$AP,40,FALSE)*O722,0)</f>
        <v>0</v>
      </c>
      <c r="AO722" s="382">
        <f t="shared" si="816"/>
        <v>8</v>
      </c>
      <c r="AQ722" s="395">
        <f>(IF($H722="x",VLOOKUP($I722,'AUX-NIV2'!$B:$X,'AUX-NIV1'!AQ$3,FALSE),0)+($AV722*'AUX-NIV3'!S$4))*$O722+IF($H722=AQ$4,$P722,0)</f>
        <v>0</v>
      </c>
      <c r="AR722" s="395">
        <f>(IF($H722="x",VLOOKUP($I722,'AUX-NIV2'!$B:$X,'AUX-NIV1'!AR$3,FALSE),0)+($AV722*'AUX-NIV3'!T$4))*$O722+IF($H722=AR$4,$P722,0)</f>
        <v>0</v>
      </c>
      <c r="AS722" s="395">
        <f>(IF($H722="x",VLOOKUP($I722,'AUX-NIV2'!$B:$X,'AUX-NIV1'!AS$3,FALSE),0)+($AV722*'AUX-NIV3'!U$4))*$O722+IF($H722=AS$4,$P722,0)</f>
        <v>1475.206611570248</v>
      </c>
      <c r="AT722" s="395">
        <f>(IF($H722="x",VLOOKUP($I722,'AUX-NIV2'!$B:$X,'AUX-NIV1'!AT$3,FALSE),0)+($AV722*'AUX-NIV3'!V$4))*$O722+IF($H722=AT$4,$P722,0)</f>
        <v>0</v>
      </c>
      <c r="AU722" s="395">
        <f>(IF($H722="x",VLOOKUP($I722,'AUX-NIV2'!$B:$X,'AUX-NIV1'!AU$3,FALSE),0)+($AV722*'AUX-NIV3'!W$4))*$O722+IF($H722=AU$4,$P722,0)</f>
        <v>0</v>
      </c>
      <c r="AV722" s="395">
        <f>+IF($H722="x",VLOOKUP($I722,'AUX-NIV2'!$B:$X,'AUX-NIV1'!AV$3,FALSE),0)</f>
        <v>0</v>
      </c>
    </row>
    <row r="723" spans="2:48" ht="13.8" hidden="1" thickTop="1">
      <c r="B723" s="501" t="s">
        <v>3819</v>
      </c>
      <c r="C723" s="951" t="s">
        <v>3820</v>
      </c>
      <c r="D723" s="1280" t="s">
        <v>501</v>
      </c>
      <c r="E723" s="1281">
        <f>IF(B723&lt;&gt;"",+SUMIF(Items!C:C,'AUX-NIV1'!B723,Items!H:H),"")</f>
        <v>0</v>
      </c>
      <c r="F723" s="1281">
        <f t="shared" si="805"/>
        <v>6199.9878699555184</v>
      </c>
      <c r="G723" s="1281">
        <f t="shared" si="806"/>
        <v>0</v>
      </c>
      <c r="H723" s="1395" t="str">
        <f t="shared" si="745"/>
        <v>M</v>
      </c>
      <c r="I723" s="1375" t="s">
        <v>1807</v>
      </c>
      <c r="J723" s="1283" t="str">
        <f>IF(B723&lt;&gt;"",+VLOOKUP(I723,Recursos!C:F,2,FALSE),"")</f>
        <v>MALLA SIMA Q335 8mm 15x15</v>
      </c>
      <c r="K723" s="1284" t="str">
        <f>IF(B723&lt;&gt;"",+VLOOKUP(I723,Recursos!C:F,3,FALSE),"")</f>
        <v>m2</v>
      </c>
      <c r="L723" s="1285">
        <f>IF(B723&lt;&gt;"",+VLOOKUP(I723,Recursos!C:F,4,FALSE),"")</f>
        <v>763.88888888888903</v>
      </c>
      <c r="M723" s="1399"/>
      <c r="N723" s="1403"/>
      <c r="O723" s="1286">
        <f>N722</f>
        <v>1.05</v>
      </c>
      <c r="P723" s="1287">
        <f t="shared" si="747"/>
        <v>802.08333333333348</v>
      </c>
      <c r="Q723" s="1281">
        <f t="shared" si="748"/>
        <v>0</v>
      </c>
      <c r="R723" s="1288">
        <f t="shared" si="749"/>
        <v>0</v>
      </c>
      <c r="S723" s="1289">
        <f t="shared" si="808"/>
        <v>3677.5855283577221</v>
      </c>
      <c r="T723" s="1289">
        <f t="shared" si="809"/>
        <v>0</v>
      </c>
      <c r="U723" s="1290">
        <f t="shared" si="810"/>
        <v>2277.2899449035813</v>
      </c>
      <c r="V723" s="1290">
        <f t="shared" si="811"/>
        <v>0</v>
      </c>
      <c r="W723" s="1290">
        <f t="shared" si="812"/>
        <v>0</v>
      </c>
      <c r="X723" s="1290">
        <f t="shared" si="813"/>
        <v>245.11239669421494</v>
      </c>
      <c r="Y723" s="396"/>
      <c r="Z723" s="1291" t="str">
        <f t="shared" si="750"/>
        <v>0-REVPIEA</v>
      </c>
      <c r="AA723" s="1291" t="str">
        <f t="shared" si="751"/>
        <v>0-REVPIEE</v>
      </c>
      <c r="AB723" s="1291" t="str">
        <f t="shared" si="752"/>
        <v>0-REVPIEM</v>
      </c>
      <c r="AC723" s="1291" t="str">
        <f t="shared" si="753"/>
        <v>0-REVPIET</v>
      </c>
      <c r="AD723" s="1291" t="str">
        <f t="shared" si="754"/>
        <v>0-REVPIES</v>
      </c>
      <c r="AE723" s="1291" t="str">
        <f t="shared" si="755"/>
        <v>0-REVPIEX</v>
      </c>
      <c r="AF723" s="1291" t="str">
        <f t="shared" si="756"/>
        <v>0-REVPIEM</v>
      </c>
      <c r="AG723" s="1291">
        <f t="shared" si="814"/>
        <v>5</v>
      </c>
      <c r="AH723" s="1291">
        <f>IF(B723&lt;&gt;"",+IF(H723="x",+VLOOKUP(I723,'AUX-NIV2'!B:AG,32,FALSE),0),"")</f>
        <v>0</v>
      </c>
      <c r="AI723" s="1291" t="str">
        <f t="shared" si="757"/>
        <v>0-REVPIE</v>
      </c>
      <c r="AK723" s="347">
        <f t="shared" si="815"/>
        <v>720</v>
      </c>
      <c r="AL723" s="348">
        <f t="shared" si="758"/>
        <v>724</v>
      </c>
      <c r="AM723" s="347">
        <f t="shared" si="759"/>
        <v>4</v>
      </c>
      <c r="AN723" s="382">
        <f>IF(AND(AH723&gt;0,B723&lt;&gt;""),VLOOKUP(I723,'AUX-NIV2'!$B:$AP,40,FALSE)*O723,0)</f>
        <v>0</v>
      </c>
      <c r="AO723" s="382">
        <f t="shared" si="816"/>
        <v>8</v>
      </c>
      <c r="AQ723" s="395">
        <f>(IF($H723="x",VLOOKUP($I723,'AUX-NIV2'!$B:$X,'AUX-NIV1'!AQ$3,FALSE),0)+($AV723*'AUX-NIV3'!S$4))*$O723+IF($H723=AQ$4,$P723,0)</f>
        <v>0</v>
      </c>
      <c r="AR723" s="395">
        <f>(IF($H723="x",VLOOKUP($I723,'AUX-NIV2'!$B:$X,'AUX-NIV1'!AR$3,FALSE),0)+($AV723*'AUX-NIV3'!T$4))*$O723+IF($H723=AR$4,$P723,0)</f>
        <v>0</v>
      </c>
      <c r="AS723" s="395">
        <f>(IF($H723="x",VLOOKUP($I723,'AUX-NIV2'!$B:$X,'AUX-NIV1'!AS$3,FALSE),0)+($AV723*'AUX-NIV3'!U$4))*$O723+IF($H723=AS$4,$P723,0)</f>
        <v>802.08333333333348</v>
      </c>
      <c r="AT723" s="395">
        <f>(IF($H723="x",VLOOKUP($I723,'AUX-NIV2'!$B:$X,'AUX-NIV1'!AT$3,FALSE),0)+($AV723*'AUX-NIV3'!V$4))*$O723+IF($H723=AT$4,$P723,0)</f>
        <v>0</v>
      </c>
      <c r="AU723" s="395">
        <f>(IF($H723="x",VLOOKUP($I723,'AUX-NIV2'!$B:$X,'AUX-NIV1'!AU$3,FALSE),0)+($AV723*'AUX-NIV3'!W$4))*$O723+IF($H723=AU$4,$P723,0)</f>
        <v>0</v>
      </c>
      <c r="AV723" s="395">
        <f>+IF($H723="x",VLOOKUP($I723,'AUX-NIV2'!$B:$X,'AUX-NIV1'!AV$3,FALSE),0)</f>
        <v>0</v>
      </c>
    </row>
    <row r="724" spans="2:48" ht="14.4" hidden="1" thickTop="1" thickBot="1">
      <c r="B724" s="501" t="s">
        <v>3819</v>
      </c>
      <c r="C724" s="951" t="s">
        <v>3820</v>
      </c>
      <c r="D724" s="1280" t="s">
        <v>501</v>
      </c>
      <c r="E724" s="1281">
        <f>IF(B724&lt;&gt;"",+SUMIF(Items!C:C,'AUX-NIV1'!B724,Items!H:H),"")</f>
        <v>0</v>
      </c>
      <c r="F724" s="1281">
        <f t="shared" si="805"/>
        <v>6199.9878699555184</v>
      </c>
      <c r="G724" s="1281">
        <f t="shared" si="806"/>
        <v>0</v>
      </c>
      <c r="H724" s="1395" t="str">
        <f t="shared" si="745"/>
        <v>X</v>
      </c>
      <c r="I724" s="1375" t="s">
        <v>3745</v>
      </c>
      <c r="J724" s="1283" t="str">
        <f>IF(B724&lt;&gt;"",+VLOOKUP(I724,Recursos!C:F,2,FALSE),"")</f>
        <v>Contrapiso</v>
      </c>
      <c r="K724" s="1284" t="str">
        <f>IF(B724&lt;&gt;"",+VLOOKUP(I724,Recursos!C:F,3,FALSE),"")</f>
        <v>m3</v>
      </c>
      <c r="L724" s="1285">
        <f>IF(B724&lt;&gt;"",+VLOOKUP(I724,Recursos!C:F,4,FALSE),"")</f>
        <v>4902.2479338842986</v>
      </c>
      <c r="M724" s="1405"/>
      <c r="N724" s="1402">
        <v>0.05</v>
      </c>
      <c r="O724" s="1286">
        <f>N724</f>
        <v>0.05</v>
      </c>
      <c r="P724" s="1287">
        <f t="shared" si="747"/>
        <v>245.11239669421494</v>
      </c>
      <c r="Q724" s="1281">
        <f t="shared" si="748"/>
        <v>0</v>
      </c>
      <c r="R724" s="1288">
        <f t="shared" si="749"/>
        <v>0</v>
      </c>
      <c r="S724" s="1289">
        <f t="shared" si="808"/>
        <v>3677.5855283577221</v>
      </c>
      <c r="T724" s="1289">
        <f t="shared" si="809"/>
        <v>0</v>
      </c>
      <c r="U724" s="1290">
        <f t="shared" si="810"/>
        <v>2277.2899449035813</v>
      </c>
      <c r="V724" s="1290">
        <f t="shared" si="811"/>
        <v>0</v>
      </c>
      <c r="W724" s="1290">
        <f t="shared" si="812"/>
        <v>0</v>
      </c>
      <c r="X724" s="1290">
        <f t="shared" si="813"/>
        <v>245.11239669421494</v>
      </c>
      <c r="Y724" s="396"/>
      <c r="Z724" s="1291" t="str">
        <f t="shared" si="750"/>
        <v>0-REVPIEA</v>
      </c>
      <c r="AA724" s="1291" t="str">
        <f t="shared" si="751"/>
        <v>0-REVPIEE</v>
      </c>
      <c r="AB724" s="1291" t="str">
        <f t="shared" si="752"/>
        <v>0-REVPIEM</v>
      </c>
      <c r="AC724" s="1291" t="str">
        <f t="shared" si="753"/>
        <v>0-REVPIET</v>
      </c>
      <c r="AD724" s="1291" t="str">
        <f t="shared" si="754"/>
        <v>0-REVPIES</v>
      </c>
      <c r="AE724" s="1291" t="str">
        <f t="shared" si="755"/>
        <v>0-REVPIEX</v>
      </c>
      <c r="AF724" s="1291" t="str">
        <f t="shared" si="756"/>
        <v>0-REVPIEX</v>
      </c>
      <c r="AG724" s="1291">
        <f t="shared" si="814"/>
        <v>5</v>
      </c>
      <c r="AH724" s="1291">
        <f>IF(B724&lt;&gt;"",+IF(H724="x",+VLOOKUP(I724,'AUX-NIV2'!B:AG,32,FALSE),0),"")</f>
        <v>3</v>
      </c>
      <c r="AI724" s="1291" t="str">
        <f t="shared" si="757"/>
        <v>0-REVPIE</v>
      </c>
      <c r="AK724" s="347">
        <f t="shared" si="815"/>
        <v>720</v>
      </c>
      <c r="AL724" s="348">
        <f t="shared" si="758"/>
        <v>724</v>
      </c>
      <c r="AM724" s="347">
        <f t="shared" si="759"/>
        <v>5</v>
      </c>
      <c r="AN724" s="382">
        <f>IF(AND(AH724&gt;0,B724&lt;&gt;""),VLOOKUP(I724,'AUX-NIV2'!$B:$AP,40,FALSE)*O724,0)</f>
        <v>0</v>
      </c>
      <c r="AO724" s="382">
        <f t="shared" si="816"/>
        <v>8</v>
      </c>
      <c r="AQ724" s="395">
        <f>(IF($H724="x",VLOOKUP($I724,'AUX-NIV2'!$B:$X,'AUX-NIV1'!AQ$3,FALSE),0)+($AV724*'AUX-NIV3'!S$4))*$O724+IF($H724=AQ$4,$P724,0)</f>
        <v>0</v>
      </c>
      <c r="AR724" s="395">
        <f>(IF($H724="x",VLOOKUP($I724,'AUX-NIV2'!$B:$X,'AUX-NIV1'!AR$3,FALSE),0)+($AV724*'AUX-NIV3'!T$4))*$O724+IF($H724=AR$4,$P724,0)</f>
        <v>0</v>
      </c>
      <c r="AS724" s="395">
        <f>(IF($H724="x",VLOOKUP($I724,'AUX-NIV2'!$B:$X,'AUX-NIV1'!AS$3,FALSE),0)+($AV724*'AUX-NIV3'!U$4))*$O724+IF($H724=AS$4,$P724,0)</f>
        <v>245.11239669421494</v>
      </c>
      <c r="AT724" s="395">
        <f>(IF($H724="x",VLOOKUP($I724,'AUX-NIV2'!$B:$X,'AUX-NIV1'!AT$3,FALSE),0)+($AV724*'AUX-NIV3'!V$4))*$O724+IF($H724=AT$4,$P724,0)</f>
        <v>0</v>
      </c>
      <c r="AU724" s="395">
        <f>(IF($H724="x",VLOOKUP($I724,'AUX-NIV2'!$B:$X,'AUX-NIV1'!AU$3,FALSE),0)+($AV724*'AUX-NIV3'!W$4))*$O724+IF($H724=AU$4,$P724,0)</f>
        <v>0</v>
      </c>
      <c r="AV724" s="395">
        <f>+IF($H724="x",VLOOKUP($I724,'AUX-NIV2'!$B:$X,'AUX-NIV1'!AV$3,FALSE),0)</f>
        <v>0</v>
      </c>
    </row>
    <row r="725" spans="2:48" ht="13.8" hidden="1" thickTop="1">
      <c r="B725" s="501" t="s">
        <v>3822</v>
      </c>
      <c r="C725" s="951" t="s">
        <v>3823</v>
      </c>
      <c r="D725" s="1280" t="s">
        <v>477</v>
      </c>
      <c r="E725" s="1281">
        <f>IF(B725&lt;&gt;"",+SUMIF(Items!C:C,'AUX-NIV1'!B725,Items!H:H),"")</f>
        <v>0</v>
      </c>
      <c r="F725" s="1281">
        <f t="shared" si="805"/>
        <v>30735.143689345408</v>
      </c>
      <c r="G725" s="1281">
        <f t="shared" si="806"/>
        <v>0</v>
      </c>
      <c r="H725" s="1395" t="str">
        <f t="shared" si="745"/>
        <v>X</v>
      </c>
      <c r="I725" s="1375" t="s">
        <v>3735</v>
      </c>
      <c r="J725" s="1283" t="str">
        <f>IF(B725&lt;&gt;"",+VLOOKUP(I725,Recursos!C:F,2,FALSE),"")</f>
        <v>Mortero para ladrillos</v>
      </c>
      <c r="K725" s="1284" t="str">
        <f>IF(B725&lt;&gt;"",+VLOOKUP(I725,Recursos!C:F,3,FALSE),"")</f>
        <v>m3</v>
      </c>
      <c r="L725" s="1285">
        <f>IF(B725&lt;&gt;"",+VLOOKUP(I725,Recursos!C:F,4,FALSE),"")</f>
        <v>5858.095123966943</v>
      </c>
      <c r="M725" s="1406"/>
      <c r="N725" s="1407">
        <f>0.02*0.2</f>
        <v>4.0000000000000001E-3</v>
      </c>
      <c r="O725" s="439">
        <f>N725</f>
        <v>4.0000000000000001E-3</v>
      </c>
      <c r="P725" s="1287">
        <f t="shared" si="747"/>
        <v>23.432380495867772</v>
      </c>
      <c r="Q725" s="1281">
        <f t="shared" si="748"/>
        <v>0</v>
      </c>
      <c r="R725" s="1288">
        <f t="shared" si="749"/>
        <v>0</v>
      </c>
      <c r="S725" s="1289">
        <f t="shared" si="808"/>
        <v>214.7002895657765</v>
      </c>
      <c r="T725" s="1289">
        <f t="shared" si="809"/>
        <v>0</v>
      </c>
      <c r="U725" s="1290">
        <f t="shared" si="810"/>
        <v>30497.01101928376</v>
      </c>
      <c r="V725" s="1290">
        <f t="shared" si="811"/>
        <v>0</v>
      </c>
      <c r="W725" s="1290">
        <f t="shared" si="812"/>
        <v>0</v>
      </c>
      <c r="X725" s="1290">
        <f t="shared" si="813"/>
        <v>23.432380495867772</v>
      </c>
      <c r="Y725" s="396"/>
      <c r="Z725" s="1291" t="str">
        <f t="shared" si="750"/>
        <v>0-PISUMBA</v>
      </c>
      <c r="AA725" s="1291" t="str">
        <f t="shared" si="751"/>
        <v>0-PISUMBE</v>
      </c>
      <c r="AB725" s="1291" t="str">
        <f t="shared" si="752"/>
        <v>0-PISUMBM</v>
      </c>
      <c r="AC725" s="1291" t="str">
        <f t="shared" si="753"/>
        <v>0-PISUMBT</v>
      </c>
      <c r="AD725" s="1291" t="str">
        <f t="shared" si="754"/>
        <v>0-PISUMBS</v>
      </c>
      <c r="AE725" s="1291" t="str">
        <f t="shared" si="755"/>
        <v>0-PISUMBX</v>
      </c>
      <c r="AF725" s="1291" t="str">
        <f t="shared" si="756"/>
        <v>0-PISUMBX</v>
      </c>
      <c r="AG725" s="1291">
        <f t="shared" si="814"/>
        <v>5</v>
      </c>
      <c r="AH725" s="1291">
        <f>IF(B725&lt;&gt;"",+IF(H725="x",+VLOOKUP(I725,'AUX-NIV2'!B:AG,32,FALSE),0),"")</f>
        <v>3</v>
      </c>
      <c r="AI725" s="1291" t="str">
        <f t="shared" si="757"/>
        <v>0-PISUMB</v>
      </c>
      <c r="AK725" s="347">
        <f t="shared" si="815"/>
        <v>725</v>
      </c>
      <c r="AL725" s="348">
        <f t="shared" si="758"/>
        <v>729</v>
      </c>
      <c r="AM725" s="347">
        <f t="shared" si="759"/>
        <v>1</v>
      </c>
      <c r="AN725" s="382">
        <f>IF(AND(AH725&gt;0,B725&lt;&gt;""),VLOOKUP(I725,'AUX-NIV2'!$B:$AP,40,FALSE)*O725,0)</f>
        <v>0</v>
      </c>
      <c r="AO725" s="382">
        <f t="shared" si="816"/>
        <v>0.48000000000000009</v>
      </c>
      <c r="AQ725" s="395">
        <f>(IF($H725="x",VLOOKUP($I725,'AUX-NIV2'!$B:$X,'AUX-NIV1'!AQ$3,FALSE),0)+($AV725*'AUX-NIV3'!S$4))*$O725+IF($H725=AQ$4,$P725,0)</f>
        <v>0</v>
      </c>
      <c r="AR725" s="395">
        <f>(IF($H725="x",VLOOKUP($I725,'AUX-NIV2'!$B:$X,'AUX-NIV1'!AR$3,FALSE),0)+($AV725*'AUX-NIV3'!T$4))*$O725+IF($H725=AR$4,$P725,0)</f>
        <v>0</v>
      </c>
      <c r="AS725" s="395">
        <f>(IF($H725="x",VLOOKUP($I725,'AUX-NIV2'!$B:$X,'AUX-NIV1'!AS$3,FALSE),0)+($AV725*'AUX-NIV3'!U$4))*$O725+IF($H725=AS$4,$P725,0)</f>
        <v>23.432380495867772</v>
      </c>
      <c r="AT725" s="395">
        <f>(IF($H725="x",VLOOKUP($I725,'AUX-NIV2'!$B:$X,'AUX-NIV1'!AT$3,FALSE),0)+($AV725*'AUX-NIV3'!V$4))*$O725+IF($H725=AT$4,$P725,0)</f>
        <v>0</v>
      </c>
      <c r="AU725" s="395">
        <f>(IF($H725="x",VLOOKUP($I725,'AUX-NIV2'!$B:$X,'AUX-NIV1'!AU$3,FALSE),0)+($AV725*'AUX-NIV3'!W$4))*$O725+IF($H725=AU$4,$P725,0)</f>
        <v>0</v>
      </c>
      <c r="AV725" s="395">
        <f>+IF($H725="x",VLOOKUP($I725,'AUX-NIV2'!$B:$X,'AUX-NIV1'!AV$3,FALSE),0)</f>
        <v>0</v>
      </c>
    </row>
    <row r="726" spans="2:48" ht="13.8" hidden="1" thickTop="1">
      <c r="B726" s="501" t="s">
        <v>3822</v>
      </c>
      <c r="C726" s="951" t="s">
        <v>3823</v>
      </c>
      <c r="D726" s="1280" t="s">
        <v>477</v>
      </c>
      <c r="E726" s="1281">
        <f>IF(B726&lt;&gt;"",+SUMIF(Items!C:C,'AUX-NIV1'!B726,Items!H:H),"")</f>
        <v>0</v>
      </c>
      <c r="F726" s="1281">
        <f t="shared" si="805"/>
        <v>30735.143689345408</v>
      </c>
      <c r="G726" s="1281">
        <f t="shared" si="806"/>
        <v>0</v>
      </c>
      <c r="H726" s="1395" t="str">
        <f t="shared" si="745"/>
        <v>M</v>
      </c>
      <c r="I726" s="1375" t="s">
        <v>3801</v>
      </c>
      <c r="J726" s="1283" t="str">
        <f>IF(B726&lt;&gt;"",+VLOOKUP(I726,Recursos!C:F,2,FALSE),"")</f>
        <v>UMBRAL DE GRANITO 20cm</v>
      </c>
      <c r="K726" s="1284" t="str">
        <f>IF(B726&lt;&gt;"",+VLOOKUP(I726,Recursos!C:F,3,FALSE),"")</f>
        <v>m</v>
      </c>
      <c r="L726" s="1285">
        <f>IF(B726&lt;&gt;"",+VLOOKUP(I726,Recursos!C:F,4,FALSE),"")</f>
        <v>29040.40404040405</v>
      </c>
      <c r="M726" s="1408"/>
      <c r="N726" s="1409">
        <v>1.05</v>
      </c>
      <c r="O726" s="439">
        <f>N726</f>
        <v>1.05</v>
      </c>
      <c r="P726" s="1287">
        <f t="shared" si="747"/>
        <v>30492.424242424255</v>
      </c>
      <c r="Q726" s="1281">
        <f t="shared" si="748"/>
        <v>0</v>
      </c>
      <c r="R726" s="1288">
        <f t="shared" si="749"/>
        <v>0</v>
      </c>
      <c r="S726" s="1289">
        <f t="shared" si="808"/>
        <v>214.7002895657765</v>
      </c>
      <c r="T726" s="1289">
        <f t="shared" si="809"/>
        <v>0</v>
      </c>
      <c r="U726" s="1290">
        <f t="shared" si="810"/>
        <v>30497.01101928376</v>
      </c>
      <c r="V726" s="1290">
        <f t="shared" si="811"/>
        <v>0</v>
      </c>
      <c r="W726" s="1290">
        <f t="shared" si="812"/>
        <v>0</v>
      </c>
      <c r="X726" s="1290">
        <f t="shared" si="813"/>
        <v>23.432380495867772</v>
      </c>
      <c r="Y726" s="396"/>
      <c r="Z726" s="1291" t="str">
        <f t="shared" si="750"/>
        <v>0-PISUMBA</v>
      </c>
      <c r="AA726" s="1291" t="str">
        <f t="shared" si="751"/>
        <v>0-PISUMBE</v>
      </c>
      <c r="AB726" s="1291" t="str">
        <f t="shared" si="752"/>
        <v>0-PISUMBM</v>
      </c>
      <c r="AC726" s="1291" t="str">
        <f t="shared" si="753"/>
        <v>0-PISUMBT</v>
      </c>
      <c r="AD726" s="1291" t="str">
        <f t="shared" si="754"/>
        <v>0-PISUMBS</v>
      </c>
      <c r="AE726" s="1291" t="str">
        <f t="shared" si="755"/>
        <v>0-PISUMBX</v>
      </c>
      <c r="AF726" s="1291" t="str">
        <f t="shared" si="756"/>
        <v>0-PISUMBM</v>
      </c>
      <c r="AG726" s="1291">
        <f t="shared" si="814"/>
        <v>5</v>
      </c>
      <c r="AH726" s="1291">
        <f>IF(B726&lt;&gt;"",+IF(H726="x",+VLOOKUP(I726,'AUX-NIV2'!B:AG,32,FALSE),0),"")</f>
        <v>0</v>
      </c>
      <c r="AI726" s="1291" t="str">
        <f t="shared" si="757"/>
        <v>0-PISUMB</v>
      </c>
      <c r="AK726" s="347">
        <f t="shared" si="815"/>
        <v>725</v>
      </c>
      <c r="AL726" s="348">
        <f t="shared" si="758"/>
        <v>729</v>
      </c>
      <c r="AM726" s="347">
        <f t="shared" si="759"/>
        <v>2</v>
      </c>
      <c r="AN726" s="382">
        <f>IF(AND(AH726&gt;0,B726&lt;&gt;""),VLOOKUP(I726,'AUX-NIV2'!$B:$AP,40,FALSE)*O726,0)</f>
        <v>0</v>
      </c>
      <c r="AO726" s="382">
        <f t="shared" si="816"/>
        <v>0.48000000000000009</v>
      </c>
      <c r="AQ726" s="395">
        <f>(IF($H726="x",VLOOKUP($I726,'AUX-NIV2'!$B:$X,'AUX-NIV1'!AQ$3,FALSE),0)+($AV726*'AUX-NIV3'!S$4))*$O726+IF($H726=AQ$4,$P726,0)</f>
        <v>0</v>
      </c>
      <c r="AR726" s="395">
        <f>(IF($H726="x",VLOOKUP($I726,'AUX-NIV2'!$B:$X,'AUX-NIV1'!AR$3,FALSE),0)+($AV726*'AUX-NIV3'!T$4))*$O726+IF($H726=AR$4,$P726,0)</f>
        <v>0</v>
      </c>
      <c r="AS726" s="395">
        <f>(IF($H726="x",VLOOKUP($I726,'AUX-NIV2'!$B:$X,'AUX-NIV1'!AS$3,FALSE),0)+($AV726*'AUX-NIV3'!U$4))*$O726+IF($H726=AS$4,$P726,0)</f>
        <v>30492.424242424255</v>
      </c>
      <c r="AT726" s="395">
        <f>(IF($H726="x",VLOOKUP($I726,'AUX-NIV2'!$B:$X,'AUX-NIV1'!AT$3,FALSE),0)+($AV726*'AUX-NIV3'!V$4))*$O726+IF($H726=AT$4,$P726,0)</f>
        <v>0</v>
      </c>
      <c r="AU726" s="395">
        <f>(IF($H726="x",VLOOKUP($I726,'AUX-NIV2'!$B:$X,'AUX-NIV1'!AU$3,FALSE),0)+($AV726*'AUX-NIV3'!W$4))*$O726+IF($H726=AU$4,$P726,0)</f>
        <v>0</v>
      </c>
      <c r="AV726" s="395">
        <f>+IF($H726="x",VLOOKUP($I726,'AUX-NIV2'!$B:$X,'AUX-NIV1'!AV$3,FALSE),0)</f>
        <v>0</v>
      </c>
    </row>
    <row r="727" spans="2:48" ht="13.8" hidden="1" thickTop="1">
      <c r="B727" s="501" t="s">
        <v>3822</v>
      </c>
      <c r="C727" s="951" t="s">
        <v>3823</v>
      </c>
      <c r="D727" s="1280" t="s">
        <v>477</v>
      </c>
      <c r="E727" s="1281">
        <f>IF(B727&lt;&gt;"",+SUMIF(Items!C:C,'AUX-NIV1'!B727,Items!H:H),"")</f>
        <v>0</v>
      </c>
      <c r="F727" s="1281">
        <f t="shared" si="805"/>
        <v>30735.143689345408</v>
      </c>
      <c r="G727" s="1281">
        <f t="shared" si="806"/>
        <v>0</v>
      </c>
      <c r="H727" s="1395" t="str">
        <f t="shared" si="745"/>
        <v>M</v>
      </c>
      <c r="I727" s="1375" t="s">
        <v>3384</v>
      </c>
      <c r="J727" s="1283" t="str">
        <f>IF(B727&lt;&gt;"",+VLOOKUP(I727,Recursos!C:F,2,FALSE),"")</f>
        <v>PASTINA COLOR</v>
      </c>
      <c r="K727" s="1284" t="str">
        <f>IF(B727&lt;&gt;"",+VLOOKUP(I727,Recursos!C:F,3,FALSE),"")</f>
        <v>Kg</v>
      </c>
      <c r="L727" s="1285">
        <f>IF(B727&lt;&gt;"",+VLOOKUP(I727,Recursos!C:F,4,FALSE),"")</f>
        <v>152.89256198347107</v>
      </c>
      <c r="M727" s="1410"/>
      <c r="N727" s="1409">
        <f>0.15*0.2</f>
        <v>0.03</v>
      </c>
      <c r="O727" s="439">
        <f>N727</f>
        <v>0.03</v>
      </c>
      <c r="P727" s="1287">
        <f t="shared" si="747"/>
        <v>4.5867768595041323</v>
      </c>
      <c r="Q727" s="1281">
        <f t="shared" si="748"/>
        <v>0</v>
      </c>
      <c r="R727" s="1288">
        <f t="shared" si="749"/>
        <v>0</v>
      </c>
      <c r="S727" s="1289">
        <f t="shared" si="808"/>
        <v>214.7002895657765</v>
      </c>
      <c r="T727" s="1289">
        <f t="shared" si="809"/>
        <v>0</v>
      </c>
      <c r="U727" s="1290">
        <f t="shared" si="810"/>
        <v>30497.01101928376</v>
      </c>
      <c r="V727" s="1290">
        <f t="shared" si="811"/>
        <v>0</v>
      </c>
      <c r="W727" s="1290">
        <f t="shared" si="812"/>
        <v>0</v>
      </c>
      <c r="X727" s="1290">
        <f t="shared" si="813"/>
        <v>23.432380495867772</v>
      </c>
      <c r="Y727" s="396"/>
      <c r="Z727" s="1291" t="str">
        <f t="shared" si="750"/>
        <v>0-PISUMBA</v>
      </c>
      <c r="AA727" s="1291" t="str">
        <f t="shared" si="751"/>
        <v>0-PISUMBE</v>
      </c>
      <c r="AB727" s="1291" t="str">
        <f t="shared" si="752"/>
        <v>0-PISUMBM</v>
      </c>
      <c r="AC727" s="1291" t="str">
        <f t="shared" si="753"/>
        <v>0-PISUMBT</v>
      </c>
      <c r="AD727" s="1291" t="str">
        <f t="shared" si="754"/>
        <v>0-PISUMBS</v>
      </c>
      <c r="AE727" s="1291" t="str">
        <f t="shared" si="755"/>
        <v>0-PISUMBX</v>
      </c>
      <c r="AF727" s="1291" t="str">
        <f t="shared" si="756"/>
        <v>0-PISUMBM</v>
      </c>
      <c r="AG727" s="1291">
        <f t="shared" si="814"/>
        <v>5</v>
      </c>
      <c r="AH727" s="1291">
        <f>IF(B727&lt;&gt;"",+IF(H727="x",+VLOOKUP(I727,'AUX-NIV2'!B:AG,32,FALSE),0),"")</f>
        <v>0</v>
      </c>
      <c r="AI727" s="1291" t="str">
        <f t="shared" si="757"/>
        <v>0-PISUMB</v>
      </c>
      <c r="AK727" s="347">
        <f t="shared" si="815"/>
        <v>725</v>
      </c>
      <c r="AL727" s="348">
        <f t="shared" si="758"/>
        <v>729</v>
      </c>
      <c r="AM727" s="347">
        <f t="shared" si="759"/>
        <v>3</v>
      </c>
      <c r="AN727" s="382">
        <f>IF(AND(AH727&gt;0,B727&lt;&gt;""),VLOOKUP(I727,'AUX-NIV2'!$B:$AP,40,FALSE)*O727,0)</f>
        <v>0</v>
      </c>
      <c r="AO727" s="382">
        <f t="shared" si="816"/>
        <v>0.48000000000000009</v>
      </c>
      <c r="AQ727" s="395">
        <f>(IF($H727="x",VLOOKUP($I727,'AUX-NIV2'!$B:$X,'AUX-NIV1'!AQ$3,FALSE),0)+($AV727*'AUX-NIV3'!S$4))*$O727+IF($H727=AQ$4,$P727,0)</f>
        <v>0</v>
      </c>
      <c r="AR727" s="395">
        <f>(IF($H727="x",VLOOKUP($I727,'AUX-NIV2'!$B:$X,'AUX-NIV1'!AR$3,FALSE),0)+($AV727*'AUX-NIV3'!T$4))*$O727+IF($H727=AR$4,$P727,0)</f>
        <v>0</v>
      </c>
      <c r="AS727" s="395">
        <f>(IF($H727="x",VLOOKUP($I727,'AUX-NIV2'!$B:$X,'AUX-NIV1'!AS$3,FALSE),0)+($AV727*'AUX-NIV3'!U$4))*$O727+IF($H727=AS$4,$P727,0)</f>
        <v>4.5867768595041323</v>
      </c>
      <c r="AT727" s="395">
        <f>(IF($H727="x",VLOOKUP($I727,'AUX-NIV2'!$B:$X,'AUX-NIV1'!AT$3,FALSE),0)+($AV727*'AUX-NIV3'!V$4))*$O727+IF($H727=AT$4,$P727,0)</f>
        <v>0</v>
      </c>
      <c r="AU727" s="395">
        <f>(IF($H727="x",VLOOKUP($I727,'AUX-NIV2'!$B:$X,'AUX-NIV1'!AU$3,FALSE),0)+($AV727*'AUX-NIV3'!W$4))*$O727+IF($H727=AU$4,$P727,0)</f>
        <v>0</v>
      </c>
      <c r="AV727" s="395">
        <f>+IF($H727="x",VLOOKUP($I727,'AUX-NIV2'!$B:$X,'AUX-NIV1'!AV$3,FALSE),0)</f>
        <v>0</v>
      </c>
    </row>
    <row r="728" spans="2:48" ht="13.8" hidden="1" thickTop="1">
      <c r="B728" s="501" t="s">
        <v>3822</v>
      </c>
      <c r="C728" s="951" t="s">
        <v>3823</v>
      </c>
      <c r="D728" s="1280" t="s">
        <v>477</v>
      </c>
      <c r="E728" s="1281">
        <f>IF(B728&lt;&gt;"",+SUMIF(Items!C:C,'AUX-NIV1'!B728,Items!H:H),"")</f>
        <v>0</v>
      </c>
      <c r="F728" s="1281">
        <f t="shared" si="805"/>
        <v>30735.143689345408</v>
      </c>
      <c r="G728" s="1281">
        <f t="shared" si="806"/>
        <v>0</v>
      </c>
      <c r="H728" s="1395" t="str">
        <f t="shared" si="745"/>
        <v>A</v>
      </c>
      <c r="I728" s="1375" t="s">
        <v>1745</v>
      </c>
      <c r="J728" s="1283" t="str">
        <f>IF(B728&lt;&gt;"",+VLOOKUP(I728,Recursos!C:F,2,FALSE),"")</f>
        <v>AYUDANTE</v>
      </c>
      <c r="K728" s="1284" t="str">
        <f>IF(B728&lt;&gt;"",+VLOOKUP(I728,Recursos!C:F,3,FALSE),"")</f>
        <v>hh</v>
      </c>
      <c r="L728" s="1285">
        <f>IF(B728&lt;&gt;"",+VLOOKUP(I728,Recursos!C:F,4,FALSE),"")</f>
        <v>422.48042769667234</v>
      </c>
      <c r="M728" s="1411">
        <v>2</v>
      </c>
      <c r="N728" s="1409">
        <v>1.25</v>
      </c>
      <c r="O728" s="439">
        <f>M728/N728*0.2</f>
        <v>0.32000000000000006</v>
      </c>
      <c r="P728" s="1287">
        <f t="shared" si="747"/>
        <v>135.19373686293517</v>
      </c>
      <c r="Q728" s="1281">
        <f t="shared" si="748"/>
        <v>0</v>
      </c>
      <c r="R728" s="1288">
        <f t="shared" si="749"/>
        <v>0</v>
      </c>
      <c r="S728" s="1289">
        <f t="shared" si="808"/>
        <v>214.7002895657765</v>
      </c>
      <c r="T728" s="1289">
        <f t="shared" si="809"/>
        <v>0</v>
      </c>
      <c r="U728" s="1290">
        <f t="shared" si="810"/>
        <v>30497.01101928376</v>
      </c>
      <c r="V728" s="1290">
        <f t="shared" si="811"/>
        <v>0</v>
      </c>
      <c r="W728" s="1290">
        <f t="shared" si="812"/>
        <v>0</v>
      </c>
      <c r="X728" s="1290">
        <f t="shared" si="813"/>
        <v>23.432380495867772</v>
      </c>
      <c r="Y728" s="396"/>
      <c r="Z728" s="1291" t="str">
        <f t="shared" si="750"/>
        <v>0-PISUMBA</v>
      </c>
      <c r="AA728" s="1291" t="str">
        <f t="shared" si="751"/>
        <v>0-PISUMBE</v>
      </c>
      <c r="AB728" s="1291" t="str">
        <f t="shared" si="752"/>
        <v>0-PISUMBM</v>
      </c>
      <c r="AC728" s="1291" t="str">
        <f t="shared" si="753"/>
        <v>0-PISUMBT</v>
      </c>
      <c r="AD728" s="1291" t="str">
        <f t="shared" si="754"/>
        <v>0-PISUMBS</v>
      </c>
      <c r="AE728" s="1291" t="str">
        <f t="shared" si="755"/>
        <v>0-PISUMBX</v>
      </c>
      <c r="AF728" s="1291" t="str">
        <f t="shared" si="756"/>
        <v>0-PISUMBA</v>
      </c>
      <c r="AG728" s="1291">
        <f t="shared" si="814"/>
        <v>5</v>
      </c>
      <c r="AH728" s="1291">
        <f>IF(B728&lt;&gt;"",+IF(H728="x",+VLOOKUP(I728,'AUX-NIV2'!B:AG,32,FALSE),0),"")</f>
        <v>0</v>
      </c>
      <c r="AI728" s="1291" t="str">
        <f t="shared" si="757"/>
        <v>0-PISUMB</v>
      </c>
      <c r="AK728" s="347">
        <f t="shared" si="815"/>
        <v>725</v>
      </c>
      <c r="AL728" s="348">
        <f t="shared" si="758"/>
        <v>729</v>
      </c>
      <c r="AM728" s="347">
        <f t="shared" si="759"/>
        <v>4</v>
      </c>
      <c r="AN728" s="382">
        <f>IF(AND(AH728&gt;0,B728&lt;&gt;""),VLOOKUP(I728,'AUX-NIV2'!$B:$AP,40,FALSE)*O728,0)</f>
        <v>0</v>
      </c>
      <c r="AO728" s="382">
        <f t="shared" si="816"/>
        <v>0.48000000000000009</v>
      </c>
      <c r="AQ728" s="395">
        <f>(IF($H728="x",VLOOKUP($I728,'AUX-NIV2'!$B:$X,'AUX-NIV1'!AQ$3,FALSE),0)+($AV728*'AUX-NIV3'!S$4))*$O728+IF($H728=AQ$4,$P728,0)</f>
        <v>135.19373686293517</v>
      </c>
      <c r="AR728" s="395">
        <f>(IF($H728="x",VLOOKUP($I728,'AUX-NIV2'!$B:$X,'AUX-NIV1'!AR$3,FALSE),0)+($AV728*'AUX-NIV3'!T$4))*$O728+IF($H728=AR$4,$P728,0)</f>
        <v>0</v>
      </c>
      <c r="AS728" s="395">
        <f>(IF($H728="x",VLOOKUP($I728,'AUX-NIV2'!$B:$X,'AUX-NIV1'!AS$3,FALSE),0)+($AV728*'AUX-NIV3'!U$4))*$O728+IF($H728=AS$4,$P728,0)</f>
        <v>0</v>
      </c>
      <c r="AT728" s="395">
        <f>(IF($H728="x",VLOOKUP($I728,'AUX-NIV2'!$B:$X,'AUX-NIV1'!AT$3,FALSE),0)+($AV728*'AUX-NIV3'!V$4))*$O728+IF($H728=AT$4,$P728,0)</f>
        <v>0</v>
      </c>
      <c r="AU728" s="395">
        <f>(IF($H728="x",VLOOKUP($I728,'AUX-NIV2'!$B:$X,'AUX-NIV1'!AU$3,FALSE),0)+($AV728*'AUX-NIV3'!W$4))*$O728+IF($H728=AU$4,$P728,0)</f>
        <v>0</v>
      </c>
      <c r="AV728" s="395">
        <f>+IF($H728="x",VLOOKUP($I728,'AUX-NIV2'!$B:$X,'AUX-NIV1'!AV$3,FALSE),0)</f>
        <v>0</v>
      </c>
    </row>
    <row r="729" spans="2:48" ht="14.4" hidden="1" thickTop="1" thickBot="1">
      <c r="B729" s="501" t="s">
        <v>3822</v>
      </c>
      <c r="C729" s="951" t="s">
        <v>3823</v>
      </c>
      <c r="D729" s="1280" t="s">
        <v>477</v>
      </c>
      <c r="E729" s="1281">
        <f>IF(B729&lt;&gt;"",+SUMIF(Items!C:C,'AUX-NIV1'!B729,Items!H:H),"")</f>
        <v>0</v>
      </c>
      <c r="F729" s="1281">
        <f t="shared" si="805"/>
        <v>30735.143689345408</v>
      </c>
      <c r="G729" s="1281">
        <f t="shared" si="806"/>
        <v>0</v>
      </c>
      <c r="H729" s="1395" t="str">
        <f t="shared" si="745"/>
        <v>A</v>
      </c>
      <c r="I729" s="1375" t="s">
        <v>1746</v>
      </c>
      <c r="J729" s="1283" t="str">
        <f>IF(B729&lt;&gt;"",+VLOOKUP(I729,Recursos!C:F,2,FALSE),"")</f>
        <v>OFICIAL</v>
      </c>
      <c r="K729" s="1284" t="str">
        <f>IF(B729&lt;&gt;"",+VLOOKUP(I729,Recursos!C:F,3,FALSE),"")</f>
        <v>hh</v>
      </c>
      <c r="L729" s="1285">
        <f>IF(B729&lt;&gt;"",+VLOOKUP(I729,Recursos!C:F,4,FALSE),"")</f>
        <v>496.91595439275824</v>
      </c>
      <c r="M729" s="1412">
        <v>1</v>
      </c>
      <c r="N729" s="1413"/>
      <c r="O729" s="439">
        <f>M729/N728*0.2</f>
        <v>0.16000000000000003</v>
      </c>
      <c r="P729" s="1287">
        <f t="shared" si="747"/>
        <v>79.506552702841333</v>
      </c>
      <c r="Q729" s="1281">
        <f t="shared" si="748"/>
        <v>0</v>
      </c>
      <c r="R729" s="1288">
        <f t="shared" si="749"/>
        <v>0</v>
      </c>
      <c r="S729" s="1289">
        <f t="shared" si="808"/>
        <v>214.7002895657765</v>
      </c>
      <c r="T729" s="1289">
        <f t="shared" si="809"/>
        <v>0</v>
      </c>
      <c r="U729" s="1290">
        <f t="shared" si="810"/>
        <v>30497.01101928376</v>
      </c>
      <c r="V729" s="1290">
        <f t="shared" si="811"/>
        <v>0</v>
      </c>
      <c r="W729" s="1290">
        <f t="shared" si="812"/>
        <v>0</v>
      </c>
      <c r="X729" s="1290">
        <f t="shared" si="813"/>
        <v>23.432380495867772</v>
      </c>
      <c r="Y729" s="396"/>
      <c r="Z729" s="1291" t="str">
        <f t="shared" si="750"/>
        <v>0-PISUMBA</v>
      </c>
      <c r="AA729" s="1291" t="str">
        <f t="shared" si="751"/>
        <v>0-PISUMBE</v>
      </c>
      <c r="AB729" s="1291" t="str">
        <f t="shared" si="752"/>
        <v>0-PISUMBM</v>
      </c>
      <c r="AC729" s="1291" t="str">
        <f t="shared" si="753"/>
        <v>0-PISUMBT</v>
      </c>
      <c r="AD729" s="1291" t="str">
        <f t="shared" si="754"/>
        <v>0-PISUMBS</v>
      </c>
      <c r="AE729" s="1291" t="str">
        <f t="shared" si="755"/>
        <v>0-PISUMBX</v>
      </c>
      <c r="AF729" s="1291" t="str">
        <f t="shared" si="756"/>
        <v>0-PISUMBA</v>
      </c>
      <c r="AG729" s="1291">
        <f t="shared" si="814"/>
        <v>5</v>
      </c>
      <c r="AH729" s="1291">
        <f>IF(B729&lt;&gt;"",+IF(H729="x",+VLOOKUP(I729,'AUX-NIV2'!B:AG,32,FALSE),0),"")</f>
        <v>0</v>
      </c>
      <c r="AI729" s="1291" t="str">
        <f t="shared" si="757"/>
        <v>0-PISUMB</v>
      </c>
      <c r="AK729" s="347">
        <f t="shared" si="815"/>
        <v>725</v>
      </c>
      <c r="AL729" s="348">
        <f t="shared" si="758"/>
        <v>729</v>
      </c>
      <c r="AM729" s="347">
        <f t="shared" si="759"/>
        <v>5</v>
      </c>
      <c r="AN729" s="382">
        <f>IF(AND(AH729&gt;0,B729&lt;&gt;""),VLOOKUP(I729,'AUX-NIV2'!$B:$AP,40,FALSE)*O729,0)</f>
        <v>0</v>
      </c>
      <c r="AO729" s="382">
        <f t="shared" si="816"/>
        <v>0.48000000000000009</v>
      </c>
      <c r="AQ729" s="395">
        <f>(IF($H729="x",VLOOKUP($I729,'AUX-NIV2'!$B:$X,'AUX-NIV1'!AQ$3,FALSE),0)+($AV729*'AUX-NIV3'!S$4))*$O729+IF($H729=AQ$4,$P729,0)</f>
        <v>79.506552702841333</v>
      </c>
      <c r="AR729" s="395">
        <f>(IF($H729="x",VLOOKUP($I729,'AUX-NIV2'!$B:$X,'AUX-NIV1'!AR$3,FALSE),0)+($AV729*'AUX-NIV3'!T$4))*$O729+IF($H729=AR$4,$P729,0)</f>
        <v>0</v>
      </c>
      <c r="AS729" s="395">
        <f>(IF($H729="x",VLOOKUP($I729,'AUX-NIV2'!$B:$X,'AUX-NIV1'!AS$3,FALSE),0)+($AV729*'AUX-NIV3'!U$4))*$O729+IF($H729=AS$4,$P729,0)</f>
        <v>0</v>
      </c>
      <c r="AT729" s="395">
        <f>(IF($H729="x",VLOOKUP($I729,'AUX-NIV2'!$B:$X,'AUX-NIV1'!AT$3,FALSE),0)+($AV729*'AUX-NIV3'!V$4))*$O729+IF($H729=AT$4,$P729,0)</f>
        <v>0</v>
      </c>
      <c r="AU729" s="395">
        <f>(IF($H729="x",VLOOKUP($I729,'AUX-NIV2'!$B:$X,'AUX-NIV1'!AU$3,FALSE),0)+($AV729*'AUX-NIV3'!W$4))*$O729+IF($H729=AU$4,$P729,0)</f>
        <v>0</v>
      </c>
      <c r="AV729" s="395">
        <f>+IF($H729="x",VLOOKUP($I729,'AUX-NIV2'!$B:$X,'AUX-NIV1'!AV$3,FALSE),0)</f>
        <v>0</v>
      </c>
    </row>
    <row r="730" spans="2:48" ht="13.8" hidden="1" thickTop="1">
      <c r="B730" s="501" t="s">
        <v>3825</v>
      </c>
      <c r="C730" s="951" t="s">
        <v>3826</v>
      </c>
      <c r="D730" s="1280" t="s">
        <v>477</v>
      </c>
      <c r="E730" s="1281">
        <f>IF(B730&lt;&gt;"",+SUMIF(Items!C:C,'AUX-NIV1'!B730,Items!H:H),"")</f>
        <v>0</v>
      </c>
      <c r="F730" s="1281">
        <f t="shared" si="805"/>
        <v>3035.8773633309711</v>
      </c>
      <c r="G730" s="1281">
        <f t="shared" si="806"/>
        <v>0</v>
      </c>
      <c r="H730" s="1395" t="str">
        <f t="shared" si="745"/>
        <v>M</v>
      </c>
      <c r="I730" s="1375" t="s">
        <v>3802</v>
      </c>
      <c r="J730" s="1283" t="str">
        <f>IF(B730&lt;&gt;"",+VLOOKUP(I730,Recursos!C:F,2,FALSE),"")</f>
        <v>MESADA DE GRANITO</v>
      </c>
      <c r="K730" s="1284" t="str">
        <f>IF(B730&lt;&gt;"",+VLOOKUP(I730,Recursos!C:F,3,FALSE),"")</f>
        <v>m</v>
      </c>
      <c r="L730" s="1285">
        <f>IF(B730&lt;&gt;"",+VLOOKUP(I730,Recursos!C:F,4,FALSE),"")</f>
        <v>1818.1818181818182</v>
      </c>
      <c r="M730" s="1304"/>
      <c r="N730" s="1367">
        <v>1.02</v>
      </c>
      <c r="O730" s="1286">
        <f t="shared" si="746"/>
        <v>1.02</v>
      </c>
      <c r="P730" s="1287">
        <f t="shared" si="747"/>
        <v>1854.5454545454547</v>
      </c>
      <c r="Q730" s="1281">
        <f t="shared" si="748"/>
        <v>0</v>
      </c>
      <c r="R730" s="1288">
        <f t="shared" si="749"/>
        <v>0</v>
      </c>
      <c r="S730" s="1289">
        <f t="shared" si="808"/>
        <v>993.83190878551648</v>
      </c>
      <c r="T730" s="1289">
        <f t="shared" si="809"/>
        <v>0</v>
      </c>
      <c r="U730" s="1290">
        <f t="shared" si="810"/>
        <v>2042.0454545454547</v>
      </c>
      <c r="V730" s="1290">
        <f t="shared" si="811"/>
        <v>0</v>
      </c>
      <c r="W730" s="1290">
        <f t="shared" si="812"/>
        <v>0</v>
      </c>
      <c r="X730" s="1290">
        <f t="shared" si="813"/>
        <v>0</v>
      </c>
      <c r="Y730" s="396"/>
      <c r="Z730" s="1291" t="str">
        <f t="shared" si="750"/>
        <v>0-MESADA</v>
      </c>
      <c r="AA730" s="1291" t="str">
        <f t="shared" si="751"/>
        <v>0-MESADE</v>
      </c>
      <c r="AB730" s="1291" t="str">
        <f t="shared" si="752"/>
        <v>0-MESADM</v>
      </c>
      <c r="AC730" s="1291" t="str">
        <f t="shared" si="753"/>
        <v>0-MESADT</v>
      </c>
      <c r="AD730" s="1291" t="str">
        <f t="shared" si="754"/>
        <v>0-MESADS</v>
      </c>
      <c r="AE730" s="1291" t="str">
        <f t="shared" si="755"/>
        <v>0-MESADX</v>
      </c>
      <c r="AF730" s="1291" t="str">
        <f t="shared" si="756"/>
        <v>0-MESADM</v>
      </c>
      <c r="AG730" s="1291">
        <f t="shared" si="814"/>
        <v>3</v>
      </c>
      <c r="AH730" s="1291">
        <f>IF(B730&lt;&gt;"",+IF(H730="x",+VLOOKUP(I730,'AUX-NIV2'!B:AG,32,FALSE),0),"")</f>
        <v>0</v>
      </c>
      <c r="AI730" s="1291" t="str">
        <f t="shared" si="757"/>
        <v>0-MESAD</v>
      </c>
      <c r="AK730" s="347">
        <f t="shared" si="815"/>
        <v>730</v>
      </c>
      <c r="AL730" s="348">
        <f t="shared" si="758"/>
        <v>732</v>
      </c>
      <c r="AM730" s="347">
        <f t="shared" si="759"/>
        <v>1</v>
      </c>
      <c r="AN730" s="382">
        <f>IF(AND(AH730&gt;0,B730&lt;&gt;""),VLOOKUP(I730,'AUX-NIV2'!$B:$AP,40,FALSE)*O730,0)</f>
        <v>0</v>
      </c>
      <c r="AO730" s="382">
        <f t="shared" si="816"/>
        <v>2</v>
      </c>
      <c r="AQ730" s="395">
        <f>(IF($H730="x",VLOOKUP($I730,'AUX-NIV2'!$B:$X,'AUX-NIV1'!AQ$3,FALSE),0)+($AV730*'AUX-NIV3'!S$4))*$O730+IF($H730=AQ$4,$P730,0)</f>
        <v>0</v>
      </c>
      <c r="AR730" s="395">
        <f>(IF($H730="x",VLOOKUP($I730,'AUX-NIV2'!$B:$X,'AUX-NIV1'!AR$3,FALSE),0)+($AV730*'AUX-NIV3'!T$4))*$O730+IF($H730=AR$4,$P730,0)</f>
        <v>0</v>
      </c>
      <c r="AS730" s="395">
        <f>(IF($H730="x",VLOOKUP($I730,'AUX-NIV2'!$B:$X,'AUX-NIV1'!AS$3,FALSE),0)+($AV730*'AUX-NIV3'!U$4))*$O730+IF($H730=AS$4,$P730,0)</f>
        <v>1854.5454545454547</v>
      </c>
      <c r="AT730" s="395">
        <f>(IF($H730="x",VLOOKUP($I730,'AUX-NIV2'!$B:$X,'AUX-NIV1'!AT$3,FALSE),0)+($AV730*'AUX-NIV3'!V$4))*$O730+IF($H730=AT$4,$P730,0)</f>
        <v>0</v>
      </c>
      <c r="AU730" s="395">
        <f>(IF($H730="x",VLOOKUP($I730,'AUX-NIV2'!$B:$X,'AUX-NIV1'!AU$3,FALSE),0)+($AV730*'AUX-NIV3'!W$4))*$O730+IF($H730=AU$4,$P730,0)</f>
        <v>0</v>
      </c>
      <c r="AV730" s="395">
        <f>+IF($H730="x",VLOOKUP($I730,'AUX-NIV2'!$B:$X,'AUX-NIV1'!AV$3,FALSE),0)</f>
        <v>0</v>
      </c>
    </row>
    <row r="731" spans="2:48" ht="13.8" hidden="1" thickTop="1">
      <c r="B731" s="501" t="s">
        <v>3825</v>
      </c>
      <c r="C731" s="951" t="s">
        <v>3826</v>
      </c>
      <c r="D731" s="1280" t="s">
        <v>477</v>
      </c>
      <c r="E731" s="1281">
        <f>IF(B731&lt;&gt;"",+SUMIF(Items!C:C,'AUX-NIV1'!B731,Items!H:H),"")</f>
        <v>0</v>
      </c>
      <c r="F731" s="1281">
        <f t="shared" si="805"/>
        <v>3035.8773633309711</v>
      </c>
      <c r="G731" s="1281">
        <f t="shared" si="806"/>
        <v>0</v>
      </c>
      <c r="H731" s="1395" t="str">
        <f t="shared" si="745"/>
        <v>A</v>
      </c>
      <c r="I731" s="1375" t="s">
        <v>1746</v>
      </c>
      <c r="J731" s="1283" t="str">
        <f>IF(B731&lt;&gt;"",+VLOOKUP(I731,Recursos!C:F,2,FALSE),"")</f>
        <v>OFICIAL</v>
      </c>
      <c r="K731" s="1284" t="str">
        <f>IF(B731&lt;&gt;"",+VLOOKUP(I731,Recursos!C:F,3,FALSE),"")</f>
        <v>hh</v>
      </c>
      <c r="L731" s="1285">
        <f>IF(B731&lt;&gt;"",+VLOOKUP(I731,Recursos!C:F,4,FALSE),"")</f>
        <v>496.91595439275824</v>
      </c>
      <c r="M731" s="1399"/>
      <c r="N731" s="1400">
        <v>2</v>
      </c>
      <c r="O731" s="1286">
        <f t="shared" si="746"/>
        <v>2</v>
      </c>
      <c r="P731" s="1287">
        <f t="shared" si="747"/>
        <v>993.83190878551648</v>
      </c>
      <c r="Q731" s="1281">
        <f t="shared" si="748"/>
        <v>0</v>
      </c>
      <c r="R731" s="1288">
        <f t="shared" si="749"/>
        <v>0</v>
      </c>
      <c r="S731" s="1289">
        <f t="shared" si="808"/>
        <v>993.83190878551648</v>
      </c>
      <c r="T731" s="1289">
        <f t="shared" si="809"/>
        <v>0</v>
      </c>
      <c r="U731" s="1290">
        <f t="shared" si="810"/>
        <v>2042.0454545454547</v>
      </c>
      <c r="V731" s="1290">
        <f t="shared" si="811"/>
        <v>0</v>
      </c>
      <c r="W731" s="1290">
        <f t="shared" si="812"/>
        <v>0</v>
      </c>
      <c r="X731" s="1290">
        <f t="shared" si="813"/>
        <v>0</v>
      </c>
      <c r="Y731" s="396"/>
      <c r="Z731" s="1291" t="str">
        <f t="shared" si="750"/>
        <v>0-MESADA</v>
      </c>
      <c r="AA731" s="1291" t="str">
        <f t="shared" si="751"/>
        <v>0-MESADE</v>
      </c>
      <c r="AB731" s="1291" t="str">
        <f t="shared" si="752"/>
        <v>0-MESADM</v>
      </c>
      <c r="AC731" s="1291" t="str">
        <f t="shared" si="753"/>
        <v>0-MESADT</v>
      </c>
      <c r="AD731" s="1291" t="str">
        <f t="shared" si="754"/>
        <v>0-MESADS</v>
      </c>
      <c r="AE731" s="1291" t="str">
        <f t="shared" si="755"/>
        <v>0-MESADX</v>
      </c>
      <c r="AF731" s="1291" t="str">
        <f t="shared" si="756"/>
        <v>0-MESADA</v>
      </c>
      <c r="AG731" s="1291">
        <f t="shared" si="814"/>
        <v>3</v>
      </c>
      <c r="AH731" s="1291">
        <f>IF(B731&lt;&gt;"",+IF(H731="x",+VLOOKUP(I731,'AUX-NIV2'!B:AG,32,FALSE),0),"")</f>
        <v>0</v>
      </c>
      <c r="AI731" s="1291" t="str">
        <f t="shared" si="757"/>
        <v>0-MESAD</v>
      </c>
      <c r="AK731" s="347">
        <f t="shared" si="815"/>
        <v>730</v>
      </c>
      <c r="AL731" s="348">
        <f t="shared" si="758"/>
        <v>732</v>
      </c>
      <c r="AM731" s="347">
        <f t="shared" si="759"/>
        <v>2</v>
      </c>
      <c r="AN731" s="382">
        <f>IF(AND(AH731&gt;0,B731&lt;&gt;""),VLOOKUP(I731,'AUX-NIV2'!$B:$AP,40,FALSE)*O731,0)</f>
        <v>0</v>
      </c>
      <c r="AO731" s="382">
        <f t="shared" si="816"/>
        <v>2</v>
      </c>
      <c r="AQ731" s="395">
        <f>(IF($H731="x",VLOOKUP($I731,'AUX-NIV2'!$B:$X,'AUX-NIV1'!AQ$3,FALSE),0)+($AV731*'AUX-NIV3'!S$4))*$O731+IF($H731=AQ$4,$P731,0)</f>
        <v>993.83190878551648</v>
      </c>
      <c r="AR731" s="395">
        <f>(IF($H731="x",VLOOKUP($I731,'AUX-NIV2'!$B:$X,'AUX-NIV1'!AR$3,FALSE),0)+($AV731*'AUX-NIV3'!T$4))*$O731+IF($H731=AR$4,$P731,0)</f>
        <v>0</v>
      </c>
      <c r="AS731" s="395">
        <f>(IF($H731="x",VLOOKUP($I731,'AUX-NIV2'!$B:$X,'AUX-NIV1'!AS$3,FALSE),0)+($AV731*'AUX-NIV3'!U$4))*$O731+IF($H731=AS$4,$P731,0)</f>
        <v>0</v>
      </c>
      <c r="AT731" s="395">
        <f>(IF($H731="x",VLOOKUP($I731,'AUX-NIV2'!$B:$X,'AUX-NIV1'!AT$3,FALSE),0)+($AV731*'AUX-NIV3'!V$4))*$O731+IF($H731=AT$4,$P731,0)</f>
        <v>0</v>
      </c>
      <c r="AU731" s="395">
        <f>(IF($H731="x",VLOOKUP($I731,'AUX-NIV2'!$B:$X,'AUX-NIV1'!AU$3,FALSE),0)+($AV731*'AUX-NIV3'!W$4))*$O731+IF($H731=AU$4,$P731,0)</f>
        <v>0</v>
      </c>
      <c r="AV731" s="395">
        <f>+IF($H731="x",VLOOKUP($I731,'AUX-NIV2'!$B:$X,'AUX-NIV1'!AV$3,FALSE),0)</f>
        <v>0</v>
      </c>
    </row>
    <row r="732" spans="2:48" ht="14.4" hidden="1" thickTop="1" thickBot="1">
      <c r="B732" s="501" t="s">
        <v>3825</v>
      </c>
      <c r="C732" s="951" t="s">
        <v>3826</v>
      </c>
      <c r="D732" s="1280" t="s">
        <v>477</v>
      </c>
      <c r="E732" s="1281">
        <f>IF(B732&lt;&gt;"",+SUMIF(Items!C:C,'AUX-NIV1'!B732,Items!H:H),"")</f>
        <v>0</v>
      </c>
      <c r="F732" s="1281">
        <f t="shared" si="805"/>
        <v>3035.8773633309711</v>
      </c>
      <c r="G732" s="1281">
        <f t="shared" si="806"/>
        <v>0</v>
      </c>
      <c r="H732" s="1395" t="str">
        <f t="shared" si="745"/>
        <v>M</v>
      </c>
      <c r="I732" s="1375" t="s">
        <v>621</v>
      </c>
      <c r="J732" s="1283" t="str">
        <f>IF(B732&lt;&gt;"",+VLOOKUP(I732,Recursos!C:F,2,FALSE),"")</f>
        <v>MATERIALES VARIOS</v>
      </c>
      <c r="K732" s="1284" t="str">
        <f>IF(B732&lt;&gt;"",+VLOOKUP(I732,Recursos!C:F,3,FALSE),"")</f>
        <v>GL</v>
      </c>
      <c r="L732" s="1285">
        <f>IF(B732&lt;&gt;"",+VLOOKUP(I732,Recursos!C:F,4,FALSE),"")</f>
        <v>0.5</v>
      </c>
      <c r="M732" s="1401"/>
      <c r="N732" s="1402">
        <f>2500*15%</f>
        <v>375</v>
      </c>
      <c r="O732" s="1286">
        <f t="shared" si="746"/>
        <v>375</v>
      </c>
      <c r="P732" s="1287">
        <f t="shared" si="747"/>
        <v>187.5</v>
      </c>
      <c r="Q732" s="1281">
        <f t="shared" si="748"/>
        <v>0</v>
      </c>
      <c r="R732" s="1288">
        <f t="shared" si="749"/>
        <v>0</v>
      </c>
      <c r="S732" s="1289">
        <f t="shared" si="808"/>
        <v>993.83190878551648</v>
      </c>
      <c r="T732" s="1289">
        <f t="shared" si="809"/>
        <v>0</v>
      </c>
      <c r="U732" s="1290">
        <f t="shared" si="810"/>
        <v>2042.0454545454547</v>
      </c>
      <c r="V732" s="1290">
        <f t="shared" si="811"/>
        <v>0</v>
      </c>
      <c r="W732" s="1290">
        <f t="shared" si="812"/>
        <v>0</v>
      </c>
      <c r="X732" s="1290">
        <f t="shared" si="813"/>
        <v>0</v>
      </c>
      <c r="Y732" s="396"/>
      <c r="Z732" s="1291" t="str">
        <f t="shared" si="750"/>
        <v>0-MESADA</v>
      </c>
      <c r="AA732" s="1291" t="str">
        <f t="shared" si="751"/>
        <v>0-MESADE</v>
      </c>
      <c r="AB732" s="1291" t="str">
        <f t="shared" si="752"/>
        <v>0-MESADM</v>
      </c>
      <c r="AC732" s="1291" t="str">
        <f t="shared" si="753"/>
        <v>0-MESADT</v>
      </c>
      <c r="AD732" s="1291" t="str">
        <f t="shared" si="754"/>
        <v>0-MESADS</v>
      </c>
      <c r="AE732" s="1291" t="str">
        <f t="shared" si="755"/>
        <v>0-MESADX</v>
      </c>
      <c r="AF732" s="1291" t="str">
        <f t="shared" si="756"/>
        <v>0-MESADM</v>
      </c>
      <c r="AG732" s="1291">
        <f t="shared" si="814"/>
        <v>3</v>
      </c>
      <c r="AH732" s="1291">
        <f>IF(B732&lt;&gt;"",+IF(H732="x",+VLOOKUP(I732,'AUX-NIV2'!B:AG,32,FALSE),0),"")</f>
        <v>0</v>
      </c>
      <c r="AI732" s="1291" t="str">
        <f t="shared" si="757"/>
        <v>0-MESAD</v>
      </c>
      <c r="AK732" s="347">
        <f t="shared" si="815"/>
        <v>730</v>
      </c>
      <c r="AL732" s="348">
        <f t="shared" si="758"/>
        <v>732</v>
      </c>
      <c r="AM732" s="347">
        <f t="shared" si="759"/>
        <v>3</v>
      </c>
      <c r="AN732" s="382">
        <f>IF(AND(AH732&gt;0,B732&lt;&gt;""),VLOOKUP(I732,'AUX-NIV2'!$B:$AP,40,FALSE)*O732,0)</f>
        <v>0</v>
      </c>
      <c r="AO732" s="382">
        <f t="shared" si="816"/>
        <v>2</v>
      </c>
      <c r="AQ732" s="395">
        <f>(IF($H732="x",VLOOKUP($I732,'AUX-NIV2'!$B:$X,'AUX-NIV1'!AQ$3,FALSE),0)+($AV732*'AUX-NIV3'!S$4))*$O732+IF($H732=AQ$4,$P732,0)</f>
        <v>0</v>
      </c>
      <c r="AR732" s="395">
        <f>(IF($H732="x",VLOOKUP($I732,'AUX-NIV2'!$B:$X,'AUX-NIV1'!AR$3,FALSE),0)+($AV732*'AUX-NIV3'!T$4))*$O732+IF($H732=AR$4,$P732,0)</f>
        <v>0</v>
      </c>
      <c r="AS732" s="395">
        <f>(IF($H732="x",VLOOKUP($I732,'AUX-NIV2'!$B:$X,'AUX-NIV1'!AS$3,FALSE),0)+($AV732*'AUX-NIV3'!U$4))*$O732+IF($H732=AS$4,$P732,0)</f>
        <v>187.5</v>
      </c>
      <c r="AT732" s="395">
        <f>(IF($H732="x",VLOOKUP($I732,'AUX-NIV2'!$B:$X,'AUX-NIV1'!AT$3,FALSE),0)+($AV732*'AUX-NIV3'!V$4))*$O732+IF($H732=AT$4,$P732,0)</f>
        <v>0</v>
      </c>
      <c r="AU732" s="395">
        <f>(IF($H732="x",VLOOKUP($I732,'AUX-NIV2'!$B:$X,'AUX-NIV1'!AU$3,FALSE),0)+($AV732*'AUX-NIV3'!W$4))*$O732+IF($H732=AU$4,$P732,0)</f>
        <v>0</v>
      </c>
      <c r="AV732" s="395">
        <f>+IF($H732="x",VLOOKUP($I732,'AUX-NIV2'!$B:$X,'AUX-NIV1'!AV$3,FALSE),0)</f>
        <v>0</v>
      </c>
    </row>
    <row r="733" spans="2:48" ht="13.8" hidden="1" thickTop="1">
      <c r="B733" s="501" t="s">
        <v>3830</v>
      </c>
      <c r="C733" s="951" t="s">
        <v>3831</v>
      </c>
      <c r="D733" s="1280" t="s">
        <v>501</v>
      </c>
      <c r="E733" s="1281">
        <f>IF(B733&lt;&gt;"",+SUMIF(Items!C:C,'AUX-NIV1'!B733,Items!H:H),"")</f>
        <v>0</v>
      </c>
      <c r="F733" s="1281">
        <f t="shared" si="805"/>
        <v>12190.86996187847</v>
      </c>
      <c r="G733" s="1281">
        <f t="shared" si="806"/>
        <v>0</v>
      </c>
      <c r="H733" s="1395" t="str">
        <f t="shared" si="745"/>
        <v>X</v>
      </c>
      <c r="I733" s="1375" t="s">
        <v>3735</v>
      </c>
      <c r="J733" s="1283" t="str">
        <f>IF(B733&lt;&gt;"",+VLOOKUP(I733,Recursos!C:F,2,FALSE),"")</f>
        <v>Mortero para ladrillos</v>
      </c>
      <c r="K733" s="1284" t="str">
        <f>IF(B733&lt;&gt;"",+VLOOKUP(I733,Recursos!C:F,3,FALSE),"")</f>
        <v>m3</v>
      </c>
      <c r="L733" s="1285">
        <f>IF(B733&lt;&gt;"",+VLOOKUP(I733,Recursos!C:F,4,FALSE),"")</f>
        <v>5858.095123966943</v>
      </c>
      <c r="M733" s="1406"/>
      <c r="N733" s="1407">
        <f>0.02</f>
        <v>0.02</v>
      </c>
      <c r="O733" s="439">
        <f>N733</f>
        <v>0.02</v>
      </c>
      <c r="P733" s="1287">
        <f t="shared" si="747"/>
        <v>117.16190247933886</v>
      </c>
      <c r="Q733" s="1281">
        <f t="shared" si="748"/>
        <v>0</v>
      </c>
      <c r="R733" s="1288">
        <f t="shared" si="749"/>
        <v>0</v>
      </c>
      <c r="S733" s="1289">
        <f t="shared" si="808"/>
        <v>1073.5014478288824</v>
      </c>
      <c r="T733" s="1289">
        <f t="shared" si="809"/>
        <v>0</v>
      </c>
      <c r="U733" s="1290">
        <f t="shared" si="810"/>
        <v>11000.206611570249</v>
      </c>
      <c r="V733" s="1290">
        <f t="shared" si="811"/>
        <v>0</v>
      </c>
      <c r="W733" s="1290">
        <f t="shared" si="812"/>
        <v>0</v>
      </c>
      <c r="X733" s="1290">
        <f t="shared" si="813"/>
        <v>117.16190247933886</v>
      </c>
      <c r="Y733" s="396"/>
      <c r="Z733" s="1291" t="str">
        <f t="shared" si="750"/>
        <v>0-PISESCA</v>
      </c>
      <c r="AA733" s="1291" t="str">
        <f t="shared" si="751"/>
        <v>0-PISESCE</v>
      </c>
      <c r="AB733" s="1291" t="str">
        <f t="shared" si="752"/>
        <v>0-PISESCM</v>
      </c>
      <c r="AC733" s="1291" t="str">
        <f t="shared" si="753"/>
        <v>0-PISESCT</v>
      </c>
      <c r="AD733" s="1291" t="str">
        <f t="shared" si="754"/>
        <v>0-PISESCS</v>
      </c>
      <c r="AE733" s="1291" t="str">
        <f t="shared" si="755"/>
        <v>0-PISESCX</v>
      </c>
      <c r="AF733" s="1291" t="str">
        <f t="shared" si="756"/>
        <v>0-PISESCX</v>
      </c>
      <c r="AG733" s="1291">
        <f t="shared" si="814"/>
        <v>5</v>
      </c>
      <c r="AH733" s="1291">
        <f>IF(B733&lt;&gt;"",+IF(H733="x",+VLOOKUP(I733,'AUX-NIV2'!B:AG,32,FALSE),0),"")</f>
        <v>3</v>
      </c>
      <c r="AI733" s="1291" t="str">
        <f t="shared" si="757"/>
        <v>0-PISESC</v>
      </c>
      <c r="AK733" s="347">
        <f t="shared" si="815"/>
        <v>733</v>
      </c>
      <c r="AL733" s="348">
        <f t="shared" si="758"/>
        <v>737</v>
      </c>
      <c r="AM733" s="347">
        <f t="shared" si="759"/>
        <v>1</v>
      </c>
      <c r="AN733" s="382">
        <f>IF(AND(AH733&gt;0,B733&lt;&gt;""),VLOOKUP(I733,'AUX-NIV2'!$B:$AP,40,FALSE)*O733,0)</f>
        <v>0</v>
      </c>
      <c r="AO733" s="382">
        <f t="shared" si="816"/>
        <v>2.4000000000000004</v>
      </c>
      <c r="AQ733" s="395">
        <f>(IF($H733="x",VLOOKUP($I733,'AUX-NIV2'!$B:$X,'AUX-NIV1'!AQ$3,FALSE),0)+($AV733*'AUX-NIV3'!S$4))*$O733+IF($H733=AQ$4,$P733,0)</f>
        <v>0</v>
      </c>
      <c r="AR733" s="395">
        <f>(IF($H733="x",VLOOKUP($I733,'AUX-NIV2'!$B:$X,'AUX-NIV1'!AR$3,FALSE),0)+($AV733*'AUX-NIV3'!T$4))*$O733+IF($H733=AR$4,$P733,0)</f>
        <v>0</v>
      </c>
      <c r="AS733" s="395">
        <f>(IF($H733="x",VLOOKUP($I733,'AUX-NIV2'!$B:$X,'AUX-NIV1'!AS$3,FALSE),0)+($AV733*'AUX-NIV3'!U$4))*$O733+IF($H733=AS$4,$P733,0)</f>
        <v>117.16190247933886</v>
      </c>
      <c r="AT733" s="395">
        <f>(IF($H733="x",VLOOKUP($I733,'AUX-NIV2'!$B:$X,'AUX-NIV1'!AT$3,FALSE),0)+($AV733*'AUX-NIV3'!V$4))*$O733+IF($H733=AT$4,$P733,0)</f>
        <v>0</v>
      </c>
      <c r="AU733" s="395">
        <f>(IF($H733="x",VLOOKUP($I733,'AUX-NIV2'!$B:$X,'AUX-NIV1'!AU$3,FALSE),0)+($AV733*'AUX-NIV3'!W$4))*$O733+IF($H733=AU$4,$P733,0)</f>
        <v>0</v>
      </c>
      <c r="AV733" s="395">
        <f>+IF($H733="x",VLOOKUP($I733,'AUX-NIV2'!$B:$X,'AUX-NIV1'!AV$3,FALSE),0)</f>
        <v>0</v>
      </c>
    </row>
    <row r="734" spans="2:48" ht="13.8" hidden="1" thickTop="1">
      <c r="B734" s="501" t="s">
        <v>3830</v>
      </c>
      <c r="C734" s="951" t="s">
        <v>3831</v>
      </c>
      <c r="D734" s="1280" t="s">
        <v>501</v>
      </c>
      <c r="E734" s="1281">
        <f>IF(B734&lt;&gt;"",+SUMIF(Items!C:C,'AUX-NIV1'!B734,Items!H:H),"")</f>
        <v>0</v>
      </c>
      <c r="F734" s="1281">
        <f t="shared" si="805"/>
        <v>12190.86996187847</v>
      </c>
      <c r="G734" s="1281">
        <f t="shared" si="806"/>
        <v>0</v>
      </c>
      <c r="H734" s="1395" t="str">
        <f t="shared" si="745"/>
        <v>M</v>
      </c>
      <c r="I734" s="1375" t="s">
        <v>3803</v>
      </c>
      <c r="J734" s="1283" t="str">
        <f>IF(B734&lt;&gt;"",+VLOOKUP(I734,Recursos!C:F,2,FALSE),"")</f>
        <v>ESCALON DE GRANITO 30cm x 120cm</v>
      </c>
      <c r="K734" s="1284" t="str">
        <f>IF(B734&lt;&gt;"",+VLOOKUP(I734,Recursos!C:F,3,FALSE),"")</f>
        <v>m2</v>
      </c>
      <c r="L734" s="1285">
        <f>IF(B734&lt;&gt;"",+VLOOKUP(I734,Recursos!C:F,4,FALSE),"")</f>
        <v>10454.545454545454</v>
      </c>
      <c r="M734" s="1408"/>
      <c r="N734" s="1409">
        <v>1.05</v>
      </c>
      <c r="O734" s="439">
        <f>N734</f>
        <v>1.05</v>
      </c>
      <c r="P734" s="1287">
        <f t="shared" si="747"/>
        <v>10977.272727272728</v>
      </c>
      <c r="Q734" s="1281">
        <f t="shared" si="748"/>
        <v>0</v>
      </c>
      <c r="R734" s="1288">
        <f t="shared" si="749"/>
        <v>0</v>
      </c>
      <c r="S734" s="1289">
        <f t="shared" si="808"/>
        <v>1073.5014478288824</v>
      </c>
      <c r="T734" s="1289">
        <f t="shared" si="809"/>
        <v>0</v>
      </c>
      <c r="U734" s="1290">
        <f t="shared" si="810"/>
        <v>11000.206611570249</v>
      </c>
      <c r="V734" s="1290">
        <f t="shared" si="811"/>
        <v>0</v>
      </c>
      <c r="W734" s="1290">
        <f t="shared" si="812"/>
        <v>0</v>
      </c>
      <c r="X734" s="1290">
        <f t="shared" si="813"/>
        <v>117.16190247933886</v>
      </c>
      <c r="Y734" s="396"/>
      <c r="Z734" s="1291" t="str">
        <f t="shared" si="750"/>
        <v>0-PISESCA</v>
      </c>
      <c r="AA734" s="1291" t="str">
        <f t="shared" si="751"/>
        <v>0-PISESCE</v>
      </c>
      <c r="AB734" s="1291" t="str">
        <f t="shared" si="752"/>
        <v>0-PISESCM</v>
      </c>
      <c r="AC734" s="1291" t="str">
        <f t="shared" si="753"/>
        <v>0-PISESCT</v>
      </c>
      <c r="AD734" s="1291" t="str">
        <f t="shared" si="754"/>
        <v>0-PISESCS</v>
      </c>
      <c r="AE734" s="1291" t="str">
        <f t="shared" si="755"/>
        <v>0-PISESCX</v>
      </c>
      <c r="AF734" s="1291" t="str">
        <f t="shared" si="756"/>
        <v>0-PISESCM</v>
      </c>
      <c r="AG734" s="1291">
        <f t="shared" si="814"/>
        <v>5</v>
      </c>
      <c r="AH734" s="1291">
        <f>IF(B734&lt;&gt;"",+IF(H734="x",+VLOOKUP(I734,'AUX-NIV2'!B:AG,32,FALSE),0),"")</f>
        <v>0</v>
      </c>
      <c r="AI734" s="1291" t="str">
        <f t="shared" si="757"/>
        <v>0-PISESC</v>
      </c>
      <c r="AK734" s="347">
        <f t="shared" si="815"/>
        <v>733</v>
      </c>
      <c r="AL734" s="348">
        <f t="shared" si="758"/>
        <v>737</v>
      </c>
      <c r="AM734" s="347">
        <f t="shared" si="759"/>
        <v>2</v>
      </c>
      <c r="AN734" s="382">
        <f>IF(AND(AH734&gt;0,B734&lt;&gt;""),VLOOKUP(I734,'AUX-NIV2'!$B:$AP,40,FALSE)*O734,0)</f>
        <v>0</v>
      </c>
      <c r="AO734" s="382">
        <f t="shared" si="816"/>
        <v>2.4000000000000004</v>
      </c>
      <c r="AQ734" s="395">
        <f>(IF($H734="x",VLOOKUP($I734,'AUX-NIV2'!$B:$X,'AUX-NIV1'!AQ$3,FALSE),0)+($AV734*'AUX-NIV3'!S$4))*$O734+IF($H734=AQ$4,$P734,0)</f>
        <v>0</v>
      </c>
      <c r="AR734" s="395">
        <f>(IF($H734="x",VLOOKUP($I734,'AUX-NIV2'!$B:$X,'AUX-NIV1'!AR$3,FALSE),0)+($AV734*'AUX-NIV3'!T$4))*$O734+IF($H734=AR$4,$P734,0)</f>
        <v>0</v>
      </c>
      <c r="AS734" s="395">
        <f>(IF($H734="x",VLOOKUP($I734,'AUX-NIV2'!$B:$X,'AUX-NIV1'!AS$3,FALSE),0)+($AV734*'AUX-NIV3'!U$4))*$O734+IF($H734=AS$4,$P734,0)</f>
        <v>10977.272727272728</v>
      </c>
      <c r="AT734" s="395">
        <f>(IF($H734="x",VLOOKUP($I734,'AUX-NIV2'!$B:$X,'AUX-NIV1'!AT$3,FALSE),0)+($AV734*'AUX-NIV3'!V$4))*$O734+IF($H734=AT$4,$P734,0)</f>
        <v>0</v>
      </c>
      <c r="AU734" s="395">
        <f>(IF($H734="x",VLOOKUP($I734,'AUX-NIV2'!$B:$X,'AUX-NIV1'!AU$3,FALSE),0)+($AV734*'AUX-NIV3'!W$4))*$O734+IF($H734=AU$4,$P734,0)</f>
        <v>0</v>
      </c>
      <c r="AV734" s="395">
        <f>+IF($H734="x",VLOOKUP($I734,'AUX-NIV2'!$B:$X,'AUX-NIV1'!AV$3,FALSE),0)</f>
        <v>0</v>
      </c>
    </row>
    <row r="735" spans="2:48" ht="13.8" hidden="1" thickTop="1">
      <c r="B735" s="501" t="s">
        <v>3830</v>
      </c>
      <c r="C735" s="951" t="s">
        <v>3831</v>
      </c>
      <c r="D735" s="1280" t="s">
        <v>501</v>
      </c>
      <c r="E735" s="1281">
        <f>IF(B735&lt;&gt;"",+SUMIF(Items!C:C,'AUX-NIV1'!B735,Items!H:H),"")</f>
        <v>0</v>
      </c>
      <c r="F735" s="1281">
        <f t="shared" si="805"/>
        <v>12190.86996187847</v>
      </c>
      <c r="G735" s="1281">
        <f t="shared" si="806"/>
        <v>0</v>
      </c>
      <c r="H735" s="1395" t="str">
        <f t="shared" si="745"/>
        <v>M</v>
      </c>
      <c r="I735" s="1375" t="s">
        <v>3384</v>
      </c>
      <c r="J735" s="1283" t="str">
        <f>IF(B735&lt;&gt;"",+VLOOKUP(I735,Recursos!C:F,2,FALSE),"")</f>
        <v>PASTINA COLOR</v>
      </c>
      <c r="K735" s="1284" t="str">
        <f>IF(B735&lt;&gt;"",+VLOOKUP(I735,Recursos!C:F,3,FALSE),"")</f>
        <v>Kg</v>
      </c>
      <c r="L735" s="1285">
        <f>IF(B735&lt;&gt;"",+VLOOKUP(I735,Recursos!C:F,4,FALSE),"")</f>
        <v>152.89256198347107</v>
      </c>
      <c r="M735" s="1410"/>
      <c r="N735" s="1409">
        <f>0.15</f>
        <v>0.15</v>
      </c>
      <c r="O735" s="439">
        <f>N735</f>
        <v>0.15</v>
      </c>
      <c r="P735" s="1287">
        <f t="shared" si="747"/>
        <v>22.93388429752066</v>
      </c>
      <c r="Q735" s="1281">
        <f t="shared" si="748"/>
        <v>0</v>
      </c>
      <c r="R735" s="1288">
        <f t="shared" si="749"/>
        <v>0</v>
      </c>
      <c r="S735" s="1289">
        <f t="shared" si="808"/>
        <v>1073.5014478288824</v>
      </c>
      <c r="T735" s="1289">
        <f t="shared" si="809"/>
        <v>0</v>
      </c>
      <c r="U735" s="1290">
        <f t="shared" si="810"/>
        <v>11000.206611570249</v>
      </c>
      <c r="V735" s="1290">
        <f t="shared" si="811"/>
        <v>0</v>
      </c>
      <c r="W735" s="1290">
        <f t="shared" si="812"/>
        <v>0</v>
      </c>
      <c r="X735" s="1290">
        <f t="shared" si="813"/>
        <v>117.16190247933886</v>
      </c>
      <c r="Y735" s="396"/>
      <c r="Z735" s="1291" t="str">
        <f t="shared" si="750"/>
        <v>0-PISESCA</v>
      </c>
      <c r="AA735" s="1291" t="str">
        <f t="shared" si="751"/>
        <v>0-PISESCE</v>
      </c>
      <c r="AB735" s="1291" t="str">
        <f t="shared" si="752"/>
        <v>0-PISESCM</v>
      </c>
      <c r="AC735" s="1291" t="str">
        <f t="shared" si="753"/>
        <v>0-PISESCT</v>
      </c>
      <c r="AD735" s="1291" t="str">
        <f t="shared" si="754"/>
        <v>0-PISESCS</v>
      </c>
      <c r="AE735" s="1291" t="str">
        <f t="shared" si="755"/>
        <v>0-PISESCX</v>
      </c>
      <c r="AF735" s="1291" t="str">
        <f t="shared" si="756"/>
        <v>0-PISESCM</v>
      </c>
      <c r="AG735" s="1291">
        <f t="shared" si="814"/>
        <v>5</v>
      </c>
      <c r="AH735" s="1291">
        <f>IF(B735&lt;&gt;"",+IF(H735="x",+VLOOKUP(I735,'AUX-NIV2'!B:AG,32,FALSE),0),"")</f>
        <v>0</v>
      </c>
      <c r="AI735" s="1291" t="str">
        <f t="shared" si="757"/>
        <v>0-PISESC</v>
      </c>
      <c r="AK735" s="347">
        <f t="shared" si="815"/>
        <v>733</v>
      </c>
      <c r="AL735" s="348">
        <f t="shared" si="758"/>
        <v>737</v>
      </c>
      <c r="AM735" s="347">
        <f t="shared" si="759"/>
        <v>3</v>
      </c>
      <c r="AN735" s="382">
        <f>IF(AND(AH735&gt;0,B735&lt;&gt;""),VLOOKUP(I735,'AUX-NIV2'!$B:$AP,40,FALSE)*O735,0)</f>
        <v>0</v>
      </c>
      <c r="AO735" s="382">
        <f t="shared" si="816"/>
        <v>2.4000000000000004</v>
      </c>
      <c r="AQ735" s="395">
        <f>(IF($H735="x",VLOOKUP($I735,'AUX-NIV2'!$B:$X,'AUX-NIV1'!AQ$3,FALSE),0)+($AV735*'AUX-NIV3'!S$4))*$O735+IF($H735=AQ$4,$P735,0)</f>
        <v>0</v>
      </c>
      <c r="AR735" s="395">
        <f>(IF($H735="x",VLOOKUP($I735,'AUX-NIV2'!$B:$X,'AUX-NIV1'!AR$3,FALSE),0)+($AV735*'AUX-NIV3'!T$4))*$O735+IF($H735=AR$4,$P735,0)</f>
        <v>0</v>
      </c>
      <c r="AS735" s="395">
        <f>(IF($H735="x",VLOOKUP($I735,'AUX-NIV2'!$B:$X,'AUX-NIV1'!AS$3,FALSE),0)+($AV735*'AUX-NIV3'!U$4))*$O735+IF($H735=AS$4,$P735,0)</f>
        <v>22.93388429752066</v>
      </c>
      <c r="AT735" s="395">
        <f>(IF($H735="x",VLOOKUP($I735,'AUX-NIV2'!$B:$X,'AUX-NIV1'!AT$3,FALSE),0)+($AV735*'AUX-NIV3'!V$4))*$O735+IF($H735=AT$4,$P735,0)</f>
        <v>0</v>
      </c>
      <c r="AU735" s="395">
        <f>(IF($H735="x",VLOOKUP($I735,'AUX-NIV2'!$B:$X,'AUX-NIV1'!AU$3,FALSE),0)+($AV735*'AUX-NIV3'!W$4))*$O735+IF($H735=AU$4,$P735,0)</f>
        <v>0</v>
      </c>
      <c r="AV735" s="395">
        <f>+IF($H735="x",VLOOKUP($I735,'AUX-NIV2'!$B:$X,'AUX-NIV1'!AV$3,FALSE),0)</f>
        <v>0</v>
      </c>
    </row>
    <row r="736" spans="2:48" ht="13.8" hidden="1" thickTop="1">
      <c r="B736" s="501" t="s">
        <v>3830</v>
      </c>
      <c r="C736" s="951" t="s">
        <v>3831</v>
      </c>
      <c r="D736" s="1280" t="s">
        <v>501</v>
      </c>
      <c r="E736" s="1281">
        <f>IF(B736&lt;&gt;"",+SUMIF(Items!C:C,'AUX-NIV1'!B736,Items!H:H),"")</f>
        <v>0</v>
      </c>
      <c r="F736" s="1281">
        <f t="shared" si="805"/>
        <v>12190.86996187847</v>
      </c>
      <c r="G736" s="1281">
        <f t="shared" si="806"/>
        <v>0</v>
      </c>
      <c r="H736" s="1395" t="str">
        <f t="shared" si="745"/>
        <v>A</v>
      </c>
      <c r="I736" s="1375" t="s">
        <v>1745</v>
      </c>
      <c r="J736" s="1283" t="str">
        <f>IF(B736&lt;&gt;"",+VLOOKUP(I736,Recursos!C:F,2,FALSE),"")</f>
        <v>AYUDANTE</v>
      </c>
      <c r="K736" s="1284" t="str">
        <f>IF(B736&lt;&gt;"",+VLOOKUP(I736,Recursos!C:F,3,FALSE),"")</f>
        <v>hh</v>
      </c>
      <c r="L736" s="1285">
        <f>IF(B736&lt;&gt;"",+VLOOKUP(I736,Recursos!C:F,4,FALSE),"")</f>
        <v>422.48042769667234</v>
      </c>
      <c r="M736" s="1411">
        <v>2</v>
      </c>
      <c r="N736" s="1409">
        <v>1.25</v>
      </c>
      <c r="O736" s="439">
        <f>M736/N736</f>
        <v>1.6</v>
      </c>
      <c r="P736" s="1287">
        <f t="shared" si="747"/>
        <v>675.96868431467578</v>
      </c>
      <c r="Q736" s="1281">
        <f t="shared" si="748"/>
        <v>0</v>
      </c>
      <c r="R736" s="1288">
        <f t="shared" si="749"/>
        <v>0</v>
      </c>
      <c r="S736" s="1289">
        <f t="shared" si="808"/>
        <v>1073.5014478288824</v>
      </c>
      <c r="T736" s="1289">
        <f t="shared" si="809"/>
        <v>0</v>
      </c>
      <c r="U736" s="1290">
        <f t="shared" si="810"/>
        <v>11000.206611570249</v>
      </c>
      <c r="V736" s="1290">
        <f t="shared" si="811"/>
        <v>0</v>
      </c>
      <c r="W736" s="1290">
        <f t="shared" si="812"/>
        <v>0</v>
      </c>
      <c r="X736" s="1290">
        <f t="shared" si="813"/>
        <v>117.16190247933886</v>
      </c>
      <c r="Y736" s="396"/>
      <c r="Z736" s="1291" t="str">
        <f t="shared" si="750"/>
        <v>0-PISESCA</v>
      </c>
      <c r="AA736" s="1291" t="str">
        <f t="shared" si="751"/>
        <v>0-PISESCE</v>
      </c>
      <c r="AB736" s="1291" t="str">
        <f t="shared" si="752"/>
        <v>0-PISESCM</v>
      </c>
      <c r="AC736" s="1291" t="str">
        <f t="shared" si="753"/>
        <v>0-PISESCT</v>
      </c>
      <c r="AD736" s="1291" t="str">
        <f t="shared" si="754"/>
        <v>0-PISESCS</v>
      </c>
      <c r="AE736" s="1291" t="str">
        <f t="shared" si="755"/>
        <v>0-PISESCX</v>
      </c>
      <c r="AF736" s="1291" t="str">
        <f t="shared" si="756"/>
        <v>0-PISESCA</v>
      </c>
      <c r="AG736" s="1291">
        <f t="shared" si="814"/>
        <v>5</v>
      </c>
      <c r="AH736" s="1291">
        <f>IF(B736&lt;&gt;"",+IF(H736="x",+VLOOKUP(I736,'AUX-NIV2'!B:AG,32,FALSE),0),"")</f>
        <v>0</v>
      </c>
      <c r="AI736" s="1291" t="str">
        <f t="shared" si="757"/>
        <v>0-PISESC</v>
      </c>
      <c r="AK736" s="347">
        <f t="shared" si="815"/>
        <v>733</v>
      </c>
      <c r="AL736" s="348">
        <f t="shared" si="758"/>
        <v>737</v>
      </c>
      <c r="AM736" s="347">
        <f t="shared" si="759"/>
        <v>4</v>
      </c>
      <c r="AN736" s="382">
        <f>IF(AND(AH736&gt;0,B736&lt;&gt;""),VLOOKUP(I736,'AUX-NIV2'!$B:$AP,40,FALSE)*O736,0)</f>
        <v>0</v>
      </c>
      <c r="AO736" s="382">
        <f t="shared" si="816"/>
        <v>2.4000000000000004</v>
      </c>
      <c r="AQ736" s="395">
        <f>(IF($H736="x",VLOOKUP($I736,'AUX-NIV2'!$B:$X,'AUX-NIV1'!AQ$3,FALSE),0)+($AV736*'AUX-NIV3'!S$4))*$O736+IF($H736=AQ$4,$P736,0)</f>
        <v>675.96868431467578</v>
      </c>
      <c r="AR736" s="395">
        <f>(IF($H736="x",VLOOKUP($I736,'AUX-NIV2'!$B:$X,'AUX-NIV1'!AR$3,FALSE),0)+($AV736*'AUX-NIV3'!T$4))*$O736+IF($H736=AR$4,$P736,0)</f>
        <v>0</v>
      </c>
      <c r="AS736" s="395">
        <f>(IF($H736="x",VLOOKUP($I736,'AUX-NIV2'!$B:$X,'AUX-NIV1'!AS$3,FALSE),0)+($AV736*'AUX-NIV3'!U$4))*$O736+IF($H736=AS$4,$P736,0)</f>
        <v>0</v>
      </c>
      <c r="AT736" s="395">
        <f>(IF($H736="x",VLOOKUP($I736,'AUX-NIV2'!$B:$X,'AUX-NIV1'!AT$3,FALSE),0)+($AV736*'AUX-NIV3'!V$4))*$O736+IF($H736=AT$4,$P736,0)</f>
        <v>0</v>
      </c>
      <c r="AU736" s="395">
        <f>(IF($H736="x",VLOOKUP($I736,'AUX-NIV2'!$B:$X,'AUX-NIV1'!AU$3,FALSE),0)+($AV736*'AUX-NIV3'!W$4))*$O736+IF($H736=AU$4,$P736,0)</f>
        <v>0</v>
      </c>
      <c r="AV736" s="395">
        <f>+IF($H736="x",VLOOKUP($I736,'AUX-NIV2'!$B:$X,'AUX-NIV1'!AV$3,FALSE),0)</f>
        <v>0</v>
      </c>
    </row>
    <row r="737" spans="2:48" ht="14.4" hidden="1" thickTop="1" thickBot="1">
      <c r="B737" s="501" t="s">
        <v>3830</v>
      </c>
      <c r="C737" s="951" t="s">
        <v>3831</v>
      </c>
      <c r="D737" s="1280" t="s">
        <v>501</v>
      </c>
      <c r="E737" s="1281">
        <f>IF(B737&lt;&gt;"",+SUMIF(Items!C:C,'AUX-NIV1'!B737,Items!H:H),"")</f>
        <v>0</v>
      </c>
      <c r="F737" s="1281">
        <f t="shared" si="805"/>
        <v>12190.86996187847</v>
      </c>
      <c r="G737" s="1281">
        <f t="shared" si="806"/>
        <v>0</v>
      </c>
      <c r="H737" s="1395" t="str">
        <f t="shared" si="745"/>
        <v>A</v>
      </c>
      <c r="I737" s="1375" t="s">
        <v>1746</v>
      </c>
      <c r="J737" s="1283" t="str">
        <f>IF(B737&lt;&gt;"",+VLOOKUP(I737,Recursos!C:F,2,FALSE),"")</f>
        <v>OFICIAL</v>
      </c>
      <c r="K737" s="1284" t="str">
        <f>IF(B737&lt;&gt;"",+VLOOKUP(I737,Recursos!C:F,3,FALSE),"")</f>
        <v>hh</v>
      </c>
      <c r="L737" s="1285">
        <f>IF(B737&lt;&gt;"",+VLOOKUP(I737,Recursos!C:F,4,FALSE),"")</f>
        <v>496.91595439275824</v>
      </c>
      <c r="M737" s="1412">
        <v>1</v>
      </c>
      <c r="N737" s="1413"/>
      <c r="O737" s="439">
        <f>M737/N736</f>
        <v>0.8</v>
      </c>
      <c r="P737" s="1287">
        <f t="shared" si="747"/>
        <v>397.53276351420664</v>
      </c>
      <c r="Q737" s="1281">
        <f t="shared" si="748"/>
        <v>0</v>
      </c>
      <c r="R737" s="1288">
        <f t="shared" si="749"/>
        <v>0</v>
      </c>
      <c r="S737" s="1289">
        <f t="shared" si="808"/>
        <v>1073.5014478288824</v>
      </c>
      <c r="T737" s="1289">
        <f t="shared" si="809"/>
        <v>0</v>
      </c>
      <c r="U737" s="1290">
        <f t="shared" si="810"/>
        <v>11000.206611570249</v>
      </c>
      <c r="V737" s="1290">
        <f t="shared" si="811"/>
        <v>0</v>
      </c>
      <c r="W737" s="1290">
        <f t="shared" si="812"/>
        <v>0</v>
      </c>
      <c r="X737" s="1290">
        <f t="shared" si="813"/>
        <v>117.16190247933886</v>
      </c>
      <c r="Y737" s="396"/>
      <c r="Z737" s="1291" t="str">
        <f t="shared" si="750"/>
        <v>0-PISESCA</v>
      </c>
      <c r="AA737" s="1291" t="str">
        <f t="shared" si="751"/>
        <v>0-PISESCE</v>
      </c>
      <c r="AB737" s="1291" t="str">
        <f t="shared" si="752"/>
        <v>0-PISESCM</v>
      </c>
      <c r="AC737" s="1291" t="str">
        <f t="shared" si="753"/>
        <v>0-PISESCT</v>
      </c>
      <c r="AD737" s="1291" t="str">
        <f t="shared" si="754"/>
        <v>0-PISESCS</v>
      </c>
      <c r="AE737" s="1291" t="str">
        <f t="shared" si="755"/>
        <v>0-PISESCX</v>
      </c>
      <c r="AF737" s="1291" t="str">
        <f t="shared" si="756"/>
        <v>0-PISESCA</v>
      </c>
      <c r="AG737" s="1291">
        <f t="shared" si="814"/>
        <v>5</v>
      </c>
      <c r="AH737" s="1291">
        <f>IF(B737&lt;&gt;"",+IF(H737="x",+VLOOKUP(I737,'AUX-NIV2'!B:AG,32,FALSE),0),"")</f>
        <v>0</v>
      </c>
      <c r="AI737" s="1291" t="str">
        <f t="shared" si="757"/>
        <v>0-PISESC</v>
      </c>
      <c r="AK737" s="347">
        <f t="shared" si="815"/>
        <v>733</v>
      </c>
      <c r="AL737" s="348">
        <f t="shared" si="758"/>
        <v>737</v>
      </c>
      <c r="AM737" s="347">
        <f t="shared" si="759"/>
        <v>5</v>
      </c>
      <c r="AN737" s="382">
        <f>IF(AND(AH737&gt;0,B737&lt;&gt;""),VLOOKUP(I737,'AUX-NIV2'!$B:$AP,40,FALSE)*O737,0)</f>
        <v>0</v>
      </c>
      <c r="AO737" s="382">
        <f t="shared" si="816"/>
        <v>2.4000000000000004</v>
      </c>
      <c r="AQ737" s="395">
        <f>(IF($H737="x",VLOOKUP($I737,'AUX-NIV2'!$B:$X,'AUX-NIV1'!AQ$3,FALSE),0)+($AV737*'AUX-NIV3'!S$4))*$O737+IF($H737=AQ$4,$P737,0)</f>
        <v>397.53276351420664</v>
      </c>
      <c r="AR737" s="395">
        <f>(IF($H737="x",VLOOKUP($I737,'AUX-NIV2'!$B:$X,'AUX-NIV1'!AR$3,FALSE),0)+($AV737*'AUX-NIV3'!T$4))*$O737+IF($H737=AR$4,$P737,0)</f>
        <v>0</v>
      </c>
      <c r="AS737" s="395">
        <f>(IF($H737="x",VLOOKUP($I737,'AUX-NIV2'!$B:$X,'AUX-NIV1'!AS$3,FALSE),0)+($AV737*'AUX-NIV3'!U$4))*$O737+IF($H737=AS$4,$P737,0)</f>
        <v>0</v>
      </c>
      <c r="AT737" s="395">
        <f>(IF($H737="x",VLOOKUP($I737,'AUX-NIV2'!$B:$X,'AUX-NIV1'!AT$3,FALSE),0)+($AV737*'AUX-NIV3'!V$4))*$O737+IF($H737=AT$4,$P737,0)</f>
        <v>0</v>
      </c>
      <c r="AU737" s="395">
        <f>(IF($H737="x",VLOOKUP($I737,'AUX-NIV2'!$B:$X,'AUX-NIV1'!AU$3,FALSE),0)+($AV737*'AUX-NIV3'!W$4))*$O737+IF($H737=AU$4,$P737,0)</f>
        <v>0</v>
      </c>
      <c r="AV737" s="395">
        <f>+IF($H737="x",VLOOKUP($I737,'AUX-NIV2'!$B:$X,'AUX-NIV1'!AV$3,FALSE),0)</f>
        <v>0</v>
      </c>
    </row>
    <row r="738" spans="2:48" ht="13.8" hidden="1" thickTop="1">
      <c r="B738" s="501" t="s">
        <v>3832</v>
      </c>
      <c r="C738" s="951" t="s">
        <v>3833</v>
      </c>
      <c r="D738" s="1280" t="s">
        <v>501</v>
      </c>
      <c r="E738" s="1281">
        <f>IF(B738&lt;&gt;"",+SUMIF(Items!C:C,'AUX-NIV1'!B738,Items!H:H),"")</f>
        <v>0</v>
      </c>
      <c r="F738" s="1281">
        <f t="shared" si="805"/>
        <v>3526.3031782193907</v>
      </c>
      <c r="G738" s="1281">
        <f t="shared" si="806"/>
        <v>0</v>
      </c>
      <c r="H738" s="1395" t="str">
        <f t="shared" si="745"/>
        <v>X</v>
      </c>
      <c r="I738" s="1375" t="s">
        <v>3735</v>
      </c>
      <c r="J738" s="1283" t="str">
        <f>IF(B738&lt;&gt;"",+VLOOKUP(I738,Recursos!C:F,2,FALSE),"")</f>
        <v>Mortero para ladrillos</v>
      </c>
      <c r="K738" s="1284" t="str">
        <f>IF(B738&lt;&gt;"",+VLOOKUP(I738,Recursos!C:F,3,FALSE),"")</f>
        <v>m3</v>
      </c>
      <c r="L738" s="1285">
        <f>IF(B738&lt;&gt;"",+VLOOKUP(I738,Recursos!C:F,4,FALSE),"")</f>
        <v>5858.095123966943</v>
      </c>
      <c r="M738" s="1304"/>
      <c r="N738" s="1367">
        <v>0.02</v>
      </c>
      <c r="O738" s="1286">
        <f t="shared" si="746"/>
        <v>0.02</v>
      </c>
      <c r="P738" s="1287">
        <f t="shared" si="747"/>
        <v>117.16190247933886</v>
      </c>
      <c r="Q738" s="1281">
        <f t="shared" si="748"/>
        <v>0</v>
      </c>
      <c r="R738" s="1288">
        <f t="shared" si="749"/>
        <v>0</v>
      </c>
      <c r="S738" s="1289">
        <f t="shared" si="808"/>
        <v>1373.3935897896383</v>
      </c>
      <c r="T738" s="1289">
        <f t="shared" si="809"/>
        <v>0</v>
      </c>
      <c r="U738" s="1290">
        <f t="shared" si="810"/>
        <v>945.41219008264466</v>
      </c>
      <c r="V738" s="1290">
        <f t="shared" si="811"/>
        <v>0</v>
      </c>
      <c r="W738" s="1290">
        <f t="shared" si="812"/>
        <v>0</v>
      </c>
      <c r="X738" s="1290">
        <f t="shared" si="813"/>
        <v>1207.4973983471077</v>
      </c>
      <c r="Y738" s="396"/>
      <c r="Z738" s="1291" t="str">
        <f t="shared" si="750"/>
        <v>0-CUBLOSA</v>
      </c>
      <c r="AA738" s="1291" t="str">
        <f t="shared" si="751"/>
        <v>0-CUBLOSE</v>
      </c>
      <c r="AB738" s="1291" t="str">
        <f t="shared" si="752"/>
        <v>0-CUBLOSM</v>
      </c>
      <c r="AC738" s="1291" t="str">
        <f t="shared" si="753"/>
        <v>0-CUBLOST</v>
      </c>
      <c r="AD738" s="1291" t="str">
        <f t="shared" si="754"/>
        <v>0-CUBLOSS</v>
      </c>
      <c r="AE738" s="1291" t="str">
        <f t="shared" si="755"/>
        <v>0-CUBLOSX</v>
      </c>
      <c r="AF738" s="1291" t="str">
        <f t="shared" si="756"/>
        <v>0-CUBLOSX</v>
      </c>
      <c r="AG738" s="1291">
        <f t="shared" si="814"/>
        <v>24</v>
      </c>
      <c r="AH738" s="1291">
        <f>IF(B738&lt;&gt;"",+IF(H738="x",+VLOOKUP(I738,'AUX-NIV2'!B:AG,32,FALSE),0),"")</f>
        <v>3</v>
      </c>
      <c r="AI738" s="1291" t="str">
        <f t="shared" si="757"/>
        <v>0-CUBLOS</v>
      </c>
      <c r="AK738" s="347">
        <f t="shared" si="815"/>
        <v>738</v>
      </c>
      <c r="AL738" s="348">
        <f t="shared" si="758"/>
        <v>761</v>
      </c>
      <c r="AM738" s="347">
        <f t="shared" si="759"/>
        <v>1</v>
      </c>
      <c r="AN738" s="382">
        <f>IF(AND(AH738&gt;0,B738&lt;&gt;""),VLOOKUP(I738,'AUX-NIV2'!$B:$AP,40,FALSE)*O738,0)</f>
        <v>0</v>
      </c>
      <c r="AO738" s="382">
        <f t="shared" si="816"/>
        <v>2.8866666666666672</v>
      </c>
      <c r="AQ738" s="395">
        <f>(IF($H738="x",VLOOKUP($I738,'AUX-NIV2'!$B:$X,'AUX-NIV1'!AQ$3,FALSE),0)+($AV738*'AUX-NIV3'!S$4))*$O738+IF($H738=AQ$4,$P738,0)</f>
        <v>0</v>
      </c>
      <c r="AR738" s="395">
        <f>(IF($H738="x",VLOOKUP($I738,'AUX-NIV2'!$B:$X,'AUX-NIV1'!AR$3,FALSE),0)+($AV738*'AUX-NIV3'!T$4))*$O738+IF($H738=AR$4,$P738,0)</f>
        <v>0</v>
      </c>
      <c r="AS738" s="395">
        <f>(IF($H738="x",VLOOKUP($I738,'AUX-NIV2'!$B:$X,'AUX-NIV1'!AS$3,FALSE),0)+($AV738*'AUX-NIV3'!U$4))*$O738+IF($H738=AS$4,$P738,0)</f>
        <v>117.16190247933886</v>
      </c>
      <c r="AT738" s="395">
        <f>(IF($H738="x",VLOOKUP($I738,'AUX-NIV2'!$B:$X,'AUX-NIV1'!AT$3,FALSE),0)+($AV738*'AUX-NIV3'!V$4))*$O738+IF($H738=AT$4,$P738,0)</f>
        <v>0</v>
      </c>
      <c r="AU738" s="395">
        <f>(IF($H738="x",VLOOKUP($I738,'AUX-NIV2'!$B:$X,'AUX-NIV1'!AU$3,FALSE),0)+($AV738*'AUX-NIV3'!W$4))*$O738+IF($H738=AU$4,$P738,0)</f>
        <v>0</v>
      </c>
      <c r="AV738" s="395">
        <f>+IF($H738="x",VLOOKUP($I738,'AUX-NIV2'!$B:$X,'AUX-NIV1'!AV$3,FALSE),0)</f>
        <v>0</v>
      </c>
    </row>
    <row r="739" spans="2:48" ht="13.8" hidden="1" thickTop="1">
      <c r="B739" s="501" t="s">
        <v>3832</v>
      </c>
      <c r="C739" s="951" t="s">
        <v>3833</v>
      </c>
      <c r="D739" s="1280" t="s">
        <v>501</v>
      </c>
      <c r="E739" s="1281">
        <f>IF(B739&lt;&gt;"",+SUMIF(Items!C:C,'AUX-NIV1'!B739,Items!H:H),"")</f>
        <v>0</v>
      </c>
      <c r="F739" s="1281">
        <f t="shared" si="805"/>
        <v>3526.3031782193907</v>
      </c>
      <c r="G739" s="1281">
        <f t="shared" si="806"/>
        <v>0</v>
      </c>
      <c r="H739" s="1395" t="str">
        <f t="shared" si="745"/>
        <v>A</v>
      </c>
      <c r="I739" s="1375" t="s">
        <v>1745</v>
      </c>
      <c r="J739" s="1283" t="str">
        <f>IF(B739&lt;&gt;"",+VLOOKUP(I739,Recursos!C:F,2,FALSE),"")</f>
        <v>AYUDANTE</v>
      </c>
      <c r="K739" s="1284" t="str">
        <f>IF(B739&lt;&gt;"",+VLOOKUP(I739,Recursos!C:F,3,FALSE),"")</f>
        <v>hh</v>
      </c>
      <c r="L739" s="1285">
        <f>IF(B739&lt;&gt;"",+VLOOKUP(I739,Recursos!C:F,4,FALSE),"")</f>
        <v>422.48042769667234</v>
      </c>
      <c r="M739" s="1399">
        <v>20</v>
      </c>
      <c r="N739" s="1400">
        <v>2</v>
      </c>
      <c r="O739" s="1286">
        <f>N739/M739</f>
        <v>0.1</v>
      </c>
      <c r="P739" s="1287">
        <f t="shared" si="747"/>
        <v>42.248042769667236</v>
      </c>
      <c r="Q739" s="1281">
        <f t="shared" si="748"/>
        <v>0</v>
      </c>
      <c r="R739" s="1288">
        <f t="shared" si="749"/>
        <v>0</v>
      </c>
      <c r="S739" s="1289">
        <f t="shared" si="808"/>
        <v>1373.3935897896383</v>
      </c>
      <c r="T739" s="1289">
        <f t="shared" si="809"/>
        <v>0</v>
      </c>
      <c r="U739" s="1290">
        <f t="shared" si="810"/>
        <v>945.41219008264466</v>
      </c>
      <c r="V739" s="1290">
        <f t="shared" si="811"/>
        <v>0</v>
      </c>
      <c r="W739" s="1290">
        <f t="shared" si="812"/>
        <v>0</v>
      </c>
      <c r="X739" s="1290">
        <f t="shared" si="813"/>
        <v>1207.4973983471077</v>
      </c>
      <c r="Y739" s="396"/>
      <c r="Z739" s="1291" t="str">
        <f t="shared" si="750"/>
        <v>0-CUBLOSA</v>
      </c>
      <c r="AA739" s="1291" t="str">
        <f t="shared" si="751"/>
        <v>0-CUBLOSE</v>
      </c>
      <c r="AB739" s="1291" t="str">
        <f t="shared" si="752"/>
        <v>0-CUBLOSM</v>
      </c>
      <c r="AC739" s="1291" t="str">
        <f t="shared" si="753"/>
        <v>0-CUBLOST</v>
      </c>
      <c r="AD739" s="1291" t="str">
        <f t="shared" si="754"/>
        <v>0-CUBLOSS</v>
      </c>
      <c r="AE739" s="1291" t="str">
        <f t="shared" si="755"/>
        <v>0-CUBLOSX</v>
      </c>
      <c r="AF739" s="1291" t="str">
        <f t="shared" si="756"/>
        <v>0-CUBLOSA</v>
      </c>
      <c r="AG739" s="1291">
        <f t="shared" si="814"/>
        <v>24</v>
      </c>
      <c r="AH739" s="1291">
        <f>IF(B739&lt;&gt;"",+IF(H739="x",+VLOOKUP(I739,'AUX-NIV2'!B:AG,32,FALSE),0),"")</f>
        <v>0</v>
      </c>
      <c r="AI739" s="1291" t="str">
        <f t="shared" si="757"/>
        <v>0-CUBLOS</v>
      </c>
      <c r="AK739" s="347">
        <f t="shared" si="815"/>
        <v>738</v>
      </c>
      <c r="AL739" s="348">
        <f t="shared" si="758"/>
        <v>761</v>
      </c>
      <c r="AM739" s="347">
        <f t="shared" si="759"/>
        <v>2</v>
      </c>
      <c r="AN739" s="382">
        <f>IF(AND(AH739&gt;0,B739&lt;&gt;""),VLOOKUP(I739,'AUX-NIV2'!$B:$AP,40,FALSE)*O739,0)</f>
        <v>0</v>
      </c>
      <c r="AO739" s="382">
        <f t="shared" si="816"/>
        <v>2.8866666666666672</v>
      </c>
      <c r="AQ739" s="395">
        <f>(IF($H739="x",VLOOKUP($I739,'AUX-NIV2'!$B:$X,'AUX-NIV1'!AQ$3,FALSE),0)+($AV739*'AUX-NIV3'!S$4))*$O739+IF($H739=AQ$4,$P739,0)</f>
        <v>42.248042769667236</v>
      </c>
      <c r="AR739" s="395">
        <f>(IF($H739="x",VLOOKUP($I739,'AUX-NIV2'!$B:$X,'AUX-NIV1'!AR$3,FALSE),0)+($AV739*'AUX-NIV3'!T$4))*$O739+IF($H739=AR$4,$P739,0)</f>
        <v>0</v>
      </c>
      <c r="AS739" s="395">
        <f>(IF($H739="x",VLOOKUP($I739,'AUX-NIV2'!$B:$X,'AUX-NIV1'!AS$3,FALSE),0)+($AV739*'AUX-NIV3'!U$4))*$O739+IF($H739=AS$4,$P739,0)</f>
        <v>0</v>
      </c>
      <c r="AT739" s="395">
        <f>(IF($H739="x",VLOOKUP($I739,'AUX-NIV2'!$B:$X,'AUX-NIV1'!AT$3,FALSE),0)+($AV739*'AUX-NIV3'!V$4))*$O739+IF($H739=AT$4,$P739,0)</f>
        <v>0</v>
      </c>
      <c r="AU739" s="395">
        <f>(IF($H739="x",VLOOKUP($I739,'AUX-NIV2'!$B:$X,'AUX-NIV1'!AU$3,FALSE),0)+($AV739*'AUX-NIV3'!W$4))*$O739+IF($H739=AU$4,$P739,0)</f>
        <v>0</v>
      </c>
      <c r="AV739" s="395">
        <f>+IF($H739="x",VLOOKUP($I739,'AUX-NIV2'!$B:$X,'AUX-NIV1'!AV$3,FALSE),0)</f>
        <v>0</v>
      </c>
    </row>
    <row r="740" spans="2:48" ht="13.8" hidden="1" thickTop="1">
      <c r="B740" s="501" t="s">
        <v>3832</v>
      </c>
      <c r="C740" s="951" t="s">
        <v>3833</v>
      </c>
      <c r="D740" s="1280" t="s">
        <v>501</v>
      </c>
      <c r="E740" s="1281">
        <f>IF(B740&lt;&gt;"",+SUMIF(Items!C:C,'AUX-NIV1'!B740,Items!H:H),"")</f>
        <v>0</v>
      </c>
      <c r="F740" s="1281">
        <f t="shared" si="805"/>
        <v>3526.3031782193907</v>
      </c>
      <c r="G740" s="1281">
        <f t="shared" si="806"/>
        <v>0</v>
      </c>
      <c r="H740" s="1395" t="str">
        <f t="shared" si="745"/>
        <v>A</v>
      </c>
      <c r="I740" s="1375" t="s">
        <v>1746</v>
      </c>
      <c r="J740" s="1283" t="str">
        <f>IF(B740&lt;&gt;"",+VLOOKUP(I740,Recursos!C:F,2,FALSE),"")</f>
        <v>OFICIAL</v>
      </c>
      <c r="K740" s="1284" t="str">
        <f>IF(B740&lt;&gt;"",+VLOOKUP(I740,Recursos!C:F,3,FALSE),"")</f>
        <v>hh</v>
      </c>
      <c r="L740" s="1285">
        <f>IF(B740&lt;&gt;"",+VLOOKUP(I740,Recursos!C:F,4,FALSE),"")</f>
        <v>496.91595439275824</v>
      </c>
      <c r="M740" s="1342"/>
      <c r="N740" s="1337">
        <v>1</v>
      </c>
      <c r="O740" s="1286">
        <f>N740/M739</f>
        <v>0.05</v>
      </c>
      <c r="P740" s="1287">
        <f t="shared" si="747"/>
        <v>24.845797719637915</v>
      </c>
      <c r="Q740" s="1281">
        <f t="shared" si="748"/>
        <v>0</v>
      </c>
      <c r="R740" s="1288">
        <f t="shared" si="749"/>
        <v>0</v>
      </c>
      <c r="S740" s="1289">
        <f t="shared" si="808"/>
        <v>1373.3935897896383</v>
      </c>
      <c r="T740" s="1289">
        <f t="shared" si="809"/>
        <v>0</v>
      </c>
      <c r="U740" s="1290">
        <f t="shared" si="810"/>
        <v>945.41219008264466</v>
      </c>
      <c r="V740" s="1290">
        <f t="shared" si="811"/>
        <v>0</v>
      </c>
      <c r="W740" s="1290">
        <f t="shared" si="812"/>
        <v>0</v>
      </c>
      <c r="X740" s="1290">
        <f t="shared" si="813"/>
        <v>1207.4973983471077</v>
      </c>
      <c r="Y740" s="396"/>
      <c r="Z740" s="1291" t="str">
        <f t="shared" si="750"/>
        <v>0-CUBLOSA</v>
      </c>
      <c r="AA740" s="1291" t="str">
        <f t="shared" si="751"/>
        <v>0-CUBLOSE</v>
      </c>
      <c r="AB740" s="1291" t="str">
        <f t="shared" si="752"/>
        <v>0-CUBLOSM</v>
      </c>
      <c r="AC740" s="1291" t="str">
        <f t="shared" si="753"/>
        <v>0-CUBLOST</v>
      </c>
      <c r="AD740" s="1291" t="str">
        <f t="shared" si="754"/>
        <v>0-CUBLOSS</v>
      </c>
      <c r="AE740" s="1291" t="str">
        <f t="shared" si="755"/>
        <v>0-CUBLOSX</v>
      </c>
      <c r="AF740" s="1291" t="str">
        <f t="shared" si="756"/>
        <v>0-CUBLOSA</v>
      </c>
      <c r="AG740" s="1291">
        <f t="shared" si="814"/>
        <v>24</v>
      </c>
      <c r="AH740" s="1291">
        <f>IF(B740&lt;&gt;"",+IF(H740="x",+VLOOKUP(I740,'AUX-NIV2'!B:AG,32,FALSE),0),"")</f>
        <v>0</v>
      </c>
      <c r="AI740" s="1291" t="str">
        <f t="shared" si="757"/>
        <v>0-CUBLOS</v>
      </c>
      <c r="AK740" s="347">
        <f t="shared" si="815"/>
        <v>738</v>
      </c>
      <c r="AL740" s="348">
        <f t="shared" si="758"/>
        <v>761</v>
      </c>
      <c r="AM740" s="347">
        <f t="shared" si="759"/>
        <v>3</v>
      </c>
      <c r="AN740" s="382">
        <f>IF(AND(AH740&gt;0,B740&lt;&gt;""),VLOOKUP(I740,'AUX-NIV2'!$B:$AP,40,FALSE)*O740,0)</f>
        <v>0</v>
      </c>
      <c r="AO740" s="382">
        <f t="shared" si="816"/>
        <v>2.8866666666666672</v>
      </c>
      <c r="AQ740" s="395">
        <f>(IF($H740="x",VLOOKUP($I740,'AUX-NIV2'!$B:$X,'AUX-NIV1'!AQ$3,FALSE),0)+($AV740*'AUX-NIV3'!S$4))*$O740+IF($H740=AQ$4,$P740,0)</f>
        <v>24.845797719637915</v>
      </c>
      <c r="AR740" s="395">
        <f>(IF($H740="x",VLOOKUP($I740,'AUX-NIV2'!$B:$X,'AUX-NIV1'!AR$3,FALSE),0)+($AV740*'AUX-NIV3'!T$4))*$O740+IF($H740=AR$4,$P740,0)</f>
        <v>0</v>
      </c>
      <c r="AS740" s="395">
        <f>(IF($H740="x",VLOOKUP($I740,'AUX-NIV2'!$B:$X,'AUX-NIV1'!AS$3,FALSE),0)+($AV740*'AUX-NIV3'!U$4))*$O740+IF($H740=AS$4,$P740,0)</f>
        <v>0</v>
      </c>
      <c r="AT740" s="395">
        <f>(IF($H740="x",VLOOKUP($I740,'AUX-NIV2'!$B:$X,'AUX-NIV1'!AT$3,FALSE),0)+($AV740*'AUX-NIV3'!V$4))*$O740+IF($H740=AT$4,$P740,0)</f>
        <v>0</v>
      </c>
      <c r="AU740" s="395">
        <f>(IF($H740="x",VLOOKUP($I740,'AUX-NIV2'!$B:$X,'AUX-NIV1'!AU$3,FALSE),0)+($AV740*'AUX-NIV3'!W$4))*$O740+IF($H740=AU$4,$P740,0)</f>
        <v>0</v>
      </c>
      <c r="AV740" s="395">
        <f>+IF($H740="x",VLOOKUP($I740,'AUX-NIV2'!$B:$X,'AUX-NIV1'!AV$3,FALSE),0)</f>
        <v>0</v>
      </c>
    </row>
    <row r="741" spans="2:48" ht="13.8" hidden="1" thickTop="1">
      <c r="B741" s="501" t="s">
        <v>3832</v>
      </c>
      <c r="C741" s="951" t="s">
        <v>3833</v>
      </c>
      <c r="D741" s="1280" t="s">
        <v>501</v>
      </c>
      <c r="E741" s="1281">
        <f>IF(B741&lt;&gt;"",+SUMIF(Items!C:C,'AUX-NIV1'!B741,Items!H:H),"")</f>
        <v>0</v>
      </c>
      <c r="F741" s="1281">
        <f t="shared" si="805"/>
        <v>3526.3031782193907</v>
      </c>
      <c r="G741" s="1281">
        <f t="shared" si="806"/>
        <v>0</v>
      </c>
      <c r="H741" s="1395" t="str">
        <f t="shared" si="745"/>
        <v>M</v>
      </c>
      <c r="I741" s="1375" t="s">
        <v>3828</v>
      </c>
      <c r="J741" s="1283" t="str">
        <f>IF(B741&lt;&gt;"",+VLOOKUP(I741,Recursos!C:F,2,FALSE),"")</f>
        <v>PINTURA ASFALTICA</v>
      </c>
      <c r="K741" s="1284" t="str">
        <f>IF(B741&lt;&gt;"",+VLOOKUP(I741,Recursos!C:F,3,FALSE),"")</f>
        <v>Ltr</v>
      </c>
      <c r="L741" s="1285">
        <f>IF(B741&lt;&gt;"",+VLOOKUP(I741,Recursos!C:F,4,FALSE),"")</f>
        <v>140.35812672176309</v>
      </c>
      <c r="M741" s="1420"/>
      <c r="N741" s="1419">
        <v>0.42</v>
      </c>
      <c r="O741" s="1286">
        <f t="shared" si="746"/>
        <v>0.42</v>
      </c>
      <c r="P741" s="1287">
        <f t="shared" si="747"/>
        <v>58.950413223140494</v>
      </c>
      <c r="Q741" s="1281">
        <f t="shared" si="748"/>
        <v>0</v>
      </c>
      <c r="R741" s="1288">
        <f t="shared" si="749"/>
        <v>0</v>
      </c>
      <c r="S741" s="1289">
        <f t="shared" si="808"/>
        <v>1373.3935897896383</v>
      </c>
      <c r="T741" s="1289">
        <f t="shared" si="809"/>
        <v>0</v>
      </c>
      <c r="U741" s="1290">
        <f t="shared" si="810"/>
        <v>945.41219008264466</v>
      </c>
      <c r="V741" s="1290">
        <f t="shared" si="811"/>
        <v>0</v>
      </c>
      <c r="W741" s="1290">
        <f t="shared" si="812"/>
        <v>0</v>
      </c>
      <c r="X741" s="1290">
        <f t="shared" si="813"/>
        <v>1207.4973983471077</v>
      </c>
      <c r="Y741" s="396"/>
      <c r="Z741" s="1291" t="str">
        <f t="shared" si="750"/>
        <v>0-CUBLOSA</v>
      </c>
      <c r="AA741" s="1291" t="str">
        <f t="shared" si="751"/>
        <v>0-CUBLOSE</v>
      </c>
      <c r="AB741" s="1291" t="str">
        <f t="shared" si="752"/>
        <v>0-CUBLOSM</v>
      </c>
      <c r="AC741" s="1291" t="str">
        <f t="shared" si="753"/>
        <v>0-CUBLOST</v>
      </c>
      <c r="AD741" s="1291" t="str">
        <f t="shared" si="754"/>
        <v>0-CUBLOSS</v>
      </c>
      <c r="AE741" s="1291" t="str">
        <f t="shared" si="755"/>
        <v>0-CUBLOSX</v>
      </c>
      <c r="AF741" s="1291" t="str">
        <f t="shared" si="756"/>
        <v>0-CUBLOSM</v>
      </c>
      <c r="AG741" s="1291">
        <f t="shared" si="814"/>
        <v>24</v>
      </c>
      <c r="AH741" s="1291">
        <f>IF(B741&lt;&gt;"",+IF(H741="x",+VLOOKUP(I741,'AUX-NIV2'!B:AG,32,FALSE),0),"")</f>
        <v>0</v>
      </c>
      <c r="AI741" s="1291" t="str">
        <f t="shared" si="757"/>
        <v>0-CUBLOS</v>
      </c>
      <c r="AK741" s="347">
        <f t="shared" si="815"/>
        <v>738</v>
      </c>
      <c r="AL741" s="348">
        <f t="shared" si="758"/>
        <v>761</v>
      </c>
      <c r="AM741" s="347">
        <f t="shared" si="759"/>
        <v>4</v>
      </c>
      <c r="AN741" s="382">
        <f>IF(AND(AH741&gt;0,B741&lt;&gt;""),VLOOKUP(I741,'AUX-NIV2'!$B:$AP,40,FALSE)*O741,0)</f>
        <v>0</v>
      </c>
      <c r="AO741" s="382">
        <f t="shared" si="816"/>
        <v>2.8866666666666672</v>
      </c>
      <c r="AQ741" s="395">
        <f>(IF($H741="x",VLOOKUP($I741,'AUX-NIV2'!$B:$X,'AUX-NIV1'!AQ$3,FALSE),0)+($AV741*'AUX-NIV3'!S$4))*$O741+IF($H741=AQ$4,$P741,0)</f>
        <v>0</v>
      </c>
      <c r="AR741" s="395">
        <f>(IF($H741="x",VLOOKUP($I741,'AUX-NIV2'!$B:$X,'AUX-NIV1'!AR$3,FALSE),0)+($AV741*'AUX-NIV3'!T$4))*$O741+IF($H741=AR$4,$P741,0)</f>
        <v>0</v>
      </c>
      <c r="AS741" s="395">
        <f>(IF($H741="x",VLOOKUP($I741,'AUX-NIV2'!$B:$X,'AUX-NIV1'!AS$3,FALSE),0)+($AV741*'AUX-NIV3'!U$4))*$O741+IF($H741=AS$4,$P741,0)</f>
        <v>58.950413223140494</v>
      </c>
      <c r="AT741" s="395">
        <f>(IF($H741="x",VLOOKUP($I741,'AUX-NIV2'!$B:$X,'AUX-NIV1'!AT$3,FALSE),0)+($AV741*'AUX-NIV3'!V$4))*$O741+IF($H741=AT$4,$P741,0)</f>
        <v>0</v>
      </c>
      <c r="AU741" s="395">
        <f>(IF($H741="x",VLOOKUP($I741,'AUX-NIV2'!$B:$X,'AUX-NIV1'!AU$3,FALSE),0)+($AV741*'AUX-NIV3'!W$4))*$O741+IF($H741=AU$4,$P741,0)</f>
        <v>0</v>
      </c>
      <c r="AV741" s="395">
        <f>+IF($H741="x",VLOOKUP($I741,'AUX-NIV2'!$B:$X,'AUX-NIV1'!AV$3,FALSE),0)</f>
        <v>0</v>
      </c>
    </row>
    <row r="742" spans="2:48" ht="13.8" hidden="1" thickTop="1">
      <c r="B742" s="501" t="s">
        <v>3832</v>
      </c>
      <c r="C742" s="951" t="s">
        <v>3833</v>
      </c>
      <c r="D742" s="1280" t="s">
        <v>501</v>
      </c>
      <c r="E742" s="1281">
        <f>IF(B742&lt;&gt;"",+SUMIF(Items!C:C,'AUX-NIV1'!B742,Items!H:H),"")</f>
        <v>0</v>
      </c>
      <c r="F742" s="1281">
        <f t="shared" si="805"/>
        <v>3526.3031782193907</v>
      </c>
      <c r="G742" s="1281">
        <f t="shared" si="806"/>
        <v>0</v>
      </c>
      <c r="H742" s="1395" t="str">
        <f t="shared" si="745"/>
        <v>A</v>
      </c>
      <c r="I742" s="1375" t="s">
        <v>1745</v>
      </c>
      <c r="J742" s="1283" t="str">
        <f>IF(B742&lt;&gt;"",+VLOOKUP(I742,Recursos!C:F,2,FALSE),"")</f>
        <v>AYUDANTE</v>
      </c>
      <c r="K742" s="1284" t="str">
        <f>IF(B742&lt;&gt;"",+VLOOKUP(I742,Recursos!C:F,3,FALSE),"")</f>
        <v>hh</v>
      </c>
      <c r="L742" s="1285">
        <f>IF(B742&lt;&gt;"",+VLOOKUP(I742,Recursos!C:F,4,FALSE),"")</f>
        <v>422.48042769667234</v>
      </c>
      <c r="M742" s="1399">
        <v>20</v>
      </c>
      <c r="N742" s="1400">
        <v>2</v>
      </c>
      <c r="O742" s="1286">
        <f>N742/M742</f>
        <v>0.1</v>
      </c>
      <c r="P742" s="1287">
        <f t="shared" si="747"/>
        <v>42.248042769667236</v>
      </c>
      <c r="Q742" s="1281">
        <f t="shared" si="748"/>
        <v>0</v>
      </c>
      <c r="R742" s="1288">
        <f t="shared" si="749"/>
        <v>0</v>
      </c>
      <c r="S742" s="1289">
        <f t="shared" si="808"/>
        <v>1373.3935897896383</v>
      </c>
      <c r="T742" s="1289">
        <f t="shared" si="809"/>
        <v>0</v>
      </c>
      <c r="U742" s="1290">
        <f t="shared" si="810"/>
        <v>945.41219008264466</v>
      </c>
      <c r="V742" s="1290">
        <f t="shared" si="811"/>
        <v>0</v>
      </c>
      <c r="W742" s="1290">
        <f t="shared" si="812"/>
        <v>0</v>
      </c>
      <c r="X742" s="1290">
        <f t="shared" si="813"/>
        <v>1207.4973983471077</v>
      </c>
      <c r="Y742" s="396"/>
      <c r="Z742" s="1291" t="str">
        <f t="shared" si="750"/>
        <v>0-CUBLOSA</v>
      </c>
      <c r="AA742" s="1291" t="str">
        <f t="shared" si="751"/>
        <v>0-CUBLOSE</v>
      </c>
      <c r="AB742" s="1291" t="str">
        <f t="shared" si="752"/>
        <v>0-CUBLOSM</v>
      </c>
      <c r="AC742" s="1291" t="str">
        <f t="shared" si="753"/>
        <v>0-CUBLOST</v>
      </c>
      <c r="AD742" s="1291" t="str">
        <f t="shared" si="754"/>
        <v>0-CUBLOSS</v>
      </c>
      <c r="AE742" s="1291" t="str">
        <f t="shared" si="755"/>
        <v>0-CUBLOSX</v>
      </c>
      <c r="AF742" s="1291" t="str">
        <f t="shared" si="756"/>
        <v>0-CUBLOSA</v>
      </c>
      <c r="AG742" s="1291">
        <f t="shared" si="814"/>
        <v>24</v>
      </c>
      <c r="AH742" s="1291">
        <f>IF(B742&lt;&gt;"",+IF(H742="x",+VLOOKUP(I742,'AUX-NIV2'!B:AG,32,FALSE),0),"")</f>
        <v>0</v>
      </c>
      <c r="AI742" s="1291" t="str">
        <f t="shared" si="757"/>
        <v>0-CUBLOS</v>
      </c>
      <c r="AK742" s="347">
        <f t="shared" si="815"/>
        <v>738</v>
      </c>
      <c r="AL742" s="348">
        <f t="shared" si="758"/>
        <v>761</v>
      </c>
      <c r="AM742" s="347">
        <f t="shared" si="759"/>
        <v>5</v>
      </c>
      <c r="AN742" s="382">
        <f>IF(AND(AH742&gt;0,B742&lt;&gt;""),VLOOKUP(I742,'AUX-NIV2'!$B:$AP,40,FALSE)*O742,0)</f>
        <v>0</v>
      </c>
      <c r="AO742" s="382">
        <f t="shared" si="816"/>
        <v>2.8866666666666672</v>
      </c>
      <c r="AQ742" s="395">
        <f>(IF($H742="x",VLOOKUP($I742,'AUX-NIV2'!$B:$X,'AUX-NIV1'!AQ$3,FALSE),0)+($AV742*'AUX-NIV3'!S$4))*$O742+IF($H742=AQ$4,$P742,0)</f>
        <v>42.248042769667236</v>
      </c>
      <c r="AR742" s="395">
        <f>(IF($H742="x",VLOOKUP($I742,'AUX-NIV2'!$B:$X,'AUX-NIV1'!AR$3,FALSE),0)+($AV742*'AUX-NIV3'!T$4))*$O742+IF($H742=AR$4,$P742,0)</f>
        <v>0</v>
      </c>
      <c r="AS742" s="395">
        <f>(IF($H742="x",VLOOKUP($I742,'AUX-NIV2'!$B:$X,'AUX-NIV1'!AS$3,FALSE),0)+($AV742*'AUX-NIV3'!U$4))*$O742+IF($H742=AS$4,$P742,0)</f>
        <v>0</v>
      </c>
      <c r="AT742" s="395">
        <f>(IF($H742="x",VLOOKUP($I742,'AUX-NIV2'!$B:$X,'AUX-NIV1'!AT$3,FALSE),0)+($AV742*'AUX-NIV3'!V$4))*$O742+IF($H742=AT$4,$P742,0)</f>
        <v>0</v>
      </c>
      <c r="AU742" s="395">
        <f>(IF($H742="x",VLOOKUP($I742,'AUX-NIV2'!$B:$X,'AUX-NIV1'!AU$3,FALSE),0)+($AV742*'AUX-NIV3'!W$4))*$O742+IF($H742=AU$4,$P742,0)</f>
        <v>0</v>
      </c>
      <c r="AV742" s="395">
        <f>+IF($H742="x",VLOOKUP($I742,'AUX-NIV2'!$B:$X,'AUX-NIV1'!AV$3,FALSE),0)</f>
        <v>0</v>
      </c>
    </row>
    <row r="743" spans="2:48" ht="13.8" hidden="1" thickTop="1">
      <c r="B743" s="501" t="s">
        <v>3832</v>
      </c>
      <c r="C743" s="951" t="s">
        <v>3833</v>
      </c>
      <c r="D743" s="1280" t="s">
        <v>501</v>
      </c>
      <c r="E743" s="1281">
        <f>IF(B743&lt;&gt;"",+SUMIF(Items!C:C,'AUX-NIV1'!B743,Items!H:H),"")</f>
        <v>0</v>
      </c>
      <c r="F743" s="1281">
        <f t="shared" si="805"/>
        <v>3526.3031782193907</v>
      </c>
      <c r="G743" s="1281">
        <f t="shared" si="806"/>
        <v>0</v>
      </c>
      <c r="H743" s="1395" t="str">
        <f t="shared" si="745"/>
        <v>A</v>
      </c>
      <c r="I743" s="1375" t="s">
        <v>1746</v>
      </c>
      <c r="J743" s="1283" t="str">
        <f>IF(B743&lt;&gt;"",+VLOOKUP(I743,Recursos!C:F,2,FALSE),"")</f>
        <v>OFICIAL</v>
      </c>
      <c r="K743" s="1284" t="str">
        <f>IF(B743&lt;&gt;"",+VLOOKUP(I743,Recursos!C:F,3,FALSE),"")</f>
        <v>hh</v>
      </c>
      <c r="L743" s="1285">
        <f>IF(B743&lt;&gt;"",+VLOOKUP(I743,Recursos!C:F,4,FALSE),"")</f>
        <v>496.91595439275824</v>
      </c>
      <c r="M743" s="1342"/>
      <c r="N743" s="1337">
        <v>1</v>
      </c>
      <c r="O743" s="1286">
        <f>N743/M742</f>
        <v>0.05</v>
      </c>
      <c r="P743" s="1287">
        <f t="shared" si="747"/>
        <v>24.845797719637915</v>
      </c>
      <c r="Q743" s="1281">
        <f t="shared" si="748"/>
        <v>0</v>
      </c>
      <c r="R743" s="1288">
        <f t="shared" si="749"/>
        <v>0</v>
      </c>
      <c r="S743" s="1289">
        <f t="shared" si="808"/>
        <v>1373.3935897896383</v>
      </c>
      <c r="T743" s="1289">
        <f t="shared" si="809"/>
        <v>0</v>
      </c>
      <c r="U743" s="1290">
        <f t="shared" si="810"/>
        <v>945.41219008264466</v>
      </c>
      <c r="V743" s="1290">
        <f t="shared" si="811"/>
        <v>0</v>
      </c>
      <c r="W743" s="1290">
        <f t="shared" si="812"/>
        <v>0</v>
      </c>
      <c r="X743" s="1290">
        <f t="shared" si="813"/>
        <v>1207.4973983471077</v>
      </c>
      <c r="Y743" s="396"/>
      <c r="Z743" s="1291" t="str">
        <f t="shared" si="750"/>
        <v>0-CUBLOSA</v>
      </c>
      <c r="AA743" s="1291" t="str">
        <f t="shared" si="751"/>
        <v>0-CUBLOSE</v>
      </c>
      <c r="AB743" s="1291" t="str">
        <f t="shared" si="752"/>
        <v>0-CUBLOSM</v>
      </c>
      <c r="AC743" s="1291" t="str">
        <f t="shared" si="753"/>
        <v>0-CUBLOST</v>
      </c>
      <c r="AD743" s="1291" t="str">
        <f t="shared" si="754"/>
        <v>0-CUBLOSS</v>
      </c>
      <c r="AE743" s="1291" t="str">
        <f t="shared" si="755"/>
        <v>0-CUBLOSX</v>
      </c>
      <c r="AF743" s="1291" t="str">
        <f t="shared" si="756"/>
        <v>0-CUBLOSA</v>
      </c>
      <c r="AG743" s="1291">
        <f t="shared" si="814"/>
        <v>24</v>
      </c>
      <c r="AH743" s="1291">
        <f>IF(B743&lt;&gt;"",+IF(H743="x",+VLOOKUP(I743,'AUX-NIV2'!B:AG,32,FALSE),0),"")</f>
        <v>0</v>
      </c>
      <c r="AI743" s="1291" t="str">
        <f t="shared" si="757"/>
        <v>0-CUBLOS</v>
      </c>
      <c r="AK743" s="347">
        <f t="shared" si="815"/>
        <v>738</v>
      </c>
      <c r="AL743" s="348">
        <f t="shared" si="758"/>
        <v>761</v>
      </c>
      <c r="AM743" s="347">
        <f t="shared" si="759"/>
        <v>6</v>
      </c>
      <c r="AN743" s="382">
        <f>IF(AND(AH743&gt;0,B743&lt;&gt;""),VLOOKUP(I743,'AUX-NIV2'!$B:$AP,40,FALSE)*O743,0)</f>
        <v>0</v>
      </c>
      <c r="AO743" s="382">
        <f t="shared" si="816"/>
        <v>2.8866666666666672</v>
      </c>
      <c r="AQ743" s="395">
        <f>(IF($H743="x",VLOOKUP($I743,'AUX-NIV2'!$B:$X,'AUX-NIV1'!AQ$3,FALSE),0)+($AV743*'AUX-NIV3'!S$4))*$O743+IF($H743=AQ$4,$P743,0)</f>
        <v>24.845797719637915</v>
      </c>
      <c r="AR743" s="395">
        <f>(IF($H743="x",VLOOKUP($I743,'AUX-NIV2'!$B:$X,'AUX-NIV1'!AR$3,FALSE),0)+($AV743*'AUX-NIV3'!T$4))*$O743+IF($H743=AR$4,$P743,0)</f>
        <v>0</v>
      </c>
      <c r="AS743" s="395">
        <f>(IF($H743="x",VLOOKUP($I743,'AUX-NIV2'!$B:$X,'AUX-NIV1'!AS$3,FALSE),0)+($AV743*'AUX-NIV3'!U$4))*$O743+IF($H743=AS$4,$P743,0)</f>
        <v>0</v>
      </c>
      <c r="AT743" s="395">
        <f>(IF($H743="x",VLOOKUP($I743,'AUX-NIV2'!$B:$X,'AUX-NIV1'!AT$3,FALSE),0)+($AV743*'AUX-NIV3'!V$4))*$O743+IF($H743=AT$4,$P743,0)</f>
        <v>0</v>
      </c>
      <c r="AU743" s="395">
        <f>(IF($H743="x",VLOOKUP($I743,'AUX-NIV2'!$B:$X,'AUX-NIV1'!AU$3,FALSE),0)+($AV743*'AUX-NIV3'!W$4))*$O743+IF($H743=AU$4,$P743,0)</f>
        <v>0</v>
      </c>
      <c r="AV743" s="395">
        <f>+IF($H743="x",VLOOKUP($I743,'AUX-NIV2'!$B:$X,'AUX-NIV1'!AV$3,FALSE),0)</f>
        <v>0</v>
      </c>
    </row>
    <row r="744" spans="2:48" ht="13.8" hidden="1" thickTop="1">
      <c r="B744" s="501" t="s">
        <v>3832</v>
      </c>
      <c r="C744" s="951" t="s">
        <v>3833</v>
      </c>
      <c r="D744" s="1280" t="s">
        <v>501</v>
      </c>
      <c r="E744" s="1281">
        <f>IF(B744&lt;&gt;"",+SUMIF(Items!C:C,'AUX-NIV1'!B744,Items!H:H),"")</f>
        <v>0</v>
      </c>
      <c r="F744" s="1281">
        <f t="shared" si="805"/>
        <v>3526.3031782193907</v>
      </c>
      <c r="G744" s="1281">
        <f t="shared" si="806"/>
        <v>0</v>
      </c>
      <c r="H744" s="1395" t="str">
        <f t="shared" si="745"/>
        <v>M</v>
      </c>
      <c r="I744" s="1375" t="s">
        <v>2027</v>
      </c>
      <c r="J744" s="1283" t="str">
        <f>IF(B744&lt;&gt;"",+VLOOKUP(I744,Recursos!C:F,2,FALSE),"")</f>
        <v>POLIESTIRENO EXPANDIDO A.D. 1"</v>
      </c>
      <c r="K744" s="1284" t="str">
        <f>IF(B744&lt;&gt;"",+VLOOKUP(I744,Recursos!C:F,3,FALSE),"")</f>
        <v>m2</v>
      </c>
      <c r="L744" s="1285">
        <f>IF(B744&lt;&gt;"",+VLOOKUP(I744,Recursos!C:F,4,FALSE),"")</f>
        <v>318.18181818181819</v>
      </c>
      <c r="M744" s="1420"/>
      <c r="N744" s="1419">
        <v>1.1000000000000001</v>
      </c>
      <c r="O744" s="1286">
        <f t="shared" si="746"/>
        <v>1.1000000000000001</v>
      </c>
      <c r="P744" s="1287">
        <f t="shared" si="747"/>
        <v>350.00000000000006</v>
      </c>
      <c r="Q744" s="1281">
        <f t="shared" si="748"/>
        <v>0</v>
      </c>
      <c r="R744" s="1288">
        <f t="shared" si="749"/>
        <v>0</v>
      </c>
      <c r="S744" s="1289">
        <f t="shared" si="808"/>
        <v>1373.3935897896383</v>
      </c>
      <c r="T744" s="1289">
        <f t="shared" si="809"/>
        <v>0</v>
      </c>
      <c r="U744" s="1290">
        <f t="shared" si="810"/>
        <v>945.41219008264466</v>
      </c>
      <c r="V744" s="1290">
        <f t="shared" si="811"/>
        <v>0</v>
      </c>
      <c r="W744" s="1290">
        <f t="shared" si="812"/>
        <v>0</v>
      </c>
      <c r="X744" s="1290">
        <f t="shared" si="813"/>
        <v>1207.4973983471077</v>
      </c>
      <c r="Y744" s="396"/>
      <c r="Z744" s="1291" t="str">
        <f t="shared" si="750"/>
        <v>0-CUBLOSA</v>
      </c>
      <c r="AA744" s="1291" t="str">
        <f t="shared" si="751"/>
        <v>0-CUBLOSE</v>
      </c>
      <c r="AB744" s="1291" t="str">
        <f t="shared" si="752"/>
        <v>0-CUBLOSM</v>
      </c>
      <c r="AC744" s="1291" t="str">
        <f t="shared" si="753"/>
        <v>0-CUBLOST</v>
      </c>
      <c r="AD744" s="1291" t="str">
        <f t="shared" si="754"/>
        <v>0-CUBLOSS</v>
      </c>
      <c r="AE744" s="1291" t="str">
        <f t="shared" si="755"/>
        <v>0-CUBLOSX</v>
      </c>
      <c r="AF744" s="1291" t="str">
        <f t="shared" si="756"/>
        <v>0-CUBLOSM</v>
      </c>
      <c r="AG744" s="1291">
        <f t="shared" si="814"/>
        <v>24</v>
      </c>
      <c r="AH744" s="1291">
        <f>IF(B744&lt;&gt;"",+IF(H744="x",+VLOOKUP(I744,'AUX-NIV2'!B:AG,32,FALSE),0),"")</f>
        <v>0</v>
      </c>
      <c r="AI744" s="1291" t="str">
        <f t="shared" si="757"/>
        <v>0-CUBLOS</v>
      </c>
      <c r="AK744" s="347">
        <f t="shared" si="815"/>
        <v>738</v>
      </c>
      <c r="AL744" s="348">
        <f t="shared" si="758"/>
        <v>761</v>
      </c>
      <c r="AM744" s="347">
        <f t="shared" si="759"/>
        <v>7</v>
      </c>
      <c r="AN744" s="382">
        <f>IF(AND(AH744&gt;0,B744&lt;&gt;""),VLOOKUP(I744,'AUX-NIV2'!$B:$AP,40,FALSE)*O744,0)</f>
        <v>0</v>
      </c>
      <c r="AO744" s="382">
        <f t="shared" si="816"/>
        <v>2.8866666666666672</v>
      </c>
      <c r="AQ744" s="395">
        <f>(IF($H744="x",VLOOKUP($I744,'AUX-NIV2'!$B:$X,'AUX-NIV1'!AQ$3,FALSE),0)+($AV744*'AUX-NIV3'!S$4))*$O744+IF($H744=AQ$4,$P744,0)</f>
        <v>0</v>
      </c>
      <c r="AR744" s="395">
        <f>(IF($H744="x",VLOOKUP($I744,'AUX-NIV2'!$B:$X,'AUX-NIV1'!AR$3,FALSE),0)+($AV744*'AUX-NIV3'!T$4))*$O744+IF($H744=AR$4,$P744,0)</f>
        <v>0</v>
      </c>
      <c r="AS744" s="395">
        <f>(IF($H744="x",VLOOKUP($I744,'AUX-NIV2'!$B:$X,'AUX-NIV1'!AS$3,FALSE),0)+($AV744*'AUX-NIV3'!U$4))*$O744+IF($H744=AS$4,$P744,0)</f>
        <v>350.00000000000006</v>
      </c>
      <c r="AT744" s="395">
        <f>(IF($H744="x",VLOOKUP($I744,'AUX-NIV2'!$B:$X,'AUX-NIV1'!AT$3,FALSE),0)+($AV744*'AUX-NIV3'!V$4))*$O744+IF($H744=AT$4,$P744,0)</f>
        <v>0</v>
      </c>
      <c r="AU744" s="395">
        <f>(IF($H744="x",VLOOKUP($I744,'AUX-NIV2'!$B:$X,'AUX-NIV1'!AU$3,FALSE),0)+($AV744*'AUX-NIV3'!W$4))*$O744+IF($H744=AU$4,$P744,0)</f>
        <v>0</v>
      </c>
      <c r="AV744" s="395">
        <f>+IF($H744="x",VLOOKUP($I744,'AUX-NIV2'!$B:$X,'AUX-NIV1'!AV$3,FALSE),0)</f>
        <v>0</v>
      </c>
    </row>
    <row r="745" spans="2:48" ht="13.8" hidden="1" thickTop="1">
      <c r="B745" s="501" t="s">
        <v>3832</v>
      </c>
      <c r="C745" s="951" t="s">
        <v>3833</v>
      </c>
      <c r="D745" s="1280" t="s">
        <v>501</v>
      </c>
      <c r="E745" s="1281">
        <f>IF(B745&lt;&gt;"",+SUMIF(Items!C:C,'AUX-NIV1'!B745,Items!H:H),"")</f>
        <v>0</v>
      </c>
      <c r="F745" s="1281">
        <f t="shared" si="805"/>
        <v>3526.3031782193907</v>
      </c>
      <c r="G745" s="1281">
        <f t="shared" si="806"/>
        <v>0</v>
      </c>
      <c r="H745" s="1395" t="str">
        <f t="shared" ref="H745:H781" si="817">IF(B745&lt;&gt;"",+LEFT(I745,1),"")</f>
        <v>A</v>
      </c>
      <c r="I745" s="1375" t="s">
        <v>1745</v>
      </c>
      <c r="J745" s="1283" t="str">
        <f>IF(B745&lt;&gt;"",+VLOOKUP(I745,Recursos!C:F,2,FALSE),"")</f>
        <v>AYUDANTE</v>
      </c>
      <c r="K745" s="1284" t="str">
        <f>IF(B745&lt;&gt;"",+VLOOKUP(I745,Recursos!C:F,3,FALSE),"")</f>
        <v>hh</v>
      </c>
      <c r="L745" s="1285">
        <f>IF(B745&lt;&gt;"",+VLOOKUP(I745,Recursos!C:F,4,FALSE),"")</f>
        <v>422.48042769667234</v>
      </c>
      <c r="M745" s="1399">
        <v>100</v>
      </c>
      <c r="N745" s="1400">
        <v>2</v>
      </c>
      <c r="O745" s="1286">
        <f>N745/M745</f>
        <v>0.02</v>
      </c>
      <c r="P745" s="1287">
        <f t="shared" ref="P745:P781" si="818">IF(B745&lt;&gt;"",O745*L745,"")</f>
        <v>8.4496085539334462</v>
      </c>
      <c r="Q745" s="1281">
        <f t="shared" ref="Q745:Q781" si="819">IF(B745&lt;&gt;"",+O745*E745,"")</f>
        <v>0</v>
      </c>
      <c r="R745" s="1288">
        <f t="shared" ref="R745:R781" si="820">IF(B745&lt;&gt;"",Q745*L745,"")</f>
        <v>0</v>
      </c>
      <c r="S745" s="1289">
        <f t="shared" si="808"/>
        <v>1373.3935897896383</v>
      </c>
      <c r="T745" s="1289">
        <f t="shared" si="809"/>
        <v>0</v>
      </c>
      <c r="U745" s="1290">
        <f t="shared" si="810"/>
        <v>945.41219008264466</v>
      </c>
      <c r="V745" s="1290">
        <f t="shared" si="811"/>
        <v>0</v>
      </c>
      <c r="W745" s="1290">
        <f t="shared" si="812"/>
        <v>0</v>
      </c>
      <c r="X745" s="1290">
        <f t="shared" si="813"/>
        <v>1207.4973983471077</v>
      </c>
      <c r="Y745" s="396"/>
      <c r="Z745" s="1291" t="str">
        <f t="shared" ref="Z745:Z781" si="821">IF(B745&lt;&gt;"",+$B745&amp;"A","")</f>
        <v>0-CUBLOSA</v>
      </c>
      <c r="AA745" s="1291" t="str">
        <f t="shared" ref="AA745:AA781" si="822">IF(B745&lt;&gt;"",+$B745&amp;"E","")</f>
        <v>0-CUBLOSE</v>
      </c>
      <c r="AB745" s="1291" t="str">
        <f t="shared" ref="AB745:AB781" si="823">IF(B745&lt;&gt;"",++$B745&amp;"M","")</f>
        <v>0-CUBLOSM</v>
      </c>
      <c r="AC745" s="1291" t="str">
        <f t="shared" ref="AC745:AC781" si="824">IF(B745&lt;&gt;"",+$B745&amp;"T","")</f>
        <v>0-CUBLOST</v>
      </c>
      <c r="AD745" s="1291" t="str">
        <f t="shared" ref="AD745:AD781" si="825">IF(B745&lt;&gt;"",+$B745&amp;"S","")</f>
        <v>0-CUBLOSS</v>
      </c>
      <c r="AE745" s="1291" t="str">
        <f t="shared" ref="AE745:AE781" si="826">IF(B745&lt;&gt;"",+$B745&amp;"X","")</f>
        <v>0-CUBLOSX</v>
      </c>
      <c r="AF745" s="1291" t="str">
        <f t="shared" ref="AF745:AF781" si="827">IF(B745&lt;&gt;"",+B745&amp;H745,"")</f>
        <v>0-CUBLOSA</v>
      </c>
      <c r="AG745" s="1291">
        <f t="shared" si="814"/>
        <v>24</v>
      </c>
      <c r="AH745" s="1291">
        <f>IF(B745&lt;&gt;"",+IF(H745="x",+VLOOKUP(I745,'AUX-NIV2'!B:AG,32,FALSE),0),"")</f>
        <v>0</v>
      </c>
      <c r="AI745" s="1291" t="str">
        <f t="shared" ref="AI745:AI781" si="828">IF(B745&lt;&gt;"",+B745,"")</f>
        <v>0-CUBLOS</v>
      </c>
      <c r="AK745" s="347">
        <f t="shared" si="815"/>
        <v>738</v>
      </c>
      <c r="AL745" s="348">
        <f t="shared" ref="AL745:AL781" si="829">IF(B745&lt;&gt;"",+AK745+AG745-1,"")</f>
        <v>761</v>
      </c>
      <c r="AM745" s="347">
        <f t="shared" ref="AM745:AM781" si="830">IF(B745&lt;&gt;"",IF(B745=B744,1+AM744,1),"")</f>
        <v>8</v>
      </c>
      <c r="AN745" s="382">
        <f>IF(AND(AH745&gt;0,B745&lt;&gt;""),VLOOKUP(I745,'AUX-NIV2'!$B:$AP,40,FALSE)*O745,0)</f>
        <v>0</v>
      </c>
      <c r="AO745" s="382">
        <f t="shared" si="816"/>
        <v>2.8866666666666672</v>
      </c>
      <c r="AQ745" s="395">
        <f>(IF($H745="x",VLOOKUP($I745,'AUX-NIV2'!$B:$X,'AUX-NIV1'!AQ$3,FALSE),0)+($AV745*'AUX-NIV3'!S$4))*$O745+IF($H745=AQ$4,$P745,0)</f>
        <v>8.4496085539334462</v>
      </c>
      <c r="AR745" s="395">
        <f>(IF($H745="x",VLOOKUP($I745,'AUX-NIV2'!$B:$X,'AUX-NIV1'!AR$3,FALSE),0)+($AV745*'AUX-NIV3'!T$4))*$O745+IF($H745=AR$4,$P745,0)</f>
        <v>0</v>
      </c>
      <c r="AS745" s="395">
        <f>(IF($H745="x",VLOOKUP($I745,'AUX-NIV2'!$B:$X,'AUX-NIV1'!AS$3,FALSE),0)+($AV745*'AUX-NIV3'!U$4))*$O745+IF($H745=AS$4,$P745,0)</f>
        <v>0</v>
      </c>
      <c r="AT745" s="395">
        <f>(IF($H745="x",VLOOKUP($I745,'AUX-NIV2'!$B:$X,'AUX-NIV1'!AT$3,FALSE),0)+($AV745*'AUX-NIV3'!V$4))*$O745+IF($H745=AT$4,$P745,0)</f>
        <v>0</v>
      </c>
      <c r="AU745" s="395">
        <f>(IF($H745="x",VLOOKUP($I745,'AUX-NIV2'!$B:$X,'AUX-NIV1'!AU$3,FALSE),0)+($AV745*'AUX-NIV3'!W$4))*$O745+IF($H745=AU$4,$P745,0)</f>
        <v>0</v>
      </c>
      <c r="AV745" s="395">
        <f>+IF($H745="x",VLOOKUP($I745,'AUX-NIV2'!$B:$X,'AUX-NIV1'!AV$3,FALSE),0)</f>
        <v>0</v>
      </c>
    </row>
    <row r="746" spans="2:48" ht="13.8" hidden="1" thickTop="1">
      <c r="B746" s="501" t="s">
        <v>3832</v>
      </c>
      <c r="C746" s="951" t="s">
        <v>3833</v>
      </c>
      <c r="D746" s="1280" t="s">
        <v>501</v>
      </c>
      <c r="E746" s="1281">
        <f>IF(B746&lt;&gt;"",+SUMIF(Items!C:C,'AUX-NIV1'!B746,Items!H:H),"")</f>
        <v>0</v>
      </c>
      <c r="F746" s="1281">
        <f t="shared" si="805"/>
        <v>3526.3031782193907</v>
      </c>
      <c r="G746" s="1281">
        <f t="shared" si="806"/>
        <v>0</v>
      </c>
      <c r="H746" s="1395" t="str">
        <f t="shared" si="817"/>
        <v>A</v>
      </c>
      <c r="I746" s="1375" t="s">
        <v>1746</v>
      </c>
      <c r="J746" s="1283" t="str">
        <f>IF(B746&lt;&gt;"",+VLOOKUP(I746,Recursos!C:F,2,FALSE),"")</f>
        <v>OFICIAL</v>
      </c>
      <c r="K746" s="1284" t="str">
        <f>IF(B746&lt;&gt;"",+VLOOKUP(I746,Recursos!C:F,3,FALSE),"")</f>
        <v>hh</v>
      </c>
      <c r="L746" s="1285">
        <f>IF(B746&lt;&gt;"",+VLOOKUP(I746,Recursos!C:F,4,FALSE),"")</f>
        <v>496.91595439275824</v>
      </c>
      <c r="M746" s="1342"/>
      <c r="N746" s="1337"/>
      <c r="O746" s="1286">
        <f t="shared" ref="O746:O779" si="831">N746</f>
        <v>0</v>
      </c>
      <c r="P746" s="1287">
        <f t="shared" si="818"/>
        <v>0</v>
      </c>
      <c r="Q746" s="1281">
        <f t="shared" si="819"/>
        <v>0</v>
      </c>
      <c r="R746" s="1288">
        <f t="shared" si="820"/>
        <v>0</v>
      </c>
      <c r="S746" s="1289">
        <f t="shared" si="808"/>
        <v>1373.3935897896383</v>
      </c>
      <c r="T746" s="1289">
        <f t="shared" si="809"/>
        <v>0</v>
      </c>
      <c r="U746" s="1290">
        <f t="shared" si="810"/>
        <v>945.41219008264466</v>
      </c>
      <c r="V746" s="1290">
        <f t="shared" si="811"/>
        <v>0</v>
      </c>
      <c r="W746" s="1290">
        <f t="shared" si="812"/>
        <v>0</v>
      </c>
      <c r="X746" s="1290">
        <f t="shared" si="813"/>
        <v>1207.4973983471077</v>
      </c>
      <c r="Y746" s="396"/>
      <c r="Z746" s="1291" t="str">
        <f t="shared" si="821"/>
        <v>0-CUBLOSA</v>
      </c>
      <c r="AA746" s="1291" t="str">
        <f t="shared" si="822"/>
        <v>0-CUBLOSE</v>
      </c>
      <c r="AB746" s="1291" t="str">
        <f t="shared" si="823"/>
        <v>0-CUBLOSM</v>
      </c>
      <c r="AC746" s="1291" t="str">
        <f t="shared" si="824"/>
        <v>0-CUBLOST</v>
      </c>
      <c r="AD746" s="1291" t="str">
        <f t="shared" si="825"/>
        <v>0-CUBLOSS</v>
      </c>
      <c r="AE746" s="1291" t="str">
        <f t="shared" si="826"/>
        <v>0-CUBLOSX</v>
      </c>
      <c r="AF746" s="1291" t="str">
        <f t="shared" si="827"/>
        <v>0-CUBLOSA</v>
      </c>
      <c r="AG746" s="1291">
        <f t="shared" si="814"/>
        <v>24</v>
      </c>
      <c r="AH746" s="1291">
        <f>IF(B746&lt;&gt;"",+IF(H746="x",+VLOOKUP(I746,'AUX-NIV2'!B:AG,32,FALSE),0),"")</f>
        <v>0</v>
      </c>
      <c r="AI746" s="1291" t="str">
        <f t="shared" si="828"/>
        <v>0-CUBLOS</v>
      </c>
      <c r="AK746" s="347">
        <f t="shared" si="815"/>
        <v>738</v>
      </c>
      <c r="AL746" s="348">
        <f t="shared" si="829"/>
        <v>761</v>
      </c>
      <c r="AM746" s="347">
        <f t="shared" si="830"/>
        <v>9</v>
      </c>
      <c r="AN746" s="382">
        <f>IF(AND(AH746&gt;0,B746&lt;&gt;""),VLOOKUP(I746,'AUX-NIV2'!$B:$AP,40,FALSE)*O746,0)</f>
        <v>0</v>
      </c>
      <c r="AO746" s="382">
        <f t="shared" si="816"/>
        <v>2.8866666666666672</v>
      </c>
      <c r="AQ746" s="395">
        <f>(IF($H746="x",VLOOKUP($I746,'AUX-NIV2'!$B:$X,'AUX-NIV1'!AQ$3,FALSE),0)+($AV746*'AUX-NIV3'!S$4))*$O746+IF($H746=AQ$4,$P746,0)</f>
        <v>0</v>
      </c>
      <c r="AR746" s="395">
        <f>(IF($H746="x",VLOOKUP($I746,'AUX-NIV2'!$B:$X,'AUX-NIV1'!AR$3,FALSE),0)+($AV746*'AUX-NIV3'!T$4))*$O746+IF($H746=AR$4,$P746,0)</f>
        <v>0</v>
      </c>
      <c r="AS746" s="395">
        <f>(IF($H746="x",VLOOKUP($I746,'AUX-NIV2'!$B:$X,'AUX-NIV1'!AS$3,FALSE),0)+($AV746*'AUX-NIV3'!U$4))*$O746+IF($H746=AS$4,$P746,0)</f>
        <v>0</v>
      </c>
      <c r="AT746" s="395">
        <f>(IF($H746="x",VLOOKUP($I746,'AUX-NIV2'!$B:$X,'AUX-NIV1'!AT$3,FALSE),0)+($AV746*'AUX-NIV3'!V$4))*$O746+IF($H746=AT$4,$P746,0)</f>
        <v>0</v>
      </c>
      <c r="AU746" s="395">
        <f>(IF($H746="x",VLOOKUP($I746,'AUX-NIV2'!$B:$X,'AUX-NIV1'!AU$3,FALSE),0)+($AV746*'AUX-NIV3'!W$4))*$O746+IF($H746=AU$4,$P746,0)</f>
        <v>0</v>
      </c>
      <c r="AV746" s="395">
        <f>+IF($H746="x",VLOOKUP($I746,'AUX-NIV2'!$B:$X,'AUX-NIV1'!AV$3,FALSE),0)</f>
        <v>0</v>
      </c>
    </row>
    <row r="747" spans="2:48" ht="13.8" hidden="1" thickTop="1">
      <c r="B747" s="501" t="s">
        <v>3832</v>
      </c>
      <c r="C747" s="951" t="s">
        <v>3833</v>
      </c>
      <c r="D747" s="1280" t="s">
        <v>501</v>
      </c>
      <c r="E747" s="1281">
        <f>IF(B747&lt;&gt;"",+SUMIF(Items!C:C,'AUX-NIV1'!B747,Items!H:H),"")</f>
        <v>0</v>
      </c>
      <c r="F747" s="1281">
        <f t="shared" si="805"/>
        <v>3526.3031782193907</v>
      </c>
      <c r="G747" s="1281">
        <f t="shared" si="806"/>
        <v>0</v>
      </c>
      <c r="H747" s="1395" t="str">
        <f t="shared" si="817"/>
        <v>X</v>
      </c>
      <c r="I747" s="1375" t="s">
        <v>3745</v>
      </c>
      <c r="J747" s="1283" t="str">
        <f>IF(B747&lt;&gt;"",+VLOOKUP(I747,Recursos!C:F,2,FALSE),"")</f>
        <v>Contrapiso</v>
      </c>
      <c r="K747" s="1284" t="str">
        <f>IF(B747&lt;&gt;"",+VLOOKUP(I747,Recursos!C:F,3,FALSE),"")</f>
        <v>m3</v>
      </c>
      <c r="L747" s="1285">
        <f>IF(B747&lt;&gt;"",+VLOOKUP(I747,Recursos!C:F,4,FALSE),"")</f>
        <v>4902.2479338842986</v>
      </c>
      <c r="M747" s="1420"/>
      <c r="N747" s="1419">
        <v>0.2</v>
      </c>
      <c r="O747" s="1286">
        <f>N747</f>
        <v>0.2</v>
      </c>
      <c r="P747" s="1287">
        <f t="shared" si="818"/>
        <v>980.44958677685975</v>
      </c>
      <c r="Q747" s="1281">
        <f t="shared" si="819"/>
        <v>0</v>
      </c>
      <c r="R747" s="1288">
        <f t="shared" si="820"/>
        <v>0</v>
      </c>
      <c r="S747" s="1289">
        <f t="shared" si="808"/>
        <v>1373.3935897896383</v>
      </c>
      <c r="T747" s="1289">
        <f t="shared" si="809"/>
        <v>0</v>
      </c>
      <c r="U747" s="1290">
        <f t="shared" si="810"/>
        <v>945.41219008264466</v>
      </c>
      <c r="V747" s="1290">
        <f t="shared" si="811"/>
        <v>0</v>
      </c>
      <c r="W747" s="1290">
        <f t="shared" si="812"/>
        <v>0</v>
      </c>
      <c r="X747" s="1290">
        <f t="shared" si="813"/>
        <v>1207.4973983471077</v>
      </c>
      <c r="Y747" s="396"/>
      <c r="Z747" s="1291" t="str">
        <f t="shared" si="821"/>
        <v>0-CUBLOSA</v>
      </c>
      <c r="AA747" s="1291" t="str">
        <f t="shared" si="822"/>
        <v>0-CUBLOSE</v>
      </c>
      <c r="AB747" s="1291" t="str">
        <f t="shared" si="823"/>
        <v>0-CUBLOSM</v>
      </c>
      <c r="AC747" s="1291" t="str">
        <f t="shared" si="824"/>
        <v>0-CUBLOST</v>
      </c>
      <c r="AD747" s="1291" t="str">
        <f t="shared" si="825"/>
        <v>0-CUBLOSS</v>
      </c>
      <c r="AE747" s="1291" t="str">
        <f t="shared" si="826"/>
        <v>0-CUBLOSX</v>
      </c>
      <c r="AF747" s="1291" t="str">
        <f t="shared" si="827"/>
        <v>0-CUBLOSX</v>
      </c>
      <c r="AG747" s="1291">
        <f t="shared" si="814"/>
        <v>24</v>
      </c>
      <c r="AH747" s="1291">
        <f>IF(B747&lt;&gt;"",+IF(H747="x",+VLOOKUP(I747,'AUX-NIV2'!B:AG,32,FALSE),0),"")</f>
        <v>3</v>
      </c>
      <c r="AI747" s="1291" t="str">
        <f t="shared" si="828"/>
        <v>0-CUBLOS</v>
      </c>
      <c r="AK747" s="347">
        <f t="shared" si="815"/>
        <v>738</v>
      </c>
      <c r="AL747" s="348">
        <f t="shared" si="829"/>
        <v>761</v>
      </c>
      <c r="AM747" s="347">
        <f t="shared" si="830"/>
        <v>10</v>
      </c>
      <c r="AN747" s="382">
        <f>IF(AND(AH747&gt;0,B747&lt;&gt;""),VLOOKUP(I747,'AUX-NIV2'!$B:$AP,40,FALSE)*O747,0)</f>
        <v>0</v>
      </c>
      <c r="AO747" s="382">
        <f t="shared" si="816"/>
        <v>2.8866666666666672</v>
      </c>
      <c r="AQ747" s="395">
        <f>(IF($H747="x",VLOOKUP($I747,'AUX-NIV2'!$B:$X,'AUX-NIV1'!AQ$3,FALSE),0)+($AV747*'AUX-NIV3'!S$4))*$O747+IF($H747=AQ$4,$P747,0)</f>
        <v>0</v>
      </c>
      <c r="AR747" s="395">
        <f>(IF($H747="x",VLOOKUP($I747,'AUX-NIV2'!$B:$X,'AUX-NIV1'!AR$3,FALSE),0)+($AV747*'AUX-NIV3'!T$4))*$O747+IF($H747=AR$4,$P747,0)</f>
        <v>0</v>
      </c>
      <c r="AS747" s="395">
        <f>(IF($H747="x",VLOOKUP($I747,'AUX-NIV2'!$B:$X,'AUX-NIV1'!AS$3,FALSE),0)+($AV747*'AUX-NIV3'!U$4))*$O747+IF($H747=AS$4,$P747,0)</f>
        <v>980.44958677685975</v>
      </c>
      <c r="AT747" s="395">
        <f>(IF($H747="x",VLOOKUP($I747,'AUX-NIV2'!$B:$X,'AUX-NIV1'!AT$3,FALSE),0)+($AV747*'AUX-NIV3'!V$4))*$O747+IF($H747=AT$4,$P747,0)</f>
        <v>0</v>
      </c>
      <c r="AU747" s="395">
        <f>(IF($H747="x",VLOOKUP($I747,'AUX-NIV2'!$B:$X,'AUX-NIV1'!AU$3,FALSE),0)+($AV747*'AUX-NIV3'!W$4))*$O747+IF($H747=AU$4,$P747,0)</f>
        <v>0</v>
      </c>
      <c r="AV747" s="395">
        <f>+IF($H747="x",VLOOKUP($I747,'AUX-NIV2'!$B:$X,'AUX-NIV1'!AV$3,FALSE),0)</f>
        <v>0</v>
      </c>
    </row>
    <row r="748" spans="2:48" ht="13.8" hidden="1" thickTop="1">
      <c r="B748" s="501" t="s">
        <v>3832</v>
      </c>
      <c r="C748" s="951" t="s">
        <v>3833</v>
      </c>
      <c r="D748" s="1280" t="s">
        <v>501</v>
      </c>
      <c r="E748" s="1281">
        <f>IF(B748&lt;&gt;"",+SUMIF(Items!C:C,'AUX-NIV1'!B748,Items!H:H),"")</f>
        <v>0</v>
      </c>
      <c r="F748" s="1281">
        <f t="shared" si="805"/>
        <v>3526.3031782193907</v>
      </c>
      <c r="G748" s="1281">
        <f t="shared" si="806"/>
        <v>0</v>
      </c>
      <c r="H748" s="1395" t="str">
        <f t="shared" si="817"/>
        <v>A</v>
      </c>
      <c r="I748" s="1375" t="s">
        <v>1745</v>
      </c>
      <c r="J748" s="1283" t="str">
        <f>IF(B748&lt;&gt;"",+VLOOKUP(I748,Recursos!C:F,2,FALSE),"")</f>
        <v>AYUDANTE</v>
      </c>
      <c r="K748" s="1284" t="str">
        <f>IF(B748&lt;&gt;"",+VLOOKUP(I748,Recursos!C:F,3,FALSE),"")</f>
        <v>hh</v>
      </c>
      <c r="L748" s="1285">
        <f>IF(B748&lt;&gt;"",+VLOOKUP(I748,Recursos!C:F,4,FALSE),"")</f>
        <v>422.48042769667234</v>
      </c>
      <c r="M748" s="1399">
        <v>1</v>
      </c>
      <c r="N748" s="1400">
        <v>2</v>
      </c>
      <c r="O748" s="1286">
        <f>M748/N748</f>
        <v>0.5</v>
      </c>
      <c r="P748" s="1287">
        <f t="shared" si="818"/>
        <v>211.24021384833617</v>
      </c>
      <c r="Q748" s="1281">
        <f t="shared" si="819"/>
        <v>0</v>
      </c>
      <c r="R748" s="1288">
        <f t="shared" si="820"/>
        <v>0</v>
      </c>
      <c r="S748" s="1289">
        <f t="shared" si="808"/>
        <v>1373.3935897896383</v>
      </c>
      <c r="T748" s="1289">
        <f t="shared" si="809"/>
        <v>0</v>
      </c>
      <c r="U748" s="1290">
        <f t="shared" si="810"/>
        <v>945.41219008264466</v>
      </c>
      <c r="V748" s="1290">
        <f t="shared" si="811"/>
        <v>0</v>
      </c>
      <c r="W748" s="1290">
        <f t="shared" si="812"/>
        <v>0</v>
      </c>
      <c r="X748" s="1290">
        <f t="shared" si="813"/>
        <v>1207.4973983471077</v>
      </c>
      <c r="Y748" s="396"/>
      <c r="Z748" s="1291" t="str">
        <f t="shared" si="821"/>
        <v>0-CUBLOSA</v>
      </c>
      <c r="AA748" s="1291" t="str">
        <f t="shared" si="822"/>
        <v>0-CUBLOSE</v>
      </c>
      <c r="AB748" s="1291" t="str">
        <f t="shared" si="823"/>
        <v>0-CUBLOSM</v>
      </c>
      <c r="AC748" s="1291" t="str">
        <f t="shared" si="824"/>
        <v>0-CUBLOST</v>
      </c>
      <c r="AD748" s="1291" t="str">
        <f t="shared" si="825"/>
        <v>0-CUBLOSS</v>
      </c>
      <c r="AE748" s="1291" t="str">
        <f t="shared" si="826"/>
        <v>0-CUBLOSX</v>
      </c>
      <c r="AF748" s="1291" t="str">
        <f t="shared" si="827"/>
        <v>0-CUBLOSA</v>
      </c>
      <c r="AG748" s="1291">
        <f t="shared" si="814"/>
        <v>24</v>
      </c>
      <c r="AH748" s="1291">
        <f>IF(B748&lt;&gt;"",+IF(H748="x",+VLOOKUP(I748,'AUX-NIV2'!B:AG,32,FALSE),0),"")</f>
        <v>0</v>
      </c>
      <c r="AI748" s="1291" t="str">
        <f t="shared" si="828"/>
        <v>0-CUBLOS</v>
      </c>
      <c r="AK748" s="347">
        <f t="shared" si="815"/>
        <v>738</v>
      </c>
      <c r="AL748" s="348">
        <f t="shared" si="829"/>
        <v>761</v>
      </c>
      <c r="AM748" s="347">
        <f t="shared" si="830"/>
        <v>11</v>
      </c>
      <c r="AN748" s="382">
        <f>IF(AND(AH748&gt;0,B748&lt;&gt;""),VLOOKUP(I748,'AUX-NIV2'!$B:$AP,40,FALSE)*O748,0)</f>
        <v>0</v>
      </c>
      <c r="AO748" s="382">
        <f t="shared" si="816"/>
        <v>2.8866666666666672</v>
      </c>
      <c r="AQ748" s="395">
        <f>(IF($H748="x",VLOOKUP($I748,'AUX-NIV2'!$B:$X,'AUX-NIV1'!AQ$3,FALSE),0)+($AV748*'AUX-NIV3'!S$4))*$O748+IF($H748=AQ$4,$P748,0)</f>
        <v>211.24021384833617</v>
      </c>
      <c r="AR748" s="395">
        <f>(IF($H748="x",VLOOKUP($I748,'AUX-NIV2'!$B:$X,'AUX-NIV1'!AR$3,FALSE),0)+($AV748*'AUX-NIV3'!T$4))*$O748+IF($H748=AR$4,$P748,0)</f>
        <v>0</v>
      </c>
      <c r="AS748" s="395">
        <f>(IF($H748="x",VLOOKUP($I748,'AUX-NIV2'!$B:$X,'AUX-NIV1'!AS$3,FALSE),0)+($AV748*'AUX-NIV3'!U$4))*$O748+IF($H748=AS$4,$P748,0)</f>
        <v>0</v>
      </c>
      <c r="AT748" s="395">
        <f>(IF($H748="x",VLOOKUP($I748,'AUX-NIV2'!$B:$X,'AUX-NIV1'!AT$3,FALSE),0)+($AV748*'AUX-NIV3'!V$4))*$O748+IF($H748=AT$4,$P748,0)</f>
        <v>0</v>
      </c>
      <c r="AU748" s="395">
        <f>(IF($H748="x",VLOOKUP($I748,'AUX-NIV2'!$B:$X,'AUX-NIV1'!AU$3,FALSE),0)+($AV748*'AUX-NIV3'!W$4))*$O748+IF($H748=AU$4,$P748,0)</f>
        <v>0</v>
      </c>
      <c r="AV748" s="395">
        <f>+IF($H748="x",VLOOKUP($I748,'AUX-NIV2'!$B:$X,'AUX-NIV1'!AV$3,FALSE),0)</f>
        <v>0</v>
      </c>
    </row>
    <row r="749" spans="2:48" ht="13.8" hidden="1" thickTop="1">
      <c r="B749" s="501" t="s">
        <v>3832</v>
      </c>
      <c r="C749" s="951" t="s">
        <v>3833</v>
      </c>
      <c r="D749" s="1280" t="s">
        <v>501</v>
      </c>
      <c r="E749" s="1281">
        <f>IF(B749&lt;&gt;"",+SUMIF(Items!C:C,'AUX-NIV1'!B749,Items!H:H),"")</f>
        <v>0</v>
      </c>
      <c r="F749" s="1281">
        <f t="shared" si="805"/>
        <v>3526.3031782193907</v>
      </c>
      <c r="G749" s="1281">
        <f t="shared" si="806"/>
        <v>0</v>
      </c>
      <c r="H749" s="1395" t="str">
        <f t="shared" si="817"/>
        <v>A</v>
      </c>
      <c r="I749" s="1375" t="s">
        <v>1746</v>
      </c>
      <c r="J749" s="1283" t="str">
        <f>IF(B749&lt;&gt;"",+VLOOKUP(I749,Recursos!C:F,2,FALSE),"")</f>
        <v>OFICIAL</v>
      </c>
      <c r="K749" s="1284" t="str">
        <f>IF(B749&lt;&gt;"",+VLOOKUP(I749,Recursos!C:F,3,FALSE),"")</f>
        <v>hh</v>
      </c>
      <c r="L749" s="1285">
        <f>IF(B749&lt;&gt;"",+VLOOKUP(I749,Recursos!C:F,4,FALSE),"")</f>
        <v>496.91595439275824</v>
      </c>
      <c r="M749" s="1336">
        <v>2</v>
      </c>
      <c r="N749" s="1337"/>
      <c r="O749" s="1286">
        <f>M749/N748</f>
        <v>1</v>
      </c>
      <c r="P749" s="1287">
        <f t="shared" si="818"/>
        <v>496.91595439275824</v>
      </c>
      <c r="Q749" s="1281">
        <f t="shared" si="819"/>
        <v>0</v>
      </c>
      <c r="R749" s="1288">
        <f t="shared" si="820"/>
        <v>0</v>
      </c>
      <c r="S749" s="1289">
        <f t="shared" si="808"/>
        <v>1373.3935897896383</v>
      </c>
      <c r="T749" s="1289">
        <f t="shared" si="809"/>
        <v>0</v>
      </c>
      <c r="U749" s="1290">
        <f t="shared" si="810"/>
        <v>945.41219008264466</v>
      </c>
      <c r="V749" s="1290">
        <f t="shared" si="811"/>
        <v>0</v>
      </c>
      <c r="W749" s="1290">
        <f t="shared" si="812"/>
        <v>0</v>
      </c>
      <c r="X749" s="1290">
        <f t="shared" si="813"/>
        <v>1207.4973983471077</v>
      </c>
      <c r="Y749" s="396"/>
      <c r="Z749" s="1291" t="str">
        <f t="shared" si="821"/>
        <v>0-CUBLOSA</v>
      </c>
      <c r="AA749" s="1291" t="str">
        <f t="shared" si="822"/>
        <v>0-CUBLOSE</v>
      </c>
      <c r="AB749" s="1291" t="str">
        <f t="shared" si="823"/>
        <v>0-CUBLOSM</v>
      </c>
      <c r="AC749" s="1291" t="str">
        <f t="shared" si="824"/>
        <v>0-CUBLOST</v>
      </c>
      <c r="AD749" s="1291" t="str">
        <f t="shared" si="825"/>
        <v>0-CUBLOSS</v>
      </c>
      <c r="AE749" s="1291" t="str">
        <f t="shared" si="826"/>
        <v>0-CUBLOSX</v>
      </c>
      <c r="AF749" s="1291" t="str">
        <f t="shared" si="827"/>
        <v>0-CUBLOSA</v>
      </c>
      <c r="AG749" s="1291">
        <f t="shared" si="814"/>
        <v>24</v>
      </c>
      <c r="AH749" s="1291">
        <f>IF(B749&lt;&gt;"",+IF(H749="x",+VLOOKUP(I749,'AUX-NIV2'!B:AG,32,FALSE),0),"")</f>
        <v>0</v>
      </c>
      <c r="AI749" s="1291" t="str">
        <f t="shared" si="828"/>
        <v>0-CUBLOS</v>
      </c>
      <c r="AK749" s="347">
        <f t="shared" si="815"/>
        <v>738</v>
      </c>
      <c r="AL749" s="348">
        <f t="shared" si="829"/>
        <v>761</v>
      </c>
      <c r="AM749" s="347">
        <f t="shared" si="830"/>
        <v>12</v>
      </c>
      <c r="AN749" s="382">
        <f>IF(AND(AH749&gt;0,B749&lt;&gt;""),VLOOKUP(I749,'AUX-NIV2'!$B:$AP,40,FALSE)*O749,0)</f>
        <v>0</v>
      </c>
      <c r="AO749" s="382">
        <f t="shared" si="816"/>
        <v>2.8866666666666672</v>
      </c>
      <c r="AQ749" s="395">
        <f>(IF($H749="x",VLOOKUP($I749,'AUX-NIV2'!$B:$X,'AUX-NIV1'!AQ$3,FALSE),0)+($AV749*'AUX-NIV3'!S$4))*$O749+IF($H749=AQ$4,$P749,0)</f>
        <v>496.91595439275824</v>
      </c>
      <c r="AR749" s="395">
        <f>(IF($H749="x",VLOOKUP($I749,'AUX-NIV2'!$B:$X,'AUX-NIV1'!AR$3,FALSE),0)+($AV749*'AUX-NIV3'!T$4))*$O749+IF($H749=AR$4,$P749,0)</f>
        <v>0</v>
      </c>
      <c r="AS749" s="395">
        <f>(IF($H749="x",VLOOKUP($I749,'AUX-NIV2'!$B:$X,'AUX-NIV1'!AS$3,FALSE),0)+($AV749*'AUX-NIV3'!U$4))*$O749+IF($H749=AS$4,$P749,0)</f>
        <v>0</v>
      </c>
      <c r="AT749" s="395">
        <f>(IF($H749="x",VLOOKUP($I749,'AUX-NIV2'!$B:$X,'AUX-NIV1'!AT$3,FALSE),0)+($AV749*'AUX-NIV3'!V$4))*$O749+IF($H749=AT$4,$P749,0)</f>
        <v>0</v>
      </c>
      <c r="AU749" s="395">
        <f>(IF($H749="x",VLOOKUP($I749,'AUX-NIV2'!$B:$X,'AUX-NIV1'!AU$3,FALSE),0)+($AV749*'AUX-NIV3'!W$4))*$O749+IF($H749=AU$4,$P749,0)</f>
        <v>0</v>
      </c>
      <c r="AV749" s="395">
        <f>+IF($H749="x",VLOOKUP($I749,'AUX-NIV2'!$B:$X,'AUX-NIV1'!AV$3,FALSE),0)</f>
        <v>0</v>
      </c>
    </row>
    <row r="750" spans="2:48" ht="13.8" hidden="1" thickTop="1">
      <c r="B750" s="501" t="s">
        <v>3832</v>
      </c>
      <c r="C750" s="951" t="s">
        <v>3833</v>
      </c>
      <c r="D750" s="1280" t="s">
        <v>501</v>
      </c>
      <c r="E750" s="1281">
        <f>IF(B750&lt;&gt;"",+SUMIF(Items!C:C,'AUX-NIV1'!B750,Items!H:H),"")</f>
        <v>0</v>
      </c>
      <c r="F750" s="1281">
        <f t="shared" si="805"/>
        <v>3526.3031782193907</v>
      </c>
      <c r="G750" s="1281">
        <f t="shared" si="806"/>
        <v>0</v>
      </c>
      <c r="H750" s="1395" t="str">
        <f t="shared" si="817"/>
        <v>X</v>
      </c>
      <c r="I750" s="1375" t="s">
        <v>3736</v>
      </c>
      <c r="J750" s="1283" t="str">
        <f>IF(B750&lt;&gt;"",+VLOOKUP(I750,Recursos!C:F,2,FALSE),"")</f>
        <v>Mortero hidrofugo</v>
      </c>
      <c r="K750" s="1284" t="str">
        <f>IF(B750&lt;&gt;"",+VLOOKUP(I750,Recursos!C:F,3,FALSE),"")</f>
        <v>m3</v>
      </c>
      <c r="L750" s="1285">
        <f>IF(B750&lt;&gt;"",+VLOOKUP(I750,Recursos!C:F,4,FALSE),"")</f>
        <v>5494.2954545454559</v>
      </c>
      <c r="M750" s="1420"/>
      <c r="N750" s="1419">
        <v>0.02</v>
      </c>
      <c r="O750" s="1286">
        <f t="shared" ref="O750" si="832">N750</f>
        <v>0.02</v>
      </c>
      <c r="P750" s="1287">
        <f t="shared" si="818"/>
        <v>109.88590909090912</v>
      </c>
      <c r="Q750" s="1281">
        <f t="shared" si="819"/>
        <v>0</v>
      </c>
      <c r="R750" s="1288">
        <f t="shared" si="820"/>
        <v>0</v>
      </c>
      <c r="S750" s="1289">
        <f t="shared" si="808"/>
        <v>1373.3935897896383</v>
      </c>
      <c r="T750" s="1289">
        <f t="shared" si="809"/>
        <v>0</v>
      </c>
      <c r="U750" s="1290">
        <f t="shared" si="810"/>
        <v>945.41219008264466</v>
      </c>
      <c r="V750" s="1290">
        <f t="shared" si="811"/>
        <v>0</v>
      </c>
      <c r="W750" s="1290">
        <f t="shared" si="812"/>
        <v>0</v>
      </c>
      <c r="X750" s="1290">
        <f t="shared" si="813"/>
        <v>1207.4973983471077</v>
      </c>
      <c r="Y750" s="396"/>
      <c r="Z750" s="1291" t="str">
        <f t="shared" si="821"/>
        <v>0-CUBLOSA</v>
      </c>
      <c r="AA750" s="1291" t="str">
        <f t="shared" si="822"/>
        <v>0-CUBLOSE</v>
      </c>
      <c r="AB750" s="1291" t="str">
        <f t="shared" si="823"/>
        <v>0-CUBLOSM</v>
      </c>
      <c r="AC750" s="1291" t="str">
        <f t="shared" si="824"/>
        <v>0-CUBLOST</v>
      </c>
      <c r="AD750" s="1291" t="str">
        <f t="shared" si="825"/>
        <v>0-CUBLOSS</v>
      </c>
      <c r="AE750" s="1291" t="str">
        <f t="shared" si="826"/>
        <v>0-CUBLOSX</v>
      </c>
      <c r="AF750" s="1291" t="str">
        <f t="shared" si="827"/>
        <v>0-CUBLOSX</v>
      </c>
      <c r="AG750" s="1291">
        <f t="shared" si="814"/>
        <v>24</v>
      </c>
      <c r="AH750" s="1291">
        <f>IF(B750&lt;&gt;"",+IF(H750="x",+VLOOKUP(I750,'AUX-NIV2'!B:AG,32,FALSE),0),"")</f>
        <v>3</v>
      </c>
      <c r="AI750" s="1291" t="str">
        <f t="shared" si="828"/>
        <v>0-CUBLOS</v>
      </c>
      <c r="AK750" s="347">
        <f t="shared" si="815"/>
        <v>738</v>
      </c>
      <c r="AL750" s="348">
        <f t="shared" si="829"/>
        <v>761</v>
      </c>
      <c r="AM750" s="347">
        <f t="shared" si="830"/>
        <v>13</v>
      </c>
      <c r="AN750" s="382">
        <f>IF(AND(AH750&gt;0,B750&lt;&gt;""),VLOOKUP(I750,'AUX-NIV2'!$B:$AP,40,FALSE)*O750,0)</f>
        <v>0</v>
      </c>
      <c r="AO750" s="382">
        <f t="shared" si="816"/>
        <v>2.8866666666666672</v>
      </c>
      <c r="AQ750" s="395">
        <f>(IF($H750="x",VLOOKUP($I750,'AUX-NIV2'!$B:$X,'AUX-NIV1'!AQ$3,FALSE),0)+($AV750*'AUX-NIV3'!S$4))*$O750+IF($H750=AQ$4,$P750,0)</f>
        <v>0</v>
      </c>
      <c r="AR750" s="395">
        <f>(IF($H750="x",VLOOKUP($I750,'AUX-NIV2'!$B:$X,'AUX-NIV1'!AR$3,FALSE),0)+($AV750*'AUX-NIV3'!T$4))*$O750+IF($H750=AR$4,$P750,0)</f>
        <v>0</v>
      </c>
      <c r="AS750" s="395">
        <f>(IF($H750="x",VLOOKUP($I750,'AUX-NIV2'!$B:$X,'AUX-NIV1'!AS$3,FALSE),0)+($AV750*'AUX-NIV3'!U$4))*$O750+IF($H750=AS$4,$P750,0)</f>
        <v>109.88590909090912</v>
      </c>
      <c r="AT750" s="395">
        <f>(IF($H750="x",VLOOKUP($I750,'AUX-NIV2'!$B:$X,'AUX-NIV1'!AT$3,FALSE),0)+($AV750*'AUX-NIV3'!V$4))*$O750+IF($H750=AT$4,$P750,0)</f>
        <v>0</v>
      </c>
      <c r="AU750" s="395">
        <f>(IF($H750="x",VLOOKUP($I750,'AUX-NIV2'!$B:$X,'AUX-NIV1'!AU$3,FALSE),0)+($AV750*'AUX-NIV3'!W$4))*$O750+IF($H750=AU$4,$P750,0)</f>
        <v>0</v>
      </c>
      <c r="AV750" s="395">
        <f>+IF($H750="x",VLOOKUP($I750,'AUX-NIV2'!$B:$X,'AUX-NIV1'!AV$3,FALSE),0)</f>
        <v>0</v>
      </c>
    </row>
    <row r="751" spans="2:48" ht="13.8" hidden="1" thickTop="1">
      <c r="B751" s="501" t="s">
        <v>3832</v>
      </c>
      <c r="C751" s="951" t="s">
        <v>3833</v>
      </c>
      <c r="D751" s="1280" t="s">
        <v>501</v>
      </c>
      <c r="E751" s="1281">
        <f>IF(B751&lt;&gt;"",+SUMIF(Items!C:C,'AUX-NIV1'!B751,Items!H:H),"")</f>
        <v>0</v>
      </c>
      <c r="F751" s="1281">
        <f t="shared" si="805"/>
        <v>3526.3031782193907</v>
      </c>
      <c r="G751" s="1281">
        <f t="shared" si="806"/>
        <v>0</v>
      </c>
      <c r="H751" s="1395" t="str">
        <f t="shared" si="817"/>
        <v>A</v>
      </c>
      <c r="I751" s="1375" t="s">
        <v>1745</v>
      </c>
      <c r="J751" s="1283" t="str">
        <f>IF(B751&lt;&gt;"",+VLOOKUP(I751,Recursos!C:F,2,FALSE),"")</f>
        <v>AYUDANTE</v>
      </c>
      <c r="K751" s="1284" t="str">
        <f>IF(B751&lt;&gt;"",+VLOOKUP(I751,Recursos!C:F,3,FALSE),"")</f>
        <v>hh</v>
      </c>
      <c r="L751" s="1285">
        <f>IF(B751&lt;&gt;"",+VLOOKUP(I751,Recursos!C:F,4,FALSE),"")</f>
        <v>422.48042769667234</v>
      </c>
      <c r="M751" s="1399">
        <v>20</v>
      </c>
      <c r="N751" s="1400">
        <v>2</v>
      </c>
      <c r="O751" s="1286">
        <f>N751/M751</f>
        <v>0.1</v>
      </c>
      <c r="P751" s="1287">
        <f t="shared" si="818"/>
        <v>42.248042769667236</v>
      </c>
      <c r="Q751" s="1281">
        <f t="shared" si="819"/>
        <v>0</v>
      </c>
      <c r="R751" s="1288">
        <f t="shared" si="820"/>
        <v>0</v>
      </c>
      <c r="S751" s="1289">
        <f t="shared" si="808"/>
        <v>1373.3935897896383</v>
      </c>
      <c r="T751" s="1289">
        <f t="shared" si="809"/>
        <v>0</v>
      </c>
      <c r="U751" s="1290">
        <f t="shared" si="810"/>
        <v>945.41219008264466</v>
      </c>
      <c r="V751" s="1290">
        <f t="shared" si="811"/>
        <v>0</v>
      </c>
      <c r="W751" s="1290">
        <f t="shared" si="812"/>
        <v>0</v>
      </c>
      <c r="X751" s="1290">
        <f t="shared" si="813"/>
        <v>1207.4973983471077</v>
      </c>
      <c r="Y751" s="396"/>
      <c r="Z751" s="1291" t="str">
        <f t="shared" si="821"/>
        <v>0-CUBLOSA</v>
      </c>
      <c r="AA751" s="1291" t="str">
        <f t="shared" si="822"/>
        <v>0-CUBLOSE</v>
      </c>
      <c r="AB751" s="1291" t="str">
        <f t="shared" si="823"/>
        <v>0-CUBLOSM</v>
      </c>
      <c r="AC751" s="1291" t="str">
        <f t="shared" si="824"/>
        <v>0-CUBLOST</v>
      </c>
      <c r="AD751" s="1291" t="str">
        <f t="shared" si="825"/>
        <v>0-CUBLOSS</v>
      </c>
      <c r="AE751" s="1291" t="str">
        <f t="shared" si="826"/>
        <v>0-CUBLOSX</v>
      </c>
      <c r="AF751" s="1291" t="str">
        <f t="shared" si="827"/>
        <v>0-CUBLOSA</v>
      </c>
      <c r="AG751" s="1291">
        <f t="shared" si="814"/>
        <v>24</v>
      </c>
      <c r="AH751" s="1291">
        <f>IF(B751&lt;&gt;"",+IF(H751="x",+VLOOKUP(I751,'AUX-NIV2'!B:AG,32,FALSE),0),"")</f>
        <v>0</v>
      </c>
      <c r="AI751" s="1291" t="str">
        <f t="shared" si="828"/>
        <v>0-CUBLOS</v>
      </c>
      <c r="AK751" s="347">
        <f t="shared" si="815"/>
        <v>738</v>
      </c>
      <c r="AL751" s="348">
        <f t="shared" si="829"/>
        <v>761</v>
      </c>
      <c r="AM751" s="347">
        <f t="shared" si="830"/>
        <v>14</v>
      </c>
      <c r="AN751" s="382">
        <f>IF(AND(AH751&gt;0,B751&lt;&gt;""),VLOOKUP(I751,'AUX-NIV2'!$B:$AP,40,FALSE)*O751,0)</f>
        <v>0</v>
      </c>
      <c r="AO751" s="382">
        <f t="shared" si="816"/>
        <v>2.8866666666666672</v>
      </c>
      <c r="AQ751" s="395">
        <f>(IF($H751="x",VLOOKUP($I751,'AUX-NIV2'!$B:$X,'AUX-NIV1'!AQ$3,FALSE),0)+($AV751*'AUX-NIV3'!S$4))*$O751+IF($H751=AQ$4,$P751,0)</f>
        <v>42.248042769667236</v>
      </c>
      <c r="AR751" s="395">
        <f>(IF($H751="x",VLOOKUP($I751,'AUX-NIV2'!$B:$X,'AUX-NIV1'!AR$3,FALSE),0)+($AV751*'AUX-NIV3'!T$4))*$O751+IF($H751=AR$4,$P751,0)</f>
        <v>0</v>
      </c>
      <c r="AS751" s="395">
        <f>(IF($H751="x",VLOOKUP($I751,'AUX-NIV2'!$B:$X,'AUX-NIV1'!AS$3,FALSE),0)+($AV751*'AUX-NIV3'!U$4))*$O751+IF($H751=AS$4,$P751,0)</f>
        <v>0</v>
      </c>
      <c r="AT751" s="395">
        <f>(IF($H751="x",VLOOKUP($I751,'AUX-NIV2'!$B:$X,'AUX-NIV1'!AT$3,FALSE),0)+($AV751*'AUX-NIV3'!V$4))*$O751+IF($H751=AT$4,$P751,0)</f>
        <v>0</v>
      </c>
      <c r="AU751" s="395">
        <f>(IF($H751="x",VLOOKUP($I751,'AUX-NIV2'!$B:$X,'AUX-NIV1'!AU$3,FALSE),0)+($AV751*'AUX-NIV3'!W$4))*$O751+IF($H751=AU$4,$P751,0)</f>
        <v>0</v>
      </c>
      <c r="AV751" s="395">
        <f>+IF($H751="x",VLOOKUP($I751,'AUX-NIV2'!$B:$X,'AUX-NIV1'!AV$3,FALSE),0)</f>
        <v>0</v>
      </c>
    </row>
    <row r="752" spans="2:48" ht="13.8" hidden="1" thickTop="1">
      <c r="B752" s="501" t="s">
        <v>3832</v>
      </c>
      <c r="C752" s="951" t="s">
        <v>3833</v>
      </c>
      <c r="D752" s="1280" t="s">
        <v>501</v>
      </c>
      <c r="E752" s="1281">
        <f>IF(B752&lt;&gt;"",+SUMIF(Items!C:C,'AUX-NIV1'!B752,Items!H:H),"")</f>
        <v>0</v>
      </c>
      <c r="F752" s="1281">
        <f t="shared" si="805"/>
        <v>3526.3031782193907</v>
      </c>
      <c r="G752" s="1281">
        <f t="shared" si="806"/>
        <v>0</v>
      </c>
      <c r="H752" s="1395" t="str">
        <f t="shared" si="817"/>
        <v>A</v>
      </c>
      <c r="I752" s="1375" t="s">
        <v>1746</v>
      </c>
      <c r="J752" s="1283" t="str">
        <f>IF(B752&lt;&gt;"",+VLOOKUP(I752,Recursos!C:F,2,FALSE),"")</f>
        <v>OFICIAL</v>
      </c>
      <c r="K752" s="1284" t="str">
        <f>IF(B752&lt;&gt;"",+VLOOKUP(I752,Recursos!C:F,3,FALSE),"")</f>
        <v>hh</v>
      </c>
      <c r="L752" s="1285">
        <f>IF(B752&lt;&gt;"",+VLOOKUP(I752,Recursos!C:F,4,FALSE),"")</f>
        <v>496.91595439275824</v>
      </c>
      <c r="M752" s="1342"/>
      <c r="N752" s="1337">
        <v>1</v>
      </c>
      <c r="O752" s="1286">
        <f>N752/M751</f>
        <v>0.05</v>
      </c>
      <c r="P752" s="1287">
        <f t="shared" si="818"/>
        <v>24.845797719637915</v>
      </c>
      <c r="Q752" s="1281">
        <f t="shared" si="819"/>
        <v>0</v>
      </c>
      <c r="R752" s="1288">
        <f t="shared" si="820"/>
        <v>0</v>
      </c>
      <c r="S752" s="1289">
        <f t="shared" si="808"/>
        <v>1373.3935897896383</v>
      </c>
      <c r="T752" s="1289">
        <f t="shared" si="809"/>
        <v>0</v>
      </c>
      <c r="U752" s="1290">
        <f t="shared" si="810"/>
        <v>945.41219008264466</v>
      </c>
      <c r="V752" s="1290">
        <f t="shared" si="811"/>
        <v>0</v>
      </c>
      <c r="W752" s="1290">
        <f t="shared" si="812"/>
        <v>0</v>
      </c>
      <c r="X752" s="1290">
        <f t="shared" si="813"/>
        <v>1207.4973983471077</v>
      </c>
      <c r="Y752" s="396"/>
      <c r="Z752" s="1291" t="str">
        <f t="shared" si="821"/>
        <v>0-CUBLOSA</v>
      </c>
      <c r="AA752" s="1291" t="str">
        <f t="shared" si="822"/>
        <v>0-CUBLOSE</v>
      </c>
      <c r="AB752" s="1291" t="str">
        <f t="shared" si="823"/>
        <v>0-CUBLOSM</v>
      </c>
      <c r="AC752" s="1291" t="str">
        <f t="shared" si="824"/>
        <v>0-CUBLOST</v>
      </c>
      <c r="AD752" s="1291" t="str">
        <f t="shared" si="825"/>
        <v>0-CUBLOSS</v>
      </c>
      <c r="AE752" s="1291" t="str">
        <f t="shared" si="826"/>
        <v>0-CUBLOSX</v>
      </c>
      <c r="AF752" s="1291" t="str">
        <f t="shared" si="827"/>
        <v>0-CUBLOSA</v>
      </c>
      <c r="AG752" s="1291">
        <f t="shared" si="814"/>
        <v>24</v>
      </c>
      <c r="AH752" s="1291">
        <f>IF(B752&lt;&gt;"",+IF(H752="x",+VLOOKUP(I752,'AUX-NIV2'!B:AG,32,FALSE),0),"")</f>
        <v>0</v>
      </c>
      <c r="AI752" s="1291" t="str">
        <f t="shared" si="828"/>
        <v>0-CUBLOS</v>
      </c>
      <c r="AK752" s="347">
        <f t="shared" si="815"/>
        <v>738</v>
      </c>
      <c r="AL752" s="348">
        <f t="shared" si="829"/>
        <v>761</v>
      </c>
      <c r="AM752" s="347">
        <f t="shared" si="830"/>
        <v>15</v>
      </c>
      <c r="AN752" s="382">
        <f>IF(AND(AH752&gt;0,B752&lt;&gt;""),VLOOKUP(I752,'AUX-NIV2'!$B:$AP,40,FALSE)*O752,0)</f>
        <v>0</v>
      </c>
      <c r="AO752" s="382">
        <f t="shared" si="816"/>
        <v>2.8866666666666672</v>
      </c>
      <c r="AQ752" s="395">
        <f>(IF($H752="x",VLOOKUP($I752,'AUX-NIV2'!$B:$X,'AUX-NIV1'!AQ$3,FALSE),0)+($AV752*'AUX-NIV3'!S$4))*$O752+IF($H752=AQ$4,$P752,0)</f>
        <v>24.845797719637915</v>
      </c>
      <c r="AR752" s="395">
        <f>(IF($H752="x",VLOOKUP($I752,'AUX-NIV2'!$B:$X,'AUX-NIV1'!AR$3,FALSE),0)+($AV752*'AUX-NIV3'!T$4))*$O752+IF($H752=AR$4,$P752,0)</f>
        <v>0</v>
      </c>
      <c r="AS752" s="395">
        <f>(IF($H752="x",VLOOKUP($I752,'AUX-NIV2'!$B:$X,'AUX-NIV1'!AS$3,FALSE),0)+($AV752*'AUX-NIV3'!U$4))*$O752+IF($H752=AS$4,$P752,0)</f>
        <v>0</v>
      </c>
      <c r="AT752" s="395">
        <f>(IF($H752="x",VLOOKUP($I752,'AUX-NIV2'!$B:$X,'AUX-NIV1'!AT$3,FALSE),0)+($AV752*'AUX-NIV3'!V$4))*$O752+IF($H752=AT$4,$P752,0)</f>
        <v>0</v>
      </c>
      <c r="AU752" s="395">
        <f>(IF($H752="x",VLOOKUP($I752,'AUX-NIV2'!$B:$X,'AUX-NIV1'!AU$3,FALSE),0)+($AV752*'AUX-NIV3'!W$4))*$O752+IF($H752=AU$4,$P752,0)</f>
        <v>0</v>
      </c>
      <c r="AV752" s="395">
        <f>+IF($H752="x",VLOOKUP($I752,'AUX-NIV2'!$B:$X,'AUX-NIV1'!AV$3,FALSE),0)</f>
        <v>0</v>
      </c>
    </row>
    <row r="753" spans="2:48" ht="13.8" hidden="1" thickTop="1">
      <c r="B753" s="501" t="s">
        <v>3832</v>
      </c>
      <c r="C753" s="951" t="s">
        <v>3833</v>
      </c>
      <c r="D753" s="1280" t="s">
        <v>501</v>
      </c>
      <c r="E753" s="1281">
        <f>IF(B753&lt;&gt;"",+SUMIF(Items!C:C,'AUX-NIV1'!B753,Items!H:H),"")</f>
        <v>0</v>
      </c>
      <c r="F753" s="1281">
        <f t="shared" si="805"/>
        <v>3526.3031782193907</v>
      </c>
      <c r="G753" s="1281">
        <f t="shared" si="806"/>
        <v>0</v>
      </c>
      <c r="H753" s="1395" t="str">
        <f t="shared" si="817"/>
        <v>M</v>
      </c>
      <c r="I753" s="1375" t="s">
        <v>3469</v>
      </c>
      <c r="J753" s="1283" t="str">
        <f>IF(B753&lt;&gt;"",+VLOOKUP(I753,Recursos!C:F,2,FALSE),"")</f>
        <v>MEMBRANA ASFALTICA GEOTEXTIL</v>
      </c>
      <c r="K753" s="1284" t="str">
        <f>IF(B753&lt;&gt;"",+VLOOKUP(I753,Recursos!C:F,3,FALSE),"")</f>
        <v>m2</v>
      </c>
      <c r="L753" s="1285">
        <f>IF(B753&lt;&gt;"",+VLOOKUP(I753,Recursos!C:F,4,FALSE),"")</f>
        <v>289.25619834710744</v>
      </c>
      <c r="M753" s="1420"/>
      <c r="N753" s="1419">
        <v>1.1000000000000001</v>
      </c>
      <c r="O753" s="1286">
        <f t="shared" ref="O753" si="833">N753</f>
        <v>1.1000000000000001</v>
      </c>
      <c r="P753" s="1287">
        <f t="shared" si="818"/>
        <v>318.18181818181819</v>
      </c>
      <c r="Q753" s="1281">
        <f t="shared" si="819"/>
        <v>0</v>
      </c>
      <c r="R753" s="1288">
        <f t="shared" si="820"/>
        <v>0</v>
      </c>
      <c r="S753" s="1289">
        <f t="shared" si="808"/>
        <v>1373.3935897896383</v>
      </c>
      <c r="T753" s="1289">
        <f t="shared" si="809"/>
        <v>0</v>
      </c>
      <c r="U753" s="1290">
        <f t="shared" si="810"/>
        <v>945.41219008264466</v>
      </c>
      <c r="V753" s="1290">
        <f t="shared" si="811"/>
        <v>0</v>
      </c>
      <c r="W753" s="1290">
        <f t="shared" si="812"/>
        <v>0</v>
      </c>
      <c r="X753" s="1290">
        <f t="shared" si="813"/>
        <v>1207.4973983471077</v>
      </c>
      <c r="Y753" s="396"/>
      <c r="Z753" s="1291" t="str">
        <f t="shared" si="821"/>
        <v>0-CUBLOSA</v>
      </c>
      <c r="AA753" s="1291" t="str">
        <f t="shared" si="822"/>
        <v>0-CUBLOSE</v>
      </c>
      <c r="AB753" s="1291" t="str">
        <f t="shared" si="823"/>
        <v>0-CUBLOSM</v>
      </c>
      <c r="AC753" s="1291" t="str">
        <f t="shared" si="824"/>
        <v>0-CUBLOST</v>
      </c>
      <c r="AD753" s="1291" t="str">
        <f t="shared" si="825"/>
        <v>0-CUBLOSS</v>
      </c>
      <c r="AE753" s="1291" t="str">
        <f t="shared" si="826"/>
        <v>0-CUBLOSX</v>
      </c>
      <c r="AF753" s="1291" t="str">
        <f t="shared" si="827"/>
        <v>0-CUBLOSM</v>
      </c>
      <c r="AG753" s="1291">
        <f t="shared" si="814"/>
        <v>24</v>
      </c>
      <c r="AH753" s="1291">
        <f>IF(B753&lt;&gt;"",+IF(H753="x",+VLOOKUP(I753,'AUX-NIV2'!B:AG,32,FALSE),0),"")</f>
        <v>0</v>
      </c>
      <c r="AI753" s="1291" t="str">
        <f t="shared" si="828"/>
        <v>0-CUBLOS</v>
      </c>
      <c r="AK753" s="347">
        <f t="shared" si="815"/>
        <v>738</v>
      </c>
      <c r="AL753" s="348">
        <f t="shared" si="829"/>
        <v>761</v>
      </c>
      <c r="AM753" s="347">
        <f t="shared" si="830"/>
        <v>16</v>
      </c>
      <c r="AN753" s="382">
        <f>IF(AND(AH753&gt;0,B753&lt;&gt;""),VLOOKUP(I753,'AUX-NIV2'!$B:$AP,40,FALSE)*O753,0)</f>
        <v>0</v>
      </c>
      <c r="AO753" s="382">
        <f t="shared" si="816"/>
        <v>2.8866666666666672</v>
      </c>
      <c r="AQ753" s="395">
        <f>(IF($H753="x",VLOOKUP($I753,'AUX-NIV2'!$B:$X,'AUX-NIV1'!AQ$3,FALSE),0)+($AV753*'AUX-NIV3'!S$4))*$O753+IF($H753=AQ$4,$P753,0)</f>
        <v>0</v>
      </c>
      <c r="AR753" s="395">
        <f>(IF($H753="x",VLOOKUP($I753,'AUX-NIV2'!$B:$X,'AUX-NIV1'!AR$3,FALSE),0)+($AV753*'AUX-NIV3'!T$4))*$O753+IF($H753=AR$4,$P753,0)</f>
        <v>0</v>
      </c>
      <c r="AS753" s="395">
        <f>(IF($H753="x",VLOOKUP($I753,'AUX-NIV2'!$B:$X,'AUX-NIV1'!AS$3,FALSE),0)+($AV753*'AUX-NIV3'!U$4))*$O753+IF($H753=AS$4,$P753,0)</f>
        <v>318.18181818181819</v>
      </c>
      <c r="AT753" s="395">
        <f>(IF($H753="x",VLOOKUP($I753,'AUX-NIV2'!$B:$X,'AUX-NIV1'!AT$3,FALSE),0)+($AV753*'AUX-NIV3'!V$4))*$O753+IF($H753=AT$4,$P753,0)</f>
        <v>0</v>
      </c>
      <c r="AU753" s="395">
        <f>(IF($H753="x",VLOOKUP($I753,'AUX-NIV2'!$B:$X,'AUX-NIV1'!AU$3,FALSE),0)+($AV753*'AUX-NIV3'!W$4))*$O753+IF($H753=AU$4,$P753,0)</f>
        <v>0</v>
      </c>
      <c r="AV753" s="395">
        <f>+IF($H753="x",VLOOKUP($I753,'AUX-NIV2'!$B:$X,'AUX-NIV1'!AV$3,FALSE),0)</f>
        <v>0</v>
      </c>
    </row>
    <row r="754" spans="2:48" ht="13.8" hidden="1" thickTop="1">
      <c r="B754" s="501" t="s">
        <v>3832</v>
      </c>
      <c r="C754" s="951" t="s">
        <v>3833</v>
      </c>
      <c r="D754" s="1280" t="s">
        <v>501</v>
      </c>
      <c r="E754" s="1281">
        <f>IF(B754&lt;&gt;"",+SUMIF(Items!C:C,'AUX-NIV1'!B754,Items!H:H),"")</f>
        <v>0</v>
      </c>
      <c r="F754" s="1281">
        <f t="shared" si="805"/>
        <v>3526.3031782193907</v>
      </c>
      <c r="G754" s="1281">
        <f t="shared" si="806"/>
        <v>0</v>
      </c>
      <c r="H754" s="1395" t="str">
        <f t="shared" si="817"/>
        <v>A</v>
      </c>
      <c r="I754" s="1375" t="s">
        <v>1745</v>
      </c>
      <c r="J754" s="1283" t="str">
        <f>IF(B754&lt;&gt;"",+VLOOKUP(I754,Recursos!C:F,2,FALSE),"")</f>
        <v>AYUDANTE</v>
      </c>
      <c r="K754" s="1284" t="str">
        <f>IF(B754&lt;&gt;"",+VLOOKUP(I754,Recursos!C:F,3,FALSE),"")</f>
        <v>hh</v>
      </c>
      <c r="L754" s="1285">
        <f>IF(B754&lt;&gt;"",+VLOOKUP(I754,Recursos!C:F,4,FALSE),"")</f>
        <v>422.48042769667234</v>
      </c>
      <c r="M754" s="1399">
        <v>3</v>
      </c>
      <c r="N754" s="1400"/>
      <c r="O754" s="1286">
        <f>N754/M754</f>
        <v>0</v>
      </c>
      <c r="P754" s="1287">
        <f t="shared" si="818"/>
        <v>0</v>
      </c>
      <c r="Q754" s="1281">
        <f t="shared" si="819"/>
        <v>0</v>
      </c>
      <c r="R754" s="1288">
        <f t="shared" si="820"/>
        <v>0</v>
      </c>
      <c r="S754" s="1289">
        <f t="shared" si="808"/>
        <v>1373.3935897896383</v>
      </c>
      <c r="T754" s="1289">
        <f t="shared" si="809"/>
        <v>0</v>
      </c>
      <c r="U754" s="1290">
        <f t="shared" si="810"/>
        <v>945.41219008264466</v>
      </c>
      <c r="V754" s="1290">
        <f t="shared" si="811"/>
        <v>0</v>
      </c>
      <c r="W754" s="1290">
        <f t="shared" si="812"/>
        <v>0</v>
      </c>
      <c r="X754" s="1290">
        <f t="shared" si="813"/>
        <v>1207.4973983471077</v>
      </c>
      <c r="Y754" s="396"/>
      <c r="Z754" s="1291" t="str">
        <f t="shared" si="821"/>
        <v>0-CUBLOSA</v>
      </c>
      <c r="AA754" s="1291" t="str">
        <f t="shared" si="822"/>
        <v>0-CUBLOSE</v>
      </c>
      <c r="AB754" s="1291" t="str">
        <f t="shared" si="823"/>
        <v>0-CUBLOSM</v>
      </c>
      <c r="AC754" s="1291" t="str">
        <f t="shared" si="824"/>
        <v>0-CUBLOST</v>
      </c>
      <c r="AD754" s="1291" t="str">
        <f t="shared" si="825"/>
        <v>0-CUBLOSS</v>
      </c>
      <c r="AE754" s="1291" t="str">
        <f t="shared" si="826"/>
        <v>0-CUBLOSX</v>
      </c>
      <c r="AF754" s="1291" t="str">
        <f t="shared" si="827"/>
        <v>0-CUBLOSA</v>
      </c>
      <c r="AG754" s="1291">
        <f t="shared" si="814"/>
        <v>24</v>
      </c>
      <c r="AH754" s="1291">
        <f>IF(B754&lt;&gt;"",+IF(H754="x",+VLOOKUP(I754,'AUX-NIV2'!B:AG,32,FALSE),0),"")</f>
        <v>0</v>
      </c>
      <c r="AI754" s="1291" t="str">
        <f t="shared" si="828"/>
        <v>0-CUBLOS</v>
      </c>
      <c r="AK754" s="347">
        <f t="shared" si="815"/>
        <v>738</v>
      </c>
      <c r="AL754" s="348">
        <f t="shared" si="829"/>
        <v>761</v>
      </c>
      <c r="AM754" s="347">
        <f t="shared" si="830"/>
        <v>17</v>
      </c>
      <c r="AN754" s="382">
        <f>IF(AND(AH754&gt;0,B754&lt;&gt;""),VLOOKUP(I754,'AUX-NIV2'!$B:$AP,40,FALSE)*O754,0)</f>
        <v>0</v>
      </c>
      <c r="AO754" s="382">
        <f t="shared" si="816"/>
        <v>2.8866666666666672</v>
      </c>
      <c r="AQ754" s="395">
        <f>(IF($H754="x",VLOOKUP($I754,'AUX-NIV2'!$B:$X,'AUX-NIV1'!AQ$3,FALSE),0)+($AV754*'AUX-NIV3'!S$4))*$O754+IF($H754=AQ$4,$P754,0)</f>
        <v>0</v>
      </c>
      <c r="AR754" s="395">
        <f>(IF($H754="x",VLOOKUP($I754,'AUX-NIV2'!$B:$X,'AUX-NIV1'!AR$3,FALSE),0)+($AV754*'AUX-NIV3'!T$4))*$O754+IF($H754=AR$4,$P754,0)</f>
        <v>0</v>
      </c>
      <c r="AS754" s="395">
        <f>(IF($H754="x",VLOOKUP($I754,'AUX-NIV2'!$B:$X,'AUX-NIV1'!AS$3,FALSE),0)+($AV754*'AUX-NIV3'!U$4))*$O754+IF($H754=AS$4,$P754,0)</f>
        <v>0</v>
      </c>
      <c r="AT754" s="395">
        <f>(IF($H754="x",VLOOKUP($I754,'AUX-NIV2'!$B:$X,'AUX-NIV1'!AT$3,FALSE),0)+($AV754*'AUX-NIV3'!V$4))*$O754+IF($H754=AT$4,$P754,0)</f>
        <v>0</v>
      </c>
      <c r="AU754" s="395">
        <f>(IF($H754="x",VLOOKUP($I754,'AUX-NIV2'!$B:$X,'AUX-NIV1'!AU$3,FALSE),0)+($AV754*'AUX-NIV3'!W$4))*$O754+IF($H754=AU$4,$P754,0)</f>
        <v>0</v>
      </c>
      <c r="AV754" s="395">
        <f>+IF($H754="x",VLOOKUP($I754,'AUX-NIV2'!$B:$X,'AUX-NIV1'!AV$3,FALSE),0)</f>
        <v>0</v>
      </c>
    </row>
    <row r="755" spans="2:48" ht="13.8" hidden="1" thickTop="1">
      <c r="B755" s="501" t="s">
        <v>3832</v>
      </c>
      <c r="C755" s="951" t="s">
        <v>3833</v>
      </c>
      <c r="D755" s="1280" t="s">
        <v>501</v>
      </c>
      <c r="E755" s="1281">
        <f>IF(B755&lt;&gt;"",+SUMIF(Items!C:C,'AUX-NIV1'!B755,Items!H:H),"")</f>
        <v>0</v>
      </c>
      <c r="F755" s="1281">
        <f t="shared" si="805"/>
        <v>3526.3031782193907</v>
      </c>
      <c r="G755" s="1281">
        <f t="shared" si="806"/>
        <v>0</v>
      </c>
      <c r="H755" s="1395" t="str">
        <f t="shared" si="817"/>
        <v>A</v>
      </c>
      <c r="I755" s="1375" t="s">
        <v>1746</v>
      </c>
      <c r="J755" s="1283" t="str">
        <f>IF(B755&lt;&gt;"",+VLOOKUP(I755,Recursos!C:F,2,FALSE),"")</f>
        <v>OFICIAL</v>
      </c>
      <c r="K755" s="1284" t="str">
        <f>IF(B755&lt;&gt;"",+VLOOKUP(I755,Recursos!C:F,3,FALSE),"")</f>
        <v>hh</v>
      </c>
      <c r="L755" s="1285">
        <f>IF(B755&lt;&gt;"",+VLOOKUP(I755,Recursos!C:F,4,FALSE),"")</f>
        <v>496.91595439275824</v>
      </c>
      <c r="M755" s="1342"/>
      <c r="N755" s="1337">
        <v>1</v>
      </c>
      <c r="O755" s="1286">
        <f>N755/M754</f>
        <v>0.33333333333333331</v>
      </c>
      <c r="P755" s="1287">
        <f t="shared" si="818"/>
        <v>165.63865146425275</v>
      </c>
      <c r="Q755" s="1281">
        <f t="shared" si="819"/>
        <v>0</v>
      </c>
      <c r="R755" s="1288">
        <f t="shared" si="820"/>
        <v>0</v>
      </c>
      <c r="S755" s="1289">
        <f t="shared" si="808"/>
        <v>1373.3935897896383</v>
      </c>
      <c r="T755" s="1289">
        <f t="shared" si="809"/>
        <v>0</v>
      </c>
      <c r="U755" s="1290">
        <f t="shared" si="810"/>
        <v>945.41219008264466</v>
      </c>
      <c r="V755" s="1290">
        <f t="shared" si="811"/>
        <v>0</v>
      </c>
      <c r="W755" s="1290">
        <f t="shared" si="812"/>
        <v>0</v>
      </c>
      <c r="X755" s="1290">
        <f t="shared" si="813"/>
        <v>1207.4973983471077</v>
      </c>
      <c r="Y755" s="396"/>
      <c r="Z755" s="1291" t="str">
        <f t="shared" si="821"/>
        <v>0-CUBLOSA</v>
      </c>
      <c r="AA755" s="1291" t="str">
        <f t="shared" si="822"/>
        <v>0-CUBLOSE</v>
      </c>
      <c r="AB755" s="1291" t="str">
        <f t="shared" si="823"/>
        <v>0-CUBLOSM</v>
      </c>
      <c r="AC755" s="1291" t="str">
        <f t="shared" si="824"/>
        <v>0-CUBLOST</v>
      </c>
      <c r="AD755" s="1291" t="str">
        <f t="shared" si="825"/>
        <v>0-CUBLOSS</v>
      </c>
      <c r="AE755" s="1291" t="str">
        <f t="shared" si="826"/>
        <v>0-CUBLOSX</v>
      </c>
      <c r="AF755" s="1291" t="str">
        <f t="shared" si="827"/>
        <v>0-CUBLOSA</v>
      </c>
      <c r="AG755" s="1291">
        <f t="shared" si="814"/>
        <v>24</v>
      </c>
      <c r="AH755" s="1291">
        <f>IF(B755&lt;&gt;"",+IF(H755="x",+VLOOKUP(I755,'AUX-NIV2'!B:AG,32,FALSE),0),"")</f>
        <v>0</v>
      </c>
      <c r="AI755" s="1291" t="str">
        <f t="shared" si="828"/>
        <v>0-CUBLOS</v>
      </c>
      <c r="AK755" s="347">
        <f t="shared" si="815"/>
        <v>738</v>
      </c>
      <c r="AL755" s="348">
        <f t="shared" si="829"/>
        <v>761</v>
      </c>
      <c r="AM755" s="347">
        <f t="shared" si="830"/>
        <v>18</v>
      </c>
      <c r="AN755" s="382">
        <f>IF(AND(AH755&gt;0,B755&lt;&gt;""),VLOOKUP(I755,'AUX-NIV2'!$B:$AP,40,FALSE)*O755,0)</f>
        <v>0</v>
      </c>
      <c r="AO755" s="382">
        <f t="shared" si="816"/>
        <v>2.8866666666666672</v>
      </c>
      <c r="AQ755" s="395">
        <f>(IF($H755="x",VLOOKUP($I755,'AUX-NIV2'!$B:$X,'AUX-NIV1'!AQ$3,FALSE),0)+($AV755*'AUX-NIV3'!S$4))*$O755+IF($H755=AQ$4,$P755,0)</f>
        <v>165.63865146425275</v>
      </c>
      <c r="AR755" s="395">
        <f>(IF($H755="x",VLOOKUP($I755,'AUX-NIV2'!$B:$X,'AUX-NIV1'!AR$3,FALSE),0)+($AV755*'AUX-NIV3'!T$4))*$O755+IF($H755=AR$4,$P755,0)</f>
        <v>0</v>
      </c>
      <c r="AS755" s="395">
        <f>(IF($H755="x",VLOOKUP($I755,'AUX-NIV2'!$B:$X,'AUX-NIV1'!AS$3,FALSE),0)+($AV755*'AUX-NIV3'!U$4))*$O755+IF($H755=AS$4,$P755,0)</f>
        <v>0</v>
      </c>
      <c r="AT755" s="395">
        <f>(IF($H755="x",VLOOKUP($I755,'AUX-NIV2'!$B:$X,'AUX-NIV1'!AT$3,FALSE),0)+($AV755*'AUX-NIV3'!V$4))*$O755+IF($H755=AT$4,$P755,0)</f>
        <v>0</v>
      </c>
      <c r="AU755" s="395">
        <f>(IF($H755="x",VLOOKUP($I755,'AUX-NIV2'!$B:$X,'AUX-NIV1'!AU$3,FALSE),0)+($AV755*'AUX-NIV3'!W$4))*$O755+IF($H755=AU$4,$P755,0)</f>
        <v>0</v>
      </c>
      <c r="AV755" s="395">
        <f>+IF($H755="x",VLOOKUP($I755,'AUX-NIV2'!$B:$X,'AUX-NIV1'!AV$3,FALSE),0)</f>
        <v>0</v>
      </c>
    </row>
    <row r="756" spans="2:48" ht="13.8" hidden="1" thickTop="1">
      <c r="B756" s="501" t="s">
        <v>3832</v>
      </c>
      <c r="C756" s="951" t="s">
        <v>3833</v>
      </c>
      <c r="D756" s="1280" t="s">
        <v>501</v>
      </c>
      <c r="E756" s="1281">
        <f>IF(B756&lt;&gt;"",+SUMIF(Items!C:C,'AUX-NIV1'!B756,Items!H:H),"")</f>
        <v>0</v>
      </c>
      <c r="F756" s="1281">
        <f t="shared" si="805"/>
        <v>3526.3031782193907</v>
      </c>
      <c r="G756" s="1281">
        <f t="shared" si="806"/>
        <v>0</v>
      </c>
      <c r="H756" s="1395" t="str">
        <f t="shared" si="817"/>
        <v>M</v>
      </c>
      <c r="I756" s="1375" t="s">
        <v>3835</v>
      </c>
      <c r="J756" s="1283" t="str">
        <f>IF(B756&lt;&gt;"",+VLOOKUP(I756,Recursos!C:F,2,FALSE),"")</f>
        <v>MEMBRANA LIQUIDA ACRILICA</v>
      </c>
      <c r="K756" s="1284" t="str">
        <f>IF(B756&lt;&gt;"",+VLOOKUP(I756,Recursos!C:F,3,FALSE),"")</f>
        <v>Kg</v>
      </c>
      <c r="L756" s="1285">
        <f>IF(B756&lt;&gt;"",+VLOOKUP(I756,Recursos!C:F,4,FALSE),"")</f>
        <v>206.61157024793388</v>
      </c>
      <c r="M756" s="1420"/>
      <c r="N756" s="1419">
        <f>0.3*3*1.1</f>
        <v>0.99</v>
      </c>
      <c r="O756" s="1286">
        <f t="shared" ref="O756" si="834">N756</f>
        <v>0.99</v>
      </c>
      <c r="P756" s="1287">
        <f t="shared" si="818"/>
        <v>204.54545454545453</v>
      </c>
      <c r="Q756" s="1281">
        <f t="shared" si="819"/>
        <v>0</v>
      </c>
      <c r="R756" s="1288">
        <f t="shared" si="820"/>
        <v>0</v>
      </c>
      <c r="S756" s="1289">
        <f t="shared" si="808"/>
        <v>1373.3935897896383</v>
      </c>
      <c r="T756" s="1289">
        <f t="shared" si="809"/>
        <v>0</v>
      </c>
      <c r="U756" s="1290">
        <f t="shared" si="810"/>
        <v>945.41219008264466</v>
      </c>
      <c r="V756" s="1290">
        <f t="shared" si="811"/>
        <v>0</v>
      </c>
      <c r="W756" s="1290">
        <f t="shared" si="812"/>
        <v>0</v>
      </c>
      <c r="X756" s="1290">
        <f t="shared" si="813"/>
        <v>1207.4973983471077</v>
      </c>
      <c r="Y756" s="396"/>
      <c r="Z756" s="1291" t="str">
        <f t="shared" si="821"/>
        <v>0-CUBLOSA</v>
      </c>
      <c r="AA756" s="1291" t="str">
        <f t="shared" si="822"/>
        <v>0-CUBLOSE</v>
      </c>
      <c r="AB756" s="1291" t="str">
        <f t="shared" si="823"/>
        <v>0-CUBLOSM</v>
      </c>
      <c r="AC756" s="1291" t="str">
        <f t="shared" si="824"/>
        <v>0-CUBLOST</v>
      </c>
      <c r="AD756" s="1291" t="str">
        <f t="shared" si="825"/>
        <v>0-CUBLOSS</v>
      </c>
      <c r="AE756" s="1291" t="str">
        <f t="shared" si="826"/>
        <v>0-CUBLOSX</v>
      </c>
      <c r="AF756" s="1291" t="str">
        <f t="shared" si="827"/>
        <v>0-CUBLOSM</v>
      </c>
      <c r="AG756" s="1291">
        <f t="shared" si="814"/>
        <v>24</v>
      </c>
      <c r="AH756" s="1291">
        <f>IF(B756&lt;&gt;"",+IF(H756="x",+VLOOKUP(I756,'AUX-NIV2'!B:AG,32,FALSE),0),"")</f>
        <v>0</v>
      </c>
      <c r="AI756" s="1291" t="str">
        <f t="shared" si="828"/>
        <v>0-CUBLOS</v>
      </c>
      <c r="AK756" s="347">
        <f t="shared" si="815"/>
        <v>738</v>
      </c>
      <c r="AL756" s="348">
        <f t="shared" si="829"/>
        <v>761</v>
      </c>
      <c r="AM756" s="347">
        <f t="shared" si="830"/>
        <v>19</v>
      </c>
      <c r="AN756" s="382">
        <f>IF(AND(AH756&gt;0,B756&lt;&gt;""),VLOOKUP(I756,'AUX-NIV2'!$B:$AP,40,FALSE)*O756,0)</f>
        <v>0</v>
      </c>
      <c r="AO756" s="382">
        <f t="shared" si="816"/>
        <v>2.8866666666666672</v>
      </c>
      <c r="AQ756" s="395">
        <f>(IF($H756="x",VLOOKUP($I756,'AUX-NIV2'!$B:$X,'AUX-NIV1'!AQ$3,FALSE),0)+($AV756*'AUX-NIV3'!S$4))*$O756+IF($H756=AQ$4,$P756,0)</f>
        <v>0</v>
      </c>
      <c r="AR756" s="395">
        <f>(IF($H756="x",VLOOKUP($I756,'AUX-NIV2'!$B:$X,'AUX-NIV1'!AR$3,FALSE),0)+($AV756*'AUX-NIV3'!T$4))*$O756+IF($H756=AR$4,$P756,0)</f>
        <v>0</v>
      </c>
      <c r="AS756" s="395">
        <f>(IF($H756="x",VLOOKUP($I756,'AUX-NIV2'!$B:$X,'AUX-NIV1'!AS$3,FALSE),0)+($AV756*'AUX-NIV3'!U$4))*$O756+IF($H756=AS$4,$P756,0)</f>
        <v>204.54545454545453</v>
      </c>
      <c r="AT756" s="395">
        <f>(IF($H756="x",VLOOKUP($I756,'AUX-NIV2'!$B:$X,'AUX-NIV1'!AT$3,FALSE),0)+($AV756*'AUX-NIV3'!V$4))*$O756+IF($H756=AT$4,$P756,0)</f>
        <v>0</v>
      </c>
      <c r="AU756" s="395">
        <f>(IF($H756="x",VLOOKUP($I756,'AUX-NIV2'!$B:$X,'AUX-NIV1'!AU$3,FALSE),0)+($AV756*'AUX-NIV3'!W$4))*$O756+IF($H756=AU$4,$P756,0)</f>
        <v>0</v>
      </c>
      <c r="AV756" s="395">
        <f>+IF($H756="x",VLOOKUP($I756,'AUX-NIV2'!$B:$X,'AUX-NIV1'!AV$3,FALSE),0)</f>
        <v>0</v>
      </c>
    </row>
    <row r="757" spans="2:48" ht="13.8" hidden="1" thickTop="1">
      <c r="B757" s="501" t="s">
        <v>3832</v>
      </c>
      <c r="C757" s="951" t="s">
        <v>3833</v>
      </c>
      <c r="D757" s="1280" t="s">
        <v>501</v>
      </c>
      <c r="E757" s="1281">
        <f>IF(B757&lt;&gt;"",+SUMIF(Items!C:C,'AUX-NIV1'!B757,Items!H:H),"")</f>
        <v>0</v>
      </c>
      <c r="F757" s="1281">
        <f t="shared" si="805"/>
        <v>3526.3031782193907</v>
      </c>
      <c r="G757" s="1281">
        <f t="shared" si="806"/>
        <v>0</v>
      </c>
      <c r="H757" s="1395" t="str">
        <f t="shared" si="817"/>
        <v>A</v>
      </c>
      <c r="I757" s="1375" t="s">
        <v>1745</v>
      </c>
      <c r="J757" s="1283" t="str">
        <f>IF(B757&lt;&gt;"",+VLOOKUP(I757,Recursos!C:F,2,FALSE),"")</f>
        <v>AYUDANTE</v>
      </c>
      <c r="K757" s="1284" t="str">
        <f>IF(B757&lt;&gt;"",+VLOOKUP(I757,Recursos!C:F,3,FALSE),"")</f>
        <v>hh</v>
      </c>
      <c r="L757" s="1285">
        <f>IF(B757&lt;&gt;"",+VLOOKUP(I757,Recursos!C:F,4,FALSE),"")</f>
        <v>422.48042769667234</v>
      </c>
      <c r="M757" s="1399">
        <v>4</v>
      </c>
      <c r="N757" s="1400"/>
      <c r="O757" s="1286">
        <f>N757/M757</f>
        <v>0</v>
      </c>
      <c r="P757" s="1287">
        <f t="shared" si="818"/>
        <v>0</v>
      </c>
      <c r="Q757" s="1281">
        <f t="shared" si="819"/>
        <v>0</v>
      </c>
      <c r="R757" s="1288">
        <f t="shared" si="820"/>
        <v>0</v>
      </c>
      <c r="S757" s="1289">
        <f t="shared" si="808"/>
        <v>1373.3935897896383</v>
      </c>
      <c r="T757" s="1289">
        <f t="shared" si="809"/>
        <v>0</v>
      </c>
      <c r="U757" s="1290">
        <f t="shared" si="810"/>
        <v>945.41219008264466</v>
      </c>
      <c r="V757" s="1290">
        <f t="shared" si="811"/>
        <v>0</v>
      </c>
      <c r="W757" s="1290">
        <f t="shared" si="812"/>
        <v>0</v>
      </c>
      <c r="X757" s="1290">
        <f t="shared" si="813"/>
        <v>1207.4973983471077</v>
      </c>
      <c r="Y757" s="396"/>
      <c r="Z757" s="1291" t="str">
        <f t="shared" si="821"/>
        <v>0-CUBLOSA</v>
      </c>
      <c r="AA757" s="1291" t="str">
        <f t="shared" si="822"/>
        <v>0-CUBLOSE</v>
      </c>
      <c r="AB757" s="1291" t="str">
        <f t="shared" si="823"/>
        <v>0-CUBLOSM</v>
      </c>
      <c r="AC757" s="1291" t="str">
        <f t="shared" si="824"/>
        <v>0-CUBLOST</v>
      </c>
      <c r="AD757" s="1291" t="str">
        <f t="shared" si="825"/>
        <v>0-CUBLOSS</v>
      </c>
      <c r="AE757" s="1291" t="str">
        <f t="shared" si="826"/>
        <v>0-CUBLOSX</v>
      </c>
      <c r="AF757" s="1291" t="str">
        <f t="shared" si="827"/>
        <v>0-CUBLOSA</v>
      </c>
      <c r="AG757" s="1291">
        <f t="shared" si="814"/>
        <v>24</v>
      </c>
      <c r="AH757" s="1291">
        <f>IF(B757&lt;&gt;"",+IF(H757="x",+VLOOKUP(I757,'AUX-NIV2'!B:AG,32,FALSE),0),"")</f>
        <v>0</v>
      </c>
      <c r="AI757" s="1291" t="str">
        <f t="shared" si="828"/>
        <v>0-CUBLOS</v>
      </c>
      <c r="AK757" s="347">
        <f t="shared" si="815"/>
        <v>738</v>
      </c>
      <c r="AL757" s="348">
        <f t="shared" si="829"/>
        <v>761</v>
      </c>
      <c r="AM757" s="347">
        <f t="shared" si="830"/>
        <v>20</v>
      </c>
      <c r="AN757" s="382">
        <f>IF(AND(AH757&gt;0,B757&lt;&gt;""),VLOOKUP(I757,'AUX-NIV2'!$B:$AP,40,FALSE)*O757,0)</f>
        <v>0</v>
      </c>
      <c r="AO757" s="382">
        <f t="shared" si="816"/>
        <v>2.8866666666666672</v>
      </c>
      <c r="AQ757" s="395">
        <f>(IF($H757="x",VLOOKUP($I757,'AUX-NIV2'!$B:$X,'AUX-NIV1'!AQ$3,FALSE),0)+($AV757*'AUX-NIV3'!S$4))*$O757+IF($H757=AQ$4,$P757,0)</f>
        <v>0</v>
      </c>
      <c r="AR757" s="395">
        <f>(IF($H757="x",VLOOKUP($I757,'AUX-NIV2'!$B:$X,'AUX-NIV1'!AR$3,FALSE),0)+($AV757*'AUX-NIV3'!T$4))*$O757+IF($H757=AR$4,$P757,0)</f>
        <v>0</v>
      </c>
      <c r="AS757" s="395">
        <f>(IF($H757="x",VLOOKUP($I757,'AUX-NIV2'!$B:$X,'AUX-NIV1'!AS$3,FALSE),0)+($AV757*'AUX-NIV3'!U$4))*$O757+IF($H757=AS$4,$P757,0)</f>
        <v>0</v>
      </c>
      <c r="AT757" s="395">
        <f>(IF($H757="x",VLOOKUP($I757,'AUX-NIV2'!$B:$X,'AUX-NIV1'!AT$3,FALSE),0)+($AV757*'AUX-NIV3'!V$4))*$O757+IF($H757=AT$4,$P757,0)</f>
        <v>0</v>
      </c>
      <c r="AU757" s="395">
        <f>(IF($H757="x",VLOOKUP($I757,'AUX-NIV2'!$B:$X,'AUX-NIV1'!AU$3,FALSE),0)+($AV757*'AUX-NIV3'!W$4))*$O757+IF($H757=AU$4,$P757,0)</f>
        <v>0</v>
      </c>
      <c r="AV757" s="395">
        <f>+IF($H757="x",VLOOKUP($I757,'AUX-NIV2'!$B:$X,'AUX-NIV1'!AV$3,FALSE),0)</f>
        <v>0</v>
      </c>
    </row>
    <row r="758" spans="2:48" ht="13.8" hidden="1" thickTop="1">
      <c r="B758" s="501" t="s">
        <v>3832</v>
      </c>
      <c r="C758" s="951" t="s">
        <v>3833</v>
      </c>
      <c r="D758" s="1280" t="s">
        <v>501</v>
      </c>
      <c r="E758" s="1281">
        <f>IF(B758&lt;&gt;"",+SUMIF(Items!C:C,'AUX-NIV1'!B758,Items!H:H),"")</f>
        <v>0</v>
      </c>
      <c r="F758" s="1281">
        <f t="shared" si="805"/>
        <v>3526.3031782193907</v>
      </c>
      <c r="G758" s="1281">
        <f t="shared" si="806"/>
        <v>0</v>
      </c>
      <c r="H758" s="1395" t="str">
        <f t="shared" si="817"/>
        <v>A</v>
      </c>
      <c r="I758" s="1375" t="s">
        <v>1746</v>
      </c>
      <c r="J758" s="1283" t="str">
        <f>IF(B758&lt;&gt;"",+VLOOKUP(I758,Recursos!C:F,2,FALSE),"")</f>
        <v>OFICIAL</v>
      </c>
      <c r="K758" s="1284" t="str">
        <f>IF(B758&lt;&gt;"",+VLOOKUP(I758,Recursos!C:F,3,FALSE),"")</f>
        <v>hh</v>
      </c>
      <c r="L758" s="1285">
        <f>IF(B758&lt;&gt;"",+VLOOKUP(I758,Recursos!C:F,4,FALSE),"")</f>
        <v>496.91595439275824</v>
      </c>
      <c r="M758" s="1342"/>
      <c r="N758" s="1337">
        <v>1</v>
      </c>
      <c r="O758" s="1286">
        <f>N758/M757</f>
        <v>0.25</v>
      </c>
      <c r="P758" s="1287">
        <f t="shared" si="818"/>
        <v>124.22898859818956</v>
      </c>
      <c r="Q758" s="1281">
        <f t="shared" si="819"/>
        <v>0</v>
      </c>
      <c r="R758" s="1288">
        <f t="shared" si="820"/>
        <v>0</v>
      </c>
      <c r="S758" s="1289">
        <f t="shared" si="808"/>
        <v>1373.3935897896383</v>
      </c>
      <c r="T758" s="1289">
        <f t="shared" si="809"/>
        <v>0</v>
      </c>
      <c r="U758" s="1290">
        <f t="shared" si="810"/>
        <v>945.41219008264466</v>
      </c>
      <c r="V758" s="1290">
        <f t="shared" si="811"/>
        <v>0</v>
      </c>
      <c r="W758" s="1290">
        <f t="shared" si="812"/>
        <v>0</v>
      </c>
      <c r="X758" s="1290">
        <f t="shared" si="813"/>
        <v>1207.4973983471077</v>
      </c>
      <c r="Y758" s="396"/>
      <c r="Z758" s="1291" t="str">
        <f t="shared" si="821"/>
        <v>0-CUBLOSA</v>
      </c>
      <c r="AA758" s="1291" t="str">
        <f t="shared" si="822"/>
        <v>0-CUBLOSE</v>
      </c>
      <c r="AB758" s="1291" t="str">
        <f t="shared" si="823"/>
        <v>0-CUBLOSM</v>
      </c>
      <c r="AC758" s="1291" t="str">
        <f t="shared" si="824"/>
        <v>0-CUBLOST</v>
      </c>
      <c r="AD758" s="1291" t="str">
        <f t="shared" si="825"/>
        <v>0-CUBLOSS</v>
      </c>
      <c r="AE758" s="1291" t="str">
        <f t="shared" si="826"/>
        <v>0-CUBLOSX</v>
      </c>
      <c r="AF758" s="1291" t="str">
        <f t="shared" si="827"/>
        <v>0-CUBLOSA</v>
      </c>
      <c r="AG758" s="1291">
        <f t="shared" si="814"/>
        <v>24</v>
      </c>
      <c r="AH758" s="1291">
        <f>IF(B758&lt;&gt;"",+IF(H758="x",+VLOOKUP(I758,'AUX-NIV2'!B:AG,32,FALSE),0),"")</f>
        <v>0</v>
      </c>
      <c r="AI758" s="1291" t="str">
        <f t="shared" si="828"/>
        <v>0-CUBLOS</v>
      </c>
      <c r="AK758" s="347">
        <f t="shared" si="815"/>
        <v>738</v>
      </c>
      <c r="AL758" s="348">
        <f t="shared" si="829"/>
        <v>761</v>
      </c>
      <c r="AM758" s="347">
        <f t="shared" si="830"/>
        <v>21</v>
      </c>
      <c r="AN758" s="382">
        <f>IF(AND(AH758&gt;0,B758&lt;&gt;""),VLOOKUP(I758,'AUX-NIV2'!$B:$AP,40,FALSE)*O758,0)</f>
        <v>0</v>
      </c>
      <c r="AO758" s="382">
        <f t="shared" si="816"/>
        <v>2.8866666666666672</v>
      </c>
      <c r="AQ758" s="395">
        <f>(IF($H758="x",VLOOKUP($I758,'AUX-NIV2'!$B:$X,'AUX-NIV1'!AQ$3,FALSE),0)+($AV758*'AUX-NIV3'!S$4))*$O758+IF($H758=AQ$4,$P758,0)</f>
        <v>124.22898859818956</v>
      </c>
      <c r="AR758" s="395">
        <f>(IF($H758="x",VLOOKUP($I758,'AUX-NIV2'!$B:$X,'AUX-NIV1'!AR$3,FALSE),0)+($AV758*'AUX-NIV3'!T$4))*$O758+IF($H758=AR$4,$P758,0)</f>
        <v>0</v>
      </c>
      <c r="AS758" s="395">
        <f>(IF($H758="x",VLOOKUP($I758,'AUX-NIV2'!$B:$X,'AUX-NIV1'!AS$3,FALSE),0)+($AV758*'AUX-NIV3'!U$4))*$O758+IF($H758=AS$4,$P758,0)</f>
        <v>0</v>
      </c>
      <c r="AT758" s="395">
        <f>(IF($H758="x",VLOOKUP($I758,'AUX-NIV2'!$B:$X,'AUX-NIV1'!AT$3,FALSE),0)+($AV758*'AUX-NIV3'!V$4))*$O758+IF($H758=AT$4,$P758,0)</f>
        <v>0</v>
      </c>
      <c r="AU758" s="395">
        <f>(IF($H758="x",VLOOKUP($I758,'AUX-NIV2'!$B:$X,'AUX-NIV1'!AU$3,FALSE),0)+($AV758*'AUX-NIV3'!W$4))*$O758+IF($H758=AU$4,$P758,0)</f>
        <v>0</v>
      </c>
      <c r="AV758" s="395">
        <f>+IF($H758="x",VLOOKUP($I758,'AUX-NIV2'!$B:$X,'AUX-NIV1'!AV$3,FALSE),0)</f>
        <v>0</v>
      </c>
    </row>
    <row r="759" spans="2:48" ht="13.8" hidden="1" thickTop="1">
      <c r="B759" s="501" t="s">
        <v>3832</v>
      </c>
      <c r="C759" s="951" t="s">
        <v>3833</v>
      </c>
      <c r="D759" s="1280" t="s">
        <v>501</v>
      </c>
      <c r="E759" s="1281">
        <f>IF(B759&lt;&gt;"",+SUMIF(Items!C:C,'AUX-NIV1'!B759,Items!H:H),"")</f>
        <v>0</v>
      </c>
      <c r="F759" s="1281">
        <f t="shared" si="805"/>
        <v>3526.3031782193907</v>
      </c>
      <c r="G759" s="1281">
        <f t="shared" si="806"/>
        <v>0</v>
      </c>
      <c r="H759" s="1395" t="str">
        <f t="shared" si="817"/>
        <v>M</v>
      </c>
      <c r="I759" s="1375" t="s">
        <v>3839</v>
      </c>
      <c r="J759" s="1283" t="str">
        <f>IF(B759&lt;&gt;"",+VLOOKUP(I759,Recursos!C:F,2,FALSE),"")</f>
        <v>MEMBRANA ELASTICA</v>
      </c>
      <c r="K759" s="1284" t="str">
        <f>IF(B759&lt;&gt;"",+VLOOKUP(I759,Recursos!C:F,3,FALSE),"")</f>
        <v>m2</v>
      </c>
      <c r="L759" s="1285">
        <f>IF(B759&lt;&gt;"",+VLOOKUP(I759,Recursos!C:F,4,FALSE),"")</f>
        <v>343.36260330578511</v>
      </c>
      <c r="M759" s="1420"/>
      <c r="N759" s="1419">
        <f>1/20*0.8</f>
        <v>4.0000000000000008E-2</v>
      </c>
      <c r="O759" s="1286">
        <f t="shared" ref="O759" si="835">N759</f>
        <v>4.0000000000000008E-2</v>
      </c>
      <c r="P759" s="1287">
        <f t="shared" si="818"/>
        <v>13.734504132231407</v>
      </c>
      <c r="Q759" s="1281">
        <f t="shared" si="819"/>
        <v>0</v>
      </c>
      <c r="R759" s="1288">
        <f t="shared" si="820"/>
        <v>0</v>
      </c>
      <c r="S759" s="1289">
        <f t="shared" si="808"/>
        <v>1373.3935897896383</v>
      </c>
      <c r="T759" s="1289">
        <f t="shared" si="809"/>
        <v>0</v>
      </c>
      <c r="U759" s="1290">
        <f t="shared" si="810"/>
        <v>945.41219008264466</v>
      </c>
      <c r="V759" s="1290">
        <f t="shared" si="811"/>
        <v>0</v>
      </c>
      <c r="W759" s="1290">
        <f t="shared" si="812"/>
        <v>0</v>
      </c>
      <c r="X759" s="1290">
        <f t="shared" si="813"/>
        <v>1207.4973983471077</v>
      </c>
      <c r="Y759" s="396"/>
      <c r="Z759" s="1291" t="str">
        <f t="shared" si="821"/>
        <v>0-CUBLOSA</v>
      </c>
      <c r="AA759" s="1291" t="str">
        <f t="shared" si="822"/>
        <v>0-CUBLOSE</v>
      </c>
      <c r="AB759" s="1291" t="str">
        <f t="shared" si="823"/>
        <v>0-CUBLOSM</v>
      </c>
      <c r="AC759" s="1291" t="str">
        <f t="shared" si="824"/>
        <v>0-CUBLOST</v>
      </c>
      <c r="AD759" s="1291" t="str">
        <f t="shared" si="825"/>
        <v>0-CUBLOSS</v>
      </c>
      <c r="AE759" s="1291" t="str">
        <f t="shared" si="826"/>
        <v>0-CUBLOSX</v>
      </c>
      <c r="AF759" s="1291" t="str">
        <f t="shared" si="827"/>
        <v>0-CUBLOSM</v>
      </c>
      <c r="AG759" s="1291">
        <f t="shared" si="814"/>
        <v>24</v>
      </c>
      <c r="AH759" s="1291">
        <f>IF(B759&lt;&gt;"",+IF(H759="x",+VLOOKUP(I759,'AUX-NIV2'!B:AG,32,FALSE),0),"")</f>
        <v>0</v>
      </c>
      <c r="AI759" s="1291" t="str">
        <f t="shared" si="828"/>
        <v>0-CUBLOS</v>
      </c>
      <c r="AK759" s="347">
        <f t="shared" si="815"/>
        <v>738</v>
      </c>
      <c r="AL759" s="348">
        <f t="shared" si="829"/>
        <v>761</v>
      </c>
      <c r="AM759" s="347">
        <f t="shared" si="830"/>
        <v>22</v>
      </c>
      <c r="AN759" s="382">
        <f>IF(AND(AH759&gt;0,B759&lt;&gt;""),VLOOKUP(I759,'AUX-NIV2'!$B:$AP,40,FALSE)*O759,0)</f>
        <v>0</v>
      </c>
      <c r="AO759" s="382">
        <f t="shared" si="816"/>
        <v>2.8866666666666672</v>
      </c>
      <c r="AQ759" s="395">
        <f>(IF($H759="x",VLOOKUP($I759,'AUX-NIV2'!$B:$X,'AUX-NIV1'!AQ$3,FALSE),0)+($AV759*'AUX-NIV3'!S$4))*$O759+IF($H759=AQ$4,$P759,0)</f>
        <v>0</v>
      </c>
      <c r="AR759" s="395">
        <f>(IF($H759="x",VLOOKUP($I759,'AUX-NIV2'!$B:$X,'AUX-NIV1'!AR$3,FALSE),0)+($AV759*'AUX-NIV3'!T$4))*$O759+IF($H759=AR$4,$P759,0)</f>
        <v>0</v>
      </c>
      <c r="AS759" s="395">
        <f>(IF($H759="x",VLOOKUP($I759,'AUX-NIV2'!$B:$X,'AUX-NIV1'!AS$3,FALSE),0)+($AV759*'AUX-NIV3'!U$4))*$O759+IF($H759=AS$4,$P759,0)</f>
        <v>13.734504132231407</v>
      </c>
      <c r="AT759" s="395">
        <f>(IF($H759="x",VLOOKUP($I759,'AUX-NIV2'!$B:$X,'AUX-NIV1'!AT$3,FALSE),0)+($AV759*'AUX-NIV3'!V$4))*$O759+IF($H759=AT$4,$P759,0)</f>
        <v>0</v>
      </c>
      <c r="AU759" s="395">
        <f>(IF($H759="x",VLOOKUP($I759,'AUX-NIV2'!$B:$X,'AUX-NIV1'!AU$3,FALSE),0)+($AV759*'AUX-NIV3'!W$4))*$O759+IF($H759=AU$4,$P759,0)</f>
        <v>0</v>
      </c>
      <c r="AV759" s="395">
        <f>+IF($H759="x",VLOOKUP($I759,'AUX-NIV2'!$B:$X,'AUX-NIV1'!AV$3,FALSE),0)</f>
        <v>0</v>
      </c>
    </row>
    <row r="760" spans="2:48" ht="13.8" hidden="1" thickTop="1">
      <c r="B760" s="501" t="s">
        <v>3832</v>
      </c>
      <c r="C760" s="951" t="s">
        <v>3833</v>
      </c>
      <c r="D760" s="1280" t="s">
        <v>501</v>
      </c>
      <c r="E760" s="1281">
        <f>IF(B760&lt;&gt;"",+SUMIF(Items!C:C,'AUX-NIV1'!B760,Items!H:H),"")</f>
        <v>0</v>
      </c>
      <c r="F760" s="1281">
        <f t="shared" si="805"/>
        <v>3526.3031782193907</v>
      </c>
      <c r="G760" s="1281">
        <f t="shared" si="806"/>
        <v>0</v>
      </c>
      <c r="H760" s="1395" t="str">
        <f t="shared" si="817"/>
        <v>A</v>
      </c>
      <c r="I760" s="1375" t="s">
        <v>1745</v>
      </c>
      <c r="J760" s="1283" t="str">
        <f>IF(B760&lt;&gt;"",+VLOOKUP(I760,Recursos!C:F,2,FALSE),"")</f>
        <v>AYUDANTE</v>
      </c>
      <c r="K760" s="1284" t="str">
        <f>IF(B760&lt;&gt;"",+VLOOKUP(I760,Recursos!C:F,3,FALSE),"")</f>
        <v>hh</v>
      </c>
      <c r="L760" s="1285">
        <f>IF(B760&lt;&gt;"",+VLOOKUP(I760,Recursos!C:F,4,FALSE),"")</f>
        <v>422.48042769667234</v>
      </c>
      <c r="M760" s="1399">
        <v>3</v>
      </c>
      <c r="N760" s="1400"/>
      <c r="O760" s="1286">
        <f>N760/M760</f>
        <v>0</v>
      </c>
      <c r="P760" s="1287">
        <f t="shared" si="818"/>
        <v>0</v>
      </c>
      <c r="Q760" s="1281">
        <f t="shared" si="819"/>
        <v>0</v>
      </c>
      <c r="R760" s="1288">
        <f t="shared" si="820"/>
        <v>0</v>
      </c>
      <c r="S760" s="1289">
        <f t="shared" si="808"/>
        <v>1373.3935897896383</v>
      </c>
      <c r="T760" s="1289">
        <f t="shared" si="809"/>
        <v>0</v>
      </c>
      <c r="U760" s="1290">
        <f t="shared" si="810"/>
        <v>945.41219008264466</v>
      </c>
      <c r="V760" s="1290">
        <f t="shared" si="811"/>
        <v>0</v>
      </c>
      <c r="W760" s="1290">
        <f t="shared" si="812"/>
        <v>0</v>
      </c>
      <c r="X760" s="1290">
        <f t="shared" si="813"/>
        <v>1207.4973983471077</v>
      </c>
      <c r="Y760" s="396"/>
      <c r="Z760" s="1291" t="str">
        <f t="shared" si="821"/>
        <v>0-CUBLOSA</v>
      </c>
      <c r="AA760" s="1291" t="str">
        <f t="shared" si="822"/>
        <v>0-CUBLOSE</v>
      </c>
      <c r="AB760" s="1291" t="str">
        <f t="shared" si="823"/>
        <v>0-CUBLOSM</v>
      </c>
      <c r="AC760" s="1291" t="str">
        <f t="shared" si="824"/>
        <v>0-CUBLOST</v>
      </c>
      <c r="AD760" s="1291" t="str">
        <f t="shared" si="825"/>
        <v>0-CUBLOSS</v>
      </c>
      <c r="AE760" s="1291" t="str">
        <f t="shared" si="826"/>
        <v>0-CUBLOSX</v>
      </c>
      <c r="AF760" s="1291" t="str">
        <f t="shared" si="827"/>
        <v>0-CUBLOSA</v>
      </c>
      <c r="AG760" s="1291">
        <f t="shared" si="814"/>
        <v>24</v>
      </c>
      <c r="AH760" s="1291">
        <f>IF(B760&lt;&gt;"",+IF(H760="x",+VLOOKUP(I760,'AUX-NIV2'!B:AG,32,FALSE),0),"")</f>
        <v>0</v>
      </c>
      <c r="AI760" s="1291" t="str">
        <f t="shared" si="828"/>
        <v>0-CUBLOS</v>
      </c>
      <c r="AK760" s="347">
        <f t="shared" si="815"/>
        <v>738</v>
      </c>
      <c r="AL760" s="348">
        <f t="shared" si="829"/>
        <v>761</v>
      </c>
      <c r="AM760" s="347">
        <f t="shared" si="830"/>
        <v>23</v>
      </c>
      <c r="AN760" s="382">
        <f>IF(AND(AH760&gt;0,B760&lt;&gt;""),VLOOKUP(I760,'AUX-NIV2'!$B:$AP,40,FALSE)*O760,0)</f>
        <v>0</v>
      </c>
      <c r="AO760" s="382">
        <f t="shared" si="816"/>
        <v>2.8866666666666672</v>
      </c>
      <c r="AQ760" s="395">
        <f>(IF($H760="x",VLOOKUP($I760,'AUX-NIV2'!$B:$X,'AUX-NIV1'!AQ$3,FALSE),0)+($AV760*'AUX-NIV3'!S$4))*$O760+IF($H760=AQ$4,$P760,0)</f>
        <v>0</v>
      </c>
      <c r="AR760" s="395">
        <f>(IF($H760="x",VLOOKUP($I760,'AUX-NIV2'!$B:$X,'AUX-NIV1'!AR$3,FALSE),0)+($AV760*'AUX-NIV3'!T$4))*$O760+IF($H760=AR$4,$P760,0)</f>
        <v>0</v>
      </c>
      <c r="AS760" s="395">
        <f>(IF($H760="x",VLOOKUP($I760,'AUX-NIV2'!$B:$X,'AUX-NIV1'!AS$3,FALSE),0)+($AV760*'AUX-NIV3'!U$4))*$O760+IF($H760=AS$4,$P760,0)</f>
        <v>0</v>
      </c>
      <c r="AT760" s="395">
        <f>(IF($H760="x",VLOOKUP($I760,'AUX-NIV2'!$B:$X,'AUX-NIV1'!AT$3,FALSE),0)+($AV760*'AUX-NIV3'!V$4))*$O760+IF($H760=AT$4,$P760,0)</f>
        <v>0</v>
      </c>
      <c r="AU760" s="395">
        <f>(IF($H760="x",VLOOKUP($I760,'AUX-NIV2'!$B:$X,'AUX-NIV1'!AU$3,FALSE),0)+($AV760*'AUX-NIV3'!W$4))*$O760+IF($H760=AU$4,$P760,0)</f>
        <v>0</v>
      </c>
      <c r="AV760" s="395">
        <f>+IF($H760="x",VLOOKUP($I760,'AUX-NIV2'!$B:$X,'AUX-NIV1'!AV$3,FALSE),0)</f>
        <v>0</v>
      </c>
    </row>
    <row r="761" spans="2:48" ht="14.4" hidden="1" thickTop="1" thickBot="1">
      <c r="B761" s="501" t="s">
        <v>3832</v>
      </c>
      <c r="C761" s="951" t="s">
        <v>3833</v>
      </c>
      <c r="D761" s="1280" t="s">
        <v>501</v>
      </c>
      <c r="E761" s="1281">
        <f>IF(B761&lt;&gt;"",+SUMIF(Items!C:C,'AUX-NIV1'!B761,Items!H:H),"")</f>
        <v>0</v>
      </c>
      <c r="F761" s="1281">
        <f t="shared" si="805"/>
        <v>3526.3031782193907</v>
      </c>
      <c r="G761" s="1281">
        <f t="shared" si="806"/>
        <v>0</v>
      </c>
      <c r="H761" s="1395" t="str">
        <f t="shared" si="817"/>
        <v>A</v>
      </c>
      <c r="I761" s="1375" t="s">
        <v>1746</v>
      </c>
      <c r="J761" s="1283" t="str">
        <f>IF(B761&lt;&gt;"",+VLOOKUP(I761,Recursos!C:F,2,FALSE),"")</f>
        <v>OFICIAL</v>
      </c>
      <c r="K761" s="1284" t="str">
        <f>IF(B761&lt;&gt;"",+VLOOKUP(I761,Recursos!C:F,3,FALSE),"")</f>
        <v>hh</v>
      </c>
      <c r="L761" s="1285">
        <f>IF(B761&lt;&gt;"",+VLOOKUP(I761,Recursos!C:F,4,FALSE),"")</f>
        <v>496.91595439275824</v>
      </c>
      <c r="M761" s="1405"/>
      <c r="N761" s="1402">
        <v>1</v>
      </c>
      <c r="O761" s="1286">
        <f>N761/M760</f>
        <v>0.33333333333333331</v>
      </c>
      <c r="P761" s="1287">
        <f t="shared" si="818"/>
        <v>165.63865146425275</v>
      </c>
      <c r="Q761" s="1281">
        <f t="shared" si="819"/>
        <v>0</v>
      </c>
      <c r="R761" s="1288">
        <f t="shared" si="820"/>
        <v>0</v>
      </c>
      <c r="S761" s="1289">
        <f t="shared" si="808"/>
        <v>1373.3935897896383</v>
      </c>
      <c r="T761" s="1289">
        <f t="shared" si="809"/>
        <v>0</v>
      </c>
      <c r="U761" s="1290">
        <f t="shared" si="810"/>
        <v>945.41219008264466</v>
      </c>
      <c r="V761" s="1290">
        <f t="shared" si="811"/>
        <v>0</v>
      </c>
      <c r="W761" s="1290">
        <f t="shared" si="812"/>
        <v>0</v>
      </c>
      <c r="X761" s="1290">
        <f t="shared" si="813"/>
        <v>1207.4973983471077</v>
      </c>
      <c r="Y761" s="396"/>
      <c r="Z761" s="1291" t="str">
        <f t="shared" si="821"/>
        <v>0-CUBLOSA</v>
      </c>
      <c r="AA761" s="1291" t="str">
        <f t="shared" si="822"/>
        <v>0-CUBLOSE</v>
      </c>
      <c r="AB761" s="1291" t="str">
        <f t="shared" si="823"/>
        <v>0-CUBLOSM</v>
      </c>
      <c r="AC761" s="1291" t="str">
        <f t="shared" si="824"/>
        <v>0-CUBLOST</v>
      </c>
      <c r="AD761" s="1291" t="str">
        <f t="shared" si="825"/>
        <v>0-CUBLOSS</v>
      </c>
      <c r="AE761" s="1291" t="str">
        <f t="shared" si="826"/>
        <v>0-CUBLOSX</v>
      </c>
      <c r="AF761" s="1291" t="str">
        <f t="shared" si="827"/>
        <v>0-CUBLOSA</v>
      </c>
      <c r="AG761" s="1291">
        <f t="shared" si="814"/>
        <v>24</v>
      </c>
      <c r="AH761" s="1291">
        <f>IF(B761&lt;&gt;"",+IF(H761="x",+VLOOKUP(I761,'AUX-NIV2'!B:AG,32,FALSE),0),"")</f>
        <v>0</v>
      </c>
      <c r="AI761" s="1291" t="str">
        <f t="shared" si="828"/>
        <v>0-CUBLOS</v>
      </c>
      <c r="AK761" s="347">
        <f t="shared" si="815"/>
        <v>738</v>
      </c>
      <c r="AL761" s="348">
        <f t="shared" si="829"/>
        <v>761</v>
      </c>
      <c r="AM761" s="347">
        <f t="shared" si="830"/>
        <v>24</v>
      </c>
      <c r="AN761" s="382">
        <f>IF(AND(AH761&gt;0,B761&lt;&gt;""),VLOOKUP(I761,'AUX-NIV2'!$B:$AP,40,FALSE)*O761,0)</f>
        <v>0</v>
      </c>
      <c r="AO761" s="382">
        <f t="shared" si="816"/>
        <v>2.8866666666666672</v>
      </c>
      <c r="AQ761" s="395">
        <f>(IF($H761="x",VLOOKUP($I761,'AUX-NIV2'!$B:$X,'AUX-NIV1'!AQ$3,FALSE),0)+($AV761*'AUX-NIV3'!S$4))*$O761+IF($H761=AQ$4,$P761,0)</f>
        <v>165.63865146425275</v>
      </c>
      <c r="AR761" s="395">
        <f>(IF($H761="x",VLOOKUP($I761,'AUX-NIV2'!$B:$X,'AUX-NIV1'!AR$3,FALSE),0)+($AV761*'AUX-NIV3'!T$4))*$O761+IF($H761=AR$4,$P761,0)</f>
        <v>0</v>
      </c>
      <c r="AS761" s="395">
        <f>(IF($H761="x",VLOOKUP($I761,'AUX-NIV2'!$B:$X,'AUX-NIV1'!AS$3,FALSE),0)+($AV761*'AUX-NIV3'!U$4))*$O761+IF($H761=AS$4,$P761,0)</f>
        <v>0</v>
      </c>
      <c r="AT761" s="395">
        <f>(IF($H761="x",VLOOKUP($I761,'AUX-NIV2'!$B:$X,'AUX-NIV1'!AT$3,FALSE),0)+($AV761*'AUX-NIV3'!V$4))*$O761+IF($H761=AT$4,$P761,0)</f>
        <v>0</v>
      </c>
      <c r="AU761" s="395">
        <f>(IF($H761="x",VLOOKUP($I761,'AUX-NIV2'!$B:$X,'AUX-NIV1'!AU$3,FALSE),0)+($AV761*'AUX-NIV3'!W$4))*$O761+IF($H761=AU$4,$P761,0)</f>
        <v>0</v>
      </c>
      <c r="AV761" s="395">
        <f>+IF($H761="x",VLOOKUP($I761,'AUX-NIV2'!$B:$X,'AUX-NIV1'!AV$3,FALSE),0)</f>
        <v>0</v>
      </c>
    </row>
    <row r="762" spans="2:48" ht="13.8" hidden="1" thickTop="1">
      <c r="B762" s="501" t="s">
        <v>3841</v>
      </c>
      <c r="C762" s="951" t="s">
        <v>3842</v>
      </c>
      <c r="D762" s="1280" t="s">
        <v>501</v>
      </c>
      <c r="E762" s="1281">
        <f>IF(B762&lt;&gt;"",+SUMIF(Items!C:C,'AUX-NIV1'!B762,Items!H:H),"")</f>
        <v>0</v>
      </c>
      <c r="F762" s="1281">
        <f t="shared" si="805"/>
        <v>171.68909321572428</v>
      </c>
      <c r="G762" s="1281">
        <f t="shared" si="806"/>
        <v>0</v>
      </c>
      <c r="H762" s="1395" t="str">
        <f t="shared" si="817"/>
        <v>M</v>
      </c>
      <c r="I762" s="1375" t="s">
        <v>3843</v>
      </c>
      <c r="J762" s="1283" t="str">
        <f>IF(B762&lt;&gt;"",+VLOOKUP(I762,Recursos!C:F,2,FALSE),"")</f>
        <v>CAÑO AWADUCT 110</v>
      </c>
      <c r="K762" s="1284" t="str">
        <f>IF(B762&lt;&gt;"",+VLOOKUP(I762,Recursos!C:F,3,FALSE),"")</f>
        <v>m</v>
      </c>
      <c r="L762" s="1285">
        <f>IF(B762&lt;&gt;"",+VLOOKUP(I762,Recursos!C:F,4,FALSE),"")</f>
        <v>583.88429752066122</v>
      </c>
      <c r="M762" s="743"/>
      <c r="N762" s="1292">
        <v>0.08</v>
      </c>
      <c r="O762" s="1286">
        <f t="shared" si="831"/>
        <v>0.08</v>
      </c>
      <c r="P762" s="1287">
        <f t="shared" si="818"/>
        <v>46.710743801652896</v>
      </c>
      <c r="Q762" s="1281">
        <f t="shared" si="819"/>
        <v>0</v>
      </c>
      <c r="R762" s="1288">
        <f t="shared" si="820"/>
        <v>0</v>
      </c>
      <c r="S762" s="1289">
        <f t="shared" si="808"/>
        <v>114.92454776117881</v>
      </c>
      <c r="T762" s="1289">
        <f t="shared" si="809"/>
        <v>0</v>
      </c>
      <c r="U762" s="1290">
        <f t="shared" si="810"/>
        <v>56.764545454545456</v>
      </c>
      <c r="V762" s="1290">
        <f t="shared" si="811"/>
        <v>0</v>
      </c>
      <c r="W762" s="1290">
        <f t="shared" si="812"/>
        <v>0</v>
      </c>
      <c r="X762" s="1290">
        <f t="shared" si="813"/>
        <v>0</v>
      </c>
      <c r="Y762" s="396"/>
      <c r="Z762" s="1291" t="str">
        <f t="shared" si="821"/>
        <v>0-DESAGA</v>
      </c>
      <c r="AA762" s="1291" t="str">
        <f t="shared" si="822"/>
        <v>0-DESAGE</v>
      </c>
      <c r="AB762" s="1291" t="str">
        <f t="shared" si="823"/>
        <v>0-DESAGM</v>
      </c>
      <c r="AC762" s="1291" t="str">
        <f t="shared" si="824"/>
        <v>0-DESAGT</v>
      </c>
      <c r="AD762" s="1291" t="str">
        <f t="shared" si="825"/>
        <v>0-DESAGS</v>
      </c>
      <c r="AE762" s="1291" t="str">
        <f t="shared" si="826"/>
        <v>0-DESAGX</v>
      </c>
      <c r="AF762" s="1291" t="str">
        <f t="shared" si="827"/>
        <v>0-DESAGM</v>
      </c>
      <c r="AG762" s="1291">
        <f t="shared" si="814"/>
        <v>5</v>
      </c>
      <c r="AH762" s="1291">
        <f>IF(B762&lt;&gt;"",+IF(H762="x",+VLOOKUP(I762,'AUX-NIV2'!B:AG,32,FALSE),0),"")</f>
        <v>0</v>
      </c>
      <c r="AI762" s="1291" t="str">
        <f t="shared" si="828"/>
        <v>0-DESAG</v>
      </c>
      <c r="AK762" s="347">
        <f t="shared" si="815"/>
        <v>762</v>
      </c>
      <c r="AL762" s="348">
        <f t="shared" si="829"/>
        <v>766</v>
      </c>
      <c r="AM762" s="347">
        <f t="shared" si="830"/>
        <v>1</v>
      </c>
      <c r="AN762" s="382">
        <f>IF(AND(AH762&gt;0,B762&lt;&gt;""),VLOOKUP(I762,'AUX-NIV2'!$B:$AP,40,FALSE)*O762,0)</f>
        <v>0</v>
      </c>
      <c r="AO762" s="382">
        <f t="shared" si="816"/>
        <v>0.25</v>
      </c>
      <c r="AQ762" s="395">
        <f>(IF($H762="x",VLOOKUP($I762,'AUX-NIV2'!$B:$X,'AUX-NIV1'!AQ$3,FALSE),0)+($AV762*'AUX-NIV3'!S$4))*$O762+IF($H762=AQ$4,$P762,0)</f>
        <v>0</v>
      </c>
      <c r="AR762" s="395">
        <f>(IF($H762="x",VLOOKUP($I762,'AUX-NIV2'!$B:$X,'AUX-NIV1'!AR$3,FALSE),0)+($AV762*'AUX-NIV3'!T$4))*$O762+IF($H762=AR$4,$P762,0)</f>
        <v>0</v>
      </c>
      <c r="AS762" s="395">
        <f>(IF($H762="x",VLOOKUP($I762,'AUX-NIV2'!$B:$X,'AUX-NIV1'!AS$3,FALSE),0)+($AV762*'AUX-NIV3'!U$4))*$O762+IF($H762=AS$4,$P762,0)</f>
        <v>46.710743801652896</v>
      </c>
      <c r="AT762" s="395">
        <f>(IF($H762="x",VLOOKUP($I762,'AUX-NIV2'!$B:$X,'AUX-NIV1'!AT$3,FALSE),0)+($AV762*'AUX-NIV3'!V$4))*$O762+IF($H762=AT$4,$P762,0)</f>
        <v>0</v>
      </c>
      <c r="AU762" s="395">
        <f>(IF($H762="x",VLOOKUP($I762,'AUX-NIV2'!$B:$X,'AUX-NIV1'!AU$3,FALSE),0)+($AV762*'AUX-NIV3'!W$4))*$O762+IF($H762=AU$4,$P762,0)</f>
        <v>0</v>
      </c>
      <c r="AV762" s="395">
        <f>+IF($H762="x",VLOOKUP($I762,'AUX-NIV2'!$B:$X,'AUX-NIV1'!AV$3,FALSE),0)</f>
        <v>0</v>
      </c>
    </row>
    <row r="763" spans="2:48" ht="13.8" hidden="1" thickTop="1">
      <c r="B763" s="501" t="s">
        <v>3841</v>
      </c>
      <c r="C763" s="951" t="s">
        <v>3842</v>
      </c>
      <c r="D763" s="1280" t="s">
        <v>501</v>
      </c>
      <c r="E763" s="1281">
        <f>IF(B763&lt;&gt;"",+SUMIF(Items!C:C,'AUX-NIV1'!B763,Items!H:H),"")</f>
        <v>0</v>
      </c>
      <c r="F763" s="1281">
        <f t="shared" si="805"/>
        <v>171.68909321572428</v>
      </c>
      <c r="G763" s="1281">
        <f t="shared" si="806"/>
        <v>0</v>
      </c>
      <c r="H763" s="1395" t="str">
        <f t="shared" si="817"/>
        <v>M</v>
      </c>
      <c r="I763" s="1375" t="s">
        <v>3844</v>
      </c>
      <c r="J763" s="1283" t="str">
        <f>IF(B763&lt;&gt;"",+VLOOKUP(I763,Recursos!C:F,2,FALSE),"")</f>
        <v>CODO 90° AWADUCT</v>
      </c>
      <c r="K763" s="1284" t="str">
        <f>IF(B763&lt;&gt;"",+VLOOKUP(I763,Recursos!C:F,3,FALSE),"")</f>
        <v>Un</v>
      </c>
      <c r="L763" s="1285">
        <f>IF(B763&lt;&gt;"",+VLOOKUP(I763,Recursos!C:F,4,FALSE),"")</f>
        <v>151.6611570247934</v>
      </c>
      <c r="M763" s="1404"/>
      <c r="N763" s="1400">
        <v>0.01</v>
      </c>
      <c r="O763" s="1286">
        <f t="shared" si="831"/>
        <v>0.01</v>
      </c>
      <c r="P763" s="1287">
        <f t="shared" si="818"/>
        <v>1.5166115702479339</v>
      </c>
      <c r="Q763" s="1281">
        <f t="shared" si="819"/>
        <v>0</v>
      </c>
      <c r="R763" s="1288">
        <f t="shared" si="820"/>
        <v>0</v>
      </c>
      <c r="S763" s="1289">
        <f t="shared" si="808"/>
        <v>114.92454776117881</v>
      </c>
      <c r="T763" s="1289">
        <f t="shared" si="809"/>
        <v>0</v>
      </c>
      <c r="U763" s="1290">
        <f t="shared" si="810"/>
        <v>56.764545454545456</v>
      </c>
      <c r="V763" s="1290">
        <f t="shared" si="811"/>
        <v>0</v>
      </c>
      <c r="W763" s="1290">
        <f t="shared" si="812"/>
        <v>0</v>
      </c>
      <c r="X763" s="1290">
        <f t="shared" si="813"/>
        <v>0</v>
      </c>
      <c r="Y763" s="396"/>
      <c r="Z763" s="1291" t="str">
        <f t="shared" si="821"/>
        <v>0-DESAGA</v>
      </c>
      <c r="AA763" s="1291" t="str">
        <f t="shared" si="822"/>
        <v>0-DESAGE</v>
      </c>
      <c r="AB763" s="1291" t="str">
        <f t="shared" si="823"/>
        <v>0-DESAGM</v>
      </c>
      <c r="AC763" s="1291" t="str">
        <f t="shared" si="824"/>
        <v>0-DESAGT</v>
      </c>
      <c r="AD763" s="1291" t="str">
        <f t="shared" si="825"/>
        <v>0-DESAGS</v>
      </c>
      <c r="AE763" s="1291" t="str">
        <f t="shared" si="826"/>
        <v>0-DESAGX</v>
      </c>
      <c r="AF763" s="1291" t="str">
        <f t="shared" si="827"/>
        <v>0-DESAGM</v>
      </c>
      <c r="AG763" s="1291">
        <f t="shared" si="814"/>
        <v>5</v>
      </c>
      <c r="AH763" s="1291">
        <f>IF(B763&lt;&gt;"",+IF(H763="x",+VLOOKUP(I763,'AUX-NIV2'!B:AG,32,FALSE),0),"")</f>
        <v>0</v>
      </c>
      <c r="AI763" s="1291" t="str">
        <f t="shared" si="828"/>
        <v>0-DESAG</v>
      </c>
      <c r="AK763" s="347">
        <f t="shared" si="815"/>
        <v>762</v>
      </c>
      <c r="AL763" s="348">
        <f t="shared" si="829"/>
        <v>766</v>
      </c>
      <c r="AM763" s="347">
        <f t="shared" si="830"/>
        <v>2</v>
      </c>
      <c r="AN763" s="382">
        <f>IF(AND(AH763&gt;0,B763&lt;&gt;""),VLOOKUP(I763,'AUX-NIV2'!$B:$AP,40,FALSE)*O763,0)</f>
        <v>0</v>
      </c>
      <c r="AO763" s="382">
        <f t="shared" si="816"/>
        <v>0.25</v>
      </c>
      <c r="AQ763" s="395">
        <f>(IF($H763="x",VLOOKUP($I763,'AUX-NIV2'!$B:$X,'AUX-NIV1'!AQ$3,FALSE),0)+($AV763*'AUX-NIV3'!S$4))*$O763+IF($H763=AQ$4,$P763,0)</f>
        <v>0</v>
      </c>
      <c r="AR763" s="395">
        <f>(IF($H763="x",VLOOKUP($I763,'AUX-NIV2'!$B:$X,'AUX-NIV1'!AR$3,FALSE),0)+($AV763*'AUX-NIV3'!T$4))*$O763+IF($H763=AR$4,$P763,0)</f>
        <v>0</v>
      </c>
      <c r="AS763" s="395">
        <f>(IF($H763="x",VLOOKUP($I763,'AUX-NIV2'!$B:$X,'AUX-NIV1'!AS$3,FALSE),0)+($AV763*'AUX-NIV3'!U$4))*$O763+IF($H763=AS$4,$P763,0)</f>
        <v>1.5166115702479339</v>
      </c>
      <c r="AT763" s="395">
        <f>(IF($H763="x",VLOOKUP($I763,'AUX-NIV2'!$B:$X,'AUX-NIV1'!AT$3,FALSE),0)+($AV763*'AUX-NIV3'!V$4))*$O763+IF($H763=AT$4,$P763,0)</f>
        <v>0</v>
      </c>
      <c r="AU763" s="395">
        <f>(IF($H763="x",VLOOKUP($I763,'AUX-NIV2'!$B:$X,'AUX-NIV1'!AU$3,FALSE),0)+($AV763*'AUX-NIV3'!W$4))*$O763+IF($H763=AU$4,$P763,0)</f>
        <v>0</v>
      </c>
      <c r="AV763" s="395">
        <f>+IF($H763="x",VLOOKUP($I763,'AUX-NIV2'!$B:$X,'AUX-NIV1'!AV$3,FALSE),0)</f>
        <v>0</v>
      </c>
    </row>
    <row r="764" spans="2:48" ht="13.8" hidden="1" thickTop="1">
      <c r="B764" s="501" t="s">
        <v>3841</v>
      </c>
      <c r="C764" s="951" t="s">
        <v>3842</v>
      </c>
      <c r="D764" s="1280" t="s">
        <v>501</v>
      </c>
      <c r="E764" s="1281">
        <f>IF(B764&lt;&gt;"",+SUMIF(Items!C:C,'AUX-NIV1'!B764,Items!H:H),"")</f>
        <v>0</v>
      </c>
      <c r="F764" s="1281">
        <f t="shared" si="805"/>
        <v>171.68909321572428</v>
      </c>
      <c r="G764" s="1281">
        <f t="shared" si="806"/>
        <v>0</v>
      </c>
      <c r="H764" s="1395" t="str">
        <f t="shared" si="817"/>
        <v>M</v>
      </c>
      <c r="I764" s="1375" t="s">
        <v>3845</v>
      </c>
      <c r="J764" s="1283" t="str">
        <f>IF(B764&lt;&gt;"",+VLOOKUP(I764,Recursos!C:F,2,FALSE),"")</f>
        <v>EMBUDO AWADUCT</v>
      </c>
      <c r="K764" s="1284" t="str">
        <f>IF(B764&lt;&gt;"",+VLOOKUP(I764,Recursos!C:F,3,FALSE),"")</f>
        <v>Un</v>
      </c>
      <c r="L764" s="1285">
        <f>IF(B764&lt;&gt;"",+VLOOKUP(I764,Recursos!C:F,4,FALSE),"")</f>
        <v>853.71900826446279</v>
      </c>
      <c r="M764" s="1404"/>
      <c r="N764" s="1400">
        <v>0.01</v>
      </c>
      <c r="O764" s="1286">
        <f t="shared" si="831"/>
        <v>0.01</v>
      </c>
      <c r="P764" s="1287">
        <f t="shared" si="818"/>
        <v>8.5371900826446279</v>
      </c>
      <c r="Q764" s="1281">
        <f t="shared" si="819"/>
        <v>0</v>
      </c>
      <c r="R764" s="1288">
        <f t="shared" si="820"/>
        <v>0</v>
      </c>
      <c r="S764" s="1289">
        <f t="shared" si="808"/>
        <v>114.92454776117881</v>
      </c>
      <c r="T764" s="1289">
        <f t="shared" si="809"/>
        <v>0</v>
      </c>
      <c r="U764" s="1290">
        <f t="shared" si="810"/>
        <v>56.764545454545456</v>
      </c>
      <c r="V764" s="1290">
        <f t="shared" si="811"/>
        <v>0</v>
      </c>
      <c r="W764" s="1290">
        <f t="shared" si="812"/>
        <v>0</v>
      </c>
      <c r="X764" s="1290">
        <f t="shared" si="813"/>
        <v>0</v>
      </c>
      <c r="Y764" s="396"/>
      <c r="Z764" s="1291" t="str">
        <f t="shared" si="821"/>
        <v>0-DESAGA</v>
      </c>
      <c r="AA764" s="1291" t="str">
        <f t="shared" si="822"/>
        <v>0-DESAGE</v>
      </c>
      <c r="AB764" s="1291" t="str">
        <f t="shared" si="823"/>
        <v>0-DESAGM</v>
      </c>
      <c r="AC764" s="1291" t="str">
        <f t="shared" si="824"/>
        <v>0-DESAGT</v>
      </c>
      <c r="AD764" s="1291" t="str">
        <f t="shared" si="825"/>
        <v>0-DESAGS</v>
      </c>
      <c r="AE764" s="1291" t="str">
        <f t="shared" si="826"/>
        <v>0-DESAGX</v>
      </c>
      <c r="AF764" s="1291" t="str">
        <f t="shared" si="827"/>
        <v>0-DESAGM</v>
      </c>
      <c r="AG764" s="1291">
        <f t="shared" si="814"/>
        <v>5</v>
      </c>
      <c r="AH764" s="1291">
        <f>IF(B764&lt;&gt;"",+IF(H764="x",+VLOOKUP(I764,'AUX-NIV2'!B:AG,32,FALSE),0),"")</f>
        <v>0</v>
      </c>
      <c r="AI764" s="1291" t="str">
        <f t="shared" si="828"/>
        <v>0-DESAG</v>
      </c>
      <c r="AK764" s="347">
        <f t="shared" si="815"/>
        <v>762</v>
      </c>
      <c r="AL764" s="348">
        <f t="shared" si="829"/>
        <v>766</v>
      </c>
      <c r="AM764" s="347">
        <f t="shared" si="830"/>
        <v>3</v>
      </c>
      <c r="AN764" s="382">
        <f>IF(AND(AH764&gt;0,B764&lt;&gt;""),VLOOKUP(I764,'AUX-NIV2'!$B:$AP,40,FALSE)*O764,0)</f>
        <v>0</v>
      </c>
      <c r="AO764" s="382">
        <f t="shared" si="816"/>
        <v>0.25</v>
      </c>
      <c r="AQ764" s="395">
        <f>(IF($H764="x",VLOOKUP($I764,'AUX-NIV2'!$B:$X,'AUX-NIV1'!AQ$3,FALSE),0)+($AV764*'AUX-NIV3'!S$4))*$O764+IF($H764=AQ$4,$P764,0)</f>
        <v>0</v>
      </c>
      <c r="AR764" s="395">
        <f>(IF($H764="x",VLOOKUP($I764,'AUX-NIV2'!$B:$X,'AUX-NIV1'!AR$3,FALSE),0)+($AV764*'AUX-NIV3'!T$4))*$O764+IF($H764=AR$4,$P764,0)</f>
        <v>0</v>
      </c>
      <c r="AS764" s="395">
        <f>(IF($H764="x",VLOOKUP($I764,'AUX-NIV2'!$B:$X,'AUX-NIV1'!AS$3,FALSE),0)+($AV764*'AUX-NIV3'!U$4))*$O764+IF($H764=AS$4,$P764,0)</f>
        <v>8.5371900826446279</v>
      </c>
      <c r="AT764" s="395">
        <f>(IF($H764="x",VLOOKUP($I764,'AUX-NIV2'!$B:$X,'AUX-NIV1'!AT$3,FALSE),0)+($AV764*'AUX-NIV3'!V$4))*$O764+IF($H764=AT$4,$P764,0)</f>
        <v>0</v>
      </c>
      <c r="AU764" s="395">
        <f>(IF($H764="x",VLOOKUP($I764,'AUX-NIV2'!$B:$X,'AUX-NIV1'!AU$3,FALSE),0)+($AV764*'AUX-NIV3'!W$4))*$O764+IF($H764=AU$4,$P764,0)</f>
        <v>0</v>
      </c>
      <c r="AV764" s="395">
        <f>+IF($H764="x",VLOOKUP($I764,'AUX-NIV2'!$B:$X,'AUX-NIV1'!AV$3,FALSE),0)</f>
        <v>0</v>
      </c>
    </row>
    <row r="765" spans="2:48" ht="13.8" hidden="1" thickTop="1">
      <c r="B765" s="501" t="s">
        <v>3841</v>
      </c>
      <c r="C765" s="951" t="s">
        <v>3842</v>
      </c>
      <c r="D765" s="1280" t="s">
        <v>501</v>
      </c>
      <c r="E765" s="1281">
        <f>IF(B765&lt;&gt;"",+SUMIF(Items!C:C,'AUX-NIV1'!B765,Items!H:H),"")</f>
        <v>0</v>
      </c>
      <c r="F765" s="1281">
        <f t="shared" si="805"/>
        <v>171.68909321572428</v>
      </c>
      <c r="G765" s="1281">
        <f t="shared" si="806"/>
        <v>0</v>
      </c>
      <c r="H765" s="1395" t="str">
        <f t="shared" si="817"/>
        <v>A</v>
      </c>
      <c r="I765" s="1375" t="s">
        <v>1745</v>
      </c>
      <c r="J765" s="1283" t="str">
        <f>IF(B765&lt;&gt;"",+VLOOKUP(I765,Recursos!C:F,2,FALSE),"")</f>
        <v>AYUDANTE</v>
      </c>
      <c r="K765" s="1284" t="str">
        <f>IF(B765&lt;&gt;"",+VLOOKUP(I765,Recursos!C:F,3,FALSE),"")</f>
        <v>hh</v>
      </c>
      <c r="L765" s="1285">
        <f>IF(B765&lt;&gt;"",+VLOOKUP(I765,Recursos!C:F,4,FALSE),"")</f>
        <v>422.48042769667234</v>
      </c>
      <c r="M765" s="1399">
        <v>8</v>
      </c>
      <c r="N765" s="1400">
        <v>1</v>
      </c>
      <c r="O765" s="1286">
        <f>N765/M765</f>
        <v>0.125</v>
      </c>
      <c r="P765" s="1287">
        <f t="shared" si="818"/>
        <v>52.810053462084042</v>
      </c>
      <c r="Q765" s="1281">
        <f t="shared" si="819"/>
        <v>0</v>
      </c>
      <c r="R765" s="1288">
        <f t="shared" si="820"/>
        <v>0</v>
      </c>
      <c r="S765" s="1289">
        <f t="shared" si="808"/>
        <v>114.92454776117881</v>
      </c>
      <c r="T765" s="1289">
        <f t="shared" si="809"/>
        <v>0</v>
      </c>
      <c r="U765" s="1290">
        <f t="shared" si="810"/>
        <v>56.764545454545456</v>
      </c>
      <c r="V765" s="1290">
        <f t="shared" si="811"/>
        <v>0</v>
      </c>
      <c r="W765" s="1290">
        <f t="shared" si="812"/>
        <v>0</v>
      </c>
      <c r="X765" s="1290">
        <f t="shared" si="813"/>
        <v>0</v>
      </c>
      <c r="Y765" s="396"/>
      <c r="Z765" s="1291" t="str">
        <f t="shared" si="821"/>
        <v>0-DESAGA</v>
      </c>
      <c r="AA765" s="1291" t="str">
        <f t="shared" si="822"/>
        <v>0-DESAGE</v>
      </c>
      <c r="AB765" s="1291" t="str">
        <f t="shared" si="823"/>
        <v>0-DESAGM</v>
      </c>
      <c r="AC765" s="1291" t="str">
        <f t="shared" si="824"/>
        <v>0-DESAGT</v>
      </c>
      <c r="AD765" s="1291" t="str">
        <f t="shared" si="825"/>
        <v>0-DESAGS</v>
      </c>
      <c r="AE765" s="1291" t="str">
        <f t="shared" si="826"/>
        <v>0-DESAGX</v>
      </c>
      <c r="AF765" s="1291" t="str">
        <f t="shared" si="827"/>
        <v>0-DESAGA</v>
      </c>
      <c r="AG765" s="1291">
        <f t="shared" si="814"/>
        <v>5</v>
      </c>
      <c r="AH765" s="1291">
        <f>IF(B765&lt;&gt;"",+IF(H765="x",+VLOOKUP(I765,'AUX-NIV2'!B:AG,32,FALSE),0),"")</f>
        <v>0</v>
      </c>
      <c r="AI765" s="1291" t="str">
        <f t="shared" si="828"/>
        <v>0-DESAG</v>
      </c>
      <c r="AK765" s="347">
        <f t="shared" si="815"/>
        <v>762</v>
      </c>
      <c r="AL765" s="348">
        <f t="shared" si="829"/>
        <v>766</v>
      </c>
      <c r="AM765" s="347">
        <f t="shared" si="830"/>
        <v>4</v>
      </c>
      <c r="AN765" s="382">
        <f>IF(AND(AH765&gt;0,B765&lt;&gt;""),VLOOKUP(I765,'AUX-NIV2'!$B:$AP,40,FALSE)*O765,0)</f>
        <v>0</v>
      </c>
      <c r="AO765" s="382">
        <f t="shared" si="816"/>
        <v>0.25</v>
      </c>
      <c r="AQ765" s="395">
        <f>(IF($H765="x",VLOOKUP($I765,'AUX-NIV2'!$B:$X,'AUX-NIV1'!AQ$3,FALSE),0)+($AV765*'AUX-NIV3'!S$4))*$O765+IF($H765=AQ$4,$P765,0)</f>
        <v>52.810053462084042</v>
      </c>
      <c r="AR765" s="395">
        <f>(IF($H765="x",VLOOKUP($I765,'AUX-NIV2'!$B:$X,'AUX-NIV1'!AR$3,FALSE),0)+($AV765*'AUX-NIV3'!T$4))*$O765+IF($H765=AR$4,$P765,0)</f>
        <v>0</v>
      </c>
      <c r="AS765" s="395">
        <f>(IF($H765="x",VLOOKUP($I765,'AUX-NIV2'!$B:$X,'AUX-NIV1'!AS$3,FALSE),0)+($AV765*'AUX-NIV3'!U$4))*$O765+IF($H765=AS$4,$P765,0)</f>
        <v>0</v>
      </c>
      <c r="AT765" s="395">
        <f>(IF($H765="x",VLOOKUP($I765,'AUX-NIV2'!$B:$X,'AUX-NIV1'!AT$3,FALSE),0)+($AV765*'AUX-NIV3'!V$4))*$O765+IF($H765=AT$4,$P765,0)</f>
        <v>0</v>
      </c>
      <c r="AU765" s="395">
        <f>(IF($H765="x",VLOOKUP($I765,'AUX-NIV2'!$B:$X,'AUX-NIV1'!AU$3,FALSE),0)+($AV765*'AUX-NIV3'!W$4))*$O765+IF($H765=AU$4,$P765,0)</f>
        <v>0</v>
      </c>
      <c r="AV765" s="395">
        <f>+IF($H765="x",VLOOKUP($I765,'AUX-NIV2'!$B:$X,'AUX-NIV1'!AV$3,FALSE),0)</f>
        <v>0</v>
      </c>
    </row>
    <row r="766" spans="2:48" ht="14.4" hidden="1" thickTop="1" thickBot="1">
      <c r="B766" s="501" t="s">
        <v>3841</v>
      </c>
      <c r="C766" s="951" t="s">
        <v>3842</v>
      </c>
      <c r="D766" s="1280" t="s">
        <v>501</v>
      </c>
      <c r="E766" s="1281">
        <f>IF(B766&lt;&gt;"",+SUMIF(Items!C:C,'AUX-NIV1'!B766,Items!H:H),"")</f>
        <v>0</v>
      </c>
      <c r="F766" s="1281">
        <f t="shared" si="805"/>
        <v>171.68909321572428</v>
      </c>
      <c r="G766" s="1281">
        <f t="shared" si="806"/>
        <v>0</v>
      </c>
      <c r="H766" s="1395" t="str">
        <f t="shared" si="817"/>
        <v>A</v>
      </c>
      <c r="I766" s="1375" t="s">
        <v>1746</v>
      </c>
      <c r="J766" s="1283" t="str">
        <f>IF(B766&lt;&gt;"",+VLOOKUP(I766,Recursos!C:F,2,FALSE),"")</f>
        <v>OFICIAL</v>
      </c>
      <c r="K766" s="1284" t="str">
        <f>IF(B766&lt;&gt;"",+VLOOKUP(I766,Recursos!C:F,3,FALSE),"")</f>
        <v>hh</v>
      </c>
      <c r="L766" s="1285">
        <f>IF(B766&lt;&gt;"",+VLOOKUP(I766,Recursos!C:F,4,FALSE),"")</f>
        <v>496.91595439275824</v>
      </c>
      <c r="M766" s="1405"/>
      <c r="N766" s="1402">
        <v>1</v>
      </c>
      <c r="O766" s="1286">
        <f>N766/M765</f>
        <v>0.125</v>
      </c>
      <c r="P766" s="1287">
        <f t="shared" si="818"/>
        <v>62.11449429909478</v>
      </c>
      <c r="Q766" s="1281">
        <f t="shared" si="819"/>
        <v>0</v>
      </c>
      <c r="R766" s="1288">
        <f t="shared" si="820"/>
        <v>0</v>
      </c>
      <c r="S766" s="1289">
        <f t="shared" si="808"/>
        <v>114.92454776117881</v>
      </c>
      <c r="T766" s="1289">
        <f t="shared" si="809"/>
        <v>0</v>
      </c>
      <c r="U766" s="1290">
        <f t="shared" si="810"/>
        <v>56.764545454545456</v>
      </c>
      <c r="V766" s="1290">
        <f t="shared" si="811"/>
        <v>0</v>
      </c>
      <c r="W766" s="1290">
        <f t="shared" si="812"/>
        <v>0</v>
      </c>
      <c r="X766" s="1290">
        <f t="shared" si="813"/>
        <v>0</v>
      </c>
      <c r="Y766" s="396"/>
      <c r="Z766" s="1291" t="str">
        <f t="shared" si="821"/>
        <v>0-DESAGA</v>
      </c>
      <c r="AA766" s="1291" t="str">
        <f t="shared" si="822"/>
        <v>0-DESAGE</v>
      </c>
      <c r="AB766" s="1291" t="str">
        <f t="shared" si="823"/>
        <v>0-DESAGM</v>
      </c>
      <c r="AC766" s="1291" t="str">
        <f t="shared" si="824"/>
        <v>0-DESAGT</v>
      </c>
      <c r="AD766" s="1291" t="str">
        <f t="shared" si="825"/>
        <v>0-DESAGS</v>
      </c>
      <c r="AE766" s="1291" t="str">
        <f t="shared" si="826"/>
        <v>0-DESAGX</v>
      </c>
      <c r="AF766" s="1291" t="str">
        <f t="shared" si="827"/>
        <v>0-DESAGA</v>
      </c>
      <c r="AG766" s="1291">
        <f t="shared" si="814"/>
        <v>5</v>
      </c>
      <c r="AH766" s="1291">
        <f>IF(B766&lt;&gt;"",+IF(H766="x",+VLOOKUP(I766,'AUX-NIV2'!B:AG,32,FALSE),0),"")</f>
        <v>0</v>
      </c>
      <c r="AI766" s="1291" t="str">
        <f t="shared" si="828"/>
        <v>0-DESAG</v>
      </c>
      <c r="AK766" s="347">
        <f t="shared" si="815"/>
        <v>762</v>
      </c>
      <c r="AL766" s="348">
        <f t="shared" si="829"/>
        <v>766</v>
      </c>
      <c r="AM766" s="347">
        <f t="shared" si="830"/>
        <v>5</v>
      </c>
      <c r="AN766" s="382">
        <f>IF(AND(AH766&gt;0,B766&lt;&gt;""),VLOOKUP(I766,'AUX-NIV2'!$B:$AP,40,FALSE)*O766,0)</f>
        <v>0</v>
      </c>
      <c r="AO766" s="382">
        <f t="shared" si="816"/>
        <v>0.25</v>
      </c>
      <c r="AQ766" s="395">
        <f>(IF($H766="x",VLOOKUP($I766,'AUX-NIV2'!$B:$X,'AUX-NIV1'!AQ$3,FALSE),0)+($AV766*'AUX-NIV3'!S$4))*$O766+IF($H766=AQ$4,$P766,0)</f>
        <v>62.11449429909478</v>
      </c>
      <c r="AR766" s="395">
        <f>(IF($H766="x",VLOOKUP($I766,'AUX-NIV2'!$B:$X,'AUX-NIV1'!AR$3,FALSE),0)+($AV766*'AUX-NIV3'!T$4))*$O766+IF($H766=AR$4,$P766,0)</f>
        <v>0</v>
      </c>
      <c r="AS766" s="395">
        <f>(IF($H766="x",VLOOKUP($I766,'AUX-NIV2'!$B:$X,'AUX-NIV1'!AS$3,FALSE),0)+($AV766*'AUX-NIV3'!U$4))*$O766+IF($H766=AS$4,$P766,0)</f>
        <v>0</v>
      </c>
      <c r="AT766" s="395">
        <f>(IF($H766="x",VLOOKUP($I766,'AUX-NIV2'!$B:$X,'AUX-NIV1'!AT$3,FALSE),0)+($AV766*'AUX-NIV3'!V$4))*$O766+IF($H766=AT$4,$P766,0)</f>
        <v>0</v>
      </c>
      <c r="AU766" s="395">
        <f>(IF($H766="x",VLOOKUP($I766,'AUX-NIV2'!$B:$X,'AUX-NIV1'!AU$3,FALSE),0)+($AV766*'AUX-NIV3'!W$4))*$O766+IF($H766=AU$4,$P766,0)</f>
        <v>0</v>
      </c>
      <c r="AV766" s="395">
        <f>+IF($H766="x",VLOOKUP($I766,'AUX-NIV2'!$B:$X,'AUX-NIV1'!AV$3,FALSE),0)</f>
        <v>0</v>
      </c>
    </row>
    <row r="767" spans="2:48" ht="13.8" hidden="1" thickTop="1">
      <c r="B767" s="501" t="s">
        <v>3850</v>
      </c>
      <c r="C767" s="951" t="s">
        <v>3851</v>
      </c>
      <c r="D767" s="1280" t="s">
        <v>1233</v>
      </c>
      <c r="E767" s="1281">
        <f>IF(B767&lt;&gt;"",+SUMIF(Items!C:C,'AUX-NIV1'!B767,Items!H:H),"")</f>
        <v>0</v>
      </c>
      <c r="F767" s="1281">
        <f t="shared" si="805"/>
        <v>11032.756585073166</v>
      </c>
      <c r="G767" s="1281">
        <f t="shared" si="806"/>
        <v>0</v>
      </c>
      <c r="H767" s="1395" t="str">
        <f t="shared" si="817"/>
        <v>A</v>
      </c>
      <c r="I767" s="1375" t="s">
        <v>1745</v>
      </c>
      <c r="J767" s="1283" t="str">
        <f>IF(B767&lt;&gt;"",+VLOOKUP(I767,Recursos!C:F,2,FALSE),"")</f>
        <v>AYUDANTE</v>
      </c>
      <c r="K767" s="1284" t="str">
        <f>IF(B767&lt;&gt;"",+VLOOKUP(I767,Recursos!C:F,3,FALSE),"")</f>
        <v>hh</v>
      </c>
      <c r="L767" s="1285">
        <f>IF(B767&lt;&gt;"",+VLOOKUP(I767,Recursos!C:F,4,FALSE),"")</f>
        <v>422.48042769667234</v>
      </c>
      <c r="M767" s="989">
        <v>2</v>
      </c>
      <c r="N767" s="1292">
        <v>6</v>
      </c>
      <c r="O767" s="1286">
        <f>M767*N767</f>
        <v>12</v>
      </c>
      <c r="P767" s="1287">
        <f t="shared" si="818"/>
        <v>5069.7651323600676</v>
      </c>
      <c r="Q767" s="1281">
        <f t="shared" si="819"/>
        <v>0</v>
      </c>
      <c r="R767" s="1288">
        <f t="shared" si="820"/>
        <v>0</v>
      </c>
      <c r="S767" s="1289">
        <f t="shared" si="808"/>
        <v>11032.756585073166</v>
      </c>
      <c r="T767" s="1289">
        <f t="shared" si="809"/>
        <v>0</v>
      </c>
      <c r="U767" s="1290">
        <f t="shared" si="810"/>
        <v>0</v>
      </c>
      <c r="V767" s="1290">
        <f t="shared" si="811"/>
        <v>0</v>
      </c>
      <c r="W767" s="1290">
        <f t="shared" si="812"/>
        <v>0</v>
      </c>
      <c r="X767" s="1290">
        <f t="shared" si="813"/>
        <v>0</v>
      </c>
      <c r="Y767" s="396"/>
      <c r="Z767" s="1291" t="str">
        <f t="shared" si="821"/>
        <v>0-DESPRUA</v>
      </c>
      <c r="AA767" s="1291" t="str">
        <f t="shared" si="822"/>
        <v>0-DESPRUE</v>
      </c>
      <c r="AB767" s="1291" t="str">
        <f t="shared" si="823"/>
        <v>0-DESPRUM</v>
      </c>
      <c r="AC767" s="1291" t="str">
        <f t="shared" si="824"/>
        <v>0-DESPRUT</v>
      </c>
      <c r="AD767" s="1291" t="str">
        <f t="shared" si="825"/>
        <v>0-DESPRUS</v>
      </c>
      <c r="AE767" s="1291" t="str">
        <f t="shared" si="826"/>
        <v>0-DESPRUX</v>
      </c>
      <c r="AF767" s="1291" t="str">
        <f t="shared" si="827"/>
        <v>0-DESPRUA</v>
      </c>
      <c r="AG767" s="1291">
        <f t="shared" si="814"/>
        <v>2</v>
      </c>
      <c r="AH767" s="1291">
        <f>IF(B767&lt;&gt;"",+IF(H767="x",+VLOOKUP(I767,'AUX-NIV2'!B:AG,32,FALSE),0),"")</f>
        <v>0</v>
      </c>
      <c r="AI767" s="1291" t="str">
        <f t="shared" si="828"/>
        <v>0-DESPRU</v>
      </c>
      <c r="AK767" s="347">
        <f t="shared" si="815"/>
        <v>767</v>
      </c>
      <c r="AL767" s="348">
        <f t="shared" si="829"/>
        <v>768</v>
      </c>
      <c r="AM767" s="347">
        <f t="shared" si="830"/>
        <v>1</v>
      </c>
      <c r="AN767" s="382">
        <f>IF(AND(AH767&gt;0,B767&lt;&gt;""),VLOOKUP(I767,'AUX-NIV2'!$B:$AP,40,FALSE)*O767,0)</f>
        <v>0</v>
      </c>
      <c r="AO767" s="382">
        <f t="shared" si="816"/>
        <v>24</v>
      </c>
      <c r="AQ767" s="395">
        <f>(IF($H767="x",VLOOKUP($I767,'AUX-NIV2'!$B:$X,'AUX-NIV1'!AQ$3,FALSE),0)+($AV767*'AUX-NIV3'!S$4))*$O767+IF($H767=AQ$4,$P767,0)</f>
        <v>5069.7651323600676</v>
      </c>
      <c r="AR767" s="395">
        <f>(IF($H767="x",VLOOKUP($I767,'AUX-NIV2'!$B:$X,'AUX-NIV1'!AR$3,FALSE),0)+($AV767*'AUX-NIV3'!T$4))*$O767+IF($H767=AR$4,$P767,0)</f>
        <v>0</v>
      </c>
      <c r="AS767" s="395">
        <f>(IF($H767="x",VLOOKUP($I767,'AUX-NIV2'!$B:$X,'AUX-NIV1'!AS$3,FALSE),0)+($AV767*'AUX-NIV3'!U$4))*$O767+IF($H767=AS$4,$P767,0)</f>
        <v>0</v>
      </c>
      <c r="AT767" s="395">
        <f>(IF($H767="x",VLOOKUP($I767,'AUX-NIV2'!$B:$X,'AUX-NIV1'!AT$3,FALSE),0)+($AV767*'AUX-NIV3'!V$4))*$O767+IF($H767=AT$4,$P767,0)</f>
        <v>0</v>
      </c>
      <c r="AU767" s="395">
        <f>(IF($H767="x",VLOOKUP($I767,'AUX-NIV2'!$B:$X,'AUX-NIV1'!AU$3,FALSE),0)+($AV767*'AUX-NIV3'!W$4))*$O767+IF($H767=AU$4,$P767,0)</f>
        <v>0</v>
      </c>
      <c r="AV767" s="395">
        <f>+IF($H767="x",VLOOKUP($I767,'AUX-NIV2'!$B:$X,'AUX-NIV1'!AV$3,FALSE),0)</f>
        <v>0</v>
      </c>
    </row>
    <row r="768" spans="2:48" ht="14.4" hidden="1" thickTop="1" thickBot="1">
      <c r="B768" s="501" t="s">
        <v>3850</v>
      </c>
      <c r="C768" s="951" t="s">
        <v>3851</v>
      </c>
      <c r="D768" s="1280" t="s">
        <v>1233</v>
      </c>
      <c r="E768" s="1281">
        <f>IF(B768&lt;&gt;"",+SUMIF(Items!C:C,'AUX-NIV1'!B768,Items!H:H),"")</f>
        <v>0</v>
      </c>
      <c r="F768" s="1281">
        <f t="shared" si="805"/>
        <v>11032.756585073166</v>
      </c>
      <c r="G768" s="1281">
        <f t="shared" si="806"/>
        <v>0</v>
      </c>
      <c r="H768" s="1395" t="str">
        <f t="shared" si="817"/>
        <v>A</v>
      </c>
      <c r="I768" s="1375" t="s">
        <v>1746</v>
      </c>
      <c r="J768" s="1283" t="str">
        <f>IF(B768&lt;&gt;"",+VLOOKUP(I768,Recursos!C:F,2,FALSE),"")</f>
        <v>OFICIAL</v>
      </c>
      <c r="K768" s="1284" t="str">
        <f>IF(B768&lt;&gt;"",+VLOOKUP(I768,Recursos!C:F,3,FALSE),"")</f>
        <v>hh</v>
      </c>
      <c r="L768" s="1285">
        <f>IF(B768&lt;&gt;"",+VLOOKUP(I768,Recursos!C:F,4,FALSE),"")</f>
        <v>496.91595439275824</v>
      </c>
      <c r="M768" s="1405"/>
      <c r="N768" s="1426"/>
      <c r="O768" s="1286">
        <f>N767*M767</f>
        <v>12</v>
      </c>
      <c r="P768" s="1287">
        <f t="shared" si="818"/>
        <v>5962.9914527130986</v>
      </c>
      <c r="Q768" s="1281">
        <f t="shared" si="819"/>
        <v>0</v>
      </c>
      <c r="R768" s="1288">
        <f t="shared" si="820"/>
        <v>0</v>
      </c>
      <c r="S768" s="1289">
        <f t="shared" si="808"/>
        <v>11032.756585073166</v>
      </c>
      <c r="T768" s="1289">
        <f t="shared" si="809"/>
        <v>0</v>
      </c>
      <c r="U768" s="1290">
        <f t="shared" si="810"/>
        <v>0</v>
      </c>
      <c r="V768" s="1290">
        <f t="shared" si="811"/>
        <v>0</v>
      </c>
      <c r="W768" s="1290">
        <f t="shared" si="812"/>
        <v>0</v>
      </c>
      <c r="X768" s="1290">
        <f t="shared" si="813"/>
        <v>0</v>
      </c>
      <c r="Y768" s="396"/>
      <c r="Z768" s="1291" t="str">
        <f t="shared" si="821"/>
        <v>0-DESPRUA</v>
      </c>
      <c r="AA768" s="1291" t="str">
        <f t="shared" si="822"/>
        <v>0-DESPRUE</v>
      </c>
      <c r="AB768" s="1291" t="str">
        <f t="shared" si="823"/>
        <v>0-DESPRUM</v>
      </c>
      <c r="AC768" s="1291" t="str">
        <f t="shared" si="824"/>
        <v>0-DESPRUT</v>
      </c>
      <c r="AD768" s="1291" t="str">
        <f t="shared" si="825"/>
        <v>0-DESPRUS</v>
      </c>
      <c r="AE768" s="1291" t="str">
        <f t="shared" si="826"/>
        <v>0-DESPRUX</v>
      </c>
      <c r="AF768" s="1291" t="str">
        <f t="shared" si="827"/>
        <v>0-DESPRUA</v>
      </c>
      <c r="AG768" s="1291">
        <f t="shared" si="814"/>
        <v>2</v>
      </c>
      <c r="AH768" s="1291">
        <f>IF(B768&lt;&gt;"",+IF(H768="x",+VLOOKUP(I768,'AUX-NIV2'!B:AG,32,FALSE),0),"")</f>
        <v>0</v>
      </c>
      <c r="AI768" s="1291" t="str">
        <f t="shared" si="828"/>
        <v>0-DESPRU</v>
      </c>
      <c r="AK768" s="347">
        <f t="shared" si="815"/>
        <v>767</v>
      </c>
      <c r="AL768" s="348">
        <f t="shared" si="829"/>
        <v>768</v>
      </c>
      <c r="AM768" s="347">
        <f t="shared" si="830"/>
        <v>2</v>
      </c>
      <c r="AN768" s="382">
        <f>IF(AND(AH768&gt;0,B768&lt;&gt;""),VLOOKUP(I768,'AUX-NIV2'!$B:$AP,40,FALSE)*O768,0)</f>
        <v>0</v>
      </c>
      <c r="AO768" s="382">
        <f t="shared" si="816"/>
        <v>24</v>
      </c>
      <c r="AQ768" s="395">
        <f>(IF($H768="x",VLOOKUP($I768,'AUX-NIV2'!$B:$X,'AUX-NIV1'!AQ$3,FALSE),0)+($AV768*'AUX-NIV3'!S$4))*$O768+IF($H768=AQ$4,$P768,0)</f>
        <v>5962.9914527130986</v>
      </c>
      <c r="AR768" s="395">
        <f>(IF($H768="x",VLOOKUP($I768,'AUX-NIV2'!$B:$X,'AUX-NIV1'!AR$3,FALSE),0)+($AV768*'AUX-NIV3'!T$4))*$O768+IF($H768=AR$4,$P768,0)</f>
        <v>0</v>
      </c>
      <c r="AS768" s="395">
        <f>(IF($H768="x",VLOOKUP($I768,'AUX-NIV2'!$B:$X,'AUX-NIV1'!AS$3,FALSE),0)+($AV768*'AUX-NIV3'!U$4))*$O768+IF($H768=AS$4,$P768,0)</f>
        <v>0</v>
      </c>
      <c r="AT768" s="395">
        <f>(IF($H768="x",VLOOKUP($I768,'AUX-NIV2'!$B:$X,'AUX-NIV1'!AT$3,FALSE),0)+($AV768*'AUX-NIV3'!V$4))*$O768+IF($H768=AT$4,$P768,0)</f>
        <v>0</v>
      </c>
      <c r="AU768" s="395">
        <f>(IF($H768="x",VLOOKUP($I768,'AUX-NIV2'!$B:$X,'AUX-NIV1'!AU$3,FALSE),0)+($AV768*'AUX-NIV3'!W$4))*$O768+IF($H768=AU$4,$P768,0)</f>
        <v>0</v>
      </c>
      <c r="AV768" s="395">
        <f>+IF($H768="x",VLOOKUP($I768,'AUX-NIV2'!$B:$X,'AUX-NIV1'!AV$3,FALSE),0)</f>
        <v>0</v>
      </c>
    </row>
    <row r="769" spans="2:48" ht="14.4" hidden="1" thickTop="1" thickBot="1">
      <c r="B769" s="501" t="s">
        <v>3868</v>
      </c>
      <c r="C769" s="951" t="s">
        <v>3869</v>
      </c>
      <c r="D769" s="1280" t="s">
        <v>610</v>
      </c>
      <c r="E769" s="1281">
        <f>IF(B769&lt;&gt;"",+SUMIF(Items!C:C,'AUX-NIV1'!B769,Items!H:H),"")</f>
        <v>0</v>
      </c>
      <c r="F769" s="1281">
        <f t="shared" si="805"/>
        <v>10000</v>
      </c>
      <c r="G769" s="1281">
        <f t="shared" si="806"/>
        <v>0</v>
      </c>
      <c r="H769" s="1395" t="str">
        <f t="shared" si="817"/>
        <v>S</v>
      </c>
      <c r="I769" s="1375" t="s">
        <v>737</v>
      </c>
      <c r="J769" s="1283" t="str">
        <f>IF(B769&lt;&gt;"",+VLOOKUP(I769,Recursos!C:F,2,FALSE),"")</f>
        <v>CARTEL DE OBRA</v>
      </c>
      <c r="K769" s="1284" t="str">
        <f>IF(B769&lt;&gt;"",+VLOOKUP(I769,Recursos!C:F,3,FALSE),"")</f>
        <v>GL</v>
      </c>
      <c r="L769" s="1285">
        <f>IF(B769&lt;&gt;"",+VLOOKUP(I769,Recursos!C:F,4,FALSE),"")</f>
        <v>10000</v>
      </c>
      <c r="M769" s="1425"/>
      <c r="N769" s="1294">
        <v>1</v>
      </c>
      <c r="O769" s="1286">
        <f t="shared" si="831"/>
        <v>1</v>
      </c>
      <c r="P769" s="1287">
        <f t="shared" si="818"/>
        <v>10000</v>
      </c>
      <c r="Q769" s="1281">
        <f t="shared" si="819"/>
        <v>0</v>
      </c>
      <c r="R769" s="1288">
        <f t="shared" si="820"/>
        <v>0</v>
      </c>
      <c r="S769" s="1289">
        <f t="shared" si="808"/>
        <v>0</v>
      </c>
      <c r="T769" s="1289">
        <f t="shared" si="809"/>
        <v>0</v>
      </c>
      <c r="U769" s="1290">
        <f t="shared" si="810"/>
        <v>0</v>
      </c>
      <c r="V769" s="1290">
        <f t="shared" si="811"/>
        <v>0</v>
      </c>
      <c r="W769" s="1290">
        <f t="shared" si="812"/>
        <v>10000</v>
      </c>
      <c r="X769" s="1290">
        <f t="shared" si="813"/>
        <v>0</v>
      </c>
      <c r="Y769" s="396"/>
      <c r="Z769" s="1291" t="str">
        <f t="shared" si="821"/>
        <v>0-CARTELA</v>
      </c>
      <c r="AA769" s="1291" t="str">
        <f t="shared" si="822"/>
        <v>0-CARTELE</v>
      </c>
      <c r="AB769" s="1291" t="str">
        <f t="shared" si="823"/>
        <v>0-CARTELM</v>
      </c>
      <c r="AC769" s="1291" t="str">
        <f t="shared" si="824"/>
        <v>0-CARTELT</v>
      </c>
      <c r="AD769" s="1291" t="str">
        <f t="shared" si="825"/>
        <v>0-CARTELS</v>
      </c>
      <c r="AE769" s="1291" t="str">
        <f t="shared" si="826"/>
        <v>0-CARTELX</v>
      </c>
      <c r="AF769" s="1291" t="str">
        <f t="shared" si="827"/>
        <v>0-CARTELS</v>
      </c>
      <c r="AG769" s="1291">
        <f t="shared" si="814"/>
        <v>1</v>
      </c>
      <c r="AH769" s="1291">
        <f>IF(B769&lt;&gt;"",+IF(H769="x",+VLOOKUP(I769,'AUX-NIV2'!B:AG,32,FALSE),0),"")</f>
        <v>0</v>
      </c>
      <c r="AI769" s="1291" t="str">
        <f t="shared" si="828"/>
        <v>0-CARTEL</v>
      </c>
      <c r="AK769" s="347">
        <f t="shared" si="815"/>
        <v>769</v>
      </c>
      <c r="AL769" s="348">
        <f t="shared" si="829"/>
        <v>769</v>
      </c>
      <c r="AM769" s="347">
        <f t="shared" si="830"/>
        <v>1</v>
      </c>
      <c r="AN769" s="382">
        <f>IF(AND(AH769&gt;0,B769&lt;&gt;""),VLOOKUP(I769,'AUX-NIV2'!$B:$AP,40,FALSE)*O769,0)</f>
        <v>0</v>
      </c>
      <c r="AO769" s="382">
        <f t="shared" si="816"/>
        <v>0</v>
      </c>
      <c r="AQ769" s="395">
        <f>(IF($H769="x",VLOOKUP($I769,'AUX-NIV2'!$B:$X,'AUX-NIV1'!AQ$3,FALSE),0)+($AV769*'AUX-NIV3'!S$4))*$O769+IF($H769=AQ$4,$P769,0)</f>
        <v>0</v>
      </c>
      <c r="AR769" s="395">
        <f>(IF($H769="x",VLOOKUP($I769,'AUX-NIV2'!$B:$X,'AUX-NIV1'!AR$3,FALSE),0)+($AV769*'AUX-NIV3'!T$4))*$O769+IF($H769=AR$4,$P769,0)</f>
        <v>0</v>
      </c>
      <c r="AS769" s="395">
        <f>(IF($H769="x",VLOOKUP($I769,'AUX-NIV2'!$B:$X,'AUX-NIV1'!AS$3,FALSE),0)+($AV769*'AUX-NIV3'!U$4))*$O769+IF($H769=AS$4,$P769,0)</f>
        <v>0</v>
      </c>
      <c r="AT769" s="395">
        <f>(IF($H769="x",VLOOKUP($I769,'AUX-NIV2'!$B:$X,'AUX-NIV1'!AT$3,FALSE),0)+($AV769*'AUX-NIV3'!V$4))*$O769+IF($H769=AT$4,$P769,0)</f>
        <v>0</v>
      </c>
      <c r="AU769" s="395">
        <f>(IF($H769="x",VLOOKUP($I769,'AUX-NIV2'!$B:$X,'AUX-NIV1'!AU$3,FALSE),0)+($AV769*'AUX-NIV3'!W$4))*$O769+IF($H769=AU$4,$P769,0)</f>
        <v>10000</v>
      </c>
      <c r="AV769" s="395">
        <f>+IF($H769="x",VLOOKUP($I769,'AUX-NIV2'!$B:$X,'AUX-NIV1'!AV$3,FALSE),0)</f>
        <v>0</v>
      </c>
    </row>
    <row r="770" spans="2:48" ht="14.4" hidden="1" thickTop="1" thickBot="1">
      <c r="B770" s="501" t="s">
        <v>3872</v>
      </c>
      <c r="C770" s="951" t="s">
        <v>3873</v>
      </c>
      <c r="D770" s="1280" t="s">
        <v>1233</v>
      </c>
      <c r="E770" s="1281">
        <f>IF(B770&lt;&gt;"",+SUMIF(Items!C:C,'AUX-NIV1'!B770,Items!H:H),"")</f>
        <v>0</v>
      </c>
      <c r="F770" s="1281">
        <f t="shared" si="805"/>
        <v>212.5</v>
      </c>
      <c r="G770" s="1281">
        <f t="shared" si="806"/>
        <v>0</v>
      </c>
      <c r="H770" s="1395" t="str">
        <f t="shared" si="817"/>
        <v>S</v>
      </c>
      <c r="I770" s="1375" t="s">
        <v>3870</v>
      </c>
      <c r="J770" s="1283" t="str">
        <f>IF(B770&lt;&gt;"",+VLOOKUP(I770,Recursos!C:F,2,FALSE),"")</f>
        <v>PLANOS CONFORME A OBRA</v>
      </c>
      <c r="K770" s="1284" t="str">
        <f>IF(B770&lt;&gt;"",+VLOOKUP(I770,Recursos!C:F,3,FALSE),"")</f>
        <v>Gl</v>
      </c>
      <c r="L770" s="1285">
        <f>IF(B770&lt;&gt;"",+VLOOKUP(I770,Recursos!C:F,4,FALSE),"")</f>
        <v>1000</v>
      </c>
      <c r="M770" s="1293">
        <v>800</v>
      </c>
      <c r="N770" s="1294">
        <v>170</v>
      </c>
      <c r="O770" s="1286">
        <f>N770/M770</f>
        <v>0.21249999999999999</v>
      </c>
      <c r="P770" s="1287">
        <f t="shared" si="818"/>
        <v>212.5</v>
      </c>
      <c r="Q770" s="1281">
        <f t="shared" si="819"/>
        <v>0</v>
      </c>
      <c r="R770" s="1288">
        <f t="shared" si="820"/>
        <v>0</v>
      </c>
      <c r="S770" s="1289">
        <f t="shared" si="808"/>
        <v>0</v>
      </c>
      <c r="T770" s="1289">
        <f t="shared" si="809"/>
        <v>0</v>
      </c>
      <c r="U770" s="1290">
        <f t="shared" si="810"/>
        <v>0</v>
      </c>
      <c r="V770" s="1290">
        <f t="shared" si="811"/>
        <v>0</v>
      </c>
      <c r="W770" s="1290">
        <f t="shared" si="812"/>
        <v>212.5</v>
      </c>
      <c r="X770" s="1290">
        <f t="shared" si="813"/>
        <v>0</v>
      </c>
      <c r="Y770" s="396"/>
      <c r="Z770" s="1291" t="str">
        <f t="shared" si="821"/>
        <v>0-PLCOA</v>
      </c>
      <c r="AA770" s="1291" t="str">
        <f t="shared" si="822"/>
        <v>0-PLCOE</v>
      </c>
      <c r="AB770" s="1291" t="str">
        <f t="shared" si="823"/>
        <v>0-PLCOM</v>
      </c>
      <c r="AC770" s="1291" t="str">
        <f t="shared" si="824"/>
        <v>0-PLCOT</v>
      </c>
      <c r="AD770" s="1291" t="str">
        <f t="shared" si="825"/>
        <v>0-PLCOS</v>
      </c>
      <c r="AE770" s="1291" t="str">
        <f t="shared" si="826"/>
        <v>0-PLCOX</v>
      </c>
      <c r="AF770" s="1291" t="str">
        <f t="shared" si="827"/>
        <v>0-PLCOS</v>
      </c>
      <c r="AG770" s="1291">
        <f t="shared" si="814"/>
        <v>1</v>
      </c>
      <c r="AH770" s="1291">
        <f>IF(B770&lt;&gt;"",+IF(H770="x",+VLOOKUP(I770,'AUX-NIV2'!B:AG,32,FALSE),0),"")</f>
        <v>0</v>
      </c>
      <c r="AI770" s="1291" t="str">
        <f t="shared" si="828"/>
        <v>0-PLCO</v>
      </c>
      <c r="AK770" s="347">
        <f t="shared" si="815"/>
        <v>770</v>
      </c>
      <c r="AL770" s="348">
        <f t="shared" si="829"/>
        <v>770</v>
      </c>
      <c r="AM770" s="347">
        <f t="shared" si="830"/>
        <v>1</v>
      </c>
      <c r="AN770" s="382">
        <f>IF(AND(AH770&gt;0,B770&lt;&gt;""),VLOOKUP(I770,'AUX-NIV2'!$B:$AP,40,FALSE)*O770,0)</f>
        <v>0</v>
      </c>
      <c r="AO770" s="382">
        <f t="shared" si="816"/>
        <v>0</v>
      </c>
      <c r="AQ770" s="395">
        <f>(IF($H770="x",VLOOKUP($I770,'AUX-NIV2'!$B:$X,'AUX-NIV1'!AQ$3,FALSE),0)+($AV770*'AUX-NIV3'!S$4))*$O770+IF($H770=AQ$4,$P770,0)</f>
        <v>0</v>
      </c>
      <c r="AR770" s="395">
        <f>(IF($H770="x",VLOOKUP($I770,'AUX-NIV2'!$B:$X,'AUX-NIV1'!AR$3,FALSE),0)+($AV770*'AUX-NIV3'!T$4))*$O770+IF($H770=AR$4,$P770,0)</f>
        <v>0</v>
      </c>
      <c r="AS770" s="395">
        <f>(IF($H770="x",VLOOKUP($I770,'AUX-NIV2'!$B:$X,'AUX-NIV1'!AS$3,FALSE),0)+($AV770*'AUX-NIV3'!U$4))*$O770+IF($H770=AS$4,$P770,0)</f>
        <v>0</v>
      </c>
      <c r="AT770" s="395">
        <f>(IF($H770="x",VLOOKUP($I770,'AUX-NIV2'!$B:$X,'AUX-NIV1'!AT$3,FALSE),0)+($AV770*'AUX-NIV3'!V$4))*$O770+IF($H770=AT$4,$P770,0)</f>
        <v>0</v>
      </c>
      <c r="AU770" s="395">
        <f>(IF($H770="x",VLOOKUP($I770,'AUX-NIV2'!$B:$X,'AUX-NIV1'!AU$3,FALSE),0)+($AV770*'AUX-NIV3'!W$4))*$O770+IF($H770=AU$4,$P770,0)</f>
        <v>212.5</v>
      </c>
      <c r="AV770" s="395">
        <f>+IF($H770="x",VLOOKUP($I770,'AUX-NIV2'!$B:$X,'AUX-NIV1'!AV$3,FALSE),0)</f>
        <v>0</v>
      </c>
    </row>
    <row r="771" spans="2:48" ht="13.8" hidden="1" thickTop="1">
      <c r="B771" s="501" t="s">
        <v>3875</v>
      </c>
      <c r="C771" s="951" t="s">
        <v>3876</v>
      </c>
      <c r="D771" s="1280" t="s">
        <v>477</v>
      </c>
      <c r="E771" s="1281">
        <f>IF(B771&lt;&gt;"",+SUMIF(Items!C:C,'AUX-NIV1'!B771,Items!H:H),"")</f>
        <v>0</v>
      </c>
      <c r="F771" s="1281">
        <f t="shared" si="805"/>
        <v>2110.3280890181823</v>
      </c>
      <c r="G771" s="1281">
        <f t="shared" si="806"/>
        <v>0</v>
      </c>
      <c r="H771" s="1395" t="str">
        <f t="shared" si="817"/>
        <v>X</v>
      </c>
      <c r="I771" s="1375" t="s">
        <v>3745</v>
      </c>
      <c r="J771" s="1283" t="str">
        <f>IF(B771&lt;&gt;"",+VLOOKUP(I771,Recursos!C:F,2,FALSE),"")</f>
        <v>Contrapiso</v>
      </c>
      <c r="K771" s="1284" t="str">
        <f>IF(B771&lt;&gt;"",+VLOOKUP(I771,Recursos!C:F,3,FALSE),"")</f>
        <v>m3</v>
      </c>
      <c r="L771" s="1285">
        <f>IF(B771&lt;&gt;"",+VLOOKUP(I771,Recursos!C:F,4,FALSE),"")</f>
        <v>4902.2479338842986</v>
      </c>
      <c r="M771" s="989">
        <v>1.3</v>
      </c>
      <c r="N771" s="1292">
        <v>0.15</v>
      </c>
      <c r="O771" s="1286">
        <f>N771*M771*1.1</f>
        <v>0.21450000000000002</v>
      </c>
      <c r="P771" s="1287">
        <f t="shared" si="818"/>
        <v>1051.5321818181822</v>
      </c>
      <c r="Q771" s="1281">
        <f t="shared" si="819"/>
        <v>0</v>
      </c>
      <c r="R771" s="1288">
        <f t="shared" si="820"/>
        <v>0</v>
      </c>
      <c r="S771" s="1289">
        <f t="shared" si="808"/>
        <v>0</v>
      </c>
      <c r="T771" s="1289">
        <f t="shared" si="809"/>
        <v>0</v>
      </c>
      <c r="U771" s="1290">
        <f t="shared" si="810"/>
        <v>1020.9916666666666</v>
      </c>
      <c r="V771" s="1290">
        <f t="shared" si="811"/>
        <v>0</v>
      </c>
      <c r="W771" s="1290">
        <f t="shared" si="812"/>
        <v>0</v>
      </c>
      <c r="X771" s="1290">
        <f t="shared" si="813"/>
        <v>1089.3364223515155</v>
      </c>
      <c r="Y771" s="396"/>
      <c r="Z771" s="1291" t="str">
        <f t="shared" si="821"/>
        <v>0-RADISA</v>
      </c>
      <c r="AA771" s="1291" t="str">
        <f t="shared" si="822"/>
        <v>0-RADISE</v>
      </c>
      <c r="AB771" s="1291" t="str">
        <f t="shared" si="823"/>
        <v>0-RADISM</v>
      </c>
      <c r="AC771" s="1291" t="str">
        <f t="shared" si="824"/>
        <v>0-RADIST</v>
      </c>
      <c r="AD771" s="1291" t="str">
        <f t="shared" si="825"/>
        <v>0-RADISS</v>
      </c>
      <c r="AE771" s="1291" t="str">
        <f t="shared" si="826"/>
        <v>0-RADISX</v>
      </c>
      <c r="AF771" s="1291" t="str">
        <f t="shared" si="827"/>
        <v>0-RADISX</v>
      </c>
      <c r="AG771" s="1291">
        <f t="shared" si="814"/>
        <v>6</v>
      </c>
      <c r="AH771" s="1291">
        <f>IF(B771&lt;&gt;"",+IF(H771="x",+VLOOKUP(I771,'AUX-NIV2'!B:AG,32,FALSE),0),"")</f>
        <v>3</v>
      </c>
      <c r="AI771" s="1291" t="str">
        <f t="shared" si="828"/>
        <v>0-RADIS</v>
      </c>
      <c r="AK771" s="347">
        <f t="shared" si="815"/>
        <v>771</v>
      </c>
      <c r="AL771" s="348">
        <f t="shared" si="829"/>
        <v>776</v>
      </c>
      <c r="AM771" s="347">
        <f t="shared" si="830"/>
        <v>1</v>
      </c>
      <c r="AN771" s="382">
        <f>IF(AND(AH771&gt;0,B771&lt;&gt;""),VLOOKUP(I771,'AUX-NIV2'!$B:$AP,40,FALSE)*O771,0)</f>
        <v>0</v>
      </c>
      <c r="AO771" s="382">
        <f t="shared" si="816"/>
        <v>0</v>
      </c>
      <c r="AQ771" s="395">
        <f>(IF($H771="x",VLOOKUP($I771,'AUX-NIV2'!$B:$X,'AUX-NIV1'!AQ$3,FALSE),0)+($AV771*'AUX-NIV3'!S$4))*$O771+IF($H771=AQ$4,$P771,0)</f>
        <v>0</v>
      </c>
      <c r="AR771" s="395">
        <f>(IF($H771="x",VLOOKUP($I771,'AUX-NIV2'!$B:$X,'AUX-NIV1'!AR$3,FALSE),0)+($AV771*'AUX-NIV3'!T$4))*$O771+IF($H771=AR$4,$P771,0)</f>
        <v>0</v>
      </c>
      <c r="AS771" s="395">
        <f>(IF($H771="x",VLOOKUP($I771,'AUX-NIV2'!$B:$X,'AUX-NIV1'!AS$3,FALSE),0)+($AV771*'AUX-NIV3'!U$4))*$O771+IF($H771=AS$4,$P771,0)</f>
        <v>1051.5321818181822</v>
      </c>
      <c r="AT771" s="395">
        <f>(IF($H771="x",VLOOKUP($I771,'AUX-NIV2'!$B:$X,'AUX-NIV1'!AT$3,FALSE),0)+($AV771*'AUX-NIV3'!V$4))*$O771+IF($H771=AT$4,$P771,0)</f>
        <v>0</v>
      </c>
      <c r="AU771" s="395">
        <f>(IF($H771="x",VLOOKUP($I771,'AUX-NIV2'!$B:$X,'AUX-NIV1'!AU$3,FALSE),0)+($AV771*'AUX-NIV3'!W$4))*$O771+IF($H771=AU$4,$P771,0)</f>
        <v>0</v>
      </c>
      <c r="AV771" s="395">
        <f>+IF($H771="x",VLOOKUP($I771,'AUX-NIV2'!$B:$X,'AUX-NIV1'!AV$3,FALSE),0)</f>
        <v>0</v>
      </c>
    </row>
    <row r="772" spans="2:48" ht="13.8" hidden="1" thickTop="1">
      <c r="B772" s="501" t="s">
        <v>3875</v>
      </c>
      <c r="C772" s="951" t="s">
        <v>3876</v>
      </c>
      <c r="D772" s="1280" t="s">
        <v>477</v>
      </c>
      <c r="E772" s="1281">
        <f>IF(B772&lt;&gt;"",+SUMIF(Items!C:C,'AUX-NIV1'!B772,Items!H:H),"")</f>
        <v>0</v>
      </c>
      <c r="F772" s="1281">
        <f t="shared" si="805"/>
        <v>2110.3280890181823</v>
      </c>
      <c r="G772" s="1281">
        <f t="shared" si="806"/>
        <v>0</v>
      </c>
      <c r="H772" s="1395" t="str">
        <f t="shared" si="817"/>
        <v>X</v>
      </c>
      <c r="I772" s="1375" t="s">
        <v>3735</v>
      </c>
      <c r="J772" s="1283" t="str">
        <f>IF(B772&lt;&gt;"",+VLOOKUP(I772,Recursos!C:F,2,FALSE),"")</f>
        <v>Mortero para ladrillos</v>
      </c>
      <c r="K772" s="1284" t="str">
        <f>IF(B772&lt;&gt;"",+VLOOKUP(I772,Recursos!C:F,3,FALSE),"")</f>
        <v>m3</v>
      </c>
      <c r="L772" s="1285">
        <f>IF(B772&lt;&gt;"",+VLOOKUP(I772,Recursos!C:F,4,FALSE),"")</f>
        <v>5858.095123966943</v>
      </c>
      <c r="M772" s="1399">
        <v>1.1000000000000001</v>
      </c>
      <c r="N772" s="1427">
        <v>0.02</v>
      </c>
      <c r="O772" s="1286">
        <f>N772*M772*O773</f>
        <v>6.4533333333333344E-3</v>
      </c>
      <c r="P772" s="1287">
        <f t="shared" si="818"/>
        <v>37.804240533333342</v>
      </c>
      <c r="Q772" s="1281">
        <f t="shared" si="819"/>
        <v>0</v>
      </c>
      <c r="R772" s="1288">
        <f t="shared" si="820"/>
        <v>0</v>
      </c>
      <c r="S772" s="1289">
        <f t="shared" si="808"/>
        <v>0</v>
      </c>
      <c r="T772" s="1289">
        <f t="shared" si="809"/>
        <v>0</v>
      </c>
      <c r="U772" s="1290">
        <f t="shared" si="810"/>
        <v>1020.9916666666666</v>
      </c>
      <c r="V772" s="1290">
        <f t="shared" si="811"/>
        <v>0</v>
      </c>
      <c r="W772" s="1290">
        <f t="shared" si="812"/>
        <v>0</v>
      </c>
      <c r="X772" s="1290">
        <f t="shared" si="813"/>
        <v>1089.3364223515155</v>
      </c>
      <c r="Y772" s="396"/>
      <c r="Z772" s="1291" t="str">
        <f t="shared" si="821"/>
        <v>0-RADISA</v>
      </c>
      <c r="AA772" s="1291" t="str">
        <f t="shared" si="822"/>
        <v>0-RADISE</v>
      </c>
      <c r="AB772" s="1291" t="str">
        <f t="shared" si="823"/>
        <v>0-RADISM</v>
      </c>
      <c r="AC772" s="1291" t="str">
        <f t="shared" si="824"/>
        <v>0-RADIST</v>
      </c>
      <c r="AD772" s="1291" t="str">
        <f t="shared" si="825"/>
        <v>0-RADISS</v>
      </c>
      <c r="AE772" s="1291" t="str">
        <f t="shared" si="826"/>
        <v>0-RADISX</v>
      </c>
      <c r="AF772" s="1291" t="str">
        <f t="shared" si="827"/>
        <v>0-RADISX</v>
      </c>
      <c r="AG772" s="1291">
        <f t="shared" si="814"/>
        <v>6</v>
      </c>
      <c r="AH772" s="1291">
        <f>IF(B772&lt;&gt;"",+IF(H772="x",+VLOOKUP(I772,'AUX-NIV2'!B:AG,32,FALSE),0),"")</f>
        <v>3</v>
      </c>
      <c r="AI772" s="1291" t="str">
        <f t="shared" si="828"/>
        <v>0-RADIS</v>
      </c>
      <c r="AK772" s="347">
        <f t="shared" si="815"/>
        <v>771</v>
      </c>
      <c r="AL772" s="348">
        <f t="shared" si="829"/>
        <v>776</v>
      </c>
      <c r="AM772" s="347">
        <f t="shared" si="830"/>
        <v>2</v>
      </c>
      <c r="AN772" s="382">
        <f>IF(AND(AH772&gt;0,B772&lt;&gt;""),VLOOKUP(I772,'AUX-NIV2'!$B:$AP,40,FALSE)*O772,0)</f>
        <v>0</v>
      </c>
      <c r="AO772" s="382">
        <f t="shared" si="816"/>
        <v>0</v>
      </c>
      <c r="AQ772" s="395">
        <f>(IF($H772="x",VLOOKUP($I772,'AUX-NIV2'!$B:$X,'AUX-NIV1'!AQ$3,FALSE),0)+($AV772*'AUX-NIV3'!S$4))*$O772+IF($H772=AQ$4,$P772,0)</f>
        <v>0</v>
      </c>
      <c r="AR772" s="395">
        <f>(IF($H772="x",VLOOKUP($I772,'AUX-NIV2'!$B:$X,'AUX-NIV1'!AR$3,FALSE),0)+($AV772*'AUX-NIV3'!T$4))*$O772+IF($H772=AR$4,$P772,0)</f>
        <v>0</v>
      </c>
      <c r="AS772" s="395">
        <f>(IF($H772="x",VLOOKUP($I772,'AUX-NIV2'!$B:$X,'AUX-NIV1'!AS$3,FALSE),0)+($AV772*'AUX-NIV3'!U$4))*$O772+IF($H772=AS$4,$P772,0)</f>
        <v>37.804240533333342</v>
      </c>
      <c r="AT772" s="395">
        <f>(IF($H772="x",VLOOKUP($I772,'AUX-NIV2'!$B:$X,'AUX-NIV1'!AT$3,FALSE),0)+($AV772*'AUX-NIV3'!V$4))*$O772+IF($H772=AT$4,$P772,0)</f>
        <v>0</v>
      </c>
      <c r="AU772" s="395">
        <f>(IF($H772="x",VLOOKUP($I772,'AUX-NIV2'!$B:$X,'AUX-NIV1'!AU$3,FALSE),0)+($AV772*'AUX-NIV3'!W$4))*$O772+IF($H772=AU$4,$P772,0)</f>
        <v>0</v>
      </c>
      <c r="AV772" s="395">
        <f>+IF($H772="x",VLOOKUP($I772,'AUX-NIV2'!$B:$X,'AUX-NIV1'!AV$3,FALSE),0)</f>
        <v>0</v>
      </c>
    </row>
    <row r="773" spans="2:48" ht="13.8" hidden="1" thickTop="1">
      <c r="B773" s="501" t="s">
        <v>3875</v>
      </c>
      <c r="C773" s="951" t="s">
        <v>3876</v>
      </c>
      <c r="D773" s="1280" t="s">
        <v>477</v>
      </c>
      <c r="E773" s="1281">
        <f>IF(B773&lt;&gt;"",+SUMIF(Items!C:C,'AUX-NIV1'!B773,Items!H:H),"")</f>
        <v>0</v>
      </c>
      <c r="F773" s="1281">
        <f t="shared" si="805"/>
        <v>2110.3280890181823</v>
      </c>
      <c r="G773" s="1281">
        <f t="shared" si="806"/>
        <v>0</v>
      </c>
      <c r="H773" s="1395" t="str">
        <f t="shared" si="817"/>
        <v>M</v>
      </c>
      <c r="I773" s="1375" t="s">
        <v>3385</v>
      </c>
      <c r="J773" s="1283" t="str">
        <f>IF(B773&lt;&gt;"",+VLOOKUP(I773,Recursos!C:F,2,FALSE),"")</f>
        <v>LOSETAS HÁPTICAS DURBAN</v>
      </c>
      <c r="K773" s="1284" t="str">
        <f>IF(B773&lt;&gt;"",+VLOOKUP(I773,Recursos!C:F,3,FALSE),"")</f>
        <v>m2</v>
      </c>
      <c r="L773" s="1285">
        <f>IF(B773&lt;&gt;"",+VLOOKUP(I773,Recursos!C:F,4,FALSE),"")</f>
        <v>3324.6874999999995</v>
      </c>
      <c r="M773" s="1399">
        <v>1.1000000000000001</v>
      </c>
      <c r="N773" s="1427">
        <f>0.4/3</f>
        <v>0.13333333333333333</v>
      </c>
      <c r="O773" s="1286">
        <f>N773*M773*2</f>
        <v>0.29333333333333333</v>
      </c>
      <c r="P773" s="1287">
        <f t="shared" si="818"/>
        <v>975.24166666666656</v>
      </c>
      <c r="Q773" s="1281">
        <f t="shared" si="819"/>
        <v>0</v>
      </c>
      <c r="R773" s="1288">
        <f t="shared" si="820"/>
        <v>0</v>
      </c>
      <c r="S773" s="1289">
        <f t="shared" si="808"/>
        <v>0</v>
      </c>
      <c r="T773" s="1289">
        <f t="shared" si="809"/>
        <v>0</v>
      </c>
      <c r="U773" s="1290">
        <f t="shared" si="810"/>
        <v>1020.9916666666666</v>
      </c>
      <c r="V773" s="1290">
        <f t="shared" si="811"/>
        <v>0</v>
      </c>
      <c r="W773" s="1290">
        <f t="shared" si="812"/>
        <v>0</v>
      </c>
      <c r="X773" s="1290">
        <f t="shared" si="813"/>
        <v>1089.3364223515155</v>
      </c>
      <c r="Y773" s="396"/>
      <c r="Z773" s="1291" t="str">
        <f t="shared" si="821"/>
        <v>0-RADISA</v>
      </c>
      <c r="AA773" s="1291" t="str">
        <f t="shared" si="822"/>
        <v>0-RADISE</v>
      </c>
      <c r="AB773" s="1291" t="str">
        <f t="shared" si="823"/>
        <v>0-RADISM</v>
      </c>
      <c r="AC773" s="1291" t="str">
        <f t="shared" si="824"/>
        <v>0-RADIST</v>
      </c>
      <c r="AD773" s="1291" t="str">
        <f t="shared" si="825"/>
        <v>0-RADISS</v>
      </c>
      <c r="AE773" s="1291" t="str">
        <f t="shared" si="826"/>
        <v>0-RADISX</v>
      </c>
      <c r="AF773" s="1291" t="str">
        <f t="shared" si="827"/>
        <v>0-RADISM</v>
      </c>
      <c r="AG773" s="1291">
        <f t="shared" si="814"/>
        <v>6</v>
      </c>
      <c r="AH773" s="1291">
        <f>IF(B773&lt;&gt;"",+IF(H773="x",+VLOOKUP(I773,'AUX-NIV2'!B:AG,32,FALSE),0),"")</f>
        <v>0</v>
      </c>
      <c r="AI773" s="1291" t="str">
        <f t="shared" si="828"/>
        <v>0-RADIS</v>
      </c>
      <c r="AK773" s="347">
        <f t="shared" si="815"/>
        <v>771</v>
      </c>
      <c r="AL773" s="348">
        <f t="shared" si="829"/>
        <v>776</v>
      </c>
      <c r="AM773" s="347">
        <f t="shared" si="830"/>
        <v>3</v>
      </c>
      <c r="AN773" s="382">
        <f>IF(AND(AH773&gt;0,B773&lt;&gt;""),VLOOKUP(I773,'AUX-NIV2'!$B:$AP,40,FALSE)*O773,0)</f>
        <v>0</v>
      </c>
      <c r="AO773" s="382">
        <f t="shared" si="816"/>
        <v>0</v>
      </c>
      <c r="AQ773" s="395">
        <f>(IF($H773="x",VLOOKUP($I773,'AUX-NIV2'!$B:$X,'AUX-NIV1'!AQ$3,FALSE),0)+($AV773*'AUX-NIV3'!S$4))*$O773+IF($H773=AQ$4,$P773,0)</f>
        <v>0</v>
      </c>
      <c r="AR773" s="395">
        <f>(IF($H773="x",VLOOKUP($I773,'AUX-NIV2'!$B:$X,'AUX-NIV1'!AR$3,FALSE),0)+($AV773*'AUX-NIV3'!T$4))*$O773+IF($H773=AR$4,$P773,0)</f>
        <v>0</v>
      </c>
      <c r="AS773" s="395">
        <f>(IF($H773="x",VLOOKUP($I773,'AUX-NIV2'!$B:$X,'AUX-NIV1'!AS$3,FALSE),0)+($AV773*'AUX-NIV3'!U$4))*$O773+IF($H773=AS$4,$P773,0)</f>
        <v>975.24166666666656</v>
      </c>
      <c r="AT773" s="395">
        <f>(IF($H773="x",VLOOKUP($I773,'AUX-NIV2'!$B:$X,'AUX-NIV1'!AT$3,FALSE),0)+($AV773*'AUX-NIV3'!V$4))*$O773+IF($H773=AT$4,$P773,0)</f>
        <v>0</v>
      </c>
      <c r="AU773" s="395">
        <f>(IF($H773="x",VLOOKUP($I773,'AUX-NIV2'!$B:$X,'AUX-NIV1'!AU$3,FALSE),0)+($AV773*'AUX-NIV3'!W$4))*$O773+IF($H773=AU$4,$P773,0)</f>
        <v>0</v>
      </c>
      <c r="AV773" s="395">
        <f>+IF($H773="x",VLOOKUP($I773,'AUX-NIV2'!$B:$X,'AUX-NIV1'!AV$3,FALSE),0)</f>
        <v>0</v>
      </c>
    </row>
    <row r="774" spans="2:48" ht="13.8" hidden="1" thickTop="1">
      <c r="B774" s="501" t="s">
        <v>3875</v>
      </c>
      <c r="C774" s="951" t="s">
        <v>3876</v>
      </c>
      <c r="D774" s="1280" t="s">
        <v>477</v>
      </c>
      <c r="E774" s="1281">
        <f>IF(B774&lt;&gt;"",+SUMIF(Items!C:C,'AUX-NIV1'!B774,Items!H:H),"")</f>
        <v>0</v>
      </c>
      <c r="F774" s="1281">
        <f t="shared" si="805"/>
        <v>2110.3280890181823</v>
      </c>
      <c r="G774" s="1281">
        <f t="shared" si="806"/>
        <v>0</v>
      </c>
      <c r="H774" s="1395" t="str">
        <f t="shared" si="817"/>
        <v>M</v>
      </c>
      <c r="I774" s="1375" t="s">
        <v>3789</v>
      </c>
      <c r="J774" s="1283" t="str">
        <f>IF(B774&lt;&gt;"",+VLOOKUP(I774,Recursos!C:F,2,FALSE),"")</f>
        <v>BALDOSA GRANITICA 40x40 BLANGINO</v>
      </c>
      <c r="K774" s="1284" t="str">
        <f>IF(B774&lt;&gt;"",+VLOOKUP(I774,Recursos!C:F,3,FALSE),"")</f>
        <v>m2</v>
      </c>
      <c r="L774" s="1285">
        <f>IF(B774&lt;&gt;"",+VLOOKUP(I774,Recursos!C:F,4,FALSE),"")</f>
        <v>1165.2892561983472</v>
      </c>
      <c r="M774" s="1404"/>
      <c r="N774" s="1430"/>
      <c r="O774" s="1286">
        <f>M773*0</f>
        <v>0</v>
      </c>
      <c r="P774" s="1287">
        <f t="shared" si="818"/>
        <v>0</v>
      </c>
      <c r="Q774" s="1281">
        <f t="shared" si="819"/>
        <v>0</v>
      </c>
      <c r="R774" s="1288">
        <f t="shared" si="820"/>
        <v>0</v>
      </c>
      <c r="S774" s="1289">
        <f t="shared" si="808"/>
        <v>0</v>
      </c>
      <c r="T774" s="1289">
        <f t="shared" si="809"/>
        <v>0</v>
      </c>
      <c r="U774" s="1290">
        <f t="shared" si="810"/>
        <v>1020.9916666666666</v>
      </c>
      <c r="V774" s="1290">
        <f t="shared" si="811"/>
        <v>0</v>
      </c>
      <c r="W774" s="1290">
        <f t="shared" si="812"/>
        <v>0</v>
      </c>
      <c r="X774" s="1290">
        <f t="shared" si="813"/>
        <v>1089.3364223515155</v>
      </c>
      <c r="Y774" s="396"/>
      <c r="Z774" s="1291" t="str">
        <f t="shared" si="821"/>
        <v>0-RADISA</v>
      </c>
      <c r="AA774" s="1291" t="str">
        <f t="shared" si="822"/>
        <v>0-RADISE</v>
      </c>
      <c r="AB774" s="1291" t="str">
        <f t="shared" si="823"/>
        <v>0-RADISM</v>
      </c>
      <c r="AC774" s="1291" t="str">
        <f t="shared" si="824"/>
        <v>0-RADIST</v>
      </c>
      <c r="AD774" s="1291" t="str">
        <f t="shared" si="825"/>
        <v>0-RADISS</v>
      </c>
      <c r="AE774" s="1291" t="str">
        <f t="shared" si="826"/>
        <v>0-RADISX</v>
      </c>
      <c r="AF774" s="1291" t="str">
        <f t="shared" si="827"/>
        <v>0-RADISM</v>
      </c>
      <c r="AG774" s="1291">
        <f t="shared" si="814"/>
        <v>6</v>
      </c>
      <c r="AH774" s="1291">
        <f>IF(B774&lt;&gt;"",+IF(H774="x",+VLOOKUP(I774,'AUX-NIV2'!B:AG,32,FALSE),0),"")</f>
        <v>0</v>
      </c>
      <c r="AI774" s="1291" t="str">
        <f t="shared" si="828"/>
        <v>0-RADIS</v>
      </c>
      <c r="AK774" s="347">
        <f t="shared" si="815"/>
        <v>771</v>
      </c>
      <c r="AL774" s="348">
        <f t="shared" si="829"/>
        <v>776</v>
      </c>
      <c r="AM774" s="347">
        <f t="shared" si="830"/>
        <v>4</v>
      </c>
      <c r="AN774" s="382">
        <f>IF(AND(AH774&gt;0,B774&lt;&gt;""),VLOOKUP(I774,'AUX-NIV2'!$B:$AP,40,FALSE)*O774,0)</f>
        <v>0</v>
      </c>
      <c r="AO774" s="382">
        <f t="shared" si="816"/>
        <v>0</v>
      </c>
      <c r="AQ774" s="395">
        <f>(IF($H774="x",VLOOKUP($I774,'AUX-NIV2'!$B:$X,'AUX-NIV1'!AQ$3,FALSE),0)+($AV774*'AUX-NIV3'!S$4))*$O774+IF($H774=AQ$4,$P774,0)</f>
        <v>0</v>
      </c>
      <c r="AR774" s="395">
        <f>(IF($H774="x",VLOOKUP($I774,'AUX-NIV2'!$B:$X,'AUX-NIV1'!AR$3,FALSE),0)+($AV774*'AUX-NIV3'!T$4))*$O774+IF($H774=AR$4,$P774,0)</f>
        <v>0</v>
      </c>
      <c r="AS774" s="395">
        <f>(IF($H774="x",VLOOKUP($I774,'AUX-NIV2'!$B:$X,'AUX-NIV1'!AS$3,FALSE),0)+($AV774*'AUX-NIV3'!U$4))*$O774+IF($H774=AS$4,$P774,0)</f>
        <v>0</v>
      </c>
      <c r="AT774" s="395">
        <f>(IF($H774="x",VLOOKUP($I774,'AUX-NIV2'!$B:$X,'AUX-NIV1'!AT$3,FALSE),0)+($AV774*'AUX-NIV3'!V$4))*$O774+IF($H774=AT$4,$P774,0)</f>
        <v>0</v>
      </c>
      <c r="AU774" s="395">
        <f>(IF($H774="x",VLOOKUP($I774,'AUX-NIV2'!$B:$X,'AUX-NIV1'!AU$3,FALSE),0)+($AV774*'AUX-NIV3'!W$4))*$O774+IF($H774=AU$4,$P774,0)</f>
        <v>0</v>
      </c>
      <c r="AV774" s="395">
        <f>+IF($H774="x",VLOOKUP($I774,'AUX-NIV2'!$B:$X,'AUX-NIV1'!AV$3,FALSE),0)</f>
        <v>0</v>
      </c>
    </row>
    <row r="775" spans="2:48" ht="13.8" hidden="1" thickTop="1">
      <c r="B775" s="501" t="s">
        <v>3875</v>
      </c>
      <c r="C775" s="951" t="s">
        <v>3876</v>
      </c>
      <c r="D775" s="1280" t="s">
        <v>477</v>
      </c>
      <c r="E775" s="1281">
        <f>IF(B775&lt;&gt;"",+SUMIF(Items!C:C,'AUX-NIV1'!B775,Items!H:H),"")</f>
        <v>0</v>
      </c>
      <c r="F775" s="1281">
        <f t="shared" ref="F775:F838" si="836">IF(B775&lt;&gt;"",+SUMIF(B:B,B775,P:P),"")</f>
        <v>2110.3280890181823</v>
      </c>
      <c r="G775" s="1281">
        <f t="shared" ref="G775:G838" si="837">IF(B775&lt;&gt;"",+SUMIF(B:B,B775,R:R),"")</f>
        <v>0</v>
      </c>
      <c r="H775" s="1395" t="str">
        <f t="shared" si="817"/>
        <v>M</v>
      </c>
      <c r="I775" s="1375" t="s">
        <v>3846</v>
      </c>
      <c r="J775" s="1283" t="str">
        <f>IF(B775&lt;&gt;"",+VLOOKUP(I775,Recursos!C:F,2,FALSE),"")</f>
        <v>BARANDA DE ACERO INOXIDABLE</v>
      </c>
      <c r="K775" s="1284" t="str">
        <f>IF(B775&lt;&gt;"",+VLOOKUP(I775,Recursos!C:F,3,FALSE),"")</f>
        <v>m</v>
      </c>
      <c r="L775" s="1285">
        <f>IF(B775&lt;&gt;"",+VLOOKUP(I775,Recursos!C:F,4,FALSE),"")</f>
        <v>8264.4628099173551</v>
      </c>
      <c r="M775" s="1404"/>
      <c r="N775" s="1427"/>
      <c r="O775" s="1286">
        <f t="shared" si="831"/>
        <v>0</v>
      </c>
      <c r="P775" s="1287">
        <f t="shared" si="818"/>
        <v>0</v>
      </c>
      <c r="Q775" s="1281">
        <f t="shared" si="819"/>
        <v>0</v>
      </c>
      <c r="R775" s="1288">
        <f t="shared" si="820"/>
        <v>0</v>
      </c>
      <c r="S775" s="1289">
        <f t="shared" ref="S775:S838" si="838">IF(B775&lt;&gt;"",+SUMIF($AF:$AF,Z775,$P:$P),"")</f>
        <v>0</v>
      </c>
      <c r="T775" s="1289">
        <f t="shared" ref="T775:T838" si="839">IF(B775&lt;&gt;"",+SUMIF($AF:$AF,AA775,$P:$P),"")</f>
        <v>0</v>
      </c>
      <c r="U775" s="1290">
        <f t="shared" ref="U775:U838" si="840">IF(B775&lt;&gt;"",+SUMIF($AF:$AF,AB775,$P:$P),"")</f>
        <v>1020.9916666666666</v>
      </c>
      <c r="V775" s="1290">
        <f t="shared" ref="V775:V838" si="841">IF(B775&lt;&gt;"",+SUMIF($AF:$AF,AC775,$P:$P),"")</f>
        <v>0</v>
      </c>
      <c r="W775" s="1290">
        <f t="shared" ref="W775:W838" si="842">IF(B775&lt;&gt;"",+SUMIF($AF:$AF,AD775,$P:$P),"")</f>
        <v>0</v>
      </c>
      <c r="X775" s="1290">
        <f t="shared" ref="X775:X838" si="843">IF(B775&lt;&gt;"",+SUMIF($AF:$AF,AE775,$P:$P),"")</f>
        <v>1089.3364223515155</v>
      </c>
      <c r="Y775" s="396"/>
      <c r="Z775" s="1291" t="str">
        <f t="shared" si="821"/>
        <v>0-RADISA</v>
      </c>
      <c r="AA775" s="1291" t="str">
        <f t="shared" si="822"/>
        <v>0-RADISE</v>
      </c>
      <c r="AB775" s="1291" t="str">
        <f t="shared" si="823"/>
        <v>0-RADISM</v>
      </c>
      <c r="AC775" s="1291" t="str">
        <f t="shared" si="824"/>
        <v>0-RADIST</v>
      </c>
      <c r="AD775" s="1291" t="str">
        <f t="shared" si="825"/>
        <v>0-RADISS</v>
      </c>
      <c r="AE775" s="1291" t="str">
        <f t="shared" si="826"/>
        <v>0-RADISX</v>
      </c>
      <c r="AF775" s="1291" t="str">
        <f t="shared" si="827"/>
        <v>0-RADISM</v>
      </c>
      <c r="AG775" s="1291">
        <f t="shared" ref="AG775:AG838" si="844">IF(B775&lt;&gt;"",+COUNTIF(B:B,B775),"")</f>
        <v>6</v>
      </c>
      <c r="AH775" s="1291">
        <f>IF(B775&lt;&gt;"",+IF(H775="x",+VLOOKUP(I775,'AUX-NIV2'!B:AG,32,FALSE),0),"")</f>
        <v>0</v>
      </c>
      <c r="AI775" s="1291" t="str">
        <f t="shared" si="828"/>
        <v>0-RADIS</v>
      </c>
      <c r="AK775" s="347">
        <f t="shared" ref="AK775:AK838" si="845">IF(B775&lt;&gt;"",+MATCH(B775,B:B,0),"")</f>
        <v>771</v>
      </c>
      <c r="AL775" s="348">
        <f t="shared" si="829"/>
        <v>776</v>
      </c>
      <c r="AM775" s="347">
        <f t="shared" si="830"/>
        <v>5</v>
      </c>
      <c r="AN775" s="382">
        <f>IF(AND(AH775&gt;0,B775&lt;&gt;""),VLOOKUP(I775,'AUX-NIV2'!$B:$AP,40,FALSE)*O775,0)</f>
        <v>0</v>
      </c>
      <c r="AO775" s="382">
        <f t="shared" ref="AO775:AO838" si="846">+IF(B775&lt;&gt;"",SUMIF(AF:AF,Z775,O:O)+SUMIF(Z:Z,Z775,AN:AN),0)</f>
        <v>0</v>
      </c>
      <c r="AQ775" s="395">
        <f>(IF($H775="x",VLOOKUP($I775,'AUX-NIV2'!$B:$X,'AUX-NIV1'!AQ$3,FALSE),0)+($AV775*'AUX-NIV3'!S$4))*$O775+IF($H775=AQ$4,$P775,0)</f>
        <v>0</v>
      </c>
      <c r="AR775" s="395">
        <f>(IF($H775="x",VLOOKUP($I775,'AUX-NIV2'!$B:$X,'AUX-NIV1'!AR$3,FALSE),0)+($AV775*'AUX-NIV3'!T$4))*$O775+IF($H775=AR$4,$P775,0)</f>
        <v>0</v>
      </c>
      <c r="AS775" s="395">
        <f>(IF($H775="x",VLOOKUP($I775,'AUX-NIV2'!$B:$X,'AUX-NIV1'!AS$3,FALSE),0)+($AV775*'AUX-NIV3'!U$4))*$O775+IF($H775=AS$4,$P775,0)</f>
        <v>0</v>
      </c>
      <c r="AT775" s="395">
        <f>(IF($H775="x",VLOOKUP($I775,'AUX-NIV2'!$B:$X,'AUX-NIV1'!AT$3,FALSE),0)+($AV775*'AUX-NIV3'!V$4))*$O775+IF($H775=AT$4,$P775,0)</f>
        <v>0</v>
      </c>
      <c r="AU775" s="395">
        <f>(IF($H775="x",VLOOKUP($I775,'AUX-NIV2'!$B:$X,'AUX-NIV1'!AU$3,FALSE),0)+($AV775*'AUX-NIV3'!W$4))*$O775+IF($H775=AU$4,$P775,0)</f>
        <v>0</v>
      </c>
      <c r="AV775" s="395">
        <f>+IF($H775="x",VLOOKUP($I775,'AUX-NIV2'!$B:$X,'AUX-NIV1'!AV$3,FALSE),0)</f>
        <v>0</v>
      </c>
    </row>
    <row r="776" spans="2:48" ht="14.4" hidden="1" thickTop="1" thickBot="1">
      <c r="B776" s="501" t="s">
        <v>3875</v>
      </c>
      <c r="C776" s="951" t="s">
        <v>3876</v>
      </c>
      <c r="D776" s="1280" t="s">
        <v>477</v>
      </c>
      <c r="E776" s="1281">
        <f>IF(B776&lt;&gt;"",+SUMIF(Items!C:C,'AUX-NIV1'!B776,Items!H:H),"")</f>
        <v>0</v>
      </c>
      <c r="F776" s="1281">
        <f t="shared" si="836"/>
        <v>2110.3280890181823</v>
      </c>
      <c r="G776" s="1281">
        <f t="shared" si="837"/>
        <v>0</v>
      </c>
      <c r="H776" s="1395" t="str">
        <f t="shared" si="817"/>
        <v>M</v>
      </c>
      <c r="I776" s="1375" t="s">
        <v>621</v>
      </c>
      <c r="J776" s="1283" t="str">
        <f>IF(B776&lt;&gt;"",+VLOOKUP(I776,Recursos!C:F,2,FALSE),"")</f>
        <v>MATERIALES VARIOS</v>
      </c>
      <c r="K776" s="1284" t="str">
        <f>IF(B776&lt;&gt;"",+VLOOKUP(I776,Recursos!C:F,3,FALSE),"")</f>
        <v>GL</v>
      </c>
      <c r="L776" s="1285">
        <f>IF(B776&lt;&gt;"",+VLOOKUP(I776,Recursos!C:F,4,FALSE),"")</f>
        <v>0.5</v>
      </c>
      <c r="M776" s="1428"/>
      <c r="N776" s="1429">
        <f>1830*5%</f>
        <v>91.5</v>
      </c>
      <c r="O776" s="1286">
        <f t="shared" si="831"/>
        <v>91.5</v>
      </c>
      <c r="P776" s="1287">
        <f t="shared" si="818"/>
        <v>45.75</v>
      </c>
      <c r="Q776" s="1281">
        <f t="shared" si="819"/>
        <v>0</v>
      </c>
      <c r="R776" s="1288">
        <f t="shared" si="820"/>
        <v>0</v>
      </c>
      <c r="S776" s="1289">
        <f t="shared" si="838"/>
        <v>0</v>
      </c>
      <c r="T776" s="1289">
        <f t="shared" si="839"/>
        <v>0</v>
      </c>
      <c r="U776" s="1290">
        <f t="shared" si="840"/>
        <v>1020.9916666666666</v>
      </c>
      <c r="V776" s="1290">
        <f t="shared" si="841"/>
        <v>0</v>
      </c>
      <c r="W776" s="1290">
        <f t="shared" si="842"/>
        <v>0</v>
      </c>
      <c r="X776" s="1290">
        <f t="shared" si="843"/>
        <v>1089.3364223515155</v>
      </c>
      <c r="Y776" s="396"/>
      <c r="Z776" s="1291" t="str">
        <f t="shared" si="821"/>
        <v>0-RADISA</v>
      </c>
      <c r="AA776" s="1291" t="str">
        <f t="shared" si="822"/>
        <v>0-RADISE</v>
      </c>
      <c r="AB776" s="1291" t="str">
        <f t="shared" si="823"/>
        <v>0-RADISM</v>
      </c>
      <c r="AC776" s="1291" t="str">
        <f t="shared" si="824"/>
        <v>0-RADIST</v>
      </c>
      <c r="AD776" s="1291" t="str">
        <f t="shared" si="825"/>
        <v>0-RADISS</v>
      </c>
      <c r="AE776" s="1291" t="str">
        <f t="shared" si="826"/>
        <v>0-RADISX</v>
      </c>
      <c r="AF776" s="1291" t="str">
        <f t="shared" si="827"/>
        <v>0-RADISM</v>
      </c>
      <c r="AG776" s="1291">
        <f t="shared" si="844"/>
        <v>6</v>
      </c>
      <c r="AH776" s="1291">
        <f>IF(B776&lt;&gt;"",+IF(H776="x",+VLOOKUP(I776,'AUX-NIV2'!B:AG,32,FALSE),0),"")</f>
        <v>0</v>
      </c>
      <c r="AI776" s="1291" t="str">
        <f t="shared" si="828"/>
        <v>0-RADIS</v>
      </c>
      <c r="AK776" s="347">
        <f t="shared" si="845"/>
        <v>771</v>
      </c>
      <c r="AL776" s="348">
        <f t="shared" si="829"/>
        <v>776</v>
      </c>
      <c r="AM776" s="347">
        <f t="shared" si="830"/>
        <v>6</v>
      </c>
      <c r="AN776" s="382">
        <f>IF(AND(AH776&gt;0,B776&lt;&gt;""),VLOOKUP(I776,'AUX-NIV2'!$B:$AP,40,FALSE)*O776,0)</f>
        <v>0</v>
      </c>
      <c r="AO776" s="382">
        <f t="shared" si="846"/>
        <v>0</v>
      </c>
      <c r="AQ776" s="395">
        <f>(IF($H776="x",VLOOKUP($I776,'AUX-NIV2'!$B:$X,'AUX-NIV1'!AQ$3,FALSE),0)+($AV776*'AUX-NIV3'!S$4))*$O776+IF($H776=AQ$4,$P776,0)</f>
        <v>0</v>
      </c>
      <c r="AR776" s="395">
        <f>(IF($H776="x",VLOOKUP($I776,'AUX-NIV2'!$B:$X,'AUX-NIV1'!AR$3,FALSE),0)+($AV776*'AUX-NIV3'!T$4))*$O776+IF($H776=AR$4,$P776,0)</f>
        <v>0</v>
      </c>
      <c r="AS776" s="395">
        <f>(IF($H776="x",VLOOKUP($I776,'AUX-NIV2'!$B:$X,'AUX-NIV1'!AS$3,FALSE),0)+($AV776*'AUX-NIV3'!U$4))*$O776+IF($H776=AS$4,$P776,0)</f>
        <v>45.75</v>
      </c>
      <c r="AT776" s="395">
        <f>(IF($H776="x",VLOOKUP($I776,'AUX-NIV2'!$B:$X,'AUX-NIV1'!AT$3,FALSE),0)+($AV776*'AUX-NIV3'!V$4))*$O776+IF($H776=AT$4,$P776,0)</f>
        <v>0</v>
      </c>
      <c r="AU776" s="395">
        <f>(IF($H776="x",VLOOKUP($I776,'AUX-NIV2'!$B:$X,'AUX-NIV1'!AU$3,FALSE),0)+($AV776*'AUX-NIV3'!W$4))*$O776+IF($H776=AU$4,$P776,0)</f>
        <v>0</v>
      </c>
      <c r="AV776" s="395">
        <f>+IF($H776="x",VLOOKUP($I776,'AUX-NIV2'!$B:$X,'AUX-NIV1'!AV$3,FALSE),0)</f>
        <v>0</v>
      </c>
    </row>
    <row r="777" spans="2:48" ht="13.8" hidden="1" thickTop="1">
      <c r="B777" s="501" t="s">
        <v>3878</v>
      </c>
      <c r="C777" s="951" t="s">
        <v>3879</v>
      </c>
      <c r="D777" s="1280" t="s">
        <v>610</v>
      </c>
      <c r="E777" s="1281">
        <f>IF(B777&lt;&gt;"",+SUMIF(Items!C:C,'AUX-NIV1'!B777,Items!H:H),"")</f>
        <v>0</v>
      </c>
      <c r="F777" s="1281">
        <f t="shared" si="836"/>
        <v>21650.883305785123</v>
      </c>
      <c r="G777" s="1281">
        <f t="shared" si="837"/>
        <v>0</v>
      </c>
      <c r="H777" s="1395" t="str">
        <f t="shared" si="817"/>
        <v>M</v>
      </c>
      <c r="I777" s="1375" t="s">
        <v>2476</v>
      </c>
      <c r="J777" s="1283" t="str">
        <f>IF(B777&lt;&gt;"",+VLOOKUP(I777,Recursos!C:F,2,FALSE),"")</f>
        <v>CHAPA</v>
      </c>
      <c r="K777" s="1284" t="str">
        <f>IF(B777&lt;&gt;"",+VLOOKUP(I777,Recursos!C:F,3,FALSE),"")</f>
        <v>Kg</v>
      </c>
      <c r="L777" s="1285">
        <f>IF(B777&lt;&gt;"",+VLOOKUP(I777,Recursos!C:F,4,FALSE),"")</f>
        <v>510.25</v>
      </c>
      <c r="M777" s="989">
        <f>0.4*0.4</f>
        <v>0.16000000000000003</v>
      </c>
      <c r="N777" s="1292">
        <v>2</v>
      </c>
      <c r="O777" s="1286">
        <f>M777*N777</f>
        <v>0.32000000000000006</v>
      </c>
      <c r="P777" s="1287">
        <f t="shared" si="818"/>
        <v>163.28000000000003</v>
      </c>
      <c r="Q777" s="1281">
        <f t="shared" si="819"/>
        <v>0</v>
      </c>
      <c r="R777" s="1288">
        <f t="shared" si="820"/>
        <v>0</v>
      </c>
      <c r="S777" s="1289">
        <f t="shared" si="838"/>
        <v>0</v>
      </c>
      <c r="T777" s="1289">
        <f t="shared" si="839"/>
        <v>0</v>
      </c>
      <c r="U777" s="1290">
        <f t="shared" si="840"/>
        <v>21650.883305785123</v>
      </c>
      <c r="V777" s="1290">
        <f t="shared" si="841"/>
        <v>0</v>
      </c>
      <c r="W777" s="1290">
        <f t="shared" si="842"/>
        <v>0</v>
      </c>
      <c r="X777" s="1290">
        <f t="shared" si="843"/>
        <v>0</v>
      </c>
      <c r="Y777" s="396"/>
      <c r="Z777" s="1291" t="str">
        <f t="shared" si="821"/>
        <v>0-BUNPROA</v>
      </c>
      <c r="AA777" s="1291" t="str">
        <f t="shared" si="822"/>
        <v>0-BUNPROE</v>
      </c>
      <c r="AB777" s="1291" t="str">
        <f t="shared" si="823"/>
        <v>0-BUNPROM</v>
      </c>
      <c r="AC777" s="1291" t="str">
        <f t="shared" si="824"/>
        <v>0-BUNPROT</v>
      </c>
      <c r="AD777" s="1291" t="str">
        <f t="shared" si="825"/>
        <v>0-BUNPROS</v>
      </c>
      <c r="AE777" s="1291" t="str">
        <f t="shared" si="826"/>
        <v>0-BUNPROX</v>
      </c>
      <c r="AF777" s="1291" t="str">
        <f t="shared" si="827"/>
        <v>0-BUNPROM</v>
      </c>
      <c r="AG777" s="1291">
        <f t="shared" si="844"/>
        <v>2</v>
      </c>
      <c r="AH777" s="1291">
        <f>IF(B777&lt;&gt;"",+IF(H777="x",+VLOOKUP(I777,'AUX-NIV2'!B:AG,32,FALSE),0),"")</f>
        <v>0</v>
      </c>
      <c r="AI777" s="1291" t="str">
        <f t="shared" si="828"/>
        <v>0-BUNPRO</v>
      </c>
      <c r="AK777" s="347">
        <f t="shared" si="845"/>
        <v>777</v>
      </c>
      <c r="AL777" s="348">
        <f t="shared" si="829"/>
        <v>778</v>
      </c>
      <c r="AM777" s="347">
        <f t="shared" si="830"/>
        <v>1</v>
      </c>
      <c r="AN777" s="382">
        <f>IF(AND(AH777&gt;0,B777&lt;&gt;""),VLOOKUP(I777,'AUX-NIV2'!$B:$AP,40,FALSE)*O777,0)</f>
        <v>0</v>
      </c>
      <c r="AO777" s="382">
        <f t="shared" si="846"/>
        <v>0</v>
      </c>
      <c r="AQ777" s="395">
        <f>(IF($H777="x",VLOOKUP($I777,'AUX-NIV2'!$B:$X,'AUX-NIV1'!AQ$3,FALSE),0)+($AV777*'AUX-NIV3'!S$4))*$O777+IF($H777=AQ$4,$P777,0)</f>
        <v>0</v>
      </c>
      <c r="AR777" s="395">
        <f>(IF($H777="x",VLOOKUP($I777,'AUX-NIV2'!$B:$X,'AUX-NIV1'!AR$3,FALSE),0)+($AV777*'AUX-NIV3'!T$4))*$O777+IF($H777=AR$4,$P777,0)</f>
        <v>0</v>
      </c>
      <c r="AS777" s="395">
        <f>(IF($H777="x",VLOOKUP($I777,'AUX-NIV2'!$B:$X,'AUX-NIV1'!AS$3,FALSE),0)+($AV777*'AUX-NIV3'!U$4))*$O777+IF($H777=AS$4,$P777,0)</f>
        <v>163.28000000000003</v>
      </c>
      <c r="AT777" s="395">
        <f>(IF($H777="x",VLOOKUP($I777,'AUX-NIV2'!$B:$X,'AUX-NIV1'!AT$3,FALSE),0)+($AV777*'AUX-NIV3'!V$4))*$O777+IF($H777=AT$4,$P777,0)</f>
        <v>0</v>
      </c>
      <c r="AU777" s="395">
        <f>(IF($H777="x",VLOOKUP($I777,'AUX-NIV2'!$B:$X,'AUX-NIV1'!AU$3,FALSE),0)+($AV777*'AUX-NIV3'!W$4))*$O777+IF($H777=AU$4,$P777,0)</f>
        <v>0</v>
      </c>
      <c r="AV777" s="395">
        <f>+IF($H777="x",VLOOKUP($I777,'AUX-NIV2'!$B:$X,'AUX-NIV1'!AV$3,FALSE),0)</f>
        <v>0</v>
      </c>
    </row>
    <row r="778" spans="2:48" ht="14.4" hidden="1" thickTop="1" thickBot="1">
      <c r="B778" s="501" t="s">
        <v>3878</v>
      </c>
      <c r="C778" s="951" t="s">
        <v>3879</v>
      </c>
      <c r="D778" s="1280" t="s">
        <v>610</v>
      </c>
      <c r="E778" s="1281">
        <f>IF(B778&lt;&gt;"",+SUMIF(Items!C:C,'AUX-NIV1'!B778,Items!H:H),"")</f>
        <v>0</v>
      </c>
      <c r="F778" s="1281">
        <f t="shared" si="836"/>
        <v>21650.883305785123</v>
      </c>
      <c r="G778" s="1281">
        <f t="shared" si="837"/>
        <v>0</v>
      </c>
      <c r="H778" s="1395" t="str">
        <f t="shared" si="817"/>
        <v>M</v>
      </c>
      <c r="I778" s="1375" t="s">
        <v>3880</v>
      </c>
      <c r="J778" s="1283" t="str">
        <f>IF(B778&lt;&gt;"",+VLOOKUP(I778,Recursos!C:F,2,FALSE),"")</f>
        <v>VENTILADOR AXIAL DE 30CM</v>
      </c>
      <c r="K778" s="1284" t="str">
        <f>IF(B778&lt;&gt;"",+VLOOKUP(I778,Recursos!C:F,3,FALSE),"")</f>
        <v>Un</v>
      </c>
      <c r="L778" s="1285">
        <f>IF(B778&lt;&gt;"",+VLOOKUP(I778,Recursos!C:F,4,FALSE),"")</f>
        <v>10743.801652892562</v>
      </c>
      <c r="M778" s="1431"/>
      <c r="N778" s="1432"/>
      <c r="O778" s="1286">
        <f>N777</f>
        <v>2</v>
      </c>
      <c r="P778" s="1287">
        <f t="shared" si="818"/>
        <v>21487.603305785124</v>
      </c>
      <c r="Q778" s="1281">
        <f t="shared" si="819"/>
        <v>0</v>
      </c>
      <c r="R778" s="1288">
        <f t="shared" si="820"/>
        <v>0</v>
      </c>
      <c r="S778" s="1289">
        <f t="shared" si="838"/>
        <v>0</v>
      </c>
      <c r="T778" s="1289">
        <f t="shared" si="839"/>
        <v>0</v>
      </c>
      <c r="U778" s="1290">
        <f t="shared" si="840"/>
        <v>21650.883305785123</v>
      </c>
      <c r="V778" s="1290">
        <f t="shared" si="841"/>
        <v>0</v>
      </c>
      <c r="W778" s="1290">
        <f t="shared" si="842"/>
        <v>0</v>
      </c>
      <c r="X778" s="1290">
        <f t="shared" si="843"/>
        <v>0</v>
      </c>
      <c r="Y778" s="396"/>
      <c r="Z778" s="1291" t="str">
        <f t="shared" si="821"/>
        <v>0-BUNPROA</v>
      </c>
      <c r="AA778" s="1291" t="str">
        <f t="shared" si="822"/>
        <v>0-BUNPROE</v>
      </c>
      <c r="AB778" s="1291" t="str">
        <f t="shared" si="823"/>
        <v>0-BUNPROM</v>
      </c>
      <c r="AC778" s="1291" t="str">
        <f t="shared" si="824"/>
        <v>0-BUNPROT</v>
      </c>
      <c r="AD778" s="1291" t="str">
        <f t="shared" si="825"/>
        <v>0-BUNPROS</v>
      </c>
      <c r="AE778" s="1291" t="str">
        <f t="shared" si="826"/>
        <v>0-BUNPROX</v>
      </c>
      <c r="AF778" s="1291" t="str">
        <f t="shared" si="827"/>
        <v>0-BUNPROM</v>
      </c>
      <c r="AG778" s="1291">
        <f t="shared" si="844"/>
        <v>2</v>
      </c>
      <c r="AH778" s="1291">
        <f>IF(B778&lt;&gt;"",+IF(H778="x",+VLOOKUP(I778,'AUX-NIV2'!B:AG,32,FALSE),0),"")</f>
        <v>0</v>
      </c>
      <c r="AI778" s="1291" t="str">
        <f t="shared" si="828"/>
        <v>0-BUNPRO</v>
      </c>
      <c r="AK778" s="347">
        <f t="shared" si="845"/>
        <v>777</v>
      </c>
      <c r="AL778" s="348">
        <f t="shared" si="829"/>
        <v>778</v>
      </c>
      <c r="AM778" s="347">
        <f t="shared" si="830"/>
        <v>2</v>
      </c>
      <c r="AN778" s="382">
        <f>IF(AND(AH778&gt;0,B778&lt;&gt;""),VLOOKUP(I778,'AUX-NIV2'!$B:$AP,40,FALSE)*O778,0)</f>
        <v>0</v>
      </c>
      <c r="AO778" s="382">
        <f t="shared" si="846"/>
        <v>0</v>
      </c>
      <c r="AQ778" s="395">
        <f>(IF($H778="x",VLOOKUP($I778,'AUX-NIV2'!$B:$X,'AUX-NIV1'!AQ$3,FALSE),0)+($AV778*'AUX-NIV3'!S$4))*$O778+IF($H778=AQ$4,$P778,0)</f>
        <v>0</v>
      </c>
      <c r="AR778" s="395">
        <f>(IF($H778="x",VLOOKUP($I778,'AUX-NIV2'!$B:$X,'AUX-NIV1'!AR$3,FALSE),0)+($AV778*'AUX-NIV3'!T$4))*$O778+IF($H778=AR$4,$P778,0)</f>
        <v>0</v>
      </c>
      <c r="AS778" s="395">
        <f>(IF($H778="x",VLOOKUP($I778,'AUX-NIV2'!$B:$X,'AUX-NIV1'!AS$3,FALSE),0)+($AV778*'AUX-NIV3'!U$4))*$O778+IF($H778=AS$4,$P778,0)</f>
        <v>21487.603305785124</v>
      </c>
      <c r="AT778" s="395">
        <f>(IF($H778="x",VLOOKUP($I778,'AUX-NIV2'!$B:$X,'AUX-NIV1'!AT$3,FALSE),0)+($AV778*'AUX-NIV3'!V$4))*$O778+IF($H778=AT$4,$P778,0)</f>
        <v>0</v>
      </c>
      <c r="AU778" s="395">
        <f>(IF($H778="x",VLOOKUP($I778,'AUX-NIV2'!$B:$X,'AUX-NIV1'!AU$3,FALSE),0)+($AV778*'AUX-NIV3'!W$4))*$O778+IF($H778=AU$4,$P778,0)</f>
        <v>0</v>
      </c>
      <c r="AV778" s="395">
        <f>+IF($H778="x",VLOOKUP($I778,'AUX-NIV2'!$B:$X,'AUX-NIV1'!AV$3,FALSE),0)</f>
        <v>0</v>
      </c>
    </row>
    <row r="779" spans="2:48" ht="13.8" hidden="1" thickTop="1">
      <c r="B779" s="501" t="s">
        <v>3882</v>
      </c>
      <c r="C779" s="951" t="s">
        <v>3884</v>
      </c>
      <c r="D779" s="1280" t="s">
        <v>610</v>
      </c>
      <c r="E779" s="1281">
        <f>IF(B779&lt;&gt;"",+SUMIF(Items!C:C,'AUX-NIV1'!B779,Items!H:H),"")</f>
        <v>0</v>
      </c>
      <c r="F779" s="1281">
        <f t="shared" si="836"/>
        <v>1284.4848013474998</v>
      </c>
      <c r="G779" s="1281">
        <f t="shared" si="837"/>
        <v>0</v>
      </c>
      <c r="H779" s="1395" t="str">
        <f t="shared" si="817"/>
        <v>M</v>
      </c>
      <c r="I779" s="1375" t="s">
        <v>3885</v>
      </c>
      <c r="J779" s="1283" t="str">
        <f>IF(B779&lt;&gt;"",+VLOOKUP(I779,Recursos!C:F,2,FALSE),"")</f>
        <v>BULON 13mm</v>
      </c>
      <c r="K779" s="1284" t="str">
        <f>IF(B779&lt;&gt;"",+VLOOKUP(I779,Recursos!C:F,3,FALSE),"")</f>
        <v>Un</v>
      </c>
      <c r="L779" s="1285">
        <f>IF(B779&lt;&gt;"",+VLOOKUP(I779,Recursos!C:F,4,FALSE),"")</f>
        <v>48.442148760330575</v>
      </c>
      <c r="M779" s="743"/>
      <c r="N779" s="1292">
        <v>6</v>
      </c>
      <c r="O779" s="1286">
        <f t="shared" si="831"/>
        <v>6</v>
      </c>
      <c r="P779" s="1287">
        <f t="shared" si="818"/>
        <v>290.65289256198344</v>
      </c>
      <c r="Q779" s="1281">
        <f t="shared" si="819"/>
        <v>0</v>
      </c>
      <c r="R779" s="1288">
        <f t="shared" si="820"/>
        <v>0</v>
      </c>
      <c r="S779" s="1289">
        <f t="shared" si="838"/>
        <v>993.83190878551648</v>
      </c>
      <c r="T779" s="1289">
        <f t="shared" si="839"/>
        <v>0</v>
      </c>
      <c r="U779" s="1290">
        <f t="shared" si="840"/>
        <v>290.65289256198344</v>
      </c>
      <c r="V779" s="1290">
        <f t="shared" si="841"/>
        <v>0</v>
      </c>
      <c r="W779" s="1290">
        <f t="shared" si="842"/>
        <v>0</v>
      </c>
      <c r="X779" s="1290">
        <f t="shared" si="843"/>
        <v>0</v>
      </c>
      <c r="Y779" s="396"/>
      <c r="Z779" s="1291" t="str">
        <f t="shared" si="821"/>
        <v>0-FIJBATA</v>
      </c>
      <c r="AA779" s="1291" t="str">
        <f t="shared" si="822"/>
        <v>0-FIJBATE</v>
      </c>
      <c r="AB779" s="1291" t="str">
        <f t="shared" si="823"/>
        <v>0-FIJBATM</v>
      </c>
      <c r="AC779" s="1291" t="str">
        <f t="shared" si="824"/>
        <v>0-FIJBATT</v>
      </c>
      <c r="AD779" s="1291" t="str">
        <f t="shared" si="825"/>
        <v>0-FIJBATS</v>
      </c>
      <c r="AE779" s="1291" t="str">
        <f t="shared" si="826"/>
        <v>0-FIJBATX</v>
      </c>
      <c r="AF779" s="1291" t="str">
        <f t="shared" si="827"/>
        <v>0-FIJBATM</v>
      </c>
      <c r="AG779" s="1291">
        <f t="shared" si="844"/>
        <v>2</v>
      </c>
      <c r="AH779" s="1291">
        <f>IF(B779&lt;&gt;"",+IF(H779="x",+VLOOKUP(I779,'AUX-NIV2'!B:AG,32,FALSE),0),"")</f>
        <v>0</v>
      </c>
      <c r="AI779" s="1291" t="str">
        <f t="shared" si="828"/>
        <v>0-FIJBAT</v>
      </c>
      <c r="AK779" s="347">
        <f t="shared" si="845"/>
        <v>779</v>
      </c>
      <c r="AL779" s="348">
        <f t="shared" si="829"/>
        <v>780</v>
      </c>
      <c r="AM779" s="347">
        <f t="shared" si="830"/>
        <v>1</v>
      </c>
      <c r="AN779" s="382">
        <f>IF(AND(AH779&gt;0,B779&lt;&gt;""),VLOOKUP(I779,'AUX-NIV2'!$B:$AP,40,FALSE)*O779,0)</f>
        <v>0</v>
      </c>
      <c r="AO779" s="382">
        <f t="shared" si="846"/>
        <v>2</v>
      </c>
      <c r="AQ779" s="395">
        <f>(IF($H779="x",VLOOKUP($I779,'AUX-NIV2'!$B:$X,'AUX-NIV1'!AQ$3,FALSE),0)+($AV779*'AUX-NIV3'!S$4))*$O779+IF($H779=AQ$4,$P779,0)</f>
        <v>0</v>
      </c>
      <c r="AR779" s="395">
        <f>(IF($H779="x",VLOOKUP($I779,'AUX-NIV2'!$B:$X,'AUX-NIV1'!AR$3,FALSE),0)+($AV779*'AUX-NIV3'!T$4))*$O779+IF($H779=AR$4,$P779,0)</f>
        <v>0</v>
      </c>
      <c r="AS779" s="395">
        <f>(IF($H779="x",VLOOKUP($I779,'AUX-NIV2'!$B:$X,'AUX-NIV1'!AS$3,FALSE),0)+($AV779*'AUX-NIV3'!U$4))*$O779+IF($H779=AS$4,$P779,0)</f>
        <v>290.65289256198344</v>
      </c>
      <c r="AT779" s="395">
        <f>(IF($H779="x",VLOOKUP($I779,'AUX-NIV2'!$B:$X,'AUX-NIV1'!AT$3,FALSE),0)+($AV779*'AUX-NIV3'!V$4))*$O779+IF($H779=AT$4,$P779,0)</f>
        <v>0</v>
      </c>
      <c r="AU779" s="395">
        <f>(IF($H779="x",VLOOKUP($I779,'AUX-NIV2'!$B:$X,'AUX-NIV1'!AU$3,FALSE),0)+($AV779*'AUX-NIV3'!W$4))*$O779+IF($H779=AU$4,$P779,0)</f>
        <v>0</v>
      </c>
      <c r="AV779" s="395">
        <f>+IF($H779="x",VLOOKUP($I779,'AUX-NIV2'!$B:$X,'AUX-NIV1'!AV$3,FALSE),0)</f>
        <v>0</v>
      </c>
    </row>
    <row r="780" spans="2:48" ht="14.4" hidden="1" thickTop="1" thickBot="1">
      <c r="B780" s="501" t="s">
        <v>3882</v>
      </c>
      <c r="C780" s="951" t="s">
        <v>3884</v>
      </c>
      <c r="D780" s="1280" t="s">
        <v>610</v>
      </c>
      <c r="E780" s="1281">
        <f>IF(B780&lt;&gt;"",+SUMIF(Items!C:C,'AUX-NIV1'!B780,Items!H:H),"")</f>
        <v>0</v>
      </c>
      <c r="F780" s="1281">
        <f t="shared" si="836"/>
        <v>1284.4848013474998</v>
      </c>
      <c r="G780" s="1281">
        <f t="shared" si="837"/>
        <v>0</v>
      </c>
      <c r="H780" s="1395" t="str">
        <f t="shared" si="817"/>
        <v>A</v>
      </c>
      <c r="I780" s="1375" t="s">
        <v>1746</v>
      </c>
      <c r="J780" s="1283" t="str">
        <f>IF(B780&lt;&gt;"",+VLOOKUP(I780,Recursos!C:F,2,FALSE),"")</f>
        <v>OFICIAL</v>
      </c>
      <c r="K780" s="1284" t="str">
        <f>IF(B780&lt;&gt;"",+VLOOKUP(I780,Recursos!C:F,3,FALSE),"")</f>
        <v>hh</v>
      </c>
      <c r="L780" s="1285">
        <f>IF(B780&lt;&gt;"",+VLOOKUP(I780,Recursos!C:F,4,FALSE),"")</f>
        <v>496.91595439275824</v>
      </c>
      <c r="M780" s="1431"/>
      <c r="N780" s="1429">
        <v>2</v>
      </c>
      <c r="O780" s="1286">
        <f>N780</f>
        <v>2</v>
      </c>
      <c r="P780" s="1287">
        <f t="shared" si="818"/>
        <v>993.83190878551648</v>
      </c>
      <c r="Q780" s="1281">
        <f t="shared" si="819"/>
        <v>0</v>
      </c>
      <c r="R780" s="1288">
        <f t="shared" si="820"/>
        <v>0</v>
      </c>
      <c r="S780" s="1289">
        <f t="shared" si="838"/>
        <v>993.83190878551648</v>
      </c>
      <c r="T780" s="1289">
        <f t="shared" si="839"/>
        <v>0</v>
      </c>
      <c r="U780" s="1290">
        <f t="shared" si="840"/>
        <v>290.65289256198344</v>
      </c>
      <c r="V780" s="1290">
        <f t="shared" si="841"/>
        <v>0</v>
      </c>
      <c r="W780" s="1290">
        <f t="shared" si="842"/>
        <v>0</v>
      </c>
      <c r="X780" s="1290">
        <f t="shared" si="843"/>
        <v>0</v>
      </c>
      <c r="Y780" s="396"/>
      <c r="Z780" s="1291" t="str">
        <f t="shared" si="821"/>
        <v>0-FIJBATA</v>
      </c>
      <c r="AA780" s="1291" t="str">
        <f t="shared" si="822"/>
        <v>0-FIJBATE</v>
      </c>
      <c r="AB780" s="1291" t="str">
        <f t="shared" si="823"/>
        <v>0-FIJBATM</v>
      </c>
      <c r="AC780" s="1291" t="str">
        <f t="shared" si="824"/>
        <v>0-FIJBATT</v>
      </c>
      <c r="AD780" s="1291" t="str">
        <f t="shared" si="825"/>
        <v>0-FIJBATS</v>
      </c>
      <c r="AE780" s="1291" t="str">
        <f t="shared" si="826"/>
        <v>0-FIJBATX</v>
      </c>
      <c r="AF780" s="1291" t="str">
        <f t="shared" si="827"/>
        <v>0-FIJBATA</v>
      </c>
      <c r="AG780" s="1291">
        <f t="shared" si="844"/>
        <v>2</v>
      </c>
      <c r="AH780" s="1291">
        <f>IF(B780&lt;&gt;"",+IF(H780="x",+VLOOKUP(I780,'AUX-NIV2'!B:AG,32,FALSE),0),"")</f>
        <v>0</v>
      </c>
      <c r="AI780" s="1291" t="str">
        <f t="shared" si="828"/>
        <v>0-FIJBAT</v>
      </c>
      <c r="AK780" s="347">
        <f t="shared" si="845"/>
        <v>779</v>
      </c>
      <c r="AL780" s="348">
        <f t="shared" si="829"/>
        <v>780</v>
      </c>
      <c r="AM780" s="347">
        <f t="shared" si="830"/>
        <v>2</v>
      </c>
      <c r="AN780" s="382">
        <f>IF(AND(AH780&gt;0,B780&lt;&gt;""),VLOOKUP(I780,'AUX-NIV2'!$B:$AP,40,FALSE)*O780,0)</f>
        <v>0</v>
      </c>
      <c r="AO780" s="382">
        <f t="shared" si="846"/>
        <v>2</v>
      </c>
      <c r="AQ780" s="395">
        <f>(IF($H780="x",VLOOKUP($I780,'AUX-NIV2'!$B:$X,'AUX-NIV1'!AQ$3,FALSE),0)+($AV780*'AUX-NIV3'!S$4))*$O780+IF($H780=AQ$4,$P780,0)</f>
        <v>993.83190878551648</v>
      </c>
      <c r="AR780" s="395">
        <f>(IF($H780="x",VLOOKUP($I780,'AUX-NIV2'!$B:$X,'AUX-NIV1'!AR$3,FALSE),0)+($AV780*'AUX-NIV3'!T$4))*$O780+IF($H780=AR$4,$P780,0)</f>
        <v>0</v>
      </c>
      <c r="AS780" s="395">
        <f>(IF($H780="x",VLOOKUP($I780,'AUX-NIV2'!$B:$X,'AUX-NIV1'!AS$3,FALSE),0)+($AV780*'AUX-NIV3'!U$4))*$O780+IF($H780=AS$4,$P780,0)</f>
        <v>0</v>
      </c>
      <c r="AT780" s="395">
        <f>(IF($H780="x",VLOOKUP($I780,'AUX-NIV2'!$B:$X,'AUX-NIV1'!AT$3,FALSE),0)+($AV780*'AUX-NIV3'!V$4))*$O780+IF($H780=AT$4,$P780,0)</f>
        <v>0</v>
      </c>
      <c r="AU780" s="395">
        <f>(IF($H780="x",VLOOKUP($I780,'AUX-NIV2'!$B:$X,'AUX-NIV1'!AU$3,FALSE),0)+($AV780*'AUX-NIV3'!W$4))*$O780+IF($H780=AU$4,$P780,0)</f>
        <v>0</v>
      </c>
      <c r="AV780" s="395">
        <f>+IF($H780="x",VLOOKUP($I780,'AUX-NIV2'!$B:$X,'AUX-NIV1'!AV$3,FALSE),0)</f>
        <v>0</v>
      </c>
    </row>
    <row r="781" spans="2:48" ht="13.8" hidden="1" thickTop="1">
      <c r="B781" s="501" t="s">
        <v>3883</v>
      </c>
      <c r="C781" s="951" t="s">
        <v>3887</v>
      </c>
      <c r="D781" s="1280" t="s">
        <v>610</v>
      </c>
      <c r="E781" s="1281">
        <f>IF(B781&lt;&gt;"",+SUMIF(Items!C:C,'AUX-NIV1'!B781,Items!H:H),"")</f>
        <v>0</v>
      </c>
      <c r="F781" s="1281">
        <f t="shared" si="836"/>
        <v>4378.3511689633979</v>
      </c>
      <c r="G781" s="1281">
        <f t="shared" si="837"/>
        <v>0</v>
      </c>
      <c r="H781" s="1395" t="str">
        <f t="shared" si="817"/>
        <v>M</v>
      </c>
      <c r="I781" s="1375" t="s">
        <v>3888</v>
      </c>
      <c r="J781" s="1283" t="str">
        <f>IF(B781&lt;&gt;"",+VLOOKUP(I781,Recursos!C:F,2,FALSE),"")</f>
        <v>ANCLAJE QUIMICO FISHER V 300</v>
      </c>
      <c r="K781" s="1284" t="str">
        <f>IF(B781&lt;&gt;"",+VLOOKUP(I781,Recursos!C:F,3,FALSE),"")</f>
        <v>Un</v>
      </c>
      <c r="L781" s="1285">
        <f>IF(B781&lt;&gt;"",+VLOOKUP(I781,Recursos!C:F,4,FALSE),"")</f>
        <v>2479.3388429752067</v>
      </c>
      <c r="M781" s="989">
        <v>15</v>
      </c>
      <c r="N781" s="1292">
        <v>10</v>
      </c>
      <c r="O781" s="1286">
        <f>N781/M781</f>
        <v>0.66666666666666663</v>
      </c>
      <c r="P781" s="1287">
        <f t="shared" si="818"/>
        <v>1652.8925619834711</v>
      </c>
      <c r="Q781" s="1281">
        <f t="shared" si="819"/>
        <v>0</v>
      </c>
      <c r="R781" s="1288">
        <f t="shared" si="820"/>
        <v>0</v>
      </c>
      <c r="S781" s="1289">
        <f t="shared" si="838"/>
        <v>1490.7478631782747</v>
      </c>
      <c r="T781" s="1289">
        <f t="shared" si="839"/>
        <v>0</v>
      </c>
      <c r="U781" s="1290">
        <f t="shared" si="840"/>
        <v>2887.6033057851237</v>
      </c>
      <c r="V781" s="1290">
        <f t="shared" si="841"/>
        <v>0</v>
      </c>
      <c r="W781" s="1290">
        <f t="shared" si="842"/>
        <v>0</v>
      </c>
      <c r="X781" s="1290">
        <f t="shared" si="843"/>
        <v>0</v>
      </c>
      <c r="Y781" s="396"/>
      <c r="Z781" s="1291" t="str">
        <f t="shared" si="821"/>
        <v>0-FIJATMA</v>
      </c>
      <c r="AA781" s="1291" t="str">
        <f t="shared" si="822"/>
        <v>0-FIJATME</v>
      </c>
      <c r="AB781" s="1291" t="str">
        <f t="shared" si="823"/>
        <v>0-FIJATMM</v>
      </c>
      <c r="AC781" s="1291" t="str">
        <f t="shared" si="824"/>
        <v>0-FIJATMT</v>
      </c>
      <c r="AD781" s="1291" t="str">
        <f t="shared" si="825"/>
        <v>0-FIJATMS</v>
      </c>
      <c r="AE781" s="1291" t="str">
        <f t="shared" si="826"/>
        <v>0-FIJATMX</v>
      </c>
      <c r="AF781" s="1291" t="str">
        <f t="shared" si="827"/>
        <v>0-FIJATMM</v>
      </c>
      <c r="AG781" s="1291">
        <f t="shared" si="844"/>
        <v>3</v>
      </c>
      <c r="AH781" s="1291">
        <f>IF(B781&lt;&gt;"",+IF(H781="x",+VLOOKUP(I781,'AUX-NIV2'!B:AG,32,FALSE),0),"")</f>
        <v>0</v>
      </c>
      <c r="AI781" s="1291" t="str">
        <f t="shared" si="828"/>
        <v>0-FIJATM</v>
      </c>
      <c r="AK781" s="347">
        <f t="shared" si="845"/>
        <v>781</v>
      </c>
      <c r="AL781" s="348">
        <f t="shared" si="829"/>
        <v>783</v>
      </c>
      <c r="AM781" s="347">
        <f t="shared" si="830"/>
        <v>1</v>
      </c>
      <c r="AN781" s="382">
        <f>IF(AND(AH781&gt;0,B781&lt;&gt;""),VLOOKUP(I781,'AUX-NIV2'!$B:$AP,40,FALSE)*O781,0)</f>
        <v>0</v>
      </c>
      <c r="AO781" s="382">
        <f t="shared" si="846"/>
        <v>3</v>
      </c>
      <c r="AQ781" s="395">
        <f>(IF($H781="x",VLOOKUP($I781,'AUX-NIV2'!$B:$X,'AUX-NIV1'!AQ$3,FALSE),0)+($AV781*'AUX-NIV3'!S$4))*$O781+IF($H781=AQ$4,$P781,0)</f>
        <v>0</v>
      </c>
      <c r="AR781" s="395">
        <f>(IF($H781="x",VLOOKUP($I781,'AUX-NIV2'!$B:$X,'AUX-NIV1'!AR$3,FALSE),0)+($AV781*'AUX-NIV3'!T$4))*$O781+IF($H781=AR$4,$P781,0)</f>
        <v>0</v>
      </c>
      <c r="AS781" s="395">
        <f>(IF($H781="x",VLOOKUP($I781,'AUX-NIV2'!$B:$X,'AUX-NIV1'!AS$3,FALSE),0)+($AV781*'AUX-NIV3'!U$4))*$O781+IF($H781=AS$4,$P781,0)</f>
        <v>1652.8925619834711</v>
      </c>
      <c r="AT781" s="395">
        <f>(IF($H781="x",VLOOKUP($I781,'AUX-NIV2'!$B:$X,'AUX-NIV1'!AT$3,FALSE),0)+($AV781*'AUX-NIV3'!V$4))*$O781+IF($H781=AT$4,$P781,0)</f>
        <v>0</v>
      </c>
      <c r="AU781" s="395">
        <f>(IF($H781="x",VLOOKUP($I781,'AUX-NIV2'!$B:$X,'AUX-NIV1'!AU$3,FALSE),0)+($AV781*'AUX-NIV3'!W$4))*$O781+IF($H781=AU$4,$P781,0)</f>
        <v>0</v>
      </c>
      <c r="AV781" s="395">
        <f>+IF($H781="x",VLOOKUP($I781,'AUX-NIV2'!$B:$X,'AUX-NIV1'!AV$3,FALSE),0)</f>
        <v>0</v>
      </c>
    </row>
    <row r="782" spans="2:48" ht="13.8" hidden="1" thickTop="1">
      <c r="B782" s="501" t="s">
        <v>3883</v>
      </c>
      <c r="C782" s="951" t="s">
        <v>3887</v>
      </c>
      <c r="D782" s="1280" t="s">
        <v>610</v>
      </c>
      <c r="E782" s="1281">
        <f>IF(B782&lt;&gt;"",+SUMIF(Items!C:C,'AUX-NIV1'!B782,Items!H:H),"")</f>
        <v>0</v>
      </c>
      <c r="F782" s="1281">
        <f t="shared" si="836"/>
        <v>4378.3511689633979</v>
      </c>
      <c r="G782" s="1281">
        <f t="shared" si="837"/>
        <v>0</v>
      </c>
      <c r="H782" s="1395" t="str">
        <f t="shared" ref="H782:H814" si="847">IF(B782&lt;&gt;"",+LEFT(I782,1),"")</f>
        <v>M</v>
      </c>
      <c r="I782" s="1375" t="s">
        <v>3890</v>
      </c>
      <c r="J782" s="1283" t="str">
        <f>IF(B782&lt;&gt;"",+VLOOKUP(I782,Recursos!C:F,2,FALSE),"")</f>
        <v>VARILLA ROSCADA FISHER 12,5mm</v>
      </c>
      <c r="K782" s="1284" t="str">
        <f>IF(B782&lt;&gt;"",+VLOOKUP(I782,Recursos!C:F,3,FALSE),"")</f>
        <v>Un</v>
      </c>
      <c r="L782" s="1285">
        <f>IF(B782&lt;&gt;"",+VLOOKUP(I782,Recursos!C:F,4,FALSE),"")</f>
        <v>123.47107438016528</v>
      </c>
      <c r="M782" s="1404"/>
      <c r="N782" s="1427">
        <v>10</v>
      </c>
      <c r="O782" s="1286">
        <f t="shared" ref="O782:O814" si="848">N782</f>
        <v>10</v>
      </c>
      <c r="P782" s="1287">
        <f t="shared" ref="P782:P814" si="849">IF(B782&lt;&gt;"",O782*L782,"")</f>
        <v>1234.7107438016528</v>
      </c>
      <c r="Q782" s="1281">
        <f t="shared" ref="Q782:Q814" si="850">IF(B782&lt;&gt;"",+O782*E782,"")</f>
        <v>0</v>
      </c>
      <c r="R782" s="1288">
        <f t="shared" ref="R782:R814" si="851">IF(B782&lt;&gt;"",Q782*L782,"")</f>
        <v>0</v>
      </c>
      <c r="S782" s="1289">
        <f t="shared" si="838"/>
        <v>1490.7478631782747</v>
      </c>
      <c r="T782" s="1289">
        <f t="shared" si="839"/>
        <v>0</v>
      </c>
      <c r="U782" s="1290">
        <f t="shared" si="840"/>
        <v>2887.6033057851237</v>
      </c>
      <c r="V782" s="1290">
        <f t="shared" si="841"/>
        <v>0</v>
      </c>
      <c r="W782" s="1290">
        <f t="shared" si="842"/>
        <v>0</v>
      </c>
      <c r="X782" s="1290">
        <f t="shared" si="843"/>
        <v>0</v>
      </c>
      <c r="Y782" s="396"/>
      <c r="Z782" s="1291" t="str">
        <f t="shared" ref="Z782:Z814" si="852">IF(B782&lt;&gt;"",+$B782&amp;"A","")</f>
        <v>0-FIJATMA</v>
      </c>
      <c r="AA782" s="1291" t="str">
        <f t="shared" ref="AA782:AA814" si="853">IF(B782&lt;&gt;"",+$B782&amp;"E","")</f>
        <v>0-FIJATME</v>
      </c>
      <c r="AB782" s="1291" t="str">
        <f t="shared" ref="AB782:AB814" si="854">IF(B782&lt;&gt;"",++$B782&amp;"M","")</f>
        <v>0-FIJATMM</v>
      </c>
      <c r="AC782" s="1291" t="str">
        <f t="shared" ref="AC782:AC814" si="855">IF(B782&lt;&gt;"",+$B782&amp;"T","")</f>
        <v>0-FIJATMT</v>
      </c>
      <c r="AD782" s="1291" t="str">
        <f t="shared" ref="AD782:AD814" si="856">IF(B782&lt;&gt;"",+$B782&amp;"S","")</f>
        <v>0-FIJATMS</v>
      </c>
      <c r="AE782" s="1291" t="str">
        <f t="shared" ref="AE782:AE814" si="857">IF(B782&lt;&gt;"",+$B782&amp;"X","")</f>
        <v>0-FIJATMX</v>
      </c>
      <c r="AF782" s="1291" t="str">
        <f t="shared" ref="AF782:AF814" si="858">IF(B782&lt;&gt;"",+B782&amp;H782,"")</f>
        <v>0-FIJATMM</v>
      </c>
      <c r="AG782" s="1291">
        <f t="shared" si="844"/>
        <v>3</v>
      </c>
      <c r="AH782" s="1291">
        <f>IF(B782&lt;&gt;"",+IF(H782="x",+VLOOKUP(I782,'AUX-NIV2'!B:AG,32,FALSE),0),"")</f>
        <v>0</v>
      </c>
      <c r="AI782" s="1291" t="str">
        <f t="shared" ref="AI782:AI814" si="859">IF(B782&lt;&gt;"",+B782,"")</f>
        <v>0-FIJATM</v>
      </c>
      <c r="AK782" s="347">
        <f t="shared" si="845"/>
        <v>781</v>
      </c>
      <c r="AL782" s="348">
        <f t="shared" ref="AL782:AL814" si="860">IF(B782&lt;&gt;"",+AK782+AG782-1,"")</f>
        <v>783</v>
      </c>
      <c r="AM782" s="347">
        <f t="shared" ref="AM782:AM814" si="861">IF(B782&lt;&gt;"",IF(B782=B781,1+AM781,1),"")</f>
        <v>2</v>
      </c>
      <c r="AN782" s="382">
        <f>IF(AND(AH782&gt;0,B782&lt;&gt;""),VLOOKUP(I782,'AUX-NIV2'!$B:$AP,40,FALSE)*O782,0)</f>
        <v>0</v>
      </c>
      <c r="AO782" s="382">
        <f t="shared" si="846"/>
        <v>3</v>
      </c>
      <c r="AQ782" s="395">
        <f>(IF($H782="x",VLOOKUP($I782,'AUX-NIV2'!$B:$X,'AUX-NIV1'!AQ$3,FALSE),0)+($AV782*'AUX-NIV3'!S$4))*$O782+IF($H782=AQ$4,$P782,0)</f>
        <v>0</v>
      </c>
      <c r="AR782" s="395">
        <f>(IF($H782="x",VLOOKUP($I782,'AUX-NIV2'!$B:$X,'AUX-NIV1'!AR$3,FALSE),0)+($AV782*'AUX-NIV3'!T$4))*$O782+IF($H782=AR$4,$P782,0)</f>
        <v>0</v>
      </c>
      <c r="AS782" s="395">
        <f>(IF($H782="x",VLOOKUP($I782,'AUX-NIV2'!$B:$X,'AUX-NIV1'!AS$3,FALSE),0)+($AV782*'AUX-NIV3'!U$4))*$O782+IF($H782=AS$4,$P782,0)</f>
        <v>1234.7107438016528</v>
      </c>
      <c r="AT782" s="395">
        <f>(IF($H782="x",VLOOKUP($I782,'AUX-NIV2'!$B:$X,'AUX-NIV1'!AT$3,FALSE),0)+($AV782*'AUX-NIV3'!V$4))*$O782+IF($H782=AT$4,$P782,0)</f>
        <v>0</v>
      </c>
      <c r="AU782" s="395">
        <f>(IF($H782="x",VLOOKUP($I782,'AUX-NIV2'!$B:$X,'AUX-NIV1'!AU$3,FALSE),0)+($AV782*'AUX-NIV3'!W$4))*$O782+IF($H782=AU$4,$P782,0)</f>
        <v>0</v>
      </c>
      <c r="AV782" s="395">
        <f>+IF($H782="x",VLOOKUP($I782,'AUX-NIV2'!$B:$X,'AUX-NIV1'!AV$3,FALSE),0)</f>
        <v>0</v>
      </c>
    </row>
    <row r="783" spans="2:48" ht="14.4" hidden="1" thickTop="1" thickBot="1">
      <c r="B783" s="501" t="s">
        <v>3883</v>
      </c>
      <c r="C783" s="951" t="s">
        <v>3887</v>
      </c>
      <c r="D783" s="1280" t="s">
        <v>610</v>
      </c>
      <c r="E783" s="1281">
        <f>IF(B783&lt;&gt;"",+SUMIF(Items!C:C,'AUX-NIV1'!B783,Items!H:H),"")</f>
        <v>0</v>
      </c>
      <c r="F783" s="1281">
        <f t="shared" si="836"/>
        <v>4378.3511689633979</v>
      </c>
      <c r="G783" s="1281">
        <f t="shared" si="837"/>
        <v>0</v>
      </c>
      <c r="H783" s="1395" t="str">
        <f t="shared" si="847"/>
        <v>A</v>
      </c>
      <c r="I783" s="1375" t="s">
        <v>1746</v>
      </c>
      <c r="J783" s="1283" t="str">
        <f>IF(B783&lt;&gt;"",+VLOOKUP(I783,Recursos!C:F,2,FALSE),"")</f>
        <v>OFICIAL</v>
      </c>
      <c r="K783" s="1284" t="str">
        <f>IF(B783&lt;&gt;"",+VLOOKUP(I783,Recursos!C:F,3,FALSE),"")</f>
        <v>hh</v>
      </c>
      <c r="L783" s="1285">
        <f>IF(B783&lt;&gt;"",+VLOOKUP(I783,Recursos!C:F,4,FALSE),"")</f>
        <v>496.91595439275824</v>
      </c>
      <c r="M783" s="1431"/>
      <c r="N783" s="1429">
        <v>3</v>
      </c>
      <c r="O783" s="1286">
        <f t="shared" si="848"/>
        <v>3</v>
      </c>
      <c r="P783" s="1287">
        <f t="shared" si="849"/>
        <v>1490.7478631782747</v>
      </c>
      <c r="Q783" s="1281">
        <f t="shared" si="850"/>
        <v>0</v>
      </c>
      <c r="R783" s="1288">
        <f t="shared" si="851"/>
        <v>0</v>
      </c>
      <c r="S783" s="1289">
        <f t="shared" si="838"/>
        <v>1490.7478631782747</v>
      </c>
      <c r="T783" s="1289">
        <f t="shared" si="839"/>
        <v>0</v>
      </c>
      <c r="U783" s="1290">
        <f t="shared" si="840"/>
        <v>2887.6033057851237</v>
      </c>
      <c r="V783" s="1290">
        <f t="shared" si="841"/>
        <v>0</v>
      </c>
      <c r="W783" s="1290">
        <f t="shared" si="842"/>
        <v>0</v>
      </c>
      <c r="X783" s="1290">
        <f t="shared" si="843"/>
        <v>0</v>
      </c>
      <c r="Y783" s="396"/>
      <c r="Z783" s="1291" t="str">
        <f t="shared" si="852"/>
        <v>0-FIJATMA</v>
      </c>
      <c r="AA783" s="1291" t="str">
        <f t="shared" si="853"/>
        <v>0-FIJATME</v>
      </c>
      <c r="AB783" s="1291" t="str">
        <f t="shared" si="854"/>
        <v>0-FIJATMM</v>
      </c>
      <c r="AC783" s="1291" t="str">
        <f t="shared" si="855"/>
        <v>0-FIJATMT</v>
      </c>
      <c r="AD783" s="1291" t="str">
        <f t="shared" si="856"/>
        <v>0-FIJATMS</v>
      </c>
      <c r="AE783" s="1291" t="str">
        <f t="shared" si="857"/>
        <v>0-FIJATMX</v>
      </c>
      <c r="AF783" s="1291" t="str">
        <f t="shared" si="858"/>
        <v>0-FIJATMA</v>
      </c>
      <c r="AG783" s="1291">
        <f t="shared" si="844"/>
        <v>3</v>
      </c>
      <c r="AH783" s="1291">
        <f>IF(B783&lt;&gt;"",+IF(H783="x",+VLOOKUP(I783,'AUX-NIV2'!B:AG,32,FALSE),0),"")</f>
        <v>0</v>
      </c>
      <c r="AI783" s="1291" t="str">
        <f t="shared" si="859"/>
        <v>0-FIJATM</v>
      </c>
      <c r="AK783" s="347">
        <f t="shared" si="845"/>
        <v>781</v>
      </c>
      <c r="AL783" s="348">
        <f t="shared" si="860"/>
        <v>783</v>
      </c>
      <c r="AM783" s="347">
        <f t="shared" si="861"/>
        <v>3</v>
      </c>
      <c r="AN783" s="382">
        <f>IF(AND(AH783&gt;0,B783&lt;&gt;""),VLOOKUP(I783,'AUX-NIV2'!$B:$AP,40,FALSE)*O783,0)</f>
        <v>0</v>
      </c>
      <c r="AO783" s="382">
        <f t="shared" si="846"/>
        <v>3</v>
      </c>
      <c r="AQ783" s="395">
        <f>(IF($H783="x",VLOOKUP($I783,'AUX-NIV2'!$B:$X,'AUX-NIV1'!AQ$3,FALSE),0)+($AV783*'AUX-NIV3'!S$4))*$O783+IF($H783=AQ$4,$P783,0)</f>
        <v>1490.7478631782747</v>
      </c>
      <c r="AR783" s="395">
        <f>(IF($H783="x",VLOOKUP($I783,'AUX-NIV2'!$B:$X,'AUX-NIV1'!AR$3,FALSE),0)+($AV783*'AUX-NIV3'!T$4))*$O783+IF($H783=AR$4,$P783,0)</f>
        <v>0</v>
      </c>
      <c r="AS783" s="395">
        <f>(IF($H783="x",VLOOKUP($I783,'AUX-NIV2'!$B:$X,'AUX-NIV1'!AS$3,FALSE),0)+($AV783*'AUX-NIV3'!U$4))*$O783+IF($H783=AS$4,$P783,0)</f>
        <v>0</v>
      </c>
      <c r="AT783" s="395">
        <f>(IF($H783="x",VLOOKUP($I783,'AUX-NIV2'!$B:$X,'AUX-NIV1'!AT$3,FALSE),0)+($AV783*'AUX-NIV3'!V$4))*$O783+IF($H783=AT$4,$P783,0)</f>
        <v>0</v>
      </c>
      <c r="AU783" s="395">
        <f>(IF($H783="x",VLOOKUP($I783,'AUX-NIV2'!$B:$X,'AUX-NIV1'!AU$3,FALSE),0)+($AV783*'AUX-NIV3'!W$4))*$O783+IF($H783=AU$4,$P783,0)</f>
        <v>0</v>
      </c>
      <c r="AV783" s="395">
        <f>+IF($H783="x",VLOOKUP($I783,'AUX-NIV2'!$B:$X,'AUX-NIV1'!AV$3,FALSE),0)</f>
        <v>0</v>
      </c>
    </row>
    <row r="784" spans="2:48" ht="13.8" hidden="1" thickTop="1">
      <c r="B784" s="501" t="s">
        <v>3892</v>
      </c>
      <c r="C784" s="951" t="s">
        <v>3893</v>
      </c>
      <c r="D784" s="1280" t="s">
        <v>610</v>
      </c>
      <c r="E784" s="1281">
        <f>IF(B784&lt;&gt;"",+SUMIF(Items!C:C,'AUX-NIV1'!B784,Items!H:H),"")</f>
        <v>0</v>
      </c>
      <c r="F784" s="1281">
        <f t="shared" si="836"/>
        <v>516.91595439275829</v>
      </c>
      <c r="G784" s="1281">
        <f t="shared" si="837"/>
        <v>0</v>
      </c>
      <c r="H784" s="1395" t="str">
        <f t="shared" si="847"/>
        <v>A</v>
      </c>
      <c r="I784" s="1375" t="s">
        <v>1746</v>
      </c>
      <c r="J784" s="1283" t="str">
        <f>IF(B784&lt;&gt;"",+VLOOKUP(I784,Recursos!C:F,2,FALSE),"")</f>
        <v>OFICIAL</v>
      </c>
      <c r="K784" s="1284" t="str">
        <f>IF(B784&lt;&gt;"",+VLOOKUP(I784,Recursos!C:F,3,FALSE),"")</f>
        <v>hh</v>
      </c>
      <c r="L784" s="1285">
        <f>IF(B784&lt;&gt;"",+VLOOKUP(I784,Recursos!C:F,4,FALSE),"")</f>
        <v>496.91595439275824</v>
      </c>
      <c r="M784" s="743"/>
      <c r="N784" s="1292">
        <v>1</v>
      </c>
      <c r="O784" s="1286">
        <f t="shared" si="848"/>
        <v>1</v>
      </c>
      <c r="P784" s="1287">
        <f t="shared" si="849"/>
        <v>496.91595439275824</v>
      </c>
      <c r="Q784" s="1281">
        <f t="shared" si="850"/>
        <v>0</v>
      </c>
      <c r="R784" s="1288">
        <f t="shared" si="851"/>
        <v>0</v>
      </c>
      <c r="S784" s="1289">
        <f t="shared" si="838"/>
        <v>496.91595439275824</v>
      </c>
      <c r="T784" s="1289">
        <f t="shared" si="839"/>
        <v>0</v>
      </c>
      <c r="U784" s="1290">
        <f t="shared" si="840"/>
        <v>20</v>
      </c>
      <c r="V784" s="1290">
        <f t="shared" si="841"/>
        <v>0</v>
      </c>
      <c r="W784" s="1290">
        <f t="shared" si="842"/>
        <v>0</v>
      </c>
      <c r="X784" s="1290">
        <f t="shared" si="843"/>
        <v>0</v>
      </c>
      <c r="Y784" s="396"/>
      <c r="Z784" s="1291" t="str">
        <f t="shared" si="852"/>
        <v>0-COLMATA</v>
      </c>
      <c r="AA784" s="1291" t="str">
        <f t="shared" si="853"/>
        <v>0-COLMATE</v>
      </c>
      <c r="AB784" s="1291" t="str">
        <f t="shared" si="854"/>
        <v>0-COLMATM</v>
      </c>
      <c r="AC784" s="1291" t="str">
        <f t="shared" si="855"/>
        <v>0-COLMATT</v>
      </c>
      <c r="AD784" s="1291" t="str">
        <f t="shared" si="856"/>
        <v>0-COLMATS</v>
      </c>
      <c r="AE784" s="1291" t="str">
        <f t="shared" si="857"/>
        <v>0-COLMATX</v>
      </c>
      <c r="AF784" s="1291" t="str">
        <f t="shared" si="858"/>
        <v>0-COLMATA</v>
      </c>
      <c r="AG784" s="1291">
        <f t="shared" si="844"/>
        <v>2</v>
      </c>
      <c r="AH784" s="1291">
        <f>IF(B784&lt;&gt;"",+IF(H784="x",+VLOOKUP(I784,'AUX-NIV2'!B:AG,32,FALSE),0),"")</f>
        <v>0</v>
      </c>
      <c r="AI784" s="1291" t="str">
        <f t="shared" si="859"/>
        <v>0-COLMAT</v>
      </c>
      <c r="AK784" s="347">
        <f t="shared" si="845"/>
        <v>784</v>
      </c>
      <c r="AL784" s="348">
        <f t="shared" si="860"/>
        <v>785</v>
      </c>
      <c r="AM784" s="347">
        <f t="shared" si="861"/>
        <v>1</v>
      </c>
      <c r="AN784" s="382">
        <f>IF(AND(AH784&gt;0,B784&lt;&gt;""),VLOOKUP(I784,'AUX-NIV2'!$B:$AP,40,FALSE)*O784,0)</f>
        <v>0</v>
      </c>
      <c r="AO784" s="382">
        <f t="shared" si="846"/>
        <v>1</v>
      </c>
      <c r="AQ784" s="395">
        <f>(IF($H784="x",VLOOKUP($I784,'AUX-NIV2'!$B:$X,'AUX-NIV1'!AQ$3,FALSE),0)+($AV784*'AUX-NIV3'!S$4))*$O784+IF($H784=AQ$4,$P784,0)</f>
        <v>496.91595439275824</v>
      </c>
      <c r="AR784" s="395">
        <f>(IF($H784="x",VLOOKUP($I784,'AUX-NIV2'!$B:$X,'AUX-NIV1'!AR$3,FALSE),0)+($AV784*'AUX-NIV3'!T$4))*$O784+IF($H784=AR$4,$P784,0)</f>
        <v>0</v>
      </c>
      <c r="AS784" s="395">
        <f>(IF($H784="x",VLOOKUP($I784,'AUX-NIV2'!$B:$X,'AUX-NIV1'!AS$3,FALSE),0)+($AV784*'AUX-NIV3'!U$4))*$O784+IF($H784=AS$4,$P784,0)</f>
        <v>0</v>
      </c>
      <c r="AT784" s="395">
        <f>(IF($H784="x",VLOOKUP($I784,'AUX-NIV2'!$B:$X,'AUX-NIV1'!AT$3,FALSE),0)+($AV784*'AUX-NIV3'!V$4))*$O784+IF($H784=AT$4,$P784,0)</f>
        <v>0</v>
      </c>
      <c r="AU784" s="395">
        <f>(IF($H784="x",VLOOKUP($I784,'AUX-NIV2'!$B:$X,'AUX-NIV1'!AU$3,FALSE),0)+($AV784*'AUX-NIV3'!W$4))*$O784+IF($H784=AU$4,$P784,0)</f>
        <v>0</v>
      </c>
      <c r="AV784" s="395">
        <f>+IF($H784="x",VLOOKUP($I784,'AUX-NIV2'!$B:$X,'AUX-NIV1'!AV$3,FALSE),0)</f>
        <v>0</v>
      </c>
    </row>
    <row r="785" spans="2:48" ht="14.4" hidden="1" thickTop="1" thickBot="1">
      <c r="B785" s="501" t="s">
        <v>3892</v>
      </c>
      <c r="C785" s="951" t="s">
        <v>3893</v>
      </c>
      <c r="D785" s="1280" t="s">
        <v>610</v>
      </c>
      <c r="E785" s="1281">
        <f>IF(B785&lt;&gt;"",+SUMIF(Items!C:C,'AUX-NIV1'!B785,Items!H:H),"")</f>
        <v>0</v>
      </c>
      <c r="F785" s="1281">
        <f t="shared" si="836"/>
        <v>516.91595439275829</v>
      </c>
      <c r="G785" s="1281">
        <f t="shared" si="837"/>
        <v>0</v>
      </c>
      <c r="H785" s="1395" t="str">
        <f t="shared" si="847"/>
        <v>M</v>
      </c>
      <c r="I785" s="1375" t="s">
        <v>621</v>
      </c>
      <c r="J785" s="1283" t="str">
        <f>IF(B785&lt;&gt;"",+VLOOKUP(I785,Recursos!C:F,2,FALSE),"")</f>
        <v>MATERIALES VARIOS</v>
      </c>
      <c r="K785" s="1284" t="str">
        <f>IF(B785&lt;&gt;"",+VLOOKUP(I785,Recursos!C:F,3,FALSE),"")</f>
        <v>GL</v>
      </c>
      <c r="L785" s="1285">
        <f>IF(B785&lt;&gt;"",+VLOOKUP(I785,Recursos!C:F,4,FALSE),"")</f>
        <v>0.5</v>
      </c>
      <c r="M785" s="1431"/>
      <c r="N785" s="1429">
        <f>400*10%</f>
        <v>40</v>
      </c>
      <c r="O785" s="1286">
        <f t="shared" si="848"/>
        <v>40</v>
      </c>
      <c r="P785" s="1287">
        <f t="shared" si="849"/>
        <v>20</v>
      </c>
      <c r="Q785" s="1281">
        <f t="shared" si="850"/>
        <v>0</v>
      </c>
      <c r="R785" s="1288">
        <f t="shared" si="851"/>
        <v>0</v>
      </c>
      <c r="S785" s="1289">
        <f t="shared" si="838"/>
        <v>496.91595439275824</v>
      </c>
      <c r="T785" s="1289">
        <f t="shared" si="839"/>
        <v>0</v>
      </c>
      <c r="U785" s="1290">
        <f t="shared" si="840"/>
        <v>20</v>
      </c>
      <c r="V785" s="1290">
        <f t="shared" si="841"/>
        <v>0</v>
      </c>
      <c r="W785" s="1290">
        <f t="shared" si="842"/>
        <v>0</v>
      </c>
      <c r="X785" s="1290">
        <f t="shared" si="843"/>
        <v>0</v>
      </c>
      <c r="Y785" s="396"/>
      <c r="Z785" s="1291" t="str">
        <f t="shared" si="852"/>
        <v>0-COLMATA</v>
      </c>
      <c r="AA785" s="1291" t="str">
        <f t="shared" si="853"/>
        <v>0-COLMATE</v>
      </c>
      <c r="AB785" s="1291" t="str">
        <f t="shared" si="854"/>
        <v>0-COLMATM</v>
      </c>
      <c r="AC785" s="1291" t="str">
        <f t="shared" si="855"/>
        <v>0-COLMATT</v>
      </c>
      <c r="AD785" s="1291" t="str">
        <f t="shared" si="856"/>
        <v>0-COLMATS</v>
      </c>
      <c r="AE785" s="1291" t="str">
        <f t="shared" si="857"/>
        <v>0-COLMATX</v>
      </c>
      <c r="AF785" s="1291" t="str">
        <f t="shared" si="858"/>
        <v>0-COLMATM</v>
      </c>
      <c r="AG785" s="1291">
        <f t="shared" si="844"/>
        <v>2</v>
      </c>
      <c r="AH785" s="1291">
        <f>IF(B785&lt;&gt;"",+IF(H785="x",+VLOOKUP(I785,'AUX-NIV2'!B:AG,32,FALSE),0),"")</f>
        <v>0</v>
      </c>
      <c r="AI785" s="1291" t="str">
        <f t="shared" si="859"/>
        <v>0-COLMAT</v>
      </c>
      <c r="AK785" s="347">
        <f t="shared" si="845"/>
        <v>784</v>
      </c>
      <c r="AL785" s="348">
        <f t="shared" si="860"/>
        <v>785</v>
      </c>
      <c r="AM785" s="347">
        <f t="shared" si="861"/>
        <v>2</v>
      </c>
      <c r="AN785" s="382">
        <f>IF(AND(AH785&gt;0,B785&lt;&gt;""),VLOOKUP(I785,'AUX-NIV2'!$B:$AP,40,FALSE)*O785,0)</f>
        <v>0</v>
      </c>
      <c r="AO785" s="382">
        <f t="shared" si="846"/>
        <v>1</v>
      </c>
      <c r="AQ785" s="395">
        <f>(IF($H785="x",VLOOKUP($I785,'AUX-NIV2'!$B:$X,'AUX-NIV1'!AQ$3,FALSE),0)+($AV785*'AUX-NIV3'!S$4))*$O785+IF($H785=AQ$4,$P785,0)</f>
        <v>0</v>
      </c>
      <c r="AR785" s="395">
        <f>(IF($H785="x",VLOOKUP($I785,'AUX-NIV2'!$B:$X,'AUX-NIV1'!AR$3,FALSE),0)+($AV785*'AUX-NIV3'!T$4))*$O785+IF($H785=AR$4,$P785,0)</f>
        <v>0</v>
      </c>
      <c r="AS785" s="395">
        <f>(IF($H785="x",VLOOKUP($I785,'AUX-NIV2'!$B:$X,'AUX-NIV1'!AS$3,FALSE),0)+($AV785*'AUX-NIV3'!U$4))*$O785+IF($H785=AS$4,$P785,0)</f>
        <v>20</v>
      </c>
      <c r="AT785" s="395">
        <f>(IF($H785="x",VLOOKUP($I785,'AUX-NIV2'!$B:$X,'AUX-NIV1'!AT$3,FALSE),0)+($AV785*'AUX-NIV3'!V$4))*$O785+IF($H785=AT$4,$P785,0)</f>
        <v>0</v>
      </c>
      <c r="AU785" s="395">
        <f>(IF($H785="x",VLOOKUP($I785,'AUX-NIV2'!$B:$X,'AUX-NIV1'!AU$3,FALSE),0)+($AV785*'AUX-NIV3'!W$4))*$O785+IF($H785=AU$4,$P785,0)</f>
        <v>0</v>
      </c>
      <c r="AV785" s="395">
        <f>+IF($H785="x",VLOOKUP($I785,'AUX-NIV2'!$B:$X,'AUX-NIV1'!AV$3,FALSE),0)</f>
        <v>0</v>
      </c>
    </row>
    <row r="786" spans="2:48" ht="14.4" hidden="1" thickTop="1" thickBot="1">
      <c r="B786" s="501" t="s">
        <v>3894</v>
      </c>
      <c r="C786" s="951" t="s">
        <v>3895</v>
      </c>
      <c r="D786" s="1280" t="s">
        <v>1233</v>
      </c>
      <c r="E786" s="1281">
        <f>IF(B786&lt;&gt;"",+SUMIF(Items!C:C,'AUX-NIV1'!B786,Items!H:H),"")</f>
        <v>0</v>
      </c>
      <c r="F786" s="1281">
        <f t="shared" si="836"/>
        <v>99946.90072772342</v>
      </c>
      <c r="G786" s="1281">
        <f t="shared" si="837"/>
        <v>0</v>
      </c>
      <c r="H786" s="1395" t="str">
        <f t="shared" si="847"/>
        <v>X</v>
      </c>
      <c r="I786" s="1375" t="s">
        <v>3262</v>
      </c>
      <c r="J786" s="1283" t="str">
        <f>IF(B786&lt;&gt;"",+VLOOKUP(I786,Recursos!C:F,2,FALSE),"")</f>
        <v>Ayuda de gremio</v>
      </c>
      <c r="K786" s="1284" t="str">
        <f>IF(B786&lt;&gt;"",+VLOOKUP(I786,Recursos!C:F,3,FALSE),"")</f>
        <v>hs</v>
      </c>
      <c r="L786" s="1285">
        <f>IF(B786&lt;&gt;"",+VLOOKUP(I786,Recursos!C:F,4,FALSE),"")</f>
        <v>2498.6725181930856</v>
      </c>
      <c r="M786" s="1293"/>
      <c r="N786" s="1294">
        <v>40</v>
      </c>
      <c r="O786" s="1286">
        <f t="shared" si="848"/>
        <v>40</v>
      </c>
      <c r="P786" s="1287">
        <f t="shared" si="849"/>
        <v>99946.90072772342</v>
      </c>
      <c r="Q786" s="1281">
        <f t="shared" si="850"/>
        <v>0</v>
      </c>
      <c r="R786" s="1288">
        <f t="shared" si="851"/>
        <v>0</v>
      </c>
      <c r="S786" s="1289">
        <f t="shared" si="838"/>
        <v>0</v>
      </c>
      <c r="T786" s="1289">
        <f t="shared" si="839"/>
        <v>0</v>
      </c>
      <c r="U786" s="1290">
        <f t="shared" si="840"/>
        <v>0</v>
      </c>
      <c r="V786" s="1290">
        <f t="shared" si="841"/>
        <v>0</v>
      </c>
      <c r="W786" s="1290">
        <f t="shared" si="842"/>
        <v>0</v>
      </c>
      <c r="X786" s="1290">
        <f t="shared" si="843"/>
        <v>99946.90072772342</v>
      </c>
      <c r="Y786" s="396"/>
      <c r="Z786" s="1291" t="str">
        <f t="shared" si="852"/>
        <v>0-ADGA</v>
      </c>
      <c r="AA786" s="1291" t="str">
        <f t="shared" si="853"/>
        <v>0-ADGE</v>
      </c>
      <c r="AB786" s="1291" t="str">
        <f t="shared" si="854"/>
        <v>0-ADGM</v>
      </c>
      <c r="AC786" s="1291" t="str">
        <f t="shared" si="855"/>
        <v>0-ADGT</v>
      </c>
      <c r="AD786" s="1291" t="str">
        <f t="shared" si="856"/>
        <v>0-ADGS</v>
      </c>
      <c r="AE786" s="1291" t="str">
        <f t="shared" si="857"/>
        <v>0-ADGX</v>
      </c>
      <c r="AF786" s="1291" t="str">
        <f t="shared" si="858"/>
        <v>0-ADGX</v>
      </c>
      <c r="AG786" s="1291">
        <f t="shared" si="844"/>
        <v>1</v>
      </c>
      <c r="AH786" s="1291">
        <f>IF(B786&lt;&gt;"",+IF(H786="x",+VLOOKUP(I786,'AUX-NIV2'!B:AG,32,FALSE),0),"")</f>
        <v>4</v>
      </c>
      <c r="AI786" s="1291" t="str">
        <f t="shared" si="859"/>
        <v>0-ADG</v>
      </c>
      <c r="AK786" s="347">
        <f t="shared" si="845"/>
        <v>786</v>
      </c>
      <c r="AL786" s="348">
        <f t="shared" si="860"/>
        <v>786</v>
      </c>
      <c r="AM786" s="347">
        <f t="shared" si="861"/>
        <v>1</v>
      </c>
      <c r="AN786" s="382">
        <f>IF(AND(AH786&gt;0,B786&lt;&gt;""),VLOOKUP(I786,'AUX-NIV2'!$B:$AP,40,FALSE)*O786,0)</f>
        <v>200</v>
      </c>
      <c r="AO786" s="382">
        <f t="shared" si="846"/>
        <v>200</v>
      </c>
      <c r="AQ786" s="395">
        <f>(IF($H786="x",VLOOKUP($I786,'AUX-NIV2'!$B:$X,'AUX-NIV1'!AQ$3,FALSE),0)+($AV786*'AUX-NIV3'!S$4))*$O786+IF($H786=AQ$4,$P786,0)</f>
        <v>96146.90072772342</v>
      </c>
      <c r="AR786" s="395">
        <f>(IF($H786="x",VLOOKUP($I786,'AUX-NIV2'!$B:$X,'AUX-NIV1'!AR$3,FALSE),0)+($AV786*'AUX-NIV3'!T$4))*$O786+IF($H786=AR$4,$P786,0)</f>
        <v>0</v>
      </c>
      <c r="AS786" s="395">
        <f>(IF($H786="x",VLOOKUP($I786,'AUX-NIV2'!$B:$X,'AUX-NIV1'!AS$3,FALSE),0)+($AV786*'AUX-NIV3'!U$4))*$O786+IF($H786=AS$4,$P786,0)</f>
        <v>3800</v>
      </c>
      <c r="AT786" s="395">
        <f>(IF($H786="x",VLOOKUP($I786,'AUX-NIV2'!$B:$X,'AUX-NIV1'!AT$3,FALSE),0)+($AV786*'AUX-NIV3'!V$4))*$O786+IF($H786=AT$4,$P786,0)</f>
        <v>0</v>
      </c>
      <c r="AU786" s="395">
        <f>(IF($H786="x",VLOOKUP($I786,'AUX-NIV2'!$B:$X,'AUX-NIV1'!AU$3,FALSE),0)+($AV786*'AUX-NIV3'!W$4))*$O786+IF($H786=AU$4,$P786,0)</f>
        <v>0</v>
      </c>
      <c r="AV786" s="395">
        <f>+IF($H786="x",VLOOKUP($I786,'AUX-NIV2'!$B:$X,'AUX-NIV1'!AV$3,FALSE),0)</f>
        <v>0</v>
      </c>
    </row>
    <row r="787" spans="2:48" ht="13.8" hidden="1" thickTop="1">
      <c r="B787" s="1433" t="s">
        <v>3339</v>
      </c>
      <c r="C787" s="1434" t="s">
        <v>3340</v>
      </c>
      <c r="D787" s="1435" t="s">
        <v>501</v>
      </c>
      <c r="E787" s="1436">
        <f>IF(B787&lt;&gt;"",+SUMIF(Items!C:C,'AUX-NIV1'!B786,Items!H:H),"")</f>
        <v>0</v>
      </c>
      <c r="F787" s="1436">
        <f t="shared" si="836"/>
        <v>278.58097209800826</v>
      </c>
      <c r="G787" s="1436">
        <f t="shared" si="837"/>
        <v>0</v>
      </c>
      <c r="H787" s="1437" t="str">
        <f t="shared" si="847"/>
        <v>M</v>
      </c>
      <c r="I787" s="996" t="s">
        <v>2229</v>
      </c>
      <c r="J787" s="1438" t="str">
        <f>IF(B787&lt;&gt;"",+VLOOKUP(I787,Recursos!C:F,2,FALSE),"")</f>
        <v>SUELO VEGETAL</v>
      </c>
      <c r="K787" s="1439" t="str">
        <f>IF(B787&lt;&gt;"",+VLOOKUP(I787,Recursos!C:F,3,FALSE),"")</f>
        <v>m3</v>
      </c>
      <c r="L787" s="1440">
        <f>IF(B787&lt;&gt;"",+VLOOKUP(I787,Recursos!C:F,4,FALSE),"")</f>
        <v>400</v>
      </c>
      <c r="M787" s="1441"/>
      <c r="N787" s="1367">
        <v>0.1</v>
      </c>
      <c r="O787" s="1442">
        <f>N787</f>
        <v>0.1</v>
      </c>
      <c r="P787" s="1443">
        <f t="shared" si="849"/>
        <v>40</v>
      </c>
      <c r="Q787" s="1436">
        <f t="shared" si="850"/>
        <v>0</v>
      </c>
      <c r="R787" s="1444">
        <f t="shared" si="851"/>
        <v>0</v>
      </c>
      <c r="S787" s="1445">
        <f t="shared" si="838"/>
        <v>21.124021384833618</v>
      </c>
      <c r="T787" s="1445">
        <f t="shared" si="839"/>
        <v>0</v>
      </c>
      <c r="U787" s="1446">
        <f t="shared" si="840"/>
        <v>250.58165548098435</v>
      </c>
      <c r="V787" s="1446">
        <f t="shared" si="841"/>
        <v>0</v>
      </c>
      <c r="W787" s="1446">
        <f t="shared" si="842"/>
        <v>0</v>
      </c>
      <c r="X787" s="1446">
        <f t="shared" si="843"/>
        <v>6.8752952321902994</v>
      </c>
      <c r="Y787" s="396"/>
      <c r="Z787" s="1447" t="str">
        <f t="shared" si="852"/>
        <v>0-PARQA</v>
      </c>
      <c r="AA787" s="1447" t="str">
        <f t="shared" si="853"/>
        <v>0-PARQE</v>
      </c>
      <c r="AB787" s="1447" t="str">
        <f t="shared" si="854"/>
        <v>0-PARQM</v>
      </c>
      <c r="AC787" s="1447" t="str">
        <f t="shared" si="855"/>
        <v>0-PARQT</v>
      </c>
      <c r="AD787" s="1447" t="str">
        <f t="shared" si="856"/>
        <v>0-PARQS</v>
      </c>
      <c r="AE787" s="1447" t="str">
        <f t="shared" si="857"/>
        <v>0-PARQX</v>
      </c>
      <c r="AF787" s="1447" t="str">
        <f t="shared" si="858"/>
        <v>0-PARQM</v>
      </c>
      <c r="AG787" s="1447">
        <f t="shared" si="844"/>
        <v>19</v>
      </c>
      <c r="AH787" s="1447">
        <f>IF(B787&lt;&gt;"",+IF(H787="x",+VLOOKUP(I787,'AUX-NIV2'!B:AG,32,FALSE),0),"")</f>
        <v>0</v>
      </c>
      <c r="AI787" s="1447" t="str">
        <f t="shared" si="859"/>
        <v>0-PARQ</v>
      </c>
      <c r="AK787" s="347">
        <f t="shared" si="845"/>
        <v>397</v>
      </c>
      <c r="AL787" s="348">
        <f t="shared" si="860"/>
        <v>415</v>
      </c>
      <c r="AM787" s="347">
        <f t="shared" si="861"/>
        <v>1</v>
      </c>
      <c r="AN787" s="382">
        <f>IF(AND(AH787&gt;0,B787&lt;&gt;""),VLOOKUP(I787,'AUX-NIV2'!$B:$AP,40,FALSE)*O787,0)</f>
        <v>0</v>
      </c>
      <c r="AO787" s="382">
        <f t="shared" si="846"/>
        <v>6.5000000000000002E-2</v>
      </c>
      <c r="AQ787" s="395">
        <f>(IF($H787="x",VLOOKUP($I787,'AUX-NIV2'!$B:$X,'AUX-NIV1'!AQ$3,FALSE),0)+($AV787*'AUX-NIV3'!S$4))*$O787+IF($H787=AQ$4,$P787,0)</f>
        <v>0</v>
      </c>
      <c r="AR787" s="395">
        <f>(IF($H787="x",VLOOKUP($I787,'AUX-NIV2'!$B:$X,'AUX-NIV1'!AR$3,FALSE),0)+($AV787*'AUX-NIV3'!T$4))*$O787+IF($H787=AR$4,$P787,0)</f>
        <v>0</v>
      </c>
      <c r="AS787" s="395">
        <f>(IF($H787="x",VLOOKUP($I787,'AUX-NIV2'!$B:$X,'AUX-NIV1'!AS$3,FALSE),0)+($AV787*'AUX-NIV3'!U$4))*$O787+IF($H787=AS$4,$P787,0)</f>
        <v>40</v>
      </c>
      <c r="AT787" s="395">
        <f>(IF($H787="x",VLOOKUP($I787,'AUX-NIV2'!$B:$X,'AUX-NIV1'!AT$3,FALSE),0)+($AV787*'AUX-NIV3'!V$4))*$O787+IF($H787=AT$4,$P787,0)</f>
        <v>0</v>
      </c>
      <c r="AU787" s="395">
        <f>(IF($H787="x",VLOOKUP($I787,'AUX-NIV2'!$B:$X,'AUX-NIV1'!AU$3,FALSE),0)+($AV787*'AUX-NIV3'!W$4))*$O787+IF($H787=AU$4,$P787,0)</f>
        <v>0</v>
      </c>
      <c r="AV787" s="395">
        <f>+IF($H787="x",VLOOKUP($I787,'AUX-NIV2'!$B:$X,'AUX-NIV1'!AV$3,FALSE),0)</f>
        <v>0</v>
      </c>
    </row>
    <row r="788" spans="2:48" ht="13.8" hidden="1" thickTop="1">
      <c r="B788" s="1433" t="s">
        <v>3339</v>
      </c>
      <c r="C788" s="1434" t="s">
        <v>3340</v>
      </c>
      <c r="D788" s="1435" t="s">
        <v>501</v>
      </c>
      <c r="E788" s="1436">
        <f>IF(B788&lt;&gt;"",+SUMIF(Items!C:C,'AUX-NIV1'!B787,Items!H:H),"")</f>
        <v>0</v>
      </c>
      <c r="F788" s="1436">
        <f t="shared" si="836"/>
        <v>278.58097209800826</v>
      </c>
      <c r="G788" s="1436">
        <f t="shared" si="837"/>
        <v>0</v>
      </c>
      <c r="H788" s="1437" t="str">
        <f t="shared" si="847"/>
        <v>A</v>
      </c>
      <c r="I788" s="1375" t="s">
        <v>1745</v>
      </c>
      <c r="J788" s="1438" t="str">
        <f>IF(B788&lt;&gt;"",+VLOOKUP(I788,Recursos!C:F,2,FALSE),"")</f>
        <v>AYUDANTE</v>
      </c>
      <c r="K788" s="1439" t="str">
        <f>IF(B788&lt;&gt;"",+VLOOKUP(I788,Recursos!C:F,3,FALSE),"")</f>
        <v>hh</v>
      </c>
      <c r="L788" s="1440">
        <f>IF(B788&lt;&gt;"",+VLOOKUP(I788,Recursos!C:F,4,FALSE),"")</f>
        <v>422.48042769667234</v>
      </c>
      <c r="M788" s="1449"/>
      <c r="N788" s="1427">
        <v>20</v>
      </c>
      <c r="O788" s="1442">
        <f>1/N788</f>
        <v>0.05</v>
      </c>
      <c r="P788" s="1443">
        <f t="shared" si="849"/>
        <v>21.124021384833618</v>
      </c>
      <c r="Q788" s="1436">
        <f t="shared" si="850"/>
        <v>0</v>
      </c>
      <c r="R788" s="1444">
        <f t="shared" si="851"/>
        <v>0</v>
      </c>
      <c r="S788" s="1445">
        <f t="shared" si="838"/>
        <v>21.124021384833618</v>
      </c>
      <c r="T788" s="1445">
        <f t="shared" si="839"/>
        <v>0</v>
      </c>
      <c r="U788" s="1446">
        <f t="shared" si="840"/>
        <v>250.58165548098435</v>
      </c>
      <c r="V788" s="1446">
        <f t="shared" si="841"/>
        <v>0</v>
      </c>
      <c r="W788" s="1446">
        <f t="shared" si="842"/>
        <v>0</v>
      </c>
      <c r="X788" s="1446">
        <f t="shared" si="843"/>
        <v>6.8752952321902994</v>
      </c>
      <c r="Y788" s="396"/>
      <c r="Z788" s="1447" t="str">
        <f t="shared" si="852"/>
        <v>0-PARQA</v>
      </c>
      <c r="AA788" s="1447" t="str">
        <f t="shared" si="853"/>
        <v>0-PARQE</v>
      </c>
      <c r="AB788" s="1447" t="str">
        <f t="shared" si="854"/>
        <v>0-PARQM</v>
      </c>
      <c r="AC788" s="1447" t="str">
        <f t="shared" si="855"/>
        <v>0-PARQT</v>
      </c>
      <c r="AD788" s="1447" t="str">
        <f t="shared" si="856"/>
        <v>0-PARQS</v>
      </c>
      <c r="AE788" s="1447" t="str">
        <f t="shared" si="857"/>
        <v>0-PARQX</v>
      </c>
      <c r="AF788" s="1447" t="str">
        <f t="shared" si="858"/>
        <v>0-PARQA</v>
      </c>
      <c r="AG788" s="1447">
        <f t="shared" si="844"/>
        <v>19</v>
      </c>
      <c r="AH788" s="1447">
        <f>IF(B788&lt;&gt;"",+IF(H788="x",+VLOOKUP(I788,'AUX-NIV2'!B:AG,32,FALSE),0),"")</f>
        <v>0</v>
      </c>
      <c r="AI788" s="1447" t="str">
        <f t="shared" si="859"/>
        <v>0-PARQ</v>
      </c>
      <c r="AK788" s="347">
        <f t="shared" si="845"/>
        <v>397</v>
      </c>
      <c r="AL788" s="348">
        <f t="shared" si="860"/>
        <v>415</v>
      </c>
      <c r="AM788" s="347">
        <f t="shared" si="861"/>
        <v>2</v>
      </c>
      <c r="AN788" s="382">
        <f>IF(AND(AH788&gt;0,B788&lt;&gt;""),VLOOKUP(I788,'AUX-NIV2'!$B:$AP,40,FALSE)*O788,0)</f>
        <v>0</v>
      </c>
      <c r="AO788" s="382">
        <f t="shared" si="846"/>
        <v>6.5000000000000002E-2</v>
      </c>
      <c r="AQ788" s="395">
        <f>(IF($H788="x",VLOOKUP($I788,'AUX-NIV2'!$B:$X,'AUX-NIV1'!AQ$3,FALSE),0)+($AV788*'AUX-NIV3'!S$4))*$O788+IF($H788=AQ$4,$P788,0)</f>
        <v>21.124021384833618</v>
      </c>
      <c r="AR788" s="395">
        <f>(IF($H788="x",VLOOKUP($I788,'AUX-NIV2'!$B:$X,'AUX-NIV1'!AR$3,FALSE),0)+($AV788*'AUX-NIV3'!T$4))*$O788+IF($H788=AR$4,$P788,0)</f>
        <v>0</v>
      </c>
      <c r="AS788" s="395">
        <f>(IF($H788="x",VLOOKUP($I788,'AUX-NIV2'!$B:$X,'AUX-NIV1'!AS$3,FALSE),0)+($AV788*'AUX-NIV3'!U$4))*$O788+IF($H788=AS$4,$P788,0)</f>
        <v>0</v>
      </c>
      <c r="AT788" s="395">
        <f>(IF($H788="x",VLOOKUP($I788,'AUX-NIV2'!$B:$X,'AUX-NIV1'!AT$3,FALSE),0)+($AV788*'AUX-NIV3'!V$4))*$O788+IF($H788=AT$4,$P788,0)</f>
        <v>0</v>
      </c>
      <c r="AU788" s="395">
        <f>(IF($H788="x",VLOOKUP($I788,'AUX-NIV2'!$B:$X,'AUX-NIV1'!AU$3,FALSE),0)+($AV788*'AUX-NIV3'!W$4))*$O788+IF($H788=AU$4,$P788,0)</f>
        <v>0</v>
      </c>
      <c r="AV788" s="395">
        <f>+IF($H788="x",VLOOKUP($I788,'AUX-NIV2'!$B:$X,'AUX-NIV1'!AV$3,FALSE),0)</f>
        <v>0</v>
      </c>
    </row>
    <row r="789" spans="2:48" ht="13.8" hidden="1" thickTop="1">
      <c r="B789" s="1433" t="s">
        <v>3339</v>
      </c>
      <c r="C789" s="1434" t="s">
        <v>3340</v>
      </c>
      <c r="D789" s="1435" t="s">
        <v>501</v>
      </c>
      <c r="E789" s="1436">
        <f>IF(B789&lt;&gt;"",+SUMIF(Items!C:C,'AUX-NIV1'!B789,Items!H:H),"")</f>
        <v>0</v>
      </c>
      <c r="F789" s="1436">
        <f t="shared" si="836"/>
        <v>278.58097209800826</v>
      </c>
      <c r="G789" s="1436">
        <f t="shared" si="837"/>
        <v>0</v>
      </c>
      <c r="H789" s="1437" t="str">
        <f t="shared" si="847"/>
        <v>M</v>
      </c>
      <c r="I789" s="1448" t="s">
        <v>3343</v>
      </c>
      <c r="J789" s="1438" t="str">
        <f>IF(B789&lt;&gt;"",+VLOOKUP(I789,Recursos!C:F,2,FALSE),"")</f>
        <v>SEMILLAS DE CESPED</v>
      </c>
      <c r="K789" s="1439" t="str">
        <f>IF(B789&lt;&gt;"",+VLOOKUP(I789,Recursos!C:F,3,FALSE),"")</f>
        <v>Kg</v>
      </c>
      <c r="L789" s="1440">
        <f>IF(B789&lt;&gt;"",+VLOOKUP(I789,Recursos!C:F,4,FALSE),"")</f>
        <v>280</v>
      </c>
      <c r="M789" s="1449"/>
      <c r="N789" s="1427">
        <v>30</v>
      </c>
      <c r="O789" s="1442">
        <f>1/N789</f>
        <v>3.3333333333333333E-2</v>
      </c>
      <c r="P789" s="1443">
        <f t="shared" si="849"/>
        <v>9.3333333333333339</v>
      </c>
      <c r="Q789" s="1436">
        <f t="shared" si="850"/>
        <v>0</v>
      </c>
      <c r="R789" s="1444">
        <f t="shared" si="851"/>
        <v>0</v>
      </c>
      <c r="S789" s="1445">
        <f t="shared" si="838"/>
        <v>21.124021384833618</v>
      </c>
      <c r="T789" s="1445">
        <f t="shared" si="839"/>
        <v>0</v>
      </c>
      <c r="U789" s="1446">
        <f t="shared" si="840"/>
        <v>250.58165548098435</v>
      </c>
      <c r="V789" s="1446">
        <f t="shared" si="841"/>
        <v>0</v>
      </c>
      <c r="W789" s="1446">
        <f t="shared" si="842"/>
        <v>0</v>
      </c>
      <c r="X789" s="1446">
        <f t="shared" si="843"/>
        <v>6.8752952321902994</v>
      </c>
      <c r="Y789" s="396"/>
      <c r="Z789" s="1447" t="str">
        <f t="shared" si="852"/>
        <v>0-PARQA</v>
      </c>
      <c r="AA789" s="1447" t="str">
        <f t="shared" si="853"/>
        <v>0-PARQE</v>
      </c>
      <c r="AB789" s="1447" t="str">
        <f t="shared" si="854"/>
        <v>0-PARQM</v>
      </c>
      <c r="AC789" s="1447" t="str">
        <f t="shared" si="855"/>
        <v>0-PARQT</v>
      </c>
      <c r="AD789" s="1447" t="str">
        <f t="shared" si="856"/>
        <v>0-PARQS</v>
      </c>
      <c r="AE789" s="1447" t="str">
        <f t="shared" si="857"/>
        <v>0-PARQX</v>
      </c>
      <c r="AF789" s="1447" t="str">
        <f t="shared" si="858"/>
        <v>0-PARQM</v>
      </c>
      <c r="AG789" s="1447">
        <f t="shared" si="844"/>
        <v>19</v>
      </c>
      <c r="AH789" s="1447">
        <f>IF(B789&lt;&gt;"",+IF(H789="x",+VLOOKUP(I789,'AUX-NIV2'!B:AG,32,FALSE),0),"")</f>
        <v>0</v>
      </c>
      <c r="AI789" s="1447" t="str">
        <f t="shared" si="859"/>
        <v>0-PARQ</v>
      </c>
      <c r="AK789" s="347">
        <f t="shared" si="845"/>
        <v>397</v>
      </c>
      <c r="AL789" s="348">
        <f t="shared" si="860"/>
        <v>415</v>
      </c>
      <c r="AM789" s="347" t="e">
        <f>IF(B789&lt;&gt;"",IF(B789=#REF!,1+#REF!,1),"")</f>
        <v>#REF!</v>
      </c>
      <c r="AN789" s="382">
        <f>IF(AND(AH789&gt;0,B789&lt;&gt;""),VLOOKUP(I789,'AUX-NIV2'!$B:$AP,40,FALSE)*O789,0)</f>
        <v>0</v>
      </c>
      <c r="AO789" s="382">
        <f t="shared" si="846"/>
        <v>6.5000000000000002E-2</v>
      </c>
      <c r="AQ789" s="395">
        <f>(IF($H789="x",VLOOKUP($I789,'AUX-NIV2'!$B:$X,'AUX-NIV1'!AQ$3,FALSE),0)+($AV789*'AUX-NIV3'!S$4))*$O789+IF($H789=AQ$4,$P789,0)</f>
        <v>0</v>
      </c>
      <c r="AR789" s="395">
        <f>(IF($H789="x",VLOOKUP($I789,'AUX-NIV2'!$B:$X,'AUX-NIV1'!AR$3,FALSE),0)+($AV789*'AUX-NIV3'!T$4))*$O789+IF($H789=AR$4,$P789,0)</f>
        <v>0</v>
      </c>
      <c r="AS789" s="395">
        <f>(IF($H789="x",VLOOKUP($I789,'AUX-NIV2'!$B:$X,'AUX-NIV1'!AS$3,FALSE),0)+($AV789*'AUX-NIV3'!U$4))*$O789+IF($H789=AS$4,$P789,0)</f>
        <v>9.3333333333333339</v>
      </c>
      <c r="AT789" s="395">
        <f>(IF($H789="x",VLOOKUP($I789,'AUX-NIV2'!$B:$X,'AUX-NIV1'!AT$3,FALSE),0)+($AV789*'AUX-NIV3'!V$4))*$O789+IF($H789=AT$4,$P789,0)</f>
        <v>0</v>
      </c>
      <c r="AU789" s="395">
        <f>(IF($H789="x",VLOOKUP($I789,'AUX-NIV2'!$B:$X,'AUX-NIV1'!AU$3,FALSE),0)+($AV789*'AUX-NIV3'!W$4))*$O789+IF($H789=AU$4,$P789,0)</f>
        <v>0</v>
      </c>
      <c r="AV789" s="395">
        <f>+IF($H789="x",VLOOKUP($I789,'AUX-NIV2'!$B:$X,'AUX-NIV1'!AV$3,FALSE),0)</f>
        <v>0</v>
      </c>
    </row>
    <row r="790" spans="2:48" ht="13.8" hidden="1" thickTop="1">
      <c r="B790" s="1433" t="s">
        <v>3339</v>
      </c>
      <c r="C790" s="1434" t="s">
        <v>3340</v>
      </c>
      <c r="D790" s="1435" t="s">
        <v>501</v>
      </c>
      <c r="E790" s="1436">
        <f>IF(B790&lt;&gt;"",+SUMIF(Items!C:C,'AUX-NIV1'!B790,Items!H:H),"")</f>
        <v>0</v>
      </c>
      <c r="F790" s="1436">
        <f t="shared" si="836"/>
        <v>278.58097209800826</v>
      </c>
      <c r="G790" s="1436">
        <f t="shared" si="837"/>
        <v>0</v>
      </c>
      <c r="H790" s="1437" t="str">
        <f t="shared" si="847"/>
        <v>M</v>
      </c>
      <c r="I790" s="1448" t="s">
        <v>3345</v>
      </c>
      <c r="J790" s="1438" t="str">
        <f>IF(B790&lt;&gt;"",+VLOOKUP(I790,Recursos!C:F,2,FALSE),"")</f>
        <v>CORTADERAS SELLOANA</v>
      </c>
      <c r="K790" s="1439" t="str">
        <f>IF(B790&lt;&gt;"",+VLOOKUP(I790,Recursos!C:F,3,FALSE),"")</f>
        <v>Un</v>
      </c>
      <c r="L790" s="1440">
        <f>IF(B790&lt;&gt;"",+VLOOKUP(I790,Recursos!C:F,4,FALSE),"")</f>
        <v>350</v>
      </c>
      <c r="M790" s="1450"/>
      <c r="N790" s="1454">
        <v>6.6666666666666666E-2</v>
      </c>
      <c r="O790" s="1442">
        <f>N790</f>
        <v>6.6666666666666666E-2</v>
      </c>
      <c r="P790" s="1443">
        <f t="shared" si="849"/>
        <v>23.333333333333332</v>
      </c>
      <c r="Q790" s="1436">
        <f t="shared" si="850"/>
        <v>0</v>
      </c>
      <c r="R790" s="1444">
        <f t="shared" si="851"/>
        <v>0</v>
      </c>
      <c r="S790" s="1445">
        <f t="shared" si="838"/>
        <v>21.124021384833618</v>
      </c>
      <c r="T790" s="1445">
        <f t="shared" si="839"/>
        <v>0</v>
      </c>
      <c r="U790" s="1446">
        <f t="shared" si="840"/>
        <v>250.58165548098435</v>
      </c>
      <c r="V790" s="1446">
        <f t="shared" si="841"/>
        <v>0</v>
      </c>
      <c r="W790" s="1446">
        <f t="shared" si="842"/>
        <v>0</v>
      </c>
      <c r="X790" s="1446">
        <f t="shared" si="843"/>
        <v>6.8752952321902994</v>
      </c>
      <c r="Y790" s="396"/>
      <c r="Z790" s="1447" t="str">
        <f t="shared" si="852"/>
        <v>0-PARQA</v>
      </c>
      <c r="AA790" s="1447" t="str">
        <f t="shared" si="853"/>
        <v>0-PARQE</v>
      </c>
      <c r="AB790" s="1447" t="str">
        <f t="shared" si="854"/>
        <v>0-PARQM</v>
      </c>
      <c r="AC790" s="1447" t="str">
        <f t="shared" si="855"/>
        <v>0-PARQT</v>
      </c>
      <c r="AD790" s="1447" t="str">
        <f t="shared" si="856"/>
        <v>0-PARQS</v>
      </c>
      <c r="AE790" s="1447" t="str">
        <f t="shared" si="857"/>
        <v>0-PARQX</v>
      </c>
      <c r="AF790" s="1447" t="str">
        <f t="shared" si="858"/>
        <v>0-PARQM</v>
      </c>
      <c r="AG790" s="1447">
        <f t="shared" si="844"/>
        <v>19</v>
      </c>
      <c r="AH790" s="1447">
        <f>IF(B790&lt;&gt;"",+IF(H790="x",+VLOOKUP(I790,'AUX-NIV2'!B:AG,32,FALSE),0),"")</f>
        <v>0</v>
      </c>
      <c r="AI790" s="1447" t="str">
        <f t="shared" si="859"/>
        <v>0-PARQ</v>
      </c>
      <c r="AK790" s="347">
        <f t="shared" si="845"/>
        <v>397</v>
      </c>
      <c r="AL790" s="348">
        <f t="shared" si="860"/>
        <v>415</v>
      </c>
      <c r="AM790" s="347" t="e">
        <f t="shared" si="861"/>
        <v>#REF!</v>
      </c>
      <c r="AN790" s="382">
        <f>IF(AND(AH790&gt;0,B790&lt;&gt;""),VLOOKUP(I790,'AUX-NIV2'!$B:$AP,40,FALSE)*O790,0)</f>
        <v>0</v>
      </c>
      <c r="AO790" s="382">
        <f t="shared" si="846"/>
        <v>6.5000000000000002E-2</v>
      </c>
      <c r="AQ790" s="395">
        <f>(IF($H790="x",VLOOKUP($I790,'AUX-NIV2'!$B:$X,'AUX-NIV1'!AQ$3,FALSE),0)+($AV790*'AUX-NIV3'!S$4))*$O790+IF($H790=AQ$4,$P790,0)</f>
        <v>0</v>
      </c>
      <c r="AR790" s="395">
        <f>(IF($H790="x",VLOOKUP($I790,'AUX-NIV2'!$B:$X,'AUX-NIV1'!AR$3,FALSE),0)+($AV790*'AUX-NIV3'!T$4))*$O790+IF($H790=AR$4,$P790,0)</f>
        <v>0</v>
      </c>
      <c r="AS790" s="395">
        <f>(IF($H790="x",VLOOKUP($I790,'AUX-NIV2'!$B:$X,'AUX-NIV1'!AS$3,FALSE),0)+($AV790*'AUX-NIV3'!U$4))*$O790+IF($H790=AS$4,$P790,0)</f>
        <v>23.333333333333332</v>
      </c>
      <c r="AT790" s="395">
        <f>(IF($H790="x",VLOOKUP($I790,'AUX-NIV2'!$B:$X,'AUX-NIV1'!AT$3,FALSE),0)+($AV790*'AUX-NIV3'!V$4))*$O790+IF($H790=AT$4,$P790,0)</f>
        <v>0</v>
      </c>
      <c r="AU790" s="395">
        <f>(IF($H790="x",VLOOKUP($I790,'AUX-NIV2'!$B:$X,'AUX-NIV1'!AU$3,FALSE),0)+($AV790*'AUX-NIV3'!W$4))*$O790+IF($H790=AU$4,$P790,0)</f>
        <v>0</v>
      </c>
      <c r="AV790" s="395">
        <f>+IF($H790="x",VLOOKUP($I790,'AUX-NIV2'!$B:$X,'AUX-NIV1'!AV$3,FALSE),0)</f>
        <v>0</v>
      </c>
    </row>
    <row r="791" spans="2:48" ht="13.8" hidden="1" thickTop="1">
      <c r="B791" s="1433" t="s">
        <v>3339</v>
      </c>
      <c r="C791" s="1434" t="s">
        <v>3340</v>
      </c>
      <c r="D791" s="1435" t="s">
        <v>501</v>
      </c>
      <c r="E791" s="1436">
        <f>IF(B791&lt;&gt;"",+SUMIF(Items!C:C,'AUX-NIV1'!B791,Items!H:H),"")</f>
        <v>0</v>
      </c>
      <c r="F791" s="1436">
        <f t="shared" si="836"/>
        <v>278.58097209800826</v>
      </c>
      <c r="G791" s="1436">
        <f t="shared" si="837"/>
        <v>0</v>
      </c>
      <c r="H791" s="1437" t="str">
        <f t="shared" si="847"/>
        <v>M</v>
      </c>
      <c r="I791" s="1448" t="s">
        <v>3346</v>
      </c>
      <c r="J791" s="1438" t="str">
        <f>IF(B791&lt;&gt;"",+VLOOKUP(I791,Recursos!C:F,2,FALSE),"")</f>
        <v>PENNISETUM</v>
      </c>
      <c r="K791" s="1439" t="str">
        <f>IF(B791&lt;&gt;"",+VLOOKUP(I791,Recursos!C:F,3,FALSE),"")</f>
        <v>Un</v>
      </c>
      <c r="L791" s="1440">
        <f>IF(B791&lt;&gt;"",+VLOOKUP(I791,Recursos!C:F,4,FALSE),"")</f>
        <v>250</v>
      </c>
      <c r="M791" s="1450"/>
      <c r="N791" s="1454">
        <v>3.3333333333333333E-2</v>
      </c>
      <c r="O791" s="1442">
        <f>N791</f>
        <v>3.3333333333333333E-2</v>
      </c>
      <c r="P791" s="1443">
        <f t="shared" si="849"/>
        <v>8.3333333333333339</v>
      </c>
      <c r="Q791" s="1436">
        <f t="shared" si="850"/>
        <v>0</v>
      </c>
      <c r="R791" s="1444">
        <f t="shared" si="851"/>
        <v>0</v>
      </c>
      <c r="S791" s="1445">
        <f t="shared" si="838"/>
        <v>21.124021384833618</v>
      </c>
      <c r="T791" s="1445">
        <f t="shared" si="839"/>
        <v>0</v>
      </c>
      <c r="U791" s="1446">
        <f t="shared" si="840"/>
        <v>250.58165548098435</v>
      </c>
      <c r="V791" s="1446">
        <f t="shared" si="841"/>
        <v>0</v>
      </c>
      <c r="W791" s="1446">
        <f t="shared" si="842"/>
        <v>0</v>
      </c>
      <c r="X791" s="1446">
        <f t="shared" si="843"/>
        <v>6.8752952321902994</v>
      </c>
      <c r="Y791" s="396"/>
      <c r="Z791" s="1447" t="str">
        <f t="shared" si="852"/>
        <v>0-PARQA</v>
      </c>
      <c r="AA791" s="1447" t="str">
        <f t="shared" si="853"/>
        <v>0-PARQE</v>
      </c>
      <c r="AB791" s="1447" t="str">
        <f t="shared" si="854"/>
        <v>0-PARQM</v>
      </c>
      <c r="AC791" s="1447" t="str">
        <f t="shared" si="855"/>
        <v>0-PARQT</v>
      </c>
      <c r="AD791" s="1447" t="str">
        <f t="shared" si="856"/>
        <v>0-PARQS</v>
      </c>
      <c r="AE791" s="1447" t="str">
        <f t="shared" si="857"/>
        <v>0-PARQX</v>
      </c>
      <c r="AF791" s="1447" t="str">
        <f t="shared" si="858"/>
        <v>0-PARQM</v>
      </c>
      <c r="AG791" s="1447">
        <f t="shared" si="844"/>
        <v>19</v>
      </c>
      <c r="AH791" s="1447">
        <f>IF(B791&lt;&gt;"",+IF(H791="x",+VLOOKUP(I791,'AUX-NIV2'!B:AG,32,FALSE),0),"")</f>
        <v>0</v>
      </c>
      <c r="AI791" s="1447" t="str">
        <f t="shared" si="859"/>
        <v>0-PARQ</v>
      </c>
      <c r="AK791" s="347">
        <f t="shared" si="845"/>
        <v>397</v>
      </c>
      <c r="AL791" s="348">
        <f t="shared" si="860"/>
        <v>415</v>
      </c>
      <c r="AM791" s="347" t="e">
        <f t="shared" si="861"/>
        <v>#REF!</v>
      </c>
      <c r="AN791" s="382">
        <f>IF(AND(AH791&gt;0,B791&lt;&gt;""),VLOOKUP(I791,'AUX-NIV2'!$B:$AP,40,FALSE)*O791,0)</f>
        <v>0</v>
      </c>
      <c r="AO791" s="382">
        <f t="shared" si="846"/>
        <v>6.5000000000000002E-2</v>
      </c>
      <c r="AQ791" s="395">
        <f>(IF($H791="x",VLOOKUP($I791,'AUX-NIV2'!$B:$X,'AUX-NIV1'!AQ$3,FALSE),0)+($AV791*'AUX-NIV3'!S$4))*$O791+IF($H791=AQ$4,$P791,0)</f>
        <v>0</v>
      </c>
      <c r="AR791" s="395">
        <f>(IF($H791="x",VLOOKUP($I791,'AUX-NIV2'!$B:$X,'AUX-NIV1'!AR$3,FALSE),0)+($AV791*'AUX-NIV3'!T$4))*$O791+IF($H791=AR$4,$P791,0)</f>
        <v>0</v>
      </c>
      <c r="AS791" s="395">
        <f>(IF($H791="x",VLOOKUP($I791,'AUX-NIV2'!$B:$X,'AUX-NIV1'!AS$3,FALSE),0)+($AV791*'AUX-NIV3'!U$4))*$O791+IF($H791=AS$4,$P791,0)</f>
        <v>8.3333333333333339</v>
      </c>
      <c r="AT791" s="395">
        <f>(IF($H791="x",VLOOKUP($I791,'AUX-NIV2'!$B:$X,'AUX-NIV1'!AT$3,FALSE),0)+($AV791*'AUX-NIV3'!V$4))*$O791+IF($H791=AT$4,$P791,0)</f>
        <v>0</v>
      </c>
      <c r="AU791" s="395">
        <f>(IF($H791="x",VLOOKUP($I791,'AUX-NIV2'!$B:$X,'AUX-NIV1'!AU$3,FALSE),0)+($AV791*'AUX-NIV3'!W$4))*$O791+IF($H791=AU$4,$P791,0)</f>
        <v>0</v>
      </c>
      <c r="AV791" s="395">
        <f>+IF($H791="x",VLOOKUP($I791,'AUX-NIV2'!$B:$X,'AUX-NIV1'!AV$3,FALSE),0)</f>
        <v>0</v>
      </c>
    </row>
    <row r="792" spans="2:48" ht="13.8" hidden="1" thickTop="1">
      <c r="B792" s="1433" t="s">
        <v>3339</v>
      </c>
      <c r="C792" s="1434" t="s">
        <v>3340</v>
      </c>
      <c r="D792" s="1435" t="s">
        <v>501</v>
      </c>
      <c r="E792" s="1436">
        <f>IF(B792&lt;&gt;"",+SUMIF(Items!C:C,'AUX-NIV1'!B792,Items!H:H),"")</f>
        <v>0</v>
      </c>
      <c r="F792" s="1436">
        <f t="shared" si="836"/>
        <v>278.58097209800826</v>
      </c>
      <c r="G792" s="1436">
        <f t="shared" si="837"/>
        <v>0</v>
      </c>
      <c r="H792" s="1437" t="str">
        <f t="shared" si="847"/>
        <v>M</v>
      </c>
      <c r="I792" s="1448" t="s">
        <v>3347</v>
      </c>
      <c r="J792" s="1438" t="str">
        <f>IF(B792&lt;&gt;"",+VLOOKUP(I792,Recursos!C:F,2,FALSE),"")</f>
        <v>STIPA TENUSSIMA</v>
      </c>
      <c r="K792" s="1439" t="str">
        <f>IF(B792&lt;&gt;"",+VLOOKUP(I792,Recursos!C:F,3,FALSE),"")</f>
        <v>Un</v>
      </c>
      <c r="L792" s="1440">
        <f>IF(B792&lt;&gt;"",+VLOOKUP(I792,Recursos!C:F,4,FALSE),"")</f>
        <v>150</v>
      </c>
      <c r="M792" s="1451"/>
      <c r="N792" s="1455">
        <v>0.02</v>
      </c>
      <c r="O792" s="1442">
        <f t="shared" ref="O792:O795" si="862">N792</f>
        <v>0.02</v>
      </c>
      <c r="P792" s="1443">
        <f t="shared" si="849"/>
        <v>3</v>
      </c>
      <c r="Q792" s="1436">
        <f t="shared" si="850"/>
        <v>0</v>
      </c>
      <c r="R792" s="1444">
        <f t="shared" si="851"/>
        <v>0</v>
      </c>
      <c r="S792" s="1445">
        <f t="shared" si="838"/>
        <v>21.124021384833618</v>
      </c>
      <c r="T792" s="1445">
        <f t="shared" si="839"/>
        <v>0</v>
      </c>
      <c r="U792" s="1446">
        <f t="shared" si="840"/>
        <v>250.58165548098435</v>
      </c>
      <c r="V792" s="1446">
        <f t="shared" si="841"/>
        <v>0</v>
      </c>
      <c r="W792" s="1446">
        <f t="shared" si="842"/>
        <v>0</v>
      </c>
      <c r="X792" s="1446">
        <f t="shared" si="843"/>
        <v>6.8752952321902994</v>
      </c>
      <c r="Y792" s="396"/>
      <c r="Z792" s="1447" t="str">
        <f t="shared" si="852"/>
        <v>0-PARQA</v>
      </c>
      <c r="AA792" s="1447" t="str">
        <f t="shared" si="853"/>
        <v>0-PARQE</v>
      </c>
      <c r="AB792" s="1447" t="str">
        <f t="shared" si="854"/>
        <v>0-PARQM</v>
      </c>
      <c r="AC792" s="1447" t="str">
        <f t="shared" si="855"/>
        <v>0-PARQT</v>
      </c>
      <c r="AD792" s="1447" t="str">
        <f t="shared" si="856"/>
        <v>0-PARQS</v>
      </c>
      <c r="AE792" s="1447" t="str">
        <f t="shared" si="857"/>
        <v>0-PARQX</v>
      </c>
      <c r="AF792" s="1447" t="str">
        <f t="shared" si="858"/>
        <v>0-PARQM</v>
      </c>
      <c r="AG792" s="1447">
        <f t="shared" si="844"/>
        <v>19</v>
      </c>
      <c r="AH792" s="1447">
        <f>IF(B792&lt;&gt;"",+IF(H792="x",+VLOOKUP(I792,'AUX-NIV2'!B:AG,32,FALSE),0),"")</f>
        <v>0</v>
      </c>
      <c r="AI792" s="1447" t="str">
        <f t="shared" si="859"/>
        <v>0-PARQ</v>
      </c>
      <c r="AK792" s="347">
        <f t="shared" si="845"/>
        <v>397</v>
      </c>
      <c r="AL792" s="348">
        <f t="shared" si="860"/>
        <v>415</v>
      </c>
      <c r="AM792" s="347" t="e">
        <f t="shared" si="861"/>
        <v>#REF!</v>
      </c>
      <c r="AN792" s="382">
        <f>IF(AND(AH792&gt;0,B792&lt;&gt;""),VLOOKUP(I792,'AUX-NIV2'!$B:$AP,40,FALSE)*O792,0)</f>
        <v>0</v>
      </c>
      <c r="AO792" s="382">
        <f t="shared" si="846"/>
        <v>6.5000000000000002E-2</v>
      </c>
      <c r="AQ792" s="395">
        <f>(IF($H792="x",VLOOKUP($I792,'AUX-NIV2'!$B:$X,'AUX-NIV1'!AQ$3,FALSE),0)+($AV792*'AUX-NIV3'!S$4))*$O792+IF($H792=AQ$4,$P792,0)</f>
        <v>0</v>
      </c>
      <c r="AR792" s="395">
        <f>(IF($H792="x",VLOOKUP($I792,'AUX-NIV2'!$B:$X,'AUX-NIV1'!AR$3,FALSE),0)+($AV792*'AUX-NIV3'!T$4))*$O792+IF($H792=AR$4,$P792,0)</f>
        <v>0</v>
      </c>
      <c r="AS792" s="395">
        <f>(IF($H792="x",VLOOKUP($I792,'AUX-NIV2'!$B:$X,'AUX-NIV1'!AS$3,FALSE),0)+($AV792*'AUX-NIV3'!U$4))*$O792+IF($H792=AS$4,$P792,0)</f>
        <v>3</v>
      </c>
      <c r="AT792" s="395">
        <f>(IF($H792="x",VLOOKUP($I792,'AUX-NIV2'!$B:$X,'AUX-NIV1'!AT$3,FALSE),0)+($AV792*'AUX-NIV3'!V$4))*$O792+IF($H792=AT$4,$P792,0)</f>
        <v>0</v>
      </c>
      <c r="AU792" s="395">
        <f>(IF($H792="x",VLOOKUP($I792,'AUX-NIV2'!$B:$X,'AUX-NIV1'!AU$3,FALSE),0)+($AV792*'AUX-NIV3'!W$4))*$O792+IF($H792=AU$4,$P792,0)</f>
        <v>0</v>
      </c>
      <c r="AV792" s="395">
        <f>+IF($H792="x",VLOOKUP($I792,'AUX-NIV2'!$B:$X,'AUX-NIV1'!AV$3,FALSE),0)</f>
        <v>0</v>
      </c>
    </row>
    <row r="793" spans="2:48" ht="13.8" hidden="1" thickTop="1">
      <c r="B793" s="1433" t="s">
        <v>3339</v>
      </c>
      <c r="C793" s="1434" t="s">
        <v>3340</v>
      </c>
      <c r="D793" s="1435" t="s">
        <v>501</v>
      </c>
      <c r="E793" s="1436">
        <f>IF(B793&lt;&gt;"",+SUMIF(Items!C:C,'AUX-NIV1'!B793,Items!H:H),"")</f>
        <v>0</v>
      </c>
      <c r="F793" s="1436">
        <f t="shared" si="836"/>
        <v>278.58097209800826</v>
      </c>
      <c r="G793" s="1436">
        <f t="shared" si="837"/>
        <v>0</v>
      </c>
      <c r="H793" s="1437" t="str">
        <f t="shared" si="847"/>
        <v>M</v>
      </c>
      <c r="I793" s="1448" t="s">
        <v>3348</v>
      </c>
      <c r="J793" s="1438" t="str">
        <f>IF(B793&lt;&gt;"",+VLOOKUP(I793,Recursos!C:F,2,FALSE),"")</f>
        <v>PASPALUM EXALTATUM</v>
      </c>
      <c r="K793" s="1439" t="str">
        <f>IF(B793&lt;&gt;"",+VLOOKUP(I793,Recursos!C:F,3,FALSE),"")</f>
        <v>Un</v>
      </c>
      <c r="L793" s="1440">
        <f>IF(B793&lt;&gt;"",+VLOOKUP(I793,Recursos!C:F,4,FALSE),"")</f>
        <v>300</v>
      </c>
      <c r="M793" s="1451"/>
      <c r="N793" s="1455">
        <v>3.3333333333333333E-2</v>
      </c>
      <c r="O793" s="1442">
        <f t="shared" si="862"/>
        <v>3.3333333333333333E-2</v>
      </c>
      <c r="P793" s="1443">
        <f t="shared" si="849"/>
        <v>10</v>
      </c>
      <c r="Q793" s="1436">
        <f t="shared" si="850"/>
        <v>0</v>
      </c>
      <c r="R793" s="1444">
        <f t="shared" si="851"/>
        <v>0</v>
      </c>
      <c r="S793" s="1445">
        <f t="shared" si="838"/>
        <v>21.124021384833618</v>
      </c>
      <c r="T793" s="1445">
        <f t="shared" si="839"/>
        <v>0</v>
      </c>
      <c r="U793" s="1446">
        <f t="shared" si="840"/>
        <v>250.58165548098435</v>
      </c>
      <c r="V793" s="1446">
        <f t="shared" si="841"/>
        <v>0</v>
      </c>
      <c r="W793" s="1446">
        <f t="shared" si="842"/>
        <v>0</v>
      </c>
      <c r="X793" s="1446">
        <f t="shared" si="843"/>
        <v>6.8752952321902994</v>
      </c>
      <c r="Y793" s="396"/>
      <c r="Z793" s="1447" t="str">
        <f t="shared" si="852"/>
        <v>0-PARQA</v>
      </c>
      <c r="AA793" s="1447" t="str">
        <f t="shared" si="853"/>
        <v>0-PARQE</v>
      </c>
      <c r="AB793" s="1447" t="str">
        <f t="shared" si="854"/>
        <v>0-PARQM</v>
      </c>
      <c r="AC793" s="1447" t="str">
        <f t="shared" si="855"/>
        <v>0-PARQT</v>
      </c>
      <c r="AD793" s="1447" t="str">
        <f t="shared" si="856"/>
        <v>0-PARQS</v>
      </c>
      <c r="AE793" s="1447" t="str">
        <f t="shared" si="857"/>
        <v>0-PARQX</v>
      </c>
      <c r="AF793" s="1447" t="str">
        <f t="shared" si="858"/>
        <v>0-PARQM</v>
      </c>
      <c r="AG793" s="1447">
        <f t="shared" si="844"/>
        <v>19</v>
      </c>
      <c r="AH793" s="1447">
        <f>IF(B793&lt;&gt;"",+IF(H793="x",+VLOOKUP(I793,'AUX-NIV2'!B:AG,32,FALSE),0),"")</f>
        <v>0</v>
      </c>
      <c r="AI793" s="1447" t="str">
        <f t="shared" si="859"/>
        <v>0-PARQ</v>
      </c>
      <c r="AK793" s="347">
        <f t="shared" si="845"/>
        <v>397</v>
      </c>
      <c r="AL793" s="348">
        <f t="shared" si="860"/>
        <v>415</v>
      </c>
      <c r="AM793" s="347" t="e">
        <f t="shared" si="861"/>
        <v>#REF!</v>
      </c>
      <c r="AN793" s="382">
        <f>IF(AND(AH793&gt;0,B793&lt;&gt;""),VLOOKUP(I793,'AUX-NIV2'!$B:$AP,40,FALSE)*O793,0)</f>
        <v>0</v>
      </c>
      <c r="AO793" s="382">
        <f t="shared" si="846"/>
        <v>6.5000000000000002E-2</v>
      </c>
      <c r="AQ793" s="395">
        <f>(IF($H793="x",VLOOKUP($I793,'AUX-NIV2'!$B:$X,'AUX-NIV1'!AQ$3,FALSE),0)+($AV793*'AUX-NIV3'!S$4))*$O793+IF($H793=AQ$4,$P793,0)</f>
        <v>0</v>
      </c>
      <c r="AR793" s="395">
        <f>(IF($H793="x",VLOOKUP($I793,'AUX-NIV2'!$B:$X,'AUX-NIV1'!AR$3,FALSE),0)+($AV793*'AUX-NIV3'!T$4))*$O793+IF($H793=AR$4,$P793,0)</f>
        <v>0</v>
      </c>
      <c r="AS793" s="395">
        <f>(IF($H793="x",VLOOKUP($I793,'AUX-NIV2'!$B:$X,'AUX-NIV1'!AS$3,FALSE),0)+($AV793*'AUX-NIV3'!U$4))*$O793+IF($H793=AS$4,$P793,0)</f>
        <v>10</v>
      </c>
      <c r="AT793" s="395">
        <f>(IF($H793="x",VLOOKUP($I793,'AUX-NIV2'!$B:$X,'AUX-NIV1'!AT$3,FALSE),0)+($AV793*'AUX-NIV3'!V$4))*$O793+IF($H793=AT$4,$P793,0)</f>
        <v>0</v>
      </c>
      <c r="AU793" s="395">
        <f>(IF($H793="x",VLOOKUP($I793,'AUX-NIV2'!$B:$X,'AUX-NIV1'!AU$3,FALSE),0)+($AV793*'AUX-NIV3'!W$4))*$O793+IF($H793=AU$4,$P793,0)</f>
        <v>0</v>
      </c>
      <c r="AV793" s="395">
        <f>+IF($H793="x",VLOOKUP($I793,'AUX-NIV2'!$B:$X,'AUX-NIV1'!AV$3,FALSE),0)</f>
        <v>0</v>
      </c>
    </row>
    <row r="794" spans="2:48" ht="13.8" hidden="1" thickTop="1">
      <c r="B794" s="1433" t="s">
        <v>3339</v>
      </c>
      <c r="C794" s="1434" t="s">
        <v>3340</v>
      </c>
      <c r="D794" s="1435" t="s">
        <v>501</v>
      </c>
      <c r="E794" s="1436">
        <f>IF(B794&lt;&gt;"",+SUMIF(Items!C:C,'AUX-NIV1'!B794,Items!H:H),"")</f>
        <v>0</v>
      </c>
      <c r="F794" s="1436">
        <f t="shared" si="836"/>
        <v>278.58097209800826</v>
      </c>
      <c r="G794" s="1436">
        <f t="shared" si="837"/>
        <v>0</v>
      </c>
      <c r="H794" s="1437" t="str">
        <f t="shared" si="847"/>
        <v>M</v>
      </c>
      <c r="I794" s="1448" t="s">
        <v>3349</v>
      </c>
      <c r="J794" s="1438" t="str">
        <f>IF(B794&lt;&gt;"",+VLOOKUP(I794,Recursos!C:F,2,FALSE),"")</f>
        <v>CACTACEAS</v>
      </c>
      <c r="K794" s="1439" t="str">
        <f>IF(B794&lt;&gt;"",+VLOOKUP(I794,Recursos!C:F,3,FALSE),"")</f>
        <v>Un</v>
      </c>
      <c r="L794" s="1440">
        <f>IF(B794&lt;&gt;"",+VLOOKUP(I794,Recursos!C:F,4,FALSE),"")</f>
        <v>200</v>
      </c>
      <c r="M794" s="1451"/>
      <c r="N794" s="1455">
        <v>3.3333333333333333E-2</v>
      </c>
      <c r="O794" s="1442">
        <f t="shared" si="862"/>
        <v>3.3333333333333333E-2</v>
      </c>
      <c r="P794" s="1443">
        <f t="shared" si="849"/>
        <v>6.666666666666667</v>
      </c>
      <c r="Q794" s="1436">
        <f t="shared" si="850"/>
        <v>0</v>
      </c>
      <c r="R794" s="1444">
        <f t="shared" si="851"/>
        <v>0</v>
      </c>
      <c r="S794" s="1445">
        <f t="shared" si="838"/>
        <v>21.124021384833618</v>
      </c>
      <c r="T794" s="1445">
        <f t="shared" si="839"/>
        <v>0</v>
      </c>
      <c r="U794" s="1446">
        <f t="shared" si="840"/>
        <v>250.58165548098435</v>
      </c>
      <c r="V794" s="1446">
        <f t="shared" si="841"/>
        <v>0</v>
      </c>
      <c r="W794" s="1446">
        <f t="shared" si="842"/>
        <v>0</v>
      </c>
      <c r="X794" s="1446">
        <f t="shared" si="843"/>
        <v>6.8752952321902994</v>
      </c>
      <c r="Y794" s="396"/>
      <c r="Z794" s="1447" t="str">
        <f t="shared" si="852"/>
        <v>0-PARQA</v>
      </c>
      <c r="AA794" s="1447" t="str">
        <f t="shared" si="853"/>
        <v>0-PARQE</v>
      </c>
      <c r="AB794" s="1447" t="str">
        <f t="shared" si="854"/>
        <v>0-PARQM</v>
      </c>
      <c r="AC794" s="1447" t="str">
        <f t="shared" si="855"/>
        <v>0-PARQT</v>
      </c>
      <c r="AD794" s="1447" t="str">
        <f t="shared" si="856"/>
        <v>0-PARQS</v>
      </c>
      <c r="AE794" s="1447" t="str">
        <f t="shared" si="857"/>
        <v>0-PARQX</v>
      </c>
      <c r="AF794" s="1447" t="str">
        <f t="shared" si="858"/>
        <v>0-PARQM</v>
      </c>
      <c r="AG794" s="1447">
        <f t="shared" si="844"/>
        <v>19</v>
      </c>
      <c r="AH794" s="1447">
        <f>IF(B794&lt;&gt;"",+IF(H794="x",+VLOOKUP(I794,'AUX-NIV2'!B:AG,32,FALSE),0),"")</f>
        <v>0</v>
      </c>
      <c r="AI794" s="1447" t="str">
        <f t="shared" si="859"/>
        <v>0-PARQ</v>
      </c>
      <c r="AK794" s="347">
        <f t="shared" si="845"/>
        <v>397</v>
      </c>
      <c r="AL794" s="348">
        <f t="shared" si="860"/>
        <v>415</v>
      </c>
      <c r="AM794" s="347" t="e">
        <f t="shared" si="861"/>
        <v>#REF!</v>
      </c>
      <c r="AN794" s="382">
        <f>IF(AND(AH794&gt;0,B794&lt;&gt;""),VLOOKUP(I794,'AUX-NIV2'!$B:$AP,40,FALSE)*O794,0)</f>
        <v>0</v>
      </c>
      <c r="AO794" s="382">
        <f t="shared" si="846"/>
        <v>6.5000000000000002E-2</v>
      </c>
      <c r="AQ794" s="395">
        <f>(IF($H794="x",VLOOKUP($I794,'AUX-NIV2'!$B:$X,'AUX-NIV1'!AQ$3,FALSE),0)+($AV794*'AUX-NIV3'!S$4))*$O794+IF($H794=AQ$4,$P794,0)</f>
        <v>0</v>
      </c>
      <c r="AR794" s="395">
        <f>(IF($H794="x",VLOOKUP($I794,'AUX-NIV2'!$B:$X,'AUX-NIV1'!AR$3,FALSE),0)+($AV794*'AUX-NIV3'!T$4))*$O794+IF($H794=AR$4,$P794,0)</f>
        <v>0</v>
      </c>
      <c r="AS794" s="395">
        <f>(IF($H794="x",VLOOKUP($I794,'AUX-NIV2'!$B:$X,'AUX-NIV1'!AS$3,FALSE),0)+($AV794*'AUX-NIV3'!U$4))*$O794+IF($H794=AS$4,$P794,0)</f>
        <v>6.666666666666667</v>
      </c>
      <c r="AT794" s="395">
        <f>(IF($H794="x",VLOOKUP($I794,'AUX-NIV2'!$B:$X,'AUX-NIV1'!AT$3,FALSE),0)+($AV794*'AUX-NIV3'!V$4))*$O794+IF($H794=AT$4,$P794,0)</f>
        <v>0</v>
      </c>
      <c r="AU794" s="395">
        <f>(IF($H794="x",VLOOKUP($I794,'AUX-NIV2'!$B:$X,'AUX-NIV1'!AU$3,FALSE),0)+($AV794*'AUX-NIV3'!W$4))*$O794+IF($H794=AU$4,$P794,0)</f>
        <v>0</v>
      </c>
      <c r="AV794" s="395">
        <f>+IF($H794="x",VLOOKUP($I794,'AUX-NIV2'!$B:$X,'AUX-NIV1'!AV$3,FALSE),0)</f>
        <v>0</v>
      </c>
    </row>
    <row r="795" spans="2:48" ht="14.4" hidden="1" thickTop="1" thickBot="1">
      <c r="B795" s="1433" t="s">
        <v>3339</v>
      </c>
      <c r="C795" s="1434" t="s">
        <v>3340</v>
      </c>
      <c r="D795" s="1435" t="s">
        <v>501</v>
      </c>
      <c r="E795" s="1436">
        <f>IF(B795&lt;&gt;"",+SUMIF(Items!C:C,'AUX-NIV1'!B795,Items!H:H),"")</f>
        <v>0</v>
      </c>
      <c r="F795" s="1436">
        <f t="shared" si="836"/>
        <v>278.58097209800826</v>
      </c>
      <c r="G795" s="1436">
        <f t="shared" si="837"/>
        <v>0</v>
      </c>
      <c r="H795" s="1437" t="str">
        <f t="shared" si="847"/>
        <v>M</v>
      </c>
      <c r="I795" s="1448" t="s">
        <v>3350</v>
      </c>
      <c r="J795" s="1438" t="str">
        <f>IF(B795&lt;&gt;"",+VLOOKUP(I795,Recursos!C:F,2,FALSE),"")</f>
        <v>CRASULASEAS</v>
      </c>
      <c r="K795" s="1439" t="str">
        <f>IF(B795&lt;&gt;"",+VLOOKUP(I795,Recursos!C:F,3,FALSE),"")</f>
        <v>Un</v>
      </c>
      <c r="L795" s="1440">
        <f>IF(B795&lt;&gt;"",+VLOOKUP(I795,Recursos!C:F,4,FALSE),"")</f>
        <v>400</v>
      </c>
      <c r="M795" s="1452"/>
      <c r="N795" s="1456">
        <v>3.3333333333333333E-2</v>
      </c>
      <c r="O795" s="1442">
        <f t="shared" si="862"/>
        <v>3.3333333333333333E-2</v>
      </c>
      <c r="P795" s="1443">
        <f t="shared" si="849"/>
        <v>13.333333333333334</v>
      </c>
      <c r="Q795" s="1436">
        <f t="shared" si="850"/>
        <v>0</v>
      </c>
      <c r="R795" s="1444">
        <f t="shared" si="851"/>
        <v>0</v>
      </c>
      <c r="S795" s="1445">
        <f t="shared" si="838"/>
        <v>21.124021384833618</v>
      </c>
      <c r="T795" s="1445">
        <f t="shared" si="839"/>
        <v>0</v>
      </c>
      <c r="U795" s="1446">
        <f t="shared" si="840"/>
        <v>250.58165548098435</v>
      </c>
      <c r="V795" s="1446">
        <f t="shared" si="841"/>
        <v>0</v>
      </c>
      <c r="W795" s="1446">
        <f t="shared" si="842"/>
        <v>0</v>
      </c>
      <c r="X795" s="1446">
        <f t="shared" si="843"/>
        <v>6.8752952321902994</v>
      </c>
      <c r="Y795" s="396"/>
      <c r="Z795" s="1447" t="str">
        <f t="shared" si="852"/>
        <v>0-PARQA</v>
      </c>
      <c r="AA795" s="1447" t="str">
        <f t="shared" si="853"/>
        <v>0-PARQE</v>
      </c>
      <c r="AB795" s="1447" t="str">
        <f t="shared" si="854"/>
        <v>0-PARQM</v>
      </c>
      <c r="AC795" s="1447" t="str">
        <f t="shared" si="855"/>
        <v>0-PARQT</v>
      </c>
      <c r="AD795" s="1447" t="str">
        <f t="shared" si="856"/>
        <v>0-PARQS</v>
      </c>
      <c r="AE795" s="1447" t="str">
        <f t="shared" si="857"/>
        <v>0-PARQX</v>
      </c>
      <c r="AF795" s="1447" t="str">
        <f t="shared" si="858"/>
        <v>0-PARQM</v>
      </c>
      <c r="AG795" s="1447">
        <f t="shared" si="844"/>
        <v>19</v>
      </c>
      <c r="AH795" s="1447">
        <f>IF(B795&lt;&gt;"",+IF(H795="x",+VLOOKUP(I795,'AUX-NIV2'!B:AG,32,FALSE),0),"")</f>
        <v>0</v>
      </c>
      <c r="AI795" s="1447" t="str">
        <f t="shared" si="859"/>
        <v>0-PARQ</v>
      </c>
      <c r="AK795" s="347">
        <f t="shared" si="845"/>
        <v>397</v>
      </c>
      <c r="AL795" s="348">
        <f t="shared" si="860"/>
        <v>415</v>
      </c>
      <c r="AM795" s="347" t="e">
        <f t="shared" si="861"/>
        <v>#REF!</v>
      </c>
      <c r="AN795" s="382">
        <f>IF(AND(AH795&gt;0,B795&lt;&gt;""),VLOOKUP(I795,'AUX-NIV2'!$B:$AP,40,FALSE)*O795,0)</f>
        <v>0</v>
      </c>
      <c r="AO795" s="382">
        <f t="shared" si="846"/>
        <v>6.5000000000000002E-2</v>
      </c>
      <c r="AQ795" s="395">
        <f>(IF($H795="x",VLOOKUP($I795,'AUX-NIV2'!$B:$X,'AUX-NIV1'!AQ$3,FALSE),0)+($AV795*'AUX-NIV3'!S$4))*$O795+IF($H795=AQ$4,$P795,0)</f>
        <v>0</v>
      </c>
      <c r="AR795" s="395">
        <f>(IF($H795="x",VLOOKUP($I795,'AUX-NIV2'!$B:$X,'AUX-NIV1'!AR$3,FALSE),0)+($AV795*'AUX-NIV3'!T$4))*$O795+IF($H795=AR$4,$P795,0)</f>
        <v>0</v>
      </c>
      <c r="AS795" s="395">
        <f>(IF($H795="x",VLOOKUP($I795,'AUX-NIV2'!$B:$X,'AUX-NIV1'!AS$3,FALSE),0)+($AV795*'AUX-NIV3'!U$4))*$O795+IF($H795=AS$4,$P795,0)</f>
        <v>13.333333333333334</v>
      </c>
      <c r="AT795" s="395">
        <f>(IF($H795="x",VLOOKUP($I795,'AUX-NIV2'!$B:$X,'AUX-NIV1'!AT$3,FALSE),0)+($AV795*'AUX-NIV3'!V$4))*$O795+IF($H795=AT$4,$P795,0)</f>
        <v>0</v>
      </c>
      <c r="AU795" s="395">
        <f>(IF($H795="x",VLOOKUP($I795,'AUX-NIV2'!$B:$X,'AUX-NIV1'!AU$3,FALSE),0)+($AV795*'AUX-NIV3'!W$4))*$O795+IF($H795=AU$4,$P795,0)</f>
        <v>0</v>
      </c>
      <c r="AV795" s="395">
        <f>+IF($H795="x",VLOOKUP($I795,'AUX-NIV2'!$B:$X,'AUX-NIV1'!AV$3,FALSE),0)</f>
        <v>0</v>
      </c>
    </row>
    <row r="796" spans="2:48" ht="14.4" hidden="1" thickTop="1" thickBot="1">
      <c r="B796" s="501" t="s">
        <v>3896</v>
      </c>
      <c r="C796" s="951" t="s">
        <v>3898</v>
      </c>
      <c r="D796" s="1280" t="s">
        <v>610</v>
      </c>
      <c r="E796" s="1281">
        <f>IF(B796&lt;&gt;"",+SUMIF(Items!C:C,'AUX-NIV1'!B796,Items!H:H),"")</f>
        <v>0</v>
      </c>
      <c r="F796" s="1281">
        <f t="shared" si="836"/>
        <v>3140.495867768595</v>
      </c>
      <c r="G796" s="1281">
        <f t="shared" si="837"/>
        <v>0</v>
      </c>
      <c r="H796" s="1395" t="str">
        <f t="shared" si="847"/>
        <v>M</v>
      </c>
      <c r="I796" s="1375" t="s">
        <v>3900</v>
      </c>
      <c r="J796" s="1283" t="str">
        <f>IF(B796&lt;&gt;"",+VLOOKUP(I796,Recursos!C:F,2,FALSE),"")</f>
        <v>ANAFE ELECTRICO 2000W</v>
      </c>
      <c r="K796" s="1284" t="str">
        <f>IF(B796&lt;&gt;"",+VLOOKUP(I796,Recursos!C:F,3,FALSE),"")</f>
        <v>Un</v>
      </c>
      <c r="L796" s="1285">
        <f>IF(B796&lt;&gt;"",+VLOOKUP(I796,Recursos!C:F,4,FALSE),"")</f>
        <v>3140.495867768595</v>
      </c>
      <c r="M796" s="1425"/>
      <c r="N796" s="1294">
        <v>1</v>
      </c>
      <c r="O796" s="1286">
        <f t="shared" si="848"/>
        <v>1</v>
      </c>
      <c r="P796" s="1287">
        <f t="shared" si="849"/>
        <v>3140.495867768595</v>
      </c>
      <c r="Q796" s="1281">
        <f t="shared" si="850"/>
        <v>0</v>
      </c>
      <c r="R796" s="1288">
        <f t="shared" si="851"/>
        <v>0</v>
      </c>
      <c r="S796" s="1289">
        <f t="shared" si="838"/>
        <v>0</v>
      </c>
      <c r="T796" s="1289">
        <f t="shared" si="839"/>
        <v>0</v>
      </c>
      <c r="U796" s="1290">
        <f t="shared" si="840"/>
        <v>3140.495867768595</v>
      </c>
      <c r="V796" s="1290">
        <f t="shared" si="841"/>
        <v>0</v>
      </c>
      <c r="W796" s="1290">
        <f t="shared" si="842"/>
        <v>0</v>
      </c>
      <c r="X796" s="1290">
        <f t="shared" si="843"/>
        <v>0</v>
      </c>
      <c r="Y796" s="396"/>
      <c r="Z796" s="1291" t="str">
        <f t="shared" si="852"/>
        <v>0-ANAFA</v>
      </c>
      <c r="AA796" s="1291" t="str">
        <f t="shared" si="853"/>
        <v>0-ANAFE</v>
      </c>
      <c r="AB796" s="1291" t="str">
        <f t="shared" si="854"/>
        <v>0-ANAFM</v>
      </c>
      <c r="AC796" s="1291" t="str">
        <f t="shared" si="855"/>
        <v>0-ANAFT</v>
      </c>
      <c r="AD796" s="1291" t="str">
        <f t="shared" si="856"/>
        <v>0-ANAFS</v>
      </c>
      <c r="AE796" s="1291" t="str">
        <f t="shared" si="857"/>
        <v>0-ANAFX</v>
      </c>
      <c r="AF796" s="1291" t="str">
        <f t="shared" si="858"/>
        <v>0-ANAFM</v>
      </c>
      <c r="AG796" s="1291">
        <f t="shared" si="844"/>
        <v>1</v>
      </c>
      <c r="AH796" s="1291">
        <f>IF(B796&lt;&gt;"",+IF(H796="x",+VLOOKUP(I796,'AUX-NIV2'!B:AG,32,FALSE),0),"")</f>
        <v>0</v>
      </c>
      <c r="AI796" s="1291" t="str">
        <f t="shared" si="859"/>
        <v>0-ANAF</v>
      </c>
      <c r="AK796" s="347">
        <f t="shared" si="845"/>
        <v>796</v>
      </c>
      <c r="AL796" s="348">
        <f t="shared" si="860"/>
        <v>796</v>
      </c>
      <c r="AM796" s="347">
        <f t="shared" si="861"/>
        <v>1</v>
      </c>
      <c r="AN796" s="382">
        <f>IF(AND(AH796&gt;0,B796&lt;&gt;""),VLOOKUP(I796,'AUX-NIV2'!$B:$AP,40,FALSE)*O796,0)</f>
        <v>0</v>
      </c>
      <c r="AO796" s="382">
        <f t="shared" si="846"/>
        <v>0</v>
      </c>
      <c r="AQ796" s="395">
        <f>(IF($H796="x",VLOOKUP($I796,'AUX-NIV2'!$B:$X,'AUX-NIV1'!AQ$3,FALSE),0)+($AV796*'AUX-NIV3'!S$4))*$O796+IF($H796=AQ$4,$P796,0)</f>
        <v>0</v>
      </c>
      <c r="AR796" s="395">
        <f>(IF($H796="x",VLOOKUP($I796,'AUX-NIV2'!$B:$X,'AUX-NIV1'!AR$3,FALSE),0)+($AV796*'AUX-NIV3'!T$4))*$O796+IF($H796=AR$4,$P796,0)</f>
        <v>0</v>
      </c>
      <c r="AS796" s="395">
        <f>(IF($H796="x",VLOOKUP($I796,'AUX-NIV2'!$B:$X,'AUX-NIV1'!AS$3,FALSE),0)+($AV796*'AUX-NIV3'!U$4))*$O796+IF($H796=AS$4,$P796,0)</f>
        <v>3140.495867768595</v>
      </c>
      <c r="AT796" s="395">
        <f>(IF($H796="x",VLOOKUP($I796,'AUX-NIV2'!$B:$X,'AUX-NIV1'!AT$3,FALSE),0)+($AV796*'AUX-NIV3'!V$4))*$O796+IF($H796=AT$4,$P796,0)</f>
        <v>0</v>
      </c>
      <c r="AU796" s="395">
        <f>(IF($H796="x",VLOOKUP($I796,'AUX-NIV2'!$B:$X,'AUX-NIV1'!AU$3,FALSE),0)+($AV796*'AUX-NIV3'!W$4))*$O796+IF($H796=AU$4,$P796,0)</f>
        <v>0</v>
      </c>
      <c r="AV796" s="395">
        <f>+IF($H796="x",VLOOKUP($I796,'AUX-NIV2'!$B:$X,'AUX-NIV1'!AV$3,FALSE),0)</f>
        <v>0</v>
      </c>
    </row>
    <row r="797" spans="2:48" ht="14.4" hidden="1" thickTop="1" thickBot="1">
      <c r="B797" s="501" t="s">
        <v>3897</v>
      </c>
      <c r="C797" s="951" t="s">
        <v>3899</v>
      </c>
      <c r="D797" s="1280" t="s">
        <v>610</v>
      </c>
      <c r="E797" s="1281">
        <f>IF(B797&lt;&gt;"",+SUMIF(Items!C:C,'AUX-NIV1'!B797,Items!H:H),"")</f>
        <v>0</v>
      </c>
      <c r="F797" s="1281">
        <f t="shared" si="836"/>
        <v>22314.049586776859</v>
      </c>
      <c r="G797" s="1281">
        <f t="shared" si="837"/>
        <v>0</v>
      </c>
      <c r="H797" s="1395" t="str">
        <f t="shared" si="847"/>
        <v>M</v>
      </c>
      <c r="I797" s="1375" t="s">
        <v>3901</v>
      </c>
      <c r="J797" s="1283" t="str">
        <f>IF(B797&lt;&gt;"",+VLOOKUP(I797,Recursos!C:F,2,FALSE),"")</f>
        <v>TERMOTANQUE ELECTRICO 55LTS</v>
      </c>
      <c r="K797" s="1284" t="str">
        <f>IF(B797&lt;&gt;"",+VLOOKUP(I797,Recursos!C:F,3,FALSE),"")</f>
        <v>Un</v>
      </c>
      <c r="L797" s="1285">
        <f>IF(B797&lt;&gt;"",+VLOOKUP(I797,Recursos!C:F,4,FALSE),"")</f>
        <v>22314.049586776859</v>
      </c>
      <c r="M797" s="1425"/>
      <c r="N797" s="1294">
        <v>1</v>
      </c>
      <c r="O797" s="1286">
        <f t="shared" si="848"/>
        <v>1</v>
      </c>
      <c r="P797" s="1287">
        <f t="shared" si="849"/>
        <v>22314.049586776859</v>
      </c>
      <c r="Q797" s="1281">
        <f t="shared" si="850"/>
        <v>0</v>
      </c>
      <c r="R797" s="1288">
        <f t="shared" si="851"/>
        <v>0</v>
      </c>
      <c r="S797" s="1289">
        <f t="shared" si="838"/>
        <v>0</v>
      </c>
      <c r="T797" s="1289">
        <f t="shared" si="839"/>
        <v>0</v>
      </c>
      <c r="U797" s="1290">
        <f t="shared" si="840"/>
        <v>22314.049586776859</v>
      </c>
      <c r="V797" s="1290">
        <f t="shared" si="841"/>
        <v>0</v>
      </c>
      <c r="W797" s="1290">
        <f t="shared" si="842"/>
        <v>0</v>
      </c>
      <c r="X797" s="1290">
        <f t="shared" si="843"/>
        <v>0</v>
      </c>
      <c r="Y797" s="396"/>
      <c r="Z797" s="1291" t="str">
        <f t="shared" si="852"/>
        <v>0-TERMA</v>
      </c>
      <c r="AA797" s="1291" t="str">
        <f t="shared" si="853"/>
        <v>0-TERME</v>
      </c>
      <c r="AB797" s="1291" t="str">
        <f t="shared" si="854"/>
        <v>0-TERMM</v>
      </c>
      <c r="AC797" s="1291" t="str">
        <f t="shared" si="855"/>
        <v>0-TERMT</v>
      </c>
      <c r="AD797" s="1291" t="str">
        <f t="shared" si="856"/>
        <v>0-TERMS</v>
      </c>
      <c r="AE797" s="1291" t="str">
        <f t="shared" si="857"/>
        <v>0-TERMX</v>
      </c>
      <c r="AF797" s="1291" t="str">
        <f t="shared" si="858"/>
        <v>0-TERMM</v>
      </c>
      <c r="AG797" s="1291">
        <f t="shared" si="844"/>
        <v>1</v>
      </c>
      <c r="AH797" s="1291">
        <f>IF(B797&lt;&gt;"",+IF(H797="x",+VLOOKUP(I797,'AUX-NIV2'!B:AG,32,FALSE),0),"")</f>
        <v>0</v>
      </c>
      <c r="AI797" s="1291" t="str">
        <f t="shared" si="859"/>
        <v>0-TERM</v>
      </c>
      <c r="AK797" s="347">
        <f t="shared" si="845"/>
        <v>797</v>
      </c>
      <c r="AL797" s="348">
        <f t="shared" si="860"/>
        <v>797</v>
      </c>
      <c r="AM797" s="347">
        <f t="shared" si="861"/>
        <v>1</v>
      </c>
      <c r="AN797" s="382">
        <f>IF(AND(AH797&gt;0,B797&lt;&gt;""),VLOOKUP(I797,'AUX-NIV2'!$B:$AP,40,FALSE)*O797,0)</f>
        <v>0</v>
      </c>
      <c r="AO797" s="382">
        <f t="shared" si="846"/>
        <v>0</v>
      </c>
      <c r="AQ797" s="395">
        <f>(IF($H797="x",VLOOKUP($I797,'AUX-NIV2'!$B:$X,'AUX-NIV1'!AQ$3,FALSE),0)+($AV797*'AUX-NIV3'!S$4))*$O797+IF($H797=AQ$4,$P797,0)</f>
        <v>0</v>
      </c>
      <c r="AR797" s="395">
        <f>(IF($H797="x",VLOOKUP($I797,'AUX-NIV2'!$B:$X,'AUX-NIV1'!AR$3,FALSE),0)+($AV797*'AUX-NIV3'!T$4))*$O797+IF($H797=AR$4,$P797,0)</f>
        <v>0</v>
      </c>
      <c r="AS797" s="395">
        <f>(IF($H797="x",VLOOKUP($I797,'AUX-NIV2'!$B:$X,'AUX-NIV1'!AS$3,FALSE),0)+($AV797*'AUX-NIV3'!U$4))*$O797+IF($H797=AS$4,$P797,0)</f>
        <v>22314.049586776859</v>
      </c>
      <c r="AT797" s="395">
        <f>(IF($H797="x",VLOOKUP($I797,'AUX-NIV2'!$B:$X,'AUX-NIV1'!AT$3,FALSE),0)+($AV797*'AUX-NIV3'!V$4))*$O797+IF($H797=AT$4,$P797,0)</f>
        <v>0</v>
      </c>
      <c r="AU797" s="395">
        <f>(IF($H797="x",VLOOKUP($I797,'AUX-NIV2'!$B:$X,'AUX-NIV1'!AU$3,FALSE),0)+($AV797*'AUX-NIV3'!W$4))*$O797+IF($H797=AU$4,$P797,0)</f>
        <v>0</v>
      </c>
      <c r="AV797" s="395">
        <f>+IF($H797="x",VLOOKUP($I797,'AUX-NIV2'!$B:$X,'AUX-NIV1'!AV$3,FALSE),0)</f>
        <v>0</v>
      </c>
    </row>
    <row r="798" spans="2:48" ht="14.4" hidden="1" thickTop="1" thickBot="1">
      <c r="B798" s="501" t="s">
        <v>3904</v>
      </c>
      <c r="C798" s="951" t="s">
        <v>3905</v>
      </c>
      <c r="D798" s="1280" t="s">
        <v>610</v>
      </c>
      <c r="E798" s="1281">
        <f>IF(B798&lt;&gt;"",+SUMIF(Items!C:C,'AUX-NIV1'!B798,Items!H:H),"")</f>
        <v>0</v>
      </c>
      <c r="F798" s="1281">
        <f t="shared" si="836"/>
        <v>7300.2754820936643</v>
      </c>
      <c r="G798" s="1281">
        <f t="shared" si="837"/>
        <v>0</v>
      </c>
      <c r="H798" s="1395" t="str">
        <f t="shared" si="847"/>
        <v>M</v>
      </c>
      <c r="I798" s="1375" t="s">
        <v>3906</v>
      </c>
      <c r="J798" s="1283" t="str">
        <f>IF(B798&lt;&gt;"",+VLOOKUP(I798,Recursos!C:F,2,FALSE),"")</f>
        <v>BICICLETERO</v>
      </c>
      <c r="K798" s="1284" t="str">
        <f>IF(B798&lt;&gt;"",+VLOOKUP(I798,Recursos!C:F,3,FALSE),"")</f>
        <v>Un</v>
      </c>
      <c r="L798" s="1285">
        <f>IF(B798&lt;&gt;"",+VLOOKUP(I798,Recursos!C:F,4,FALSE),"")</f>
        <v>7300.2754820936643</v>
      </c>
      <c r="M798" s="1425"/>
      <c r="N798" s="1294">
        <v>1</v>
      </c>
      <c r="O798" s="1286">
        <f t="shared" si="848"/>
        <v>1</v>
      </c>
      <c r="P798" s="1287">
        <f t="shared" si="849"/>
        <v>7300.2754820936643</v>
      </c>
      <c r="Q798" s="1281">
        <f t="shared" si="850"/>
        <v>0</v>
      </c>
      <c r="R798" s="1288">
        <f t="shared" si="851"/>
        <v>0</v>
      </c>
      <c r="S798" s="1289">
        <f t="shared" si="838"/>
        <v>0</v>
      </c>
      <c r="T798" s="1289">
        <f t="shared" si="839"/>
        <v>0</v>
      </c>
      <c r="U798" s="1290">
        <f t="shared" si="840"/>
        <v>7300.2754820936643</v>
      </c>
      <c r="V798" s="1290">
        <f t="shared" si="841"/>
        <v>0</v>
      </c>
      <c r="W798" s="1290">
        <f t="shared" si="842"/>
        <v>0</v>
      </c>
      <c r="X798" s="1290">
        <f t="shared" si="843"/>
        <v>0</v>
      </c>
      <c r="Y798" s="396"/>
      <c r="Z798" s="1291" t="str">
        <f t="shared" si="852"/>
        <v>0-BICICLA</v>
      </c>
      <c r="AA798" s="1291" t="str">
        <f t="shared" si="853"/>
        <v>0-BICICLE</v>
      </c>
      <c r="AB798" s="1291" t="str">
        <f t="shared" si="854"/>
        <v>0-BICICLM</v>
      </c>
      <c r="AC798" s="1291" t="str">
        <f t="shared" si="855"/>
        <v>0-BICICLT</v>
      </c>
      <c r="AD798" s="1291" t="str">
        <f t="shared" si="856"/>
        <v>0-BICICLS</v>
      </c>
      <c r="AE798" s="1291" t="str">
        <f t="shared" si="857"/>
        <v>0-BICICLX</v>
      </c>
      <c r="AF798" s="1291" t="str">
        <f t="shared" si="858"/>
        <v>0-BICICLM</v>
      </c>
      <c r="AG798" s="1291">
        <f t="shared" si="844"/>
        <v>1</v>
      </c>
      <c r="AH798" s="1291">
        <f>IF(B798&lt;&gt;"",+IF(H798="x",+VLOOKUP(I798,'AUX-NIV2'!B:AG,32,FALSE),0),"")</f>
        <v>0</v>
      </c>
      <c r="AI798" s="1291" t="str">
        <f t="shared" si="859"/>
        <v>0-BICICL</v>
      </c>
      <c r="AK798" s="347">
        <f t="shared" si="845"/>
        <v>798</v>
      </c>
      <c r="AL798" s="348">
        <f t="shared" si="860"/>
        <v>798</v>
      </c>
      <c r="AM798" s="347">
        <f t="shared" si="861"/>
        <v>1</v>
      </c>
      <c r="AN798" s="382">
        <f>IF(AND(AH798&gt;0,B798&lt;&gt;""),VLOOKUP(I798,'AUX-NIV2'!$B:$AP,40,FALSE)*O798,0)</f>
        <v>0</v>
      </c>
      <c r="AO798" s="382">
        <f t="shared" si="846"/>
        <v>0</v>
      </c>
      <c r="AQ798" s="395">
        <f>(IF($H798="x",VLOOKUP($I798,'AUX-NIV2'!$B:$X,'AUX-NIV1'!AQ$3,FALSE),0)+($AV798*'AUX-NIV3'!S$4))*$O798+IF($H798=AQ$4,$P798,0)</f>
        <v>0</v>
      </c>
      <c r="AR798" s="395">
        <f>(IF($H798="x",VLOOKUP($I798,'AUX-NIV2'!$B:$X,'AUX-NIV1'!AR$3,FALSE),0)+($AV798*'AUX-NIV3'!T$4))*$O798+IF($H798=AR$4,$P798,0)</f>
        <v>0</v>
      </c>
      <c r="AS798" s="395">
        <f>(IF($H798="x",VLOOKUP($I798,'AUX-NIV2'!$B:$X,'AUX-NIV1'!AS$3,FALSE),0)+($AV798*'AUX-NIV3'!U$4))*$O798+IF($H798=AS$4,$P798,0)</f>
        <v>7300.2754820936643</v>
      </c>
      <c r="AT798" s="395">
        <f>(IF($H798="x",VLOOKUP($I798,'AUX-NIV2'!$B:$X,'AUX-NIV1'!AT$3,FALSE),0)+($AV798*'AUX-NIV3'!V$4))*$O798+IF($H798=AT$4,$P798,0)</f>
        <v>0</v>
      </c>
      <c r="AU798" s="395">
        <f>(IF($H798="x",VLOOKUP($I798,'AUX-NIV2'!$B:$X,'AUX-NIV1'!AU$3,FALSE),0)+($AV798*'AUX-NIV3'!W$4))*$O798+IF($H798=AU$4,$P798,0)</f>
        <v>0</v>
      </c>
      <c r="AV798" s="395">
        <f>+IF($H798="x",VLOOKUP($I798,'AUX-NIV2'!$B:$X,'AUX-NIV1'!AV$3,FALSE),0)</f>
        <v>0</v>
      </c>
    </row>
    <row r="799" spans="2:48" ht="13.8" hidden="1" thickTop="1">
      <c r="B799" s="501" t="s">
        <v>3908</v>
      </c>
      <c r="C799" s="951" t="s">
        <v>3874</v>
      </c>
      <c r="D799" s="1280" t="s">
        <v>610</v>
      </c>
      <c r="E799" s="1281">
        <f>IF(B799&lt;&gt;"",+SUMIF(Items!C:C,'AUX-NIV1'!B799,Items!H:H),"")</f>
        <v>0</v>
      </c>
      <c r="F799" s="1281">
        <f t="shared" si="836"/>
        <v>30094.145703249596</v>
      </c>
      <c r="G799" s="1281">
        <f t="shared" si="837"/>
        <v>0</v>
      </c>
      <c r="H799" s="1395" t="str">
        <f t="shared" si="847"/>
        <v>S</v>
      </c>
      <c r="I799" s="1375" t="s">
        <v>3909</v>
      </c>
      <c r="J799" s="1283" t="str">
        <f>IF(B799&lt;&gt;"",+VLOOKUP(I799,Recursos!C:F,2,FALSE),"")</f>
        <v>DESAGOTE DE POZO</v>
      </c>
      <c r="K799" s="1284" t="str">
        <f>IF(B799&lt;&gt;"",+VLOOKUP(I799,Recursos!C:F,3,FALSE),"")</f>
        <v>Gl</v>
      </c>
      <c r="L799" s="1285">
        <f>IF(B799&lt;&gt;"",+VLOOKUP(I799,Recursos!C:F,4,FALSE),"")</f>
        <v>5000</v>
      </c>
      <c r="M799" s="743"/>
      <c r="N799" s="1292">
        <v>1</v>
      </c>
      <c r="O799" s="1286">
        <f t="shared" si="848"/>
        <v>1</v>
      </c>
      <c r="P799" s="1287">
        <f t="shared" si="849"/>
        <v>5000</v>
      </c>
      <c r="Q799" s="1281">
        <f t="shared" si="850"/>
        <v>0</v>
      </c>
      <c r="R799" s="1288">
        <f t="shared" si="851"/>
        <v>0</v>
      </c>
      <c r="S799" s="1289">
        <f t="shared" si="838"/>
        <v>6759.6868431467574</v>
      </c>
      <c r="T799" s="1289">
        <f t="shared" si="839"/>
        <v>0</v>
      </c>
      <c r="U799" s="1290">
        <f t="shared" si="840"/>
        <v>18334.458860102841</v>
      </c>
      <c r="V799" s="1290">
        <f t="shared" si="841"/>
        <v>0</v>
      </c>
      <c r="W799" s="1290">
        <f t="shared" si="842"/>
        <v>5000</v>
      </c>
      <c r="X799" s="1290">
        <f t="shared" si="843"/>
        <v>0</v>
      </c>
      <c r="Y799" s="396"/>
      <c r="Z799" s="1291" t="str">
        <f t="shared" si="852"/>
        <v>0-CEGPOZA</v>
      </c>
      <c r="AA799" s="1291" t="str">
        <f t="shared" si="853"/>
        <v>0-CEGPOZE</v>
      </c>
      <c r="AB799" s="1291" t="str">
        <f t="shared" si="854"/>
        <v>0-CEGPOZM</v>
      </c>
      <c r="AC799" s="1291" t="str">
        <f t="shared" si="855"/>
        <v>0-CEGPOZT</v>
      </c>
      <c r="AD799" s="1291" t="str">
        <f t="shared" si="856"/>
        <v>0-CEGPOZS</v>
      </c>
      <c r="AE799" s="1291" t="str">
        <f t="shared" si="857"/>
        <v>0-CEGPOZX</v>
      </c>
      <c r="AF799" s="1291" t="str">
        <f t="shared" si="858"/>
        <v>0-CEGPOZS</v>
      </c>
      <c r="AG799" s="1291">
        <f t="shared" si="844"/>
        <v>5</v>
      </c>
      <c r="AH799" s="1291">
        <f>IF(B799&lt;&gt;"",+IF(H799="x",+VLOOKUP(I799,'AUX-NIV2'!B:AG,32,FALSE),0),"")</f>
        <v>0</v>
      </c>
      <c r="AI799" s="1291" t="str">
        <f t="shared" si="859"/>
        <v>0-CEGPOZ</v>
      </c>
      <c r="AK799" s="347">
        <f t="shared" si="845"/>
        <v>799</v>
      </c>
      <c r="AL799" s="348">
        <f t="shared" si="860"/>
        <v>803</v>
      </c>
      <c r="AM799" s="347">
        <f t="shared" si="861"/>
        <v>1</v>
      </c>
      <c r="AN799" s="382">
        <f>IF(AND(AH799&gt;0,B799&lt;&gt;""),VLOOKUP(I799,'AUX-NIV2'!$B:$AP,40,FALSE)*O799,0)</f>
        <v>0</v>
      </c>
      <c r="AO799" s="382">
        <f t="shared" si="846"/>
        <v>16</v>
      </c>
      <c r="AQ799" s="395">
        <f>(IF($H799="x",VLOOKUP($I799,'AUX-NIV2'!$B:$X,'AUX-NIV1'!AQ$3,FALSE),0)+($AV799*'AUX-NIV3'!S$4))*$O799+IF($H799=AQ$4,$P799,0)</f>
        <v>0</v>
      </c>
      <c r="AR799" s="395">
        <f>(IF($H799="x",VLOOKUP($I799,'AUX-NIV2'!$B:$X,'AUX-NIV1'!AR$3,FALSE),0)+($AV799*'AUX-NIV3'!T$4))*$O799+IF($H799=AR$4,$P799,0)</f>
        <v>0</v>
      </c>
      <c r="AS799" s="395">
        <f>(IF($H799="x",VLOOKUP($I799,'AUX-NIV2'!$B:$X,'AUX-NIV1'!AS$3,FALSE),0)+($AV799*'AUX-NIV3'!U$4))*$O799+IF($H799=AS$4,$P799,0)</f>
        <v>0</v>
      </c>
      <c r="AT799" s="395">
        <f>(IF($H799="x",VLOOKUP($I799,'AUX-NIV2'!$B:$X,'AUX-NIV1'!AT$3,FALSE),0)+($AV799*'AUX-NIV3'!V$4))*$O799+IF($H799=AT$4,$P799,0)</f>
        <v>0</v>
      </c>
      <c r="AU799" s="395">
        <f>(IF($H799="x",VLOOKUP($I799,'AUX-NIV2'!$B:$X,'AUX-NIV1'!AU$3,FALSE),0)+($AV799*'AUX-NIV3'!W$4))*$O799+IF($H799=AU$4,$P799,0)</f>
        <v>5000</v>
      </c>
      <c r="AV799" s="395">
        <f>+IF($H799="x",VLOOKUP($I799,'AUX-NIV2'!$B:$X,'AUX-NIV1'!AV$3,FALSE),0)</f>
        <v>0</v>
      </c>
    </row>
    <row r="800" spans="2:48" ht="13.8" hidden="1" thickTop="1">
      <c r="B800" s="501" t="s">
        <v>3908</v>
      </c>
      <c r="C800" s="951" t="s">
        <v>3874</v>
      </c>
      <c r="D800" s="1280" t="s">
        <v>610</v>
      </c>
      <c r="E800" s="1281">
        <f>IF(B800&lt;&gt;"",+SUMIF(Items!C:C,'AUX-NIV1'!B800,Items!H:H),"")</f>
        <v>0</v>
      </c>
      <c r="F800" s="1281">
        <f t="shared" si="836"/>
        <v>30094.145703249596</v>
      </c>
      <c r="G800" s="1281">
        <f t="shared" si="837"/>
        <v>0</v>
      </c>
      <c r="H800" s="1395" t="str">
        <f t="shared" si="847"/>
        <v>M</v>
      </c>
      <c r="I800" s="1375" t="s">
        <v>1900</v>
      </c>
      <c r="J800" s="1283" t="str">
        <f>IF(B800&lt;&gt;"",+VLOOKUP(I800,Recursos!C:F,2,FALSE),"")</f>
        <v>CAL HIDRATADA (BOLSA 20Kg)</v>
      </c>
      <c r="K800" s="1284" t="str">
        <f>IF(B800&lt;&gt;"",+VLOOKUP(I800,Recursos!C:F,3,FALSE),"")</f>
        <v>Un</v>
      </c>
      <c r="L800" s="1285">
        <f>IF(B800&lt;&gt;"",+VLOOKUP(I800,Recursos!C:F,4,FALSE),"")</f>
        <v>247.18</v>
      </c>
      <c r="M800" s="1404"/>
      <c r="N800" s="1453">
        <v>3</v>
      </c>
      <c r="O800" s="1286">
        <f t="shared" si="848"/>
        <v>3</v>
      </c>
      <c r="P800" s="1287">
        <f t="shared" si="849"/>
        <v>741.54</v>
      </c>
      <c r="Q800" s="1281">
        <f t="shared" si="850"/>
        <v>0</v>
      </c>
      <c r="R800" s="1288">
        <f t="shared" si="851"/>
        <v>0</v>
      </c>
      <c r="S800" s="1289">
        <f t="shared" si="838"/>
        <v>6759.6868431467574</v>
      </c>
      <c r="T800" s="1289">
        <f t="shared" si="839"/>
        <v>0</v>
      </c>
      <c r="U800" s="1290">
        <f t="shared" si="840"/>
        <v>18334.458860102841</v>
      </c>
      <c r="V800" s="1290">
        <f t="shared" si="841"/>
        <v>0</v>
      </c>
      <c r="W800" s="1290">
        <f t="shared" si="842"/>
        <v>5000</v>
      </c>
      <c r="X800" s="1290">
        <f t="shared" si="843"/>
        <v>0</v>
      </c>
      <c r="Y800" s="396"/>
      <c r="Z800" s="1291" t="str">
        <f t="shared" si="852"/>
        <v>0-CEGPOZA</v>
      </c>
      <c r="AA800" s="1291" t="str">
        <f t="shared" si="853"/>
        <v>0-CEGPOZE</v>
      </c>
      <c r="AB800" s="1291" t="str">
        <f t="shared" si="854"/>
        <v>0-CEGPOZM</v>
      </c>
      <c r="AC800" s="1291" t="str">
        <f t="shared" si="855"/>
        <v>0-CEGPOZT</v>
      </c>
      <c r="AD800" s="1291" t="str">
        <f t="shared" si="856"/>
        <v>0-CEGPOZS</v>
      </c>
      <c r="AE800" s="1291" t="str">
        <f t="shared" si="857"/>
        <v>0-CEGPOZX</v>
      </c>
      <c r="AF800" s="1291" t="str">
        <f t="shared" si="858"/>
        <v>0-CEGPOZM</v>
      </c>
      <c r="AG800" s="1291">
        <f t="shared" si="844"/>
        <v>5</v>
      </c>
      <c r="AH800" s="1291">
        <f>IF(B800&lt;&gt;"",+IF(H800="x",+VLOOKUP(I800,'AUX-NIV2'!B:AG,32,FALSE),0),"")</f>
        <v>0</v>
      </c>
      <c r="AI800" s="1291" t="str">
        <f t="shared" si="859"/>
        <v>0-CEGPOZ</v>
      </c>
      <c r="AK800" s="347">
        <f t="shared" si="845"/>
        <v>799</v>
      </c>
      <c r="AL800" s="348">
        <f t="shared" si="860"/>
        <v>803</v>
      </c>
      <c r="AM800" s="347">
        <f t="shared" si="861"/>
        <v>2</v>
      </c>
      <c r="AN800" s="382">
        <f>IF(AND(AH800&gt;0,B800&lt;&gt;""),VLOOKUP(I800,'AUX-NIV2'!$B:$AP,40,FALSE)*O800,0)</f>
        <v>0</v>
      </c>
      <c r="AO800" s="382">
        <f t="shared" si="846"/>
        <v>16</v>
      </c>
      <c r="AQ800" s="395">
        <f>(IF($H800="x",VLOOKUP($I800,'AUX-NIV2'!$B:$X,'AUX-NIV1'!AQ$3,FALSE),0)+($AV800*'AUX-NIV3'!S$4))*$O800+IF($H800=AQ$4,$P800,0)</f>
        <v>0</v>
      </c>
      <c r="AR800" s="395">
        <f>(IF($H800="x",VLOOKUP($I800,'AUX-NIV2'!$B:$X,'AUX-NIV1'!AR$3,FALSE),0)+($AV800*'AUX-NIV3'!T$4))*$O800+IF($H800=AR$4,$P800,0)</f>
        <v>0</v>
      </c>
      <c r="AS800" s="395">
        <f>(IF($H800="x",VLOOKUP($I800,'AUX-NIV2'!$B:$X,'AUX-NIV1'!AS$3,FALSE),0)+($AV800*'AUX-NIV3'!U$4))*$O800+IF($H800=AS$4,$P800,0)</f>
        <v>741.54</v>
      </c>
      <c r="AT800" s="395">
        <f>(IF($H800="x",VLOOKUP($I800,'AUX-NIV2'!$B:$X,'AUX-NIV1'!AT$3,FALSE),0)+($AV800*'AUX-NIV3'!V$4))*$O800+IF($H800=AT$4,$P800,0)</f>
        <v>0</v>
      </c>
      <c r="AU800" s="395">
        <f>(IF($H800="x",VLOOKUP($I800,'AUX-NIV2'!$B:$X,'AUX-NIV1'!AU$3,FALSE),0)+($AV800*'AUX-NIV3'!W$4))*$O800+IF($H800=AU$4,$P800,0)</f>
        <v>0</v>
      </c>
      <c r="AV800" s="395">
        <f>+IF($H800="x",VLOOKUP($I800,'AUX-NIV2'!$B:$X,'AUX-NIV1'!AV$3,FALSE),0)</f>
        <v>0</v>
      </c>
    </row>
    <row r="801" spans="2:48" ht="13.8" hidden="1" thickTop="1">
      <c r="B801" s="501" t="s">
        <v>3908</v>
      </c>
      <c r="C801" s="951" t="s">
        <v>3874</v>
      </c>
      <c r="D801" s="1280" t="s">
        <v>610</v>
      </c>
      <c r="E801" s="1281">
        <f>IF(B801&lt;&gt;"",+SUMIF(Items!C:C,'AUX-NIV1'!B801,Items!H:H),"")</f>
        <v>0</v>
      </c>
      <c r="F801" s="1281">
        <f t="shared" si="836"/>
        <v>30094.145703249596</v>
      </c>
      <c r="G801" s="1281">
        <f t="shared" si="837"/>
        <v>0</v>
      </c>
      <c r="H801" s="1395" t="str">
        <f t="shared" si="847"/>
        <v>M</v>
      </c>
      <c r="I801" s="1375" t="s">
        <v>1768</v>
      </c>
      <c r="J801" s="1283" t="str">
        <f>IF(B801&lt;&gt;"",+VLOOKUP(I801,Recursos!C:F,2,FALSE),"")</f>
        <v>AGREGADO CLASIFICADO</v>
      </c>
      <c r="K801" s="1284" t="str">
        <f>IF(B801&lt;&gt;"",+VLOOKUP(I801,Recursos!C:F,3,FALSE),"")</f>
        <v>Tn</v>
      </c>
      <c r="L801" s="1285">
        <f>IF(B801&lt;&gt;"",+VLOOKUP(I801,Recursos!C:F,4,FALSE),"")</f>
        <v>700</v>
      </c>
      <c r="M801" s="1404"/>
      <c r="N801" s="1453">
        <f>PI()*2^2/4*8</f>
        <v>25.132741228718345</v>
      </c>
      <c r="O801" s="1286">
        <f t="shared" si="848"/>
        <v>25.132741228718345</v>
      </c>
      <c r="P801" s="1287">
        <f t="shared" si="849"/>
        <v>17592.91886010284</v>
      </c>
      <c r="Q801" s="1281">
        <f t="shared" si="850"/>
        <v>0</v>
      </c>
      <c r="R801" s="1288">
        <f t="shared" si="851"/>
        <v>0</v>
      </c>
      <c r="S801" s="1289">
        <f t="shared" si="838"/>
        <v>6759.6868431467574</v>
      </c>
      <c r="T801" s="1289">
        <f t="shared" si="839"/>
        <v>0</v>
      </c>
      <c r="U801" s="1290">
        <f t="shared" si="840"/>
        <v>18334.458860102841</v>
      </c>
      <c r="V801" s="1290">
        <f t="shared" si="841"/>
        <v>0</v>
      </c>
      <c r="W801" s="1290">
        <f t="shared" si="842"/>
        <v>5000</v>
      </c>
      <c r="X801" s="1290">
        <f t="shared" si="843"/>
        <v>0</v>
      </c>
      <c r="Y801" s="396"/>
      <c r="Z801" s="1291" t="str">
        <f t="shared" si="852"/>
        <v>0-CEGPOZA</v>
      </c>
      <c r="AA801" s="1291" t="str">
        <f t="shared" si="853"/>
        <v>0-CEGPOZE</v>
      </c>
      <c r="AB801" s="1291" t="str">
        <f t="shared" si="854"/>
        <v>0-CEGPOZM</v>
      </c>
      <c r="AC801" s="1291" t="str">
        <f t="shared" si="855"/>
        <v>0-CEGPOZT</v>
      </c>
      <c r="AD801" s="1291" t="str">
        <f t="shared" si="856"/>
        <v>0-CEGPOZS</v>
      </c>
      <c r="AE801" s="1291" t="str">
        <f t="shared" si="857"/>
        <v>0-CEGPOZX</v>
      </c>
      <c r="AF801" s="1291" t="str">
        <f t="shared" si="858"/>
        <v>0-CEGPOZM</v>
      </c>
      <c r="AG801" s="1291">
        <f t="shared" si="844"/>
        <v>5</v>
      </c>
      <c r="AH801" s="1291">
        <f>IF(B801&lt;&gt;"",+IF(H801="x",+VLOOKUP(I801,'AUX-NIV2'!B:AG,32,FALSE),0),"")</f>
        <v>0</v>
      </c>
      <c r="AI801" s="1291" t="str">
        <f t="shared" si="859"/>
        <v>0-CEGPOZ</v>
      </c>
      <c r="AK801" s="347">
        <f t="shared" si="845"/>
        <v>799</v>
      </c>
      <c r="AL801" s="348">
        <f t="shared" si="860"/>
        <v>803</v>
      </c>
      <c r="AM801" s="347">
        <f t="shared" si="861"/>
        <v>3</v>
      </c>
      <c r="AN801" s="382">
        <f>IF(AND(AH801&gt;0,B801&lt;&gt;""),VLOOKUP(I801,'AUX-NIV2'!$B:$AP,40,FALSE)*O801,0)</f>
        <v>0</v>
      </c>
      <c r="AO801" s="382">
        <f t="shared" si="846"/>
        <v>16</v>
      </c>
      <c r="AQ801" s="395">
        <f>(IF($H801="x",VLOOKUP($I801,'AUX-NIV2'!$B:$X,'AUX-NIV1'!AQ$3,FALSE),0)+($AV801*'AUX-NIV3'!S$4))*$O801+IF($H801=AQ$4,$P801,0)</f>
        <v>0</v>
      </c>
      <c r="AR801" s="395">
        <f>(IF($H801="x",VLOOKUP($I801,'AUX-NIV2'!$B:$X,'AUX-NIV1'!AR$3,FALSE),0)+($AV801*'AUX-NIV3'!T$4))*$O801+IF($H801=AR$4,$P801,0)</f>
        <v>0</v>
      </c>
      <c r="AS801" s="395">
        <f>(IF($H801="x",VLOOKUP($I801,'AUX-NIV2'!$B:$X,'AUX-NIV1'!AS$3,FALSE),0)+($AV801*'AUX-NIV3'!U$4))*$O801+IF($H801=AS$4,$P801,0)</f>
        <v>17592.91886010284</v>
      </c>
      <c r="AT801" s="395">
        <f>(IF($H801="x",VLOOKUP($I801,'AUX-NIV2'!$B:$X,'AUX-NIV1'!AT$3,FALSE),0)+($AV801*'AUX-NIV3'!V$4))*$O801+IF($H801=AT$4,$P801,0)</f>
        <v>0</v>
      </c>
      <c r="AU801" s="395">
        <f>(IF($H801="x",VLOOKUP($I801,'AUX-NIV2'!$B:$X,'AUX-NIV1'!AU$3,FALSE),0)+($AV801*'AUX-NIV3'!W$4))*$O801+IF($H801=AU$4,$P801,0)</f>
        <v>0</v>
      </c>
      <c r="AV801" s="395">
        <f>+IF($H801="x",VLOOKUP($I801,'AUX-NIV2'!$B:$X,'AUX-NIV1'!AV$3,FALSE),0)</f>
        <v>0</v>
      </c>
    </row>
    <row r="802" spans="2:48" ht="13.8" hidden="1" thickTop="1">
      <c r="B802" s="501" t="s">
        <v>3908</v>
      </c>
      <c r="C802" s="951" t="s">
        <v>3874</v>
      </c>
      <c r="D802" s="1280" t="s">
        <v>610</v>
      </c>
      <c r="E802" s="1281">
        <f>IF(B802&lt;&gt;"",+SUMIF(Items!C:C,'AUX-NIV1'!B802,Items!H:H),"")</f>
        <v>0</v>
      </c>
      <c r="F802" s="1281">
        <f t="shared" si="836"/>
        <v>30094.145703249596</v>
      </c>
      <c r="G802" s="1281">
        <f t="shared" si="837"/>
        <v>0</v>
      </c>
      <c r="H802" s="1395" t="str">
        <f t="shared" si="847"/>
        <v>A</v>
      </c>
      <c r="I802" s="1375" t="s">
        <v>1745</v>
      </c>
      <c r="J802" s="1283" t="str">
        <f>IF(B802&lt;&gt;"",+VLOOKUP(I802,Recursos!C:F,2,FALSE),"")</f>
        <v>AYUDANTE</v>
      </c>
      <c r="K802" s="1284" t="str">
        <f>IF(B802&lt;&gt;"",+VLOOKUP(I802,Recursos!C:F,3,FALSE),"")</f>
        <v>hh</v>
      </c>
      <c r="L802" s="1285">
        <f>IF(B802&lt;&gt;"",+VLOOKUP(I802,Recursos!C:F,4,FALSE),"")</f>
        <v>422.48042769667234</v>
      </c>
      <c r="M802" s="1399">
        <v>2</v>
      </c>
      <c r="N802" s="1453">
        <v>8</v>
      </c>
      <c r="O802" s="1286">
        <f>N802*M802</f>
        <v>16</v>
      </c>
      <c r="P802" s="1287">
        <f t="shared" si="849"/>
        <v>6759.6868431467574</v>
      </c>
      <c r="Q802" s="1281">
        <f t="shared" si="850"/>
        <v>0</v>
      </c>
      <c r="R802" s="1288">
        <f t="shared" si="851"/>
        <v>0</v>
      </c>
      <c r="S802" s="1289">
        <f t="shared" si="838"/>
        <v>6759.6868431467574</v>
      </c>
      <c r="T802" s="1289">
        <f t="shared" si="839"/>
        <v>0</v>
      </c>
      <c r="U802" s="1290">
        <f t="shared" si="840"/>
        <v>18334.458860102841</v>
      </c>
      <c r="V802" s="1290">
        <f t="shared" si="841"/>
        <v>0</v>
      </c>
      <c r="W802" s="1290">
        <f t="shared" si="842"/>
        <v>5000</v>
      </c>
      <c r="X802" s="1290">
        <f t="shared" si="843"/>
        <v>0</v>
      </c>
      <c r="Y802" s="396"/>
      <c r="Z802" s="1291" t="str">
        <f t="shared" si="852"/>
        <v>0-CEGPOZA</v>
      </c>
      <c r="AA802" s="1291" t="str">
        <f t="shared" si="853"/>
        <v>0-CEGPOZE</v>
      </c>
      <c r="AB802" s="1291" t="str">
        <f t="shared" si="854"/>
        <v>0-CEGPOZM</v>
      </c>
      <c r="AC802" s="1291" t="str">
        <f t="shared" si="855"/>
        <v>0-CEGPOZT</v>
      </c>
      <c r="AD802" s="1291" t="str">
        <f t="shared" si="856"/>
        <v>0-CEGPOZS</v>
      </c>
      <c r="AE802" s="1291" t="str">
        <f t="shared" si="857"/>
        <v>0-CEGPOZX</v>
      </c>
      <c r="AF802" s="1291" t="str">
        <f t="shared" si="858"/>
        <v>0-CEGPOZA</v>
      </c>
      <c r="AG802" s="1291">
        <f t="shared" si="844"/>
        <v>5</v>
      </c>
      <c r="AH802" s="1291">
        <f>IF(B802&lt;&gt;"",+IF(H802="x",+VLOOKUP(I802,'AUX-NIV2'!B:AG,32,FALSE),0),"")</f>
        <v>0</v>
      </c>
      <c r="AI802" s="1291" t="str">
        <f t="shared" si="859"/>
        <v>0-CEGPOZ</v>
      </c>
      <c r="AK802" s="347">
        <f t="shared" si="845"/>
        <v>799</v>
      </c>
      <c r="AL802" s="348">
        <f t="shared" si="860"/>
        <v>803</v>
      </c>
      <c r="AM802" s="347">
        <f t="shared" si="861"/>
        <v>4</v>
      </c>
      <c r="AN802" s="382">
        <f>IF(AND(AH802&gt;0,B802&lt;&gt;""),VLOOKUP(I802,'AUX-NIV2'!$B:$AP,40,FALSE)*O802,0)</f>
        <v>0</v>
      </c>
      <c r="AO802" s="382">
        <f t="shared" si="846"/>
        <v>16</v>
      </c>
      <c r="AQ802" s="395">
        <f>(IF($H802="x",VLOOKUP($I802,'AUX-NIV2'!$B:$X,'AUX-NIV1'!AQ$3,FALSE),0)+($AV802*'AUX-NIV3'!S$4))*$O802+IF($H802=AQ$4,$P802,0)</f>
        <v>6759.6868431467574</v>
      </c>
      <c r="AR802" s="395">
        <f>(IF($H802="x",VLOOKUP($I802,'AUX-NIV2'!$B:$X,'AUX-NIV1'!AR$3,FALSE),0)+($AV802*'AUX-NIV3'!T$4))*$O802+IF($H802=AR$4,$P802,0)</f>
        <v>0</v>
      </c>
      <c r="AS802" s="395">
        <f>(IF($H802="x",VLOOKUP($I802,'AUX-NIV2'!$B:$X,'AUX-NIV1'!AS$3,FALSE),0)+($AV802*'AUX-NIV3'!U$4))*$O802+IF($H802=AS$4,$P802,0)</f>
        <v>0</v>
      </c>
      <c r="AT802" s="395">
        <f>(IF($H802="x",VLOOKUP($I802,'AUX-NIV2'!$B:$X,'AUX-NIV1'!AT$3,FALSE),0)+($AV802*'AUX-NIV3'!V$4))*$O802+IF($H802=AT$4,$P802,0)</f>
        <v>0</v>
      </c>
      <c r="AU802" s="395">
        <f>(IF($H802="x",VLOOKUP($I802,'AUX-NIV2'!$B:$X,'AUX-NIV1'!AU$3,FALSE),0)+($AV802*'AUX-NIV3'!W$4))*$O802+IF($H802=AU$4,$P802,0)</f>
        <v>0</v>
      </c>
      <c r="AV802" s="395">
        <f>+IF($H802="x",VLOOKUP($I802,'AUX-NIV2'!$B:$X,'AUX-NIV1'!AV$3,FALSE),0)</f>
        <v>0</v>
      </c>
    </row>
    <row r="803" spans="2:48" ht="14.4" hidden="1" thickTop="1" thickBot="1">
      <c r="B803" s="501" t="s">
        <v>3908</v>
      </c>
      <c r="C803" s="951" t="s">
        <v>3874</v>
      </c>
      <c r="D803" s="1280" t="s">
        <v>610</v>
      </c>
      <c r="E803" s="1281">
        <f>IF(B803&lt;&gt;"",+SUMIF(Items!C:C,'AUX-NIV1'!B803,Items!H:H),"")</f>
        <v>0</v>
      </c>
      <c r="F803" s="1281">
        <f t="shared" si="836"/>
        <v>30094.145703249596</v>
      </c>
      <c r="G803" s="1281">
        <f t="shared" si="837"/>
        <v>0</v>
      </c>
      <c r="H803" s="1395" t="str">
        <f t="shared" si="847"/>
        <v>A</v>
      </c>
      <c r="I803" s="1375" t="s">
        <v>1746</v>
      </c>
      <c r="J803" s="1283" t="str">
        <f>IF(B803&lt;&gt;"",+VLOOKUP(I803,Recursos!C:F,2,FALSE),"")</f>
        <v>OFICIAL</v>
      </c>
      <c r="K803" s="1284" t="str">
        <f>IF(B803&lt;&gt;"",+VLOOKUP(I803,Recursos!C:F,3,FALSE),"")</f>
        <v>hh</v>
      </c>
      <c r="L803" s="1285">
        <f>IF(B803&lt;&gt;"",+VLOOKUP(I803,Recursos!C:F,4,FALSE),"")</f>
        <v>496.91595439275824</v>
      </c>
      <c r="M803" s="1458"/>
      <c r="N803" s="1457"/>
      <c r="O803" s="1286">
        <f t="shared" si="848"/>
        <v>0</v>
      </c>
      <c r="P803" s="1287">
        <f t="shared" si="849"/>
        <v>0</v>
      </c>
      <c r="Q803" s="1281">
        <f t="shared" si="850"/>
        <v>0</v>
      </c>
      <c r="R803" s="1288">
        <f t="shared" si="851"/>
        <v>0</v>
      </c>
      <c r="S803" s="1289">
        <f t="shared" si="838"/>
        <v>6759.6868431467574</v>
      </c>
      <c r="T803" s="1289">
        <f t="shared" si="839"/>
        <v>0</v>
      </c>
      <c r="U803" s="1290">
        <f t="shared" si="840"/>
        <v>18334.458860102841</v>
      </c>
      <c r="V803" s="1290">
        <f t="shared" si="841"/>
        <v>0</v>
      </c>
      <c r="W803" s="1290">
        <f t="shared" si="842"/>
        <v>5000</v>
      </c>
      <c r="X803" s="1290">
        <f t="shared" si="843"/>
        <v>0</v>
      </c>
      <c r="Y803" s="396"/>
      <c r="Z803" s="1291" t="str">
        <f t="shared" si="852"/>
        <v>0-CEGPOZA</v>
      </c>
      <c r="AA803" s="1291" t="str">
        <f t="shared" si="853"/>
        <v>0-CEGPOZE</v>
      </c>
      <c r="AB803" s="1291" t="str">
        <f t="shared" si="854"/>
        <v>0-CEGPOZM</v>
      </c>
      <c r="AC803" s="1291" t="str">
        <f t="shared" si="855"/>
        <v>0-CEGPOZT</v>
      </c>
      <c r="AD803" s="1291" t="str">
        <f t="shared" si="856"/>
        <v>0-CEGPOZS</v>
      </c>
      <c r="AE803" s="1291" t="str">
        <f t="shared" si="857"/>
        <v>0-CEGPOZX</v>
      </c>
      <c r="AF803" s="1291" t="str">
        <f t="shared" si="858"/>
        <v>0-CEGPOZA</v>
      </c>
      <c r="AG803" s="1291">
        <f t="shared" si="844"/>
        <v>5</v>
      </c>
      <c r="AH803" s="1291">
        <f>IF(B803&lt;&gt;"",+IF(H803="x",+VLOOKUP(I803,'AUX-NIV2'!B:AG,32,FALSE),0),"")</f>
        <v>0</v>
      </c>
      <c r="AI803" s="1291" t="str">
        <f t="shared" si="859"/>
        <v>0-CEGPOZ</v>
      </c>
      <c r="AK803" s="347">
        <f t="shared" si="845"/>
        <v>799</v>
      </c>
      <c r="AL803" s="348">
        <f t="shared" si="860"/>
        <v>803</v>
      </c>
      <c r="AM803" s="347">
        <f t="shared" si="861"/>
        <v>5</v>
      </c>
      <c r="AN803" s="382">
        <f>IF(AND(AH803&gt;0,B803&lt;&gt;""),VLOOKUP(I803,'AUX-NIV2'!$B:$AP,40,FALSE)*O803,0)</f>
        <v>0</v>
      </c>
      <c r="AO803" s="382">
        <f t="shared" si="846"/>
        <v>16</v>
      </c>
      <c r="AQ803" s="395">
        <f>(IF($H803="x",VLOOKUP($I803,'AUX-NIV2'!$B:$X,'AUX-NIV1'!AQ$3,FALSE),0)+($AV803*'AUX-NIV3'!S$4))*$O803+IF($H803=AQ$4,$P803,0)</f>
        <v>0</v>
      </c>
      <c r="AR803" s="395">
        <f>(IF($H803="x",VLOOKUP($I803,'AUX-NIV2'!$B:$X,'AUX-NIV1'!AR$3,FALSE),0)+($AV803*'AUX-NIV3'!T$4))*$O803+IF($H803=AR$4,$P803,0)</f>
        <v>0</v>
      </c>
      <c r="AS803" s="395">
        <f>(IF($H803="x",VLOOKUP($I803,'AUX-NIV2'!$B:$X,'AUX-NIV1'!AS$3,FALSE),0)+($AV803*'AUX-NIV3'!U$4))*$O803+IF($H803=AS$4,$P803,0)</f>
        <v>0</v>
      </c>
      <c r="AT803" s="395">
        <f>(IF($H803="x",VLOOKUP($I803,'AUX-NIV2'!$B:$X,'AUX-NIV1'!AT$3,FALSE),0)+($AV803*'AUX-NIV3'!V$4))*$O803+IF($H803=AT$4,$P803,0)</f>
        <v>0</v>
      </c>
      <c r="AU803" s="395">
        <f>(IF($H803="x",VLOOKUP($I803,'AUX-NIV2'!$B:$X,'AUX-NIV1'!AU$3,FALSE),0)+($AV803*'AUX-NIV3'!W$4))*$O803+IF($H803=AU$4,$P803,0)</f>
        <v>0</v>
      </c>
      <c r="AV803" s="395">
        <f>+IF($H803="x",VLOOKUP($I803,'AUX-NIV2'!$B:$X,'AUX-NIV1'!AV$3,FALSE),0)</f>
        <v>0</v>
      </c>
    </row>
    <row r="804" spans="2:48" ht="13.8" hidden="1" thickTop="1">
      <c r="B804" s="501" t="s">
        <v>3911</v>
      </c>
      <c r="C804" s="951" t="s">
        <v>3912</v>
      </c>
      <c r="D804" s="1280" t="s">
        <v>610</v>
      </c>
      <c r="E804" s="1281">
        <f>IF(B804&lt;&gt;"",+SUMIF(Items!C:C,'AUX-NIV1'!B804,Items!H:H),"")</f>
        <v>0</v>
      </c>
      <c r="F804" s="1281">
        <f t="shared" si="836"/>
        <v>30643.903657465893</v>
      </c>
      <c r="G804" s="1281">
        <f t="shared" si="837"/>
        <v>0</v>
      </c>
      <c r="H804" s="1395" t="str">
        <f t="shared" si="847"/>
        <v>M</v>
      </c>
      <c r="I804" s="1375" t="s">
        <v>3913</v>
      </c>
      <c r="J804" s="1283" t="str">
        <f>IF(B804&lt;&gt;"",+VLOOKUP(I804,Recursos!C:F,2,FALSE),"")</f>
        <v>PUAS ESPANTAPAJAROS</v>
      </c>
      <c r="K804" s="1284" t="str">
        <f>IF(B804&lt;&gt;"",+VLOOKUP(I804,Recursos!C:F,3,FALSE),"")</f>
        <v>m</v>
      </c>
      <c r="L804" s="1285">
        <f>IF(B804&lt;&gt;"",+VLOOKUP(I804,Recursos!C:F,4,FALSE),"")</f>
        <v>200</v>
      </c>
      <c r="M804" s="743"/>
      <c r="N804" s="1292">
        <v>130</v>
      </c>
      <c r="O804" s="1286">
        <f>N804</f>
        <v>130</v>
      </c>
      <c r="P804" s="1287">
        <f t="shared" si="849"/>
        <v>26000</v>
      </c>
      <c r="Q804" s="1281">
        <f t="shared" si="850"/>
        <v>0</v>
      </c>
      <c r="R804" s="1288">
        <f t="shared" si="851"/>
        <v>0</v>
      </c>
      <c r="S804" s="1289">
        <f t="shared" si="838"/>
        <v>1098.449112011348</v>
      </c>
      <c r="T804" s="1289">
        <f t="shared" si="839"/>
        <v>0</v>
      </c>
      <c r="U804" s="1290">
        <f t="shared" si="840"/>
        <v>29545.454545454544</v>
      </c>
      <c r="V804" s="1290">
        <f t="shared" si="841"/>
        <v>0</v>
      </c>
      <c r="W804" s="1290">
        <f t="shared" si="842"/>
        <v>0</v>
      </c>
      <c r="X804" s="1290">
        <f t="shared" si="843"/>
        <v>0</v>
      </c>
      <c r="Y804" s="396"/>
      <c r="Z804" s="1291" t="str">
        <f t="shared" si="852"/>
        <v>0-ESPPAJA</v>
      </c>
      <c r="AA804" s="1291" t="str">
        <f t="shared" si="853"/>
        <v>0-ESPPAJE</v>
      </c>
      <c r="AB804" s="1291" t="str">
        <f t="shared" si="854"/>
        <v>0-ESPPAJM</v>
      </c>
      <c r="AC804" s="1291" t="str">
        <f t="shared" si="855"/>
        <v>0-ESPPAJT</v>
      </c>
      <c r="AD804" s="1291" t="str">
        <f t="shared" si="856"/>
        <v>0-ESPPAJS</v>
      </c>
      <c r="AE804" s="1291" t="str">
        <f t="shared" si="857"/>
        <v>0-ESPPAJX</v>
      </c>
      <c r="AF804" s="1291" t="str">
        <f t="shared" si="858"/>
        <v>0-ESPPAJM</v>
      </c>
      <c r="AG804" s="1291">
        <f t="shared" si="844"/>
        <v>3</v>
      </c>
      <c r="AH804" s="1291">
        <f>IF(B804&lt;&gt;"",+IF(H804="x",+VLOOKUP(I804,'AUX-NIV2'!B:AG,32,FALSE),0),"")</f>
        <v>0</v>
      </c>
      <c r="AI804" s="1291" t="str">
        <f t="shared" si="859"/>
        <v>0-ESPPAJ</v>
      </c>
      <c r="AK804" s="347">
        <f t="shared" si="845"/>
        <v>804</v>
      </c>
      <c r="AL804" s="348">
        <f t="shared" si="860"/>
        <v>806</v>
      </c>
      <c r="AM804" s="347">
        <f t="shared" si="861"/>
        <v>1</v>
      </c>
      <c r="AN804" s="382">
        <f>IF(AND(AH804&gt;0,B804&lt;&gt;""),VLOOKUP(I804,'AUX-NIV2'!$B:$AP,40,FALSE)*O804,0)</f>
        <v>0</v>
      </c>
      <c r="AO804" s="382">
        <f t="shared" si="846"/>
        <v>2.6</v>
      </c>
      <c r="AQ804" s="395">
        <f>(IF($H804="x",VLOOKUP($I804,'AUX-NIV2'!$B:$X,'AUX-NIV1'!AQ$3,FALSE),0)+($AV804*'AUX-NIV3'!S$4))*$O804+IF($H804=AQ$4,$P804,0)</f>
        <v>0</v>
      </c>
      <c r="AR804" s="395">
        <f>(IF($H804="x",VLOOKUP($I804,'AUX-NIV2'!$B:$X,'AUX-NIV1'!AR$3,FALSE),0)+($AV804*'AUX-NIV3'!T$4))*$O804+IF($H804=AR$4,$P804,0)</f>
        <v>0</v>
      </c>
      <c r="AS804" s="395">
        <f>(IF($H804="x",VLOOKUP($I804,'AUX-NIV2'!$B:$X,'AUX-NIV1'!AS$3,FALSE),0)+($AV804*'AUX-NIV3'!U$4))*$O804+IF($H804=AS$4,$P804,0)</f>
        <v>26000</v>
      </c>
      <c r="AT804" s="395">
        <f>(IF($H804="x",VLOOKUP($I804,'AUX-NIV2'!$B:$X,'AUX-NIV1'!AT$3,FALSE),0)+($AV804*'AUX-NIV3'!V$4))*$O804+IF($H804=AT$4,$P804,0)</f>
        <v>0</v>
      </c>
      <c r="AU804" s="395">
        <f>(IF($H804="x",VLOOKUP($I804,'AUX-NIV2'!$B:$X,'AUX-NIV1'!AU$3,FALSE),0)+($AV804*'AUX-NIV3'!W$4))*$O804+IF($H804=AU$4,$P804,0)</f>
        <v>0</v>
      </c>
      <c r="AV804" s="395">
        <f>+IF($H804="x",VLOOKUP($I804,'AUX-NIV2'!$B:$X,'AUX-NIV1'!AV$3,FALSE),0)</f>
        <v>0</v>
      </c>
    </row>
    <row r="805" spans="2:48" ht="13.8" hidden="1" thickTop="1">
      <c r="B805" s="501" t="s">
        <v>3911</v>
      </c>
      <c r="C805" s="951" t="s">
        <v>3912</v>
      </c>
      <c r="D805" s="1280" t="s">
        <v>610</v>
      </c>
      <c r="E805" s="1281">
        <f>IF(B805&lt;&gt;"",+SUMIF(Items!C:C,'AUX-NIV1'!B805,Items!H:H),"")</f>
        <v>0</v>
      </c>
      <c r="F805" s="1281">
        <f t="shared" si="836"/>
        <v>30643.903657465893</v>
      </c>
      <c r="G805" s="1281">
        <f t="shared" si="837"/>
        <v>0</v>
      </c>
      <c r="H805" s="1395" t="str">
        <f t="shared" si="847"/>
        <v>M</v>
      </c>
      <c r="I805" s="1375" t="s">
        <v>3915</v>
      </c>
      <c r="J805" s="1283" t="str">
        <f>IF(B805&lt;&gt;"",+VLOOKUP(I805,Recursos!C:F,2,FALSE),"")</f>
        <v>SILICONA EN POMO</v>
      </c>
      <c r="K805" s="1284" t="str">
        <f>IF(B805&lt;&gt;"",+VLOOKUP(I805,Recursos!C:F,3,FALSE),"")</f>
        <v>Un</v>
      </c>
      <c r="L805" s="1285">
        <f>IF(B805&lt;&gt;"",+VLOOKUP(I805,Recursos!C:F,4,FALSE),"")</f>
        <v>272.72727272727275</v>
      </c>
      <c r="M805" s="1404"/>
      <c r="N805" s="1453">
        <v>10</v>
      </c>
      <c r="O805" s="1286">
        <f>1/N805*N804</f>
        <v>13</v>
      </c>
      <c r="P805" s="1287">
        <f t="shared" si="849"/>
        <v>3545.454545454546</v>
      </c>
      <c r="Q805" s="1281">
        <f t="shared" si="850"/>
        <v>0</v>
      </c>
      <c r="R805" s="1288">
        <f t="shared" si="851"/>
        <v>0</v>
      </c>
      <c r="S805" s="1289">
        <f t="shared" si="838"/>
        <v>1098.449112011348</v>
      </c>
      <c r="T805" s="1289">
        <f t="shared" si="839"/>
        <v>0</v>
      </c>
      <c r="U805" s="1290">
        <f t="shared" si="840"/>
        <v>29545.454545454544</v>
      </c>
      <c r="V805" s="1290">
        <f t="shared" si="841"/>
        <v>0</v>
      </c>
      <c r="W805" s="1290">
        <f t="shared" si="842"/>
        <v>0</v>
      </c>
      <c r="X805" s="1290">
        <f t="shared" si="843"/>
        <v>0</v>
      </c>
      <c r="Y805" s="396"/>
      <c r="Z805" s="1291" t="str">
        <f t="shared" si="852"/>
        <v>0-ESPPAJA</v>
      </c>
      <c r="AA805" s="1291" t="str">
        <f t="shared" si="853"/>
        <v>0-ESPPAJE</v>
      </c>
      <c r="AB805" s="1291" t="str">
        <f t="shared" si="854"/>
        <v>0-ESPPAJM</v>
      </c>
      <c r="AC805" s="1291" t="str">
        <f t="shared" si="855"/>
        <v>0-ESPPAJT</v>
      </c>
      <c r="AD805" s="1291" t="str">
        <f t="shared" si="856"/>
        <v>0-ESPPAJS</v>
      </c>
      <c r="AE805" s="1291" t="str">
        <f t="shared" si="857"/>
        <v>0-ESPPAJX</v>
      </c>
      <c r="AF805" s="1291" t="str">
        <f t="shared" si="858"/>
        <v>0-ESPPAJM</v>
      </c>
      <c r="AG805" s="1291">
        <f t="shared" si="844"/>
        <v>3</v>
      </c>
      <c r="AH805" s="1291">
        <f>IF(B805&lt;&gt;"",+IF(H805="x",+VLOOKUP(I805,'AUX-NIV2'!B:AG,32,FALSE),0),"")</f>
        <v>0</v>
      </c>
      <c r="AI805" s="1291" t="str">
        <f t="shared" si="859"/>
        <v>0-ESPPAJ</v>
      </c>
      <c r="AK805" s="347">
        <f t="shared" si="845"/>
        <v>804</v>
      </c>
      <c r="AL805" s="348">
        <f t="shared" si="860"/>
        <v>806</v>
      </c>
      <c r="AM805" s="347">
        <f t="shared" si="861"/>
        <v>2</v>
      </c>
      <c r="AN805" s="382">
        <f>IF(AND(AH805&gt;0,B805&lt;&gt;""),VLOOKUP(I805,'AUX-NIV2'!$B:$AP,40,FALSE)*O805,0)</f>
        <v>0</v>
      </c>
      <c r="AO805" s="382">
        <f t="shared" si="846"/>
        <v>2.6</v>
      </c>
      <c r="AQ805" s="395">
        <f>(IF($H805="x",VLOOKUP($I805,'AUX-NIV2'!$B:$X,'AUX-NIV1'!AQ$3,FALSE),0)+($AV805*'AUX-NIV3'!S$4))*$O805+IF($H805=AQ$4,$P805,0)</f>
        <v>0</v>
      </c>
      <c r="AR805" s="395">
        <f>(IF($H805="x",VLOOKUP($I805,'AUX-NIV2'!$B:$X,'AUX-NIV1'!AR$3,FALSE),0)+($AV805*'AUX-NIV3'!T$4))*$O805+IF($H805=AR$4,$P805,0)</f>
        <v>0</v>
      </c>
      <c r="AS805" s="395">
        <f>(IF($H805="x",VLOOKUP($I805,'AUX-NIV2'!$B:$X,'AUX-NIV1'!AS$3,FALSE),0)+($AV805*'AUX-NIV3'!U$4))*$O805+IF($H805=AS$4,$P805,0)</f>
        <v>3545.454545454546</v>
      </c>
      <c r="AT805" s="395">
        <f>(IF($H805="x",VLOOKUP($I805,'AUX-NIV2'!$B:$X,'AUX-NIV1'!AT$3,FALSE),0)+($AV805*'AUX-NIV3'!V$4))*$O805+IF($H805=AT$4,$P805,0)</f>
        <v>0</v>
      </c>
      <c r="AU805" s="395">
        <f>(IF($H805="x",VLOOKUP($I805,'AUX-NIV2'!$B:$X,'AUX-NIV1'!AU$3,FALSE),0)+($AV805*'AUX-NIV3'!W$4))*$O805+IF($H805=AU$4,$P805,0)</f>
        <v>0</v>
      </c>
      <c r="AV805" s="395">
        <f>+IF($H805="x",VLOOKUP($I805,'AUX-NIV2'!$B:$X,'AUX-NIV1'!AV$3,FALSE),0)</f>
        <v>0</v>
      </c>
    </row>
    <row r="806" spans="2:48" ht="14.4" hidden="1" thickTop="1" thickBot="1">
      <c r="B806" s="501" t="s">
        <v>3911</v>
      </c>
      <c r="C806" s="951" t="s">
        <v>3912</v>
      </c>
      <c r="D806" s="1280" t="s">
        <v>610</v>
      </c>
      <c r="E806" s="1281">
        <f>IF(B806&lt;&gt;"",+SUMIF(Items!C:C,'AUX-NIV1'!B806,Items!H:H),"")</f>
        <v>0</v>
      </c>
      <c r="F806" s="1281">
        <f t="shared" si="836"/>
        <v>30643.903657465893</v>
      </c>
      <c r="G806" s="1281">
        <f t="shared" si="837"/>
        <v>0</v>
      </c>
      <c r="H806" s="1395" t="str">
        <f t="shared" si="847"/>
        <v>A</v>
      </c>
      <c r="I806" s="1375" t="s">
        <v>1745</v>
      </c>
      <c r="J806" s="1283" t="str">
        <f>IF(B806&lt;&gt;"",+VLOOKUP(I806,Recursos!C:F,2,FALSE),"")</f>
        <v>AYUDANTE</v>
      </c>
      <c r="K806" s="1284" t="str">
        <f>IF(B806&lt;&gt;"",+VLOOKUP(I806,Recursos!C:F,3,FALSE),"")</f>
        <v>hh</v>
      </c>
      <c r="L806" s="1285">
        <f>IF(B806&lt;&gt;"",+VLOOKUP(I806,Recursos!C:F,4,FALSE),"")</f>
        <v>422.48042769667234</v>
      </c>
      <c r="M806" s="1458"/>
      <c r="N806" s="1457">
        <v>50</v>
      </c>
      <c r="O806" s="1286">
        <f>1/N806*N804</f>
        <v>2.6</v>
      </c>
      <c r="P806" s="1287">
        <f t="shared" si="849"/>
        <v>1098.449112011348</v>
      </c>
      <c r="Q806" s="1281">
        <f t="shared" si="850"/>
        <v>0</v>
      </c>
      <c r="R806" s="1288">
        <f t="shared" si="851"/>
        <v>0</v>
      </c>
      <c r="S806" s="1289">
        <f t="shared" si="838"/>
        <v>1098.449112011348</v>
      </c>
      <c r="T806" s="1289">
        <f t="shared" si="839"/>
        <v>0</v>
      </c>
      <c r="U806" s="1290">
        <f t="shared" si="840"/>
        <v>29545.454545454544</v>
      </c>
      <c r="V806" s="1290">
        <f t="shared" si="841"/>
        <v>0</v>
      </c>
      <c r="W806" s="1290">
        <f t="shared" si="842"/>
        <v>0</v>
      </c>
      <c r="X806" s="1290">
        <f t="shared" si="843"/>
        <v>0</v>
      </c>
      <c r="Y806" s="396"/>
      <c r="Z806" s="1291" t="str">
        <f t="shared" si="852"/>
        <v>0-ESPPAJA</v>
      </c>
      <c r="AA806" s="1291" t="str">
        <f t="shared" si="853"/>
        <v>0-ESPPAJE</v>
      </c>
      <c r="AB806" s="1291" t="str">
        <f t="shared" si="854"/>
        <v>0-ESPPAJM</v>
      </c>
      <c r="AC806" s="1291" t="str">
        <f t="shared" si="855"/>
        <v>0-ESPPAJT</v>
      </c>
      <c r="AD806" s="1291" t="str">
        <f t="shared" si="856"/>
        <v>0-ESPPAJS</v>
      </c>
      <c r="AE806" s="1291" t="str">
        <f t="shared" si="857"/>
        <v>0-ESPPAJX</v>
      </c>
      <c r="AF806" s="1291" t="str">
        <f t="shared" si="858"/>
        <v>0-ESPPAJA</v>
      </c>
      <c r="AG806" s="1291">
        <f t="shared" si="844"/>
        <v>3</v>
      </c>
      <c r="AH806" s="1291">
        <f>IF(B806&lt;&gt;"",+IF(H806="x",+VLOOKUP(I806,'AUX-NIV2'!B:AG,32,FALSE),0),"")</f>
        <v>0</v>
      </c>
      <c r="AI806" s="1291" t="str">
        <f t="shared" si="859"/>
        <v>0-ESPPAJ</v>
      </c>
      <c r="AK806" s="347">
        <f t="shared" si="845"/>
        <v>804</v>
      </c>
      <c r="AL806" s="348">
        <f t="shared" si="860"/>
        <v>806</v>
      </c>
      <c r="AM806" s="347">
        <f t="shared" si="861"/>
        <v>3</v>
      </c>
      <c r="AN806" s="382">
        <f>IF(AND(AH806&gt;0,B806&lt;&gt;""),VLOOKUP(I806,'AUX-NIV2'!$B:$AP,40,FALSE)*O806,0)</f>
        <v>0</v>
      </c>
      <c r="AO806" s="382">
        <f t="shared" si="846"/>
        <v>2.6</v>
      </c>
      <c r="AQ806" s="395">
        <f>(IF($H806="x",VLOOKUP($I806,'AUX-NIV2'!$B:$X,'AUX-NIV1'!AQ$3,FALSE),0)+($AV806*'AUX-NIV3'!S$4))*$O806+IF($H806=AQ$4,$P806,0)</f>
        <v>1098.449112011348</v>
      </c>
      <c r="AR806" s="395">
        <f>(IF($H806="x",VLOOKUP($I806,'AUX-NIV2'!$B:$X,'AUX-NIV1'!AR$3,FALSE),0)+($AV806*'AUX-NIV3'!T$4))*$O806+IF($H806=AR$4,$P806,0)</f>
        <v>0</v>
      </c>
      <c r="AS806" s="395">
        <f>(IF($H806="x",VLOOKUP($I806,'AUX-NIV2'!$B:$X,'AUX-NIV1'!AS$3,FALSE),0)+($AV806*'AUX-NIV3'!U$4))*$O806+IF($H806=AS$4,$P806,0)</f>
        <v>0</v>
      </c>
      <c r="AT806" s="395">
        <f>(IF($H806="x",VLOOKUP($I806,'AUX-NIV2'!$B:$X,'AUX-NIV1'!AT$3,FALSE),0)+($AV806*'AUX-NIV3'!V$4))*$O806+IF($H806=AT$4,$P806,0)</f>
        <v>0</v>
      </c>
      <c r="AU806" s="395">
        <f>(IF($H806="x",VLOOKUP($I806,'AUX-NIV2'!$B:$X,'AUX-NIV1'!AU$3,FALSE),0)+($AV806*'AUX-NIV3'!W$4))*$O806+IF($H806=AU$4,$P806,0)</f>
        <v>0</v>
      </c>
      <c r="AV806" s="395">
        <f>+IF($H806="x",VLOOKUP($I806,'AUX-NIV2'!$B:$X,'AUX-NIV1'!AV$3,FALSE),0)</f>
        <v>0</v>
      </c>
    </row>
    <row r="807" spans="2:48" ht="14.4" hidden="1" thickTop="1" thickBot="1">
      <c r="B807" s="501" t="s">
        <v>3920</v>
      </c>
      <c r="C807" s="951" t="s">
        <v>3921</v>
      </c>
      <c r="D807" s="1280" t="s">
        <v>1233</v>
      </c>
      <c r="E807" s="1281">
        <f>IF(B807&lt;&gt;"",+SUMIF(Items!C:C,'AUX-NIV1'!B807,Items!H:H),"")</f>
        <v>0</v>
      </c>
      <c r="F807" s="1281">
        <f t="shared" si="836"/>
        <v>1</v>
      </c>
      <c r="G807" s="1281">
        <f t="shared" si="837"/>
        <v>0</v>
      </c>
      <c r="H807" s="1395" t="str">
        <f t="shared" si="847"/>
        <v>S</v>
      </c>
      <c r="I807" s="1375" t="s">
        <v>3924</v>
      </c>
      <c r="J807" s="1283" t="str">
        <f>IF(B807&lt;&gt;"",+VLOOKUP(I807,Recursos!C:F,2,FALSE),"")</f>
        <v>Estructura metálica de cubierta</v>
      </c>
      <c r="K807" s="1284" t="str">
        <f>IF(B807&lt;&gt;"",+VLOOKUP(I807,Recursos!C:F,3,FALSE),"")</f>
        <v>Gl</v>
      </c>
      <c r="L807" s="1285">
        <f>IF(B807&lt;&gt;"",+VLOOKUP(I807,Recursos!C:F,4,FALSE),"")</f>
        <v>1</v>
      </c>
      <c r="M807" s="1425"/>
      <c r="N807" s="1294">
        <v>1</v>
      </c>
      <c r="O807" s="1286">
        <f t="shared" si="848"/>
        <v>1</v>
      </c>
      <c r="P807" s="1287">
        <f t="shared" si="849"/>
        <v>1</v>
      </c>
      <c r="Q807" s="1281">
        <f t="shared" si="850"/>
        <v>0</v>
      </c>
      <c r="R807" s="1288">
        <f t="shared" si="851"/>
        <v>0</v>
      </c>
      <c r="S807" s="1289">
        <f t="shared" si="838"/>
        <v>0</v>
      </c>
      <c r="T807" s="1289">
        <f t="shared" si="839"/>
        <v>0</v>
      </c>
      <c r="U807" s="1290">
        <f t="shared" si="840"/>
        <v>0</v>
      </c>
      <c r="V807" s="1290">
        <f t="shared" si="841"/>
        <v>0</v>
      </c>
      <c r="W807" s="1290">
        <f t="shared" si="842"/>
        <v>1</v>
      </c>
      <c r="X807" s="1290">
        <f t="shared" si="843"/>
        <v>0</v>
      </c>
      <c r="Y807" s="396"/>
      <c r="Z807" s="1291" t="str">
        <f t="shared" si="852"/>
        <v>0-ITC011A</v>
      </c>
      <c r="AA807" s="1291" t="str">
        <f t="shared" si="853"/>
        <v>0-ITC011E</v>
      </c>
      <c r="AB807" s="1291" t="str">
        <f t="shared" si="854"/>
        <v>0-ITC011M</v>
      </c>
      <c r="AC807" s="1291" t="str">
        <f t="shared" si="855"/>
        <v>0-ITC011T</v>
      </c>
      <c r="AD807" s="1291" t="str">
        <f t="shared" si="856"/>
        <v>0-ITC011S</v>
      </c>
      <c r="AE807" s="1291" t="str">
        <f t="shared" si="857"/>
        <v>0-ITC011X</v>
      </c>
      <c r="AF807" s="1291" t="str">
        <f t="shared" si="858"/>
        <v>0-ITC011S</v>
      </c>
      <c r="AG807" s="1291">
        <f t="shared" si="844"/>
        <v>1</v>
      </c>
      <c r="AH807" s="1291">
        <f>IF(B807&lt;&gt;"",+IF(H807="x",+VLOOKUP(I807,'AUX-NIV2'!B:AG,32,FALSE),0),"")</f>
        <v>0</v>
      </c>
      <c r="AI807" s="1291" t="str">
        <f t="shared" si="859"/>
        <v>0-ITC011</v>
      </c>
      <c r="AK807" s="347">
        <f t="shared" si="845"/>
        <v>807</v>
      </c>
      <c r="AL807" s="348">
        <f t="shared" si="860"/>
        <v>807</v>
      </c>
      <c r="AM807" s="347">
        <f t="shared" si="861"/>
        <v>1</v>
      </c>
      <c r="AN807" s="382">
        <f>IF(AND(AH807&gt;0,B807&lt;&gt;""),VLOOKUP(I807,'AUX-NIV2'!$B:$AP,40,FALSE)*O807,0)</f>
        <v>0</v>
      </c>
      <c r="AO807" s="382">
        <f t="shared" si="846"/>
        <v>0</v>
      </c>
      <c r="AQ807" s="395">
        <f>(IF($H807="x",VLOOKUP($I807,'AUX-NIV2'!$B:$X,'AUX-NIV1'!AQ$3,FALSE),0)+($AV807*'AUX-NIV3'!S$4))*$O807+IF($H807=AQ$4,$P807,0)</f>
        <v>0</v>
      </c>
      <c r="AR807" s="395">
        <f>(IF($H807="x",VLOOKUP($I807,'AUX-NIV2'!$B:$X,'AUX-NIV1'!AR$3,FALSE),0)+($AV807*'AUX-NIV3'!T$4))*$O807+IF($H807=AR$4,$P807,0)</f>
        <v>0</v>
      </c>
      <c r="AS807" s="395">
        <f>(IF($H807="x",VLOOKUP($I807,'AUX-NIV2'!$B:$X,'AUX-NIV1'!AS$3,FALSE),0)+($AV807*'AUX-NIV3'!U$4))*$O807+IF($H807=AS$4,$P807,0)</f>
        <v>0</v>
      </c>
      <c r="AT807" s="395">
        <f>(IF($H807="x",VLOOKUP($I807,'AUX-NIV2'!$B:$X,'AUX-NIV1'!AT$3,FALSE),0)+($AV807*'AUX-NIV3'!V$4))*$O807+IF($H807=AT$4,$P807,0)</f>
        <v>0</v>
      </c>
      <c r="AU807" s="395">
        <f>(IF($H807="x",VLOOKUP($I807,'AUX-NIV2'!$B:$X,'AUX-NIV1'!AU$3,FALSE),0)+($AV807*'AUX-NIV3'!W$4))*$O807+IF($H807=AU$4,$P807,0)</f>
        <v>1</v>
      </c>
      <c r="AV807" s="395">
        <f>+IF($H807="x",VLOOKUP($I807,'AUX-NIV2'!$B:$X,'AUX-NIV1'!AV$3,FALSE),0)</f>
        <v>0</v>
      </c>
    </row>
    <row r="808" spans="2:48" ht="14.4" hidden="1" thickTop="1" thickBot="1">
      <c r="B808" s="501" t="s">
        <v>3917</v>
      </c>
      <c r="C808" s="1459" t="s">
        <v>3922</v>
      </c>
      <c r="D808" s="1280" t="s">
        <v>1233</v>
      </c>
      <c r="E808" s="1281">
        <f>IF(B808&lt;&gt;"",+SUMIF(Items!C:C,'AUX-NIV1'!B808,Items!H:H),"")</f>
        <v>0</v>
      </c>
      <c r="F808" s="1281">
        <f t="shared" si="836"/>
        <v>1</v>
      </c>
      <c r="G808" s="1281">
        <f t="shared" si="837"/>
        <v>0</v>
      </c>
      <c r="H808" s="1395" t="str">
        <f t="shared" si="847"/>
        <v>S</v>
      </c>
      <c r="I808" s="1375" t="s">
        <v>3925</v>
      </c>
      <c r="J808" s="1283" t="str">
        <f>IF(B808&lt;&gt;"",+VLOOKUP(I808,Recursos!C:F,2,FALSE),"")</f>
        <v>Estructura de acero galvanizado</v>
      </c>
      <c r="K808" s="1284" t="str">
        <f>IF(B808&lt;&gt;"",+VLOOKUP(I808,Recursos!C:F,3,FALSE),"")</f>
        <v>Gl</v>
      </c>
      <c r="L808" s="1285">
        <f>IF(B808&lt;&gt;"",+VLOOKUP(I808,Recursos!C:F,4,FALSE),"")</f>
        <v>1</v>
      </c>
      <c r="M808" s="1425"/>
      <c r="N808" s="1294">
        <v>1</v>
      </c>
      <c r="O808" s="1286">
        <f t="shared" si="848"/>
        <v>1</v>
      </c>
      <c r="P808" s="1287">
        <f t="shared" si="849"/>
        <v>1</v>
      </c>
      <c r="Q808" s="1281">
        <f t="shared" si="850"/>
        <v>0</v>
      </c>
      <c r="R808" s="1288">
        <f t="shared" si="851"/>
        <v>0</v>
      </c>
      <c r="S808" s="1289">
        <f t="shared" si="838"/>
        <v>0</v>
      </c>
      <c r="T808" s="1289">
        <f t="shared" si="839"/>
        <v>0</v>
      </c>
      <c r="U808" s="1290">
        <f t="shared" si="840"/>
        <v>0</v>
      </c>
      <c r="V808" s="1290">
        <f t="shared" si="841"/>
        <v>0</v>
      </c>
      <c r="W808" s="1290">
        <f t="shared" si="842"/>
        <v>1</v>
      </c>
      <c r="X808" s="1290">
        <f t="shared" si="843"/>
        <v>0</v>
      </c>
      <c r="Y808" s="396"/>
      <c r="Z808" s="1291" t="str">
        <f t="shared" si="852"/>
        <v>0-ITC012A</v>
      </c>
      <c r="AA808" s="1291" t="str">
        <f t="shared" si="853"/>
        <v>0-ITC012E</v>
      </c>
      <c r="AB808" s="1291" t="str">
        <f t="shared" si="854"/>
        <v>0-ITC012M</v>
      </c>
      <c r="AC808" s="1291" t="str">
        <f t="shared" si="855"/>
        <v>0-ITC012T</v>
      </c>
      <c r="AD808" s="1291" t="str">
        <f t="shared" si="856"/>
        <v>0-ITC012S</v>
      </c>
      <c r="AE808" s="1291" t="str">
        <f t="shared" si="857"/>
        <v>0-ITC012X</v>
      </c>
      <c r="AF808" s="1291" t="str">
        <f t="shared" si="858"/>
        <v>0-ITC012S</v>
      </c>
      <c r="AG808" s="1291">
        <f t="shared" si="844"/>
        <v>1</v>
      </c>
      <c r="AH808" s="1291">
        <f>IF(B808&lt;&gt;"",+IF(H808="x",+VLOOKUP(I808,'AUX-NIV2'!B:AG,32,FALSE),0),"")</f>
        <v>0</v>
      </c>
      <c r="AI808" s="1291" t="str">
        <f t="shared" si="859"/>
        <v>0-ITC012</v>
      </c>
      <c r="AK808" s="347">
        <f t="shared" si="845"/>
        <v>808</v>
      </c>
      <c r="AL808" s="348">
        <f t="shared" si="860"/>
        <v>808</v>
      </c>
      <c r="AM808" s="347">
        <f t="shared" si="861"/>
        <v>1</v>
      </c>
      <c r="AN808" s="382">
        <f>IF(AND(AH808&gt;0,B808&lt;&gt;""),VLOOKUP(I808,'AUX-NIV2'!$B:$AP,40,FALSE)*O808,0)</f>
        <v>0</v>
      </c>
      <c r="AO808" s="382">
        <f t="shared" si="846"/>
        <v>0</v>
      </c>
      <c r="AQ808" s="395">
        <f>(IF($H808="x",VLOOKUP($I808,'AUX-NIV2'!$B:$X,'AUX-NIV1'!AQ$3,FALSE),0)+($AV808*'AUX-NIV3'!S$4))*$O808+IF($H808=AQ$4,$P808,0)</f>
        <v>0</v>
      </c>
      <c r="AR808" s="395">
        <f>(IF($H808="x",VLOOKUP($I808,'AUX-NIV2'!$B:$X,'AUX-NIV1'!AR$3,FALSE),0)+($AV808*'AUX-NIV3'!T$4))*$O808+IF($H808=AR$4,$P808,0)</f>
        <v>0</v>
      </c>
      <c r="AS808" s="395">
        <f>(IF($H808="x",VLOOKUP($I808,'AUX-NIV2'!$B:$X,'AUX-NIV1'!AS$3,FALSE),0)+($AV808*'AUX-NIV3'!U$4))*$O808+IF($H808=AS$4,$P808,0)</f>
        <v>0</v>
      </c>
      <c r="AT808" s="395">
        <f>(IF($H808="x",VLOOKUP($I808,'AUX-NIV2'!$B:$X,'AUX-NIV1'!AT$3,FALSE),0)+($AV808*'AUX-NIV3'!V$4))*$O808+IF($H808=AT$4,$P808,0)</f>
        <v>0</v>
      </c>
      <c r="AU808" s="395">
        <f>(IF($H808="x",VLOOKUP($I808,'AUX-NIV2'!$B:$X,'AUX-NIV1'!AU$3,FALSE),0)+($AV808*'AUX-NIV3'!W$4))*$O808+IF($H808=AU$4,$P808,0)</f>
        <v>1</v>
      </c>
      <c r="AV808" s="395">
        <f>+IF($H808="x",VLOOKUP($I808,'AUX-NIV2'!$B:$X,'AUX-NIV1'!AV$3,FALSE),0)</f>
        <v>0</v>
      </c>
    </row>
    <row r="809" spans="2:48" ht="14.4" hidden="1" thickTop="1" thickBot="1">
      <c r="B809" s="501" t="s">
        <v>3918</v>
      </c>
      <c r="C809" s="1459" t="s">
        <v>3923</v>
      </c>
      <c r="D809" s="1280" t="s">
        <v>1233</v>
      </c>
      <c r="E809" s="1281">
        <f>IF(B809&lt;&gt;"",+SUMIF(Items!C:C,'AUX-NIV1'!B809,Items!H:H),"")</f>
        <v>0</v>
      </c>
      <c r="F809" s="1281">
        <f t="shared" si="836"/>
        <v>1</v>
      </c>
      <c r="G809" s="1281">
        <f t="shared" si="837"/>
        <v>0</v>
      </c>
      <c r="H809" s="1395" t="str">
        <f t="shared" si="847"/>
        <v>S</v>
      </c>
      <c r="I809" s="1375" t="s">
        <v>3926</v>
      </c>
      <c r="J809" s="1283" t="str">
        <f>IF(B809&lt;&gt;"",+VLOOKUP(I809,Recursos!C:F,2,FALSE),"")</f>
        <v>Estructura de A° G° AA</v>
      </c>
      <c r="K809" s="1284" t="str">
        <f>IF(B809&lt;&gt;"",+VLOOKUP(I809,Recursos!C:F,3,FALSE),"")</f>
        <v>Gl</v>
      </c>
      <c r="L809" s="1285">
        <f>IF(B809&lt;&gt;"",+VLOOKUP(I809,Recursos!C:F,4,FALSE),"")</f>
        <v>1</v>
      </c>
      <c r="M809" s="1425"/>
      <c r="N809" s="1294">
        <v>1</v>
      </c>
      <c r="O809" s="1286">
        <f t="shared" si="848"/>
        <v>1</v>
      </c>
      <c r="P809" s="1287">
        <f t="shared" si="849"/>
        <v>1</v>
      </c>
      <c r="Q809" s="1281">
        <f t="shared" si="850"/>
        <v>0</v>
      </c>
      <c r="R809" s="1288">
        <f t="shared" si="851"/>
        <v>0</v>
      </c>
      <c r="S809" s="1289">
        <f t="shared" si="838"/>
        <v>0</v>
      </c>
      <c r="T809" s="1289">
        <f t="shared" si="839"/>
        <v>0</v>
      </c>
      <c r="U809" s="1290">
        <f t="shared" si="840"/>
        <v>0</v>
      </c>
      <c r="V809" s="1290">
        <f t="shared" si="841"/>
        <v>0</v>
      </c>
      <c r="W809" s="1290">
        <f t="shared" si="842"/>
        <v>1</v>
      </c>
      <c r="X809" s="1290">
        <f t="shared" si="843"/>
        <v>0</v>
      </c>
      <c r="Y809" s="396"/>
      <c r="Z809" s="1291" t="str">
        <f t="shared" si="852"/>
        <v>0-ITC013A</v>
      </c>
      <c r="AA809" s="1291" t="str">
        <f t="shared" si="853"/>
        <v>0-ITC013E</v>
      </c>
      <c r="AB809" s="1291" t="str">
        <f t="shared" si="854"/>
        <v>0-ITC013M</v>
      </c>
      <c r="AC809" s="1291" t="str">
        <f t="shared" si="855"/>
        <v>0-ITC013T</v>
      </c>
      <c r="AD809" s="1291" t="str">
        <f t="shared" si="856"/>
        <v>0-ITC013S</v>
      </c>
      <c r="AE809" s="1291" t="str">
        <f t="shared" si="857"/>
        <v>0-ITC013X</v>
      </c>
      <c r="AF809" s="1291" t="str">
        <f t="shared" si="858"/>
        <v>0-ITC013S</v>
      </c>
      <c r="AG809" s="1291">
        <f t="shared" si="844"/>
        <v>1</v>
      </c>
      <c r="AH809" s="1291">
        <f>IF(B809&lt;&gt;"",+IF(H809="x",+VLOOKUP(I809,'AUX-NIV2'!B:AG,32,FALSE),0),"")</f>
        <v>0</v>
      </c>
      <c r="AI809" s="1291" t="str">
        <f t="shared" si="859"/>
        <v>0-ITC013</v>
      </c>
      <c r="AK809" s="347">
        <f t="shared" si="845"/>
        <v>809</v>
      </c>
      <c r="AL809" s="348">
        <f t="shared" si="860"/>
        <v>809</v>
      </c>
      <c r="AM809" s="347">
        <f t="shared" si="861"/>
        <v>1</v>
      </c>
      <c r="AN809" s="382">
        <f>IF(AND(AH809&gt;0,B809&lt;&gt;""),VLOOKUP(I809,'AUX-NIV2'!$B:$AP,40,FALSE)*O809,0)</f>
        <v>0</v>
      </c>
      <c r="AO809" s="382">
        <f t="shared" si="846"/>
        <v>0</v>
      </c>
      <c r="AQ809" s="395">
        <f>(IF($H809="x",VLOOKUP($I809,'AUX-NIV2'!$B:$X,'AUX-NIV1'!AQ$3,FALSE),0)+($AV809*'AUX-NIV3'!S$4))*$O809+IF($H809=AQ$4,$P809,0)</f>
        <v>0</v>
      </c>
      <c r="AR809" s="395">
        <f>(IF($H809="x",VLOOKUP($I809,'AUX-NIV2'!$B:$X,'AUX-NIV1'!AR$3,FALSE),0)+($AV809*'AUX-NIV3'!T$4))*$O809+IF($H809=AR$4,$P809,0)</f>
        <v>0</v>
      </c>
      <c r="AS809" s="395">
        <f>(IF($H809="x",VLOOKUP($I809,'AUX-NIV2'!$B:$X,'AUX-NIV1'!AS$3,FALSE),0)+($AV809*'AUX-NIV3'!U$4))*$O809+IF($H809=AS$4,$P809,0)</f>
        <v>0</v>
      </c>
      <c r="AT809" s="395">
        <f>(IF($H809="x",VLOOKUP($I809,'AUX-NIV2'!$B:$X,'AUX-NIV1'!AT$3,FALSE),0)+($AV809*'AUX-NIV3'!V$4))*$O809+IF($H809=AT$4,$P809,0)</f>
        <v>0</v>
      </c>
      <c r="AU809" s="395">
        <f>(IF($H809="x",VLOOKUP($I809,'AUX-NIV2'!$B:$X,'AUX-NIV1'!AU$3,FALSE),0)+($AV809*'AUX-NIV3'!W$4))*$O809+IF($H809=AU$4,$P809,0)</f>
        <v>1</v>
      </c>
      <c r="AV809" s="395">
        <f>+IF($H809="x",VLOOKUP($I809,'AUX-NIV2'!$B:$X,'AUX-NIV1'!AV$3,FALSE),0)</f>
        <v>0</v>
      </c>
    </row>
    <row r="810" spans="2:48" ht="14.4" hidden="1" thickTop="1" thickBot="1">
      <c r="B810" s="501" t="s">
        <v>3919</v>
      </c>
      <c r="C810" s="951" t="s">
        <v>3536</v>
      </c>
      <c r="D810" s="1280" t="s">
        <v>1233</v>
      </c>
      <c r="E810" s="1281">
        <f>IF(B810&lt;&gt;"",+SUMIF(Items!C:C,'AUX-NIV1'!B810,Items!H:H),"")</f>
        <v>0</v>
      </c>
      <c r="F810" s="1281">
        <f t="shared" si="836"/>
        <v>1</v>
      </c>
      <c r="G810" s="1281">
        <f t="shared" si="837"/>
        <v>0</v>
      </c>
      <c r="H810" s="1395" t="str">
        <f t="shared" si="847"/>
        <v>S</v>
      </c>
      <c r="I810" s="1375" t="s">
        <v>3927</v>
      </c>
      <c r="J810" s="1283" t="str">
        <f>IF(B810&lt;&gt;"",+VLOOKUP(I810,Recursos!C:F,2,FALSE),"")</f>
        <v>Limpieza diaria y final de la obra.</v>
      </c>
      <c r="K810" s="1284" t="str">
        <f>IF(B810&lt;&gt;"",+VLOOKUP(I810,Recursos!C:F,3,FALSE),"")</f>
        <v>Gl</v>
      </c>
      <c r="L810" s="1285">
        <f>IF(B810&lt;&gt;"",+VLOOKUP(I810,Recursos!C:F,4,FALSE),"")</f>
        <v>1</v>
      </c>
      <c r="M810" s="1425"/>
      <c r="N810" s="1294">
        <v>1</v>
      </c>
      <c r="O810" s="1286">
        <f t="shared" si="848"/>
        <v>1</v>
      </c>
      <c r="P810" s="1287">
        <f t="shared" si="849"/>
        <v>1</v>
      </c>
      <c r="Q810" s="1281">
        <f t="shared" si="850"/>
        <v>0</v>
      </c>
      <c r="R810" s="1288">
        <f t="shared" si="851"/>
        <v>0</v>
      </c>
      <c r="S810" s="1289">
        <f t="shared" si="838"/>
        <v>0</v>
      </c>
      <c r="T810" s="1289">
        <f t="shared" si="839"/>
        <v>0</v>
      </c>
      <c r="U810" s="1290">
        <f t="shared" si="840"/>
        <v>0</v>
      </c>
      <c r="V810" s="1290">
        <f t="shared" si="841"/>
        <v>0</v>
      </c>
      <c r="W810" s="1290">
        <f t="shared" si="842"/>
        <v>1</v>
      </c>
      <c r="X810" s="1290">
        <f t="shared" si="843"/>
        <v>0</v>
      </c>
      <c r="Y810" s="396"/>
      <c r="Z810" s="1291" t="str">
        <f t="shared" si="852"/>
        <v>0-ITC014A</v>
      </c>
      <c r="AA810" s="1291" t="str">
        <f t="shared" si="853"/>
        <v>0-ITC014E</v>
      </c>
      <c r="AB810" s="1291" t="str">
        <f t="shared" si="854"/>
        <v>0-ITC014M</v>
      </c>
      <c r="AC810" s="1291" t="str">
        <f t="shared" si="855"/>
        <v>0-ITC014T</v>
      </c>
      <c r="AD810" s="1291" t="str">
        <f t="shared" si="856"/>
        <v>0-ITC014S</v>
      </c>
      <c r="AE810" s="1291" t="str">
        <f t="shared" si="857"/>
        <v>0-ITC014X</v>
      </c>
      <c r="AF810" s="1291" t="str">
        <f t="shared" si="858"/>
        <v>0-ITC014S</v>
      </c>
      <c r="AG810" s="1291">
        <f t="shared" si="844"/>
        <v>1</v>
      </c>
      <c r="AH810" s="1291">
        <f>IF(B810&lt;&gt;"",+IF(H810="x",+VLOOKUP(I810,'AUX-NIV2'!B:AG,32,FALSE),0),"")</f>
        <v>0</v>
      </c>
      <c r="AI810" s="1291" t="str">
        <f t="shared" si="859"/>
        <v>0-ITC014</v>
      </c>
      <c r="AK810" s="347">
        <f t="shared" si="845"/>
        <v>810</v>
      </c>
      <c r="AL810" s="348">
        <f t="shared" si="860"/>
        <v>810</v>
      </c>
      <c r="AM810" s="347">
        <f t="shared" si="861"/>
        <v>1</v>
      </c>
      <c r="AN810" s="382">
        <f>IF(AND(AH810&gt;0,B810&lt;&gt;""),VLOOKUP(I810,'AUX-NIV2'!$B:$AP,40,FALSE)*O810,0)</f>
        <v>0</v>
      </c>
      <c r="AO810" s="382">
        <f t="shared" si="846"/>
        <v>0</v>
      </c>
      <c r="AQ810" s="395">
        <f>(IF($H810="x",VLOOKUP($I810,'AUX-NIV2'!$B:$X,'AUX-NIV1'!AQ$3,FALSE),0)+($AV810*'AUX-NIV3'!S$4))*$O810+IF($H810=AQ$4,$P810,0)</f>
        <v>0</v>
      </c>
      <c r="AR810" s="395">
        <f>(IF($H810="x",VLOOKUP($I810,'AUX-NIV2'!$B:$X,'AUX-NIV1'!AR$3,FALSE),0)+($AV810*'AUX-NIV3'!T$4))*$O810+IF($H810=AR$4,$P810,0)</f>
        <v>0</v>
      </c>
      <c r="AS810" s="395">
        <f>(IF($H810="x",VLOOKUP($I810,'AUX-NIV2'!$B:$X,'AUX-NIV1'!AS$3,FALSE),0)+($AV810*'AUX-NIV3'!U$4))*$O810+IF($H810=AS$4,$P810,0)</f>
        <v>0</v>
      </c>
      <c r="AT810" s="395">
        <f>(IF($H810="x",VLOOKUP($I810,'AUX-NIV2'!$B:$X,'AUX-NIV1'!AT$3,FALSE),0)+($AV810*'AUX-NIV3'!V$4))*$O810+IF($H810=AT$4,$P810,0)</f>
        <v>0</v>
      </c>
      <c r="AU810" s="395">
        <f>(IF($H810="x",VLOOKUP($I810,'AUX-NIV2'!$B:$X,'AUX-NIV1'!AU$3,FALSE),0)+($AV810*'AUX-NIV3'!W$4))*$O810+IF($H810=AU$4,$P810,0)</f>
        <v>1</v>
      </c>
      <c r="AV810" s="395">
        <f>+IF($H810="x",VLOOKUP($I810,'AUX-NIV2'!$B:$X,'AUX-NIV1'!AV$3,FALSE),0)</f>
        <v>0</v>
      </c>
    </row>
    <row r="811" spans="2:48" ht="14.4" hidden="1" thickTop="1" thickBot="1">
      <c r="B811" s="501" t="s">
        <v>3930</v>
      </c>
      <c r="C811" s="951" t="s">
        <v>3928</v>
      </c>
      <c r="D811" s="1280" t="s">
        <v>1233</v>
      </c>
      <c r="E811" s="1281">
        <f>IF(B811&lt;&gt;"",+SUMIF(Items!C:C,'AUX-NIV1'!B811,Items!H:H),"")</f>
        <v>0</v>
      </c>
      <c r="F811" s="1281">
        <f t="shared" si="836"/>
        <v>1</v>
      </c>
      <c r="G811" s="1281">
        <f t="shared" si="837"/>
        <v>0</v>
      </c>
      <c r="H811" s="1395" t="str">
        <f t="shared" si="847"/>
        <v>S</v>
      </c>
      <c r="I811" s="1375" t="s">
        <v>3932</v>
      </c>
      <c r="J811" s="1283" t="str">
        <f>IF(B811&lt;&gt;"",+VLOOKUP(I811,Recursos!C:F,2,FALSE),"")</f>
        <v>Cubierta de chapas onduladas H°G°</v>
      </c>
      <c r="K811" s="1284" t="str">
        <f>IF(B811&lt;&gt;"",+VLOOKUP(I811,Recursos!C:F,3,FALSE),"")</f>
        <v>Gl</v>
      </c>
      <c r="L811" s="1285">
        <f>IF(B811&lt;&gt;"",+VLOOKUP(I811,Recursos!C:F,4,FALSE),"")</f>
        <v>1</v>
      </c>
      <c r="M811" s="1425"/>
      <c r="N811" s="1294">
        <v>1</v>
      </c>
      <c r="O811" s="1286">
        <f t="shared" si="848"/>
        <v>1</v>
      </c>
      <c r="P811" s="1287">
        <f t="shared" si="849"/>
        <v>1</v>
      </c>
      <c r="Q811" s="1281">
        <f t="shared" si="850"/>
        <v>0</v>
      </c>
      <c r="R811" s="1288">
        <f t="shared" si="851"/>
        <v>0</v>
      </c>
      <c r="S811" s="1289">
        <f t="shared" si="838"/>
        <v>0</v>
      </c>
      <c r="T811" s="1289">
        <f t="shared" si="839"/>
        <v>0</v>
      </c>
      <c r="U811" s="1290">
        <f t="shared" si="840"/>
        <v>0</v>
      </c>
      <c r="V811" s="1290">
        <f t="shared" si="841"/>
        <v>0</v>
      </c>
      <c r="W811" s="1290">
        <f t="shared" si="842"/>
        <v>1</v>
      </c>
      <c r="X811" s="1290">
        <f t="shared" si="843"/>
        <v>0</v>
      </c>
      <c r="Y811" s="396"/>
      <c r="Z811" s="1291" t="str">
        <f t="shared" si="852"/>
        <v>0-ITI003A</v>
      </c>
      <c r="AA811" s="1291" t="str">
        <f t="shared" si="853"/>
        <v>0-ITI003E</v>
      </c>
      <c r="AB811" s="1291" t="str">
        <f t="shared" si="854"/>
        <v>0-ITI003M</v>
      </c>
      <c r="AC811" s="1291" t="str">
        <f t="shared" si="855"/>
        <v>0-ITI003T</v>
      </c>
      <c r="AD811" s="1291" t="str">
        <f t="shared" si="856"/>
        <v>0-ITI003S</v>
      </c>
      <c r="AE811" s="1291" t="str">
        <f t="shared" si="857"/>
        <v>0-ITI003X</v>
      </c>
      <c r="AF811" s="1291" t="str">
        <f t="shared" si="858"/>
        <v>0-ITI003S</v>
      </c>
      <c r="AG811" s="1291">
        <f t="shared" si="844"/>
        <v>1</v>
      </c>
      <c r="AH811" s="1291">
        <f>IF(B811&lt;&gt;"",+IF(H811="x",+VLOOKUP(I811,'AUX-NIV2'!B:AG,32,FALSE),0),"")</f>
        <v>0</v>
      </c>
      <c r="AI811" s="1291" t="str">
        <f t="shared" si="859"/>
        <v>0-ITI003</v>
      </c>
      <c r="AK811" s="347">
        <f t="shared" si="845"/>
        <v>811</v>
      </c>
      <c r="AL811" s="348">
        <f t="shared" si="860"/>
        <v>811</v>
      </c>
      <c r="AM811" s="347">
        <f t="shared" si="861"/>
        <v>1</v>
      </c>
      <c r="AN811" s="382">
        <f>IF(AND(AH811&gt;0,B811&lt;&gt;""),VLOOKUP(I811,'AUX-NIV2'!$B:$AP,40,FALSE)*O811,0)</f>
        <v>0</v>
      </c>
      <c r="AO811" s="382">
        <f t="shared" si="846"/>
        <v>0</v>
      </c>
      <c r="AQ811" s="395">
        <f>(IF($H811="x",VLOOKUP($I811,'AUX-NIV2'!$B:$X,'AUX-NIV1'!AQ$3,FALSE),0)+($AV811*'AUX-NIV3'!S$4))*$O811+IF($H811=AQ$4,$P811,0)</f>
        <v>0</v>
      </c>
      <c r="AR811" s="395">
        <f>(IF($H811="x",VLOOKUP($I811,'AUX-NIV2'!$B:$X,'AUX-NIV1'!AR$3,FALSE),0)+($AV811*'AUX-NIV3'!T$4))*$O811+IF($H811=AR$4,$P811,0)</f>
        <v>0</v>
      </c>
      <c r="AS811" s="395">
        <f>(IF($H811="x",VLOOKUP($I811,'AUX-NIV2'!$B:$X,'AUX-NIV1'!AS$3,FALSE),0)+($AV811*'AUX-NIV3'!U$4))*$O811+IF($H811=AS$4,$P811,0)</f>
        <v>0</v>
      </c>
      <c r="AT811" s="395">
        <f>(IF($H811="x",VLOOKUP($I811,'AUX-NIV2'!$B:$X,'AUX-NIV1'!AT$3,FALSE),0)+($AV811*'AUX-NIV3'!V$4))*$O811+IF($H811=AT$4,$P811,0)</f>
        <v>0</v>
      </c>
      <c r="AU811" s="395">
        <f>(IF($H811="x",VLOOKUP($I811,'AUX-NIV2'!$B:$X,'AUX-NIV1'!AU$3,FALSE),0)+($AV811*'AUX-NIV3'!W$4))*$O811+IF($H811=AU$4,$P811,0)</f>
        <v>1</v>
      </c>
      <c r="AV811" s="395">
        <f>+IF($H811="x",VLOOKUP($I811,'AUX-NIV2'!$B:$X,'AUX-NIV1'!AV$3,FALSE),0)</f>
        <v>0</v>
      </c>
    </row>
    <row r="812" spans="2:48" ht="14.4" hidden="1" thickTop="1" thickBot="1">
      <c r="B812" s="501" t="s">
        <v>3931</v>
      </c>
      <c r="C812" s="951" t="s">
        <v>3538</v>
      </c>
      <c r="D812" s="1280" t="s">
        <v>1233</v>
      </c>
      <c r="E812" s="1281">
        <f>IF(B812&lt;&gt;"",+SUMIF(Items!C:C,'AUX-NIV1'!B812,Items!H:H),"")</f>
        <v>0</v>
      </c>
      <c r="F812" s="1281">
        <f t="shared" si="836"/>
        <v>1</v>
      </c>
      <c r="G812" s="1281">
        <f t="shared" si="837"/>
        <v>0</v>
      </c>
      <c r="H812" s="1395" t="str">
        <f t="shared" si="847"/>
        <v>S</v>
      </c>
      <c r="I812" s="1375" t="s">
        <v>3933</v>
      </c>
      <c r="J812" s="1283" t="str">
        <f>IF(B812&lt;&gt;"",+VLOOKUP(I812,Recursos!C:F,2,FALSE),"")</f>
        <v>Canaletas, embudos, caños de desagüe, desbordes, babetas</v>
      </c>
      <c r="K812" s="1284" t="str">
        <f>IF(B812&lt;&gt;"",+VLOOKUP(I812,Recursos!C:F,3,FALSE),"")</f>
        <v>Gl</v>
      </c>
      <c r="L812" s="1285">
        <f>IF(B812&lt;&gt;"",+VLOOKUP(I812,Recursos!C:F,4,FALSE),"")</f>
        <v>1</v>
      </c>
      <c r="M812" s="1425"/>
      <c r="N812" s="1294">
        <v>1</v>
      </c>
      <c r="O812" s="1286">
        <f t="shared" si="848"/>
        <v>1</v>
      </c>
      <c r="P812" s="1287">
        <f t="shared" si="849"/>
        <v>1</v>
      </c>
      <c r="Q812" s="1281">
        <f t="shared" si="850"/>
        <v>0</v>
      </c>
      <c r="R812" s="1288">
        <f t="shared" si="851"/>
        <v>0</v>
      </c>
      <c r="S812" s="1289">
        <f t="shared" si="838"/>
        <v>0</v>
      </c>
      <c r="T812" s="1289">
        <f t="shared" si="839"/>
        <v>0</v>
      </c>
      <c r="U812" s="1290">
        <f t="shared" si="840"/>
        <v>0</v>
      </c>
      <c r="V812" s="1290">
        <f t="shared" si="841"/>
        <v>0</v>
      </c>
      <c r="W812" s="1290">
        <f t="shared" si="842"/>
        <v>1</v>
      </c>
      <c r="X812" s="1290">
        <f t="shared" si="843"/>
        <v>0</v>
      </c>
      <c r="Y812" s="396"/>
      <c r="Z812" s="1291" t="str">
        <f t="shared" si="852"/>
        <v>0-ITI004A</v>
      </c>
      <c r="AA812" s="1291" t="str">
        <f t="shared" si="853"/>
        <v>0-ITI004E</v>
      </c>
      <c r="AB812" s="1291" t="str">
        <f t="shared" si="854"/>
        <v>0-ITI004M</v>
      </c>
      <c r="AC812" s="1291" t="str">
        <f t="shared" si="855"/>
        <v>0-ITI004T</v>
      </c>
      <c r="AD812" s="1291" t="str">
        <f t="shared" si="856"/>
        <v>0-ITI004S</v>
      </c>
      <c r="AE812" s="1291" t="str">
        <f t="shared" si="857"/>
        <v>0-ITI004X</v>
      </c>
      <c r="AF812" s="1291" t="str">
        <f t="shared" si="858"/>
        <v>0-ITI004S</v>
      </c>
      <c r="AG812" s="1291">
        <f t="shared" si="844"/>
        <v>1</v>
      </c>
      <c r="AH812" s="1291">
        <f>IF(B812&lt;&gt;"",+IF(H812="x",+VLOOKUP(I812,'AUX-NIV2'!B:AG,32,FALSE),0),"")</f>
        <v>0</v>
      </c>
      <c r="AI812" s="1291" t="str">
        <f t="shared" si="859"/>
        <v>0-ITI004</v>
      </c>
      <c r="AK812" s="347">
        <f t="shared" si="845"/>
        <v>812</v>
      </c>
      <c r="AL812" s="348">
        <f t="shared" si="860"/>
        <v>812</v>
      </c>
      <c r="AM812" s="347">
        <f t="shared" si="861"/>
        <v>1</v>
      </c>
      <c r="AN812" s="382">
        <f>IF(AND(AH812&gt;0,B812&lt;&gt;""),VLOOKUP(I812,'AUX-NIV2'!$B:$AP,40,FALSE)*O812,0)</f>
        <v>0</v>
      </c>
      <c r="AO812" s="382">
        <f t="shared" si="846"/>
        <v>0</v>
      </c>
      <c r="AQ812" s="395">
        <f>(IF($H812="x",VLOOKUP($I812,'AUX-NIV2'!$B:$X,'AUX-NIV1'!AQ$3,FALSE),0)+($AV812*'AUX-NIV3'!S$4))*$O812+IF($H812=AQ$4,$P812,0)</f>
        <v>0</v>
      </c>
      <c r="AR812" s="395">
        <f>(IF($H812="x",VLOOKUP($I812,'AUX-NIV2'!$B:$X,'AUX-NIV1'!AR$3,FALSE),0)+($AV812*'AUX-NIV3'!T$4))*$O812+IF($H812=AR$4,$P812,0)</f>
        <v>0</v>
      </c>
      <c r="AS812" s="395">
        <f>(IF($H812="x",VLOOKUP($I812,'AUX-NIV2'!$B:$X,'AUX-NIV1'!AS$3,FALSE),0)+($AV812*'AUX-NIV3'!U$4))*$O812+IF($H812=AS$4,$P812,0)</f>
        <v>0</v>
      </c>
      <c r="AT812" s="395">
        <f>(IF($H812="x",VLOOKUP($I812,'AUX-NIV2'!$B:$X,'AUX-NIV1'!AT$3,FALSE),0)+($AV812*'AUX-NIV3'!V$4))*$O812+IF($H812=AT$4,$P812,0)</f>
        <v>0</v>
      </c>
      <c r="AU812" s="395">
        <f>(IF($H812="x",VLOOKUP($I812,'AUX-NIV2'!$B:$X,'AUX-NIV1'!AU$3,FALSE),0)+($AV812*'AUX-NIV3'!W$4))*$O812+IF($H812=AU$4,$P812,0)</f>
        <v>1</v>
      </c>
      <c r="AV812" s="395">
        <f>+IF($H812="x",VLOOKUP($I812,'AUX-NIV2'!$B:$X,'AUX-NIV1'!AV$3,FALSE),0)</f>
        <v>0</v>
      </c>
    </row>
    <row r="813" spans="2:48" ht="14.4" hidden="1" thickTop="1" thickBot="1">
      <c r="B813" s="501" t="s">
        <v>3929</v>
      </c>
      <c r="C813" s="1459" t="s">
        <v>3950</v>
      </c>
      <c r="D813" s="1280" t="s">
        <v>610</v>
      </c>
      <c r="E813" s="1281">
        <f>IF(B813&lt;&gt;"",+SUMIF(Items!C:C,'AUX-NIV1'!B813,Items!H:H),"")</f>
        <v>0</v>
      </c>
      <c r="F813" s="1281">
        <f t="shared" si="836"/>
        <v>1</v>
      </c>
      <c r="G813" s="1281">
        <f t="shared" si="837"/>
        <v>0</v>
      </c>
      <c r="H813" s="1395" t="str">
        <f t="shared" si="847"/>
        <v>S</v>
      </c>
      <c r="I813" s="1375" t="s">
        <v>3954</v>
      </c>
      <c r="J813" s="1283" t="str">
        <f>IF(B813&lt;&gt;"",+VLOOKUP(I813,Recursos!C:F,2,FALSE),"")</f>
        <v>Puerta Acceso 2 hojas, doble chapa</v>
      </c>
      <c r="K813" s="1284" t="str">
        <f>IF(B813&lt;&gt;"",+VLOOKUP(I813,Recursos!C:F,3,FALSE),"")</f>
        <v>Un</v>
      </c>
      <c r="L813" s="1285">
        <f>IF(B813&lt;&gt;"",+VLOOKUP(I813,Recursos!C:F,4,FALSE),"")</f>
        <v>1</v>
      </c>
      <c r="M813" s="1293"/>
      <c r="N813" s="1294">
        <v>1</v>
      </c>
      <c r="O813" s="1286">
        <f t="shared" si="848"/>
        <v>1</v>
      </c>
      <c r="P813" s="1287">
        <f t="shared" si="849"/>
        <v>1</v>
      </c>
      <c r="Q813" s="1281">
        <f t="shared" si="850"/>
        <v>0</v>
      </c>
      <c r="R813" s="1288">
        <f t="shared" si="851"/>
        <v>0</v>
      </c>
      <c r="S813" s="1289">
        <f t="shared" si="838"/>
        <v>0</v>
      </c>
      <c r="T813" s="1289">
        <f t="shared" si="839"/>
        <v>0</v>
      </c>
      <c r="U813" s="1290">
        <f t="shared" si="840"/>
        <v>0</v>
      </c>
      <c r="V813" s="1290">
        <f t="shared" si="841"/>
        <v>0</v>
      </c>
      <c r="W813" s="1290">
        <f t="shared" si="842"/>
        <v>1</v>
      </c>
      <c r="X813" s="1290">
        <f t="shared" si="843"/>
        <v>0</v>
      </c>
      <c r="Y813" s="396"/>
      <c r="Z813" s="1291" t="str">
        <f t="shared" si="852"/>
        <v>0-ITJ001A</v>
      </c>
      <c r="AA813" s="1291" t="str">
        <f t="shared" si="853"/>
        <v>0-ITJ001E</v>
      </c>
      <c r="AB813" s="1291" t="str">
        <f t="shared" si="854"/>
        <v>0-ITJ001M</v>
      </c>
      <c r="AC813" s="1291" t="str">
        <f t="shared" si="855"/>
        <v>0-ITJ001T</v>
      </c>
      <c r="AD813" s="1291" t="str">
        <f t="shared" si="856"/>
        <v>0-ITJ001S</v>
      </c>
      <c r="AE813" s="1291" t="str">
        <f t="shared" si="857"/>
        <v>0-ITJ001X</v>
      </c>
      <c r="AF813" s="1291" t="str">
        <f t="shared" si="858"/>
        <v>0-ITJ001S</v>
      </c>
      <c r="AG813" s="1291">
        <f t="shared" si="844"/>
        <v>1</v>
      </c>
      <c r="AH813" s="1291">
        <f>IF(B813&lt;&gt;"",+IF(H813="x",+VLOOKUP(I813,'AUX-NIV2'!B:AG,32,FALSE),0),"")</f>
        <v>0</v>
      </c>
      <c r="AI813" s="1291" t="str">
        <f t="shared" si="859"/>
        <v>0-ITJ001</v>
      </c>
      <c r="AK813" s="347">
        <f t="shared" si="845"/>
        <v>813</v>
      </c>
      <c r="AL813" s="348">
        <f t="shared" si="860"/>
        <v>813</v>
      </c>
      <c r="AM813" s="347">
        <f t="shared" si="861"/>
        <v>1</v>
      </c>
      <c r="AN813" s="382">
        <f>IF(AND(AH813&gt;0,B813&lt;&gt;""),VLOOKUP(I813,'AUX-NIV2'!$B:$AP,40,FALSE)*O813,0)</f>
        <v>0</v>
      </c>
      <c r="AO813" s="382">
        <f t="shared" si="846"/>
        <v>0</v>
      </c>
      <c r="AQ813" s="395">
        <f>(IF($H813="x",VLOOKUP($I813,'AUX-NIV2'!$B:$X,'AUX-NIV1'!AQ$3,FALSE),0)+($AV813*'AUX-NIV3'!S$4))*$O813+IF($H813=AQ$4,$P813,0)</f>
        <v>0</v>
      </c>
      <c r="AR813" s="395">
        <f>(IF($H813="x",VLOOKUP($I813,'AUX-NIV2'!$B:$X,'AUX-NIV1'!AR$3,FALSE),0)+($AV813*'AUX-NIV3'!T$4))*$O813+IF($H813=AR$4,$P813,0)</f>
        <v>0</v>
      </c>
      <c r="AS813" s="395">
        <f>(IF($H813="x",VLOOKUP($I813,'AUX-NIV2'!$B:$X,'AUX-NIV1'!AS$3,FALSE),0)+($AV813*'AUX-NIV3'!U$4))*$O813+IF($H813=AS$4,$P813,0)</f>
        <v>0</v>
      </c>
      <c r="AT813" s="395">
        <f>(IF($H813="x",VLOOKUP($I813,'AUX-NIV2'!$B:$X,'AUX-NIV1'!AT$3,FALSE),0)+($AV813*'AUX-NIV3'!V$4))*$O813+IF($H813=AT$4,$P813,0)</f>
        <v>0</v>
      </c>
      <c r="AU813" s="395">
        <f>(IF($H813="x",VLOOKUP($I813,'AUX-NIV2'!$B:$X,'AUX-NIV1'!AU$3,FALSE),0)+($AV813*'AUX-NIV3'!W$4))*$O813+IF($H813=AU$4,$P813,0)</f>
        <v>1</v>
      </c>
      <c r="AV813" s="395">
        <f>+IF($H813="x",VLOOKUP($I813,'AUX-NIV2'!$B:$X,'AUX-NIV1'!AV$3,FALSE),0)</f>
        <v>0</v>
      </c>
    </row>
    <row r="814" spans="2:48" ht="14.4" hidden="1" thickTop="1" thickBot="1">
      <c r="B814" s="501" t="s">
        <v>3934</v>
      </c>
      <c r="C814" s="951" t="s">
        <v>3951</v>
      </c>
      <c r="D814" s="1280" t="s">
        <v>610</v>
      </c>
      <c r="E814" s="1281">
        <f>IF(B814&lt;&gt;"",+SUMIF(Items!C:C,'AUX-NIV1'!B814,Items!H:H),"")</f>
        <v>0</v>
      </c>
      <c r="F814" s="1281">
        <f t="shared" si="836"/>
        <v>1</v>
      </c>
      <c r="G814" s="1281">
        <f t="shared" si="837"/>
        <v>0</v>
      </c>
      <c r="H814" s="1395" t="str">
        <f t="shared" si="847"/>
        <v>S</v>
      </c>
      <c r="I814" s="1375" t="s">
        <v>3955</v>
      </c>
      <c r="J814" s="1283" t="str">
        <f>IF(B814&lt;&gt;"",+VLOOKUP(I814,Recursos!C:F,2,FALSE),"")</f>
        <v>Puerta Acceso 1 hoja, doble chapa</v>
      </c>
      <c r="K814" s="1284" t="str">
        <f>IF(B814&lt;&gt;"",+VLOOKUP(I814,Recursos!C:F,3,FALSE),"")</f>
        <v>Un</v>
      </c>
      <c r="L814" s="1285">
        <f>IF(B814&lt;&gt;"",+VLOOKUP(I814,Recursos!C:F,4,FALSE),"")</f>
        <v>1</v>
      </c>
      <c r="M814" s="1293"/>
      <c r="N814" s="1294">
        <v>1</v>
      </c>
      <c r="O814" s="1286">
        <f t="shared" si="848"/>
        <v>1</v>
      </c>
      <c r="P814" s="1287">
        <f t="shared" si="849"/>
        <v>1</v>
      </c>
      <c r="Q814" s="1281">
        <f t="shared" si="850"/>
        <v>0</v>
      </c>
      <c r="R814" s="1288">
        <f t="shared" si="851"/>
        <v>0</v>
      </c>
      <c r="S814" s="1289">
        <f t="shared" si="838"/>
        <v>0</v>
      </c>
      <c r="T814" s="1289">
        <f t="shared" si="839"/>
        <v>0</v>
      </c>
      <c r="U814" s="1290">
        <f t="shared" si="840"/>
        <v>0</v>
      </c>
      <c r="V814" s="1290">
        <f t="shared" si="841"/>
        <v>0</v>
      </c>
      <c r="W814" s="1290">
        <f t="shared" si="842"/>
        <v>1</v>
      </c>
      <c r="X814" s="1290">
        <f t="shared" si="843"/>
        <v>0</v>
      </c>
      <c r="Y814" s="396"/>
      <c r="Z814" s="1291" t="str">
        <f t="shared" si="852"/>
        <v>0-ITJ002A</v>
      </c>
      <c r="AA814" s="1291" t="str">
        <f t="shared" si="853"/>
        <v>0-ITJ002E</v>
      </c>
      <c r="AB814" s="1291" t="str">
        <f t="shared" si="854"/>
        <v>0-ITJ002M</v>
      </c>
      <c r="AC814" s="1291" t="str">
        <f t="shared" si="855"/>
        <v>0-ITJ002T</v>
      </c>
      <c r="AD814" s="1291" t="str">
        <f t="shared" si="856"/>
        <v>0-ITJ002S</v>
      </c>
      <c r="AE814" s="1291" t="str">
        <f t="shared" si="857"/>
        <v>0-ITJ002X</v>
      </c>
      <c r="AF814" s="1291" t="str">
        <f t="shared" si="858"/>
        <v>0-ITJ002S</v>
      </c>
      <c r="AG814" s="1291">
        <f t="shared" si="844"/>
        <v>1</v>
      </c>
      <c r="AH814" s="1291">
        <f>IF(B814&lt;&gt;"",+IF(H814="x",+VLOOKUP(I814,'AUX-NIV2'!B:AG,32,FALSE),0),"")</f>
        <v>0</v>
      </c>
      <c r="AI814" s="1291" t="str">
        <f t="shared" si="859"/>
        <v>0-ITJ002</v>
      </c>
      <c r="AK814" s="347">
        <f t="shared" si="845"/>
        <v>814</v>
      </c>
      <c r="AL814" s="348">
        <f t="shared" si="860"/>
        <v>814</v>
      </c>
      <c r="AM814" s="347">
        <f t="shared" si="861"/>
        <v>1</v>
      </c>
      <c r="AN814" s="382">
        <f>IF(AND(AH814&gt;0,B814&lt;&gt;""),VLOOKUP(I814,'AUX-NIV2'!$B:$AP,40,FALSE)*O814,0)</f>
        <v>0</v>
      </c>
      <c r="AO814" s="382">
        <f t="shared" si="846"/>
        <v>0</v>
      </c>
      <c r="AQ814" s="395">
        <f>(IF($H814="x",VLOOKUP($I814,'AUX-NIV2'!$B:$X,'AUX-NIV1'!AQ$3,FALSE),0)+($AV814*'AUX-NIV3'!S$4))*$O814+IF($H814=AQ$4,$P814,0)</f>
        <v>0</v>
      </c>
      <c r="AR814" s="395">
        <f>(IF($H814="x",VLOOKUP($I814,'AUX-NIV2'!$B:$X,'AUX-NIV1'!AR$3,FALSE),0)+($AV814*'AUX-NIV3'!T$4))*$O814+IF($H814=AR$4,$P814,0)</f>
        <v>0</v>
      </c>
      <c r="AS814" s="395">
        <f>(IF($H814="x",VLOOKUP($I814,'AUX-NIV2'!$B:$X,'AUX-NIV1'!AS$3,FALSE),0)+($AV814*'AUX-NIV3'!U$4))*$O814+IF($H814=AS$4,$P814,0)</f>
        <v>0</v>
      </c>
      <c r="AT814" s="395">
        <f>(IF($H814="x",VLOOKUP($I814,'AUX-NIV2'!$B:$X,'AUX-NIV1'!AT$3,FALSE),0)+($AV814*'AUX-NIV3'!V$4))*$O814+IF($H814=AT$4,$P814,0)</f>
        <v>0</v>
      </c>
      <c r="AU814" s="395">
        <f>(IF($H814="x",VLOOKUP($I814,'AUX-NIV2'!$B:$X,'AUX-NIV1'!AU$3,FALSE),0)+($AV814*'AUX-NIV3'!W$4))*$O814+IF($H814=AU$4,$P814,0)</f>
        <v>1</v>
      </c>
      <c r="AV814" s="395">
        <f>+IF($H814="x",VLOOKUP($I814,'AUX-NIV2'!$B:$X,'AUX-NIV1'!AV$3,FALSE),0)</f>
        <v>0</v>
      </c>
    </row>
    <row r="815" spans="2:48" ht="14.4" hidden="1" thickTop="1" thickBot="1">
      <c r="B815" s="501" t="s">
        <v>3935</v>
      </c>
      <c r="C815" s="951" t="s">
        <v>3952</v>
      </c>
      <c r="D815" s="1280" t="s">
        <v>610</v>
      </c>
      <c r="E815" s="1281">
        <f>IF(B815&lt;&gt;"",+SUMIF(Items!C:C,'AUX-NIV1'!B815,Items!H:H),"")</f>
        <v>0</v>
      </c>
      <c r="F815" s="1281">
        <f t="shared" si="836"/>
        <v>1</v>
      </c>
      <c r="G815" s="1281">
        <f t="shared" si="837"/>
        <v>0</v>
      </c>
      <c r="H815" s="1395" t="str">
        <f t="shared" ref="H815:H842" si="863">IF(B815&lt;&gt;"",+LEFT(I815,1),"")</f>
        <v>S</v>
      </c>
      <c r="I815" s="1375" t="s">
        <v>3956</v>
      </c>
      <c r="J815" s="1283" t="str">
        <f>IF(B815&lt;&gt;"",+VLOOKUP(I815,Recursos!C:F,2,FALSE),"")</f>
        <v>Puerta de seg. Acceso Back Office  2 hojas, enchapada cedro</v>
      </c>
      <c r="K815" s="1284" t="str">
        <f>IF(B815&lt;&gt;"",+VLOOKUP(I815,Recursos!C:F,3,FALSE),"")</f>
        <v>Un</v>
      </c>
      <c r="L815" s="1285">
        <f>IF(B815&lt;&gt;"",+VLOOKUP(I815,Recursos!C:F,4,FALSE),"")</f>
        <v>1</v>
      </c>
      <c r="M815" s="1293"/>
      <c r="N815" s="1294">
        <v>1</v>
      </c>
      <c r="O815" s="1286">
        <f t="shared" ref="O815:O842" si="864">N815</f>
        <v>1</v>
      </c>
      <c r="P815" s="1287">
        <f t="shared" ref="P815:P842" si="865">IF(B815&lt;&gt;"",O815*L815,"")</f>
        <v>1</v>
      </c>
      <c r="Q815" s="1281">
        <f t="shared" ref="Q815:Q842" si="866">IF(B815&lt;&gt;"",+O815*E815,"")</f>
        <v>0</v>
      </c>
      <c r="R815" s="1288">
        <f t="shared" ref="R815:R842" si="867">IF(B815&lt;&gt;"",Q815*L815,"")</f>
        <v>0</v>
      </c>
      <c r="S815" s="1289">
        <f t="shared" si="838"/>
        <v>0</v>
      </c>
      <c r="T815" s="1289">
        <f t="shared" si="839"/>
        <v>0</v>
      </c>
      <c r="U815" s="1290">
        <f t="shared" si="840"/>
        <v>0</v>
      </c>
      <c r="V815" s="1290">
        <f t="shared" si="841"/>
        <v>0</v>
      </c>
      <c r="W815" s="1290">
        <f t="shared" si="842"/>
        <v>1</v>
      </c>
      <c r="X815" s="1290">
        <f t="shared" si="843"/>
        <v>0</v>
      </c>
      <c r="Y815" s="396"/>
      <c r="Z815" s="1291" t="str">
        <f t="shared" ref="Z815:Z842" si="868">IF(B815&lt;&gt;"",+$B815&amp;"A","")</f>
        <v>0-ITJ003A</v>
      </c>
      <c r="AA815" s="1291" t="str">
        <f t="shared" ref="AA815:AA842" si="869">IF(B815&lt;&gt;"",+$B815&amp;"E","")</f>
        <v>0-ITJ003E</v>
      </c>
      <c r="AB815" s="1291" t="str">
        <f t="shared" ref="AB815:AB842" si="870">IF(B815&lt;&gt;"",++$B815&amp;"M","")</f>
        <v>0-ITJ003M</v>
      </c>
      <c r="AC815" s="1291" t="str">
        <f t="shared" ref="AC815:AC842" si="871">IF(B815&lt;&gt;"",+$B815&amp;"T","")</f>
        <v>0-ITJ003T</v>
      </c>
      <c r="AD815" s="1291" t="str">
        <f t="shared" ref="AD815:AD842" si="872">IF(B815&lt;&gt;"",+$B815&amp;"S","")</f>
        <v>0-ITJ003S</v>
      </c>
      <c r="AE815" s="1291" t="str">
        <f t="shared" ref="AE815:AE842" si="873">IF(B815&lt;&gt;"",+$B815&amp;"X","")</f>
        <v>0-ITJ003X</v>
      </c>
      <c r="AF815" s="1291" t="str">
        <f t="shared" ref="AF815:AF842" si="874">IF(B815&lt;&gt;"",+B815&amp;H815,"")</f>
        <v>0-ITJ003S</v>
      </c>
      <c r="AG815" s="1291">
        <f t="shared" si="844"/>
        <v>1</v>
      </c>
      <c r="AH815" s="1291">
        <f>IF(B815&lt;&gt;"",+IF(H815="x",+VLOOKUP(I815,'AUX-NIV2'!B:AG,32,FALSE),0),"")</f>
        <v>0</v>
      </c>
      <c r="AI815" s="1291" t="str">
        <f t="shared" ref="AI815:AI842" si="875">IF(B815&lt;&gt;"",+B815,"")</f>
        <v>0-ITJ003</v>
      </c>
      <c r="AK815" s="347">
        <f t="shared" si="845"/>
        <v>815</v>
      </c>
      <c r="AL815" s="348">
        <f t="shared" ref="AL815:AL842" si="876">IF(B815&lt;&gt;"",+AK815+AG815-1,"")</f>
        <v>815</v>
      </c>
      <c r="AM815" s="347">
        <f t="shared" ref="AM815:AM842" si="877">IF(B815&lt;&gt;"",IF(B815=B814,1+AM814,1),"")</f>
        <v>1</v>
      </c>
      <c r="AN815" s="382">
        <f>IF(AND(AH815&gt;0,B815&lt;&gt;""),VLOOKUP(I815,'AUX-NIV2'!$B:$AP,40,FALSE)*O815,0)</f>
        <v>0</v>
      </c>
      <c r="AO815" s="382">
        <f t="shared" si="846"/>
        <v>0</v>
      </c>
      <c r="AQ815" s="395">
        <f>(IF($H815="x",VLOOKUP($I815,'AUX-NIV2'!$B:$X,'AUX-NIV1'!AQ$3,FALSE),0)+($AV815*'AUX-NIV3'!S$4))*$O815+IF($H815=AQ$4,$P815,0)</f>
        <v>0</v>
      </c>
      <c r="AR815" s="395">
        <f>(IF($H815="x",VLOOKUP($I815,'AUX-NIV2'!$B:$X,'AUX-NIV1'!AR$3,FALSE),0)+($AV815*'AUX-NIV3'!T$4))*$O815+IF($H815=AR$4,$P815,0)</f>
        <v>0</v>
      </c>
      <c r="AS815" s="395">
        <f>(IF($H815="x",VLOOKUP($I815,'AUX-NIV2'!$B:$X,'AUX-NIV1'!AS$3,FALSE),0)+($AV815*'AUX-NIV3'!U$4))*$O815+IF($H815=AS$4,$P815,0)</f>
        <v>0</v>
      </c>
      <c r="AT815" s="395">
        <f>(IF($H815="x",VLOOKUP($I815,'AUX-NIV2'!$B:$X,'AUX-NIV1'!AT$3,FALSE),0)+($AV815*'AUX-NIV3'!V$4))*$O815+IF($H815=AT$4,$P815,0)</f>
        <v>0</v>
      </c>
      <c r="AU815" s="395">
        <f>(IF($H815="x",VLOOKUP($I815,'AUX-NIV2'!$B:$X,'AUX-NIV1'!AU$3,FALSE),0)+($AV815*'AUX-NIV3'!W$4))*$O815+IF($H815=AU$4,$P815,0)</f>
        <v>1</v>
      </c>
      <c r="AV815" s="395">
        <f>+IF($H815="x",VLOOKUP($I815,'AUX-NIV2'!$B:$X,'AUX-NIV1'!AV$3,FALSE),0)</f>
        <v>0</v>
      </c>
    </row>
    <row r="816" spans="2:48" ht="14.4" hidden="1" thickTop="1" thickBot="1">
      <c r="B816" s="501" t="s">
        <v>3936</v>
      </c>
      <c r="C816" s="951" t="s">
        <v>3539</v>
      </c>
      <c r="D816" s="1280" t="s">
        <v>610</v>
      </c>
      <c r="E816" s="1281">
        <f>IF(B816&lt;&gt;"",+SUMIF(Items!C:C,'AUX-NIV1'!B816,Items!H:H),"")</f>
        <v>0</v>
      </c>
      <c r="F816" s="1281">
        <f t="shared" si="836"/>
        <v>1</v>
      </c>
      <c r="G816" s="1281">
        <f t="shared" si="837"/>
        <v>0</v>
      </c>
      <c r="H816" s="1395" t="str">
        <f t="shared" si="863"/>
        <v>S</v>
      </c>
      <c r="I816" s="1375" t="s">
        <v>3957</v>
      </c>
      <c r="J816" s="1283" t="str">
        <f>IF(B816&lt;&gt;"",+VLOOKUP(I816,Recursos!C:F,2,FALSE),"")</f>
        <v>Reja metalica</v>
      </c>
      <c r="K816" s="1284" t="str">
        <f>IF(B816&lt;&gt;"",+VLOOKUP(I816,Recursos!C:F,3,FALSE),"")</f>
        <v>Un</v>
      </c>
      <c r="L816" s="1285">
        <f>IF(B816&lt;&gt;"",+VLOOKUP(I816,Recursos!C:F,4,FALSE),"")</f>
        <v>1</v>
      </c>
      <c r="M816" s="1293"/>
      <c r="N816" s="1294">
        <v>1</v>
      </c>
      <c r="O816" s="1286">
        <f t="shared" si="864"/>
        <v>1</v>
      </c>
      <c r="P816" s="1287">
        <f t="shared" si="865"/>
        <v>1</v>
      </c>
      <c r="Q816" s="1281">
        <f t="shared" si="866"/>
        <v>0</v>
      </c>
      <c r="R816" s="1288">
        <f t="shared" si="867"/>
        <v>0</v>
      </c>
      <c r="S816" s="1289">
        <f t="shared" si="838"/>
        <v>0</v>
      </c>
      <c r="T816" s="1289">
        <f t="shared" si="839"/>
        <v>0</v>
      </c>
      <c r="U816" s="1290">
        <f t="shared" si="840"/>
        <v>0</v>
      </c>
      <c r="V816" s="1290">
        <f t="shared" si="841"/>
        <v>0</v>
      </c>
      <c r="W816" s="1290">
        <f t="shared" si="842"/>
        <v>1</v>
      </c>
      <c r="X816" s="1290">
        <f t="shared" si="843"/>
        <v>0</v>
      </c>
      <c r="Y816" s="396"/>
      <c r="Z816" s="1291" t="str">
        <f t="shared" si="868"/>
        <v>0-ITJ004A</v>
      </c>
      <c r="AA816" s="1291" t="str">
        <f t="shared" si="869"/>
        <v>0-ITJ004E</v>
      </c>
      <c r="AB816" s="1291" t="str">
        <f t="shared" si="870"/>
        <v>0-ITJ004M</v>
      </c>
      <c r="AC816" s="1291" t="str">
        <f t="shared" si="871"/>
        <v>0-ITJ004T</v>
      </c>
      <c r="AD816" s="1291" t="str">
        <f t="shared" si="872"/>
        <v>0-ITJ004S</v>
      </c>
      <c r="AE816" s="1291" t="str">
        <f t="shared" si="873"/>
        <v>0-ITJ004X</v>
      </c>
      <c r="AF816" s="1291" t="str">
        <f t="shared" si="874"/>
        <v>0-ITJ004S</v>
      </c>
      <c r="AG816" s="1291">
        <f t="shared" si="844"/>
        <v>1</v>
      </c>
      <c r="AH816" s="1291">
        <f>IF(B816&lt;&gt;"",+IF(H816="x",+VLOOKUP(I816,'AUX-NIV2'!B:AG,32,FALSE),0),"")</f>
        <v>0</v>
      </c>
      <c r="AI816" s="1291" t="str">
        <f t="shared" si="875"/>
        <v>0-ITJ004</v>
      </c>
      <c r="AK816" s="347">
        <f t="shared" si="845"/>
        <v>816</v>
      </c>
      <c r="AL816" s="348">
        <f t="shared" si="876"/>
        <v>816</v>
      </c>
      <c r="AM816" s="347">
        <f t="shared" si="877"/>
        <v>1</v>
      </c>
      <c r="AN816" s="382">
        <f>IF(AND(AH816&gt;0,B816&lt;&gt;""),VLOOKUP(I816,'AUX-NIV2'!$B:$AP,40,FALSE)*O816,0)</f>
        <v>0</v>
      </c>
      <c r="AO816" s="382">
        <f t="shared" si="846"/>
        <v>0</v>
      </c>
      <c r="AQ816" s="395">
        <f>(IF($H816="x",VLOOKUP($I816,'AUX-NIV2'!$B:$X,'AUX-NIV1'!AQ$3,FALSE),0)+($AV816*'AUX-NIV3'!S$4))*$O816+IF($H816=AQ$4,$P816,0)</f>
        <v>0</v>
      </c>
      <c r="AR816" s="395">
        <f>(IF($H816="x",VLOOKUP($I816,'AUX-NIV2'!$B:$X,'AUX-NIV1'!AR$3,FALSE),0)+($AV816*'AUX-NIV3'!T$4))*$O816+IF($H816=AR$4,$P816,0)</f>
        <v>0</v>
      </c>
      <c r="AS816" s="395">
        <f>(IF($H816="x",VLOOKUP($I816,'AUX-NIV2'!$B:$X,'AUX-NIV1'!AS$3,FALSE),0)+($AV816*'AUX-NIV3'!U$4))*$O816+IF($H816=AS$4,$P816,0)</f>
        <v>0</v>
      </c>
      <c r="AT816" s="395">
        <f>(IF($H816="x",VLOOKUP($I816,'AUX-NIV2'!$B:$X,'AUX-NIV1'!AT$3,FALSE),0)+($AV816*'AUX-NIV3'!V$4))*$O816+IF($H816=AT$4,$P816,0)</f>
        <v>0</v>
      </c>
      <c r="AU816" s="395">
        <f>(IF($H816="x",VLOOKUP($I816,'AUX-NIV2'!$B:$X,'AUX-NIV1'!AU$3,FALSE),0)+($AV816*'AUX-NIV3'!W$4))*$O816+IF($H816=AU$4,$P816,0)</f>
        <v>1</v>
      </c>
      <c r="AV816" s="395">
        <f>+IF($H816="x",VLOOKUP($I816,'AUX-NIV2'!$B:$X,'AUX-NIV1'!AV$3,FALSE),0)</f>
        <v>0</v>
      </c>
    </row>
    <row r="817" spans="2:48" ht="14.4" hidden="1" thickTop="1" thickBot="1">
      <c r="B817" s="501" t="s">
        <v>3937</v>
      </c>
      <c r="C817" s="951" t="s">
        <v>3540</v>
      </c>
      <c r="D817" s="1280" t="s">
        <v>610</v>
      </c>
      <c r="E817" s="1281">
        <f>IF(B817&lt;&gt;"",+SUMIF(Items!C:C,'AUX-NIV1'!B817,Items!H:H),"")</f>
        <v>0</v>
      </c>
      <c r="F817" s="1281">
        <f t="shared" si="836"/>
        <v>1</v>
      </c>
      <c r="G817" s="1281">
        <f t="shared" si="837"/>
        <v>0</v>
      </c>
      <c r="H817" s="1395" t="str">
        <f t="shared" si="863"/>
        <v>S</v>
      </c>
      <c r="I817" s="1375" t="s">
        <v>3958</v>
      </c>
      <c r="J817" s="1283" t="str">
        <f>IF(B817&lt;&gt;"",+VLOOKUP(I817,Recursos!C:F,2,FALSE),"")</f>
        <v>Porta Asta y mástil</v>
      </c>
      <c r="K817" s="1284" t="str">
        <f>IF(B817&lt;&gt;"",+VLOOKUP(I817,Recursos!C:F,3,FALSE),"")</f>
        <v>Un</v>
      </c>
      <c r="L817" s="1285">
        <f>IF(B817&lt;&gt;"",+VLOOKUP(I817,Recursos!C:F,4,FALSE),"")</f>
        <v>1</v>
      </c>
      <c r="M817" s="1293"/>
      <c r="N817" s="1294">
        <v>1</v>
      </c>
      <c r="O817" s="1286">
        <f t="shared" si="864"/>
        <v>1</v>
      </c>
      <c r="P817" s="1287">
        <f t="shared" si="865"/>
        <v>1</v>
      </c>
      <c r="Q817" s="1281">
        <f t="shared" si="866"/>
        <v>0</v>
      </c>
      <c r="R817" s="1288">
        <f t="shared" si="867"/>
        <v>0</v>
      </c>
      <c r="S817" s="1289">
        <f t="shared" si="838"/>
        <v>0</v>
      </c>
      <c r="T817" s="1289">
        <f t="shared" si="839"/>
        <v>0</v>
      </c>
      <c r="U817" s="1290">
        <f t="shared" si="840"/>
        <v>0</v>
      </c>
      <c r="V817" s="1290">
        <f t="shared" si="841"/>
        <v>0</v>
      </c>
      <c r="W817" s="1290">
        <f t="shared" si="842"/>
        <v>1</v>
      </c>
      <c r="X817" s="1290">
        <f t="shared" si="843"/>
        <v>0</v>
      </c>
      <c r="Y817" s="396"/>
      <c r="Z817" s="1291" t="str">
        <f t="shared" si="868"/>
        <v>0-ITJ005A</v>
      </c>
      <c r="AA817" s="1291" t="str">
        <f t="shared" si="869"/>
        <v>0-ITJ005E</v>
      </c>
      <c r="AB817" s="1291" t="str">
        <f t="shared" si="870"/>
        <v>0-ITJ005M</v>
      </c>
      <c r="AC817" s="1291" t="str">
        <f t="shared" si="871"/>
        <v>0-ITJ005T</v>
      </c>
      <c r="AD817" s="1291" t="str">
        <f t="shared" si="872"/>
        <v>0-ITJ005S</v>
      </c>
      <c r="AE817" s="1291" t="str">
        <f t="shared" si="873"/>
        <v>0-ITJ005X</v>
      </c>
      <c r="AF817" s="1291" t="str">
        <f t="shared" si="874"/>
        <v>0-ITJ005S</v>
      </c>
      <c r="AG817" s="1291">
        <f t="shared" si="844"/>
        <v>1</v>
      </c>
      <c r="AH817" s="1291">
        <f>IF(B817&lt;&gt;"",+IF(H817="x",+VLOOKUP(I817,'AUX-NIV2'!B:AG,32,FALSE),0),"")</f>
        <v>0</v>
      </c>
      <c r="AI817" s="1291" t="str">
        <f t="shared" si="875"/>
        <v>0-ITJ005</v>
      </c>
      <c r="AK817" s="347">
        <f t="shared" si="845"/>
        <v>817</v>
      </c>
      <c r="AL817" s="348">
        <f t="shared" si="876"/>
        <v>817</v>
      </c>
      <c r="AM817" s="347">
        <f t="shared" si="877"/>
        <v>1</v>
      </c>
      <c r="AN817" s="382">
        <f>IF(AND(AH817&gt;0,B817&lt;&gt;""),VLOOKUP(I817,'AUX-NIV2'!$B:$AP,40,FALSE)*O817,0)</f>
        <v>0</v>
      </c>
      <c r="AO817" s="382">
        <f t="shared" si="846"/>
        <v>0</v>
      </c>
      <c r="AQ817" s="395">
        <f>(IF($H817="x",VLOOKUP($I817,'AUX-NIV2'!$B:$X,'AUX-NIV1'!AQ$3,FALSE),0)+($AV817*'AUX-NIV3'!S$4))*$O817+IF($H817=AQ$4,$P817,0)</f>
        <v>0</v>
      </c>
      <c r="AR817" s="395">
        <f>(IF($H817="x",VLOOKUP($I817,'AUX-NIV2'!$B:$X,'AUX-NIV1'!AR$3,FALSE),0)+($AV817*'AUX-NIV3'!T$4))*$O817+IF($H817=AR$4,$P817,0)</f>
        <v>0</v>
      </c>
      <c r="AS817" s="395">
        <f>(IF($H817="x",VLOOKUP($I817,'AUX-NIV2'!$B:$X,'AUX-NIV1'!AS$3,FALSE),0)+($AV817*'AUX-NIV3'!U$4))*$O817+IF($H817=AS$4,$P817,0)</f>
        <v>0</v>
      </c>
      <c r="AT817" s="395">
        <f>(IF($H817="x",VLOOKUP($I817,'AUX-NIV2'!$B:$X,'AUX-NIV1'!AT$3,FALSE),0)+($AV817*'AUX-NIV3'!V$4))*$O817+IF($H817=AT$4,$P817,0)</f>
        <v>0</v>
      </c>
      <c r="AU817" s="395">
        <f>(IF($H817="x",VLOOKUP($I817,'AUX-NIV2'!$B:$X,'AUX-NIV1'!AU$3,FALSE),0)+($AV817*'AUX-NIV3'!W$4))*$O817+IF($H817=AU$4,$P817,0)</f>
        <v>1</v>
      </c>
      <c r="AV817" s="395">
        <f>+IF($H817="x",VLOOKUP($I817,'AUX-NIV2'!$B:$X,'AUX-NIV1'!AV$3,FALSE),0)</f>
        <v>0</v>
      </c>
    </row>
    <row r="818" spans="2:48" ht="14.4" hidden="1" thickTop="1" thickBot="1">
      <c r="B818" s="501" t="s">
        <v>3938</v>
      </c>
      <c r="C818" s="951" t="s">
        <v>3541</v>
      </c>
      <c r="D818" s="1280" t="s">
        <v>610</v>
      </c>
      <c r="E818" s="1281">
        <f>IF(B818&lt;&gt;"",+SUMIF(Items!C:C,'AUX-NIV1'!B818,Items!H:H),"")</f>
        <v>0</v>
      </c>
      <c r="F818" s="1281">
        <f t="shared" si="836"/>
        <v>1</v>
      </c>
      <c r="G818" s="1281">
        <f t="shared" si="837"/>
        <v>0</v>
      </c>
      <c r="H818" s="1395" t="str">
        <f t="shared" si="863"/>
        <v>S</v>
      </c>
      <c r="I818" s="1375" t="s">
        <v>3959</v>
      </c>
      <c r="J818" s="1283" t="str">
        <f>IF(B818&lt;&gt;"",+VLOOKUP(I818,Recursos!C:F,2,FALSE),"")</f>
        <v>Guardacantos de hierro o aluminio</v>
      </c>
      <c r="K818" s="1284" t="str">
        <f>IF(B818&lt;&gt;"",+VLOOKUP(I818,Recursos!C:F,3,FALSE),"")</f>
        <v>Un</v>
      </c>
      <c r="L818" s="1285">
        <f>IF(B818&lt;&gt;"",+VLOOKUP(I818,Recursos!C:F,4,FALSE),"")</f>
        <v>1</v>
      </c>
      <c r="M818" s="1293"/>
      <c r="N818" s="1294">
        <v>1</v>
      </c>
      <c r="O818" s="1286">
        <f t="shared" si="864"/>
        <v>1</v>
      </c>
      <c r="P818" s="1287">
        <f t="shared" si="865"/>
        <v>1</v>
      </c>
      <c r="Q818" s="1281">
        <f t="shared" si="866"/>
        <v>0</v>
      </c>
      <c r="R818" s="1288">
        <f t="shared" si="867"/>
        <v>0</v>
      </c>
      <c r="S818" s="1289">
        <f t="shared" si="838"/>
        <v>0</v>
      </c>
      <c r="T818" s="1289">
        <f t="shared" si="839"/>
        <v>0</v>
      </c>
      <c r="U818" s="1290">
        <f t="shared" si="840"/>
        <v>0</v>
      </c>
      <c r="V818" s="1290">
        <f t="shared" si="841"/>
        <v>0</v>
      </c>
      <c r="W818" s="1290">
        <f t="shared" si="842"/>
        <v>1</v>
      </c>
      <c r="X818" s="1290">
        <f t="shared" si="843"/>
        <v>0</v>
      </c>
      <c r="Y818" s="396"/>
      <c r="Z818" s="1291" t="str">
        <f t="shared" si="868"/>
        <v>0-ITJ006A</v>
      </c>
      <c r="AA818" s="1291" t="str">
        <f t="shared" si="869"/>
        <v>0-ITJ006E</v>
      </c>
      <c r="AB818" s="1291" t="str">
        <f t="shared" si="870"/>
        <v>0-ITJ006M</v>
      </c>
      <c r="AC818" s="1291" t="str">
        <f t="shared" si="871"/>
        <v>0-ITJ006T</v>
      </c>
      <c r="AD818" s="1291" t="str">
        <f t="shared" si="872"/>
        <v>0-ITJ006S</v>
      </c>
      <c r="AE818" s="1291" t="str">
        <f t="shared" si="873"/>
        <v>0-ITJ006X</v>
      </c>
      <c r="AF818" s="1291" t="str">
        <f t="shared" si="874"/>
        <v>0-ITJ006S</v>
      </c>
      <c r="AG818" s="1291">
        <f t="shared" si="844"/>
        <v>1</v>
      </c>
      <c r="AH818" s="1291">
        <f>IF(B818&lt;&gt;"",+IF(H818="x",+VLOOKUP(I818,'AUX-NIV2'!B:AG,32,FALSE),0),"")</f>
        <v>0</v>
      </c>
      <c r="AI818" s="1291" t="str">
        <f t="shared" si="875"/>
        <v>0-ITJ006</v>
      </c>
      <c r="AK818" s="347">
        <f t="shared" si="845"/>
        <v>818</v>
      </c>
      <c r="AL818" s="348">
        <f t="shared" si="876"/>
        <v>818</v>
      </c>
      <c r="AM818" s="347">
        <f t="shared" si="877"/>
        <v>1</v>
      </c>
      <c r="AN818" s="382">
        <f>IF(AND(AH818&gt;0,B818&lt;&gt;""),VLOOKUP(I818,'AUX-NIV2'!$B:$AP,40,FALSE)*O818,0)</f>
        <v>0</v>
      </c>
      <c r="AO818" s="382">
        <f t="shared" si="846"/>
        <v>0</v>
      </c>
      <c r="AQ818" s="395">
        <f>(IF($H818="x",VLOOKUP($I818,'AUX-NIV2'!$B:$X,'AUX-NIV1'!AQ$3,FALSE),0)+($AV818*'AUX-NIV3'!S$4))*$O818+IF($H818=AQ$4,$P818,0)</f>
        <v>0</v>
      </c>
      <c r="AR818" s="395">
        <f>(IF($H818="x",VLOOKUP($I818,'AUX-NIV2'!$B:$X,'AUX-NIV1'!AR$3,FALSE),0)+($AV818*'AUX-NIV3'!T$4))*$O818+IF($H818=AR$4,$P818,0)</f>
        <v>0</v>
      </c>
      <c r="AS818" s="395">
        <f>(IF($H818="x",VLOOKUP($I818,'AUX-NIV2'!$B:$X,'AUX-NIV1'!AS$3,FALSE),0)+($AV818*'AUX-NIV3'!U$4))*$O818+IF($H818=AS$4,$P818,0)</f>
        <v>0</v>
      </c>
      <c r="AT818" s="395">
        <f>(IF($H818="x",VLOOKUP($I818,'AUX-NIV2'!$B:$X,'AUX-NIV1'!AT$3,FALSE),0)+($AV818*'AUX-NIV3'!V$4))*$O818+IF($H818=AT$4,$P818,0)</f>
        <v>0</v>
      </c>
      <c r="AU818" s="395">
        <f>(IF($H818="x",VLOOKUP($I818,'AUX-NIV2'!$B:$X,'AUX-NIV1'!AU$3,FALSE),0)+($AV818*'AUX-NIV3'!W$4))*$O818+IF($H818=AU$4,$P818,0)</f>
        <v>1</v>
      </c>
      <c r="AV818" s="395">
        <f>+IF($H818="x",VLOOKUP($I818,'AUX-NIV2'!$B:$X,'AUX-NIV1'!AV$3,FALSE),0)</f>
        <v>0</v>
      </c>
    </row>
    <row r="819" spans="2:48" ht="14.4" hidden="1" thickTop="1" thickBot="1">
      <c r="B819" s="501" t="s">
        <v>3939</v>
      </c>
      <c r="C819" s="951" t="s">
        <v>3953</v>
      </c>
      <c r="D819" s="1280" t="s">
        <v>610</v>
      </c>
      <c r="E819" s="1281">
        <f>IF(B819&lt;&gt;"",+SUMIF(Items!C:C,'AUX-NIV1'!B819,Items!H:H),"")</f>
        <v>0</v>
      </c>
      <c r="F819" s="1281">
        <f t="shared" si="836"/>
        <v>1</v>
      </c>
      <c r="G819" s="1281">
        <f t="shared" si="837"/>
        <v>0</v>
      </c>
      <c r="H819" s="1395" t="str">
        <f t="shared" si="863"/>
        <v>S</v>
      </c>
      <c r="I819" s="1375" t="s">
        <v>3960</v>
      </c>
      <c r="J819" s="1283" t="str">
        <f>IF(B819&lt;&gt;"",+VLOOKUP(I819,Recursos!C:F,2,FALSE),"")</f>
        <v>Cortina de enrollar en Tablillas Galvanizadas Reforzadas</v>
      </c>
      <c r="K819" s="1284" t="str">
        <f>IF(B819&lt;&gt;"",+VLOOKUP(I819,Recursos!C:F,3,FALSE),"")</f>
        <v>Un</v>
      </c>
      <c r="L819" s="1285">
        <f>IF(B819&lt;&gt;"",+VLOOKUP(I819,Recursos!C:F,4,FALSE),"")</f>
        <v>1</v>
      </c>
      <c r="M819" s="1293"/>
      <c r="N819" s="1294">
        <v>1</v>
      </c>
      <c r="O819" s="1286">
        <f t="shared" si="864"/>
        <v>1</v>
      </c>
      <c r="P819" s="1287">
        <f t="shared" si="865"/>
        <v>1</v>
      </c>
      <c r="Q819" s="1281">
        <f t="shared" si="866"/>
        <v>0</v>
      </c>
      <c r="R819" s="1288">
        <f t="shared" si="867"/>
        <v>0</v>
      </c>
      <c r="S819" s="1289">
        <f t="shared" si="838"/>
        <v>0</v>
      </c>
      <c r="T819" s="1289">
        <f t="shared" si="839"/>
        <v>0</v>
      </c>
      <c r="U819" s="1290">
        <f t="shared" si="840"/>
        <v>0</v>
      </c>
      <c r="V819" s="1290">
        <f t="shared" si="841"/>
        <v>0</v>
      </c>
      <c r="W819" s="1290">
        <f t="shared" si="842"/>
        <v>1</v>
      </c>
      <c r="X819" s="1290">
        <f t="shared" si="843"/>
        <v>0</v>
      </c>
      <c r="Y819" s="396"/>
      <c r="Z819" s="1291" t="str">
        <f t="shared" si="868"/>
        <v>0-ITJ007A</v>
      </c>
      <c r="AA819" s="1291" t="str">
        <f t="shared" si="869"/>
        <v>0-ITJ007E</v>
      </c>
      <c r="AB819" s="1291" t="str">
        <f t="shared" si="870"/>
        <v>0-ITJ007M</v>
      </c>
      <c r="AC819" s="1291" t="str">
        <f t="shared" si="871"/>
        <v>0-ITJ007T</v>
      </c>
      <c r="AD819" s="1291" t="str">
        <f t="shared" si="872"/>
        <v>0-ITJ007S</v>
      </c>
      <c r="AE819" s="1291" t="str">
        <f t="shared" si="873"/>
        <v>0-ITJ007X</v>
      </c>
      <c r="AF819" s="1291" t="str">
        <f t="shared" si="874"/>
        <v>0-ITJ007S</v>
      </c>
      <c r="AG819" s="1291">
        <f t="shared" si="844"/>
        <v>1</v>
      </c>
      <c r="AH819" s="1291">
        <f>IF(B819&lt;&gt;"",+IF(H819="x",+VLOOKUP(I819,'AUX-NIV2'!B:AG,32,FALSE),0),"")</f>
        <v>0</v>
      </c>
      <c r="AI819" s="1291" t="str">
        <f t="shared" si="875"/>
        <v>0-ITJ007</v>
      </c>
      <c r="AK819" s="347">
        <f t="shared" si="845"/>
        <v>819</v>
      </c>
      <c r="AL819" s="348">
        <f t="shared" si="876"/>
        <v>819</v>
      </c>
      <c r="AM819" s="347">
        <f t="shared" si="877"/>
        <v>1</v>
      </c>
      <c r="AN819" s="382">
        <f>IF(AND(AH819&gt;0,B819&lt;&gt;""),VLOOKUP(I819,'AUX-NIV2'!$B:$AP,40,FALSE)*O819,0)</f>
        <v>0</v>
      </c>
      <c r="AO819" s="382">
        <f t="shared" si="846"/>
        <v>0</v>
      </c>
      <c r="AQ819" s="395">
        <f>(IF($H819="x",VLOOKUP($I819,'AUX-NIV2'!$B:$X,'AUX-NIV1'!AQ$3,FALSE),0)+($AV819*'AUX-NIV3'!S$4))*$O819+IF($H819=AQ$4,$P819,0)</f>
        <v>0</v>
      </c>
      <c r="AR819" s="395">
        <f>(IF($H819="x",VLOOKUP($I819,'AUX-NIV2'!$B:$X,'AUX-NIV1'!AR$3,FALSE),0)+($AV819*'AUX-NIV3'!T$4))*$O819+IF($H819=AR$4,$P819,0)</f>
        <v>0</v>
      </c>
      <c r="AS819" s="395">
        <f>(IF($H819="x",VLOOKUP($I819,'AUX-NIV2'!$B:$X,'AUX-NIV1'!AS$3,FALSE),0)+($AV819*'AUX-NIV3'!U$4))*$O819+IF($H819=AS$4,$P819,0)</f>
        <v>0</v>
      </c>
      <c r="AT819" s="395">
        <f>(IF($H819="x",VLOOKUP($I819,'AUX-NIV2'!$B:$X,'AUX-NIV1'!AT$3,FALSE),0)+($AV819*'AUX-NIV3'!V$4))*$O819+IF($H819=AT$4,$P819,0)</f>
        <v>0</v>
      </c>
      <c r="AU819" s="395">
        <f>(IF($H819="x",VLOOKUP($I819,'AUX-NIV2'!$B:$X,'AUX-NIV1'!AU$3,FALSE),0)+($AV819*'AUX-NIV3'!W$4))*$O819+IF($H819=AU$4,$P819,0)</f>
        <v>1</v>
      </c>
      <c r="AV819" s="395">
        <f>+IF($H819="x",VLOOKUP($I819,'AUX-NIV2'!$B:$X,'AUX-NIV1'!AV$3,FALSE),0)</f>
        <v>0</v>
      </c>
    </row>
    <row r="820" spans="2:48" ht="14.4" hidden="1" thickTop="1" thickBot="1">
      <c r="B820" s="501" t="s">
        <v>3940</v>
      </c>
      <c r="C820" s="951" t="s">
        <v>3542</v>
      </c>
      <c r="D820" s="1280" t="s">
        <v>610</v>
      </c>
      <c r="E820" s="1281">
        <f>IF(B820&lt;&gt;"",+SUMIF(Items!C:C,'AUX-NIV1'!B820,Items!H:H),"")</f>
        <v>0</v>
      </c>
      <c r="F820" s="1281">
        <f t="shared" si="836"/>
        <v>1</v>
      </c>
      <c r="G820" s="1281">
        <f t="shared" si="837"/>
        <v>0</v>
      </c>
      <c r="H820" s="1395" t="str">
        <f t="shared" si="863"/>
        <v>S</v>
      </c>
      <c r="I820" s="1375" t="s">
        <v>3961</v>
      </c>
      <c r="J820" s="1283" t="str">
        <f>IF(B820&lt;&gt;"",+VLOOKUP(I820,Recursos!C:F,2,FALSE),"")</f>
        <v>Colocación de puerta bunker</v>
      </c>
      <c r="K820" s="1284" t="str">
        <f>IF(B820&lt;&gt;"",+VLOOKUP(I820,Recursos!C:F,3,FALSE),"")</f>
        <v>Un</v>
      </c>
      <c r="L820" s="1285">
        <f>IF(B820&lt;&gt;"",+VLOOKUP(I820,Recursos!C:F,4,FALSE),"")</f>
        <v>1</v>
      </c>
      <c r="M820" s="1293"/>
      <c r="N820" s="1294">
        <v>1</v>
      </c>
      <c r="O820" s="1286">
        <f t="shared" si="864"/>
        <v>1</v>
      </c>
      <c r="P820" s="1287">
        <f t="shared" si="865"/>
        <v>1</v>
      </c>
      <c r="Q820" s="1281">
        <f t="shared" si="866"/>
        <v>0</v>
      </c>
      <c r="R820" s="1288">
        <f t="shared" si="867"/>
        <v>0</v>
      </c>
      <c r="S820" s="1289">
        <f t="shared" si="838"/>
        <v>0</v>
      </c>
      <c r="T820" s="1289">
        <f t="shared" si="839"/>
        <v>0</v>
      </c>
      <c r="U820" s="1290">
        <f t="shared" si="840"/>
        <v>0</v>
      </c>
      <c r="V820" s="1290">
        <f t="shared" si="841"/>
        <v>0</v>
      </c>
      <c r="W820" s="1290">
        <f t="shared" si="842"/>
        <v>1</v>
      </c>
      <c r="X820" s="1290">
        <f t="shared" si="843"/>
        <v>0</v>
      </c>
      <c r="Y820" s="396"/>
      <c r="Z820" s="1291" t="str">
        <f t="shared" si="868"/>
        <v>0-ITJ008A</v>
      </c>
      <c r="AA820" s="1291" t="str">
        <f t="shared" si="869"/>
        <v>0-ITJ008E</v>
      </c>
      <c r="AB820" s="1291" t="str">
        <f t="shared" si="870"/>
        <v>0-ITJ008M</v>
      </c>
      <c r="AC820" s="1291" t="str">
        <f t="shared" si="871"/>
        <v>0-ITJ008T</v>
      </c>
      <c r="AD820" s="1291" t="str">
        <f t="shared" si="872"/>
        <v>0-ITJ008S</v>
      </c>
      <c r="AE820" s="1291" t="str">
        <f t="shared" si="873"/>
        <v>0-ITJ008X</v>
      </c>
      <c r="AF820" s="1291" t="str">
        <f t="shared" si="874"/>
        <v>0-ITJ008S</v>
      </c>
      <c r="AG820" s="1291">
        <f t="shared" si="844"/>
        <v>1</v>
      </c>
      <c r="AH820" s="1291">
        <f>IF(B820&lt;&gt;"",+IF(H820="x",+VLOOKUP(I820,'AUX-NIV2'!B:AG,32,FALSE),0),"")</f>
        <v>0</v>
      </c>
      <c r="AI820" s="1291" t="str">
        <f t="shared" si="875"/>
        <v>0-ITJ008</v>
      </c>
      <c r="AK820" s="347">
        <f t="shared" si="845"/>
        <v>820</v>
      </c>
      <c r="AL820" s="348">
        <f t="shared" si="876"/>
        <v>820</v>
      </c>
      <c r="AM820" s="347">
        <f t="shared" si="877"/>
        <v>1</v>
      </c>
      <c r="AN820" s="382">
        <f>IF(AND(AH820&gt;0,B820&lt;&gt;""),VLOOKUP(I820,'AUX-NIV2'!$B:$AP,40,FALSE)*O820,0)</f>
        <v>0</v>
      </c>
      <c r="AO820" s="382">
        <f t="shared" si="846"/>
        <v>0</v>
      </c>
      <c r="AQ820" s="395">
        <f>(IF($H820="x",VLOOKUP($I820,'AUX-NIV2'!$B:$X,'AUX-NIV1'!AQ$3,FALSE),0)+($AV820*'AUX-NIV3'!S$4))*$O820+IF($H820=AQ$4,$P820,0)</f>
        <v>0</v>
      </c>
      <c r="AR820" s="395">
        <f>(IF($H820="x",VLOOKUP($I820,'AUX-NIV2'!$B:$X,'AUX-NIV1'!AR$3,FALSE),0)+($AV820*'AUX-NIV3'!T$4))*$O820+IF($H820=AR$4,$P820,0)</f>
        <v>0</v>
      </c>
      <c r="AS820" s="395">
        <f>(IF($H820="x",VLOOKUP($I820,'AUX-NIV2'!$B:$X,'AUX-NIV1'!AS$3,FALSE),0)+($AV820*'AUX-NIV3'!U$4))*$O820+IF($H820=AS$4,$P820,0)</f>
        <v>0</v>
      </c>
      <c r="AT820" s="395">
        <f>(IF($H820="x",VLOOKUP($I820,'AUX-NIV2'!$B:$X,'AUX-NIV1'!AT$3,FALSE),0)+($AV820*'AUX-NIV3'!V$4))*$O820+IF($H820=AT$4,$P820,0)</f>
        <v>0</v>
      </c>
      <c r="AU820" s="395">
        <f>(IF($H820="x",VLOOKUP($I820,'AUX-NIV2'!$B:$X,'AUX-NIV1'!AU$3,FALSE),0)+($AV820*'AUX-NIV3'!W$4))*$O820+IF($H820=AU$4,$P820,0)</f>
        <v>1</v>
      </c>
      <c r="AV820" s="395">
        <f>+IF($H820="x",VLOOKUP($I820,'AUX-NIV2'!$B:$X,'AUX-NIV1'!AV$3,FALSE),0)</f>
        <v>0</v>
      </c>
    </row>
    <row r="821" spans="2:48" ht="14.4" hidden="1" thickTop="1" thickBot="1">
      <c r="B821" s="501" t="s">
        <v>3941</v>
      </c>
      <c r="C821" s="951" t="s">
        <v>3543</v>
      </c>
      <c r="D821" s="1280" t="s">
        <v>610</v>
      </c>
      <c r="E821" s="1281">
        <f>IF(B821&lt;&gt;"",+SUMIF(Items!C:C,'AUX-NIV1'!B821,Items!H:H),"")</f>
        <v>0</v>
      </c>
      <c r="F821" s="1281">
        <f t="shared" si="836"/>
        <v>1</v>
      </c>
      <c r="G821" s="1281">
        <f t="shared" si="837"/>
        <v>0</v>
      </c>
      <c r="H821" s="1395" t="str">
        <f t="shared" si="863"/>
        <v>S</v>
      </c>
      <c r="I821" s="1375" t="s">
        <v>3962</v>
      </c>
      <c r="J821" s="1283" t="str">
        <f>IF(B821&lt;&gt;"",+VLOOKUP(I821,Recursos!C:F,2,FALSE),"")</f>
        <v>Pasamanos/Baranda escalera H°N°</v>
      </c>
      <c r="K821" s="1284" t="str">
        <f>IF(B821&lt;&gt;"",+VLOOKUP(I821,Recursos!C:F,3,FALSE),"")</f>
        <v>Un</v>
      </c>
      <c r="L821" s="1285">
        <f>IF(B821&lt;&gt;"",+VLOOKUP(I821,Recursos!C:F,4,FALSE),"")</f>
        <v>1</v>
      </c>
      <c r="M821" s="1293"/>
      <c r="N821" s="1294">
        <v>1</v>
      </c>
      <c r="O821" s="1286">
        <f t="shared" si="864"/>
        <v>1</v>
      </c>
      <c r="P821" s="1287">
        <f t="shared" si="865"/>
        <v>1</v>
      </c>
      <c r="Q821" s="1281">
        <f t="shared" si="866"/>
        <v>0</v>
      </c>
      <c r="R821" s="1288">
        <f t="shared" si="867"/>
        <v>0</v>
      </c>
      <c r="S821" s="1289">
        <f t="shared" si="838"/>
        <v>0</v>
      </c>
      <c r="T821" s="1289">
        <f t="shared" si="839"/>
        <v>0</v>
      </c>
      <c r="U821" s="1290">
        <f t="shared" si="840"/>
        <v>0</v>
      </c>
      <c r="V821" s="1290">
        <f t="shared" si="841"/>
        <v>0</v>
      </c>
      <c r="W821" s="1290">
        <f t="shared" si="842"/>
        <v>1</v>
      </c>
      <c r="X821" s="1290">
        <f t="shared" si="843"/>
        <v>0</v>
      </c>
      <c r="Y821" s="396"/>
      <c r="Z821" s="1291" t="str">
        <f t="shared" si="868"/>
        <v>0-ITJ009A</v>
      </c>
      <c r="AA821" s="1291" t="str">
        <f t="shared" si="869"/>
        <v>0-ITJ009E</v>
      </c>
      <c r="AB821" s="1291" t="str">
        <f t="shared" si="870"/>
        <v>0-ITJ009M</v>
      </c>
      <c r="AC821" s="1291" t="str">
        <f t="shared" si="871"/>
        <v>0-ITJ009T</v>
      </c>
      <c r="AD821" s="1291" t="str">
        <f t="shared" si="872"/>
        <v>0-ITJ009S</v>
      </c>
      <c r="AE821" s="1291" t="str">
        <f t="shared" si="873"/>
        <v>0-ITJ009X</v>
      </c>
      <c r="AF821" s="1291" t="str">
        <f t="shared" si="874"/>
        <v>0-ITJ009S</v>
      </c>
      <c r="AG821" s="1291">
        <f t="shared" si="844"/>
        <v>1</v>
      </c>
      <c r="AH821" s="1291">
        <f>IF(B821&lt;&gt;"",+IF(H821="x",+VLOOKUP(I821,'AUX-NIV2'!B:AG,32,FALSE),0),"")</f>
        <v>0</v>
      </c>
      <c r="AI821" s="1291" t="str">
        <f t="shared" si="875"/>
        <v>0-ITJ009</v>
      </c>
      <c r="AK821" s="347">
        <f t="shared" si="845"/>
        <v>821</v>
      </c>
      <c r="AL821" s="348">
        <f t="shared" si="876"/>
        <v>821</v>
      </c>
      <c r="AM821" s="347">
        <f t="shared" si="877"/>
        <v>1</v>
      </c>
      <c r="AN821" s="382">
        <f>IF(AND(AH821&gt;0,B821&lt;&gt;""),VLOOKUP(I821,'AUX-NIV2'!$B:$AP,40,FALSE)*O821,0)</f>
        <v>0</v>
      </c>
      <c r="AO821" s="382">
        <f t="shared" si="846"/>
        <v>0</v>
      </c>
      <c r="AQ821" s="395">
        <f>(IF($H821="x",VLOOKUP($I821,'AUX-NIV2'!$B:$X,'AUX-NIV1'!AQ$3,FALSE),0)+($AV821*'AUX-NIV3'!S$4))*$O821+IF($H821=AQ$4,$P821,0)</f>
        <v>0</v>
      </c>
      <c r="AR821" s="395">
        <f>(IF($H821="x",VLOOKUP($I821,'AUX-NIV2'!$B:$X,'AUX-NIV1'!AR$3,FALSE),0)+($AV821*'AUX-NIV3'!T$4))*$O821+IF($H821=AR$4,$P821,0)</f>
        <v>0</v>
      </c>
      <c r="AS821" s="395">
        <f>(IF($H821="x",VLOOKUP($I821,'AUX-NIV2'!$B:$X,'AUX-NIV1'!AS$3,FALSE),0)+($AV821*'AUX-NIV3'!U$4))*$O821+IF($H821=AS$4,$P821,0)</f>
        <v>0</v>
      </c>
      <c r="AT821" s="395">
        <f>(IF($H821="x",VLOOKUP($I821,'AUX-NIV2'!$B:$X,'AUX-NIV1'!AT$3,FALSE),0)+($AV821*'AUX-NIV3'!V$4))*$O821+IF($H821=AT$4,$P821,0)</f>
        <v>0</v>
      </c>
      <c r="AU821" s="395">
        <f>(IF($H821="x",VLOOKUP($I821,'AUX-NIV2'!$B:$X,'AUX-NIV1'!AU$3,FALSE),0)+($AV821*'AUX-NIV3'!W$4))*$O821+IF($H821=AU$4,$P821,0)</f>
        <v>1</v>
      </c>
      <c r="AV821" s="395">
        <f>+IF($H821="x",VLOOKUP($I821,'AUX-NIV2'!$B:$X,'AUX-NIV1'!AV$3,FALSE),0)</f>
        <v>0</v>
      </c>
    </row>
    <row r="822" spans="2:48" ht="14.4" hidden="1" thickTop="1" thickBot="1">
      <c r="B822" s="501" t="s">
        <v>3942</v>
      </c>
      <c r="C822" s="951" t="s">
        <v>3544</v>
      </c>
      <c r="D822" s="1280" t="s">
        <v>610</v>
      </c>
      <c r="E822" s="1281">
        <f>IF(B822&lt;&gt;"",+SUMIF(Items!C:C,'AUX-NIV1'!B822,Items!H:H),"")</f>
        <v>0</v>
      </c>
      <c r="F822" s="1281">
        <f t="shared" si="836"/>
        <v>1</v>
      </c>
      <c r="G822" s="1281">
        <f t="shared" si="837"/>
        <v>0</v>
      </c>
      <c r="H822" s="1395" t="str">
        <f t="shared" si="863"/>
        <v>S</v>
      </c>
      <c r="I822" s="1375" t="s">
        <v>3963</v>
      </c>
      <c r="J822" s="1283" t="str">
        <f>IF(B822&lt;&gt;"",+VLOOKUP(I822,Recursos!C:F,2,FALSE),"")</f>
        <v>Prov. y colocacion cierrapuerta de piso Superfren STANDARD TIPO "C"</v>
      </c>
      <c r="K822" s="1284" t="str">
        <f>IF(B822&lt;&gt;"",+VLOOKUP(I822,Recursos!C:F,3,FALSE),"")</f>
        <v>Un</v>
      </c>
      <c r="L822" s="1285">
        <f>IF(B822&lt;&gt;"",+VLOOKUP(I822,Recursos!C:F,4,FALSE),"")</f>
        <v>1</v>
      </c>
      <c r="M822" s="1293"/>
      <c r="N822" s="1294">
        <v>1</v>
      </c>
      <c r="O822" s="1286">
        <f t="shared" si="864"/>
        <v>1</v>
      </c>
      <c r="P822" s="1287">
        <f t="shared" si="865"/>
        <v>1</v>
      </c>
      <c r="Q822" s="1281">
        <f t="shared" si="866"/>
        <v>0</v>
      </c>
      <c r="R822" s="1288">
        <f t="shared" si="867"/>
        <v>0</v>
      </c>
      <c r="S822" s="1289">
        <f t="shared" si="838"/>
        <v>0</v>
      </c>
      <c r="T822" s="1289">
        <f t="shared" si="839"/>
        <v>0</v>
      </c>
      <c r="U822" s="1290">
        <f t="shared" si="840"/>
        <v>0</v>
      </c>
      <c r="V822" s="1290">
        <f t="shared" si="841"/>
        <v>0</v>
      </c>
      <c r="W822" s="1290">
        <f t="shared" si="842"/>
        <v>1</v>
      </c>
      <c r="X822" s="1290">
        <f t="shared" si="843"/>
        <v>0</v>
      </c>
      <c r="Y822" s="396"/>
      <c r="Z822" s="1291" t="str">
        <f t="shared" si="868"/>
        <v>0-ITJ010A</v>
      </c>
      <c r="AA822" s="1291" t="str">
        <f t="shared" si="869"/>
        <v>0-ITJ010E</v>
      </c>
      <c r="AB822" s="1291" t="str">
        <f t="shared" si="870"/>
        <v>0-ITJ010M</v>
      </c>
      <c r="AC822" s="1291" t="str">
        <f t="shared" si="871"/>
        <v>0-ITJ010T</v>
      </c>
      <c r="AD822" s="1291" t="str">
        <f t="shared" si="872"/>
        <v>0-ITJ010S</v>
      </c>
      <c r="AE822" s="1291" t="str">
        <f t="shared" si="873"/>
        <v>0-ITJ010X</v>
      </c>
      <c r="AF822" s="1291" t="str">
        <f t="shared" si="874"/>
        <v>0-ITJ010S</v>
      </c>
      <c r="AG822" s="1291">
        <f t="shared" si="844"/>
        <v>1</v>
      </c>
      <c r="AH822" s="1291">
        <f>IF(B822&lt;&gt;"",+IF(H822="x",+VLOOKUP(I822,'AUX-NIV2'!B:AG,32,FALSE),0),"")</f>
        <v>0</v>
      </c>
      <c r="AI822" s="1291" t="str">
        <f t="shared" si="875"/>
        <v>0-ITJ010</v>
      </c>
      <c r="AK822" s="347">
        <f t="shared" si="845"/>
        <v>822</v>
      </c>
      <c r="AL822" s="348">
        <f t="shared" si="876"/>
        <v>822</v>
      </c>
      <c r="AM822" s="347">
        <f t="shared" si="877"/>
        <v>1</v>
      </c>
      <c r="AN822" s="382">
        <f>IF(AND(AH822&gt;0,B822&lt;&gt;""),VLOOKUP(I822,'AUX-NIV2'!$B:$AP,40,FALSE)*O822,0)</f>
        <v>0</v>
      </c>
      <c r="AO822" s="382">
        <f t="shared" si="846"/>
        <v>0</v>
      </c>
      <c r="AQ822" s="395">
        <f>(IF($H822="x",VLOOKUP($I822,'AUX-NIV2'!$B:$X,'AUX-NIV1'!AQ$3,FALSE),0)+($AV822*'AUX-NIV3'!S$4))*$O822+IF($H822=AQ$4,$P822,0)</f>
        <v>0</v>
      </c>
      <c r="AR822" s="395">
        <f>(IF($H822="x",VLOOKUP($I822,'AUX-NIV2'!$B:$X,'AUX-NIV1'!AR$3,FALSE),0)+($AV822*'AUX-NIV3'!T$4))*$O822+IF($H822=AR$4,$P822,0)</f>
        <v>0</v>
      </c>
      <c r="AS822" s="395">
        <f>(IF($H822="x",VLOOKUP($I822,'AUX-NIV2'!$B:$X,'AUX-NIV1'!AS$3,FALSE),0)+($AV822*'AUX-NIV3'!U$4))*$O822+IF($H822=AS$4,$P822,0)</f>
        <v>0</v>
      </c>
      <c r="AT822" s="395">
        <f>(IF($H822="x",VLOOKUP($I822,'AUX-NIV2'!$B:$X,'AUX-NIV1'!AT$3,FALSE),0)+($AV822*'AUX-NIV3'!V$4))*$O822+IF($H822=AT$4,$P822,0)</f>
        <v>0</v>
      </c>
      <c r="AU822" s="395">
        <f>(IF($H822="x",VLOOKUP($I822,'AUX-NIV2'!$B:$X,'AUX-NIV1'!AU$3,FALSE),0)+($AV822*'AUX-NIV3'!W$4))*$O822+IF($H822=AU$4,$P822,0)</f>
        <v>1</v>
      </c>
      <c r="AV822" s="395">
        <f>+IF($H822="x",VLOOKUP($I822,'AUX-NIV2'!$B:$X,'AUX-NIV1'!AV$3,FALSE),0)</f>
        <v>0</v>
      </c>
    </row>
    <row r="823" spans="2:48" ht="14.4" hidden="1" thickTop="1" thickBot="1">
      <c r="B823" s="501" t="s">
        <v>3943</v>
      </c>
      <c r="C823" s="951" t="s">
        <v>3545</v>
      </c>
      <c r="D823" s="1280" t="s">
        <v>610</v>
      </c>
      <c r="E823" s="1281">
        <f>IF(B823&lt;&gt;"",+SUMIF(Items!C:C,'AUX-NIV1'!B823,Items!H:H),"")</f>
        <v>0</v>
      </c>
      <c r="F823" s="1281">
        <f t="shared" si="836"/>
        <v>1</v>
      </c>
      <c r="G823" s="1281">
        <f t="shared" si="837"/>
        <v>0</v>
      </c>
      <c r="H823" s="1395" t="str">
        <f t="shared" si="863"/>
        <v>S</v>
      </c>
      <c r="I823" s="1375" t="s">
        <v>3964</v>
      </c>
      <c r="J823" s="1283" t="str">
        <f>IF(B823&lt;&gt;"",+VLOOKUP(I823,Recursos!C:F,2,FALSE),"")</f>
        <v>P7 - Porton de acceso doble de chapa</v>
      </c>
      <c r="K823" s="1284" t="str">
        <f>IF(B823&lt;&gt;"",+VLOOKUP(I823,Recursos!C:F,3,FALSE),"")</f>
        <v>Un</v>
      </c>
      <c r="L823" s="1285">
        <f>IF(B823&lt;&gt;"",+VLOOKUP(I823,Recursos!C:F,4,FALSE),"")</f>
        <v>1</v>
      </c>
      <c r="M823" s="1293"/>
      <c r="N823" s="1294">
        <v>1</v>
      </c>
      <c r="O823" s="1286">
        <f t="shared" si="864"/>
        <v>1</v>
      </c>
      <c r="P823" s="1287">
        <f t="shared" si="865"/>
        <v>1</v>
      </c>
      <c r="Q823" s="1281">
        <f t="shared" si="866"/>
        <v>0</v>
      </c>
      <c r="R823" s="1288">
        <f t="shared" si="867"/>
        <v>0</v>
      </c>
      <c r="S823" s="1289">
        <f t="shared" si="838"/>
        <v>0</v>
      </c>
      <c r="T823" s="1289">
        <f t="shared" si="839"/>
        <v>0</v>
      </c>
      <c r="U823" s="1290">
        <f t="shared" si="840"/>
        <v>0</v>
      </c>
      <c r="V823" s="1290">
        <f t="shared" si="841"/>
        <v>0</v>
      </c>
      <c r="W823" s="1290">
        <f t="shared" si="842"/>
        <v>1</v>
      </c>
      <c r="X823" s="1290">
        <f t="shared" si="843"/>
        <v>0</v>
      </c>
      <c r="Y823" s="396"/>
      <c r="Z823" s="1291" t="str">
        <f t="shared" si="868"/>
        <v>0-ITJ011A</v>
      </c>
      <c r="AA823" s="1291" t="str">
        <f t="shared" si="869"/>
        <v>0-ITJ011E</v>
      </c>
      <c r="AB823" s="1291" t="str">
        <f t="shared" si="870"/>
        <v>0-ITJ011M</v>
      </c>
      <c r="AC823" s="1291" t="str">
        <f t="shared" si="871"/>
        <v>0-ITJ011T</v>
      </c>
      <c r="AD823" s="1291" t="str">
        <f t="shared" si="872"/>
        <v>0-ITJ011S</v>
      </c>
      <c r="AE823" s="1291" t="str">
        <f t="shared" si="873"/>
        <v>0-ITJ011X</v>
      </c>
      <c r="AF823" s="1291" t="str">
        <f t="shared" si="874"/>
        <v>0-ITJ011S</v>
      </c>
      <c r="AG823" s="1291">
        <f t="shared" si="844"/>
        <v>1</v>
      </c>
      <c r="AH823" s="1291">
        <f>IF(B823&lt;&gt;"",+IF(H823="x",+VLOOKUP(I823,'AUX-NIV2'!B:AG,32,FALSE),0),"")</f>
        <v>0</v>
      </c>
      <c r="AI823" s="1291" t="str">
        <f t="shared" si="875"/>
        <v>0-ITJ011</v>
      </c>
      <c r="AK823" s="347">
        <f t="shared" si="845"/>
        <v>823</v>
      </c>
      <c r="AL823" s="348">
        <f t="shared" si="876"/>
        <v>823</v>
      </c>
      <c r="AM823" s="347">
        <f t="shared" si="877"/>
        <v>1</v>
      </c>
      <c r="AN823" s="382">
        <f>IF(AND(AH823&gt;0,B823&lt;&gt;""),VLOOKUP(I823,'AUX-NIV2'!$B:$AP,40,FALSE)*O823,0)</f>
        <v>0</v>
      </c>
      <c r="AO823" s="382">
        <f t="shared" si="846"/>
        <v>0</v>
      </c>
      <c r="AQ823" s="395">
        <f>(IF($H823="x",VLOOKUP($I823,'AUX-NIV2'!$B:$X,'AUX-NIV1'!AQ$3,FALSE),0)+($AV823*'AUX-NIV3'!S$4))*$O823+IF($H823=AQ$4,$P823,0)</f>
        <v>0</v>
      </c>
      <c r="AR823" s="395">
        <f>(IF($H823="x",VLOOKUP($I823,'AUX-NIV2'!$B:$X,'AUX-NIV1'!AR$3,FALSE),0)+($AV823*'AUX-NIV3'!T$4))*$O823+IF($H823=AR$4,$P823,0)</f>
        <v>0</v>
      </c>
      <c r="AS823" s="395">
        <f>(IF($H823="x",VLOOKUP($I823,'AUX-NIV2'!$B:$X,'AUX-NIV1'!AS$3,FALSE),0)+($AV823*'AUX-NIV3'!U$4))*$O823+IF($H823=AS$4,$P823,0)</f>
        <v>0</v>
      </c>
      <c r="AT823" s="395">
        <f>(IF($H823="x",VLOOKUP($I823,'AUX-NIV2'!$B:$X,'AUX-NIV1'!AT$3,FALSE),0)+($AV823*'AUX-NIV3'!V$4))*$O823+IF($H823=AT$4,$P823,0)</f>
        <v>0</v>
      </c>
      <c r="AU823" s="395">
        <f>(IF($H823="x",VLOOKUP($I823,'AUX-NIV2'!$B:$X,'AUX-NIV1'!AU$3,FALSE),0)+($AV823*'AUX-NIV3'!W$4))*$O823+IF($H823=AU$4,$P823,0)</f>
        <v>1</v>
      </c>
      <c r="AV823" s="395">
        <f>+IF($H823="x",VLOOKUP($I823,'AUX-NIV2'!$B:$X,'AUX-NIV1'!AV$3,FALSE),0)</f>
        <v>0</v>
      </c>
    </row>
    <row r="824" spans="2:48" ht="14.4" hidden="1" thickTop="1" thickBot="1">
      <c r="B824" s="501" t="s">
        <v>3944</v>
      </c>
      <c r="C824" s="951" t="s">
        <v>3546</v>
      </c>
      <c r="D824" s="1280" t="s">
        <v>610</v>
      </c>
      <c r="E824" s="1281">
        <f>IF(B824&lt;&gt;"",+SUMIF(Items!C:C,'AUX-NIV1'!B824,Items!H:H),"")</f>
        <v>0</v>
      </c>
      <c r="F824" s="1281">
        <f t="shared" si="836"/>
        <v>1</v>
      </c>
      <c r="G824" s="1281">
        <f t="shared" si="837"/>
        <v>0</v>
      </c>
      <c r="H824" s="1395" t="str">
        <f t="shared" si="863"/>
        <v>S</v>
      </c>
      <c r="I824" s="1375" t="s">
        <v>3965</v>
      </c>
      <c r="J824" s="1283" t="str">
        <f>IF(B824&lt;&gt;"",+VLOOKUP(I824,Recursos!C:F,2,FALSE),"")</f>
        <v>P6 -Puerta reja DE ACCESO</v>
      </c>
      <c r="K824" s="1284" t="str">
        <f>IF(B824&lt;&gt;"",+VLOOKUP(I824,Recursos!C:F,3,FALSE),"")</f>
        <v>Un</v>
      </c>
      <c r="L824" s="1285">
        <f>IF(B824&lt;&gt;"",+VLOOKUP(I824,Recursos!C:F,4,FALSE),"")</f>
        <v>1</v>
      </c>
      <c r="M824" s="1293"/>
      <c r="N824" s="1294">
        <v>1</v>
      </c>
      <c r="O824" s="1286">
        <f t="shared" si="864"/>
        <v>1</v>
      </c>
      <c r="P824" s="1287">
        <f t="shared" si="865"/>
        <v>1</v>
      </c>
      <c r="Q824" s="1281">
        <f t="shared" si="866"/>
        <v>0</v>
      </c>
      <c r="R824" s="1288">
        <f t="shared" si="867"/>
        <v>0</v>
      </c>
      <c r="S824" s="1289">
        <f t="shared" si="838"/>
        <v>0</v>
      </c>
      <c r="T824" s="1289">
        <f t="shared" si="839"/>
        <v>0</v>
      </c>
      <c r="U824" s="1290">
        <f t="shared" si="840"/>
        <v>0</v>
      </c>
      <c r="V824" s="1290">
        <f t="shared" si="841"/>
        <v>0</v>
      </c>
      <c r="W824" s="1290">
        <f t="shared" si="842"/>
        <v>1</v>
      </c>
      <c r="X824" s="1290">
        <f t="shared" si="843"/>
        <v>0</v>
      </c>
      <c r="Y824" s="396"/>
      <c r="Z824" s="1291" t="str">
        <f t="shared" si="868"/>
        <v>0-ITJ012A</v>
      </c>
      <c r="AA824" s="1291" t="str">
        <f t="shared" si="869"/>
        <v>0-ITJ012E</v>
      </c>
      <c r="AB824" s="1291" t="str">
        <f t="shared" si="870"/>
        <v>0-ITJ012M</v>
      </c>
      <c r="AC824" s="1291" t="str">
        <f t="shared" si="871"/>
        <v>0-ITJ012T</v>
      </c>
      <c r="AD824" s="1291" t="str">
        <f t="shared" si="872"/>
        <v>0-ITJ012S</v>
      </c>
      <c r="AE824" s="1291" t="str">
        <f t="shared" si="873"/>
        <v>0-ITJ012X</v>
      </c>
      <c r="AF824" s="1291" t="str">
        <f t="shared" si="874"/>
        <v>0-ITJ012S</v>
      </c>
      <c r="AG824" s="1291">
        <f t="shared" si="844"/>
        <v>1</v>
      </c>
      <c r="AH824" s="1291">
        <f>IF(B824&lt;&gt;"",+IF(H824="x",+VLOOKUP(I824,'AUX-NIV2'!B:AG,32,FALSE),0),"")</f>
        <v>0</v>
      </c>
      <c r="AI824" s="1291" t="str">
        <f t="shared" si="875"/>
        <v>0-ITJ012</v>
      </c>
      <c r="AK824" s="347">
        <f t="shared" si="845"/>
        <v>824</v>
      </c>
      <c r="AL824" s="348">
        <f t="shared" si="876"/>
        <v>824</v>
      </c>
      <c r="AM824" s="347">
        <f t="shared" si="877"/>
        <v>1</v>
      </c>
      <c r="AN824" s="382">
        <f>IF(AND(AH824&gt;0,B824&lt;&gt;""),VLOOKUP(I824,'AUX-NIV2'!$B:$AP,40,FALSE)*O824,0)</f>
        <v>0</v>
      </c>
      <c r="AO824" s="382">
        <f t="shared" si="846"/>
        <v>0</v>
      </c>
      <c r="AQ824" s="395">
        <f>(IF($H824="x",VLOOKUP($I824,'AUX-NIV2'!$B:$X,'AUX-NIV1'!AQ$3,FALSE),0)+($AV824*'AUX-NIV3'!S$4))*$O824+IF($H824=AQ$4,$P824,0)</f>
        <v>0</v>
      </c>
      <c r="AR824" s="395">
        <f>(IF($H824="x",VLOOKUP($I824,'AUX-NIV2'!$B:$X,'AUX-NIV1'!AR$3,FALSE),0)+($AV824*'AUX-NIV3'!T$4))*$O824+IF($H824=AR$4,$P824,0)</f>
        <v>0</v>
      </c>
      <c r="AS824" s="395">
        <f>(IF($H824="x",VLOOKUP($I824,'AUX-NIV2'!$B:$X,'AUX-NIV1'!AS$3,FALSE),0)+($AV824*'AUX-NIV3'!U$4))*$O824+IF($H824=AS$4,$P824,0)</f>
        <v>0</v>
      </c>
      <c r="AT824" s="395">
        <f>(IF($H824="x",VLOOKUP($I824,'AUX-NIV2'!$B:$X,'AUX-NIV1'!AT$3,FALSE),0)+($AV824*'AUX-NIV3'!V$4))*$O824+IF($H824=AT$4,$P824,0)</f>
        <v>0</v>
      </c>
      <c r="AU824" s="395">
        <f>(IF($H824="x",VLOOKUP($I824,'AUX-NIV2'!$B:$X,'AUX-NIV1'!AU$3,FALSE),0)+($AV824*'AUX-NIV3'!W$4))*$O824+IF($H824=AU$4,$P824,0)</f>
        <v>1</v>
      </c>
      <c r="AV824" s="395">
        <f>+IF($H824="x",VLOOKUP($I824,'AUX-NIV2'!$B:$X,'AUX-NIV1'!AV$3,FALSE),0)</f>
        <v>0</v>
      </c>
    </row>
    <row r="825" spans="2:48" ht="14.4" hidden="1" thickTop="1" thickBot="1">
      <c r="B825" s="501" t="s">
        <v>3945</v>
      </c>
      <c r="C825" s="951" t="s">
        <v>3547</v>
      </c>
      <c r="D825" s="1280" t="s">
        <v>610</v>
      </c>
      <c r="E825" s="1281">
        <f>IF(B825&lt;&gt;"",+SUMIF(Items!C:C,'AUX-NIV1'!B825,Items!H:H),"")</f>
        <v>0</v>
      </c>
      <c r="F825" s="1281">
        <f t="shared" si="836"/>
        <v>1</v>
      </c>
      <c r="G825" s="1281">
        <f t="shared" si="837"/>
        <v>0</v>
      </c>
      <c r="H825" s="1395" t="str">
        <f t="shared" si="863"/>
        <v>S</v>
      </c>
      <c r="I825" s="1375" t="s">
        <v>3966</v>
      </c>
      <c r="J825" s="1283" t="str">
        <f>IF(B825&lt;&gt;"",+VLOOKUP(I825,Recursos!C:F,2,FALSE),"")</f>
        <v>P3 - Puerta metálica con vidrio fijo superior</v>
      </c>
      <c r="K825" s="1284" t="str">
        <f>IF(B825&lt;&gt;"",+VLOOKUP(I825,Recursos!C:F,3,FALSE),"")</f>
        <v>Un</v>
      </c>
      <c r="L825" s="1285">
        <f>IF(B825&lt;&gt;"",+VLOOKUP(I825,Recursos!C:F,4,FALSE),"")</f>
        <v>1</v>
      </c>
      <c r="M825" s="1293"/>
      <c r="N825" s="1294">
        <v>1</v>
      </c>
      <c r="O825" s="1286">
        <f t="shared" si="864"/>
        <v>1</v>
      </c>
      <c r="P825" s="1287">
        <f t="shared" si="865"/>
        <v>1</v>
      </c>
      <c r="Q825" s="1281">
        <f t="shared" si="866"/>
        <v>0</v>
      </c>
      <c r="R825" s="1288">
        <f t="shared" si="867"/>
        <v>0</v>
      </c>
      <c r="S825" s="1289">
        <f t="shared" si="838"/>
        <v>0</v>
      </c>
      <c r="T825" s="1289">
        <f t="shared" si="839"/>
        <v>0</v>
      </c>
      <c r="U825" s="1290">
        <f t="shared" si="840"/>
        <v>0</v>
      </c>
      <c r="V825" s="1290">
        <f t="shared" si="841"/>
        <v>0</v>
      </c>
      <c r="W825" s="1290">
        <f t="shared" si="842"/>
        <v>1</v>
      </c>
      <c r="X825" s="1290">
        <f t="shared" si="843"/>
        <v>0</v>
      </c>
      <c r="Y825" s="396"/>
      <c r="Z825" s="1291" t="str">
        <f t="shared" si="868"/>
        <v>0-ITJ013A</v>
      </c>
      <c r="AA825" s="1291" t="str">
        <f t="shared" si="869"/>
        <v>0-ITJ013E</v>
      </c>
      <c r="AB825" s="1291" t="str">
        <f t="shared" si="870"/>
        <v>0-ITJ013M</v>
      </c>
      <c r="AC825" s="1291" t="str">
        <f t="shared" si="871"/>
        <v>0-ITJ013T</v>
      </c>
      <c r="AD825" s="1291" t="str">
        <f t="shared" si="872"/>
        <v>0-ITJ013S</v>
      </c>
      <c r="AE825" s="1291" t="str">
        <f t="shared" si="873"/>
        <v>0-ITJ013X</v>
      </c>
      <c r="AF825" s="1291" t="str">
        <f t="shared" si="874"/>
        <v>0-ITJ013S</v>
      </c>
      <c r="AG825" s="1291">
        <f t="shared" si="844"/>
        <v>1</v>
      </c>
      <c r="AH825" s="1291">
        <f>IF(B825&lt;&gt;"",+IF(H825="x",+VLOOKUP(I825,'AUX-NIV2'!B:AG,32,FALSE),0),"")</f>
        <v>0</v>
      </c>
      <c r="AI825" s="1291" t="str">
        <f t="shared" si="875"/>
        <v>0-ITJ013</v>
      </c>
      <c r="AK825" s="347">
        <f t="shared" si="845"/>
        <v>825</v>
      </c>
      <c r="AL825" s="348">
        <f t="shared" si="876"/>
        <v>825</v>
      </c>
      <c r="AM825" s="347">
        <f t="shared" si="877"/>
        <v>1</v>
      </c>
      <c r="AN825" s="382">
        <f>IF(AND(AH825&gt;0,B825&lt;&gt;""),VLOOKUP(I825,'AUX-NIV2'!$B:$AP,40,FALSE)*O825,0)</f>
        <v>0</v>
      </c>
      <c r="AO825" s="382">
        <f t="shared" si="846"/>
        <v>0</v>
      </c>
      <c r="AQ825" s="395">
        <f>(IF($H825="x",VLOOKUP($I825,'AUX-NIV2'!$B:$X,'AUX-NIV1'!AQ$3,FALSE),0)+($AV825*'AUX-NIV3'!S$4))*$O825+IF($H825=AQ$4,$P825,0)</f>
        <v>0</v>
      </c>
      <c r="AR825" s="395">
        <f>(IF($H825="x",VLOOKUP($I825,'AUX-NIV2'!$B:$X,'AUX-NIV1'!AR$3,FALSE),0)+($AV825*'AUX-NIV3'!T$4))*$O825+IF($H825=AR$4,$P825,0)</f>
        <v>0</v>
      </c>
      <c r="AS825" s="395">
        <f>(IF($H825="x",VLOOKUP($I825,'AUX-NIV2'!$B:$X,'AUX-NIV1'!AS$3,FALSE),0)+($AV825*'AUX-NIV3'!U$4))*$O825+IF($H825=AS$4,$P825,0)</f>
        <v>0</v>
      </c>
      <c r="AT825" s="395">
        <f>(IF($H825="x",VLOOKUP($I825,'AUX-NIV2'!$B:$X,'AUX-NIV1'!AT$3,FALSE),0)+($AV825*'AUX-NIV3'!V$4))*$O825+IF($H825=AT$4,$P825,0)</f>
        <v>0</v>
      </c>
      <c r="AU825" s="395">
        <f>(IF($H825="x",VLOOKUP($I825,'AUX-NIV2'!$B:$X,'AUX-NIV1'!AU$3,FALSE),0)+($AV825*'AUX-NIV3'!W$4))*$O825+IF($H825=AU$4,$P825,0)</f>
        <v>1</v>
      </c>
      <c r="AV825" s="395">
        <f>+IF($H825="x",VLOOKUP($I825,'AUX-NIV2'!$B:$X,'AUX-NIV1'!AV$3,FALSE),0)</f>
        <v>0</v>
      </c>
    </row>
    <row r="826" spans="2:48" ht="13.8" hidden="1" thickTop="1">
      <c r="B826" s="501" t="s">
        <v>3967</v>
      </c>
      <c r="C826" s="951" t="s">
        <v>3548</v>
      </c>
      <c r="D826" s="1280" t="s">
        <v>501</v>
      </c>
      <c r="E826" s="1281">
        <f>IF(B826&lt;&gt;"",+SUMIF(Items!C:C,'AUX-NIV1'!B826,Items!H:H),"")</f>
        <v>0</v>
      </c>
      <c r="F826" s="1281">
        <f t="shared" si="836"/>
        <v>31472.835542961235</v>
      </c>
      <c r="G826" s="1281">
        <f t="shared" si="837"/>
        <v>0</v>
      </c>
      <c r="H826" s="1395" t="str">
        <f t="shared" si="863"/>
        <v>S</v>
      </c>
      <c r="I826" s="1375" t="s">
        <v>4249</v>
      </c>
      <c r="J826" s="1283" t="str">
        <f>IF(B826&lt;&gt;"",+VLOOKUP(I826,Recursos!C:F,2,FALSE),"")</f>
        <v>V1</v>
      </c>
      <c r="K826" s="1284" t="str">
        <f>IF(B826&lt;&gt;"",+VLOOKUP(I826,Recursos!C:F,3,FALSE),"")</f>
        <v>Un</v>
      </c>
      <c r="L826" s="1285">
        <f>IF(B826&lt;&gt;"",+VLOOKUP(I826,Recursos!C:F,4,FALSE),"")</f>
        <v>787503.522</v>
      </c>
      <c r="M826" s="989">
        <v>98.81</v>
      </c>
      <c r="N826" s="1292">
        <v>1</v>
      </c>
      <c r="O826" s="1286">
        <f t="shared" ref="O826:O834" si="878">N826/$M$826</f>
        <v>1.0120433154539013E-2</v>
      </c>
      <c r="P826" s="1287">
        <f t="shared" si="865"/>
        <v>7969.8767533650434</v>
      </c>
      <c r="Q826" s="1281">
        <f t="shared" si="866"/>
        <v>0</v>
      </c>
      <c r="R826" s="1288">
        <f t="shared" si="867"/>
        <v>0</v>
      </c>
      <c r="S826" s="1289">
        <f t="shared" si="838"/>
        <v>0</v>
      </c>
      <c r="T826" s="1289">
        <f t="shared" si="839"/>
        <v>0</v>
      </c>
      <c r="U826" s="1290">
        <f t="shared" si="840"/>
        <v>0</v>
      </c>
      <c r="V826" s="1290">
        <f t="shared" si="841"/>
        <v>0</v>
      </c>
      <c r="W826" s="1290">
        <f t="shared" si="842"/>
        <v>31472.835542961235</v>
      </c>
      <c r="X826" s="1290">
        <f t="shared" si="843"/>
        <v>0</v>
      </c>
      <c r="Y826" s="396"/>
      <c r="Z826" s="1291" t="str">
        <f t="shared" si="868"/>
        <v>0-ITK001A</v>
      </c>
      <c r="AA826" s="1291" t="str">
        <f t="shared" si="869"/>
        <v>0-ITK001E</v>
      </c>
      <c r="AB826" s="1291" t="str">
        <f t="shared" si="870"/>
        <v>0-ITK001M</v>
      </c>
      <c r="AC826" s="1291" t="str">
        <f t="shared" si="871"/>
        <v>0-ITK001T</v>
      </c>
      <c r="AD826" s="1291" t="str">
        <f t="shared" si="872"/>
        <v>0-ITK001S</v>
      </c>
      <c r="AE826" s="1291" t="str">
        <f t="shared" si="873"/>
        <v>0-ITK001X</v>
      </c>
      <c r="AF826" s="1291" t="str">
        <f t="shared" si="874"/>
        <v>0-ITK001S</v>
      </c>
      <c r="AG826" s="1291">
        <f t="shared" si="844"/>
        <v>9</v>
      </c>
      <c r="AH826" s="1291">
        <f>IF(B826&lt;&gt;"",+IF(H826="x",+VLOOKUP(I826,'AUX-NIV2'!B:AG,32,FALSE),0),"")</f>
        <v>0</v>
      </c>
      <c r="AI826" s="1291" t="str">
        <f t="shared" si="875"/>
        <v>0-ITK001</v>
      </c>
      <c r="AK826" s="347">
        <f t="shared" si="845"/>
        <v>826</v>
      </c>
      <c r="AL826" s="348">
        <f t="shared" si="876"/>
        <v>834</v>
      </c>
      <c r="AM826" s="347">
        <f t="shared" si="877"/>
        <v>1</v>
      </c>
      <c r="AN826" s="382">
        <f>IF(AND(AH826&gt;0,B826&lt;&gt;""),VLOOKUP(I826,'AUX-NIV2'!$B:$AP,40,FALSE)*O826,0)</f>
        <v>0</v>
      </c>
      <c r="AO826" s="382">
        <f t="shared" si="846"/>
        <v>0</v>
      </c>
      <c r="AQ826" s="395">
        <f>(IF($H826="x",VLOOKUP($I826,'AUX-NIV2'!$B:$X,'AUX-NIV1'!AQ$3,FALSE),0)+($AV826*'AUX-NIV3'!S$4))*$O826+IF($H826=AQ$4,$P826,0)</f>
        <v>0</v>
      </c>
      <c r="AR826" s="395">
        <f>(IF($H826="x",VLOOKUP($I826,'AUX-NIV2'!$B:$X,'AUX-NIV1'!AR$3,FALSE),0)+($AV826*'AUX-NIV3'!T$4))*$O826+IF($H826=AR$4,$P826,0)</f>
        <v>0</v>
      </c>
      <c r="AS826" s="395">
        <f>(IF($H826="x",VLOOKUP($I826,'AUX-NIV2'!$B:$X,'AUX-NIV1'!AS$3,FALSE),0)+($AV826*'AUX-NIV3'!U$4))*$O826+IF($H826=AS$4,$P826,0)</f>
        <v>0</v>
      </c>
      <c r="AT826" s="395">
        <f>(IF($H826="x",VLOOKUP($I826,'AUX-NIV2'!$B:$X,'AUX-NIV1'!AT$3,FALSE),0)+($AV826*'AUX-NIV3'!V$4))*$O826+IF($H826=AT$4,$P826,0)</f>
        <v>0</v>
      </c>
      <c r="AU826" s="395">
        <f>(IF($H826="x",VLOOKUP($I826,'AUX-NIV2'!$B:$X,'AUX-NIV1'!AU$3,FALSE),0)+($AV826*'AUX-NIV3'!W$4))*$O826+IF($H826=AU$4,$P826,0)</f>
        <v>7969.8767533650434</v>
      </c>
      <c r="AV826" s="395">
        <f>+IF($H826="x",VLOOKUP($I826,'AUX-NIV2'!$B:$X,'AUX-NIV1'!AV$3,FALSE),0)</f>
        <v>0</v>
      </c>
    </row>
    <row r="827" spans="2:48" ht="13.8" hidden="1" thickTop="1">
      <c r="B827" s="501" t="s">
        <v>3967</v>
      </c>
      <c r="C827" s="951" t="s">
        <v>3548</v>
      </c>
      <c r="D827" s="1280" t="s">
        <v>501</v>
      </c>
      <c r="E827" s="1281">
        <f>IF(B827&lt;&gt;"",+SUMIF(Items!C:C,'AUX-NIV1'!B827,Items!H:H),"")</f>
        <v>0</v>
      </c>
      <c r="F827" s="1281">
        <f t="shared" si="836"/>
        <v>31472.835542961235</v>
      </c>
      <c r="G827" s="1281">
        <f t="shared" si="837"/>
        <v>0</v>
      </c>
      <c r="H827" s="1395" t="str">
        <f t="shared" ref="H827:H834" si="879">IF(B827&lt;&gt;"",+LEFT(I827,1),"")</f>
        <v>S</v>
      </c>
      <c r="I827" s="1375" t="s">
        <v>4250</v>
      </c>
      <c r="J827" s="1283" t="str">
        <f>IF(B827&lt;&gt;"",+VLOOKUP(I827,Recursos!C:F,2,FALSE),"")</f>
        <v>V2</v>
      </c>
      <c r="K827" s="1284" t="str">
        <f>IF(B827&lt;&gt;"",+VLOOKUP(I827,Recursos!C:F,3,FALSE),"")</f>
        <v>Un</v>
      </c>
      <c r="L827" s="1285">
        <f>IF(B827&lt;&gt;"",+VLOOKUP(I827,Recursos!C:F,4,FALSE),"")</f>
        <v>50338.203499999996</v>
      </c>
      <c r="M827" s="1548"/>
      <c r="N827" s="1547">
        <v>1</v>
      </c>
      <c r="O827" s="1286">
        <f t="shared" si="878"/>
        <v>1.0120433154539013E-2</v>
      </c>
      <c r="P827" s="1287">
        <f t="shared" ref="P827:P834" si="880">IF(B827&lt;&gt;"",O827*L827,"")</f>
        <v>509.44442364133175</v>
      </c>
      <c r="Q827" s="1281">
        <f t="shared" ref="Q827:Q834" si="881">IF(B827&lt;&gt;"",+O827*E827,"")</f>
        <v>0</v>
      </c>
      <c r="R827" s="1288">
        <f t="shared" ref="R827:R834" si="882">IF(B827&lt;&gt;"",Q827*L827,"")</f>
        <v>0</v>
      </c>
      <c r="S827" s="1289">
        <f t="shared" si="838"/>
        <v>0</v>
      </c>
      <c r="T827" s="1289">
        <f t="shared" si="839"/>
        <v>0</v>
      </c>
      <c r="U827" s="1290">
        <f t="shared" si="840"/>
        <v>0</v>
      </c>
      <c r="V827" s="1290">
        <f t="shared" si="841"/>
        <v>0</v>
      </c>
      <c r="W827" s="1290">
        <f t="shared" si="842"/>
        <v>31472.835542961235</v>
      </c>
      <c r="X827" s="1290">
        <f t="shared" si="843"/>
        <v>0</v>
      </c>
      <c r="Y827" s="396"/>
      <c r="Z827" s="1291" t="str">
        <f t="shared" ref="Z827:Z834" si="883">IF(B827&lt;&gt;"",+$B827&amp;"A","")</f>
        <v>0-ITK001A</v>
      </c>
      <c r="AA827" s="1291" t="str">
        <f t="shared" ref="AA827:AA834" si="884">IF(B827&lt;&gt;"",+$B827&amp;"E","")</f>
        <v>0-ITK001E</v>
      </c>
      <c r="AB827" s="1291" t="str">
        <f t="shared" ref="AB827:AB834" si="885">IF(B827&lt;&gt;"",++$B827&amp;"M","")</f>
        <v>0-ITK001M</v>
      </c>
      <c r="AC827" s="1291" t="str">
        <f t="shared" ref="AC827:AC834" si="886">IF(B827&lt;&gt;"",+$B827&amp;"T","")</f>
        <v>0-ITK001T</v>
      </c>
      <c r="AD827" s="1291" t="str">
        <f t="shared" ref="AD827:AD834" si="887">IF(B827&lt;&gt;"",+$B827&amp;"S","")</f>
        <v>0-ITK001S</v>
      </c>
      <c r="AE827" s="1291" t="str">
        <f t="shared" ref="AE827:AE834" si="888">IF(B827&lt;&gt;"",+$B827&amp;"X","")</f>
        <v>0-ITK001X</v>
      </c>
      <c r="AF827" s="1291" t="str">
        <f t="shared" ref="AF827:AF834" si="889">IF(B827&lt;&gt;"",+B827&amp;H827,"")</f>
        <v>0-ITK001S</v>
      </c>
      <c r="AG827" s="1291">
        <f t="shared" si="844"/>
        <v>9</v>
      </c>
      <c r="AH827" s="1291">
        <f>IF(B827&lt;&gt;"",+IF(H827="x",+VLOOKUP(I827,'AUX-NIV2'!B:AG,32,FALSE),0),"")</f>
        <v>0</v>
      </c>
      <c r="AI827" s="1291" t="str">
        <f t="shared" ref="AI827:AI834" si="890">IF(B827&lt;&gt;"",+B827,"")</f>
        <v>0-ITK001</v>
      </c>
      <c r="AK827" s="347">
        <f t="shared" si="845"/>
        <v>826</v>
      </c>
      <c r="AL827" s="348">
        <f t="shared" ref="AL827:AL834" si="891">IF(B827&lt;&gt;"",+AK827+AG827-1,"")</f>
        <v>834</v>
      </c>
      <c r="AM827" s="347">
        <f t="shared" ref="AM827:AM834" si="892">IF(B827&lt;&gt;"",IF(B827=B826,1+AM826,1),"")</f>
        <v>2</v>
      </c>
      <c r="AN827" s="382">
        <f>IF(AND(AH827&gt;0,B827&lt;&gt;""),VLOOKUP(I827,'AUX-NIV2'!$B:$AP,40,FALSE)*O827,0)</f>
        <v>0</v>
      </c>
      <c r="AO827" s="382">
        <f t="shared" si="846"/>
        <v>0</v>
      </c>
      <c r="AQ827" s="395">
        <f>(IF($H827="x",VLOOKUP($I827,'AUX-NIV2'!$B:$X,'AUX-NIV1'!AQ$3,FALSE),0)+($AV827*'AUX-NIV3'!S$4))*$O827+IF($H827=AQ$4,$P827,0)</f>
        <v>0</v>
      </c>
      <c r="AR827" s="395">
        <f>(IF($H827="x",VLOOKUP($I827,'AUX-NIV2'!$B:$X,'AUX-NIV1'!AR$3,FALSE),0)+($AV827*'AUX-NIV3'!T$4))*$O827+IF($H827=AR$4,$P827,0)</f>
        <v>0</v>
      </c>
      <c r="AS827" s="395">
        <f>(IF($H827="x",VLOOKUP($I827,'AUX-NIV2'!$B:$X,'AUX-NIV1'!AS$3,FALSE),0)+($AV827*'AUX-NIV3'!U$4))*$O827+IF($H827=AS$4,$P827,0)</f>
        <v>0</v>
      </c>
      <c r="AT827" s="395">
        <f>(IF($H827="x",VLOOKUP($I827,'AUX-NIV2'!$B:$X,'AUX-NIV1'!AT$3,FALSE),0)+($AV827*'AUX-NIV3'!V$4))*$O827+IF($H827=AT$4,$P827,0)</f>
        <v>0</v>
      </c>
      <c r="AU827" s="395">
        <f>(IF($H827="x",VLOOKUP($I827,'AUX-NIV2'!$B:$X,'AUX-NIV1'!AU$3,FALSE),0)+($AV827*'AUX-NIV3'!W$4))*$O827+IF($H827=AU$4,$P827,0)</f>
        <v>509.44442364133175</v>
      </c>
      <c r="AV827" s="395">
        <f>+IF($H827="x",VLOOKUP($I827,'AUX-NIV2'!$B:$X,'AUX-NIV1'!AV$3,FALSE),0)</f>
        <v>0</v>
      </c>
    </row>
    <row r="828" spans="2:48" ht="13.8" hidden="1" thickTop="1">
      <c r="B828" s="501" t="s">
        <v>3967</v>
      </c>
      <c r="C828" s="951" t="s">
        <v>3548</v>
      </c>
      <c r="D828" s="1280" t="s">
        <v>501</v>
      </c>
      <c r="E828" s="1281">
        <f>IF(B828&lt;&gt;"",+SUMIF(Items!C:C,'AUX-NIV1'!B828,Items!H:H),"")</f>
        <v>0</v>
      </c>
      <c r="F828" s="1281">
        <f t="shared" si="836"/>
        <v>31472.835542961235</v>
      </c>
      <c r="G828" s="1281">
        <f t="shared" si="837"/>
        <v>0</v>
      </c>
      <c r="H828" s="1395" t="str">
        <f t="shared" si="879"/>
        <v>S</v>
      </c>
      <c r="I828" s="1375" t="s">
        <v>4251</v>
      </c>
      <c r="J828" s="1283" t="str">
        <f>IF(B828&lt;&gt;"",+VLOOKUP(I828,Recursos!C:F,2,FALSE),"")</f>
        <v>V3</v>
      </c>
      <c r="K828" s="1284" t="str">
        <f>IF(B828&lt;&gt;"",+VLOOKUP(I828,Recursos!C:F,3,FALSE),"")</f>
        <v>Un</v>
      </c>
      <c r="L828" s="1285">
        <f>IF(B828&lt;&gt;"",+VLOOKUP(I828,Recursos!C:F,4,FALSE),"")</f>
        <v>147629.61200000002</v>
      </c>
      <c r="M828" s="1548"/>
      <c r="N828" s="1547">
        <v>1</v>
      </c>
      <c r="O828" s="1286">
        <f t="shared" si="878"/>
        <v>1.0120433154539013E-2</v>
      </c>
      <c r="P828" s="1287">
        <f t="shared" si="880"/>
        <v>1494.0756198765307</v>
      </c>
      <c r="Q828" s="1281">
        <f t="shared" si="881"/>
        <v>0</v>
      </c>
      <c r="R828" s="1288">
        <f t="shared" si="882"/>
        <v>0</v>
      </c>
      <c r="S828" s="1289">
        <f t="shared" si="838"/>
        <v>0</v>
      </c>
      <c r="T828" s="1289">
        <f t="shared" si="839"/>
        <v>0</v>
      </c>
      <c r="U828" s="1290">
        <f t="shared" si="840"/>
        <v>0</v>
      </c>
      <c r="V828" s="1290">
        <f t="shared" si="841"/>
        <v>0</v>
      </c>
      <c r="W828" s="1290">
        <f t="shared" si="842"/>
        <v>31472.835542961235</v>
      </c>
      <c r="X828" s="1290">
        <f t="shared" si="843"/>
        <v>0</v>
      </c>
      <c r="Y828" s="396"/>
      <c r="Z828" s="1291" t="str">
        <f t="shared" si="883"/>
        <v>0-ITK001A</v>
      </c>
      <c r="AA828" s="1291" t="str">
        <f t="shared" si="884"/>
        <v>0-ITK001E</v>
      </c>
      <c r="AB828" s="1291" t="str">
        <f t="shared" si="885"/>
        <v>0-ITK001M</v>
      </c>
      <c r="AC828" s="1291" t="str">
        <f t="shared" si="886"/>
        <v>0-ITK001T</v>
      </c>
      <c r="AD828" s="1291" t="str">
        <f t="shared" si="887"/>
        <v>0-ITK001S</v>
      </c>
      <c r="AE828" s="1291" t="str">
        <f t="shared" si="888"/>
        <v>0-ITK001X</v>
      </c>
      <c r="AF828" s="1291" t="str">
        <f t="shared" si="889"/>
        <v>0-ITK001S</v>
      </c>
      <c r="AG828" s="1291">
        <f t="shared" si="844"/>
        <v>9</v>
      </c>
      <c r="AH828" s="1291">
        <f>IF(B828&lt;&gt;"",+IF(H828="x",+VLOOKUP(I828,'AUX-NIV2'!B:AG,32,FALSE),0),"")</f>
        <v>0</v>
      </c>
      <c r="AI828" s="1291" t="str">
        <f t="shared" si="890"/>
        <v>0-ITK001</v>
      </c>
      <c r="AK828" s="347">
        <f t="shared" si="845"/>
        <v>826</v>
      </c>
      <c r="AL828" s="348">
        <f t="shared" si="891"/>
        <v>834</v>
      </c>
      <c r="AM828" s="347">
        <f t="shared" si="892"/>
        <v>3</v>
      </c>
      <c r="AN828" s="382">
        <f>IF(AND(AH828&gt;0,B828&lt;&gt;""),VLOOKUP(I828,'AUX-NIV2'!$B:$AP,40,FALSE)*O828,0)</f>
        <v>0</v>
      </c>
      <c r="AO828" s="382">
        <f t="shared" si="846"/>
        <v>0</v>
      </c>
      <c r="AQ828" s="395">
        <f>(IF($H828="x",VLOOKUP($I828,'AUX-NIV2'!$B:$X,'AUX-NIV1'!AQ$3,FALSE),0)+($AV828*'AUX-NIV3'!S$4))*$O828+IF($H828=AQ$4,$P828,0)</f>
        <v>0</v>
      </c>
      <c r="AR828" s="395">
        <f>(IF($H828="x",VLOOKUP($I828,'AUX-NIV2'!$B:$X,'AUX-NIV1'!AR$3,FALSE),0)+($AV828*'AUX-NIV3'!T$4))*$O828+IF($H828=AR$4,$P828,0)</f>
        <v>0</v>
      </c>
      <c r="AS828" s="395">
        <f>(IF($H828="x",VLOOKUP($I828,'AUX-NIV2'!$B:$X,'AUX-NIV1'!AS$3,FALSE),0)+($AV828*'AUX-NIV3'!U$4))*$O828+IF($H828=AS$4,$P828,0)</f>
        <v>0</v>
      </c>
      <c r="AT828" s="395">
        <f>(IF($H828="x",VLOOKUP($I828,'AUX-NIV2'!$B:$X,'AUX-NIV1'!AT$3,FALSE),0)+($AV828*'AUX-NIV3'!V$4))*$O828+IF($H828=AT$4,$P828,0)</f>
        <v>0</v>
      </c>
      <c r="AU828" s="395">
        <f>(IF($H828="x",VLOOKUP($I828,'AUX-NIV2'!$B:$X,'AUX-NIV1'!AU$3,FALSE),0)+($AV828*'AUX-NIV3'!W$4))*$O828+IF($H828=AU$4,$P828,0)</f>
        <v>1494.0756198765307</v>
      </c>
      <c r="AV828" s="395">
        <f>+IF($H828="x",VLOOKUP($I828,'AUX-NIV2'!$B:$X,'AUX-NIV1'!AV$3,FALSE),0)</f>
        <v>0</v>
      </c>
    </row>
    <row r="829" spans="2:48" ht="13.8" hidden="1" thickTop="1">
      <c r="B829" s="501" t="s">
        <v>3967</v>
      </c>
      <c r="C829" s="951" t="s">
        <v>3548</v>
      </c>
      <c r="D829" s="1280" t="s">
        <v>501</v>
      </c>
      <c r="E829" s="1281">
        <f>IF(B829&lt;&gt;"",+SUMIF(Items!C:C,'AUX-NIV1'!B829,Items!H:H),"")</f>
        <v>0</v>
      </c>
      <c r="F829" s="1281">
        <f t="shared" si="836"/>
        <v>31472.835542961235</v>
      </c>
      <c r="G829" s="1281">
        <f t="shared" si="837"/>
        <v>0</v>
      </c>
      <c r="H829" s="1395" t="str">
        <f t="shared" si="879"/>
        <v>S</v>
      </c>
      <c r="I829" s="1375" t="s">
        <v>4252</v>
      </c>
      <c r="J829" s="1283" t="str">
        <f>IF(B829&lt;&gt;"",+VLOOKUP(I829,Recursos!C:F,2,FALSE),"")</f>
        <v>V4</v>
      </c>
      <c r="K829" s="1284" t="str">
        <f>IF(B829&lt;&gt;"",+VLOOKUP(I829,Recursos!C:F,3,FALSE),"")</f>
        <v>Un</v>
      </c>
      <c r="L829" s="1285">
        <f>IF(B829&lt;&gt;"",+VLOOKUP(I829,Recursos!C:F,4,FALSE),"")</f>
        <v>771779.65800000005</v>
      </c>
      <c r="M829" s="1548"/>
      <c r="N829" s="1547">
        <v>1</v>
      </c>
      <c r="O829" s="1286">
        <f t="shared" si="878"/>
        <v>1.0120433154539013E-2</v>
      </c>
      <c r="P829" s="1287">
        <f t="shared" si="880"/>
        <v>7810.744438821981</v>
      </c>
      <c r="Q829" s="1281">
        <f t="shared" si="881"/>
        <v>0</v>
      </c>
      <c r="R829" s="1288">
        <f t="shared" si="882"/>
        <v>0</v>
      </c>
      <c r="S829" s="1289">
        <f t="shared" si="838"/>
        <v>0</v>
      </c>
      <c r="T829" s="1289">
        <f t="shared" si="839"/>
        <v>0</v>
      </c>
      <c r="U829" s="1290">
        <f t="shared" si="840"/>
        <v>0</v>
      </c>
      <c r="V829" s="1290">
        <f t="shared" si="841"/>
        <v>0</v>
      </c>
      <c r="W829" s="1290">
        <f t="shared" si="842"/>
        <v>31472.835542961235</v>
      </c>
      <c r="X829" s="1290">
        <f t="shared" si="843"/>
        <v>0</v>
      </c>
      <c r="Y829" s="396"/>
      <c r="Z829" s="1291" t="str">
        <f t="shared" si="883"/>
        <v>0-ITK001A</v>
      </c>
      <c r="AA829" s="1291" t="str">
        <f t="shared" si="884"/>
        <v>0-ITK001E</v>
      </c>
      <c r="AB829" s="1291" t="str">
        <f t="shared" si="885"/>
        <v>0-ITK001M</v>
      </c>
      <c r="AC829" s="1291" t="str">
        <f t="shared" si="886"/>
        <v>0-ITK001T</v>
      </c>
      <c r="AD829" s="1291" t="str">
        <f t="shared" si="887"/>
        <v>0-ITK001S</v>
      </c>
      <c r="AE829" s="1291" t="str">
        <f t="shared" si="888"/>
        <v>0-ITK001X</v>
      </c>
      <c r="AF829" s="1291" t="str">
        <f t="shared" si="889"/>
        <v>0-ITK001S</v>
      </c>
      <c r="AG829" s="1291">
        <f t="shared" si="844"/>
        <v>9</v>
      </c>
      <c r="AH829" s="1291">
        <f>IF(B829&lt;&gt;"",+IF(H829="x",+VLOOKUP(I829,'AUX-NIV2'!B:AG,32,FALSE),0),"")</f>
        <v>0</v>
      </c>
      <c r="AI829" s="1291" t="str">
        <f t="shared" si="890"/>
        <v>0-ITK001</v>
      </c>
      <c r="AK829" s="347">
        <f t="shared" si="845"/>
        <v>826</v>
      </c>
      <c r="AL829" s="348">
        <f t="shared" si="891"/>
        <v>834</v>
      </c>
      <c r="AM829" s="347">
        <f t="shared" si="892"/>
        <v>4</v>
      </c>
      <c r="AN829" s="382">
        <f>IF(AND(AH829&gt;0,B829&lt;&gt;""),VLOOKUP(I829,'AUX-NIV2'!$B:$AP,40,FALSE)*O829,0)</f>
        <v>0</v>
      </c>
      <c r="AO829" s="382">
        <f t="shared" si="846"/>
        <v>0</v>
      </c>
      <c r="AQ829" s="395">
        <f>(IF($H829="x",VLOOKUP($I829,'AUX-NIV2'!$B:$X,'AUX-NIV1'!AQ$3,FALSE),0)+($AV829*'AUX-NIV3'!S$4))*$O829+IF($H829=AQ$4,$P829,0)</f>
        <v>0</v>
      </c>
      <c r="AR829" s="395">
        <f>(IF($H829="x",VLOOKUP($I829,'AUX-NIV2'!$B:$X,'AUX-NIV1'!AR$3,FALSE),0)+($AV829*'AUX-NIV3'!T$4))*$O829+IF($H829=AR$4,$P829,0)</f>
        <v>0</v>
      </c>
      <c r="AS829" s="395">
        <f>(IF($H829="x",VLOOKUP($I829,'AUX-NIV2'!$B:$X,'AUX-NIV1'!AS$3,FALSE),0)+($AV829*'AUX-NIV3'!U$4))*$O829+IF($H829=AS$4,$P829,0)</f>
        <v>0</v>
      </c>
      <c r="AT829" s="395">
        <f>(IF($H829="x",VLOOKUP($I829,'AUX-NIV2'!$B:$X,'AUX-NIV1'!AT$3,FALSE),0)+($AV829*'AUX-NIV3'!V$4))*$O829+IF($H829=AT$4,$P829,0)</f>
        <v>0</v>
      </c>
      <c r="AU829" s="395">
        <f>(IF($H829="x",VLOOKUP($I829,'AUX-NIV2'!$B:$X,'AUX-NIV1'!AU$3,FALSE),0)+($AV829*'AUX-NIV3'!W$4))*$O829+IF($H829=AU$4,$P829,0)</f>
        <v>7810.744438821981</v>
      </c>
      <c r="AV829" s="395">
        <f>+IF($H829="x",VLOOKUP($I829,'AUX-NIV2'!$B:$X,'AUX-NIV1'!AV$3,FALSE),0)</f>
        <v>0</v>
      </c>
    </row>
    <row r="830" spans="2:48" ht="13.8" hidden="1" thickTop="1">
      <c r="B830" s="501" t="s">
        <v>3967</v>
      </c>
      <c r="C830" s="951" t="s">
        <v>3548</v>
      </c>
      <c r="D830" s="1280" t="s">
        <v>501</v>
      </c>
      <c r="E830" s="1281">
        <f>IF(B830&lt;&gt;"",+SUMIF(Items!C:C,'AUX-NIV1'!B830,Items!H:H),"")</f>
        <v>0</v>
      </c>
      <c r="F830" s="1281">
        <f t="shared" si="836"/>
        <v>31472.835542961235</v>
      </c>
      <c r="G830" s="1281">
        <f t="shared" si="837"/>
        <v>0</v>
      </c>
      <c r="H830" s="1395" t="str">
        <f t="shared" si="879"/>
        <v>S</v>
      </c>
      <c r="I830" s="1375" t="s">
        <v>4253</v>
      </c>
      <c r="J830" s="1283" t="str">
        <f>IF(B830&lt;&gt;"",+VLOOKUP(I830,Recursos!C:F,2,FALSE),"")</f>
        <v>P1</v>
      </c>
      <c r="K830" s="1284" t="str">
        <f>IF(B830&lt;&gt;"",+VLOOKUP(I830,Recursos!C:F,3,FALSE),"")</f>
        <v>Un</v>
      </c>
      <c r="L830" s="1285">
        <f>IF(B830&lt;&gt;"",+VLOOKUP(I830,Recursos!C:F,4,FALSE),"")</f>
        <v>296787.93299999996</v>
      </c>
      <c r="M830" s="1548"/>
      <c r="N830" s="1547">
        <v>1</v>
      </c>
      <c r="O830" s="1286">
        <f t="shared" si="878"/>
        <v>1.0120433154539013E-2</v>
      </c>
      <c r="P830" s="1287">
        <f t="shared" si="880"/>
        <v>3003.6224370003029</v>
      </c>
      <c r="Q830" s="1281">
        <f t="shared" si="881"/>
        <v>0</v>
      </c>
      <c r="R830" s="1288">
        <f t="shared" si="882"/>
        <v>0</v>
      </c>
      <c r="S830" s="1289">
        <f t="shared" si="838"/>
        <v>0</v>
      </c>
      <c r="T830" s="1289">
        <f t="shared" si="839"/>
        <v>0</v>
      </c>
      <c r="U830" s="1290">
        <f t="shared" si="840"/>
        <v>0</v>
      </c>
      <c r="V830" s="1290">
        <f t="shared" si="841"/>
        <v>0</v>
      </c>
      <c r="W830" s="1290">
        <f t="shared" si="842"/>
        <v>31472.835542961235</v>
      </c>
      <c r="X830" s="1290">
        <f t="shared" si="843"/>
        <v>0</v>
      </c>
      <c r="Y830" s="396"/>
      <c r="Z830" s="1291" t="str">
        <f t="shared" si="883"/>
        <v>0-ITK001A</v>
      </c>
      <c r="AA830" s="1291" t="str">
        <f t="shared" si="884"/>
        <v>0-ITK001E</v>
      </c>
      <c r="AB830" s="1291" t="str">
        <f t="shared" si="885"/>
        <v>0-ITK001M</v>
      </c>
      <c r="AC830" s="1291" t="str">
        <f t="shared" si="886"/>
        <v>0-ITK001T</v>
      </c>
      <c r="AD830" s="1291" t="str">
        <f t="shared" si="887"/>
        <v>0-ITK001S</v>
      </c>
      <c r="AE830" s="1291" t="str">
        <f t="shared" si="888"/>
        <v>0-ITK001X</v>
      </c>
      <c r="AF830" s="1291" t="str">
        <f t="shared" si="889"/>
        <v>0-ITK001S</v>
      </c>
      <c r="AG830" s="1291">
        <f t="shared" si="844"/>
        <v>9</v>
      </c>
      <c r="AH830" s="1291">
        <f>IF(B830&lt;&gt;"",+IF(H830="x",+VLOOKUP(I830,'AUX-NIV2'!B:AG,32,FALSE),0),"")</f>
        <v>0</v>
      </c>
      <c r="AI830" s="1291" t="str">
        <f t="shared" si="890"/>
        <v>0-ITK001</v>
      </c>
      <c r="AK830" s="347">
        <f t="shared" si="845"/>
        <v>826</v>
      </c>
      <c r="AL830" s="348">
        <f t="shared" si="891"/>
        <v>834</v>
      </c>
      <c r="AM830" s="347">
        <f t="shared" si="892"/>
        <v>5</v>
      </c>
      <c r="AN830" s="382">
        <f>IF(AND(AH830&gt;0,B830&lt;&gt;""),VLOOKUP(I830,'AUX-NIV2'!$B:$AP,40,FALSE)*O830,0)</f>
        <v>0</v>
      </c>
      <c r="AO830" s="382">
        <f t="shared" si="846"/>
        <v>0</v>
      </c>
      <c r="AQ830" s="395">
        <f>(IF($H830="x",VLOOKUP($I830,'AUX-NIV2'!$B:$X,'AUX-NIV1'!AQ$3,FALSE),0)+($AV830*'AUX-NIV3'!S$4))*$O830+IF($H830=AQ$4,$P830,0)</f>
        <v>0</v>
      </c>
      <c r="AR830" s="395">
        <f>(IF($H830="x",VLOOKUP($I830,'AUX-NIV2'!$B:$X,'AUX-NIV1'!AR$3,FALSE),0)+($AV830*'AUX-NIV3'!T$4))*$O830+IF($H830=AR$4,$P830,0)</f>
        <v>0</v>
      </c>
      <c r="AS830" s="395">
        <f>(IF($H830="x",VLOOKUP($I830,'AUX-NIV2'!$B:$X,'AUX-NIV1'!AS$3,FALSE),0)+($AV830*'AUX-NIV3'!U$4))*$O830+IF($H830=AS$4,$P830,0)</f>
        <v>0</v>
      </c>
      <c r="AT830" s="395">
        <f>(IF($H830="x",VLOOKUP($I830,'AUX-NIV2'!$B:$X,'AUX-NIV1'!AT$3,FALSE),0)+($AV830*'AUX-NIV3'!V$4))*$O830+IF($H830=AT$4,$P830,0)</f>
        <v>0</v>
      </c>
      <c r="AU830" s="395">
        <f>(IF($H830="x",VLOOKUP($I830,'AUX-NIV2'!$B:$X,'AUX-NIV1'!AU$3,FALSE),0)+($AV830*'AUX-NIV3'!W$4))*$O830+IF($H830=AU$4,$P830,0)</f>
        <v>3003.6224370003029</v>
      </c>
      <c r="AV830" s="395">
        <f>+IF($H830="x",VLOOKUP($I830,'AUX-NIV2'!$B:$X,'AUX-NIV1'!AV$3,FALSE),0)</f>
        <v>0</v>
      </c>
    </row>
    <row r="831" spans="2:48" ht="13.8" hidden="1" thickTop="1">
      <c r="B831" s="501" t="s">
        <v>3967</v>
      </c>
      <c r="C831" s="951" t="s">
        <v>3548</v>
      </c>
      <c r="D831" s="1280" t="s">
        <v>501</v>
      </c>
      <c r="E831" s="1281">
        <f>IF(B831&lt;&gt;"",+SUMIF(Items!C:C,'AUX-NIV1'!B831,Items!H:H),"")</f>
        <v>0</v>
      </c>
      <c r="F831" s="1281">
        <f t="shared" si="836"/>
        <v>31472.835542961235</v>
      </c>
      <c r="G831" s="1281">
        <f t="shared" si="837"/>
        <v>0</v>
      </c>
      <c r="H831" s="1395" t="str">
        <f t="shared" si="879"/>
        <v>S</v>
      </c>
      <c r="I831" s="1375" t="s">
        <v>4254</v>
      </c>
      <c r="J831" s="1283" t="str">
        <f>IF(B831&lt;&gt;"",+VLOOKUP(I831,Recursos!C:F,2,FALSE),"")</f>
        <v>P2</v>
      </c>
      <c r="K831" s="1284" t="str">
        <f>IF(B831&lt;&gt;"",+VLOOKUP(I831,Recursos!C:F,3,FALSE),"")</f>
        <v>Un</v>
      </c>
      <c r="L831" s="1285">
        <f>IF(B831&lt;&gt;"",+VLOOKUP(I831,Recursos!C:F,4,FALSE),"")</f>
        <v>394625.30900000001</v>
      </c>
      <c r="M831" s="1548"/>
      <c r="N831" s="1547">
        <v>1</v>
      </c>
      <c r="O831" s="1286">
        <f t="shared" si="878"/>
        <v>1.0120433154539013E-2</v>
      </c>
      <c r="P831" s="1287">
        <f t="shared" si="880"/>
        <v>3993.7790608238029</v>
      </c>
      <c r="Q831" s="1281">
        <f t="shared" si="881"/>
        <v>0</v>
      </c>
      <c r="R831" s="1288">
        <f t="shared" si="882"/>
        <v>0</v>
      </c>
      <c r="S831" s="1289">
        <f t="shared" si="838"/>
        <v>0</v>
      </c>
      <c r="T831" s="1289">
        <f t="shared" si="839"/>
        <v>0</v>
      </c>
      <c r="U831" s="1290">
        <f t="shared" si="840"/>
        <v>0</v>
      </c>
      <c r="V831" s="1290">
        <f t="shared" si="841"/>
        <v>0</v>
      </c>
      <c r="W831" s="1290">
        <f t="shared" si="842"/>
        <v>31472.835542961235</v>
      </c>
      <c r="X831" s="1290">
        <f t="shared" si="843"/>
        <v>0</v>
      </c>
      <c r="Y831" s="396"/>
      <c r="Z831" s="1291" t="str">
        <f t="shared" si="883"/>
        <v>0-ITK001A</v>
      </c>
      <c r="AA831" s="1291" t="str">
        <f t="shared" si="884"/>
        <v>0-ITK001E</v>
      </c>
      <c r="AB831" s="1291" t="str">
        <f t="shared" si="885"/>
        <v>0-ITK001M</v>
      </c>
      <c r="AC831" s="1291" t="str">
        <f t="shared" si="886"/>
        <v>0-ITK001T</v>
      </c>
      <c r="AD831" s="1291" t="str">
        <f t="shared" si="887"/>
        <v>0-ITK001S</v>
      </c>
      <c r="AE831" s="1291" t="str">
        <f t="shared" si="888"/>
        <v>0-ITK001X</v>
      </c>
      <c r="AF831" s="1291" t="str">
        <f t="shared" si="889"/>
        <v>0-ITK001S</v>
      </c>
      <c r="AG831" s="1291">
        <f t="shared" si="844"/>
        <v>9</v>
      </c>
      <c r="AH831" s="1291">
        <f>IF(B831&lt;&gt;"",+IF(H831="x",+VLOOKUP(I831,'AUX-NIV2'!B:AG,32,FALSE),0),"")</f>
        <v>0</v>
      </c>
      <c r="AI831" s="1291" t="str">
        <f t="shared" si="890"/>
        <v>0-ITK001</v>
      </c>
      <c r="AK831" s="347">
        <f t="shared" si="845"/>
        <v>826</v>
      </c>
      <c r="AL831" s="348">
        <f t="shared" si="891"/>
        <v>834</v>
      </c>
      <c r="AM831" s="347">
        <f t="shared" si="892"/>
        <v>6</v>
      </c>
      <c r="AN831" s="382">
        <f>IF(AND(AH831&gt;0,B831&lt;&gt;""),VLOOKUP(I831,'AUX-NIV2'!$B:$AP,40,FALSE)*O831,0)</f>
        <v>0</v>
      </c>
      <c r="AO831" s="382">
        <f t="shared" si="846"/>
        <v>0</v>
      </c>
      <c r="AQ831" s="395">
        <f>(IF($H831="x",VLOOKUP($I831,'AUX-NIV2'!$B:$X,'AUX-NIV1'!AQ$3,FALSE),0)+($AV831*'AUX-NIV3'!S$4))*$O831+IF($H831=AQ$4,$P831,0)</f>
        <v>0</v>
      </c>
      <c r="AR831" s="395">
        <f>(IF($H831="x",VLOOKUP($I831,'AUX-NIV2'!$B:$X,'AUX-NIV1'!AR$3,FALSE),0)+($AV831*'AUX-NIV3'!T$4))*$O831+IF($H831=AR$4,$P831,0)</f>
        <v>0</v>
      </c>
      <c r="AS831" s="395">
        <f>(IF($H831="x",VLOOKUP($I831,'AUX-NIV2'!$B:$X,'AUX-NIV1'!AS$3,FALSE),0)+($AV831*'AUX-NIV3'!U$4))*$O831+IF($H831=AS$4,$P831,0)</f>
        <v>0</v>
      </c>
      <c r="AT831" s="395">
        <f>(IF($H831="x",VLOOKUP($I831,'AUX-NIV2'!$B:$X,'AUX-NIV1'!AT$3,FALSE),0)+($AV831*'AUX-NIV3'!V$4))*$O831+IF($H831=AT$4,$P831,0)</f>
        <v>0</v>
      </c>
      <c r="AU831" s="395">
        <f>(IF($H831="x",VLOOKUP($I831,'AUX-NIV2'!$B:$X,'AUX-NIV1'!AU$3,FALSE),0)+($AV831*'AUX-NIV3'!W$4))*$O831+IF($H831=AU$4,$P831,0)</f>
        <v>3993.7790608238029</v>
      </c>
      <c r="AV831" s="395">
        <f>+IF($H831="x",VLOOKUP($I831,'AUX-NIV2'!$B:$X,'AUX-NIV1'!AV$3,FALSE),0)</f>
        <v>0</v>
      </c>
    </row>
    <row r="832" spans="2:48" ht="13.8" hidden="1" thickTop="1">
      <c r="B832" s="501" t="s">
        <v>3967</v>
      </c>
      <c r="C832" s="951" t="s">
        <v>3548</v>
      </c>
      <c r="D832" s="1280" t="s">
        <v>501</v>
      </c>
      <c r="E832" s="1281">
        <f>IF(B832&lt;&gt;"",+SUMIF(Items!C:C,'AUX-NIV1'!B832,Items!H:H),"")</f>
        <v>0</v>
      </c>
      <c r="F832" s="1281">
        <f t="shared" si="836"/>
        <v>31472.835542961235</v>
      </c>
      <c r="G832" s="1281">
        <f t="shared" si="837"/>
        <v>0</v>
      </c>
      <c r="H832" s="1395" t="str">
        <f t="shared" si="879"/>
        <v>S</v>
      </c>
      <c r="I832" s="1375" t="s">
        <v>4255</v>
      </c>
      <c r="J832" s="1283" t="str">
        <f>IF(B832&lt;&gt;"",+VLOOKUP(I832,Recursos!C:F,2,FALSE),"")</f>
        <v>V12</v>
      </c>
      <c r="K832" s="1284" t="str">
        <f>IF(B832&lt;&gt;"",+VLOOKUP(I832,Recursos!C:F,3,FALSE),"")</f>
        <v>Un</v>
      </c>
      <c r="L832" s="1285">
        <f>IF(B832&lt;&gt;"",+VLOOKUP(I832,Recursos!C:F,4,FALSE),"")</f>
        <v>447038.18900000001</v>
      </c>
      <c r="M832" s="1548"/>
      <c r="N832" s="1547">
        <v>1</v>
      </c>
      <c r="O832" s="1286">
        <f t="shared" si="878"/>
        <v>1.0120433154539013E-2</v>
      </c>
      <c r="P832" s="1287">
        <f t="shared" si="880"/>
        <v>4524.2201093006779</v>
      </c>
      <c r="Q832" s="1281">
        <f t="shared" si="881"/>
        <v>0</v>
      </c>
      <c r="R832" s="1288">
        <f t="shared" si="882"/>
        <v>0</v>
      </c>
      <c r="S832" s="1289">
        <f t="shared" si="838"/>
        <v>0</v>
      </c>
      <c r="T832" s="1289">
        <f t="shared" si="839"/>
        <v>0</v>
      </c>
      <c r="U832" s="1290">
        <f t="shared" si="840"/>
        <v>0</v>
      </c>
      <c r="V832" s="1290">
        <f t="shared" si="841"/>
        <v>0</v>
      </c>
      <c r="W832" s="1290">
        <f t="shared" si="842"/>
        <v>31472.835542961235</v>
      </c>
      <c r="X832" s="1290">
        <f t="shared" si="843"/>
        <v>0</v>
      </c>
      <c r="Y832" s="396"/>
      <c r="Z832" s="1291" t="str">
        <f t="shared" si="883"/>
        <v>0-ITK001A</v>
      </c>
      <c r="AA832" s="1291" t="str">
        <f t="shared" si="884"/>
        <v>0-ITK001E</v>
      </c>
      <c r="AB832" s="1291" t="str">
        <f t="shared" si="885"/>
        <v>0-ITK001M</v>
      </c>
      <c r="AC832" s="1291" t="str">
        <f t="shared" si="886"/>
        <v>0-ITK001T</v>
      </c>
      <c r="AD832" s="1291" t="str">
        <f t="shared" si="887"/>
        <v>0-ITK001S</v>
      </c>
      <c r="AE832" s="1291" t="str">
        <f t="shared" si="888"/>
        <v>0-ITK001X</v>
      </c>
      <c r="AF832" s="1291" t="str">
        <f t="shared" si="889"/>
        <v>0-ITK001S</v>
      </c>
      <c r="AG832" s="1291">
        <f t="shared" si="844"/>
        <v>9</v>
      </c>
      <c r="AH832" s="1291">
        <f>IF(B832&lt;&gt;"",+IF(H832="x",+VLOOKUP(I832,'AUX-NIV2'!B:AG,32,FALSE),0),"")</f>
        <v>0</v>
      </c>
      <c r="AI832" s="1291" t="str">
        <f t="shared" si="890"/>
        <v>0-ITK001</v>
      </c>
      <c r="AK832" s="347">
        <f t="shared" si="845"/>
        <v>826</v>
      </c>
      <c r="AL832" s="348">
        <f t="shared" si="891"/>
        <v>834</v>
      </c>
      <c r="AM832" s="347">
        <f t="shared" si="892"/>
        <v>7</v>
      </c>
      <c r="AN832" s="382">
        <f>IF(AND(AH832&gt;0,B832&lt;&gt;""),VLOOKUP(I832,'AUX-NIV2'!$B:$AP,40,FALSE)*O832,0)</f>
        <v>0</v>
      </c>
      <c r="AO832" s="382">
        <f t="shared" si="846"/>
        <v>0</v>
      </c>
      <c r="AQ832" s="395">
        <f>(IF($H832="x",VLOOKUP($I832,'AUX-NIV2'!$B:$X,'AUX-NIV1'!AQ$3,FALSE),0)+($AV832*'AUX-NIV3'!S$4))*$O832+IF($H832=AQ$4,$P832,0)</f>
        <v>0</v>
      </c>
      <c r="AR832" s="395">
        <f>(IF($H832="x",VLOOKUP($I832,'AUX-NIV2'!$B:$X,'AUX-NIV1'!AR$3,FALSE),0)+($AV832*'AUX-NIV3'!T$4))*$O832+IF($H832=AR$4,$P832,0)</f>
        <v>0</v>
      </c>
      <c r="AS832" s="395">
        <f>(IF($H832="x",VLOOKUP($I832,'AUX-NIV2'!$B:$X,'AUX-NIV1'!AS$3,FALSE),0)+($AV832*'AUX-NIV3'!U$4))*$O832+IF($H832=AS$4,$P832,0)</f>
        <v>0</v>
      </c>
      <c r="AT832" s="395">
        <f>(IF($H832="x",VLOOKUP($I832,'AUX-NIV2'!$B:$X,'AUX-NIV1'!AT$3,FALSE),0)+($AV832*'AUX-NIV3'!V$4))*$O832+IF($H832=AT$4,$P832,0)</f>
        <v>0</v>
      </c>
      <c r="AU832" s="395">
        <f>(IF($H832="x",VLOOKUP($I832,'AUX-NIV2'!$B:$X,'AUX-NIV1'!AU$3,FALSE),0)+($AV832*'AUX-NIV3'!W$4))*$O832+IF($H832=AU$4,$P832,0)</f>
        <v>4524.2201093006779</v>
      </c>
      <c r="AV832" s="395">
        <f>+IF($H832="x",VLOOKUP($I832,'AUX-NIV2'!$B:$X,'AUX-NIV1'!AV$3,FALSE),0)</f>
        <v>0</v>
      </c>
    </row>
    <row r="833" spans="2:48" ht="13.8" hidden="1" thickTop="1">
      <c r="B833" s="501" t="s">
        <v>3967</v>
      </c>
      <c r="C833" s="951" t="s">
        <v>3548</v>
      </c>
      <c r="D833" s="1280" t="s">
        <v>501</v>
      </c>
      <c r="E833" s="1281">
        <f>IF(B833&lt;&gt;"",+SUMIF(Items!C:C,'AUX-NIV1'!B833,Items!H:H),"")</f>
        <v>0</v>
      </c>
      <c r="F833" s="1281">
        <f t="shared" si="836"/>
        <v>31472.835542961235</v>
      </c>
      <c r="G833" s="1281">
        <f t="shared" si="837"/>
        <v>0</v>
      </c>
      <c r="H833" s="1395" t="str">
        <f t="shared" si="879"/>
        <v>S</v>
      </c>
      <c r="I833" s="1375" t="s">
        <v>4256</v>
      </c>
      <c r="J833" s="1283" t="str">
        <f>IF(B833&lt;&gt;"",+VLOOKUP(I833,Recursos!C:F,2,FALSE),"")</f>
        <v>V13</v>
      </c>
      <c r="K833" s="1284" t="str">
        <f>IF(B833&lt;&gt;"",+VLOOKUP(I833,Recursos!C:F,3,FALSE),"")</f>
        <v>Un</v>
      </c>
      <c r="L833" s="1285">
        <f>IF(B833&lt;&gt;"",+VLOOKUP(I833,Recursos!C:F,4,FALSE),"")</f>
        <v>132124.13500000001</v>
      </c>
      <c r="M833" s="1548"/>
      <c r="N833" s="1547">
        <v>1</v>
      </c>
      <c r="O833" s="1286">
        <f t="shared" si="878"/>
        <v>1.0120433154539013E-2</v>
      </c>
      <c r="P833" s="1287">
        <f t="shared" si="880"/>
        <v>1337.1534763687885</v>
      </c>
      <c r="Q833" s="1281">
        <f t="shared" si="881"/>
        <v>0</v>
      </c>
      <c r="R833" s="1288">
        <f t="shared" si="882"/>
        <v>0</v>
      </c>
      <c r="S833" s="1289">
        <f t="shared" si="838"/>
        <v>0</v>
      </c>
      <c r="T833" s="1289">
        <f t="shared" si="839"/>
        <v>0</v>
      </c>
      <c r="U833" s="1290">
        <f t="shared" si="840"/>
        <v>0</v>
      </c>
      <c r="V833" s="1290">
        <f t="shared" si="841"/>
        <v>0</v>
      </c>
      <c r="W833" s="1290">
        <f t="shared" si="842"/>
        <v>31472.835542961235</v>
      </c>
      <c r="X833" s="1290">
        <f t="shared" si="843"/>
        <v>0</v>
      </c>
      <c r="Y833" s="396"/>
      <c r="Z833" s="1291" t="str">
        <f t="shared" si="883"/>
        <v>0-ITK001A</v>
      </c>
      <c r="AA833" s="1291" t="str">
        <f t="shared" si="884"/>
        <v>0-ITK001E</v>
      </c>
      <c r="AB833" s="1291" t="str">
        <f t="shared" si="885"/>
        <v>0-ITK001M</v>
      </c>
      <c r="AC833" s="1291" t="str">
        <f t="shared" si="886"/>
        <v>0-ITK001T</v>
      </c>
      <c r="AD833" s="1291" t="str">
        <f t="shared" si="887"/>
        <v>0-ITK001S</v>
      </c>
      <c r="AE833" s="1291" t="str">
        <f t="shared" si="888"/>
        <v>0-ITK001X</v>
      </c>
      <c r="AF833" s="1291" t="str">
        <f t="shared" si="889"/>
        <v>0-ITK001S</v>
      </c>
      <c r="AG833" s="1291">
        <f t="shared" si="844"/>
        <v>9</v>
      </c>
      <c r="AH833" s="1291">
        <f>IF(B833&lt;&gt;"",+IF(H833="x",+VLOOKUP(I833,'AUX-NIV2'!B:AG,32,FALSE),0),"")</f>
        <v>0</v>
      </c>
      <c r="AI833" s="1291" t="str">
        <f t="shared" si="890"/>
        <v>0-ITK001</v>
      </c>
      <c r="AK833" s="347">
        <f t="shared" si="845"/>
        <v>826</v>
      </c>
      <c r="AL833" s="348">
        <f t="shared" si="891"/>
        <v>834</v>
      </c>
      <c r="AM833" s="347">
        <f t="shared" si="892"/>
        <v>8</v>
      </c>
      <c r="AN833" s="382">
        <f>IF(AND(AH833&gt;0,B833&lt;&gt;""),VLOOKUP(I833,'AUX-NIV2'!$B:$AP,40,FALSE)*O833,0)</f>
        <v>0</v>
      </c>
      <c r="AO833" s="382">
        <f t="shared" si="846"/>
        <v>0</v>
      </c>
      <c r="AQ833" s="395">
        <f>(IF($H833="x",VLOOKUP($I833,'AUX-NIV2'!$B:$X,'AUX-NIV1'!AQ$3,FALSE),0)+($AV833*'AUX-NIV3'!S$4))*$O833+IF($H833=AQ$4,$P833,0)</f>
        <v>0</v>
      </c>
      <c r="AR833" s="395">
        <f>(IF($H833="x",VLOOKUP($I833,'AUX-NIV2'!$B:$X,'AUX-NIV1'!AR$3,FALSE),0)+($AV833*'AUX-NIV3'!T$4))*$O833+IF($H833=AR$4,$P833,0)</f>
        <v>0</v>
      </c>
      <c r="AS833" s="395">
        <f>(IF($H833="x",VLOOKUP($I833,'AUX-NIV2'!$B:$X,'AUX-NIV1'!AS$3,FALSE),0)+($AV833*'AUX-NIV3'!U$4))*$O833+IF($H833=AS$4,$P833,0)</f>
        <v>0</v>
      </c>
      <c r="AT833" s="395">
        <f>(IF($H833="x",VLOOKUP($I833,'AUX-NIV2'!$B:$X,'AUX-NIV1'!AT$3,FALSE),0)+($AV833*'AUX-NIV3'!V$4))*$O833+IF($H833=AT$4,$P833,0)</f>
        <v>0</v>
      </c>
      <c r="AU833" s="395">
        <f>(IF($H833="x",VLOOKUP($I833,'AUX-NIV2'!$B:$X,'AUX-NIV1'!AU$3,FALSE),0)+($AV833*'AUX-NIV3'!W$4))*$O833+IF($H833=AU$4,$P833,0)</f>
        <v>1337.1534763687885</v>
      </c>
      <c r="AV833" s="395">
        <f>+IF($H833="x",VLOOKUP($I833,'AUX-NIV2'!$B:$X,'AUX-NIV1'!AV$3,FALSE),0)</f>
        <v>0</v>
      </c>
    </row>
    <row r="834" spans="2:48" ht="14.4" hidden="1" thickTop="1" thickBot="1">
      <c r="B834" s="501" t="s">
        <v>3967</v>
      </c>
      <c r="C834" s="951" t="s">
        <v>3548</v>
      </c>
      <c r="D834" s="1280" t="s">
        <v>501</v>
      </c>
      <c r="E834" s="1281">
        <f>IF(B834&lt;&gt;"",+SUMIF(Items!C:C,'AUX-NIV1'!B834,Items!H:H),"")</f>
        <v>0</v>
      </c>
      <c r="F834" s="1281">
        <f t="shared" si="836"/>
        <v>31472.835542961235</v>
      </c>
      <c r="G834" s="1281">
        <f t="shared" si="837"/>
        <v>0</v>
      </c>
      <c r="H834" s="1395" t="str">
        <f t="shared" si="879"/>
        <v>S</v>
      </c>
      <c r="I834" s="1375" t="s">
        <v>4257</v>
      </c>
      <c r="J834" s="1283" t="str">
        <f>IF(B834&lt;&gt;"",+VLOOKUP(I834,Recursos!C:F,2,FALSE),"")</f>
        <v>V14</v>
      </c>
      <c r="K834" s="1284" t="str">
        <f>IF(B834&lt;&gt;"",+VLOOKUP(I834,Recursos!C:F,3,FALSE),"")</f>
        <v>Un</v>
      </c>
      <c r="L834" s="1285">
        <f>IF(B834&lt;&gt;"",+VLOOKUP(I834,Recursos!C:F,4,FALSE),"")</f>
        <v>82004.318500000008</v>
      </c>
      <c r="M834" s="1549"/>
      <c r="N834" s="1546">
        <v>1</v>
      </c>
      <c r="O834" s="1286">
        <f t="shared" si="878"/>
        <v>1.0120433154539013E-2</v>
      </c>
      <c r="P834" s="1287">
        <f t="shared" si="880"/>
        <v>829.91922376277705</v>
      </c>
      <c r="Q834" s="1281">
        <f t="shared" si="881"/>
        <v>0</v>
      </c>
      <c r="R834" s="1288">
        <f t="shared" si="882"/>
        <v>0</v>
      </c>
      <c r="S834" s="1289">
        <f t="shared" si="838"/>
        <v>0</v>
      </c>
      <c r="T834" s="1289">
        <f t="shared" si="839"/>
        <v>0</v>
      </c>
      <c r="U834" s="1290">
        <f t="shared" si="840"/>
        <v>0</v>
      </c>
      <c r="V834" s="1290">
        <f t="shared" si="841"/>
        <v>0</v>
      </c>
      <c r="W834" s="1290">
        <f t="shared" si="842"/>
        <v>31472.835542961235</v>
      </c>
      <c r="X834" s="1290">
        <f t="shared" si="843"/>
        <v>0</v>
      </c>
      <c r="Y834" s="396"/>
      <c r="Z834" s="1291" t="str">
        <f t="shared" si="883"/>
        <v>0-ITK001A</v>
      </c>
      <c r="AA834" s="1291" t="str">
        <f t="shared" si="884"/>
        <v>0-ITK001E</v>
      </c>
      <c r="AB834" s="1291" t="str">
        <f t="shared" si="885"/>
        <v>0-ITK001M</v>
      </c>
      <c r="AC834" s="1291" t="str">
        <f t="shared" si="886"/>
        <v>0-ITK001T</v>
      </c>
      <c r="AD834" s="1291" t="str">
        <f t="shared" si="887"/>
        <v>0-ITK001S</v>
      </c>
      <c r="AE834" s="1291" t="str">
        <f t="shared" si="888"/>
        <v>0-ITK001X</v>
      </c>
      <c r="AF834" s="1291" t="str">
        <f t="shared" si="889"/>
        <v>0-ITK001S</v>
      </c>
      <c r="AG834" s="1291">
        <f t="shared" si="844"/>
        <v>9</v>
      </c>
      <c r="AH834" s="1291">
        <f>IF(B834&lt;&gt;"",+IF(H834="x",+VLOOKUP(I834,'AUX-NIV2'!B:AG,32,FALSE),0),"")</f>
        <v>0</v>
      </c>
      <c r="AI834" s="1291" t="str">
        <f t="shared" si="890"/>
        <v>0-ITK001</v>
      </c>
      <c r="AK834" s="347">
        <f t="shared" si="845"/>
        <v>826</v>
      </c>
      <c r="AL834" s="348">
        <f t="shared" si="891"/>
        <v>834</v>
      </c>
      <c r="AM834" s="347">
        <f t="shared" si="892"/>
        <v>9</v>
      </c>
      <c r="AN834" s="382">
        <f>IF(AND(AH834&gt;0,B834&lt;&gt;""),VLOOKUP(I834,'AUX-NIV2'!$B:$AP,40,FALSE)*O834,0)</f>
        <v>0</v>
      </c>
      <c r="AO834" s="382">
        <f t="shared" si="846"/>
        <v>0</v>
      </c>
      <c r="AQ834" s="395">
        <f>(IF($H834="x",VLOOKUP($I834,'AUX-NIV2'!$B:$X,'AUX-NIV1'!AQ$3,FALSE),0)+($AV834*'AUX-NIV3'!S$4))*$O834+IF($H834=AQ$4,$P834,0)</f>
        <v>0</v>
      </c>
      <c r="AR834" s="395">
        <f>(IF($H834="x",VLOOKUP($I834,'AUX-NIV2'!$B:$X,'AUX-NIV1'!AR$3,FALSE),0)+($AV834*'AUX-NIV3'!T$4))*$O834+IF($H834=AR$4,$P834,0)</f>
        <v>0</v>
      </c>
      <c r="AS834" s="395">
        <f>(IF($H834="x",VLOOKUP($I834,'AUX-NIV2'!$B:$X,'AUX-NIV1'!AS$3,FALSE),0)+($AV834*'AUX-NIV3'!U$4))*$O834+IF($H834=AS$4,$P834,0)</f>
        <v>0</v>
      </c>
      <c r="AT834" s="395">
        <f>(IF($H834="x",VLOOKUP($I834,'AUX-NIV2'!$B:$X,'AUX-NIV1'!AT$3,FALSE),0)+($AV834*'AUX-NIV3'!V$4))*$O834+IF($H834=AT$4,$P834,0)</f>
        <v>0</v>
      </c>
      <c r="AU834" s="395">
        <f>(IF($H834="x",VLOOKUP($I834,'AUX-NIV2'!$B:$X,'AUX-NIV1'!AU$3,FALSE),0)+($AV834*'AUX-NIV3'!W$4))*$O834+IF($H834=AU$4,$P834,0)</f>
        <v>829.91922376277705</v>
      </c>
      <c r="AV834" s="395">
        <f>+IF($H834="x",VLOOKUP($I834,'AUX-NIV2'!$B:$X,'AUX-NIV1'!AV$3,FALSE),0)</f>
        <v>0</v>
      </c>
    </row>
    <row r="835" spans="2:48" ht="14.4" hidden="1" thickTop="1" thickBot="1">
      <c r="B835" s="501" t="s">
        <v>3968</v>
      </c>
      <c r="C835" s="951" t="s">
        <v>3549</v>
      </c>
      <c r="D835" s="1280" t="s">
        <v>1782</v>
      </c>
      <c r="E835" s="1281">
        <f>IF(B835&lt;&gt;"",+SUMIF(Items!C:C,'AUX-NIV1'!B835,Items!H:H),"")</f>
        <v>0</v>
      </c>
      <c r="F835" s="1281">
        <f t="shared" si="836"/>
        <v>34614.339500000002</v>
      </c>
      <c r="G835" s="1281">
        <f t="shared" si="837"/>
        <v>0</v>
      </c>
      <c r="H835" s="1395" t="str">
        <f t="shared" si="863"/>
        <v>S</v>
      </c>
      <c r="I835" s="1375" t="s">
        <v>3977</v>
      </c>
      <c r="J835" s="1283" t="str">
        <f>IF(B835&lt;&gt;"",+VLOOKUP(I835,Recursos!C:F,2,FALSE),"")</f>
        <v>V5 - fijo</v>
      </c>
      <c r="K835" s="1284" t="str">
        <f>IF(B835&lt;&gt;"",+VLOOKUP(I835,Recursos!C:F,3,FALSE),"")</f>
        <v>u</v>
      </c>
      <c r="L835" s="1285">
        <f>IF(B835&lt;&gt;"",+VLOOKUP(I835,Recursos!C:F,4,FALSE),"")</f>
        <v>34614.339500000002</v>
      </c>
      <c r="M835" s="1293"/>
      <c r="N835" s="1294">
        <v>1</v>
      </c>
      <c r="O835" s="1286">
        <f t="shared" si="864"/>
        <v>1</v>
      </c>
      <c r="P835" s="1287">
        <f t="shared" si="865"/>
        <v>34614.339500000002</v>
      </c>
      <c r="Q835" s="1281">
        <f t="shared" si="866"/>
        <v>0</v>
      </c>
      <c r="R835" s="1288">
        <f t="shared" si="867"/>
        <v>0</v>
      </c>
      <c r="S835" s="1289">
        <f t="shared" si="838"/>
        <v>0</v>
      </c>
      <c r="T835" s="1289">
        <f t="shared" si="839"/>
        <v>0</v>
      </c>
      <c r="U835" s="1290">
        <f t="shared" si="840"/>
        <v>0</v>
      </c>
      <c r="V835" s="1290">
        <f t="shared" si="841"/>
        <v>0</v>
      </c>
      <c r="W835" s="1290">
        <f t="shared" si="842"/>
        <v>34614.339500000002</v>
      </c>
      <c r="X835" s="1290">
        <f t="shared" si="843"/>
        <v>0</v>
      </c>
      <c r="Y835" s="396"/>
      <c r="Z835" s="1291" t="str">
        <f t="shared" si="868"/>
        <v>0-ITK002A</v>
      </c>
      <c r="AA835" s="1291" t="str">
        <f t="shared" si="869"/>
        <v>0-ITK002E</v>
      </c>
      <c r="AB835" s="1291" t="str">
        <f t="shared" si="870"/>
        <v>0-ITK002M</v>
      </c>
      <c r="AC835" s="1291" t="str">
        <f t="shared" si="871"/>
        <v>0-ITK002T</v>
      </c>
      <c r="AD835" s="1291" t="str">
        <f t="shared" si="872"/>
        <v>0-ITK002S</v>
      </c>
      <c r="AE835" s="1291" t="str">
        <f t="shared" si="873"/>
        <v>0-ITK002X</v>
      </c>
      <c r="AF835" s="1291" t="str">
        <f t="shared" si="874"/>
        <v>0-ITK002S</v>
      </c>
      <c r="AG835" s="1291">
        <f t="shared" si="844"/>
        <v>1</v>
      </c>
      <c r="AH835" s="1291">
        <f>IF(B835&lt;&gt;"",+IF(H835="x",+VLOOKUP(I835,'AUX-NIV2'!B:AG,32,FALSE),0),"")</f>
        <v>0</v>
      </c>
      <c r="AI835" s="1291" t="str">
        <f t="shared" si="875"/>
        <v>0-ITK002</v>
      </c>
      <c r="AK835" s="347">
        <f t="shared" si="845"/>
        <v>835</v>
      </c>
      <c r="AL835" s="348">
        <f t="shared" si="876"/>
        <v>835</v>
      </c>
      <c r="AM835" s="347">
        <f>IF(B835&lt;&gt;"",IF(B835=B826,1+AM826,1),"")</f>
        <v>1</v>
      </c>
      <c r="AN835" s="382">
        <f>IF(AND(AH835&gt;0,B835&lt;&gt;""),VLOOKUP(I835,'AUX-NIV2'!$B:$AP,40,FALSE)*O835,0)</f>
        <v>0</v>
      </c>
      <c r="AO835" s="382">
        <f t="shared" si="846"/>
        <v>0</v>
      </c>
      <c r="AQ835" s="395">
        <f>(IF($H835="x",VLOOKUP($I835,'AUX-NIV2'!$B:$X,'AUX-NIV1'!AQ$3,FALSE),0)+($AV835*'AUX-NIV3'!S$4))*$O835+IF($H835=AQ$4,$P835,0)</f>
        <v>0</v>
      </c>
      <c r="AR835" s="395">
        <f>(IF($H835="x",VLOOKUP($I835,'AUX-NIV2'!$B:$X,'AUX-NIV1'!AR$3,FALSE),0)+($AV835*'AUX-NIV3'!T$4))*$O835+IF($H835=AR$4,$P835,0)</f>
        <v>0</v>
      </c>
      <c r="AS835" s="395">
        <f>(IF($H835="x",VLOOKUP($I835,'AUX-NIV2'!$B:$X,'AUX-NIV1'!AS$3,FALSE),0)+($AV835*'AUX-NIV3'!U$4))*$O835+IF($H835=AS$4,$P835,0)</f>
        <v>0</v>
      </c>
      <c r="AT835" s="395">
        <f>(IF($H835="x",VLOOKUP($I835,'AUX-NIV2'!$B:$X,'AUX-NIV1'!AT$3,FALSE),0)+($AV835*'AUX-NIV3'!V$4))*$O835+IF($H835=AT$4,$P835,0)</f>
        <v>0</v>
      </c>
      <c r="AU835" s="395">
        <f>(IF($H835="x",VLOOKUP($I835,'AUX-NIV2'!$B:$X,'AUX-NIV1'!AU$3,FALSE),0)+($AV835*'AUX-NIV3'!W$4))*$O835+IF($H835=AU$4,$P835,0)</f>
        <v>34614.339500000002</v>
      </c>
      <c r="AV835" s="395">
        <f>+IF($H835="x",VLOOKUP($I835,'AUX-NIV2'!$B:$X,'AUX-NIV1'!AV$3,FALSE),0)</f>
        <v>0</v>
      </c>
    </row>
    <row r="836" spans="2:48" ht="14.4" hidden="1" thickTop="1" thickBot="1">
      <c r="B836" s="501" t="s">
        <v>3969</v>
      </c>
      <c r="C836" s="951" t="s">
        <v>3550</v>
      </c>
      <c r="D836" s="1280" t="s">
        <v>1782</v>
      </c>
      <c r="E836" s="1281">
        <f>IF(B836&lt;&gt;"",+SUMIF(Items!C:C,'AUX-NIV1'!B836,Items!H:H),"")</f>
        <v>0</v>
      </c>
      <c r="F836" s="1281">
        <f t="shared" si="836"/>
        <v>48154.333500000001</v>
      </c>
      <c r="G836" s="1281">
        <f t="shared" si="837"/>
        <v>0</v>
      </c>
      <c r="H836" s="1395" t="str">
        <f t="shared" si="863"/>
        <v>S</v>
      </c>
      <c r="I836" s="1375" t="s">
        <v>3978</v>
      </c>
      <c r="J836" s="1283" t="str">
        <f>IF(B836&lt;&gt;"",+VLOOKUP(I836,Recursos!C:F,2,FALSE),"")</f>
        <v>V5 - proyectante</v>
      </c>
      <c r="K836" s="1284" t="str">
        <f>IF(B836&lt;&gt;"",+VLOOKUP(I836,Recursos!C:F,3,FALSE),"")</f>
        <v>u</v>
      </c>
      <c r="L836" s="1285">
        <f>IF(B836&lt;&gt;"",+VLOOKUP(I836,Recursos!C:F,4,FALSE),"")</f>
        <v>48154.333500000001</v>
      </c>
      <c r="M836" s="1293"/>
      <c r="N836" s="1294">
        <v>1</v>
      </c>
      <c r="O836" s="1286">
        <f t="shared" si="864"/>
        <v>1</v>
      </c>
      <c r="P836" s="1287">
        <f t="shared" si="865"/>
        <v>48154.333500000001</v>
      </c>
      <c r="Q836" s="1281">
        <f t="shared" si="866"/>
        <v>0</v>
      </c>
      <c r="R836" s="1288">
        <f t="shared" si="867"/>
        <v>0</v>
      </c>
      <c r="S836" s="1289">
        <f t="shared" si="838"/>
        <v>0</v>
      </c>
      <c r="T836" s="1289">
        <f t="shared" si="839"/>
        <v>0</v>
      </c>
      <c r="U836" s="1290">
        <f t="shared" si="840"/>
        <v>0</v>
      </c>
      <c r="V836" s="1290">
        <f t="shared" si="841"/>
        <v>0</v>
      </c>
      <c r="W836" s="1290">
        <f t="shared" si="842"/>
        <v>48154.333500000001</v>
      </c>
      <c r="X836" s="1290">
        <f t="shared" si="843"/>
        <v>0</v>
      </c>
      <c r="Y836" s="396"/>
      <c r="Z836" s="1291" t="str">
        <f t="shared" si="868"/>
        <v>0-ITK003A</v>
      </c>
      <c r="AA836" s="1291" t="str">
        <f t="shared" si="869"/>
        <v>0-ITK003E</v>
      </c>
      <c r="AB836" s="1291" t="str">
        <f t="shared" si="870"/>
        <v>0-ITK003M</v>
      </c>
      <c r="AC836" s="1291" t="str">
        <f t="shared" si="871"/>
        <v>0-ITK003T</v>
      </c>
      <c r="AD836" s="1291" t="str">
        <f t="shared" si="872"/>
        <v>0-ITK003S</v>
      </c>
      <c r="AE836" s="1291" t="str">
        <f t="shared" si="873"/>
        <v>0-ITK003X</v>
      </c>
      <c r="AF836" s="1291" t="str">
        <f t="shared" si="874"/>
        <v>0-ITK003S</v>
      </c>
      <c r="AG836" s="1291">
        <f t="shared" si="844"/>
        <v>1</v>
      </c>
      <c r="AH836" s="1291">
        <f>IF(B836&lt;&gt;"",+IF(H836="x",+VLOOKUP(I836,'AUX-NIV2'!B:AG,32,FALSE),0),"")</f>
        <v>0</v>
      </c>
      <c r="AI836" s="1291" t="str">
        <f t="shared" si="875"/>
        <v>0-ITK003</v>
      </c>
      <c r="AK836" s="347">
        <f t="shared" si="845"/>
        <v>836</v>
      </c>
      <c r="AL836" s="348">
        <f t="shared" si="876"/>
        <v>836</v>
      </c>
      <c r="AM836" s="347">
        <f t="shared" si="877"/>
        <v>1</v>
      </c>
      <c r="AN836" s="382">
        <f>IF(AND(AH836&gt;0,B836&lt;&gt;""),VLOOKUP(I836,'AUX-NIV2'!$B:$AP,40,FALSE)*O836,0)</f>
        <v>0</v>
      </c>
      <c r="AO836" s="382">
        <f t="shared" si="846"/>
        <v>0</v>
      </c>
      <c r="AQ836" s="395">
        <f>(IF($H836="x",VLOOKUP($I836,'AUX-NIV2'!$B:$X,'AUX-NIV1'!AQ$3,FALSE),0)+($AV836*'AUX-NIV3'!S$4))*$O836+IF($H836=AQ$4,$P836,0)</f>
        <v>0</v>
      </c>
      <c r="AR836" s="395">
        <f>(IF($H836="x",VLOOKUP($I836,'AUX-NIV2'!$B:$X,'AUX-NIV1'!AR$3,FALSE),0)+($AV836*'AUX-NIV3'!T$4))*$O836+IF($H836=AR$4,$P836,0)</f>
        <v>0</v>
      </c>
      <c r="AS836" s="395">
        <f>(IF($H836="x",VLOOKUP($I836,'AUX-NIV2'!$B:$X,'AUX-NIV1'!AS$3,FALSE),0)+($AV836*'AUX-NIV3'!U$4))*$O836+IF($H836=AS$4,$P836,0)</f>
        <v>0</v>
      </c>
      <c r="AT836" s="395">
        <f>(IF($H836="x",VLOOKUP($I836,'AUX-NIV2'!$B:$X,'AUX-NIV1'!AT$3,FALSE),0)+($AV836*'AUX-NIV3'!V$4))*$O836+IF($H836=AT$4,$P836,0)</f>
        <v>0</v>
      </c>
      <c r="AU836" s="395">
        <f>(IF($H836="x",VLOOKUP($I836,'AUX-NIV2'!$B:$X,'AUX-NIV1'!AU$3,FALSE),0)+($AV836*'AUX-NIV3'!W$4))*$O836+IF($H836=AU$4,$P836,0)</f>
        <v>48154.333500000001</v>
      </c>
      <c r="AV836" s="395">
        <f>+IF($H836="x",VLOOKUP($I836,'AUX-NIV2'!$B:$X,'AUX-NIV1'!AV$3,FALSE),0)</f>
        <v>0</v>
      </c>
    </row>
    <row r="837" spans="2:48" ht="14.4" hidden="1" thickTop="1" thickBot="1">
      <c r="B837" s="501" t="s">
        <v>3970</v>
      </c>
      <c r="C837" s="951" t="s">
        <v>3551</v>
      </c>
      <c r="D837" s="1280" t="s">
        <v>1782</v>
      </c>
      <c r="E837" s="1281">
        <f>IF(B837&lt;&gt;"",+SUMIF(Items!C:C,'AUX-NIV1'!B837,Items!H:H),"")</f>
        <v>0</v>
      </c>
      <c r="F837" s="1281">
        <f t="shared" si="836"/>
        <v>36033.855000000003</v>
      </c>
      <c r="G837" s="1281">
        <f t="shared" si="837"/>
        <v>0</v>
      </c>
      <c r="H837" s="1395" t="str">
        <f t="shared" si="863"/>
        <v>S</v>
      </c>
      <c r="I837" s="1375" t="s">
        <v>3979</v>
      </c>
      <c r="J837" s="1283" t="str">
        <f>IF(B837&lt;&gt;"",+VLOOKUP(I837,Recursos!C:F,2,FALSE),"")</f>
        <v>V6</v>
      </c>
      <c r="K837" s="1284" t="str">
        <f>IF(B837&lt;&gt;"",+VLOOKUP(I837,Recursos!C:F,3,FALSE),"")</f>
        <v>u</v>
      </c>
      <c r="L837" s="1285">
        <f>IF(B837&lt;&gt;"",+VLOOKUP(I837,Recursos!C:F,4,FALSE),"")</f>
        <v>36033.855000000003</v>
      </c>
      <c r="M837" s="1293"/>
      <c r="N837" s="1294">
        <v>1</v>
      </c>
      <c r="O837" s="1286">
        <f t="shared" si="864"/>
        <v>1</v>
      </c>
      <c r="P837" s="1287">
        <f t="shared" si="865"/>
        <v>36033.855000000003</v>
      </c>
      <c r="Q837" s="1281">
        <f t="shared" si="866"/>
        <v>0</v>
      </c>
      <c r="R837" s="1288">
        <f t="shared" si="867"/>
        <v>0</v>
      </c>
      <c r="S837" s="1289">
        <f t="shared" si="838"/>
        <v>0</v>
      </c>
      <c r="T837" s="1289">
        <f t="shared" si="839"/>
        <v>0</v>
      </c>
      <c r="U837" s="1290">
        <f t="shared" si="840"/>
        <v>0</v>
      </c>
      <c r="V837" s="1290">
        <f t="shared" si="841"/>
        <v>0</v>
      </c>
      <c r="W837" s="1290">
        <f t="shared" si="842"/>
        <v>36033.855000000003</v>
      </c>
      <c r="X837" s="1290">
        <f t="shared" si="843"/>
        <v>0</v>
      </c>
      <c r="Y837" s="396"/>
      <c r="Z837" s="1291" t="str">
        <f t="shared" si="868"/>
        <v>0-ITK004A</v>
      </c>
      <c r="AA837" s="1291" t="str">
        <f t="shared" si="869"/>
        <v>0-ITK004E</v>
      </c>
      <c r="AB837" s="1291" t="str">
        <f t="shared" si="870"/>
        <v>0-ITK004M</v>
      </c>
      <c r="AC837" s="1291" t="str">
        <f t="shared" si="871"/>
        <v>0-ITK004T</v>
      </c>
      <c r="AD837" s="1291" t="str">
        <f t="shared" si="872"/>
        <v>0-ITK004S</v>
      </c>
      <c r="AE837" s="1291" t="str">
        <f t="shared" si="873"/>
        <v>0-ITK004X</v>
      </c>
      <c r="AF837" s="1291" t="str">
        <f t="shared" si="874"/>
        <v>0-ITK004S</v>
      </c>
      <c r="AG837" s="1291">
        <f t="shared" si="844"/>
        <v>1</v>
      </c>
      <c r="AH837" s="1291">
        <f>IF(B837&lt;&gt;"",+IF(H837="x",+VLOOKUP(I837,'AUX-NIV2'!B:AG,32,FALSE),0),"")</f>
        <v>0</v>
      </c>
      <c r="AI837" s="1291" t="str">
        <f t="shared" si="875"/>
        <v>0-ITK004</v>
      </c>
      <c r="AK837" s="347">
        <f t="shared" si="845"/>
        <v>837</v>
      </c>
      <c r="AL837" s="348">
        <f t="shared" si="876"/>
        <v>837</v>
      </c>
      <c r="AM837" s="347">
        <f t="shared" si="877"/>
        <v>1</v>
      </c>
      <c r="AN837" s="382">
        <f>IF(AND(AH837&gt;0,B837&lt;&gt;""),VLOOKUP(I837,'AUX-NIV2'!$B:$AP,40,FALSE)*O837,0)</f>
        <v>0</v>
      </c>
      <c r="AO837" s="382">
        <f t="shared" si="846"/>
        <v>0</v>
      </c>
      <c r="AQ837" s="395">
        <f>(IF($H837="x",VLOOKUP($I837,'AUX-NIV2'!$B:$X,'AUX-NIV1'!AQ$3,FALSE),0)+($AV837*'AUX-NIV3'!S$4))*$O837+IF($H837=AQ$4,$P837,0)</f>
        <v>0</v>
      </c>
      <c r="AR837" s="395">
        <f>(IF($H837="x",VLOOKUP($I837,'AUX-NIV2'!$B:$X,'AUX-NIV1'!AR$3,FALSE),0)+($AV837*'AUX-NIV3'!T$4))*$O837+IF($H837=AR$4,$P837,0)</f>
        <v>0</v>
      </c>
      <c r="AS837" s="395">
        <f>(IF($H837="x",VLOOKUP($I837,'AUX-NIV2'!$B:$X,'AUX-NIV1'!AS$3,FALSE),0)+($AV837*'AUX-NIV3'!U$4))*$O837+IF($H837=AS$4,$P837,0)</f>
        <v>0</v>
      </c>
      <c r="AT837" s="395">
        <f>(IF($H837="x",VLOOKUP($I837,'AUX-NIV2'!$B:$X,'AUX-NIV1'!AT$3,FALSE),0)+($AV837*'AUX-NIV3'!V$4))*$O837+IF($H837=AT$4,$P837,0)</f>
        <v>0</v>
      </c>
      <c r="AU837" s="395">
        <f>(IF($H837="x",VLOOKUP($I837,'AUX-NIV2'!$B:$X,'AUX-NIV1'!AU$3,FALSE),0)+($AV837*'AUX-NIV3'!W$4))*$O837+IF($H837=AU$4,$P837,0)</f>
        <v>36033.855000000003</v>
      </c>
      <c r="AV837" s="395">
        <f>+IF($H837="x",VLOOKUP($I837,'AUX-NIV2'!$B:$X,'AUX-NIV1'!AV$3,FALSE),0)</f>
        <v>0</v>
      </c>
    </row>
    <row r="838" spans="2:48" ht="14.4" hidden="1" thickTop="1" thickBot="1">
      <c r="B838" s="501" t="s">
        <v>3971</v>
      </c>
      <c r="C838" s="951" t="s">
        <v>3552</v>
      </c>
      <c r="D838" s="1280" t="s">
        <v>1782</v>
      </c>
      <c r="E838" s="1281">
        <f>IF(B838&lt;&gt;"",+SUMIF(Items!C:C,'AUX-NIV1'!B838,Items!H:H),"")</f>
        <v>0</v>
      </c>
      <c r="F838" s="1281">
        <f t="shared" si="836"/>
        <v>42476.271500000003</v>
      </c>
      <c r="G838" s="1281">
        <f t="shared" si="837"/>
        <v>0</v>
      </c>
      <c r="H838" s="1395" t="str">
        <f t="shared" si="863"/>
        <v>S</v>
      </c>
      <c r="I838" s="1375" t="s">
        <v>3980</v>
      </c>
      <c r="J838" s="1283" t="str">
        <f>IF(B838&lt;&gt;"",+VLOOKUP(I838,Recursos!C:F,2,FALSE),"")</f>
        <v>V7</v>
      </c>
      <c r="K838" s="1284" t="str">
        <f>IF(B838&lt;&gt;"",+VLOOKUP(I838,Recursos!C:F,3,FALSE),"")</f>
        <v>u</v>
      </c>
      <c r="L838" s="1285">
        <f>IF(B838&lt;&gt;"",+VLOOKUP(I838,Recursos!C:F,4,FALSE),"")</f>
        <v>42476.271500000003</v>
      </c>
      <c r="M838" s="1293"/>
      <c r="N838" s="1294">
        <v>1</v>
      </c>
      <c r="O838" s="1286">
        <f t="shared" si="864"/>
        <v>1</v>
      </c>
      <c r="P838" s="1287">
        <f t="shared" si="865"/>
        <v>42476.271500000003</v>
      </c>
      <c r="Q838" s="1281">
        <f t="shared" si="866"/>
        <v>0</v>
      </c>
      <c r="R838" s="1288">
        <f t="shared" si="867"/>
        <v>0</v>
      </c>
      <c r="S838" s="1289">
        <f t="shared" si="838"/>
        <v>0</v>
      </c>
      <c r="T838" s="1289">
        <f t="shared" si="839"/>
        <v>0</v>
      </c>
      <c r="U838" s="1290">
        <f t="shared" si="840"/>
        <v>0</v>
      </c>
      <c r="V838" s="1290">
        <f t="shared" si="841"/>
        <v>0</v>
      </c>
      <c r="W838" s="1290">
        <f t="shared" si="842"/>
        <v>42476.271500000003</v>
      </c>
      <c r="X838" s="1290">
        <f t="shared" si="843"/>
        <v>0</v>
      </c>
      <c r="Y838" s="396"/>
      <c r="Z838" s="1291" t="str">
        <f t="shared" si="868"/>
        <v>0-ITK005A</v>
      </c>
      <c r="AA838" s="1291" t="str">
        <f t="shared" si="869"/>
        <v>0-ITK005E</v>
      </c>
      <c r="AB838" s="1291" t="str">
        <f t="shared" si="870"/>
        <v>0-ITK005M</v>
      </c>
      <c r="AC838" s="1291" t="str">
        <f t="shared" si="871"/>
        <v>0-ITK005T</v>
      </c>
      <c r="AD838" s="1291" t="str">
        <f t="shared" si="872"/>
        <v>0-ITK005S</v>
      </c>
      <c r="AE838" s="1291" t="str">
        <f t="shared" si="873"/>
        <v>0-ITK005X</v>
      </c>
      <c r="AF838" s="1291" t="str">
        <f t="shared" si="874"/>
        <v>0-ITK005S</v>
      </c>
      <c r="AG838" s="1291">
        <f t="shared" si="844"/>
        <v>1</v>
      </c>
      <c r="AH838" s="1291">
        <f>IF(B838&lt;&gt;"",+IF(H838="x",+VLOOKUP(I838,'AUX-NIV2'!B:AG,32,FALSE),0),"")</f>
        <v>0</v>
      </c>
      <c r="AI838" s="1291" t="str">
        <f t="shared" si="875"/>
        <v>0-ITK005</v>
      </c>
      <c r="AK838" s="347">
        <f t="shared" si="845"/>
        <v>838</v>
      </c>
      <c r="AL838" s="348">
        <f t="shared" si="876"/>
        <v>838</v>
      </c>
      <c r="AM838" s="347">
        <f t="shared" si="877"/>
        <v>1</v>
      </c>
      <c r="AN838" s="382">
        <f>IF(AND(AH838&gt;0,B838&lt;&gt;""),VLOOKUP(I838,'AUX-NIV2'!$B:$AP,40,FALSE)*O838,0)</f>
        <v>0</v>
      </c>
      <c r="AO838" s="382">
        <f t="shared" si="846"/>
        <v>0</v>
      </c>
      <c r="AQ838" s="395">
        <f>(IF($H838="x",VLOOKUP($I838,'AUX-NIV2'!$B:$X,'AUX-NIV1'!AQ$3,FALSE),0)+($AV838*'AUX-NIV3'!S$4))*$O838+IF($H838=AQ$4,$P838,0)</f>
        <v>0</v>
      </c>
      <c r="AR838" s="395">
        <f>(IF($H838="x",VLOOKUP($I838,'AUX-NIV2'!$B:$X,'AUX-NIV1'!AR$3,FALSE),0)+($AV838*'AUX-NIV3'!T$4))*$O838+IF($H838=AR$4,$P838,0)</f>
        <v>0</v>
      </c>
      <c r="AS838" s="395">
        <f>(IF($H838="x",VLOOKUP($I838,'AUX-NIV2'!$B:$X,'AUX-NIV1'!AS$3,FALSE),0)+($AV838*'AUX-NIV3'!U$4))*$O838+IF($H838=AS$4,$P838,0)</f>
        <v>0</v>
      </c>
      <c r="AT838" s="395">
        <f>(IF($H838="x",VLOOKUP($I838,'AUX-NIV2'!$B:$X,'AUX-NIV1'!AT$3,FALSE),0)+($AV838*'AUX-NIV3'!V$4))*$O838+IF($H838=AT$4,$P838,0)</f>
        <v>0</v>
      </c>
      <c r="AU838" s="395">
        <f>(IF($H838="x",VLOOKUP($I838,'AUX-NIV2'!$B:$X,'AUX-NIV1'!AU$3,FALSE),0)+($AV838*'AUX-NIV3'!W$4))*$O838+IF($H838=AU$4,$P838,0)</f>
        <v>42476.271500000003</v>
      </c>
      <c r="AV838" s="395">
        <f>+IF($H838="x",VLOOKUP($I838,'AUX-NIV2'!$B:$X,'AUX-NIV1'!AV$3,FALSE),0)</f>
        <v>0</v>
      </c>
    </row>
    <row r="839" spans="2:48" ht="14.4" hidden="1" thickTop="1" thickBot="1">
      <c r="B839" s="501" t="s">
        <v>3972</v>
      </c>
      <c r="C839" s="951" t="s">
        <v>3553</v>
      </c>
      <c r="D839" s="1280" t="s">
        <v>1782</v>
      </c>
      <c r="E839" s="1281">
        <f>IF(B839&lt;&gt;"",+SUMIF(Items!C:C,'AUX-NIV1'!B839,Items!H:H),"")</f>
        <v>0</v>
      </c>
      <c r="F839" s="1281">
        <f t="shared" ref="F839:F902" si="893">IF(B839&lt;&gt;"",+SUMIF(B:B,B839,P:P),"")</f>
        <v>69228.679000000004</v>
      </c>
      <c r="G839" s="1281">
        <f t="shared" ref="G839:G902" si="894">IF(B839&lt;&gt;"",+SUMIF(B:B,B839,R:R),"")</f>
        <v>0</v>
      </c>
      <c r="H839" s="1395" t="str">
        <f t="shared" si="863"/>
        <v>S</v>
      </c>
      <c r="I839" s="1375" t="s">
        <v>3981</v>
      </c>
      <c r="J839" s="1283" t="str">
        <f>IF(B839&lt;&gt;"",+VLOOKUP(I839,Recursos!C:F,2,FALSE),"")</f>
        <v>V8</v>
      </c>
      <c r="K839" s="1284" t="str">
        <f>IF(B839&lt;&gt;"",+VLOOKUP(I839,Recursos!C:F,3,FALSE),"")</f>
        <v>u</v>
      </c>
      <c r="L839" s="1285">
        <f>IF(B839&lt;&gt;"",+VLOOKUP(I839,Recursos!C:F,4,FALSE),"")</f>
        <v>69228.679000000004</v>
      </c>
      <c r="M839" s="1293"/>
      <c r="N839" s="1294">
        <v>1</v>
      </c>
      <c r="O839" s="1286">
        <f t="shared" si="864"/>
        <v>1</v>
      </c>
      <c r="P839" s="1287">
        <f t="shared" si="865"/>
        <v>69228.679000000004</v>
      </c>
      <c r="Q839" s="1281">
        <f t="shared" si="866"/>
        <v>0</v>
      </c>
      <c r="R839" s="1288">
        <f t="shared" si="867"/>
        <v>0</v>
      </c>
      <c r="S839" s="1289">
        <f t="shared" ref="S839:S902" si="895">IF(B839&lt;&gt;"",+SUMIF($AF:$AF,Z839,$P:$P),"")</f>
        <v>0</v>
      </c>
      <c r="T839" s="1289">
        <f t="shared" ref="T839:T902" si="896">IF(B839&lt;&gt;"",+SUMIF($AF:$AF,AA839,$P:$P),"")</f>
        <v>0</v>
      </c>
      <c r="U839" s="1290">
        <f t="shared" ref="U839:U902" si="897">IF(B839&lt;&gt;"",+SUMIF($AF:$AF,AB839,$P:$P),"")</f>
        <v>0</v>
      </c>
      <c r="V839" s="1290">
        <f t="shared" ref="V839:V902" si="898">IF(B839&lt;&gt;"",+SUMIF($AF:$AF,AC839,$P:$P),"")</f>
        <v>0</v>
      </c>
      <c r="W839" s="1290">
        <f t="shared" ref="W839:W902" si="899">IF(B839&lt;&gt;"",+SUMIF($AF:$AF,AD839,$P:$P),"")</f>
        <v>69228.679000000004</v>
      </c>
      <c r="X839" s="1290">
        <f t="shared" ref="X839:X902" si="900">IF(B839&lt;&gt;"",+SUMIF($AF:$AF,AE839,$P:$P),"")</f>
        <v>0</v>
      </c>
      <c r="Y839" s="396"/>
      <c r="Z839" s="1291" t="str">
        <f t="shared" si="868"/>
        <v>0-ITK006A</v>
      </c>
      <c r="AA839" s="1291" t="str">
        <f t="shared" si="869"/>
        <v>0-ITK006E</v>
      </c>
      <c r="AB839" s="1291" t="str">
        <f t="shared" si="870"/>
        <v>0-ITK006M</v>
      </c>
      <c r="AC839" s="1291" t="str">
        <f t="shared" si="871"/>
        <v>0-ITK006T</v>
      </c>
      <c r="AD839" s="1291" t="str">
        <f t="shared" si="872"/>
        <v>0-ITK006S</v>
      </c>
      <c r="AE839" s="1291" t="str">
        <f t="shared" si="873"/>
        <v>0-ITK006X</v>
      </c>
      <c r="AF839" s="1291" t="str">
        <f t="shared" si="874"/>
        <v>0-ITK006S</v>
      </c>
      <c r="AG839" s="1291">
        <f t="shared" ref="AG839:AG902" si="901">IF(B839&lt;&gt;"",+COUNTIF(B:B,B839),"")</f>
        <v>1</v>
      </c>
      <c r="AH839" s="1291">
        <f>IF(B839&lt;&gt;"",+IF(H839="x",+VLOOKUP(I839,'AUX-NIV2'!B:AG,32,FALSE),0),"")</f>
        <v>0</v>
      </c>
      <c r="AI839" s="1291" t="str">
        <f t="shared" si="875"/>
        <v>0-ITK006</v>
      </c>
      <c r="AK839" s="347">
        <f t="shared" ref="AK839:AK902" si="902">IF(B839&lt;&gt;"",+MATCH(B839,B:B,0),"")</f>
        <v>839</v>
      </c>
      <c r="AL839" s="348">
        <f t="shared" si="876"/>
        <v>839</v>
      </c>
      <c r="AM839" s="347">
        <f t="shared" si="877"/>
        <v>1</v>
      </c>
      <c r="AN839" s="382">
        <f>IF(AND(AH839&gt;0,B839&lt;&gt;""),VLOOKUP(I839,'AUX-NIV2'!$B:$AP,40,FALSE)*O839,0)</f>
        <v>0</v>
      </c>
      <c r="AO839" s="382">
        <f t="shared" ref="AO839:AO902" si="903">+IF(B839&lt;&gt;"",SUMIF(AF:AF,Z839,O:O)+SUMIF(Z:Z,Z839,AN:AN),0)</f>
        <v>0</v>
      </c>
      <c r="AQ839" s="395">
        <f>(IF($H839="x",VLOOKUP($I839,'AUX-NIV2'!$B:$X,'AUX-NIV1'!AQ$3,FALSE),0)+($AV839*'AUX-NIV3'!S$4))*$O839+IF($H839=AQ$4,$P839,0)</f>
        <v>0</v>
      </c>
      <c r="AR839" s="395">
        <f>(IF($H839="x",VLOOKUP($I839,'AUX-NIV2'!$B:$X,'AUX-NIV1'!AR$3,FALSE),0)+($AV839*'AUX-NIV3'!T$4))*$O839+IF($H839=AR$4,$P839,0)</f>
        <v>0</v>
      </c>
      <c r="AS839" s="395">
        <f>(IF($H839="x",VLOOKUP($I839,'AUX-NIV2'!$B:$X,'AUX-NIV1'!AS$3,FALSE),0)+($AV839*'AUX-NIV3'!U$4))*$O839+IF($H839=AS$4,$P839,0)</f>
        <v>0</v>
      </c>
      <c r="AT839" s="395">
        <f>(IF($H839="x",VLOOKUP($I839,'AUX-NIV2'!$B:$X,'AUX-NIV1'!AT$3,FALSE),0)+($AV839*'AUX-NIV3'!V$4))*$O839+IF($H839=AT$4,$P839,0)</f>
        <v>0</v>
      </c>
      <c r="AU839" s="395">
        <f>(IF($H839="x",VLOOKUP($I839,'AUX-NIV2'!$B:$X,'AUX-NIV1'!AU$3,FALSE),0)+($AV839*'AUX-NIV3'!W$4))*$O839+IF($H839=AU$4,$P839,0)</f>
        <v>69228.679000000004</v>
      </c>
      <c r="AV839" s="395">
        <f>+IF($H839="x",VLOOKUP($I839,'AUX-NIV2'!$B:$X,'AUX-NIV1'!AV$3,FALSE),0)</f>
        <v>0</v>
      </c>
    </row>
    <row r="840" spans="2:48" ht="14.4" hidden="1" thickTop="1" thickBot="1">
      <c r="B840" s="501" t="s">
        <v>3973</v>
      </c>
      <c r="C840" s="951" t="s">
        <v>3554</v>
      </c>
      <c r="D840" s="1280" t="s">
        <v>1782</v>
      </c>
      <c r="E840" s="1281">
        <f>IF(B840&lt;&gt;"",+SUMIF(Items!C:C,'AUX-NIV1'!B840,Items!H:H),"")</f>
        <v>0</v>
      </c>
      <c r="F840" s="1281">
        <f t="shared" si="893"/>
        <v>104498.1795</v>
      </c>
      <c r="G840" s="1281">
        <f t="shared" si="894"/>
        <v>0</v>
      </c>
      <c r="H840" s="1395" t="str">
        <f t="shared" si="863"/>
        <v>S</v>
      </c>
      <c r="I840" s="1375" t="s">
        <v>3982</v>
      </c>
      <c r="J840" s="1283" t="str">
        <f>IF(B840&lt;&gt;"",+VLOOKUP(I840,Recursos!C:F,2,FALSE),"")</f>
        <v>V10</v>
      </c>
      <c r="K840" s="1284" t="str">
        <f>IF(B840&lt;&gt;"",+VLOOKUP(I840,Recursos!C:F,3,FALSE),"")</f>
        <v>u</v>
      </c>
      <c r="L840" s="1285">
        <f>IF(B840&lt;&gt;"",+VLOOKUP(I840,Recursos!C:F,4,FALSE),"")</f>
        <v>104498.1795</v>
      </c>
      <c r="M840" s="1293"/>
      <c r="N840" s="1294">
        <v>1</v>
      </c>
      <c r="O840" s="1286">
        <f t="shared" si="864"/>
        <v>1</v>
      </c>
      <c r="P840" s="1287">
        <f t="shared" si="865"/>
        <v>104498.1795</v>
      </c>
      <c r="Q840" s="1281">
        <f t="shared" si="866"/>
        <v>0</v>
      </c>
      <c r="R840" s="1288">
        <f t="shared" si="867"/>
        <v>0</v>
      </c>
      <c r="S840" s="1289">
        <f t="shared" si="895"/>
        <v>0</v>
      </c>
      <c r="T840" s="1289">
        <f t="shared" si="896"/>
        <v>0</v>
      </c>
      <c r="U840" s="1290">
        <f t="shared" si="897"/>
        <v>0</v>
      </c>
      <c r="V840" s="1290">
        <f t="shared" si="898"/>
        <v>0</v>
      </c>
      <c r="W840" s="1290">
        <f t="shared" si="899"/>
        <v>104498.1795</v>
      </c>
      <c r="X840" s="1290">
        <f t="shared" si="900"/>
        <v>0</v>
      </c>
      <c r="Y840" s="396"/>
      <c r="Z840" s="1291" t="str">
        <f t="shared" si="868"/>
        <v>0-ITK007A</v>
      </c>
      <c r="AA840" s="1291" t="str">
        <f t="shared" si="869"/>
        <v>0-ITK007E</v>
      </c>
      <c r="AB840" s="1291" t="str">
        <f t="shared" si="870"/>
        <v>0-ITK007M</v>
      </c>
      <c r="AC840" s="1291" t="str">
        <f t="shared" si="871"/>
        <v>0-ITK007T</v>
      </c>
      <c r="AD840" s="1291" t="str">
        <f t="shared" si="872"/>
        <v>0-ITK007S</v>
      </c>
      <c r="AE840" s="1291" t="str">
        <f t="shared" si="873"/>
        <v>0-ITK007X</v>
      </c>
      <c r="AF840" s="1291" t="str">
        <f t="shared" si="874"/>
        <v>0-ITK007S</v>
      </c>
      <c r="AG840" s="1291">
        <f t="shared" si="901"/>
        <v>1</v>
      </c>
      <c r="AH840" s="1291">
        <f>IF(B840&lt;&gt;"",+IF(H840="x",+VLOOKUP(I840,'AUX-NIV2'!B:AG,32,FALSE),0),"")</f>
        <v>0</v>
      </c>
      <c r="AI840" s="1291" t="str">
        <f t="shared" si="875"/>
        <v>0-ITK007</v>
      </c>
      <c r="AK840" s="347">
        <f t="shared" si="902"/>
        <v>840</v>
      </c>
      <c r="AL840" s="348">
        <f t="shared" si="876"/>
        <v>840</v>
      </c>
      <c r="AM840" s="347">
        <f t="shared" si="877"/>
        <v>1</v>
      </c>
      <c r="AN840" s="382">
        <f>IF(AND(AH840&gt;0,B840&lt;&gt;""),VLOOKUP(I840,'AUX-NIV2'!$B:$AP,40,FALSE)*O840,0)</f>
        <v>0</v>
      </c>
      <c r="AO840" s="382">
        <f t="shared" si="903"/>
        <v>0</v>
      </c>
      <c r="AQ840" s="395">
        <f>(IF($H840="x",VLOOKUP($I840,'AUX-NIV2'!$B:$X,'AUX-NIV1'!AQ$3,FALSE),0)+($AV840*'AUX-NIV3'!S$4))*$O840+IF($H840=AQ$4,$P840,0)</f>
        <v>0</v>
      </c>
      <c r="AR840" s="395">
        <f>(IF($H840="x",VLOOKUP($I840,'AUX-NIV2'!$B:$X,'AUX-NIV1'!AR$3,FALSE),0)+($AV840*'AUX-NIV3'!T$4))*$O840+IF($H840=AR$4,$P840,0)</f>
        <v>0</v>
      </c>
      <c r="AS840" s="395">
        <f>(IF($H840="x",VLOOKUP($I840,'AUX-NIV2'!$B:$X,'AUX-NIV1'!AS$3,FALSE),0)+($AV840*'AUX-NIV3'!U$4))*$O840+IF($H840=AS$4,$P840,0)</f>
        <v>0</v>
      </c>
      <c r="AT840" s="395">
        <f>(IF($H840="x",VLOOKUP($I840,'AUX-NIV2'!$B:$X,'AUX-NIV1'!AT$3,FALSE),0)+($AV840*'AUX-NIV3'!V$4))*$O840+IF($H840=AT$4,$P840,0)</f>
        <v>0</v>
      </c>
      <c r="AU840" s="395">
        <f>(IF($H840="x",VLOOKUP($I840,'AUX-NIV2'!$B:$X,'AUX-NIV1'!AU$3,FALSE),0)+($AV840*'AUX-NIV3'!W$4))*$O840+IF($H840=AU$4,$P840,0)</f>
        <v>104498.1795</v>
      </c>
      <c r="AV840" s="395">
        <f>+IF($H840="x",VLOOKUP($I840,'AUX-NIV2'!$B:$X,'AUX-NIV1'!AV$3,FALSE),0)</f>
        <v>0</v>
      </c>
    </row>
    <row r="841" spans="2:48" ht="14.4" hidden="1" thickTop="1" thickBot="1">
      <c r="B841" s="501" t="s">
        <v>3974</v>
      </c>
      <c r="C841" s="951" t="s">
        <v>3555</v>
      </c>
      <c r="D841" s="1280" t="s">
        <v>1782</v>
      </c>
      <c r="E841" s="1281">
        <f>IF(B841&lt;&gt;"",+SUMIF(Items!C:C,'AUX-NIV1'!B841,Items!H:H),"")</f>
        <v>0</v>
      </c>
      <c r="F841" s="1281">
        <f t="shared" si="893"/>
        <v>26752.407500000001</v>
      </c>
      <c r="G841" s="1281">
        <f t="shared" si="894"/>
        <v>0</v>
      </c>
      <c r="H841" s="1395" t="str">
        <f t="shared" si="863"/>
        <v>S</v>
      </c>
      <c r="I841" s="1375" t="s">
        <v>3983</v>
      </c>
      <c r="J841" s="1283" t="str">
        <f>IF(B841&lt;&gt;"",+VLOOKUP(I841,Recursos!C:F,2,FALSE),"")</f>
        <v>V11 - fijo</v>
      </c>
      <c r="K841" s="1284" t="str">
        <f>IF(B841&lt;&gt;"",+VLOOKUP(I841,Recursos!C:F,3,FALSE),"")</f>
        <v>u</v>
      </c>
      <c r="L841" s="1285">
        <f>IF(B841&lt;&gt;"",+VLOOKUP(I841,Recursos!C:F,4,FALSE),"")</f>
        <v>26752.407500000001</v>
      </c>
      <c r="M841" s="1293"/>
      <c r="N841" s="1294">
        <v>1</v>
      </c>
      <c r="O841" s="1286">
        <f t="shared" si="864"/>
        <v>1</v>
      </c>
      <c r="P841" s="1287">
        <f t="shared" si="865"/>
        <v>26752.407500000001</v>
      </c>
      <c r="Q841" s="1281">
        <f t="shared" si="866"/>
        <v>0</v>
      </c>
      <c r="R841" s="1288">
        <f t="shared" si="867"/>
        <v>0</v>
      </c>
      <c r="S841" s="1289">
        <f t="shared" si="895"/>
        <v>0</v>
      </c>
      <c r="T841" s="1289">
        <f t="shared" si="896"/>
        <v>0</v>
      </c>
      <c r="U841" s="1290">
        <f t="shared" si="897"/>
        <v>0</v>
      </c>
      <c r="V841" s="1290">
        <f t="shared" si="898"/>
        <v>0</v>
      </c>
      <c r="W841" s="1290">
        <f t="shared" si="899"/>
        <v>26752.407500000001</v>
      </c>
      <c r="X841" s="1290">
        <f t="shared" si="900"/>
        <v>0</v>
      </c>
      <c r="Y841" s="396"/>
      <c r="Z841" s="1291" t="str">
        <f t="shared" si="868"/>
        <v>0-ITK008A</v>
      </c>
      <c r="AA841" s="1291" t="str">
        <f t="shared" si="869"/>
        <v>0-ITK008E</v>
      </c>
      <c r="AB841" s="1291" t="str">
        <f t="shared" si="870"/>
        <v>0-ITK008M</v>
      </c>
      <c r="AC841" s="1291" t="str">
        <f t="shared" si="871"/>
        <v>0-ITK008T</v>
      </c>
      <c r="AD841" s="1291" t="str">
        <f t="shared" si="872"/>
        <v>0-ITK008S</v>
      </c>
      <c r="AE841" s="1291" t="str">
        <f t="shared" si="873"/>
        <v>0-ITK008X</v>
      </c>
      <c r="AF841" s="1291" t="str">
        <f t="shared" si="874"/>
        <v>0-ITK008S</v>
      </c>
      <c r="AG841" s="1291">
        <f t="shared" si="901"/>
        <v>1</v>
      </c>
      <c r="AH841" s="1291">
        <f>IF(B841&lt;&gt;"",+IF(H841="x",+VLOOKUP(I841,'AUX-NIV2'!B:AG,32,FALSE),0),"")</f>
        <v>0</v>
      </c>
      <c r="AI841" s="1291" t="str">
        <f t="shared" si="875"/>
        <v>0-ITK008</v>
      </c>
      <c r="AK841" s="347">
        <f t="shared" si="902"/>
        <v>841</v>
      </c>
      <c r="AL841" s="348">
        <f t="shared" si="876"/>
        <v>841</v>
      </c>
      <c r="AM841" s="347">
        <f t="shared" si="877"/>
        <v>1</v>
      </c>
      <c r="AN841" s="382">
        <f>IF(AND(AH841&gt;0,B841&lt;&gt;""),VLOOKUP(I841,'AUX-NIV2'!$B:$AP,40,FALSE)*O841,0)</f>
        <v>0</v>
      </c>
      <c r="AO841" s="382">
        <f t="shared" si="903"/>
        <v>0</v>
      </c>
      <c r="AQ841" s="395">
        <f>(IF($H841="x",VLOOKUP($I841,'AUX-NIV2'!$B:$X,'AUX-NIV1'!AQ$3,FALSE),0)+($AV841*'AUX-NIV3'!S$4))*$O841+IF($H841=AQ$4,$P841,0)</f>
        <v>0</v>
      </c>
      <c r="AR841" s="395">
        <f>(IF($H841="x",VLOOKUP($I841,'AUX-NIV2'!$B:$X,'AUX-NIV1'!AR$3,FALSE),0)+($AV841*'AUX-NIV3'!T$4))*$O841+IF($H841=AR$4,$P841,0)</f>
        <v>0</v>
      </c>
      <c r="AS841" s="395">
        <f>(IF($H841="x",VLOOKUP($I841,'AUX-NIV2'!$B:$X,'AUX-NIV1'!AS$3,FALSE),0)+($AV841*'AUX-NIV3'!U$4))*$O841+IF($H841=AS$4,$P841,0)</f>
        <v>0</v>
      </c>
      <c r="AT841" s="395">
        <f>(IF($H841="x",VLOOKUP($I841,'AUX-NIV2'!$B:$X,'AUX-NIV1'!AT$3,FALSE),0)+($AV841*'AUX-NIV3'!V$4))*$O841+IF($H841=AT$4,$P841,0)</f>
        <v>0</v>
      </c>
      <c r="AU841" s="395">
        <f>(IF($H841="x",VLOOKUP($I841,'AUX-NIV2'!$B:$X,'AUX-NIV1'!AU$3,FALSE),0)+($AV841*'AUX-NIV3'!W$4))*$O841+IF($H841=AU$4,$P841,0)</f>
        <v>26752.407500000001</v>
      </c>
      <c r="AV841" s="395">
        <f>+IF($H841="x",VLOOKUP($I841,'AUX-NIV2'!$B:$X,'AUX-NIV1'!AV$3,FALSE),0)</f>
        <v>0</v>
      </c>
    </row>
    <row r="842" spans="2:48" ht="14.4" hidden="1" thickTop="1" thickBot="1">
      <c r="B842" s="501" t="s">
        <v>3975</v>
      </c>
      <c r="C842" s="951" t="s">
        <v>3556</v>
      </c>
      <c r="D842" s="1280" t="s">
        <v>1782</v>
      </c>
      <c r="E842" s="1281">
        <f>IF(B842&lt;&gt;"",+SUMIF(Items!C:C,'AUX-NIV1'!B842,Items!H:H),"")</f>
        <v>0</v>
      </c>
      <c r="F842" s="1281">
        <f t="shared" si="893"/>
        <v>42803.851999999999</v>
      </c>
      <c r="G842" s="1281">
        <f t="shared" si="894"/>
        <v>0</v>
      </c>
      <c r="H842" s="1395" t="str">
        <f t="shared" si="863"/>
        <v>S</v>
      </c>
      <c r="I842" s="1375" t="s">
        <v>3984</v>
      </c>
      <c r="J842" s="1283" t="str">
        <f>IF(B842&lt;&gt;"",+VLOOKUP(I842,Recursos!C:F,2,FALSE),"")</f>
        <v>V11 - proyectante</v>
      </c>
      <c r="K842" s="1284" t="str">
        <f>IF(B842&lt;&gt;"",+VLOOKUP(I842,Recursos!C:F,3,FALSE),"")</f>
        <v>u</v>
      </c>
      <c r="L842" s="1285">
        <f>IF(B842&lt;&gt;"",+VLOOKUP(I842,Recursos!C:F,4,FALSE),"")</f>
        <v>42803.851999999999</v>
      </c>
      <c r="M842" s="1293"/>
      <c r="N842" s="1294">
        <v>1</v>
      </c>
      <c r="O842" s="1286">
        <f t="shared" si="864"/>
        <v>1</v>
      </c>
      <c r="P842" s="1287">
        <f t="shared" si="865"/>
        <v>42803.851999999999</v>
      </c>
      <c r="Q842" s="1281">
        <f t="shared" si="866"/>
        <v>0</v>
      </c>
      <c r="R842" s="1288">
        <f t="shared" si="867"/>
        <v>0</v>
      </c>
      <c r="S842" s="1289">
        <f t="shared" si="895"/>
        <v>0</v>
      </c>
      <c r="T842" s="1289">
        <f t="shared" si="896"/>
        <v>0</v>
      </c>
      <c r="U842" s="1290">
        <f t="shared" si="897"/>
        <v>0</v>
      </c>
      <c r="V842" s="1290">
        <f t="shared" si="898"/>
        <v>0</v>
      </c>
      <c r="W842" s="1290">
        <f t="shared" si="899"/>
        <v>42803.851999999999</v>
      </c>
      <c r="X842" s="1290">
        <f t="shared" si="900"/>
        <v>0</v>
      </c>
      <c r="Y842" s="396"/>
      <c r="Z842" s="1291" t="str">
        <f t="shared" si="868"/>
        <v>0-ITK009A</v>
      </c>
      <c r="AA842" s="1291" t="str">
        <f t="shared" si="869"/>
        <v>0-ITK009E</v>
      </c>
      <c r="AB842" s="1291" t="str">
        <f t="shared" si="870"/>
        <v>0-ITK009M</v>
      </c>
      <c r="AC842" s="1291" t="str">
        <f t="shared" si="871"/>
        <v>0-ITK009T</v>
      </c>
      <c r="AD842" s="1291" t="str">
        <f t="shared" si="872"/>
        <v>0-ITK009S</v>
      </c>
      <c r="AE842" s="1291" t="str">
        <f t="shared" si="873"/>
        <v>0-ITK009X</v>
      </c>
      <c r="AF842" s="1291" t="str">
        <f t="shared" si="874"/>
        <v>0-ITK009S</v>
      </c>
      <c r="AG842" s="1291">
        <f t="shared" si="901"/>
        <v>1</v>
      </c>
      <c r="AH842" s="1291">
        <f>IF(B842&lt;&gt;"",+IF(H842="x",+VLOOKUP(I842,'AUX-NIV2'!B:AG,32,FALSE),0),"")</f>
        <v>0</v>
      </c>
      <c r="AI842" s="1291" t="str">
        <f t="shared" si="875"/>
        <v>0-ITK009</v>
      </c>
      <c r="AK842" s="347">
        <f t="shared" si="902"/>
        <v>842</v>
      </c>
      <c r="AL842" s="348">
        <f t="shared" si="876"/>
        <v>842</v>
      </c>
      <c r="AM842" s="347">
        <f t="shared" si="877"/>
        <v>1</v>
      </c>
      <c r="AN842" s="382">
        <f>IF(AND(AH842&gt;0,B842&lt;&gt;""),VLOOKUP(I842,'AUX-NIV2'!$B:$AP,40,FALSE)*O842,0)</f>
        <v>0</v>
      </c>
      <c r="AO842" s="382">
        <f t="shared" si="903"/>
        <v>0</v>
      </c>
      <c r="AQ842" s="395">
        <f>(IF($H842="x",VLOOKUP($I842,'AUX-NIV2'!$B:$X,'AUX-NIV1'!AQ$3,FALSE),0)+($AV842*'AUX-NIV3'!S$4))*$O842+IF($H842=AQ$4,$P842,0)</f>
        <v>0</v>
      </c>
      <c r="AR842" s="395">
        <f>(IF($H842="x",VLOOKUP($I842,'AUX-NIV2'!$B:$X,'AUX-NIV1'!AR$3,FALSE),0)+($AV842*'AUX-NIV3'!T$4))*$O842+IF($H842=AR$4,$P842,0)</f>
        <v>0</v>
      </c>
      <c r="AS842" s="395">
        <f>(IF($H842="x",VLOOKUP($I842,'AUX-NIV2'!$B:$X,'AUX-NIV1'!AS$3,FALSE),0)+($AV842*'AUX-NIV3'!U$4))*$O842+IF($H842=AS$4,$P842,0)</f>
        <v>0</v>
      </c>
      <c r="AT842" s="395">
        <f>(IF($H842="x",VLOOKUP($I842,'AUX-NIV2'!$B:$X,'AUX-NIV1'!AT$3,FALSE),0)+($AV842*'AUX-NIV3'!V$4))*$O842+IF($H842=AT$4,$P842,0)</f>
        <v>0</v>
      </c>
      <c r="AU842" s="395">
        <f>(IF($H842="x",VLOOKUP($I842,'AUX-NIV2'!$B:$X,'AUX-NIV1'!AU$3,FALSE),0)+($AV842*'AUX-NIV3'!W$4))*$O842+IF($H842=AU$4,$P842,0)</f>
        <v>42803.851999999999</v>
      </c>
      <c r="AV842" s="395">
        <f>+IF($H842="x",VLOOKUP($I842,'AUX-NIV2'!$B:$X,'AUX-NIV1'!AV$3,FALSE),0)</f>
        <v>0</v>
      </c>
    </row>
    <row r="843" spans="2:48" ht="14.4" hidden="1" thickTop="1" thickBot="1">
      <c r="B843" s="501" t="s">
        <v>3976</v>
      </c>
      <c r="C843" s="951" t="s">
        <v>3557</v>
      </c>
      <c r="D843" s="1280" t="s">
        <v>1840</v>
      </c>
      <c r="E843" s="1281">
        <f>IF(B843&lt;&gt;"",+SUMIF(Items!C:C,'AUX-NIV1'!B843,Items!H:H),"")</f>
        <v>0</v>
      </c>
      <c r="F843" s="1281">
        <f t="shared" si="893"/>
        <v>1</v>
      </c>
      <c r="G843" s="1281">
        <f t="shared" si="894"/>
        <v>0</v>
      </c>
      <c r="H843" s="1395" t="str">
        <f t="shared" ref="H843:H872" si="904">IF(B843&lt;&gt;"",+LEFT(I843,1),"")</f>
        <v>S</v>
      </c>
      <c r="I843" s="1375" t="s">
        <v>3985</v>
      </c>
      <c r="J843" s="1283" t="str">
        <f>IF(B843&lt;&gt;"",+VLOOKUP(I843,Recursos!C:F,2,FALSE),"")</f>
        <v>Tabique divisorio de Ofinas</v>
      </c>
      <c r="K843" s="1284" t="str">
        <f>IF(B843&lt;&gt;"",+VLOOKUP(I843,Recursos!C:F,3,FALSE),"")</f>
        <v>ml</v>
      </c>
      <c r="L843" s="1285">
        <f>IF(B843&lt;&gt;"",+VLOOKUP(I843,Recursos!C:F,4,FALSE),"")</f>
        <v>1</v>
      </c>
      <c r="M843" s="1293"/>
      <c r="N843" s="1294">
        <v>1</v>
      </c>
      <c r="O843" s="1286">
        <f t="shared" ref="O843:O872" si="905">N843</f>
        <v>1</v>
      </c>
      <c r="P843" s="1287">
        <f t="shared" ref="P843:P872" si="906">IF(B843&lt;&gt;"",O843*L843,"")</f>
        <v>1</v>
      </c>
      <c r="Q843" s="1281">
        <f t="shared" ref="Q843:Q872" si="907">IF(B843&lt;&gt;"",+O843*E843,"")</f>
        <v>0</v>
      </c>
      <c r="R843" s="1288">
        <f t="shared" ref="R843:R872" si="908">IF(B843&lt;&gt;"",Q843*L843,"")</f>
        <v>0</v>
      </c>
      <c r="S843" s="1289">
        <f t="shared" si="895"/>
        <v>0</v>
      </c>
      <c r="T843" s="1289">
        <f t="shared" si="896"/>
        <v>0</v>
      </c>
      <c r="U843" s="1290">
        <f t="shared" si="897"/>
        <v>0</v>
      </c>
      <c r="V843" s="1290">
        <f t="shared" si="898"/>
        <v>0</v>
      </c>
      <c r="W843" s="1290">
        <f t="shared" si="899"/>
        <v>1</v>
      </c>
      <c r="X843" s="1290">
        <f t="shared" si="900"/>
        <v>0</v>
      </c>
      <c r="Y843" s="396"/>
      <c r="Z843" s="1291" t="str">
        <f t="shared" ref="Z843:Z872" si="909">IF(B843&lt;&gt;"",+$B843&amp;"A","")</f>
        <v>0-ITK010A</v>
      </c>
      <c r="AA843" s="1291" t="str">
        <f t="shared" ref="AA843:AA872" si="910">IF(B843&lt;&gt;"",+$B843&amp;"E","")</f>
        <v>0-ITK010E</v>
      </c>
      <c r="AB843" s="1291" t="str">
        <f t="shared" ref="AB843:AB872" si="911">IF(B843&lt;&gt;"",++$B843&amp;"M","")</f>
        <v>0-ITK010M</v>
      </c>
      <c r="AC843" s="1291" t="str">
        <f t="shared" ref="AC843:AC872" si="912">IF(B843&lt;&gt;"",+$B843&amp;"T","")</f>
        <v>0-ITK010T</v>
      </c>
      <c r="AD843" s="1291" t="str">
        <f t="shared" ref="AD843:AD872" si="913">IF(B843&lt;&gt;"",+$B843&amp;"S","")</f>
        <v>0-ITK010S</v>
      </c>
      <c r="AE843" s="1291" t="str">
        <f t="shared" ref="AE843:AE872" si="914">IF(B843&lt;&gt;"",+$B843&amp;"X","")</f>
        <v>0-ITK010X</v>
      </c>
      <c r="AF843" s="1291" t="str">
        <f t="shared" ref="AF843:AF872" si="915">IF(B843&lt;&gt;"",+B843&amp;H843,"")</f>
        <v>0-ITK010S</v>
      </c>
      <c r="AG843" s="1291">
        <f t="shared" si="901"/>
        <v>1</v>
      </c>
      <c r="AH843" s="1291">
        <f>IF(B843&lt;&gt;"",+IF(H843="x",+VLOOKUP(I843,'AUX-NIV2'!B:AG,32,FALSE),0),"")</f>
        <v>0</v>
      </c>
      <c r="AI843" s="1291" t="str">
        <f t="shared" ref="AI843:AI872" si="916">IF(B843&lt;&gt;"",+B843,"")</f>
        <v>0-ITK010</v>
      </c>
      <c r="AK843" s="347">
        <f t="shared" si="902"/>
        <v>843</v>
      </c>
      <c r="AL843" s="348">
        <f t="shared" ref="AL843:AL872" si="917">IF(B843&lt;&gt;"",+AK843+AG843-1,"")</f>
        <v>843</v>
      </c>
      <c r="AM843" s="347">
        <f t="shared" ref="AM843:AM872" si="918">IF(B843&lt;&gt;"",IF(B843=B842,1+AM842,1),"")</f>
        <v>1</v>
      </c>
      <c r="AN843" s="382">
        <f>IF(AND(AH843&gt;0,B843&lt;&gt;""),VLOOKUP(I843,'AUX-NIV2'!$B:$AP,40,FALSE)*O843,0)</f>
        <v>0</v>
      </c>
      <c r="AO843" s="382">
        <f t="shared" si="903"/>
        <v>0</v>
      </c>
      <c r="AQ843" s="395">
        <f>(IF($H843="x",VLOOKUP($I843,'AUX-NIV2'!$B:$X,'AUX-NIV1'!AQ$3,FALSE),0)+($AV843*'AUX-NIV3'!S$4))*$O843+IF($H843=AQ$4,$P843,0)</f>
        <v>0</v>
      </c>
      <c r="AR843" s="395">
        <f>(IF($H843="x",VLOOKUP($I843,'AUX-NIV2'!$B:$X,'AUX-NIV1'!AR$3,FALSE),0)+($AV843*'AUX-NIV3'!T$4))*$O843+IF($H843=AR$4,$P843,0)</f>
        <v>0</v>
      </c>
      <c r="AS843" s="395">
        <f>(IF($H843="x",VLOOKUP($I843,'AUX-NIV2'!$B:$X,'AUX-NIV1'!AS$3,FALSE),0)+($AV843*'AUX-NIV3'!U$4))*$O843+IF($H843=AS$4,$P843,0)</f>
        <v>0</v>
      </c>
      <c r="AT843" s="395">
        <f>(IF($H843="x",VLOOKUP($I843,'AUX-NIV2'!$B:$X,'AUX-NIV1'!AT$3,FALSE),0)+($AV843*'AUX-NIV3'!V$4))*$O843+IF($H843=AT$4,$P843,0)</f>
        <v>0</v>
      </c>
      <c r="AU843" s="395">
        <f>(IF($H843="x",VLOOKUP($I843,'AUX-NIV2'!$B:$X,'AUX-NIV1'!AU$3,FALSE),0)+($AV843*'AUX-NIV3'!W$4))*$O843+IF($H843=AU$4,$P843,0)</f>
        <v>1</v>
      </c>
      <c r="AV843" s="395">
        <f>+IF($H843="x",VLOOKUP($I843,'AUX-NIV2'!$B:$X,'AUX-NIV1'!AV$3,FALSE),0)</f>
        <v>0</v>
      </c>
    </row>
    <row r="844" spans="2:48" ht="14.4" hidden="1" thickTop="1" thickBot="1">
      <c r="B844" s="501" t="s">
        <v>3988</v>
      </c>
      <c r="C844" s="951" t="s">
        <v>3558</v>
      </c>
      <c r="D844" s="1280" t="s">
        <v>1840</v>
      </c>
      <c r="E844" s="1281">
        <f>IF(B844&lt;&gt;"",+SUMIF(Items!C:C,'AUX-NIV1'!B844,Items!H:H),"")</f>
        <v>0</v>
      </c>
      <c r="F844" s="1281">
        <f t="shared" si="893"/>
        <v>1</v>
      </c>
      <c r="G844" s="1281">
        <f t="shared" si="894"/>
        <v>0</v>
      </c>
      <c r="H844" s="1395" t="str">
        <f t="shared" si="904"/>
        <v>S</v>
      </c>
      <c r="I844" s="1375" t="s">
        <v>3991</v>
      </c>
      <c r="J844" s="1283" t="str">
        <f>IF(B844&lt;&gt;"",+VLOOKUP(I844,Recursos!C:F,2,FALSE),"")</f>
        <v>Mueble bajomesada y alacena</v>
      </c>
      <c r="K844" s="1284" t="str">
        <f>IF(B844&lt;&gt;"",+VLOOKUP(I844,Recursos!C:F,3,FALSE),"")</f>
        <v>ml</v>
      </c>
      <c r="L844" s="1285">
        <f>IF(B844&lt;&gt;"",+VLOOKUP(I844,Recursos!C:F,4,FALSE),"")</f>
        <v>1</v>
      </c>
      <c r="M844" s="1293"/>
      <c r="N844" s="1294">
        <v>1</v>
      </c>
      <c r="O844" s="1286">
        <f t="shared" si="905"/>
        <v>1</v>
      </c>
      <c r="P844" s="1287">
        <f t="shared" si="906"/>
        <v>1</v>
      </c>
      <c r="Q844" s="1281">
        <f t="shared" si="907"/>
        <v>0</v>
      </c>
      <c r="R844" s="1288">
        <f t="shared" si="908"/>
        <v>0</v>
      </c>
      <c r="S844" s="1289">
        <f t="shared" si="895"/>
        <v>0</v>
      </c>
      <c r="T844" s="1289">
        <f t="shared" si="896"/>
        <v>0</v>
      </c>
      <c r="U844" s="1290">
        <f t="shared" si="897"/>
        <v>0</v>
      </c>
      <c r="V844" s="1290">
        <f t="shared" si="898"/>
        <v>0</v>
      </c>
      <c r="W844" s="1290">
        <f t="shared" si="899"/>
        <v>1</v>
      </c>
      <c r="X844" s="1290">
        <f t="shared" si="900"/>
        <v>0</v>
      </c>
      <c r="Y844" s="396"/>
      <c r="Z844" s="1291" t="str">
        <f t="shared" si="909"/>
        <v>0-ITL001A</v>
      </c>
      <c r="AA844" s="1291" t="str">
        <f t="shared" si="910"/>
        <v>0-ITL001E</v>
      </c>
      <c r="AB844" s="1291" t="str">
        <f t="shared" si="911"/>
        <v>0-ITL001M</v>
      </c>
      <c r="AC844" s="1291" t="str">
        <f t="shared" si="912"/>
        <v>0-ITL001T</v>
      </c>
      <c r="AD844" s="1291" t="str">
        <f t="shared" si="913"/>
        <v>0-ITL001S</v>
      </c>
      <c r="AE844" s="1291" t="str">
        <f t="shared" si="914"/>
        <v>0-ITL001X</v>
      </c>
      <c r="AF844" s="1291" t="str">
        <f t="shared" si="915"/>
        <v>0-ITL001S</v>
      </c>
      <c r="AG844" s="1291">
        <f t="shared" si="901"/>
        <v>1</v>
      </c>
      <c r="AH844" s="1291">
        <f>IF(B844&lt;&gt;"",+IF(H844="x",+VLOOKUP(I844,'AUX-NIV2'!B:AG,32,FALSE),0),"")</f>
        <v>0</v>
      </c>
      <c r="AI844" s="1291" t="str">
        <f t="shared" si="916"/>
        <v>0-ITL001</v>
      </c>
      <c r="AK844" s="347">
        <f t="shared" si="902"/>
        <v>844</v>
      </c>
      <c r="AL844" s="348">
        <f t="shared" si="917"/>
        <v>844</v>
      </c>
      <c r="AM844" s="347">
        <f t="shared" si="918"/>
        <v>1</v>
      </c>
      <c r="AN844" s="382">
        <f>IF(AND(AH844&gt;0,B844&lt;&gt;""),VLOOKUP(I844,'AUX-NIV2'!$B:$AP,40,FALSE)*O844,0)</f>
        <v>0</v>
      </c>
      <c r="AO844" s="382">
        <f t="shared" si="903"/>
        <v>0</v>
      </c>
      <c r="AQ844" s="395">
        <f>(IF($H844="x",VLOOKUP($I844,'AUX-NIV2'!$B:$X,'AUX-NIV1'!AQ$3,FALSE),0)+($AV844*'AUX-NIV3'!S$4))*$O844+IF($H844=AQ$4,$P844,0)</f>
        <v>0</v>
      </c>
      <c r="AR844" s="395">
        <f>(IF($H844="x",VLOOKUP($I844,'AUX-NIV2'!$B:$X,'AUX-NIV1'!AR$3,FALSE),0)+($AV844*'AUX-NIV3'!T$4))*$O844+IF($H844=AR$4,$P844,0)</f>
        <v>0</v>
      </c>
      <c r="AS844" s="395">
        <f>(IF($H844="x",VLOOKUP($I844,'AUX-NIV2'!$B:$X,'AUX-NIV1'!AS$3,FALSE),0)+($AV844*'AUX-NIV3'!U$4))*$O844+IF($H844=AS$4,$P844,0)</f>
        <v>0</v>
      </c>
      <c r="AT844" s="395">
        <f>(IF($H844="x",VLOOKUP($I844,'AUX-NIV2'!$B:$X,'AUX-NIV1'!AT$3,FALSE),0)+($AV844*'AUX-NIV3'!V$4))*$O844+IF($H844=AT$4,$P844,0)</f>
        <v>0</v>
      </c>
      <c r="AU844" s="395">
        <f>(IF($H844="x",VLOOKUP($I844,'AUX-NIV2'!$B:$X,'AUX-NIV1'!AU$3,FALSE),0)+($AV844*'AUX-NIV3'!W$4))*$O844+IF($H844=AU$4,$P844,0)</f>
        <v>1</v>
      </c>
      <c r="AV844" s="395">
        <f>+IF($H844="x",VLOOKUP($I844,'AUX-NIV2'!$B:$X,'AUX-NIV1'!AV$3,FALSE),0)</f>
        <v>0</v>
      </c>
    </row>
    <row r="845" spans="2:48" ht="14.4" hidden="1" thickTop="1" thickBot="1">
      <c r="B845" s="501" t="s">
        <v>3989</v>
      </c>
      <c r="C845" s="951" t="s">
        <v>3986</v>
      </c>
      <c r="D845" s="1280" t="s">
        <v>1782</v>
      </c>
      <c r="E845" s="1281">
        <f>IF(B845&lt;&gt;"",+SUMIF(Items!C:C,'AUX-NIV1'!B845,Items!H:H),"")</f>
        <v>0</v>
      </c>
      <c r="F845" s="1281">
        <f t="shared" si="893"/>
        <v>1</v>
      </c>
      <c r="G845" s="1281">
        <f t="shared" si="894"/>
        <v>0</v>
      </c>
      <c r="H845" s="1395" t="str">
        <f t="shared" si="904"/>
        <v>S</v>
      </c>
      <c r="I845" s="1375" t="s">
        <v>3992</v>
      </c>
      <c r="J845" s="1283" t="str">
        <f>IF(B845&lt;&gt;"",+VLOOKUP(I845,Recursos!C:F,2,FALSE),"")</f>
        <v>Puerta Placa 2 hojas, enchapada cedro</v>
      </c>
      <c r="K845" s="1284" t="str">
        <f>IF(B845&lt;&gt;"",+VLOOKUP(I845,Recursos!C:F,3,FALSE),"")</f>
        <v>u</v>
      </c>
      <c r="L845" s="1285">
        <f>IF(B845&lt;&gt;"",+VLOOKUP(I845,Recursos!C:F,4,FALSE),"")</f>
        <v>1</v>
      </c>
      <c r="M845" s="1293"/>
      <c r="N845" s="1294">
        <v>1</v>
      </c>
      <c r="O845" s="1286">
        <f t="shared" si="905"/>
        <v>1</v>
      </c>
      <c r="P845" s="1287">
        <f t="shared" si="906"/>
        <v>1</v>
      </c>
      <c r="Q845" s="1281">
        <f t="shared" si="907"/>
        <v>0</v>
      </c>
      <c r="R845" s="1288">
        <f t="shared" si="908"/>
        <v>0</v>
      </c>
      <c r="S845" s="1289">
        <f t="shared" si="895"/>
        <v>0</v>
      </c>
      <c r="T845" s="1289">
        <f t="shared" si="896"/>
        <v>0</v>
      </c>
      <c r="U845" s="1290">
        <f t="shared" si="897"/>
        <v>0</v>
      </c>
      <c r="V845" s="1290">
        <f t="shared" si="898"/>
        <v>0</v>
      </c>
      <c r="W845" s="1290">
        <f t="shared" si="899"/>
        <v>1</v>
      </c>
      <c r="X845" s="1290">
        <f t="shared" si="900"/>
        <v>0</v>
      </c>
      <c r="Y845" s="396"/>
      <c r="Z845" s="1291" t="str">
        <f t="shared" si="909"/>
        <v>0-ITL002A</v>
      </c>
      <c r="AA845" s="1291" t="str">
        <f t="shared" si="910"/>
        <v>0-ITL002E</v>
      </c>
      <c r="AB845" s="1291" t="str">
        <f t="shared" si="911"/>
        <v>0-ITL002M</v>
      </c>
      <c r="AC845" s="1291" t="str">
        <f t="shared" si="912"/>
        <v>0-ITL002T</v>
      </c>
      <c r="AD845" s="1291" t="str">
        <f t="shared" si="913"/>
        <v>0-ITL002S</v>
      </c>
      <c r="AE845" s="1291" t="str">
        <f t="shared" si="914"/>
        <v>0-ITL002X</v>
      </c>
      <c r="AF845" s="1291" t="str">
        <f t="shared" si="915"/>
        <v>0-ITL002S</v>
      </c>
      <c r="AG845" s="1291">
        <f t="shared" si="901"/>
        <v>1</v>
      </c>
      <c r="AH845" s="1291">
        <f>IF(B845&lt;&gt;"",+IF(H845="x",+VLOOKUP(I845,'AUX-NIV2'!B:AG,32,FALSE),0),"")</f>
        <v>0</v>
      </c>
      <c r="AI845" s="1291" t="str">
        <f t="shared" si="916"/>
        <v>0-ITL002</v>
      </c>
      <c r="AK845" s="347">
        <f t="shared" si="902"/>
        <v>845</v>
      </c>
      <c r="AL845" s="348">
        <f t="shared" si="917"/>
        <v>845</v>
      </c>
      <c r="AM845" s="347">
        <f t="shared" si="918"/>
        <v>1</v>
      </c>
      <c r="AN845" s="382">
        <f>IF(AND(AH845&gt;0,B845&lt;&gt;""),VLOOKUP(I845,'AUX-NIV2'!$B:$AP,40,FALSE)*O845,0)</f>
        <v>0</v>
      </c>
      <c r="AO845" s="382">
        <f t="shared" si="903"/>
        <v>0</v>
      </c>
      <c r="AQ845" s="395">
        <f>(IF($H845="x",VLOOKUP($I845,'AUX-NIV2'!$B:$X,'AUX-NIV1'!AQ$3,FALSE),0)+($AV845*'AUX-NIV3'!S$4))*$O845+IF($H845=AQ$4,$P845,0)</f>
        <v>0</v>
      </c>
      <c r="AR845" s="395">
        <f>(IF($H845="x",VLOOKUP($I845,'AUX-NIV2'!$B:$X,'AUX-NIV1'!AR$3,FALSE),0)+($AV845*'AUX-NIV3'!T$4))*$O845+IF($H845=AR$4,$P845,0)</f>
        <v>0</v>
      </c>
      <c r="AS845" s="395">
        <f>(IF($H845="x",VLOOKUP($I845,'AUX-NIV2'!$B:$X,'AUX-NIV1'!AS$3,FALSE),0)+($AV845*'AUX-NIV3'!U$4))*$O845+IF($H845=AS$4,$P845,0)</f>
        <v>0</v>
      </c>
      <c r="AT845" s="395">
        <f>(IF($H845="x",VLOOKUP($I845,'AUX-NIV2'!$B:$X,'AUX-NIV1'!AT$3,FALSE),0)+($AV845*'AUX-NIV3'!V$4))*$O845+IF($H845=AT$4,$P845,0)</f>
        <v>0</v>
      </c>
      <c r="AU845" s="395">
        <f>(IF($H845="x",VLOOKUP($I845,'AUX-NIV2'!$B:$X,'AUX-NIV1'!AU$3,FALSE),0)+($AV845*'AUX-NIV3'!W$4))*$O845+IF($H845=AU$4,$P845,0)</f>
        <v>1</v>
      </c>
      <c r="AV845" s="395">
        <f>+IF($H845="x",VLOOKUP($I845,'AUX-NIV2'!$B:$X,'AUX-NIV1'!AV$3,FALSE),0)</f>
        <v>0</v>
      </c>
    </row>
    <row r="846" spans="2:48" ht="14.4" hidden="1" thickTop="1" thickBot="1">
      <c r="B846" s="501" t="s">
        <v>3990</v>
      </c>
      <c r="C846" s="951" t="s">
        <v>3987</v>
      </c>
      <c r="D846" s="1280" t="s">
        <v>1782</v>
      </c>
      <c r="E846" s="1281">
        <f>IF(B846&lt;&gt;"",+SUMIF(Items!C:C,'AUX-NIV1'!B846,Items!H:H),"")</f>
        <v>0</v>
      </c>
      <c r="F846" s="1281">
        <f t="shared" si="893"/>
        <v>1</v>
      </c>
      <c r="G846" s="1281">
        <f t="shared" si="894"/>
        <v>0</v>
      </c>
      <c r="H846" s="1395" t="str">
        <f t="shared" si="904"/>
        <v>S</v>
      </c>
      <c r="I846" s="1375" t="s">
        <v>3993</v>
      </c>
      <c r="J846" s="1283" t="str">
        <f>IF(B846&lt;&gt;"",+VLOOKUP(I846,Recursos!C:F,2,FALSE),"")</f>
        <v>Puerta Placa 1 hoja, enchapada cedro</v>
      </c>
      <c r="K846" s="1284" t="str">
        <f>IF(B846&lt;&gt;"",+VLOOKUP(I846,Recursos!C:F,3,FALSE),"")</f>
        <v>u</v>
      </c>
      <c r="L846" s="1285">
        <f>IF(B846&lt;&gt;"",+VLOOKUP(I846,Recursos!C:F,4,FALSE),"")</f>
        <v>1</v>
      </c>
      <c r="M846" s="1293"/>
      <c r="N846" s="1294">
        <v>1</v>
      </c>
      <c r="O846" s="1286">
        <f t="shared" si="905"/>
        <v>1</v>
      </c>
      <c r="P846" s="1287">
        <f t="shared" si="906"/>
        <v>1</v>
      </c>
      <c r="Q846" s="1281">
        <f t="shared" si="907"/>
        <v>0</v>
      </c>
      <c r="R846" s="1288">
        <f t="shared" si="908"/>
        <v>0</v>
      </c>
      <c r="S846" s="1289">
        <f t="shared" si="895"/>
        <v>0</v>
      </c>
      <c r="T846" s="1289">
        <f t="shared" si="896"/>
        <v>0</v>
      </c>
      <c r="U846" s="1290">
        <f t="shared" si="897"/>
        <v>0</v>
      </c>
      <c r="V846" s="1290">
        <f t="shared" si="898"/>
        <v>0</v>
      </c>
      <c r="W846" s="1290">
        <f t="shared" si="899"/>
        <v>1</v>
      </c>
      <c r="X846" s="1290">
        <f t="shared" si="900"/>
        <v>0</v>
      </c>
      <c r="Y846" s="396"/>
      <c r="Z846" s="1291" t="str">
        <f t="shared" si="909"/>
        <v>0-ITL003A</v>
      </c>
      <c r="AA846" s="1291" t="str">
        <f t="shared" si="910"/>
        <v>0-ITL003E</v>
      </c>
      <c r="AB846" s="1291" t="str">
        <f t="shared" si="911"/>
        <v>0-ITL003M</v>
      </c>
      <c r="AC846" s="1291" t="str">
        <f t="shared" si="912"/>
        <v>0-ITL003T</v>
      </c>
      <c r="AD846" s="1291" t="str">
        <f t="shared" si="913"/>
        <v>0-ITL003S</v>
      </c>
      <c r="AE846" s="1291" t="str">
        <f t="shared" si="914"/>
        <v>0-ITL003X</v>
      </c>
      <c r="AF846" s="1291" t="str">
        <f t="shared" si="915"/>
        <v>0-ITL003S</v>
      </c>
      <c r="AG846" s="1291">
        <f t="shared" si="901"/>
        <v>1</v>
      </c>
      <c r="AH846" s="1291">
        <f>IF(B846&lt;&gt;"",+IF(H846="x",+VLOOKUP(I846,'AUX-NIV2'!B:AG,32,FALSE),0),"")</f>
        <v>0</v>
      </c>
      <c r="AI846" s="1291" t="str">
        <f t="shared" si="916"/>
        <v>0-ITL003</v>
      </c>
      <c r="AK846" s="347">
        <f t="shared" si="902"/>
        <v>846</v>
      </c>
      <c r="AL846" s="348">
        <f t="shared" si="917"/>
        <v>846</v>
      </c>
      <c r="AM846" s="347">
        <f t="shared" si="918"/>
        <v>1</v>
      </c>
      <c r="AN846" s="382">
        <f>IF(AND(AH846&gt;0,B846&lt;&gt;""),VLOOKUP(I846,'AUX-NIV2'!$B:$AP,40,FALSE)*O846,0)</f>
        <v>0</v>
      </c>
      <c r="AO846" s="382">
        <f t="shared" si="903"/>
        <v>0</v>
      </c>
      <c r="AQ846" s="395">
        <f>(IF($H846="x",VLOOKUP($I846,'AUX-NIV2'!$B:$X,'AUX-NIV1'!AQ$3,FALSE),0)+($AV846*'AUX-NIV3'!S$4))*$O846+IF($H846=AQ$4,$P846,0)</f>
        <v>0</v>
      </c>
      <c r="AR846" s="395">
        <f>(IF($H846="x",VLOOKUP($I846,'AUX-NIV2'!$B:$X,'AUX-NIV1'!AR$3,FALSE),0)+($AV846*'AUX-NIV3'!T$4))*$O846+IF($H846=AR$4,$P846,0)</f>
        <v>0</v>
      </c>
      <c r="AS846" s="395">
        <f>(IF($H846="x",VLOOKUP($I846,'AUX-NIV2'!$B:$X,'AUX-NIV1'!AS$3,FALSE),0)+($AV846*'AUX-NIV3'!U$4))*$O846+IF($H846=AS$4,$P846,0)</f>
        <v>0</v>
      </c>
      <c r="AT846" s="395">
        <f>(IF($H846="x",VLOOKUP($I846,'AUX-NIV2'!$B:$X,'AUX-NIV1'!AT$3,FALSE),0)+($AV846*'AUX-NIV3'!V$4))*$O846+IF($H846=AT$4,$P846,0)</f>
        <v>0</v>
      </c>
      <c r="AU846" s="395">
        <f>(IF($H846="x",VLOOKUP($I846,'AUX-NIV2'!$B:$X,'AUX-NIV1'!AU$3,FALSE),0)+($AV846*'AUX-NIV3'!W$4))*$O846+IF($H846=AU$4,$P846,0)</f>
        <v>1</v>
      </c>
      <c r="AV846" s="395">
        <f>+IF($H846="x",VLOOKUP($I846,'AUX-NIV2'!$B:$X,'AUX-NIV1'!AV$3,FALSE),0)</f>
        <v>0</v>
      </c>
    </row>
    <row r="847" spans="2:48" ht="14.4" hidden="1" thickTop="1" thickBot="1">
      <c r="B847" s="501" t="s">
        <v>3996</v>
      </c>
      <c r="C847" s="951" t="s">
        <v>3994</v>
      </c>
      <c r="D847" s="1280" t="s">
        <v>1782</v>
      </c>
      <c r="E847" s="1281">
        <f>IF(B847&lt;&gt;"",+SUMIF(Items!C:C,'AUX-NIV1'!B847,Items!H:H),"")</f>
        <v>0</v>
      </c>
      <c r="F847" s="1281">
        <f t="shared" si="893"/>
        <v>1</v>
      </c>
      <c r="G847" s="1281">
        <f t="shared" si="894"/>
        <v>0</v>
      </c>
      <c r="H847" s="1395" t="str">
        <f t="shared" si="904"/>
        <v>S</v>
      </c>
      <c r="I847" s="1375" t="s">
        <v>4032</v>
      </c>
      <c r="J847" s="1283" t="str">
        <f>IF(B847&lt;&gt;"",+VLOOKUP(I847,Recursos!C:F,2,FALSE),"")</f>
        <v>Manijones en puertas de acceso</v>
      </c>
      <c r="K847" s="1284" t="str">
        <f>IF(B847&lt;&gt;"",+VLOOKUP(I847,Recursos!C:F,3,FALSE),"")</f>
        <v>u</v>
      </c>
      <c r="L847" s="1285">
        <f>IF(B847&lt;&gt;"",+VLOOKUP(I847,Recursos!C:F,4,FALSE),"")</f>
        <v>1</v>
      </c>
      <c r="M847" s="1293"/>
      <c r="N847" s="1294">
        <v>1</v>
      </c>
      <c r="O847" s="1286">
        <f t="shared" si="905"/>
        <v>1</v>
      </c>
      <c r="P847" s="1287">
        <f t="shared" si="906"/>
        <v>1</v>
      </c>
      <c r="Q847" s="1281">
        <f t="shared" si="907"/>
        <v>0</v>
      </c>
      <c r="R847" s="1288">
        <f t="shared" si="908"/>
        <v>0</v>
      </c>
      <c r="S847" s="1289">
        <f t="shared" si="895"/>
        <v>0</v>
      </c>
      <c r="T847" s="1289">
        <f t="shared" si="896"/>
        <v>0</v>
      </c>
      <c r="U847" s="1290">
        <f t="shared" si="897"/>
        <v>0</v>
      </c>
      <c r="V847" s="1290">
        <f t="shared" si="898"/>
        <v>0</v>
      </c>
      <c r="W847" s="1290">
        <f t="shared" si="899"/>
        <v>1</v>
      </c>
      <c r="X847" s="1290">
        <f t="shared" si="900"/>
        <v>0</v>
      </c>
      <c r="Y847" s="396"/>
      <c r="Z847" s="1291" t="str">
        <f t="shared" si="909"/>
        <v>0-ITM001A</v>
      </c>
      <c r="AA847" s="1291" t="str">
        <f t="shared" si="910"/>
        <v>0-ITM001E</v>
      </c>
      <c r="AB847" s="1291" t="str">
        <f t="shared" si="911"/>
        <v>0-ITM001M</v>
      </c>
      <c r="AC847" s="1291" t="str">
        <f t="shared" si="912"/>
        <v>0-ITM001T</v>
      </c>
      <c r="AD847" s="1291" t="str">
        <f t="shared" si="913"/>
        <v>0-ITM001S</v>
      </c>
      <c r="AE847" s="1291" t="str">
        <f t="shared" si="914"/>
        <v>0-ITM001X</v>
      </c>
      <c r="AF847" s="1291" t="str">
        <f t="shared" si="915"/>
        <v>0-ITM001S</v>
      </c>
      <c r="AG847" s="1291">
        <f t="shared" si="901"/>
        <v>1</v>
      </c>
      <c r="AH847" s="1291">
        <f>IF(B847&lt;&gt;"",+IF(H847="x",+VLOOKUP(I847,'AUX-NIV2'!B:AG,32,FALSE),0),"")</f>
        <v>0</v>
      </c>
      <c r="AI847" s="1291" t="str">
        <f t="shared" si="916"/>
        <v>0-ITM001</v>
      </c>
      <c r="AK847" s="347">
        <f t="shared" si="902"/>
        <v>847</v>
      </c>
      <c r="AL847" s="348">
        <f t="shared" si="917"/>
        <v>847</v>
      </c>
      <c r="AM847" s="347">
        <f t="shared" si="918"/>
        <v>1</v>
      </c>
      <c r="AN847" s="382">
        <f>IF(AND(AH847&gt;0,B847&lt;&gt;""),VLOOKUP(I847,'AUX-NIV2'!$B:$AP,40,FALSE)*O847,0)</f>
        <v>0</v>
      </c>
      <c r="AO847" s="382">
        <f t="shared" si="903"/>
        <v>0</v>
      </c>
      <c r="AQ847" s="395">
        <f>(IF($H847="x",VLOOKUP($I847,'AUX-NIV2'!$B:$X,'AUX-NIV1'!AQ$3,FALSE),0)+($AV847*'AUX-NIV3'!S$4))*$O847+IF($H847=AQ$4,$P847,0)</f>
        <v>0</v>
      </c>
      <c r="AR847" s="395">
        <f>(IF($H847="x",VLOOKUP($I847,'AUX-NIV2'!$B:$X,'AUX-NIV1'!AR$3,FALSE),0)+($AV847*'AUX-NIV3'!T$4))*$O847+IF($H847=AR$4,$P847,0)</f>
        <v>0</v>
      </c>
      <c r="AS847" s="395">
        <f>(IF($H847="x",VLOOKUP($I847,'AUX-NIV2'!$B:$X,'AUX-NIV1'!AS$3,FALSE),0)+($AV847*'AUX-NIV3'!U$4))*$O847+IF($H847=AS$4,$P847,0)</f>
        <v>0</v>
      </c>
      <c r="AT847" s="395">
        <f>(IF($H847="x",VLOOKUP($I847,'AUX-NIV2'!$B:$X,'AUX-NIV1'!AT$3,FALSE),0)+($AV847*'AUX-NIV3'!V$4))*$O847+IF($H847=AT$4,$P847,0)</f>
        <v>0</v>
      </c>
      <c r="AU847" s="395">
        <f>(IF($H847="x",VLOOKUP($I847,'AUX-NIV2'!$B:$X,'AUX-NIV1'!AU$3,FALSE),0)+($AV847*'AUX-NIV3'!W$4))*$O847+IF($H847=AU$4,$P847,0)</f>
        <v>1</v>
      </c>
      <c r="AV847" s="395">
        <f>+IF($H847="x",VLOOKUP($I847,'AUX-NIV2'!$B:$X,'AUX-NIV1'!AV$3,FALSE),0)</f>
        <v>0</v>
      </c>
    </row>
    <row r="848" spans="2:48" ht="14.4" hidden="1" thickTop="1" thickBot="1">
      <c r="B848" s="501" t="s">
        <v>4247</v>
      </c>
      <c r="C848" s="951" t="s">
        <v>3995</v>
      </c>
      <c r="D848" s="1280" t="s">
        <v>477</v>
      </c>
      <c r="E848" s="1281">
        <f>IF(B848&lt;&gt;"",+SUMIF(Items!C:C,'AUX-NIV1'!B848,Items!H:H),"")</f>
        <v>0</v>
      </c>
      <c r="F848" s="1281">
        <f t="shared" si="893"/>
        <v>8264.4628099173551</v>
      </c>
      <c r="G848" s="1281">
        <f t="shared" si="894"/>
        <v>0</v>
      </c>
      <c r="H848" s="1395" t="str">
        <f t="shared" si="904"/>
        <v>M</v>
      </c>
      <c r="I848" s="1375" t="s">
        <v>3846</v>
      </c>
      <c r="J848" s="1283" t="str">
        <f>IF(B848&lt;&gt;"",+VLOOKUP(I848,Recursos!C:F,2,FALSE),"")</f>
        <v>BARANDA DE ACERO INOXIDABLE</v>
      </c>
      <c r="K848" s="1284" t="str">
        <f>IF(B848&lt;&gt;"",+VLOOKUP(I848,Recursos!C:F,3,FALSE),"")</f>
        <v>m</v>
      </c>
      <c r="L848" s="1285">
        <f>IF(B848&lt;&gt;"",+VLOOKUP(I848,Recursos!C:F,4,FALSE),"")</f>
        <v>8264.4628099173551</v>
      </c>
      <c r="M848" s="1293"/>
      <c r="N848" s="1294">
        <v>1</v>
      </c>
      <c r="O848" s="1286">
        <f t="shared" si="905"/>
        <v>1</v>
      </c>
      <c r="P848" s="1287">
        <f t="shared" si="906"/>
        <v>8264.4628099173551</v>
      </c>
      <c r="Q848" s="1281">
        <f t="shared" si="907"/>
        <v>0</v>
      </c>
      <c r="R848" s="1288">
        <f t="shared" si="908"/>
        <v>0</v>
      </c>
      <c r="S848" s="1289">
        <f t="shared" si="895"/>
        <v>0</v>
      </c>
      <c r="T848" s="1289">
        <f t="shared" si="896"/>
        <v>0</v>
      </c>
      <c r="U848" s="1290">
        <f t="shared" si="897"/>
        <v>8264.4628099173551</v>
      </c>
      <c r="V848" s="1290">
        <f t="shared" si="898"/>
        <v>0</v>
      </c>
      <c r="W848" s="1290">
        <f t="shared" si="899"/>
        <v>0</v>
      </c>
      <c r="X848" s="1290">
        <f t="shared" si="900"/>
        <v>0</v>
      </c>
      <c r="Y848" s="396"/>
      <c r="Z848" s="1291" t="str">
        <f t="shared" si="909"/>
        <v>0-ITM0012A</v>
      </c>
      <c r="AA848" s="1291" t="str">
        <f t="shared" si="910"/>
        <v>0-ITM0012E</v>
      </c>
      <c r="AB848" s="1291" t="str">
        <f t="shared" si="911"/>
        <v>0-ITM0012M</v>
      </c>
      <c r="AC848" s="1291" t="str">
        <f t="shared" si="912"/>
        <v>0-ITM0012T</v>
      </c>
      <c r="AD848" s="1291" t="str">
        <f t="shared" si="913"/>
        <v>0-ITM0012S</v>
      </c>
      <c r="AE848" s="1291" t="str">
        <f t="shared" si="914"/>
        <v>0-ITM0012X</v>
      </c>
      <c r="AF848" s="1291" t="str">
        <f t="shared" si="915"/>
        <v>0-ITM0012M</v>
      </c>
      <c r="AG848" s="1291">
        <f t="shared" si="901"/>
        <v>1</v>
      </c>
      <c r="AH848" s="1291">
        <f>IF(B848&lt;&gt;"",+IF(H848="x",+VLOOKUP(I848,'AUX-NIV2'!B:AG,32,FALSE),0),"")</f>
        <v>0</v>
      </c>
      <c r="AI848" s="1291" t="str">
        <f t="shared" si="916"/>
        <v>0-ITM0012</v>
      </c>
      <c r="AK848" s="347">
        <f t="shared" si="902"/>
        <v>848</v>
      </c>
      <c r="AL848" s="348">
        <f t="shared" si="917"/>
        <v>848</v>
      </c>
      <c r="AM848" s="347">
        <f t="shared" si="918"/>
        <v>1</v>
      </c>
      <c r="AN848" s="382">
        <f>IF(AND(AH848&gt;0,B848&lt;&gt;""),VLOOKUP(I848,'AUX-NIV2'!$B:$AP,40,FALSE)*O848,0)</f>
        <v>0</v>
      </c>
      <c r="AO848" s="382">
        <f t="shared" si="903"/>
        <v>0</v>
      </c>
      <c r="AQ848" s="395">
        <f>(IF($H848="x",VLOOKUP($I848,'AUX-NIV2'!$B:$X,'AUX-NIV1'!AQ$3,FALSE),0)+($AV848*'AUX-NIV3'!S$4))*$O848+IF($H848=AQ$4,$P848,0)</f>
        <v>0</v>
      </c>
      <c r="AR848" s="395">
        <f>(IF($H848="x",VLOOKUP($I848,'AUX-NIV2'!$B:$X,'AUX-NIV1'!AR$3,FALSE),0)+($AV848*'AUX-NIV3'!T$4))*$O848+IF($H848=AR$4,$P848,0)</f>
        <v>0</v>
      </c>
      <c r="AS848" s="395">
        <f>(IF($H848="x",VLOOKUP($I848,'AUX-NIV2'!$B:$X,'AUX-NIV1'!AS$3,FALSE),0)+($AV848*'AUX-NIV3'!U$4))*$O848+IF($H848=AS$4,$P848,0)</f>
        <v>8264.4628099173551</v>
      </c>
      <c r="AT848" s="395">
        <f>(IF($H848="x",VLOOKUP($I848,'AUX-NIV2'!$B:$X,'AUX-NIV1'!AT$3,FALSE),0)+($AV848*'AUX-NIV3'!V$4))*$O848+IF($H848=AT$4,$P848,0)</f>
        <v>0</v>
      </c>
      <c r="AU848" s="395">
        <f>(IF($H848="x",VLOOKUP($I848,'AUX-NIV2'!$B:$X,'AUX-NIV1'!AU$3,FALSE),0)+($AV848*'AUX-NIV3'!W$4))*$O848+IF($H848=AU$4,$P848,0)</f>
        <v>0</v>
      </c>
      <c r="AV848" s="395">
        <f>+IF($H848="x",VLOOKUP($I848,'AUX-NIV2'!$B:$X,'AUX-NIV1'!AV$3,FALSE),0)</f>
        <v>0</v>
      </c>
    </row>
    <row r="849" spans="2:48" ht="14.4" hidden="1" thickTop="1" thickBot="1">
      <c r="B849" s="501" t="s">
        <v>3997</v>
      </c>
      <c r="C849" s="951" t="s">
        <v>3559</v>
      </c>
      <c r="D849" s="1280" t="s">
        <v>501</v>
      </c>
      <c r="E849" s="1281">
        <f>IF(B849&lt;&gt;"",+SUMIF(Items!C:C,'AUX-NIV1'!B849,Items!H:H),"")</f>
        <v>0</v>
      </c>
      <c r="F849" s="1281">
        <f t="shared" si="893"/>
        <v>1</v>
      </c>
      <c r="G849" s="1281">
        <f t="shared" si="894"/>
        <v>0</v>
      </c>
      <c r="H849" s="1395" t="str">
        <f t="shared" si="904"/>
        <v>S</v>
      </c>
      <c r="I849" s="1375" t="s">
        <v>4000</v>
      </c>
      <c r="J849" s="1283" t="str">
        <f>IF(B849&lt;&gt;"",+VLOOKUP(I849,Recursos!C:F,2,FALSE),"")</f>
        <v>Espejos float - electroespejos</v>
      </c>
      <c r="K849" s="1284" t="str">
        <f>IF(B849&lt;&gt;"",+VLOOKUP(I849,Recursos!C:F,3,FALSE),"")</f>
        <v>m2</v>
      </c>
      <c r="L849" s="1285">
        <f>IF(B849&lt;&gt;"",+VLOOKUP(I849,Recursos!C:F,4,FALSE),"")</f>
        <v>1</v>
      </c>
      <c r="M849" s="1293"/>
      <c r="N849" s="1294">
        <v>1</v>
      </c>
      <c r="O849" s="1286">
        <f t="shared" si="905"/>
        <v>1</v>
      </c>
      <c r="P849" s="1287">
        <f t="shared" si="906"/>
        <v>1</v>
      </c>
      <c r="Q849" s="1281">
        <f t="shared" si="907"/>
        <v>0</v>
      </c>
      <c r="R849" s="1288">
        <f t="shared" si="908"/>
        <v>0</v>
      </c>
      <c r="S849" s="1289">
        <f t="shared" si="895"/>
        <v>0</v>
      </c>
      <c r="T849" s="1289">
        <f t="shared" si="896"/>
        <v>0</v>
      </c>
      <c r="U849" s="1290">
        <f t="shared" si="897"/>
        <v>0</v>
      </c>
      <c r="V849" s="1290">
        <f t="shared" si="898"/>
        <v>0</v>
      </c>
      <c r="W849" s="1290">
        <f t="shared" si="899"/>
        <v>1</v>
      </c>
      <c r="X849" s="1290">
        <f t="shared" si="900"/>
        <v>0</v>
      </c>
      <c r="Y849" s="396"/>
      <c r="Z849" s="1291" t="str">
        <f t="shared" si="909"/>
        <v>0-ITO001A</v>
      </c>
      <c r="AA849" s="1291" t="str">
        <f t="shared" si="910"/>
        <v>0-ITO001E</v>
      </c>
      <c r="AB849" s="1291" t="str">
        <f t="shared" si="911"/>
        <v>0-ITO001M</v>
      </c>
      <c r="AC849" s="1291" t="str">
        <f t="shared" si="912"/>
        <v>0-ITO001T</v>
      </c>
      <c r="AD849" s="1291" t="str">
        <f t="shared" si="913"/>
        <v>0-ITO001S</v>
      </c>
      <c r="AE849" s="1291" t="str">
        <f t="shared" si="914"/>
        <v>0-ITO001X</v>
      </c>
      <c r="AF849" s="1291" t="str">
        <f t="shared" si="915"/>
        <v>0-ITO001S</v>
      </c>
      <c r="AG849" s="1291">
        <f t="shared" si="901"/>
        <v>1</v>
      </c>
      <c r="AH849" s="1291">
        <f>IF(B849&lt;&gt;"",+IF(H849="x",+VLOOKUP(I849,'AUX-NIV2'!B:AG,32,FALSE),0),"")</f>
        <v>0</v>
      </c>
      <c r="AI849" s="1291" t="str">
        <f t="shared" si="916"/>
        <v>0-ITO001</v>
      </c>
      <c r="AK849" s="347">
        <f t="shared" si="902"/>
        <v>849</v>
      </c>
      <c r="AL849" s="348">
        <f t="shared" si="917"/>
        <v>849</v>
      </c>
      <c r="AM849" s="347">
        <f t="shared" si="918"/>
        <v>1</v>
      </c>
      <c r="AN849" s="382">
        <f>IF(AND(AH849&gt;0,B849&lt;&gt;""),VLOOKUP(I849,'AUX-NIV2'!$B:$AP,40,FALSE)*O849,0)</f>
        <v>0</v>
      </c>
      <c r="AO849" s="382">
        <f t="shared" si="903"/>
        <v>0</v>
      </c>
      <c r="AQ849" s="395">
        <f>(IF($H849="x",VLOOKUP($I849,'AUX-NIV2'!$B:$X,'AUX-NIV1'!AQ$3,FALSE),0)+($AV849*'AUX-NIV3'!S$4))*$O849+IF($H849=AQ$4,$P849,0)</f>
        <v>0</v>
      </c>
      <c r="AR849" s="395">
        <f>(IF($H849="x",VLOOKUP($I849,'AUX-NIV2'!$B:$X,'AUX-NIV1'!AR$3,FALSE),0)+($AV849*'AUX-NIV3'!T$4))*$O849+IF($H849=AR$4,$P849,0)</f>
        <v>0</v>
      </c>
      <c r="AS849" s="395">
        <f>(IF($H849="x",VLOOKUP($I849,'AUX-NIV2'!$B:$X,'AUX-NIV1'!AS$3,FALSE),0)+($AV849*'AUX-NIV3'!U$4))*$O849+IF($H849=AS$4,$P849,0)</f>
        <v>0</v>
      </c>
      <c r="AT849" s="395">
        <f>(IF($H849="x",VLOOKUP($I849,'AUX-NIV2'!$B:$X,'AUX-NIV1'!AT$3,FALSE),0)+($AV849*'AUX-NIV3'!V$4))*$O849+IF($H849=AT$4,$P849,0)</f>
        <v>0</v>
      </c>
      <c r="AU849" s="395">
        <f>(IF($H849="x",VLOOKUP($I849,'AUX-NIV2'!$B:$X,'AUX-NIV1'!AU$3,FALSE),0)+($AV849*'AUX-NIV3'!W$4))*$O849+IF($H849=AU$4,$P849,0)</f>
        <v>1</v>
      </c>
      <c r="AV849" s="395">
        <f>+IF($H849="x",VLOOKUP($I849,'AUX-NIV2'!$B:$X,'AUX-NIV1'!AV$3,FALSE),0)</f>
        <v>0</v>
      </c>
    </row>
    <row r="850" spans="2:48" ht="14.4" hidden="1" thickTop="1" thickBot="1">
      <c r="B850" s="501" t="s">
        <v>3998</v>
      </c>
      <c r="C850" s="951" t="s">
        <v>3999</v>
      </c>
      <c r="D850" s="1280" t="s">
        <v>1782</v>
      </c>
      <c r="E850" s="1281">
        <f>IF(B850&lt;&gt;"",+SUMIF(Items!C:C,'AUX-NIV1'!B850,Items!H:H),"")</f>
        <v>0</v>
      </c>
      <c r="F850" s="1281">
        <f t="shared" si="893"/>
        <v>1</v>
      </c>
      <c r="G850" s="1281">
        <f t="shared" si="894"/>
        <v>0</v>
      </c>
      <c r="H850" s="1395" t="str">
        <f t="shared" si="904"/>
        <v>S</v>
      </c>
      <c r="I850" s="1375" t="s">
        <v>4001</v>
      </c>
      <c r="J850" s="1283" t="str">
        <f>IF(B850&lt;&gt;"",+VLOOKUP(I850,Recursos!C:F,2,FALSE),"")</f>
        <v>Puertas de Cristal Templado (2 hojas)</v>
      </c>
      <c r="K850" s="1284" t="str">
        <f>IF(B850&lt;&gt;"",+VLOOKUP(I850,Recursos!C:F,3,FALSE),"")</f>
        <v>u</v>
      </c>
      <c r="L850" s="1285">
        <f>IF(B850&lt;&gt;"",+VLOOKUP(I850,Recursos!C:F,4,FALSE),"")</f>
        <v>1</v>
      </c>
      <c r="M850" s="1293"/>
      <c r="N850" s="1294">
        <v>1</v>
      </c>
      <c r="O850" s="1286">
        <f t="shared" si="905"/>
        <v>1</v>
      </c>
      <c r="P850" s="1287">
        <f t="shared" si="906"/>
        <v>1</v>
      </c>
      <c r="Q850" s="1281">
        <f t="shared" si="907"/>
        <v>0</v>
      </c>
      <c r="R850" s="1288">
        <f t="shared" si="908"/>
        <v>0</v>
      </c>
      <c r="S850" s="1289">
        <f t="shared" si="895"/>
        <v>0</v>
      </c>
      <c r="T850" s="1289">
        <f t="shared" si="896"/>
        <v>0</v>
      </c>
      <c r="U850" s="1290">
        <f t="shared" si="897"/>
        <v>0</v>
      </c>
      <c r="V850" s="1290">
        <f t="shared" si="898"/>
        <v>0</v>
      </c>
      <c r="W850" s="1290">
        <f t="shared" si="899"/>
        <v>1</v>
      </c>
      <c r="X850" s="1290">
        <f t="shared" si="900"/>
        <v>0</v>
      </c>
      <c r="Y850" s="396"/>
      <c r="Z850" s="1291" t="str">
        <f t="shared" si="909"/>
        <v>0-ITO002A</v>
      </c>
      <c r="AA850" s="1291" t="str">
        <f t="shared" si="910"/>
        <v>0-ITO002E</v>
      </c>
      <c r="AB850" s="1291" t="str">
        <f t="shared" si="911"/>
        <v>0-ITO002M</v>
      </c>
      <c r="AC850" s="1291" t="str">
        <f t="shared" si="912"/>
        <v>0-ITO002T</v>
      </c>
      <c r="AD850" s="1291" t="str">
        <f t="shared" si="913"/>
        <v>0-ITO002S</v>
      </c>
      <c r="AE850" s="1291" t="str">
        <f t="shared" si="914"/>
        <v>0-ITO002X</v>
      </c>
      <c r="AF850" s="1291" t="str">
        <f t="shared" si="915"/>
        <v>0-ITO002S</v>
      </c>
      <c r="AG850" s="1291">
        <f t="shared" si="901"/>
        <v>1</v>
      </c>
      <c r="AH850" s="1291">
        <f>IF(B850&lt;&gt;"",+IF(H850="x",+VLOOKUP(I850,'AUX-NIV2'!B:AG,32,FALSE),0),"")</f>
        <v>0</v>
      </c>
      <c r="AI850" s="1291" t="str">
        <f t="shared" si="916"/>
        <v>0-ITO002</v>
      </c>
      <c r="AK850" s="347">
        <f t="shared" si="902"/>
        <v>850</v>
      </c>
      <c r="AL850" s="348">
        <f t="shared" si="917"/>
        <v>850</v>
      </c>
      <c r="AM850" s="347">
        <f t="shared" si="918"/>
        <v>1</v>
      </c>
      <c r="AN850" s="382">
        <f>IF(AND(AH850&gt;0,B850&lt;&gt;""),VLOOKUP(I850,'AUX-NIV2'!$B:$AP,40,FALSE)*O850,0)</f>
        <v>0</v>
      </c>
      <c r="AO850" s="382">
        <f t="shared" si="903"/>
        <v>0</v>
      </c>
      <c r="AQ850" s="395">
        <f>(IF($H850="x",VLOOKUP($I850,'AUX-NIV2'!$B:$X,'AUX-NIV1'!AQ$3,FALSE),0)+($AV850*'AUX-NIV3'!S$4))*$O850+IF($H850=AQ$4,$P850,0)</f>
        <v>0</v>
      </c>
      <c r="AR850" s="395">
        <f>(IF($H850="x",VLOOKUP($I850,'AUX-NIV2'!$B:$X,'AUX-NIV1'!AR$3,FALSE),0)+($AV850*'AUX-NIV3'!T$4))*$O850+IF($H850=AR$4,$P850,0)</f>
        <v>0</v>
      </c>
      <c r="AS850" s="395">
        <f>(IF($H850="x",VLOOKUP($I850,'AUX-NIV2'!$B:$X,'AUX-NIV1'!AS$3,FALSE),0)+($AV850*'AUX-NIV3'!U$4))*$O850+IF($H850=AS$4,$P850,0)</f>
        <v>0</v>
      </c>
      <c r="AT850" s="395">
        <f>(IF($H850="x",VLOOKUP($I850,'AUX-NIV2'!$B:$X,'AUX-NIV1'!AT$3,FALSE),0)+($AV850*'AUX-NIV3'!V$4))*$O850+IF($H850=AT$4,$P850,0)</f>
        <v>0</v>
      </c>
      <c r="AU850" s="395">
        <f>(IF($H850="x",VLOOKUP($I850,'AUX-NIV2'!$B:$X,'AUX-NIV1'!AU$3,FALSE),0)+($AV850*'AUX-NIV3'!W$4))*$O850+IF($H850=AU$4,$P850,0)</f>
        <v>1</v>
      </c>
      <c r="AV850" s="395">
        <f>+IF($H850="x",VLOOKUP($I850,'AUX-NIV2'!$B:$X,'AUX-NIV1'!AV$3,FALSE),0)</f>
        <v>0</v>
      </c>
    </row>
    <row r="851" spans="2:48" ht="14.4" hidden="1" thickTop="1" thickBot="1">
      <c r="B851" s="501" t="s">
        <v>4002</v>
      </c>
      <c r="C851" s="951" t="s">
        <v>3561</v>
      </c>
      <c r="D851" s="1280" t="s">
        <v>1782</v>
      </c>
      <c r="E851" s="1281">
        <f>IF(B851&lt;&gt;"",+SUMIF(Items!C:C,'AUX-NIV1'!B851,Items!H:H),"")</f>
        <v>0</v>
      </c>
      <c r="F851" s="1281">
        <f t="shared" si="893"/>
        <v>1</v>
      </c>
      <c r="G851" s="1281">
        <f t="shared" si="894"/>
        <v>0</v>
      </c>
      <c r="H851" s="1395" t="str">
        <f t="shared" si="904"/>
        <v>S</v>
      </c>
      <c r="I851" s="1375" t="s">
        <v>4014</v>
      </c>
      <c r="J851" s="1283" t="str">
        <f>IF(B851&lt;&gt;"",+VLOOKUP(I851,Recursos!C:F,2,FALSE),"")</f>
        <v>Equipo controlador de puerta</v>
      </c>
      <c r="K851" s="1284" t="str">
        <f>IF(B851&lt;&gt;"",+VLOOKUP(I851,Recursos!C:F,3,FALSE),"")</f>
        <v>u</v>
      </c>
      <c r="L851" s="1285">
        <f>IF(B851&lt;&gt;"",+VLOOKUP(I851,Recursos!C:F,4,FALSE),"")</f>
        <v>1</v>
      </c>
      <c r="M851" s="1293"/>
      <c r="N851" s="1294">
        <v>1</v>
      </c>
      <c r="O851" s="1286">
        <f t="shared" si="905"/>
        <v>1</v>
      </c>
      <c r="P851" s="1287">
        <f t="shared" si="906"/>
        <v>1</v>
      </c>
      <c r="Q851" s="1281">
        <f t="shared" si="907"/>
        <v>0</v>
      </c>
      <c r="R851" s="1288">
        <f t="shared" si="908"/>
        <v>0</v>
      </c>
      <c r="S851" s="1289">
        <f t="shared" si="895"/>
        <v>0</v>
      </c>
      <c r="T851" s="1289">
        <f t="shared" si="896"/>
        <v>0</v>
      </c>
      <c r="U851" s="1290">
        <f t="shared" si="897"/>
        <v>0</v>
      </c>
      <c r="V851" s="1290">
        <f t="shared" si="898"/>
        <v>0</v>
      </c>
      <c r="W851" s="1290">
        <f t="shared" si="899"/>
        <v>1</v>
      </c>
      <c r="X851" s="1290">
        <f t="shared" si="900"/>
        <v>0</v>
      </c>
      <c r="Y851" s="396"/>
      <c r="Z851" s="1291" t="str">
        <f t="shared" si="909"/>
        <v>0-ITP009A</v>
      </c>
      <c r="AA851" s="1291" t="str">
        <f t="shared" si="910"/>
        <v>0-ITP009E</v>
      </c>
      <c r="AB851" s="1291" t="str">
        <f t="shared" si="911"/>
        <v>0-ITP009M</v>
      </c>
      <c r="AC851" s="1291" t="str">
        <f t="shared" si="912"/>
        <v>0-ITP009T</v>
      </c>
      <c r="AD851" s="1291" t="str">
        <f t="shared" si="913"/>
        <v>0-ITP009S</v>
      </c>
      <c r="AE851" s="1291" t="str">
        <f t="shared" si="914"/>
        <v>0-ITP009X</v>
      </c>
      <c r="AF851" s="1291" t="str">
        <f t="shared" si="915"/>
        <v>0-ITP009S</v>
      </c>
      <c r="AG851" s="1291">
        <f t="shared" si="901"/>
        <v>1</v>
      </c>
      <c r="AH851" s="1291">
        <f>IF(B851&lt;&gt;"",+IF(H851="x",+VLOOKUP(I851,'AUX-NIV2'!B:AG,32,FALSE),0),"")</f>
        <v>0</v>
      </c>
      <c r="AI851" s="1291" t="str">
        <f t="shared" si="916"/>
        <v>0-ITP009</v>
      </c>
      <c r="AK851" s="347">
        <f t="shared" si="902"/>
        <v>851</v>
      </c>
      <c r="AL851" s="348">
        <f t="shared" si="917"/>
        <v>851</v>
      </c>
      <c r="AM851" s="347">
        <f t="shared" si="918"/>
        <v>1</v>
      </c>
      <c r="AN851" s="382">
        <f>IF(AND(AH851&gt;0,B851&lt;&gt;""),VLOOKUP(I851,'AUX-NIV2'!$B:$AP,40,FALSE)*O851,0)</f>
        <v>0</v>
      </c>
      <c r="AO851" s="382">
        <f t="shared" si="903"/>
        <v>0</v>
      </c>
      <c r="AQ851" s="395">
        <f>(IF($H851="x",VLOOKUP($I851,'AUX-NIV2'!$B:$X,'AUX-NIV1'!AQ$3,FALSE),0)+($AV851*'AUX-NIV3'!S$4))*$O851+IF($H851=AQ$4,$P851,0)</f>
        <v>0</v>
      </c>
      <c r="AR851" s="395">
        <f>(IF($H851="x",VLOOKUP($I851,'AUX-NIV2'!$B:$X,'AUX-NIV1'!AR$3,FALSE),0)+($AV851*'AUX-NIV3'!T$4))*$O851+IF($H851=AR$4,$P851,0)</f>
        <v>0</v>
      </c>
      <c r="AS851" s="395">
        <f>(IF($H851="x",VLOOKUP($I851,'AUX-NIV2'!$B:$X,'AUX-NIV1'!AS$3,FALSE),0)+($AV851*'AUX-NIV3'!U$4))*$O851+IF($H851=AS$4,$P851,0)</f>
        <v>0</v>
      </c>
      <c r="AT851" s="395">
        <f>(IF($H851="x",VLOOKUP($I851,'AUX-NIV2'!$B:$X,'AUX-NIV1'!AT$3,FALSE),0)+($AV851*'AUX-NIV3'!V$4))*$O851+IF($H851=AT$4,$P851,0)</f>
        <v>0</v>
      </c>
      <c r="AU851" s="395">
        <f>(IF($H851="x",VLOOKUP($I851,'AUX-NIV2'!$B:$X,'AUX-NIV1'!AU$3,FALSE),0)+($AV851*'AUX-NIV3'!W$4))*$O851+IF($H851=AU$4,$P851,0)</f>
        <v>1</v>
      </c>
      <c r="AV851" s="395">
        <f>+IF($H851="x",VLOOKUP($I851,'AUX-NIV2'!$B:$X,'AUX-NIV1'!AV$3,FALSE),0)</f>
        <v>0</v>
      </c>
    </row>
    <row r="852" spans="2:48" ht="14.4" hidden="1" thickTop="1" thickBot="1">
      <c r="B852" s="501" t="s">
        <v>4003</v>
      </c>
      <c r="C852" s="951" t="s">
        <v>3562</v>
      </c>
      <c r="D852" s="1280" t="s">
        <v>1782</v>
      </c>
      <c r="E852" s="1281">
        <f>IF(B852&lt;&gt;"",+SUMIF(Items!C:C,'AUX-NIV1'!B852,Items!H:H),"")</f>
        <v>0</v>
      </c>
      <c r="F852" s="1281">
        <f t="shared" si="893"/>
        <v>1</v>
      </c>
      <c r="G852" s="1281">
        <f t="shared" si="894"/>
        <v>0</v>
      </c>
      <c r="H852" s="1395" t="str">
        <f t="shared" si="904"/>
        <v>S</v>
      </c>
      <c r="I852" s="1375" t="s">
        <v>4015</v>
      </c>
      <c r="J852" s="1283" t="str">
        <f>IF(B852&lt;&gt;"",+VLOOKUP(I852,Recursos!C:F,2,FALSE),"")</f>
        <v>Expendedor de turnos</v>
      </c>
      <c r="K852" s="1284" t="str">
        <f>IF(B852&lt;&gt;"",+VLOOKUP(I852,Recursos!C:F,3,FALSE),"")</f>
        <v>u</v>
      </c>
      <c r="L852" s="1285">
        <f>IF(B852&lt;&gt;"",+VLOOKUP(I852,Recursos!C:F,4,FALSE),"")</f>
        <v>1</v>
      </c>
      <c r="M852" s="1293"/>
      <c r="N852" s="1294">
        <v>1</v>
      </c>
      <c r="O852" s="1286">
        <f t="shared" si="905"/>
        <v>1</v>
      </c>
      <c r="P852" s="1287">
        <f t="shared" si="906"/>
        <v>1</v>
      </c>
      <c r="Q852" s="1281">
        <f t="shared" si="907"/>
        <v>0</v>
      </c>
      <c r="R852" s="1288">
        <f t="shared" si="908"/>
        <v>0</v>
      </c>
      <c r="S852" s="1289">
        <f t="shared" si="895"/>
        <v>0</v>
      </c>
      <c r="T852" s="1289">
        <f t="shared" si="896"/>
        <v>0</v>
      </c>
      <c r="U852" s="1290">
        <f t="shared" si="897"/>
        <v>0</v>
      </c>
      <c r="V852" s="1290">
        <f t="shared" si="898"/>
        <v>0</v>
      </c>
      <c r="W852" s="1290">
        <f t="shared" si="899"/>
        <v>1</v>
      </c>
      <c r="X852" s="1290">
        <f t="shared" si="900"/>
        <v>0</v>
      </c>
      <c r="Y852" s="396"/>
      <c r="Z852" s="1291" t="str">
        <f t="shared" si="909"/>
        <v>0-ITP010A</v>
      </c>
      <c r="AA852" s="1291" t="str">
        <f t="shared" si="910"/>
        <v>0-ITP010E</v>
      </c>
      <c r="AB852" s="1291" t="str">
        <f t="shared" si="911"/>
        <v>0-ITP010M</v>
      </c>
      <c r="AC852" s="1291" t="str">
        <f t="shared" si="912"/>
        <v>0-ITP010T</v>
      </c>
      <c r="AD852" s="1291" t="str">
        <f t="shared" si="913"/>
        <v>0-ITP010S</v>
      </c>
      <c r="AE852" s="1291" t="str">
        <f t="shared" si="914"/>
        <v>0-ITP010X</v>
      </c>
      <c r="AF852" s="1291" t="str">
        <f t="shared" si="915"/>
        <v>0-ITP010S</v>
      </c>
      <c r="AG852" s="1291">
        <f t="shared" si="901"/>
        <v>1</v>
      </c>
      <c r="AH852" s="1291">
        <f>IF(B852&lt;&gt;"",+IF(H852="x",+VLOOKUP(I852,'AUX-NIV2'!B:AG,32,FALSE),0),"")</f>
        <v>0</v>
      </c>
      <c r="AI852" s="1291" t="str">
        <f t="shared" si="916"/>
        <v>0-ITP010</v>
      </c>
      <c r="AK852" s="347">
        <f t="shared" si="902"/>
        <v>852</v>
      </c>
      <c r="AL852" s="348">
        <f t="shared" si="917"/>
        <v>852</v>
      </c>
      <c r="AM852" s="347">
        <f t="shared" si="918"/>
        <v>1</v>
      </c>
      <c r="AN852" s="382">
        <f>IF(AND(AH852&gt;0,B852&lt;&gt;""),VLOOKUP(I852,'AUX-NIV2'!$B:$AP,40,FALSE)*O852,0)</f>
        <v>0</v>
      </c>
      <c r="AO852" s="382">
        <f t="shared" si="903"/>
        <v>0</v>
      </c>
      <c r="AQ852" s="395">
        <f>(IF($H852="x",VLOOKUP($I852,'AUX-NIV2'!$B:$X,'AUX-NIV1'!AQ$3,FALSE),0)+($AV852*'AUX-NIV3'!S$4))*$O852+IF($H852=AQ$4,$P852,0)</f>
        <v>0</v>
      </c>
      <c r="AR852" s="395">
        <f>(IF($H852="x",VLOOKUP($I852,'AUX-NIV2'!$B:$X,'AUX-NIV1'!AR$3,FALSE),0)+($AV852*'AUX-NIV3'!T$4))*$O852+IF($H852=AR$4,$P852,0)</f>
        <v>0</v>
      </c>
      <c r="AS852" s="395">
        <f>(IF($H852="x",VLOOKUP($I852,'AUX-NIV2'!$B:$X,'AUX-NIV1'!AS$3,FALSE),0)+($AV852*'AUX-NIV3'!U$4))*$O852+IF($H852=AS$4,$P852,0)</f>
        <v>0</v>
      </c>
      <c r="AT852" s="395">
        <f>(IF($H852="x",VLOOKUP($I852,'AUX-NIV2'!$B:$X,'AUX-NIV1'!AT$3,FALSE),0)+($AV852*'AUX-NIV3'!V$4))*$O852+IF($H852=AT$4,$P852,0)</f>
        <v>0</v>
      </c>
      <c r="AU852" s="395">
        <f>(IF($H852="x",VLOOKUP($I852,'AUX-NIV2'!$B:$X,'AUX-NIV1'!AU$3,FALSE),0)+($AV852*'AUX-NIV3'!W$4))*$O852+IF($H852=AU$4,$P852,0)</f>
        <v>1</v>
      </c>
      <c r="AV852" s="395">
        <f>+IF($H852="x",VLOOKUP($I852,'AUX-NIV2'!$B:$X,'AUX-NIV1'!AV$3,FALSE),0)</f>
        <v>0</v>
      </c>
    </row>
    <row r="853" spans="2:48" ht="14.4" hidden="1" thickTop="1" thickBot="1">
      <c r="B853" s="501" t="s">
        <v>4004</v>
      </c>
      <c r="C853" s="951" t="s">
        <v>3563</v>
      </c>
      <c r="D853" s="1280" t="s">
        <v>1782</v>
      </c>
      <c r="E853" s="1281">
        <f>IF(B853&lt;&gt;"",+SUMIF(Items!C:C,'AUX-NIV1'!B853,Items!H:H),"")</f>
        <v>0</v>
      </c>
      <c r="F853" s="1281">
        <f t="shared" si="893"/>
        <v>1</v>
      </c>
      <c r="G853" s="1281">
        <f t="shared" si="894"/>
        <v>0</v>
      </c>
      <c r="H853" s="1395" t="str">
        <f t="shared" si="904"/>
        <v>S</v>
      </c>
      <c r="I853" s="1375" t="s">
        <v>4016</v>
      </c>
      <c r="J853" s="1283" t="str">
        <f>IF(B853&lt;&gt;"",+VLOOKUP(I853,Recursos!C:F,2,FALSE),"")</f>
        <v>Display de turno simplefaz</v>
      </c>
      <c r="K853" s="1284" t="str">
        <f>IF(B853&lt;&gt;"",+VLOOKUP(I853,Recursos!C:F,3,FALSE),"")</f>
        <v>u</v>
      </c>
      <c r="L853" s="1285">
        <f>IF(B853&lt;&gt;"",+VLOOKUP(I853,Recursos!C:F,4,FALSE),"")</f>
        <v>1</v>
      </c>
      <c r="M853" s="1293"/>
      <c r="N853" s="1294">
        <v>1</v>
      </c>
      <c r="O853" s="1286">
        <f t="shared" si="905"/>
        <v>1</v>
      </c>
      <c r="P853" s="1287">
        <f t="shared" si="906"/>
        <v>1</v>
      </c>
      <c r="Q853" s="1281">
        <f t="shared" si="907"/>
        <v>0</v>
      </c>
      <c r="R853" s="1288">
        <f t="shared" si="908"/>
        <v>0</v>
      </c>
      <c r="S853" s="1289">
        <f t="shared" si="895"/>
        <v>0</v>
      </c>
      <c r="T853" s="1289">
        <f t="shared" si="896"/>
        <v>0</v>
      </c>
      <c r="U853" s="1290">
        <f t="shared" si="897"/>
        <v>0</v>
      </c>
      <c r="V853" s="1290">
        <f t="shared" si="898"/>
        <v>0</v>
      </c>
      <c r="W853" s="1290">
        <f t="shared" si="899"/>
        <v>1</v>
      </c>
      <c r="X853" s="1290">
        <f t="shared" si="900"/>
        <v>0</v>
      </c>
      <c r="Y853" s="396"/>
      <c r="Z853" s="1291" t="str">
        <f t="shared" si="909"/>
        <v>0-ITP011A</v>
      </c>
      <c r="AA853" s="1291" t="str">
        <f t="shared" si="910"/>
        <v>0-ITP011E</v>
      </c>
      <c r="AB853" s="1291" t="str">
        <f t="shared" si="911"/>
        <v>0-ITP011M</v>
      </c>
      <c r="AC853" s="1291" t="str">
        <f t="shared" si="912"/>
        <v>0-ITP011T</v>
      </c>
      <c r="AD853" s="1291" t="str">
        <f t="shared" si="913"/>
        <v>0-ITP011S</v>
      </c>
      <c r="AE853" s="1291" t="str">
        <f t="shared" si="914"/>
        <v>0-ITP011X</v>
      </c>
      <c r="AF853" s="1291" t="str">
        <f t="shared" si="915"/>
        <v>0-ITP011S</v>
      </c>
      <c r="AG853" s="1291">
        <f t="shared" si="901"/>
        <v>1</v>
      </c>
      <c r="AH853" s="1291">
        <f>IF(B853&lt;&gt;"",+IF(H853="x",+VLOOKUP(I853,'AUX-NIV2'!B:AG,32,FALSE),0),"")</f>
        <v>0</v>
      </c>
      <c r="AI853" s="1291" t="str">
        <f t="shared" si="916"/>
        <v>0-ITP011</v>
      </c>
      <c r="AK853" s="347">
        <f t="shared" si="902"/>
        <v>853</v>
      </c>
      <c r="AL853" s="348">
        <f t="shared" si="917"/>
        <v>853</v>
      </c>
      <c r="AM853" s="347">
        <f t="shared" si="918"/>
        <v>1</v>
      </c>
      <c r="AN853" s="382">
        <f>IF(AND(AH853&gt;0,B853&lt;&gt;""),VLOOKUP(I853,'AUX-NIV2'!$B:$AP,40,FALSE)*O853,0)</f>
        <v>0</v>
      </c>
      <c r="AO853" s="382">
        <f t="shared" si="903"/>
        <v>0</v>
      </c>
      <c r="AQ853" s="395">
        <f>(IF($H853="x",VLOOKUP($I853,'AUX-NIV2'!$B:$X,'AUX-NIV1'!AQ$3,FALSE),0)+($AV853*'AUX-NIV3'!S$4))*$O853+IF($H853=AQ$4,$P853,0)</f>
        <v>0</v>
      </c>
      <c r="AR853" s="395">
        <f>(IF($H853="x",VLOOKUP($I853,'AUX-NIV2'!$B:$X,'AUX-NIV1'!AR$3,FALSE),0)+($AV853*'AUX-NIV3'!T$4))*$O853+IF($H853=AR$4,$P853,0)</f>
        <v>0</v>
      </c>
      <c r="AS853" s="395">
        <f>(IF($H853="x",VLOOKUP($I853,'AUX-NIV2'!$B:$X,'AUX-NIV1'!AS$3,FALSE),0)+($AV853*'AUX-NIV3'!U$4))*$O853+IF($H853=AS$4,$P853,0)</f>
        <v>0</v>
      </c>
      <c r="AT853" s="395">
        <f>(IF($H853="x",VLOOKUP($I853,'AUX-NIV2'!$B:$X,'AUX-NIV1'!AT$3,FALSE),0)+($AV853*'AUX-NIV3'!V$4))*$O853+IF($H853=AT$4,$P853,0)</f>
        <v>0</v>
      </c>
      <c r="AU853" s="395">
        <f>(IF($H853="x",VLOOKUP($I853,'AUX-NIV2'!$B:$X,'AUX-NIV1'!AU$3,FALSE),0)+($AV853*'AUX-NIV3'!W$4))*$O853+IF($H853=AU$4,$P853,0)</f>
        <v>1</v>
      </c>
      <c r="AV853" s="395">
        <f>+IF($H853="x",VLOOKUP($I853,'AUX-NIV2'!$B:$X,'AUX-NIV1'!AV$3,FALSE),0)</f>
        <v>0</v>
      </c>
    </row>
    <row r="854" spans="2:48" ht="13.8" hidden="1" thickTop="1">
      <c r="B854" s="501" t="s">
        <v>4005</v>
      </c>
      <c r="C854" s="951" t="s">
        <v>3564</v>
      </c>
      <c r="D854" s="1280" t="s">
        <v>1172</v>
      </c>
      <c r="E854" s="1281">
        <f>IF(B854&lt;&gt;"",+SUMIF(Items!C:C,'AUX-NIV1'!B854,Items!H:H),"")</f>
        <v>0</v>
      </c>
      <c r="F854" s="1281">
        <f t="shared" si="893"/>
        <v>48681.309544673582</v>
      </c>
      <c r="G854" s="1281">
        <f t="shared" si="894"/>
        <v>0</v>
      </c>
      <c r="H854" s="1395" t="str">
        <f t="shared" si="904"/>
        <v>X</v>
      </c>
      <c r="I854" s="1375" t="s">
        <v>3262</v>
      </c>
      <c r="J854" s="1283" t="str">
        <f>IF(B854&lt;&gt;"",+VLOOKUP(I854,Recursos!C:F,2,FALSE),"")</f>
        <v>Ayuda de gremio</v>
      </c>
      <c r="K854" s="1284" t="str">
        <f>IF(B854&lt;&gt;"",+VLOOKUP(I854,Recursos!C:F,3,FALSE),"")</f>
        <v>hs</v>
      </c>
      <c r="L854" s="1285">
        <f>IF(B854&lt;&gt;"",+VLOOKUP(I854,Recursos!C:F,4,FALSE),"")</f>
        <v>2498.6725181930856</v>
      </c>
      <c r="M854" s="743"/>
      <c r="N854" s="1292">
        <v>12</v>
      </c>
      <c r="O854" s="1286">
        <f t="shared" si="905"/>
        <v>12</v>
      </c>
      <c r="P854" s="1287">
        <f t="shared" si="906"/>
        <v>29984.070218317029</v>
      </c>
      <c r="Q854" s="1281">
        <f t="shared" si="907"/>
        <v>0</v>
      </c>
      <c r="R854" s="1288">
        <f t="shared" si="908"/>
        <v>0</v>
      </c>
      <c r="S854" s="1289">
        <f t="shared" si="895"/>
        <v>2981.4957263565493</v>
      </c>
      <c r="T854" s="1289">
        <f t="shared" si="896"/>
        <v>8215.7436000000016</v>
      </c>
      <c r="U854" s="1290">
        <f t="shared" si="897"/>
        <v>0</v>
      </c>
      <c r="V854" s="1290">
        <f t="shared" si="898"/>
        <v>0</v>
      </c>
      <c r="W854" s="1290">
        <f t="shared" si="899"/>
        <v>7500</v>
      </c>
      <c r="X854" s="1290">
        <f t="shared" si="900"/>
        <v>29984.070218317029</v>
      </c>
      <c r="Y854" s="396"/>
      <c r="Z854" s="1291" t="str">
        <f t="shared" si="909"/>
        <v>0-ITP015A</v>
      </c>
      <c r="AA854" s="1291" t="str">
        <f t="shared" si="910"/>
        <v>0-ITP015E</v>
      </c>
      <c r="AB854" s="1291" t="str">
        <f t="shared" si="911"/>
        <v>0-ITP015M</v>
      </c>
      <c r="AC854" s="1291" t="str">
        <f t="shared" si="912"/>
        <v>0-ITP015T</v>
      </c>
      <c r="AD854" s="1291" t="str">
        <f t="shared" si="913"/>
        <v>0-ITP015S</v>
      </c>
      <c r="AE854" s="1291" t="str">
        <f t="shared" si="914"/>
        <v>0-ITP015X</v>
      </c>
      <c r="AF854" s="1291" t="str">
        <f t="shared" si="915"/>
        <v>0-ITP015X</v>
      </c>
      <c r="AG854" s="1291">
        <f t="shared" si="901"/>
        <v>4</v>
      </c>
      <c r="AH854" s="1291">
        <f>IF(B854&lt;&gt;"",+IF(H854="x",+VLOOKUP(I854,'AUX-NIV2'!B:AG,32,FALSE),0),"")</f>
        <v>4</v>
      </c>
      <c r="AI854" s="1291" t="str">
        <f t="shared" si="916"/>
        <v>0-ITP015</v>
      </c>
      <c r="AK854" s="347">
        <f t="shared" si="902"/>
        <v>854</v>
      </c>
      <c r="AL854" s="348">
        <f t="shared" si="917"/>
        <v>857</v>
      </c>
      <c r="AM854" s="347">
        <f t="shared" si="918"/>
        <v>1</v>
      </c>
      <c r="AN854" s="382">
        <f>IF(AND(AH854&gt;0,B854&lt;&gt;""),VLOOKUP(I854,'AUX-NIV2'!$B:$AP,40,FALSE)*O854,0)</f>
        <v>60</v>
      </c>
      <c r="AO854" s="382">
        <f t="shared" si="903"/>
        <v>66</v>
      </c>
      <c r="AQ854" s="395">
        <f>(IF($H854="x",VLOOKUP($I854,'AUX-NIV2'!$B:$X,'AUX-NIV1'!AQ$3,FALSE),0)+($AV854*'AUX-NIV3'!S$4))*$O854+IF($H854=AQ$4,$P854,0)</f>
        <v>28844.070218317029</v>
      </c>
      <c r="AR854" s="395">
        <f>(IF($H854="x",VLOOKUP($I854,'AUX-NIV2'!$B:$X,'AUX-NIV1'!AR$3,FALSE),0)+($AV854*'AUX-NIV3'!T$4))*$O854+IF($H854=AR$4,$P854,0)</f>
        <v>0</v>
      </c>
      <c r="AS854" s="395">
        <f>(IF($H854="x",VLOOKUP($I854,'AUX-NIV2'!$B:$X,'AUX-NIV1'!AS$3,FALSE),0)+($AV854*'AUX-NIV3'!U$4))*$O854+IF($H854=AS$4,$P854,0)</f>
        <v>1140</v>
      </c>
      <c r="AT854" s="395">
        <f>(IF($H854="x",VLOOKUP($I854,'AUX-NIV2'!$B:$X,'AUX-NIV1'!AT$3,FALSE),0)+($AV854*'AUX-NIV3'!V$4))*$O854+IF($H854=AT$4,$P854,0)</f>
        <v>0</v>
      </c>
      <c r="AU854" s="395">
        <f>(IF($H854="x",VLOOKUP($I854,'AUX-NIV2'!$B:$X,'AUX-NIV1'!AU$3,FALSE),0)+($AV854*'AUX-NIV3'!W$4))*$O854+IF($H854=AU$4,$P854,0)</f>
        <v>0</v>
      </c>
      <c r="AV854" s="395">
        <f>+IF($H854="x",VLOOKUP($I854,'AUX-NIV2'!$B:$X,'AUX-NIV1'!AV$3,FALSE),0)</f>
        <v>0</v>
      </c>
    </row>
    <row r="855" spans="2:48" ht="13.8" hidden="1" thickTop="1">
      <c r="B855" s="501" t="s">
        <v>4005</v>
      </c>
      <c r="C855" s="951" t="s">
        <v>3564</v>
      </c>
      <c r="D855" s="1280" t="s">
        <v>1172</v>
      </c>
      <c r="E855" s="1470">
        <f>IF(B855&lt;&gt;"",+SUMIF(Items!C:C,'AUX-NIV1'!B855,Items!H:H),"")</f>
        <v>0</v>
      </c>
      <c r="F855" s="1470">
        <f t="shared" si="893"/>
        <v>48681.309544673582</v>
      </c>
      <c r="G855" s="1470">
        <f t="shared" si="894"/>
        <v>0</v>
      </c>
      <c r="H855" s="1471" t="str">
        <f t="shared" si="904"/>
        <v>S</v>
      </c>
      <c r="I855" s="1472" t="s">
        <v>4018</v>
      </c>
      <c r="J855" s="1473" t="str">
        <f>IF(B855&lt;&gt;"",+VLOOKUP(I855,Recursos!C:F,2,FALSE),"")</f>
        <v>Alquiler de Sampi</v>
      </c>
      <c r="K855" s="1474" t="str">
        <f>IF(B855&lt;&gt;"",+VLOOKUP(I855,Recursos!C:F,3,FALSE),"")</f>
        <v>hs</v>
      </c>
      <c r="L855" s="1475">
        <f>IF(B855&lt;&gt;"",+VLOOKUP(I855,Recursos!C:F,4,FALSE),"")</f>
        <v>500</v>
      </c>
      <c r="M855" s="1526"/>
      <c r="N855" s="1530">
        <f>N854+3</f>
        <v>15</v>
      </c>
      <c r="O855" s="1525">
        <f>N855*N853</f>
        <v>15</v>
      </c>
      <c r="P855" s="1479">
        <f t="shared" si="906"/>
        <v>7500</v>
      </c>
      <c r="Q855" s="1470">
        <f t="shared" si="907"/>
        <v>0</v>
      </c>
      <c r="R855" s="1480">
        <f t="shared" si="908"/>
        <v>0</v>
      </c>
      <c r="S855" s="1481">
        <f t="shared" si="895"/>
        <v>2981.4957263565493</v>
      </c>
      <c r="T855" s="1481">
        <f t="shared" si="896"/>
        <v>8215.7436000000016</v>
      </c>
      <c r="U855" s="1482">
        <f t="shared" si="897"/>
        <v>0</v>
      </c>
      <c r="V855" s="1482">
        <f t="shared" si="898"/>
        <v>0</v>
      </c>
      <c r="W855" s="1482">
        <f t="shared" si="899"/>
        <v>7500</v>
      </c>
      <c r="X855" s="1482">
        <f t="shared" si="900"/>
        <v>29984.070218317029</v>
      </c>
      <c r="Y855" s="396"/>
      <c r="Z855" s="1483" t="str">
        <f t="shared" si="909"/>
        <v>0-ITP015A</v>
      </c>
      <c r="AA855" s="1483" t="str">
        <f t="shared" si="910"/>
        <v>0-ITP015E</v>
      </c>
      <c r="AB855" s="1483" t="str">
        <f t="shared" si="911"/>
        <v>0-ITP015M</v>
      </c>
      <c r="AC855" s="1483" t="str">
        <f t="shared" si="912"/>
        <v>0-ITP015T</v>
      </c>
      <c r="AD855" s="1483" t="str">
        <f t="shared" si="913"/>
        <v>0-ITP015S</v>
      </c>
      <c r="AE855" s="1483" t="str">
        <f t="shared" si="914"/>
        <v>0-ITP015X</v>
      </c>
      <c r="AF855" s="1483" t="str">
        <f t="shared" si="915"/>
        <v>0-ITP015S</v>
      </c>
      <c r="AG855" s="1483">
        <f t="shared" si="901"/>
        <v>4</v>
      </c>
      <c r="AH855" s="1483">
        <f>IF(B855&lt;&gt;"",+IF(H855="x",+VLOOKUP(I855,'AUX-NIV2'!B:AG,32,FALSE),0),"")</f>
        <v>0</v>
      </c>
      <c r="AI855" s="1483" t="str">
        <f t="shared" si="916"/>
        <v>0-ITP015</v>
      </c>
      <c r="AK855" s="347">
        <f t="shared" si="902"/>
        <v>854</v>
      </c>
      <c r="AL855" s="348">
        <f t="shared" si="917"/>
        <v>857</v>
      </c>
      <c r="AM855" s="347">
        <f>IF(B855&lt;&gt;"",IF(B855=B853,1+AM853,1),"")</f>
        <v>1</v>
      </c>
      <c r="AN855" s="382">
        <f>IF(AND(AH855&gt;0,B855&lt;&gt;""),VLOOKUP(I855,'AUX-NIV2'!$B:$AP,40,FALSE)*O855,0)</f>
        <v>0</v>
      </c>
      <c r="AO855" s="382">
        <f t="shared" si="903"/>
        <v>66</v>
      </c>
      <c r="AQ855" s="395">
        <f>(IF($H855="x",VLOOKUP($I855,'AUX-NIV2'!$B:$X,'AUX-NIV1'!AQ$3,FALSE),0)+($AV855*'AUX-NIV3'!S$4))*$O855+IF($H855=AQ$4,$P855,0)</f>
        <v>0</v>
      </c>
      <c r="AR855" s="395">
        <f>(IF($H855="x",VLOOKUP($I855,'AUX-NIV2'!$B:$X,'AUX-NIV1'!AR$3,FALSE),0)+($AV855*'AUX-NIV3'!T$4))*$O855+IF($H855=AR$4,$P855,0)</f>
        <v>0</v>
      </c>
      <c r="AS855" s="395">
        <f>(IF($H855="x",VLOOKUP($I855,'AUX-NIV2'!$B:$X,'AUX-NIV1'!AS$3,FALSE),0)+($AV855*'AUX-NIV3'!U$4))*$O855+IF($H855=AS$4,$P855,0)</f>
        <v>0</v>
      </c>
      <c r="AT855" s="395">
        <f>(IF($H855="x",VLOOKUP($I855,'AUX-NIV2'!$B:$X,'AUX-NIV1'!AT$3,FALSE),0)+($AV855*'AUX-NIV3'!V$4))*$O855+IF($H855=AT$4,$P855,0)</f>
        <v>0</v>
      </c>
      <c r="AU855" s="395">
        <f>(IF($H855="x",VLOOKUP($I855,'AUX-NIV2'!$B:$X,'AUX-NIV1'!AU$3,FALSE),0)+($AV855*'AUX-NIV3'!W$4))*$O855+IF($H855=AU$4,$P855,0)</f>
        <v>7500</v>
      </c>
      <c r="AV855" s="395">
        <f>+IF($H855="x",VLOOKUP($I855,'AUX-NIV2'!$B:$X,'AUX-NIV1'!AV$3,FALSE),0)</f>
        <v>0</v>
      </c>
    </row>
    <row r="856" spans="2:48" ht="13.8" hidden="1" thickTop="1">
      <c r="B856" s="501" t="s">
        <v>4005</v>
      </c>
      <c r="C856" s="951" t="s">
        <v>3564</v>
      </c>
      <c r="D856" s="1280" t="s">
        <v>1172</v>
      </c>
      <c r="E856" s="1470">
        <f>IF(B856&lt;&gt;"",+SUMIF(Items!C:C,'AUX-NIV1'!B856,Items!H:H),"")</f>
        <v>0</v>
      </c>
      <c r="F856" s="1470">
        <f t="shared" si="893"/>
        <v>48681.309544673582</v>
      </c>
      <c r="G856" s="1470">
        <f t="shared" si="894"/>
        <v>0</v>
      </c>
      <c r="H856" s="1471" t="str">
        <f t="shared" ref="H856:H858" si="919">IF(B856&lt;&gt;"",+LEFT(I856,1),"")</f>
        <v>E</v>
      </c>
      <c r="I856" s="1472" t="s">
        <v>3304</v>
      </c>
      <c r="J856" s="1473" t="str">
        <f>IF(B856&lt;&gt;"",+VLOOKUP(I856,Recursos!C:F,2,FALSE),"")</f>
        <v>CAMION PLAYO LIVIANO 146CV</v>
      </c>
      <c r="K856" s="1474" t="str">
        <f>IF(B856&lt;&gt;"",+VLOOKUP(I856,Recursos!C:F,3,FALSE),"")</f>
        <v>HR</v>
      </c>
      <c r="L856" s="1475">
        <f>IF(B856&lt;&gt;"",+VLOOKUP(I856,Recursos!C:F,4,FALSE),"")</f>
        <v>1369.2906000000003</v>
      </c>
      <c r="M856" s="1526"/>
      <c r="N856" s="1528">
        <v>0.5</v>
      </c>
      <c r="O856" s="1525">
        <f>N856*N854</f>
        <v>6</v>
      </c>
      <c r="P856" s="1479">
        <f t="shared" ref="P856:P858" si="920">IF(B856&lt;&gt;"",O856*L856,"")</f>
        <v>8215.7436000000016</v>
      </c>
      <c r="Q856" s="1470">
        <f t="shared" ref="Q856:Q858" si="921">IF(B856&lt;&gt;"",+O856*E856,"")</f>
        <v>0</v>
      </c>
      <c r="R856" s="1480">
        <f t="shared" ref="R856:R858" si="922">IF(B856&lt;&gt;"",Q856*L856,"")</f>
        <v>0</v>
      </c>
      <c r="S856" s="1481">
        <f t="shared" si="895"/>
        <v>2981.4957263565493</v>
      </c>
      <c r="T856" s="1481">
        <f t="shared" si="896"/>
        <v>8215.7436000000016</v>
      </c>
      <c r="U856" s="1482">
        <f t="shared" si="897"/>
        <v>0</v>
      </c>
      <c r="V856" s="1482">
        <f t="shared" si="898"/>
        <v>0</v>
      </c>
      <c r="W856" s="1482">
        <f t="shared" si="899"/>
        <v>7500</v>
      </c>
      <c r="X856" s="1482">
        <f t="shared" si="900"/>
        <v>29984.070218317029</v>
      </c>
      <c r="Y856" s="396"/>
      <c r="Z856" s="1483" t="str">
        <f t="shared" ref="Z856:Z858" si="923">IF(B856&lt;&gt;"",+$B856&amp;"A","")</f>
        <v>0-ITP015A</v>
      </c>
      <c r="AA856" s="1483" t="str">
        <f t="shared" ref="AA856:AA858" si="924">IF(B856&lt;&gt;"",+$B856&amp;"E","")</f>
        <v>0-ITP015E</v>
      </c>
      <c r="AB856" s="1483" t="str">
        <f t="shared" ref="AB856:AB858" si="925">IF(B856&lt;&gt;"",++$B856&amp;"M","")</f>
        <v>0-ITP015M</v>
      </c>
      <c r="AC856" s="1483" t="str">
        <f t="shared" ref="AC856:AC858" si="926">IF(B856&lt;&gt;"",+$B856&amp;"T","")</f>
        <v>0-ITP015T</v>
      </c>
      <c r="AD856" s="1483" t="str">
        <f t="shared" ref="AD856:AD858" si="927">IF(B856&lt;&gt;"",+$B856&amp;"S","")</f>
        <v>0-ITP015S</v>
      </c>
      <c r="AE856" s="1483" t="str">
        <f t="shared" ref="AE856:AE858" si="928">IF(B856&lt;&gt;"",+$B856&amp;"X","")</f>
        <v>0-ITP015X</v>
      </c>
      <c r="AF856" s="1483" t="str">
        <f t="shared" ref="AF856:AF858" si="929">IF(B856&lt;&gt;"",+B856&amp;H856,"")</f>
        <v>0-ITP015E</v>
      </c>
      <c r="AG856" s="1483">
        <f t="shared" si="901"/>
        <v>4</v>
      </c>
      <c r="AH856" s="1483">
        <f>IF(B856&lt;&gt;"",+IF(H856="x",+VLOOKUP(I856,'AUX-NIV2'!B:AG,32,FALSE),0),"")</f>
        <v>0</v>
      </c>
      <c r="AI856" s="1483" t="str">
        <f t="shared" ref="AI856:AI858" si="930">IF(B856&lt;&gt;"",+B856,"")</f>
        <v>0-ITP015</v>
      </c>
      <c r="AK856" s="347">
        <f t="shared" si="902"/>
        <v>854</v>
      </c>
      <c r="AL856" s="348">
        <f t="shared" ref="AL856:AL858" si="931">IF(B856&lt;&gt;"",+AK856+AG856-1,"")</f>
        <v>857</v>
      </c>
      <c r="AM856" s="347">
        <f>IF(B856&lt;&gt;"",IF(B856=B854,1+AM854,1),"")</f>
        <v>2</v>
      </c>
      <c r="AN856" s="382">
        <f>IF(AND(AH856&gt;0,B856&lt;&gt;""),VLOOKUP(I856,'AUX-NIV2'!$B:$AP,40,FALSE)*O856,0)</f>
        <v>0</v>
      </c>
      <c r="AO856" s="382">
        <f t="shared" si="903"/>
        <v>66</v>
      </c>
      <c r="AQ856" s="395">
        <f>(IF($H856="x",VLOOKUP($I856,'AUX-NIV2'!$B:$X,'AUX-NIV1'!AQ$3,FALSE),0)+($AV856*'AUX-NIV3'!S$4))*$O856+IF($H856=AQ$4,$P856,0)</f>
        <v>0</v>
      </c>
      <c r="AR856" s="395">
        <f>(IF($H856="x",VLOOKUP($I856,'AUX-NIV2'!$B:$X,'AUX-NIV1'!AR$3,FALSE),0)+($AV856*'AUX-NIV3'!T$4))*$O856+IF($H856=AR$4,$P856,0)</f>
        <v>8215.7436000000016</v>
      </c>
      <c r="AS856" s="395">
        <f>(IF($H856="x",VLOOKUP($I856,'AUX-NIV2'!$B:$X,'AUX-NIV1'!AS$3,FALSE),0)+($AV856*'AUX-NIV3'!U$4))*$O856+IF($H856=AS$4,$P856,0)</f>
        <v>0</v>
      </c>
      <c r="AT856" s="395">
        <f>(IF($H856="x",VLOOKUP($I856,'AUX-NIV2'!$B:$X,'AUX-NIV1'!AT$3,FALSE),0)+($AV856*'AUX-NIV3'!V$4))*$O856+IF($H856=AT$4,$P856,0)</f>
        <v>0</v>
      </c>
      <c r="AU856" s="395">
        <f>(IF($H856="x",VLOOKUP($I856,'AUX-NIV2'!$B:$X,'AUX-NIV1'!AU$3,FALSE),0)+($AV856*'AUX-NIV3'!W$4))*$O856+IF($H856=AU$4,$P856,0)</f>
        <v>0</v>
      </c>
      <c r="AV856" s="395">
        <f>+IF($H856="x",VLOOKUP($I856,'AUX-NIV2'!$B:$X,'AUX-NIV1'!AV$3,FALSE),0)</f>
        <v>0</v>
      </c>
    </row>
    <row r="857" spans="2:48" ht="14.4" hidden="1" thickTop="1" thickBot="1">
      <c r="B857" s="501" t="s">
        <v>4005</v>
      </c>
      <c r="C857" s="951" t="s">
        <v>3564</v>
      </c>
      <c r="D857" s="1280" t="s">
        <v>1172</v>
      </c>
      <c r="E857" s="1470">
        <f>IF(B857&lt;&gt;"",+SUMIF(Items!C:C,'AUX-NIV1'!B857,Items!H:H),"")</f>
        <v>0</v>
      </c>
      <c r="F857" s="1470">
        <f t="shared" si="893"/>
        <v>48681.309544673582</v>
      </c>
      <c r="G857" s="1470">
        <f t="shared" si="894"/>
        <v>0</v>
      </c>
      <c r="H857" s="1471" t="str">
        <f t="shared" si="919"/>
        <v>A</v>
      </c>
      <c r="I857" s="1472" t="s">
        <v>1746</v>
      </c>
      <c r="J857" s="1473" t="str">
        <f>IF(B857&lt;&gt;"",+VLOOKUP(I857,Recursos!C:F,2,FALSE),"")</f>
        <v>OFICIAL</v>
      </c>
      <c r="K857" s="1474" t="str">
        <f>IF(B857&lt;&gt;"",+VLOOKUP(I857,Recursos!C:F,3,FALSE),"")</f>
        <v>hh</v>
      </c>
      <c r="L857" s="1475">
        <f>IF(B857&lt;&gt;"",+VLOOKUP(I857,Recursos!C:F,4,FALSE),"")</f>
        <v>496.91595439275824</v>
      </c>
      <c r="M857" s="1458"/>
      <c r="N857" s="1527"/>
      <c r="O857" s="1525">
        <f>N856*N854</f>
        <v>6</v>
      </c>
      <c r="P857" s="1479">
        <f t="shared" si="920"/>
        <v>2981.4957263565493</v>
      </c>
      <c r="Q857" s="1470">
        <f t="shared" si="921"/>
        <v>0</v>
      </c>
      <c r="R857" s="1480">
        <f t="shared" si="922"/>
        <v>0</v>
      </c>
      <c r="S857" s="1481">
        <f t="shared" si="895"/>
        <v>2981.4957263565493</v>
      </c>
      <c r="T857" s="1481">
        <f t="shared" si="896"/>
        <v>8215.7436000000016</v>
      </c>
      <c r="U857" s="1482">
        <f t="shared" si="897"/>
        <v>0</v>
      </c>
      <c r="V857" s="1482">
        <f t="shared" si="898"/>
        <v>0</v>
      </c>
      <c r="W857" s="1482">
        <f t="shared" si="899"/>
        <v>7500</v>
      </c>
      <c r="X857" s="1482">
        <f t="shared" si="900"/>
        <v>29984.070218317029</v>
      </c>
      <c r="Y857" s="396"/>
      <c r="Z857" s="1483" t="str">
        <f t="shared" si="923"/>
        <v>0-ITP015A</v>
      </c>
      <c r="AA857" s="1483" t="str">
        <f t="shared" si="924"/>
        <v>0-ITP015E</v>
      </c>
      <c r="AB857" s="1483" t="str">
        <f t="shared" si="925"/>
        <v>0-ITP015M</v>
      </c>
      <c r="AC857" s="1483" t="str">
        <f t="shared" si="926"/>
        <v>0-ITP015T</v>
      </c>
      <c r="AD857" s="1483" t="str">
        <f t="shared" si="927"/>
        <v>0-ITP015S</v>
      </c>
      <c r="AE857" s="1483" t="str">
        <f t="shared" si="928"/>
        <v>0-ITP015X</v>
      </c>
      <c r="AF857" s="1483" t="str">
        <f t="shared" si="929"/>
        <v>0-ITP015A</v>
      </c>
      <c r="AG857" s="1483">
        <f t="shared" si="901"/>
        <v>4</v>
      </c>
      <c r="AH857" s="1483">
        <f>IF(B857&lt;&gt;"",+IF(H857="x",+VLOOKUP(I857,'AUX-NIV2'!B:AG,32,FALSE),0),"")</f>
        <v>0</v>
      </c>
      <c r="AI857" s="1483" t="str">
        <f t="shared" si="930"/>
        <v>0-ITP015</v>
      </c>
      <c r="AK857" s="347">
        <f t="shared" si="902"/>
        <v>854</v>
      </c>
      <c r="AL857" s="348">
        <f t="shared" si="931"/>
        <v>857</v>
      </c>
      <c r="AM857" s="347">
        <f t="shared" ref="AM857" si="932">IF(B857&lt;&gt;"",IF(B857=B856,1+AM856,1),"")</f>
        <v>3</v>
      </c>
      <c r="AN857" s="382">
        <f>IF(AND(AH857&gt;0,B857&lt;&gt;""),VLOOKUP(I857,'AUX-NIV2'!$B:$AP,40,FALSE)*O857,0)</f>
        <v>0</v>
      </c>
      <c r="AO857" s="382">
        <f t="shared" si="903"/>
        <v>66</v>
      </c>
      <c r="AQ857" s="395">
        <f>(IF($H857="x",VLOOKUP($I857,'AUX-NIV2'!$B:$X,'AUX-NIV1'!AQ$3,FALSE),0)+($AV857*'AUX-NIV3'!S$4))*$O857+IF($H857=AQ$4,$P857,0)</f>
        <v>2981.4957263565493</v>
      </c>
      <c r="AR857" s="395">
        <f>(IF($H857="x",VLOOKUP($I857,'AUX-NIV2'!$B:$X,'AUX-NIV1'!AR$3,FALSE),0)+($AV857*'AUX-NIV3'!T$4))*$O857+IF($H857=AR$4,$P857,0)</f>
        <v>0</v>
      </c>
      <c r="AS857" s="395">
        <f>(IF($H857="x",VLOOKUP($I857,'AUX-NIV2'!$B:$X,'AUX-NIV1'!AS$3,FALSE),0)+($AV857*'AUX-NIV3'!U$4))*$O857+IF($H857=AS$4,$P857,0)</f>
        <v>0</v>
      </c>
      <c r="AT857" s="395">
        <f>(IF($H857="x",VLOOKUP($I857,'AUX-NIV2'!$B:$X,'AUX-NIV1'!AT$3,FALSE),0)+($AV857*'AUX-NIV3'!V$4))*$O857+IF($H857=AT$4,$P857,0)</f>
        <v>0</v>
      </c>
      <c r="AU857" s="395">
        <f>(IF($H857="x",VLOOKUP($I857,'AUX-NIV2'!$B:$X,'AUX-NIV1'!AU$3,FALSE),0)+($AV857*'AUX-NIV3'!W$4))*$O857+IF($H857=AU$4,$P857,0)</f>
        <v>0</v>
      </c>
      <c r="AV857" s="395">
        <f>+IF($H857="x",VLOOKUP($I857,'AUX-NIV2'!$B:$X,'AUX-NIV1'!AV$3,FALSE),0)</f>
        <v>0</v>
      </c>
    </row>
    <row r="858" spans="2:48" ht="13.8" hidden="1" thickTop="1">
      <c r="B858" s="501" t="s">
        <v>4006</v>
      </c>
      <c r="C858" s="951" t="s">
        <v>3565</v>
      </c>
      <c r="D858" s="1280" t="s">
        <v>1172</v>
      </c>
      <c r="E858" s="1281">
        <f>IF(B858&lt;&gt;"",+SUMIF(Items!C:C,'AUX-NIV1'!B858,Items!H:H),"")</f>
        <v>0</v>
      </c>
      <c r="F858" s="1281">
        <f t="shared" si="893"/>
        <v>19292.672422554566</v>
      </c>
      <c r="G858" s="1281">
        <f t="shared" si="894"/>
        <v>0</v>
      </c>
      <c r="H858" s="1395" t="str">
        <f t="shared" si="919"/>
        <v>X</v>
      </c>
      <c r="I858" s="1375" t="s">
        <v>3262</v>
      </c>
      <c r="J858" s="1283" t="str">
        <f>IF(B858&lt;&gt;"",+VLOOKUP(I858,Recursos!C:F,2,FALSE),"")</f>
        <v>Ayuda de gremio</v>
      </c>
      <c r="K858" s="1284" t="str">
        <f>IF(B858&lt;&gt;"",+VLOOKUP(I858,Recursos!C:F,3,FALSE),"")</f>
        <v>hs</v>
      </c>
      <c r="L858" s="1285">
        <f>IF(B858&lt;&gt;"",+VLOOKUP(I858,Recursos!C:F,4,FALSE),"")</f>
        <v>2498.6725181930856</v>
      </c>
      <c r="M858" s="743"/>
      <c r="N858" s="1292">
        <v>5</v>
      </c>
      <c r="O858" s="1286">
        <f t="shared" ref="O858" si="933">N858</f>
        <v>5</v>
      </c>
      <c r="P858" s="1287">
        <f t="shared" si="920"/>
        <v>12493.362590965427</v>
      </c>
      <c r="Q858" s="1281">
        <f t="shared" si="921"/>
        <v>0</v>
      </c>
      <c r="R858" s="1288">
        <f t="shared" si="922"/>
        <v>0</v>
      </c>
      <c r="S858" s="1289">
        <f t="shared" si="895"/>
        <v>745.37393158913733</v>
      </c>
      <c r="T858" s="1289">
        <f t="shared" si="896"/>
        <v>2053.9359000000004</v>
      </c>
      <c r="U858" s="1290">
        <f t="shared" si="897"/>
        <v>0</v>
      </c>
      <c r="V858" s="1290">
        <f t="shared" si="898"/>
        <v>0</v>
      </c>
      <c r="W858" s="1290">
        <f t="shared" si="899"/>
        <v>4000</v>
      </c>
      <c r="X858" s="1290">
        <f t="shared" si="900"/>
        <v>12493.362590965427</v>
      </c>
      <c r="Y858" s="396"/>
      <c r="Z858" s="1291" t="str">
        <f t="shared" si="923"/>
        <v>0-ITP016A</v>
      </c>
      <c r="AA858" s="1291" t="str">
        <f t="shared" si="924"/>
        <v>0-ITP016E</v>
      </c>
      <c r="AB858" s="1291" t="str">
        <f t="shared" si="925"/>
        <v>0-ITP016M</v>
      </c>
      <c r="AC858" s="1291" t="str">
        <f t="shared" si="926"/>
        <v>0-ITP016T</v>
      </c>
      <c r="AD858" s="1291" t="str">
        <f t="shared" si="927"/>
        <v>0-ITP016S</v>
      </c>
      <c r="AE858" s="1291" t="str">
        <f t="shared" si="928"/>
        <v>0-ITP016X</v>
      </c>
      <c r="AF858" s="1291" t="str">
        <f t="shared" si="929"/>
        <v>0-ITP016X</v>
      </c>
      <c r="AG858" s="1291">
        <f t="shared" si="901"/>
        <v>4</v>
      </c>
      <c r="AH858" s="1291">
        <f>IF(B858&lt;&gt;"",+IF(H858="x",+VLOOKUP(I858,'AUX-NIV2'!B:AG,32,FALSE),0),"")</f>
        <v>4</v>
      </c>
      <c r="AI858" s="1291" t="str">
        <f t="shared" si="930"/>
        <v>0-ITP016</v>
      </c>
      <c r="AK858" s="347">
        <f t="shared" si="902"/>
        <v>858</v>
      </c>
      <c r="AL858" s="348">
        <f t="shared" si="931"/>
        <v>861</v>
      </c>
      <c r="AM858" s="347" t="e">
        <f>IF(B858&lt;&gt;"",IF(B858=#REF!,1+#REF!,1),"")</f>
        <v>#REF!</v>
      </c>
      <c r="AN858" s="382">
        <f>IF(AND(AH858&gt;0,B858&lt;&gt;""),VLOOKUP(I858,'AUX-NIV2'!$B:$AP,40,FALSE)*O858,0)</f>
        <v>25</v>
      </c>
      <c r="AO858" s="382">
        <f t="shared" si="903"/>
        <v>26.5</v>
      </c>
      <c r="AQ858" s="395">
        <f>(IF($H858="x",VLOOKUP($I858,'AUX-NIV2'!$B:$X,'AUX-NIV1'!AQ$3,FALSE),0)+($AV858*'AUX-NIV3'!S$4))*$O858+IF($H858=AQ$4,$P858,0)</f>
        <v>12018.362590965427</v>
      </c>
      <c r="AR858" s="395">
        <f>(IF($H858="x",VLOOKUP($I858,'AUX-NIV2'!$B:$X,'AUX-NIV1'!AR$3,FALSE),0)+($AV858*'AUX-NIV3'!T$4))*$O858+IF($H858=AR$4,$P858,0)</f>
        <v>0</v>
      </c>
      <c r="AS858" s="395">
        <f>(IF($H858="x",VLOOKUP($I858,'AUX-NIV2'!$B:$X,'AUX-NIV1'!AS$3,FALSE),0)+($AV858*'AUX-NIV3'!U$4))*$O858+IF($H858=AS$4,$P858,0)</f>
        <v>475</v>
      </c>
      <c r="AT858" s="395">
        <f>(IF($H858="x",VLOOKUP($I858,'AUX-NIV2'!$B:$X,'AUX-NIV1'!AT$3,FALSE),0)+($AV858*'AUX-NIV3'!V$4))*$O858+IF($H858=AT$4,$P858,0)</f>
        <v>0</v>
      </c>
      <c r="AU858" s="395">
        <f>(IF($H858="x",VLOOKUP($I858,'AUX-NIV2'!$B:$X,'AUX-NIV1'!AU$3,FALSE),0)+($AV858*'AUX-NIV3'!W$4))*$O858+IF($H858=AU$4,$P858,0)</f>
        <v>0</v>
      </c>
      <c r="AV858" s="395">
        <f>+IF($H858="x",VLOOKUP($I858,'AUX-NIV2'!$B:$X,'AUX-NIV1'!AV$3,FALSE),0)</f>
        <v>0</v>
      </c>
    </row>
    <row r="859" spans="2:48" ht="13.8" hidden="1" thickTop="1">
      <c r="B859" s="1467" t="s">
        <v>4006</v>
      </c>
      <c r="C859" s="1524" t="s">
        <v>3565</v>
      </c>
      <c r="D859" s="1469" t="s">
        <v>1172</v>
      </c>
      <c r="E859" s="1470">
        <f>IF(B859&lt;&gt;"",+SUMIF(Items!C:C,'AUX-NIV1'!B859,Items!H:H),"")</f>
        <v>0</v>
      </c>
      <c r="F859" s="1470">
        <f t="shared" si="893"/>
        <v>19292.672422554566</v>
      </c>
      <c r="G859" s="1470">
        <f t="shared" si="894"/>
        <v>0</v>
      </c>
      <c r="H859" s="1471" t="str">
        <f t="shared" ref="H859" si="934">IF(B859&lt;&gt;"",+LEFT(I859,1),"")</f>
        <v>S</v>
      </c>
      <c r="I859" s="1472" t="s">
        <v>4018</v>
      </c>
      <c r="J859" s="1473" t="str">
        <f>IF(B859&lt;&gt;"",+VLOOKUP(I859,Recursos!C:F,2,FALSE),"")</f>
        <v>Alquiler de Sampi</v>
      </c>
      <c r="K859" s="1474" t="str">
        <f>IF(B859&lt;&gt;"",+VLOOKUP(I859,Recursos!C:F,3,FALSE),"")</f>
        <v>hs</v>
      </c>
      <c r="L859" s="1475">
        <f>IF(B859&lt;&gt;"",+VLOOKUP(I859,Recursos!C:F,4,FALSE),"")</f>
        <v>500</v>
      </c>
      <c r="M859" s="1529"/>
      <c r="N859" s="1530">
        <f>N858+3</f>
        <v>8</v>
      </c>
      <c r="O859" s="1525">
        <f t="shared" ref="O859" si="935">N859</f>
        <v>8</v>
      </c>
      <c r="P859" s="1479">
        <f t="shared" ref="P859" si="936">IF(B859&lt;&gt;"",O859*L859,"")</f>
        <v>4000</v>
      </c>
      <c r="Q859" s="1470">
        <f t="shared" ref="Q859" si="937">IF(B859&lt;&gt;"",+O859*E859,"")</f>
        <v>0</v>
      </c>
      <c r="R859" s="1480">
        <f t="shared" ref="R859" si="938">IF(B859&lt;&gt;"",Q859*L859,"")</f>
        <v>0</v>
      </c>
      <c r="S859" s="1481">
        <f t="shared" si="895"/>
        <v>745.37393158913733</v>
      </c>
      <c r="T859" s="1481">
        <f t="shared" si="896"/>
        <v>2053.9359000000004</v>
      </c>
      <c r="U859" s="1482">
        <f t="shared" si="897"/>
        <v>0</v>
      </c>
      <c r="V859" s="1482">
        <f t="shared" si="898"/>
        <v>0</v>
      </c>
      <c r="W859" s="1482">
        <f t="shared" si="899"/>
        <v>4000</v>
      </c>
      <c r="X859" s="1482">
        <f t="shared" si="900"/>
        <v>12493.362590965427</v>
      </c>
      <c r="Y859" s="396"/>
      <c r="Z859" s="1483" t="str">
        <f t="shared" ref="Z859" si="939">IF(B859&lt;&gt;"",+$B859&amp;"A","")</f>
        <v>0-ITP016A</v>
      </c>
      <c r="AA859" s="1483" t="str">
        <f t="shared" ref="AA859" si="940">IF(B859&lt;&gt;"",+$B859&amp;"E","")</f>
        <v>0-ITP016E</v>
      </c>
      <c r="AB859" s="1483" t="str">
        <f t="shared" ref="AB859" si="941">IF(B859&lt;&gt;"",++$B859&amp;"M","")</f>
        <v>0-ITP016M</v>
      </c>
      <c r="AC859" s="1483" t="str">
        <f t="shared" ref="AC859" si="942">IF(B859&lt;&gt;"",+$B859&amp;"T","")</f>
        <v>0-ITP016T</v>
      </c>
      <c r="AD859" s="1483" t="str">
        <f t="shared" ref="AD859" si="943">IF(B859&lt;&gt;"",+$B859&amp;"S","")</f>
        <v>0-ITP016S</v>
      </c>
      <c r="AE859" s="1483" t="str">
        <f t="shared" ref="AE859" si="944">IF(B859&lt;&gt;"",+$B859&amp;"X","")</f>
        <v>0-ITP016X</v>
      </c>
      <c r="AF859" s="1483" t="str">
        <f t="shared" ref="AF859" si="945">IF(B859&lt;&gt;"",+B859&amp;H859,"")</f>
        <v>0-ITP016S</v>
      </c>
      <c r="AG859" s="1483">
        <f t="shared" si="901"/>
        <v>4</v>
      </c>
      <c r="AH859" s="1483">
        <f>IF(B859&lt;&gt;"",+IF(H859="x",+VLOOKUP(I859,'AUX-NIV2'!B:AG,32,FALSE),0),"")</f>
        <v>0</v>
      </c>
      <c r="AI859" s="1483" t="str">
        <f t="shared" ref="AI859" si="946">IF(B859&lt;&gt;"",+B859,"")</f>
        <v>0-ITP016</v>
      </c>
      <c r="AK859" s="347">
        <f t="shared" si="902"/>
        <v>858</v>
      </c>
      <c r="AL859" s="348">
        <f t="shared" ref="AL859" si="947">IF(B859&lt;&gt;"",+AK859+AG859-1,"")</f>
        <v>861</v>
      </c>
      <c r="AM859" s="347" t="e">
        <f>IF(B859&lt;&gt;"",IF(B859=#REF!,1+#REF!,1),"")</f>
        <v>#REF!</v>
      </c>
      <c r="AN859" s="382">
        <f>IF(AND(AH859&gt;0,B859&lt;&gt;""),VLOOKUP(I859,'AUX-NIV2'!$B:$AP,40,FALSE)*O859,0)</f>
        <v>0</v>
      </c>
      <c r="AO859" s="382">
        <f t="shared" si="903"/>
        <v>26.5</v>
      </c>
      <c r="AQ859" s="395">
        <f>(IF($H859="x",VLOOKUP($I859,'AUX-NIV2'!$B:$X,'AUX-NIV1'!AQ$3,FALSE),0)+($AV859*'AUX-NIV3'!S$4))*$O859+IF($H859=AQ$4,$P859,0)</f>
        <v>0</v>
      </c>
      <c r="AR859" s="395">
        <f>(IF($H859="x",VLOOKUP($I859,'AUX-NIV2'!$B:$X,'AUX-NIV1'!AR$3,FALSE),0)+($AV859*'AUX-NIV3'!T$4))*$O859+IF($H859=AR$4,$P859,0)</f>
        <v>0</v>
      </c>
      <c r="AS859" s="395">
        <f>(IF($H859="x",VLOOKUP($I859,'AUX-NIV2'!$B:$X,'AUX-NIV1'!AS$3,FALSE),0)+($AV859*'AUX-NIV3'!U$4))*$O859+IF($H859=AS$4,$P859,0)</f>
        <v>0</v>
      </c>
      <c r="AT859" s="395">
        <f>(IF($H859="x",VLOOKUP($I859,'AUX-NIV2'!$B:$X,'AUX-NIV1'!AT$3,FALSE),0)+($AV859*'AUX-NIV3'!V$4))*$O859+IF($H859=AT$4,$P859,0)</f>
        <v>0</v>
      </c>
      <c r="AU859" s="395">
        <f>(IF($H859="x",VLOOKUP($I859,'AUX-NIV2'!$B:$X,'AUX-NIV1'!AU$3,FALSE),0)+($AV859*'AUX-NIV3'!W$4))*$O859+IF($H859=AU$4,$P859,0)</f>
        <v>4000</v>
      </c>
      <c r="AV859" s="395">
        <f>+IF($H859="x",VLOOKUP($I859,'AUX-NIV2'!$B:$X,'AUX-NIV1'!AV$3,FALSE),0)</f>
        <v>0</v>
      </c>
    </row>
    <row r="860" spans="2:48" ht="13.8" hidden="1" thickTop="1">
      <c r="B860" s="501" t="s">
        <v>4006</v>
      </c>
      <c r="C860" s="951" t="s">
        <v>3565</v>
      </c>
      <c r="D860" s="1280" t="s">
        <v>1172</v>
      </c>
      <c r="E860" s="1281">
        <f>IF(B860&lt;&gt;"",+SUMIF(Items!C:C,'AUX-NIV1'!B860,Items!H:H),"")</f>
        <v>0</v>
      </c>
      <c r="F860" s="1281">
        <f t="shared" si="893"/>
        <v>19292.672422554566</v>
      </c>
      <c r="G860" s="1281">
        <f t="shared" si="894"/>
        <v>0</v>
      </c>
      <c r="H860" s="1395" t="str">
        <f t="shared" ref="H860:H861" si="948">IF(B860&lt;&gt;"",+LEFT(I860,1),"")</f>
        <v>E</v>
      </c>
      <c r="I860" s="1472" t="s">
        <v>3304</v>
      </c>
      <c r="J860" s="1283" t="str">
        <f>IF(B860&lt;&gt;"",+VLOOKUP(I860,Recursos!C:F,2,FALSE),"")</f>
        <v>CAMION PLAYO LIVIANO 146CV</v>
      </c>
      <c r="K860" s="1284" t="str">
        <f>IF(B860&lt;&gt;"",+VLOOKUP(I860,Recursos!C:F,3,FALSE),"")</f>
        <v>HR</v>
      </c>
      <c r="L860" s="1285">
        <f>IF(B860&lt;&gt;"",+VLOOKUP(I860,Recursos!C:F,4,FALSE),"")</f>
        <v>1369.2906000000003</v>
      </c>
      <c r="M860" s="1526"/>
      <c r="N860" s="1528">
        <v>0.3</v>
      </c>
      <c r="O860" s="1286">
        <f>N860*N858</f>
        <v>1.5</v>
      </c>
      <c r="P860" s="1287">
        <f t="shared" ref="P860:P861" si="949">IF(B860&lt;&gt;"",O860*L860,"")</f>
        <v>2053.9359000000004</v>
      </c>
      <c r="Q860" s="1281">
        <f t="shared" ref="Q860:Q861" si="950">IF(B860&lt;&gt;"",+O860*E860,"")</f>
        <v>0</v>
      </c>
      <c r="R860" s="1288">
        <f t="shared" ref="R860:R861" si="951">IF(B860&lt;&gt;"",Q860*L860,"")</f>
        <v>0</v>
      </c>
      <c r="S860" s="1289">
        <f t="shared" si="895"/>
        <v>745.37393158913733</v>
      </c>
      <c r="T860" s="1289">
        <f t="shared" si="896"/>
        <v>2053.9359000000004</v>
      </c>
      <c r="U860" s="1290">
        <f t="shared" si="897"/>
        <v>0</v>
      </c>
      <c r="V860" s="1290">
        <f t="shared" si="898"/>
        <v>0</v>
      </c>
      <c r="W860" s="1290">
        <f t="shared" si="899"/>
        <v>4000</v>
      </c>
      <c r="X860" s="1290">
        <f t="shared" si="900"/>
        <v>12493.362590965427</v>
      </c>
      <c r="Y860" s="396"/>
      <c r="Z860" s="1291" t="str">
        <f t="shared" ref="Z860:Z861" si="952">IF(B860&lt;&gt;"",+$B860&amp;"A","")</f>
        <v>0-ITP016A</v>
      </c>
      <c r="AA860" s="1291" t="str">
        <f t="shared" ref="AA860:AA861" si="953">IF(B860&lt;&gt;"",+$B860&amp;"E","")</f>
        <v>0-ITP016E</v>
      </c>
      <c r="AB860" s="1291" t="str">
        <f t="shared" ref="AB860:AB861" si="954">IF(B860&lt;&gt;"",++$B860&amp;"M","")</f>
        <v>0-ITP016M</v>
      </c>
      <c r="AC860" s="1291" t="str">
        <f t="shared" ref="AC860:AC861" si="955">IF(B860&lt;&gt;"",+$B860&amp;"T","")</f>
        <v>0-ITP016T</v>
      </c>
      <c r="AD860" s="1291" t="str">
        <f t="shared" ref="AD860:AD861" si="956">IF(B860&lt;&gt;"",+$B860&amp;"S","")</f>
        <v>0-ITP016S</v>
      </c>
      <c r="AE860" s="1291" t="str">
        <f t="shared" ref="AE860:AE861" si="957">IF(B860&lt;&gt;"",+$B860&amp;"X","")</f>
        <v>0-ITP016X</v>
      </c>
      <c r="AF860" s="1291" t="str">
        <f t="shared" ref="AF860:AF861" si="958">IF(B860&lt;&gt;"",+B860&amp;H860,"")</f>
        <v>0-ITP016E</v>
      </c>
      <c r="AG860" s="1291">
        <f t="shared" si="901"/>
        <v>4</v>
      </c>
      <c r="AH860" s="1291">
        <f>IF(B860&lt;&gt;"",+IF(H860="x",+VLOOKUP(I860,'AUX-NIV2'!B:AG,32,FALSE),0),"")</f>
        <v>0</v>
      </c>
      <c r="AI860" s="1291" t="str">
        <f t="shared" ref="AI860:AI861" si="959">IF(B860&lt;&gt;"",+B860,"")</f>
        <v>0-ITP016</v>
      </c>
      <c r="AK860" s="347">
        <f t="shared" si="902"/>
        <v>858</v>
      </c>
      <c r="AL860" s="348">
        <f t="shared" ref="AL860:AL861" si="960">IF(B860&lt;&gt;"",+AK860+AG860-1,"")</f>
        <v>861</v>
      </c>
      <c r="AM860" s="347" t="e">
        <f>IF(B860&lt;&gt;"",IF(B860=#REF!,1+#REF!,1),"")</f>
        <v>#REF!</v>
      </c>
      <c r="AN860" s="382">
        <f>IF(AND(AH860&gt;0,B860&lt;&gt;""),VLOOKUP(I860,'AUX-NIV2'!$B:$AP,40,FALSE)*O860,0)</f>
        <v>0</v>
      </c>
      <c r="AO860" s="382">
        <f t="shared" si="903"/>
        <v>26.5</v>
      </c>
      <c r="AQ860" s="395">
        <f>(IF($H860="x",VLOOKUP($I860,'AUX-NIV2'!$B:$X,'AUX-NIV1'!AQ$3,FALSE),0)+($AV860*'AUX-NIV3'!S$4))*$O860+IF($H860=AQ$4,$P860,0)</f>
        <v>0</v>
      </c>
      <c r="AR860" s="395">
        <f>(IF($H860="x",VLOOKUP($I860,'AUX-NIV2'!$B:$X,'AUX-NIV1'!AR$3,FALSE),0)+($AV860*'AUX-NIV3'!T$4))*$O860+IF($H860=AR$4,$P860,0)</f>
        <v>2053.9359000000004</v>
      </c>
      <c r="AS860" s="395">
        <f>(IF($H860="x",VLOOKUP($I860,'AUX-NIV2'!$B:$X,'AUX-NIV1'!AS$3,FALSE),0)+($AV860*'AUX-NIV3'!U$4))*$O860+IF($H860=AS$4,$P860,0)</f>
        <v>0</v>
      </c>
      <c r="AT860" s="395">
        <f>(IF($H860="x",VLOOKUP($I860,'AUX-NIV2'!$B:$X,'AUX-NIV1'!AT$3,FALSE),0)+($AV860*'AUX-NIV3'!V$4))*$O860+IF($H860=AT$4,$P860,0)</f>
        <v>0</v>
      </c>
      <c r="AU860" s="395">
        <f>(IF($H860="x",VLOOKUP($I860,'AUX-NIV2'!$B:$X,'AUX-NIV1'!AU$3,FALSE),0)+($AV860*'AUX-NIV3'!W$4))*$O860+IF($H860=AU$4,$P860,0)</f>
        <v>0</v>
      </c>
      <c r="AV860" s="395">
        <f>+IF($H860="x",VLOOKUP($I860,'AUX-NIV2'!$B:$X,'AUX-NIV1'!AV$3,FALSE),0)</f>
        <v>0</v>
      </c>
    </row>
    <row r="861" spans="2:48" ht="14.4" hidden="1" thickTop="1" thickBot="1">
      <c r="B861" s="501" t="s">
        <v>4006</v>
      </c>
      <c r="C861" s="951" t="s">
        <v>3565</v>
      </c>
      <c r="D861" s="1280" t="s">
        <v>1172</v>
      </c>
      <c r="E861" s="1281">
        <f>IF(B861&lt;&gt;"",+SUMIF(Items!C:C,'AUX-NIV1'!B861,Items!H:H),"")</f>
        <v>0</v>
      </c>
      <c r="F861" s="1281">
        <f t="shared" si="893"/>
        <v>19292.672422554566</v>
      </c>
      <c r="G861" s="1281">
        <f t="shared" si="894"/>
        <v>0</v>
      </c>
      <c r="H861" s="1395" t="str">
        <f t="shared" si="948"/>
        <v>A</v>
      </c>
      <c r="I861" s="1472" t="s">
        <v>1746</v>
      </c>
      <c r="J861" s="1283" t="str">
        <f>IF(B861&lt;&gt;"",+VLOOKUP(I861,Recursos!C:F,2,FALSE),"")</f>
        <v>OFICIAL</v>
      </c>
      <c r="K861" s="1284" t="str">
        <f>IF(B861&lt;&gt;"",+VLOOKUP(I861,Recursos!C:F,3,FALSE),"")</f>
        <v>hh</v>
      </c>
      <c r="L861" s="1285">
        <f>IF(B861&lt;&gt;"",+VLOOKUP(I861,Recursos!C:F,4,FALSE),"")</f>
        <v>496.91595439275824</v>
      </c>
      <c r="M861" s="1458"/>
      <c r="N861" s="1527"/>
      <c r="O861" s="1286">
        <f>N860*N858</f>
        <v>1.5</v>
      </c>
      <c r="P861" s="1287">
        <f t="shared" si="949"/>
        <v>745.37393158913733</v>
      </c>
      <c r="Q861" s="1281">
        <f t="shared" si="950"/>
        <v>0</v>
      </c>
      <c r="R861" s="1288">
        <f t="shared" si="951"/>
        <v>0</v>
      </c>
      <c r="S861" s="1289">
        <f t="shared" si="895"/>
        <v>745.37393158913733</v>
      </c>
      <c r="T861" s="1289">
        <f t="shared" si="896"/>
        <v>2053.9359000000004</v>
      </c>
      <c r="U861" s="1290">
        <f t="shared" si="897"/>
        <v>0</v>
      </c>
      <c r="V861" s="1290">
        <f t="shared" si="898"/>
        <v>0</v>
      </c>
      <c r="W861" s="1290">
        <f t="shared" si="899"/>
        <v>4000</v>
      </c>
      <c r="X861" s="1290">
        <f t="shared" si="900"/>
        <v>12493.362590965427</v>
      </c>
      <c r="Y861" s="396"/>
      <c r="Z861" s="1291" t="str">
        <f t="shared" si="952"/>
        <v>0-ITP016A</v>
      </c>
      <c r="AA861" s="1291" t="str">
        <f t="shared" si="953"/>
        <v>0-ITP016E</v>
      </c>
      <c r="AB861" s="1291" t="str">
        <f t="shared" si="954"/>
        <v>0-ITP016M</v>
      </c>
      <c r="AC861" s="1291" t="str">
        <f t="shared" si="955"/>
        <v>0-ITP016T</v>
      </c>
      <c r="AD861" s="1291" t="str">
        <f t="shared" si="956"/>
        <v>0-ITP016S</v>
      </c>
      <c r="AE861" s="1291" t="str">
        <f t="shared" si="957"/>
        <v>0-ITP016X</v>
      </c>
      <c r="AF861" s="1291" t="str">
        <f t="shared" si="958"/>
        <v>0-ITP016A</v>
      </c>
      <c r="AG861" s="1291">
        <f t="shared" si="901"/>
        <v>4</v>
      </c>
      <c r="AH861" s="1291">
        <f>IF(B861&lt;&gt;"",+IF(H861="x",+VLOOKUP(I861,'AUX-NIV2'!B:AG,32,FALSE),0),"")</f>
        <v>0</v>
      </c>
      <c r="AI861" s="1291" t="str">
        <f t="shared" si="959"/>
        <v>0-ITP016</v>
      </c>
      <c r="AK861" s="347">
        <f t="shared" si="902"/>
        <v>858</v>
      </c>
      <c r="AL861" s="348">
        <f t="shared" si="960"/>
        <v>861</v>
      </c>
      <c r="AM861" s="347" t="e">
        <f>IF(B861&lt;&gt;"",IF(B861=#REF!,1+#REF!,1),"")</f>
        <v>#REF!</v>
      </c>
      <c r="AN861" s="382">
        <f>IF(AND(AH861&gt;0,B861&lt;&gt;""),VLOOKUP(I861,'AUX-NIV2'!$B:$AP,40,FALSE)*O861,0)</f>
        <v>0</v>
      </c>
      <c r="AO861" s="382">
        <f t="shared" si="903"/>
        <v>26.5</v>
      </c>
      <c r="AQ861" s="395">
        <f>(IF($H861="x",VLOOKUP($I861,'AUX-NIV2'!$B:$X,'AUX-NIV1'!AQ$3,FALSE),0)+($AV861*'AUX-NIV3'!S$4))*$O861+IF($H861=AQ$4,$P861,0)</f>
        <v>745.37393158913733</v>
      </c>
      <c r="AR861" s="395">
        <f>(IF($H861="x",VLOOKUP($I861,'AUX-NIV2'!$B:$X,'AUX-NIV1'!AR$3,FALSE),0)+($AV861*'AUX-NIV3'!T$4))*$O861+IF($H861=AR$4,$P861,0)</f>
        <v>0</v>
      </c>
      <c r="AS861" s="395">
        <f>(IF($H861="x",VLOOKUP($I861,'AUX-NIV2'!$B:$X,'AUX-NIV1'!AS$3,FALSE),0)+($AV861*'AUX-NIV3'!U$4))*$O861+IF($H861=AS$4,$P861,0)</f>
        <v>0</v>
      </c>
      <c r="AT861" s="395">
        <f>(IF($H861="x",VLOOKUP($I861,'AUX-NIV2'!$B:$X,'AUX-NIV1'!AT$3,FALSE),0)+($AV861*'AUX-NIV3'!V$4))*$O861+IF($H861=AT$4,$P861,0)</f>
        <v>0</v>
      </c>
      <c r="AU861" s="395">
        <f>(IF($H861="x",VLOOKUP($I861,'AUX-NIV2'!$B:$X,'AUX-NIV1'!AU$3,FALSE),0)+($AV861*'AUX-NIV3'!W$4))*$O861+IF($H861=AU$4,$P861,0)</f>
        <v>0</v>
      </c>
      <c r="AV861" s="395">
        <f>+IF($H861="x",VLOOKUP($I861,'AUX-NIV2'!$B:$X,'AUX-NIV1'!AV$3,FALSE),0)</f>
        <v>0</v>
      </c>
    </row>
    <row r="862" spans="2:48" ht="13.8" hidden="1" thickTop="1">
      <c r="B862" s="501" t="s">
        <v>4007</v>
      </c>
      <c r="C862" s="951" t="s">
        <v>3566</v>
      </c>
      <c r="D862" s="1280" t="s">
        <v>1782</v>
      </c>
      <c r="E862" s="1281">
        <f>IF(B862&lt;&gt;"",+SUMIF(Items!C:C,'AUX-NIV1'!B862,Items!H:H),"")</f>
        <v>0</v>
      </c>
      <c r="F862" s="1281">
        <f t="shared" si="893"/>
        <v>10295.327386168396</v>
      </c>
      <c r="G862" s="1281">
        <f t="shared" si="894"/>
        <v>0</v>
      </c>
      <c r="H862" s="1395" t="str">
        <f t="shared" si="904"/>
        <v>X</v>
      </c>
      <c r="I862" s="1375" t="s">
        <v>3262</v>
      </c>
      <c r="J862" s="1283" t="str">
        <f>IF(B862&lt;&gt;"",+VLOOKUP(I862,Recursos!C:F,2,FALSE),"")</f>
        <v>Ayuda de gremio</v>
      </c>
      <c r="K862" s="1284" t="str">
        <f>IF(B862&lt;&gt;"",+VLOOKUP(I862,Recursos!C:F,3,FALSE),"")</f>
        <v>hs</v>
      </c>
      <c r="L862" s="1285">
        <f>IF(B862&lt;&gt;"",+VLOOKUP(I862,Recursos!C:F,4,FALSE),"")</f>
        <v>2498.6725181930856</v>
      </c>
      <c r="M862" s="743"/>
      <c r="N862" s="1292">
        <v>3</v>
      </c>
      <c r="O862" s="1286">
        <f t="shared" ref="O862" si="961">N862</f>
        <v>3</v>
      </c>
      <c r="P862" s="1287">
        <f t="shared" si="906"/>
        <v>7496.0175545792572</v>
      </c>
      <c r="Q862" s="1281">
        <f t="shared" si="907"/>
        <v>0</v>
      </c>
      <c r="R862" s="1288">
        <f t="shared" si="908"/>
        <v>0</v>
      </c>
      <c r="S862" s="1289">
        <f t="shared" si="895"/>
        <v>745.37393158913733</v>
      </c>
      <c r="T862" s="1289">
        <f t="shared" si="896"/>
        <v>2053.9359000000004</v>
      </c>
      <c r="U862" s="1290">
        <f t="shared" si="897"/>
        <v>0</v>
      </c>
      <c r="V862" s="1290">
        <f t="shared" si="898"/>
        <v>0</v>
      </c>
      <c r="W862" s="1290">
        <f t="shared" si="899"/>
        <v>0</v>
      </c>
      <c r="X862" s="1290">
        <f t="shared" si="900"/>
        <v>7496.0175545792572</v>
      </c>
      <c r="Y862" s="396"/>
      <c r="Z862" s="1291" t="str">
        <f t="shared" si="909"/>
        <v>0-ITP017A</v>
      </c>
      <c r="AA862" s="1291" t="str">
        <f t="shared" si="910"/>
        <v>0-ITP017E</v>
      </c>
      <c r="AB862" s="1291" t="str">
        <f t="shared" si="911"/>
        <v>0-ITP017M</v>
      </c>
      <c r="AC862" s="1291" t="str">
        <f t="shared" si="912"/>
        <v>0-ITP017T</v>
      </c>
      <c r="AD862" s="1291" t="str">
        <f t="shared" si="913"/>
        <v>0-ITP017S</v>
      </c>
      <c r="AE862" s="1291" t="str">
        <f t="shared" si="914"/>
        <v>0-ITP017X</v>
      </c>
      <c r="AF862" s="1291" t="str">
        <f t="shared" si="915"/>
        <v>0-ITP017X</v>
      </c>
      <c r="AG862" s="1291">
        <f t="shared" si="901"/>
        <v>3</v>
      </c>
      <c r="AH862" s="1291">
        <f>IF(B862&lt;&gt;"",+IF(H862="x",+VLOOKUP(I862,'AUX-NIV2'!B:AG,32,FALSE),0),"")</f>
        <v>4</v>
      </c>
      <c r="AI862" s="1291" t="str">
        <f t="shared" si="916"/>
        <v>0-ITP017</v>
      </c>
      <c r="AK862" s="347">
        <f t="shared" si="902"/>
        <v>862</v>
      </c>
      <c r="AL862" s="348">
        <f t="shared" si="917"/>
        <v>864</v>
      </c>
      <c r="AM862" s="347">
        <f>IF(B862&lt;&gt;"",IF(B862=B858,1+AM858,1),"")</f>
        <v>1</v>
      </c>
      <c r="AN862" s="382">
        <f>IF(AND(AH862&gt;0,B862&lt;&gt;""),VLOOKUP(I862,'AUX-NIV2'!$B:$AP,40,FALSE)*O862,0)</f>
        <v>15</v>
      </c>
      <c r="AO862" s="382">
        <f t="shared" si="903"/>
        <v>16.5</v>
      </c>
      <c r="AQ862" s="395">
        <f>(IF($H862="x",VLOOKUP($I862,'AUX-NIV2'!$B:$X,'AUX-NIV1'!AQ$3,FALSE),0)+($AV862*'AUX-NIV3'!S$4))*$O862+IF($H862=AQ$4,$P862,0)</f>
        <v>7211.0175545792572</v>
      </c>
      <c r="AR862" s="395">
        <f>(IF($H862="x",VLOOKUP($I862,'AUX-NIV2'!$B:$X,'AUX-NIV1'!AR$3,FALSE),0)+($AV862*'AUX-NIV3'!T$4))*$O862+IF($H862=AR$4,$P862,0)</f>
        <v>0</v>
      </c>
      <c r="AS862" s="395">
        <f>(IF($H862="x",VLOOKUP($I862,'AUX-NIV2'!$B:$X,'AUX-NIV1'!AS$3,FALSE),0)+($AV862*'AUX-NIV3'!U$4))*$O862+IF($H862=AS$4,$P862,0)</f>
        <v>285</v>
      </c>
      <c r="AT862" s="395">
        <f>(IF($H862="x",VLOOKUP($I862,'AUX-NIV2'!$B:$X,'AUX-NIV1'!AT$3,FALSE),0)+($AV862*'AUX-NIV3'!V$4))*$O862+IF($H862=AT$4,$P862,0)</f>
        <v>0</v>
      </c>
      <c r="AU862" s="395">
        <f>(IF($H862="x",VLOOKUP($I862,'AUX-NIV2'!$B:$X,'AUX-NIV1'!AU$3,FALSE),0)+($AV862*'AUX-NIV3'!W$4))*$O862+IF($H862=AU$4,$P862,0)</f>
        <v>0</v>
      </c>
      <c r="AV862" s="395">
        <f>+IF($H862="x",VLOOKUP($I862,'AUX-NIV2'!$B:$X,'AUX-NIV1'!AV$3,FALSE),0)</f>
        <v>0</v>
      </c>
    </row>
    <row r="863" spans="2:48" ht="13.8" hidden="1" thickTop="1">
      <c r="B863" s="501" t="s">
        <v>4007</v>
      </c>
      <c r="C863" s="951" t="s">
        <v>3566</v>
      </c>
      <c r="D863" s="1280" t="s">
        <v>1782</v>
      </c>
      <c r="E863" s="1281">
        <f>IF(B863&lt;&gt;"",+SUMIF(Items!C:C,'AUX-NIV1'!B863,Items!H:H),"")</f>
        <v>0</v>
      </c>
      <c r="F863" s="1281">
        <f t="shared" si="893"/>
        <v>10295.327386168396</v>
      </c>
      <c r="G863" s="1281">
        <f t="shared" si="894"/>
        <v>0</v>
      </c>
      <c r="H863" s="1395" t="str">
        <f t="shared" ref="H863:H864" si="962">IF(B863&lt;&gt;"",+LEFT(I863,1),"")</f>
        <v>E</v>
      </c>
      <c r="I863" s="1472" t="s">
        <v>3304</v>
      </c>
      <c r="J863" s="1283" t="str">
        <f>IF(B863&lt;&gt;"",+VLOOKUP(I863,Recursos!C:F,2,FALSE),"")</f>
        <v>CAMION PLAYO LIVIANO 146CV</v>
      </c>
      <c r="K863" s="1284" t="str">
        <f>IF(B863&lt;&gt;"",+VLOOKUP(I863,Recursos!C:F,3,FALSE),"")</f>
        <v>HR</v>
      </c>
      <c r="L863" s="1285">
        <f>IF(B863&lt;&gt;"",+VLOOKUP(I863,Recursos!C:F,4,FALSE),"")</f>
        <v>1369.2906000000003</v>
      </c>
      <c r="M863" s="1526"/>
      <c r="N863" s="1528">
        <v>0.5</v>
      </c>
      <c r="O863" s="1286">
        <f>N863*N862</f>
        <v>1.5</v>
      </c>
      <c r="P863" s="1287">
        <f t="shared" ref="P863:P864" si="963">IF(B863&lt;&gt;"",O863*L863,"")</f>
        <v>2053.9359000000004</v>
      </c>
      <c r="Q863" s="1281">
        <f t="shared" ref="Q863:Q864" si="964">IF(B863&lt;&gt;"",+O863*E863,"")</f>
        <v>0</v>
      </c>
      <c r="R863" s="1288">
        <f t="shared" ref="R863:R864" si="965">IF(B863&lt;&gt;"",Q863*L863,"")</f>
        <v>0</v>
      </c>
      <c r="S863" s="1289">
        <f t="shared" si="895"/>
        <v>745.37393158913733</v>
      </c>
      <c r="T863" s="1289">
        <f t="shared" si="896"/>
        <v>2053.9359000000004</v>
      </c>
      <c r="U863" s="1290">
        <f t="shared" si="897"/>
        <v>0</v>
      </c>
      <c r="V863" s="1290">
        <f t="shared" si="898"/>
        <v>0</v>
      </c>
      <c r="W863" s="1290">
        <f t="shared" si="899"/>
        <v>0</v>
      </c>
      <c r="X863" s="1290">
        <f t="shared" si="900"/>
        <v>7496.0175545792572</v>
      </c>
      <c r="Y863" s="396"/>
      <c r="Z863" s="1291" t="str">
        <f t="shared" ref="Z863:Z864" si="966">IF(B863&lt;&gt;"",+$B863&amp;"A","")</f>
        <v>0-ITP017A</v>
      </c>
      <c r="AA863" s="1291" t="str">
        <f t="shared" ref="AA863:AA864" si="967">IF(B863&lt;&gt;"",+$B863&amp;"E","")</f>
        <v>0-ITP017E</v>
      </c>
      <c r="AB863" s="1291" t="str">
        <f t="shared" ref="AB863:AB864" si="968">IF(B863&lt;&gt;"",++$B863&amp;"M","")</f>
        <v>0-ITP017M</v>
      </c>
      <c r="AC863" s="1291" t="str">
        <f t="shared" ref="AC863:AC864" si="969">IF(B863&lt;&gt;"",+$B863&amp;"T","")</f>
        <v>0-ITP017T</v>
      </c>
      <c r="AD863" s="1291" t="str">
        <f t="shared" ref="AD863:AD864" si="970">IF(B863&lt;&gt;"",+$B863&amp;"S","")</f>
        <v>0-ITP017S</v>
      </c>
      <c r="AE863" s="1291" t="str">
        <f t="shared" ref="AE863:AE864" si="971">IF(B863&lt;&gt;"",+$B863&amp;"X","")</f>
        <v>0-ITP017X</v>
      </c>
      <c r="AF863" s="1291" t="str">
        <f t="shared" ref="AF863:AF864" si="972">IF(B863&lt;&gt;"",+B863&amp;H863,"")</f>
        <v>0-ITP017E</v>
      </c>
      <c r="AG863" s="1291">
        <f t="shared" si="901"/>
        <v>3</v>
      </c>
      <c r="AH863" s="1291">
        <f>IF(B863&lt;&gt;"",+IF(H863="x",+VLOOKUP(I863,'AUX-NIV2'!B:AG,32,FALSE),0),"")</f>
        <v>0</v>
      </c>
      <c r="AI863" s="1291" t="str">
        <f t="shared" ref="AI863:AI864" si="973">IF(B863&lt;&gt;"",+B863,"")</f>
        <v>0-ITP017</v>
      </c>
      <c r="AK863" s="347">
        <f t="shared" si="902"/>
        <v>862</v>
      </c>
      <c r="AL863" s="348">
        <f t="shared" ref="AL863:AL864" si="974">IF(B863&lt;&gt;"",+AK863+AG863-1,"")</f>
        <v>864</v>
      </c>
      <c r="AM863" s="347">
        <f t="shared" ref="AM863" si="975">IF(B863&lt;&gt;"",IF(B863=B860,1+AM860,1),"")</f>
        <v>1</v>
      </c>
      <c r="AN863" s="382">
        <f>IF(AND(AH863&gt;0,B863&lt;&gt;""),VLOOKUP(I863,'AUX-NIV2'!$B:$AP,40,FALSE)*O863,0)</f>
        <v>0</v>
      </c>
      <c r="AO863" s="382">
        <f t="shared" si="903"/>
        <v>16.5</v>
      </c>
      <c r="AQ863" s="395">
        <f>(IF($H863="x",VLOOKUP($I863,'AUX-NIV2'!$B:$X,'AUX-NIV1'!AQ$3,FALSE),0)+($AV863*'AUX-NIV3'!S$4))*$O863+IF($H863=AQ$4,$P863,0)</f>
        <v>0</v>
      </c>
      <c r="AR863" s="395">
        <f>(IF($H863="x",VLOOKUP($I863,'AUX-NIV2'!$B:$X,'AUX-NIV1'!AR$3,FALSE),0)+($AV863*'AUX-NIV3'!T$4))*$O863+IF($H863=AR$4,$P863,0)</f>
        <v>2053.9359000000004</v>
      </c>
      <c r="AS863" s="395">
        <f>(IF($H863="x",VLOOKUP($I863,'AUX-NIV2'!$B:$X,'AUX-NIV1'!AS$3,FALSE),0)+($AV863*'AUX-NIV3'!U$4))*$O863+IF($H863=AS$4,$P863,0)</f>
        <v>0</v>
      </c>
      <c r="AT863" s="395">
        <f>(IF($H863="x",VLOOKUP($I863,'AUX-NIV2'!$B:$X,'AUX-NIV1'!AT$3,FALSE),0)+($AV863*'AUX-NIV3'!V$4))*$O863+IF($H863=AT$4,$P863,0)</f>
        <v>0</v>
      </c>
      <c r="AU863" s="395">
        <f>(IF($H863="x",VLOOKUP($I863,'AUX-NIV2'!$B:$X,'AUX-NIV1'!AU$3,FALSE),0)+($AV863*'AUX-NIV3'!W$4))*$O863+IF($H863=AU$4,$P863,0)</f>
        <v>0</v>
      </c>
      <c r="AV863" s="395">
        <f>+IF($H863="x",VLOOKUP($I863,'AUX-NIV2'!$B:$X,'AUX-NIV1'!AV$3,FALSE),0)</f>
        <v>0</v>
      </c>
    </row>
    <row r="864" spans="2:48" ht="14.4" hidden="1" thickTop="1" thickBot="1">
      <c r="B864" s="501" t="s">
        <v>4007</v>
      </c>
      <c r="C864" s="951" t="s">
        <v>3566</v>
      </c>
      <c r="D864" s="1280" t="s">
        <v>1782</v>
      </c>
      <c r="E864" s="1281">
        <f>IF(B864&lt;&gt;"",+SUMIF(Items!C:C,'AUX-NIV1'!B864,Items!H:H),"")</f>
        <v>0</v>
      </c>
      <c r="F864" s="1281">
        <f t="shared" si="893"/>
        <v>10295.327386168396</v>
      </c>
      <c r="G864" s="1281">
        <f t="shared" si="894"/>
        <v>0</v>
      </c>
      <c r="H864" s="1395" t="str">
        <f t="shared" si="962"/>
        <v>A</v>
      </c>
      <c r="I864" s="1472" t="s">
        <v>1746</v>
      </c>
      <c r="J864" s="1283" t="str">
        <f>IF(B864&lt;&gt;"",+VLOOKUP(I864,Recursos!C:F,2,FALSE),"")</f>
        <v>OFICIAL</v>
      </c>
      <c r="K864" s="1284" t="str">
        <f>IF(B864&lt;&gt;"",+VLOOKUP(I864,Recursos!C:F,3,FALSE),"")</f>
        <v>hh</v>
      </c>
      <c r="L864" s="1285">
        <f>IF(B864&lt;&gt;"",+VLOOKUP(I864,Recursos!C:F,4,FALSE),"")</f>
        <v>496.91595439275824</v>
      </c>
      <c r="M864" s="1458"/>
      <c r="N864" s="1527"/>
      <c r="O864" s="1286">
        <f>N863*N862</f>
        <v>1.5</v>
      </c>
      <c r="P864" s="1287">
        <f t="shared" si="963"/>
        <v>745.37393158913733</v>
      </c>
      <c r="Q864" s="1281">
        <f t="shared" si="964"/>
        <v>0</v>
      </c>
      <c r="R864" s="1288">
        <f t="shared" si="965"/>
        <v>0</v>
      </c>
      <c r="S864" s="1289">
        <f t="shared" si="895"/>
        <v>745.37393158913733</v>
      </c>
      <c r="T864" s="1289">
        <f t="shared" si="896"/>
        <v>2053.9359000000004</v>
      </c>
      <c r="U864" s="1290">
        <f t="shared" si="897"/>
        <v>0</v>
      </c>
      <c r="V864" s="1290">
        <f t="shared" si="898"/>
        <v>0</v>
      </c>
      <c r="W864" s="1290">
        <f t="shared" si="899"/>
        <v>0</v>
      </c>
      <c r="X864" s="1290">
        <f t="shared" si="900"/>
        <v>7496.0175545792572</v>
      </c>
      <c r="Y864" s="396"/>
      <c r="Z864" s="1291" t="str">
        <f t="shared" si="966"/>
        <v>0-ITP017A</v>
      </c>
      <c r="AA864" s="1291" t="str">
        <f t="shared" si="967"/>
        <v>0-ITP017E</v>
      </c>
      <c r="AB864" s="1291" t="str">
        <f t="shared" si="968"/>
        <v>0-ITP017M</v>
      </c>
      <c r="AC864" s="1291" t="str">
        <f t="shared" si="969"/>
        <v>0-ITP017T</v>
      </c>
      <c r="AD864" s="1291" t="str">
        <f t="shared" si="970"/>
        <v>0-ITP017S</v>
      </c>
      <c r="AE864" s="1291" t="str">
        <f t="shared" si="971"/>
        <v>0-ITP017X</v>
      </c>
      <c r="AF864" s="1291" t="str">
        <f t="shared" si="972"/>
        <v>0-ITP017A</v>
      </c>
      <c r="AG864" s="1291">
        <f t="shared" si="901"/>
        <v>3</v>
      </c>
      <c r="AH864" s="1291">
        <f>IF(B864&lt;&gt;"",+IF(H864="x",+VLOOKUP(I864,'AUX-NIV2'!B:AG,32,FALSE),0),"")</f>
        <v>0</v>
      </c>
      <c r="AI864" s="1291" t="str">
        <f t="shared" si="973"/>
        <v>0-ITP017</v>
      </c>
      <c r="AK864" s="347">
        <f t="shared" si="902"/>
        <v>862</v>
      </c>
      <c r="AL864" s="348">
        <f t="shared" si="974"/>
        <v>864</v>
      </c>
      <c r="AM864" s="347">
        <f>IF(B864&lt;&gt;"",IF(B864=B862,1+AM862,1),"")</f>
        <v>2</v>
      </c>
      <c r="AN864" s="382">
        <f>IF(AND(AH864&gt;0,B864&lt;&gt;""),VLOOKUP(I864,'AUX-NIV2'!$B:$AP,40,FALSE)*O864,0)</f>
        <v>0</v>
      </c>
      <c r="AO864" s="382">
        <f t="shared" si="903"/>
        <v>16.5</v>
      </c>
      <c r="AQ864" s="395">
        <f>(IF($H864="x",VLOOKUP($I864,'AUX-NIV2'!$B:$X,'AUX-NIV1'!AQ$3,FALSE),0)+($AV864*'AUX-NIV3'!S$4))*$O864+IF($H864=AQ$4,$P864,0)</f>
        <v>745.37393158913733</v>
      </c>
      <c r="AR864" s="395">
        <f>(IF($H864="x",VLOOKUP($I864,'AUX-NIV2'!$B:$X,'AUX-NIV1'!AR$3,FALSE),0)+($AV864*'AUX-NIV3'!T$4))*$O864+IF($H864=AR$4,$P864,0)</f>
        <v>0</v>
      </c>
      <c r="AS864" s="395">
        <f>(IF($H864="x",VLOOKUP($I864,'AUX-NIV2'!$B:$X,'AUX-NIV1'!AS$3,FALSE),0)+($AV864*'AUX-NIV3'!U$4))*$O864+IF($H864=AS$4,$P864,0)</f>
        <v>0</v>
      </c>
      <c r="AT864" s="395">
        <f>(IF($H864="x",VLOOKUP($I864,'AUX-NIV2'!$B:$X,'AUX-NIV1'!AT$3,FALSE),0)+($AV864*'AUX-NIV3'!V$4))*$O864+IF($H864=AT$4,$P864,0)</f>
        <v>0</v>
      </c>
      <c r="AU864" s="395">
        <f>(IF($H864="x",VLOOKUP($I864,'AUX-NIV2'!$B:$X,'AUX-NIV1'!AU$3,FALSE),0)+($AV864*'AUX-NIV3'!W$4))*$O864+IF($H864=AU$4,$P864,0)</f>
        <v>0</v>
      </c>
      <c r="AV864" s="395">
        <f>+IF($H864="x",VLOOKUP($I864,'AUX-NIV2'!$B:$X,'AUX-NIV1'!AV$3,FALSE),0)</f>
        <v>0</v>
      </c>
    </row>
    <row r="865" spans="2:48" ht="13.8" hidden="1" thickTop="1">
      <c r="B865" s="501" t="s">
        <v>4008</v>
      </c>
      <c r="C865" s="951" t="s">
        <v>3946</v>
      </c>
      <c r="D865" s="1280" t="s">
        <v>3535</v>
      </c>
      <c r="E865" s="1281">
        <f>IF(B865&lt;&gt;"",+SUMIF(Items!C:C,'AUX-NIV1'!B865,Items!H:H),"")</f>
        <v>0</v>
      </c>
      <c r="F865" s="1281">
        <f t="shared" si="893"/>
        <v>27454.206363115718</v>
      </c>
      <c r="G865" s="1281">
        <f t="shared" si="894"/>
        <v>0</v>
      </c>
      <c r="H865" s="1395" t="str">
        <f t="shared" si="904"/>
        <v>X</v>
      </c>
      <c r="I865" s="1375" t="s">
        <v>3262</v>
      </c>
      <c r="J865" s="1283" t="str">
        <f>IF(B865&lt;&gt;"",+VLOOKUP(I865,Recursos!C:F,2,FALSE),"")</f>
        <v>Ayuda de gremio</v>
      </c>
      <c r="K865" s="1284" t="str">
        <f>IF(B865&lt;&gt;"",+VLOOKUP(I865,Recursos!C:F,3,FALSE),"")</f>
        <v>hs</v>
      </c>
      <c r="L865" s="1285">
        <f>IF(B865&lt;&gt;"",+VLOOKUP(I865,Recursos!C:F,4,FALSE),"")</f>
        <v>2498.6725181930856</v>
      </c>
      <c r="M865" s="743"/>
      <c r="N865" s="1292">
        <v>8</v>
      </c>
      <c r="O865" s="1286">
        <f t="shared" ref="O865" si="976">N865</f>
        <v>8</v>
      </c>
      <c r="P865" s="1287">
        <f t="shared" si="906"/>
        <v>19989.380145544685</v>
      </c>
      <c r="Q865" s="1281">
        <f t="shared" si="907"/>
        <v>0</v>
      </c>
      <c r="R865" s="1288">
        <f t="shared" si="908"/>
        <v>0</v>
      </c>
      <c r="S865" s="1289">
        <f t="shared" si="895"/>
        <v>1987.663817571033</v>
      </c>
      <c r="T865" s="1289">
        <f t="shared" si="896"/>
        <v>5477.1624000000011</v>
      </c>
      <c r="U865" s="1290">
        <f t="shared" si="897"/>
        <v>0</v>
      </c>
      <c r="V865" s="1290">
        <f t="shared" si="898"/>
        <v>0</v>
      </c>
      <c r="W865" s="1290">
        <f t="shared" si="899"/>
        <v>0</v>
      </c>
      <c r="X865" s="1290">
        <f t="shared" si="900"/>
        <v>19989.380145544685</v>
      </c>
      <c r="Y865" s="396"/>
      <c r="Z865" s="1291" t="str">
        <f t="shared" si="909"/>
        <v>0-ITP018A</v>
      </c>
      <c r="AA865" s="1291" t="str">
        <f t="shared" si="910"/>
        <v>0-ITP018E</v>
      </c>
      <c r="AB865" s="1291" t="str">
        <f t="shared" si="911"/>
        <v>0-ITP018M</v>
      </c>
      <c r="AC865" s="1291" t="str">
        <f t="shared" si="912"/>
        <v>0-ITP018T</v>
      </c>
      <c r="AD865" s="1291" t="str">
        <f t="shared" si="913"/>
        <v>0-ITP018S</v>
      </c>
      <c r="AE865" s="1291" t="str">
        <f t="shared" si="914"/>
        <v>0-ITP018X</v>
      </c>
      <c r="AF865" s="1291" t="str">
        <f t="shared" si="915"/>
        <v>0-ITP018X</v>
      </c>
      <c r="AG865" s="1291">
        <f t="shared" si="901"/>
        <v>3</v>
      </c>
      <c r="AH865" s="1291">
        <f>IF(B865&lt;&gt;"",+IF(H865="x",+VLOOKUP(I865,'AUX-NIV2'!B:AG,32,FALSE),0),"")</f>
        <v>4</v>
      </c>
      <c r="AI865" s="1291" t="str">
        <f t="shared" si="916"/>
        <v>0-ITP018</v>
      </c>
      <c r="AK865" s="347">
        <f t="shared" si="902"/>
        <v>865</v>
      </c>
      <c r="AL865" s="348">
        <f t="shared" si="917"/>
        <v>867</v>
      </c>
      <c r="AM865" s="347">
        <f>IF(B865&lt;&gt;"",IF(B865=B862,1+AM862,1),"")</f>
        <v>1</v>
      </c>
      <c r="AN865" s="382">
        <f>IF(AND(AH865&gt;0,B865&lt;&gt;""),VLOOKUP(I865,'AUX-NIV2'!$B:$AP,40,FALSE)*O865,0)</f>
        <v>40</v>
      </c>
      <c r="AO865" s="382">
        <f t="shared" si="903"/>
        <v>44</v>
      </c>
      <c r="AQ865" s="395">
        <f>(IF($H865="x",VLOOKUP($I865,'AUX-NIV2'!$B:$X,'AUX-NIV1'!AQ$3,FALSE),0)+($AV865*'AUX-NIV3'!S$4))*$O865+IF($H865=AQ$4,$P865,0)</f>
        <v>19229.380145544685</v>
      </c>
      <c r="AR865" s="395">
        <f>(IF($H865="x",VLOOKUP($I865,'AUX-NIV2'!$B:$X,'AUX-NIV1'!AR$3,FALSE),0)+($AV865*'AUX-NIV3'!T$4))*$O865+IF($H865=AR$4,$P865,0)</f>
        <v>0</v>
      </c>
      <c r="AS865" s="395">
        <f>(IF($H865="x",VLOOKUP($I865,'AUX-NIV2'!$B:$X,'AUX-NIV1'!AS$3,FALSE),0)+($AV865*'AUX-NIV3'!U$4))*$O865+IF($H865=AS$4,$P865,0)</f>
        <v>760</v>
      </c>
      <c r="AT865" s="395">
        <f>(IF($H865="x",VLOOKUP($I865,'AUX-NIV2'!$B:$X,'AUX-NIV1'!AT$3,FALSE),0)+($AV865*'AUX-NIV3'!V$4))*$O865+IF($H865=AT$4,$P865,0)</f>
        <v>0</v>
      </c>
      <c r="AU865" s="395">
        <f>(IF($H865="x",VLOOKUP($I865,'AUX-NIV2'!$B:$X,'AUX-NIV1'!AU$3,FALSE),0)+($AV865*'AUX-NIV3'!W$4))*$O865+IF($H865=AU$4,$P865,0)</f>
        <v>0</v>
      </c>
      <c r="AV865" s="395">
        <f>+IF($H865="x",VLOOKUP($I865,'AUX-NIV2'!$B:$X,'AUX-NIV1'!AV$3,FALSE),0)</f>
        <v>0</v>
      </c>
    </row>
    <row r="866" spans="2:48" ht="13.8" hidden="1" thickTop="1">
      <c r="B866" s="501" t="s">
        <v>4008</v>
      </c>
      <c r="C866" s="951" t="s">
        <v>3946</v>
      </c>
      <c r="D866" s="1280" t="s">
        <v>3535</v>
      </c>
      <c r="E866" s="1281">
        <f>IF(B866&lt;&gt;"",+SUMIF(Items!C:C,'AUX-NIV1'!B866,Items!H:H),"")</f>
        <v>0</v>
      </c>
      <c r="F866" s="1281">
        <f t="shared" si="893"/>
        <v>27454.206363115718</v>
      </c>
      <c r="G866" s="1281">
        <f t="shared" si="894"/>
        <v>0</v>
      </c>
      <c r="H866" s="1395" t="str">
        <f t="shared" ref="H866:H867" si="977">IF(B866&lt;&gt;"",+LEFT(I866,1),"")</f>
        <v>E</v>
      </c>
      <c r="I866" s="1472" t="s">
        <v>3304</v>
      </c>
      <c r="J866" s="1283" t="str">
        <f>IF(B866&lt;&gt;"",+VLOOKUP(I866,Recursos!C:F,2,FALSE),"")</f>
        <v>CAMION PLAYO LIVIANO 146CV</v>
      </c>
      <c r="K866" s="1284" t="str">
        <f>IF(B866&lt;&gt;"",+VLOOKUP(I866,Recursos!C:F,3,FALSE),"")</f>
        <v>HR</v>
      </c>
      <c r="L866" s="1285">
        <f>IF(B866&lt;&gt;"",+VLOOKUP(I866,Recursos!C:F,4,FALSE),"")</f>
        <v>1369.2906000000003</v>
      </c>
      <c r="M866" s="1526"/>
      <c r="N866" s="1528">
        <v>0.5</v>
      </c>
      <c r="O866" s="1286">
        <f>N866*N865</f>
        <v>4</v>
      </c>
      <c r="P866" s="1287">
        <f t="shared" ref="P866:P867" si="978">IF(B866&lt;&gt;"",O866*L866,"")</f>
        <v>5477.1624000000011</v>
      </c>
      <c r="Q866" s="1281">
        <f t="shared" ref="Q866:Q867" si="979">IF(B866&lt;&gt;"",+O866*E866,"")</f>
        <v>0</v>
      </c>
      <c r="R866" s="1288">
        <f t="shared" ref="R866:R867" si="980">IF(B866&lt;&gt;"",Q866*L866,"")</f>
        <v>0</v>
      </c>
      <c r="S866" s="1289">
        <f t="shared" si="895"/>
        <v>1987.663817571033</v>
      </c>
      <c r="T866" s="1289">
        <f t="shared" si="896"/>
        <v>5477.1624000000011</v>
      </c>
      <c r="U866" s="1290">
        <f t="shared" si="897"/>
        <v>0</v>
      </c>
      <c r="V866" s="1290">
        <f t="shared" si="898"/>
        <v>0</v>
      </c>
      <c r="W866" s="1290">
        <f t="shared" si="899"/>
        <v>0</v>
      </c>
      <c r="X866" s="1290">
        <f t="shared" si="900"/>
        <v>19989.380145544685</v>
      </c>
      <c r="Y866" s="396"/>
      <c r="Z866" s="1291" t="str">
        <f t="shared" ref="Z866:Z867" si="981">IF(B866&lt;&gt;"",+$B866&amp;"A","")</f>
        <v>0-ITP018A</v>
      </c>
      <c r="AA866" s="1291" t="str">
        <f t="shared" ref="AA866:AA867" si="982">IF(B866&lt;&gt;"",+$B866&amp;"E","")</f>
        <v>0-ITP018E</v>
      </c>
      <c r="AB866" s="1291" t="str">
        <f t="shared" ref="AB866:AB867" si="983">IF(B866&lt;&gt;"",++$B866&amp;"M","")</f>
        <v>0-ITP018M</v>
      </c>
      <c r="AC866" s="1291" t="str">
        <f t="shared" ref="AC866:AC867" si="984">IF(B866&lt;&gt;"",+$B866&amp;"T","")</f>
        <v>0-ITP018T</v>
      </c>
      <c r="AD866" s="1291" t="str">
        <f t="shared" ref="AD866:AD867" si="985">IF(B866&lt;&gt;"",+$B866&amp;"S","")</f>
        <v>0-ITP018S</v>
      </c>
      <c r="AE866" s="1291" t="str">
        <f t="shared" ref="AE866:AE867" si="986">IF(B866&lt;&gt;"",+$B866&amp;"X","")</f>
        <v>0-ITP018X</v>
      </c>
      <c r="AF866" s="1291" t="str">
        <f t="shared" ref="AF866:AF867" si="987">IF(B866&lt;&gt;"",+B866&amp;H866,"")</f>
        <v>0-ITP018E</v>
      </c>
      <c r="AG866" s="1291">
        <f t="shared" si="901"/>
        <v>3</v>
      </c>
      <c r="AH866" s="1291">
        <f>IF(B866&lt;&gt;"",+IF(H866="x",+VLOOKUP(I866,'AUX-NIV2'!B:AG,32,FALSE),0),"")</f>
        <v>0</v>
      </c>
      <c r="AI866" s="1291" t="str">
        <f t="shared" ref="AI866:AI867" si="988">IF(B866&lt;&gt;"",+B866,"")</f>
        <v>0-ITP018</v>
      </c>
      <c r="AK866" s="347">
        <f t="shared" si="902"/>
        <v>865</v>
      </c>
      <c r="AL866" s="348">
        <f t="shared" ref="AL866:AL867" si="989">IF(B866&lt;&gt;"",+AK866+AG866-1,"")</f>
        <v>867</v>
      </c>
      <c r="AM866" s="347">
        <f t="shared" ref="AM866:AM867" si="990">IF(B866&lt;&gt;"",IF(B866=B863,1+AM863,1),"")</f>
        <v>1</v>
      </c>
      <c r="AN866" s="382">
        <f>IF(AND(AH866&gt;0,B866&lt;&gt;""),VLOOKUP(I866,'AUX-NIV2'!$B:$AP,40,FALSE)*O866,0)</f>
        <v>0</v>
      </c>
      <c r="AO866" s="382">
        <f t="shared" si="903"/>
        <v>44</v>
      </c>
      <c r="AQ866" s="395">
        <f>(IF($H866="x",VLOOKUP($I866,'AUX-NIV2'!$B:$X,'AUX-NIV1'!AQ$3,FALSE),0)+($AV866*'AUX-NIV3'!S$4))*$O866+IF($H866=AQ$4,$P866,0)</f>
        <v>0</v>
      </c>
      <c r="AR866" s="395">
        <f>(IF($H866="x",VLOOKUP($I866,'AUX-NIV2'!$B:$X,'AUX-NIV1'!AR$3,FALSE),0)+($AV866*'AUX-NIV3'!T$4))*$O866+IF($H866=AR$4,$P866,0)</f>
        <v>5477.1624000000011</v>
      </c>
      <c r="AS866" s="395">
        <f>(IF($H866="x",VLOOKUP($I866,'AUX-NIV2'!$B:$X,'AUX-NIV1'!AS$3,FALSE),0)+($AV866*'AUX-NIV3'!U$4))*$O866+IF($H866=AS$4,$P866,0)</f>
        <v>0</v>
      </c>
      <c r="AT866" s="395">
        <f>(IF($H866="x",VLOOKUP($I866,'AUX-NIV2'!$B:$X,'AUX-NIV1'!AT$3,FALSE),0)+($AV866*'AUX-NIV3'!V$4))*$O866+IF($H866=AT$4,$P866,0)</f>
        <v>0</v>
      </c>
      <c r="AU866" s="395">
        <f>(IF($H866="x",VLOOKUP($I866,'AUX-NIV2'!$B:$X,'AUX-NIV1'!AU$3,FALSE),0)+($AV866*'AUX-NIV3'!W$4))*$O866+IF($H866=AU$4,$P866,0)</f>
        <v>0</v>
      </c>
      <c r="AV866" s="395">
        <f>+IF($H866="x",VLOOKUP($I866,'AUX-NIV2'!$B:$X,'AUX-NIV1'!AV$3,FALSE),0)</f>
        <v>0</v>
      </c>
    </row>
    <row r="867" spans="2:48" ht="14.4" hidden="1" thickTop="1" thickBot="1">
      <c r="B867" s="501" t="s">
        <v>4008</v>
      </c>
      <c r="C867" s="951" t="s">
        <v>3946</v>
      </c>
      <c r="D867" s="1280" t="s">
        <v>3535</v>
      </c>
      <c r="E867" s="1281">
        <f>IF(B867&lt;&gt;"",+SUMIF(Items!C:C,'AUX-NIV1'!B867,Items!H:H),"")</f>
        <v>0</v>
      </c>
      <c r="F867" s="1281">
        <f t="shared" si="893"/>
        <v>27454.206363115718</v>
      </c>
      <c r="G867" s="1281">
        <f t="shared" si="894"/>
        <v>0</v>
      </c>
      <c r="H867" s="1395" t="str">
        <f t="shared" si="977"/>
        <v>A</v>
      </c>
      <c r="I867" s="1472" t="s">
        <v>1746</v>
      </c>
      <c r="J867" s="1283" t="str">
        <f>IF(B867&lt;&gt;"",+VLOOKUP(I867,Recursos!C:F,2,FALSE),"")</f>
        <v>OFICIAL</v>
      </c>
      <c r="K867" s="1284" t="str">
        <f>IF(B867&lt;&gt;"",+VLOOKUP(I867,Recursos!C:F,3,FALSE),"")</f>
        <v>hh</v>
      </c>
      <c r="L867" s="1285">
        <f>IF(B867&lt;&gt;"",+VLOOKUP(I867,Recursos!C:F,4,FALSE),"")</f>
        <v>496.91595439275824</v>
      </c>
      <c r="M867" s="1458"/>
      <c r="N867" s="1527"/>
      <c r="O867" s="1286">
        <f>N866*N865</f>
        <v>4</v>
      </c>
      <c r="P867" s="1287">
        <f t="shared" si="978"/>
        <v>1987.663817571033</v>
      </c>
      <c r="Q867" s="1281">
        <f t="shared" si="979"/>
        <v>0</v>
      </c>
      <c r="R867" s="1288">
        <f t="shared" si="980"/>
        <v>0</v>
      </c>
      <c r="S867" s="1289">
        <f t="shared" si="895"/>
        <v>1987.663817571033</v>
      </c>
      <c r="T867" s="1289">
        <f t="shared" si="896"/>
        <v>5477.1624000000011</v>
      </c>
      <c r="U867" s="1290">
        <f t="shared" si="897"/>
        <v>0</v>
      </c>
      <c r="V867" s="1290">
        <f t="shared" si="898"/>
        <v>0</v>
      </c>
      <c r="W867" s="1290">
        <f t="shared" si="899"/>
        <v>0</v>
      </c>
      <c r="X867" s="1290">
        <f t="shared" si="900"/>
        <v>19989.380145544685</v>
      </c>
      <c r="Y867" s="396"/>
      <c r="Z867" s="1291" t="str">
        <f t="shared" si="981"/>
        <v>0-ITP018A</v>
      </c>
      <c r="AA867" s="1291" t="str">
        <f t="shared" si="982"/>
        <v>0-ITP018E</v>
      </c>
      <c r="AB867" s="1291" t="str">
        <f t="shared" si="983"/>
        <v>0-ITP018M</v>
      </c>
      <c r="AC867" s="1291" t="str">
        <f t="shared" si="984"/>
        <v>0-ITP018T</v>
      </c>
      <c r="AD867" s="1291" t="str">
        <f t="shared" si="985"/>
        <v>0-ITP018S</v>
      </c>
      <c r="AE867" s="1291" t="str">
        <f t="shared" si="986"/>
        <v>0-ITP018X</v>
      </c>
      <c r="AF867" s="1291" t="str">
        <f t="shared" si="987"/>
        <v>0-ITP018A</v>
      </c>
      <c r="AG867" s="1291">
        <f t="shared" si="901"/>
        <v>3</v>
      </c>
      <c r="AH867" s="1291">
        <f>IF(B867&lt;&gt;"",+IF(H867="x",+VLOOKUP(I867,'AUX-NIV2'!B:AG,32,FALSE),0),"")</f>
        <v>0</v>
      </c>
      <c r="AI867" s="1291" t="str">
        <f t="shared" si="988"/>
        <v>0-ITP018</v>
      </c>
      <c r="AK867" s="347">
        <f t="shared" si="902"/>
        <v>865</v>
      </c>
      <c r="AL867" s="348">
        <f t="shared" si="989"/>
        <v>867</v>
      </c>
      <c r="AM867" s="347">
        <f t="shared" si="990"/>
        <v>1</v>
      </c>
      <c r="AN867" s="382">
        <f>IF(AND(AH867&gt;0,B867&lt;&gt;""),VLOOKUP(I867,'AUX-NIV2'!$B:$AP,40,FALSE)*O867,0)</f>
        <v>0</v>
      </c>
      <c r="AO867" s="382">
        <f t="shared" si="903"/>
        <v>44</v>
      </c>
      <c r="AQ867" s="395">
        <f>(IF($H867="x",VLOOKUP($I867,'AUX-NIV2'!$B:$X,'AUX-NIV1'!AQ$3,FALSE),0)+($AV867*'AUX-NIV3'!S$4))*$O867+IF($H867=AQ$4,$P867,0)</f>
        <v>1987.663817571033</v>
      </c>
      <c r="AR867" s="395">
        <f>(IF($H867="x",VLOOKUP($I867,'AUX-NIV2'!$B:$X,'AUX-NIV1'!AR$3,FALSE),0)+($AV867*'AUX-NIV3'!T$4))*$O867+IF($H867=AR$4,$P867,0)</f>
        <v>0</v>
      </c>
      <c r="AS867" s="395">
        <f>(IF($H867="x",VLOOKUP($I867,'AUX-NIV2'!$B:$X,'AUX-NIV1'!AS$3,FALSE),0)+($AV867*'AUX-NIV3'!U$4))*$O867+IF($H867=AS$4,$P867,0)</f>
        <v>0</v>
      </c>
      <c r="AT867" s="395">
        <f>(IF($H867="x",VLOOKUP($I867,'AUX-NIV2'!$B:$X,'AUX-NIV1'!AT$3,FALSE),0)+($AV867*'AUX-NIV3'!V$4))*$O867+IF($H867=AT$4,$P867,0)</f>
        <v>0</v>
      </c>
      <c r="AU867" s="395">
        <f>(IF($H867="x",VLOOKUP($I867,'AUX-NIV2'!$B:$X,'AUX-NIV1'!AU$3,FALSE),0)+($AV867*'AUX-NIV3'!W$4))*$O867+IF($H867=AU$4,$P867,0)</f>
        <v>0</v>
      </c>
      <c r="AV867" s="395">
        <f>+IF($H867="x",VLOOKUP($I867,'AUX-NIV2'!$B:$X,'AUX-NIV1'!AV$3,FALSE),0)</f>
        <v>0</v>
      </c>
    </row>
    <row r="868" spans="2:48" ht="14.4" hidden="1" thickTop="1" thickBot="1">
      <c r="B868" s="501" t="s">
        <v>4009</v>
      </c>
      <c r="C868" s="951" t="s">
        <v>4028</v>
      </c>
      <c r="D868" s="1280" t="s">
        <v>1840</v>
      </c>
      <c r="E868" s="1281">
        <f>IF(B868&lt;&gt;"",+SUMIF(Items!C:C,'AUX-NIV1'!B868,Items!H:H),"")</f>
        <v>0</v>
      </c>
      <c r="F868" s="1281">
        <f t="shared" si="893"/>
        <v>1</v>
      </c>
      <c r="G868" s="1281">
        <f t="shared" si="894"/>
        <v>0</v>
      </c>
      <c r="H868" s="1395" t="str">
        <f t="shared" si="904"/>
        <v>S</v>
      </c>
      <c r="I868" s="1375" t="s">
        <v>4021</v>
      </c>
      <c r="J868" s="1283" t="str">
        <f>IF(B868&lt;&gt;"",+VLOOKUP(I868,Recursos!C:F,2,FALSE),"")</f>
        <v>Tabiques divisorios de box sanitarios - incluye herrajes - Puertas</v>
      </c>
      <c r="K868" s="1284" t="str">
        <f>IF(B868&lt;&gt;"",+VLOOKUP(I868,Recursos!C:F,3,FALSE),"")</f>
        <v>ml</v>
      </c>
      <c r="L868" s="1285">
        <f>IF(B868&lt;&gt;"",+VLOOKUP(I868,Recursos!C:F,4,FALSE),"")</f>
        <v>1</v>
      </c>
      <c r="M868" s="1293"/>
      <c r="N868" s="1294">
        <v>1</v>
      </c>
      <c r="O868" s="1286">
        <f t="shared" si="905"/>
        <v>1</v>
      </c>
      <c r="P868" s="1287">
        <f t="shared" si="906"/>
        <v>1</v>
      </c>
      <c r="Q868" s="1281">
        <f t="shared" si="907"/>
        <v>0</v>
      </c>
      <c r="R868" s="1288">
        <f t="shared" si="908"/>
        <v>0</v>
      </c>
      <c r="S868" s="1289">
        <f t="shared" si="895"/>
        <v>0</v>
      </c>
      <c r="T868" s="1289">
        <f t="shared" si="896"/>
        <v>0</v>
      </c>
      <c r="U868" s="1290">
        <f t="shared" si="897"/>
        <v>0</v>
      </c>
      <c r="V868" s="1290">
        <f t="shared" si="898"/>
        <v>0</v>
      </c>
      <c r="W868" s="1290">
        <f t="shared" si="899"/>
        <v>1</v>
      </c>
      <c r="X868" s="1290">
        <f t="shared" si="900"/>
        <v>0</v>
      </c>
      <c r="Y868" s="396"/>
      <c r="Z868" s="1291" t="str">
        <f t="shared" si="909"/>
        <v>0-ITP019A</v>
      </c>
      <c r="AA868" s="1291" t="str">
        <f t="shared" si="910"/>
        <v>0-ITP019E</v>
      </c>
      <c r="AB868" s="1291" t="str">
        <f t="shared" si="911"/>
        <v>0-ITP019M</v>
      </c>
      <c r="AC868" s="1291" t="str">
        <f t="shared" si="912"/>
        <v>0-ITP019T</v>
      </c>
      <c r="AD868" s="1291" t="str">
        <f t="shared" si="913"/>
        <v>0-ITP019S</v>
      </c>
      <c r="AE868" s="1291" t="str">
        <f t="shared" si="914"/>
        <v>0-ITP019X</v>
      </c>
      <c r="AF868" s="1291" t="str">
        <f t="shared" si="915"/>
        <v>0-ITP019S</v>
      </c>
      <c r="AG868" s="1291">
        <f t="shared" si="901"/>
        <v>1</v>
      </c>
      <c r="AH868" s="1291">
        <f>IF(B868&lt;&gt;"",+IF(H868="x",+VLOOKUP(I868,'AUX-NIV2'!B:AG,32,FALSE),0),"")</f>
        <v>0</v>
      </c>
      <c r="AI868" s="1291" t="str">
        <f t="shared" si="916"/>
        <v>0-ITP019</v>
      </c>
      <c r="AK868" s="347">
        <f t="shared" si="902"/>
        <v>868</v>
      </c>
      <c r="AL868" s="348">
        <f t="shared" si="917"/>
        <v>868</v>
      </c>
      <c r="AM868" s="347">
        <f>IF(B868&lt;&gt;"",IF(B868=B865,1+AM865,1),"")</f>
        <v>1</v>
      </c>
      <c r="AN868" s="382">
        <f>IF(AND(AH868&gt;0,B868&lt;&gt;""),VLOOKUP(I868,'AUX-NIV2'!$B:$AP,40,FALSE)*O868,0)</f>
        <v>0</v>
      </c>
      <c r="AO868" s="382">
        <f t="shared" si="903"/>
        <v>0</v>
      </c>
      <c r="AQ868" s="395">
        <f>(IF($H868="x",VLOOKUP($I868,'AUX-NIV2'!$B:$X,'AUX-NIV1'!AQ$3,FALSE),0)+($AV868*'AUX-NIV3'!S$4))*$O868+IF($H868=AQ$4,$P868,0)</f>
        <v>0</v>
      </c>
      <c r="AR868" s="395">
        <f>(IF($H868="x",VLOOKUP($I868,'AUX-NIV2'!$B:$X,'AUX-NIV1'!AR$3,FALSE),0)+($AV868*'AUX-NIV3'!T$4))*$O868+IF($H868=AR$4,$P868,0)</f>
        <v>0</v>
      </c>
      <c r="AS868" s="395">
        <f>(IF($H868="x",VLOOKUP($I868,'AUX-NIV2'!$B:$X,'AUX-NIV1'!AS$3,FALSE),0)+($AV868*'AUX-NIV3'!U$4))*$O868+IF($H868=AS$4,$P868,0)</f>
        <v>0</v>
      </c>
      <c r="AT868" s="395">
        <f>(IF($H868="x",VLOOKUP($I868,'AUX-NIV2'!$B:$X,'AUX-NIV1'!AT$3,FALSE),0)+($AV868*'AUX-NIV3'!V$4))*$O868+IF($H868=AT$4,$P868,0)</f>
        <v>0</v>
      </c>
      <c r="AU868" s="395">
        <f>(IF($H868="x",VLOOKUP($I868,'AUX-NIV2'!$B:$X,'AUX-NIV1'!AU$3,FALSE),0)+($AV868*'AUX-NIV3'!W$4))*$O868+IF($H868=AU$4,$P868,0)</f>
        <v>1</v>
      </c>
      <c r="AV868" s="395">
        <f>+IF($H868="x",VLOOKUP($I868,'AUX-NIV2'!$B:$X,'AUX-NIV1'!AV$3,FALSE),0)</f>
        <v>0</v>
      </c>
    </row>
    <row r="869" spans="2:48" ht="14.4" hidden="1" thickTop="1" thickBot="1">
      <c r="B869" s="501" t="s">
        <v>4010</v>
      </c>
      <c r="C869" s="951" t="s">
        <v>4029</v>
      </c>
      <c r="D869" s="1280" t="s">
        <v>1840</v>
      </c>
      <c r="E869" s="1281">
        <f>IF(B869&lt;&gt;"",+SUMIF(Items!C:C,'AUX-NIV1'!B869,Items!H:H),"")</f>
        <v>0</v>
      </c>
      <c r="F869" s="1281">
        <f t="shared" si="893"/>
        <v>1</v>
      </c>
      <c r="G869" s="1281">
        <f t="shared" si="894"/>
        <v>0</v>
      </c>
      <c r="H869" s="1395" t="str">
        <f t="shared" si="904"/>
        <v>S</v>
      </c>
      <c r="I869" s="1375" t="s">
        <v>4022</v>
      </c>
      <c r="J869" s="1283" t="str">
        <f>IF(B869&lt;&gt;"",+VLOOKUP(I869,Recursos!C:F,2,FALSE),"")</f>
        <v>Banca Electronica- Frente de cajero automatico (Incluye reja metal
desplegado)</v>
      </c>
      <c r="K869" s="1284" t="str">
        <f>IF(B869&lt;&gt;"",+VLOOKUP(I869,Recursos!C:F,3,FALSE),"")</f>
        <v>ml</v>
      </c>
      <c r="L869" s="1285">
        <f>IF(B869&lt;&gt;"",+VLOOKUP(I869,Recursos!C:F,4,FALSE),"")</f>
        <v>1</v>
      </c>
      <c r="M869" s="1293"/>
      <c r="N869" s="1294">
        <v>1</v>
      </c>
      <c r="O869" s="1286">
        <f t="shared" si="905"/>
        <v>1</v>
      </c>
      <c r="P869" s="1287">
        <f t="shared" si="906"/>
        <v>1</v>
      </c>
      <c r="Q869" s="1281">
        <f t="shared" si="907"/>
        <v>0</v>
      </c>
      <c r="R869" s="1288">
        <f t="shared" si="908"/>
        <v>0</v>
      </c>
      <c r="S869" s="1289">
        <f t="shared" si="895"/>
        <v>0</v>
      </c>
      <c r="T869" s="1289">
        <f t="shared" si="896"/>
        <v>0</v>
      </c>
      <c r="U869" s="1290">
        <f t="shared" si="897"/>
        <v>0</v>
      </c>
      <c r="V869" s="1290">
        <f t="shared" si="898"/>
        <v>0</v>
      </c>
      <c r="W869" s="1290">
        <f t="shared" si="899"/>
        <v>1</v>
      </c>
      <c r="X869" s="1290">
        <f t="shared" si="900"/>
        <v>0</v>
      </c>
      <c r="Y869" s="396"/>
      <c r="Z869" s="1291" t="str">
        <f t="shared" si="909"/>
        <v>0-ITP020A</v>
      </c>
      <c r="AA869" s="1291" t="str">
        <f t="shared" si="910"/>
        <v>0-ITP020E</v>
      </c>
      <c r="AB869" s="1291" t="str">
        <f t="shared" si="911"/>
        <v>0-ITP020M</v>
      </c>
      <c r="AC869" s="1291" t="str">
        <f t="shared" si="912"/>
        <v>0-ITP020T</v>
      </c>
      <c r="AD869" s="1291" t="str">
        <f t="shared" si="913"/>
        <v>0-ITP020S</v>
      </c>
      <c r="AE869" s="1291" t="str">
        <f t="shared" si="914"/>
        <v>0-ITP020X</v>
      </c>
      <c r="AF869" s="1291" t="str">
        <f t="shared" si="915"/>
        <v>0-ITP020S</v>
      </c>
      <c r="AG869" s="1291">
        <f t="shared" si="901"/>
        <v>1</v>
      </c>
      <c r="AH869" s="1291">
        <f>IF(B869&lt;&gt;"",+IF(H869="x",+VLOOKUP(I869,'AUX-NIV2'!B:AG,32,FALSE),0),"")</f>
        <v>0</v>
      </c>
      <c r="AI869" s="1291" t="str">
        <f t="shared" si="916"/>
        <v>0-ITP020</v>
      </c>
      <c r="AK869" s="347">
        <f t="shared" si="902"/>
        <v>869</v>
      </c>
      <c r="AL869" s="348">
        <f t="shared" si="917"/>
        <v>869</v>
      </c>
      <c r="AM869" s="347">
        <f t="shared" si="918"/>
        <v>1</v>
      </c>
      <c r="AN869" s="382">
        <f>IF(AND(AH869&gt;0,B869&lt;&gt;""),VLOOKUP(I869,'AUX-NIV2'!$B:$AP,40,FALSE)*O869,0)</f>
        <v>0</v>
      </c>
      <c r="AO869" s="382">
        <f t="shared" si="903"/>
        <v>0</v>
      </c>
      <c r="AQ869" s="395">
        <f>(IF($H869="x",VLOOKUP($I869,'AUX-NIV2'!$B:$X,'AUX-NIV1'!AQ$3,FALSE),0)+($AV869*'AUX-NIV3'!S$4))*$O869+IF($H869=AQ$4,$P869,0)</f>
        <v>0</v>
      </c>
      <c r="AR869" s="395">
        <f>(IF($H869="x",VLOOKUP($I869,'AUX-NIV2'!$B:$X,'AUX-NIV1'!AR$3,FALSE),0)+($AV869*'AUX-NIV3'!T$4))*$O869+IF($H869=AR$4,$P869,0)</f>
        <v>0</v>
      </c>
      <c r="AS869" s="395">
        <f>(IF($H869="x",VLOOKUP($I869,'AUX-NIV2'!$B:$X,'AUX-NIV1'!AS$3,FALSE),0)+($AV869*'AUX-NIV3'!U$4))*$O869+IF($H869=AS$4,$P869,0)</f>
        <v>0</v>
      </c>
      <c r="AT869" s="395">
        <f>(IF($H869="x",VLOOKUP($I869,'AUX-NIV2'!$B:$X,'AUX-NIV1'!AT$3,FALSE),0)+($AV869*'AUX-NIV3'!V$4))*$O869+IF($H869=AT$4,$P869,0)</f>
        <v>0</v>
      </c>
      <c r="AU869" s="395">
        <f>(IF($H869="x",VLOOKUP($I869,'AUX-NIV2'!$B:$X,'AUX-NIV1'!AU$3,FALSE),0)+($AV869*'AUX-NIV3'!W$4))*$O869+IF($H869=AU$4,$P869,0)</f>
        <v>1</v>
      </c>
      <c r="AV869" s="395">
        <f>+IF($H869="x",VLOOKUP($I869,'AUX-NIV2'!$B:$X,'AUX-NIV1'!AV$3,FALSE),0)</f>
        <v>0</v>
      </c>
    </row>
    <row r="870" spans="2:48" ht="14.4" hidden="1" thickTop="1" thickBot="1">
      <c r="B870" s="501" t="s">
        <v>4011</v>
      </c>
      <c r="C870" s="951" t="s">
        <v>3569</v>
      </c>
      <c r="D870" s="1280" t="s">
        <v>1782</v>
      </c>
      <c r="E870" s="1281">
        <f>IF(B870&lt;&gt;"",+SUMIF(Items!C:C,'AUX-NIV1'!B870,Items!H:H),"")</f>
        <v>0</v>
      </c>
      <c r="F870" s="1281">
        <f t="shared" si="893"/>
        <v>1</v>
      </c>
      <c r="G870" s="1281">
        <f t="shared" si="894"/>
        <v>0</v>
      </c>
      <c r="H870" s="1395" t="str">
        <f t="shared" si="904"/>
        <v>S</v>
      </c>
      <c r="I870" s="1375" t="s">
        <v>4023</v>
      </c>
      <c r="J870" s="1283" t="str">
        <f>IF(B870&lt;&gt;"",+VLOOKUP(I870,Recursos!C:F,2,FALSE),"")</f>
        <v>Banca Electronica- Barreras divisorias</v>
      </c>
      <c r="K870" s="1284" t="str">
        <f>IF(B870&lt;&gt;"",+VLOOKUP(I870,Recursos!C:F,3,FALSE),"")</f>
        <v>u</v>
      </c>
      <c r="L870" s="1285">
        <f>IF(B870&lt;&gt;"",+VLOOKUP(I870,Recursos!C:F,4,FALSE),"")</f>
        <v>1</v>
      </c>
      <c r="M870" s="1293"/>
      <c r="N870" s="1294">
        <v>1</v>
      </c>
      <c r="O870" s="1286">
        <f t="shared" si="905"/>
        <v>1</v>
      </c>
      <c r="P870" s="1287">
        <f t="shared" si="906"/>
        <v>1</v>
      </c>
      <c r="Q870" s="1281">
        <f t="shared" si="907"/>
        <v>0</v>
      </c>
      <c r="R870" s="1288">
        <f t="shared" si="908"/>
        <v>0</v>
      </c>
      <c r="S870" s="1289">
        <f t="shared" si="895"/>
        <v>0</v>
      </c>
      <c r="T870" s="1289">
        <f t="shared" si="896"/>
        <v>0</v>
      </c>
      <c r="U870" s="1290">
        <f t="shared" si="897"/>
        <v>0</v>
      </c>
      <c r="V870" s="1290">
        <f t="shared" si="898"/>
        <v>0</v>
      </c>
      <c r="W870" s="1290">
        <f t="shared" si="899"/>
        <v>1</v>
      </c>
      <c r="X870" s="1290">
        <f t="shared" si="900"/>
        <v>0</v>
      </c>
      <c r="Y870" s="396"/>
      <c r="Z870" s="1291" t="str">
        <f t="shared" si="909"/>
        <v>0-ITP021A</v>
      </c>
      <c r="AA870" s="1291" t="str">
        <f t="shared" si="910"/>
        <v>0-ITP021E</v>
      </c>
      <c r="AB870" s="1291" t="str">
        <f t="shared" si="911"/>
        <v>0-ITP021M</v>
      </c>
      <c r="AC870" s="1291" t="str">
        <f t="shared" si="912"/>
        <v>0-ITP021T</v>
      </c>
      <c r="AD870" s="1291" t="str">
        <f t="shared" si="913"/>
        <v>0-ITP021S</v>
      </c>
      <c r="AE870" s="1291" t="str">
        <f t="shared" si="914"/>
        <v>0-ITP021X</v>
      </c>
      <c r="AF870" s="1291" t="str">
        <f t="shared" si="915"/>
        <v>0-ITP021S</v>
      </c>
      <c r="AG870" s="1291">
        <f t="shared" si="901"/>
        <v>1</v>
      </c>
      <c r="AH870" s="1291">
        <f>IF(B870&lt;&gt;"",+IF(H870="x",+VLOOKUP(I870,'AUX-NIV2'!B:AG,32,FALSE),0),"")</f>
        <v>0</v>
      </c>
      <c r="AI870" s="1291" t="str">
        <f t="shared" si="916"/>
        <v>0-ITP021</v>
      </c>
      <c r="AK870" s="347">
        <f t="shared" si="902"/>
        <v>870</v>
      </c>
      <c r="AL870" s="348">
        <f t="shared" si="917"/>
        <v>870</v>
      </c>
      <c r="AM870" s="347">
        <f t="shared" si="918"/>
        <v>1</v>
      </c>
      <c r="AN870" s="382">
        <f>IF(AND(AH870&gt;0,B870&lt;&gt;""),VLOOKUP(I870,'AUX-NIV2'!$B:$AP,40,FALSE)*O870,0)</f>
        <v>0</v>
      </c>
      <c r="AO870" s="382">
        <f t="shared" si="903"/>
        <v>0</v>
      </c>
      <c r="AQ870" s="395">
        <f>(IF($H870="x",VLOOKUP($I870,'AUX-NIV2'!$B:$X,'AUX-NIV1'!AQ$3,FALSE),0)+($AV870*'AUX-NIV3'!S$4))*$O870+IF($H870=AQ$4,$P870,0)</f>
        <v>0</v>
      </c>
      <c r="AR870" s="395">
        <f>(IF($H870="x",VLOOKUP($I870,'AUX-NIV2'!$B:$X,'AUX-NIV1'!AR$3,FALSE),0)+($AV870*'AUX-NIV3'!T$4))*$O870+IF($H870=AR$4,$P870,0)</f>
        <v>0</v>
      </c>
      <c r="AS870" s="395">
        <f>(IF($H870="x",VLOOKUP($I870,'AUX-NIV2'!$B:$X,'AUX-NIV1'!AS$3,FALSE),0)+($AV870*'AUX-NIV3'!U$4))*$O870+IF($H870=AS$4,$P870,0)</f>
        <v>0</v>
      </c>
      <c r="AT870" s="395">
        <f>(IF($H870="x",VLOOKUP($I870,'AUX-NIV2'!$B:$X,'AUX-NIV1'!AT$3,FALSE),0)+($AV870*'AUX-NIV3'!V$4))*$O870+IF($H870=AT$4,$P870,0)</f>
        <v>0</v>
      </c>
      <c r="AU870" s="395">
        <f>(IF($H870="x",VLOOKUP($I870,'AUX-NIV2'!$B:$X,'AUX-NIV1'!AU$3,FALSE),0)+($AV870*'AUX-NIV3'!W$4))*$O870+IF($H870=AU$4,$P870,0)</f>
        <v>1</v>
      </c>
      <c r="AV870" s="395">
        <f>+IF($H870="x",VLOOKUP($I870,'AUX-NIV2'!$B:$X,'AUX-NIV1'!AV$3,FALSE),0)</f>
        <v>0</v>
      </c>
    </row>
    <row r="871" spans="2:48" ht="14.4" hidden="1" thickTop="1" thickBot="1">
      <c r="B871" s="501" t="s">
        <v>4012</v>
      </c>
      <c r="C871" s="951" t="s">
        <v>3570</v>
      </c>
      <c r="D871" s="1280" t="s">
        <v>1782</v>
      </c>
      <c r="E871" s="1281">
        <f>IF(B871&lt;&gt;"",+SUMIF(Items!C:C,'AUX-NIV1'!B871,Items!H:H),"")</f>
        <v>0</v>
      </c>
      <c r="F871" s="1281">
        <f t="shared" si="893"/>
        <v>1</v>
      </c>
      <c r="G871" s="1281">
        <f t="shared" si="894"/>
        <v>0</v>
      </c>
      <c r="H871" s="1395" t="str">
        <f t="shared" si="904"/>
        <v>S</v>
      </c>
      <c r="I871" s="1375" t="s">
        <v>4024</v>
      </c>
      <c r="J871" s="1283" t="str">
        <f>IF(B871&lt;&gt;"",+VLOOKUP(I871,Recursos!C:F,2,FALSE),"")</f>
        <v>Banca Electronica- Cesto papelero rebatible</v>
      </c>
      <c r="K871" s="1284" t="str">
        <f>IF(B871&lt;&gt;"",+VLOOKUP(I871,Recursos!C:F,3,FALSE),"")</f>
        <v>u</v>
      </c>
      <c r="L871" s="1285">
        <f>IF(B871&lt;&gt;"",+VLOOKUP(I871,Recursos!C:F,4,FALSE),"")</f>
        <v>1</v>
      </c>
      <c r="M871" s="1293"/>
      <c r="N871" s="1294">
        <v>1</v>
      </c>
      <c r="O871" s="1286">
        <f t="shared" si="905"/>
        <v>1</v>
      </c>
      <c r="P871" s="1287">
        <f t="shared" si="906"/>
        <v>1</v>
      </c>
      <c r="Q871" s="1281">
        <f t="shared" si="907"/>
        <v>0</v>
      </c>
      <c r="R871" s="1288">
        <f t="shared" si="908"/>
        <v>0</v>
      </c>
      <c r="S871" s="1289">
        <f t="shared" si="895"/>
        <v>0</v>
      </c>
      <c r="T871" s="1289">
        <f t="shared" si="896"/>
        <v>0</v>
      </c>
      <c r="U871" s="1290">
        <f t="shared" si="897"/>
        <v>0</v>
      </c>
      <c r="V871" s="1290">
        <f t="shared" si="898"/>
        <v>0</v>
      </c>
      <c r="W871" s="1290">
        <f t="shared" si="899"/>
        <v>1</v>
      </c>
      <c r="X871" s="1290">
        <f t="shared" si="900"/>
        <v>0</v>
      </c>
      <c r="Y871" s="396"/>
      <c r="Z871" s="1291" t="str">
        <f t="shared" si="909"/>
        <v>0-ITP022A</v>
      </c>
      <c r="AA871" s="1291" t="str">
        <f t="shared" si="910"/>
        <v>0-ITP022E</v>
      </c>
      <c r="AB871" s="1291" t="str">
        <f t="shared" si="911"/>
        <v>0-ITP022M</v>
      </c>
      <c r="AC871" s="1291" t="str">
        <f t="shared" si="912"/>
        <v>0-ITP022T</v>
      </c>
      <c r="AD871" s="1291" t="str">
        <f t="shared" si="913"/>
        <v>0-ITP022S</v>
      </c>
      <c r="AE871" s="1291" t="str">
        <f t="shared" si="914"/>
        <v>0-ITP022X</v>
      </c>
      <c r="AF871" s="1291" t="str">
        <f t="shared" si="915"/>
        <v>0-ITP022S</v>
      </c>
      <c r="AG871" s="1291">
        <f t="shared" si="901"/>
        <v>1</v>
      </c>
      <c r="AH871" s="1291">
        <f>IF(B871&lt;&gt;"",+IF(H871="x",+VLOOKUP(I871,'AUX-NIV2'!B:AG,32,FALSE),0),"")</f>
        <v>0</v>
      </c>
      <c r="AI871" s="1291" t="str">
        <f t="shared" si="916"/>
        <v>0-ITP022</v>
      </c>
      <c r="AK871" s="347">
        <f t="shared" si="902"/>
        <v>871</v>
      </c>
      <c r="AL871" s="348">
        <f t="shared" si="917"/>
        <v>871</v>
      </c>
      <c r="AM871" s="347">
        <f t="shared" si="918"/>
        <v>1</v>
      </c>
      <c r="AN871" s="382">
        <f>IF(AND(AH871&gt;0,B871&lt;&gt;""),VLOOKUP(I871,'AUX-NIV2'!$B:$AP,40,FALSE)*O871,0)</f>
        <v>0</v>
      </c>
      <c r="AO871" s="382">
        <f t="shared" si="903"/>
        <v>0</v>
      </c>
      <c r="AQ871" s="395">
        <f>(IF($H871="x",VLOOKUP($I871,'AUX-NIV2'!$B:$X,'AUX-NIV1'!AQ$3,FALSE),0)+($AV871*'AUX-NIV3'!S$4))*$O871+IF($H871=AQ$4,$P871,0)</f>
        <v>0</v>
      </c>
      <c r="AR871" s="395">
        <f>(IF($H871="x",VLOOKUP($I871,'AUX-NIV2'!$B:$X,'AUX-NIV1'!AR$3,FALSE),0)+($AV871*'AUX-NIV3'!T$4))*$O871+IF($H871=AR$4,$P871,0)</f>
        <v>0</v>
      </c>
      <c r="AS871" s="395">
        <f>(IF($H871="x",VLOOKUP($I871,'AUX-NIV2'!$B:$X,'AUX-NIV1'!AS$3,FALSE),0)+($AV871*'AUX-NIV3'!U$4))*$O871+IF($H871=AS$4,$P871,0)</f>
        <v>0</v>
      </c>
      <c r="AT871" s="395">
        <f>(IF($H871="x",VLOOKUP($I871,'AUX-NIV2'!$B:$X,'AUX-NIV1'!AT$3,FALSE),0)+($AV871*'AUX-NIV3'!V$4))*$O871+IF($H871=AT$4,$P871,0)</f>
        <v>0</v>
      </c>
      <c r="AU871" s="395">
        <f>(IF($H871="x",VLOOKUP($I871,'AUX-NIV2'!$B:$X,'AUX-NIV1'!AU$3,FALSE),0)+($AV871*'AUX-NIV3'!W$4))*$O871+IF($H871=AU$4,$P871,0)</f>
        <v>1</v>
      </c>
      <c r="AV871" s="395">
        <f>+IF($H871="x",VLOOKUP($I871,'AUX-NIV2'!$B:$X,'AUX-NIV1'!AV$3,FALSE),0)</f>
        <v>0</v>
      </c>
    </row>
    <row r="872" spans="2:48" ht="14.4" hidden="1" thickTop="1" thickBot="1">
      <c r="B872" s="501" t="s">
        <v>4013</v>
      </c>
      <c r="C872" s="951" t="s">
        <v>3571</v>
      </c>
      <c r="D872" s="1280" t="s">
        <v>501</v>
      </c>
      <c r="E872" s="1281">
        <f>IF(B872&lt;&gt;"",+SUMIF(Items!C:C,'AUX-NIV1'!B872,Items!H:H),"")</f>
        <v>0</v>
      </c>
      <c r="F872" s="1281">
        <f t="shared" si="893"/>
        <v>1</v>
      </c>
      <c r="G872" s="1281">
        <f t="shared" si="894"/>
        <v>0</v>
      </c>
      <c r="H872" s="1395" t="str">
        <f t="shared" si="904"/>
        <v>S</v>
      </c>
      <c r="I872" s="1375" t="s">
        <v>4025</v>
      </c>
      <c r="J872" s="1283" t="str">
        <f>IF(B872&lt;&gt;"",+VLOOKUP(I872,Recursos!C:F,2,FALSE),"")</f>
        <v>Banca Electronica- Rejas de Metal desplegado</v>
      </c>
      <c r="K872" s="1284" t="str">
        <f>IF(B872&lt;&gt;"",+VLOOKUP(I872,Recursos!C:F,3,FALSE),"")</f>
        <v>m2</v>
      </c>
      <c r="L872" s="1285">
        <f>IF(B872&lt;&gt;"",+VLOOKUP(I872,Recursos!C:F,4,FALSE),"")</f>
        <v>1</v>
      </c>
      <c r="M872" s="1293"/>
      <c r="N872" s="1294">
        <v>1</v>
      </c>
      <c r="O872" s="1286">
        <f t="shared" si="905"/>
        <v>1</v>
      </c>
      <c r="P872" s="1287">
        <f t="shared" si="906"/>
        <v>1</v>
      </c>
      <c r="Q872" s="1281">
        <f t="shared" si="907"/>
        <v>0</v>
      </c>
      <c r="R872" s="1288">
        <f t="shared" si="908"/>
        <v>0</v>
      </c>
      <c r="S872" s="1289">
        <f t="shared" si="895"/>
        <v>0</v>
      </c>
      <c r="T872" s="1289">
        <f t="shared" si="896"/>
        <v>0</v>
      </c>
      <c r="U872" s="1290">
        <f t="shared" si="897"/>
        <v>0</v>
      </c>
      <c r="V872" s="1290">
        <f t="shared" si="898"/>
        <v>0</v>
      </c>
      <c r="W872" s="1290">
        <f t="shared" si="899"/>
        <v>1</v>
      </c>
      <c r="X872" s="1290">
        <f t="shared" si="900"/>
        <v>0</v>
      </c>
      <c r="Y872" s="396"/>
      <c r="Z872" s="1291" t="str">
        <f t="shared" si="909"/>
        <v>0-ITP023A</v>
      </c>
      <c r="AA872" s="1291" t="str">
        <f t="shared" si="910"/>
        <v>0-ITP023E</v>
      </c>
      <c r="AB872" s="1291" t="str">
        <f t="shared" si="911"/>
        <v>0-ITP023M</v>
      </c>
      <c r="AC872" s="1291" t="str">
        <f t="shared" si="912"/>
        <v>0-ITP023T</v>
      </c>
      <c r="AD872" s="1291" t="str">
        <f t="shared" si="913"/>
        <v>0-ITP023S</v>
      </c>
      <c r="AE872" s="1291" t="str">
        <f t="shared" si="914"/>
        <v>0-ITP023X</v>
      </c>
      <c r="AF872" s="1291" t="str">
        <f t="shared" si="915"/>
        <v>0-ITP023S</v>
      </c>
      <c r="AG872" s="1291">
        <f t="shared" si="901"/>
        <v>1</v>
      </c>
      <c r="AH872" s="1291">
        <f>IF(B872&lt;&gt;"",+IF(H872="x",+VLOOKUP(I872,'AUX-NIV2'!B:AG,32,FALSE),0),"")</f>
        <v>0</v>
      </c>
      <c r="AI872" s="1291" t="str">
        <f t="shared" si="916"/>
        <v>0-ITP023</v>
      </c>
      <c r="AK872" s="347">
        <f t="shared" si="902"/>
        <v>872</v>
      </c>
      <c r="AL872" s="348">
        <f t="shared" si="917"/>
        <v>872</v>
      </c>
      <c r="AM872" s="347">
        <f t="shared" si="918"/>
        <v>1</v>
      </c>
      <c r="AN872" s="382">
        <f>IF(AND(AH872&gt;0,B872&lt;&gt;""),VLOOKUP(I872,'AUX-NIV2'!$B:$AP,40,FALSE)*O872,0)</f>
        <v>0</v>
      </c>
      <c r="AO872" s="382">
        <f t="shared" si="903"/>
        <v>0</v>
      </c>
      <c r="AQ872" s="395">
        <f>(IF($H872="x",VLOOKUP($I872,'AUX-NIV2'!$B:$X,'AUX-NIV1'!AQ$3,FALSE),0)+($AV872*'AUX-NIV3'!S$4))*$O872+IF($H872=AQ$4,$P872,0)</f>
        <v>0</v>
      </c>
      <c r="AR872" s="395">
        <f>(IF($H872="x",VLOOKUP($I872,'AUX-NIV2'!$B:$X,'AUX-NIV1'!AR$3,FALSE),0)+($AV872*'AUX-NIV3'!T$4))*$O872+IF($H872=AR$4,$P872,0)</f>
        <v>0</v>
      </c>
      <c r="AS872" s="395">
        <f>(IF($H872="x",VLOOKUP($I872,'AUX-NIV2'!$B:$X,'AUX-NIV1'!AS$3,FALSE),0)+($AV872*'AUX-NIV3'!U$4))*$O872+IF($H872=AS$4,$P872,0)</f>
        <v>0</v>
      </c>
      <c r="AT872" s="395">
        <f>(IF($H872="x",VLOOKUP($I872,'AUX-NIV2'!$B:$X,'AUX-NIV1'!AT$3,FALSE),0)+($AV872*'AUX-NIV3'!V$4))*$O872+IF($H872=AT$4,$P872,0)</f>
        <v>0</v>
      </c>
      <c r="AU872" s="395">
        <f>(IF($H872="x",VLOOKUP($I872,'AUX-NIV2'!$B:$X,'AUX-NIV1'!AU$3,FALSE),0)+($AV872*'AUX-NIV3'!W$4))*$O872+IF($H872=AU$4,$P872,0)</f>
        <v>1</v>
      </c>
      <c r="AV872" s="395">
        <f>+IF($H872="x",VLOOKUP($I872,'AUX-NIV2'!$B:$X,'AUX-NIV1'!AV$3,FALSE),0)</f>
        <v>0</v>
      </c>
    </row>
    <row r="873" spans="2:48" ht="14.4" hidden="1" thickTop="1" thickBot="1">
      <c r="B873" s="1433" t="s">
        <v>4026</v>
      </c>
      <c r="C873" s="1448" t="s">
        <v>3572</v>
      </c>
      <c r="D873" s="1435" t="s">
        <v>1840</v>
      </c>
      <c r="E873" s="1281">
        <f>IF(B873&lt;&gt;"",+SUMIF(Items!C:C,'AUX-NIV1'!B873,Items!H:H),"")</f>
        <v>0</v>
      </c>
      <c r="F873" s="1281">
        <f t="shared" si="893"/>
        <v>1</v>
      </c>
      <c r="G873" s="1281">
        <f t="shared" si="894"/>
        <v>0</v>
      </c>
      <c r="H873" s="1395" t="str">
        <f t="shared" ref="H873:H918" si="991">IF(B873&lt;&gt;"",+LEFT(I873,1),"")</f>
        <v>S</v>
      </c>
      <c r="I873" s="1462" t="s">
        <v>4030</v>
      </c>
      <c r="J873" s="1283" t="str">
        <f>IF(B873&lt;&gt;"",+VLOOKUP(I873,Recursos!C:F,2,FALSE),"")</f>
        <v>Vinilo autoadhesivo esmerilado con logo</v>
      </c>
      <c r="K873" s="1284" t="str">
        <f>IF(B873&lt;&gt;"",+VLOOKUP(I873,Recursos!C:F,3,FALSE),"")</f>
        <v>ml</v>
      </c>
      <c r="L873" s="1285">
        <f>IF(B873&lt;&gt;"",+VLOOKUP(I873,Recursos!C:F,4,FALSE),"")</f>
        <v>1</v>
      </c>
      <c r="M873" s="1293"/>
      <c r="N873" s="1294">
        <v>1</v>
      </c>
      <c r="O873" s="1286">
        <f t="shared" ref="O873:O918" si="992">N873</f>
        <v>1</v>
      </c>
      <c r="P873" s="1287">
        <f t="shared" ref="P873:P918" si="993">IF(B873&lt;&gt;"",O873*L873,"")</f>
        <v>1</v>
      </c>
      <c r="Q873" s="1281">
        <f t="shared" ref="Q873:Q918" si="994">IF(B873&lt;&gt;"",+O873*E873,"")</f>
        <v>0</v>
      </c>
      <c r="R873" s="1288">
        <f t="shared" ref="R873:R918" si="995">IF(B873&lt;&gt;"",Q873*L873,"")</f>
        <v>0</v>
      </c>
      <c r="S873" s="1289">
        <f t="shared" si="895"/>
        <v>0</v>
      </c>
      <c r="T873" s="1289">
        <f t="shared" si="896"/>
        <v>0</v>
      </c>
      <c r="U873" s="1290">
        <f t="shared" si="897"/>
        <v>0</v>
      </c>
      <c r="V873" s="1290">
        <f t="shared" si="898"/>
        <v>0</v>
      </c>
      <c r="W873" s="1290">
        <f t="shared" si="899"/>
        <v>1</v>
      </c>
      <c r="X873" s="1290">
        <f t="shared" si="900"/>
        <v>0</v>
      </c>
      <c r="Y873" s="396"/>
      <c r="Z873" s="1291" t="str">
        <f t="shared" ref="Z873:Z918" si="996">IF(B873&lt;&gt;"",+$B873&amp;"A","")</f>
        <v>0-ITP026A</v>
      </c>
      <c r="AA873" s="1291" t="str">
        <f t="shared" ref="AA873:AA918" si="997">IF(B873&lt;&gt;"",+$B873&amp;"E","")</f>
        <v>0-ITP026E</v>
      </c>
      <c r="AB873" s="1291" t="str">
        <f t="shared" ref="AB873:AB918" si="998">IF(B873&lt;&gt;"",++$B873&amp;"M","")</f>
        <v>0-ITP026M</v>
      </c>
      <c r="AC873" s="1291" t="str">
        <f t="shared" ref="AC873:AC918" si="999">IF(B873&lt;&gt;"",+$B873&amp;"T","")</f>
        <v>0-ITP026T</v>
      </c>
      <c r="AD873" s="1291" t="str">
        <f t="shared" ref="AD873:AD918" si="1000">IF(B873&lt;&gt;"",+$B873&amp;"S","")</f>
        <v>0-ITP026S</v>
      </c>
      <c r="AE873" s="1291" t="str">
        <f t="shared" ref="AE873:AE918" si="1001">IF(B873&lt;&gt;"",+$B873&amp;"X","")</f>
        <v>0-ITP026X</v>
      </c>
      <c r="AF873" s="1291" t="str">
        <f t="shared" ref="AF873:AF918" si="1002">IF(B873&lt;&gt;"",+B873&amp;H873,"")</f>
        <v>0-ITP026S</v>
      </c>
      <c r="AG873" s="1291">
        <f t="shared" si="901"/>
        <v>1</v>
      </c>
      <c r="AH873" s="1291">
        <f>IF(B873&lt;&gt;"",+IF(H873="x",+VLOOKUP(I873,'AUX-NIV2'!B:AG,32,FALSE),0),"")</f>
        <v>0</v>
      </c>
      <c r="AI873" s="1291" t="str">
        <f t="shared" ref="AI873:AI918" si="1003">IF(B873&lt;&gt;"",+B873,"")</f>
        <v>0-ITP026</v>
      </c>
      <c r="AK873" s="347">
        <f t="shared" si="902"/>
        <v>873</v>
      </c>
      <c r="AL873" s="348">
        <f t="shared" ref="AL873:AL918" si="1004">IF(B873&lt;&gt;"",+AK873+AG873-1,"")</f>
        <v>873</v>
      </c>
      <c r="AM873" s="347">
        <f t="shared" ref="AM873:AM918" si="1005">IF(B873&lt;&gt;"",IF(B873=B872,1+AM872,1),"")</f>
        <v>1</v>
      </c>
      <c r="AN873" s="382">
        <f>IF(AND(AH873&gt;0,B873&lt;&gt;""),VLOOKUP(I873,'AUX-NIV2'!$B:$AP,40,FALSE)*O873,0)</f>
        <v>0</v>
      </c>
      <c r="AO873" s="382">
        <f t="shared" si="903"/>
        <v>0</v>
      </c>
      <c r="AQ873" s="395">
        <f>(IF($H873="x",VLOOKUP($I873,'AUX-NIV2'!$B:$X,'AUX-NIV1'!AQ$3,FALSE),0)+($AV873*'AUX-NIV3'!S$4))*$O873+IF($H873=AQ$4,$P873,0)</f>
        <v>0</v>
      </c>
      <c r="AR873" s="395">
        <f>(IF($H873="x",VLOOKUP($I873,'AUX-NIV2'!$B:$X,'AUX-NIV1'!AR$3,FALSE),0)+($AV873*'AUX-NIV3'!T$4))*$O873+IF($H873=AR$4,$P873,0)</f>
        <v>0</v>
      </c>
      <c r="AS873" s="395">
        <f>(IF($H873="x",VLOOKUP($I873,'AUX-NIV2'!$B:$X,'AUX-NIV1'!AS$3,FALSE),0)+($AV873*'AUX-NIV3'!U$4))*$O873+IF($H873=AS$4,$P873,0)</f>
        <v>0</v>
      </c>
      <c r="AT873" s="395">
        <f>(IF($H873="x",VLOOKUP($I873,'AUX-NIV2'!$B:$X,'AUX-NIV1'!AT$3,FALSE),0)+($AV873*'AUX-NIV3'!V$4))*$O873+IF($H873=AT$4,$P873,0)</f>
        <v>0</v>
      </c>
      <c r="AU873" s="395">
        <f>(IF($H873="x",VLOOKUP($I873,'AUX-NIV2'!$B:$X,'AUX-NIV1'!AU$3,FALSE),0)+($AV873*'AUX-NIV3'!W$4))*$O873+IF($H873=AU$4,$P873,0)</f>
        <v>1</v>
      </c>
      <c r="AV873" s="395">
        <f>+IF($H873="x",VLOOKUP($I873,'AUX-NIV2'!$B:$X,'AUX-NIV1'!AV$3,FALSE),0)</f>
        <v>0</v>
      </c>
    </row>
    <row r="874" spans="2:48" ht="14.4" hidden="1" thickTop="1" thickBot="1">
      <c r="B874" s="1433" t="s">
        <v>4027</v>
      </c>
      <c r="C874" s="1448" t="s">
        <v>3573</v>
      </c>
      <c r="D874" s="1435" t="s">
        <v>501</v>
      </c>
      <c r="E874" s="1281">
        <f>IF(B874&lt;&gt;"",+SUMIF(Items!C:C,'AUX-NIV1'!B874,Items!H:H),"")</f>
        <v>0</v>
      </c>
      <c r="F874" s="1281">
        <f t="shared" si="893"/>
        <v>1</v>
      </c>
      <c r="G874" s="1281">
        <f t="shared" si="894"/>
        <v>0</v>
      </c>
      <c r="H874" s="1395" t="str">
        <f t="shared" si="991"/>
        <v>S</v>
      </c>
      <c r="I874" s="1462" t="s">
        <v>4031</v>
      </c>
      <c r="J874" s="1283" t="str">
        <f>IF(B874&lt;&gt;"",+VLOOKUP(I874,Recursos!C:F,2,FALSE),"")</f>
        <v>Vinilo a rajas en Tabique divisorio de oficinas</v>
      </c>
      <c r="K874" s="1284" t="str">
        <f>IF(B874&lt;&gt;"",+VLOOKUP(I874,Recursos!C:F,3,FALSE),"")</f>
        <v>m2</v>
      </c>
      <c r="L874" s="1285">
        <f>IF(B874&lt;&gt;"",+VLOOKUP(I874,Recursos!C:F,4,FALSE),"")</f>
        <v>1</v>
      </c>
      <c r="M874" s="1293"/>
      <c r="N874" s="1294">
        <v>1</v>
      </c>
      <c r="O874" s="1286">
        <f t="shared" si="992"/>
        <v>1</v>
      </c>
      <c r="P874" s="1287">
        <f t="shared" si="993"/>
        <v>1</v>
      </c>
      <c r="Q874" s="1281">
        <f t="shared" si="994"/>
        <v>0</v>
      </c>
      <c r="R874" s="1288">
        <f t="shared" si="995"/>
        <v>0</v>
      </c>
      <c r="S874" s="1289">
        <f t="shared" si="895"/>
        <v>0</v>
      </c>
      <c r="T874" s="1289">
        <f t="shared" si="896"/>
        <v>0</v>
      </c>
      <c r="U874" s="1290">
        <f t="shared" si="897"/>
        <v>0</v>
      </c>
      <c r="V874" s="1290">
        <f t="shared" si="898"/>
        <v>0</v>
      </c>
      <c r="W874" s="1290">
        <f t="shared" si="899"/>
        <v>1</v>
      </c>
      <c r="X874" s="1290">
        <f t="shared" si="900"/>
        <v>0</v>
      </c>
      <c r="Y874" s="396"/>
      <c r="Z874" s="1291" t="str">
        <f t="shared" si="996"/>
        <v>0-ITP027A</v>
      </c>
      <c r="AA874" s="1291" t="str">
        <f t="shared" si="997"/>
        <v>0-ITP027E</v>
      </c>
      <c r="AB874" s="1291" t="str">
        <f t="shared" si="998"/>
        <v>0-ITP027M</v>
      </c>
      <c r="AC874" s="1291" t="str">
        <f t="shared" si="999"/>
        <v>0-ITP027T</v>
      </c>
      <c r="AD874" s="1291" t="str">
        <f t="shared" si="1000"/>
        <v>0-ITP027S</v>
      </c>
      <c r="AE874" s="1291" t="str">
        <f t="shared" si="1001"/>
        <v>0-ITP027X</v>
      </c>
      <c r="AF874" s="1291" t="str">
        <f t="shared" si="1002"/>
        <v>0-ITP027S</v>
      </c>
      <c r="AG874" s="1291">
        <f t="shared" si="901"/>
        <v>1</v>
      </c>
      <c r="AH874" s="1291">
        <f>IF(B874&lt;&gt;"",+IF(H874="x",+VLOOKUP(I874,'AUX-NIV2'!B:AG,32,FALSE),0),"")</f>
        <v>0</v>
      </c>
      <c r="AI874" s="1291" t="str">
        <f t="shared" si="1003"/>
        <v>0-ITP027</v>
      </c>
      <c r="AK874" s="347">
        <f t="shared" si="902"/>
        <v>874</v>
      </c>
      <c r="AL874" s="348">
        <f t="shared" si="1004"/>
        <v>874</v>
      </c>
      <c r="AM874" s="347">
        <f t="shared" si="1005"/>
        <v>1</v>
      </c>
      <c r="AN874" s="382">
        <f>IF(AND(AH874&gt;0,B874&lt;&gt;""),VLOOKUP(I874,'AUX-NIV2'!$B:$AP,40,FALSE)*O874,0)</f>
        <v>0</v>
      </c>
      <c r="AO874" s="382">
        <f t="shared" si="903"/>
        <v>0</v>
      </c>
      <c r="AQ874" s="395">
        <f>(IF($H874="x",VLOOKUP($I874,'AUX-NIV2'!$B:$X,'AUX-NIV1'!AQ$3,FALSE),0)+($AV874*'AUX-NIV3'!S$4))*$O874+IF($H874=AQ$4,$P874,0)</f>
        <v>0</v>
      </c>
      <c r="AR874" s="395">
        <f>(IF($H874="x",VLOOKUP($I874,'AUX-NIV2'!$B:$X,'AUX-NIV1'!AR$3,FALSE),0)+($AV874*'AUX-NIV3'!T$4))*$O874+IF($H874=AR$4,$P874,0)</f>
        <v>0</v>
      </c>
      <c r="AS874" s="395">
        <f>(IF($H874="x",VLOOKUP($I874,'AUX-NIV2'!$B:$X,'AUX-NIV1'!AS$3,FALSE),0)+($AV874*'AUX-NIV3'!U$4))*$O874+IF($H874=AS$4,$P874,0)</f>
        <v>0</v>
      </c>
      <c r="AT874" s="395">
        <f>(IF($H874="x",VLOOKUP($I874,'AUX-NIV2'!$B:$X,'AUX-NIV1'!AT$3,FALSE),0)+($AV874*'AUX-NIV3'!V$4))*$O874+IF($H874=AT$4,$P874,0)</f>
        <v>0</v>
      </c>
      <c r="AU874" s="395">
        <f>(IF($H874="x",VLOOKUP($I874,'AUX-NIV2'!$B:$X,'AUX-NIV1'!AU$3,FALSE),0)+($AV874*'AUX-NIV3'!W$4))*$O874+IF($H874=AU$4,$P874,0)</f>
        <v>1</v>
      </c>
      <c r="AV874" s="395">
        <f>+IF($H874="x",VLOOKUP($I874,'AUX-NIV2'!$B:$X,'AUX-NIV1'!AV$3,FALSE),0)</f>
        <v>0</v>
      </c>
    </row>
    <row r="875" spans="2:48" ht="14.4" hidden="1" thickTop="1" thickBot="1">
      <c r="B875" s="1433" t="s">
        <v>4033</v>
      </c>
      <c r="C875" s="1448" t="s">
        <v>3574</v>
      </c>
      <c r="D875" s="1435" t="s">
        <v>1172</v>
      </c>
      <c r="E875" s="1281">
        <f>IF(B875&lt;&gt;"",+SUMIF(Items!C:C,'AUX-NIV1'!B875,Items!H:H),"")</f>
        <v>0</v>
      </c>
      <c r="F875" s="1281">
        <f t="shared" si="893"/>
        <v>1</v>
      </c>
      <c r="G875" s="1281">
        <f t="shared" si="894"/>
        <v>0</v>
      </c>
      <c r="H875" s="1395" t="str">
        <f t="shared" si="991"/>
        <v>S</v>
      </c>
      <c r="I875" s="1462" t="s">
        <v>4053</v>
      </c>
      <c r="J875" s="1283" t="str">
        <f>IF(B875&lt;&gt;"",+VLOOKUP(I875,Recursos!C:F,2,FALSE),"")</f>
        <v>Replanteos, cateos, ingeniería de detalle de montajes</v>
      </c>
      <c r="K875" s="1284" t="str">
        <f>IF(B875&lt;&gt;"",+VLOOKUP(I875,Recursos!C:F,3,FALSE),"")</f>
        <v>gl</v>
      </c>
      <c r="L875" s="1285">
        <f>IF(B875&lt;&gt;"",+VLOOKUP(I875,Recursos!C:F,4,FALSE),"")</f>
        <v>1</v>
      </c>
      <c r="M875" s="1293"/>
      <c r="N875" s="1294">
        <v>1</v>
      </c>
      <c r="O875" s="1286">
        <f t="shared" si="992"/>
        <v>1</v>
      </c>
      <c r="P875" s="1287">
        <f t="shared" si="993"/>
        <v>1</v>
      </c>
      <c r="Q875" s="1281">
        <f t="shared" si="994"/>
        <v>0</v>
      </c>
      <c r="R875" s="1288">
        <f t="shared" si="995"/>
        <v>0</v>
      </c>
      <c r="S875" s="1289">
        <f t="shared" si="895"/>
        <v>0</v>
      </c>
      <c r="T875" s="1289">
        <f t="shared" si="896"/>
        <v>0</v>
      </c>
      <c r="U875" s="1290">
        <f t="shared" si="897"/>
        <v>0</v>
      </c>
      <c r="V875" s="1290">
        <f t="shared" si="898"/>
        <v>0</v>
      </c>
      <c r="W875" s="1290">
        <f t="shared" si="899"/>
        <v>1</v>
      </c>
      <c r="X875" s="1290">
        <f t="shared" si="900"/>
        <v>0</v>
      </c>
      <c r="Y875" s="396"/>
      <c r="Z875" s="1291" t="str">
        <f t="shared" si="996"/>
        <v>0-ITQ001A</v>
      </c>
      <c r="AA875" s="1291" t="str">
        <f t="shared" si="997"/>
        <v>0-ITQ001E</v>
      </c>
      <c r="AB875" s="1291" t="str">
        <f t="shared" si="998"/>
        <v>0-ITQ001M</v>
      </c>
      <c r="AC875" s="1291" t="str">
        <f t="shared" si="999"/>
        <v>0-ITQ001T</v>
      </c>
      <c r="AD875" s="1291" t="str">
        <f t="shared" si="1000"/>
        <v>0-ITQ001S</v>
      </c>
      <c r="AE875" s="1291" t="str">
        <f t="shared" si="1001"/>
        <v>0-ITQ001X</v>
      </c>
      <c r="AF875" s="1291" t="str">
        <f t="shared" si="1002"/>
        <v>0-ITQ001S</v>
      </c>
      <c r="AG875" s="1291">
        <f t="shared" si="901"/>
        <v>1</v>
      </c>
      <c r="AH875" s="1291">
        <f>IF(B875&lt;&gt;"",+IF(H875="x",+VLOOKUP(I875,'AUX-NIV2'!B:AG,32,FALSE),0),"")</f>
        <v>0</v>
      </c>
      <c r="AI875" s="1291" t="str">
        <f t="shared" si="1003"/>
        <v>0-ITQ001</v>
      </c>
      <c r="AK875" s="347">
        <f t="shared" si="902"/>
        <v>875</v>
      </c>
      <c r="AL875" s="348">
        <f t="shared" si="1004"/>
        <v>875</v>
      </c>
      <c r="AM875" s="347">
        <f t="shared" si="1005"/>
        <v>1</v>
      </c>
      <c r="AN875" s="382">
        <f>IF(AND(AH875&gt;0,B875&lt;&gt;""),VLOOKUP(I875,'AUX-NIV2'!$B:$AP,40,FALSE)*O875,0)</f>
        <v>0</v>
      </c>
      <c r="AO875" s="382">
        <f t="shared" si="903"/>
        <v>0</v>
      </c>
      <c r="AQ875" s="395">
        <f>(IF($H875="x",VLOOKUP($I875,'AUX-NIV2'!$B:$X,'AUX-NIV1'!AQ$3,FALSE),0)+($AV875*'AUX-NIV3'!S$4))*$O875+IF($H875=AQ$4,$P875,0)</f>
        <v>0</v>
      </c>
      <c r="AR875" s="395">
        <f>(IF($H875="x",VLOOKUP($I875,'AUX-NIV2'!$B:$X,'AUX-NIV1'!AR$3,FALSE),0)+($AV875*'AUX-NIV3'!T$4))*$O875+IF($H875=AR$4,$P875,0)</f>
        <v>0</v>
      </c>
      <c r="AS875" s="395">
        <f>(IF($H875="x",VLOOKUP($I875,'AUX-NIV2'!$B:$X,'AUX-NIV1'!AS$3,FALSE),0)+($AV875*'AUX-NIV3'!U$4))*$O875+IF($H875=AS$4,$P875,0)</f>
        <v>0</v>
      </c>
      <c r="AT875" s="395">
        <f>(IF($H875="x",VLOOKUP($I875,'AUX-NIV2'!$B:$X,'AUX-NIV1'!AT$3,FALSE),0)+($AV875*'AUX-NIV3'!V$4))*$O875+IF($H875=AT$4,$P875,0)</f>
        <v>0</v>
      </c>
      <c r="AU875" s="395">
        <f>(IF($H875="x",VLOOKUP($I875,'AUX-NIV2'!$B:$X,'AUX-NIV1'!AU$3,FALSE),0)+($AV875*'AUX-NIV3'!W$4))*$O875+IF($H875=AU$4,$P875,0)</f>
        <v>1</v>
      </c>
      <c r="AV875" s="395">
        <f>+IF($H875="x",VLOOKUP($I875,'AUX-NIV2'!$B:$X,'AUX-NIV1'!AV$3,FALSE),0)</f>
        <v>0</v>
      </c>
    </row>
    <row r="876" spans="2:48" ht="14.4" hidden="1" thickTop="1" thickBot="1">
      <c r="B876" s="1433" t="s">
        <v>4034</v>
      </c>
      <c r="C876" s="1448" t="s">
        <v>3575</v>
      </c>
      <c r="D876" s="1435" t="s">
        <v>1172</v>
      </c>
      <c r="E876" s="1281">
        <f>IF(B876&lt;&gt;"",+SUMIF(Items!C:C,'AUX-NIV1'!B876,Items!H:H),"")</f>
        <v>0</v>
      </c>
      <c r="F876" s="1281">
        <f t="shared" si="893"/>
        <v>1</v>
      </c>
      <c r="G876" s="1281">
        <f t="shared" si="894"/>
        <v>0</v>
      </c>
      <c r="H876" s="1395" t="str">
        <f t="shared" si="991"/>
        <v>S</v>
      </c>
      <c r="I876" s="1462" t="s">
        <v>4054</v>
      </c>
      <c r="J876" s="1283" t="str">
        <f>IF(B876&lt;&gt;"",+VLOOKUP(I876,Recursos!C:F,2,FALSE),"")</f>
        <v>Ayuda de Gremios.-</v>
      </c>
      <c r="K876" s="1284" t="str">
        <f>IF(B876&lt;&gt;"",+VLOOKUP(I876,Recursos!C:F,3,FALSE),"")</f>
        <v>gl</v>
      </c>
      <c r="L876" s="1285">
        <f>IF(B876&lt;&gt;"",+VLOOKUP(I876,Recursos!C:F,4,FALSE),"")</f>
        <v>1</v>
      </c>
      <c r="M876" s="1293"/>
      <c r="N876" s="1294">
        <v>1</v>
      </c>
      <c r="O876" s="1286">
        <f t="shared" si="992"/>
        <v>1</v>
      </c>
      <c r="P876" s="1287">
        <f t="shared" si="993"/>
        <v>1</v>
      </c>
      <c r="Q876" s="1281">
        <f t="shared" si="994"/>
        <v>0</v>
      </c>
      <c r="R876" s="1288">
        <f t="shared" si="995"/>
        <v>0</v>
      </c>
      <c r="S876" s="1289">
        <f t="shared" si="895"/>
        <v>0</v>
      </c>
      <c r="T876" s="1289">
        <f t="shared" si="896"/>
        <v>0</v>
      </c>
      <c r="U876" s="1290">
        <f t="shared" si="897"/>
        <v>0</v>
      </c>
      <c r="V876" s="1290">
        <f t="shared" si="898"/>
        <v>0</v>
      </c>
      <c r="W876" s="1290">
        <f t="shared" si="899"/>
        <v>1</v>
      </c>
      <c r="X876" s="1290">
        <f t="shared" si="900"/>
        <v>0</v>
      </c>
      <c r="Y876" s="396"/>
      <c r="Z876" s="1291" t="str">
        <f t="shared" si="996"/>
        <v>0-ITQ002A</v>
      </c>
      <c r="AA876" s="1291" t="str">
        <f t="shared" si="997"/>
        <v>0-ITQ002E</v>
      </c>
      <c r="AB876" s="1291" t="str">
        <f t="shared" si="998"/>
        <v>0-ITQ002M</v>
      </c>
      <c r="AC876" s="1291" t="str">
        <f t="shared" si="999"/>
        <v>0-ITQ002T</v>
      </c>
      <c r="AD876" s="1291" t="str">
        <f t="shared" si="1000"/>
        <v>0-ITQ002S</v>
      </c>
      <c r="AE876" s="1291" t="str">
        <f t="shared" si="1001"/>
        <v>0-ITQ002X</v>
      </c>
      <c r="AF876" s="1291" t="str">
        <f t="shared" si="1002"/>
        <v>0-ITQ002S</v>
      </c>
      <c r="AG876" s="1291">
        <f t="shared" si="901"/>
        <v>1</v>
      </c>
      <c r="AH876" s="1291">
        <f>IF(B876&lt;&gt;"",+IF(H876="x",+VLOOKUP(I876,'AUX-NIV2'!B:AG,32,FALSE),0),"")</f>
        <v>0</v>
      </c>
      <c r="AI876" s="1291" t="str">
        <f t="shared" si="1003"/>
        <v>0-ITQ002</v>
      </c>
      <c r="AK876" s="347">
        <f t="shared" si="902"/>
        <v>876</v>
      </c>
      <c r="AL876" s="348">
        <f t="shared" si="1004"/>
        <v>876</v>
      </c>
      <c r="AM876" s="347">
        <f t="shared" si="1005"/>
        <v>1</v>
      </c>
      <c r="AN876" s="382">
        <f>IF(AND(AH876&gt;0,B876&lt;&gt;""),VLOOKUP(I876,'AUX-NIV2'!$B:$AP,40,FALSE)*O876,0)</f>
        <v>0</v>
      </c>
      <c r="AO876" s="382">
        <f t="shared" si="903"/>
        <v>0</v>
      </c>
      <c r="AQ876" s="395">
        <f>(IF($H876="x",VLOOKUP($I876,'AUX-NIV2'!$B:$X,'AUX-NIV1'!AQ$3,FALSE),0)+($AV876*'AUX-NIV3'!S$4))*$O876+IF($H876=AQ$4,$P876,0)</f>
        <v>0</v>
      </c>
      <c r="AR876" s="395">
        <f>(IF($H876="x",VLOOKUP($I876,'AUX-NIV2'!$B:$X,'AUX-NIV1'!AR$3,FALSE),0)+($AV876*'AUX-NIV3'!T$4))*$O876+IF($H876=AR$4,$P876,0)</f>
        <v>0</v>
      </c>
      <c r="AS876" s="395">
        <f>(IF($H876="x",VLOOKUP($I876,'AUX-NIV2'!$B:$X,'AUX-NIV1'!AS$3,FALSE),0)+($AV876*'AUX-NIV3'!U$4))*$O876+IF($H876=AS$4,$P876,0)</f>
        <v>0</v>
      </c>
      <c r="AT876" s="395">
        <f>(IF($H876="x",VLOOKUP($I876,'AUX-NIV2'!$B:$X,'AUX-NIV1'!AT$3,FALSE),0)+($AV876*'AUX-NIV3'!V$4))*$O876+IF($H876=AT$4,$P876,0)</f>
        <v>0</v>
      </c>
      <c r="AU876" s="395">
        <f>(IF($H876="x",VLOOKUP($I876,'AUX-NIV2'!$B:$X,'AUX-NIV1'!AU$3,FALSE),0)+($AV876*'AUX-NIV3'!W$4))*$O876+IF($H876=AU$4,$P876,0)</f>
        <v>1</v>
      </c>
      <c r="AV876" s="395">
        <f>+IF($H876="x",VLOOKUP($I876,'AUX-NIV2'!$B:$X,'AUX-NIV1'!AV$3,FALSE),0)</f>
        <v>0</v>
      </c>
    </row>
    <row r="877" spans="2:48" ht="14.4" hidden="1" thickTop="1" thickBot="1">
      <c r="B877" s="1433" t="s">
        <v>4035</v>
      </c>
      <c r="C877" s="1448" t="s">
        <v>3576</v>
      </c>
      <c r="D877" s="1435" t="s">
        <v>185</v>
      </c>
      <c r="E877" s="1281">
        <f>IF(B877&lt;&gt;"",+SUMIF(Items!C:C,'AUX-NIV1'!B877,Items!H:H),"")</f>
        <v>0</v>
      </c>
      <c r="F877" s="1281">
        <f t="shared" si="893"/>
        <v>1</v>
      </c>
      <c r="G877" s="1281">
        <f t="shared" si="894"/>
        <v>0</v>
      </c>
      <c r="H877" s="1395" t="str">
        <f t="shared" si="991"/>
        <v>S</v>
      </c>
      <c r="I877" s="1462" t="s">
        <v>4055</v>
      </c>
      <c r="J877" s="1283" t="str">
        <f>IF(B877&lt;&gt;"",+VLOOKUP(I877,Recursos!C:F,2,FALSE),"")</f>
        <v>(SISTEMA 01) Provisión e instalación de un equipo tipo ROOF TOP condensado por aire, capacidad nominal de 12 TR</v>
      </c>
      <c r="K877" s="1284" t="str">
        <f>IF(B877&lt;&gt;"",+VLOOKUP(I877,Recursos!C:F,3,FALSE),"")</f>
        <v>un</v>
      </c>
      <c r="L877" s="1285">
        <f>IF(B877&lt;&gt;"",+VLOOKUP(I877,Recursos!C:F,4,FALSE),"")</f>
        <v>1</v>
      </c>
      <c r="M877" s="1293"/>
      <c r="N877" s="1294">
        <v>1</v>
      </c>
      <c r="O877" s="1286">
        <f t="shared" si="992"/>
        <v>1</v>
      </c>
      <c r="P877" s="1287">
        <f t="shared" si="993"/>
        <v>1</v>
      </c>
      <c r="Q877" s="1281">
        <f t="shared" si="994"/>
        <v>0</v>
      </c>
      <c r="R877" s="1288">
        <f t="shared" si="995"/>
        <v>0</v>
      </c>
      <c r="S877" s="1289">
        <f t="shared" si="895"/>
        <v>0</v>
      </c>
      <c r="T877" s="1289">
        <f t="shared" si="896"/>
        <v>0</v>
      </c>
      <c r="U877" s="1290">
        <f t="shared" si="897"/>
        <v>0</v>
      </c>
      <c r="V877" s="1290">
        <f t="shared" si="898"/>
        <v>0</v>
      </c>
      <c r="W877" s="1290">
        <f t="shared" si="899"/>
        <v>1</v>
      </c>
      <c r="X877" s="1290">
        <f t="shared" si="900"/>
        <v>0</v>
      </c>
      <c r="Y877" s="396"/>
      <c r="Z877" s="1291" t="str">
        <f t="shared" si="996"/>
        <v>0-ITQ003A</v>
      </c>
      <c r="AA877" s="1291" t="str">
        <f t="shared" si="997"/>
        <v>0-ITQ003E</v>
      </c>
      <c r="AB877" s="1291" t="str">
        <f t="shared" si="998"/>
        <v>0-ITQ003M</v>
      </c>
      <c r="AC877" s="1291" t="str">
        <f t="shared" si="999"/>
        <v>0-ITQ003T</v>
      </c>
      <c r="AD877" s="1291" t="str">
        <f t="shared" si="1000"/>
        <v>0-ITQ003S</v>
      </c>
      <c r="AE877" s="1291" t="str">
        <f t="shared" si="1001"/>
        <v>0-ITQ003X</v>
      </c>
      <c r="AF877" s="1291" t="str">
        <f t="shared" si="1002"/>
        <v>0-ITQ003S</v>
      </c>
      <c r="AG877" s="1291">
        <f t="shared" si="901"/>
        <v>1</v>
      </c>
      <c r="AH877" s="1291">
        <f>IF(B877&lt;&gt;"",+IF(H877="x",+VLOOKUP(I877,'AUX-NIV2'!B:AG,32,FALSE),0),"")</f>
        <v>0</v>
      </c>
      <c r="AI877" s="1291" t="str">
        <f t="shared" si="1003"/>
        <v>0-ITQ003</v>
      </c>
      <c r="AK877" s="347">
        <f t="shared" si="902"/>
        <v>877</v>
      </c>
      <c r="AL877" s="348">
        <f t="shared" si="1004"/>
        <v>877</v>
      </c>
      <c r="AM877" s="347">
        <f t="shared" si="1005"/>
        <v>1</v>
      </c>
      <c r="AN877" s="382">
        <f>IF(AND(AH877&gt;0,B877&lt;&gt;""),VLOOKUP(I877,'AUX-NIV2'!$B:$AP,40,FALSE)*O877,0)</f>
        <v>0</v>
      </c>
      <c r="AO877" s="382">
        <f t="shared" si="903"/>
        <v>0</v>
      </c>
      <c r="AQ877" s="395">
        <f>(IF($H877="x",VLOOKUP($I877,'AUX-NIV2'!$B:$X,'AUX-NIV1'!AQ$3,FALSE),0)+($AV877*'AUX-NIV3'!S$4))*$O877+IF($H877=AQ$4,$P877,0)</f>
        <v>0</v>
      </c>
      <c r="AR877" s="395">
        <f>(IF($H877="x",VLOOKUP($I877,'AUX-NIV2'!$B:$X,'AUX-NIV1'!AR$3,FALSE),0)+($AV877*'AUX-NIV3'!T$4))*$O877+IF($H877=AR$4,$P877,0)</f>
        <v>0</v>
      </c>
      <c r="AS877" s="395">
        <f>(IF($H877="x",VLOOKUP($I877,'AUX-NIV2'!$B:$X,'AUX-NIV1'!AS$3,FALSE),0)+($AV877*'AUX-NIV3'!U$4))*$O877+IF($H877=AS$4,$P877,0)</f>
        <v>0</v>
      </c>
      <c r="AT877" s="395">
        <f>(IF($H877="x",VLOOKUP($I877,'AUX-NIV2'!$B:$X,'AUX-NIV1'!AT$3,FALSE),0)+($AV877*'AUX-NIV3'!V$4))*$O877+IF($H877=AT$4,$P877,0)</f>
        <v>0</v>
      </c>
      <c r="AU877" s="395">
        <f>(IF($H877="x",VLOOKUP($I877,'AUX-NIV2'!$B:$X,'AUX-NIV1'!AU$3,FALSE),0)+($AV877*'AUX-NIV3'!W$4))*$O877+IF($H877=AU$4,$P877,0)</f>
        <v>1</v>
      </c>
      <c r="AV877" s="395">
        <f>+IF($H877="x",VLOOKUP($I877,'AUX-NIV2'!$B:$X,'AUX-NIV1'!AV$3,FALSE),0)</f>
        <v>0</v>
      </c>
    </row>
    <row r="878" spans="2:48" ht="14.4" hidden="1" thickTop="1" thickBot="1">
      <c r="B878" s="1433" t="s">
        <v>4036</v>
      </c>
      <c r="C878" s="1448" t="s">
        <v>3577</v>
      </c>
      <c r="D878" s="1435" t="s">
        <v>185</v>
      </c>
      <c r="E878" s="1281">
        <f>IF(B878&lt;&gt;"",+SUMIF(Items!C:C,'AUX-NIV1'!B878,Items!H:H),"")</f>
        <v>0</v>
      </c>
      <c r="F878" s="1281">
        <f t="shared" si="893"/>
        <v>1</v>
      </c>
      <c r="G878" s="1281">
        <f t="shared" si="894"/>
        <v>0</v>
      </c>
      <c r="H878" s="1395" t="str">
        <f t="shared" si="991"/>
        <v>S</v>
      </c>
      <c r="I878" s="1462" t="s">
        <v>4056</v>
      </c>
      <c r="J878" s="1283" t="str">
        <f>IF(B878&lt;&gt;"",+VLOOKUP(I878,Recursos!C:F,2,FALSE),"")</f>
        <v>(SISTEMA 02) Provisión e instalación de un equipo tipo ROOF TOP condensado por aire, capacidad nominal de 05 TR</v>
      </c>
      <c r="K878" s="1284" t="str">
        <f>IF(B878&lt;&gt;"",+VLOOKUP(I878,Recursos!C:F,3,FALSE),"")</f>
        <v>un</v>
      </c>
      <c r="L878" s="1285">
        <f>IF(B878&lt;&gt;"",+VLOOKUP(I878,Recursos!C:F,4,FALSE),"")</f>
        <v>1</v>
      </c>
      <c r="M878" s="1293"/>
      <c r="N878" s="1294">
        <v>1</v>
      </c>
      <c r="O878" s="1286">
        <f t="shared" si="992"/>
        <v>1</v>
      </c>
      <c r="P878" s="1287">
        <f t="shared" si="993"/>
        <v>1</v>
      </c>
      <c r="Q878" s="1281">
        <f t="shared" si="994"/>
        <v>0</v>
      </c>
      <c r="R878" s="1288">
        <f t="shared" si="995"/>
        <v>0</v>
      </c>
      <c r="S878" s="1289">
        <f t="shared" si="895"/>
        <v>0</v>
      </c>
      <c r="T878" s="1289">
        <f t="shared" si="896"/>
        <v>0</v>
      </c>
      <c r="U878" s="1290">
        <f t="shared" si="897"/>
        <v>0</v>
      </c>
      <c r="V878" s="1290">
        <f t="shared" si="898"/>
        <v>0</v>
      </c>
      <c r="W878" s="1290">
        <f t="shared" si="899"/>
        <v>1</v>
      </c>
      <c r="X878" s="1290">
        <f t="shared" si="900"/>
        <v>0</v>
      </c>
      <c r="Y878" s="396"/>
      <c r="Z878" s="1291" t="str">
        <f t="shared" si="996"/>
        <v>0-ITQ004A</v>
      </c>
      <c r="AA878" s="1291" t="str">
        <f t="shared" si="997"/>
        <v>0-ITQ004E</v>
      </c>
      <c r="AB878" s="1291" t="str">
        <f t="shared" si="998"/>
        <v>0-ITQ004M</v>
      </c>
      <c r="AC878" s="1291" t="str">
        <f t="shared" si="999"/>
        <v>0-ITQ004T</v>
      </c>
      <c r="AD878" s="1291" t="str">
        <f t="shared" si="1000"/>
        <v>0-ITQ004S</v>
      </c>
      <c r="AE878" s="1291" t="str">
        <f t="shared" si="1001"/>
        <v>0-ITQ004X</v>
      </c>
      <c r="AF878" s="1291" t="str">
        <f t="shared" si="1002"/>
        <v>0-ITQ004S</v>
      </c>
      <c r="AG878" s="1291">
        <f t="shared" si="901"/>
        <v>1</v>
      </c>
      <c r="AH878" s="1291">
        <f>IF(B878&lt;&gt;"",+IF(H878="x",+VLOOKUP(I878,'AUX-NIV2'!B:AG,32,FALSE),0),"")</f>
        <v>0</v>
      </c>
      <c r="AI878" s="1291" t="str">
        <f t="shared" si="1003"/>
        <v>0-ITQ004</v>
      </c>
      <c r="AK878" s="347">
        <f t="shared" si="902"/>
        <v>878</v>
      </c>
      <c r="AL878" s="348">
        <f t="shared" si="1004"/>
        <v>878</v>
      </c>
      <c r="AM878" s="347">
        <f t="shared" si="1005"/>
        <v>1</v>
      </c>
      <c r="AN878" s="382">
        <f>IF(AND(AH878&gt;0,B878&lt;&gt;""),VLOOKUP(I878,'AUX-NIV2'!$B:$AP,40,FALSE)*O878,0)</f>
        <v>0</v>
      </c>
      <c r="AO878" s="382">
        <f t="shared" si="903"/>
        <v>0</v>
      </c>
      <c r="AQ878" s="395">
        <f>(IF($H878="x",VLOOKUP($I878,'AUX-NIV2'!$B:$X,'AUX-NIV1'!AQ$3,FALSE),0)+($AV878*'AUX-NIV3'!S$4))*$O878+IF($H878=AQ$4,$P878,0)</f>
        <v>0</v>
      </c>
      <c r="AR878" s="395">
        <f>(IF($H878="x",VLOOKUP($I878,'AUX-NIV2'!$B:$X,'AUX-NIV1'!AR$3,FALSE),0)+($AV878*'AUX-NIV3'!T$4))*$O878+IF($H878=AR$4,$P878,0)</f>
        <v>0</v>
      </c>
      <c r="AS878" s="395">
        <f>(IF($H878="x",VLOOKUP($I878,'AUX-NIV2'!$B:$X,'AUX-NIV1'!AS$3,FALSE),0)+($AV878*'AUX-NIV3'!U$4))*$O878+IF($H878=AS$4,$P878,0)</f>
        <v>0</v>
      </c>
      <c r="AT878" s="395">
        <f>(IF($H878="x",VLOOKUP($I878,'AUX-NIV2'!$B:$X,'AUX-NIV1'!AT$3,FALSE),0)+($AV878*'AUX-NIV3'!V$4))*$O878+IF($H878=AT$4,$P878,0)</f>
        <v>0</v>
      </c>
      <c r="AU878" s="395">
        <f>(IF($H878="x",VLOOKUP($I878,'AUX-NIV2'!$B:$X,'AUX-NIV1'!AU$3,FALSE),0)+($AV878*'AUX-NIV3'!W$4))*$O878+IF($H878=AU$4,$P878,0)</f>
        <v>1</v>
      </c>
      <c r="AV878" s="395">
        <f>+IF($H878="x",VLOOKUP($I878,'AUX-NIV2'!$B:$X,'AUX-NIV1'!AV$3,FALSE),0)</f>
        <v>0</v>
      </c>
    </row>
    <row r="879" spans="2:48" ht="14.4" hidden="1" thickTop="1" thickBot="1">
      <c r="B879" s="1433" t="s">
        <v>4037</v>
      </c>
      <c r="C879" s="1448" t="s">
        <v>3578</v>
      </c>
      <c r="D879" s="1435" t="s">
        <v>185</v>
      </c>
      <c r="E879" s="1281">
        <f>IF(B879&lt;&gt;"",+SUMIF(Items!C:C,'AUX-NIV1'!B879,Items!H:H),"")</f>
        <v>0</v>
      </c>
      <c r="F879" s="1281">
        <f t="shared" si="893"/>
        <v>1</v>
      </c>
      <c r="G879" s="1281">
        <f t="shared" si="894"/>
        <v>0</v>
      </c>
      <c r="H879" s="1395" t="str">
        <f t="shared" si="991"/>
        <v>S</v>
      </c>
      <c r="I879" s="1462" t="s">
        <v>4057</v>
      </c>
      <c r="J879" s="1283" t="str">
        <f>IF(B879&lt;&gt;"",+VLOOKUP(I879,Recursos!C:F,2,FALSE),"")</f>
        <v>(SISTEMA 03) Provisión e instalación de un  Equipo Split Mural F/C de 3,000 frig/h.</v>
      </c>
      <c r="K879" s="1284" t="str">
        <f>IF(B879&lt;&gt;"",+VLOOKUP(I879,Recursos!C:F,3,FALSE),"")</f>
        <v>un</v>
      </c>
      <c r="L879" s="1285">
        <f>IF(B879&lt;&gt;"",+VLOOKUP(I879,Recursos!C:F,4,FALSE),"")</f>
        <v>1</v>
      </c>
      <c r="M879" s="1293"/>
      <c r="N879" s="1294">
        <v>1</v>
      </c>
      <c r="O879" s="1286">
        <f t="shared" si="992"/>
        <v>1</v>
      </c>
      <c r="P879" s="1287">
        <f t="shared" si="993"/>
        <v>1</v>
      </c>
      <c r="Q879" s="1281">
        <f t="shared" si="994"/>
        <v>0</v>
      </c>
      <c r="R879" s="1288">
        <f t="shared" si="995"/>
        <v>0</v>
      </c>
      <c r="S879" s="1289">
        <f t="shared" si="895"/>
        <v>0</v>
      </c>
      <c r="T879" s="1289">
        <f t="shared" si="896"/>
        <v>0</v>
      </c>
      <c r="U879" s="1290">
        <f t="shared" si="897"/>
        <v>0</v>
      </c>
      <c r="V879" s="1290">
        <f t="shared" si="898"/>
        <v>0</v>
      </c>
      <c r="W879" s="1290">
        <f t="shared" si="899"/>
        <v>1</v>
      </c>
      <c r="X879" s="1290">
        <f t="shared" si="900"/>
        <v>0</v>
      </c>
      <c r="Y879" s="396"/>
      <c r="Z879" s="1291" t="str">
        <f t="shared" si="996"/>
        <v>0-ITQ005A</v>
      </c>
      <c r="AA879" s="1291" t="str">
        <f t="shared" si="997"/>
        <v>0-ITQ005E</v>
      </c>
      <c r="AB879" s="1291" t="str">
        <f t="shared" si="998"/>
        <v>0-ITQ005M</v>
      </c>
      <c r="AC879" s="1291" t="str">
        <f t="shared" si="999"/>
        <v>0-ITQ005T</v>
      </c>
      <c r="AD879" s="1291" t="str">
        <f t="shared" si="1000"/>
        <v>0-ITQ005S</v>
      </c>
      <c r="AE879" s="1291" t="str">
        <f t="shared" si="1001"/>
        <v>0-ITQ005X</v>
      </c>
      <c r="AF879" s="1291" t="str">
        <f t="shared" si="1002"/>
        <v>0-ITQ005S</v>
      </c>
      <c r="AG879" s="1291">
        <f t="shared" si="901"/>
        <v>1</v>
      </c>
      <c r="AH879" s="1291">
        <f>IF(B879&lt;&gt;"",+IF(H879="x",+VLOOKUP(I879,'AUX-NIV2'!B:AG,32,FALSE),0),"")</f>
        <v>0</v>
      </c>
      <c r="AI879" s="1291" t="str">
        <f t="shared" si="1003"/>
        <v>0-ITQ005</v>
      </c>
      <c r="AK879" s="347">
        <f t="shared" si="902"/>
        <v>879</v>
      </c>
      <c r="AL879" s="348">
        <f t="shared" si="1004"/>
        <v>879</v>
      </c>
      <c r="AM879" s="347">
        <f t="shared" si="1005"/>
        <v>1</v>
      </c>
      <c r="AN879" s="382">
        <f>IF(AND(AH879&gt;0,B879&lt;&gt;""),VLOOKUP(I879,'AUX-NIV2'!$B:$AP,40,FALSE)*O879,0)</f>
        <v>0</v>
      </c>
      <c r="AO879" s="382">
        <f t="shared" si="903"/>
        <v>0</v>
      </c>
      <c r="AQ879" s="395">
        <f>(IF($H879="x",VLOOKUP($I879,'AUX-NIV2'!$B:$X,'AUX-NIV1'!AQ$3,FALSE),0)+($AV879*'AUX-NIV3'!S$4))*$O879+IF($H879=AQ$4,$P879,0)</f>
        <v>0</v>
      </c>
      <c r="AR879" s="395">
        <f>(IF($H879="x",VLOOKUP($I879,'AUX-NIV2'!$B:$X,'AUX-NIV1'!AR$3,FALSE),0)+($AV879*'AUX-NIV3'!T$4))*$O879+IF($H879=AR$4,$P879,0)</f>
        <v>0</v>
      </c>
      <c r="AS879" s="395">
        <f>(IF($H879="x",VLOOKUP($I879,'AUX-NIV2'!$B:$X,'AUX-NIV1'!AS$3,FALSE),0)+($AV879*'AUX-NIV3'!U$4))*$O879+IF($H879=AS$4,$P879,0)</f>
        <v>0</v>
      </c>
      <c r="AT879" s="395">
        <f>(IF($H879="x",VLOOKUP($I879,'AUX-NIV2'!$B:$X,'AUX-NIV1'!AT$3,FALSE),0)+($AV879*'AUX-NIV3'!V$4))*$O879+IF($H879=AT$4,$P879,0)</f>
        <v>0</v>
      </c>
      <c r="AU879" s="395">
        <f>(IF($H879="x",VLOOKUP($I879,'AUX-NIV2'!$B:$X,'AUX-NIV1'!AU$3,FALSE),0)+($AV879*'AUX-NIV3'!W$4))*$O879+IF($H879=AU$4,$P879,0)</f>
        <v>1</v>
      </c>
      <c r="AV879" s="395">
        <f>+IF($H879="x",VLOOKUP($I879,'AUX-NIV2'!$B:$X,'AUX-NIV1'!AV$3,FALSE),0)</f>
        <v>0</v>
      </c>
    </row>
    <row r="880" spans="2:48" ht="14.4" hidden="1" thickTop="1" thickBot="1">
      <c r="B880" s="1433" t="s">
        <v>4038</v>
      </c>
      <c r="C880" s="1448" t="s">
        <v>3579</v>
      </c>
      <c r="D880" s="1435" t="s">
        <v>185</v>
      </c>
      <c r="E880" s="1281">
        <f>IF(B880&lt;&gt;"",+SUMIF(Items!C:C,'AUX-NIV1'!B880,Items!H:H),"")</f>
        <v>0</v>
      </c>
      <c r="F880" s="1281">
        <f t="shared" si="893"/>
        <v>1</v>
      </c>
      <c r="G880" s="1281">
        <f t="shared" si="894"/>
        <v>0</v>
      </c>
      <c r="H880" s="1395" t="str">
        <f t="shared" si="991"/>
        <v>S</v>
      </c>
      <c r="I880" s="1462" t="s">
        <v>4058</v>
      </c>
      <c r="J880" s="1283" t="str">
        <f>IF(B880&lt;&gt;"",+VLOOKUP(I880,Recursos!C:F,2,FALSE),"")</f>
        <v>(SISTEMA 04) Provisión e instalación de un  Equipo Split Mural F/S de 3,000 frig/h.</v>
      </c>
      <c r="K880" s="1284" t="str">
        <f>IF(B880&lt;&gt;"",+VLOOKUP(I880,Recursos!C:F,3,FALSE),"")</f>
        <v>un</v>
      </c>
      <c r="L880" s="1285">
        <f>IF(B880&lt;&gt;"",+VLOOKUP(I880,Recursos!C:F,4,FALSE),"")</f>
        <v>1</v>
      </c>
      <c r="M880" s="1293"/>
      <c r="N880" s="1294">
        <v>1</v>
      </c>
      <c r="O880" s="1286">
        <f t="shared" si="992"/>
        <v>1</v>
      </c>
      <c r="P880" s="1287">
        <f t="shared" si="993"/>
        <v>1</v>
      </c>
      <c r="Q880" s="1281">
        <f t="shared" si="994"/>
        <v>0</v>
      </c>
      <c r="R880" s="1288">
        <f t="shared" si="995"/>
        <v>0</v>
      </c>
      <c r="S880" s="1289">
        <f t="shared" si="895"/>
        <v>0</v>
      </c>
      <c r="T880" s="1289">
        <f t="shared" si="896"/>
        <v>0</v>
      </c>
      <c r="U880" s="1290">
        <f t="shared" si="897"/>
        <v>0</v>
      </c>
      <c r="V880" s="1290">
        <f t="shared" si="898"/>
        <v>0</v>
      </c>
      <c r="W880" s="1290">
        <f t="shared" si="899"/>
        <v>1</v>
      </c>
      <c r="X880" s="1290">
        <f t="shared" si="900"/>
        <v>0</v>
      </c>
      <c r="Y880" s="396"/>
      <c r="Z880" s="1291" t="str">
        <f t="shared" si="996"/>
        <v>0-ITQ006A</v>
      </c>
      <c r="AA880" s="1291" t="str">
        <f t="shared" si="997"/>
        <v>0-ITQ006E</v>
      </c>
      <c r="AB880" s="1291" t="str">
        <f t="shared" si="998"/>
        <v>0-ITQ006M</v>
      </c>
      <c r="AC880" s="1291" t="str">
        <f t="shared" si="999"/>
        <v>0-ITQ006T</v>
      </c>
      <c r="AD880" s="1291" t="str">
        <f t="shared" si="1000"/>
        <v>0-ITQ006S</v>
      </c>
      <c r="AE880" s="1291" t="str">
        <f t="shared" si="1001"/>
        <v>0-ITQ006X</v>
      </c>
      <c r="AF880" s="1291" t="str">
        <f t="shared" si="1002"/>
        <v>0-ITQ006S</v>
      </c>
      <c r="AG880" s="1291">
        <f t="shared" si="901"/>
        <v>1</v>
      </c>
      <c r="AH880" s="1291">
        <f>IF(B880&lt;&gt;"",+IF(H880="x",+VLOOKUP(I880,'AUX-NIV2'!B:AG,32,FALSE),0),"")</f>
        <v>0</v>
      </c>
      <c r="AI880" s="1291" t="str">
        <f t="shared" si="1003"/>
        <v>0-ITQ006</v>
      </c>
      <c r="AK880" s="347">
        <f t="shared" si="902"/>
        <v>880</v>
      </c>
      <c r="AL880" s="348">
        <f t="shared" si="1004"/>
        <v>880</v>
      </c>
      <c r="AM880" s="347">
        <f t="shared" si="1005"/>
        <v>1</v>
      </c>
      <c r="AN880" s="382">
        <f>IF(AND(AH880&gt;0,B880&lt;&gt;""),VLOOKUP(I880,'AUX-NIV2'!$B:$AP,40,FALSE)*O880,0)</f>
        <v>0</v>
      </c>
      <c r="AO880" s="382">
        <f t="shared" si="903"/>
        <v>0</v>
      </c>
      <c r="AQ880" s="395">
        <f>(IF($H880="x",VLOOKUP($I880,'AUX-NIV2'!$B:$X,'AUX-NIV1'!AQ$3,FALSE),0)+($AV880*'AUX-NIV3'!S$4))*$O880+IF($H880=AQ$4,$P880,0)</f>
        <v>0</v>
      </c>
      <c r="AR880" s="395">
        <f>(IF($H880="x",VLOOKUP($I880,'AUX-NIV2'!$B:$X,'AUX-NIV1'!AR$3,FALSE),0)+($AV880*'AUX-NIV3'!T$4))*$O880+IF($H880=AR$4,$P880,0)</f>
        <v>0</v>
      </c>
      <c r="AS880" s="395">
        <f>(IF($H880="x",VLOOKUP($I880,'AUX-NIV2'!$B:$X,'AUX-NIV1'!AS$3,FALSE),0)+($AV880*'AUX-NIV3'!U$4))*$O880+IF($H880=AS$4,$P880,0)</f>
        <v>0</v>
      </c>
      <c r="AT880" s="395">
        <f>(IF($H880="x",VLOOKUP($I880,'AUX-NIV2'!$B:$X,'AUX-NIV1'!AT$3,FALSE),0)+($AV880*'AUX-NIV3'!V$4))*$O880+IF($H880=AT$4,$P880,0)</f>
        <v>0</v>
      </c>
      <c r="AU880" s="395">
        <f>(IF($H880="x",VLOOKUP($I880,'AUX-NIV2'!$B:$X,'AUX-NIV1'!AU$3,FALSE),0)+($AV880*'AUX-NIV3'!W$4))*$O880+IF($H880=AU$4,$P880,0)</f>
        <v>1</v>
      </c>
      <c r="AV880" s="395">
        <f>+IF($H880="x",VLOOKUP($I880,'AUX-NIV2'!$B:$X,'AUX-NIV1'!AV$3,FALSE),0)</f>
        <v>0</v>
      </c>
    </row>
    <row r="881" spans="2:48" ht="14.4" hidden="1" thickTop="1" thickBot="1">
      <c r="B881" s="1433" t="s">
        <v>4039</v>
      </c>
      <c r="C881" s="1448" t="s">
        <v>3580</v>
      </c>
      <c r="D881" s="1435" t="s">
        <v>185</v>
      </c>
      <c r="E881" s="1281">
        <f>IF(B881&lt;&gt;"",+SUMIF(Items!C:C,'AUX-NIV1'!B881,Items!H:H),"")</f>
        <v>0</v>
      </c>
      <c r="F881" s="1281">
        <f t="shared" si="893"/>
        <v>1</v>
      </c>
      <c r="G881" s="1281">
        <f t="shared" si="894"/>
        <v>0</v>
      </c>
      <c r="H881" s="1395" t="str">
        <f t="shared" si="991"/>
        <v>S</v>
      </c>
      <c r="I881" s="1462" t="s">
        <v>4059</v>
      </c>
      <c r="J881" s="1283" t="str">
        <f>IF(B881&lt;&gt;"",+VLOOKUP(I881,Recursos!C:F,2,FALSE),"")</f>
        <v>(SISTEMA 05) Provisión e instalación de un  Equipo Split Mural F/C de 2,250 frig/h.</v>
      </c>
      <c r="K881" s="1284" t="str">
        <f>IF(B881&lt;&gt;"",+VLOOKUP(I881,Recursos!C:F,3,FALSE),"")</f>
        <v>un</v>
      </c>
      <c r="L881" s="1285">
        <f>IF(B881&lt;&gt;"",+VLOOKUP(I881,Recursos!C:F,4,FALSE),"")</f>
        <v>1</v>
      </c>
      <c r="M881" s="1293"/>
      <c r="N881" s="1294">
        <v>1</v>
      </c>
      <c r="O881" s="1286">
        <f t="shared" si="992"/>
        <v>1</v>
      </c>
      <c r="P881" s="1287">
        <f t="shared" si="993"/>
        <v>1</v>
      </c>
      <c r="Q881" s="1281">
        <f t="shared" si="994"/>
        <v>0</v>
      </c>
      <c r="R881" s="1288">
        <f t="shared" si="995"/>
        <v>0</v>
      </c>
      <c r="S881" s="1289">
        <f t="shared" si="895"/>
        <v>0</v>
      </c>
      <c r="T881" s="1289">
        <f t="shared" si="896"/>
        <v>0</v>
      </c>
      <c r="U881" s="1290">
        <f t="shared" si="897"/>
        <v>0</v>
      </c>
      <c r="V881" s="1290">
        <f t="shared" si="898"/>
        <v>0</v>
      </c>
      <c r="W881" s="1290">
        <f t="shared" si="899"/>
        <v>1</v>
      </c>
      <c r="X881" s="1290">
        <f t="shared" si="900"/>
        <v>0</v>
      </c>
      <c r="Y881" s="396"/>
      <c r="Z881" s="1291" t="str">
        <f t="shared" si="996"/>
        <v>0-ITQ007A</v>
      </c>
      <c r="AA881" s="1291" t="str">
        <f t="shared" si="997"/>
        <v>0-ITQ007E</v>
      </c>
      <c r="AB881" s="1291" t="str">
        <f t="shared" si="998"/>
        <v>0-ITQ007M</v>
      </c>
      <c r="AC881" s="1291" t="str">
        <f t="shared" si="999"/>
        <v>0-ITQ007T</v>
      </c>
      <c r="AD881" s="1291" t="str">
        <f t="shared" si="1000"/>
        <v>0-ITQ007S</v>
      </c>
      <c r="AE881" s="1291" t="str">
        <f t="shared" si="1001"/>
        <v>0-ITQ007X</v>
      </c>
      <c r="AF881" s="1291" t="str">
        <f t="shared" si="1002"/>
        <v>0-ITQ007S</v>
      </c>
      <c r="AG881" s="1291">
        <f t="shared" si="901"/>
        <v>1</v>
      </c>
      <c r="AH881" s="1291">
        <f>IF(B881&lt;&gt;"",+IF(H881="x",+VLOOKUP(I881,'AUX-NIV2'!B:AG,32,FALSE),0),"")</f>
        <v>0</v>
      </c>
      <c r="AI881" s="1291" t="str">
        <f t="shared" si="1003"/>
        <v>0-ITQ007</v>
      </c>
      <c r="AK881" s="347">
        <f t="shared" si="902"/>
        <v>881</v>
      </c>
      <c r="AL881" s="348">
        <f t="shared" si="1004"/>
        <v>881</v>
      </c>
      <c r="AM881" s="347">
        <f t="shared" si="1005"/>
        <v>1</v>
      </c>
      <c r="AN881" s="382">
        <f>IF(AND(AH881&gt;0,B881&lt;&gt;""),VLOOKUP(I881,'AUX-NIV2'!$B:$AP,40,FALSE)*O881,0)</f>
        <v>0</v>
      </c>
      <c r="AO881" s="382">
        <f t="shared" si="903"/>
        <v>0</v>
      </c>
      <c r="AQ881" s="395">
        <f>(IF($H881="x",VLOOKUP($I881,'AUX-NIV2'!$B:$X,'AUX-NIV1'!AQ$3,FALSE),0)+($AV881*'AUX-NIV3'!S$4))*$O881+IF($H881=AQ$4,$P881,0)</f>
        <v>0</v>
      </c>
      <c r="AR881" s="395">
        <f>(IF($H881="x",VLOOKUP($I881,'AUX-NIV2'!$B:$X,'AUX-NIV1'!AR$3,FALSE),0)+($AV881*'AUX-NIV3'!T$4))*$O881+IF($H881=AR$4,$P881,0)</f>
        <v>0</v>
      </c>
      <c r="AS881" s="395">
        <f>(IF($H881="x",VLOOKUP($I881,'AUX-NIV2'!$B:$X,'AUX-NIV1'!AS$3,FALSE),0)+($AV881*'AUX-NIV3'!U$4))*$O881+IF($H881=AS$4,$P881,0)</f>
        <v>0</v>
      </c>
      <c r="AT881" s="395">
        <f>(IF($H881="x",VLOOKUP($I881,'AUX-NIV2'!$B:$X,'AUX-NIV1'!AT$3,FALSE),0)+($AV881*'AUX-NIV3'!V$4))*$O881+IF($H881=AT$4,$P881,0)</f>
        <v>0</v>
      </c>
      <c r="AU881" s="395">
        <f>(IF($H881="x",VLOOKUP($I881,'AUX-NIV2'!$B:$X,'AUX-NIV1'!AU$3,FALSE),0)+($AV881*'AUX-NIV3'!W$4))*$O881+IF($H881=AU$4,$P881,0)</f>
        <v>1</v>
      </c>
      <c r="AV881" s="395">
        <f>+IF($H881="x",VLOOKUP($I881,'AUX-NIV2'!$B:$X,'AUX-NIV1'!AV$3,FALSE),0)</f>
        <v>0</v>
      </c>
    </row>
    <row r="882" spans="2:48" ht="14.4" hidden="1" thickTop="1" thickBot="1">
      <c r="B882" s="1433" t="s">
        <v>4040</v>
      </c>
      <c r="C882" s="1448" t="s">
        <v>3581</v>
      </c>
      <c r="D882" s="1435" t="s">
        <v>185</v>
      </c>
      <c r="E882" s="1281">
        <f>IF(B882&lt;&gt;"",+SUMIF(Items!C:C,'AUX-NIV1'!B882,Items!H:H),"")</f>
        <v>0</v>
      </c>
      <c r="F882" s="1281">
        <f t="shared" si="893"/>
        <v>1</v>
      </c>
      <c r="G882" s="1281">
        <f t="shared" si="894"/>
        <v>0</v>
      </c>
      <c r="H882" s="1395" t="str">
        <f t="shared" si="991"/>
        <v>S</v>
      </c>
      <c r="I882" s="1462" t="s">
        <v>4060</v>
      </c>
      <c r="J882" s="1283" t="str">
        <f>IF(B882&lt;&gt;"",+VLOOKUP(I882,Recursos!C:F,2,FALSE),"")</f>
        <v>(SISTEMA 06) Provisión e instalación de un  Equipo Split Mural F/C de 3,000 frig/h.</v>
      </c>
      <c r="K882" s="1284" t="str">
        <f>IF(B882&lt;&gt;"",+VLOOKUP(I882,Recursos!C:F,3,FALSE),"")</f>
        <v>un</v>
      </c>
      <c r="L882" s="1285">
        <f>IF(B882&lt;&gt;"",+VLOOKUP(I882,Recursos!C:F,4,FALSE),"")</f>
        <v>1</v>
      </c>
      <c r="M882" s="1293"/>
      <c r="N882" s="1294">
        <v>1</v>
      </c>
      <c r="O882" s="1286">
        <f t="shared" si="992"/>
        <v>1</v>
      </c>
      <c r="P882" s="1287">
        <f t="shared" si="993"/>
        <v>1</v>
      </c>
      <c r="Q882" s="1281">
        <f t="shared" si="994"/>
        <v>0</v>
      </c>
      <c r="R882" s="1288">
        <f t="shared" si="995"/>
        <v>0</v>
      </c>
      <c r="S882" s="1289">
        <f t="shared" si="895"/>
        <v>0</v>
      </c>
      <c r="T882" s="1289">
        <f t="shared" si="896"/>
        <v>0</v>
      </c>
      <c r="U882" s="1290">
        <f t="shared" si="897"/>
        <v>0</v>
      </c>
      <c r="V882" s="1290">
        <f t="shared" si="898"/>
        <v>0</v>
      </c>
      <c r="W882" s="1290">
        <f t="shared" si="899"/>
        <v>1</v>
      </c>
      <c r="X882" s="1290">
        <f t="shared" si="900"/>
        <v>0</v>
      </c>
      <c r="Y882" s="396"/>
      <c r="Z882" s="1291" t="str">
        <f t="shared" si="996"/>
        <v>0-ITQ008A</v>
      </c>
      <c r="AA882" s="1291" t="str">
        <f t="shared" si="997"/>
        <v>0-ITQ008E</v>
      </c>
      <c r="AB882" s="1291" t="str">
        <f t="shared" si="998"/>
        <v>0-ITQ008M</v>
      </c>
      <c r="AC882" s="1291" t="str">
        <f t="shared" si="999"/>
        <v>0-ITQ008T</v>
      </c>
      <c r="AD882" s="1291" t="str">
        <f t="shared" si="1000"/>
        <v>0-ITQ008S</v>
      </c>
      <c r="AE882" s="1291" t="str">
        <f t="shared" si="1001"/>
        <v>0-ITQ008X</v>
      </c>
      <c r="AF882" s="1291" t="str">
        <f t="shared" si="1002"/>
        <v>0-ITQ008S</v>
      </c>
      <c r="AG882" s="1291">
        <f t="shared" si="901"/>
        <v>1</v>
      </c>
      <c r="AH882" s="1291">
        <f>IF(B882&lt;&gt;"",+IF(H882="x",+VLOOKUP(I882,'AUX-NIV2'!B:AG,32,FALSE),0),"")</f>
        <v>0</v>
      </c>
      <c r="AI882" s="1291" t="str">
        <f t="shared" si="1003"/>
        <v>0-ITQ008</v>
      </c>
      <c r="AK882" s="347">
        <f t="shared" si="902"/>
        <v>882</v>
      </c>
      <c r="AL882" s="348">
        <f t="shared" si="1004"/>
        <v>882</v>
      </c>
      <c r="AM882" s="347">
        <f t="shared" si="1005"/>
        <v>1</v>
      </c>
      <c r="AN882" s="382">
        <f>IF(AND(AH882&gt;0,B882&lt;&gt;""),VLOOKUP(I882,'AUX-NIV2'!$B:$AP,40,FALSE)*O882,0)</f>
        <v>0</v>
      </c>
      <c r="AO882" s="382">
        <f t="shared" si="903"/>
        <v>0</v>
      </c>
      <c r="AQ882" s="395">
        <f>(IF($H882="x",VLOOKUP($I882,'AUX-NIV2'!$B:$X,'AUX-NIV1'!AQ$3,FALSE),0)+($AV882*'AUX-NIV3'!S$4))*$O882+IF($H882=AQ$4,$P882,0)</f>
        <v>0</v>
      </c>
      <c r="AR882" s="395">
        <f>(IF($H882="x",VLOOKUP($I882,'AUX-NIV2'!$B:$X,'AUX-NIV1'!AR$3,FALSE),0)+($AV882*'AUX-NIV3'!T$4))*$O882+IF($H882=AR$4,$P882,0)</f>
        <v>0</v>
      </c>
      <c r="AS882" s="395">
        <f>(IF($H882="x",VLOOKUP($I882,'AUX-NIV2'!$B:$X,'AUX-NIV1'!AS$3,FALSE),0)+($AV882*'AUX-NIV3'!U$4))*$O882+IF($H882=AS$4,$P882,0)</f>
        <v>0</v>
      </c>
      <c r="AT882" s="395">
        <f>(IF($H882="x",VLOOKUP($I882,'AUX-NIV2'!$B:$X,'AUX-NIV1'!AT$3,FALSE),0)+($AV882*'AUX-NIV3'!V$4))*$O882+IF($H882=AT$4,$P882,0)</f>
        <v>0</v>
      </c>
      <c r="AU882" s="395">
        <f>(IF($H882="x",VLOOKUP($I882,'AUX-NIV2'!$B:$X,'AUX-NIV1'!AU$3,FALSE),0)+($AV882*'AUX-NIV3'!W$4))*$O882+IF($H882=AU$4,$P882,0)</f>
        <v>1</v>
      </c>
      <c r="AV882" s="395">
        <f>+IF($H882="x",VLOOKUP($I882,'AUX-NIV2'!$B:$X,'AUX-NIV1'!AV$3,FALSE),0)</f>
        <v>0</v>
      </c>
    </row>
    <row r="883" spans="2:48" ht="14.4" hidden="1" thickTop="1" thickBot="1">
      <c r="B883" s="1433" t="s">
        <v>4041</v>
      </c>
      <c r="C883" s="1448" t="s">
        <v>3582</v>
      </c>
      <c r="D883" s="1435" t="s">
        <v>185</v>
      </c>
      <c r="E883" s="1281">
        <f>IF(B883&lt;&gt;"",+SUMIF(Items!C:C,'AUX-NIV1'!B883,Items!H:H),"")</f>
        <v>0</v>
      </c>
      <c r="F883" s="1281">
        <f t="shared" si="893"/>
        <v>1</v>
      </c>
      <c r="G883" s="1281">
        <f t="shared" si="894"/>
        <v>0</v>
      </c>
      <c r="H883" s="1395" t="str">
        <f t="shared" si="991"/>
        <v>S</v>
      </c>
      <c r="I883" s="1462" t="s">
        <v>4061</v>
      </c>
      <c r="J883" s="1283" t="str">
        <f>IF(B883&lt;&gt;"",+VLOOKUP(I883,Recursos!C:F,2,FALSE),"")</f>
        <v>(SISTEMA 07) Provisión e instalación de un  Equipo Split Mural F/S de 4,500 frig/h.</v>
      </c>
      <c r="K883" s="1284" t="str">
        <f>IF(B883&lt;&gt;"",+VLOOKUP(I883,Recursos!C:F,3,FALSE),"")</f>
        <v>un</v>
      </c>
      <c r="L883" s="1285">
        <f>IF(B883&lt;&gt;"",+VLOOKUP(I883,Recursos!C:F,4,FALSE),"")</f>
        <v>1</v>
      </c>
      <c r="M883" s="1293"/>
      <c r="N883" s="1294">
        <v>1</v>
      </c>
      <c r="O883" s="1286">
        <f t="shared" si="992"/>
        <v>1</v>
      </c>
      <c r="P883" s="1287">
        <f t="shared" si="993"/>
        <v>1</v>
      </c>
      <c r="Q883" s="1281">
        <f t="shared" si="994"/>
        <v>0</v>
      </c>
      <c r="R883" s="1288">
        <f t="shared" si="995"/>
        <v>0</v>
      </c>
      <c r="S883" s="1289">
        <f t="shared" si="895"/>
        <v>0</v>
      </c>
      <c r="T883" s="1289">
        <f t="shared" si="896"/>
        <v>0</v>
      </c>
      <c r="U883" s="1290">
        <f t="shared" si="897"/>
        <v>0</v>
      </c>
      <c r="V883" s="1290">
        <f t="shared" si="898"/>
        <v>0</v>
      </c>
      <c r="W883" s="1290">
        <f t="shared" si="899"/>
        <v>1</v>
      </c>
      <c r="X883" s="1290">
        <f t="shared" si="900"/>
        <v>0</v>
      </c>
      <c r="Y883" s="396"/>
      <c r="Z883" s="1291" t="str">
        <f t="shared" si="996"/>
        <v>0-ITQ009A</v>
      </c>
      <c r="AA883" s="1291" t="str">
        <f t="shared" si="997"/>
        <v>0-ITQ009E</v>
      </c>
      <c r="AB883" s="1291" t="str">
        <f t="shared" si="998"/>
        <v>0-ITQ009M</v>
      </c>
      <c r="AC883" s="1291" t="str">
        <f t="shared" si="999"/>
        <v>0-ITQ009T</v>
      </c>
      <c r="AD883" s="1291" t="str">
        <f t="shared" si="1000"/>
        <v>0-ITQ009S</v>
      </c>
      <c r="AE883" s="1291" t="str">
        <f t="shared" si="1001"/>
        <v>0-ITQ009X</v>
      </c>
      <c r="AF883" s="1291" t="str">
        <f t="shared" si="1002"/>
        <v>0-ITQ009S</v>
      </c>
      <c r="AG883" s="1291">
        <f t="shared" si="901"/>
        <v>1</v>
      </c>
      <c r="AH883" s="1291">
        <f>IF(B883&lt;&gt;"",+IF(H883="x",+VLOOKUP(I883,'AUX-NIV2'!B:AG,32,FALSE),0),"")</f>
        <v>0</v>
      </c>
      <c r="AI883" s="1291" t="str">
        <f t="shared" si="1003"/>
        <v>0-ITQ009</v>
      </c>
      <c r="AK883" s="347">
        <f t="shared" si="902"/>
        <v>883</v>
      </c>
      <c r="AL883" s="348">
        <f t="shared" si="1004"/>
        <v>883</v>
      </c>
      <c r="AM883" s="347">
        <f t="shared" si="1005"/>
        <v>1</v>
      </c>
      <c r="AN883" s="382">
        <f>IF(AND(AH883&gt;0,B883&lt;&gt;""),VLOOKUP(I883,'AUX-NIV2'!$B:$AP,40,FALSE)*O883,0)</f>
        <v>0</v>
      </c>
      <c r="AO883" s="382">
        <f t="shared" si="903"/>
        <v>0</v>
      </c>
      <c r="AQ883" s="395">
        <f>(IF($H883="x",VLOOKUP($I883,'AUX-NIV2'!$B:$X,'AUX-NIV1'!AQ$3,FALSE),0)+($AV883*'AUX-NIV3'!S$4))*$O883+IF($H883=AQ$4,$P883,0)</f>
        <v>0</v>
      </c>
      <c r="AR883" s="395">
        <f>(IF($H883="x",VLOOKUP($I883,'AUX-NIV2'!$B:$X,'AUX-NIV1'!AR$3,FALSE),0)+($AV883*'AUX-NIV3'!T$4))*$O883+IF($H883=AR$4,$P883,0)</f>
        <v>0</v>
      </c>
      <c r="AS883" s="395">
        <f>(IF($H883="x",VLOOKUP($I883,'AUX-NIV2'!$B:$X,'AUX-NIV1'!AS$3,FALSE),0)+($AV883*'AUX-NIV3'!U$4))*$O883+IF($H883=AS$4,$P883,0)</f>
        <v>0</v>
      </c>
      <c r="AT883" s="395">
        <f>(IF($H883="x",VLOOKUP($I883,'AUX-NIV2'!$B:$X,'AUX-NIV1'!AT$3,FALSE),0)+($AV883*'AUX-NIV3'!V$4))*$O883+IF($H883=AT$4,$P883,0)</f>
        <v>0</v>
      </c>
      <c r="AU883" s="395">
        <f>(IF($H883="x",VLOOKUP($I883,'AUX-NIV2'!$B:$X,'AUX-NIV1'!AU$3,FALSE),0)+($AV883*'AUX-NIV3'!W$4))*$O883+IF($H883=AU$4,$P883,0)</f>
        <v>1</v>
      </c>
      <c r="AV883" s="395">
        <f>+IF($H883="x",VLOOKUP($I883,'AUX-NIV2'!$B:$X,'AUX-NIV1'!AV$3,FALSE),0)</f>
        <v>0</v>
      </c>
    </row>
    <row r="884" spans="2:48" ht="14.4" hidden="1" thickTop="1" thickBot="1">
      <c r="B884" s="1433" t="s">
        <v>4042</v>
      </c>
      <c r="C884" s="1448" t="s">
        <v>3947</v>
      </c>
      <c r="D884" s="1435" t="s">
        <v>185</v>
      </c>
      <c r="E884" s="1281">
        <f>IF(B884&lt;&gt;"",+SUMIF(Items!C:C,'AUX-NIV1'!B884,Items!H:H),"")</f>
        <v>0</v>
      </c>
      <c r="F884" s="1281">
        <f t="shared" si="893"/>
        <v>1</v>
      </c>
      <c r="G884" s="1281">
        <f t="shared" si="894"/>
        <v>0</v>
      </c>
      <c r="H884" s="1395" t="str">
        <f t="shared" si="991"/>
        <v>S</v>
      </c>
      <c r="I884" s="1462" t="s">
        <v>4062</v>
      </c>
      <c r="J884" s="1283" t="str">
        <f>IF(B884&lt;&gt;"",+VLOOKUP(I884,Recursos!C:F,2,FALSE),"")</f>
        <v>(SISTEMA 08) Provisión e instalación de un  Equipo Split Cassette F/C de 6,000 frig/h.</v>
      </c>
      <c r="K884" s="1284" t="str">
        <f>IF(B884&lt;&gt;"",+VLOOKUP(I884,Recursos!C:F,3,FALSE),"")</f>
        <v>un</v>
      </c>
      <c r="L884" s="1285">
        <f>IF(B884&lt;&gt;"",+VLOOKUP(I884,Recursos!C:F,4,FALSE),"")</f>
        <v>1</v>
      </c>
      <c r="M884" s="1293"/>
      <c r="N884" s="1294">
        <v>1</v>
      </c>
      <c r="O884" s="1286">
        <f t="shared" si="992"/>
        <v>1</v>
      </c>
      <c r="P884" s="1287">
        <f t="shared" si="993"/>
        <v>1</v>
      </c>
      <c r="Q884" s="1281">
        <f t="shared" si="994"/>
        <v>0</v>
      </c>
      <c r="R884" s="1288">
        <f t="shared" si="995"/>
        <v>0</v>
      </c>
      <c r="S884" s="1289">
        <f t="shared" si="895"/>
        <v>0</v>
      </c>
      <c r="T884" s="1289">
        <f t="shared" si="896"/>
        <v>0</v>
      </c>
      <c r="U884" s="1290">
        <f t="shared" si="897"/>
        <v>0</v>
      </c>
      <c r="V884" s="1290">
        <f t="shared" si="898"/>
        <v>0</v>
      </c>
      <c r="W884" s="1290">
        <f t="shared" si="899"/>
        <v>1</v>
      </c>
      <c r="X884" s="1290">
        <f t="shared" si="900"/>
        <v>0</v>
      </c>
      <c r="Y884" s="396"/>
      <c r="Z884" s="1291" t="str">
        <f t="shared" si="996"/>
        <v>0-ITQ010A</v>
      </c>
      <c r="AA884" s="1291" t="str">
        <f t="shared" si="997"/>
        <v>0-ITQ010E</v>
      </c>
      <c r="AB884" s="1291" t="str">
        <f t="shared" si="998"/>
        <v>0-ITQ010M</v>
      </c>
      <c r="AC884" s="1291" t="str">
        <f t="shared" si="999"/>
        <v>0-ITQ010T</v>
      </c>
      <c r="AD884" s="1291" t="str">
        <f t="shared" si="1000"/>
        <v>0-ITQ010S</v>
      </c>
      <c r="AE884" s="1291" t="str">
        <f t="shared" si="1001"/>
        <v>0-ITQ010X</v>
      </c>
      <c r="AF884" s="1291" t="str">
        <f t="shared" si="1002"/>
        <v>0-ITQ010S</v>
      </c>
      <c r="AG884" s="1291">
        <f t="shared" si="901"/>
        <v>1</v>
      </c>
      <c r="AH884" s="1291">
        <f>IF(B884&lt;&gt;"",+IF(H884="x",+VLOOKUP(I884,'AUX-NIV2'!B:AG,32,FALSE),0),"")</f>
        <v>0</v>
      </c>
      <c r="AI884" s="1291" t="str">
        <f t="shared" si="1003"/>
        <v>0-ITQ010</v>
      </c>
      <c r="AK884" s="347">
        <f t="shared" si="902"/>
        <v>884</v>
      </c>
      <c r="AL884" s="348">
        <f t="shared" si="1004"/>
        <v>884</v>
      </c>
      <c r="AM884" s="347">
        <f t="shared" si="1005"/>
        <v>1</v>
      </c>
      <c r="AN884" s="382">
        <f>IF(AND(AH884&gt;0,B884&lt;&gt;""),VLOOKUP(I884,'AUX-NIV2'!$B:$AP,40,FALSE)*O884,0)</f>
        <v>0</v>
      </c>
      <c r="AO884" s="382">
        <f t="shared" si="903"/>
        <v>0</v>
      </c>
      <c r="AQ884" s="395">
        <f>(IF($H884="x",VLOOKUP($I884,'AUX-NIV2'!$B:$X,'AUX-NIV1'!AQ$3,FALSE),0)+($AV884*'AUX-NIV3'!S$4))*$O884+IF($H884=AQ$4,$P884,0)</f>
        <v>0</v>
      </c>
      <c r="AR884" s="395">
        <f>(IF($H884="x",VLOOKUP($I884,'AUX-NIV2'!$B:$X,'AUX-NIV1'!AR$3,FALSE),0)+($AV884*'AUX-NIV3'!T$4))*$O884+IF($H884=AR$4,$P884,0)</f>
        <v>0</v>
      </c>
      <c r="AS884" s="395">
        <f>(IF($H884="x",VLOOKUP($I884,'AUX-NIV2'!$B:$X,'AUX-NIV1'!AS$3,FALSE),0)+($AV884*'AUX-NIV3'!U$4))*$O884+IF($H884=AS$4,$P884,0)</f>
        <v>0</v>
      </c>
      <c r="AT884" s="395">
        <f>(IF($H884="x",VLOOKUP($I884,'AUX-NIV2'!$B:$X,'AUX-NIV1'!AT$3,FALSE),0)+($AV884*'AUX-NIV3'!V$4))*$O884+IF($H884=AT$4,$P884,0)</f>
        <v>0</v>
      </c>
      <c r="AU884" s="395">
        <f>(IF($H884="x",VLOOKUP($I884,'AUX-NIV2'!$B:$X,'AUX-NIV1'!AU$3,FALSE),0)+($AV884*'AUX-NIV3'!W$4))*$O884+IF($H884=AU$4,$P884,0)</f>
        <v>1</v>
      </c>
      <c r="AV884" s="395">
        <f>+IF($H884="x",VLOOKUP($I884,'AUX-NIV2'!$B:$X,'AUX-NIV1'!AV$3,FALSE),0)</f>
        <v>0</v>
      </c>
    </row>
    <row r="885" spans="2:48" ht="14.4" hidden="1" thickTop="1" thickBot="1">
      <c r="B885" s="1433" t="s">
        <v>4043</v>
      </c>
      <c r="C885" s="1448" t="s">
        <v>3583</v>
      </c>
      <c r="D885" s="1435" t="s">
        <v>185</v>
      </c>
      <c r="E885" s="1281">
        <f>IF(B885&lt;&gt;"",+SUMIF(Items!C:C,'AUX-NIV1'!B885,Items!H:H),"")</f>
        <v>0</v>
      </c>
      <c r="F885" s="1281">
        <f t="shared" si="893"/>
        <v>1</v>
      </c>
      <c r="G885" s="1281">
        <f t="shared" si="894"/>
        <v>0</v>
      </c>
      <c r="H885" s="1395" t="str">
        <f t="shared" si="991"/>
        <v>S</v>
      </c>
      <c r="I885" s="1462" t="s">
        <v>4063</v>
      </c>
      <c r="J885" s="1283" t="str">
        <f>IF(B885&lt;&gt;"",+VLOOKUP(I885,Recursos!C:F,2,FALSE),"")</f>
        <v>(SISTEMA 10) Provisión, instalación y puesta en marcha de un Ventilador mural de extracción.</v>
      </c>
      <c r="K885" s="1284" t="str">
        <f>IF(B885&lt;&gt;"",+VLOOKUP(I885,Recursos!C:F,3,FALSE),"")</f>
        <v>un</v>
      </c>
      <c r="L885" s="1285">
        <f>IF(B885&lt;&gt;"",+VLOOKUP(I885,Recursos!C:F,4,FALSE),"")</f>
        <v>1</v>
      </c>
      <c r="M885" s="1293"/>
      <c r="N885" s="1294">
        <v>1</v>
      </c>
      <c r="O885" s="1286">
        <f t="shared" si="992"/>
        <v>1</v>
      </c>
      <c r="P885" s="1287">
        <f t="shared" si="993"/>
        <v>1</v>
      </c>
      <c r="Q885" s="1281">
        <f t="shared" si="994"/>
        <v>0</v>
      </c>
      <c r="R885" s="1288">
        <f t="shared" si="995"/>
        <v>0</v>
      </c>
      <c r="S885" s="1289">
        <f t="shared" si="895"/>
        <v>0</v>
      </c>
      <c r="T885" s="1289">
        <f t="shared" si="896"/>
        <v>0</v>
      </c>
      <c r="U885" s="1290">
        <f t="shared" si="897"/>
        <v>0</v>
      </c>
      <c r="V885" s="1290">
        <f t="shared" si="898"/>
        <v>0</v>
      </c>
      <c r="W885" s="1290">
        <f t="shared" si="899"/>
        <v>1</v>
      </c>
      <c r="X885" s="1290">
        <f t="shared" si="900"/>
        <v>0</v>
      </c>
      <c r="Y885" s="396"/>
      <c r="Z885" s="1291" t="str">
        <f t="shared" si="996"/>
        <v>0-ITQ011A</v>
      </c>
      <c r="AA885" s="1291" t="str">
        <f t="shared" si="997"/>
        <v>0-ITQ011E</v>
      </c>
      <c r="AB885" s="1291" t="str">
        <f t="shared" si="998"/>
        <v>0-ITQ011M</v>
      </c>
      <c r="AC885" s="1291" t="str">
        <f t="shared" si="999"/>
        <v>0-ITQ011T</v>
      </c>
      <c r="AD885" s="1291" t="str">
        <f t="shared" si="1000"/>
        <v>0-ITQ011S</v>
      </c>
      <c r="AE885" s="1291" t="str">
        <f t="shared" si="1001"/>
        <v>0-ITQ011X</v>
      </c>
      <c r="AF885" s="1291" t="str">
        <f t="shared" si="1002"/>
        <v>0-ITQ011S</v>
      </c>
      <c r="AG885" s="1291">
        <f t="shared" si="901"/>
        <v>1</v>
      </c>
      <c r="AH885" s="1291">
        <f>IF(B885&lt;&gt;"",+IF(H885="x",+VLOOKUP(I885,'AUX-NIV2'!B:AG,32,FALSE),0),"")</f>
        <v>0</v>
      </c>
      <c r="AI885" s="1291" t="str">
        <f t="shared" si="1003"/>
        <v>0-ITQ011</v>
      </c>
      <c r="AK885" s="347">
        <f t="shared" si="902"/>
        <v>885</v>
      </c>
      <c r="AL885" s="348">
        <f t="shared" si="1004"/>
        <v>885</v>
      </c>
      <c r="AM885" s="347">
        <f t="shared" si="1005"/>
        <v>1</v>
      </c>
      <c r="AN885" s="382">
        <f>IF(AND(AH885&gt;0,B885&lt;&gt;""),VLOOKUP(I885,'AUX-NIV2'!$B:$AP,40,FALSE)*O885,0)</f>
        <v>0</v>
      </c>
      <c r="AO885" s="382">
        <f t="shared" si="903"/>
        <v>0</v>
      </c>
      <c r="AQ885" s="395">
        <f>(IF($H885="x",VLOOKUP($I885,'AUX-NIV2'!$B:$X,'AUX-NIV1'!AQ$3,FALSE),0)+($AV885*'AUX-NIV3'!S$4))*$O885+IF($H885=AQ$4,$P885,0)</f>
        <v>0</v>
      </c>
      <c r="AR885" s="395">
        <f>(IF($H885="x",VLOOKUP($I885,'AUX-NIV2'!$B:$X,'AUX-NIV1'!AR$3,FALSE),0)+($AV885*'AUX-NIV3'!T$4))*$O885+IF($H885=AR$4,$P885,0)</f>
        <v>0</v>
      </c>
      <c r="AS885" s="395">
        <f>(IF($H885="x",VLOOKUP($I885,'AUX-NIV2'!$B:$X,'AUX-NIV1'!AS$3,FALSE),0)+($AV885*'AUX-NIV3'!U$4))*$O885+IF($H885=AS$4,$P885,0)</f>
        <v>0</v>
      </c>
      <c r="AT885" s="395">
        <f>(IF($H885="x",VLOOKUP($I885,'AUX-NIV2'!$B:$X,'AUX-NIV1'!AT$3,FALSE),0)+($AV885*'AUX-NIV3'!V$4))*$O885+IF($H885=AT$4,$P885,0)</f>
        <v>0</v>
      </c>
      <c r="AU885" s="395">
        <f>(IF($H885="x",VLOOKUP($I885,'AUX-NIV2'!$B:$X,'AUX-NIV1'!AU$3,FALSE),0)+($AV885*'AUX-NIV3'!W$4))*$O885+IF($H885=AU$4,$P885,0)</f>
        <v>1</v>
      </c>
      <c r="AV885" s="395">
        <f>+IF($H885="x",VLOOKUP($I885,'AUX-NIV2'!$B:$X,'AUX-NIV1'!AV$3,FALSE),0)</f>
        <v>0</v>
      </c>
    </row>
    <row r="886" spans="2:48" ht="14.4" hidden="1" thickTop="1" thickBot="1">
      <c r="B886" s="1433" t="s">
        <v>4044</v>
      </c>
      <c r="C886" s="1448" t="s">
        <v>3584</v>
      </c>
      <c r="D886" s="1435" t="s">
        <v>1172</v>
      </c>
      <c r="E886" s="1281">
        <f>IF(B886&lt;&gt;"",+SUMIF(Items!C:C,'AUX-NIV1'!B886,Items!H:H),"")</f>
        <v>0</v>
      </c>
      <c r="F886" s="1281">
        <f t="shared" si="893"/>
        <v>1</v>
      </c>
      <c r="G886" s="1281">
        <f t="shared" si="894"/>
        <v>0</v>
      </c>
      <c r="H886" s="1395" t="str">
        <f t="shared" si="991"/>
        <v>S</v>
      </c>
      <c r="I886" s="1462" t="s">
        <v>4064</v>
      </c>
      <c r="J886" s="1283" t="str">
        <f>IF(B886&lt;&gt;"",+VLOOKUP(I886,Recursos!C:F,2,FALSE),"")</f>
        <v>Provisión de todos los termostatos alambricos e inalambricos del sistema.</v>
      </c>
      <c r="K886" s="1284" t="str">
        <f>IF(B886&lt;&gt;"",+VLOOKUP(I886,Recursos!C:F,3,FALSE),"")</f>
        <v>gl</v>
      </c>
      <c r="L886" s="1285">
        <f>IF(B886&lt;&gt;"",+VLOOKUP(I886,Recursos!C:F,4,FALSE),"")</f>
        <v>1</v>
      </c>
      <c r="M886" s="1293"/>
      <c r="N886" s="1294">
        <v>1</v>
      </c>
      <c r="O886" s="1286">
        <f t="shared" si="992"/>
        <v>1</v>
      </c>
      <c r="P886" s="1287">
        <f t="shared" si="993"/>
        <v>1</v>
      </c>
      <c r="Q886" s="1281">
        <f t="shared" si="994"/>
        <v>0</v>
      </c>
      <c r="R886" s="1288">
        <f t="shared" si="995"/>
        <v>0</v>
      </c>
      <c r="S886" s="1289">
        <f t="shared" si="895"/>
        <v>0</v>
      </c>
      <c r="T886" s="1289">
        <f t="shared" si="896"/>
        <v>0</v>
      </c>
      <c r="U886" s="1290">
        <f t="shared" si="897"/>
        <v>0</v>
      </c>
      <c r="V886" s="1290">
        <f t="shared" si="898"/>
        <v>0</v>
      </c>
      <c r="W886" s="1290">
        <f t="shared" si="899"/>
        <v>1</v>
      </c>
      <c r="X886" s="1290">
        <f t="shared" si="900"/>
        <v>0</v>
      </c>
      <c r="Y886" s="396"/>
      <c r="Z886" s="1291" t="str">
        <f t="shared" si="996"/>
        <v>0-ITQ012A</v>
      </c>
      <c r="AA886" s="1291" t="str">
        <f t="shared" si="997"/>
        <v>0-ITQ012E</v>
      </c>
      <c r="AB886" s="1291" t="str">
        <f t="shared" si="998"/>
        <v>0-ITQ012M</v>
      </c>
      <c r="AC886" s="1291" t="str">
        <f t="shared" si="999"/>
        <v>0-ITQ012T</v>
      </c>
      <c r="AD886" s="1291" t="str">
        <f t="shared" si="1000"/>
        <v>0-ITQ012S</v>
      </c>
      <c r="AE886" s="1291" t="str">
        <f t="shared" si="1001"/>
        <v>0-ITQ012X</v>
      </c>
      <c r="AF886" s="1291" t="str">
        <f t="shared" si="1002"/>
        <v>0-ITQ012S</v>
      </c>
      <c r="AG886" s="1291">
        <f t="shared" si="901"/>
        <v>1</v>
      </c>
      <c r="AH886" s="1291">
        <f>IF(B886&lt;&gt;"",+IF(H886="x",+VLOOKUP(I886,'AUX-NIV2'!B:AG,32,FALSE),0),"")</f>
        <v>0</v>
      </c>
      <c r="AI886" s="1291" t="str">
        <f t="shared" si="1003"/>
        <v>0-ITQ012</v>
      </c>
      <c r="AK886" s="347">
        <f t="shared" si="902"/>
        <v>886</v>
      </c>
      <c r="AL886" s="348">
        <f t="shared" si="1004"/>
        <v>886</v>
      </c>
      <c r="AM886" s="347">
        <f t="shared" si="1005"/>
        <v>1</v>
      </c>
      <c r="AN886" s="382">
        <f>IF(AND(AH886&gt;0,B886&lt;&gt;""),VLOOKUP(I886,'AUX-NIV2'!$B:$AP,40,FALSE)*O886,0)</f>
        <v>0</v>
      </c>
      <c r="AO886" s="382">
        <f t="shared" si="903"/>
        <v>0</v>
      </c>
      <c r="AQ886" s="395">
        <f>(IF($H886="x",VLOOKUP($I886,'AUX-NIV2'!$B:$X,'AUX-NIV1'!AQ$3,FALSE),0)+($AV886*'AUX-NIV3'!S$4))*$O886+IF($H886=AQ$4,$P886,0)</f>
        <v>0</v>
      </c>
      <c r="AR886" s="395">
        <f>(IF($H886="x",VLOOKUP($I886,'AUX-NIV2'!$B:$X,'AUX-NIV1'!AR$3,FALSE),0)+($AV886*'AUX-NIV3'!T$4))*$O886+IF($H886=AR$4,$P886,0)</f>
        <v>0</v>
      </c>
      <c r="AS886" s="395">
        <f>(IF($H886="x",VLOOKUP($I886,'AUX-NIV2'!$B:$X,'AUX-NIV1'!AS$3,FALSE),0)+($AV886*'AUX-NIV3'!U$4))*$O886+IF($H886=AS$4,$P886,0)</f>
        <v>0</v>
      </c>
      <c r="AT886" s="395">
        <f>(IF($H886="x",VLOOKUP($I886,'AUX-NIV2'!$B:$X,'AUX-NIV1'!AT$3,FALSE),0)+($AV886*'AUX-NIV3'!V$4))*$O886+IF($H886=AT$4,$P886,0)</f>
        <v>0</v>
      </c>
      <c r="AU886" s="395">
        <f>(IF($H886="x",VLOOKUP($I886,'AUX-NIV2'!$B:$X,'AUX-NIV1'!AU$3,FALSE),0)+($AV886*'AUX-NIV3'!W$4))*$O886+IF($H886=AU$4,$P886,0)</f>
        <v>1</v>
      </c>
      <c r="AV886" s="395">
        <f>+IF($H886="x",VLOOKUP($I886,'AUX-NIV2'!$B:$X,'AUX-NIV1'!AV$3,FALSE),0)</f>
        <v>0</v>
      </c>
    </row>
    <row r="887" spans="2:48" ht="14.4" hidden="1" thickTop="1" thickBot="1">
      <c r="B887" s="1433" t="s">
        <v>4045</v>
      </c>
      <c r="C887" s="1448" t="s">
        <v>3585</v>
      </c>
      <c r="D887" s="1435" t="s">
        <v>450</v>
      </c>
      <c r="E887" s="1281">
        <f>IF(B887&lt;&gt;"",+SUMIF(Items!C:C,'AUX-NIV1'!B887,Items!H:H),"")</f>
        <v>0</v>
      </c>
      <c r="F887" s="1281">
        <f t="shared" si="893"/>
        <v>1</v>
      </c>
      <c r="G887" s="1281">
        <f t="shared" si="894"/>
        <v>0</v>
      </c>
      <c r="H887" s="1395" t="str">
        <f t="shared" si="991"/>
        <v>S</v>
      </c>
      <c r="I887" s="1462" t="s">
        <v>4065</v>
      </c>
      <c r="J887" s="1283" t="str">
        <f>IF(B887&lt;&gt;"",+VLOOKUP(I887,Recursos!C:F,2,FALSE),"")</f>
        <v>Provisión y montaje de Conductos incluida la aislación y el jacketing</v>
      </c>
      <c r="K887" s="1284" t="str">
        <f>IF(B887&lt;&gt;"",+VLOOKUP(I887,Recursos!C:F,3,FALSE),"")</f>
        <v>Kg</v>
      </c>
      <c r="L887" s="1285">
        <f>IF(B887&lt;&gt;"",+VLOOKUP(I887,Recursos!C:F,4,FALSE),"")</f>
        <v>1</v>
      </c>
      <c r="M887" s="1293"/>
      <c r="N887" s="1294">
        <v>1</v>
      </c>
      <c r="O887" s="1286">
        <f t="shared" si="992"/>
        <v>1</v>
      </c>
      <c r="P887" s="1287">
        <f t="shared" si="993"/>
        <v>1</v>
      </c>
      <c r="Q887" s="1281">
        <f t="shared" si="994"/>
        <v>0</v>
      </c>
      <c r="R887" s="1288">
        <f t="shared" si="995"/>
        <v>0</v>
      </c>
      <c r="S887" s="1289">
        <f t="shared" si="895"/>
        <v>0</v>
      </c>
      <c r="T887" s="1289">
        <f t="shared" si="896"/>
        <v>0</v>
      </c>
      <c r="U887" s="1290">
        <f t="shared" si="897"/>
        <v>0</v>
      </c>
      <c r="V887" s="1290">
        <f t="shared" si="898"/>
        <v>0</v>
      </c>
      <c r="W887" s="1290">
        <f t="shared" si="899"/>
        <v>1</v>
      </c>
      <c r="X887" s="1290">
        <f t="shared" si="900"/>
        <v>0</v>
      </c>
      <c r="Y887" s="396"/>
      <c r="Z887" s="1291" t="str">
        <f t="shared" si="996"/>
        <v>0-ITQ013A</v>
      </c>
      <c r="AA887" s="1291" t="str">
        <f t="shared" si="997"/>
        <v>0-ITQ013E</v>
      </c>
      <c r="AB887" s="1291" t="str">
        <f t="shared" si="998"/>
        <v>0-ITQ013M</v>
      </c>
      <c r="AC887" s="1291" t="str">
        <f t="shared" si="999"/>
        <v>0-ITQ013T</v>
      </c>
      <c r="AD887" s="1291" t="str">
        <f t="shared" si="1000"/>
        <v>0-ITQ013S</v>
      </c>
      <c r="AE887" s="1291" t="str">
        <f t="shared" si="1001"/>
        <v>0-ITQ013X</v>
      </c>
      <c r="AF887" s="1291" t="str">
        <f t="shared" si="1002"/>
        <v>0-ITQ013S</v>
      </c>
      <c r="AG887" s="1291">
        <f t="shared" si="901"/>
        <v>1</v>
      </c>
      <c r="AH887" s="1291">
        <f>IF(B887&lt;&gt;"",+IF(H887="x",+VLOOKUP(I887,'AUX-NIV2'!B:AG,32,FALSE),0),"")</f>
        <v>0</v>
      </c>
      <c r="AI887" s="1291" t="str">
        <f t="shared" si="1003"/>
        <v>0-ITQ013</v>
      </c>
      <c r="AK887" s="347">
        <f t="shared" si="902"/>
        <v>887</v>
      </c>
      <c r="AL887" s="348">
        <f t="shared" si="1004"/>
        <v>887</v>
      </c>
      <c r="AM887" s="347">
        <f t="shared" si="1005"/>
        <v>1</v>
      </c>
      <c r="AN887" s="382">
        <f>IF(AND(AH887&gt;0,B887&lt;&gt;""),VLOOKUP(I887,'AUX-NIV2'!$B:$AP,40,FALSE)*O887,0)</f>
        <v>0</v>
      </c>
      <c r="AO887" s="382">
        <f t="shared" si="903"/>
        <v>0</v>
      </c>
      <c r="AQ887" s="395">
        <f>(IF($H887="x",VLOOKUP($I887,'AUX-NIV2'!$B:$X,'AUX-NIV1'!AQ$3,FALSE),0)+($AV887*'AUX-NIV3'!S$4))*$O887+IF($H887=AQ$4,$P887,0)</f>
        <v>0</v>
      </c>
      <c r="AR887" s="395">
        <f>(IF($H887="x",VLOOKUP($I887,'AUX-NIV2'!$B:$X,'AUX-NIV1'!AR$3,FALSE),0)+($AV887*'AUX-NIV3'!T$4))*$O887+IF($H887=AR$4,$P887,0)</f>
        <v>0</v>
      </c>
      <c r="AS887" s="395">
        <f>(IF($H887="x",VLOOKUP($I887,'AUX-NIV2'!$B:$X,'AUX-NIV1'!AS$3,FALSE),0)+($AV887*'AUX-NIV3'!U$4))*$O887+IF($H887=AS$4,$P887,0)</f>
        <v>0</v>
      </c>
      <c r="AT887" s="395">
        <f>(IF($H887="x",VLOOKUP($I887,'AUX-NIV2'!$B:$X,'AUX-NIV1'!AT$3,FALSE),0)+($AV887*'AUX-NIV3'!V$4))*$O887+IF($H887=AT$4,$P887,0)</f>
        <v>0</v>
      </c>
      <c r="AU887" s="395">
        <f>(IF($H887="x",VLOOKUP($I887,'AUX-NIV2'!$B:$X,'AUX-NIV1'!AU$3,FALSE),0)+($AV887*'AUX-NIV3'!W$4))*$O887+IF($H887=AU$4,$P887,0)</f>
        <v>1</v>
      </c>
      <c r="AV887" s="395">
        <f>+IF($H887="x",VLOOKUP($I887,'AUX-NIV2'!$B:$X,'AUX-NIV1'!AV$3,FALSE),0)</f>
        <v>0</v>
      </c>
    </row>
    <row r="888" spans="2:48" ht="14.4" hidden="1" thickTop="1" thickBot="1">
      <c r="B888" s="1433" t="s">
        <v>4046</v>
      </c>
      <c r="C888" s="1448" t="s">
        <v>3586</v>
      </c>
      <c r="D888" s="1435" t="s">
        <v>1172</v>
      </c>
      <c r="E888" s="1281">
        <f>IF(B888&lt;&gt;"",+SUMIF(Items!C:C,'AUX-NIV1'!B888,Items!H:H),"")</f>
        <v>0</v>
      </c>
      <c r="F888" s="1281">
        <f t="shared" si="893"/>
        <v>1</v>
      </c>
      <c r="G888" s="1281">
        <f t="shared" si="894"/>
        <v>0</v>
      </c>
      <c r="H888" s="1395" t="str">
        <f t="shared" si="991"/>
        <v>S</v>
      </c>
      <c r="I888" s="1462" t="s">
        <v>4066</v>
      </c>
      <c r="J888" s="1283" t="str">
        <f>IF(B888&lt;&gt;"",+VLOOKUP(I888,Recursos!C:F,2,FALSE),"")</f>
        <v>Provisión y montaje de Rejas, Difusores, Pases de Interconexión, PR y TAE</v>
      </c>
      <c r="K888" s="1284" t="str">
        <f>IF(B888&lt;&gt;"",+VLOOKUP(I888,Recursos!C:F,3,FALSE),"")</f>
        <v>gl</v>
      </c>
      <c r="L888" s="1285">
        <f>IF(B888&lt;&gt;"",+VLOOKUP(I888,Recursos!C:F,4,FALSE),"")</f>
        <v>1</v>
      </c>
      <c r="M888" s="1293"/>
      <c r="N888" s="1294">
        <v>1</v>
      </c>
      <c r="O888" s="1286">
        <f t="shared" si="992"/>
        <v>1</v>
      </c>
      <c r="P888" s="1287">
        <f t="shared" si="993"/>
        <v>1</v>
      </c>
      <c r="Q888" s="1281">
        <f t="shared" si="994"/>
        <v>0</v>
      </c>
      <c r="R888" s="1288">
        <f t="shared" si="995"/>
        <v>0</v>
      </c>
      <c r="S888" s="1289">
        <f t="shared" si="895"/>
        <v>0</v>
      </c>
      <c r="T888" s="1289">
        <f t="shared" si="896"/>
        <v>0</v>
      </c>
      <c r="U888" s="1290">
        <f t="shared" si="897"/>
        <v>0</v>
      </c>
      <c r="V888" s="1290">
        <f t="shared" si="898"/>
        <v>0</v>
      </c>
      <c r="W888" s="1290">
        <f t="shared" si="899"/>
        <v>1</v>
      </c>
      <c r="X888" s="1290">
        <f t="shared" si="900"/>
        <v>0</v>
      </c>
      <c r="Y888" s="396"/>
      <c r="Z888" s="1291" t="str">
        <f t="shared" si="996"/>
        <v>0-ITQ014A</v>
      </c>
      <c r="AA888" s="1291" t="str">
        <f t="shared" si="997"/>
        <v>0-ITQ014E</v>
      </c>
      <c r="AB888" s="1291" t="str">
        <f t="shared" si="998"/>
        <v>0-ITQ014M</v>
      </c>
      <c r="AC888" s="1291" t="str">
        <f t="shared" si="999"/>
        <v>0-ITQ014T</v>
      </c>
      <c r="AD888" s="1291" t="str">
        <f t="shared" si="1000"/>
        <v>0-ITQ014S</v>
      </c>
      <c r="AE888" s="1291" t="str">
        <f t="shared" si="1001"/>
        <v>0-ITQ014X</v>
      </c>
      <c r="AF888" s="1291" t="str">
        <f t="shared" si="1002"/>
        <v>0-ITQ014S</v>
      </c>
      <c r="AG888" s="1291">
        <f t="shared" si="901"/>
        <v>1</v>
      </c>
      <c r="AH888" s="1291">
        <f>IF(B888&lt;&gt;"",+IF(H888="x",+VLOOKUP(I888,'AUX-NIV2'!B:AG,32,FALSE),0),"")</f>
        <v>0</v>
      </c>
      <c r="AI888" s="1291" t="str">
        <f t="shared" si="1003"/>
        <v>0-ITQ014</v>
      </c>
      <c r="AK888" s="347">
        <f t="shared" si="902"/>
        <v>888</v>
      </c>
      <c r="AL888" s="348">
        <f t="shared" si="1004"/>
        <v>888</v>
      </c>
      <c r="AM888" s="347">
        <f t="shared" si="1005"/>
        <v>1</v>
      </c>
      <c r="AN888" s="382">
        <f>IF(AND(AH888&gt;0,B888&lt;&gt;""),VLOOKUP(I888,'AUX-NIV2'!$B:$AP,40,FALSE)*O888,0)</f>
        <v>0</v>
      </c>
      <c r="AO888" s="382">
        <f t="shared" si="903"/>
        <v>0</v>
      </c>
      <c r="AQ888" s="395">
        <f>(IF($H888="x",VLOOKUP($I888,'AUX-NIV2'!$B:$X,'AUX-NIV1'!AQ$3,FALSE),0)+($AV888*'AUX-NIV3'!S$4))*$O888+IF($H888=AQ$4,$P888,0)</f>
        <v>0</v>
      </c>
      <c r="AR888" s="395">
        <f>(IF($H888="x",VLOOKUP($I888,'AUX-NIV2'!$B:$X,'AUX-NIV1'!AR$3,FALSE),0)+($AV888*'AUX-NIV3'!T$4))*$O888+IF($H888=AR$4,$P888,0)</f>
        <v>0</v>
      </c>
      <c r="AS888" s="395">
        <f>(IF($H888="x",VLOOKUP($I888,'AUX-NIV2'!$B:$X,'AUX-NIV1'!AS$3,FALSE),0)+($AV888*'AUX-NIV3'!U$4))*$O888+IF($H888=AS$4,$P888,0)</f>
        <v>0</v>
      </c>
      <c r="AT888" s="395">
        <f>(IF($H888="x",VLOOKUP($I888,'AUX-NIV2'!$B:$X,'AUX-NIV1'!AT$3,FALSE),0)+($AV888*'AUX-NIV3'!V$4))*$O888+IF($H888=AT$4,$P888,0)</f>
        <v>0</v>
      </c>
      <c r="AU888" s="395">
        <f>(IF($H888="x",VLOOKUP($I888,'AUX-NIV2'!$B:$X,'AUX-NIV1'!AU$3,FALSE),0)+($AV888*'AUX-NIV3'!W$4))*$O888+IF($H888=AU$4,$P888,0)</f>
        <v>1</v>
      </c>
      <c r="AV888" s="395">
        <f>+IF($H888="x",VLOOKUP($I888,'AUX-NIV2'!$B:$X,'AUX-NIV1'!AV$3,FALSE),0)</f>
        <v>0</v>
      </c>
    </row>
    <row r="889" spans="2:48" ht="14.4" hidden="1" thickTop="1" thickBot="1">
      <c r="B889" s="1433" t="s">
        <v>4047</v>
      </c>
      <c r="C889" s="1448" t="s">
        <v>3587</v>
      </c>
      <c r="D889" s="1435" t="s">
        <v>1172</v>
      </c>
      <c r="E889" s="1281">
        <f>IF(B889&lt;&gt;"",+SUMIF(Items!C:C,'AUX-NIV1'!B889,Items!H:H),"")</f>
        <v>0</v>
      </c>
      <c r="F889" s="1281">
        <f t="shared" si="893"/>
        <v>1</v>
      </c>
      <c r="G889" s="1281">
        <f t="shared" si="894"/>
        <v>0</v>
      </c>
      <c r="H889" s="1395" t="str">
        <f t="shared" si="991"/>
        <v>S</v>
      </c>
      <c r="I889" s="1462" t="s">
        <v>4067</v>
      </c>
      <c r="J889" s="1283" t="str">
        <f>IF(B889&lt;&gt;"",+VLOOKUP(I889,Recursos!C:F,2,FALSE),"")</f>
        <v>Instalación eléctrica y automatización. Nuevo tablero en sala de máquinas.</v>
      </c>
      <c r="K889" s="1284" t="str">
        <f>IF(B889&lt;&gt;"",+VLOOKUP(I889,Recursos!C:F,3,FALSE),"")</f>
        <v>gl</v>
      </c>
      <c r="L889" s="1285">
        <f>IF(B889&lt;&gt;"",+VLOOKUP(I889,Recursos!C:F,4,FALSE),"")</f>
        <v>1</v>
      </c>
      <c r="M889" s="1293"/>
      <c r="N889" s="1294">
        <v>1</v>
      </c>
      <c r="O889" s="1286">
        <f t="shared" si="992"/>
        <v>1</v>
      </c>
      <c r="P889" s="1287">
        <f t="shared" si="993"/>
        <v>1</v>
      </c>
      <c r="Q889" s="1281">
        <f t="shared" si="994"/>
        <v>0</v>
      </c>
      <c r="R889" s="1288">
        <f t="shared" si="995"/>
        <v>0</v>
      </c>
      <c r="S889" s="1289">
        <f t="shared" si="895"/>
        <v>0</v>
      </c>
      <c r="T889" s="1289">
        <f t="shared" si="896"/>
        <v>0</v>
      </c>
      <c r="U889" s="1290">
        <f t="shared" si="897"/>
        <v>0</v>
      </c>
      <c r="V889" s="1290">
        <f t="shared" si="898"/>
        <v>0</v>
      </c>
      <c r="W889" s="1290">
        <f t="shared" si="899"/>
        <v>1</v>
      </c>
      <c r="X889" s="1290">
        <f t="shared" si="900"/>
        <v>0</v>
      </c>
      <c r="Y889" s="396"/>
      <c r="Z889" s="1291" t="str">
        <f t="shared" si="996"/>
        <v>0-ITQ015A</v>
      </c>
      <c r="AA889" s="1291" t="str">
        <f t="shared" si="997"/>
        <v>0-ITQ015E</v>
      </c>
      <c r="AB889" s="1291" t="str">
        <f t="shared" si="998"/>
        <v>0-ITQ015M</v>
      </c>
      <c r="AC889" s="1291" t="str">
        <f t="shared" si="999"/>
        <v>0-ITQ015T</v>
      </c>
      <c r="AD889" s="1291" t="str">
        <f t="shared" si="1000"/>
        <v>0-ITQ015S</v>
      </c>
      <c r="AE889" s="1291" t="str">
        <f t="shared" si="1001"/>
        <v>0-ITQ015X</v>
      </c>
      <c r="AF889" s="1291" t="str">
        <f t="shared" si="1002"/>
        <v>0-ITQ015S</v>
      </c>
      <c r="AG889" s="1291">
        <f t="shared" si="901"/>
        <v>1</v>
      </c>
      <c r="AH889" s="1291">
        <f>IF(B889&lt;&gt;"",+IF(H889="x",+VLOOKUP(I889,'AUX-NIV2'!B:AG,32,FALSE),0),"")</f>
        <v>0</v>
      </c>
      <c r="AI889" s="1291" t="str">
        <f t="shared" si="1003"/>
        <v>0-ITQ015</v>
      </c>
      <c r="AK889" s="347">
        <f t="shared" si="902"/>
        <v>889</v>
      </c>
      <c r="AL889" s="348">
        <f t="shared" si="1004"/>
        <v>889</v>
      </c>
      <c r="AM889" s="347">
        <f t="shared" si="1005"/>
        <v>1</v>
      </c>
      <c r="AN889" s="382">
        <f>IF(AND(AH889&gt;0,B889&lt;&gt;""),VLOOKUP(I889,'AUX-NIV2'!$B:$AP,40,FALSE)*O889,0)</f>
        <v>0</v>
      </c>
      <c r="AO889" s="382">
        <f t="shared" si="903"/>
        <v>0</v>
      </c>
      <c r="AQ889" s="395">
        <f>(IF($H889="x",VLOOKUP($I889,'AUX-NIV2'!$B:$X,'AUX-NIV1'!AQ$3,FALSE),0)+($AV889*'AUX-NIV3'!S$4))*$O889+IF($H889=AQ$4,$P889,0)</f>
        <v>0</v>
      </c>
      <c r="AR889" s="395">
        <f>(IF($H889="x",VLOOKUP($I889,'AUX-NIV2'!$B:$X,'AUX-NIV1'!AR$3,FALSE),0)+($AV889*'AUX-NIV3'!T$4))*$O889+IF($H889=AR$4,$P889,0)</f>
        <v>0</v>
      </c>
      <c r="AS889" s="395">
        <f>(IF($H889="x",VLOOKUP($I889,'AUX-NIV2'!$B:$X,'AUX-NIV1'!AS$3,FALSE),0)+($AV889*'AUX-NIV3'!U$4))*$O889+IF($H889=AS$4,$P889,0)</f>
        <v>0</v>
      </c>
      <c r="AT889" s="395">
        <f>(IF($H889="x",VLOOKUP($I889,'AUX-NIV2'!$B:$X,'AUX-NIV1'!AT$3,FALSE),0)+($AV889*'AUX-NIV3'!V$4))*$O889+IF($H889=AT$4,$P889,0)</f>
        <v>0</v>
      </c>
      <c r="AU889" s="395">
        <f>(IF($H889="x",VLOOKUP($I889,'AUX-NIV2'!$B:$X,'AUX-NIV1'!AU$3,FALSE),0)+($AV889*'AUX-NIV3'!W$4))*$O889+IF($H889=AU$4,$P889,0)</f>
        <v>1</v>
      </c>
      <c r="AV889" s="395">
        <f>+IF($H889="x",VLOOKUP($I889,'AUX-NIV2'!$B:$X,'AUX-NIV1'!AV$3,FALSE),0)</f>
        <v>0</v>
      </c>
    </row>
    <row r="890" spans="2:48" ht="14.4" hidden="1" thickTop="1" thickBot="1">
      <c r="B890" s="1433" t="s">
        <v>4048</v>
      </c>
      <c r="C890" s="1448" t="s">
        <v>3588</v>
      </c>
      <c r="D890" s="1435" t="s">
        <v>1840</v>
      </c>
      <c r="E890" s="1281">
        <f>IF(B890&lt;&gt;"",+SUMIF(Items!C:C,'AUX-NIV1'!B890,Items!H:H),"")</f>
        <v>0</v>
      </c>
      <c r="F890" s="1281">
        <f t="shared" si="893"/>
        <v>1</v>
      </c>
      <c r="G890" s="1281">
        <f t="shared" si="894"/>
        <v>0</v>
      </c>
      <c r="H890" s="1395" t="str">
        <f t="shared" si="991"/>
        <v>S</v>
      </c>
      <c r="I890" s="1462" t="s">
        <v>4068</v>
      </c>
      <c r="J890" s="1283" t="str">
        <f>IF(B890&lt;&gt;"",+VLOOKUP(I890,Recursos!C:F,2,FALSE),"")</f>
        <v>Cañerías de Refrigerante.</v>
      </c>
      <c r="K890" s="1284" t="str">
        <f>IF(B890&lt;&gt;"",+VLOOKUP(I890,Recursos!C:F,3,FALSE),"")</f>
        <v>ml</v>
      </c>
      <c r="L890" s="1285">
        <f>IF(B890&lt;&gt;"",+VLOOKUP(I890,Recursos!C:F,4,FALSE),"")</f>
        <v>1</v>
      </c>
      <c r="M890" s="1293"/>
      <c r="N890" s="1294">
        <v>1</v>
      </c>
      <c r="O890" s="1286">
        <f t="shared" si="992"/>
        <v>1</v>
      </c>
      <c r="P890" s="1287">
        <f t="shared" si="993"/>
        <v>1</v>
      </c>
      <c r="Q890" s="1281">
        <f t="shared" si="994"/>
        <v>0</v>
      </c>
      <c r="R890" s="1288">
        <f t="shared" si="995"/>
        <v>0</v>
      </c>
      <c r="S890" s="1289">
        <f t="shared" si="895"/>
        <v>0</v>
      </c>
      <c r="T890" s="1289">
        <f t="shared" si="896"/>
        <v>0</v>
      </c>
      <c r="U890" s="1290">
        <f t="shared" si="897"/>
        <v>0</v>
      </c>
      <c r="V890" s="1290">
        <f t="shared" si="898"/>
        <v>0</v>
      </c>
      <c r="W890" s="1290">
        <f t="shared" si="899"/>
        <v>1</v>
      </c>
      <c r="X890" s="1290">
        <f t="shared" si="900"/>
        <v>0</v>
      </c>
      <c r="Y890" s="396"/>
      <c r="Z890" s="1291" t="str">
        <f t="shared" si="996"/>
        <v>0-ITQ016A</v>
      </c>
      <c r="AA890" s="1291" t="str">
        <f t="shared" si="997"/>
        <v>0-ITQ016E</v>
      </c>
      <c r="AB890" s="1291" t="str">
        <f t="shared" si="998"/>
        <v>0-ITQ016M</v>
      </c>
      <c r="AC890" s="1291" t="str">
        <f t="shared" si="999"/>
        <v>0-ITQ016T</v>
      </c>
      <c r="AD890" s="1291" t="str">
        <f t="shared" si="1000"/>
        <v>0-ITQ016S</v>
      </c>
      <c r="AE890" s="1291" t="str">
        <f t="shared" si="1001"/>
        <v>0-ITQ016X</v>
      </c>
      <c r="AF890" s="1291" t="str">
        <f t="shared" si="1002"/>
        <v>0-ITQ016S</v>
      </c>
      <c r="AG890" s="1291">
        <f t="shared" si="901"/>
        <v>1</v>
      </c>
      <c r="AH890" s="1291">
        <f>IF(B890&lt;&gt;"",+IF(H890="x",+VLOOKUP(I890,'AUX-NIV2'!B:AG,32,FALSE),0),"")</f>
        <v>0</v>
      </c>
      <c r="AI890" s="1291" t="str">
        <f t="shared" si="1003"/>
        <v>0-ITQ016</v>
      </c>
      <c r="AK890" s="347">
        <f t="shared" si="902"/>
        <v>890</v>
      </c>
      <c r="AL890" s="348">
        <f t="shared" si="1004"/>
        <v>890</v>
      </c>
      <c r="AM890" s="347">
        <f t="shared" si="1005"/>
        <v>1</v>
      </c>
      <c r="AN890" s="382">
        <f>IF(AND(AH890&gt;0,B890&lt;&gt;""),VLOOKUP(I890,'AUX-NIV2'!$B:$AP,40,FALSE)*O890,0)</f>
        <v>0</v>
      </c>
      <c r="AO890" s="382">
        <f t="shared" si="903"/>
        <v>0</v>
      </c>
      <c r="AQ890" s="395">
        <f>(IF($H890="x",VLOOKUP($I890,'AUX-NIV2'!$B:$X,'AUX-NIV1'!AQ$3,FALSE),0)+($AV890*'AUX-NIV3'!S$4))*$O890+IF($H890=AQ$4,$P890,0)</f>
        <v>0</v>
      </c>
      <c r="AR890" s="395">
        <f>(IF($H890="x",VLOOKUP($I890,'AUX-NIV2'!$B:$X,'AUX-NIV1'!AR$3,FALSE),0)+($AV890*'AUX-NIV3'!T$4))*$O890+IF($H890=AR$4,$P890,0)</f>
        <v>0</v>
      </c>
      <c r="AS890" s="395">
        <f>(IF($H890="x",VLOOKUP($I890,'AUX-NIV2'!$B:$X,'AUX-NIV1'!AS$3,FALSE),0)+($AV890*'AUX-NIV3'!U$4))*$O890+IF($H890=AS$4,$P890,0)</f>
        <v>0</v>
      </c>
      <c r="AT890" s="395">
        <f>(IF($H890="x",VLOOKUP($I890,'AUX-NIV2'!$B:$X,'AUX-NIV1'!AT$3,FALSE),0)+($AV890*'AUX-NIV3'!V$4))*$O890+IF($H890=AT$4,$P890,0)</f>
        <v>0</v>
      </c>
      <c r="AU890" s="395">
        <f>(IF($H890="x",VLOOKUP($I890,'AUX-NIV2'!$B:$X,'AUX-NIV1'!AU$3,FALSE),0)+($AV890*'AUX-NIV3'!W$4))*$O890+IF($H890=AU$4,$P890,0)</f>
        <v>1</v>
      </c>
      <c r="AV890" s="395">
        <f>+IF($H890="x",VLOOKUP($I890,'AUX-NIV2'!$B:$X,'AUX-NIV1'!AV$3,FALSE),0)</f>
        <v>0</v>
      </c>
    </row>
    <row r="891" spans="2:48" ht="14.4" hidden="1" thickTop="1" thickBot="1">
      <c r="B891" s="1433" t="s">
        <v>4049</v>
      </c>
      <c r="C891" s="1448" t="s">
        <v>3589</v>
      </c>
      <c r="D891" s="1435" t="s">
        <v>1840</v>
      </c>
      <c r="E891" s="1281">
        <f>IF(B891&lt;&gt;"",+SUMIF(Items!C:C,'AUX-NIV1'!B891,Items!H:H),"")</f>
        <v>0</v>
      </c>
      <c r="F891" s="1281">
        <f t="shared" si="893"/>
        <v>1</v>
      </c>
      <c r="G891" s="1281">
        <f t="shared" si="894"/>
        <v>0</v>
      </c>
      <c r="H891" s="1395" t="str">
        <f t="shared" si="991"/>
        <v>S</v>
      </c>
      <c r="I891" s="1462" t="s">
        <v>4069</v>
      </c>
      <c r="J891" s="1283" t="str">
        <f>IF(B891&lt;&gt;"",+VLOOKUP(I891,Recursos!C:F,2,FALSE),"")</f>
        <v>Cañerías de Agua de Condensado.  (especificar cantidad de ml)</v>
      </c>
      <c r="K891" s="1284" t="str">
        <f>IF(B891&lt;&gt;"",+VLOOKUP(I891,Recursos!C:F,3,FALSE),"")</f>
        <v>ml</v>
      </c>
      <c r="L891" s="1285">
        <f>IF(B891&lt;&gt;"",+VLOOKUP(I891,Recursos!C:F,4,FALSE),"")</f>
        <v>1</v>
      </c>
      <c r="M891" s="1293"/>
      <c r="N891" s="1294">
        <v>1</v>
      </c>
      <c r="O891" s="1286">
        <f t="shared" si="992"/>
        <v>1</v>
      </c>
      <c r="P891" s="1287">
        <f t="shared" si="993"/>
        <v>1</v>
      </c>
      <c r="Q891" s="1281">
        <f t="shared" si="994"/>
        <v>0</v>
      </c>
      <c r="R891" s="1288">
        <f t="shared" si="995"/>
        <v>0</v>
      </c>
      <c r="S891" s="1289">
        <f t="shared" si="895"/>
        <v>0</v>
      </c>
      <c r="T891" s="1289">
        <f t="shared" si="896"/>
        <v>0</v>
      </c>
      <c r="U891" s="1290">
        <f t="shared" si="897"/>
        <v>0</v>
      </c>
      <c r="V891" s="1290">
        <f t="shared" si="898"/>
        <v>0</v>
      </c>
      <c r="W891" s="1290">
        <f t="shared" si="899"/>
        <v>1</v>
      </c>
      <c r="X891" s="1290">
        <f t="shared" si="900"/>
        <v>0</v>
      </c>
      <c r="Y891" s="396"/>
      <c r="Z891" s="1291" t="str">
        <f t="shared" si="996"/>
        <v>0-ITQ017A</v>
      </c>
      <c r="AA891" s="1291" t="str">
        <f t="shared" si="997"/>
        <v>0-ITQ017E</v>
      </c>
      <c r="AB891" s="1291" t="str">
        <f t="shared" si="998"/>
        <v>0-ITQ017M</v>
      </c>
      <c r="AC891" s="1291" t="str">
        <f t="shared" si="999"/>
        <v>0-ITQ017T</v>
      </c>
      <c r="AD891" s="1291" t="str">
        <f t="shared" si="1000"/>
        <v>0-ITQ017S</v>
      </c>
      <c r="AE891" s="1291" t="str">
        <f t="shared" si="1001"/>
        <v>0-ITQ017X</v>
      </c>
      <c r="AF891" s="1291" t="str">
        <f t="shared" si="1002"/>
        <v>0-ITQ017S</v>
      </c>
      <c r="AG891" s="1291">
        <f t="shared" si="901"/>
        <v>1</v>
      </c>
      <c r="AH891" s="1291">
        <f>IF(B891&lt;&gt;"",+IF(H891="x",+VLOOKUP(I891,'AUX-NIV2'!B:AG,32,FALSE),0),"")</f>
        <v>0</v>
      </c>
      <c r="AI891" s="1291" t="str">
        <f t="shared" si="1003"/>
        <v>0-ITQ017</v>
      </c>
      <c r="AK891" s="347">
        <f t="shared" si="902"/>
        <v>891</v>
      </c>
      <c r="AL891" s="348">
        <f t="shared" si="1004"/>
        <v>891</v>
      </c>
      <c r="AM891" s="347">
        <f t="shared" si="1005"/>
        <v>1</v>
      </c>
      <c r="AN891" s="382">
        <f>IF(AND(AH891&gt;0,B891&lt;&gt;""),VLOOKUP(I891,'AUX-NIV2'!$B:$AP,40,FALSE)*O891,0)</f>
        <v>0</v>
      </c>
      <c r="AO891" s="382">
        <f t="shared" si="903"/>
        <v>0</v>
      </c>
      <c r="AQ891" s="395">
        <f>(IF($H891="x",VLOOKUP($I891,'AUX-NIV2'!$B:$X,'AUX-NIV1'!AQ$3,FALSE),0)+($AV891*'AUX-NIV3'!S$4))*$O891+IF($H891=AQ$4,$P891,0)</f>
        <v>0</v>
      </c>
      <c r="AR891" s="395">
        <f>(IF($H891="x",VLOOKUP($I891,'AUX-NIV2'!$B:$X,'AUX-NIV1'!AR$3,FALSE),0)+($AV891*'AUX-NIV3'!T$4))*$O891+IF($H891=AR$4,$P891,0)</f>
        <v>0</v>
      </c>
      <c r="AS891" s="395">
        <f>(IF($H891="x",VLOOKUP($I891,'AUX-NIV2'!$B:$X,'AUX-NIV1'!AS$3,FALSE),0)+($AV891*'AUX-NIV3'!U$4))*$O891+IF($H891=AS$4,$P891,0)</f>
        <v>0</v>
      </c>
      <c r="AT891" s="395">
        <f>(IF($H891="x",VLOOKUP($I891,'AUX-NIV2'!$B:$X,'AUX-NIV1'!AT$3,FALSE),0)+($AV891*'AUX-NIV3'!V$4))*$O891+IF($H891=AT$4,$P891,0)</f>
        <v>0</v>
      </c>
      <c r="AU891" s="395">
        <f>(IF($H891="x",VLOOKUP($I891,'AUX-NIV2'!$B:$X,'AUX-NIV1'!AU$3,FALSE),0)+($AV891*'AUX-NIV3'!W$4))*$O891+IF($H891=AU$4,$P891,0)</f>
        <v>1</v>
      </c>
      <c r="AV891" s="395">
        <f>+IF($H891="x",VLOOKUP($I891,'AUX-NIV2'!$B:$X,'AUX-NIV1'!AV$3,FALSE),0)</f>
        <v>0</v>
      </c>
    </row>
    <row r="892" spans="2:48" ht="14.4" hidden="1" thickTop="1" thickBot="1">
      <c r="B892" s="1433" t="s">
        <v>4050</v>
      </c>
      <c r="C892" s="1448" t="s">
        <v>3590</v>
      </c>
      <c r="D892" s="1435" t="s">
        <v>1172</v>
      </c>
      <c r="E892" s="1281">
        <f>IF(B892&lt;&gt;"",+SUMIF(Items!C:C,'AUX-NIV1'!B892,Items!H:H),"")</f>
        <v>0</v>
      </c>
      <c r="F892" s="1281">
        <f t="shared" si="893"/>
        <v>1</v>
      </c>
      <c r="G892" s="1281">
        <f t="shared" si="894"/>
        <v>0</v>
      </c>
      <c r="H892" s="1395" t="str">
        <f t="shared" si="991"/>
        <v>S</v>
      </c>
      <c r="I892" s="1462" t="s">
        <v>4070</v>
      </c>
      <c r="J892" s="1283" t="str">
        <f>IF(B892&lt;&gt;"",+VLOOKUP(I892,Recursos!C:F,2,FALSE),"")</f>
        <v>Puesta en Marcha y regulacion.</v>
      </c>
      <c r="K892" s="1284" t="str">
        <f>IF(B892&lt;&gt;"",+VLOOKUP(I892,Recursos!C:F,3,FALSE),"")</f>
        <v>gl</v>
      </c>
      <c r="L892" s="1285">
        <f>IF(B892&lt;&gt;"",+VLOOKUP(I892,Recursos!C:F,4,FALSE),"")</f>
        <v>1</v>
      </c>
      <c r="M892" s="1293"/>
      <c r="N892" s="1294">
        <v>1</v>
      </c>
      <c r="O892" s="1286">
        <f t="shared" si="992"/>
        <v>1</v>
      </c>
      <c r="P892" s="1287">
        <f t="shared" si="993"/>
        <v>1</v>
      </c>
      <c r="Q892" s="1281">
        <f t="shared" si="994"/>
        <v>0</v>
      </c>
      <c r="R892" s="1288">
        <f t="shared" si="995"/>
        <v>0</v>
      </c>
      <c r="S892" s="1289">
        <f t="shared" si="895"/>
        <v>0</v>
      </c>
      <c r="T892" s="1289">
        <f t="shared" si="896"/>
        <v>0</v>
      </c>
      <c r="U892" s="1290">
        <f t="shared" si="897"/>
        <v>0</v>
      </c>
      <c r="V892" s="1290">
        <f t="shared" si="898"/>
        <v>0</v>
      </c>
      <c r="W892" s="1290">
        <f t="shared" si="899"/>
        <v>1</v>
      </c>
      <c r="X892" s="1290">
        <f t="shared" si="900"/>
        <v>0</v>
      </c>
      <c r="Y892" s="396"/>
      <c r="Z892" s="1291" t="str">
        <f t="shared" si="996"/>
        <v>0-ITQ018A</v>
      </c>
      <c r="AA892" s="1291" t="str">
        <f t="shared" si="997"/>
        <v>0-ITQ018E</v>
      </c>
      <c r="AB892" s="1291" t="str">
        <f t="shared" si="998"/>
        <v>0-ITQ018M</v>
      </c>
      <c r="AC892" s="1291" t="str">
        <f t="shared" si="999"/>
        <v>0-ITQ018T</v>
      </c>
      <c r="AD892" s="1291" t="str">
        <f t="shared" si="1000"/>
        <v>0-ITQ018S</v>
      </c>
      <c r="AE892" s="1291" t="str">
        <f t="shared" si="1001"/>
        <v>0-ITQ018X</v>
      </c>
      <c r="AF892" s="1291" t="str">
        <f t="shared" si="1002"/>
        <v>0-ITQ018S</v>
      </c>
      <c r="AG892" s="1291">
        <f t="shared" si="901"/>
        <v>1</v>
      </c>
      <c r="AH892" s="1291">
        <f>IF(B892&lt;&gt;"",+IF(H892="x",+VLOOKUP(I892,'AUX-NIV2'!B:AG,32,FALSE),0),"")</f>
        <v>0</v>
      </c>
      <c r="AI892" s="1291" t="str">
        <f t="shared" si="1003"/>
        <v>0-ITQ018</v>
      </c>
      <c r="AK892" s="347">
        <f t="shared" si="902"/>
        <v>892</v>
      </c>
      <c r="AL892" s="348">
        <f t="shared" si="1004"/>
        <v>892</v>
      </c>
      <c r="AM892" s="347">
        <f t="shared" si="1005"/>
        <v>1</v>
      </c>
      <c r="AN892" s="382">
        <f>IF(AND(AH892&gt;0,B892&lt;&gt;""),VLOOKUP(I892,'AUX-NIV2'!$B:$AP,40,FALSE)*O892,0)</f>
        <v>0</v>
      </c>
      <c r="AO892" s="382">
        <f t="shared" si="903"/>
        <v>0</v>
      </c>
      <c r="AQ892" s="395">
        <f>(IF($H892="x",VLOOKUP($I892,'AUX-NIV2'!$B:$X,'AUX-NIV1'!AQ$3,FALSE),0)+($AV892*'AUX-NIV3'!S$4))*$O892+IF($H892=AQ$4,$P892,0)</f>
        <v>0</v>
      </c>
      <c r="AR892" s="395">
        <f>(IF($H892="x",VLOOKUP($I892,'AUX-NIV2'!$B:$X,'AUX-NIV1'!AR$3,FALSE),0)+($AV892*'AUX-NIV3'!T$4))*$O892+IF($H892=AR$4,$P892,0)</f>
        <v>0</v>
      </c>
      <c r="AS892" s="395">
        <f>(IF($H892="x",VLOOKUP($I892,'AUX-NIV2'!$B:$X,'AUX-NIV1'!AS$3,FALSE),0)+($AV892*'AUX-NIV3'!U$4))*$O892+IF($H892=AS$4,$P892,0)</f>
        <v>0</v>
      </c>
      <c r="AT892" s="395">
        <f>(IF($H892="x",VLOOKUP($I892,'AUX-NIV2'!$B:$X,'AUX-NIV1'!AT$3,FALSE),0)+($AV892*'AUX-NIV3'!V$4))*$O892+IF($H892=AT$4,$P892,0)</f>
        <v>0</v>
      </c>
      <c r="AU892" s="395">
        <f>(IF($H892="x",VLOOKUP($I892,'AUX-NIV2'!$B:$X,'AUX-NIV1'!AU$3,FALSE),0)+($AV892*'AUX-NIV3'!W$4))*$O892+IF($H892=AU$4,$P892,0)</f>
        <v>1</v>
      </c>
      <c r="AV892" s="395">
        <f>+IF($H892="x",VLOOKUP($I892,'AUX-NIV2'!$B:$X,'AUX-NIV1'!AV$3,FALSE),0)</f>
        <v>0</v>
      </c>
    </row>
    <row r="893" spans="2:48" ht="14.4" hidden="1" thickTop="1" thickBot="1">
      <c r="B893" s="1433" t="s">
        <v>4051</v>
      </c>
      <c r="C893" s="1448" t="s">
        <v>3591</v>
      </c>
      <c r="D893" s="1435" t="s">
        <v>1232</v>
      </c>
      <c r="E893" s="1281">
        <f>IF(B893&lt;&gt;"",+SUMIF(Items!C:C,'AUX-NIV1'!B893,Items!H:H),"")</f>
        <v>0</v>
      </c>
      <c r="F893" s="1281">
        <f t="shared" si="893"/>
        <v>1</v>
      </c>
      <c r="G893" s="1281">
        <f t="shared" si="894"/>
        <v>0</v>
      </c>
      <c r="H893" s="1395" t="str">
        <f t="shared" si="991"/>
        <v>S</v>
      </c>
      <c r="I893" s="1462" t="s">
        <v>4071</v>
      </c>
      <c r="J893" s="1283" t="str">
        <f>IF(B893&lt;&gt;"",+VLOOKUP(I893,Recursos!C:F,2,FALSE),"")</f>
        <v>Servicio de mantenimiento</v>
      </c>
      <c r="K893" s="1284" t="str">
        <f>IF(B893&lt;&gt;"",+VLOOKUP(I893,Recursos!C:F,3,FALSE),"")</f>
        <v>U</v>
      </c>
      <c r="L893" s="1285">
        <f>IF(B893&lt;&gt;"",+VLOOKUP(I893,Recursos!C:F,4,FALSE),"")</f>
        <v>1</v>
      </c>
      <c r="M893" s="1293"/>
      <c r="N893" s="1294">
        <v>1</v>
      </c>
      <c r="O893" s="1286">
        <f t="shared" si="992"/>
        <v>1</v>
      </c>
      <c r="P893" s="1287">
        <f t="shared" si="993"/>
        <v>1</v>
      </c>
      <c r="Q893" s="1281">
        <f t="shared" si="994"/>
        <v>0</v>
      </c>
      <c r="R893" s="1288">
        <f t="shared" si="995"/>
        <v>0</v>
      </c>
      <c r="S893" s="1289">
        <f t="shared" si="895"/>
        <v>0</v>
      </c>
      <c r="T893" s="1289">
        <f t="shared" si="896"/>
        <v>0</v>
      </c>
      <c r="U893" s="1290">
        <f t="shared" si="897"/>
        <v>0</v>
      </c>
      <c r="V893" s="1290">
        <f t="shared" si="898"/>
        <v>0</v>
      </c>
      <c r="W893" s="1290">
        <f t="shared" si="899"/>
        <v>1</v>
      </c>
      <c r="X893" s="1290">
        <f t="shared" si="900"/>
        <v>0</v>
      </c>
      <c r="Y893" s="396"/>
      <c r="Z893" s="1291" t="str">
        <f t="shared" si="996"/>
        <v>0-ITQ019A</v>
      </c>
      <c r="AA893" s="1291" t="str">
        <f t="shared" si="997"/>
        <v>0-ITQ019E</v>
      </c>
      <c r="AB893" s="1291" t="str">
        <f t="shared" si="998"/>
        <v>0-ITQ019M</v>
      </c>
      <c r="AC893" s="1291" t="str">
        <f t="shared" si="999"/>
        <v>0-ITQ019T</v>
      </c>
      <c r="AD893" s="1291" t="str">
        <f t="shared" si="1000"/>
        <v>0-ITQ019S</v>
      </c>
      <c r="AE893" s="1291" t="str">
        <f t="shared" si="1001"/>
        <v>0-ITQ019X</v>
      </c>
      <c r="AF893" s="1291" t="str">
        <f t="shared" si="1002"/>
        <v>0-ITQ019S</v>
      </c>
      <c r="AG893" s="1291">
        <f t="shared" si="901"/>
        <v>1</v>
      </c>
      <c r="AH893" s="1291">
        <f>IF(B893&lt;&gt;"",+IF(H893="x",+VLOOKUP(I893,'AUX-NIV2'!B:AG,32,FALSE),0),"")</f>
        <v>0</v>
      </c>
      <c r="AI893" s="1291" t="str">
        <f t="shared" si="1003"/>
        <v>0-ITQ019</v>
      </c>
      <c r="AK893" s="347">
        <f t="shared" si="902"/>
        <v>893</v>
      </c>
      <c r="AL893" s="348">
        <f t="shared" si="1004"/>
        <v>893</v>
      </c>
      <c r="AM893" s="347">
        <f t="shared" si="1005"/>
        <v>1</v>
      </c>
      <c r="AN893" s="382">
        <f>IF(AND(AH893&gt;0,B893&lt;&gt;""),VLOOKUP(I893,'AUX-NIV2'!$B:$AP,40,FALSE)*O893,0)</f>
        <v>0</v>
      </c>
      <c r="AO893" s="382">
        <f t="shared" si="903"/>
        <v>0</v>
      </c>
      <c r="AQ893" s="395">
        <f>(IF($H893="x",VLOOKUP($I893,'AUX-NIV2'!$B:$X,'AUX-NIV1'!AQ$3,FALSE),0)+($AV893*'AUX-NIV3'!S$4))*$O893+IF($H893=AQ$4,$P893,0)</f>
        <v>0</v>
      </c>
      <c r="AR893" s="395">
        <f>(IF($H893="x",VLOOKUP($I893,'AUX-NIV2'!$B:$X,'AUX-NIV1'!AR$3,FALSE),0)+($AV893*'AUX-NIV3'!T$4))*$O893+IF($H893=AR$4,$P893,0)</f>
        <v>0</v>
      </c>
      <c r="AS893" s="395">
        <f>(IF($H893="x",VLOOKUP($I893,'AUX-NIV2'!$B:$X,'AUX-NIV1'!AS$3,FALSE),0)+($AV893*'AUX-NIV3'!U$4))*$O893+IF($H893=AS$4,$P893,0)</f>
        <v>0</v>
      </c>
      <c r="AT893" s="395">
        <f>(IF($H893="x",VLOOKUP($I893,'AUX-NIV2'!$B:$X,'AUX-NIV1'!AT$3,FALSE),0)+($AV893*'AUX-NIV3'!V$4))*$O893+IF($H893=AT$4,$P893,0)</f>
        <v>0</v>
      </c>
      <c r="AU893" s="395">
        <f>(IF($H893="x",VLOOKUP($I893,'AUX-NIV2'!$B:$X,'AUX-NIV1'!AU$3,FALSE),0)+($AV893*'AUX-NIV3'!W$4))*$O893+IF($H893=AU$4,$P893,0)</f>
        <v>1</v>
      </c>
      <c r="AV893" s="395">
        <f>+IF($H893="x",VLOOKUP($I893,'AUX-NIV2'!$B:$X,'AUX-NIV1'!AV$3,FALSE),0)</f>
        <v>0</v>
      </c>
    </row>
    <row r="894" spans="2:48" ht="14.4" hidden="1" thickTop="1" thickBot="1">
      <c r="B894" s="1433" t="s">
        <v>4087</v>
      </c>
      <c r="C894" s="1448" t="s">
        <v>3592</v>
      </c>
      <c r="D894" s="1435" t="s">
        <v>1172</v>
      </c>
      <c r="E894" s="1281">
        <f>IF(B894&lt;&gt;"",+SUMIF(Items!C:C,'AUX-NIV1'!B894,Items!H:H),"")</f>
        <v>0</v>
      </c>
      <c r="F894" s="1281">
        <f t="shared" si="893"/>
        <v>1</v>
      </c>
      <c r="G894" s="1281">
        <f t="shared" si="894"/>
        <v>0</v>
      </c>
      <c r="H894" s="1395" t="str">
        <f t="shared" si="991"/>
        <v>S</v>
      </c>
      <c r="I894" s="1462" t="s">
        <v>4110</v>
      </c>
      <c r="J894" s="1283" t="str">
        <f>IF(B894&lt;&gt;"",+VLOOKUP(I894,Recursos!C:F,2,FALSE),"")</f>
        <v>Planos y trámites</v>
      </c>
      <c r="K894" s="1284" t="str">
        <f>IF(B894&lt;&gt;"",+VLOOKUP(I894,Recursos!C:F,3,FALSE),"")</f>
        <v>gl</v>
      </c>
      <c r="L894" s="1285">
        <f>IF(B894&lt;&gt;"",+VLOOKUP(I894,Recursos!C:F,4,FALSE),"")</f>
        <v>1</v>
      </c>
      <c r="M894" s="1293"/>
      <c r="N894" s="1294">
        <v>1</v>
      </c>
      <c r="O894" s="1286">
        <f t="shared" si="992"/>
        <v>1</v>
      </c>
      <c r="P894" s="1287">
        <f t="shared" si="993"/>
        <v>1</v>
      </c>
      <c r="Q894" s="1281">
        <f t="shared" si="994"/>
        <v>0</v>
      </c>
      <c r="R894" s="1288">
        <f t="shared" si="995"/>
        <v>0</v>
      </c>
      <c r="S894" s="1289">
        <f t="shared" si="895"/>
        <v>0</v>
      </c>
      <c r="T894" s="1289">
        <f t="shared" si="896"/>
        <v>0</v>
      </c>
      <c r="U894" s="1290">
        <f t="shared" si="897"/>
        <v>0</v>
      </c>
      <c r="V894" s="1290">
        <f t="shared" si="898"/>
        <v>0</v>
      </c>
      <c r="W894" s="1290">
        <f t="shared" si="899"/>
        <v>1</v>
      </c>
      <c r="X894" s="1290">
        <f t="shared" si="900"/>
        <v>0</v>
      </c>
      <c r="Y894" s="396"/>
      <c r="Z894" s="1291" t="str">
        <f t="shared" si="996"/>
        <v>0-ITR001A</v>
      </c>
      <c r="AA894" s="1291" t="str">
        <f t="shared" si="997"/>
        <v>0-ITR001E</v>
      </c>
      <c r="AB894" s="1291" t="str">
        <f t="shared" si="998"/>
        <v>0-ITR001M</v>
      </c>
      <c r="AC894" s="1291" t="str">
        <f t="shared" si="999"/>
        <v>0-ITR001T</v>
      </c>
      <c r="AD894" s="1291" t="str">
        <f t="shared" si="1000"/>
        <v>0-ITR001S</v>
      </c>
      <c r="AE894" s="1291" t="str">
        <f t="shared" si="1001"/>
        <v>0-ITR001X</v>
      </c>
      <c r="AF894" s="1291" t="str">
        <f t="shared" si="1002"/>
        <v>0-ITR001S</v>
      </c>
      <c r="AG894" s="1291">
        <f t="shared" si="901"/>
        <v>1</v>
      </c>
      <c r="AH894" s="1291">
        <f>IF(B894&lt;&gt;"",+IF(H894="x",+VLOOKUP(I894,'AUX-NIV2'!B:AG,32,FALSE),0),"")</f>
        <v>0</v>
      </c>
      <c r="AI894" s="1291" t="str">
        <f t="shared" si="1003"/>
        <v>0-ITR001</v>
      </c>
      <c r="AK894" s="347">
        <f t="shared" si="902"/>
        <v>894</v>
      </c>
      <c r="AL894" s="348">
        <f t="shared" si="1004"/>
        <v>894</v>
      </c>
      <c r="AM894" s="347">
        <f t="shared" si="1005"/>
        <v>1</v>
      </c>
      <c r="AN894" s="382">
        <f>IF(AND(AH894&gt;0,B894&lt;&gt;""),VLOOKUP(I894,'AUX-NIV2'!$B:$AP,40,FALSE)*O894,0)</f>
        <v>0</v>
      </c>
      <c r="AO894" s="382">
        <f t="shared" si="903"/>
        <v>0</v>
      </c>
      <c r="AQ894" s="395">
        <f>(IF($H894="x",VLOOKUP($I894,'AUX-NIV2'!$B:$X,'AUX-NIV1'!AQ$3,FALSE),0)+($AV894*'AUX-NIV3'!S$4))*$O894+IF($H894=AQ$4,$P894,0)</f>
        <v>0</v>
      </c>
      <c r="AR894" s="395">
        <f>(IF($H894="x",VLOOKUP($I894,'AUX-NIV2'!$B:$X,'AUX-NIV1'!AR$3,FALSE),0)+($AV894*'AUX-NIV3'!T$4))*$O894+IF($H894=AR$4,$P894,0)</f>
        <v>0</v>
      </c>
      <c r="AS894" s="395">
        <f>(IF($H894="x",VLOOKUP($I894,'AUX-NIV2'!$B:$X,'AUX-NIV1'!AS$3,FALSE),0)+($AV894*'AUX-NIV3'!U$4))*$O894+IF($H894=AS$4,$P894,0)</f>
        <v>0</v>
      </c>
      <c r="AT894" s="395">
        <f>(IF($H894="x",VLOOKUP($I894,'AUX-NIV2'!$B:$X,'AUX-NIV1'!AT$3,FALSE),0)+($AV894*'AUX-NIV3'!V$4))*$O894+IF($H894=AT$4,$P894,0)</f>
        <v>0</v>
      </c>
      <c r="AU894" s="395">
        <f>(IF($H894="x",VLOOKUP($I894,'AUX-NIV2'!$B:$X,'AUX-NIV1'!AU$3,FALSE),0)+($AV894*'AUX-NIV3'!W$4))*$O894+IF($H894=AU$4,$P894,0)</f>
        <v>1</v>
      </c>
      <c r="AV894" s="395">
        <f>+IF($H894="x",VLOOKUP($I894,'AUX-NIV2'!$B:$X,'AUX-NIV1'!AV$3,FALSE),0)</f>
        <v>0</v>
      </c>
    </row>
    <row r="895" spans="2:48" ht="14.4" hidden="1" thickTop="1" thickBot="1">
      <c r="B895" s="1433" t="s">
        <v>4088</v>
      </c>
      <c r="C895" s="1448" t="s">
        <v>3593</v>
      </c>
      <c r="D895" s="1435" t="s">
        <v>1172</v>
      </c>
      <c r="E895" s="1281">
        <f>IF(B895&lt;&gt;"",+SUMIF(Items!C:C,'AUX-NIV1'!B895,Items!H:H),"")</f>
        <v>0</v>
      </c>
      <c r="F895" s="1281">
        <f t="shared" si="893"/>
        <v>1</v>
      </c>
      <c r="G895" s="1281">
        <f t="shared" si="894"/>
        <v>0</v>
      </c>
      <c r="H895" s="1395" t="str">
        <f t="shared" si="991"/>
        <v>S</v>
      </c>
      <c r="I895" s="1462" t="s">
        <v>4111</v>
      </c>
      <c r="J895" s="1283" t="str">
        <f>IF(B895&lt;&gt;"",+VLOOKUP(I895,Recursos!C:F,2,FALSE),"")</f>
        <v>Inspeccion y pruebas</v>
      </c>
      <c r="K895" s="1284" t="str">
        <f>IF(B895&lt;&gt;"",+VLOOKUP(I895,Recursos!C:F,3,FALSE),"")</f>
        <v>gl</v>
      </c>
      <c r="L895" s="1285">
        <f>IF(B895&lt;&gt;"",+VLOOKUP(I895,Recursos!C:F,4,FALSE),"")</f>
        <v>1</v>
      </c>
      <c r="M895" s="1293"/>
      <c r="N895" s="1294">
        <v>1</v>
      </c>
      <c r="O895" s="1286">
        <f t="shared" si="992"/>
        <v>1</v>
      </c>
      <c r="P895" s="1287">
        <f t="shared" si="993"/>
        <v>1</v>
      </c>
      <c r="Q895" s="1281">
        <f t="shared" si="994"/>
        <v>0</v>
      </c>
      <c r="R895" s="1288">
        <f t="shared" si="995"/>
        <v>0</v>
      </c>
      <c r="S895" s="1289">
        <f t="shared" si="895"/>
        <v>0</v>
      </c>
      <c r="T895" s="1289">
        <f t="shared" si="896"/>
        <v>0</v>
      </c>
      <c r="U895" s="1290">
        <f t="shared" si="897"/>
        <v>0</v>
      </c>
      <c r="V895" s="1290">
        <f t="shared" si="898"/>
        <v>0</v>
      </c>
      <c r="W895" s="1290">
        <f t="shared" si="899"/>
        <v>1</v>
      </c>
      <c r="X895" s="1290">
        <f t="shared" si="900"/>
        <v>0</v>
      </c>
      <c r="Y895" s="396"/>
      <c r="Z895" s="1291" t="str">
        <f t="shared" si="996"/>
        <v>0-ITR002A</v>
      </c>
      <c r="AA895" s="1291" t="str">
        <f t="shared" si="997"/>
        <v>0-ITR002E</v>
      </c>
      <c r="AB895" s="1291" t="str">
        <f t="shared" si="998"/>
        <v>0-ITR002M</v>
      </c>
      <c r="AC895" s="1291" t="str">
        <f t="shared" si="999"/>
        <v>0-ITR002T</v>
      </c>
      <c r="AD895" s="1291" t="str">
        <f t="shared" si="1000"/>
        <v>0-ITR002S</v>
      </c>
      <c r="AE895" s="1291" t="str">
        <f t="shared" si="1001"/>
        <v>0-ITR002X</v>
      </c>
      <c r="AF895" s="1291" t="str">
        <f t="shared" si="1002"/>
        <v>0-ITR002S</v>
      </c>
      <c r="AG895" s="1291">
        <f t="shared" si="901"/>
        <v>1</v>
      </c>
      <c r="AH895" s="1291">
        <f>IF(B895&lt;&gt;"",+IF(H895="x",+VLOOKUP(I895,'AUX-NIV2'!B:AG,32,FALSE),0),"")</f>
        <v>0</v>
      </c>
      <c r="AI895" s="1291" t="str">
        <f t="shared" si="1003"/>
        <v>0-ITR002</v>
      </c>
      <c r="AK895" s="347">
        <f t="shared" si="902"/>
        <v>895</v>
      </c>
      <c r="AL895" s="348">
        <f t="shared" si="1004"/>
        <v>895</v>
      </c>
      <c r="AM895" s="347">
        <f t="shared" si="1005"/>
        <v>1</v>
      </c>
      <c r="AN895" s="382">
        <f>IF(AND(AH895&gt;0,B895&lt;&gt;""),VLOOKUP(I895,'AUX-NIV2'!$B:$AP,40,FALSE)*O895,0)</f>
        <v>0</v>
      </c>
      <c r="AO895" s="382">
        <f t="shared" si="903"/>
        <v>0</v>
      </c>
      <c r="AQ895" s="395">
        <f>(IF($H895="x",VLOOKUP($I895,'AUX-NIV2'!$B:$X,'AUX-NIV1'!AQ$3,FALSE),0)+($AV895*'AUX-NIV3'!S$4))*$O895+IF($H895=AQ$4,$P895,0)</f>
        <v>0</v>
      </c>
      <c r="AR895" s="395">
        <f>(IF($H895="x",VLOOKUP($I895,'AUX-NIV2'!$B:$X,'AUX-NIV1'!AR$3,FALSE),0)+($AV895*'AUX-NIV3'!T$4))*$O895+IF($H895=AR$4,$P895,0)</f>
        <v>0</v>
      </c>
      <c r="AS895" s="395">
        <f>(IF($H895="x",VLOOKUP($I895,'AUX-NIV2'!$B:$X,'AUX-NIV1'!AS$3,FALSE),0)+($AV895*'AUX-NIV3'!U$4))*$O895+IF($H895=AS$4,$P895,0)</f>
        <v>0</v>
      </c>
      <c r="AT895" s="395">
        <f>(IF($H895="x",VLOOKUP($I895,'AUX-NIV2'!$B:$X,'AUX-NIV1'!AT$3,FALSE),0)+($AV895*'AUX-NIV3'!V$4))*$O895+IF($H895=AT$4,$P895,0)</f>
        <v>0</v>
      </c>
      <c r="AU895" s="395">
        <f>(IF($H895="x",VLOOKUP($I895,'AUX-NIV2'!$B:$X,'AUX-NIV1'!AU$3,FALSE),0)+($AV895*'AUX-NIV3'!W$4))*$O895+IF($H895=AU$4,$P895,0)</f>
        <v>1</v>
      </c>
      <c r="AV895" s="395">
        <f>+IF($H895="x",VLOOKUP($I895,'AUX-NIV2'!$B:$X,'AUX-NIV1'!AV$3,FALSE),0)</f>
        <v>0</v>
      </c>
    </row>
    <row r="896" spans="2:48" ht="14.4" hidden="1" thickTop="1" thickBot="1">
      <c r="B896" s="1433" t="s">
        <v>4089</v>
      </c>
      <c r="C896" s="1448" t="s">
        <v>3594</v>
      </c>
      <c r="D896" s="1435" t="s">
        <v>1172</v>
      </c>
      <c r="E896" s="1281">
        <f>IF(B896&lt;&gt;"",+SUMIF(Items!C:C,'AUX-NIV1'!B896,Items!H:H),"")</f>
        <v>0</v>
      </c>
      <c r="F896" s="1281">
        <f t="shared" si="893"/>
        <v>1</v>
      </c>
      <c r="G896" s="1281">
        <f t="shared" si="894"/>
        <v>0</v>
      </c>
      <c r="H896" s="1395" t="str">
        <f t="shared" si="991"/>
        <v>S</v>
      </c>
      <c r="I896" s="1462" t="s">
        <v>4112</v>
      </c>
      <c r="J896" s="1283" t="str">
        <f>IF(B896&lt;&gt;"",+VLOOKUP(I896,Recursos!C:F,2,FALSE),"")</f>
        <v>Cámaras, receptaculos, tanques de reserva, pozos absorbentes, etc</v>
      </c>
      <c r="K896" s="1284" t="str">
        <f>IF(B896&lt;&gt;"",+VLOOKUP(I896,Recursos!C:F,3,FALSE),"")</f>
        <v>gl</v>
      </c>
      <c r="L896" s="1285">
        <f>IF(B896&lt;&gt;"",+VLOOKUP(I896,Recursos!C:F,4,FALSE),"")</f>
        <v>1</v>
      </c>
      <c r="M896" s="1293"/>
      <c r="N896" s="1294">
        <v>1</v>
      </c>
      <c r="O896" s="1286">
        <f t="shared" si="992"/>
        <v>1</v>
      </c>
      <c r="P896" s="1287">
        <f t="shared" si="993"/>
        <v>1</v>
      </c>
      <c r="Q896" s="1281">
        <f t="shared" si="994"/>
        <v>0</v>
      </c>
      <c r="R896" s="1288">
        <f t="shared" si="995"/>
        <v>0</v>
      </c>
      <c r="S896" s="1289">
        <f t="shared" si="895"/>
        <v>0</v>
      </c>
      <c r="T896" s="1289">
        <f t="shared" si="896"/>
        <v>0</v>
      </c>
      <c r="U896" s="1290">
        <f t="shared" si="897"/>
        <v>0</v>
      </c>
      <c r="V896" s="1290">
        <f t="shared" si="898"/>
        <v>0</v>
      </c>
      <c r="W896" s="1290">
        <f t="shared" si="899"/>
        <v>1</v>
      </c>
      <c r="X896" s="1290">
        <f t="shared" si="900"/>
        <v>0</v>
      </c>
      <c r="Y896" s="396"/>
      <c r="Z896" s="1291" t="str">
        <f t="shared" si="996"/>
        <v>0-ITR003A</v>
      </c>
      <c r="AA896" s="1291" t="str">
        <f t="shared" si="997"/>
        <v>0-ITR003E</v>
      </c>
      <c r="AB896" s="1291" t="str">
        <f t="shared" si="998"/>
        <v>0-ITR003M</v>
      </c>
      <c r="AC896" s="1291" t="str">
        <f t="shared" si="999"/>
        <v>0-ITR003T</v>
      </c>
      <c r="AD896" s="1291" t="str">
        <f t="shared" si="1000"/>
        <v>0-ITR003S</v>
      </c>
      <c r="AE896" s="1291" t="str">
        <f t="shared" si="1001"/>
        <v>0-ITR003X</v>
      </c>
      <c r="AF896" s="1291" t="str">
        <f t="shared" si="1002"/>
        <v>0-ITR003S</v>
      </c>
      <c r="AG896" s="1291">
        <f t="shared" si="901"/>
        <v>1</v>
      </c>
      <c r="AH896" s="1291">
        <f>IF(B896&lt;&gt;"",+IF(H896="x",+VLOOKUP(I896,'AUX-NIV2'!B:AG,32,FALSE),0),"")</f>
        <v>0</v>
      </c>
      <c r="AI896" s="1291" t="str">
        <f t="shared" si="1003"/>
        <v>0-ITR003</v>
      </c>
      <c r="AK896" s="347">
        <f t="shared" si="902"/>
        <v>896</v>
      </c>
      <c r="AL896" s="348">
        <f t="shared" si="1004"/>
        <v>896</v>
      </c>
      <c r="AM896" s="347">
        <f t="shared" si="1005"/>
        <v>1</v>
      </c>
      <c r="AN896" s="382">
        <f>IF(AND(AH896&gt;0,B896&lt;&gt;""),VLOOKUP(I896,'AUX-NIV2'!$B:$AP,40,FALSE)*O896,0)</f>
        <v>0</v>
      </c>
      <c r="AO896" s="382">
        <f t="shared" si="903"/>
        <v>0</v>
      </c>
      <c r="AQ896" s="395">
        <f>(IF($H896="x",VLOOKUP($I896,'AUX-NIV2'!$B:$X,'AUX-NIV1'!AQ$3,FALSE),0)+($AV896*'AUX-NIV3'!S$4))*$O896+IF($H896=AQ$4,$P896,0)</f>
        <v>0</v>
      </c>
      <c r="AR896" s="395">
        <f>(IF($H896="x",VLOOKUP($I896,'AUX-NIV2'!$B:$X,'AUX-NIV1'!AR$3,FALSE),0)+($AV896*'AUX-NIV3'!T$4))*$O896+IF($H896=AR$4,$P896,0)</f>
        <v>0</v>
      </c>
      <c r="AS896" s="395">
        <f>(IF($H896="x",VLOOKUP($I896,'AUX-NIV2'!$B:$X,'AUX-NIV1'!AS$3,FALSE),0)+($AV896*'AUX-NIV3'!U$4))*$O896+IF($H896=AS$4,$P896,0)</f>
        <v>0</v>
      </c>
      <c r="AT896" s="395">
        <f>(IF($H896="x",VLOOKUP($I896,'AUX-NIV2'!$B:$X,'AUX-NIV1'!AT$3,FALSE),0)+($AV896*'AUX-NIV3'!V$4))*$O896+IF($H896=AT$4,$P896,0)</f>
        <v>0</v>
      </c>
      <c r="AU896" s="395">
        <f>(IF($H896="x",VLOOKUP($I896,'AUX-NIV2'!$B:$X,'AUX-NIV1'!AU$3,FALSE),0)+($AV896*'AUX-NIV3'!W$4))*$O896+IF($H896=AU$4,$P896,0)</f>
        <v>1</v>
      </c>
      <c r="AV896" s="395">
        <f>+IF($H896="x",VLOOKUP($I896,'AUX-NIV2'!$B:$X,'AUX-NIV1'!AV$3,FALSE),0)</f>
        <v>0</v>
      </c>
    </row>
    <row r="897" spans="2:48" ht="14.4" hidden="1" thickTop="1" thickBot="1">
      <c r="B897" s="1433" t="s">
        <v>4090</v>
      </c>
      <c r="C897" s="1448" t="s">
        <v>3595</v>
      </c>
      <c r="D897" s="1435" t="s">
        <v>1172</v>
      </c>
      <c r="E897" s="1281">
        <f>IF(B897&lt;&gt;"",+SUMIF(Items!C:C,'AUX-NIV1'!B897,Items!H:H),"")</f>
        <v>0</v>
      </c>
      <c r="F897" s="1281">
        <f t="shared" si="893"/>
        <v>1</v>
      </c>
      <c r="G897" s="1281">
        <f t="shared" si="894"/>
        <v>0</v>
      </c>
      <c r="H897" s="1395" t="str">
        <f t="shared" si="991"/>
        <v>S</v>
      </c>
      <c r="I897" s="1462" t="s">
        <v>4113</v>
      </c>
      <c r="J897" s="1283" t="str">
        <f>IF(B897&lt;&gt;"",+VLOOKUP(I897,Recursos!C:F,2,FALSE),"")</f>
        <v>Cañerías y piezas de bronce- Colector tanque de reserva</v>
      </c>
      <c r="K897" s="1284" t="str">
        <f>IF(B897&lt;&gt;"",+VLOOKUP(I897,Recursos!C:F,3,FALSE),"")</f>
        <v>gl</v>
      </c>
      <c r="L897" s="1285">
        <f>IF(B897&lt;&gt;"",+VLOOKUP(I897,Recursos!C:F,4,FALSE),"")</f>
        <v>1</v>
      </c>
      <c r="M897" s="1293"/>
      <c r="N897" s="1294">
        <v>1</v>
      </c>
      <c r="O897" s="1286">
        <f t="shared" si="992"/>
        <v>1</v>
      </c>
      <c r="P897" s="1287">
        <f t="shared" si="993"/>
        <v>1</v>
      </c>
      <c r="Q897" s="1281">
        <f t="shared" si="994"/>
        <v>0</v>
      </c>
      <c r="R897" s="1288">
        <f t="shared" si="995"/>
        <v>0</v>
      </c>
      <c r="S897" s="1289">
        <f t="shared" si="895"/>
        <v>0</v>
      </c>
      <c r="T897" s="1289">
        <f t="shared" si="896"/>
        <v>0</v>
      </c>
      <c r="U897" s="1290">
        <f t="shared" si="897"/>
        <v>0</v>
      </c>
      <c r="V897" s="1290">
        <f t="shared" si="898"/>
        <v>0</v>
      </c>
      <c r="W897" s="1290">
        <f t="shared" si="899"/>
        <v>1</v>
      </c>
      <c r="X897" s="1290">
        <f t="shared" si="900"/>
        <v>0</v>
      </c>
      <c r="Y897" s="396"/>
      <c r="Z897" s="1291" t="str">
        <f t="shared" si="996"/>
        <v>0-ITR004A</v>
      </c>
      <c r="AA897" s="1291" t="str">
        <f t="shared" si="997"/>
        <v>0-ITR004E</v>
      </c>
      <c r="AB897" s="1291" t="str">
        <f t="shared" si="998"/>
        <v>0-ITR004M</v>
      </c>
      <c r="AC897" s="1291" t="str">
        <f t="shared" si="999"/>
        <v>0-ITR004T</v>
      </c>
      <c r="AD897" s="1291" t="str">
        <f t="shared" si="1000"/>
        <v>0-ITR004S</v>
      </c>
      <c r="AE897" s="1291" t="str">
        <f t="shared" si="1001"/>
        <v>0-ITR004X</v>
      </c>
      <c r="AF897" s="1291" t="str">
        <f t="shared" si="1002"/>
        <v>0-ITR004S</v>
      </c>
      <c r="AG897" s="1291">
        <f t="shared" si="901"/>
        <v>1</v>
      </c>
      <c r="AH897" s="1291">
        <f>IF(B897&lt;&gt;"",+IF(H897="x",+VLOOKUP(I897,'AUX-NIV2'!B:AG,32,FALSE),0),"")</f>
        <v>0</v>
      </c>
      <c r="AI897" s="1291" t="str">
        <f t="shared" si="1003"/>
        <v>0-ITR004</v>
      </c>
      <c r="AK897" s="347">
        <f t="shared" si="902"/>
        <v>897</v>
      </c>
      <c r="AL897" s="348">
        <f t="shared" si="1004"/>
        <v>897</v>
      </c>
      <c r="AM897" s="347">
        <f t="shared" si="1005"/>
        <v>1</v>
      </c>
      <c r="AN897" s="382">
        <f>IF(AND(AH897&gt;0,B897&lt;&gt;""),VLOOKUP(I897,'AUX-NIV2'!$B:$AP,40,FALSE)*O897,0)</f>
        <v>0</v>
      </c>
      <c r="AO897" s="382">
        <f t="shared" si="903"/>
        <v>0</v>
      </c>
      <c r="AQ897" s="395">
        <f>(IF($H897="x",VLOOKUP($I897,'AUX-NIV2'!$B:$X,'AUX-NIV1'!AQ$3,FALSE),0)+($AV897*'AUX-NIV3'!S$4))*$O897+IF($H897=AQ$4,$P897,0)</f>
        <v>0</v>
      </c>
      <c r="AR897" s="395">
        <f>(IF($H897="x",VLOOKUP($I897,'AUX-NIV2'!$B:$X,'AUX-NIV1'!AR$3,FALSE),0)+($AV897*'AUX-NIV3'!T$4))*$O897+IF($H897=AR$4,$P897,0)</f>
        <v>0</v>
      </c>
      <c r="AS897" s="395">
        <f>(IF($H897="x",VLOOKUP($I897,'AUX-NIV2'!$B:$X,'AUX-NIV1'!AS$3,FALSE),0)+($AV897*'AUX-NIV3'!U$4))*$O897+IF($H897=AS$4,$P897,0)</f>
        <v>0</v>
      </c>
      <c r="AT897" s="395">
        <f>(IF($H897="x",VLOOKUP($I897,'AUX-NIV2'!$B:$X,'AUX-NIV1'!AT$3,FALSE),0)+($AV897*'AUX-NIV3'!V$4))*$O897+IF($H897=AT$4,$P897,0)</f>
        <v>0</v>
      </c>
      <c r="AU897" s="395">
        <f>(IF($H897="x",VLOOKUP($I897,'AUX-NIV2'!$B:$X,'AUX-NIV1'!AU$3,FALSE),0)+($AV897*'AUX-NIV3'!W$4))*$O897+IF($H897=AU$4,$P897,0)</f>
        <v>1</v>
      </c>
      <c r="AV897" s="395">
        <f>+IF($H897="x",VLOOKUP($I897,'AUX-NIV2'!$B:$X,'AUX-NIV1'!AV$3,FALSE),0)</f>
        <v>0</v>
      </c>
    </row>
    <row r="898" spans="2:48" ht="14.4" hidden="1" thickTop="1" thickBot="1">
      <c r="B898" s="1433" t="s">
        <v>4091</v>
      </c>
      <c r="C898" s="1448" t="s">
        <v>3596</v>
      </c>
      <c r="D898" s="1435" t="s">
        <v>1172</v>
      </c>
      <c r="E898" s="1281">
        <f>IF(B898&lt;&gt;"",+SUMIF(Items!C:C,'AUX-NIV1'!B898,Items!H:H),"")</f>
        <v>0</v>
      </c>
      <c r="F898" s="1281">
        <f t="shared" si="893"/>
        <v>1</v>
      </c>
      <c r="G898" s="1281">
        <f t="shared" si="894"/>
        <v>0</v>
      </c>
      <c r="H898" s="1395" t="str">
        <f t="shared" si="991"/>
        <v>S</v>
      </c>
      <c r="I898" s="1462" t="s">
        <v>4114</v>
      </c>
      <c r="J898" s="1283" t="str">
        <f>IF(B898&lt;&gt;"",+VLOOKUP(I898,Recursos!C:F,2,FALSE),"")</f>
        <v>Cañerías y piezas de bronce- Alimentación tanque</v>
      </c>
      <c r="K898" s="1284" t="str">
        <f>IF(B898&lt;&gt;"",+VLOOKUP(I898,Recursos!C:F,3,FALSE),"")</f>
        <v>gl</v>
      </c>
      <c r="L898" s="1285">
        <f>IF(B898&lt;&gt;"",+VLOOKUP(I898,Recursos!C:F,4,FALSE),"")</f>
        <v>1</v>
      </c>
      <c r="M898" s="1293"/>
      <c r="N898" s="1294">
        <v>1</v>
      </c>
      <c r="O898" s="1286">
        <f t="shared" si="992"/>
        <v>1</v>
      </c>
      <c r="P898" s="1287">
        <f t="shared" si="993"/>
        <v>1</v>
      </c>
      <c r="Q898" s="1281">
        <f t="shared" si="994"/>
        <v>0</v>
      </c>
      <c r="R898" s="1288">
        <f t="shared" si="995"/>
        <v>0</v>
      </c>
      <c r="S898" s="1289">
        <f t="shared" si="895"/>
        <v>0</v>
      </c>
      <c r="T898" s="1289">
        <f t="shared" si="896"/>
        <v>0</v>
      </c>
      <c r="U898" s="1290">
        <f t="shared" si="897"/>
        <v>0</v>
      </c>
      <c r="V898" s="1290">
        <f t="shared" si="898"/>
        <v>0</v>
      </c>
      <c r="W898" s="1290">
        <f t="shared" si="899"/>
        <v>1</v>
      </c>
      <c r="X898" s="1290">
        <f t="shared" si="900"/>
        <v>0</v>
      </c>
      <c r="Y898" s="396"/>
      <c r="Z898" s="1291" t="str">
        <f t="shared" si="996"/>
        <v>0-ITR005A</v>
      </c>
      <c r="AA898" s="1291" t="str">
        <f t="shared" si="997"/>
        <v>0-ITR005E</v>
      </c>
      <c r="AB898" s="1291" t="str">
        <f t="shared" si="998"/>
        <v>0-ITR005M</v>
      </c>
      <c r="AC898" s="1291" t="str">
        <f t="shared" si="999"/>
        <v>0-ITR005T</v>
      </c>
      <c r="AD898" s="1291" t="str">
        <f t="shared" si="1000"/>
        <v>0-ITR005S</v>
      </c>
      <c r="AE898" s="1291" t="str">
        <f t="shared" si="1001"/>
        <v>0-ITR005X</v>
      </c>
      <c r="AF898" s="1291" t="str">
        <f t="shared" si="1002"/>
        <v>0-ITR005S</v>
      </c>
      <c r="AG898" s="1291">
        <f t="shared" si="901"/>
        <v>1</v>
      </c>
      <c r="AH898" s="1291">
        <f>IF(B898&lt;&gt;"",+IF(H898="x",+VLOOKUP(I898,'AUX-NIV2'!B:AG,32,FALSE),0),"")</f>
        <v>0</v>
      </c>
      <c r="AI898" s="1291" t="str">
        <f t="shared" si="1003"/>
        <v>0-ITR005</v>
      </c>
      <c r="AK898" s="347">
        <f t="shared" si="902"/>
        <v>898</v>
      </c>
      <c r="AL898" s="348">
        <f t="shared" si="1004"/>
        <v>898</v>
      </c>
      <c r="AM898" s="347">
        <f t="shared" si="1005"/>
        <v>1</v>
      </c>
      <c r="AN898" s="382">
        <f>IF(AND(AH898&gt;0,B898&lt;&gt;""),VLOOKUP(I898,'AUX-NIV2'!$B:$AP,40,FALSE)*O898,0)</f>
        <v>0</v>
      </c>
      <c r="AO898" s="382">
        <f t="shared" si="903"/>
        <v>0</v>
      </c>
      <c r="AQ898" s="395">
        <f>(IF($H898="x",VLOOKUP($I898,'AUX-NIV2'!$B:$X,'AUX-NIV1'!AQ$3,FALSE),0)+($AV898*'AUX-NIV3'!S$4))*$O898+IF($H898=AQ$4,$P898,0)</f>
        <v>0</v>
      </c>
      <c r="AR898" s="395">
        <f>(IF($H898="x",VLOOKUP($I898,'AUX-NIV2'!$B:$X,'AUX-NIV1'!AR$3,FALSE),0)+($AV898*'AUX-NIV3'!T$4))*$O898+IF($H898=AR$4,$P898,0)</f>
        <v>0</v>
      </c>
      <c r="AS898" s="395">
        <f>(IF($H898="x",VLOOKUP($I898,'AUX-NIV2'!$B:$X,'AUX-NIV1'!AS$3,FALSE),0)+($AV898*'AUX-NIV3'!U$4))*$O898+IF($H898=AS$4,$P898,0)</f>
        <v>0</v>
      </c>
      <c r="AT898" s="395">
        <f>(IF($H898="x",VLOOKUP($I898,'AUX-NIV2'!$B:$X,'AUX-NIV1'!AT$3,FALSE),0)+($AV898*'AUX-NIV3'!V$4))*$O898+IF($H898=AT$4,$P898,0)</f>
        <v>0</v>
      </c>
      <c r="AU898" s="395">
        <f>(IF($H898="x",VLOOKUP($I898,'AUX-NIV2'!$B:$X,'AUX-NIV1'!AU$3,FALSE),0)+($AV898*'AUX-NIV3'!W$4))*$O898+IF($H898=AU$4,$P898,0)</f>
        <v>1</v>
      </c>
      <c r="AV898" s="395">
        <f>+IF($H898="x",VLOOKUP($I898,'AUX-NIV2'!$B:$X,'AUX-NIV1'!AV$3,FALSE),0)</f>
        <v>0</v>
      </c>
    </row>
    <row r="899" spans="2:48" ht="14.4" hidden="1" thickTop="1" thickBot="1">
      <c r="B899" s="1433" t="s">
        <v>4092</v>
      </c>
      <c r="C899" s="1448" t="s">
        <v>3597</v>
      </c>
      <c r="D899" s="1435" t="s">
        <v>1172</v>
      </c>
      <c r="E899" s="1281">
        <f>IF(B899&lt;&gt;"",+SUMIF(Items!C:C,'AUX-NIV1'!B899,Items!H:H),"")</f>
        <v>0</v>
      </c>
      <c r="F899" s="1281">
        <f t="shared" si="893"/>
        <v>1</v>
      </c>
      <c r="G899" s="1281">
        <f t="shared" si="894"/>
        <v>0</v>
      </c>
      <c r="H899" s="1395" t="str">
        <f t="shared" si="991"/>
        <v>S</v>
      </c>
      <c r="I899" s="1462" t="s">
        <v>4115</v>
      </c>
      <c r="J899" s="1283" t="str">
        <f>IF(B899&lt;&gt;"",+VLOOKUP(I899,Recursos!C:F,2,FALSE),"")</f>
        <v>Cañerías de plástico- Unidas por termofusión - agua fria y caliente</v>
      </c>
      <c r="K899" s="1284" t="str">
        <f>IF(B899&lt;&gt;"",+VLOOKUP(I899,Recursos!C:F,3,FALSE),"")</f>
        <v>gl</v>
      </c>
      <c r="L899" s="1285">
        <f>IF(B899&lt;&gt;"",+VLOOKUP(I899,Recursos!C:F,4,FALSE),"")</f>
        <v>1</v>
      </c>
      <c r="M899" s="1293"/>
      <c r="N899" s="1294">
        <v>1</v>
      </c>
      <c r="O899" s="1286">
        <f t="shared" si="992"/>
        <v>1</v>
      </c>
      <c r="P899" s="1287">
        <f t="shared" si="993"/>
        <v>1</v>
      </c>
      <c r="Q899" s="1281">
        <f t="shared" si="994"/>
        <v>0</v>
      </c>
      <c r="R899" s="1288">
        <f t="shared" si="995"/>
        <v>0</v>
      </c>
      <c r="S899" s="1289">
        <f t="shared" si="895"/>
        <v>0</v>
      </c>
      <c r="T899" s="1289">
        <f t="shared" si="896"/>
        <v>0</v>
      </c>
      <c r="U899" s="1290">
        <f t="shared" si="897"/>
        <v>0</v>
      </c>
      <c r="V899" s="1290">
        <f t="shared" si="898"/>
        <v>0</v>
      </c>
      <c r="W899" s="1290">
        <f t="shared" si="899"/>
        <v>1</v>
      </c>
      <c r="X899" s="1290">
        <f t="shared" si="900"/>
        <v>0</v>
      </c>
      <c r="Y899" s="396"/>
      <c r="Z899" s="1291" t="str">
        <f t="shared" si="996"/>
        <v>0-ITR006A</v>
      </c>
      <c r="AA899" s="1291" t="str">
        <f t="shared" si="997"/>
        <v>0-ITR006E</v>
      </c>
      <c r="AB899" s="1291" t="str">
        <f t="shared" si="998"/>
        <v>0-ITR006M</v>
      </c>
      <c r="AC899" s="1291" t="str">
        <f t="shared" si="999"/>
        <v>0-ITR006T</v>
      </c>
      <c r="AD899" s="1291" t="str">
        <f t="shared" si="1000"/>
        <v>0-ITR006S</v>
      </c>
      <c r="AE899" s="1291" t="str">
        <f t="shared" si="1001"/>
        <v>0-ITR006X</v>
      </c>
      <c r="AF899" s="1291" t="str">
        <f t="shared" si="1002"/>
        <v>0-ITR006S</v>
      </c>
      <c r="AG899" s="1291">
        <f t="shared" si="901"/>
        <v>1</v>
      </c>
      <c r="AH899" s="1291">
        <f>IF(B899&lt;&gt;"",+IF(H899="x",+VLOOKUP(I899,'AUX-NIV2'!B:AG,32,FALSE),0),"")</f>
        <v>0</v>
      </c>
      <c r="AI899" s="1291" t="str">
        <f t="shared" si="1003"/>
        <v>0-ITR006</v>
      </c>
      <c r="AK899" s="347">
        <f t="shared" si="902"/>
        <v>899</v>
      </c>
      <c r="AL899" s="348">
        <f t="shared" si="1004"/>
        <v>899</v>
      </c>
      <c r="AM899" s="347">
        <f t="shared" si="1005"/>
        <v>1</v>
      </c>
      <c r="AN899" s="382">
        <f>IF(AND(AH899&gt;0,B899&lt;&gt;""),VLOOKUP(I899,'AUX-NIV2'!$B:$AP,40,FALSE)*O899,0)</f>
        <v>0</v>
      </c>
      <c r="AO899" s="382">
        <f t="shared" si="903"/>
        <v>0</v>
      </c>
      <c r="AQ899" s="395">
        <f>(IF($H899="x",VLOOKUP($I899,'AUX-NIV2'!$B:$X,'AUX-NIV1'!AQ$3,FALSE),0)+($AV899*'AUX-NIV3'!S$4))*$O899+IF($H899=AQ$4,$P899,0)</f>
        <v>0</v>
      </c>
      <c r="AR899" s="395">
        <f>(IF($H899="x",VLOOKUP($I899,'AUX-NIV2'!$B:$X,'AUX-NIV1'!AR$3,FALSE),0)+($AV899*'AUX-NIV3'!T$4))*$O899+IF($H899=AR$4,$P899,0)</f>
        <v>0</v>
      </c>
      <c r="AS899" s="395">
        <f>(IF($H899="x",VLOOKUP($I899,'AUX-NIV2'!$B:$X,'AUX-NIV1'!AS$3,FALSE),0)+($AV899*'AUX-NIV3'!U$4))*$O899+IF($H899=AS$4,$P899,0)</f>
        <v>0</v>
      </c>
      <c r="AT899" s="395">
        <f>(IF($H899="x",VLOOKUP($I899,'AUX-NIV2'!$B:$X,'AUX-NIV1'!AT$3,FALSE),0)+($AV899*'AUX-NIV3'!V$4))*$O899+IF($H899=AT$4,$P899,0)</f>
        <v>0</v>
      </c>
      <c r="AU899" s="395">
        <f>(IF($H899="x",VLOOKUP($I899,'AUX-NIV2'!$B:$X,'AUX-NIV1'!AU$3,FALSE),0)+($AV899*'AUX-NIV3'!W$4))*$O899+IF($H899=AU$4,$P899,0)</f>
        <v>1</v>
      </c>
      <c r="AV899" s="395">
        <f>+IF($H899="x",VLOOKUP($I899,'AUX-NIV2'!$B:$X,'AUX-NIV1'!AV$3,FALSE),0)</f>
        <v>0</v>
      </c>
    </row>
    <row r="900" spans="2:48" ht="14.4" hidden="1" thickTop="1" thickBot="1">
      <c r="B900" s="1433" t="s">
        <v>4093</v>
      </c>
      <c r="C900" s="1448" t="s">
        <v>3948</v>
      </c>
      <c r="D900" s="1435" t="s">
        <v>1172</v>
      </c>
      <c r="E900" s="1281">
        <f>IF(B900&lt;&gt;"",+SUMIF(Items!C:C,'AUX-NIV1'!B900,Items!H:H),"")</f>
        <v>0</v>
      </c>
      <c r="F900" s="1281">
        <f t="shared" si="893"/>
        <v>1</v>
      </c>
      <c r="G900" s="1281">
        <f t="shared" si="894"/>
        <v>0</v>
      </c>
      <c r="H900" s="1395" t="str">
        <f t="shared" si="991"/>
        <v>S</v>
      </c>
      <c r="I900" s="1462" t="s">
        <v>4116</v>
      </c>
      <c r="J900" s="1283" t="str">
        <f>IF(B900&lt;&gt;"",+VLOOKUP(I900,Recursos!C:F,2,FALSE),"")</f>
        <v>Cañerías de plástico- Polipropileno- Unidas por o´ring doble labio - desagües cloacales y pluviales</v>
      </c>
      <c r="K900" s="1284" t="str">
        <f>IF(B900&lt;&gt;"",+VLOOKUP(I900,Recursos!C:F,3,FALSE),"")</f>
        <v>gl</v>
      </c>
      <c r="L900" s="1285">
        <f>IF(B900&lt;&gt;"",+VLOOKUP(I900,Recursos!C:F,4,FALSE),"")</f>
        <v>1</v>
      </c>
      <c r="M900" s="1293"/>
      <c r="N900" s="1294">
        <v>1</v>
      </c>
      <c r="O900" s="1286">
        <f t="shared" si="992"/>
        <v>1</v>
      </c>
      <c r="P900" s="1287">
        <f t="shared" si="993"/>
        <v>1</v>
      </c>
      <c r="Q900" s="1281">
        <f t="shared" si="994"/>
        <v>0</v>
      </c>
      <c r="R900" s="1288">
        <f t="shared" si="995"/>
        <v>0</v>
      </c>
      <c r="S900" s="1289">
        <f t="shared" si="895"/>
        <v>0</v>
      </c>
      <c r="T900" s="1289">
        <f t="shared" si="896"/>
        <v>0</v>
      </c>
      <c r="U900" s="1290">
        <f t="shared" si="897"/>
        <v>0</v>
      </c>
      <c r="V900" s="1290">
        <f t="shared" si="898"/>
        <v>0</v>
      </c>
      <c r="W900" s="1290">
        <f t="shared" si="899"/>
        <v>1</v>
      </c>
      <c r="X900" s="1290">
        <f t="shared" si="900"/>
        <v>0</v>
      </c>
      <c r="Y900" s="396"/>
      <c r="Z900" s="1291" t="str">
        <f t="shared" si="996"/>
        <v>0-ITR007A</v>
      </c>
      <c r="AA900" s="1291" t="str">
        <f t="shared" si="997"/>
        <v>0-ITR007E</v>
      </c>
      <c r="AB900" s="1291" t="str">
        <f t="shared" si="998"/>
        <v>0-ITR007M</v>
      </c>
      <c r="AC900" s="1291" t="str">
        <f t="shared" si="999"/>
        <v>0-ITR007T</v>
      </c>
      <c r="AD900" s="1291" t="str">
        <f t="shared" si="1000"/>
        <v>0-ITR007S</v>
      </c>
      <c r="AE900" s="1291" t="str">
        <f t="shared" si="1001"/>
        <v>0-ITR007X</v>
      </c>
      <c r="AF900" s="1291" t="str">
        <f t="shared" si="1002"/>
        <v>0-ITR007S</v>
      </c>
      <c r="AG900" s="1291">
        <f t="shared" si="901"/>
        <v>1</v>
      </c>
      <c r="AH900" s="1291">
        <f>IF(B900&lt;&gt;"",+IF(H900="x",+VLOOKUP(I900,'AUX-NIV2'!B:AG,32,FALSE),0),"")</f>
        <v>0</v>
      </c>
      <c r="AI900" s="1291" t="str">
        <f t="shared" si="1003"/>
        <v>0-ITR007</v>
      </c>
      <c r="AK900" s="347">
        <f t="shared" si="902"/>
        <v>900</v>
      </c>
      <c r="AL900" s="348">
        <f t="shared" si="1004"/>
        <v>900</v>
      </c>
      <c r="AM900" s="347">
        <f t="shared" si="1005"/>
        <v>1</v>
      </c>
      <c r="AN900" s="382">
        <f>IF(AND(AH900&gt;0,B900&lt;&gt;""),VLOOKUP(I900,'AUX-NIV2'!$B:$AP,40,FALSE)*O900,0)</f>
        <v>0</v>
      </c>
      <c r="AO900" s="382">
        <f t="shared" si="903"/>
        <v>0</v>
      </c>
      <c r="AQ900" s="395">
        <f>(IF($H900="x",VLOOKUP($I900,'AUX-NIV2'!$B:$X,'AUX-NIV1'!AQ$3,FALSE),0)+($AV900*'AUX-NIV3'!S$4))*$O900+IF($H900=AQ$4,$P900,0)</f>
        <v>0</v>
      </c>
      <c r="AR900" s="395">
        <f>(IF($H900="x",VLOOKUP($I900,'AUX-NIV2'!$B:$X,'AUX-NIV1'!AR$3,FALSE),0)+($AV900*'AUX-NIV3'!T$4))*$O900+IF($H900=AR$4,$P900,0)</f>
        <v>0</v>
      </c>
      <c r="AS900" s="395">
        <f>(IF($H900="x",VLOOKUP($I900,'AUX-NIV2'!$B:$X,'AUX-NIV1'!AS$3,FALSE),0)+($AV900*'AUX-NIV3'!U$4))*$O900+IF($H900=AS$4,$P900,0)</f>
        <v>0</v>
      </c>
      <c r="AT900" s="395">
        <f>(IF($H900="x",VLOOKUP($I900,'AUX-NIV2'!$B:$X,'AUX-NIV1'!AT$3,FALSE),0)+($AV900*'AUX-NIV3'!V$4))*$O900+IF($H900=AT$4,$P900,0)</f>
        <v>0</v>
      </c>
      <c r="AU900" s="395">
        <f>(IF($H900="x",VLOOKUP($I900,'AUX-NIV2'!$B:$X,'AUX-NIV1'!AU$3,FALSE),0)+($AV900*'AUX-NIV3'!W$4))*$O900+IF($H900=AU$4,$P900,0)</f>
        <v>1</v>
      </c>
      <c r="AV900" s="395">
        <f>+IF($H900="x",VLOOKUP($I900,'AUX-NIV2'!$B:$X,'AUX-NIV1'!AV$3,FALSE),0)</f>
        <v>0</v>
      </c>
    </row>
    <row r="901" spans="2:48" ht="14.4" hidden="1" thickTop="1" thickBot="1">
      <c r="B901" s="1433" t="s">
        <v>4094</v>
      </c>
      <c r="C901" s="1448" t="s">
        <v>3598</v>
      </c>
      <c r="D901" s="1435" t="s">
        <v>1782</v>
      </c>
      <c r="E901" s="1281">
        <f>IF(B901&lt;&gt;"",+SUMIF(Items!C:C,'AUX-NIV1'!B901,Items!H:H),"")</f>
        <v>0</v>
      </c>
      <c r="F901" s="1281">
        <f t="shared" si="893"/>
        <v>1</v>
      </c>
      <c r="G901" s="1281">
        <f t="shared" si="894"/>
        <v>0</v>
      </c>
      <c r="H901" s="1395" t="str">
        <f t="shared" si="991"/>
        <v>S</v>
      </c>
      <c r="I901" s="1462" t="s">
        <v>4117</v>
      </c>
      <c r="J901" s="1283" t="str">
        <f>IF(B901&lt;&gt;"",+VLOOKUP(I901,Recursos!C:F,2,FALSE),"")</f>
        <v>Inodoros Largo con mochila Línea Bari de Ferrum</v>
      </c>
      <c r="K901" s="1284" t="str">
        <f>IF(B901&lt;&gt;"",+VLOOKUP(I901,Recursos!C:F,3,FALSE),"")</f>
        <v>u</v>
      </c>
      <c r="L901" s="1285">
        <f>IF(B901&lt;&gt;"",+VLOOKUP(I901,Recursos!C:F,4,FALSE),"")</f>
        <v>1</v>
      </c>
      <c r="M901" s="1293"/>
      <c r="N901" s="1294">
        <v>1</v>
      </c>
      <c r="O901" s="1286">
        <f t="shared" si="992"/>
        <v>1</v>
      </c>
      <c r="P901" s="1287">
        <f t="shared" si="993"/>
        <v>1</v>
      </c>
      <c r="Q901" s="1281">
        <f t="shared" si="994"/>
        <v>0</v>
      </c>
      <c r="R901" s="1288">
        <f t="shared" si="995"/>
        <v>0</v>
      </c>
      <c r="S901" s="1289">
        <f t="shared" si="895"/>
        <v>0</v>
      </c>
      <c r="T901" s="1289">
        <f t="shared" si="896"/>
        <v>0</v>
      </c>
      <c r="U901" s="1290">
        <f t="shared" si="897"/>
        <v>0</v>
      </c>
      <c r="V901" s="1290">
        <f t="shared" si="898"/>
        <v>0</v>
      </c>
      <c r="W901" s="1290">
        <f t="shared" si="899"/>
        <v>1</v>
      </c>
      <c r="X901" s="1290">
        <f t="shared" si="900"/>
        <v>0</v>
      </c>
      <c r="Y901" s="396"/>
      <c r="Z901" s="1291" t="str">
        <f t="shared" si="996"/>
        <v>0-ITR008A</v>
      </c>
      <c r="AA901" s="1291" t="str">
        <f t="shared" si="997"/>
        <v>0-ITR008E</v>
      </c>
      <c r="AB901" s="1291" t="str">
        <f t="shared" si="998"/>
        <v>0-ITR008M</v>
      </c>
      <c r="AC901" s="1291" t="str">
        <f t="shared" si="999"/>
        <v>0-ITR008T</v>
      </c>
      <c r="AD901" s="1291" t="str">
        <f t="shared" si="1000"/>
        <v>0-ITR008S</v>
      </c>
      <c r="AE901" s="1291" t="str">
        <f t="shared" si="1001"/>
        <v>0-ITR008X</v>
      </c>
      <c r="AF901" s="1291" t="str">
        <f t="shared" si="1002"/>
        <v>0-ITR008S</v>
      </c>
      <c r="AG901" s="1291">
        <f t="shared" si="901"/>
        <v>1</v>
      </c>
      <c r="AH901" s="1291">
        <f>IF(B901&lt;&gt;"",+IF(H901="x",+VLOOKUP(I901,'AUX-NIV2'!B:AG,32,FALSE),0),"")</f>
        <v>0</v>
      </c>
      <c r="AI901" s="1291" t="str">
        <f t="shared" si="1003"/>
        <v>0-ITR008</v>
      </c>
      <c r="AK901" s="347">
        <f t="shared" si="902"/>
        <v>901</v>
      </c>
      <c r="AL901" s="348">
        <f t="shared" si="1004"/>
        <v>901</v>
      </c>
      <c r="AM901" s="347">
        <f t="shared" si="1005"/>
        <v>1</v>
      </c>
      <c r="AN901" s="382">
        <f>IF(AND(AH901&gt;0,B901&lt;&gt;""),VLOOKUP(I901,'AUX-NIV2'!$B:$AP,40,FALSE)*O901,0)</f>
        <v>0</v>
      </c>
      <c r="AO901" s="382">
        <f t="shared" si="903"/>
        <v>0</v>
      </c>
      <c r="AQ901" s="395">
        <f>(IF($H901="x",VLOOKUP($I901,'AUX-NIV2'!$B:$X,'AUX-NIV1'!AQ$3,FALSE),0)+($AV901*'AUX-NIV3'!S$4))*$O901+IF($H901=AQ$4,$P901,0)</f>
        <v>0</v>
      </c>
      <c r="AR901" s="395">
        <f>(IF($H901="x",VLOOKUP($I901,'AUX-NIV2'!$B:$X,'AUX-NIV1'!AR$3,FALSE),0)+($AV901*'AUX-NIV3'!T$4))*$O901+IF($H901=AR$4,$P901,0)</f>
        <v>0</v>
      </c>
      <c r="AS901" s="395">
        <f>(IF($H901="x",VLOOKUP($I901,'AUX-NIV2'!$B:$X,'AUX-NIV1'!AS$3,FALSE),0)+($AV901*'AUX-NIV3'!U$4))*$O901+IF($H901=AS$4,$P901,0)</f>
        <v>0</v>
      </c>
      <c r="AT901" s="395">
        <f>(IF($H901="x",VLOOKUP($I901,'AUX-NIV2'!$B:$X,'AUX-NIV1'!AT$3,FALSE),0)+($AV901*'AUX-NIV3'!V$4))*$O901+IF($H901=AT$4,$P901,0)</f>
        <v>0</v>
      </c>
      <c r="AU901" s="395">
        <f>(IF($H901="x",VLOOKUP($I901,'AUX-NIV2'!$B:$X,'AUX-NIV1'!AU$3,FALSE),0)+($AV901*'AUX-NIV3'!W$4))*$O901+IF($H901=AU$4,$P901,0)</f>
        <v>1</v>
      </c>
      <c r="AV901" s="395">
        <f>+IF($H901="x",VLOOKUP($I901,'AUX-NIV2'!$B:$X,'AUX-NIV1'!AV$3,FALSE),0)</f>
        <v>0</v>
      </c>
    </row>
    <row r="902" spans="2:48" ht="14.4" hidden="1" thickTop="1" thickBot="1">
      <c r="B902" s="1433" t="s">
        <v>4095</v>
      </c>
      <c r="C902" s="1448" t="s">
        <v>3599</v>
      </c>
      <c r="D902" s="1435" t="s">
        <v>1782</v>
      </c>
      <c r="E902" s="1281">
        <f>IF(B902&lt;&gt;"",+SUMIF(Items!C:C,'AUX-NIV1'!B902,Items!H:H),"")</f>
        <v>0</v>
      </c>
      <c r="F902" s="1281">
        <f t="shared" si="893"/>
        <v>1</v>
      </c>
      <c r="G902" s="1281">
        <f t="shared" si="894"/>
        <v>0</v>
      </c>
      <c r="H902" s="1395" t="str">
        <f t="shared" si="991"/>
        <v>S</v>
      </c>
      <c r="I902" s="1462" t="s">
        <v>4118</v>
      </c>
      <c r="J902" s="1283" t="str">
        <f>IF(B902&lt;&gt;"",+VLOOKUP(I902,Recursos!C:F,2,FALSE),"")</f>
        <v>Bidets Línea Bari de Ferrum de 1 agujero</v>
      </c>
      <c r="K902" s="1284" t="str">
        <f>IF(B902&lt;&gt;"",+VLOOKUP(I902,Recursos!C:F,3,FALSE),"")</f>
        <v>u</v>
      </c>
      <c r="L902" s="1285">
        <f>IF(B902&lt;&gt;"",+VLOOKUP(I902,Recursos!C:F,4,FALSE),"")</f>
        <v>1</v>
      </c>
      <c r="M902" s="1293"/>
      <c r="N902" s="1294">
        <v>1</v>
      </c>
      <c r="O902" s="1286">
        <f t="shared" si="992"/>
        <v>1</v>
      </c>
      <c r="P902" s="1287">
        <f t="shared" si="993"/>
        <v>1</v>
      </c>
      <c r="Q902" s="1281">
        <f t="shared" si="994"/>
        <v>0</v>
      </c>
      <c r="R902" s="1288">
        <f t="shared" si="995"/>
        <v>0</v>
      </c>
      <c r="S902" s="1289">
        <f t="shared" si="895"/>
        <v>0</v>
      </c>
      <c r="T902" s="1289">
        <f t="shared" si="896"/>
        <v>0</v>
      </c>
      <c r="U902" s="1290">
        <f t="shared" si="897"/>
        <v>0</v>
      </c>
      <c r="V902" s="1290">
        <f t="shared" si="898"/>
        <v>0</v>
      </c>
      <c r="W902" s="1290">
        <f t="shared" si="899"/>
        <v>1</v>
      </c>
      <c r="X902" s="1290">
        <f t="shared" si="900"/>
        <v>0</v>
      </c>
      <c r="Y902" s="396"/>
      <c r="Z902" s="1291" t="str">
        <f t="shared" si="996"/>
        <v>0-ITR009A</v>
      </c>
      <c r="AA902" s="1291" t="str">
        <f t="shared" si="997"/>
        <v>0-ITR009E</v>
      </c>
      <c r="AB902" s="1291" t="str">
        <f t="shared" si="998"/>
        <v>0-ITR009M</v>
      </c>
      <c r="AC902" s="1291" t="str">
        <f t="shared" si="999"/>
        <v>0-ITR009T</v>
      </c>
      <c r="AD902" s="1291" t="str">
        <f t="shared" si="1000"/>
        <v>0-ITR009S</v>
      </c>
      <c r="AE902" s="1291" t="str">
        <f t="shared" si="1001"/>
        <v>0-ITR009X</v>
      </c>
      <c r="AF902" s="1291" t="str">
        <f t="shared" si="1002"/>
        <v>0-ITR009S</v>
      </c>
      <c r="AG902" s="1291">
        <f t="shared" si="901"/>
        <v>1</v>
      </c>
      <c r="AH902" s="1291">
        <f>IF(B902&lt;&gt;"",+IF(H902="x",+VLOOKUP(I902,'AUX-NIV2'!B:AG,32,FALSE),0),"")</f>
        <v>0</v>
      </c>
      <c r="AI902" s="1291" t="str">
        <f t="shared" si="1003"/>
        <v>0-ITR009</v>
      </c>
      <c r="AK902" s="347">
        <f t="shared" si="902"/>
        <v>902</v>
      </c>
      <c r="AL902" s="348">
        <f t="shared" si="1004"/>
        <v>902</v>
      </c>
      <c r="AM902" s="347">
        <f t="shared" si="1005"/>
        <v>1</v>
      </c>
      <c r="AN902" s="382">
        <f>IF(AND(AH902&gt;0,B902&lt;&gt;""),VLOOKUP(I902,'AUX-NIV2'!$B:$AP,40,FALSE)*O902,0)</f>
        <v>0</v>
      </c>
      <c r="AO902" s="382">
        <f t="shared" si="903"/>
        <v>0</v>
      </c>
      <c r="AQ902" s="395">
        <f>(IF($H902="x",VLOOKUP($I902,'AUX-NIV2'!$B:$X,'AUX-NIV1'!AQ$3,FALSE),0)+($AV902*'AUX-NIV3'!S$4))*$O902+IF($H902=AQ$4,$P902,0)</f>
        <v>0</v>
      </c>
      <c r="AR902" s="395">
        <f>(IF($H902="x",VLOOKUP($I902,'AUX-NIV2'!$B:$X,'AUX-NIV1'!AR$3,FALSE),0)+($AV902*'AUX-NIV3'!T$4))*$O902+IF($H902=AR$4,$P902,0)</f>
        <v>0</v>
      </c>
      <c r="AS902" s="395">
        <f>(IF($H902="x",VLOOKUP($I902,'AUX-NIV2'!$B:$X,'AUX-NIV1'!AS$3,FALSE),0)+($AV902*'AUX-NIV3'!U$4))*$O902+IF($H902=AS$4,$P902,0)</f>
        <v>0</v>
      </c>
      <c r="AT902" s="395">
        <f>(IF($H902="x",VLOOKUP($I902,'AUX-NIV2'!$B:$X,'AUX-NIV1'!AT$3,FALSE),0)+($AV902*'AUX-NIV3'!V$4))*$O902+IF($H902=AT$4,$P902,0)</f>
        <v>0</v>
      </c>
      <c r="AU902" s="395">
        <f>(IF($H902="x",VLOOKUP($I902,'AUX-NIV2'!$B:$X,'AUX-NIV1'!AU$3,FALSE),0)+($AV902*'AUX-NIV3'!W$4))*$O902+IF($H902=AU$4,$P902,0)</f>
        <v>1</v>
      </c>
      <c r="AV902" s="395">
        <f>+IF($H902="x",VLOOKUP($I902,'AUX-NIV2'!$B:$X,'AUX-NIV1'!AV$3,FALSE),0)</f>
        <v>0</v>
      </c>
    </row>
    <row r="903" spans="2:48" ht="14.4" hidden="1" thickTop="1" thickBot="1">
      <c r="B903" s="1433" t="s">
        <v>4096</v>
      </c>
      <c r="C903" s="1448" t="s">
        <v>3600</v>
      </c>
      <c r="D903" s="1435" t="s">
        <v>1782</v>
      </c>
      <c r="E903" s="1281">
        <f>IF(B903&lt;&gt;"",+SUMIF(Items!C:C,'AUX-NIV1'!B903,Items!H:H),"")</f>
        <v>0</v>
      </c>
      <c r="F903" s="1281">
        <f t="shared" ref="F903:F966" si="1006">IF(B903&lt;&gt;"",+SUMIF(B:B,B903,P:P),"")</f>
        <v>1</v>
      </c>
      <c r="G903" s="1281">
        <f t="shared" ref="G903:G966" si="1007">IF(B903&lt;&gt;"",+SUMIF(B:B,B903,R:R),"")</f>
        <v>0</v>
      </c>
      <c r="H903" s="1395" t="str">
        <f t="shared" si="991"/>
        <v>S</v>
      </c>
      <c r="I903" s="1462" t="s">
        <v>4119</v>
      </c>
      <c r="J903" s="1283" t="str">
        <f>IF(B903&lt;&gt;"",+VLOOKUP(I903,Recursos!C:F,2,FALSE),"")</f>
        <v>Mingitorios Oval de Ferrum</v>
      </c>
      <c r="K903" s="1284" t="str">
        <f>IF(B903&lt;&gt;"",+VLOOKUP(I903,Recursos!C:F,3,FALSE),"")</f>
        <v>u</v>
      </c>
      <c r="L903" s="1285">
        <f>IF(B903&lt;&gt;"",+VLOOKUP(I903,Recursos!C:F,4,FALSE),"")</f>
        <v>1</v>
      </c>
      <c r="M903" s="1293"/>
      <c r="N903" s="1294">
        <v>1</v>
      </c>
      <c r="O903" s="1286">
        <f t="shared" si="992"/>
        <v>1</v>
      </c>
      <c r="P903" s="1287">
        <f t="shared" si="993"/>
        <v>1</v>
      </c>
      <c r="Q903" s="1281">
        <f t="shared" si="994"/>
        <v>0</v>
      </c>
      <c r="R903" s="1288">
        <f t="shared" si="995"/>
        <v>0</v>
      </c>
      <c r="S903" s="1289">
        <f t="shared" ref="S903:S966" si="1008">IF(B903&lt;&gt;"",+SUMIF($AF:$AF,Z903,$P:$P),"")</f>
        <v>0</v>
      </c>
      <c r="T903" s="1289">
        <f t="shared" ref="T903:T966" si="1009">IF(B903&lt;&gt;"",+SUMIF($AF:$AF,AA903,$P:$P),"")</f>
        <v>0</v>
      </c>
      <c r="U903" s="1290">
        <f t="shared" ref="U903:U966" si="1010">IF(B903&lt;&gt;"",+SUMIF($AF:$AF,AB903,$P:$P),"")</f>
        <v>0</v>
      </c>
      <c r="V903" s="1290">
        <f t="shared" ref="V903:V966" si="1011">IF(B903&lt;&gt;"",+SUMIF($AF:$AF,AC903,$P:$P),"")</f>
        <v>0</v>
      </c>
      <c r="W903" s="1290">
        <f t="shared" ref="W903:W966" si="1012">IF(B903&lt;&gt;"",+SUMIF($AF:$AF,AD903,$P:$P),"")</f>
        <v>1</v>
      </c>
      <c r="X903" s="1290">
        <f t="shared" ref="X903:X966" si="1013">IF(B903&lt;&gt;"",+SUMIF($AF:$AF,AE903,$P:$P),"")</f>
        <v>0</v>
      </c>
      <c r="Y903" s="396"/>
      <c r="Z903" s="1291" t="str">
        <f t="shared" si="996"/>
        <v>0-ITR010A</v>
      </c>
      <c r="AA903" s="1291" t="str">
        <f t="shared" si="997"/>
        <v>0-ITR010E</v>
      </c>
      <c r="AB903" s="1291" t="str">
        <f t="shared" si="998"/>
        <v>0-ITR010M</v>
      </c>
      <c r="AC903" s="1291" t="str">
        <f t="shared" si="999"/>
        <v>0-ITR010T</v>
      </c>
      <c r="AD903" s="1291" t="str">
        <f t="shared" si="1000"/>
        <v>0-ITR010S</v>
      </c>
      <c r="AE903" s="1291" t="str">
        <f t="shared" si="1001"/>
        <v>0-ITR010X</v>
      </c>
      <c r="AF903" s="1291" t="str">
        <f t="shared" si="1002"/>
        <v>0-ITR010S</v>
      </c>
      <c r="AG903" s="1291">
        <f t="shared" ref="AG903:AG966" si="1014">IF(B903&lt;&gt;"",+COUNTIF(B:B,B903),"")</f>
        <v>1</v>
      </c>
      <c r="AH903" s="1291">
        <f>IF(B903&lt;&gt;"",+IF(H903="x",+VLOOKUP(I903,'AUX-NIV2'!B:AG,32,FALSE),0),"")</f>
        <v>0</v>
      </c>
      <c r="AI903" s="1291" t="str">
        <f t="shared" si="1003"/>
        <v>0-ITR010</v>
      </c>
      <c r="AK903" s="347">
        <f t="shared" ref="AK903:AK966" si="1015">IF(B903&lt;&gt;"",+MATCH(B903,B:B,0),"")</f>
        <v>903</v>
      </c>
      <c r="AL903" s="348">
        <f t="shared" si="1004"/>
        <v>903</v>
      </c>
      <c r="AM903" s="347">
        <f t="shared" si="1005"/>
        <v>1</v>
      </c>
      <c r="AN903" s="382">
        <f>IF(AND(AH903&gt;0,B903&lt;&gt;""),VLOOKUP(I903,'AUX-NIV2'!$B:$AP,40,FALSE)*O903,0)</f>
        <v>0</v>
      </c>
      <c r="AO903" s="382">
        <f t="shared" ref="AO903:AO966" si="1016">+IF(B903&lt;&gt;"",SUMIF(AF:AF,Z903,O:O)+SUMIF(Z:Z,Z903,AN:AN),0)</f>
        <v>0</v>
      </c>
      <c r="AQ903" s="395">
        <f>(IF($H903="x",VLOOKUP($I903,'AUX-NIV2'!$B:$X,'AUX-NIV1'!AQ$3,FALSE),0)+($AV903*'AUX-NIV3'!S$4))*$O903+IF($H903=AQ$4,$P903,0)</f>
        <v>0</v>
      </c>
      <c r="AR903" s="395">
        <f>(IF($H903="x",VLOOKUP($I903,'AUX-NIV2'!$B:$X,'AUX-NIV1'!AR$3,FALSE),0)+($AV903*'AUX-NIV3'!T$4))*$O903+IF($H903=AR$4,$P903,0)</f>
        <v>0</v>
      </c>
      <c r="AS903" s="395">
        <f>(IF($H903="x",VLOOKUP($I903,'AUX-NIV2'!$B:$X,'AUX-NIV1'!AS$3,FALSE),0)+($AV903*'AUX-NIV3'!U$4))*$O903+IF($H903=AS$4,$P903,0)</f>
        <v>0</v>
      </c>
      <c r="AT903" s="395">
        <f>(IF($H903="x",VLOOKUP($I903,'AUX-NIV2'!$B:$X,'AUX-NIV1'!AT$3,FALSE),0)+($AV903*'AUX-NIV3'!V$4))*$O903+IF($H903=AT$4,$P903,0)</f>
        <v>0</v>
      </c>
      <c r="AU903" s="395">
        <f>(IF($H903="x",VLOOKUP($I903,'AUX-NIV2'!$B:$X,'AUX-NIV1'!AU$3,FALSE),0)+($AV903*'AUX-NIV3'!W$4))*$O903+IF($H903=AU$4,$P903,0)</f>
        <v>1</v>
      </c>
      <c r="AV903" s="395">
        <f>+IF($H903="x",VLOOKUP($I903,'AUX-NIV2'!$B:$X,'AUX-NIV1'!AV$3,FALSE),0)</f>
        <v>0</v>
      </c>
    </row>
    <row r="904" spans="2:48" ht="14.4" hidden="1" thickTop="1" thickBot="1">
      <c r="B904" s="1433" t="s">
        <v>4097</v>
      </c>
      <c r="C904" s="1448" t="s">
        <v>3949</v>
      </c>
      <c r="D904" s="1435" t="s">
        <v>1782</v>
      </c>
      <c r="E904" s="1281">
        <f>IF(B904&lt;&gt;"",+SUMIF(Items!C:C,'AUX-NIV1'!B904,Items!H:H),"")</f>
        <v>0</v>
      </c>
      <c r="F904" s="1281">
        <f t="shared" si="1006"/>
        <v>1</v>
      </c>
      <c r="G904" s="1281">
        <f t="shared" si="1007"/>
        <v>0</v>
      </c>
      <c r="H904" s="1395" t="str">
        <f t="shared" si="991"/>
        <v>S</v>
      </c>
      <c r="I904" s="1462" t="s">
        <v>4120</v>
      </c>
      <c r="J904" s="1283" t="str">
        <f>IF(B904&lt;&gt;"",+VLOOKUP(I904,Recursos!C:F,2,FALSE),"")</f>
        <v>Bacha redonda de acero inoxidable de 35 cm de diámetro  Mod O340 L (sobre mesada)</v>
      </c>
      <c r="K904" s="1284" t="str">
        <f>IF(B904&lt;&gt;"",+VLOOKUP(I904,Recursos!C:F,3,FALSE),"")</f>
        <v>u</v>
      </c>
      <c r="L904" s="1285">
        <f>IF(B904&lt;&gt;"",+VLOOKUP(I904,Recursos!C:F,4,FALSE),"")</f>
        <v>1</v>
      </c>
      <c r="M904" s="1293"/>
      <c r="N904" s="1294">
        <v>1</v>
      </c>
      <c r="O904" s="1286">
        <f t="shared" si="992"/>
        <v>1</v>
      </c>
      <c r="P904" s="1287">
        <f t="shared" si="993"/>
        <v>1</v>
      </c>
      <c r="Q904" s="1281">
        <f t="shared" si="994"/>
        <v>0</v>
      </c>
      <c r="R904" s="1288">
        <f t="shared" si="995"/>
        <v>0</v>
      </c>
      <c r="S904" s="1289">
        <f t="shared" si="1008"/>
        <v>0</v>
      </c>
      <c r="T904" s="1289">
        <f t="shared" si="1009"/>
        <v>0</v>
      </c>
      <c r="U904" s="1290">
        <f t="shared" si="1010"/>
        <v>0</v>
      </c>
      <c r="V904" s="1290">
        <f t="shared" si="1011"/>
        <v>0</v>
      </c>
      <c r="W904" s="1290">
        <f t="shared" si="1012"/>
        <v>1</v>
      </c>
      <c r="X904" s="1290">
        <f t="shared" si="1013"/>
        <v>0</v>
      </c>
      <c r="Y904" s="396"/>
      <c r="Z904" s="1291" t="str">
        <f t="shared" si="996"/>
        <v>0-ITR011A</v>
      </c>
      <c r="AA904" s="1291" t="str">
        <f t="shared" si="997"/>
        <v>0-ITR011E</v>
      </c>
      <c r="AB904" s="1291" t="str">
        <f t="shared" si="998"/>
        <v>0-ITR011M</v>
      </c>
      <c r="AC904" s="1291" t="str">
        <f t="shared" si="999"/>
        <v>0-ITR011T</v>
      </c>
      <c r="AD904" s="1291" t="str">
        <f t="shared" si="1000"/>
        <v>0-ITR011S</v>
      </c>
      <c r="AE904" s="1291" t="str">
        <f t="shared" si="1001"/>
        <v>0-ITR011X</v>
      </c>
      <c r="AF904" s="1291" t="str">
        <f t="shared" si="1002"/>
        <v>0-ITR011S</v>
      </c>
      <c r="AG904" s="1291">
        <f t="shared" si="1014"/>
        <v>1</v>
      </c>
      <c r="AH904" s="1291">
        <f>IF(B904&lt;&gt;"",+IF(H904="x",+VLOOKUP(I904,'AUX-NIV2'!B:AG,32,FALSE),0),"")</f>
        <v>0</v>
      </c>
      <c r="AI904" s="1291" t="str">
        <f t="shared" si="1003"/>
        <v>0-ITR011</v>
      </c>
      <c r="AK904" s="347">
        <f t="shared" si="1015"/>
        <v>904</v>
      </c>
      <c r="AL904" s="348">
        <f t="shared" si="1004"/>
        <v>904</v>
      </c>
      <c r="AM904" s="347">
        <f t="shared" si="1005"/>
        <v>1</v>
      </c>
      <c r="AN904" s="382">
        <f>IF(AND(AH904&gt;0,B904&lt;&gt;""),VLOOKUP(I904,'AUX-NIV2'!$B:$AP,40,FALSE)*O904,0)</f>
        <v>0</v>
      </c>
      <c r="AO904" s="382">
        <f t="shared" si="1016"/>
        <v>0</v>
      </c>
      <c r="AQ904" s="395">
        <f>(IF($H904="x",VLOOKUP($I904,'AUX-NIV2'!$B:$X,'AUX-NIV1'!AQ$3,FALSE),0)+($AV904*'AUX-NIV3'!S$4))*$O904+IF($H904=AQ$4,$P904,0)</f>
        <v>0</v>
      </c>
      <c r="AR904" s="395">
        <f>(IF($H904="x",VLOOKUP($I904,'AUX-NIV2'!$B:$X,'AUX-NIV1'!AR$3,FALSE),0)+($AV904*'AUX-NIV3'!T$4))*$O904+IF($H904=AR$4,$P904,0)</f>
        <v>0</v>
      </c>
      <c r="AS904" s="395">
        <f>(IF($H904="x",VLOOKUP($I904,'AUX-NIV2'!$B:$X,'AUX-NIV1'!AS$3,FALSE),0)+($AV904*'AUX-NIV3'!U$4))*$O904+IF($H904=AS$4,$P904,0)</f>
        <v>0</v>
      </c>
      <c r="AT904" s="395">
        <f>(IF($H904="x",VLOOKUP($I904,'AUX-NIV2'!$B:$X,'AUX-NIV1'!AT$3,FALSE),0)+($AV904*'AUX-NIV3'!V$4))*$O904+IF($H904=AT$4,$P904,0)</f>
        <v>0</v>
      </c>
      <c r="AU904" s="395">
        <f>(IF($H904="x",VLOOKUP($I904,'AUX-NIV2'!$B:$X,'AUX-NIV1'!AU$3,FALSE),0)+($AV904*'AUX-NIV3'!W$4))*$O904+IF($H904=AU$4,$P904,0)</f>
        <v>1</v>
      </c>
      <c r="AV904" s="395">
        <f>+IF($H904="x",VLOOKUP($I904,'AUX-NIV2'!$B:$X,'AUX-NIV1'!AV$3,FALSE),0)</f>
        <v>0</v>
      </c>
    </row>
    <row r="905" spans="2:48" ht="14.4" hidden="1" thickTop="1" thickBot="1">
      <c r="B905" s="1433" t="s">
        <v>4098</v>
      </c>
      <c r="C905" s="1448" t="s">
        <v>3601</v>
      </c>
      <c r="D905" s="1435" t="s">
        <v>1782</v>
      </c>
      <c r="E905" s="1281">
        <f>IF(B905&lt;&gt;"",+SUMIF(Items!C:C,'AUX-NIV1'!B905,Items!H:H),"")</f>
        <v>0</v>
      </c>
      <c r="F905" s="1281">
        <f t="shared" si="1006"/>
        <v>1</v>
      </c>
      <c r="G905" s="1281">
        <f t="shared" si="1007"/>
        <v>0</v>
      </c>
      <c r="H905" s="1395" t="str">
        <f t="shared" si="991"/>
        <v>S</v>
      </c>
      <c r="I905" s="1462" t="s">
        <v>4121</v>
      </c>
      <c r="J905" s="1283" t="str">
        <f>IF(B905&lt;&gt;"",+VLOOKUP(I905,Recursos!C:F,2,FALSE),"")</f>
        <v>Pileta bacha Simple de acero inoxidable Modelo ZN 52 (sobre mesada)</v>
      </c>
      <c r="K905" s="1284" t="str">
        <f>IF(B905&lt;&gt;"",+VLOOKUP(I905,Recursos!C:F,3,FALSE),"")</f>
        <v>u</v>
      </c>
      <c r="L905" s="1285">
        <f>IF(B905&lt;&gt;"",+VLOOKUP(I905,Recursos!C:F,4,FALSE),"")</f>
        <v>1</v>
      </c>
      <c r="M905" s="1293"/>
      <c r="N905" s="1294">
        <v>1</v>
      </c>
      <c r="O905" s="1286">
        <f t="shared" si="992"/>
        <v>1</v>
      </c>
      <c r="P905" s="1287">
        <f t="shared" si="993"/>
        <v>1</v>
      </c>
      <c r="Q905" s="1281">
        <f t="shared" si="994"/>
        <v>0</v>
      </c>
      <c r="R905" s="1288">
        <f t="shared" si="995"/>
        <v>0</v>
      </c>
      <c r="S905" s="1289">
        <f t="shared" si="1008"/>
        <v>0</v>
      </c>
      <c r="T905" s="1289">
        <f t="shared" si="1009"/>
        <v>0</v>
      </c>
      <c r="U905" s="1290">
        <f t="shared" si="1010"/>
        <v>0</v>
      </c>
      <c r="V905" s="1290">
        <f t="shared" si="1011"/>
        <v>0</v>
      </c>
      <c r="W905" s="1290">
        <f t="shared" si="1012"/>
        <v>1</v>
      </c>
      <c r="X905" s="1290">
        <f t="shared" si="1013"/>
        <v>0</v>
      </c>
      <c r="Y905" s="396"/>
      <c r="Z905" s="1291" t="str">
        <f t="shared" si="996"/>
        <v>0-ITR012A</v>
      </c>
      <c r="AA905" s="1291" t="str">
        <f t="shared" si="997"/>
        <v>0-ITR012E</v>
      </c>
      <c r="AB905" s="1291" t="str">
        <f t="shared" si="998"/>
        <v>0-ITR012M</v>
      </c>
      <c r="AC905" s="1291" t="str">
        <f t="shared" si="999"/>
        <v>0-ITR012T</v>
      </c>
      <c r="AD905" s="1291" t="str">
        <f t="shared" si="1000"/>
        <v>0-ITR012S</v>
      </c>
      <c r="AE905" s="1291" t="str">
        <f t="shared" si="1001"/>
        <v>0-ITR012X</v>
      </c>
      <c r="AF905" s="1291" t="str">
        <f t="shared" si="1002"/>
        <v>0-ITR012S</v>
      </c>
      <c r="AG905" s="1291">
        <f t="shared" si="1014"/>
        <v>1</v>
      </c>
      <c r="AH905" s="1291">
        <f>IF(B905&lt;&gt;"",+IF(H905="x",+VLOOKUP(I905,'AUX-NIV2'!B:AG,32,FALSE),0),"")</f>
        <v>0</v>
      </c>
      <c r="AI905" s="1291" t="str">
        <f t="shared" si="1003"/>
        <v>0-ITR012</v>
      </c>
      <c r="AK905" s="347">
        <f t="shared" si="1015"/>
        <v>905</v>
      </c>
      <c r="AL905" s="348">
        <f t="shared" si="1004"/>
        <v>905</v>
      </c>
      <c r="AM905" s="347">
        <f t="shared" si="1005"/>
        <v>1</v>
      </c>
      <c r="AN905" s="382">
        <f>IF(AND(AH905&gt;0,B905&lt;&gt;""),VLOOKUP(I905,'AUX-NIV2'!$B:$AP,40,FALSE)*O905,0)</f>
        <v>0</v>
      </c>
      <c r="AO905" s="382">
        <f t="shared" si="1016"/>
        <v>0</v>
      </c>
      <c r="AQ905" s="395">
        <f>(IF($H905="x",VLOOKUP($I905,'AUX-NIV2'!$B:$X,'AUX-NIV1'!AQ$3,FALSE),0)+($AV905*'AUX-NIV3'!S$4))*$O905+IF($H905=AQ$4,$P905,0)</f>
        <v>0</v>
      </c>
      <c r="AR905" s="395">
        <f>(IF($H905="x",VLOOKUP($I905,'AUX-NIV2'!$B:$X,'AUX-NIV1'!AR$3,FALSE),0)+($AV905*'AUX-NIV3'!T$4))*$O905+IF($H905=AR$4,$P905,0)</f>
        <v>0</v>
      </c>
      <c r="AS905" s="395">
        <f>(IF($H905="x",VLOOKUP($I905,'AUX-NIV2'!$B:$X,'AUX-NIV1'!AS$3,FALSE),0)+($AV905*'AUX-NIV3'!U$4))*$O905+IF($H905=AS$4,$P905,0)</f>
        <v>0</v>
      </c>
      <c r="AT905" s="395">
        <f>(IF($H905="x",VLOOKUP($I905,'AUX-NIV2'!$B:$X,'AUX-NIV1'!AT$3,FALSE),0)+($AV905*'AUX-NIV3'!V$4))*$O905+IF($H905=AT$4,$P905,0)</f>
        <v>0</v>
      </c>
      <c r="AU905" s="395">
        <f>(IF($H905="x",VLOOKUP($I905,'AUX-NIV2'!$B:$X,'AUX-NIV1'!AU$3,FALSE),0)+($AV905*'AUX-NIV3'!W$4))*$O905+IF($H905=AU$4,$P905,0)</f>
        <v>1</v>
      </c>
      <c r="AV905" s="395">
        <f>+IF($H905="x",VLOOKUP($I905,'AUX-NIV2'!$B:$X,'AUX-NIV1'!AV$3,FALSE),0)</f>
        <v>0</v>
      </c>
    </row>
    <row r="906" spans="2:48" ht="14.4" hidden="1" thickTop="1" thickBot="1">
      <c r="B906" s="1433" t="s">
        <v>4099</v>
      </c>
      <c r="C906" s="1448" t="s">
        <v>3602</v>
      </c>
      <c r="D906" s="1435" t="s">
        <v>1782</v>
      </c>
      <c r="E906" s="1281">
        <f>IF(B906&lt;&gt;"",+SUMIF(Items!C:C,'AUX-NIV1'!B906,Items!H:H),"")</f>
        <v>0</v>
      </c>
      <c r="F906" s="1281">
        <f t="shared" si="1006"/>
        <v>1</v>
      </c>
      <c r="G906" s="1281">
        <f t="shared" si="1007"/>
        <v>0</v>
      </c>
      <c r="H906" s="1395" t="str">
        <f t="shared" si="991"/>
        <v>S</v>
      </c>
      <c r="I906" s="1462" t="s">
        <v>4122</v>
      </c>
      <c r="J906" s="1283" t="str">
        <f>IF(B906&lt;&gt;"",+VLOOKUP(I906,Recursos!C:F,2,FALSE),"")</f>
        <v>Tapa de inodoro</v>
      </c>
      <c r="K906" s="1284" t="str">
        <f>IF(B906&lt;&gt;"",+VLOOKUP(I906,Recursos!C:F,3,FALSE),"")</f>
        <v>u</v>
      </c>
      <c r="L906" s="1285">
        <f>IF(B906&lt;&gt;"",+VLOOKUP(I906,Recursos!C:F,4,FALSE),"")</f>
        <v>1</v>
      </c>
      <c r="M906" s="1293"/>
      <c r="N906" s="1294">
        <v>1</v>
      </c>
      <c r="O906" s="1286">
        <f t="shared" si="992"/>
        <v>1</v>
      </c>
      <c r="P906" s="1287">
        <f t="shared" si="993"/>
        <v>1</v>
      </c>
      <c r="Q906" s="1281">
        <f t="shared" si="994"/>
        <v>0</v>
      </c>
      <c r="R906" s="1288">
        <f t="shared" si="995"/>
        <v>0</v>
      </c>
      <c r="S906" s="1289">
        <f t="shared" si="1008"/>
        <v>0</v>
      </c>
      <c r="T906" s="1289">
        <f t="shared" si="1009"/>
        <v>0</v>
      </c>
      <c r="U906" s="1290">
        <f t="shared" si="1010"/>
        <v>0</v>
      </c>
      <c r="V906" s="1290">
        <f t="shared" si="1011"/>
        <v>0</v>
      </c>
      <c r="W906" s="1290">
        <f t="shared" si="1012"/>
        <v>1</v>
      </c>
      <c r="X906" s="1290">
        <f t="shared" si="1013"/>
        <v>0</v>
      </c>
      <c r="Y906" s="396"/>
      <c r="Z906" s="1291" t="str">
        <f t="shared" si="996"/>
        <v>0-ITR013A</v>
      </c>
      <c r="AA906" s="1291" t="str">
        <f t="shared" si="997"/>
        <v>0-ITR013E</v>
      </c>
      <c r="AB906" s="1291" t="str">
        <f t="shared" si="998"/>
        <v>0-ITR013M</v>
      </c>
      <c r="AC906" s="1291" t="str">
        <f t="shared" si="999"/>
        <v>0-ITR013T</v>
      </c>
      <c r="AD906" s="1291" t="str">
        <f t="shared" si="1000"/>
        <v>0-ITR013S</v>
      </c>
      <c r="AE906" s="1291" t="str">
        <f t="shared" si="1001"/>
        <v>0-ITR013X</v>
      </c>
      <c r="AF906" s="1291" t="str">
        <f t="shared" si="1002"/>
        <v>0-ITR013S</v>
      </c>
      <c r="AG906" s="1291">
        <f t="shared" si="1014"/>
        <v>1</v>
      </c>
      <c r="AH906" s="1291">
        <f>IF(B906&lt;&gt;"",+IF(H906="x",+VLOOKUP(I906,'AUX-NIV2'!B:AG,32,FALSE),0),"")</f>
        <v>0</v>
      </c>
      <c r="AI906" s="1291" t="str">
        <f t="shared" si="1003"/>
        <v>0-ITR013</v>
      </c>
      <c r="AK906" s="347">
        <f t="shared" si="1015"/>
        <v>906</v>
      </c>
      <c r="AL906" s="348">
        <f t="shared" si="1004"/>
        <v>906</v>
      </c>
      <c r="AM906" s="347">
        <f t="shared" si="1005"/>
        <v>1</v>
      </c>
      <c r="AN906" s="382">
        <f>IF(AND(AH906&gt;0,B906&lt;&gt;""),VLOOKUP(I906,'AUX-NIV2'!$B:$AP,40,FALSE)*O906,0)</f>
        <v>0</v>
      </c>
      <c r="AO906" s="382">
        <f t="shared" si="1016"/>
        <v>0</v>
      </c>
      <c r="AQ906" s="395">
        <f>(IF($H906="x",VLOOKUP($I906,'AUX-NIV2'!$B:$X,'AUX-NIV1'!AQ$3,FALSE),0)+($AV906*'AUX-NIV3'!S$4))*$O906+IF($H906=AQ$4,$P906,0)</f>
        <v>0</v>
      </c>
      <c r="AR906" s="395">
        <f>(IF($H906="x",VLOOKUP($I906,'AUX-NIV2'!$B:$X,'AUX-NIV1'!AR$3,FALSE),0)+($AV906*'AUX-NIV3'!T$4))*$O906+IF($H906=AR$4,$P906,0)</f>
        <v>0</v>
      </c>
      <c r="AS906" s="395">
        <f>(IF($H906="x",VLOOKUP($I906,'AUX-NIV2'!$B:$X,'AUX-NIV1'!AS$3,FALSE),0)+($AV906*'AUX-NIV3'!U$4))*$O906+IF($H906=AS$4,$P906,0)</f>
        <v>0</v>
      </c>
      <c r="AT906" s="395">
        <f>(IF($H906="x",VLOOKUP($I906,'AUX-NIV2'!$B:$X,'AUX-NIV1'!AT$3,FALSE),0)+($AV906*'AUX-NIV3'!V$4))*$O906+IF($H906=AT$4,$P906,0)</f>
        <v>0</v>
      </c>
      <c r="AU906" s="395">
        <f>(IF($H906="x",VLOOKUP($I906,'AUX-NIV2'!$B:$X,'AUX-NIV1'!AU$3,FALSE),0)+($AV906*'AUX-NIV3'!W$4))*$O906+IF($H906=AU$4,$P906,0)</f>
        <v>1</v>
      </c>
      <c r="AV906" s="395">
        <f>+IF($H906="x",VLOOKUP($I906,'AUX-NIV2'!$B:$X,'AUX-NIV1'!AV$3,FALSE),0)</f>
        <v>0</v>
      </c>
    </row>
    <row r="907" spans="2:48" ht="14.4" hidden="1" thickTop="1" thickBot="1">
      <c r="B907" s="1433" t="s">
        <v>4100</v>
      </c>
      <c r="C907" s="1448" t="s">
        <v>3603</v>
      </c>
      <c r="D907" s="1435" t="s">
        <v>1782</v>
      </c>
      <c r="E907" s="1281">
        <f>IF(B907&lt;&gt;"",+SUMIF(Items!C:C,'AUX-NIV1'!B907,Items!H:H),"")</f>
        <v>0</v>
      </c>
      <c r="F907" s="1281">
        <f t="shared" si="1006"/>
        <v>1</v>
      </c>
      <c r="G907" s="1281">
        <f t="shared" si="1007"/>
        <v>0</v>
      </c>
      <c r="H907" s="1395" t="str">
        <f t="shared" si="991"/>
        <v>S</v>
      </c>
      <c r="I907" s="1462" t="s">
        <v>4123</v>
      </c>
      <c r="J907" s="1283" t="str">
        <f>IF(B907&lt;&gt;"",+VLOOKUP(I907,Recursos!C:F,2,FALSE),"")</f>
        <v>Deposito para jabón líquido</v>
      </c>
      <c r="K907" s="1284" t="str">
        <f>IF(B907&lt;&gt;"",+VLOOKUP(I907,Recursos!C:F,3,FALSE),"")</f>
        <v>u</v>
      </c>
      <c r="L907" s="1285">
        <f>IF(B907&lt;&gt;"",+VLOOKUP(I907,Recursos!C:F,4,FALSE),"")</f>
        <v>1</v>
      </c>
      <c r="M907" s="1293"/>
      <c r="N907" s="1294">
        <v>1</v>
      </c>
      <c r="O907" s="1286">
        <f t="shared" si="992"/>
        <v>1</v>
      </c>
      <c r="P907" s="1287">
        <f t="shared" si="993"/>
        <v>1</v>
      </c>
      <c r="Q907" s="1281">
        <f t="shared" si="994"/>
        <v>0</v>
      </c>
      <c r="R907" s="1288">
        <f t="shared" si="995"/>
        <v>0</v>
      </c>
      <c r="S907" s="1289">
        <f t="shared" si="1008"/>
        <v>0</v>
      </c>
      <c r="T907" s="1289">
        <f t="shared" si="1009"/>
        <v>0</v>
      </c>
      <c r="U907" s="1290">
        <f t="shared" si="1010"/>
        <v>0</v>
      </c>
      <c r="V907" s="1290">
        <f t="shared" si="1011"/>
        <v>0</v>
      </c>
      <c r="W907" s="1290">
        <f t="shared" si="1012"/>
        <v>1</v>
      </c>
      <c r="X907" s="1290">
        <f t="shared" si="1013"/>
        <v>0</v>
      </c>
      <c r="Y907" s="396"/>
      <c r="Z907" s="1291" t="str">
        <f t="shared" si="996"/>
        <v>0-ITR014A</v>
      </c>
      <c r="AA907" s="1291" t="str">
        <f t="shared" si="997"/>
        <v>0-ITR014E</v>
      </c>
      <c r="AB907" s="1291" t="str">
        <f t="shared" si="998"/>
        <v>0-ITR014M</v>
      </c>
      <c r="AC907" s="1291" t="str">
        <f t="shared" si="999"/>
        <v>0-ITR014T</v>
      </c>
      <c r="AD907" s="1291" t="str">
        <f t="shared" si="1000"/>
        <v>0-ITR014S</v>
      </c>
      <c r="AE907" s="1291" t="str">
        <f t="shared" si="1001"/>
        <v>0-ITR014X</v>
      </c>
      <c r="AF907" s="1291" t="str">
        <f t="shared" si="1002"/>
        <v>0-ITR014S</v>
      </c>
      <c r="AG907" s="1291">
        <f t="shared" si="1014"/>
        <v>1</v>
      </c>
      <c r="AH907" s="1291">
        <f>IF(B907&lt;&gt;"",+IF(H907="x",+VLOOKUP(I907,'AUX-NIV2'!B:AG,32,FALSE),0),"")</f>
        <v>0</v>
      </c>
      <c r="AI907" s="1291" t="str">
        <f t="shared" si="1003"/>
        <v>0-ITR014</v>
      </c>
      <c r="AK907" s="347">
        <f t="shared" si="1015"/>
        <v>907</v>
      </c>
      <c r="AL907" s="348">
        <f t="shared" si="1004"/>
        <v>907</v>
      </c>
      <c r="AM907" s="347">
        <f t="shared" si="1005"/>
        <v>1</v>
      </c>
      <c r="AN907" s="382">
        <f>IF(AND(AH907&gt;0,B907&lt;&gt;""),VLOOKUP(I907,'AUX-NIV2'!$B:$AP,40,FALSE)*O907,0)</f>
        <v>0</v>
      </c>
      <c r="AO907" s="382">
        <f t="shared" si="1016"/>
        <v>0</v>
      </c>
      <c r="AQ907" s="395">
        <f>(IF($H907="x",VLOOKUP($I907,'AUX-NIV2'!$B:$X,'AUX-NIV1'!AQ$3,FALSE),0)+($AV907*'AUX-NIV3'!S$4))*$O907+IF($H907=AQ$4,$P907,0)</f>
        <v>0</v>
      </c>
      <c r="AR907" s="395">
        <f>(IF($H907="x",VLOOKUP($I907,'AUX-NIV2'!$B:$X,'AUX-NIV1'!AR$3,FALSE),0)+($AV907*'AUX-NIV3'!T$4))*$O907+IF($H907=AR$4,$P907,0)</f>
        <v>0</v>
      </c>
      <c r="AS907" s="395">
        <f>(IF($H907="x",VLOOKUP($I907,'AUX-NIV2'!$B:$X,'AUX-NIV1'!AS$3,FALSE),0)+($AV907*'AUX-NIV3'!U$4))*$O907+IF($H907=AS$4,$P907,0)</f>
        <v>0</v>
      </c>
      <c r="AT907" s="395">
        <f>(IF($H907="x",VLOOKUP($I907,'AUX-NIV2'!$B:$X,'AUX-NIV1'!AT$3,FALSE),0)+($AV907*'AUX-NIV3'!V$4))*$O907+IF($H907=AT$4,$P907,0)</f>
        <v>0</v>
      </c>
      <c r="AU907" s="395">
        <f>(IF($H907="x",VLOOKUP($I907,'AUX-NIV2'!$B:$X,'AUX-NIV1'!AU$3,FALSE),0)+($AV907*'AUX-NIV3'!W$4))*$O907+IF($H907=AU$4,$P907,0)</f>
        <v>1</v>
      </c>
      <c r="AV907" s="395">
        <f>+IF($H907="x",VLOOKUP($I907,'AUX-NIV2'!$B:$X,'AUX-NIV1'!AV$3,FALSE),0)</f>
        <v>0</v>
      </c>
    </row>
    <row r="908" spans="2:48" ht="14.4" hidden="1" thickTop="1" thickBot="1">
      <c r="B908" s="1433" t="s">
        <v>4101</v>
      </c>
      <c r="C908" s="1448" t="s">
        <v>3604</v>
      </c>
      <c r="D908" s="1435" t="s">
        <v>1782</v>
      </c>
      <c r="E908" s="1281">
        <f>IF(B908&lt;&gt;"",+SUMIF(Items!C:C,'AUX-NIV1'!B908,Items!H:H),"")</f>
        <v>0</v>
      </c>
      <c r="F908" s="1281">
        <f t="shared" si="1006"/>
        <v>1</v>
      </c>
      <c r="G908" s="1281">
        <f t="shared" si="1007"/>
        <v>0</v>
      </c>
      <c r="H908" s="1395" t="str">
        <f t="shared" si="991"/>
        <v>S</v>
      </c>
      <c r="I908" s="1462" t="s">
        <v>4124</v>
      </c>
      <c r="J908" s="1283" t="str">
        <f>IF(B908&lt;&gt;"",+VLOOKUP(I908,Recursos!C:F,2,FALSE),"")</f>
        <v>Percheros</v>
      </c>
      <c r="K908" s="1284" t="str">
        <f>IF(B908&lt;&gt;"",+VLOOKUP(I908,Recursos!C:F,3,FALSE),"")</f>
        <v>u</v>
      </c>
      <c r="L908" s="1285">
        <f>IF(B908&lt;&gt;"",+VLOOKUP(I908,Recursos!C:F,4,FALSE),"")</f>
        <v>1</v>
      </c>
      <c r="M908" s="1293"/>
      <c r="N908" s="1294">
        <v>1</v>
      </c>
      <c r="O908" s="1286">
        <f t="shared" si="992"/>
        <v>1</v>
      </c>
      <c r="P908" s="1287">
        <f t="shared" si="993"/>
        <v>1</v>
      </c>
      <c r="Q908" s="1281">
        <f t="shared" si="994"/>
        <v>0</v>
      </c>
      <c r="R908" s="1288">
        <f t="shared" si="995"/>
        <v>0</v>
      </c>
      <c r="S908" s="1289">
        <f t="shared" si="1008"/>
        <v>0</v>
      </c>
      <c r="T908" s="1289">
        <f t="shared" si="1009"/>
        <v>0</v>
      </c>
      <c r="U908" s="1290">
        <f t="shared" si="1010"/>
        <v>0</v>
      </c>
      <c r="V908" s="1290">
        <f t="shared" si="1011"/>
        <v>0</v>
      </c>
      <c r="W908" s="1290">
        <f t="shared" si="1012"/>
        <v>1</v>
      </c>
      <c r="X908" s="1290">
        <f t="shared" si="1013"/>
        <v>0</v>
      </c>
      <c r="Y908" s="396"/>
      <c r="Z908" s="1291" t="str">
        <f t="shared" si="996"/>
        <v>0-ITR015A</v>
      </c>
      <c r="AA908" s="1291" t="str">
        <f t="shared" si="997"/>
        <v>0-ITR015E</v>
      </c>
      <c r="AB908" s="1291" t="str">
        <f t="shared" si="998"/>
        <v>0-ITR015M</v>
      </c>
      <c r="AC908" s="1291" t="str">
        <f t="shared" si="999"/>
        <v>0-ITR015T</v>
      </c>
      <c r="AD908" s="1291" t="str">
        <f t="shared" si="1000"/>
        <v>0-ITR015S</v>
      </c>
      <c r="AE908" s="1291" t="str">
        <f t="shared" si="1001"/>
        <v>0-ITR015X</v>
      </c>
      <c r="AF908" s="1291" t="str">
        <f t="shared" si="1002"/>
        <v>0-ITR015S</v>
      </c>
      <c r="AG908" s="1291">
        <f t="shared" si="1014"/>
        <v>1</v>
      </c>
      <c r="AH908" s="1291">
        <f>IF(B908&lt;&gt;"",+IF(H908="x",+VLOOKUP(I908,'AUX-NIV2'!B:AG,32,FALSE),0),"")</f>
        <v>0</v>
      </c>
      <c r="AI908" s="1291" t="str">
        <f t="shared" si="1003"/>
        <v>0-ITR015</v>
      </c>
      <c r="AK908" s="347">
        <f t="shared" si="1015"/>
        <v>908</v>
      </c>
      <c r="AL908" s="348">
        <f t="shared" si="1004"/>
        <v>908</v>
      </c>
      <c r="AM908" s="347">
        <f t="shared" si="1005"/>
        <v>1</v>
      </c>
      <c r="AN908" s="382">
        <f>IF(AND(AH908&gt;0,B908&lt;&gt;""),VLOOKUP(I908,'AUX-NIV2'!$B:$AP,40,FALSE)*O908,0)</f>
        <v>0</v>
      </c>
      <c r="AO908" s="382">
        <f t="shared" si="1016"/>
        <v>0</v>
      </c>
      <c r="AQ908" s="395">
        <f>(IF($H908="x",VLOOKUP($I908,'AUX-NIV2'!$B:$X,'AUX-NIV1'!AQ$3,FALSE),0)+($AV908*'AUX-NIV3'!S$4))*$O908+IF($H908=AQ$4,$P908,0)</f>
        <v>0</v>
      </c>
      <c r="AR908" s="395">
        <f>(IF($H908="x",VLOOKUP($I908,'AUX-NIV2'!$B:$X,'AUX-NIV1'!AR$3,FALSE),0)+($AV908*'AUX-NIV3'!T$4))*$O908+IF($H908=AR$4,$P908,0)</f>
        <v>0</v>
      </c>
      <c r="AS908" s="395">
        <f>(IF($H908="x",VLOOKUP($I908,'AUX-NIV2'!$B:$X,'AUX-NIV1'!AS$3,FALSE),0)+($AV908*'AUX-NIV3'!U$4))*$O908+IF($H908=AS$4,$P908,0)</f>
        <v>0</v>
      </c>
      <c r="AT908" s="395">
        <f>(IF($H908="x",VLOOKUP($I908,'AUX-NIV2'!$B:$X,'AUX-NIV1'!AT$3,FALSE),0)+($AV908*'AUX-NIV3'!V$4))*$O908+IF($H908=AT$4,$P908,0)</f>
        <v>0</v>
      </c>
      <c r="AU908" s="395">
        <f>(IF($H908="x",VLOOKUP($I908,'AUX-NIV2'!$B:$X,'AUX-NIV1'!AU$3,FALSE),0)+($AV908*'AUX-NIV3'!W$4))*$O908+IF($H908=AU$4,$P908,0)</f>
        <v>1</v>
      </c>
      <c r="AV908" s="395">
        <f>+IF($H908="x",VLOOKUP($I908,'AUX-NIV2'!$B:$X,'AUX-NIV1'!AV$3,FALSE),0)</f>
        <v>0</v>
      </c>
    </row>
    <row r="909" spans="2:48" ht="14.4" hidden="1" thickTop="1" thickBot="1">
      <c r="B909" s="1433" t="s">
        <v>4102</v>
      </c>
      <c r="C909" s="1448" t="s">
        <v>3605</v>
      </c>
      <c r="D909" s="1435" t="s">
        <v>1782</v>
      </c>
      <c r="E909" s="1281">
        <f>IF(B909&lt;&gt;"",+SUMIF(Items!C:C,'AUX-NIV1'!B909,Items!H:H),"")</f>
        <v>0</v>
      </c>
      <c r="F909" s="1281">
        <f t="shared" si="1006"/>
        <v>1</v>
      </c>
      <c r="G909" s="1281">
        <f t="shared" si="1007"/>
        <v>0</v>
      </c>
      <c r="H909" s="1395" t="str">
        <f t="shared" si="991"/>
        <v>S</v>
      </c>
      <c r="I909" s="1462" t="s">
        <v>4125</v>
      </c>
      <c r="J909" s="1283" t="str">
        <f>IF(B909&lt;&gt;"",+VLOOKUP(I909,Recursos!C:F,2,FALSE),"")</f>
        <v>Portarrollos</v>
      </c>
      <c r="K909" s="1284" t="str">
        <f>IF(B909&lt;&gt;"",+VLOOKUP(I909,Recursos!C:F,3,FALSE),"")</f>
        <v>u</v>
      </c>
      <c r="L909" s="1285">
        <f>IF(B909&lt;&gt;"",+VLOOKUP(I909,Recursos!C:F,4,FALSE),"")</f>
        <v>1</v>
      </c>
      <c r="M909" s="1293"/>
      <c r="N909" s="1294">
        <v>1</v>
      </c>
      <c r="O909" s="1286">
        <f t="shared" si="992"/>
        <v>1</v>
      </c>
      <c r="P909" s="1287">
        <f t="shared" si="993"/>
        <v>1</v>
      </c>
      <c r="Q909" s="1281">
        <f t="shared" si="994"/>
        <v>0</v>
      </c>
      <c r="R909" s="1288">
        <f t="shared" si="995"/>
        <v>0</v>
      </c>
      <c r="S909" s="1289">
        <f t="shared" si="1008"/>
        <v>0</v>
      </c>
      <c r="T909" s="1289">
        <f t="shared" si="1009"/>
        <v>0</v>
      </c>
      <c r="U909" s="1290">
        <f t="shared" si="1010"/>
        <v>0</v>
      </c>
      <c r="V909" s="1290">
        <f t="shared" si="1011"/>
        <v>0</v>
      </c>
      <c r="W909" s="1290">
        <f t="shared" si="1012"/>
        <v>1</v>
      </c>
      <c r="X909" s="1290">
        <f t="shared" si="1013"/>
        <v>0</v>
      </c>
      <c r="Y909" s="396"/>
      <c r="Z909" s="1291" t="str">
        <f t="shared" si="996"/>
        <v>0-ITR016A</v>
      </c>
      <c r="AA909" s="1291" t="str">
        <f t="shared" si="997"/>
        <v>0-ITR016E</v>
      </c>
      <c r="AB909" s="1291" t="str">
        <f t="shared" si="998"/>
        <v>0-ITR016M</v>
      </c>
      <c r="AC909" s="1291" t="str">
        <f t="shared" si="999"/>
        <v>0-ITR016T</v>
      </c>
      <c r="AD909" s="1291" t="str">
        <f t="shared" si="1000"/>
        <v>0-ITR016S</v>
      </c>
      <c r="AE909" s="1291" t="str">
        <f t="shared" si="1001"/>
        <v>0-ITR016X</v>
      </c>
      <c r="AF909" s="1291" t="str">
        <f t="shared" si="1002"/>
        <v>0-ITR016S</v>
      </c>
      <c r="AG909" s="1291">
        <f t="shared" si="1014"/>
        <v>1</v>
      </c>
      <c r="AH909" s="1291">
        <f>IF(B909&lt;&gt;"",+IF(H909="x",+VLOOKUP(I909,'AUX-NIV2'!B:AG,32,FALSE),0),"")</f>
        <v>0</v>
      </c>
      <c r="AI909" s="1291" t="str">
        <f t="shared" si="1003"/>
        <v>0-ITR016</v>
      </c>
      <c r="AK909" s="347">
        <f t="shared" si="1015"/>
        <v>909</v>
      </c>
      <c r="AL909" s="348">
        <f t="shared" si="1004"/>
        <v>909</v>
      </c>
      <c r="AM909" s="347">
        <f t="shared" si="1005"/>
        <v>1</v>
      </c>
      <c r="AN909" s="382">
        <f>IF(AND(AH909&gt;0,B909&lt;&gt;""),VLOOKUP(I909,'AUX-NIV2'!$B:$AP,40,FALSE)*O909,0)</f>
        <v>0</v>
      </c>
      <c r="AO909" s="382">
        <f t="shared" si="1016"/>
        <v>0</v>
      </c>
      <c r="AQ909" s="395">
        <f>(IF($H909="x",VLOOKUP($I909,'AUX-NIV2'!$B:$X,'AUX-NIV1'!AQ$3,FALSE),0)+($AV909*'AUX-NIV3'!S$4))*$O909+IF($H909=AQ$4,$P909,0)</f>
        <v>0</v>
      </c>
      <c r="AR909" s="395">
        <f>(IF($H909="x",VLOOKUP($I909,'AUX-NIV2'!$B:$X,'AUX-NIV1'!AR$3,FALSE),0)+($AV909*'AUX-NIV3'!T$4))*$O909+IF($H909=AR$4,$P909,0)</f>
        <v>0</v>
      </c>
      <c r="AS909" s="395">
        <f>(IF($H909="x",VLOOKUP($I909,'AUX-NIV2'!$B:$X,'AUX-NIV1'!AS$3,FALSE),0)+($AV909*'AUX-NIV3'!U$4))*$O909+IF($H909=AS$4,$P909,0)</f>
        <v>0</v>
      </c>
      <c r="AT909" s="395">
        <f>(IF($H909="x",VLOOKUP($I909,'AUX-NIV2'!$B:$X,'AUX-NIV1'!AT$3,FALSE),0)+($AV909*'AUX-NIV3'!V$4))*$O909+IF($H909=AT$4,$P909,0)</f>
        <v>0</v>
      </c>
      <c r="AU909" s="395">
        <f>(IF($H909="x",VLOOKUP($I909,'AUX-NIV2'!$B:$X,'AUX-NIV1'!AU$3,FALSE),0)+($AV909*'AUX-NIV3'!W$4))*$O909+IF($H909=AU$4,$P909,0)</f>
        <v>1</v>
      </c>
      <c r="AV909" s="395">
        <f>+IF($H909="x",VLOOKUP($I909,'AUX-NIV2'!$B:$X,'AUX-NIV1'!AV$3,FALSE),0)</f>
        <v>0</v>
      </c>
    </row>
    <row r="910" spans="2:48" ht="14.4" hidden="1" thickTop="1" thickBot="1">
      <c r="B910" s="1433" t="s">
        <v>4103</v>
      </c>
      <c r="C910" s="1448" t="s">
        <v>3606</v>
      </c>
      <c r="D910" s="1435" t="s">
        <v>1782</v>
      </c>
      <c r="E910" s="1281">
        <f>IF(B910&lt;&gt;"",+SUMIF(Items!C:C,'AUX-NIV1'!B910,Items!H:H),"")</f>
        <v>0</v>
      </c>
      <c r="F910" s="1281">
        <f t="shared" si="1006"/>
        <v>1</v>
      </c>
      <c r="G910" s="1281">
        <f t="shared" si="1007"/>
        <v>0</v>
      </c>
      <c r="H910" s="1395" t="str">
        <f t="shared" si="991"/>
        <v>S</v>
      </c>
      <c r="I910" s="1462" t="s">
        <v>4126</v>
      </c>
      <c r="J910" s="1283" t="str">
        <f>IF(B910&lt;&gt;"",+VLOOKUP(I910,Recursos!C:F,2,FALSE),"")</f>
        <v>Deposito para toalla de papel</v>
      </c>
      <c r="K910" s="1284" t="str">
        <f>IF(B910&lt;&gt;"",+VLOOKUP(I910,Recursos!C:F,3,FALSE),"")</f>
        <v>u</v>
      </c>
      <c r="L910" s="1285">
        <f>IF(B910&lt;&gt;"",+VLOOKUP(I910,Recursos!C:F,4,FALSE),"")</f>
        <v>1</v>
      </c>
      <c r="M910" s="1293"/>
      <c r="N910" s="1294">
        <v>1</v>
      </c>
      <c r="O910" s="1286">
        <f t="shared" si="992"/>
        <v>1</v>
      </c>
      <c r="P910" s="1287">
        <f t="shared" si="993"/>
        <v>1</v>
      </c>
      <c r="Q910" s="1281">
        <f t="shared" si="994"/>
        <v>0</v>
      </c>
      <c r="R910" s="1288">
        <f t="shared" si="995"/>
        <v>0</v>
      </c>
      <c r="S910" s="1289">
        <f t="shared" si="1008"/>
        <v>0</v>
      </c>
      <c r="T910" s="1289">
        <f t="shared" si="1009"/>
        <v>0</v>
      </c>
      <c r="U910" s="1290">
        <f t="shared" si="1010"/>
        <v>0</v>
      </c>
      <c r="V910" s="1290">
        <f t="shared" si="1011"/>
        <v>0</v>
      </c>
      <c r="W910" s="1290">
        <f t="shared" si="1012"/>
        <v>1</v>
      </c>
      <c r="X910" s="1290">
        <f t="shared" si="1013"/>
        <v>0</v>
      </c>
      <c r="Y910" s="396"/>
      <c r="Z910" s="1291" t="str">
        <f t="shared" si="996"/>
        <v>0-ITR017A</v>
      </c>
      <c r="AA910" s="1291" t="str">
        <f t="shared" si="997"/>
        <v>0-ITR017E</v>
      </c>
      <c r="AB910" s="1291" t="str">
        <f t="shared" si="998"/>
        <v>0-ITR017M</v>
      </c>
      <c r="AC910" s="1291" t="str">
        <f t="shared" si="999"/>
        <v>0-ITR017T</v>
      </c>
      <c r="AD910" s="1291" t="str">
        <f t="shared" si="1000"/>
        <v>0-ITR017S</v>
      </c>
      <c r="AE910" s="1291" t="str">
        <f t="shared" si="1001"/>
        <v>0-ITR017X</v>
      </c>
      <c r="AF910" s="1291" t="str">
        <f t="shared" si="1002"/>
        <v>0-ITR017S</v>
      </c>
      <c r="AG910" s="1291">
        <f t="shared" si="1014"/>
        <v>1</v>
      </c>
      <c r="AH910" s="1291">
        <f>IF(B910&lt;&gt;"",+IF(H910="x",+VLOOKUP(I910,'AUX-NIV2'!B:AG,32,FALSE),0),"")</f>
        <v>0</v>
      </c>
      <c r="AI910" s="1291" t="str">
        <f t="shared" si="1003"/>
        <v>0-ITR017</v>
      </c>
      <c r="AK910" s="347">
        <f t="shared" si="1015"/>
        <v>910</v>
      </c>
      <c r="AL910" s="348">
        <f t="shared" si="1004"/>
        <v>910</v>
      </c>
      <c r="AM910" s="347">
        <f t="shared" si="1005"/>
        <v>1</v>
      </c>
      <c r="AN910" s="382">
        <f>IF(AND(AH910&gt;0,B910&lt;&gt;""),VLOOKUP(I910,'AUX-NIV2'!$B:$AP,40,FALSE)*O910,0)</f>
        <v>0</v>
      </c>
      <c r="AO910" s="382">
        <f t="shared" si="1016"/>
        <v>0</v>
      </c>
      <c r="AQ910" s="395">
        <f>(IF($H910="x",VLOOKUP($I910,'AUX-NIV2'!$B:$X,'AUX-NIV1'!AQ$3,FALSE),0)+($AV910*'AUX-NIV3'!S$4))*$O910+IF($H910=AQ$4,$P910,0)</f>
        <v>0</v>
      </c>
      <c r="AR910" s="395">
        <f>(IF($H910="x",VLOOKUP($I910,'AUX-NIV2'!$B:$X,'AUX-NIV1'!AR$3,FALSE),0)+($AV910*'AUX-NIV3'!T$4))*$O910+IF($H910=AR$4,$P910,0)</f>
        <v>0</v>
      </c>
      <c r="AS910" s="395">
        <f>(IF($H910="x",VLOOKUP($I910,'AUX-NIV2'!$B:$X,'AUX-NIV1'!AS$3,FALSE),0)+($AV910*'AUX-NIV3'!U$4))*$O910+IF($H910=AS$4,$P910,0)</f>
        <v>0</v>
      </c>
      <c r="AT910" s="395">
        <f>(IF($H910="x",VLOOKUP($I910,'AUX-NIV2'!$B:$X,'AUX-NIV1'!AT$3,FALSE),0)+($AV910*'AUX-NIV3'!V$4))*$O910+IF($H910=AT$4,$P910,0)</f>
        <v>0</v>
      </c>
      <c r="AU910" s="395">
        <f>(IF($H910="x",VLOOKUP($I910,'AUX-NIV2'!$B:$X,'AUX-NIV1'!AU$3,FALSE),0)+($AV910*'AUX-NIV3'!W$4))*$O910+IF($H910=AU$4,$P910,0)</f>
        <v>1</v>
      </c>
      <c r="AV910" s="395">
        <f>+IF($H910="x",VLOOKUP($I910,'AUX-NIV2'!$B:$X,'AUX-NIV1'!AV$3,FALSE),0)</f>
        <v>0</v>
      </c>
    </row>
    <row r="911" spans="2:48" ht="14.4" hidden="1" thickTop="1" thickBot="1">
      <c r="B911" s="1433" t="s">
        <v>4104</v>
      </c>
      <c r="C911" s="1448" t="s">
        <v>3607</v>
      </c>
      <c r="D911" s="1435" t="s">
        <v>1782</v>
      </c>
      <c r="E911" s="1281">
        <f>IF(B911&lt;&gt;"",+SUMIF(Items!C:C,'AUX-NIV1'!B911,Items!H:H),"")</f>
        <v>0</v>
      </c>
      <c r="F911" s="1281">
        <f t="shared" si="1006"/>
        <v>1</v>
      </c>
      <c r="G911" s="1281">
        <f t="shared" si="1007"/>
        <v>0</v>
      </c>
      <c r="H911" s="1395" t="str">
        <f t="shared" si="991"/>
        <v>S</v>
      </c>
      <c r="I911" s="1462" t="s">
        <v>4127</v>
      </c>
      <c r="J911" s="1283" t="str">
        <f>IF(B911&lt;&gt;"",+VLOOKUP(I911,Recursos!C:F,2,FALSE),"")</f>
        <v>Válvula automática Pressmatic para mingitorios</v>
      </c>
      <c r="K911" s="1284" t="str">
        <f>IF(B911&lt;&gt;"",+VLOOKUP(I911,Recursos!C:F,3,FALSE),"")</f>
        <v>u</v>
      </c>
      <c r="L911" s="1285">
        <f>IF(B911&lt;&gt;"",+VLOOKUP(I911,Recursos!C:F,4,FALSE),"")</f>
        <v>1</v>
      </c>
      <c r="M911" s="1293"/>
      <c r="N911" s="1294">
        <v>1</v>
      </c>
      <c r="O911" s="1286">
        <f t="shared" si="992"/>
        <v>1</v>
      </c>
      <c r="P911" s="1287">
        <f t="shared" si="993"/>
        <v>1</v>
      </c>
      <c r="Q911" s="1281">
        <f t="shared" si="994"/>
        <v>0</v>
      </c>
      <c r="R911" s="1288">
        <f t="shared" si="995"/>
        <v>0</v>
      </c>
      <c r="S911" s="1289">
        <f t="shared" si="1008"/>
        <v>0</v>
      </c>
      <c r="T911" s="1289">
        <f t="shared" si="1009"/>
        <v>0</v>
      </c>
      <c r="U911" s="1290">
        <f t="shared" si="1010"/>
        <v>0</v>
      </c>
      <c r="V911" s="1290">
        <f t="shared" si="1011"/>
        <v>0</v>
      </c>
      <c r="W911" s="1290">
        <f t="shared" si="1012"/>
        <v>1</v>
      </c>
      <c r="X911" s="1290">
        <f t="shared" si="1013"/>
        <v>0</v>
      </c>
      <c r="Y911" s="396"/>
      <c r="Z911" s="1291" t="str">
        <f t="shared" si="996"/>
        <v>0-ITR018A</v>
      </c>
      <c r="AA911" s="1291" t="str">
        <f t="shared" si="997"/>
        <v>0-ITR018E</v>
      </c>
      <c r="AB911" s="1291" t="str">
        <f t="shared" si="998"/>
        <v>0-ITR018M</v>
      </c>
      <c r="AC911" s="1291" t="str">
        <f t="shared" si="999"/>
        <v>0-ITR018T</v>
      </c>
      <c r="AD911" s="1291" t="str">
        <f t="shared" si="1000"/>
        <v>0-ITR018S</v>
      </c>
      <c r="AE911" s="1291" t="str">
        <f t="shared" si="1001"/>
        <v>0-ITR018X</v>
      </c>
      <c r="AF911" s="1291" t="str">
        <f t="shared" si="1002"/>
        <v>0-ITR018S</v>
      </c>
      <c r="AG911" s="1291">
        <f t="shared" si="1014"/>
        <v>1</v>
      </c>
      <c r="AH911" s="1291">
        <f>IF(B911&lt;&gt;"",+IF(H911="x",+VLOOKUP(I911,'AUX-NIV2'!B:AG,32,FALSE),0),"")</f>
        <v>0</v>
      </c>
      <c r="AI911" s="1291" t="str">
        <f t="shared" si="1003"/>
        <v>0-ITR018</v>
      </c>
      <c r="AK911" s="347">
        <f t="shared" si="1015"/>
        <v>911</v>
      </c>
      <c r="AL911" s="348">
        <f t="shared" si="1004"/>
        <v>911</v>
      </c>
      <c r="AM911" s="347">
        <f t="shared" si="1005"/>
        <v>1</v>
      </c>
      <c r="AN911" s="382">
        <f>IF(AND(AH911&gt;0,B911&lt;&gt;""),VLOOKUP(I911,'AUX-NIV2'!$B:$AP,40,FALSE)*O911,0)</f>
        <v>0</v>
      </c>
      <c r="AO911" s="382">
        <f t="shared" si="1016"/>
        <v>0</v>
      </c>
      <c r="AQ911" s="395">
        <f>(IF($H911="x",VLOOKUP($I911,'AUX-NIV2'!$B:$X,'AUX-NIV1'!AQ$3,FALSE),0)+($AV911*'AUX-NIV3'!S$4))*$O911+IF($H911=AQ$4,$P911,0)</f>
        <v>0</v>
      </c>
      <c r="AR911" s="395">
        <f>(IF($H911="x",VLOOKUP($I911,'AUX-NIV2'!$B:$X,'AUX-NIV1'!AR$3,FALSE),0)+($AV911*'AUX-NIV3'!T$4))*$O911+IF($H911=AR$4,$P911,0)</f>
        <v>0</v>
      </c>
      <c r="AS911" s="395">
        <f>(IF($H911="x",VLOOKUP($I911,'AUX-NIV2'!$B:$X,'AUX-NIV1'!AS$3,FALSE),0)+($AV911*'AUX-NIV3'!U$4))*$O911+IF($H911=AS$4,$P911,0)</f>
        <v>0</v>
      </c>
      <c r="AT911" s="395">
        <f>(IF($H911="x",VLOOKUP($I911,'AUX-NIV2'!$B:$X,'AUX-NIV1'!AT$3,FALSE),0)+($AV911*'AUX-NIV3'!V$4))*$O911+IF($H911=AT$4,$P911,0)</f>
        <v>0</v>
      </c>
      <c r="AU911" s="395">
        <f>(IF($H911="x",VLOOKUP($I911,'AUX-NIV2'!$B:$X,'AUX-NIV1'!AU$3,FALSE),0)+($AV911*'AUX-NIV3'!W$4))*$O911+IF($H911=AU$4,$P911,0)</f>
        <v>1</v>
      </c>
      <c r="AV911" s="395">
        <f>+IF($H911="x",VLOOKUP($I911,'AUX-NIV2'!$B:$X,'AUX-NIV1'!AV$3,FALSE),0)</f>
        <v>0</v>
      </c>
    </row>
    <row r="912" spans="2:48" ht="14.4" hidden="1" thickTop="1" thickBot="1">
      <c r="B912" s="1433" t="s">
        <v>4086</v>
      </c>
      <c r="C912" s="1448" t="s">
        <v>3608</v>
      </c>
      <c r="D912" s="1435" t="s">
        <v>1782</v>
      </c>
      <c r="E912" s="1281">
        <f>IF(B912&lt;&gt;"",+SUMIF(Items!C:C,'AUX-NIV1'!B912,Items!H:H),"")</f>
        <v>0</v>
      </c>
      <c r="F912" s="1281">
        <f t="shared" si="1006"/>
        <v>1</v>
      </c>
      <c r="G912" s="1281">
        <f t="shared" si="1007"/>
        <v>0</v>
      </c>
      <c r="H912" s="1395" t="str">
        <f t="shared" si="991"/>
        <v>S</v>
      </c>
      <c r="I912" s="1462" t="s">
        <v>4128</v>
      </c>
      <c r="J912" s="1283" t="str">
        <f>IF(B912&lt;&gt;"",+VLOOKUP(I912,Recursos!C:F,2,FALSE),"")</f>
        <v>Grifería Monocomando FV Arizona (mesadas Sanitarios Personal)</v>
      </c>
      <c r="K912" s="1284" t="str">
        <f>IF(B912&lt;&gt;"",+VLOOKUP(I912,Recursos!C:F,3,FALSE),"")</f>
        <v>u</v>
      </c>
      <c r="L912" s="1285">
        <f>IF(B912&lt;&gt;"",+VLOOKUP(I912,Recursos!C:F,4,FALSE),"")</f>
        <v>1</v>
      </c>
      <c r="M912" s="1293"/>
      <c r="N912" s="1294">
        <v>1</v>
      </c>
      <c r="O912" s="1286">
        <f t="shared" si="992"/>
        <v>1</v>
      </c>
      <c r="P912" s="1287">
        <f t="shared" si="993"/>
        <v>1</v>
      </c>
      <c r="Q912" s="1281">
        <f t="shared" si="994"/>
        <v>0</v>
      </c>
      <c r="R912" s="1288">
        <f t="shared" si="995"/>
        <v>0</v>
      </c>
      <c r="S912" s="1289">
        <f t="shared" si="1008"/>
        <v>0</v>
      </c>
      <c r="T912" s="1289">
        <f t="shared" si="1009"/>
        <v>0</v>
      </c>
      <c r="U912" s="1290">
        <f t="shared" si="1010"/>
        <v>0</v>
      </c>
      <c r="V912" s="1290">
        <f t="shared" si="1011"/>
        <v>0</v>
      </c>
      <c r="W912" s="1290">
        <f t="shared" si="1012"/>
        <v>1</v>
      </c>
      <c r="X912" s="1290">
        <f t="shared" si="1013"/>
        <v>0</v>
      </c>
      <c r="Y912" s="396"/>
      <c r="Z912" s="1291" t="str">
        <f t="shared" si="996"/>
        <v>0-ITR019A</v>
      </c>
      <c r="AA912" s="1291" t="str">
        <f t="shared" si="997"/>
        <v>0-ITR019E</v>
      </c>
      <c r="AB912" s="1291" t="str">
        <f t="shared" si="998"/>
        <v>0-ITR019M</v>
      </c>
      <c r="AC912" s="1291" t="str">
        <f t="shared" si="999"/>
        <v>0-ITR019T</v>
      </c>
      <c r="AD912" s="1291" t="str">
        <f t="shared" si="1000"/>
        <v>0-ITR019S</v>
      </c>
      <c r="AE912" s="1291" t="str">
        <f t="shared" si="1001"/>
        <v>0-ITR019X</v>
      </c>
      <c r="AF912" s="1291" t="str">
        <f t="shared" si="1002"/>
        <v>0-ITR019S</v>
      </c>
      <c r="AG912" s="1291">
        <f t="shared" si="1014"/>
        <v>1</v>
      </c>
      <c r="AH912" s="1291">
        <f>IF(B912&lt;&gt;"",+IF(H912="x",+VLOOKUP(I912,'AUX-NIV2'!B:AG,32,FALSE),0),"")</f>
        <v>0</v>
      </c>
      <c r="AI912" s="1291" t="str">
        <f t="shared" si="1003"/>
        <v>0-ITR019</v>
      </c>
      <c r="AK912" s="347">
        <f t="shared" si="1015"/>
        <v>912</v>
      </c>
      <c r="AL912" s="348">
        <f t="shared" si="1004"/>
        <v>912</v>
      </c>
      <c r="AM912" s="347">
        <f t="shared" si="1005"/>
        <v>1</v>
      </c>
      <c r="AN912" s="382">
        <f>IF(AND(AH912&gt;0,B912&lt;&gt;""),VLOOKUP(I912,'AUX-NIV2'!$B:$AP,40,FALSE)*O912,0)</f>
        <v>0</v>
      </c>
      <c r="AO912" s="382">
        <f t="shared" si="1016"/>
        <v>0</v>
      </c>
      <c r="AQ912" s="395">
        <f>(IF($H912="x",VLOOKUP($I912,'AUX-NIV2'!$B:$X,'AUX-NIV1'!AQ$3,FALSE),0)+($AV912*'AUX-NIV3'!S$4))*$O912+IF($H912=AQ$4,$P912,0)</f>
        <v>0</v>
      </c>
      <c r="AR912" s="395">
        <f>(IF($H912="x",VLOOKUP($I912,'AUX-NIV2'!$B:$X,'AUX-NIV1'!AR$3,FALSE),0)+($AV912*'AUX-NIV3'!T$4))*$O912+IF($H912=AR$4,$P912,0)</f>
        <v>0</v>
      </c>
      <c r="AS912" s="395">
        <f>(IF($H912="x",VLOOKUP($I912,'AUX-NIV2'!$B:$X,'AUX-NIV1'!AS$3,FALSE),0)+($AV912*'AUX-NIV3'!U$4))*$O912+IF($H912=AS$4,$P912,0)</f>
        <v>0</v>
      </c>
      <c r="AT912" s="395">
        <f>(IF($H912="x",VLOOKUP($I912,'AUX-NIV2'!$B:$X,'AUX-NIV1'!AT$3,FALSE),0)+($AV912*'AUX-NIV3'!V$4))*$O912+IF($H912=AT$4,$P912,0)</f>
        <v>0</v>
      </c>
      <c r="AU912" s="395">
        <f>(IF($H912="x",VLOOKUP($I912,'AUX-NIV2'!$B:$X,'AUX-NIV1'!AU$3,FALSE),0)+($AV912*'AUX-NIV3'!W$4))*$O912+IF($H912=AU$4,$P912,0)</f>
        <v>1</v>
      </c>
      <c r="AV912" s="395">
        <f>+IF($H912="x",VLOOKUP($I912,'AUX-NIV2'!$B:$X,'AUX-NIV1'!AV$3,FALSE),0)</f>
        <v>0</v>
      </c>
    </row>
    <row r="913" spans="2:48" ht="14.4" hidden="1" thickTop="1" thickBot="1">
      <c r="B913" s="1433" t="s">
        <v>4105</v>
      </c>
      <c r="C913" s="1448" t="s">
        <v>3609</v>
      </c>
      <c r="D913" s="1435" t="s">
        <v>1782</v>
      </c>
      <c r="E913" s="1281">
        <f>IF(B913&lt;&gt;"",+SUMIF(Items!C:C,'AUX-NIV1'!B913,Items!H:H),"")</f>
        <v>0</v>
      </c>
      <c r="F913" s="1281">
        <f t="shared" si="1006"/>
        <v>1</v>
      </c>
      <c r="G913" s="1281">
        <f t="shared" si="1007"/>
        <v>0</v>
      </c>
      <c r="H913" s="1395" t="str">
        <f t="shared" si="991"/>
        <v>S</v>
      </c>
      <c r="I913" s="1462" t="s">
        <v>4129</v>
      </c>
      <c r="J913" s="1283" t="str">
        <f>IF(B913&lt;&gt;"",+VLOOKUP(I913,Recursos!C:F,2,FALSE),"")</f>
        <v>Grifería monocomando FV Arizona (bidets Sanitarios Personal)</v>
      </c>
      <c r="K913" s="1284" t="str">
        <f>IF(B913&lt;&gt;"",+VLOOKUP(I913,Recursos!C:F,3,FALSE),"")</f>
        <v>u</v>
      </c>
      <c r="L913" s="1285">
        <f>IF(B913&lt;&gt;"",+VLOOKUP(I913,Recursos!C:F,4,FALSE),"")</f>
        <v>1</v>
      </c>
      <c r="M913" s="1293"/>
      <c r="N913" s="1294">
        <v>1</v>
      </c>
      <c r="O913" s="1286">
        <f t="shared" si="992"/>
        <v>1</v>
      </c>
      <c r="P913" s="1287">
        <f t="shared" si="993"/>
        <v>1</v>
      </c>
      <c r="Q913" s="1281">
        <f t="shared" si="994"/>
        <v>0</v>
      </c>
      <c r="R913" s="1288">
        <f t="shared" si="995"/>
        <v>0</v>
      </c>
      <c r="S913" s="1289">
        <f t="shared" si="1008"/>
        <v>0</v>
      </c>
      <c r="T913" s="1289">
        <f t="shared" si="1009"/>
        <v>0</v>
      </c>
      <c r="U913" s="1290">
        <f t="shared" si="1010"/>
        <v>0</v>
      </c>
      <c r="V913" s="1290">
        <f t="shared" si="1011"/>
        <v>0</v>
      </c>
      <c r="W913" s="1290">
        <f t="shared" si="1012"/>
        <v>1</v>
      </c>
      <c r="X913" s="1290">
        <f t="shared" si="1013"/>
        <v>0</v>
      </c>
      <c r="Y913" s="396"/>
      <c r="Z913" s="1291" t="str">
        <f t="shared" si="996"/>
        <v>0-ITR020A</v>
      </c>
      <c r="AA913" s="1291" t="str">
        <f t="shared" si="997"/>
        <v>0-ITR020E</v>
      </c>
      <c r="AB913" s="1291" t="str">
        <f t="shared" si="998"/>
        <v>0-ITR020M</v>
      </c>
      <c r="AC913" s="1291" t="str">
        <f t="shared" si="999"/>
        <v>0-ITR020T</v>
      </c>
      <c r="AD913" s="1291" t="str">
        <f t="shared" si="1000"/>
        <v>0-ITR020S</v>
      </c>
      <c r="AE913" s="1291" t="str">
        <f t="shared" si="1001"/>
        <v>0-ITR020X</v>
      </c>
      <c r="AF913" s="1291" t="str">
        <f t="shared" si="1002"/>
        <v>0-ITR020S</v>
      </c>
      <c r="AG913" s="1291">
        <f t="shared" si="1014"/>
        <v>1</v>
      </c>
      <c r="AH913" s="1291">
        <f>IF(B913&lt;&gt;"",+IF(H913="x",+VLOOKUP(I913,'AUX-NIV2'!B:AG,32,FALSE),0),"")</f>
        <v>0</v>
      </c>
      <c r="AI913" s="1291" t="str">
        <f t="shared" si="1003"/>
        <v>0-ITR020</v>
      </c>
      <c r="AK913" s="347">
        <f t="shared" si="1015"/>
        <v>913</v>
      </c>
      <c r="AL913" s="348">
        <f t="shared" si="1004"/>
        <v>913</v>
      </c>
      <c r="AM913" s="347">
        <f t="shared" si="1005"/>
        <v>1</v>
      </c>
      <c r="AN913" s="382">
        <f>IF(AND(AH913&gt;0,B913&lt;&gt;""),VLOOKUP(I913,'AUX-NIV2'!$B:$AP,40,FALSE)*O913,0)</f>
        <v>0</v>
      </c>
      <c r="AO913" s="382">
        <f t="shared" si="1016"/>
        <v>0</v>
      </c>
      <c r="AQ913" s="395">
        <f>(IF($H913="x",VLOOKUP($I913,'AUX-NIV2'!$B:$X,'AUX-NIV1'!AQ$3,FALSE),0)+($AV913*'AUX-NIV3'!S$4))*$O913+IF($H913=AQ$4,$P913,0)</f>
        <v>0</v>
      </c>
      <c r="AR913" s="395">
        <f>(IF($H913="x",VLOOKUP($I913,'AUX-NIV2'!$B:$X,'AUX-NIV1'!AR$3,FALSE),0)+($AV913*'AUX-NIV3'!T$4))*$O913+IF($H913=AR$4,$P913,0)</f>
        <v>0</v>
      </c>
      <c r="AS913" s="395">
        <f>(IF($H913="x",VLOOKUP($I913,'AUX-NIV2'!$B:$X,'AUX-NIV1'!AS$3,FALSE),0)+($AV913*'AUX-NIV3'!U$4))*$O913+IF($H913=AS$4,$P913,0)</f>
        <v>0</v>
      </c>
      <c r="AT913" s="395">
        <f>(IF($H913="x",VLOOKUP($I913,'AUX-NIV2'!$B:$X,'AUX-NIV1'!AT$3,FALSE),0)+($AV913*'AUX-NIV3'!V$4))*$O913+IF($H913=AT$4,$P913,0)</f>
        <v>0</v>
      </c>
      <c r="AU913" s="395">
        <f>(IF($H913="x",VLOOKUP($I913,'AUX-NIV2'!$B:$X,'AUX-NIV1'!AU$3,FALSE),0)+($AV913*'AUX-NIV3'!W$4))*$O913+IF($H913=AU$4,$P913,0)</f>
        <v>1</v>
      </c>
      <c r="AV913" s="395">
        <f>+IF($H913="x",VLOOKUP($I913,'AUX-NIV2'!$B:$X,'AUX-NIV1'!AV$3,FALSE),0)</f>
        <v>0</v>
      </c>
    </row>
    <row r="914" spans="2:48" ht="14.4" hidden="1" thickTop="1" thickBot="1">
      <c r="B914" s="1433" t="s">
        <v>4106</v>
      </c>
      <c r="C914" s="1448" t="s">
        <v>3610</v>
      </c>
      <c r="D914" s="1435" t="s">
        <v>1782</v>
      </c>
      <c r="E914" s="1281">
        <f>IF(B914&lt;&gt;"",+SUMIF(Items!C:C,'AUX-NIV1'!B914,Items!H:H),"")</f>
        <v>0</v>
      </c>
      <c r="F914" s="1281">
        <f t="shared" si="1006"/>
        <v>1</v>
      </c>
      <c r="G914" s="1281">
        <f t="shared" si="1007"/>
        <v>0</v>
      </c>
      <c r="H914" s="1395" t="str">
        <f t="shared" si="991"/>
        <v>S</v>
      </c>
      <c r="I914" s="1462" t="s">
        <v>4130</v>
      </c>
      <c r="J914" s="1283" t="str">
        <f>IF(B914&lt;&gt;"",+VLOOKUP(I914,Recursos!C:F,2,FALSE),"")</f>
        <v>Grifería monocomando pico largo FV Arizona (mesada Office)</v>
      </c>
      <c r="K914" s="1284" t="str">
        <f>IF(B914&lt;&gt;"",+VLOOKUP(I914,Recursos!C:F,3,FALSE),"")</f>
        <v>u</v>
      </c>
      <c r="L914" s="1285">
        <f>IF(B914&lt;&gt;"",+VLOOKUP(I914,Recursos!C:F,4,FALSE),"")</f>
        <v>1</v>
      </c>
      <c r="M914" s="1293"/>
      <c r="N914" s="1294">
        <v>1</v>
      </c>
      <c r="O914" s="1286">
        <f t="shared" si="992"/>
        <v>1</v>
      </c>
      <c r="P914" s="1287">
        <f t="shared" si="993"/>
        <v>1</v>
      </c>
      <c r="Q914" s="1281">
        <f t="shared" si="994"/>
        <v>0</v>
      </c>
      <c r="R914" s="1288">
        <f t="shared" si="995"/>
        <v>0</v>
      </c>
      <c r="S914" s="1289">
        <f t="shared" si="1008"/>
        <v>0</v>
      </c>
      <c r="T914" s="1289">
        <f t="shared" si="1009"/>
        <v>0</v>
      </c>
      <c r="U914" s="1290">
        <f t="shared" si="1010"/>
        <v>0</v>
      </c>
      <c r="V914" s="1290">
        <f t="shared" si="1011"/>
        <v>0</v>
      </c>
      <c r="W914" s="1290">
        <f t="shared" si="1012"/>
        <v>1</v>
      </c>
      <c r="X914" s="1290">
        <f t="shared" si="1013"/>
        <v>0</v>
      </c>
      <c r="Y914" s="396"/>
      <c r="Z914" s="1291" t="str">
        <f t="shared" si="996"/>
        <v>0-ITR021A</v>
      </c>
      <c r="AA914" s="1291" t="str">
        <f t="shared" si="997"/>
        <v>0-ITR021E</v>
      </c>
      <c r="AB914" s="1291" t="str">
        <f t="shared" si="998"/>
        <v>0-ITR021M</v>
      </c>
      <c r="AC914" s="1291" t="str">
        <f t="shared" si="999"/>
        <v>0-ITR021T</v>
      </c>
      <c r="AD914" s="1291" t="str">
        <f t="shared" si="1000"/>
        <v>0-ITR021S</v>
      </c>
      <c r="AE914" s="1291" t="str">
        <f t="shared" si="1001"/>
        <v>0-ITR021X</v>
      </c>
      <c r="AF914" s="1291" t="str">
        <f t="shared" si="1002"/>
        <v>0-ITR021S</v>
      </c>
      <c r="AG914" s="1291">
        <f t="shared" si="1014"/>
        <v>1</v>
      </c>
      <c r="AH914" s="1291">
        <f>IF(B914&lt;&gt;"",+IF(H914="x",+VLOOKUP(I914,'AUX-NIV2'!B:AG,32,FALSE),0),"")</f>
        <v>0</v>
      </c>
      <c r="AI914" s="1291" t="str">
        <f t="shared" si="1003"/>
        <v>0-ITR021</v>
      </c>
      <c r="AK914" s="347">
        <f t="shared" si="1015"/>
        <v>914</v>
      </c>
      <c r="AL914" s="348">
        <f t="shared" si="1004"/>
        <v>914</v>
      </c>
      <c r="AM914" s="347">
        <f t="shared" si="1005"/>
        <v>1</v>
      </c>
      <c r="AN914" s="382">
        <f>IF(AND(AH914&gt;0,B914&lt;&gt;""),VLOOKUP(I914,'AUX-NIV2'!$B:$AP,40,FALSE)*O914,0)</f>
        <v>0</v>
      </c>
      <c r="AO914" s="382">
        <f t="shared" si="1016"/>
        <v>0</v>
      </c>
      <c r="AQ914" s="395">
        <f>(IF($H914="x",VLOOKUP($I914,'AUX-NIV2'!$B:$X,'AUX-NIV1'!AQ$3,FALSE),0)+($AV914*'AUX-NIV3'!S$4))*$O914+IF($H914=AQ$4,$P914,0)</f>
        <v>0</v>
      </c>
      <c r="AR914" s="395">
        <f>(IF($H914="x",VLOOKUP($I914,'AUX-NIV2'!$B:$X,'AUX-NIV1'!AR$3,FALSE),0)+($AV914*'AUX-NIV3'!T$4))*$O914+IF($H914=AR$4,$P914,0)</f>
        <v>0</v>
      </c>
      <c r="AS914" s="395">
        <f>(IF($H914="x",VLOOKUP($I914,'AUX-NIV2'!$B:$X,'AUX-NIV1'!AS$3,FALSE),0)+($AV914*'AUX-NIV3'!U$4))*$O914+IF($H914=AS$4,$P914,0)</f>
        <v>0</v>
      </c>
      <c r="AT914" s="395">
        <f>(IF($H914="x",VLOOKUP($I914,'AUX-NIV2'!$B:$X,'AUX-NIV1'!AT$3,FALSE),0)+($AV914*'AUX-NIV3'!V$4))*$O914+IF($H914=AT$4,$P914,0)</f>
        <v>0</v>
      </c>
      <c r="AU914" s="395">
        <f>(IF($H914="x",VLOOKUP($I914,'AUX-NIV2'!$B:$X,'AUX-NIV1'!AU$3,FALSE),0)+($AV914*'AUX-NIV3'!W$4))*$O914+IF($H914=AU$4,$P914,0)</f>
        <v>1</v>
      </c>
      <c r="AV914" s="395">
        <f>+IF($H914="x",VLOOKUP($I914,'AUX-NIV2'!$B:$X,'AUX-NIV1'!AV$3,FALSE),0)</f>
        <v>0</v>
      </c>
    </row>
    <row r="915" spans="2:48" ht="14.4" hidden="1" thickTop="1" thickBot="1">
      <c r="B915" s="1433" t="s">
        <v>4107</v>
      </c>
      <c r="C915" s="1448" t="s">
        <v>3611</v>
      </c>
      <c r="D915" s="1435" t="s">
        <v>1782</v>
      </c>
      <c r="E915" s="1281">
        <f>IF(B915&lt;&gt;"",+SUMIF(Items!C:C,'AUX-NIV1'!B915,Items!H:H),"")</f>
        <v>0</v>
      </c>
      <c r="F915" s="1281">
        <f t="shared" si="1006"/>
        <v>1</v>
      </c>
      <c r="G915" s="1281">
        <f t="shared" si="1007"/>
        <v>0</v>
      </c>
      <c r="H915" s="1395" t="str">
        <f t="shared" si="991"/>
        <v>S</v>
      </c>
      <c r="I915" s="1462" t="s">
        <v>4131</v>
      </c>
      <c r="J915" s="1283" t="str">
        <f>IF(B915&lt;&gt;"",+VLOOKUP(I915,Recursos!C:F,2,FALSE),"")</f>
        <v>Provisión e instalación Tanque de polietileno tricapa 500 lts.</v>
      </c>
      <c r="K915" s="1284" t="str">
        <f>IF(B915&lt;&gt;"",+VLOOKUP(I915,Recursos!C:F,3,FALSE),"")</f>
        <v>u</v>
      </c>
      <c r="L915" s="1285">
        <f>IF(B915&lt;&gt;"",+VLOOKUP(I915,Recursos!C:F,4,FALSE),"")</f>
        <v>1</v>
      </c>
      <c r="M915" s="1293"/>
      <c r="N915" s="1294">
        <v>1</v>
      </c>
      <c r="O915" s="1286">
        <f t="shared" si="992"/>
        <v>1</v>
      </c>
      <c r="P915" s="1287">
        <f t="shared" si="993"/>
        <v>1</v>
      </c>
      <c r="Q915" s="1281">
        <f t="shared" si="994"/>
        <v>0</v>
      </c>
      <c r="R915" s="1288">
        <f t="shared" si="995"/>
        <v>0</v>
      </c>
      <c r="S915" s="1289">
        <f t="shared" si="1008"/>
        <v>0</v>
      </c>
      <c r="T915" s="1289">
        <f t="shared" si="1009"/>
        <v>0</v>
      </c>
      <c r="U915" s="1290">
        <f t="shared" si="1010"/>
        <v>0</v>
      </c>
      <c r="V915" s="1290">
        <f t="shared" si="1011"/>
        <v>0</v>
      </c>
      <c r="W915" s="1290">
        <f t="shared" si="1012"/>
        <v>1</v>
      </c>
      <c r="X915" s="1290">
        <f t="shared" si="1013"/>
        <v>0</v>
      </c>
      <c r="Y915" s="396"/>
      <c r="Z915" s="1291" t="str">
        <f t="shared" si="996"/>
        <v>0-ITR022A</v>
      </c>
      <c r="AA915" s="1291" t="str">
        <f t="shared" si="997"/>
        <v>0-ITR022E</v>
      </c>
      <c r="AB915" s="1291" t="str">
        <f t="shared" si="998"/>
        <v>0-ITR022M</v>
      </c>
      <c r="AC915" s="1291" t="str">
        <f t="shared" si="999"/>
        <v>0-ITR022T</v>
      </c>
      <c r="AD915" s="1291" t="str">
        <f t="shared" si="1000"/>
        <v>0-ITR022S</v>
      </c>
      <c r="AE915" s="1291" t="str">
        <f t="shared" si="1001"/>
        <v>0-ITR022X</v>
      </c>
      <c r="AF915" s="1291" t="str">
        <f t="shared" si="1002"/>
        <v>0-ITR022S</v>
      </c>
      <c r="AG915" s="1291">
        <f t="shared" si="1014"/>
        <v>1</v>
      </c>
      <c r="AH915" s="1291">
        <f>IF(B915&lt;&gt;"",+IF(H915="x",+VLOOKUP(I915,'AUX-NIV2'!B:AG,32,FALSE),0),"")</f>
        <v>0</v>
      </c>
      <c r="AI915" s="1291" t="str">
        <f t="shared" si="1003"/>
        <v>0-ITR022</v>
      </c>
      <c r="AK915" s="347">
        <f t="shared" si="1015"/>
        <v>915</v>
      </c>
      <c r="AL915" s="348">
        <f t="shared" si="1004"/>
        <v>915</v>
      </c>
      <c r="AM915" s="347">
        <f t="shared" si="1005"/>
        <v>1</v>
      </c>
      <c r="AN915" s="382">
        <f>IF(AND(AH915&gt;0,B915&lt;&gt;""),VLOOKUP(I915,'AUX-NIV2'!$B:$AP,40,FALSE)*O915,0)</f>
        <v>0</v>
      </c>
      <c r="AO915" s="382">
        <f t="shared" si="1016"/>
        <v>0</v>
      </c>
      <c r="AQ915" s="395">
        <f>(IF($H915="x",VLOOKUP($I915,'AUX-NIV2'!$B:$X,'AUX-NIV1'!AQ$3,FALSE),0)+($AV915*'AUX-NIV3'!S$4))*$O915+IF($H915=AQ$4,$P915,0)</f>
        <v>0</v>
      </c>
      <c r="AR915" s="395">
        <f>(IF($H915="x",VLOOKUP($I915,'AUX-NIV2'!$B:$X,'AUX-NIV1'!AR$3,FALSE),0)+($AV915*'AUX-NIV3'!T$4))*$O915+IF($H915=AR$4,$P915,0)</f>
        <v>0</v>
      </c>
      <c r="AS915" s="395">
        <f>(IF($H915="x",VLOOKUP($I915,'AUX-NIV2'!$B:$X,'AUX-NIV1'!AS$3,FALSE),0)+($AV915*'AUX-NIV3'!U$4))*$O915+IF($H915=AS$4,$P915,0)</f>
        <v>0</v>
      </c>
      <c r="AT915" s="395">
        <f>(IF($H915="x",VLOOKUP($I915,'AUX-NIV2'!$B:$X,'AUX-NIV1'!AT$3,FALSE),0)+($AV915*'AUX-NIV3'!V$4))*$O915+IF($H915=AT$4,$P915,0)</f>
        <v>0</v>
      </c>
      <c r="AU915" s="395">
        <f>(IF($H915="x",VLOOKUP($I915,'AUX-NIV2'!$B:$X,'AUX-NIV1'!AU$3,FALSE),0)+($AV915*'AUX-NIV3'!W$4))*$O915+IF($H915=AU$4,$P915,0)</f>
        <v>1</v>
      </c>
      <c r="AV915" s="395">
        <f>+IF($H915="x",VLOOKUP($I915,'AUX-NIV2'!$B:$X,'AUX-NIV1'!AV$3,FALSE),0)</f>
        <v>0</v>
      </c>
    </row>
    <row r="916" spans="2:48" ht="14.4" hidden="1" thickTop="1" thickBot="1">
      <c r="B916" s="1433" t="s">
        <v>4108</v>
      </c>
      <c r="C916" s="1448" t="s">
        <v>3612</v>
      </c>
      <c r="D916" s="1435" t="s">
        <v>1782</v>
      </c>
      <c r="E916" s="1281">
        <f>IF(B916&lt;&gt;"",+SUMIF(Items!C:C,'AUX-NIV1'!B916,Items!H:H),"")</f>
        <v>0</v>
      </c>
      <c r="F916" s="1281">
        <f t="shared" si="1006"/>
        <v>1</v>
      </c>
      <c r="G916" s="1281">
        <f t="shared" si="1007"/>
        <v>0</v>
      </c>
      <c r="H916" s="1395" t="str">
        <f t="shared" si="991"/>
        <v>S</v>
      </c>
      <c r="I916" s="1462" t="s">
        <v>4132</v>
      </c>
      <c r="J916" s="1283" t="str">
        <f>IF(B916&lt;&gt;"",+VLOOKUP(I916,Recursos!C:F,2,FALSE),"")</f>
        <v>Provisión e instalación Tanque de polietileno tricapa 1000 lts.</v>
      </c>
      <c r="K916" s="1284" t="str">
        <f>IF(B916&lt;&gt;"",+VLOOKUP(I916,Recursos!C:F,3,FALSE),"")</f>
        <v>u</v>
      </c>
      <c r="L916" s="1285">
        <f>IF(B916&lt;&gt;"",+VLOOKUP(I916,Recursos!C:F,4,FALSE),"")</f>
        <v>1</v>
      </c>
      <c r="M916" s="1293"/>
      <c r="N916" s="1294">
        <v>1</v>
      </c>
      <c r="O916" s="1286">
        <f t="shared" si="992"/>
        <v>1</v>
      </c>
      <c r="P916" s="1287">
        <f t="shared" si="993"/>
        <v>1</v>
      </c>
      <c r="Q916" s="1281">
        <f t="shared" si="994"/>
        <v>0</v>
      </c>
      <c r="R916" s="1288">
        <f t="shared" si="995"/>
        <v>0</v>
      </c>
      <c r="S916" s="1289">
        <f t="shared" si="1008"/>
        <v>0</v>
      </c>
      <c r="T916" s="1289">
        <f t="shared" si="1009"/>
        <v>0</v>
      </c>
      <c r="U916" s="1290">
        <f t="shared" si="1010"/>
        <v>0</v>
      </c>
      <c r="V916" s="1290">
        <f t="shared" si="1011"/>
        <v>0</v>
      </c>
      <c r="W916" s="1290">
        <f t="shared" si="1012"/>
        <v>1</v>
      </c>
      <c r="X916" s="1290">
        <f t="shared" si="1013"/>
        <v>0</v>
      </c>
      <c r="Y916" s="396"/>
      <c r="Z916" s="1291" t="str">
        <f t="shared" si="996"/>
        <v>0-ITR023A</v>
      </c>
      <c r="AA916" s="1291" t="str">
        <f t="shared" si="997"/>
        <v>0-ITR023E</v>
      </c>
      <c r="AB916" s="1291" t="str">
        <f t="shared" si="998"/>
        <v>0-ITR023M</v>
      </c>
      <c r="AC916" s="1291" t="str">
        <f t="shared" si="999"/>
        <v>0-ITR023T</v>
      </c>
      <c r="AD916" s="1291" t="str">
        <f t="shared" si="1000"/>
        <v>0-ITR023S</v>
      </c>
      <c r="AE916" s="1291" t="str">
        <f t="shared" si="1001"/>
        <v>0-ITR023X</v>
      </c>
      <c r="AF916" s="1291" t="str">
        <f t="shared" si="1002"/>
        <v>0-ITR023S</v>
      </c>
      <c r="AG916" s="1291">
        <f t="shared" si="1014"/>
        <v>1</v>
      </c>
      <c r="AH916" s="1291">
        <f>IF(B916&lt;&gt;"",+IF(H916="x",+VLOOKUP(I916,'AUX-NIV2'!B:AG,32,FALSE),0),"")</f>
        <v>0</v>
      </c>
      <c r="AI916" s="1291" t="str">
        <f t="shared" si="1003"/>
        <v>0-ITR023</v>
      </c>
      <c r="AK916" s="347">
        <f t="shared" si="1015"/>
        <v>916</v>
      </c>
      <c r="AL916" s="348">
        <f t="shared" si="1004"/>
        <v>916</v>
      </c>
      <c r="AM916" s="347">
        <f t="shared" si="1005"/>
        <v>1</v>
      </c>
      <c r="AN916" s="382">
        <f>IF(AND(AH916&gt;0,B916&lt;&gt;""),VLOOKUP(I916,'AUX-NIV2'!$B:$AP,40,FALSE)*O916,0)</f>
        <v>0</v>
      </c>
      <c r="AO916" s="382">
        <f t="shared" si="1016"/>
        <v>0</v>
      </c>
      <c r="AQ916" s="395">
        <f>(IF($H916="x",VLOOKUP($I916,'AUX-NIV2'!$B:$X,'AUX-NIV1'!AQ$3,FALSE),0)+($AV916*'AUX-NIV3'!S$4))*$O916+IF($H916=AQ$4,$P916,0)</f>
        <v>0</v>
      </c>
      <c r="AR916" s="395">
        <f>(IF($H916="x",VLOOKUP($I916,'AUX-NIV2'!$B:$X,'AUX-NIV1'!AR$3,FALSE),0)+($AV916*'AUX-NIV3'!T$4))*$O916+IF($H916=AR$4,$P916,0)</f>
        <v>0</v>
      </c>
      <c r="AS916" s="395">
        <f>(IF($H916="x",VLOOKUP($I916,'AUX-NIV2'!$B:$X,'AUX-NIV1'!AS$3,FALSE),0)+($AV916*'AUX-NIV3'!U$4))*$O916+IF($H916=AS$4,$P916,0)</f>
        <v>0</v>
      </c>
      <c r="AT916" s="395">
        <f>(IF($H916="x",VLOOKUP($I916,'AUX-NIV2'!$B:$X,'AUX-NIV1'!AT$3,FALSE),0)+($AV916*'AUX-NIV3'!V$4))*$O916+IF($H916=AT$4,$P916,0)</f>
        <v>0</v>
      </c>
      <c r="AU916" s="395">
        <f>(IF($H916="x",VLOOKUP($I916,'AUX-NIV2'!$B:$X,'AUX-NIV1'!AU$3,FALSE),0)+($AV916*'AUX-NIV3'!W$4))*$O916+IF($H916=AU$4,$P916,0)</f>
        <v>1</v>
      </c>
      <c r="AV916" s="395">
        <f>+IF($H916="x",VLOOKUP($I916,'AUX-NIV2'!$B:$X,'AUX-NIV1'!AV$3,FALSE),0)</f>
        <v>0</v>
      </c>
    </row>
    <row r="917" spans="2:48" ht="14.4" hidden="1" thickTop="1" thickBot="1">
      <c r="B917" s="1433" t="s">
        <v>4109</v>
      </c>
      <c r="C917" s="1448" t="s">
        <v>3613</v>
      </c>
      <c r="D917" s="1435" t="s">
        <v>1172</v>
      </c>
      <c r="E917" s="1281">
        <f>IF(B917&lt;&gt;"",+SUMIF(Items!C:C,'AUX-NIV1'!B917,Items!H:H),"")</f>
        <v>0</v>
      </c>
      <c r="F917" s="1281">
        <f t="shared" si="1006"/>
        <v>1</v>
      </c>
      <c r="G917" s="1281">
        <f t="shared" si="1007"/>
        <v>0</v>
      </c>
      <c r="H917" s="1395" t="str">
        <f t="shared" si="991"/>
        <v>S</v>
      </c>
      <c r="I917" s="1462" t="s">
        <v>4133</v>
      </c>
      <c r="J917" s="1283" t="str">
        <f>IF(B917&lt;&gt;"",+VLOOKUP(I917,Recursos!C:F,2,FALSE),"")</f>
        <v>Provisión e instalación cuadro de bombas, valvulas y flotantes.</v>
      </c>
      <c r="K917" s="1284" t="str">
        <f>IF(B917&lt;&gt;"",+VLOOKUP(I917,Recursos!C:F,3,FALSE),"")</f>
        <v>gl</v>
      </c>
      <c r="L917" s="1285">
        <f>IF(B917&lt;&gt;"",+VLOOKUP(I917,Recursos!C:F,4,FALSE),"")</f>
        <v>1</v>
      </c>
      <c r="M917" s="1293"/>
      <c r="N917" s="1294">
        <v>1</v>
      </c>
      <c r="O917" s="1286">
        <f t="shared" si="992"/>
        <v>1</v>
      </c>
      <c r="P917" s="1287">
        <f t="shared" si="993"/>
        <v>1</v>
      </c>
      <c r="Q917" s="1281">
        <f t="shared" si="994"/>
        <v>0</v>
      </c>
      <c r="R917" s="1288">
        <f t="shared" si="995"/>
        <v>0</v>
      </c>
      <c r="S917" s="1289">
        <f t="shared" si="1008"/>
        <v>0</v>
      </c>
      <c r="T917" s="1289">
        <f t="shared" si="1009"/>
        <v>0</v>
      </c>
      <c r="U917" s="1290">
        <f t="shared" si="1010"/>
        <v>0</v>
      </c>
      <c r="V917" s="1290">
        <f t="shared" si="1011"/>
        <v>0</v>
      </c>
      <c r="W917" s="1290">
        <f t="shared" si="1012"/>
        <v>1</v>
      </c>
      <c r="X917" s="1290">
        <f t="shared" si="1013"/>
        <v>0</v>
      </c>
      <c r="Y917" s="396"/>
      <c r="Z917" s="1291" t="str">
        <f t="shared" si="996"/>
        <v>0-ITR024A</v>
      </c>
      <c r="AA917" s="1291" t="str">
        <f t="shared" si="997"/>
        <v>0-ITR024E</v>
      </c>
      <c r="AB917" s="1291" t="str">
        <f t="shared" si="998"/>
        <v>0-ITR024M</v>
      </c>
      <c r="AC917" s="1291" t="str">
        <f t="shared" si="999"/>
        <v>0-ITR024T</v>
      </c>
      <c r="AD917" s="1291" t="str">
        <f t="shared" si="1000"/>
        <v>0-ITR024S</v>
      </c>
      <c r="AE917" s="1291" t="str">
        <f t="shared" si="1001"/>
        <v>0-ITR024X</v>
      </c>
      <c r="AF917" s="1291" t="str">
        <f t="shared" si="1002"/>
        <v>0-ITR024S</v>
      </c>
      <c r="AG917" s="1291">
        <f t="shared" si="1014"/>
        <v>1</v>
      </c>
      <c r="AH917" s="1291">
        <f>IF(B917&lt;&gt;"",+IF(H917="x",+VLOOKUP(I917,'AUX-NIV2'!B:AG,32,FALSE),0),"")</f>
        <v>0</v>
      </c>
      <c r="AI917" s="1291" t="str">
        <f t="shared" si="1003"/>
        <v>0-ITR024</v>
      </c>
      <c r="AK917" s="347">
        <f t="shared" si="1015"/>
        <v>917</v>
      </c>
      <c r="AL917" s="348">
        <f t="shared" si="1004"/>
        <v>917</v>
      </c>
      <c r="AM917" s="347">
        <f t="shared" si="1005"/>
        <v>1</v>
      </c>
      <c r="AN917" s="382">
        <f>IF(AND(AH917&gt;0,B917&lt;&gt;""),VLOOKUP(I917,'AUX-NIV2'!$B:$AP,40,FALSE)*O917,0)</f>
        <v>0</v>
      </c>
      <c r="AO917" s="382">
        <f t="shared" si="1016"/>
        <v>0</v>
      </c>
      <c r="AQ917" s="395">
        <f>(IF($H917="x",VLOOKUP($I917,'AUX-NIV2'!$B:$X,'AUX-NIV1'!AQ$3,FALSE),0)+($AV917*'AUX-NIV3'!S$4))*$O917+IF($H917=AQ$4,$P917,0)</f>
        <v>0</v>
      </c>
      <c r="AR917" s="395">
        <f>(IF($H917="x",VLOOKUP($I917,'AUX-NIV2'!$B:$X,'AUX-NIV1'!AR$3,FALSE),0)+($AV917*'AUX-NIV3'!T$4))*$O917+IF($H917=AR$4,$P917,0)</f>
        <v>0</v>
      </c>
      <c r="AS917" s="395">
        <f>(IF($H917="x",VLOOKUP($I917,'AUX-NIV2'!$B:$X,'AUX-NIV1'!AS$3,FALSE),0)+($AV917*'AUX-NIV3'!U$4))*$O917+IF($H917=AS$4,$P917,0)</f>
        <v>0</v>
      </c>
      <c r="AT917" s="395">
        <f>(IF($H917="x",VLOOKUP($I917,'AUX-NIV2'!$B:$X,'AUX-NIV1'!AT$3,FALSE),0)+($AV917*'AUX-NIV3'!V$4))*$O917+IF($H917=AT$4,$P917,0)</f>
        <v>0</v>
      </c>
      <c r="AU917" s="395">
        <f>(IF($H917="x",VLOOKUP($I917,'AUX-NIV2'!$B:$X,'AUX-NIV1'!AU$3,FALSE),0)+($AV917*'AUX-NIV3'!W$4))*$O917+IF($H917=AU$4,$P917,0)</f>
        <v>1</v>
      </c>
      <c r="AV917" s="395">
        <f>+IF($H917="x",VLOOKUP($I917,'AUX-NIV2'!$B:$X,'AUX-NIV1'!AV$3,FALSE),0)</f>
        <v>0</v>
      </c>
    </row>
    <row r="918" spans="2:48" ht="14.4" hidden="1" thickTop="1" thickBot="1">
      <c r="B918" s="1433" t="s">
        <v>4135</v>
      </c>
      <c r="C918" s="1448" t="s">
        <v>3614</v>
      </c>
      <c r="D918" s="1435" t="s">
        <v>3615</v>
      </c>
      <c r="E918" s="1281">
        <f>IF(B918&lt;&gt;"",+SUMIF(Items!C:C,'AUX-NIV1'!B918,Items!H:H),"")</f>
        <v>0</v>
      </c>
      <c r="F918" s="1281">
        <f t="shared" si="1006"/>
        <v>1</v>
      </c>
      <c r="G918" s="1281">
        <f t="shared" si="1007"/>
        <v>0</v>
      </c>
      <c r="H918" s="1395" t="str">
        <f t="shared" si="991"/>
        <v>S</v>
      </c>
      <c r="I918" s="1462" t="s">
        <v>4170</v>
      </c>
      <c r="J918" s="1283" t="str">
        <f>IF(B918&lt;&gt;"",+VLOOKUP(I918,Recursos!C:F,2,FALSE),"")</f>
        <v>SOLICITUD ENERGIA ELECTRICA</v>
      </c>
      <c r="K918" s="1284" t="str">
        <f>IF(B918&lt;&gt;"",+VLOOKUP(I918,Recursos!C:F,3,FALSE),"")</f>
        <v>nro</v>
      </c>
      <c r="L918" s="1285">
        <f>IF(B918&lt;&gt;"",+VLOOKUP(I918,Recursos!C:F,4,FALSE),"")</f>
        <v>1</v>
      </c>
      <c r="M918" s="1293"/>
      <c r="N918" s="1294">
        <v>1</v>
      </c>
      <c r="O918" s="1286">
        <f t="shared" si="992"/>
        <v>1</v>
      </c>
      <c r="P918" s="1287">
        <f t="shared" si="993"/>
        <v>1</v>
      </c>
      <c r="Q918" s="1281">
        <f t="shared" si="994"/>
        <v>0</v>
      </c>
      <c r="R918" s="1288">
        <f t="shared" si="995"/>
        <v>0</v>
      </c>
      <c r="S918" s="1289">
        <f t="shared" si="1008"/>
        <v>0</v>
      </c>
      <c r="T918" s="1289">
        <f t="shared" si="1009"/>
        <v>0</v>
      </c>
      <c r="U918" s="1290">
        <f t="shared" si="1010"/>
        <v>0</v>
      </c>
      <c r="V918" s="1290">
        <f t="shared" si="1011"/>
        <v>0</v>
      </c>
      <c r="W918" s="1290">
        <f t="shared" si="1012"/>
        <v>1</v>
      </c>
      <c r="X918" s="1290">
        <f t="shared" si="1013"/>
        <v>0</v>
      </c>
      <c r="Y918" s="396"/>
      <c r="Z918" s="1291" t="str">
        <f t="shared" si="996"/>
        <v>0-ITS001A</v>
      </c>
      <c r="AA918" s="1291" t="str">
        <f t="shared" si="997"/>
        <v>0-ITS001E</v>
      </c>
      <c r="AB918" s="1291" t="str">
        <f t="shared" si="998"/>
        <v>0-ITS001M</v>
      </c>
      <c r="AC918" s="1291" t="str">
        <f t="shared" si="999"/>
        <v>0-ITS001T</v>
      </c>
      <c r="AD918" s="1291" t="str">
        <f t="shared" si="1000"/>
        <v>0-ITS001S</v>
      </c>
      <c r="AE918" s="1291" t="str">
        <f t="shared" si="1001"/>
        <v>0-ITS001X</v>
      </c>
      <c r="AF918" s="1291" t="str">
        <f t="shared" si="1002"/>
        <v>0-ITS001S</v>
      </c>
      <c r="AG918" s="1291">
        <f t="shared" si="1014"/>
        <v>1</v>
      </c>
      <c r="AH918" s="1291">
        <f>IF(B918&lt;&gt;"",+IF(H918="x",+VLOOKUP(I918,'AUX-NIV2'!B:AG,32,FALSE),0),"")</f>
        <v>0</v>
      </c>
      <c r="AI918" s="1291" t="str">
        <f t="shared" si="1003"/>
        <v>0-ITS001</v>
      </c>
      <c r="AK918" s="347">
        <f t="shared" si="1015"/>
        <v>918</v>
      </c>
      <c r="AL918" s="348">
        <f t="shared" si="1004"/>
        <v>918</v>
      </c>
      <c r="AM918" s="347">
        <f t="shared" si="1005"/>
        <v>1</v>
      </c>
      <c r="AN918" s="382">
        <f>IF(AND(AH918&gt;0,B918&lt;&gt;""),VLOOKUP(I918,'AUX-NIV2'!$B:$AP,40,FALSE)*O918,0)</f>
        <v>0</v>
      </c>
      <c r="AO918" s="382">
        <f t="shared" si="1016"/>
        <v>0</v>
      </c>
      <c r="AQ918" s="395">
        <f>(IF($H918="x",VLOOKUP($I918,'AUX-NIV2'!$B:$X,'AUX-NIV1'!AQ$3,FALSE),0)+($AV918*'AUX-NIV3'!S$4))*$O918+IF($H918=AQ$4,$P918,0)</f>
        <v>0</v>
      </c>
      <c r="AR918" s="395">
        <f>(IF($H918="x",VLOOKUP($I918,'AUX-NIV2'!$B:$X,'AUX-NIV1'!AR$3,FALSE),0)+($AV918*'AUX-NIV3'!T$4))*$O918+IF($H918=AR$4,$P918,0)</f>
        <v>0</v>
      </c>
      <c r="AS918" s="395">
        <f>(IF($H918="x",VLOOKUP($I918,'AUX-NIV2'!$B:$X,'AUX-NIV1'!AS$3,FALSE),0)+($AV918*'AUX-NIV3'!U$4))*$O918+IF($H918=AS$4,$P918,0)</f>
        <v>0</v>
      </c>
      <c r="AT918" s="395">
        <f>(IF($H918="x",VLOOKUP($I918,'AUX-NIV2'!$B:$X,'AUX-NIV1'!AT$3,FALSE),0)+($AV918*'AUX-NIV3'!V$4))*$O918+IF($H918=AT$4,$P918,0)</f>
        <v>0</v>
      </c>
      <c r="AU918" s="395">
        <f>(IF($H918="x",VLOOKUP($I918,'AUX-NIV2'!$B:$X,'AUX-NIV1'!AU$3,FALSE),0)+($AV918*'AUX-NIV3'!W$4))*$O918+IF($H918=AU$4,$P918,0)</f>
        <v>1</v>
      </c>
      <c r="AV918" s="395">
        <f>+IF($H918="x",VLOOKUP($I918,'AUX-NIV2'!$B:$X,'AUX-NIV1'!AV$3,FALSE),0)</f>
        <v>0</v>
      </c>
    </row>
    <row r="919" spans="2:48" ht="14.4" hidden="1" thickTop="1" thickBot="1">
      <c r="B919" s="1433" t="s">
        <v>4136</v>
      </c>
      <c r="C919" s="1448" t="s">
        <v>3616</v>
      </c>
      <c r="D919" s="1435"/>
      <c r="E919" s="1281">
        <f>IF(B919&lt;&gt;"",+SUMIF(Items!C:C,'AUX-NIV1'!B919,Items!H:H),"")</f>
        <v>0</v>
      </c>
      <c r="F919" s="1281">
        <f t="shared" si="1006"/>
        <v>1</v>
      </c>
      <c r="G919" s="1281">
        <f t="shared" si="1007"/>
        <v>0</v>
      </c>
      <c r="H919" s="1395" t="str">
        <f t="shared" ref="H919:H953" si="1017">IF(B919&lt;&gt;"",+LEFT(I919,1),"")</f>
        <v>S</v>
      </c>
      <c r="I919" s="1462" t="s">
        <v>4171</v>
      </c>
      <c r="J919" s="1283" t="str">
        <f>IF(B919&lt;&gt;"",+VLOOKUP(I919,Recursos!C:F,2,FALSE),"")</f>
        <v>TABLEROS ELECTRICOS</v>
      </c>
      <c r="K919" s="1284">
        <f>IF(B919&lt;&gt;"",+VLOOKUP(I919,Recursos!C:F,3,FALSE),"")</f>
        <v>0</v>
      </c>
      <c r="L919" s="1285">
        <f>IF(B919&lt;&gt;"",+VLOOKUP(I919,Recursos!C:F,4,FALSE),"")</f>
        <v>1</v>
      </c>
      <c r="M919" s="1293"/>
      <c r="N919" s="1294">
        <v>1</v>
      </c>
      <c r="O919" s="1286">
        <f t="shared" ref="O919:O953" si="1018">N919</f>
        <v>1</v>
      </c>
      <c r="P919" s="1287">
        <f t="shared" ref="P919:P953" si="1019">IF(B919&lt;&gt;"",O919*L919,"")</f>
        <v>1</v>
      </c>
      <c r="Q919" s="1281">
        <f t="shared" ref="Q919:Q953" si="1020">IF(B919&lt;&gt;"",+O919*E919,"")</f>
        <v>0</v>
      </c>
      <c r="R919" s="1288">
        <f t="shared" ref="R919:R953" si="1021">IF(B919&lt;&gt;"",Q919*L919,"")</f>
        <v>0</v>
      </c>
      <c r="S919" s="1289">
        <f t="shared" si="1008"/>
        <v>0</v>
      </c>
      <c r="T919" s="1289">
        <f t="shared" si="1009"/>
        <v>0</v>
      </c>
      <c r="U919" s="1290">
        <f t="shared" si="1010"/>
        <v>0</v>
      </c>
      <c r="V919" s="1290">
        <f t="shared" si="1011"/>
        <v>0</v>
      </c>
      <c r="W919" s="1290">
        <f t="shared" si="1012"/>
        <v>1</v>
      </c>
      <c r="X919" s="1290">
        <f t="shared" si="1013"/>
        <v>0</v>
      </c>
      <c r="Y919" s="396"/>
      <c r="Z919" s="1291" t="str">
        <f t="shared" ref="Z919:Z953" si="1022">IF(B919&lt;&gt;"",+$B919&amp;"A","")</f>
        <v>0-ITS002A</v>
      </c>
      <c r="AA919" s="1291" t="str">
        <f t="shared" ref="AA919:AA953" si="1023">IF(B919&lt;&gt;"",+$B919&amp;"E","")</f>
        <v>0-ITS002E</v>
      </c>
      <c r="AB919" s="1291" t="str">
        <f t="shared" ref="AB919:AB953" si="1024">IF(B919&lt;&gt;"",++$B919&amp;"M","")</f>
        <v>0-ITS002M</v>
      </c>
      <c r="AC919" s="1291" t="str">
        <f t="shared" ref="AC919:AC953" si="1025">IF(B919&lt;&gt;"",+$B919&amp;"T","")</f>
        <v>0-ITS002T</v>
      </c>
      <c r="AD919" s="1291" t="str">
        <f t="shared" ref="AD919:AD953" si="1026">IF(B919&lt;&gt;"",+$B919&amp;"S","")</f>
        <v>0-ITS002S</v>
      </c>
      <c r="AE919" s="1291" t="str">
        <f t="shared" ref="AE919:AE953" si="1027">IF(B919&lt;&gt;"",+$B919&amp;"X","")</f>
        <v>0-ITS002X</v>
      </c>
      <c r="AF919" s="1291" t="str">
        <f t="shared" ref="AF919:AF953" si="1028">IF(B919&lt;&gt;"",+B919&amp;H919,"")</f>
        <v>0-ITS002S</v>
      </c>
      <c r="AG919" s="1291">
        <f t="shared" si="1014"/>
        <v>1</v>
      </c>
      <c r="AH919" s="1291">
        <f>IF(B919&lt;&gt;"",+IF(H919="x",+VLOOKUP(I919,'AUX-NIV2'!B:AG,32,FALSE),0),"")</f>
        <v>0</v>
      </c>
      <c r="AI919" s="1291" t="str">
        <f t="shared" ref="AI919:AI953" si="1029">IF(B919&lt;&gt;"",+B919,"")</f>
        <v>0-ITS002</v>
      </c>
      <c r="AK919" s="347">
        <f t="shared" si="1015"/>
        <v>919</v>
      </c>
      <c r="AL919" s="348">
        <f t="shared" ref="AL919:AL953" si="1030">IF(B919&lt;&gt;"",+AK919+AG919-1,"")</f>
        <v>919</v>
      </c>
      <c r="AM919" s="347">
        <f t="shared" ref="AM919:AM953" si="1031">IF(B919&lt;&gt;"",IF(B919=B918,1+AM918,1),"")</f>
        <v>1</v>
      </c>
      <c r="AN919" s="382">
        <f>IF(AND(AH919&gt;0,B919&lt;&gt;""),VLOOKUP(I919,'AUX-NIV2'!$B:$AP,40,FALSE)*O919,0)</f>
        <v>0</v>
      </c>
      <c r="AO919" s="382">
        <f t="shared" si="1016"/>
        <v>0</v>
      </c>
      <c r="AQ919" s="395">
        <f>(IF($H919="x",VLOOKUP($I919,'AUX-NIV2'!$B:$X,'AUX-NIV1'!AQ$3,FALSE),0)+($AV919*'AUX-NIV3'!S$4))*$O919+IF($H919=AQ$4,$P919,0)</f>
        <v>0</v>
      </c>
      <c r="AR919" s="395">
        <f>(IF($H919="x",VLOOKUP($I919,'AUX-NIV2'!$B:$X,'AUX-NIV1'!AR$3,FALSE),0)+($AV919*'AUX-NIV3'!T$4))*$O919+IF($H919=AR$4,$P919,0)</f>
        <v>0</v>
      </c>
      <c r="AS919" s="395">
        <f>(IF($H919="x",VLOOKUP($I919,'AUX-NIV2'!$B:$X,'AUX-NIV1'!AS$3,FALSE),0)+($AV919*'AUX-NIV3'!U$4))*$O919+IF($H919=AS$4,$P919,0)</f>
        <v>0</v>
      </c>
      <c r="AT919" s="395">
        <f>(IF($H919="x",VLOOKUP($I919,'AUX-NIV2'!$B:$X,'AUX-NIV1'!AT$3,FALSE),0)+($AV919*'AUX-NIV3'!V$4))*$O919+IF($H919=AT$4,$P919,0)</f>
        <v>0</v>
      </c>
      <c r="AU919" s="395">
        <f>(IF($H919="x",VLOOKUP($I919,'AUX-NIV2'!$B:$X,'AUX-NIV1'!AU$3,FALSE),0)+($AV919*'AUX-NIV3'!W$4))*$O919+IF($H919=AU$4,$P919,0)</f>
        <v>1</v>
      </c>
      <c r="AV919" s="395">
        <f>+IF($H919="x",VLOOKUP($I919,'AUX-NIV2'!$B:$X,'AUX-NIV1'!AV$3,FALSE),0)</f>
        <v>0</v>
      </c>
    </row>
    <row r="920" spans="2:48" ht="14.4" hidden="1" thickTop="1" thickBot="1">
      <c r="B920" s="1433" t="s">
        <v>4137</v>
      </c>
      <c r="C920" s="1448" t="s">
        <v>3617</v>
      </c>
      <c r="D920" s="1435" t="s">
        <v>3615</v>
      </c>
      <c r="E920" s="1281">
        <f>IF(B920&lt;&gt;"",+SUMIF(Items!C:C,'AUX-NIV1'!B920,Items!H:H),"")</f>
        <v>0</v>
      </c>
      <c r="F920" s="1281">
        <f t="shared" si="1006"/>
        <v>1</v>
      </c>
      <c r="G920" s="1281">
        <f t="shared" si="1007"/>
        <v>0</v>
      </c>
      <c r="H920" s="1395" t="str">
        <f t="shared" si="1017"/>
        <v>S</v>
      </c>
      <c r="I920" s="1462" t="s">
        <v>4172</v>
      </c>
      <c r="J920" s="1283" t="str">
        <f>IF(B920&lt;&gt;"",+VLOOKUP(I920,Recursos!C:F,2,FALSE),"")</f>
        <v>Tablero Electrico General (TG)</v>
      </c>
      <c r="K920" s="1284" t="str">
        <f>IF(B920&lt;&gt;"",+VLOOKUP(I920,Recursos!C:F,3,FALSE),"")</f>
        <v>nro</v>
      </c>
      <c r="L920" s="1285">
        <f>IF(B920&lt;&gt;"",+VLOOKUP(I920,Recursos!C:F,4,FALSE),"")</f>
        <v>1</v>
      </c>
      <c r="M920" s="1293"/>
      <c r="N920" s="1294">
        <v>1</v>
      </c>
      <c r="O920" s="1286">
        <f t="shared" si="1018"/>
        <v>1</v>
      </c>
      <c r="P920" s="1287">
        <f t="shared" si="1019"/>
        <v>1</v>
      </c>
      <c r="Q920" s="1281">
        <f t="shared" si="1020"/>
        <v>0</v>
      </c>
      <c r="R920" s="1288">
        <f t="shared" si="1021"/>
        <v>0</v>
      </c>
      <c r="S920" s="1289">
        <f t="shared" si="1008"/>
        <v>0</v>
      </c>
      <c r="T920" s="1289">
        <f t="shared" si="1009"/>
        <v>0</v>
      </c>
      <c r="U920" s="1290">
        <f t="shared" si="1010"/>
        <v>0</v>
      </c>
      <c r="V920" s="1290">
        <f t="shared" si="1011"/>
        <v>0</v>
      </c>
      <c r="W920" s="1290">
        <f t="shared" si="1012"/>
        <v>1</v>
      </c>
      <c r="X920" s="1290">
        <f t="shared" si="1013"/>
        <v>0</v>
      </c>
      <c r="Y920" s="396"/>
      <c r="Z920" s="1291" t="str">
        <f t="shared" si="1022"/>
        <v>0-ITS003A</v>
      </c>
      <c r="AA920" s="1291" t="str">
        <f t="shared" si="1023"/>
        <v>0-ITS003E</v>
      </c>
      <c r="AB920" s="1291" t="str">
        <f t="shared" si="1024"/>
        <v>0-ITS003M</v>
      </c>
      <c r="AC920" s="1291" t="str">
        <f t="shared" si="1025"/>
        <v>0-ITS003T</v>
      </c>
      <c r="AD920" s="1291" t="str">
        <f t="shared" si="1026"/>
        <v>0-ITS003S</v>
      </c>
      <c r="AE920" s="1291" t="str">
        <f t="shared" si="1027"/>
        <v>0-ITS003X</v>
      </c>
      <c r="AF920" s="1291" t="str">
        <f t="shared" si="1028"/>
        <v>0-ITS003S</v>
      </c>
      <c r="AG920" s="1291">
        <f t="shared" si="1014"/>
        <v>1</v>
      </c>
      <c r="AH920" s="1291">
        <f>IF(B920&lt;&gt;"",+IF(H920="x",+VLOOKUP(I920,'AUX-NIV2'!B:AG,32,FALSE),0),"")</f>
        <v>0</v>
      </c>
      <c r="AI920" s="1291" t="str">
        <f t="shared" si="1029"/>
        <v>0-ITS003</v>
      </c>
      <c r="AK920" s="347">
        <f t="shared" si="1015"/>
        <v>920</v>
      </c>
      <c r="AL920" s="348">
        <f t="shared" si="1030"/>
        <v>920</v>
      </c>
      <c r="AM920" s="347">
        <f t="shared" si="1031"/>
        <v>1</v>
      </c>
      <c r="AN920" s="382">
        <f>IF(AND(AH920&gt;0,B920&lt;&gt;""),VLOOKUP(I920,'AUX-NIV2'!$B:$AP,40,FALSE)*O920,0)</f>
        <v>0</v>
      </c>
      <c r="AO920" s="382">
        <f t="shared" si="1016"/>
        <v>0</v>
      </c>
      <c r="AQ920" s="395">
        <f>(IF($H920="x",VLOOKUP($I920,'AUX-NIV2'!$B:$X,'AUX-NIV1'!AQ$3,FALSE),0)+($AV920*'AUX-NIV3'!S$4))*$O920+IF($H920=AQ$4,$P920,0)</f>
        <v>0</v>
      </c>
      <c r="AR920" s="395">
        <f>(IF($H920="x",VLOOKUP($I920,'AUX-NIV2'!$B:$X,'AUX-NIV1'!AR$3,FALSE),0)+($AV920*'AUX-NIV3'!T$4))*$O920+IF($H920=AR$4,$P920,0)</f>
        <v>0</v>
      </c>
      <c r="AS920" s="395">
        <f>(IF($H920="x",VLOOKUP($I920,'AUX-NIV2'!$B:$X,'AUX-NIV1'!AS$3,FALSE),0)+($AV920*'AUX-NIV3'!U$4))*$O920+IF($H920=AS$4,$P920,0)</f>
        <v>0</v>
      </c>
      <c r="AT920" s="395">
        <f>(IF($H920="x",VLOOKUP($I920,'AUX-NIV2'!$B:$X,'AUX-NIV1'!AT$3,FALSE),0)+($AV920*'AUX-NIV3'!V$4))*$O920+IF($H920=AT$4,$P920,0)</f>
        <v>0</v>
      </c>
      <c r="AU920" s="395">
        <f>(IF($H920="x",VLOOKUP($I920,'AUX-NIV2'!$B:$X,'AUX-NIV1'!AU$3,FALSE),0)+($AV920*'AUX-NIV3'!W$4))*$O920+IF($H920=AU$4,$P920,0)</f>
        <v>1</v>
      </c>
      <c r="AV920" s="395">
        <f>+IF($H920="x",VLOOKUP($I920,'AUX-NIV2'!$B:$X,'AUX-NIV1'!AV$3,FALSE),0)</f>
        <v>0</v>
      </c>
    </row>
    <row r="921" spans="2:48" ht="14.4" hidden="1" thickTop="1" thickBot="1">
      <c r="B921" s="1433" t="s">
        <v>4138</v>
      </c>
      <c r="C921" s="1448" t="s">
        <v>3618</v>
      </c>
      <c r="D921" s="1435" t="s">
        <v>3615</v>
      </c>
      <c r="E921" s="1281">
        <f>IF(B921&lt;&gt;"",+SUMIF(Items!C:C,'AUX-NIV1'!B921,Items!H:H),"")</f>
        <v>0</v>
      </c>
      <c r="F921" s="1281">
        <f t="shared" si="1006"/>
        <v>1</v>
      </c>
      <c r="G921" s="1281">
        <f t="shared" si="1007"/>
        <v>0</v>
      </c>
      <c r="H921" s="1395" t="str">
        <f t="shared" si="1017"/>
        <v>S</v>
      </c>
      <c r="I921" s="1462" t="s">
        <v>4173</v>
      </c>
      <c r="J921" s="1283" t="str">
        <f>IF(B921&lt;&gt;"",+VLOOKUP(I921,Recursos!C:F,2,FALSE),"")</f>
        <v>Tablero Electrico Principal (TP)</v>
      </c>
      <c r="K921" s="1284" t="str">
        <f>IF(B921&lt;&gt;"",+VLOOKUP(I921,Recursos!C:F,3,FALSE),"")</f>
        <v>nro</v>
      </c>
      <c r="L921" s="1285">
        <f>IF(B921&lt;&gt;"",+VLOOKUP(I921,Recursos!C:F,4,FALSE),"")</f>
        <v>1</v>
      </c>
      <c r="M921" s="1293"/>
      <c r="N921" s="1294">
        <v>1</v>
      </c>
      <c r="O921" s="1286">
        <f t="shared" si="1018"/>
        <v>1</v>
      </c>
      <c r="P921" s="1287">
        <f t="shared" si="1019"/>
        <v>1</v>
      </c>
      <c r="Q921" s="1281">
        <f t="shared" si="1020"/>
        <v>0</v>
      </c>
      <c r="R921" s="1288">
        <f t="shared" si="1021"/>
        <v>0</v>
      </c>
      <c r="S921" s="1289">
        <f t="shared" si="1008"/>
        <v>0</v>
      </c>
      <c r="T921" s="1289">
        <f t="shared" si="1009"/>
        <v>0</v>
      </c>
      <c r="U921" s="1290">
        <f t="shared" si="1010"/>
        <v>0</v>
      </c>
      <c r="V921" s="1290">
        <f t="shared" si="1011"/>
        <v>0</v>
      </c>
      <c r="W921" s="1290">
        <f t="shared" si="1012"/>
        <v>1</v>
      </c>
      <c r="X921" s="1290">
        <f t="shared" si="1013"/>
        <v>0</v>
      </c>
      <c r="Y921" s="396"/>
      <c r="Z921" s="1291" t="str">
        <f t="shared" si="1022"/>
        <v>0-ITS004A</v>
      </c>
      <c r="AA921" s="1291" t="str">
        <f t="shared" si="1023"/>
        <v>0-ITS004E</v>
      </c>
      <c r="AB921" s="1291" t="str">
        <f t="shared" si="1024"/>
        <v>0-ITS004M</v>
      </c>
      <c r="AC921" s="1291" t="str">
        <f t="shared" si="1025"/>
        <v>0-ITS004T</v>
      </c>
      <c r="AD921" s="1291" t="str">
        <f t="shared" si="1026"/>
        <v>0-ITS004S</v>
      </c>
      <c r="AE921" s="1291" t="str">
        <f t="shared" si="1027"/>
        <v>0-ITS004X</v>
      </c>
      <c r="AF921" s="1291" t="str">
        <f t="shared" si="1028"/>
        <v>0-ITS004S</v>
      </c>
      <c r="AG921" s="1291">
        <f t="shared" si="1014"/>
        <v>1</v>
      </c>
      <c r="AH921" s="1291">
        <f>IF(B921&lt;&gt;"",+IF(H921="x",+VLOOKUP(I921,'AUX-NIV2'!B:AG,32,FALSE),0),"")</f>
        <v>0</v>
      </c>
      <c r="AI921" s="1291" t="str">
        <f t="shared" si="1029"/>
        <v>0-ITS004</v>
      </c>
      <c r="AK921" s="347">
        <f t="shared" si="1015"/>
        <v>921</v>
      </c>
      <c r="AL921" s="348">
        <f t="shared" si="1030"/>
        <v>921</v>
      </c>
      <c r="AM921" s="347">
        <f t="shared" si="1031"/>
        <v>1</v>
      </c>
      <c r="AN921" s="382">
        <f>IF(AND(AH921&gt;0,B921&lt;&gt;""),VLOOKUP(I921,'AUX-NIV2'!$B:$AP,40,FALSE)*O921,0)</f>
        <v>0</v>
      </c>
      <c r="AO921" s="382">
        <f t="shared" si="1016"/>
        <v>0</v>
      </c>
      <c r="AQ921" s="395">
        <f>(IF($H921="x",VLOOKUP($I921,'AUX-NIV2'!$B:$X,'AUX-NIV1'!AQ$3,FALSE),0)+($AV921*'AUX-NIV3'!S$4))*$O921+IF($H921=AQ$4,$P921,0)</f>
        <v>0</v>
      </c>
      <c r="AR921" s="395">
        <f>(IF($H921="x",VLOOKUP($I921,'AUX-NIV2'!$B:$X,'AUX-NIV1'!AR$3,FALSE),0)+($AV921*'AUX-NIV3'!T$4))*$O921+IF($H921=AR$4,$P921,0)</f>
        <v>0</v>
      </c>
      <c r="AS921" s="395">
        <f>(IF($H921="x",VLOOKUP($I921,'AUX-NIV2'!$B:$X,'AUX-NIV1'!AS$3,FALSE),0)+($AV921*'AUX-NIV3'!U$4))*$O921+IF($H921=AS$4,$P921,0)</f>
        <v>0</v>
      </c>
      <c r="AT921" s="395">
        <f>(IF($H921="x",VLOOKUP($I921,'AUX-NIV2'!$B:$X,'AUX-NIV1'!AT$3,FALSE),0)+($AV921*'AUX-NIV3'!V$4))*$O921+IF($H921=AT$4,$P921,0)</f>
        <v>0</v>
      </c>
      <c r="AU921" s="395">
        <f>(IF($H921="x",VLOOKUP($I921,'AUX-NIV2'!$B:$X,'AUX-NIV1'!AU$3,FALSE),0)+($AV921*'AUX-NIV3'!W$4))*$O921+IF($H921=AU$4,$P921,0)</f>
        <v>1</v>
      </c>
      <c r="AV921" s="395">
        <f>+IF($H921="x",VLOOKUP($I921,'AUX-NIV2'!$B:$X,'AUX-NIV1'!AV$3,FALSE),0)</f>
        <v>0</v>
      </c>
    </row>
    <row r="922" spans="2:48" ht="14.4" hidden="1" thickTop="1" thickBot="1">
      <c r="B922" s="1433" t="s">
        <v>4139</v>
      </c>
      <c r="C922" s="1448" t="s">
        <v>3619</v>
      </c>
      <c r="D922" s="1435" t="s">
        <v>3615</v>
      </c>
      <c r="E922" s="1281">
        <f>IF(B922&lt;&gt;"",+SUMIF(Items!C:C,'AUX-NIV1'!B922,Items!H:H),"")</f>
        <v>0</v>
      </c>
      <c r="F922" s="1281">
        <f t="shared" si="1006"/>
        <v>1</v>
      </c>
      <c r="G922" s="1281">
        <f t="shared" si="1007"/>
        <v>0</v>
      </c>
      <c r="H922" s="1395" t="str">
        <f t="shared" si="1017"/>
        <v>S</v>
      </c>
      <c r="I922" s="1462" t="s">
        <v>4174</v>
      </c>
      <c r="J922" s="1283" t="str">
        <f>IF(B922&lt;&gt;"",+VLOOKUP(I922,Recursos!C:F,2,FALSE),"")</f>
        <v>Tablero Electrico Seccional Planta Baja (TSCC)</v>
      </c>
      <c r="K922" s="1284" t="str">
        <f>IF(B922&lt;&gt;"",+VLOOKUP(I922,Recursos!C:F,3,FALSE),"")</f>
        <v>nro</v>
      </c>
      <c r="L922" s="1285">
        <f>IF(B922&lt;&gt;"",+VLOOKUP(I922,Recursos!C:F,4,FALSE),"")</f>
        <v>1</v>
      </c>
      <c r="M922" s="1293"/>
      <c r="N922" s="1294">
        <v>1</v>
      </c>
      <c r="O922" s="1286">
        <f t="shared" si="1018"/>
        <v>1</v>
      </c>
      <c r="P922" s="1287">
        <f t="shared" si="1019"/>
        <v>1</v>
      </c>
      <c r="Q922" s="1281">
        <f t="shared" si="1020"/>
        <v>0</v>
      </c>
      <c r="R922" s="1288">
        <f t="shared" si="1021"/>
        <v>0</v>
      </c>
      <c r="S922" s="1289">
        <f t="shared" si="1008"/>
        <v>0</v>
      </c>
      <c r="T922" s="1289">
        <f t="shared" si="1009"/>
        <v>0</v>
      </c>
      <c r="U922" s="1290">
        <f t="shared" si="1010"/>
        <v>0</v>
      </c>
      <c r="V922" s="1290">
        <f t="shared" si="1011"/>
        <v>0</v>
      </c>
      <c r="W922" s="1290">
        <f t="shared" si="1012"/>
        <v>1</v>
      </c>
      <c r="X922" s="1290">
        <f t="shared" si="1013"/>
        <v>0</v>
      </c>
      <c r="Y922" s="396"/>
      <c r="Z922" s="1291" t="str">
        <f t="shared" si="1022"/>
        <v>0-ITS005A</v>
      </c>
      <c r="AA922" s="1291" t="str">
        <f t="shared" si="1023"/>
        <v>0-ITS005E</v>
      </c>
      <c r="AB922" s="1291" t="str">
        <f t="shared" si="1024"/>
        <v>0-ITS005M</v>
      </c>
      <c r="AC922" s="1291" t="str">
        <f t="shared" si="1025"/>
        <v>0-ITS005T</v>
      </c>
      <c r="AD922" s="1291" t="str">
        <f t="shared" si="1026"/>
        <v>0-ITS005S</v>
      </c>
      <c r="AE922" s="1291" t="str">
        <f t="shared" si="1027"/>
        <v>0-ITS005X</v>
      </c>
      <c r="AF922" s="1291" t="str">
        <f t="shared" si="1028"/>
        <v>0-ITS005S</v>
      </c>
      <c r="AG922" s="1291">
        <f t="shared" si="1014"/>
        <v>1</v>
      </c>
      <c r="AH922" s="1291">
        <f>IF(B922&lt;&gt;"",+IF(H922="x",+VLOOKUP(I922,'AUX-NIV2'!B:AG,32,FALSE),0),"")</f>
        <v>0</v>
      </c>
      <c r="AI922" s="1291" t="str">
        <f t="shared" si="1029"/>
        <v>0-ITS005</v>
      </c>
      <c r="AK922" s="347">
        <f t="shared" si="1015"/>
        <v>922</v>
      </c>
      <c r="AL922" s="348">
        <f t="shared" si="1030"/>
        <v>922</v>
      </c>
      <c r="AM922" s="347">
        <f t="shared" si="1031"/>
        <v>1</v>
      </c>
      <c r="AN922" s="382">
        <f>IF(AND(AH922&gt;0,B922&lt;&gt;""),VLOOKUP(I922,'AUX-NIV2'!$B:$AP,40,FALSE)*O922,0)</f>
        <v>0</v>
      </c>
      <c r="AO922" s="382">
        <f t="shared" si="1016"/>
        <v>0</v>
      </c>
      <c r="AQ922" s="395">
        <f>(IF($H922="x",VLOOKUP($I922,'AUX-NIV2'!$B:$X,'AUX-NIV1'!AQ$3,FALSE),0)+($AV922*'AUX-NIV3'!S$4))*$O922+IF($H922=AQ$4,$P922,0)</f>
        <v>0</v>
      </c>
      <c r="AR922" s="395">
        <f>(IF($H922="x",VLOOKUP($I922,'AUX-NIV2'!$B:$X,'AUX-NIV1'!AR$3,FALSE),0)+($AV922*'AUX-NIV3'!T$4))*$O922+IF($H922=AR$4,$P922,0)</f>
        <v>0</v>
      </c>
      <c r="AS922" s="395">
        <f>(IF($H922="x",VLOOKUP($I922,'AUX-NIV2'!$B:$X,'AUX-NIV1'!AS$3,FALSE),0)+($AV922*'AUX-NIV3'!U$4))*$O922+IF($H922=AS$4,$P922,0)</f>
        <v>0</v>
      </c>
      <c r="AT922" s="395">
        <f>(IF($H922="x",VLOOKUP($I922,'AUX-NIV2'!$B:$X,'AUX-NIV1'!AT$3,FALSE),0)+($AV922*'AUX-NIV3'!V$4))*$O922+IF($H922=AT$4,$P922,0)</f>
        <v>0</v>
      </c>
      <c r="AU922" s="395">
        <f>(IF($H922="x",VLOOKUP($I922,'AUX-NIV2'!$B:$X,'AUX-NIV1'!AU$3,FALSE),0)+($AV922*'AUX-NIV3'!W$4))*$O922+IF($H922=AU$4,$P922,0)</f>
        <v>1</v>
      </c>
      <c r="AV922" s="395">
        <f>+IF($H922="x",VLOOKUP($I922,'AUX-NIV2'!$B:$X,'AUX-NIV1'!AV$3,FALSE),0)</f>
        <v>0</v>
      </c>
    </row>
    <row r="923" spans="2:48" ht="14.4" hidden="1" thickTop="1" thickBot="1">
      <c r="B923" s="1433" t="s">
        <v>4140</v>
      </c>
      <c r="C923" s="1448" t="s">
        <v>3620</v>
      </c>
      <c r="D923" s="1435" t="s">
        <v>3615</v>
      </c>
      <c r="E923" s="1281">
        <f>IF(B923&lt;&gt;"",+SUMIF(Items!C:C,'AUX-NIV1'!B923,Items!H:H),"")</f>
        <v>0</v>
      </c>
      <c r="F923" s="1281">
        <f t="shared" si="1006"/>
        <v>1</v>
      </c>
      <c r="G923" s="1281">
        <f t="shared" si="1007"/>
        <v>0</v>
      </c>
      <c r="H923" s="1395" t="str">
        <f t="shared" si="1017"/>
        <v>S</v>
      </c>
      <c r="I923" s="1462" t="s">
        <v>4175</v>
      </c>
      <c r="J923" s="1283" t="str">
        <f>IF(B923&lt;&gt;"",+VLOOKUP(I923,Recursos!C:F,2,FALSE),"")</f>
        <v>Tablero Electrico Sistemas A (TA)</v>
      </c>
      <c r="K923" s="1284" t="str">
        <f>IF(B923&lt;&gt;"",+VLOOKUP(I923,Recursos!C:F,3,FALSE),"")</f>
        <v>nro</v>
      </c>
      <c r="L923" s="1285">
        <f>IF(B923&lt;&gt;"",+VLOOKUP(I923,Recursos!C:F,4,FALSE),"")</f>
        <v>1</v>
      </c>
      <c r="M923" s="1293"/>
      <c r="N923" s="1294">
        <v>1</v>
      </c>
      <c r="O923" s="1286">
        <f t="shared" si="1018"/>
        <v>1</v>
      </c>
      <c r="P923" s="1287">
        <f t="shared" si="1019"/>
        <v>1</v>
      </c>
      <c r="Q923" s="1281">
        <f t="shared" si="1020"/>
        <v>0</v>
      </c>
      <c r="R923" s="1288">
        <f t="shared" si="1021"/>
        <v>0</v>
      </c>
      <c r="S923" s="1289">
        <f t="shared" si="1008"/>
        <v>0</v>
      </c>
      <c r="T923" s="1289">
        <f t="shared" si="1009"/>
        <v>0</v>
      </c>
      <c r="U923" s="1290">
        <f t="shared" si="1010"/>
        <v>0</v>
      </c>
      <c r="V923" s="1290">
        <f t="shared" si="1011"/>
        <v>0</v>
      </c>
      <c r="W923" s="1290">
        <f t="shared" si="1012"/>
        <v>1</v>
      </c>
      <c r="X923" s="1290">
        <f t="shared" si="1013"/>
        <v>0</v>
      </c>
      <c r="Y923" s="396"/>
      <c r="Z923" s="1291" t="str">
        <f t="shared" si="1022"/>
        <v>0-ITS006A</v>
      </c>
      <c r="AA923" s="1291" t="str">
        <f t="shared" si="1023"/>
        <v>0-ITS006E</v>
      </c>
      <c r="AB923" s="1291" t="str">
        <f t="shared" si="1024"/>
        <v>0-ITS006M</v>
      </c>
      <c r="AC923" s="1291" t="str">
        <f t="shared" si="1025"/>
        <v>0-ITS006T</v>
      </c>
      <c r="AD923" s="1291" t="str">
        <f t="shared" si="1026"/>
        <v>0-ITS006S</v>
      </c>
      <c r="AE923" s="1291" t="str">
        <f t="shared" si="1027"/>
        <v>0-ITS006X</v>
      </c>
      <c r="AF923" s="1291" t="str">
        <f t="shared" si="1028"/>
        <v>0-ITS006S</v>
      </c>
      <c r="AG923" s="1291">
        <f t="shared" si="1014"/>
        <v>1</v>
      </c>
      <c r="AH923" s="1291">
        <f>IF(B923&lt;&gt;"",+IF(H923="x",+VLOOKUP(I923,'AUX-NIV2'!B:AG,32,FALSE),0),"")</f>
        <v>0</v>
      </c>
      <c r="AI923" s="1291" t="str">
        <f t="shared" si="1029"/>
        <v>0-ITS006</v>
      </c>
      <c r="AK923" s="347">
        <f t="shared" si="1015"/>
        <v>923</v>
      </c>
      <c r="AL923" s="348">
        <f t="shared" si="1030"/>
        <v>923</v>
      </c>
      <c r="AM923" s="347">
        <f t="shared" si="1031"/>
        <v>1</v>
      </c>
      <c r="AN923" s="382">
        <f>IF(AND(AH923&gt;0,B923&lt;&gt;""),VLOOKUP(I923,'AUX-NIV2'!$B:$AP,40,FALSE)*O923,0)</f>
        <v>0</v>
      </c>
      <c r="AO923" s="382">
        <f t="shared" si="1016"/>
        <v>0</v>
      </c>
      <c r="AQ923" s="395">
        <f>(IF($H923="x",VLOOKUP($I923,'AUX-NIV2'!$B:$X,'AUX-NIV1'!AQ$3,FALSE),0)+($AV923*'AUX-NIV3'!S$4))*$O923+IF($H923=AQ$4,$P923,0)</f>
        <v>0</v>
      </c>
      <c r="AR923" s="395">
        <f>(IF($H923="x",VLOOKUP($I923,'AUX-NIV2'!$B:$X,'AUX-NIV1'!AR$3,FALSE),0)+($AV923*'AUX-NIV3'!T$4))*$O923+IF($H923=AR$4,$P923,0)</f>
        <v>0</v>
      </c>
      <c r="AS923" s="395">
        <f>(IF($H923="x",VLOOKUP($I923,'AUX-NIV2'!$B:$X,'AUX-NIV1'!AS$3,FALSE),0)+($AV923*'AUX-NIV3'!U$4))*$O923+IF($H923=AS$4,$P923,0)</f>
        <v>0</v>
      </c>
      <c r="AT923" s="395">
        <f>(IF($H923="x",VLOOKUP($I923,'AUX-NIV2'!$B:$X,'AUX-NIV1'!AT$3,FALSE),0)+($AV923*'AUX-NIV3'!V$4))*$O923+IF($H923=AT$4,$P923,0)</f>
        <v>0</v>
      </c>
      <c r="AU923" s="395">
        <f>(IF($H923="x",VLOOKUP($I923,'AUX-NIV2'!$B:$X,'AUX-NIV1'!AU$3,FALSE),0)+($AV923*'AUX-NIV3'!W$4))*$O923+IF($H923=AU$4,$P923,0)</f>
        <v>1</v>
      </c>
      <c r="AV923" s="395">
        <f>+IF($H923="x",VLOOKUP($I923,'AUX-NIV2'!$B:$X,'AUX-NIV1'!AV$3,FALSE),0)</f>
        <v>0</v>
      </c>
    </row>
    <row r="924" spans="2:48" ht="14.4" hidden="1" thickTop="1" thickBot="1">
      <c r="B924" s="1433" t="s">
        <v>4141</v>
      </c>
      <c r="C924" s="1448" t="s">
        <v>3621</v>
      </c>
      <c r="D924" s="1435" t="s">
        <v>3615</v>
      </c>
      <c r="E924" s="1281">
        <f>IF(B924&lt;&gt;"",+SUMIF(Items!C:C,'AUX-NIV1'!B924,Items!H:H),"")</f>
        <v>0</v>
      </c>
      <c r="F924" s="1281">
        <f t="shared" si="1006"/>
        <v>1</v>
      </c>
      <c r="G924" s="1281">
        <f t="shared" si="1007"/>
        <v>0</v>
      </c>
      <c r="H924" s="1395" t="str">
        <f t="shared" si="1017"/>
        <v>S</v>
      </c>
      <c r="I924" s="1462" t="s">
        <v>4176</v>
      </c>
      <c r="J924" s="1283" t="str">
        <f>IF(B924&lt;&gt;"",+VLOOKUP(I924,Recursos!C:F,2,FALSE),"")</f>
        <v>Tablero Electrico Sistemas B (TB)</v>
      </c>
      <c r="K924" s="1284" t="str">
        <f>IF(B924&lt;&gt;"",+VLOOKUP(I924,Recursos!C:F,3,FALSE),"")</f>
        <v>nro</v>
      </c>
      <c r="L924" s="1285">
        <f>IF(B924&lt;&gt;"",+VLOOKUP(I924,Recursos!C:F,4,FALSE),"")</f>
        <v>1</v>
      </c>
      <c r="M924" s="1293"/>
      <c r="N924" s="1294">
        <v>1</v>
      </c>
      <c r="O924" s="1286">
        <f t="shared" si="1018"/>
        <v>1</v>
      </c>
      <c r="P924" s="1287">
        <f t="shared" si="1019"/>
        <v>1</v>
      </c>
      <c r="Q924" s="1281">
        <f t="shared" si="1020"/>
        <v>0</v>
      </c>
      <c r="R924" s="1288">
        <f t="shared" si="1021"/>
        <v>0</v>
      </c>
      <c r="S924" s="1289">
        <f t="shared" si="1008"/>
        <v>0</v>
      </c>
      <c r="T924" s="1289">
        <f t="shared" si="1009"/>
        <v>0</v>
      </c>
      <c r="U924" s="1290">
        <f t="shared" si="1010"/>
        <v>0</v>
      </c>
      <c r="V924" s="1290">
        <f t="shared" si="1011"/>
        <v>0</v>
      </c>
      <c r="W924" s="1290">
        <f t="shared" si="1012"/>
        <v>1</v>
      </c>
      <c r="X924" s="1290">
        <f t="shared" si="1013"/>
        <v>0</v>
      </c>
      <c r="Y924" s="396"/>
      <c r="Z924" s="1291" t="str">
        <f t="shared" si="1022"/>
        <v>0-ITS007A</v>
      </c>
      <c r="AA924" s="1291" t="str">
        <f t="shared" si="1023"/>
        <v>0-ITS007E</v>
      </c>
      <c r="AB924" s="1291" t="str">
        <f t="shared" si="1024"/>
        <v>0-ITS007M</v>
      </c>
      <c r="AC924" s="1291" t="str">
        <f t="shared" si="1025"/>
        <v>0-ITS007T</v>
      </c>
      <c r="AD924" s="1291" t="str">
        <f t="shared" si="1026"/>
        <v>0-ITS007S</v>
      </c>
      <c r="AE924" s="1291" t="str">
        <f t="shared" si="1027"/>
        <v>0-ITS007X</v>
      </c>
      <c r="AF924" s="1291" t="str">
        <f t="shared" si="1028"/>
        <v>0-ITS007S</v>
      </c>
      <c r="AG924" s="1291">
        <f t="shared" si="1014"/>
        <v>1</v>
      </c>
      <c r="AH924" s="1291">
        <f>IF(B924&lt;&gt;"",+IF(H924="x",+VLOOKUP(I924,'AUX-NIV2'!B:AG,32,FALSE),0),"")</f>
        <v>0</v>
      </c>
      <c r="AI924" s="1291" t="str">
        <f t="shared" si="1029"/>
        <v>0-ITS007</v>
      </c>
      <c r="AK924" s="347">
        <f t="shared" si="1015"/>
        <v>924</v>
      </c>
      <c r="AL924" s="348">
        <f t="shared" si="1030"/>
        <v>924</v>
      </c>
      <c r="AM924" s="347">
        <f t="shared" si="1031"/>
        <v>1</v>
      </c>
      <c r="AN924" s="382">
        <f>IF(AND(AH924&gt;0,B924&lt;&gt;""),VLOOKUP(I924,'AUX-NIV2'!$B:$AP,40,FALSE)*O924,0)</f>
        <v>0</v>
      </c>
      <c r="AO924" s="382">
        <f t="shared" si="1016"/>
        <v>0</v>
      </c>
      <c r="AQ924" s="395">
        <f>(IF($H924="x",VLOOKUP($I924,'AUX-NIV2'!$B:$X,'AUX-NIV1'!AQ$3,FALSE),0)+($AV924*'AUX-NIV3'!S$4))*$O924+IF($H924=AQ$4,$P924,0)</f>
        <v>0</v>
      </c>
      <c r="AR924" s="395">
        <f>(IF($H924="x",VLOOKUP($I924,'AUX-NIV2'!$B:$X,'AUX-NIV1'!AR$3,FALSE),0)+($AV924*'AUX-NIV3'!T$4))*$O924+IF($H924=AR$4,$P924,0)</f>
        <v>0</v>
      </c>
      <c r="AS924" s="395">
        <f>(IF($H924="x",VLOOKUP($I924,'AUX-NIV2'!$B:$X,'AUX-NIV1'!AS$3,FALSE),0)+($AV924*'AUX-NIV3'!U$4))*$O924+IF($H924=AS$4,$P924,0)</f>
        <v>0</v>
      </c>
      <c r="AT924" s="395">
        <f>(IF($H924="x",VLOOKUP($I924,'AUX-NIV2'!$B:$X,'AUX-NIV1'!AT$3,FALSE),0)+($AV924*'AUX-NIV3'!V$4))*$O924+IF($H924=AT$4,$P924,0)</f>
        <v>0</v>
      </c>
      <c r="AU924" s="395">
        <f>(IF($H924="x",VLOOKUP($I924,'AUX-NIV2'!$B:$X,'AUX-NIV1'!AU$3,FALSE),0)+($AV924*'AUX-NIV3'!W$4))*$O924+IF($H924=AU$4,$P924,0)</f>
        <v>1</v>
      </c>
      <c r="AV924" s="395">
        <f>+IF($H924="x",VLOOKUP($I924,'AUX-NIV2'!$B:$X,'AUX-NIV1'!AV$3,FALSE),0)</f>
        <v>0</v>
      </c>
    </row>
    <row r="925" spans="2:48" ht="14.4" hidden="1" thickTop="1" thickBot="1">
      <c r="B925" s="1433" t="s">
        <v>4142</v>
      </c>
      <c r="C925" s="1448" t="s">
        <v>3622</v>
      </c>
      <c r="D925" s="1435" t="s">
        <v>3615</v>
      </c>
      <c r="E925" s="1281">
        <f>IF(B925&lt;&gt;"",+SUMIF(Items!C:C,'AUX-NIV1'!B925,Items!H:H),"")</f>
        <v>0</v>
      </c>
      <c r="F925" s="1281">
        <f t="shared" si="1006"/>
        <v>1</v>
      </c>
      <c r="G925" s="1281">
        <f t="shared" si="1007"/>
        <v>0</v>
      </c>
      <c r="H925" s="1395" t="str">
        <f t="shared" si="1017"/>
        <v>S</v>
      </c>
      <c r="I925" s="1462" t="s">
        <v>4177</v>
      </c>
      <c r="J925" s="1283" t="str">
        <f>IF(B925&lt;&gt;"",+VLOOKUP(I925,Recursos!C:F,2,FALSE),"")</f>
        <v>Tablero Electrico del Bunker (TBK)</v>
      </c>
      <c r="K925" s="1284" t="str">
        <f>IF(B925&lt;&gt;"",+VLOOKUP(I925,Recursos!C:F,3,FALSE),"")</f>
        <v>nro</v>
      </c>
      <c r="L925" s="1285">
        <f>IF(B925&lt;&gt;"",+VLOOKUP(I925,Recursos!C:F,4,FALSE),"")</f>
        <v>1</v>
      </c>
      <c r="M925" s="1293"/>
      <c r="N925" s="1294">
        <v>1</v>
      </c>
      <c r="O925" s="1286">
        <f t="shared" si="1018"/>
        <v>1</v>
      </c>
      <c r="P925" s="1287">
        <f t="shared" si="1019"/>
        <v>1</v>
      </c>
      <c r="Q925" s="1281">
        <f t="shared" si="1020"/>
        <v>0</v>
      </c>
      <c r="R925" s="1288">
        <f t="shared" si="1021"/>
        <v>0</v>
      </c>
      <c r="S925" s="1289">
        <f t="shared" si="1008"/>
        <v>0</v>
      </c>
      <c r="T925" s="1289">
        <f t="shared" si="1009"/>
        <v>0</v>
      </c>
      <c r="U925" s="1290">
        <f t="shared" si="1010"/>
        <v>0</v>
      </c>
      <c r="V925" s="1290">
        <f t="shared" si="1011"/>
        <v>0</v>
      </c>
      <c r="W925" s="1290">
        <f t="shared" si="1012"/>
        <v>1</v>
      </c>
      <c r="X925" s="1290">
        <f t="shared" si="1013"/>
        <v>0</v>
      </c>
      <c r="Y925" s="396"/>
      <c r="Z925" s="1291" t="str">
        <f t="shared" si="1022"/>
        <v>0-ITS008A</v>
      </c>
      <c r="AA925" s="1291" t="str">
        <f t="shared" si="1023"/>
        <v>0-ITS008E</v>
      </c>
      <c r="AB925" s="1291" t="str">
        <f t="shared" si="1024"/>
        <v>0-ITS008M</v>
      </c>
      <c r="AC925" s="1291" t="str">
        <f t="shared" si="1025"/>
        <v>0-ITS008T</v>
      </c>
      <c r="AD925" s="1291" t="str">
        <f t="shared" si="1026"/>
        <v>0-ITS008S</v>
      </c>
      <c r="AE925" s="1291" t="str">
        <f t="shared" si="1027"/>
        <v>0-ITS008X</v>
      </c>
      <c r="AF925" s="1291" t="str">
        <f t="shared" si="1028"/>
        <v>0-ITS008S</v>
      </c>
      <c r="AG925" s="1291">
        <f t="shared" si="1014"/>
        <v>1</v>
      </c>
      <c r="AH925" s="1291">
        <f>IF(B925&lt;&gt;"",+IF(H925="x",+VLOOKUP(I925,'AUX-NIV2'!B:AG,32,FALSE),0),"")</f>
        <v>0</v>
      </c>
      <c r="AI925" s="1291" t="str">
        <f t="shared" si="1029"/>
        <v>0-ITS008</v>
      </c>
      <c r="AK925" s="347">
        <f t="shared" si="1015"/>
        <v>925</v>
      </c>
      <c r="AL925" s="348">
        <f t="shared" si="1030"/>
        <v>925</v>
      </c>
      <c r="AM925" s="347">
        <f t="shared" si="1031"/>
        <v>1</v>
      </c>
      <c r="AN925" s="382">
        <f>IF(AND(AH925&gt;0,B925&lt;&gt;""),VLOOKUP(I925,'AUX-NIV2'!$B:$AP,40,FALSE)*O925,0)</f>
        <v>0</v>
      </c>
      <c r="AO925" s="382">
        <f t="shared" si="1016"/>
        <v>0</v>
      </c>
      <c r="AQ925" s="395">
        <f>(IF($H925="x",VLOOKUP($I925,'AUX-NIV2'!$B:$X,'AUX-NIV1'!AQ$3,FALSE),0)+($AV925*'AUX-NIV3'!S$4))*$O925+IF($H925=AQ$4,$P925,0)</f>
        <v>0</v>
      </c>
      <c r="AR925" s="395">
        <f>(IF($H925="x",VLOOKUP($I925,'AUX-NIV2'!$B:$X,'AUX-NIV1'!AR$3,FALSE),0)+($AV925*'AUX-NIV3'!T$4))*$O925+IF($H925=AR$4,$P925,0)</f>
        <v>0</v>
      </c>
      <c r="AS925" s="395">
        <f>(IF($H925="x",VLOOKUP($I925,'AUX-NIV2'!$B:$X,'AUX-NIV1'!AS$3,FALSE),0)+($AV925*'AUX-NIV3'!U$4))*$O925+IF($H925=AS$4,$P925,0)</f>
        <v>0</v>
      </c>
      <c r="AT925" s="395">
        <f>(IF($H925="x",VLOOKUP($I925,'AUX-NIV2'!$B:$X,'AUX-NIV1'!AT$3,FALSE),0)+($AV925*'AUX-NIV3'!V$4))*$O925+IF($H925=AT$4,$P925,0)</f>
        <v>0</v>
      </c>
      <c r="AU925" s="395">
        <f>(IF($H925="x",VLOOKUP($I925,'AUX-NIV2'!$B:$X,'AUX-NIV1'!AU$3,FALSE),0)+($AV925*'AUX-NIV3'!W$4))*$O925+IF($H925=AU$4,$P925,0)</f>
        <v>1</v>
      </c>
      <c r="AV925" s="395">
        <f>+IF($H925="x",VLOOKUP($I925,'AUX-NIV2'!$B:$X,'AUX-NIV1'!AV$3,FALSE),0)</f>
        <v>0</v>
      </c>
    </row>
    <row r="926" spans="2:48" ht="14.4" hidden="1" thickTop="1" thickBot="1">
      <c r="B926" s="1433" t="s">
        <v>4143</v>
      </c>
      <c r="C926" s="1448" t="s">
        <v>3623</v>
      </c>
      <c r="D926" s="1435" t="s">
        <v>3615</v>
      </c>
      <c r="E926" s="1281">
        <f>IF(B926&lt;&gt;"",+SUMIF(Items!C:C,'AUX-NIV1'!B926,Items!H:H),"")</f>
        <v>0</v>
      </c>
      <c r="F926" s="1281">
        <f t="shared" si="1006"/>
        <v>1</v>
      </c>
      <c r="G926" s="1281">
        <f t="shared" si="1007"/>
        <v>0</v>
      </c>
      <c r="H926" s="1395" t="str">
        <f t="shared" si="1017"/>
        <v>S</v>
      </c>
      <c r="I926" s="1462" t="s">
        <v>4178</v>
      </c>
      <c r="J926" s="1283" t="str">
        <f>IF(B926&lt;&gt;"",+VLOOKUP(I926,Recursos!C:F,2,FALSE),"")</f>
        <v>Tablero Electrico Banca Electrónica (TC)</v>
      </c>
      <c r="K926" s="1284" t="str">
        <f>IF(B926&lt;&gt;"",+VLOOKUP(I926,Recursos!C:F,3,FALSE),"")</f>
        <v>nro</v>
      </c>
      <c r="L926" s="1285">
        <f>IF(B926&lt;&gt;"",+VLOOKUP(I926,Recursos!C:F,4,FALSE),"")</f>
        <v>1</v>
      </c>
      <c r="M926" s="1293"/>
      <c r="N926" s="1294">
        <v>1</v>
      </c>
      <c r="O926" s="1286">
        <f t="shared" si="1018"/>
        <v>1</v>
      </c>
      <c r="P926" s="1287">
        <f t="shared" si="1019"/>
        <v>1</v>
      </c>
      <c r="Q926" s="1281">
        <f t="shared" si="1020"/>
        <v>0</v>
      </c>
      <c r="R926" s="1288">
        <f t="shared" si="1021"/>
        <v>0</v>
      </c>
      <c r="S926" s="1289">
        <f t="shared" si="1008"/>
        <v>0</v>
      </c>
      <c r="T926" s="1289">
        <f t="shared" si="1009"/>
        <v>0</v>
      </c>
      <c r="U926" s="1290">
        <f t="shared" si="1010"/>
        <v>0</v>
      </c>
      <c r="V926" s="1290">
        <f t="shared" si="1011"/>
        <v>0</v>
      </c>
      <c r="W926" s="1290">
        <f t="shared" si="1012"/>
        <v>1</v>
      </c>
      <c r="X926" s="1290">
        <f t="shared" si="1013"/>
        <v>0</v>
      </c>
      <c r="Y926" s="396"/>
      <c r="Z926" s="1291" t="str">
        <f t="shared" si="1022"/>
        <v>0-ITS009A</v>
      </c>
      <c r="AA926" s="1291" t="str">
        <f t="shared" si="1023"/>
        <v>0-ITS009E</v>
      </c>
      <c r="AB926" s="1291" t="str">
        <f t="shared" si="1024"/>
        <v>0-ITS009M</v>
      </c>
      <c r="AC926" s="1291" t="str">
        <f t="shared" si="1025"/>
        <v>0-ITS009T</v>
      </c>
      <c r="AD926" s="1291" t="str">
        <f t="shared" si="1026"/>
        <v>0-ITS009S</v>
      </c>
      <c r="AE926" s="1291" t="str">
        <f t="shared" si="1027"/>
        <v>0-ITS009X</v>
      </c>
      <c r="AF926" s="1291" t="str">
        <f t="shared" si="1028"/>
        <v>0-ITS009S</v>
      </c>
      <c r="AG926" s="1291">
        <f t="shared" si="1014"/>
        <v>1</v>
      </c>
      <c r="AH926" s="1291">
        <f>IF(B926&lt;&gt;"",+IF(H926="x",+VLOOKUP(I926,'AUX-NIV2'!B:AG,32,FALSE),0),"")</f>
        <v>0</v>
      </c>
      <c r="AI926" s="1291" t="str">
        <f t="shared" si="1029"/>
        <v>0-ITS009</v>
      </c>
      <c r="AK926" s="347">
        <f t="shared" si="1015"/>
        <v>926</v>
      </c>
      <c r="AL926" s="348">
        <f t="shared" si="1030"/>
        <v>926</v>
      </c>
      <c r="AM926" s="347">
        <f t="shared" si="1031"/>
        <v>1</v>
      </c>
      <c r="AN926" s="382">
        <f>IF(AND(AH926&gt;0,B926&lt;&gt;""),VLOOKUP(I926,'AUX-NIV2'!$B:$AP,40,FALSE)*O926,0)</f>
        <v>0</v>
      </c>
      <c r="AO926" s="382">
        <f t="shared" si="1016"/>
        <v>0</v>
      </c>
      <c r="AQ926" s="395">
        <f>(IF($H926="x",VLOOKUP($I926,'AUX-NIV2'!$B:$X,'AUX-NIV1'!AQ$3,FALSE),0)+($AV926*'AUX-NIV3'!S$4))*$O926+IF($H926=AQ$4,$P926,0)</f>
        <v>0</v>
      </c>
      <c r="AR926" s="395">
        <f>(IF($H926="x",VLOOKUP($I926,'AUX-NIV2'!$B:$X,'AUX-NIV1'!AR$3,FALSE),0)+($AV926*'AUX-NIV3'!T$4))*$O926+IF($H926=AR$4,$P926,0)</f>
        <v>0</v>
      </c>
      <c r="AS926" s="395">
        <f>(IF($H926="x",VLOOKUP($I926,'AUX-NIV2'!$B:$X,'AUX-NIV1'!AS$3,FALSE),0)+($AV926*'AUX-NIV3'!U$4))*$O926+IF($H926=AS$4,$P926,0)</f>
        <v>0</v>
      </c>
      <c r="AT926" s="395">
        <f>(IF($H926="x",VLOOKUP($I926,'AUX-NIV2'!$B:$X,'AUX-NIV1'!AT$3,FALSE),0)+($AV926*'AUX-NIV3'!V$4))*$O926+IF($H926=AT$4,$P926,0)</f>
        <v>0</v>
      </c>
      <c r="AU926" s="395">
        <f>(IF($H926="x",VLOOKUP($I926,'AUX-NIV2'!$B:$X,'AUX-NIV1'!AU$3,FALSE),0)+($AV926*'AUX-NIV3'!W$4))*$O926+IF($H926=AU$4,$P926,0)</f>
        <v>1</v>
      </c>
      <c r="AV926" s="395">
        <f>+IF($H926="x",VLOOKUP($I926,'AUX-NIV2'!$B:$X,'AUX-NIV1'!AV$3,FALSE),0)</f>
        <v>0</v>
      </c>
    </row>
    <row r="927" spans="2:48" ht="14.4" hidden="1" thickTop="1" thickBot="1">
      <c r="B927" s="1433" t="s">
        <v>4144</v>
      </c>
      <c r="C927" s="1448" t="s">
        <v>3624</v>
      </c>
      <c r="D927" s="1435" t="s">
        <v>3615</v>
      </c>
      <c r="E927" s="1281">
        <f>IF(B927&lt;&gt;"",+SUMIF(Items!C:C,'AUX-NIV1'!B927,Items!H:H),"")</f>
        <v>0</v>
      </c>
      <c r="F927" s="1281">
        <f t="shared" si="1006"/>
        <v>1</v>
      </c>
      <c r="G927" s="1281">
        <f t="shared" si="1007"/>
        <v>0</v>
      </c>
      <c r="H927" s="1395" t="str">
        <f t="shared" si="1017"/>
        <v>S</v>
      </c>
      <c r="I927" s="1462" t="s">
        <v>4179</v>
      </c>
      <c r="J927" s="1283" t="str">
        <f>IF(B927&lt;&gt;"",+VLOOKUP(I927,Recursos!C:F,2,FALSE),"")</f>
        <v>Tablero Electrico Banca Electronica UPS (TC-UPS)</v>
      </c>
      <c r="K927" s="1284" t="str">
        <f>IF(B927&lt;&gt;"",+VLOOKUP(I927,Recursos!C:F,3,FALSE),"")</f>
        <v>nro</v>
      </c>
      <c r="L927" s="1285">
        <f>IF(B927&lt;&gt;"",+VLOOKUP(I927,Recursos!C:F,4,FALSE),"")</f>
        <v>1</v>
      </c>
      <c r="M927" s="1293"/>
      <c r="N927" s="1294">
        <v>1</v>
      </c>
      <c r="O927" s="1286">
        <f t="shared" si="1018"/>
        <v>1</v>
      </c>
      <c r="P927" s="1287">
        <f t="shared" si="1019"/>
        <v>1</v>
      </c>
      <c r="Q927" s="1281">
        <f t="shared" si="1020"/>
        <v>0</v>
      </c>
      <c r="R927" s="1288">
        <f t="shared" si="1021"/>
        <v>0</v>
      </c>
      <c r="S927" s="1289">
        <f t="shared" si="1008"/>
        <v>0</v>
      </c>
      <c r="T927" s="1289">
        <f t="shared" si="1009"/>
        <v>0</v>
      </c>
      <c r="U927" s="1290">
        <f t="shared" si="1010"/>
        <v>0</v>
      </c>
      <c r="V927" s="1290">
        <f t="shared" si="1011"/>
        <v>0</v>
      </c>
      <c r="W927" s="1290">
        <f t="shared" si="1012"/>
        <v>1</v>
      </c>
      <c r="X927" s="1290">
        <f t="shared" si="1013"/>
        <v>0</v>
      </c>
      <c r="Y927" s="396"/>
      <c r="Z927" s="1291" t="str">
        <f t="shared" si="1022"/>
        <v>0-ITS010A</v>
      </c>
      <c r="AA927" s="1291" t="str">
        <f t="shared" si="1023"/>
        <v>0-ITS010E</v>
      </c>
      <c r="AB927" s="1291" t="str">
        <f t="shared" si="1024"/>
        <v>0-ITS010M</v>
      </c>
      <c r="AC927" s="1291" t="str">
        <f t="shared" si="1025"/>
        <v>0-ITS010T</v>
      </c>
      <c r="AD927" s="1291" t="str">
        <f t="shared" si="1026"/>
        <v>0-ITS010S</v>
      </c>
      <c r="AE927" s="1291" t="str">
        <f t="shared" si="1027"/>
        <v>0-ITS010X</v>
      </c>
      <c r="AF927" s="1291" t="str">
        <f t="shared" si="1028"/>
        <v>0-ITS010S</v>
      </c>
      <c r="AG927" s="1291">
        <f t="shared" si="1014"/>
        <v>1</v>
      </c>
      <c r="AH927" s="1291">
        <f>IF(B927&lt;&gt;"",+IF(H927="x",+VLOOKUP(I927,'AUX-NIV2'!B:AG,32,FALSE),0),"")</f>
        <v>0</v>
      </c>
      <c r="AI927" s="1291" t="str">
        <f t="shared" si="1029"/>
        <v>0-ITS010</v>
      </c>
      <c r="AK927" s="347">
        <f t="shared" si="1015"/>
        <v>927</v>
      </c>
      <c r="AL927" s="348">
        <f t="shared" si="1030"/>
        <v>927</v>
      </c>
      <c r="AM927" s="347">
        <f t="shared" si="1031"/>
        <v>1</v>
      </c>
      <c r="AN927" s="382">
        <f>IF(AND(AH927&gt;0,B927&lt;&gt;""),VLOOKUP(I927,'AUX-NIV2'!$B:$AP,40,FALSE)*O927,0)</f>
        <v>0</v>
      </c>
      <c r="AO927" s="382">
        <f t="shared" si="1016"/>
        <v>0</v>
      </c>
      <c r="AQ927" s="395">
        <f>(IF($H927="x",VLOOKUP($I927,'AUX-NIV2'!$B:$X,'AUX-NIV1'!AQ$3,FALSE),0)+($AV927*'AUX-NIV3'!S$4))*$O927+IF($H927=AQ$4,$P927,0)</f>
        <v>0</v>
      </c>
      <c r="AR927" s="395">
        <f>(IF($H927="x",VLOOKUP($I927,'AUX-NIV2'!$B:$X,'AUX-NIV1'!AR$3,FALSE),0)+($AV927*'AUX-NIV3'!T$4))*$O927+IF($H927=AR$4,$P927,0)</f>
        <v>0</v>
      </c>
      <c r="AS927" s="395">
        <f>(IF($H927="x",VLOOKUP($I927,'AUX-NIV2'!$B:$X,'AUX-NIV1'!AS$3,FALSE),0)+($AV927*'AUX-NIV3'!U$4))*$O927+IF($H927=AS$4,$P927,0)</f>
        <v>0</v>
      </c>
      <c r="AT927" s="395">
        <f>(IF($H927="x",VLOOKUP($I927,'AUX-NIV2'!$B:$X,'AUX-NIV1'!AT$3,FALSE),0)+($AV927*'AUX-NIV3'!V$4))*$O927+IF($H927=AT$4,$P927,0)</f>
        <v>0</v>
      </c>
      <c r="AU927" s="395">
        <f>(IF($H927="x",VLOOKUP($I927,'AUX-NIV2'!$B:$X,'AUX-NIV1'!AU$3,FALSE),0)+($AV927*'AUX-NIV3'!W$4))*$O927+IF($H927=AU$4,$P927,0)</f>
        <v>1</v>
      </c>
      <c r="AV927" s="395">
        <f>+IF($H927="x",VLOOKUP($I927,'AUX-NIV2'!$B:$X,'AUX-NIV1'!AV$3,FALSE),0)</f>
        <v>0</v>
      </c>
    </row>
    <row r="928" spans="2:48" ht="14.4" hidden="1" thickTop="1" thickBot="1">
      <c r="B928" s="1433" t="s">
        <v>4145</v>
      </c>
      <c r="C928" s="1448" t="s">
        <v>3625</v>
      </c>
      <c r="D928" s="1435" t="s">
        <v>3615</v>
      </c>
      <c r="E928" s="1281">
        <f>IF(B928&lt;&gt;"",+SUMIF(Items!C:C,'AUX-NIV1'!B928,Items!H:H),"")</f>
        <v>0</v>
      </c>
      <c r="F928" s="1281">
        <f t="shared" si="1006"/>
        <v>1</v>
      </c>
      <c r="G928" s="1281">
        <f t="shared" si="1007"/>
        <v>0</v>
      </c>
      <c r="H928" s="1395" t="str">
        <f t="shared" si="1017"/>
        <v>S</v>
      </c>
      <c r="I928" s="1462" t="s">
        <v>4180</v>
      </c>
      <c r="J928" s="1283" t="str">
        <f>IF(B928&lt;&gt;"",+VLOOKUP(I928,Recursos!C:F,2,FALSE),"")</f>
        <v>Tablero TAS (TD)</v>
      </c>
      <c r="K928" s="1284" t="str">
        <f>IF(B928&lt;&gt;"",+VLOOKUP(I928,Recursos!C:F,3,FALSE),"")</f>
        <v>nro</v>
      </c>
      <c r="L928" s="1285">
        <f>IF(B928&lt;&gt;"",+VLOOKUP(I928,Recursos!C:F,4,FALSE),"")</f>
        <v>1</v>
      </c>
      <c r="M928" s="1293"/>
      <c r="N928" s="1294">
        <v>1</v>
      </c>
      <c r="O928" s="1286">
        <f t="shared" si="1018"/>
        <v>1</v>
      </c>
      <c r="P928" s="1287">
        <f t="shared" si="1019"/>
        <v>1</v>
      </c>
      <c r="Q928" s="1281">
        <f t="shared" si="1020"/>
        <v>0</v>
      </c>
      <c r="R928" s="1288">
        <f t="shared" si="1021"/>
        <v>0</v>
      </c>
      <c r="S928" s="1289">
        <f t="shared" si="1008"/>
        <v>0</v>
      </c>
      <c r="T928" s="1289">
        <f t="shared" si="1009"/>
        <v>0</v>
      </c>
      <c r="U928" s="1290">
        <f t="shared" si="1010"/>
        <v>0</v>
      </c>
      <c r="V928" s="1290">
        <f t="shared" si="1011"/>
        <v>0</v>
      </c>
      <c r="W928" s="1290">
        <f t="shared" si="1012"/>
        <v>1</v>
      </c>
      <c r="X928" s="1290">
        <f t="shared" si="1013"/>
        <v>0</v>
      </c>
      <c r="Y928" s="396"/>
      <c r="Z928" s="1291" t="str">
        <f t="shared" si="1022"/>
        <v>0-ITS011A</v>
      </c>
      <c r="AA928" s="1291" t="str">
        <f t="shared" si="1023"/>
        <v>0-ITS011E</v>
      </c>
      <c r="AB928" s="1291" t="str">
        <f t="shared" si="1024"/>
        <v>0-ITS011M</v>
      </c>
      <c r="AC928" s="1291" t="str">
        <f t="shared" si="1025"/>
        <v>0-ITS011T</v>
      </c>
      <c r="AD928" s="1291" t="str">
        <f t="shared" si="1026"/>
        <v>0-ITS011S</v>
      </c>
      <c r="AE928" s="1291" t="str">
        <f t="shared" si="1027"/>
        <v>0-ITS011X</v>
      </c>
      <c r="AF928" s="1291" t="str">
        <f t="shared" si="1028"/>
        <v>0-ITS011S</v>
      </c>
      <c r="AG928" s="1291">
        <f t="shared" si="1014"/>
        <v>1</v>
      </c>
      <c r="AH928" s="1291">
        <f>IF(B928&lt;&gt;"",+IF(H928="x",+VLOOKUP(I928,'AUX-NIV2'!B:AG,32,FALSE),0),"")</f>
        <v>0</v>
      </c>
      <c r="AI928" s="1291" t="str">
        <f t="shared" si="1029"/>
        <v>0-ITS011</v>
      </c>
      <c r="AK928" s="347">
        <f t="shared" si="1015"/>
        <v>928</v>
      </c>
      <c r="AL928" s="348">
        <f t="shared" si="1030"/>
        <v>928</v>
      </c>
      <c r="AM928" s="347">
        <f t="shared" si="1031"/>
        <v>1</v>
      </c>
      <c r="AN928" s="382">
        <f>IF(AND(AH928&gt;0,B928&lt;&gt;""),VLOOKUP(I928,'AUX-NIV2'!$B:$AP,40,FALSE)*O928,0)</f>
        <v>0</v>
      </c>
      <c r="AO928" s="382">
        <f t="shared" si="1016"/>
        <v>0</v>
      </c>
      <c r="AQ928" s="395">
        <f>(IF($H928="x",VLOOKUP($I928,'AUX-NIV2'!$B:$X,'AUX-NIV1'!AQ$3,FALSE),0)+($AV928*'AUX-NIV3'!S$4))*$O928+IF($H928=AQ$4,$P928,0)</f>
        <v>0</v>
      </c>
      <c r="AR928" s="395">
        <f>(IF($H928="x",VLOOKUP($I928,'AUX-NIV2'!$B:$X,'AUX-NIV1'!AR$3,FALSE),0)+($AV928*'AUX-NIV3'!T$4))*$O928+IF($H928=AR$4,$P928,0)</f>
        <v>0</v>
      </c>
      <c r="AS928" s="395">
        <f>(IF($H928="x",VLOOKUP($I928,'AUX-NIV2'!$B:$X,'AUX-NIV1'!AS$3,FALSE),0)+($AV928*'AUX-NIV3'!U$4))*$O928+IF($H928=AS$4,$P928,0)</f>
        <v>0</v>
      </c>
      <c r="AT928" s="395">
        <f>(IF($H928="x",VLOOKUP($I928,'AUX-NIV2'!$B:$X,'AUX-NIV1'!AT$3,FALSE),0)+($AV928*'AUX-NIV3'!V$4))*$O928+IF($H928=AT$4,$P928,0)</f>
        <v>0</v>
      </c>
      <c r="AU928" s="395">
        <f>(IF($H928="x",VLOOKUP($I928,'AUX-NIV2'!$B:$X,'AUX-NIV1'!AU$3,FALSE),0)+($AV928*'AUX-NIV3'!W$4))*$O928+IF($H928=AU$4,$P928,0)</f>
        <v>1</v>
      </c>
      <c r="AV928" s="395">
        <f>+IF($H928="x",VLOOKUP($I928,'AUX-NIV2'!$B:$X,'AUX-NIV1'!AV$3,FALSE),0)</f>
        <v>0</v>
      </c>
    </row>
    <row r="929" spans="2:48" ht="14.4" hidden="1" thickTop="1" thickBot="1">
      <c r="B929" s="1433" t="s">
        <v>4146</v>
      </c>
      <c r="C929" s="1448" t="s">
        <v>3626</v>
      </c>
      <c r="D929" s="1435" t="s">
        <v>3615</v>
      </c>
      <c r="E929" s="1281">
        <f>IF(B929&lt;&gt;"",+SUMIF(Items!C:C,'AUX-NIV1'!B929,Items!H:H),"")</f>
        <v>0</v>
      </c>
      <c r="F929" s="1281">
        <f t="shared" si="1006"/>
        <v>1</v>
      </c>
      <c r="G929" s="1281">
        <f t="shared" si="1007"/>
        <v>0</v>
      </c>
      <c r="H929" s="1395" t="str">
        <f t="shared" si="1017"/>
        <v>S</v>
      </c>
      <c r="I929" s="1462" t="s">
        <v>4181</v>
      </c>
      <c r="J929" s="1283" t="str">
        <f>IF(B929&lt;&gt;"",+VLOOKUP(I929,Recursos!C:F,2,FALSE),"")</f>
        <v>Tablero Electrico Iluminación de la Banca Electrónica (TIBE)</v>
      </c>
      <c r="K929" s="1284" t="str">
        <f>IF(B929&lt;&gt;"",+VLOOKUP(I929,Recursos!C:F,3,FALSE),"")</f>
        <v>nro</v>
      </c>
      <c r="L929" s="1285">
        <f>IF(B929&lt;&gt;"",+VLOOKUP(I929,Recursos!C:F,4,FALSE),"")</f>
        <v>1</v>
      </c>
      <c r="M929" s="1293"/>
      <c r="N929" s="1294">
        <v>1</v>
      </c>
      <c r="O929" s="1286">
        <f t="shared" si="1018"/>
        <v>1</v>
      </c>
      <c r="P929" s="1287">
        <f t="shared" si="1019"/>
        <v>1</v>
      </c>
      <c r="Q929" s="1281">
        <f t="shared" si="1020"/>
        <v>0</v>
      </c>
      <c r="R929" s="1288">
        <f t="shared" si="1021"/>
        <v>0</v>
      </c>
      <c r="S929" s="1289">
        <f t="shared" si="1008"/>
        <v>0</v>
      </c>
      <c r="T929" s="1289">
        <f t="shared" si="1009"/>
        <v>0</v>
      </c>
      <c r="U929" s="1290">
        <f t="shared" si="1010"/>
        <v>0</v>
      </c>
      <c r="V929" s="1290">
        <f t="shared" si="1011"/>
        <v>0</v>
      </c>
      <c r="W929" s="1290">
        <f t="shared" si="1012"/>
        <v>1</v>
      </c>
      <c r="X929" s="1290">
        <f t="shared" si="1013"/>
        <v>0</v>
      </c>
      <c r="Y929" s="396"/>
      <c r="Z929" s="1291" t="str">
        <f t="shared" si="1022"/>
        <v>0-ITS012A</v>
      </c>
      <c r="AA929" s="1291" t="str">
        <f t="shared" si="1023"/>
        <v>0-ITS012E</v>
      </c>
      <c r="AB929" s="1291" t="str">
        <f t="shared" si="1024"/>
        <v>0-ITS012M</v>
      </c>
      <c r="AC929" s="1291" t="str">
        <f t="shared" si="1025"/>
        <v>0-ITS012T</v>
      </c>
      <c r="AD929" s="1291" t="str">
        <f t="shared" si="1026"/>
        <v>0-ITS012S</v>
      </c>
      <c r="AE929" s="1291" t="str">
        <f t="shared" si="1027"/>
        <v>0-ITS012X</v>
      </c>
      <c r="AF929" s="1291" t="str">
        <f t="shared" si="1028"/>
        <v>0-ITS012S</v>
      </c>
      <c r="AG929" s="1291">
        <f t="shared" si="1014"/>
        <v>1</v>
      </c>
      <c r="AH929" s="1291">
        <f>IF(B929&lt;&gt;"",+IF(H929="x",+VLOOKUP(I929,'AUX-NIV2'!B:AG,32,FALSE),0),"")</f>
        <v>0</v>
      </c>
      <c r="AI929" s="1291" t="str">
        <f t="shared" si="1029"/>
        <v>0-ITS012</v>
      </c>
      <c r="AK929" s="347">
        <f t="shared" si="1015"/>
        <v>929</v>
      </c>
      <c r="AL929" s="348">
        <f t="shared" si="1030"/>
        <v>929</v>
      </c>
      <c r="AM929" s="347">
        <f t="shared" si="1031"/>
        <v>1</v>
      </c>
      <c r="AN929" s="382">
        <f>IF(AND(AH929&gt;0,B929&lt;&gt;""),VLOOKUP(I929,'AUX-NIV2'!$B:$AP,40,FALSE)*O929,0)</f>
        <v>0</v>
      </c>
      <c r="AO929" s="382">
        <f t="shared" si="1016"/>
        <v>0</v>
      </c>
      <c r="AQ929" s="395">
        <f>(IF($H929="x",VLOOKUP($I929,'AUX-NIV2'!$B:$X,'AUX-NIV1'!AQ$3,FALSE),0)+($AV929*'AUX-NIV3'!S$4))*$O929+IF($H929=AQ$4,$P929,0)</f>
        <v>0</v>
      </c>
      <c r="AR929" s="395">
        <f>(IF($H929="x",VLOOKUP($I929,'AUX-NIV2'!$B:$X,'AUX-NIV1'!AR$3,FALSE),0)+($AV929*'AUX-NIV3'!T$4))*$O929+IF($H929=AR$4,$P929,0)</f>
        <v>0</v>
      </c>
      <c r="AS929" s="395">
        <f>(IF($H929="x",VLOOKUP($I929,'AUX-NIV2'!$B:$X,'AUX-NIV1'!AS$3,FALSE),0)+($AV929*'AUX-NIV3'!U$4))*$O929+IF($H929=AS$4,$P929,0)</f>
        <v>0</v>
      </c>
      <c r="AT929" s="395">
        <f>(IF($H929="x",VLOOKUP($I929,'AUX-NIV2'!$B:$X,'AUX-NIV1'!AT$3,FALSE),0)+($AV929*'AUX-NIV3'!V$4))*$O929+IF($H929=AT$4,$P929,0)</f>
        <v>0</v>
      </c>
      <c r="AU929" s="395">
        <f>(IF($H929="x",VLOOKUP($I929,'AUX-NIV2'!$B:$X,'AUX-NIV1'!AU$3,FALSE),0)+($AV929*'AUX-NIV3'!W$4))*$O929+IF($H929=AU$4,$P929,0)</f>
        <v>1</v>
      </c>
      <c r="AV929" s="395">
        <f>+IF($H929="x",VLOOKUP($I929,'AUX-NIV2'!$B:$X,'AUX-NIV1'!AV$3,FALSE),0)</f>
        <v>0</v>
      </c>
    </row>
    <row r="930" spans="2:48" ht="14.4" hidden="1" thickTop="1" thickBot="1">
      <c r="B930" s="1433" t="s">
        <v>4147</v>
      </c>
      <c r="C930" s="1448" t="s">
        <v>3627</v>
      </c>
      <c r="D930" s="1435" t="s">
        <v>3615</v>
      </c>
      <c r="E930" s="1281">
        <f>IF(B930&lt;&gt;"",+SUMIF(Items!C:C,'AUX-NIV1'!B930,Items!H:H),"")</f>
        <v>0</v>
      </c>
      <c r="F930" s="1281">
        <f t="shared" si="1006"/>
        <v>1</v>
      </c>
      <c r="G930" s="1281">
        <f t="shared" si="1007"/>
        <v>0</v>
      </c>
      <c r="H930" s="1395" t="str">
        <f t="shared" si="1017"/>
        <v>S</v>
      </c>
      <c r="I930" s="1462" t="s">
        <v>4182</v>
      </c>
      <c r="J930" s="1283" t="str">
        <f>IF(B930&lt;&gt;"",+VLOOKUP(I930,Recursos!C:F,2,FALSE),"")</f>
        <v>Tablero Electrico Bombas de Agua (TB°A°)</v>
      </c>
      <c r="K930" s="1284" t="str">
        <f>IF(B930&lt;&gt;"",+VLOOKUP(I930,Recursos!C:F,3,FALSE),"")</f>
        <v>nro</v>
      </c>
      <c r="L930" s="1285">
        <f>IF(B930&lt;&gt;"",+VLOOKUP(I930,Recursos!C:F,4,FALSE),"")</f>
        <v>1</v>
      </c>
      <c r="M930" s="1293"/>
      <c r="N930" s="1294">
        <v>1</v>
      </c>
      <c r="O930" s="1286">
        <f t="shared" si="1018"/>
        <v>1</v>
      </c>
      <c r="P930" s="1287">
        <f t="shared" si="1019"/>
        <v>1</v>
      </c>
      <c r="Q930" s="1281">
        <f t="shared" si="1020"/>
        <v>0</v>
      </c>
      <c r="R930" s="1288">
        <f t="shared" si="1021"/>
        <v>0</v>
      </c>
      <c r="S930" s="1289">
        <f t="shared" si="1008"/>
        <v>0</v>
      </c>
      <c r="T930" s="1289">
        <f t="shared" si="1009"/>
        <v>0</v>
      </c>
      <c r="U930" s="1290">
        <f t="shared" si="1010"/>
        <v>0</v>
      </c>
      <c r="V930" s="1290">
        <f t="shared" si="1011"/>
        <v>0</v>
      </c>
      <c r="W930" s="1290">
        <f t="shared" si="1012"/>
        <v>1</v>
      </c>
      <c r="X930" s="1290">
        <f t="shared" si="1013"/>
        <v>0</v>
      </c>
      <c r="Y930" s="396"/>
      <c r="Z930" s="1291" t="str">
        <f t="shared" si="1022"/>
        <v>0-ITS013A</v>
      </c>
      <c r="AA930" s="1291" t="str">
        <f t="shared" si="1023"/>
        <v>0-ITS013E</v>
      </c>
      <c r="AB930" s="1291" t="str">
        <f t="shared" si="1024"/>
        <v>0-ITS013M</v>
      </c>
      <c r="AC930" s="1291" t="str">
        <f t="shared" si="1025"/>
        <v>0-ITS013T</v>
      </c>
      <c r="AD930" s="1291" t="str">
        <f t="shared" si="1026"/>
        <v>0-ITS013S</v>
      </c>
      <c r="AE930" s="1291" t="str">
        <f t="shared" si="1027"/>
        <v>0-ITS013X</v>
      </c>
      <c r="AF930" s="1291" t="str">
        <f t="shared" si="1028"/>
        <v>0-ITS013S</v>
      </c>
      <c r="AG930" s="1291">
        <f t="shared" si="1014"/>
        <v>1</v>
      </c>
      <c r="AH930" s="1291">
        <f>IF(B930&lt;&gt;"",+IF(H930="x",+VLOOKUP(I930,'AUX-NIV2'!B:AG,32,FALSE),0),"")</f>
        <v>0</v>
      </c>
      <c r="AI930" s="1291" t="str">
        <f t="shared" si="1029"/>
        <v>0-ITS013</v>
      </c>
      <c r="AK930" s="347">
        <f t="shared" si="1015"/>
        <v>930</v>
      </c>
      <c r="AL930" s="348">
        <f t="shared" si="1030"/>
        <v>930</v>
      </c>
      <c r="AM930" s="347">
        <f t="shared" si="1031"/>
        <v>1</v>
      </c>
      <c r="AN930" s="382">
        <f>IF(AND(AH930&gt;0,B930&lt;&gt;""),VLOOKUP(I930,'AUX-NIV2'!$B:$AP,40,FALSE)*O930,0)</f>
        <v>0</v>
      </c>
      <c r="AO930" s="382">
        <f t="shared" si="1016"/>
        <v>0</v>
      </c>
      <c r="AQ930" s="395">
        <f>(IF($H930="x",VLOOKUP($I930,'AUX-NIV2'!$B:$X,'AUX-NIV1'!AQ$3,FALSE),0)+($AV930*'AUX-NIV3'!S$4))*$O930+IF($H930=AQ$4,$P930,0)</f>
        <v>0</v>
      </c>
      <c r="AR930" s="395">
        <f>(IF($H930="x",VLOOKUP($I930,'AUX-NIV2'!$B:$X,'AUX-NIV1'!AR$3,FALSE),0)+($AV930*'AUX-NIV3'!T$4))*$O930+IF($H930=AR$4,$P930,0)</f>
        <v>0</v>
      </c>
      <c r="AS930" s="395">
        <f>(IF($H930="x",VLOOKUP($I930,'AUX-NIV2'!$B:$X,'AUX-NIV1'!AS$3,FALSE),0)+($AV930*'AUX-NIV3'!U$4))*$O930+IF($H930=AS$4,$P930,0)</f>
        <v>0</v>
      </c>
      <c r="AT930" s="395">
        <f>(IF($H930="x",VLOOKUP($I930,'AUX-NIV2'!$B:$X,'AUX-NIV1'!AT$3,FALSE),0)+($AV930*'AUX-NIV3'!V$4))*$O930+IF($H930=AT$4,$P930,0)</f>
        <v>0</v>
      </c>
      <c r="AU930" s="395">
        <f>(IF($H930="x",VLOOKUP($I930,'AUX-NIV2'!$B:$X,'AUX-NIV1'!AU$3,FALSE),0)+($AV930*'AUX-NIV3'!W$4))*$O930+IF($H930=AU$4,$P930,0)</f>
        <v>1</v>
      </c>
      <c r="AV930" s="395">
        <f>+IF($H930="x",VLOOKUP($I930,'AUX-NIV2'!$B:$X,'AUX-NIV1'!AV$3,FALSE),0)</f>
        <v>0</v>
      </c>
    </row>
    <row r="931" spans="2:48" ht="14.4" hidden="1" thickTop="1" thickBot="1">
      <c r="B931" s="1433" t="s">
        <v>4148</v>
      </c>
      <c r="C931" s="1448" t="s">
        <v>3628</v>
      </c>
      <c r="D931" s="1435" t="s">
        <v>3615</v>
      </c>
      <c r="E931" s="1281">
        <f>IF(B931&lt;&gt;"",+SUMIF(Items!C:C,'AUX-NIV1'!B931,Items!H:H),"")</f>
        <v>0</v>
      </c>
      <c r="F931" s="1281">
        <f t="shared" si="1006"/>
        <v>1</v>
      </c>
      <c r="G931" s="1281">
        <f t="shared" si="1007"/>
        <v>0</v>
      </c>
      <c r="H931" s="1395" t="str">
        <f t="shared" si="1017"/>
        <v>S</v>
      </c>
      <c r="I931" s="1462" t="s">
        <v>4183</v>
      </c>
      <c r="J931" s="1283" t="str">
        <f>IF(B931&lt;&gt;"",+VLOOKUP(I931,Recursos!C:F,2,FALSE),"")</f>
        <v>BOMBAS DE AGUA</v>
      </c>
      <c r="K931" s="1284" t="str">
        <f>IF(B931&lt;&gt;"",+VLOOKUP(I931,Recursos!C:F,3,FALSE),"")</f>
        <v>nro</v>
      </c>
      <c r="L931" s="1285">
        <f>IF(B931&lt;&gt;"",+VLOOKUP(I931,Recursos!C:F,4,FALSE),"")</f>
        <v>1</v>
      </c>
      <c r="M931" s="1293"/>
      <c r="N931" s="1294">
        <v>1</v>
      </c>
      <c r="O931" s="1286">
        <f t="shared" si="1018"/>
        <v>1</v>
      </c>
      <c r="P931" s="1287">
        <f t="shared" si="1019"/>
        <v>1</v>
      </c>
      <c r="Q931" s="1281">
        <f t="shared" si="1020"/>
        <v>0</v>
      </c>
      <c r="R931" s="1288">
        <f t="shared" si="1021"/>
        <v>0</v>
      </c>
      <c r="S931" s="1289">
        <f t="shared" si="1008"/>
        <v>0</v>
      </c>
      <c r="T931" s="1289">
        <f t="shared" si="1009"/>
        <v>0</v>
      </c>
      <c r="U931" s="1290">
        <f t="shared" si="1010"/>
        <v>0</v>
      </c>
      <c r="V931" s="1290">
        <f t="shared" si="1011"/>
        <v>0</v>
      </c>
      <c r="W931" s="1290">
        <f t="shared" si="1012"/>
        <v>1</v>
      </c>
      <c r="X931" s="1290">
        <f t="shared" si="1013"/>
        <v>0</v>
      </c>
      <c r="Y931" s="396"/>
      <c r="Z931" s="1291" t="str">
        <f t="shared" si="1022"/>
        <v>0-ITS014A</v>
      </c>
      <c r="AA931" s="1291" t="str">
        <f t="shared" si="1023"/>
        <v>0-ITS014E</v>
      </c>
      <c r="AB931" s="1291" t="str">
        <f t="shared" si="1024"/>
        <v>0-ITS014M</v>
      </c>
      <c r="AC931" s="1291" t="str">
        <f t="shared" si="1025"/>
        <v>0-ITS014T</v>
      </c>
      <c r="AD931" s="1291" t="str">
        <f t="shared" si="1026"/>
        <v>0-ITS014S</v>
      </c>
      <c r="AE931" s="1291" t="str">
        <f t="shared" si="1027"/>
        <v>0-ITS014X</v>
      </c>
      <c r="AF931" s="1291" t="str">
        <f t="shared" si="1028"/>
        <v>0-ITS014S</v>
      </c>
      <c r="AG931" s="1291">
        <f t="shared" si="1014"/>
        <v>1</v>
      </c>
      <c r="AH931" s="1291">
        <f>IF(B931&lt;&gt;"",+IF(H931="x",+VLOOKUP(I931,'AUX-NIV2'!B:AG,32,FALSE),0),"")</f>
        <v>0</v>
      </c>
      <c r="AI931" s="1291" t="str">
        <f t="shared" si="1029"/>
        <v>0-ITS014</v>
      </c>
      <c r="AK931" s="347">
        <f t="shared" si="1015"/>
        <v>931</v>
      </c>
      <c r="AL931" s="348">
        <f t="shared" si="1030"/>
        <v>931</v>
      </c>
      <c r="AM931" s="347">
        <f t="shared" si="1031"/>
        <v>1</v>
      </c>
      <c r="AN931" s="382">
        <f>IF(AND(AH931&gt;0,B931&lt;&gt;""),VLOOKUP(I931,'AUX-NIV2'!$B:$AP,40,FALSE)*O931,0)</f>
        <v>0</v>
      </c>
      <c r="AO931" s="382">
        <f t="shared" si="1016"/>
        <v>0</v>
      </c>
      <c r="AQ931" s="395">
        <f>(IF($H931="x",VLOOKUP($I931,'AUX-NIV2'!$B:$X,'AUX-NIV1'!AQ$3,FALSE),0)+($AV931*'AUX-NIV3'!S$4))*$O931+IF($H931=AQ$4,$P931,0)</f>
        <v>0</v>
      </c>
      <c r="AR931" s="395">
        <f>(IF($H931="x",VLOOKUP($I931,'AUX-NIV2'!$B:$X,'AUX-NIV1'!AR$3,FALSE),0)+($AV931*'AUX-NIV3'!T$4))*$O931+IF($H931=AR$4,$P931,0)</f>
        <v>0</v>
      </c>
      <c r="AS931" s="395">
        <f>(IF($H931="x",VLOOKUP($I931,'AUX-NIV2'!$B:$X,'AUX-NIV1'!AS$3,FALSE),0)+($AV931*'AUX-NIV3'!U$4))*$O931+IF($H931=AS$4,$P931,0)</f>
        <v>0</v>
      </c>
      <c r="AT931" s="395">
        <f>(IF($H931="x",VLOOKUP($I931,'AUX-NIV2'!$B:$X,'AUX-NIV1'!AT$3,FALSE),0)+($AV931*'AUX-NIV3'!V$4))*$O931+IF($H931=AT$4,$P931,0)</f>
        <v>0</v>
      </c>
      <c r="AU931" s="395">
        <f>(IF($H931="x",VLOOKUP($I931,'AUX-NIV2'!$B:$X,'AUX-NIV1'!AU$3,FALSE),0)+($AV931*'AUX-NIV3'!W$4))*$O931+IF($H931=AU$4,$P931,0)</f>
        <v>1</v>
      </c>
      <c r="AV931" s="395">
        <f>+IF($H931="x",VLOOKUP($I931,'AUX-NIV2'!$B:$X,'AUX-NIV1'!AV$3,FALSE),0)</f>
        <v>0</v>
      </c>
    </row>
    <row r="932" spans="2:48" ht="14.4" hidden="1" thickTop="1" thickBot="1">
      <c r="B932" s="1433" t="s">
        <v>4149</v>
      </c>
      <c r="C932" s="1448" t="s">
        <v>3629</v>
      </c>
      <c r="D932" s="1435" t="s">
        <v>3615</v>
      </c>
      <c r="E932" s="1281">
        <f>IF(B932&lt;&gt;"",+SUMIF(Items!C:C,'AUX-NIV1'!B932,Items!H:H),"")</f>
        <v>0</v>
      </c>
      <c r="F932" s="1281">
        <f t="shared" si="1006"/>
        <v>1</v>
      </c>
      <c r="G932" s="1281">
        <f t="shared" si="1007"/>
        <v>0</v>
      </c>
      <c r="H932" s="1395" t="str">
        <f t="shared" si="1017"/>
        <v>S</v>
      </c>
      <c r="I932" s="1462" t="s">
        <v>4184</v>
      </c>
      <c r="J932" s="1283" t="str">
        <f>IF(B932&lt;&gt;"",+VLOOKUP(I932,Recursos!C:F,2,FALSE),"")</f>
        <v>CANALIZACIONES Y CABLEADO</v>
      </c>
      <c r="K932" s="1284" t="str">
        <f>IF(B932&lt;&gt;"",+VLOOKUP(I932,Recursos!C:F,3,FALSE),"")</f>
        <v>nro</v>
      </c>
      <c r="L932" s="1285">
        <f>IF(B932&lt;&gt;"",+VLOOKUP(I932,Recursos!C:F,4,FALSE),"")</f>
        <v>1</v>
      </c>
      <c r="M932" s="1293"/>
      <c r="N932" s="1294">
        <v>1</v>
      </c>
      <c r="O932" s="1286">
        <f t="shared" si="1018"/>
        <v>1</v>
      </c>
      <c r="P932" s="1287">
        <f t="shared" si="1019"/>
        <v>1</v>
      </c>
      <c r="Q932" s="1281">
        <f t="shared" si="1020"/>
        <v>0</v>
      </c>
      <c r="R932" s="1288">
        <f t="shared" si="1021"/>
        <v>0</v>
      </c>
      <c r="S932" s="1289">
        <f t="shared" si="1008"/>
        <v>0</v>
      </c>
      <c r="T932" s="1289">
        <f t="shared" si="1009"/>
        <v>0</v>
      </c>
      <c r="U932" s="1290">
        <f t="shared" si="1010"/>
        <v>0</v>
      </c>
      <c r="V932" s="1290">
        <f t="shared" si="1011"/>
        <v>0</v>
      </c>
      <c r="W932" s="1290">
        <f t="shared" si="1012"/>
        <v>1</v>
      </c>
      <c r="X932" s="1290">
        <f t="shared" si="1013"/>
        <v>0</v>
      </c>
      <c r="Y932" s="396"/>
      <c r="Z932" s="1291" t="str">
        <f t="shared" si="1022"/>
        <v>0-ITS015A</v>
      </c>
      <c r="AA932" s="1291" t="str">
        <f t="shared" si="1023"/>
        <v>0-ITS015E</v>
      </c>
      <c r="AB932" s="1291" t="str">
        <f t="shared" si="1024"/>
        <v>0-ITS015M</v>
      </c>
      <c r="AC932" s="1291" t="str">
        <f t="shared" si="1025"/>
        <v>0-ITS015T</v>
      </c>
      <c r="AD932" s="1291" t="str">
        <f t="shared" si="1026"/>
        <v>0-ITS015S</v>
      </c>
      <c r="AE932" s="1291" t="str">
        <f t="shared" si="1027"/>
        <v>0-ITS015X</v>
      </c>
      <c r="AF932" s="1291" t="str">
        <f t="shared" si="1028"/>
        <v>0-ITS015S</v>
      </c>
      <c r="AG932" s="1291">
        <f t="shared" si="1014"/>
        <v>1</v>
      </c>
      <c r="AH932" s="1291">
        <f>IF(B932&lt;&gt;"",+IF(H932="x",+VLOOKUP(I932,'AUX-NIV2'!B:AG,32,FALSE),0),"")</f>
        <v>0</v>
      </c>
      <c r="AI932" s="1291" t="str">
        <f t="shared" si="1029"/>
        <v>0-ITS015</v>
      </c>
      <c r="AK932" s="347">
        <f t="shared" si="1015"/>
        <v>932</v>
      </c>
      <c r="AL932" s="348">
        <f t="shared" si="1030"/>
        <v>932</v>
      </c>
      <c r="AM932" s="347">
        <f t="shared" si="1031"/>
        <v>1</v>
      </c>
      <c r="AN932" s="382">
        <f>IF(AND(AH932&gt;0,B932&lt;&gt;""),VLOOKUP(I932,'AUX-NIV2'!$B:$AP,40,FALSE)*O932,0)</f>
        <v>0</v>
      </c>
      <c r="AO932" s="382">
        <f t="shared" si="1016"/>
        <v>0</v>
      </c>
      <c r="AQ932" s="395">
        <f>(IF($H932="x",VLOOKUP($I932,'AUX-NIV2'!$B:$X,'AUX-NIV1'!AQ$3,FALSE),0)+($AV932*'AUX-NIV3'!S$4))*$O932+IF($H932=AQ$4,$P932,0)</f>
        <v>0</v>
      </c>
      <c r="AR932" s="395">
        <f>(IF($H932="x",VLOOKUP($I932,'AUX-NIV2'!$B:$X,'AUX-NIV1'!AR$3,FALSE),0)+($AV932*'AUX-NIV3'!T$4))*$O932+IF($H932=AR$4,$P932,0)</f>
        <v>0</v>
      </c>
      <c r="AS932" s="395">
        <f>(IF($H932="x",VLOOKUP($I932,'AUX-NIV2'!$B:$X,'AUX-NIV1'!AS$3,FALSE),0)+($AV932*'AUX-NIV3'!U$4))*$O932+IF($H932=AS$4,$P932,0)</f>
        <v>0</v>
      </c>
      <c r="AT932" s="395">
        <f>(IF($H932="x",VLOOKUP($I932,'AUX-NIV2'!$B:$X,'AUX-NIV1'!AT$3,FALSE),0)+($AV932*'AUX-NIV3'!V$4))*$O932+IF($H932=AT$4,$P932,0)</f>
        <v>0</v>
      </c>
      <c r="AU932" s="395">
        <f>(IF($H932="x",VLOOKUP($I932,'AUX-NIV2'!$B:$X,'AUX-NIV1'!AU$3,FALSE),0)+($AV932*'AUX-NIV3'!W$4))*$O932+IF($H932=AU$4,$P932,0)</f>
        <v>1</v>
      </c>
      <c r="AV932" s="395">
        <f>+IF($H932="x",VLOOKUP($I932,'AUX-NIV2'!$B:$X,'AUX-NIV1'!AV$3,FALSE),0)</f>
        <v>0</v>
      </c>
    </row>
    <row r="933" spans="2:48" ht="14.4" hidden="1" thickTop="1" thickBot="1">
      <c r="B933" s="1433" t="s">
        <v>4150</v>
      </c>
      <c r="C933" s="1448" t="s">
        <v>3630</v>
      </c>
      <c r="D933" s="1435"/>
      <c r="E933" s="1281">
        <f>IF(B933&lt;&gt;"",+SUMIF(Items!C:C,'AUX-NIV1'!B933,Items!H:H),"")</f>
        <v>0</v>
      </c>
      <c r="F933" s="1281">
        <f t="shared" si="1006"/>
        <v>1</v>
      </c>
      <c r="G933" s="1281">
        <f t="shared" si="1007"/>
        <v>0</v>
      </c>
      <c r="H933" s="1395" t="str">
        <f t="shared" si="1017"/>
        <v>S</v>
      </c>
      <c r="I933" s="1462" t="s">
        <v>4185</v>
      </c>
      <c r="J933" s="1283" t="str">
        <f>IF(B933&lt;&gt;"",+VLOOKUP(I933,Recursos!C:F,2,FALSE),"")</f>
        <v>PISODUCTOS Y PERISCOPIOS</v>
      </c>
      <c r="K933" s="1284">
        <f>IF(B933&lt;&gt;"",+VLOOKUP(I933,Recursos!C:F,3,FALSE),"")</f>
        <v>0</v>
      </c>
      <c r="L933" s="1285">
        <f>IF(B933&lt;&gt;"",+VLOOKUP(I933,Recursos!C:F,4,FALSE),"")</f>
        <v>1</v>
      </c>
      <c r="M933" s="1293"/>
      <c r="N933" s="1294">
        <v>1</v>
      </c>
      <c r="O933" s="1286">
        <f t="shared" si="1018"/>
        <v>1</v>
      </c>
      <c r="P933" s="1287">
        <f t="shared" si="1019"/>
        <v>1</v>
      </c>
      <c r="Q933" s="1281">
        <f t="shared" si="1020"/>
        <v>0</v>
      </c>
      <c r="R933" s="1288">
        <f t="shared" si="1021"/>
        <v>0</v>
      </c>
      <c r="S933" s="1289">
        <f t="shared" si="1008"/>
        <v>0</v>
      </c>
      <c r="T933" s="1289">
        <f t="shared" si="1009"/>
        <v>0</v>
      </c>
      <c r="U933" s="1290">
        <f t="shared" si="1010"/>
        <v>0</v>
      </c>
      <c r="V933" s="1290">
        <f t="shared" si="1011"/>
        <v>0</v>
      </c>
      <c r="W933" s="1290">
        <f t="shared" si="1012"/>
        <v>1</v>
      </c>
      <c r="X933" s="1290">
        <f t="shared" si="1013"/>
        <v>0</v>
      </c>
      <c r="Y933" s="396"/>
      <c r="Z933" s="1291" t="str">
        <f t="shared" si="1022"/>
        <v>0-ITS016A</v>
      </c>
      <c r="AA933" s="1291" t="str">
        <f t="shared" si="1023"/>
        <v>0-ITS016E</v>
      </c>
      <c r="AB933" s="1291" t="str">
        <f t="shared" si="1024"/>
        <v>0-ITS016M</v>
      </c>
      <c r="AC933" s="1291" t="str">
        <f t="shared" si="1025"/>
        <v>0-ITS016T</v>
      </c>
      <c r="AD933" s="1291" t="str">
        <f t="shared" si="1026"/>
        <v>0-ITS016S</v>
      </c>
      <c r="AE933" s="1291" t="str">
        <f t="shared" si="1027"/>
        <v>0-ITS016X</v>
      </c>
      <c r="AF933" s="1291" t="str">
        <f t="shared" si="1028"/>
        <v>0-ITS016S</v>
      </c>
      <c r="AG933" s="1291">
        <f t="shared" si="1014"/>
        <v>1</v>
      </c>
      <c r="AH933" s="1291">
        <f>IF(B933&lt;&gt;"",+IF(H933="x",+VLOOKUP(I933,'AUX-NIV2'!B:AG,32,FALSE),0),"")</f>
        <v>0</v>
      </c>
      <c r="AI933" s="1291" t="str">
        <f t="shared" si="1029"/>
        <v>0-ITS016</v>
      </c>
      <c r="AK933" s="347">
        <f t="shared" si="1015"/>
        <v>933</v>
      </c>
      <c r="AL933" s="348">
        <f t="shared" si="1030"/>
        <v>933</v>
      </c>
      <c r="AM933" s="347">
        <f t="shared" si="1031"/>
        <v>1</v>
      </c>
      <c r="AN933" s="382">
        <f>IF(AND(AH933&gt;0,B933&lt;&gt;""),VLOOKUP(I933,'AUX-NIV2'!$B:$AP,40,FALSE)*O933,0)</f>
        <v>0</v>
      </c>
      <c r="AO933" s="382">
        <f t="shared" si="1016"/>
        <v>0</v>
      </c>
      <c r="AQ933" s="395">
        <f>(IF($H933="x",VLOOKUP($I933,'AUX-NIV2'!$B:$X,'AUX-NIV1'!AQ$3,FALSE),0)+($AV933*'AUX-NIV3'!S$4))*$O933+IF($H933=AQ$4,$P933,0)</f>
        <v>0</v>
      </c>
      <c r="AR933" s="395">
        <f>(IF($H933="x",VLOOKUP($I933,'AUX-NIV2'!$B:$X,'AUX-NIV1'!AR$3,FALSE),0)+($AV933*'AUX-NIV3'!T$4))*$O933+IF($H933=AR$4,$P933,0)</f>
        <v>0</v>
      </c>
      <c r="AS933" s="395">
        <f>(IF($H933="x",VLOOKUP($I933,'AUX-NIV2'!$B:$X,'AUX-NIV1'!AS$3,FALSE),0)+($AV933*'AUX-NIV3'!U$4))*$O933+IF($H933=AS$4,$P933,0)</f>
        <v>0</v>
      </c>
      <c r="AT933" s="395">
        <f>(IF($H933="x",VLOOKUP($I933,'AUX-NIV2'!$B:$X,'AUX-NIV1'!AT$3,FALSE),0)+($AV933*'AUX-NIV3'!V$4))*$O933+IF($H933=AT$4,$P933,0)</f>
        <v>0</v>
      </c>
      <c r="AU933" s="395">
        <f>(IF($H933="x",VLOOKUP($I933,'AUX-NIV2'!$B:$X,'AUX-NIV1'!AU$3,FALSE),0)+($AV933*'AUX-NIV3'!W$4))*$O933+IF($H933=AU$4,$P933,0)</f>
        <v>1</v>
      </c>
      <c r="AV933" s="395">
        <f>+IF($H933="x",VLOOKUP($I933,'AUX-NIV2'!$B:$X,'AUX-NIV1'!AV$3,FALSE),0)</f>
        <v>0</v>
      </c>
    </row>
    <row r="934" spans="2:48" ht="14.4" hidden="1" thickTop="1" thickBot="1">
      <c r="B934" s="1433" t="s">
        <v>4151</v>
      </c>
      <c r="C934" s="1448" t="s">
        <v>3631</v>
      </c>
      <c r="D934" s="1435" t="s">
        <v>1840</v>
      </c>
      <c r="E934" s="1281">
        <f>IF(B934&lt;&gt;"",+SUMIF(Items!C:C,'AUX-NIV1'!B934,Items!H:H),"")</f>
        <v>0</v>
      </c>
      <c r="F934" s="1281">
        <f t="shared" si="1006"/>
        <v>1</v>
      </c>
      <c r="G934" s="1281">
        <f t="shared" si="1007"/>
        <v>0</v>
      </c>
      <c r="H934" s="1395" t="str">
        <f t="shared" si="1017"/>
        <v>S</v>
      </c>
      <c r="I934" s="1462" t="s">
        <v>4186</v>
      </c>
      <c r="J934" s="1283" t="str">
        <f>IF(B934&lt;&gt;"",+VLOOKUP(I934,Recursos!C:F,2,FALSE),"")</f>
        <v>Bandeja  metálica con tapa de tres canales, subdividida.</v>
      </c>
      <c r="K934" s="1284" t="str">
        <f>IF(B934&lt;&gt;"",+VLOOKUP(I934,Recursos!C:F,3,FALSE),"")</f>
        <v>ml</v>
      </c>
      <c r="L934" s="1285">
        <f>IF(B934&lt;&gt;"",+VLOOKUP(I934,Recursos!C:F,4,FALSE),"")</f>
        <v>1</v>
      </c>
      <c r="M934" s="1293"/>
      <c r="N934" s="1294">
        <v>1</v>
      </c>
      <c r="O934" s="1286">
        <f t="shared" si="1018"/>
        <v>1</v>
      </c>
      <c r="P934" s="1287">
        <f t="shared" si="1019"/>
        <v>1</v>
      </c>
      <c r="Q934" s="1281">
        <f t="shared" si="1020"/>
        <v>0</v>
      </c>
      <c r="R934" s="1288">
        <f t="shared" si="1021"/>
        <v>0</v>
      </c>
      <c r="S934" s="1289">
        <f t="shared" si="1008"/>
        <v>0</v>
      </c>
      <c r="T934" s="1289">
        <f t="shared" si="1009"/>
        <v>0</v>
      </c>
      <c r="U934" s="1290">
        <f t="shared" si="1010"/>
        <v>0</v>
      </c>
      <c r="V934" s="1290">
        <f t="shared" si="1011"/>
        <v>0</v>
      </c>
      <c r="W934" s="1290">
        <f t="shared" si="1012"/>
        <v>1</v>
      </c>
      <c r="X934" s="1290">
        <f t="shared" si="1013"/>
        <v>0</v>
      </c>
      <c r="Y934" s="396"/>
      <c r="Z934" s="1291" t="str">
        <f t="shared" si="1022"/>
        <v>0-ITS017A</v>
      </c>
      <c r="AA934" s="1291" t="str">
        <f t="shared" si="1023"/>
        <v>0-ITS017E</v>
      </c>
      <c r="AB934" s="1291" t="str">
        <f t="shared" si="1024"/>
        <v>0-ITS017M</v>
      </c>
      <c r="AC934" s="1291" t="str">
        <f t="shared" si="1025"/>
        <v>0-ITS017T</v>
      </c>
      <c r="AD934" s="1291" t="str">
        <f t="shared" si="1026"/>
        <v>0-ITS017S</v>
      </c>
      <c r="AE934" s="1291" t="str">
        <f t="shared" si="1027"/>
        <v>0-ITS017X</v>
      </c>
      <c r="AF934" s="1291" t="str">
        <f t="shared" si="1028"/>
        <v>0-ITS017S</v>
      </c>
      <c r="AG934" s="1291">
        <f t="shared" si="1014"/>
        <v>1</v>
      </c>
      <c r="AH934" s="1291">
        <f>IF(B934&lt;&gt;"",+IF(H934="x",+VLOOKUP(I934,'AUX-NIV2'!B:AG,32,FALSE),0),"")</f>
        <v>0</v>
      </c>
      <c r="AI934" s="1291" t="str">
        <f t="shared" si="1029"/>
        <v>0-ITS017</v>
      </c>
      <c r="AK934" s="347">
        <f t="shared" si="1015"/>
        <v>934</v>
      </c>
      <c r="AL934" s="348">
        <f t="shared" si="1030"/>
        <v>934</v>
      </c>
      <c r="AM934" s="347">
        <f t="shared" si="1031"/>
        <v>1</v>
      </c>
      <c r="AN934" s="382">
        <f>IF(AND(AH934&gt;0,B934&lt;&gt;""),VLOOKUP(I934,'AUX-NIV2'!$B:$AP,40,FALSE)*O934,0)</f>
        <v>0</v>
      </c>
      <c r="AO934" s="382">
        <f t="shared" si="1016"/>
        <v>0</v>
      </c>
      <c r="AQ934" s="395">
        <f>(IF($H934="x",VLOOKUP($I934,'AUX-NIV2'!$B:$X,'AUX-NIV1'!AQ$3,FALSE),0)+($AV934*'AUX-NIV3'!S$4))*$O934+IF($H934=AQ$4,$P934,0)</f>
        <v>0</v>
      </c>
      <c r="AR934" s="395">
        <f>(IF($H934="x",VLOOKUP($I934,'AUX-NIV2'!$B:$X,'AUX-NIV1'!AR$3,FALSE),0)+($AV934*'AUX-NIV3'!T$4))*$O934+IF($H934=AR$4,$P934,0)</f>
        <v>0</v>
      </c>
      <c r="AS934" s="395">
        <f>(IF($H934="x",VLOOKUP($I934,'AUX-NIV2'!$B:$X,'AUX-NIV1'!AS$3,FALSE),0)+($AV934*'AUX-NIV3'!U$4))*$O934+IF($H934=AS$4,$P934,0)</f>
        <v>0</v>
      </c>
      <c r="AT934" s="395">
        <f>(IF($H934="x",VLOOKUP($I934,'AUX-NIV2'!$B:$X,'AUX-NIV1'!AT$3,FALSE),0)+($AV934*'AUX-NIV3'!V$4))*$O934+IF($H934=AT$4,$P934,0)</f>
        <v>0</v>
      </c>
      <c r="AU934" s="395">
        <f>(IF($H934="x",VLOOKUP($I934,'AUX-NIV2'!$B:$X,'AUX-NIV1'!AU$3,FALSE),0)+($AV934*'AUX-NIV3'!W$4))*$O934+IF($H934=AU$4,$P934,0)</f>
        <v>1</v>
      </c>
      <c r="AV934" s="395">
        <f>+IF($H934="x",VLOOKUP($I934,'AUX-NIV2'!$B:$X,'AUX-NIV1'!AV$3,FALSE),0)</f>
        <v>0</v>
      </c>
    </row>
    <row r="935" spans="2:48" ht="14.4" hidden="1" thickTop="1" thickBot="1">
      <c r="B935" s="1433" t="s">
        <v>4152</v>
      </c>
      <c r="C935" s="1448" t="s">
        <v>3632</v>
      </c>
      <c r="D935" s="1435" t="s">
        <v>3615</v>
      </c>
      <c r="E935" s="1281">
        <f>IF(B935&lt;&gt;"",+SUMIF(Items!C:C,'AUX-NIV1'!B935,Items!H:H),"")</f>
        <v>0</v>
      </c>
      <c r="F935" s="1281">
        <f t="shared" si="1006"/>
        <v>1</v>
      </c>
      <c r="G935" s="1281">
        <f t="shared" si="1007"/>
        <v>0</v>
      </c>
      <c r="H935" s="1395" t="str">
        <f t="shared" si="1017"/>
        <v>S</v>
      </c>
      <c r="I935" s="1462" t="s">
        <v>4187</v>
      </c>
      <c r="J935" s="1283" t="str">
        <f>IF(B935&lt;&gt;"",+VLOOKUP(I935,Recursos!C:F,2,FALSE),"")</f>
        <v>Periscopios de 6 bocas completo (pared)</v>
      </c>
      <c r="K935" s="1284" t="str">
        <f>IF(B935&lt;&gt;"",+VLOOKUP(I935,Recursos!C:F,3,FALSE),"")</f>
        <v>nro</v>
      </c>
      <c r="L935" s="1285">
        <f>IF(B935&lt;&gt;"",+VLOOKUP(I935,Recursos!C:F,4,FALSE),"")</f>
        <v>1</v>
      </c>
      <c r="M935" s="1293"/>
      <c r="N935" s="1294">
        <v>1</v>
      </c>
      <c r="O935" s="1286">
        <f t="shared" si="1018"/>
        <v>1</v>
      </c>
      <c r="P935" s="1287">
        <f t="shared" si="1019"/>
        <v>1</v>
      </c>
      <c r="Q935" s="1281">
        <f t="shared" si="1020"/>
        <v>0</v>
      </c>
      <c r="R935" s="1288">
        <f t="shared" si="1021"/>
        <v>0</v>
      </c>
      <c r="S935" s="1289">
        <f t="shared" si="1008"/>
        <v>0</v>
      </c>
      <c r="T935" s="1289">
        <f t="shared" si="1009"/>
        <v>0</v>
      </c>
      <c r="U935" s="1290">
        <f t="shared" si="1010"/>
        <v>0</v>
      </c>
      <c r="V935" s="1290">
        <f t="shared" si="1011"/>
        <v>0</v>
      </c>
      <c r="W935" s="1290">
        <f t="shared" si="1012"/>
        <v>1</v>
      </c>
      <c r="X935" s="1290">
        <f t="shared" si="1013"/>
        <v>0</v>
      </c>
      <c r="Y935" s="396"/>
      <c r="Z935" s="1291" t="str">
        <f t="shared" si="1022"/>
        <v>0-ITS018A</v>
      </c>
      <c r="AA935" s="1291" t="str">
        <f t="shared" si="1023"/>
        <v>0-ITS018E</v>
      </c>
      <c r="AB935" s="1291" t="str">
        <f t="shared" si="1024"/>
        <v>0-ITS018M</v>
      </c>
      <c r="AC935" s="1291" t="str">
        <f t="shared" si="1025"/>
        <v>0-ITS018T</v>
      </c>
      <c r="AD935" s="1291" t="str">
        <f t="shared" si="1026"/>
        <v>0-ITS018S</v>
      </c>
      <c r="AE935" s="1291" t="str">
        <f t="shared" si="1027"/>
        <v>0-ITS018X</v>
      </c>
      <c r="AF935" s="1291" t="str">
        <f t="shared" si="1028"/>
        <v>0-ITS018S</v>
      </c>
      <c r="AG935" s="1291">
        <f t="shared" si="1014"/>
        <v>1</v>
      </c>
      <c r="AH935" s="1291">
        <f>IF(B935&lt;&gt;"",+IF(H935="x",+VLOOKUP(I935,'AUX-NIV2'!B:AG,32,FALSE),0),"")</f>
        <v>0</v>
      </c>
      <c r="AI935" s="1291" t="str">
        <f t="shared" si="1029"/>
        <v>0-ITS018</v>
      </c>
      <c r="AK935" s="347">
        <f t="shared" si="1015"/>
        <v>935</v>
      </c>
      <c r="AL935" s="348">
        <f t="shared" si="1030"/>
        <v>935</v>
      </c>
      <c r="AM935" s="347">
        <f t="shared" si="1031"/>
        <v>1</v>
      </c>
      <c r="AN935" s="382">
        <f>IF(AND(AH935&gt;0,B935&lt;&gt;""),VLOOKUP(I935,'AUX-NIV2'!$B:$AP,40,FALSE)*O935,0)</f>
        <v>0</v>
      </c>
      <c r="AO935" s="382">
        <f t="shared" si="1016"/>
        <v>0</v>
      </c>
      <c r="AQ935" s="395">
        <f>(IF($H935="x",VLOOKUP($I935,'AUX-NIV2'!$B:$X,'AUX-NIV1'!AQ$3,FALSE),0)+($AV935*'AUX-NIV3'!S$4))*$O935+IF($H935=AQ$4,$P935,0)</f>
        <v>0</v>
      </c>
      <c r="AR935" s="395">
        <f>(IF($H935="x",VLOOKUP($I935,'AUX-NIV2'!$B:$X,'AUX-NIV1'!AR$3,FALSE),0)+($AV935*'AUX-NIV3'!T$4))*$O935+IF($H935=AR$4,$P935,0)</f>
        <v>0</v>
      </c>
      <c r="AS935" s="395">
        <f>(IF($H935="x",VLOOKUP($I935,'AUX-NIV2'!$B:$X,'AUX-NIV1'!AS$3,FALSE),0)+($AV935*'AUX-NIV3'!U$4))*$O935+IF($H935=AS$4,$P935,0)</f>
        <v>0</v>
      </c>
      <c r="AT935" s="395">
        <f>(IF($H935="x",VLOOKUP($I935,'AUX-NIV2'!$B:$X,'AUX-NIV1'!AT$3,FALSE),0)+($AV935*'AUX-NIV3'!V$4))*$O935+IF($H935=AT$4,$P935,0)</f>
        <v>0</v>
      </c>
      <c r="AU935" s="395">
        <f>(IF($H935="x",VLOOKUP($I935,'AUX-NIV2'!$B:$X,'AUX-NIV1'!AU$3,FALSE),0)+($AV935*'AUX-NIV3'!W$4))*$O935+IF($H935=AU$4,$P935,0)</f>
        <v>1</v>
      </c>
      <c r="AV935" s="395">
        <f>+IF($H935="x",VLOOKUP($I935,'AUX-NIV2'!$B:$X,'AUX-NIV1'!AV$3,FALSE),0)</f>
        <v>0</v>
      </c>
    </row>
    <row r="936" spans="2:48" ht="14.4" hidden="1" thickTop="1" thickBot="1">
      <c r="B936" s="1433" t="s">
        <v>4153</v>
      </c>
      <c r="C936" s="1448" t="s">
        <v>3633</v>
      </c>
      <c r="D936" s="1435" t="s">
        <v>3615</v>
      </c>
      <c r="E936" s="1281">
        <f>IF(B936&lt;&gt;"",+SUMIF(Items!C:C,'AUX-NIV1'!B936,Items!H:H),"")</f>
        <v>0</v>
      </c>
      <c r="F936" s="1281">
        <f t="shared" si="1006"/>
        <v>1</v>
      </c>
      <c r="G936" s="1281">
        <f t="shared" si="1007"/>
        <v>0</v>
      </c>
      <c r="H936" s="1395" t="str">
        <f t="shared" si="1017"/>
        <v>S</v>
      </c>
      <c r="I936" s="1462" t="s">
        <v>4188</v>
      </c>
      <c r="J936" s="1283" t="str">
        <f>IF(B936&lt;&gt;"",+VLOOKUP(I936,Recursos!C:F,2,FALSE),"")</f>
        <v>Periscopios de 8 bocas completos (pared)</v>
      </c>
      <c r="K936" s="1284" t="str">
        <f>IF(B936&lt;&gt;"",+VLOOKUP(I936,Recursos!C:F,3,FALSE),"")</f>
        <v>nro</v>
      </c>
      <c r="L936" s="1285">
        <f>IF(B936&lt;&gt;"",+VLOOKUP(I936,Recursos!C:F,4,FALSE),"")</f>
        <v>1</v>
      </c>
      <c r="M936" s="1293"/>
      <c r="N936" s="1294">
        <v>1</v>
      </c>
      <c r="O936" s="1286">
        <f t="shared" si="1018"/>
        <v>1</v>
      </c>
      <c r="P936" s="1287">
        <f t="shared" si="1019"/>
        <v>1</v>
      </c>
      <c r="Q936" s="1281">
        <f t="shared" si="1020"/>
        <v>0</v>
      </c>
      <c r="R936" s="1288">
        <f t="shared" si="1021"/>
        <v>0</v>
      </c>
      <c r="S936" s="1289">
        <f t="shared" si="1008"/>
        <v>0</v>
      </c>
      <c r="T936" s="1289">
        <f t="shared" si="1009"/>
        <v>0</v>
      </c>
      <c r="U936" s="1290">
        <f t="shared" si="1010"/>
        <v>0</v>
      </c>
      <c r="V936" s="1290">
        <f t="shared" si="1011"/>
        <v>0</v>
      </c>
      <c r="W936" s="1290">
        <f t="shared" si="1012"/>
        <v>1</v>
      </c>
      <c r="X936" s="1290">
        <f t="shared" si="1013"/>
        <v>0</v>
      </c>
      <c r="Y936" s="396"/>
      <c r="Z936" s="1291" t="str">
        <f t="shared" si="1022"/>
        <v>0-ITS019A</v>
      </c>
      <c r="AA936" s="1291" t="str">
        <f t="shared" si="1023"/>
        <v>0-ITS019E</v>
      </c>
      <c r="AB936" s="1291" t="str">
        <f t="shared" si="1024"/>
        <v>0-ITS019M</v>
      </c>
      <c r="AC936" s="1291" t="str">
        <f t="shared" si="1025"/>
        <v>0-ITS019T</v>
      </c>
      <c r="AD936" s="1291" t="str">
        <f t="shared" si="1026"/>
        <v>0-ITS019S</v>
      </c>
      <c r="AE936" s="1291" t="str">
        <f t="shared" si="1027"/>
        <v>0-ITS019X</v>
      </c>
      <c r="AF936" s="1291" t="str">
        <f t="shared" si="1028"/>
        <v>0-ITS019S</v>
      </c>
      <c r="AG936" s="1291">
        <f t="shared" si="1014"/>
        <v>1</v>
      </c>
      <c r="AH936" s="1291">
        <f>IF(B936&lt;&gt;"",+IF(H936="x",+VLOOKUP(I936,'AUX-NIV2'!B:AG,32,FALSE),0),"")</f>
        <v>0</v>
      </c>
      <c r="AI936" s="1291" t="str">
        <f t="shared" si="1029"/>
        <v>0-ITS019</v>
      </c>
      <c r="AK936" s="347">
        <f t="shared" si="1015"/>
        <v>936</v>
      </c>
      <c r="AL936" s="348">
        <f t="shared" si="1030"/>
        <v>936</v>
      </c>
      <c r="AM936" s="347">
        <f t="shared" si="1031"/>
        <v>1</v>
      </c>
      <c r="AN936" s="382">
        <f>IF(AND(AH936&gt;0,B936&lt;&gt;""),VLOOKUP(I936,'AUX-NIV2'!$B:$AP,40,FALSE)*O936,0)</f>
        <v>0</v>
      </c>
      <c r="AO936" s="382">
        <f t="shared" si="1016"/>
        <v>0</v>
      </c>
      <c r="AQ936" s="395">
        <f>(IF($H936="x",VLOOKUP($I936,'AUX-NIV2'!$B:$X,'AUX-NIV1'!AQ$3,FALSE),0)+($AV936*'AUX-NIV3'!S$4))*$O936+IF($H936=AQ$4,$P936,0)</f>
        <v>0</v>
      </c>
      <c r="AR936" s="395">
        <f>(IF($H936="x",VLOOKUP($I936,'AUX-NIV2'!$B:$X,'AUX-NIV1'!AR$3,FALSE),0)+($AV936*'AUX-NIV3'!T$4))*$O936+IF($H936=AR$4,$P936,0)</f>
        <v>0</v>
      </c>
      <c r="AS936" s="395">
        <f>(IF($H936="x",VLOOKUP($I936,'AUX-NIV2'!$B:$X,'AUX-NIV1'!AS$3,FALSE),0)+($AV936*'AUX-NIV3'!U$4))*$O936+IF($H936=AS$4,$P936,0)</f>
        <v>0</v>
      </c>
      <c r="AT936" s="395">
        <f>(IF($H936="x",VLOOKUP($I936,'AUX-NIV2'!$B:$X,'AUX-NIV1'!AT$3,FALSE),0)+($AV936*'AUX-NIV3'!V$4))*$O936+IF($H936=AT$4,$P936,0)</f>
        <v>0</v>
      </c>
      <c r="AU936" s="395">
        <f>(IF($H936="x",VLOOKUP($I936,'AUX-NIV2'!$B:$X,'AUX-NIV1'!AU$3,FALSE),0)+($AV936*'AUX-NIV3'!W$4))*$O936+IF($H936=AU$4,$P936,0)</f>
        <v>1</v>
      </c>
      <c r="AV936" s="395">
        <f>+IF($H936="x",VLOOKUP($I936,'AUX-NIV2'!$B:$X,'AUX-NIV1'!AV$3,FALSE),0)</f>
        <v>0</v>
      </c>
    </row>
    <row r="937" spans="2:48" ht="14.4" hidden="1" thickTop="1" thickBot="1">
      <c r="B937" s="1433" t="s">
        <v>4154</v>
      </c>
      <c r="C937" s="1448" t="s">
        <v>3634</v>
      </c>
      <c r="D937" s="1435" t="s">
        <v>3615</v>
      </c>
      <c r="E937" s="1281">
        <f>IF(B937&lt;&gt;"",+SUMIF(Items!C:C,'AUX-NIV1'!B937,Items!H:H),"")</f>
        <v>0</v>
      </c>
      <c r="F937" s="1281">
        <f t="shared" si="1006"/>
        <v>1</v>
      </c>
      <c r="G937" s="1281">
        <f t="shared" si="1007"/>
        <v>0</v>
      </c>
      <c r="H937" s="1395" t="str">
        <f t="shared" si="1017"/>
        <v>S</v>
      </c>
      <c r="I937" s="1462" t="s">
        <v>4189</v>
      </c>
      <c r="J937" s="1283" t="str">
        <f>IF(B937&lt;&gt;"",+VLOOKUP(I937,Recursos!C:F,2,FALSE),"")</f>
        <v>Periscopio de 2 bocas completo (pared)</v>
      </c>
      <c r="K937" s="1284" t="str">
        <f>IF(B937&lt;&gt;"",+VLOOKUP(I937,Recursos!C:F,3,FALSE),"")</f>
        <v>nro</v>
      </c>
      <c r="L937" s="1285">
        <f>IF(B937&lt;&gt;"",+VLOOKUP(I937,Recursos!C:F,4,FALSE),"")</f>
        <v>1</v>
      </c>
      <c r="M937" s="1293"/>
      <c r="N937" s="1294">
        <v>1</v>
      </c>
      <c r="O937" s="1286">
        <f t="shared" si="1018"/>
        <v>1</v>
      </c>
      <c r="P937" s="1287">
        <f t="shared" si="1019"/>
        <v>1</v>
      </c>
      <c r="Q937" s="1281">
        <f t="shared" si="1020"/>
        <v>0</v>
      </c>
      <c r="R937" s="1288">
        <f t="shared" si="1021"/>
        <v>0</v>
      </c>
      <c r="S937" s="1289">
        <f t="shared" si="1008"/>
        <v>0</v>
      </c>
      <c r="T937" s="1289">
        <f t="shared" si="1009"/>
        <v>0</v>
      </c>
      <c r="U937" s="1290">
        <f t="shared" si="1010"/>
        <v>0</v>
      </c>
      <c r="V937" s="1290">
        <f t="shared" si="1011"/>
        <v>0</v>
      </c>
      <c r="W937" s="1290">
        <f t="shared" si="1012"/>
        <v>1</v>
      </c>
      <c r="X937" s="1290">
        <f t="shared" si="1013"/>
        <v>0</v>
      </c>
      <c r="Y937" s="396"/>
      <c r="Z937" s="1291" t="str">
        <f t="shared" si="1022"/>
        <v>0-ITS020A</v>
      </c>
      <c r="AA937" s="1291" t="str">
        <f t="shared" si="1023"/>
        <v>0-ITS020E</v>
      </c>
      <c r="AB937" s="1291" t="str">
        <f t="shared" si="1024"/>
        <v>0-ITS020M</v>
      </c>
      <c r="AC937" s="1291" t="str">
        <f t="shared" si="1025"/>
        <v>0-ITS020T</v>
      </c>
      <c r="AD937" s="1291" t="str">
        <f t="shared" si="1026"/>
        <v>0-ITS020S</v>
      </c>
      <c r="AE937" s="1291" t="str">
        <f t="shared" si="1027"/>
        <v>0-ITS020X</v>
      </c>
      <c r="AF937" s="1291" t="str">
        <f t="shared" si="1028"/>
        <v>0-ITS020S</v>
      </c>
      <c r="AG937" s="1291">
        <f t="shared" si="1014"/>
        <v>1</v>
      </c>
      <c r="AH937" s="1291">
        <f>IF(B937&lt;&gt;"",+IF(H937="x",+VLOOKUP(I937,'AUX-NIV2'!B:AG,32,FALSE),0),"")</f>
        <v>0</v>
      </c>
      <c r="AI937" s="1291" t="str">
        <f t="shared" si="1029"/>
        <v>0-ITS020</v>
      </c>
      <c r="AK937" s="347">
        <f t="shared" si="1015"/>
        <v>937</v>
      </c>
      <c r="AL937" s="348">
        <f t="shared" si="1030"/>
        <v>937</v>
      </c>
      <c r="AM937" s="347">
        <f t="shared" si="1031"/>
        <v>1</v>
      </c>
      <c r="AN937" s="382">
        <f>IF(AND(AH937&gt;0,B937&lt;&gt;""),VLOOKUP(I937,'AUX-NIV2'!$B:$AP,40,FALSE)*O937,0)</f>
        <v>0</v>
      </c>
      <c r="AO937" s="382">
        <f t="shared" si="1016"/>
        <v>0</v>
      </c>
      <c r="AQ937" s="395">
        <f>(IF($H937="x",VLOOKUP($I937,'AUX-NIV2'!$B:$X,'AUX-NIV1'!AQ$3,FALSE),0)+($AV937*'AUX-NIV3'!S$4))*$O937+IF($H937=AQ$4,$P937,0)</f>
        <v>0</v>
      </c>
      <c r="AR937" s="395">
        <f>(IF($H937="x",VLOOKUP($I937,'AUX-NIV2'!$B:$X,'AUX-NIV1'!AR$3,FALSE),0)+($AV937*'AUX-NIV3'!T$4))*$O937+IF($H937=AR$4,$P937,0)</f>
        <v>0</v>
      </c>
      <c r="AS937" s="395">
        <f>(IF($H937="x",VLOOKUP($I937,'AUX-NIV2'!$B:$X,'AUX-NIV1'!AS$3,FALSE),0)+($AV937*'AUX-NIV3'!U$4))*$O937+IF($H937=AS$4,$P937,0)</f>
        <v>0</v>
      </c>
      <c r="AT937" s="395">
        <f>(IF($H937="x",VLOOKUP($I937,'AUX-NIV2'!$B:$X,'AUX-NIV1'!AT$3,FALSE),0)+($AV937*'AUX-NIV3'!V$4))*$O937+IF($H937=AT$4,$P937,0)</f>
        <v>0</v>
      </c>
      <c r="AU937" s="395">
        <f>(IF($H937="x",VLOOKUP($I937,'AUX-NIV2'!$B:$X,'AUX-NIV1'!AU$3,FALSE),0)+($AV937*'AUX-NIV3'!W$4))*$O937+IF($H937=AU$4,$P937,0)</f>
        <v>1</v>
      </c>
      <c r="AV937" s="395">
        <f>+IF($H937="x",VLOOKUP($I937,'AUX-NIV2'!$B:$X,'AUX-NIV1'!AV$3,FALSE),0)</f>
        <v>0</v>
      </c>
    </row>
    <row r="938" spans="2:48" ht="14.4" hidden="1" thickTop="1" thickBot="1">
      <c r="B938" s="1433" t="s">
        <v>4155</v>
      </c>
      <c r="C938" s="1448" t="s">
        <v>3635</v>
      </c>
      <c r="D938" s="1435" t="s">
        <v>3615</v>
      </c>
      <c r="E938" s="1281">
        <f>IF(B938&lt;&gt;"",+SUMIF(Items!C:C,'AUX-NIV1'!B938,Items!H:H),"")</f>
        <v>0</v>
      </c>
      <c r="F938" s="1281">
        <f t="shared" si="1006"/>
        <v>1</v>
      </c>
      <c r="G938" s="1281">
        <f t="shared" si="1007"/>
        <v>0</v>
      </c>
      <c r="H938" s="1395" t="str">
        <f t="shared" si="1017"/>
        <v>S</v>
      </c>
      <c r="I938" s="1462" t="s">
        <v>4190</v>
      </c>
      <c r="J938" s="1283" t="str">
        <f>IF(B938&lt;&gt;"",+VLOOKUP(I938,Recursos!C:F,2,FALSE),"")</f>
        <v>Cableado 220V p/la red de voz y Datos.</v>
      </c>
      <c r="K938" s="1284" t="str">
        <f>IF(B938&lt;&gt;"",+VLOOKUP(I938,Recursos!C:F,3,FALSE),"")</f>
        <v>nro</v>
      </c>
      <c r="L938" s="1285">
        <f>IF(B938&lt;&gt;"",+VLOOKUP(I938,Recursos!C:F,4,FALSE),"")</f>
        <v>1</v>
      </c>
      <c r="M938" s="1293"/>
      <c r="N938" s="1294">
        <v>1</v>
      </c>
      <c r="O938" s="1286">
        <f t="shared" si="1018"/>
        <v>1</v>
      </c>
      <c r="P938" s="1287">
        <f t="shared" si="1019"/>
        <v>1</v>
      </c>
      <c r="Q938" s="1281">
        <f t="shared" si="1020"/>
        <v>0</v>
      </c>
      <c r="R938" s="1288">
        <f t="shared" si="1021"/>
        <v>0</v>
      </c>
      <c r="S938" s="1289">
        <f t="shared" si="1008"/>
        <v>0</v>
      </c>
      <c r="T938" s="1289">
        <f t="shared" si="1009"/>
        <v>0</v>
      </c>
      <c r="U938" s="1290">
        <f t="shared" si="1010"/>
        <v>0</v>
      </c>
      <c r="V938" s="1290">
        <f t="shared" si="1011"/>
        <v>0</v>
      </c>
      <c r="W938" s="1290">
        <f t="shared" si="1012"/>
        <v>1</v>
      </c>
      <c r="X938" s="1290">
        <f t="shared" si="1013"/>
        <v>0</v>
      </c>
      <c r="Y938" s="396"/>
      <c r="Z938" s="1291" t="str">
        <f t="shared" si="1022"/>
        <v>0-ITS021A</v>
      </c>
      <c r="AA938" s="1291" t="str">
        <f t="shared" si="1023"/>
        <v>0-ITS021E</v>
      </c>
      <c r="AB938" s="1291" t="str">
        <f t="shared" si="1024"/>
        <v>0-ITS021M</v>
      </c>
      <c r="AC938" s="1291" t="str">
        <f t="shared" si="1025"/>
        <v>0-ITS021T</v>
      </c>
      <c r="AD938" s="1291" t="str">
        <f t="shared" si="1026"/>
        <v>0-ITS021S</v>
      </c>
      <c r="AE938" s="1291" t="str">
        <f t="shared" si="1027"/>
        <v>0-ITS021X</v>
      </c>
      <c r="AF938" s="1291" t="str">
        <f t="shared" si="1028"/>
        <v>0-ITS021S</v>
      </c>
      <c r="AG938" s="1291">
        <f t="shared" si="1014"/>
        <v>1</v>
      </c>
      <c r="AH938" s="1291">
        <f>IF(B938&lt;&gt;"",+IF(H938="x",+VLOOKUP(I938,'AUX-NIV2'!B:AG,32,FALSE),0),"")</f>
        <v>0</v>
      </c>
      <c r="AI938" s="1291" t="str">
        <f t="shared" si="1029"/>
        <v>0-ITS021</v>
      </c>
      <c r="AK938" s="347">
        <f t="shared" si="1015"/>
        <v>938</v>
      </c>
      <c r="AL938" s="348">
        <f t="shared" si="1030"/>
        <v>938</v>
      </c>
      <c r="AM938" s="347">
        <f t="shared" si="1031"/>
        <v>1</v>
      </c>
      <c r="AN938" s="382">
        <f>IF(AND(AH938&gt;0,B938&lt;&gt;""),VLOOKUP(I938,'AUX-NIV2'!$B:$AP,40,FALSE)*O938,0)</f>
        <v>0</v>
      </c>
      <c r="AO938" s="382">
        <f t="shared" si="1016"/>
        <v>0</v>
      </c>
      <c r="AQ938" s="395">
        <f>(IF($H938="x",VLOOKUP($I938,'AUX-NIV2'!$B:$X,'AUX-NIV1'!AQ$3,FALSE),0)+($AV938*'AUX-NIV3'!S$4))*$O938+IF($H938=AQ$4,$P938,0)</f>
        <v>0</v>
      </c>
      <c r="AR938" s="395">
        <f>(IF($H938="x",VLOOKUP($I938,'AUX-NIV2'!$B:$X,'AUX-NIV1'!AR$3,FALSE),0)+($AV938*'AUX-NIV3'!T$4))*$O938+IF($H938=AR$4,$P938,0)</f>
        <v>0</v>
      </c>
      <c r="AS938" s="395">
        <f>(IF($H938="x",VLOOKUP($I938,'AUX-NIV2'!$B:$X,'AUX-NIV1'!AS$3,FALSE),0)+($AV938*'AUX-NIV3'!U$4))*$O938+IF($H938=AS$4,$P938,0)</f>
        <v>0</v>
      </c>
      <c r="AT938" s="395">
        <f>(IF($H938="x",VLOOKUP($I938,'AUX-NIV2'!$B:$X,'AUX-NIV1'!AT$3,FALSE),0)+($AV938*'AUX-NIV3'!V$4))*$O938+IF($H938=AT$4,$P938,0)</f>
        <v>0</v>
      </c>
      <c r="AU938" s="395">
        <f>(IF($H938="x",VLOOKUP($I938,'AUX-NIV2'!$B:$X,'AUX-NIV1'!AU$3,FALSE),0)+($AV938*'AUX-NIV3'!W$4))*$O938+IF($H938=AU$4,$P938,0)</f>
        <v>1</v>
      </c>
      <c r="AV938" s="395">
        <f>+IF($H938="x",VLOOKUP($I938,'AUX-NIV2'!$B:$X,'AUX-NIV1'!AV$3,FALSE),0)</f>
        <v>0</v>
      </c>
    </row>
    <row r="939" spans="2:48" ht="14.4" hidden="1" thickTop="1" thickBot="1">
      <c r="B939" s="1433" t="s">
        <v>4156</v>
      </c>
      <c r="C939" s="1448" t="s">
        <v>3636</v>
      </c>
      <c r="D939" s="1435"/>
      <c r="E939" s="1281">
        <f>IF(B939&lt;&gt;"",+SUMIF(Items!C:C,'AUX-NIV1'!B939,Items!H:H),"")</f>
        <v>0</v>
      </c>
      <c r="F939" s="1281">
        <f t="shared" si="1006"/>
        <v>1</v>
      </c>
      <c r="G939" s="1281">
        <f t="shared" si="1007"/>
        <v>0</v>
      </c>
      <c r="H939" s="1395" t="str">
        <f t="shared" si="1017"/>
        <v>S</v>
      </c>
      <c r="I939" s="1462" t="s">
        <v>4191</v>
      </c>
      <c r="J939" s="1283" t="str">
        <f>IF(B939&lt;&gt;"",+VLOOKUP(I939,Recursos!C:F,2,FALSE),"")</f>
        <v>ILUMINACION</v>
      </c>
      <c r="K939" s="1284">
        <f>IF(B939&lt;&gt;"",+VLOOKUP(I939,Recursos!C:F,3,FALSE),"")</f>
        <v>0</v>
      </c>
      <c r="L939" s="1285">
        <f>IF(B939&lt;&gt;"",+VLOOKUP(I939,Recursos!C:F,4,FALSE),"")</f>
        <v>1</v>
      </c>
      <c r="M939" s="1293"/>
      <c r="N939" s="1294">
        <v>1</v>
      </c>
      <c r="O939" s="1286">
        <f t="shared" si="1018"/>
        <v>1</v>
      </c>
      <c r="P939" s="1287">
        <f t="shared" si="1019"/>
        <v>1</v>
      </c>
      <c r="Q939" s="1281">
        <f t="shared" si="1020"/>
        <v>0</v>
      </c>
      <c r="R939" s="1288">
        <f t="shared" si="1021"/>
        <v>0</v>
      </c>
      <c r="S939" s="1289">
        <f t="shared" si="1008"/>
        <v>0</v>
      </c>
      <c r="T939" s="1289">
        <f t="shared" si="1009"/>
        <v>0</v>
      </c>
      <c r="U939" s="1290">
        <f t="shared" si="1010"/>
        <v>0</v>
      </c>
      <c r="V939" s="1290">
        <f t="shared" si="1011"/>
        <v>0</v>
      </c>
      <c r="W939" s="1290">
        <f t="shared" si="1012"/>
        <v>1</v>
      </c>
      <c r="X939" s="1290">
        <f t="shared" si="1013"/>
        <v>0</v>
      </c>
      <c r="Y939" s="396"/>
      <c r="Z939" s="1291" t="str">
        <f t="shared" si="1022"/>
        <v>0-ITS022A</v>
      </c>
      <c r="AA939" s="1291" t="str">
        <f t="shared" si="1023"/>
        <v>0-ITS022E</v>
      </c>
      <c r="AB939" s="1291" t="str">
        <f t="shared" si="1024"/>
        <v>0-ITS022M</v>
      </c>
      <c r="AC939" s="1291" t="str">
        <f t="shared" si="1025"/>
        <v>0-ITS022T</v>
      </c>
      <c r="AD939" s="1291" t="str">
        <f t="shared" si="1026"/>
        <v>0-ITS022S</v>
      </c>
      <c r="AE939" s="1291" t="str">
        <f t="shared" si="1027"/>
        <v>0-ITS022X</v>
      </c>
      <c r="AF939" s="1291" t="str">
        <f t="shared" si="1028"/>
        <v>0-ITS022S</v>
      </c>
      <c r="AG939" s="1291">
        <f t="shared" si="1014"/>
        <v>1</v>
      </c>
      <c r="AH939" s="1291">
        <f>IF(B939&lt;&gt;"",+IF(H939="x",+VLOOKUP(I939,'AUX-NIV2'!B:AG,32,FALSE),0),"")</f>
        <v>0</v>
      </c>
      <c r="AI939" s="1291" t="str">
        <f t="shared" si="1029"/>
        <v>0-ITS022</v>
      </c>
      <c r="AK939" s="347">
        <f t="shared" si="1015"/>
        <v>939</v>
      </c>
      <c r="AL939" s="348">
        <f t="shared" si="1030"/>
        <v>939</v>
      </c>
      <c r="AM939" s="347">
        <f t="shared" si="1031"/>
        <v>1</v>
      </c>
      <c r="AN939" s="382">
        <f>IF(AND(AH939&gt;0,B939&lt;&gt;""),VLOOKUP(I939,'AUX-NIV2'!$B:$AP,40,FALSE)*O939,0)</f>
        <v>0</v>
      </c>
      <c r="AO939" s="382">
        <f t="shared" si="1016"/>
        <v>0</v>
      </c>
      <c r="AQ939" s="395">
        <f>(IF($H939="x",VLOOKUP($I939,'AUX-NIV2'!$B:$X,'AUX-NIV1'!AQ$3,FALSE),0)+($AV939*'AUX-NIV3'!S$4))*$O939+IF($H939=AQ$4,$P939,0)</f>
        <v>0</v>
      </c>
      <c r="AR939" s="395">
        <f>(IF($H939="x",VLOOKUP($I939,'AUX-NIV2'!$B:$X,'AUX-NIV1'!AR$3,FALSE),0)+($AV939*'AUX-NIV3'!T$4))*$O939+IF($H939=AR$4,$P939,0)</f>
        <v>0</v>
      </c>
      <c r="AS939" s="395">
        <f>(IF($H939="x",VLOOKUP($I939,'AUX-NIV2'!$B:$X,'AUX-NIV1'!AS$3,FALSE),0)+($AV939*'AUX-NIV3'!U$4))*$O939+IF($H939=AS$4,$P939,0)</f>
        <v>0</v>
      </c>
      <c r="AT939" s="395">
        <f>(IF($H939="x",VLOOKUP($I939,'AUX-NIV2'!$B:$X,'AUX-NIV1'!AT$3,FALSE),0)+($AV939*'AUX-NIV3'!V$4))*$O939+IF($H939=AT$4,$P939,0)</f>
        <v>0</v>
      </c>
      <c r="AU939" s="395">
        <f>(IF($H939="x",VLOOKUP($I939,'AUX-NIV2'!$B:$X,'AUX-NIV1'!AU$3,FALSE),0)+($AV939*'AUX-NIV3'!W$4))*$O939+IF($H939=AU$4,$P939,0)</f>
        <v>1</v>
      </c>
      <c r="AV939" s="395">
        <f>+IF($H939="x",VLOOKUP($I939,'AUX-NIV2'!$B:$X,'AUX-NIV1'!AV$3,FALSE),0)</f>
        <v>0</v>
      </c>
    </row>
    <row r="940" spans="2:48" ht="14.4" hidden="1" thickTop="1" thickBot="1">
      <c r="B940" s="1433" t="s">
        <v>4157</v>
      </c>
      <c r="C940" s="1448" t="s">
        <v>3637</v>
      </c>
      <c r="D940" s="1435" t="s">
        <v>185</v>
      </c>
      <c r="E940" s="1281">
        <f>IF(B940&lt;&gt;"",+SUMIF(Items!C:C,'AUX-NIV1'!B940,Items!H:H),"")</f>
        <v>0</v>
      </c>
      <c r="F940" s="1281">
        <f t="shared" si="1006"/>
        <v>1</v>
      </c>
      <c r="G940" s="1281">
        <f t="shared" si="1007"/>
        <v>0</v>
      </c>
      <c r="H940" s="1395" t="str">
        <f t="shared" si="1017"/>
        <v>S</v>
      </c>
      <c r="I940" s="1462" t="s">
        <v>4192</v>
      </c>
      <c r="J940" s="1283" t="str">
        <f>IF(B940&lt;&gt;"",+VLOOKUP(I940,Recursos!C:F,2,FALSE),"")</f>
        <v>MODELO 1</v>
      </c>
      <c r="K940" s="1284" t="str">
        <f>IF(B940&lt;&gt;"",+VLOOKUP(I940,Recursos!C:F,3,FALSE),"")</f>
        <v>un</v>
      </c>
      <c r="L940" s="1285">
        <f>IF(B940&lt;&gt;"",+VLOOKUP(I940,Recursos!C:F,4,FALSE),"")</f>
        <v>1</v>
      </c>
      <c r="M940" s="1293"/>
      <c r="N940" s="1294">
        <v>1</v>
      </c>
      <c r="O940" s="1286">
        <f t="shared" si="1018"/>
        <v>1</v>
      </c>
      <c r="P940" s="1287">
        <f t="shared" si="1019"/>
        <v>1</v>
      </c>
      <c r="Q940" s="1281">
        <f t="shared" si="1020"/>
        <v>0</v>
      </c>
      <c r="R940" s="1288">
        <f t="shared" si="1021"/>
        <v>0</v>
      </c>
      <c r="S940" s="1289">
        <f t="shared" si="1008"/>
        <v>0</v>
      </c>
      <c r="T940" s="1289">
        <f t="shared" si="1009"/>
        <v>0</v>
      </c>
      <c r="U940" s="1290">
        <f t="shared" si="1010"/>
        <v>0</v>
      </c>
      <c r="V940" s="1290">
        <f t="shared" si="1011"/>
        <v>0</v>
      </c>
      <c r="W940" s="1290">
        <f t="shared" si="1012"/>
        <v>1</v>
      </c>
      <c r="X940" s="1290">
        <f t="shared" si="1013"/>
        <v>0</v>
      </c>
      <c r="Y940" s="396"/>
      <c r="Z940" s="1291" t="str">
        <f t="shared" si="1022"/>
        <v>0-ITS023A</v>
      </c>
      <c r="AA940" s="1291" t="str">
        <f t="shared" si="1023"/>
        <v>0-ITS023E</v>
      </c>
      <c r="AB940" s="1291" t="str">
        <f t="shared" si="1024"/>
        <v>0-ITS023M</v>
      </c>
      <c r="AC940" s="1291" t="str">
        <f t="shared" si="1025"/>
        <v>0-ITS023T</v>
      </c>
      <c r="AD940" s="1291" t="str">
        <f t="shared" si="1026"/>
        <v>0-ITS023S</v>
      </c>
      <c r="AE940" s="1291" t="str">
        <f t="shared" si="1027"/>
        <v>0-ITS023X</v>
      </c>
      <c r="AF940" s="1291" t="str">
        <f t="shared" si="1028"/>
        <v>0-ITS023S</v>
      </c>
      <c r="AG940" s="1291">
        <f t="shared" si="1014"/>
        <v>1</v>
      </c>
      <c r="AH940" s="1291">
        <f>IF(B940&lt;&gt;"",+IF(H940="x",+VLOOKUP(I940,'AUX-NIV2'!B:AG,32,FALSE),0),"")</f>
        <v>0</v>
      </c>
      <c r="AI940" s="1291" t="str">
        <f t="shared" si="1029"/>
        <v>0-ITS023</v>
      </c>
      <c r="AK940" s="347">
        <f t="shared" si="1015"/>
        <v>940</v>
      </c>
      <c r="AL940" s="348">
        <f t="shared" si="1030"/>
        <v>940</v>
      </c>
      <c r="AM940" s="347">
        <f t="shared" si="1031"/>
        <v>1</v>
      </c>
      <c r="AN940" s="382">
        <f>IF(AND(AH940&gt;0,B940&lt;&gt;""),VLOOKUP(I940,'AUX-NIV2'!$B:$AP,40,FALSE)*O940,0)</f>
        <v>0</v>
      </c>
      <c r="AO940" s="382">
        <f t="shared" si="1016"/>
        <v>0</v>
      </c>
      <c r="AQ940" s="395">
        <f>(IF($H940="x",VLOOKUP($I940,'AUX-NIV2'!$B:$X,'AUX-NIV1'!AQ$3,FALSE),0)+($AV940*'AUX-NIV3'!S$4))*$O940+IF($H940=AQ$4,$P940,0)</f>
        <v>0</v>
      </c>
      <c r="AR940" s="395">
        <f>(IF($H940="x",VLOOKUP($I940,'AUX-NIV2'!$B:$X,'AUX-NIV1'!AR$3,FALSE),0)+($AV940*'AUX-NIV3'!T$4))*$O940+IF($H940=AR$4,$P940,0)</f>
        <v>0</v>
      </c>
      <c r="AS940" s="395">
        <f>(IF($H940="x",VLOOKUP($I940,'AUX-NIV2'!$B:$X,'AUX-NIV1'!AS$3,FALSE),0)+($AV940*'AUX-NIV3'!U$4))*$O940+IF($H940=AS$4,$P940,0)</f>
        <v>0</v>
      </c>
      <c r="AT940" s="395">
        <f>(IF($H940="x",VLOOKUP($I940,'AUX-NIV2'!$B:$X,'AUX-NIV1'!AT$3,FALSE),0)+($AV940*'AUX-NIV3'!V$4))*$O940+IF($H940=AT$4,$P940,0)</f>
        <v>0</v>
      </c>
      <c r="AU940" s="395">
        <f>(IF($H940="x",VLOOKUP($I940,'AUX-NIV2'!$B:$X,'AUX-NIV1'!AU$3,FALSE),0)+($AV940*'AUX-NIV3'!W$4))*$O940+IF($H940=AU$4,$P940,0)</f>
        <v>1</v>
      </c>
      <c r="AV940" s="395">
        <f>+IF($H940="x",VLOOKUP($I940,'AUX-NIV2'!$B:$X,'AUX-NIV1'!AV$3,FALSE),0)</f>
        <v>0</v>
      </c>
    </row>
    <row r="941" spans="2:48" ht="14.4" hidden="1" thickTop="1" thickBot="1">
      <c r="B941" s="1433" t="s">
        <v>4134</v>
      </c>
      <c r="C941" s="1448" t="s">
        <v>3638</v>
      </c>
      <c r="D941" s="1435" t="s">
        <v>185</v>
      </c>
      <c r="E941" s="1281">
        <f>IF(B941&lt;&gt;"",+SUMIF(Items!C:C,'AUX-NIV1'!B941,Items!H:H),"")</f>
        <v>0</v>
      </c>
      <c r="F941" s="1281">
        <f t="shared" si="1006"/>
        <v>1</v>
      </c>
      <c r="G941" s="1281">
        <f t="shared" si="1007"/>
        <v>0</v>
      </c>
      <c r="H941" s="1395" t="str">
        <f t="shared" si="1017"/>
        <v>S</v>
      </c>
      <c r="I941" s="1462" t="s">
        <v>4193</v>
      </c>
      <c r="J941" s="1283" t="str">
        <f>IF(B941&lt;&gt;"",+VLOOKUP(I941,Recursos!C:F,2,FALSE),"")</f>
        <v>MODELO 2</v>
      </c>
      <c r="K941" s="1284" t="str">
        <f>IF(B941&lt;&gt;"",+VLOOKUP(I941,Recursos!C:F,3,FALSE),"")</f>
        <v>un</v>
      </c>
      <c r="L941" s="1285">
        <f>IF(B941&lt;&gt;"",+VLOOKUP(I941,Recursos!C:F,4,FALSE),"")</f>
        <v>1</v>
      </c>
      <c r="M941" s="1293"/>
      <c r="N941" s="1294">
        <v>1</v>
      </c>
      <c r="O941" s="1286">
        <f t="shared" si="1018"/>
        <v>1</v>
      </c>
      <c r="P941" s="1287">
        <f t="shared" si="1019"/>
        <v>1</v>
      </c>
      <c r="Q941" s="1281">
        <f t="shared" si="1020"/>
        <v>0</v>
      </c>
      <c r="R941" s="1288">
        <f t="shared" si="1021"/>
        <v>0</v>
      </c>
      <c r="S941" s="1289">
        <f t="shared" si="1008"/>
        <v>0</v>
      </c>
      <c r="T941" s="1289">
        <f t="shared" si="1009"/>
        <v>0</v>
      </c>
      <c r="U941" s="1290">
        <f t="shared" si="1010"/>
        <v>0</v>
      </c>
      <c r="V941" s="1290">
        <f t="shared" si="1011"/>
        <v>0</v>
      </c>
      <c r="W941" s="1290">
        <f t="shared" si="1012"/>
        <v>1</v>
      </c>
      <c r="X941" s="1290">
        <f t="shared" si="1013"/>
        <v>0</v>
      </c>
      <c r="Y941" s="396"/>
      <c r="Z941" s="1291" t="str">
        <f t="shared" si="1022"/>
        <v>0-ITS024A</v>
      </c>
      <c r="AA941" s="1291" t="str">
        <f t="shared" si="1023"/>
        <v>0-ITS024E</v>
      </c>
      <c r="AB941" s="1291" t="str">
        <f t="shared" si="1024"/>
        <v>0-ITS024M</v>
      </c>
      <c r="AC941" s="1291" t="str">
        <f t="shared" si="1025"/>
        <v>0-ITS024T</v>
      </c>
      <c r="AD941" s="1291" t="str">
        <f t="shared" si="1026"/>
        <v>0-ITS024S</v>
      </c>
      <c r="AE941" s="1291" t="str">
        <f t="shared" si="1027"/>
        <v>0-ITS024X</v>
      </c>
      <c r="AF941" s="1291" t="str">
        <f t="shared" si="1028"/>
        <v>0-ITS024S</v>
      </c>
      <c r="AG941" s="1291">
        <f t="shared" si="1014"/>
        <v>1</v>
      </c>
      <c r="AH941" s="1291">
        <f>IF(B941&lt;&gt;"",+IF(H941="x",+VLOOKUP(I941,'AUX-NIV2'!B:AG,32,FALSE),0),"")</f>
        <v>0</v>
      </c>
      <c r="AI941" s="1291" t="str">
        <f t="shared" si="1029"/>
        <v>0-ITS024</v>
      </c>
      <c r="AK941" s="347">
        <f t="shared" si="1015"/>
        <v>941</v>
      </c>
      <c r="AL941" s="348">
        <f t="shared" si="1030"/>
        <v>941</v>
      </c>
      <c r="AM941" s="347">
        <f t="shared" si="1031"/>
        <v>1</v>
      </c>
      <c r="AN941" s="382">
        <f>IF(AND(AH941&gt;0,B941&lt;&gt;""),VLOOKUP(I941,'AUX-NIV2'!$B:$AP,40,FALSE)*O941,0)</f>
        <v>0</v>
      </c>
      <c r="AO941" s="382">
        <f t="shared" si="1016"/>
        <v>0</v>
      </c>
      <c r="AQ941" s="395">
        <f>(IF($H941="x",VLOOKUP($I941,'AUX-NIV2'!$B:$X,'AUX-NIV1'!AQ$3,FALSE),0)+($AV941*'AUX-NIV3'!S$4))*$O941+IF($H941=AQ$4,$P941,0)</f>
        <v>0</v>
      </c>
      <c r="AR941" s="395">
        <f>(IF($H941="x",VLOOKUP($I941,'AUX-NIV2'!$B:$X,'AUX-NIV1'!AR$3,FALSE),0)+($AV941*'AUX-NIV3'!T$4))*$O941+IF($H941=AR$4,$P941,0)</f>
        <v>0</v>
      </c>
      <c r="AS941" s="395">
        <f>(IF($H941="x",VLOOKUP($I941,'AUX-NIV2'!$B:$X,'AUX-NIV1'!AS$3,FALSE),0)+($AV941*'AUX-NIV3'!U$4))*$O941+IF($H941=AS$4,$P941,0)</f>
        <v>0</v>
      </c>
      <c r="AT941" s="395">
        <f>(IF($H941="x",VLOOKUP($I941,'AUX-NIV2'!$B:$X,'AUX-NIV1'!AT$3,FALSE),0)+($AV941*'AUX-NIV3'!V$4))*$O941+IF($H941=AT$4,$P941,0)</f>
        <v>0</v>
      </c>
      <c r="AU941" s="395">
        <f>(IF($H941="x",VLOOKUP($I941,'AUX-NIV2'!$B:$X,'AUX-NIV1'!AU$3,FALSE),0)+($AV941*'AUX-NIV3'!W$4))*$O941+IF($H941=AU$4,$P941,0)</f>
        <v>1</v>
      </c>
      <c r="AV941" s="395">
        <f>+IF($H941="x",VLOOKUP($I941,'AUX-NIV2'!$B:$X,'AUX-NIV1'!AV$3,FALSE),0)</f>
        <v>0</v>
      </c>
    </row>
    <row r="942" spans="2:48" ht="14.4" hidden="1" thickTop="1" thickBot="1">
      <c r="B942" s="1433" t="s">
        <v>4158</v>
      </c>
      <c r="C942" s="1448" t="s">
        <v>3639</v>
      </c>
      <c r="D942" s="1435" t="s">
        <v>185</v>
      </c>
      <c r="E942" s="1281">
        <f>IF(B942&lt;&gt;"",+SUMIF(Items!C:C,'AUX-NIV1'!B942,Items!H:H),"")</f>
        <v>0</v>
      </c>
      <c r="F942" s="1281">
        <f t="shared" si="1006"/>
        <v>1</v>
      </c>
      <c r="G942" s="1281">
        <f t="shared" si="1007"/>
        <v>0</v>
      </c>
      <c r="H942" s="1395" t="str">
        <f t="shared" si="1017"/>
        <v>S</v>
      </c>
      <c r="I942" s="1462" t="s">
        <v>4194</v>
      </c>
      <c r="J942" s="1283" t="str">
        <f>IF(B942&lt;&gt;"",+VLOOKUP(I942,Recursos!C:F,2,FALSE),"")</f>
        <v>MODELO 3</v>
      </c>
      <c r="K942" s="1284" t="str">
        <f>IF(B942&lt;&gt;"",+VLOOKUP(I942,Recursos!C:F,3,FALSE),"")</f>
        <v>un</v>
      </c>
      <c r="L942" s="1285">
        <f>IF(B942&lt;&gt;"",+VLOOKUP(I942,Recursos!C:F,4,FALSE),"")</f>
        <v>1</v>
      </c>
      <c r="M942" s="1293"/>
      <c r="N942" s="1294">
        <v>1</v>
      </c>
      <c r="O942" s="1286">
        <f t="shared" si="1018"/>
        <v>1</v>
      </c>
      <c r="P942" s="1287">
        <f t="shared" si="1019"/>
        <v>1</v>
      </c>
      <c r="Q942" s="1281">
        <f t="shared" si="1020"/>
        <v>0</v>
      </c>
      <c r="R942" s="1288">
        <f t="shared" si="1021"/>
        <v>0</v>
      </c>
      <c r="S942" s="1289">
        <f t="shared" si="1008"/>
        <v>0</v>
      </c>
      <c r="T942" s="1289">
        <f t="shared" si="1009"/>
        <v>0</v>
      </c>
      <c r="U942" s="1290">
        <f t="shared" si="1010"/>
        <v>0</v>
      </c>
      <c r="V942" s="1290">
        <f t="shared" si="1011"/>
        <v>0</v>
      </c>
      <c r="W942" s="1290">
        <f t="shared" si="1012"/>
        <v>1</v>
      </c>
      <c r="X942" s="1290">
        <f t="shared" si="1013"/>
        <v>0</v>
      </c>
      <c r="Y942" s="396"/>
      <c r="Z942" s="1291" t="str">
        <f t="shared" si="1022"/>
        <v>0-ITS025A</v>
      </c>
      <c r="AA942" s="1291" t="str">
        <f t="shared" si="1023"/>
        <v>0-ITS025E</v>
      </c>
      <c r="AB942" s="1291" t="str">
        <f t="shared" si="1024"/>
        <v>0-ITS025M</v>
      </c>
      <c r="AC942" s="1291" t="str">
        <f t="shared" si="1025"/>
        <v>0-ITS025T</v>
      </c>
      <c r="AD942" s="1291" t="str">
        <f t="shared" si="1026"/>
        <v>0-ITS025S</v>
      </c>
      <c r="AE942" s="1291" t="str">
        <f t="shared" si="1027"/>
        <v>0-ITS025X</v>
      </c>
      <c r="AF942" s="1291" t="str">
        <f t="shared" si="1028"/>
        <v>0-ITS025S</v>
      </c>
      <c r="AG942" s="1291">
        <f t="shared" si="1014"/>
        <v>1</v>
      </c>
      <c r="AH942" s="1291">
        <f>IF(B942&lt;&gt;"",+IF(H942="x",+VLOOKUP(I942,'AUX-NIV2'!B:AG,32,FALSE),0),"")</f>
        <v>0</v>
      </c>
      <c r="AI942" s="1291" t="str">
        <f t="shared" si="1029"/>
        <v>0-ITS025</v>
      </c>
      <c r="AK942" s="347">
        <f t="shared" si="1015"/>
        <v>942</v>
      </c>
      <c r="AL942" s="348">
        <f t="shared" si="1030"/>
        <v>942</v>
      </c>
      <c r="AM942" s="347">
        <f t="shared" si="1031"/>
        <v>1</v>
      </c>
      <c r="AN942" s="382">
        <f>IF(AND(AH942&gt;0,B942&lt;&gt;""),VLOOKUP(I942,'AUX-NIV2'!$B:$AP,40,FALSE)*O942,0)</f>
        <v>0</v>
      </c>
      <c r="AO942" s="382">
        <f t="shared" si="1016"/>
        <v>0</v>
      </c>
      <c r="AQ942" s="395">
        <f>(IF($H942="x",VLOOKUP($I942,'AUX-NIV2'!$B:$X,'AUX-NIV1'!AQ$3,FALSE),0)+($AV942*'AUX-NIV3'!S$4))*$O942+IF($H942=AQ$4,$P942,0)</f>
        <v>0</v>
      </c>
      <c r="AR942" s="395">
        <f>(IF($H942="x",VLOOKUP($I942,'AUX-NIV2'!$B:$X,'AUX-NIV1'!AR$3,FALSE),0)+($AV942*'AUX-NIV3'!T$4))*$O942+IF($H942=AR$4,$P942,0)</f>
        <v>0</v>
      </c>
      <c r="AS942" s="395">
        <f>(IF($H942="x",VLOOKUP($I942,'AUX-NIV2'!$B:$X,'AUX-NIV1'!AS$3,FALSE),0)+($AV942*'AUX-NIV3'!U$4))*$O942+IF($H942=AS$4,$P942,0)</f>
        <v>0</v>
      </c>
      <c r="AT942" s="395">
        <f>(IF($H942="x",VLOOKUP($I942,'AUX-NIV2'!$B:$X,'AUX-NIV1'!AT$3,FALSE),0)+($AV942*'AUX-NIV3'!V$4))*$O942+IF($H942=AT$4,$P942,0)</f>
        <v>0</v>
      </c>
      <c r="AU942" s="395">
        <f>(IF($H942="x",VLOOKUP($I942,'AUX-NIV2'!$B:$X,'AUX-NIV1'!AU$3,FALSE),0)+($AV942*'AUX-NIV3'!W$4))*$O942+IF($H942=AU$4,$P942,0)</f>
        <v>1</v>
      </c>
      <c r="AV942" s="395">
        <f>+IF($H942="x",VLOOKUP($I942,'AUX-NIV2'!$B:$X,'AUX-NIV1'!AV$3,FALSE),0)</f>
        <v>0</v>
      </c>
    </row>
    <row r="943" spans="2:48" ht="14.4" hidden="1" thickTop="1" thickBot="1">
      <c r="B943" s="1433" t="s">
        <v>4159</v>
      </c>
      <c r="C943" s="1448" t="s">
        <v>3640</v>
      </c>
      <c r="D943" s="1435" t="s">
        <v>185</v>
      </c>
      <c r="E943" s="1281">
        <f>IF(B943&lt;&gt;"",+SUMIF(Items!C:C,'AUX-NIV1'!B943,Items!H:H),"")</f>
        <v>0</v>
      </c>
      <c r="F943" s="1281">
        <f t="shared" si="1006"/>
        <v>1</v>
      </c>
      <c r="G943" s="1281">
        <f t="shared" si="1007"/>
        <v>0</v>
      </c>
      <c r="H943" s="1395" t="str">
        <f t="shared" si="1017"/>
        <v>S</v>
      </c>
      <c r="I943" s="1462" t="s">
        <v>4195</v>
      </c>
      <c r="J943" s="1283" t="str">
        <f>IF(B943&lt;&gt;"",+VLOOKUP(I943,Recursos!C:F,2,FALSE),"")</f>
        <v>MODELO 4</v>
      </c>
      <c r="K943" s="1284" t="str">
        <f>IF(B943&lt;&gt;"",+VLOOKUP(I943,Recursos!C:F,3,FALSE),"")</f>
        <v>un</v>
      </c>
      <c r="L943" s="1285">
        <f>IF(B943&lt;&gt;"",+VLOOKUP(I943,Recursos!C:F,4,FALSE),"")</f>
        <v>1</v>
      </c>
      <c r="M943" s="1293"/>
      <c r="N943" s="1294">
        <v>1</v>
      </c>
      <c r="O943" s="1286">
        <f t="shared" si="1018"/>
        <v>1</v>
      </c>
      <c r="P943" s="1287">
        <f t="shared" si="1019"/>
        <v>1</v>
      </c>
      <c r="Q943" s="1281">
        <f t="shared" si="1020"/>
        <v>0</v>
      </c>
      <c r="R943" s="1288">
        <f t="shared" si="1021"/>
        <v>0</v>
      </c>
      <c r="S943" s="1289">
        <f t="shared" si="1008"/>
        <v>0</v>
      </c>
      <c r="T943" s="1289">
        <f t="shared" si="1009"/>
        <v>0</v>
      </c>
      <c r="U943" s="1290">
        <f t="shared" si="1010"/>
        <v>0</v>
      </c>
      <c r="V943" s="1290">
        <f t="shared" si="1011"/>
        <v>0</v>
      </c>
      <c r="W943" s="1290">
        <f t="shared" si="1012"/>
        <v>1</v>
      </c>
      <c r="X943" s="1290">
        <f t="shared" si="1013"/>
        <v>0</v>
      </c>
      <c r="Y943" s="396"/>
      <c r="Z943" s="1291" t="str">
        <f t="shared" si="1022"/>
        <v>0-ITS026A</v>
      </c>
      <c r="AA943" s="1291" t="str">
        <f t="shared" si="1023"/>
        <v>0-ITS026E</v>
      </c>
      <c r="AB943" s="1291" t="str">
        <f t="shared" si="1024"/>
        <v>0-ITS026M</v>
      </c>
      <c r="AC943" s="1291" t="str">
        <f t="shared" si="1025"/>
        <v>0-ITS026T</v>
      </c>
      <c r="AD943" s="1291" t="str">
        <f t="shared" si="1026"/>
        <v>0-ITS026S</v>
      </c>
      <c r="AE943" s="1291" t="str">
        <f t="shared" si="1027"/>
        <v>0-ITS026X</v>
      </c>
      <c r="AF943" s="1291" t="str">
        <f t="shared" si="1028"/>
        <v>0-ITS026S</v>
      </c>
      <c r="AG943" s="1291">
        <f t="shared" si="1014"/>
        <v>1</v>
      </c>
      <c r="AH943" s="1291">
        <f>IF(B943&lt;&gt;"",+IF(H943="x",+VLOOKUP(I943,'AUX-NIV2'!B:AG,32,FALSE),0),"")</f>
        <v>0</v>
      </c>
      <c r="AI943" s="1291" t="str">
        <f t="shared" si="1029"/>
        <v>0-ITS026</v>
      </c>
      <c r="AK943" s="347">
        <f t="shared" si="1015"/>
        <v>943</v>
      </c>
      <c r="AL943" s="348">
        <f t="shared" si="1030"/>
        <v>943</v>
      </c>
      <c r="AM943" s="347">
        <f t="shared" si="1031"/>
        <v>1</v>
      </c>
      <c r="AN943" s="382">
        <f>IF(AND(AH943&gt;0,B943&lt;&gt;""),VLOOKUP(I943,'AUX-NIV2'!$B:$AP,40,FALSE)*O943,0)</f>
        <v>0</v>
      </c>
      <c r="AO943" s="382">
        <f t="shared" si="1016"/>
        <v>0</v>
      </c>
      <c r="AQ943" s="395">
        <f>(IF($H943="x",VLOOKUP($I943,'AUX-NIV2'!$B:$X,'AUX-NIV1'!AQ$3,FALSE),0)+($AV943*'AUX-NIV3'!S$4))*$O943+IF($H943=AQ$4,$P943,0)</f>
        <v>0</v>
      </c>
      <c r="AR943" s="395">
        <f>(IF($H943="x",VLOOKUP($I943,'AUX-NIV2'!$B:$X,'AUX-NIV1'!AR$3,FALSE),0)+($AV943*'AUX-NIV3'!T$4))*$O943+IF($H943=AR$4,$P943,0)</f>
        <v>0</v>
      </c>
      <c r="AS943" s="395">
        <f>(IF($H943="x",VLOOKUP($I943,'AUX-NIV2'!$B:$X,'AUX-NIV1'!AS$3,FALSE),0)+($AV943*'AUX-NIV3'!U$4))*$O943+IF($H943=AS$4,$P943,0)</f>
        <v>0</v>
      </c>
      <c r="AT943" s="395">
        <f>(IF($H943="x",VLOOKUP($I943,'AUX-NIV2'!$B:$X,'AUX-NIV1'!AT$3,FALSE),0)+($AV943*'AUX-NIV3'!V$4))*$O943+IF($H943=AT$4,$P943,0)</f>
        <v>0</v>
      </c>
      <c r="AU943" s="395">
        <f>(IF($H943="x",VLOOKUP($I943,'AUX-NIV2'!$B:$X,'AUX-NIV1'!AU$3,FALSE),0)+($AV943*'AUX-NIV3'!W$4))*$O943+IF($H943=AU$4,$P943,0)</f>
        <v>1</v>
      </c>
      <c r="AV943" s="395">
        <f>+IF($H943="x",VLOOKUP($I943,'AUX-NIV2'!$B:$X,'AUX-NIV1'!AV$3,FALSE),0)</f>
        <v>0</v>
      </c>
    </row>
    <row r="944" spans="2:48" ht="14.4" hidden="1" thickTop="1" thickBot="1">
      <c r="B944" s="1433" t="s">
        <v>4160</v>
      </c>
      <c r="C944" s="1448" t="s">
        <v>3641</v>
      </c>
      <c r="D944" s="1435" t="s">
        <v>185</v>
      </c>
      <c r="E944" s="1281">
        <f>IF(B944&lt;&gt;"",+SUMIF(Items!C:C,'AUX-NIV1'!B944,Items!H:H),"")</f>
        <v>0</v>
      </c>
      <c r="F944" s="1281">
        <f t="shared" si="1006"/>
        <v>1</v>
      </c>
      <c r="G944" s="1281">
        <f t="shared" si="1007"/>
        <v>0</v>
      </c>
      <c r="H944" s="1395" t="str">
        <f t="shared" si="1017"/>
        <v>S</v>
      </c>
      <c r="I944" s="1462" t="s">
        <v>4196</v>
      </c>
      <c r="J944" s="1283" t="str">
        <f>IF(B944&lt;&gt;"",+VLOOKUP(I944,Recursos!C:F,2,FALSE),"")</f>
        <v>MODELO 5</v>
      </c>
      <c r="K944" s="1284" t="str">
        <f>IF(B944&lt;&gt;"",+VLOOKUP(I944,Recursos!C:F,3,FALSE),"")</f>
        <v>un</v>
      </c>
      <c r="L944" s="1285">
        <f>IF(B944&lt;&gt;"",+VLOOKUP(I944,Recursos!C:F,4,FALSE),"")</f>
        <v>1</v>
      </c>
      <c r="M944" s="1293"/>
      <c r="N944" s="1294">
        <v>1</v>
      </c>
      <c r="O944" s="1286">
        <f t="shared" si="1018"/>
        <v>1</v>
      </c>
      <c r="P944" s="1287">
        <f t="shared" si="1019"/>
        <v>1</v>
      </c>
      <c r="Q944" s="1281">
        <f t="shared" si="1020"/>
        <v>0</v>
      </c>
      <c r="R944" s="1288">
        <f t="shared" si="1021"/>
        <v>0</v>
      </c>
      <c r="S944" s="1289">
        <f t="shared" si="1008"/>
        <v>0</v>
      </c>
      <c r="T944" s="1289">
        <f t="shared" si="1009"/>
        <v>0</v>
      </c>
      <c r="U944" s="1290">
        <f t="shared" si="1010"/>
        <v>0</v>
      </c>
      <c r="V944" s="1290">
        <f t="shared" si="1011"/>
        <v>0</v>
      </c>
      <c r="W944" s="1290">
        <f t="shared" si="1012"/>
        <v>1</v>
      </c>
      <c r="X944" s="1290">
        <f t="shared" si="1013"/>
        <v>0</v>
      </c>
      <c r="Y944" s="396"/>
      <c r="Z944" s="1291" t="str">
        <f t="shared" si="1022"/>
        <v>0-ITS027A</v>
      </c>
      <c r="AA944" s="1291" t="str">
        <f t="shared" si="1023"/>
        <v>0-ITS027E</v>
      </c>
      <c r="AB944" s="1291" t="str">
        <f t="shared" si="1024"/>
        <v>0-ITS027M</v>
      </c>
      <c r="AC944" s="1291" t="str">
        <f t="shared" si="1025"/>
        <v>0-ITS027T</v>
      </c>
      <c r="AD944" s="1291" t="str">
        <f t="shared" si="1026"/>
        <v>0-ITS027S</v>
      </c>
      <c r="AE944" s="1291" t="str">
        <f t="shared" si="1027"/>
        <v>0-ITS027X</v>
      </c>
      <c r="AF944" s="1291" t="str">
        <f t="shared" si="1028"/>
        <v>0-ITS027S</v>
      </c>
      <c r="AG944" s="1291">
        <f t="shared" si="1014"/>
        <v>1</v>
      </c>
      <c r="AH944" s="1291">
        <f>IF(B944&lt;&gt;"",+IF(H944="x",+VLOOKUP(I944,'AUX-NIV2'!B:AG,32,FALSE),0),"")</f>
        <v>0</v>
      </c>
      <c r="AI944" s="1291" t="str">
        <f t="shared" si="1029"/>
        <v>0-ITS027</v>
      </c>
      <c r="AK944" s="347">
        <f t="shared" si="1015"/>
        <v>944</v>
      </c>
      <c r="AL944" s="348">
        <f t="shared" si="1030"/>
        <v>944</v>
      </c>
      <c r="AM944" s="347">
        <f t="shared" si="1031"/>
        <v>1</v>
      </c>
      <c r="AN944" s="382">
        <f>IF(AND(AH944&gt;0,B944&lt;&gt;""),VLOOKUP(I944,'AUX-NIV2'!$B:$AP,40,FALSE)*O944,0)</f>
        <v>0</v>
      </c>
      <c r="AO944" s="382">
        <f t="shared" si="1016"/>
        <v>0</v>
      </c>
      <c r="AQ944" s="395">
        <f>(IF($H944="x",VLOOKUP($I944,'AUX-NIV2'!$B:$X,'AUX-NIV1'!AQ$3,FALSE),0)+($AV944*'AUX-NIV3'!S$4))*$O944+IF($H944=AQ$4,$P944,0)</f>
        <v>0</v>
      </c>
      <c r="AR944" s="395">
        <f>(IF($H944="x",VLOOKUP($I944,'AUX-NIV2'!$B:$X,'AUX-NIV1'!AR$3,FALSE),0)+($AV944*'AUX-NIV3'!T$4))*$O944+IF($H944=AR$4,$P944,0)</f>
        <v>0</v>
      </c>
      <c r="AS944" s="395">
        <f>(IF($H944="x",VLOOKUP($I944,'AUX-NIV2'!$B:$X,'AUX-NIV1'!AS$3,FALSE),0)+($AV944*'AUX-NIV3'!U$4))*$O944+IF($H944=AS$4,$P944,0)</f>
        <v>0</v>
      </c>
      <c r="AT944" s="395">
        <f>(IF($H944="x",VLOOKUP($I944,'AUX-NIV2'!$B:$X,'AUX-NIV1'!AT$3,FALSE),0)+($AV944*'AUX-NIV3'!V$4))*$O944+IF($H944=AT$4,$P944,0)</f>
        <v>0</v>
      </c>
      <c r="AU944" s="395">
        <f>(IF($H944="x",VLOOKUP($I944,'AUX-NIV2'!$B:$X,'AUX-NIV1'!AU$3,FALSE),0)+($AV944*'AUX-NIV3'!W$4))*$O944+IF($H944=AU$4,$P944,0)</f>
        <v>1</v>
      </c>
      <c r="AV944" s="395">
        <f>+IF($H944="x",VLOOKUP($I944,'AUX-NIV2'!$B:$X,'AUX-NIV1'!AV$3,FALSE),0)</f>
        <v>0</v>
      </c>
    </row>
    <row r="945" spans="2:48" ht="14.4" hidden="1" thickTop="1" thickBot="1">
      <c r="B945" s="1433" t="s">
        <v>4161</v>
      </c>
      <c r="C945" s="1448" t="s">
        <v>3642</v>
      </c>
      <c r="D945" s="1435" t="s">
        <v>185</v>
      </c>
      <c r="E945" s="1281">
        <f>IF(B945&lt;&gt;"",+SUMIF(Items!C:C,'AUX-NIV1'!B945,Items!H:H),"")</f>
        <v>0</v>
      </c>
      <c r="F945" s="1281">
        <f t="shared" si="1006"/>
        <v>1</v>
      </c>
      <c r="G945" s="1281">
        <f t="shared" si="1007"/>
        <v>0</v>
      </c>
      <c r="H945" s="1395" t="str">
        <f t="shared" si="1017"/>
        <v>S</v>
      </c>
      <c r="I945" s="1462" t="s">
        <v>4197</v>
      </c>
      <c r="J945" s="1283" t="str">
        <f>IF(B945&lt;&gt;"",+VLOOKUP(I945,Recursos!C:F,2,FALSE),"")</f>
        <v>MODELO 6</v>
      </c>
      <c r="K945" s="1284" t="str">
        <f>IF(B945&lt;&gt;"",+VLOOKUP(I945,Recursos!C:F,3,FALSE),"")</f>
        <v>un</v>
      </c>
      <c r="L945" s="1285">
        <f>IF(B945&lt;&gt;"",+VLOOKUP(I945,Recursos!C:F,4,FALSE),"")</f>
        <v>1</v>
      </c>
      <c r="M945" s="1293"/>
      <c r="N945" s="1294">
        <v>1</v>
      </c>
      <c r="O945" s="1286">
        <f t="shared" si="1018"/>
        <v>1</v>
      </c>
      <c r="P945" s="1287">
        <f t="shared" si="1019"/>
        <v>1</v>
      </c>
      <c r="Q945" s="1281">
        <f t="shared" si="1020"/>
        <v>0</v>
      </c>
      <c r="R945" s="1288">
        <f t="shared" si="1021"/>
        <v>0</v>
      </c>
      <c r="S945" s="1289">
        <f t="shared" si="1008"/>
        <v>0</v>
      </c>
      <c r="T945" s="1289">
        <f t="shared" si="1009"/>
        <v>0</v>
      </c>
      <c r="U945" s="1290">
        <f t="shared" si="1010"/>
        <v>0</v>
      </c>
      <c r="V945" s="1290">
        <f t="shared" si="1011"/>
        <v>0</v>
      </c>
      <c r="W945" s="1290">
        <f t="shared" si="1012"/>
        <v>1</v>
      </c>
      <c r="X945" s="1290">
        <f t="shared" si="1013"/>
        <v>0</v>
      </c>
      <c r="Y945" s="396"/>
      <c r="Z945" s="1291" t="str">
        <f t="shared" si="1022"/>
        <v>0-ITS028A</v>
      </c>
      <c r="AA945" s="1291" t="str">
        <f t="shared" si="1023"/>
        <v>0-ITS028E</v>
      </c>
      <c r="AB945" s="1291" t="str">
        <f t="shared" si="1024"/>
        <v>0-ITS028M</v>
      </c>
      <c r="AC945" s="1291" t="str">
        <f t="shared" si="1025"/>
        <v>0-ITS028T</v>
      </c>
      <c r="AD945" s="1291" t="str">
        <f t="shared" si="1026"/>
        <v>0-ITS028S</v>
      </c>
      <c r="AE945" s="1291" t="str">
        <f t="shared" si="1027"/>
        <v>0-ITS028X</v>
      </c>
      <c r="AF945" s="1291" t="str">
        <f t="shared" si="1028"/>
        <v>0-ITS028S</v>
      </c>
      <c r="AG945" s="1291">
        <f t="shared" si="1014"/>
        <v>1</v>
      </c>
      <c r="AH945" s="1291">
        <f>IF(B945&lt;&gt;"",+IF(H945="x",+VLOOKUP(I945,'AUX-NIV2'!B:AG,32,FALSE),0),"")</f>
        <v>0</v>
      </c>
      <c r="AI945" s="1291" t="str">
        <f t="shared" si="1029"/>
        <v>0-ITS028</v>
      </c>
      <c r="AK945" s="347">
        <f t="shared" si="1015"/>
        <v>945</v>
      </c>
      <c r="AL945" s="348">
        <f t="shared" si="1030"/>
        <v>945</v>
      </c>
      <c r="AM945" s="347">
        <f t="shared" si="1031"/>
        <v>1</v>
      </c>
      <c r="AN945" s="382">
        <f>IF(AND(AH945&gt;0,B945&lt;&gt;""),VLOOKUP(I945,'AUX-NIV2'!$B:$AP,40,FALSE)*O945,0)</f>
        <v>0</v>
      </c>
      <c r="AO945" s="382">
        <f t="shared" si="1016"/>
        <v>0</v>
      </c>
      <c r="AQ945" s="395">
        <f>(IF($H945="x",VLOOKUP($I945,'AUX-NIV2'!$B:$X,'AUX-NIV1'!AQ$3,FALSE),0)+($AV945*'AUX-NIV3'!S$4))*$O945+IF($H945=AQ$4,$P945,0)</f>
        <v>0</v>
      </c>
      <c r="AR945" s="395">
        <f>(IF($H945="x",VLOOKUP($I945,'AUX-NIV2'!$B:$X,'AUX-NIV1'!AR$3,FALSE),0)+($AV945*'AUX-NIV3'!T$4))*$O945+IF($H945=AR$4,$P945,0)</f>
        <v>0</v>
      </c>
      <c r="AS945" s="395">
        <f>(IF($H945="x",VLOOKUP($I945,'AUX-NIV2'!$B:$X,'AUX-NIV1'!AS$3,FALSE),0)+($AV945*'AUX-NIV3'!U$4))*$O945+IF($H945=AS$4,$P945,0)</f>
        <v>0</v>
      </c>
      <c r="AT945" s="395">
        <f>(IF($H945="x",VLOOKUP($I945,'AUX-NIV2'!$B:$X,'AUX-NIV1'!AT$3,FALSE),0)+($AV945*'AUX-NIV3'!V$4))*$O945+IF($H945=AT$4,$P945,0)</f>
        <v>0</v>
      </c>
      <c r="AU945" s="395">
        <f>(IF($H945="x",VLOOKUP($I945,'AUX-NIV2'!$B:$X,'AUX-NIV1'!AU$3,FALSE),0)+($AV945*'AUX-NIV3'!W$4))*$O945+IF($H945=AU$4,$P945,0)</f>
        <v>1</v>
      </c>
      <c r="AV945" s="395">
        <f>+IF($H945="x",VLOOKUP($I945,'AUX-NIV2'!$B:$X,'AUX-NIV1'!AV$3,FALSE),0)</f>
        <v>0</v>
      </c>
    </row>
    <row r="946" spans="2:48" ht="14.4" hidden="1" thickTop="1" thickBot="1">
      <c r="B946" s="1433" t="s">
        <v>4162</v>
      </c>
      <c r="C946" s="1448" t="s">
        <v>3643</v>
      </c>
      <c r="D946" s="1435" t="s">
        <v>185</v>
      </c>
      <c r="E946" s="1281">
        <f>IF(B946&lt;&gt;"",+SUMIF(Items!C:C,'AUX-NIV1'!B946,Items!H:H),"")</f>
        <v>0</v>
      </c>
      <c r="F946" s="1281">
        <f t="shared" si="1006"/>
        <v>1</v>
      </c>
      <c r="G946" s="1281">
        <f t="shared" si="1007"/>
        <v>0</v>
      </c>
      <c r="H946" s="1395" t="str">
        <f t="shared" si="1017"/>
        <v>S</v>
      </c>
      <c r="I946" s="1462" t="s">
        <v>4198</v>
      </c>
      <c r="J946" s="1283" t="str">
        <f>IF(B946&lt;&gt;"",+VLOOKUP(I946,Recursos!C:F,2,FALSE),"")</f>
        <v>MODELO 7</v>
      </c>
      <c r="K946" s="1284" t="str">
        <f>IF(B946&lt;&gt;"",+VLOOKUP(I946,Recursos!C:F,3,FALSE),"")</f>
        <v>un</v>
      </c>
      <c r="L946" s="1285">
        <f>IF(B946&lt;&gt;"",+VLOOKUP(I946,Recursos!C:F,4,FALSE),"")</f>
        <v>1</v>
      </c>
      <c r="M946" s="1293"/>
      <c r="N946" s="1294">
        <v>1</v>
      </c>
      <c r="O946" s="1286">
        <f t="shared" si="1018"/>
        <v>1</v>
      </c>
      <c r="P946" s="1287">
        <f t="shared" si="1019"/>
        <v>1</v>
      </c>
      <c r="Q946" s="1281">
        <f t="shared" si="1020"/>
        <v>0</v>
      </c>
      <c r="R946" s="1288">
        <f t="shared" si="1021"/>
        <v>0</v>
      </c>
      <c r="S946" s="1289">
        <f t="shared" si="1008"/>
        <v>0</v>
      </c>
      <c r="T946" s="1289">
        <f t="shared" si="1009"/>
        <v>0</v>
      </c>
      <c r="U946" s="1290">
        <f t="shared" si="1010"/>
        <v>0</v>
      </c>
      <c r="V946" s="1290">
        <f t="shared" si="1011"/>
        <v>0</v>
      </c>
      <c r="W946" s="1290">
        <f t="shared" si="1012"/>
        <v>1</v>
      </c>
      <c r="X946" s="1290">
        <f t="shared" si="1013"/>
        <v>0</v>
      </c>
      <c r="Y946" s="396"/>
      <c r="Z946" s="1291" t="str">
        <f t="shared" si="1022"/>
        <v>0-ITS029A</v>
      </c>
      <c r="AA946" s="1291" t="str">
        <f t="shared" si="1023"/>
        <v>0-ITS029E</v>
      </c>
      <c r="AB946" s="1291" t="str">
        <f t="shared" si="1024"/>
        <v>0-ITS029M</v>
      </c>
      <c r="AC946" s="1291" t="str">
        <f t="shared" si="1025"/>
        <v>0-ITS029T</v>
      </c>
      <c r="AD946" s="1291" t="str">
        <f t="shared" si="1026"/>
        <v>0-ITS029S</v>
      </c>
      <c r="AE946" s="1291" t="str">
        <f t="shared" si="1027"/>
        <v>0-ITS029X</v>
      </c>
      <c r="AF946" s="1291" t="str">
        <f t="shared" si="1028"/>
        <v>0-ITS029S</v>
      </c>
      <c r="AG946" s="1291">
        <f t="shared" si="1014"/>
        <v>1</v>
      </c>
      <c r="AH946" s="1291">
        <f>IF(B946&lt;&gt;"",+IF(H946="x",+VLOOKUP(I946,'AUX-NIV2'!B:AG,32,FALSE),0),"")</f>
        <v>0</v>
      </c>
      <c r="AI946" s="1291" t="str">
        <f t="shared" si="1029"/>
        <v>0-ITS029</v>
      </c>
      <c r="AK946" s="347">
        <f t="shared" si="1015"/>
        <v>946</v>
      </c>
      <c r="AL946" s="348">
        <f t="shared" si="1030"/>
        <v>946</v>
      </c>
      <c r="AM946" s="347">
        <f t="shared" si="1031"/>
        <v>1</v>
      </c>
      <c r="AN946" s="382">
        <f>IF(AND(AH946&gt;0,B946&lt;&gt;""),VLOOKUP(I946,'AUX-NIV2'!$B:$AP,40,FALSE)*O946,0)</f>
        <v>0</v>
      </c>
      <c r="AO946" s="382">
        <f t="shared" si="1016"/>
        <v>0</v>
      </c>
      <c r="AQ946" s="395">
        <f>(IF($H946="x",VLOOKUP($I946,'AUX-NIV2'!$B:$X,'AUX-NIV1'!AQ$3,FALSE),0)+($AV946*'AUX-NIV3'!S$4))*$O946+IF($H946=AQ$4,$P946,0)</f>
        <v>0</v>
      </c>
      <c r="AR946" s="395">
        <f>(IF($H946="x",VLOOKUP($I946,'AUX-NIV2'!$B:$X,'AUX-NIV1'!AR$3,FALSE),0)+($AV946*'AUX-NIV3'!T$4))*$O946+IF($H946=AR$4,$P946,0)</f>
        <v>0</v>
      </c>
      <c r="AS946" s="395">
        <f>(IF($H946="x",VLOOKUP($I946,'AUX-NIV2'!$B:$X,'AUX-NIV1'!AS$3,FALSE),0)+($AV946*'AUX-NIV3'!U$4))*$O946+IF($H946=AS$4,$P946,0)</f>
        <v>0</v>
      </c>
      <c r="AT946" s="395">
        <f>(IF($H946="x",VLOOKUP($I946,'AUX-NIV2'!$B:$X,'AUX-NIV1'!AT$3,FALSE),0)+($AV946*'AUX-NIV3'!V$4))*$O946+IF($H946=AT$4,$P946,0)</f>
        <v>0</v>
      </c>
      <c r="AU946" s="395">
        <f>(IF($H946="x",VLOOKUP($I946,'AUX-NIV2'!$B:$X,'AUX-NIV1'!AU$3,FALSE),0)+($AV946*'AUX-NIV3'!W$4))*$O946+IF($H946=AU$4,$P946,0)</f>
        <v>1</v>
      </c>
      <c r="AV946" s="395">
        <f>+IF($H946="x",VLOOKUP($I946,'AUX-NIV2'!$B:$X,'AUX-NIV1'!AV$3,FALSE),0)</f>
        <v>0</v>
      </c>
    </row>
    <row r="947" spans="2:48" ht="14.4" hidden="1" thickTop="1" thickBot="1">
      <c r="B947" s="501" t="s">
        <v>4163</v>
      </c>
      <c r="C947" s="951" t="s">
        <v>3644</v>
      </c>
      <c r="D947" s="1280" t="s">
        <v>185</v>
      </c>
      <c r="E947" s="1281">
        <f>IF(B947&lt;&gt;"",+SUMIF(Items!C:C,'AUX-NIV1'!B947,Items!H:H),"")</f>
        <v>0</v>
      </c>
      <c r="F947" s="1281">
        <f t="shared" si="1006"/>
        <v>1</v>
      </c>
      <c r="G947" s="1281">
        <f t="shared" si="1007"/>
        <v>0</v>
      </c>
      <c r="H947" s="1395" t="str">
        <f t="shared" si="1017"/>
        <v>S</v>
      </c>
      <c r="I947" s="1462" t="s">
        <v>4199</v>
      </c>
      <c r="J947" s="1283" t="str">
        <f>IF(B947&lt;&gt;"",+VLOOKUP(I947,Recursos!C:F,2,FALSE),"")</f>
        <v>MODELO 8</v>
      </c>
      <c r="K947" s="1284" t="str">
        <f>IF(B947&lt;&gt;"",+VLOOKUP(I947,Recursos!C:F,3,FALSE),"")</f>
        <v>un</v>
      </c>
      <c r="L947" s="1285">
        <f>IF(B947&lt;&gt;"",+VLOOKUP(I947,Recursos!C:F,4,FALSE),"")</f>
        <v>1</v>
      </c>
      <c r="M947" s="1293"/>
      <c r="N947" s="1294">
        <v>1</v>
      </c>
      <c r="O947" s="1286">
        <f t="shared" si="1018"/>
        <v>1</v>
      </c>
      <c r="P947" s="1287">
        <f t="shared" si="1019"/>
        <v>1</v>
      </c>
      <c r="Q947" s="1281">
        <f t="shared" si="1020"/>
        <v>0</v>
      </c>
      <c r="R947" s="1288">
        <f t="shared" si="1021"/>
        <v>0</v>
      </c>
      <c r="S947" s="1289">
        <f t="shared" si="1008"/>
        <v>0</v>
      </c>
      <c r="T947" s="1289">
        <f t="shared" si="1009"/>
        <v>0</v>
      </c>
      <c r="U947" s="1290">
        <f t="shared" si="1010"/>
        <v>0</v>
      </c>
      <c r="V947" s="1290">
        <f t="shared" si="1011"/>
        <v>0</v>
      </c>
      <c r="W947" s="1290">
        <f t="shared" si="1012"/>
        <v>1</v>
      </c>
      <c r="X947" s="1290">
        <f t="shared" si="1013"/>
        <v>0</v>
      </c>
      <c r="Y947" s="396"/>
      <c r="Z947" s="1291" t="str">
        <f t="shared" si="1022"/>
        <v>0-ITS030A</v>
      </c>
      <c r="AA947" s="1291" t="str">
        <f t="shared" si="1023"/>
        <v>0-ITS030E</v>
      </c>
      <c r="AB947" s="1291" t="str">
        <f t="shared" si="1024"/>
        <v>0-ITS030M</v>
      </c>
      <c r="AC947" s="1291" t="str">
        <f t="shared" si="1025"/>
        <v>0-ITS030T</v>
      </c>
      <c r="AD947" s="1291" t="str">
        <f t="shared" si="1026"/>
        <v>0-ITS030S</v>
      </c>
      <c r="AE947" s="1291" t="str">
        <f t="shared" si="1027"/>
        <v>0-ITS030X</v>
      </c>
      <c r="AF947" s="1291" t="str">
        <f t="shared" si="1028"/>
        <v>0-ITS030S</v>
      </c>
      <c r="AG947" s="1291">
        <f t="shared" si="1014"/>
        <v>1</v>
      </c>
      <c r="AH947" s="1291">
        <f>IF(B947&lt;&gt;"",+IF(H947="x",+VLOOKUP(I947,'AUX-NIV2'!B:AG,32,FALSE),0),"")</f>
        <v>0</v>
      </c>
      <c r="AI947" s="1291" t="str">
        <f t="shared" si="1029"/>
        <v>0-ITS030</v>
      </c>
      <c r="AK947" s="347">
        <f t="shared" si="1015"/>
        <v>947</v>
      </c>
      <c r="AL947" s="348">
        <f t="shared" si="1030"/>
        <v>947</v>
      </c>
      <c r="AM947" s="347">
        <f t="shared" si="1031"/>
        <v>1</v>
      </c>
      <c r="AN947" s="382">
        <f>IF(AND(AH947&gt;0,B947&lt;&gt;""),VLOOKUP(I947,'AUX-NIV2'!$B:$AP,40,FALSE)*O947,0)</f>
        <v>0</v>
      </c>
      <c r="AO947" s="382">
        <f t="shared" si="1016"/>
        <v>0</v>
      </c>
      <c r="AQ947" s="395">
        <f>(IF($H947="x",VLOOKUP($I947,'AUX-NIV2'!$B:$X,'AUX-NIV1'!AQ$3,FALSE),0)+($AV947*'AUX-NIV3'!S$4))*$O947+IF($H947=AQ$4,$P947,0)</f>
        <v>0</v>
      </c>
      <c r="AR947" s="395">
        <f>(IF($H947="x",VLOOKUP($I947,'AUX-NIV2'!$B:$X,'AUX-NIV1'!AR$3,FALSE),0)+($AV947*'AUX-NIV3'!T$4))*$O947+IF($H947=AR$4,$P947,0)</f>
        <v>0</v>
      </c>
      <c r="AS947" s="395">
        <f>(IF($H947="x",VLOOKUP($I947,'AUX-NIV2'!$B:$X,'AUX-NIV1'!AS$3,FALSE),0)+($AV947*'AUX-NIV3'!U$4))*$O947+IF($H947=AS$4,$P947,0)</f>
        <v>0</v>
      </c>
      <c r="AT947" s="395">
        <f>(IF($H947="x",VLOOKUP($I947,'AUX-NIV2'!$B:$X,'AUX-NIV1'!AT$3,FALSE),0)+($AV947*'AUX-NIV3'!V$4))*$O947+IF($H947=AT$4,$P947,0)</f>
        <v>0</v>
      </c>
      <c r="AU947" s="395">
        <f>(IF($H947="x",VLOOKUP($I947,'AUX-NIV2'!$B:$X,'AUX-NIV1'!AU$3,FALSE),0)+($AV947*'AUX-NIV3'!W$4))*$O947+IF($H947=AU$4,$P947,0)</f>
        <v>1</v>
      </c>
      <c r="AV947" s="395">
        <f>+IF($H947="x",VLOOKUP($I947,'AUX-NIV2'!$B:$X,'AUX-NIV1'!AV$3,FALSE),0)</f>
        <v>0</v>
      </c>
    </row>
    <row r="948" spans="2:48" ht="14.4" hidden="1" thickTop="1" thickBot="1">
      <c r="B948" s="501" t="s">
        <v>4164</v>
      </c>
      <c r="C948" s="951" t="s">
        <v>3645</v>
      </c>
      <c r="D948" s="1280" t="s">
        <v>185</v>
      </c>
      <c r="E948" s="1281">
        <f>IF(B948&lt;&gt;"",+SUMIF(Items!C:C,'AUX-NIV1'!B948,Items!H:H),"")</f>
        <v>0</v>
      </c>
      <c r="F948" s="1281">
        <f t="shared" si="1006"/>
        <v>1</v>
      </c>
      <c r="G948" s="1281">
        <f t="shared" si="1007"/>
        <v>0</v>
      </c>
      <c r="H948" s="1395" t="str">
        <f t="shared" si="1017"/>
        <v>S</v>
      </c>
      <c r="I948" s="1462" t="s">
        <v>4200</v>
      </c>
      <c r="J948" s="1283" t="str">
        <f>IF(B948&lt;&gt;"",+VLOOKUP(I948,Recursos!C:F,2,FALSE),"")</f>
        <v>MODELO 9</v>
      </c>
      <c r="K948" s="1284" t="str">
        <f>IF(B948&lt;&gt;"",+VLOOKUP(I948,Recursos!C:F,3,FALSE),"")</f>
        <v>un</v>
      </c>
      <c r="L948" s="1285">
        <f>IF(B948&lt;&gt;"",+VLOOKUP(I948,Recursos!C:F,4,FALSE),"")</f>
        <v>1</v>
      </c>
      <c r="M948" s="1293"/>
      <c r="N948" s="1294">
        <v>1</v>
      </c>
      <c r="O948" s="1286">
        <f t="shared" si="1018"/>
        <v>1</v>
      </c>
      <c r="P948" s="1287">
        <f t="shared" si="1019"/>
        <v>1</v>
      </c>
      <c r="Q948" s="1281">
        <f t="shared" si="1020"/>
        <v>0</v>
      </c>
      <c r="R948" s="1288">
        <f t="shared" si="1021"/>
        <v>0</v>
      </c>
      <c r="S948" s="1289">
        <f t="shared" si="1008"/>
        <v>0</v>
      </c>
      <c r="T948" s="1289">
        <f t="shared" si="1009"/>
        <v>0</v>
      </c>
      <c r="U948" s="1290">
        <f t="shared" si="1010"/>
        <v>0</v>
      </c>
      <c r="V948" s="1290">
        <f t="shared" si="1011"/>
        <v>0</v>
      </c>
      <c r="W948" s="1290">
        <f t="shared" si="1012"/>
        <v>1</v>
      </c>
      <c r="X948" s="1290">
        <f t="shared" si="1013"/>
        <v>0</v>
      </c>
      <c r="Y948" s="396"/>
      <c r="Z948" s="1291" t="str">
        <f t="shared" si="1022"/>
        <v>0-ITS031A</v>
      </c>
      <c r="AA948" s="1291" t="str">
        <f t="shared" si="1023"/>
        <v>0-ITS031E</v>
      </c>
      <c r="AB948" s="1291" t="str">
        <f t="shared" si="1024"/>
        <v>0-ITS031M</v>
      </c>
      <c r="AC948" s="1291" t="str">
        <f t="shared" si="1025"/>
        <v>0-ITS031T</v>
      </c>
      <c r="AD948" s="1291" t="str">
        <f t="shared" si="1026"/>
        <v>0-ITS031S</v>
      </c>
      <c r="AE948" s="1291" t="str">
        <f t="shared" si="1027"/>
        <v>0-ITS031X</v>
      </c>
      <c r="AF948" s="1291" t="str">
        <f t="shared" si="1028"/>
        <v>0-ITS031S</v>
      </c>
      <c r="AG948" s="1291">
        <f t="shared" si="1014"/>
        <v>1</v>
      </c>
      <c r="AH948" s="1291">
        <f>IF(B948&lt;&gt;"",+IF(H948="x",+VLOOKUP(I948,'AUX-NIV2'!B:AG,32,FALSE),0),"")</f>
        <v>0</v>
      </c>
      <c r="AI948" s="1291" t="str">
        <f t="shared" si="1029"/>
        <v>0-ITS031</v>
      </c>
      <c r="AK948" s="347">
        <f t="shared" si="1015"/>
        <v>948</v>
      </c>
      <c r="AL948" s="348">
        <f t="shared" si="1030"/>
        <v>948</v>
      </c>
      <c r="AM948" s="347">
        <f t="shared" si="1031"/>
        <v>1</v>
      </c>
      <c r="AN948" s="382">
        <f>IF(AND(AH948&gt;0,B948&lt;&gt;""),VLOOKUP(I948,'AUX-NIV2'!$B:$AP,40,FALSE)*O948,0)</f>
        <v>0</v>
      </c>
      <c r="AO948" s="382">
        <f t="shared" si="1016"/>
        <v>0</v>
      </c>
      <c r="AQ948" s="395">
        <f>(IF($H948="x",VLOOKUP($I948,'AUX-NIV2'!$B:$X,'AUX-NIV1'!AQ$3,FALSE),0)+($AV948*'AUX-NIV3'!S$4))*$O948+IF($H948=AQ$4,$P948,0)</f>
        <v>0</v>
      </c>
      <c r="AR948" s="395">
        <f>(IF($H948="x",VLOOKUP($I948,'AUX-NIV2'!$B:$X,'AUX-NIV1'!AR$3,FALSE),0)+($AV948*'AUX-NIV3'!T$4))*$O948+IF($H948=AR$4,$P948,0)</f>
        <v>0</v>
      </c>
      <c r="AS948" s="395">
        <f>(IF($H948="x",VLOOKUP($I948,'AUX-NIV2'!$B:$X,'AUX-NIV1'!AS$3,FALSE),0)+($AV948*'AUX-NIV3'!U$4))*$O948+IF($H948=AS$4,$P948,0)</f>
        <v>0</v>
      </c>
      <c r="AT948" s="395">
        <f>(IF($H948="x",VLOOKUP($I948,'AUX-NIV2'!$B:$X,'AUX-NIV1'!AT$3,FALSE),0)+($AV948*'AUX-NIV3'!V$4))*$O948+IF($H948=AT$4,$P948,0)</f>
        <v>0</v>
      </c>
      <c r="AU948" s="395">
        <f>(IF($H948="x",VLOOKUP($I948,'AUX-NIV2'!$B:$X,'AUX-NIV1'!AU$3,FALSE),0)+($AV948*'AUX-NIV3'!W$4))*$O948+IF($H948=AU$4,$P948,0)</f>
        <v>1</v>
      </c>
      <c r="AV948" s="395">
        <f>+IF($H948="x",VLOOKUP($I948,'AUX-NIV2'!$B:$X,'AUX-NIV1'!AV$3,FALSE),0)</f>
        <v>0</v>
      </c>
    </row>
    <row r="949" spans="2:48" ht="14.4" hidden="1" thickTop="1" thickBot="1">
      <c r="B949" s="501" t="s">
        <v>4165</v>
      </c>
      <c r="C949" s="951" t="s">
        <v>3646</v>
      </c>
      <c r="D949" s="1280" t="s">
        <v>185</v>
      </c>
      <c r="E949" s="1281">
        <f>IF(B949&lt;&gt;"",+SUMIF(Items!C:C,'AUX-NIV1'!B949,Items!H:H),"")</f>
        <v>0</v>
      </c>
      <c r="F949" s="1281">
        <f t="shared" si="1006"/>
        <v>1</v>
      </c>
      <c r="G949" s="1281">
        <f t="shared" si="1007"/>
        <v>0</v>
      </c>
      <c r="H949" s="1395" t="str">
        <f t="shared" si="1017"/>
        <v>S</v>
      </c>
      <c r="I949" s="1462" t="s">
        <v>4201</v>
      </c>
      <c r="J949" s="1283" t="str">
        <f>IF(B949&lt;&gt;"",+VLOOKUP(I949,Recursos!C:F,2,FALSE),"")</f>
        <v>MODELO A   Sist luz Emergencia ATOMLUX  1610 o similar</v>
      </c>
      <c r="K949" s="1284" t="str">
        <f>IF(B949&lt;&gt;"",+VLOOKUP(I949,Recursos!C:F,3,FALSE),"")</f>
        <v>un</v>
      </c>
      <c r="L949" s="1285">
        <f>IF(B949&lt;&gt;"",+VLOOKUP(I949,Recursos!C:F,4,FALSE),"")</f>
        <v>1</v>
      </c>
      <c r="M949" s="1293"/>
      <c r="N949" s="1294">
        <v>1</v>
      </c>
      <c r="O949" s="1286">
        <f t="shared" si="1018"/>
        <v>1</v>
      </c>
      <c r="P949" s="1287">
        <f t="shared" si="1019"/>
        <v>1</v>
      </c>
      <c r="Q949" s="1281">
        <f t="shared" si="1020"/>
        <v>0</v>
      </c>
      <c r="R949" s="1288">
        <f t="shared" si="1021"/>
        <v>0</v>
      </c>
      <c r="S949" s="1289">
        <f t="shared" si="1008"/>
        <v>0</v>
      </c>
      <c r="T949" s="1289">
        <f t="shared" si="1009"/>
        <v>0</v>
      </c>
      <c r="U949" s="1290">
        <f t="shared" si="1010"/>
        <v>0</v>
      </c>
      <c r="V949" s="1290">
        <f t="shared" si="1011"/>
        <v>0</v>
      </c>
      <c r="W949" s="1290">
        <f t="shared" si="1012"/>
        <v>1</v>
      </c>
      <c r="X949" s="1290">
        <f t="shared" si="1013"/>
        <v>0</v>
      </c>
      <c r="Y949" s="396"/>
      <c r="Z949" s="1291" t="str">
        <f t="shared" si="1022"/>
        <v>0-ITS032A</v>
      </c>
      <c r="AA949" s="1291" t="str">
        <f t="shared" si="1023"/>
        <v>0-ITS032E</v>
      </c>
      <c r="AB949" s="1291" t="str">
        <f t="shared" si="1024"/>
        <v>0-ITS032M</v>
      </c>
      <c r="AC949" s="1291" t="str">
        <f t="shared" si="1025"/>
        <v>0-ITS032T</v>
      </c>
      <c r="AD949" s="1291" t="str">
        <f t="shared" si="1026"/>
        <v>0-ITS032S</v>
      </c>
      <c r="AE949" s="1291" t="str">
        <f t="shared" si="1027"/>
        <v>0-ITS032X</v>
      </c>
      <c r="AF949" s="1291" t="str">
        <f t="shared" si="1028"/>
        <v>0-ITS032S</v>
      </c>
      <c r="AG949" s="1291">
        <f t="shared" si="1014"/>
        <v>1</v>
      </c>
      <c r="AH949" s="1291">
        <f>IF(B949&lt;&gt;"",+IF(H949="x",+VLOOKUP(I949,'AUX-NIV2'!B:AG,32,FALSE),0),"")</f>
        <v>0</v>
      </c>
      <c r="AI949" s="1291" t="str">
        <f t="shared" si="1029"/>
        <v>0-ITS032</v>
      </c>
      <c r="AK949" s="347">
        <f t="shared" si="1015"/>
        <v>949</v>
      </c>
      <c r="AL949" s="348">
        <f t="shared" si="1030"/>
        <v>949</v>
      </c>
      <c r="AM949" s="347">
        <f t="shared" si="1031"/>
        <v>1</v>
      </c>
      <c r="AN949" s="382">
        <f>IF(AND(AH949&gt;0,B949&lt;&gt;""),VLOOKUP(I949,'AUX-NIV2'!$B:$AP,40,FALSE)*O949,0)</f>
        <v>0</v>
      </c>
      <c r="AO949" s="382">
        <f t="shared" si="1016"/>
        <v>0</v>
      </c>
      <c r="AQ949" s="395">
        <f>(IF($H949="x",VLOOKUP($I949,'AUX-NIV2'!$B:$X,'AUX-NIV1'!AQ$3,FALSE),0)+($AV949*'AUX-NIV3'!S$4))*$O949+IF($H949=AQ$4,$P949,0)</f>
        <v>0</v>
      </c>
      <c r="AR949" s="395">
        <f>(IF($H949="x",VLOOKUP($I949,'AUX-NIV2'!$B:$X,'AUX-NIV1'!AR$3,FALSE),0)+($AV949*'AUX-NIV3'!T$4))*$O949+IF($H949=AR$4,$P949,0)</f>
        <v>0</v>
      </c>
      <c r="AS949" s="395">
        <f>(IF($H949="x",VLOOKUP($I949,'AUX-NIV2'!$B:$X,'AUX-NIV1'!AS$3,FALSE),0)+($AV949*'AUX-NIV3'!U$4))*$O949+IF($H949=AS$4,$P949,0)</f>
        <v>0</v>
      </c>
      <c r="AT949" s="395">
        <f>(IF($H949="x",VLOOKUP($I949,'AUX-NIV2'!$B:$X,'AUX-NIV1'!AT$3,FALSE),0)+($AV949*'AUX-NIV3'!V$4))*$O949+IF($H949=AT$4,$P949,0)</f>
        <v>0</v>
      </c>
      <c r="AU949" s="395">
        <f>(IF($H949="x",VLOOKUP($I949,'AUX-NIV2'!$B:$X,'AUX-NIV1'!AU$3,FALSE),0)+($AV949*'AUX-NIV3'!W$4))*$O949+IF($H949=AU$4,$P949,0)</f>
        <v>1</v>
      </c>
      <c r="AV949" s="395">
        <f>+IF($H949="x",VLOOKUP($I949,'AUX-NIV2'!$B:$X,'AUX-NIV1'!AV$3,FALSE),0)</f>
        <v>0</v>
      </c>
    </row>
    <row r="950" spans="2:48" ht="14.4" hidden="1" thickTop="1" thickBot="1">
      <c r="B950" s="501" t="s">
        <v>4166</v>
      </c>
      <c r="C950" s="951" t="s">
        <v>3647</v>
      </c>
      <c r="D950" s="1280" t="s">
        <v>185</v>
      </c>
      <c r="E950" s="1281">
        <f>IF(B950&lt;&gt;"",+SUMIF(Items!C:C,'AUX-NIV1'!B950,Items!H:H),"")</f>
        <v>0</v>
      </c>
      <c r="F950" s="1281">
        <f t="shared" si="1006"/>
        <v>1</v>
      </c>
      <c r="G950" s="1281">
        <f t="shared" si="1007"/>
        <v>0</v>
      </c>
      <c r="H950" s="1395" t="str">
        <f t="shared" si="1017"/>
        <v>S</v>
      </c>
      <c r="I950" s="1462" t="s">
        <v>4202</v>
      </c>
      <c r="J950" s="1283" t="str">
        <f>IF(B950&lt;&gt;"",+VLOOKUP(I950,Recursos!C:F,2,FALSE),"")</f>
        <v>MODELO B</v>
      </c>
      <c r="K950" s="1284" t="str">
        <f>IF(B950&lt;&gt;"",+VLOOKUP(I950,Recursos!C:F,3,FALSE),"")</f>
        <v>un</v>
      </c>
      <c r="L950" s="1285">
        <f>IF(B950&lt;&gt;"",+VLOOKUP(I950,Recursos!C:F,4,FALSE),"")</f>
        <v>1</v>
      </c>
      <c r="M950" s="1293"/>
      <c r="N950" s="1294">
        <v>1</v>
      </c>
      <c r="O950" s="1286">
        <f t="shared" si="1018"/>
        <v>1</v>
      </c>
      <c r="P950" s="1287">
        <f t="shared" si="1019"/>
        <v>1</v>
      </c>
      <c r="Q950" s="1281">
        <f t="shared" si="1020"/>
        <v>0</v>
      </c>
      <c r="R950" s="1288">
        <f t="shared" si="1021"/>
        <v>0</v>
      </c>
      <c r="S950" s="1289">
        <f t="shared" si="1008"/>
        <v>0</v>
      </c>
      <c r="T950" s="1289">
        <f t="shared" si="1009"/>
        <v>0</v>
      </c>
      <c r="U950" s="1290">
        <f t="shared" si="1010"/>
        <v>0</v>
      </c>
      <c r="V950" s="1290">
        <f t="shared" si="1011"/>
        <v>0</v>
      </c>
      <c r="W950" s="1290">
        <f t="shared" si="1012"/>
        <v>1</v>
      </c>
      <c r="X950" s="1290">
        <f t="shared" si="1013"/>
        <v>0</v>
      </c>
      <c r="Y950" s="396"/>
      <c r="Z950" s="1291" t="str">
        <f t="shared" si="1022"/>
        <v>0-ITS033A</v>
      </c>
      <c r="AA950" s="1291" t="str">
        <f t="shared" si="1023"/>
        <v>0-ITS033E</v>
      </c>
      <c r="AB950" s="1291" t="str">
        <f t="shared" si="1024"/>
        <v>0-ITS033M</v>
      </c>
      <c r="AC950" s="1291" t="str">
        <f t="shared" si="1025"/>
        <v>0-ITS033T</v>
      </c>
      <c r="AD950" s="1291" t="str">
        <f t="shared" si="1026"/>
        <v>0-ITS033S</v>
      </c>
      <c r="AE950" s="1291" t="str">
        <f t="shared" si="1027"/>
        <v>0-ITS033X</v>
      </c>
      <c r="AF950" s="1291" t="str">
        <f t="shared" si="1028"/>
        <v>0-ITS033S</v>
      </c>
      <c r="AG950" s="1291">
        <f t="shared" si="1014"/>
        <v>1</v>
      </c>
      <c r="AH950" s="1291">
        <f>IF(B950&lt;&gt;"",+IF(H950="x",+VLOOKUP(I950,'AUX-NIV2'!B:AG,32,FALSE),0),"")</f>
        <v>0</v>
      </c>
      <c r="AI950" s="1291" t="str">
        <f t="shared" si="1029"/>
        <v>0-ITS033</v>
      </c>
      <c r="AK950" s="347">
        <f t="shared" si="1015"/>
        <v>950</v>
      </c>
      <c r="AL950" s="348">
        <f t="shared" si="1030"/>
        <v>950</v>
      </c>
      <c r="AM950" s="347">
        <f t="shared" si="1031"/>
        <v>1</v>
      </c>
      <c r="AN950" s="382">
        <f>IF(AND(AH950&gt;0,B950&lt;&gt;""),VLOOKUP(I950,'AUX-NIV2'!$B:$AP,40,FALSE)*O950,0)</f>
        <v>0</v>
      </c>
      <c r="AO950" s="382">
        <f t="shared" si="1016"/>
        <v>0</v>
      </c>
      <c r="AQ950" s="395">
        <f>(IF($H950="x",VLOOKUP($I950,'AUX-NIV2'!$B:$X,'AUX-NIV1'!AQ$3,FALSE),0)+($AV950*'AUX-NIV3'!S$4))*$O950+IF($H950=AQ$4,$P950,0)</f>
        <v>0</v>
      </c>
      <c r="AR950" s="395">
        <f>(IF($H950="x",VLOOKUP($I950,'AUX-NIV2'!$B:$X,'AUX-NIV1'!AR$3,FALSE),0)+($AV950*'AUX-NIV3'!T$4))*$O950+IF($H950=AR$4,$P950,0)</f>
        <v>0</v>
      </c>
      <c r="AS950" s="395">
        <f>(IF($H950="x",VLOOKUP($I950,'AUX-NIV2'!$B:$X,'AUX-NIV1'!AS$3,FALSE),0)+($AV950*'AUX-NIV3'!U$4))*$O950+IF($H950=AS$4,$P950,0)</f>
        <v>0</v>
      </c>
      <c r="AT950" s="395">
        <f>(IF($H950="x",VLOOKUP($I950,'AUX-NIV2'!$B:$X,'AUX-NIV1'!AT$3,FALSE),0)+($AV950*'AUX-NIV3'!V$4))*$O950+IF($H950=AT$4,$P950,0)</f>
        <v>0</v>
      </c>
      <c r="AU950" s="395">
        <f>(IF($H950="x",VLOOKUP($I950,'AUX-NIV2'!$B:$X,'AUX-NIV1'!AU$3,FALSE),0)+($AV950*'AUX-NIV3'!W$4))*$O950+IF($H950=AU$4,$P950,0)</f>
        <v>1</v>
      </c>
      <c r="AV950" s="395">
        <f>+IF($H950="x",VLOOKUP($I950,'AUX-NIV2'!$B:$X,'AUX-NIV1'!AV$3,FALSE),0)</f>
        <v>0</v>
      </c>
    </row>
    <row r="951" spans="2:48" ht="14.4" hidden="1" thickTop="1" thickBot="1">
      <c r="B951" s="501" t="s">
        <v>4167</v>
      </c>
      <c r="C951" s="951" t="s">
        <v>3648</v>
      </c>
      <c r="D951" s="1280" t="s">
        <v>185</v>
      </c>
      <c r="E951" s="1281">
        <f>IF(B951&lt;&gt;"",+SUMIF(Items!C:C,'AUX-NIV1'!B951,Items!H:H),"")</f>
        <v>0</v>
      </c>
      <c r="F951" s="1281">
        <f t="shared" si="1006"/>
        <v>1</v>
      </c>
      <c r="G951" s="1281">
        <f t="shared" si="1007"/>
        <v>0</v>
      </c>
      <c r="H951" s="1395" t="str">
        <f t="shared" si="1017"/>
        <v>S</v>
      </c>
      <c r="I951" s="1462" t="s">
        <v>4203</v>
      </c>
      <c r="J951" s="1283" t="str">
        <f>IF(B951&lt;&gt;"",+VLOOKUP(I951,Recursos!C:F,2,FALSE),"")</f>
        <v>MODELO C   CARTEL  SALIDA</v>
      </c>
      <c r="K951" s="1284" t="str">
        <f>IF(B951&lt;&gt;"",+VLOOKUP(I951,Recursos!C:F,3,FALSE),"")</f>
        <v>un</v>
      </c>
      <c r="L951" s="1285">
        <f>IF(B951&lt;&gt;"",+VLOOKUP(I951,Recursos!C:F,4,FALSE),"")</f>
        <v>1</v>
      </c>
      <c r="M951" s="1293"/>
      <c r="N951" s="1294">
        <v>1</v>
      </c>
      <c r="O951" s="1286">
        <f t="shared" si="1018"/>
        <v>1</v>
      </c>
      <c r="P951" s="1287">
        <f t="shared" si="1019"/>
        <v>1</v>
      </c>
      <c r="Q951" s="1281">
        <f t="shared" si="1020"/>
        <v>0</v>
      </c>
      <c r="R951" s="1288">
        <f t="shared" si="1021"/>
        <v>0</v>
      </c>
      <c r="S951" s="1289">
        <f t="shared" si="1008"/>
        <v>0</v>
      </c>
      <c r="T951" s="1289">
        <f t="shared" si="1009"/>
        <v>0</v>
      </c>
      <c r="U951" s="1290">
        <f t="shared" si="1010"/>
        <v>0</v>
      </c>
      <c r="V951" s="1290">
        <f t="shared" si="1011"/>
        <v>0</v>
      </c>
      <c r="W951" s="1290">
        <f t="shared" si="1012"/>
        <v>1</v>
      </c>
      <c r="X951" s="1290">
        <f t="shared" si="1013"/>
        <v>0</v>
      </c>
      <c r="Y951" s="396"/>
      <c r="Z951" s="1291" t="str">
        <f t="shared" si="1022"/>
        <v>0-ITS034A</v>
      </c>
      <c r="AA951" s="1291" t="str">
        <f t="shared" si="1023"/>
        <v>0-ITS034E</v>
      </c>
      <c r="AB951" s="1291" t="str">
        <f t="shared" si="1024"/>
        <v>0-ITS034M</v>
      </c>
      <c r="AC951" s="1291" t="str">
        <f t="shared" si="1025"/>
        <v>0-ITS034T</v>
      </c>
      <c r="AD951" s="1291" t="str">
        <f t="shared" si="1026"/>
        <v>0-ITS034S</v>
      </c>
      <c r="AE951" s="1291" t="str">
        <f t="shared" si="1027"/>
        <v>0-ITS034X</v>
      </c>
      <c r="AF951" s="1291" t="str">
        <f t="shared" si="1028"/>
        <v>0-ITS034S</v>
      </c>
      <c r="AG951" s="1291">
        <f t="shared" si="1014"/>
        <v>1</v>
      </c>
      <c r="AH951" s="1291">
        <f>IF(B951&lt;&gt;"",+IF(H951="x",+VLOOKUP(I951,'AUX-NIV2'!B:AG,32,FALSE),0),"")</f>
        <v>0</v>
      </c>
      <c r="AI951" s="1291" t="str">
        <f t="shared" si="1029"/>
        <v>0-ITS034</v>
      </c>
      <c r="AK951" s="347">
        <f t="shared" si="1015"/>
        <v>951</v>
      </c>
      <c r="AL951" s="348">
        <f t="shared" si="1030"/>
        <v>951</v>
      </c>
      <c r="AM951" s="347">
        <f t="shared" si="1031"/>
        <v>1</v>
      </c>
      <c r="AN951" s="382">
        <f>IF(AND(AH951&gt;0,B951&lt;&gt;""),VLOOKUP(I951,'AUX-NIV2'!$B:$AP,40,FALSE)*O951,0)</f>
        <v>0</v>
      </c>
      <c r="AO951" s="382">
        <f t="shared" si="1016"/>
        <v>0</v>
      </c>
      <c r="AQ951" s="395">
        <f>(IF($H951="x",VLOOKUP($I951,'AUX-NIV2'!$B:$X,'AUX-NIV1'!AQ$3,FALSE),0)+($AV951*'AUX-NIV3'!S$4))*$O951+IF($H951=AQ$4,$P951,0)</f>
        <v>0</v>
      </c>
      <c r="AR951" s="395">
        <f>(IF($H951="x",VLOOKUP($I951,'AUX-NIV2'!$B:$X,'AUX-NIV1'!AR$3,FALSE),0)+($AV951*'AUX-NIV3'!T$4))*$O951+IF($H951=AR$4,$P951,0)</f>
        <v>0</v>
      </c>
      <c r="AS951" s="395">
        <f>(IF($H951="x",VLOOKUP($I951,'AUX-NIV2'!$B:$X,'AUX-NIV1'!AS$3,FALSE),0)+($AV951*'AUX-NIV3'!U$4))*$O951+IF($H951=AS$4,$P951,0)</f>
        <v>0</v>
      </c>
      <c r="AT951" s="395">
        <f>(IF($H951="x",VLOOKUP($I951,'AUX-NIV2'!$B:$X,'AUX-NIV1'!AT$3,FALSE),0)+($AV951*'AUX-NIV3'!V$4))*$O951+IF($H951=AT$4,$P951,0)</f>
        <v>0</v>
      </c>
      <c r="AU951" s="395">
        <f>(IF($H951="x",VLOOKUP($I951,'AUX-NIV2'!$B:$X,'AUX-NIV1'!AU$3,FALSE),0)+($AV951*'AUX-NIV3'!W$4))*$O951+IF($H951=AU$4,$P951,0)</f>
        <v>1</v>
      </c>
      <c r="AV951" s="395">
        <f>+IF($H951="x",VLOOKUP($I951,'AUX-NIV2'!$B:$X,'AUX-NIV1'!AV$3,FALSE),0)</f>
        <v>0</v>
      </c>
    </row>
    <row r="952" spans="2:48" ht="14.4" hidden="1" thickTop="1" thickBot="1">
      <c r="B952" s="501" t="s">
        <v>4168</v>
      </c>
      <c r="C952" s="951" t="s">
        <v>3649</v>
      </c>
      <c r="D952" s="1280" t="s">
        <v>185</v>
      </c>
      <c r="E952" s="1281">
        <f>IF(B952&lt;&gt;"",+SUMIF(Items!C:C,'AUX-NIV1'!B952,Items!H:H),"")</f>
        <v>0</v>
      </c>
      <c r="F952" s="1281">
        <f t="shared" si="1006"/>
        <v>1</v>
      </c>
      <c r="G952" s="1281">
        <f t="shared" si="1007"/>
        <v>0</v>
      </c>
      <c r="H952" s="1395" t="str">
        <f t="shared" si="1017"/>
        <v>S</v>
      </c>
      <c r="I952" s="1462" t="s">
        <v>4204</v>
      </c>
      <c r="J952" s="1283" t="str">
        <f>IF(B952&lt;&gt;"",+VLOOKUP(I952,Recursos!C:F,2,FALSE),"")</f>
        <v>PUESTA A TIERRA</v>
      </c>
      <c r="K952" s="1284" t="str">
        <f>IF(B952&lt;&gt;"",+VLOOKUP(I952,Recursos!C:F,3,FALSE),"")</f>
        <v>un</v>
      </c>
      <c r="L952" s="1285">
        <f>IF(B952&lt;&gt;"",+VLOOKUP(I952,Recursos!C:F,4,FALSE),"")</f>
        <v>1</v>
      </c>
      <c r="M952" s="1293"/>
      <c r="N952" s="1294">
        <v>1</v>
      </c>
      <c r="O952" s="1286">
        <f t="shared" si="1018"/>
        <v>1</v>
      </c>
      <c r="P952" s="1287">
        <f t="shared" si="1019"/>
        <v>1</v>
      </c>
      <c r="Q952" s="1281">
        <f t="shared" si="1020"/>
        <v>0</v>
      </c>
      <c r="R952" s="1288">
        <f t="shared" si="1021"/>
        <v>0</v>
      </c>
      <c r="S952" s="1289">
        <f t="shared" si="1008"/>
        <v>0</v>
      </c>
      <c r="T952" s="1289">
        <f t="shared" si="1009"/>
        <v>0</v>
      </c>
      <c r="U952" s="1290">
        <f t="shared" si="1010"/>
        <v>0</v>
      </c>
      <c r="V952" s="1290">
        <f t="shared" si="1011"/>
        <v>0</v>
      </c>
      <c r="W952" s="1290">
        <f t="shared" si="1012"/>
        <v>1</v>
      </c>
      <c r="X952" s="1290">
        <f t="shared" si="1013"/>
        <v>0</v>
      </c>
      <c r="Y952" s="396"/>
      <c r="Z952" s="1291" t="str">
        <f t="shared" si="1022"/>
        <v>0-ITS035A</v>
      </c>
      <c r="AA952" s="1291" t="str">
        <f t="shared" si="1023"/>
        <v>0-ITS035E</v>
      </c>
      <c r="AB952" s="1291" t="str">
        <f t="shared" si="1024"/>
        <v>0-ITS035M</v>
      </c>
      <c r="AC952" s="1291" t="str">
        <f t="shared" si="1025"/>
        <v>0-ITS035T</v>
      </c>
      <c r="AD952" s="1291" t="str">
        <f t="shared" si="1026"/>
        <v>0-ITS035S</v>
      </c>
      <c r="AE952" s="1291" t="str">
        <f t="shared" si="1027"/>
        <v>0-ITS035X</v>
      </c>
      <c r="AF952" s="1291" t="str">
        <f t="shared" si="1028"/>
        <v>0-ITS035S</v>
      </c>
      <c r="AG952" s="1291">
        <f t="shared" si="1014"/>
        <v>1</v>
      </c>
      <c r="AH952" s="1291">
        <f>IF(B952&lt;&gt;"",+IF(H952="x",+VLOOKUP(I952,'AUX-NIV2'!B:AG,32,FALSE),0),"")</f>
        <v>0</v>
      </c>
      <c r="AI952" s="1291" t="str">
        <f t="shared" si="1029"/>
        <v>0-ITS035</v>
      </c>
      <c r="AK952" s="347">
        <f t="shared" si="1015"/>
        <v>952</v>
      </c>
      <c r="AL952" s="348">
        <f t="shared" si="1030"/>
        <v>952</v>
      </c>
      <c r="AM952" s="347">
        <f t="shared" si="1031"/>
        <v>1</v>
      </c>
      <c r="AN952" s="382">
        <f>IF(AND(AH952&gt;0,B952&lt;&gt;""),VLOOKUP(I952,'AUX-NIV2'!$B:$AP,40,FALSE)*O952,0)</f>
        <v>0</v>
      </c>
      <c r="AO952" s="382">
        <f t="shared" si="1016"/>
        <v>0</v>
      </c>
      <c r="AQ952" s="395">
        <f>(IF($H952="x",VLOOKUP($I952,'AUX-NIV2'!$B:$X,'AUX-NIV1'!AQ$3,FALSE),0)+($AV952*'AUX-NIV3'!S$4))*$O952+IF($H952=AQ$4,$P952,0)</f>
        <v>0</v>
      </c>
      <c r="AR952" s="395">
        <f>(IF($H952="x",VLOOKUP($I952,'AUX-NIV2'!$B:$X,'AUX-NIV1'!AR$3,FALSE),0)+($AV952*'AUX-NIV3'!T$4))*$O952+IF($H952=AR$4,$P952,0)</f>
        <v>0</v>
      </c>
      <c r="AS952" s="395">
        <f>(IF($H952="x",VLOOKUP($I952,'AUX-NIV2'!$B:$X,'AUX-NIV1'!AS$3,FALSE),0)+($AV952*'AUX-NIV3'!U$4))*$O952+IF($H952=AS$4,$P952,0)</f>
        <v>0</v>
      </c>
      <c r="AT952" s="395">
        <f>(IF($H952="x",VLOOKUP($I952,'AUX-NIV2'!$B:$X,'AUX-NIV1'!AT$3,FALSE),0)+($AV952*'AUX-NIV3'!V$4))*$O952+IF($H952=AT$4,$P952,0)</f>
        <v>0</v>
      </c>
      <c r="AU952" s="395">
        <f>(IF($H952="x",VLOOKUP($I952,'AUX-NIV2'!$B:$X,'AUX-NIV1'!AU$3,FALSE),0)+($AV952*'AUX-NIV3'!W$4))*$O952+IF($H952=AU$4,$P952,0)</f>
        <v>1</v>
      </c>
      <c r="AV952" s="395">
        <f>+IF($H952="x",VLOOKUP($I952,'AUX-NIV2'!$B:$X,'AUX-NIV1'!AV$3,FALSE),0)</f>
        <v>0</v>
      </c>
    </row>
    <row r="953" spans="2:48" ht="14.4" hidden="1" thickTop="1" thickBot="1">
      <c r="B953" s="501" t="s">
        <v>4169</v>
      </c>
      <c r="C953" s="951" t="s">
        <v>3650</v>
      </c>
      <c r="D953" s="1280" t="s">
        <v>185</v>
      </c>
      <c r="E953" s="1281">
        <f>IF(B953&lt;&gt;"",+SUMIF(Items!C:C,'AUX-NIV1'!B953,Items!H:H),"")</f>
        <v>0</v>
      </c>
      <c r="F953" s="1281">
        <f t="shared" si="1006"/>
        <v>1</v>
      </c>
      <c r="G953" s="1281">
        <f t="shared" si="1007"/>
        <v>0</v>
      </c>
      <c r="H953" s="1395" t="str">
        <f t="shared" si="1017"/>
        <v>S</v>
      </c>
      <c r="I953" s="1462" t="s">
        <v>4205</v>
      </c>
      <c r="J953" s="1283" t="str">
        <f>IF(B953&lt;&gt;"",+VLOOKUP(I953,Recursos!C:F,2,FALSE),"")</f>
        <v>INGENIERIA</v>
      </c>
      <c r="K953" s="1284" t="str">
        <f>IF(B953&lt;&gt;"",+VLOOKUP(I953,Recursos!C:F,3,FALSE),"")</f>
        <v>un</v>
      </c>
      <c r="L953" s="1285">
        <f>IF(B953&lt;&gt;"",+VLOOKUP(I953,Recursos!C:F,4,FALSE),"")</f>
        <v>1</v>
      </c>
      <c r="M953" s="1293"/>
      <c r="N953" s="1294">
        <v>1</v>
      </c>
      <c r="O953" s="1286">
        <f t="shared" si="1018"/>
        <v>1</v>
      </c>
      <c r="P953" s="1287">
        <f t="shared" si="1019"/>
        <v>1</v>
      </c>
      <c r="Q953" s="1281">
        <f t="shared" si="1020"/>
        <v>0</v>
      </c>
      <c r="R953" s="1288">
        <f t="shared" si="1021"/>
        <v>0</v>
      </c>
      <c r="S953" s="1289">
        <f t="shared" si="1008"/>
        <v>0</v>
      </c>
      <c r="T953" s="1289">
        <f t="shared" si="1009"/>
        <v>0</v>
      </c>
      <c r="U953" s="1290">
        <f t="shared" si="1010"/>
        <v>0</v>
      </c>
      <c r="V953" s="1290">
        <f t="shared" si="1011"/>
        <v>0</v>
      </c>
      <c r="W953" s="1290">
        <f t="shared" si="1012"/>
        <v>1</v>
      </c>
      <c r="X953" s="1290">
        <f t="shared" si="1013"/>
        <v>0</v>
      </c>
      <c r="Y953" s="396"/>
      <c r="Z953" s="1291" t="str">
        <f t="shared" si="1022"/>
        <v>0-ITS036A</v>
      </c>
      <c r="AA953" s="1291" t="str">
        <f t="shared" si="1023"/>
        <v>0-ITS036E</v>
      </c>
      <c r="AB953" s="1291" t="str">
        <f t="shared" si="1024"/>
        <v>0-ITS036M</v>
      </c>
      <c r="AC953" s="1291" t="str">
        <f t="shared" si="1025"/>
        <v>0-ITS036T</v>
      </c>
      <c r="AD953" s="1291" t="str">
        <f t="shared" si="1026"/>
        <v>0-ITS036S</v>
      </c>
      <c r="AE953" s="1291" t="str">
        <f t="shared" si="1027"/>
        <v>0-ITS036X</v>
      </c>
      <c r="AF953" s="1291" t="str">
        <f t="shared" si="1028"/>
        <v>0-ITS036S</v>
      </c>
      <c r="AG953" s="1291">
        <f t="shared" si="1014"/>
        <v>1</v>
      </c>
      <c r="AH953" s="1291">
        <f>IF(B953&lt;&gt;"",+IF(H953="x",+VLOOKUP(I953,'AUX-NIV2'!B:AG,32,FALSE),0),"")</f>
        <v>0</v>
      </c>
      <c r="AI953" s="1291" t="str">
        <f t="shared" si="1029"/>
        <v>0-ITS036</v>
      </c>
      <c r="AK953" s="347">
        <f t="shared" si="1015"/>
        <v>953</v>
      </c>
      <c r="AL953" s="348">
        <f t="shared" si="1030"/>
        <v>953</v>
      </c>
      <c r="AM953" s="347">
        <f t="shared" si="1031"/>
        <v>1</v>
      </c>
      <c r="AN953" s="382">
        <f>IF(AND(AH953&gt;0,B953&lt;&gt;""),VLOOKUP(I953,'AUX-NIV2'!$B:$AP,40,FALSE)*O953,0)</f>
        <v>0</v>
      </c>
      <c r="AO953" s="382">
        <f t="shared" si="1016"/>
        <v>0</v>
      </c>
      <c r="AQ953" s="395">
        <f>(IF($H953="x",VLOOKUP($I953,'AUX-NIV2'!$B:$X,'AUX-NIV1'!AQ$3,FALSE),0)+($AV953*'AUX-NIV3'!S$4))*$O953+IF($H953=AQ$4,$P953,0)</f>
        <v>0</v>
      </c>
      <c r="AR953" s="395">
        <f>(IF($H953="x",VLOOKUP($I953,'AUX-NIV2'!$B:$X,'AUX-NIV1'!AR$3,FALSE),0)+($AV953*'AUX-NIV3'!T$4))*$O953+IF($H953=AR$4,$P953,0)</f>
        <v>0</v>
      </c>
      <c r="AS953" s="395">
        <f>(IF($H953="x",VLOOKUP($I953,'AUX-NIV2'!$B:$X,'AUX-NIV1'!AS$3,FALSE),0)+($AV953*'AUX-NIV3'!U$4))*$O953+IF($H953=AS$4,$P953,0)</f>
        <v>0</v>
      </c>
      <c r="AT953" s="395">
        <f>(IF($H953="x",VLOOKUP($I953,'AUX-NIV2'!$B:$X,'AUX-NIV1'!AT$3,FALSE),0)+($AV953*'AUX-NIV3'!V$4))*$O953+IF($H953=AT$4,$P953,0)</f>
        <v>0</v>
      </c>
      <c r="AU953" s="395">
        <f>(IF($H953="x",VLOOKUP($I953,'AUX-NIV2'!$B:$X,'AUX-NIV1'!AU$3,FALSE),0)+($AV953*'AUX-NIV3'!W$4))*$O953+IF($H953=AU$4,$P953,0)</f>
        <v>1</v>
      </c>
      <c r="AV953" s="395">
        <f>+IF($H953="x",VLOOKUP($I953,'AUX-NIV2'!$B:$X,'AUX-NIV1'!AV$3,FALSE),0)</f>
        <v>0</v>
      </c>
    </row>
    <row r="954" spans="2:48" ht="14.4" hidden="1" thickTop="1" thickBot="1">
      <c r="B954" s="501" t="s">
        <v>4206</v>
      </c>
      <c r="C954" s="951" t="s">
        <v>3651</v>
      </c>
      <c r="D954" s="1280" t="s">
        <v>1233</v>
      </c>
      <c r="E954" s="1281">
        <f>IF(B954&lt;&gt;"",+SUMIF(Items!C:C,'AUX-NIV1'!B954,Items!H:H),"")</f>
        <v>0</v>
      </c>
      <c r="F954" s="1281">
        <f t="shared" si="1006"/>
        <v>0</v>
      </c>
      <c r="G954" s="1281">
        <f t="shared" si="1007"/>
        <v>0</v>
      </c>
      <c r="H954" s="1395" t="str">
        <f t="shared" ref="H954:H989" si="1032">IF(B954&lt;&gt;"",+LEFT(I954,1),"")</f>
        <v>S</v>
      </c>
      <c r="I954" s="1462" t="s">
        <v>4224</v>
      </c>
      <c r="J954" s="1283" t="str">
        <f>IF(B954&lt;&gt;"",+VLOOKUP(I954,Recursos!C:F,2,FALSE),"")</f>
        <v>1 repartidor</v>
      </c>
      <c r="K954" s="1284" t="str">
        <f>IF(B954&lt;&gt;"",+VLOOKUP(I954,Recursos!C:F,3,FALSE),"")</f>
        <v>Gl</v>
      </c>
      <c r="L954" s="1285">
        <f>IF(B954&lt;&gt;"",+VLOOKUP(I954,Recursos!C:F,4,FALSE),"")</f>
        <v>1</v>
      </c>
      <c r="M954" s="1293"/>
      <c r="N954" s="1294"/>
      <c r="O954" s="1286">
        <f t="shared" ref="O954:O984" si="1033">N954</f>
        <v>0</v>
      </c>
      <c r="P954" s="1287">
        <f t="shared" ref="P954:P989" si="1034">IF(B954&lt;&gt;"",O954*L954,"")</f>
        <v>0</v>
      </c>
      <c r="Q954" s="1281">
        <f t="shared" ref="Q954:Q989" si="1035">IF(B954&lt;&gt;"",+O954*E954,"")</f>
        <v>0</v>
      </c>
      <c r="R954" s="1288">
        <f t="shared" ref="R954:R989" si="1036">IF(B954&lt;&gt;"",Q954*L954,"")</f>
        <v>0</v>
      </c>
      <c r="S954" s="1289">
        <f t="shared" si="1008"/>
        <v>0</v>
      </c>
      <c r="T954" s="1289">
        <f t="shared" si="1009"/>
        <v>0</v>
      </c>
      <c r="U954" s="1290">
        <f t="shared" si="1010"/>
        <v>0</v>
      </c>
      <c r="V954" s="1290">
        <f t="shared" si="1011"/>
        <v>0</v>
      </c>
      <c r="W954" s="1290">
        <f t="shared" si="1012"/>
        <v>0</v>
      </c>
      <c r="X954" s="1290">
        <f t="shared" si="1013"/>
        <v>0</v>
      </c>
      <c r="Y954" s="396"/>
      <c r="Z954" s="1291" t="str">
        <f t="shared" ref="Z954:Z989" si="1037">IF(B954&lt;&gt;"",+$B954&amp;"A","")</f>
        <v>0-ITT001A</v>
      </c>
      <c r="AA954" s="1291" t="str">
        <f t="shared" ref="AA954:AA989" si="1038">IF(B954&lt;&gt;"",+$B954&amp;"E","")</f>
        <v>0-ITT001E</v>
      </c>
      <c r="AB954" s="1291" t="str">
        <f t="shared" ref="AB954:AB989" si="1039">IF(B954&lt;&gt;"",++$B954&amp;"M","")</f>
        <v>0-ITT001M</v>
      </c>
      <c r="AC954" s="1291" t="str">
        <f t="shared" ref="AC954:AC989" si="1040">IF(B954&lt;&gt;"",+$B954&amp;"T","")</f>
        <v>0-ITT001T</v>
      </c>
      <c r="AD954" s="1291" t="str">
        <f t="shared" ref="AD954:AD989" si="1041">IF(B954&lt;&gt;"",+$B954&amp;"S","")</f>
        <v>0-ITT001S</v>
      </c>
      <c r="AE954" s="1291" t="str">
        <f t="shared" ref="AE954:AE989" si="1042">IF(B954&lt;&gt;"",+$B954&amp;"X","")</f>
        <v>0-ITT001X</v>
      </c>
      <c r="AF954" s="1291" t="str">
        <f t="shared" ref="AF954:AF989" si="1043">IF(B954&lt;&gt;"",+B954&amp;H954,"")</f>
        <v>0-ITT001S</v>
      </c>
      <c r="AG954" s="1291">
        <f t="shared" si="1014"/>
        <v>1</v>
      </c>
      <c r="AH954" s="1291">
        <f>IF(B954&lt;&gt;"",+IF(H954="x",+VLOOKUP(I954,'AUX-NIV2'!B:AG,32,FALSE),0),"")</f>
        <v>0</v>
      </c>
      <c r="AI954" s="1291" t="str">
        <f t="shared" ref="AI954:AI989" si="1044">IF(B954&lt;&gt;"",+B954,"")</f>
        <v>0-ITT001</v>
      </c>
      <c r="AK954" s="347">
        <f t="shared" si="1015"/>
        <v>954</v>
      </c>
      <c r="AL954" s="348">
        <f t="shared" ref="AL954:AL989" si="1045">IF(B954&lt;&gt;"",+AK954+AG954-1,"")</f>
        <v>954</v>
      </c>
      <c r="AM954" s="347">
        <f t="shared" ref="AM954:AM971" si="1046">IF(B954&lt;&gt;"",IF(B954=B953,1+AM953,1),"")</f>
        <v>1</v>
      </c>
      <c r="AN954" s="382">
        <f>IF(AND(AH954&gt;0,B954&lt;&gt;""),VLOOKUP(I954,'AUX-NIV2'!$B:$AP,40,FALSE)*O954,0)</f>
        <v>0</v>
      </c>
      <c r="AO954" s="382">
        <f t="shared" si="1016"/>
        <v>0</v>
      </c>
      <c r="AQ954" s="395">
        <f>(IF($H954="x",VLOOKUP($I954,'AUX-NIV2'!$B:$X,'AUX-NIV1'!AQ$3,FALSE),0)+($AV954*'AUX-NIV3'!S$4))*$O954+IF($H954=AQ$4,$P954,0)</f>
        <v>0</v>
      </c>
      <c r="AR954" s="395">
        <f>(IF($H954="x",VLOOKUP($I954,'AUX-NIV2'!$B:$X,'AUX-NIV1'!AR$3,FALSE),0)+($AV954*'AUX-NIV3'!T$4))*$O954+IF($H954=AR$4,$P954,0)</f>
        <v>0</v>
      </c>
      <c r="AS954" s="395">
        <f>(IF($H954="x",VLOOKUP($I954,'AUX-NIV2'!$B:$X,'AUX-NIV1'!AS$3,FALSE),0)+($AV954*'AUX-NIV3'!U$4))*$O954+IF($H954=AS$4,$P954,0)</f>
        <v>0</v>
      </c>
      <c r="AT954" s="395">
        <f>(IF($H954="x",VLOOKUP($I954,'AUX-NIV2'!$B:$X,'AUX-NIV1'!AT$3,FALSE),0)+($AV954*'AUX-NIV3'!V$4))*$O954+IF($H954=AT$4,$P954,0)</f>
        <v>0</v>
      </c>
      <c r="AU954" s="395">
        <f>(IF($H954="x",VLOOKUP($I954,'AUX-NIV2'!$B:$X,'AUX-NIV1'!AU$3,FALSE),0)+($AV954*'AUX-NIV3'!W$4))*$O954+IF($H954=AU$4,$P954,0)</f>
        <v>0</v>
      </c>
      <c r="AV954" s="395">
        <f>+IF($H954="x",VLOOKUP($I954,'AUX-NIV2'!$B:$X,'AUX-NIV1'!AV$3,FALSE),0)</f>
        <v>0</v>
      </c>
    </row>
    <row r="955" spans="2:48" ht="14.4" hidden="1" thickTop="1" thickBot="1">
      <c r="B955" s="501" t="s">
        <v>4207</v>
      </c>
      <c r="C955" s="951" t="s">
        <v>3652</v>
      </c>
      <c r="D955" s="1280" t="s">
        <v>1233</v>
      </c>
      <c r="E955" s="1281">
        <f>IF(B955&lt;&gt;"",+SUMIF(Items!C:C,'AUX-NIV1'!B955,Items!H:H),"")</f>
        <v>0</v>
      </c>
      <c r="F955" s="1281">
        <f t="shared" si="1006"/>
        <v>0</v>
      </c>
      <c r="G955" s="1281">
        <f t="shared" si="1007"/>
        <v>0</v>
      </c>
      <c r="H955" s="1395" t="str">
        <f t="shared" si="1032"/>
        <v>S</v>
      </c>
      <c r="I955" s="1462" t="s">
        <v>4225</v>
      </c>
      <c r="J955" s="1283" t="str">
        <f>IF(B955&lt;&gt;"",+VLOOKUP(I955,Recursos!C:F,2,FALSE),"")</f>
        <v>1 caja CTA</v>
      </c>
      <c r="K955" s="1284" t="str">
        <f>IF(B955&lt;&gt;"",+VLOOKUP(I955,Recursos!C:F,3,FALSE),"")</f>
        <v>Gl</v>
      </c>
      <c r="L955" s="1285">
        <f>IF(B955&lt;&gt;"",+VLOOKUP(I955,Recursos!C:F,4,FALSE),"")</f>
        <v>1</v>
      </c>
      <c r="M955" s="1293"/>
      <c r="N955" s="1294"/>
      <c r="O955" s="1286">
        <f t="shared" si="1033"/>
        <v>0</v>
      </c>
      <c r="P955" s="1287">
        <f t="shared" si="1034"/>
        <v>0</v>
      </c>
      <c r="Q955" s="1281">
        <f t="shared" si="1035"/>
        <v>0</v>
      </c>
      <c r="R955" s="1288">
        <f t="shared" si="1036"/>
        <v>0</v>
      </c>
      <c r="S955" s="1289">
        <f t="shared" si="1008"/>
        <v>0</v>
      </c>
      <c r="T955" s="1289">
        <f t="shared" si="1009"/>
        <v>0</v>
      </c>
      <c r="U955" s="1290">
        <f t="shared" si="1010"/>
        <v>0</v>
      </c>
      <c r="V955" s="1290">
        <f t="shared" si="1011"/>
        <v>0</v>
      </c>
      <c r="W955" s="1290">
        <f t="shared" si="1012"/>
        <v>0</v>
      </c>
      <c r="X955" s="1290">
        <f t="shared" si="1013"/>
        <v>0</v>
      </c>
      <c r="Y955" s="396"/>
      <c r="Z955" s="1291" t="str">
        <f t="shared" si="1037"/>
        <v>0-ITT002A</v>
      </c>
      <c r="AA955" s="1291" t="str">
        <f t="shared" si="1038"/>
        <v>0-ITT002E</v>
      </c>
      <c r="AB955" s="1291" t="str">
        <f t="shared" si="1039"/>
        <v>0-ITT002M</v>
      </c>
      <c r="AC955" s="1291" t="str">
        <f t="shared" si="1040"/>
        <v>0-ITT002T</v>
      </c>
      <c r="AD955" s="1291" t="str">
        <f t="shared" si="1041"/>
        <v>0-ITT002S</v>
      </c>
      <c r="AE955" s="1291" t="str">
        <f t="shared" si="1042"/>
        <v>0-ITT002X</v>
      </c>
      <c r="AF955" s="1291" t="str">
        <f t="shared" si="1043"/>
        <v>0-ITT002S</v>
      </c>
      <c r="AG955" s="1291">
        <f t="shared" si="1014"/>
        <v>1</v>
      </c>
      <c r="AH955" s="1291">
        <f>IF(B955&lt;&gt;"",+IF(H955="x",+VLOOKUP(I955,'AUX-NIV2'!B:AG,32,FALSE),0),"")</f>
        <v>0</v>
      </c>
      <c r="AI955" s="1291" t="str">
        <f t="shared" si="1044"/>
        <v>0-ITT002</v>
      </c>
      <c r="AK955" s="347">
        <f t="shared" si="1015"/>
        <v>955</v>
      </c>
      <c r="AL955" s="348">
        <f t="shared" si="1045"/>
        <v>955</v>
      </c>
      <c r="AM955" s="347">
        <f t="shared" si="1046"/>
        <v>1</v>
      </c>
      <c r="AN955" s="382">
        <f>IF(AND(AH955&gt;0,B955&lt;&gt;""),VLOOKUP(I955,'AUX-NIV2'!$B:$AP,40,FALSE)*O955,0)</f>
        <v>0</v>
      </c>
      <c r="AO955" s="382">
        <f t="shared" si="1016"/>
        <v>0</v>
      </c>
      <c r="AQ955" s="395">
        <f>(IF($H955="x",VLOOKUP($I955,'AUX-NIV2'!$B:$X,'AUX-NIV1'!AQ$3,FALSE),0)+($AV955*'AUX-NIV3'!S$4))*$O955+IF($H955=AQ$4,$P955,0)</f>
        <v>0</v>
      </c>
      <c r="AR955" s="395">
        <f>(IF($H955="x",VLOOKUP($I955,'AUX-NIV2'!$B:$X,'AUX-NIV1'!AR$3,FALSE),0)+($AV955*'AUX-NIV3'!T$4))*$O955+IF($H955=AR$4,$P955,0)</f>
        <v>0</v>
      </c>
      <c r="AS955" s="395">
        <f>(IF($H955="x",VLOOKUP($I955,'AUX-NIV2'!$B:$X,'AUX-NIV1'!AS$3,FALSE),0)+($AV955*'AUX-NIV3'!U$4))*$O955+IF($H955=AS$4,$P955,0)</f>
        <v>0</v>
      </c>
      <c r="AT955" s="395">
        <f>(IF($H955="x",VLOOKUP($I955,'AUX-NIV2'!$B:$X,'AUX-NIV1'!AT$3,FALSE),0)+($AV955*'AUX-NIV3'!V$4))*$O955+IF($H955=AT$4,$P955,0)</f>
        <v>0</v>
      </c>
      <c r="AU955" s="395">
        <f>(IF($H955="x",VLOOKUP($I955,'AUX-NIV2'!$B:$X,'AUX-NIV1'!AU$3,FALSE),0)+($AV955*'AUX-NIV3'!W$4))*$O955+IF($H955=AU$4,$P955,0)</f>
        <v>0</v>
      </c>
      <c r="AV955" s="395">
        <f>+IF($H955="x",VLOOKUP($I955,'AUX-NIV2'!$B:$X,'AUX-NIV1'!AV$3,FALSE),0)</f>
        <v>0</v>
      </c>
    </row>
    <row r="956" spans="2:48" ht="14.4" hidden="1" thickTop="1" thickBot="1">
      <c r="B956" s="501" t="s">
        <v>4208</v>
      </c>
      <c r="C956" s="951" t="s">
        <v>3653</v>
      </c>
      <c r="D956" s="1280" t="s">
        <v>1233</v>
      </c>
      <c r="E956" s="1281">
        <f>IF(B956&lt;&gt;"",+SUMIF(Items!C:C,'AUX-NIV1'!B956,Items!H:H),"")</f>
        <v>0</v>
      </c>
      <c r="F956" s="1281">
        <f t="shared" si="1006"/>
        <v>0</v>
      </c>
      <c r="G956" s="1281">
        <f t="shared" si="1007"/>
        <v>0</v>
      </c>
      <c r="H956" s="1395" t="str">
        <f t="shared" si="1032"/>
        <v>S</v>
      </c>
      <c r="I956" s="1462" t="s">
        <v>4226</v>
      </c>
      <c r="J956" s="1283" t="str">
        <f>IF(B956&lt;&gt;"",+VLOOKUP(I956,Recursos!C:F,2,FALSE),"")</f>
        <v>1 liston siemon de 25 pares.</v>
      </c>
      <c r="K956" s="1284" t="str">
        <f>IF(B956&lt;&gt;"",+VLOOKUP(I956,Recursos!C:F,3,FALSE),"")</f>
        <v>Gl</v>
      </c>
      <c r="L956" s="1285">
        <f>IF(B956&lt;&gt;"",+VLOOKUP(I956,Recursos!C:F,4,FALSE),"")</f>
        <v>1</v>
      </c>
      <c r="M956" s="1293"/>
      <c r="N956" s="1294"/>
      <c r="O956" s="1286">
        <f t="shared" si="1033"/>
        <v>0</v>
      </c>
      <c r="P956" s="1287">
        <f t="shared" si="1034"/>
        <v>0</v>
      </c>
      <c r="Q956" s="1281">
        <f t="shared" si="1035"/>
        <v>0</v>
      </c>
      <c r="R956" s="1288">
        <f t="shared" si="1036"/>
        <v>0</v>
      </c>
      <c r="S956" s="1289">
        <f t="shared" si="1008"/>
        <v>0</v>
      </c>
      <c r="T956" s="1289">
        <f t="shared" si="1009"/>
        <v>0</v>
      </c>
      <c r="U956" s="1290">
        <f t="shared" si="1010"/>
        <v>0</v>
      </c>
      <c r="V956" s="1290">
        <f t="shared" si="1011"/>
        <v>0</v>
      </c>
      <c r="W956" s="1290">
        <f t="shared" si="1012"/>
        <v>0</v>
      </c>
      <c r="X956" s="1290">
        <f t="shared" si="1013"/>
        <v>0</v>
      </c>
      <c r="Y956" s="396"/>
      <c r="Z956" s="1291" t="str">
        <f t="shared" si="1037"/>
        <v>0-ITT003A</v>
      </c>
      <c r="AA956" s="1291" t="str">
        <f t="shared" si="1038"/>
        <v>0-ITT003E</v>
      </c>
      <c r="AB956" s="1291" t="str">
        <f t="shared" si="1039"/>
        <v>0-ITT003M</v>
      </c>
      <c r="AC956" s="1291" t="str">
        <f t="shared" si="1040"/>
        <v>0-ITT003T</v>
      </c>
      <c r="AD956" s="1291" t="str">
        <f t="shared" si="1041"/>
        <v>0-ITT003S</v>
      </c>
      <c r="AE956" s="1291" t="str">
        <f t="shared" si="1042"/>
        <v>0-ITT003X</v>
      </c>
      <c r="AF956" s="1291" t="str">
        <f t="shared" si="1043"/>
        <v>0-ITT003S</v>
      </c>
      <c r="AG956" s="1291">
        <f t="shared" si="1014"/>
        <v>1</v>
      </c>
      <c r="AH956" s="1291">
        <f>IF(B956&lt;&gt;"",+IF(H956="x",+VLOOKUP(I956,'AUX-NIV2'!B:AG,32,FALSE),0),"")</f>
        <v>0</v>
      </c>
      <c r="AI956" s="1291" t="str">
        <f t="shared" si="1044"/>
        <v>0-ITT003</v>
      </c>
      <c r="AK956" s="347">
        <f t="shared" si="1015"/>
        <v>956</v>
      </c>
      <c r="AL956" s="348">
        <f t="shared" si="1045"/>
        <v>956</v>
      </c>
      <c r="AM956" s="347">
        <f t="shared" si="1046"/>
        <v>1</v>
      </c>
      <c r="AN956" s="382">
        <f>IF(AND(AH956&gt;0,B956&lt;&gt;""),VLOOKUP(I956,'AUX-NIV2'!$B:$AP,40,FALSE)*O956,0)</f>
        <v>0</v>
      </c>
      <c r="AO956" s="382">
        <f t="shared" si="1016"/>
        <v>0</v>
      </c>
      <c r="AQ956" s="395">
        <f>(IF($H956="x",VLOOKUP($I956,'AUX-NIV2'!$B:$X,'AUX-NIV1'!AQ$3,FALSE),0)+($AV956*'AUX-NIV3'!S$4))*$O956+IF($H956=AQ$4,$P956,0)</f>
        <v>0</v>
      </c>
      <c r="AR956" s="395">
        <f>(IF($H956="x",VLOOKUP($I956,'AUX-NIV2'!$B:$X,'AUX-NIV1'!AR$3,FALSE),0)+($AV956*'AUX-NIV3'!T$4))*$O956+IF($H956=AR$4,$P956,0)</f>
        <v>0</v>
      </c>
      <c r="AS956" s="395">
        <f>(IF($H956="x",VLOOKUP($I956,'AUX-NIV2'!$B:$X,'AUX-NIV1'!AS$3,FALSE),0)+($AV956*'AUX-NIV3'!U$4))*$O956+IF($H956=AS$4,$P956,0)</f>
        <v>0</v>
      </c>
      <c r="AT956" s="395">
        <f>(IF($H956="x",VLOOKUP($I956,'AUX-NIV2'!$B:$X,'AUX-NIV1'!AT$3,FALSE),0)+($AV956*'AUX-NIV3'!V$4))*$O956+IF($H956=AT$4,$P956,0)</f>
        <v>0</v>
      </c>
      <c r="AU956" s="395">
        <f>(IF($H956="x",VLOOKUP($I956,'AUX-NIV2'!$B:$X,'AUX-NIV1'!AU$3,FALSE),0)+($AV956*'AUX-NIV3'!W$4))*$O956+IF($H956=AU$4,$P956,0)</f>
        <v>0</v>
      </c>
      <c r="AV956" s="395">
        <f>+IF($H956="x",VLOOKUP($I956,'AUX-NIV2'!$B:$X,'AUX-NIV1'!AV$3,FALSE),0)</f>
        <v>0</v>
      </c>
    </row>
    <row r="957" spans="2:48" ht="14.4" hidden="1" thickTop="1" thickBot="1">
      <c r="B957" s="501" t="s">
        <v>4209</v>
      </c>
      <c r="C957" s="951" t="s">
        <v>3654</v>
      </c>
      <c r="D957" s="1280" t="s">
        <v>1233</v>
      </c>
      <c r="E957" s="1281">
        <f>IF(B957&lt;&gt;"",+SUMIF(Items!C:C,'AUX-NIV1'!B957,Items!H:H),"")</f>
        <v>0</v>
      </c>
      <c r="F957" s="1281">
        <f t="shared" si="1006"/>
        <v>0</v>
      </c>
      <c r="G957" s="1281">
        <f t="shared" si="1007"/>
        <v>0</v>
      </c>
      <c r="H957" s="1395" t="str">
        <f t="shared" si="1032"/>
        <v>S</v>
      </c>
      <c r="I957" s="1462" t="s">
        <v>4227</v>
      </c>
      <c r="J957" s="1283" t="str">
        <f>IF(B957&lt;&gt;"",+VLOOKUP(I957,Recursos!C:F,2,FALSE),"")</f>
        <v>Cable de 20 pares tipo pal</v>
      </c>
      <c r="K957" s="1284" t="str">
        <f>IF(B957&lt;&gt;"",+VLOOKUP(I957,Recursos!C:F,3,FALSE),"")</f>
        <v>Gl</v>
      </c>
      <c r="L957" s="1285">
        <f>IF(B957&lt;&gt;"",+VLOOKUP(I957,Recursos!C:F,4,FALSE),"")</f>
        <v>1</v>
      </c>
      <c r="M957" s="1293"/>
      <c r="N957" s="1294"/>
      <c r="O957" s="1286">
        <f t="shared" si="1033"/>
        <v>0</v>
      </c>
      <c r="P957" s="1287">
        <f t="shared" si="1034"/>
        <v>0</v>
      </c>
      <c r="Q957" s="1281">
        <f t="shared" si="1035"/>
        <v>0</v>
      </c>
      <c r="R957" s="1288">
        <f t="shared" si="1036"/>
        <v>0</v>
      </c>
      <c r="S957" s="1289">
        <f t="shared" si="1008"/>
        <v>0</v>
      </c>
      <c r="T957" s="1289">
        <f t="shared" si="1009"/>
        <v>0</v>
      </c>
      <c r="U957" s="1290">
        <f t="shared" si="1010"/>
        <v>0</v>
      </c>
      <c r="V957" s="1290">
        <f t="shared" si="1011"/>
        <v>0</v>
      </c>
      <c r="W957" s="1290">
        <f t="shared" si="1012"/>
        <v>0</v>
      </c>
      <c r="X957" s="1290">
        <f t="shared" si="1013"/>
        <v>0</v>
      </c>
      <c r="Y957" s="396"/>
      <c r="Z957" s="1291" t="str">
        <f t="shared" si="1037"/>
        <v>0-ITT004A</v>
      </c>
      <c r="AA957" s="1291" t="str">
        <f t="shared" si="1038"/>
        <v>0-ITT004E</v>
      </c>
      <c r="AB957" s="1291" t="str">
        <f t="shared" si="1039"/>
        <v>0-ITT004M</v>
      </c>
      <c r="AC957" s="1291" t="str">
        <f t="shared" si="1040"/>
        <v>0-ITT004T</v>
      </c>
      <c r="AD957" s="1291" t="str">
        <f t="shared" si="1041"/>
        <v>0-ITT004S</v>
      </c>
      <c r="AE957" s="1291" t="str">
        <f t="shared" si="1042"/>
        <v>0-ITT004X</v>
      </c>
      <c r="AF957" s="1291" t="str">
        <f t="shared" si="1043"/>
        <v>0-ITT004S</v>
      </c>
      <c r="AG957" s="1291">
        <f t="shared" si="1014"/>
        <v>1</v>
      </c>
      <c r="AH957" s="1291">
        <f>IF(B957&lt;&gt;"",+IF(H957="x",+VLOOKUP(I957,'AUX-NIV2'!B:AG,32,FALSE),0),"")</f>
        <v>0</v>
      </c>
      <c r="AI957" s="1291" t="str">
        <f t="shared" si="1044"/>
        <v>0-ITT004</v>
      </c>
      <c r="AK957" s="347">
        <f t="shared" si="1015"/>
        <v>957</v>
      </c>
      <c r="AL957" s="348">
        <f t="shared" si="1045"/>
        <v>957</v>
      </c>
      <c r="AM957" s="347">
        <f t="shared" si="1046"/>
        <v>1</v>
      </c>
      <c r="AN957" s="382">
        <f>IF(AND(AH957&gt;0,B957&lt;&gt;""),VLOOKUP(I957,'AUX-NIV2'!$B:$AP,40,FALSE)*O957,0)</f>
        <v>0</v>
      </c>
      <c r="AO957" s="382">
        <f t="shared" si="1016"/>
        <v>0</v>
      </c>
      <c r="AQ957" s="395">
        <f>(IF($H957="x",VLOOKUP($I957,'AUX-NIV2'!$B:$X,'AUX-NIV1'!AQ$3,FALSE),0)+($AV957*'AUX-NIV3'!S$4))*$O957+IF($H957=AQ$4,$P957,0)</f>
        <v>0</v>
      </c>
      <c r="AR957" s="395">
        <f>(IF($H957="x",VLOOKUP($I957,'AUX-NIV2'!$B:$X,'AUX-NIV1'!AR$3,FALSE),0)+($AV957*'AUX-NIV3'!T$4))*$O957+IF($H957=AR$4,$P957,0)</f>
        <v>0</v>
      </c>
      <c r="AS957" s="395">
        <f>(IF($H957="x",VLOOKUP($I957,'AUX-NIV2'!$B:$X,'AUX-NIV1'!AS$3,FALSE),0)+($AV957*'AUX-NIV3'!U$4))*$O957+IF($H957=AS$4,$P957,0)</f>
        <v>0</v>
      </c>
      <c r="AT957" s="395">
        <f>(IF($H957="x",VLOOKUP($I957,'AUX-NIV2'!$B:$X,'AUX-NIV1'!AT$3,FALSE),0)+($AV957*'AUX-NIV3'!V$4))*$O957+IF($H957=AT$4,$P957,0)</f>
        <v>0</v>
      </c>
      <c r="AU957" s="395">
        <f>(IF($H957="x",VLOOKUP($I957,'AUX-NIV2'!$B:$X,'AUX-NIV1'!AU$3,FALSE),0)+($AV957*'AUX-NIV3'!W$4))*$O957+IF($H957=AU$4,$P957,0)</f>
        <v>0</v>
      </c>
      <c r="AV957" s="395">
        <f>+IF($H957="x",VLOOKUP($I957,'AUX-NIV2'!$B:$X,'AUX-NIV1'!AV$3,FALSE),0)</f>
        <v>0</v>
      </c>
    </row>
    <row r="958" spans="2:48" ht="14.4" hidden="1" thickTop="1" thickBot="1">
      <c r="B958" s="501" t="s">
        <v>4210</v>
      </c>
      <c r="C958" s="951" t="s">
        <v>3655</v>
      </c>
      <c r="D958" s="1280" t="s">
        <v>1233</v>
      </c>
      <c r="E958" s="1281">
        <f>IF(B958&lt;&gt;"",+SUMIF(Items!C:C,'AUX-NIV1'!B958,Items!H:H),"")</f>
        <v>0</v>
      </c>
      <c r="F958" s="1281">
        <f t="shared" si="1006"/>
        <v>0</v>
      </c>
      <c r="G958" s="1281">
        <f t="shared" si="1007"/>
        <v>0</v>
      </c>
      <c r="H958" s="1395" t="str">
        <f t="shared" si="1032"/>
        <v>S</v>
      </c>
      <c r="I958" s="1462" t="s">
        <v>4228</v>
      </c>
      <c r="J958" s="1283" t="str">
        <f>IF(B958&lt;&gt;"",+VLOOKUP(I958,Recursos!C:F,2,FALSE),"")</f>
        <v>Mano de obra</v>
      </c>
      <c r="K958" s="1284" t="str">
        <f>IF(B958&lt;&gt;"",+VLOOKUP(I958,Recursos!C:F,3,FALSE),"")</f>
        <v>Gl</v>
      </c>
      <c r="L958" s="1285">
        <f>IF(B958&lt;&gt;"",+VLOOKUP(I958,Recursos!C:F,4,FALSE),"")</f>
        <v>1</v>
      </c>
      <c r="M958" s="1293"/>
      <c r="N958" s="1294"/>
      <c r="O958" s="1286">
        <f t="shared" si="1033"/>
        <v>0</v>
      </c>
      <c r="P958" s="1287">
        <f t="shared" si="1034"/>
        <v>0</v>
      </c>
      <c r="Q958" s="1281">
        <f t="shared" si="1035"/>
        <v>0</v>
      </c>
      <c r="R958" s="1288">
        <f t="shared" si="1036"/>
        <v>0</v>
      </c>
      <c r="S958" s="1289">
        <f t="shared" si="1008"/>
        <v>0</v>
      </c>
      <c r="T958" s="1289">
        <f t="shared" si="1009"/>
        <v>0</v>
      </c>
      <c r="U958" s="1290">
        <f t="shared" si="1010"/>
        <v>0</v>
      </c>
      <c r="V958" s="1290">
        <f t="shared" si="1011"/>
        <v>0</v>
      </c>
      <c r="W958" s="1290">
        <f t="shared" si="1012"/>
        <v>0</v>
      </c>
      <c r="X958" s="1290">
        <f t="shared" si="1013"/>
        <v>0</v>
      </c>
      <c r="Y958" s="396"/>
      <c r="Z958" s="1291" t="str">
        <f t="shared" si="1037"/>
        <v>0-ITT005A</v>
      </c>
      <c r="AA958" s="1291" t="str">
        <f t="shared" si="1038"/>
        <v>0-ITT005E</v>
      </c>
      <c r="AB958" s="1291" t="str">
        <f t="shared" si="1039"/>
        <v>0-ITT005M</v>
      </c>
      <c r="AC958" s="1291" t="str">
        <f t="shared" si="1040"/>
        <v>0-ITT005T</v>
      </c>
      <c r="AD958" s="1291" t="str">
        <f t="shared" si="1041"/>
        <v>0-ITT005S</v>
      </c>
      <c r="AE958" s="1291" t="str">
        <f t="shared" si="1042"/>
        <v>0-ITT005X</v>
      </c>
      <c r="AF958" s="1291" t="str">
        <f t="shared" si="1043"/>
        <v>0-ITT005S</v>
      </c>
      <c r="AG958" s="1291">
        <f t="shared" si="1014"/>
        <v>1</v>
      </c>
      <c r="AH958" s="1291">
        <f>IF(B958&lt;&gt;"",+IF(H958="x",+VLOOKUP(I958,'AUX-NIV2'!B:AG,32,FALSE),0),"")</f>
        <v>0</v>
      </c>
      <c r="AI958" s="1291" t="str">
        <f t="shared" si="1044"/>
        <v>0-ITT005</v>
      </c>
      <c r="AK958" s="347">
        <f t="shared" si="1015"/>
        <v>958</v>
      </c>
      <c r="AL958" s="348">
        <f t="shared" si="1045"/>
        <v>958</v>
      </c>
      <c r="AM958" s="347">
        <f t="shared" si="1046"/>
        <v>1</v>
      </c>
      <c r="AN958" s="382">
        <f>IF(AND(AH958&gt;0,B958&lt;&gt;""),VLOOKUP(I958,'AUX-NIV2'!$B:$AP,40,FALSE)*O958,0)</f>
        <v>0</v>
      </c>
      <c r="AO958" s="382">
        <f t="shared" si="1016"/>
        <v>0</v>
      </c>
      <c r="AQ958" s="395">
        <f>(IF($H958="x",VLOOKUP($I958,'AUX-NIV2'!$B:$X,'AUX-NIV1'!AQ$3,FALSE),0)+($AV958*'AUX-NIV3'!S$4))*$O958+IF($H958=AQ$4,$P958,0)</f>
        <v>0</v>
      </c>
      <c r="AR958" s="395">
        <f>(IF($H958="x",VLOOKUP($I958,'AUX-NIV2'!$B:$X,'AUX-NIV1'!AR$3,FALSE),0)+($AV958*'AUX-NIV3'!T$4))*$O958+IF($H958=AR$4,$P958,0)</f>
        <v>0</v>
      </c>
      <c r="AS958" s="395">
        <f>(IF($H958="x",VLOOKUP($I958,'AUX-NIV2'!$B:$X,'AUX-NIV1'!AS$3,FALSE),0)+($AV958*'AUX-NIV3'!U$4))*$O958+IF($H958=AS$4,$P958,0)</f>
        <v>0</v>
      </c>
      <c r="AT958" s="395">
        <f>(IF($H958="x",VLOOKUP($I958,'AUX-NIV2'!$B:$X,'AUX-NIV1'!AT$3,FALSE),0)+($AV958*'AUX-NIV3'!V$4))*$O958+IF($H958=AT$4,$P958,0)</f>
        <v>0</v>
      </c>
      <c r="AU958" s="395">
        <f>(IF($H958="x",VLOOKUP($I958,'AUX-NIV2'!$B:$X,'AUX-NIV1'!AU$3,FALSE),0)+($AV958*'AUX-NIV3'!W$4))*$O958+IF($H958=AU$4,$P958,0)</f>
        <v>0</v>
      </c>
      <c r="AV958" s="395">
        <f>+IF($H958="x",VLOOKUP($I958,'AUX-NIV2'!$B:$X,'AUX-NIV1'!AV$3,FALSE),0)</f>
        <v>0</v>
      </c>
    </row>
    <row r="959" spans="2:48" ht="14.4" hidden="1" thickTop="1" thickBot="1">
      <c r="B959" s="501" t="s">
        <v>4211</v>
      </c>
      <c r="C959" s="951" t="s">
        <v>3656</v>
      </c>
      <c r="D959" s="1280" t="s">
        <v>1233</v>
      </c>
      <c r="E959" s="1281">
        <f>IF(B959&lt;&gt;"",+SUMIF(Items!C:C,'AUX-NIV1'!B959,Items!H:H),"")</f>
        <v>0</v>
      </c>
      <c r="F959" s="1281">
        <f t="shared" si="1006"/>
        <v>0</v>
      </c>
      <c r="G959" s="1281">
        <f t="shared" si="1007"/>
        <v>0</v>
      </c>
      <c r="H959" s="1395" t="str">
        <f t="shared" si="1032"/>
        <v>S</v>
      </c>
      <c r="I959" s="1462" t="s">
        <v>4229</v>
      </c>
      <c r="J959" s="1283" t="str">
        <f>IF(B959&lt;&gt;"",+VLOOKUP(I959,Recursos!C:F,2,FALSE),"")</f>
        <v>Cableado para telefonía y vinculación con la red de cableado estructurado</v>
      </c>
      <c r="K959" s="1284" t="str">
        <f>IF(B959&lt;&gt;"",+VLOOKUP(I959,Recursos!C:F,3,FALSE),"")</f>
        <v>Gl</v>
      </c>
      <c r="L959" s="1285">
        <f>IF(B959&lt;&gt;"",+VLOOKUP(I959,Recursos!C:F,4,FALSE),"")</f>
        <v>1</v>
      </c>
      <c r="M959" s="1293"/>
      <c r="N959" s="1294"/>
      <c r="O959" s="1286">
        <f t="shared" si="1033"/>
        <v>0</v>
      </c>
      <c r="P959" s="1287">
        <f t="shared" si="1034"/>
        <v>0</v>
      </c>
      <c r="Q959" s="1281">
        <f t="shared" si="1035"/>
        <v>0</v>
      </c>
      <c r="R959" s="1288">
        <f t="shared" si="1036"/>
        <v>0</v>
      </c>
      <c r="S959" s="1289">
        <f t="shared" si="1008"/>
        <v>0</v>
      </c>
      <c r="T959" s="1289">
        <f t="shared" si="1009"/>
        <v>0</v>
      </c>
      <c r="U959" s="1290">
        <f t="shared" si="1010"/>
        <v>0</v>
      </c>
      <c r="V959" s="1290">
        <f t="shared" si="1011"/>
        <v>0</v>
      </c>
      <c r="W959" s="1290">
        <f t="shared" si="1012"/>
        <v>0</v>
      </c>
      <c r="X959" s="1290">
        <f t="shared" si="1013"/>
        <v>0</v>
      </c>
      <c r="Y959" s="396"/>
      <c r="Z959" s="1291" t="str">
        <f t="shared" si="1037"/>
        <v>0-ITT006A</v>
      </c>
      <c r="AA959" s="1291" t="str">
        <f t="shared" si="1038"/>
        <v>0-ITT006E</v>
      </c>
      <c r="AB959" s="1291" t="str">
        <f t="shared" si="1039"/>
        <v>0-ITT006M</v>
      </c>
      <c r="AC959" s="1291" t="str">
        <f t="shared" si="1040"/>
        <v>0-ITT006T</v>
      </c>
      <c r="AD959" s="1291" t="str">
        <f t="shared" si="1041"/>
        <v>0-ITT006S</v>
      </c>
      <c r="AE959" s="1291" t="str">
        <f t="shared" si="1042"/>
        <v>0-ITT006X</v>
      </c>
      <c r="AF959" s="1291" t="str">
        <f t="shared" si="1043"/>
        <v>0-ITT006S</v>
      </c>
      <c r="AG959" s="1291">
        <f t="shared" si="1014"/>
        <v>1</v>
      </c>
      <c r="AH959" s="1291">
        <f>IF(B959&lt;&gt;"",+IF(H959="x",+VLOOKUP(I959,'AUX-NIV2'!B:AG,32,FALSE),0),"")</f>
        <v>0</v>
      </c>
      <c r="AI959" s="1291" t="str">
        <f t="shared" si="1044"/>
        <v>0-ITT006</v>
      </c>
      <c r="AK959" s="347">
        <f t="shared" si="1015"/>
        <v>959</v>
      </c>
      <c r="AL959" s="348">
        <f t="shared" si="1045"/>
        <v>959</v>
      </c>
      <c r="AM959" s="347">
        <f t="shared" si="1046"/>
        <v>1</v>
      </c>
      <c r="AN959" s="382">
        <f>IF(AND(AH959&gt;0,B959&lt;&gt;""),VLOOKUP(I959,'AUX-NIV2'!$B:$AP,40,FALSE)*O959,0)</f>
        <v>0</v>
      </c>
      <c r="AO959" s="382">
        <f t="shared" si="1016"/>
        <v>0</v>
      </c>
      <c r="AQ959" s="395">
        <f>(IF($H959="x",VLOOKUP($I959,'AUX-NIV2'!$B:$X,'AUX-NIV1'!AQ$3,FALSE),0)+($AV959*'AUX-NIV3'!S$4))*$O959+IF($H959=AQ$4,$P959,0)</f>
        <v>0</v>
      </c>
      <c r="AR959" s="395">
        <f>(IF($H959="x",VLOOKUP($I959,'AUX-NIV2'!$B:$X,'AUX-NIV1'!AR$3,FALSE),0)+($AV959*'AUX-NIV3'!T$4))*$O959+IF($H959=AR$4,$P959,0)</f>
        <v>0</v>
      </c>
      <c r="AS959" s="395">
        <f>(IF($H959="x",VLOOKUP($I959,'AUX-NIV2'!$B:$X,'AUX-NIV1'!AS$3,FALSE),0)+($AV959*'AUX-NIV3'!U$4))*$O959+IF($H959=AS$4,$P959,0)</f>
        <v>0</v>
      </c>
      <c r="AT959" s="395">
        <f>(IF($H959="x",VLOOKUP($I959,'AUX-NIV2'!$B:$X,'AUX-NIV1'!AT$3,FALSE),0)+($AV959*'AUX-NIV3'!V$4))*$O959+IF($H959=AT$4,$P959,0)</f>
        <v>0</v>
      </c>
      <c r="AU959" s="395">
        <f>(IF($H959="x",VLOOKUP($I959,'AUX-NIV2'!$B:$X,'AUX-NIV1'!AU$3,FALSE),0)+($AV959*'AUX-NIV3'!W$4))*$O959+IF($H959=AU$4,$P959,0)</f>
        <v>0</v>
      </c>
      <c r="AV959" s="395">
        <f>+IF($H959="x",VLOOKUP($I959,'AUX-NIV2'!$B:$X,'AUX-NIV1'!AV$3,FALSE),0)</f>
        <v>0</v>
      </c>
    </row>
    <row r="960" spans="2:48" ht="14.4" hidden="1" thickTop="1" thickBot="1">
      <c r="B960" s="501" t="s">
        <v>4212</v>
      </c>
      <c r="C960" s="951" t="s">
        <v>3657</v>
      </c>
      <c r="D960" s="1280" t="s">
        <v>1233</v>
      </c>
      <c r="E960" s="1281">
        <f>IF(B960&lt;&gt;"",+SUMIF(Items!C:C,'AUX-NIV1'!B960,Items!H:H),"")</f>
        <v>0</v>
      </c>
      <c r="F960" s="1281">
        <f t="shared" si="1006"/>
        <v>0</v>
      </c>
      <c r="G960" s="1281">
        <f t="shared" si="1007"/>
        <v>0</v>
      </c>
      <c r="H960" s="1395" t="str">
        <f t="shared" si="1032"/>
        <v>S</v>
      </c>
      <c r="I960" s="1462" t="s">
        <v>4230</v>
      </c>
      <c r="J960" s="1283" t="str">
        <f>IF(B960&lt;&gt;"",+VLOOKUP(I960,Recursos!C:F,2,FALSE),"")</f>
        <v>liston siemon de 50 pares.</v>
      </c>
      <c r="K960" s="1284" t="str">
        <f>IF(B960&lt;&gt;"",+VLOOKUP(I960,Recursos!C:F,3,FALSE),"")</f>
        <v>Gl</v>
      </c>
      <c r="L960" s="1285">
        <f>IF(B960&lt;&gt;"",+VLOOKUP(I960,Recursos!C:F,4,FALSE),"")</f>
        <v>1</v>
      </c>
      <c r="M960" s="1293"/>
      <c r="N960" s="1294"/>
      <c r="O960" s="1286">
        <f t="shared" si="1033"/>
        <v>0</v>
      </c>
      <c r="P960" s="1287">
        <f t="shared" si="1034"/>
        <v>0</v>
      </c>
      <c r="Q960" s="1281">
        <f t="shared" si="1035"/>
        <v>0</v>
      </c>
      <c r="R960" s="1288">
        <f t="shared" si="1036"/>
        <v>0</v>
      </c>
      <c r="S960" s="1289">
        <f t="shared" si="1008"/>
        <v>0</v>
      </c>
      <c r="T960" s="1289">
        <f t="shared" si="1009"/>
        <v>0</v>
      </c>
      <c r="U960" s="1290">
        <f t="shared" si="1010"/>
        <v>0</v>
      </c>
      <c r="V960" s="1290">
        <f t="shared" si="1011"/>
        <v>0</v>
      </c>
      <c r="W960" s="1290">
        <f t="shared" si="1012"/>
        <v>0</v>
      </c>
      <c r="X960" s="1290">
        <f t="shared" si="1013"/>
        <v>0</v>
      </c>
      <c r="Y960" s="396"/>
      <c r="Z960" s="1291" t="str">
        <f t="shared" si="1037"/>
        <v>0-ITT007A</v>
      </c>
      <c r="AA960" s="1291" t="str">
        <f t="shared" si="1038"/>
        <v>0-ITT007E</v>
      </c>
      <c r="AB960" s="1291" t="str">
        <f t="shared" si="1039"/>
        <v>0-ITT007M</v>
      </c>
      <c r="AC960" s="1291" t="str">
        <f t="shared" si="1040"/>
        <v>0-ITT007T</v>
      </c>
      <c r="AD960" s="1291" t="str">
        <f t="shared" si="1041"/>
        <v>0-ITT007S</v>
      </c>
      <c r="AE960" s="1291" t="str">
        <f t="shared" si="1042"/>
        <v>0-ITT007X</v>
      </c>
      <c r="AF960" s="1291" t="str">
        <f t="shared" si="1043"/>
        <v>0-ITT007S</v>
      </c>
      <c r="AG960" s="1291">
        <f t="shared" si="1014"/>
        <v>1</v>
      </c>
      <c r="AH960" s="1291">
        <f>IF(B960&lt;&gt;"",+IF(H960="x",+VLOOKUP(I960,'AUX-NIV2'!B:AG,32,FALSE),0),"")</f>
        <v>0</v>
      </c>
      <c r="AI960" s="1291" t="str">
        <f t="shared" si="1044"/>
        <v>0-ITT007</v>
      </c>
      <c r="AK960" s="347">
        <f t="shared" si="1015"/>
        <v>960</v>
      </c>
      <c r="AL960" s="348">
        <f t="shared" si="1045"/>
        <v>960</v>
      </c>
      <c r="AM960" s="347">
        <f t="shared" si="1046"/>
        <v>1</v>
      </c>
      <c r="AN960" s="382">
        <f>IF(AND(AH960&gt;0,B960&lt;&gt;""),VLOOKUP(I960,'AUX-NIV2'!$B:$AP,40,FALSE)*O960,0)</f>
        <v>0</v>
      </c>
      <c r="AO960" s="382">
        <f t="shared" si="1016"/>
        <v>0</v>
      </c>
      <c r="AQ960" s="395">
        <f>(IF($H960="x",VLOOKUP($I960,'AUX-NIV2'!$B:$X,'AUX-NIV1'!AQ$3,FALSE),0)+($AV960*'AUX-NIV3'!S$4))*$O960+IF($H960=AQ$4,$P960,0)</f>
        <v>0</v>
      </c>
      <c r="AR960" s="395">
        <f>(IF($H960="x",VLOOKUP($I960,'AUX-NIV2'!$B:$X,'AUX-NIV1'!AR$3,FALSE),0)+($AV960*'AUX-NIV3'!T$4))*$O960+IF($H960=AR$4,$P960,0)</f>
        <v>0</v>
      </c>
      <c r="AS960" s="395">
        <f>(IF($H960="x",VLOOKUP($I960,'AUX-NIV2'!$B:$X,'AUX-NIV1'!AS$3,FALSE),0)+($AV960*'AUX-NIV3'!U$4))*$O960+IF($H960=AS$4,$P960,0)</f>
        <v>0</v>
      </c>
      <c r="AT960" s="395">
        <f>(IF($H960="x",VLOOKUP($I960,'AUX-NIV2'!$B:$X,'AUX-NIV1'!AT$3,FALSE),0)+($AV960*'AUX-NIV3'!V$4))*$O960+IF($H960=AT$4,$P960,0)</f>
        <v>0</v>
      </c>
      <c r="AU960" s="395">
        <f>(IF($H960="x",VLOOKUP($I960,'AUX-NIV2'!$B:$X,'AUX-NIV1'!AU$3,FALSE),0)+($AV960*'AUX-NIV3'!W$4))*$O960+IF($H960=AU$4,$P960,0)</f>
        <v>0</v>
      </c>
      <c r="AV960" s="395">
        <f>+IF($H960="x",VLOOKUP($I960,'AUX-NIV2'!$B:$X,'AUX-NIV1'!AV$3,FALSE),0)</f>
        <v>0</v>
      </c>
    </row>
    <row r="961" spans="2:48" ht="14.4" hidden="1" thickTop="1" thickBot="1">
      <c r="B961" s="501" t="s">
        <v>4213</v>
      </c>
      <c r="C961" s="951" t="s">
        <v>3658</v>
      </c>
      <c r="D961" s="1280" t="s">
        <v>1233</v>
      </c>
      <c r="E961" s="1281">
        <f>IF(B961&lt;&gt;"",+SUMIF(Items!C:C,'AUX-NIV1'!B961,Items!H:H),"")</f>
        <v>0</v>
      </c>
      <c r="F961" s="1281">
        <f t="shared" si="1006"/>
        <v>0</v>
      </c>
      <c r="G961" s="1281">
        <f t="shared" si="1007"/>
        <v>0</v>
      </c>
      <c r="H961" s="1395" t="str">
        <f t="shared" si="1032"/>
        <v>S</v>
      </c>
      <c r="I961" s="1462" t="s">
        <v>4231</v>
      </c>
      <c r="J961" s="1283" t="str">
        <f>IF(B961&lt;&gt;"",+VLOOKUP(I961,Recursos!C:F,2,FALSE),"")</f>
        <v>Cable de 26 pares (20 mts.)</v>
      </c>
      <c r="K961" s="1284" t="str">
        <f>IF(B961&lt;&gt;"",+VLOOKUP(I961,Recursos!C:F,3,FALSE),"")</f>
        <v>Gl</v>
      </c>
      <c r="L961" s="1285">
        <f>IF(B961&lt;&gt;"",+VLOOKUP(I961,Recursos!C:F,4,FALSE),"")</f>
        <v>1</v>
      </c>
      <c r="M961" s="1293"/>
      <c r="N961" s="1294"/>
      <c r="O961" s="1286">
        <f t="shared" si="1033"/>
        <v>0</v>
      </c>
      <c r="P961" s="1287">
        <f t="shared" si="1034"/>
        <v>0</v>
      </c>
      <c r="Q961" s="1281">
        <f t="shared" si="1035"/>
        <v>0</v>
      </c>
      <c r="R961" s="1288">
        <f t="shared" si="1036"/>
        <v>0</v>
      </c>
      <c r="S961" s="1289">
        <f t="shared" si="1008"/>
        <v>0</v>
      </c>
      <c r="T961" s="1289">
        <f t="shared" si="1009"/>
        <v>0</v>
      </c>
      <c r="U961" s="1290">
        <f t="shared" si="1010"/>
        <v>0</v>
      </c>
      <c r="V961" s="1290">
        <f t="shared" si="1011"/>
        <v>0</v>
      </c>
      <c r="W961" s="1290">
        <f t="shared" si="1012"/>
        <v>0</v>
      </c>
      <c r="X961" s="1290">
        <f t="shared" si="1013"/>
        <v>0</v>
      </c>
      <c r="Y961" s="396"/>
      <c r="Z961" s="1291" t="str">
        <f t="shared" si="1037"/>
        <v>0-ITT008A</v>
      </c>
      <c r="AA961" s="1291" t="str">
        <f t="shared" si="1038"/>
        <v>0-ITT008E</v>
      </c>
      <c r="AB961" s="1291" t="str">
        <f t="shared" si="1039"/>
        <v>0-ITT008M</v>
      </c>
      <c r="AC961" s="1291" t="str">
        <f t="shared" si="1040"/>
        <v>0-ITT008T</v>
      </c>
      <c r="AD961" s="1291" t="str">
        <f t="shared" si="1041"/>
        <v>0-ITT008S</v>
      </c>
      <c r="AE961" s="1291" t="str">
        <f t="shared" si="1042"/>
        <v>0-ITT008X</v>
      </c>
      <c r="AF961" s="1291" t="str">
        <f t="shared" si="1043"/>
        <v>0-ITT008S</v>
      </c>
      <c r="AG961" s="1291">
        <f t="shared" si="1014"/>
        <v>1</v>
      </c>
      <c r="AH961" s="1291">
        <f>IF(B961&lt;&gt;"",+IF(H961="x",+VLOOKUP(I961,'AUX-NIV2'!B:AG,32,FALSE),0),"")</f>
        <v>0</v>
      </c>
      <c r="AI961" s="1291" t="str">
        <f t="shared" si="1044"/>
        <v>0-ITT008</v>
      </c>
      <c r="AK961" s="347">
        <f t="shared" si="1015"/>
        <v>961</v>
      </c>
      <c r="AL961" s="348">
        <f t="shared" si="1045"/>
        <v>961</v>
      </c>
      <c r="AM961" s="347">
        <f t="shared" si="1046"/>
        <v>1</v>
      </c>
      <c r="AN961" s="382">
        <f>IF(AND(AH961&gt;0,B961&lt;&gt;""),VLOOKUP(I961,'AUX-NIV2'!$B:$AP,40,FALSE)*O961,0)</f>
        <v>0</v>
      </c>
      <c r="AO961" s="382">
        <f t="shared" si="1016"/>
        <v>0</v>
      </c>
      <c r="AQ961" s="395">
        <f>(IF($H961="x",VLOOKUP($I961,'AUX-NIV2'!$B:$X,'AUX-NIV1'!AQ$3,FALSE),0)+($AV961*'AUX-NIV3'!S$4))*$O961+IF($H961=AQ$4,$P961,0)</f>
        <v>0</v>
      </c>
      <c r="AR961" s="395">
        <f>(IF($H961="x",VLOOKUP($I961,'AUX-NIV2'!$B:$X,'AUX-NIV1'!AR$3,FALSE),0)+($AV961*'AUX-NIV3'!T$4))*$O961+IF($H961=AR$4,$P961,0)</f>
        <v>0</v>
      </c>
      <c r="AS961" s="395">
        <f>(IF($H961="x",VLOOKUP($I961,'AUX-NIV2'!$B:$X,'AUX-NIV1'!AS$3,FALSE),0)+($AV961*'AUX-NIV3'!U$4))*$O961+IF($H961=AS$4,$P961,0)</f>
        <v>0</v>
      </c>
      <c r="AT961" s="395">
        <f>(IF($H961="x",VLOOKUP($I961,'AUX-NIV2'!$B:$X,'AUX-NIV1'!AT$3,FALSE),0)+($AV961*'AUX-NIV3'!V$4))*$O961+IF($H961=AT$4,$P961,0)</f>
        <v>0</v>
      </c>
      <c r="AU961" s="395">
        <f>(IF($H961="x",VLOOKUP($I961,'AUX-NIV2'!$B:$X,'AUX-NIV1'!AU$3,FALSE),0)+($AV961*'AUX-NIV3'!W$4))*$O961+IF($H961=AU$4,$P961,0)</f>
        <v>0</v>
      </c>
      <c r="AV961" s="395">
        <f>+IF($H961="x",VLOOKUP($I961,'AUX-NIV2'!$B:$X,'AUX-NIV1'!AV$3,FALSE),0)</f>
        <v>0</v>
      </c>
    </row>
    <row r="962" spans="2:48" ht="14.4" hidden="1" thickTop="1" thickBot="1">
      <c r="B962" s="501" t="s">
        <v>4214</v>
      </c>
      <c r="C962" s="951" t="s">
        <v>3659</v>
      </c>
      <c r="D962" s="1280" t="s">
        <v>1233</v>
      </c>
      <c r="E962" s="1281">
        <f>IF(B962&lt;&gt;"",+SUMIF(Items!C:C,'AUX-NIV1'!B962,Items!H:H),"")</f>
        <v>0</v>
      </c>
      <c r="F962" s="1281">
        <f t="shared" si="1006"/>
        <v>0</v>
      </c>
      <c r="G962" s="1281">
        <f t="shared" si="1007"/>
        <v>0</v>
      </c>
      <c r="H962" s="1395" t="str">
        <f t="shared" si="1032"/>
        <v>S</v>
      </c>
      <c r="I962" s="1462" t="s">
        <v>4232</v>
      </c>
      <c r="J962" s="1283" t="str">
        <f>IF(B962&lt;&gt;"",+VLOOKUP(I962,Recursos!C:F,2,FALSE),"")</f>
        <v>patchera 24 bocas cat. 6</v>
      </c>
      <c r="K962" s="1284" t="str">
        <f>IF(B962&lt;&gt;"",+VLOOKUP(I962,Recursos!C:F,3,FALSE),"")</f>
        <v>Gl</v>
      </c>
      <c r="L962" s="1285">
        <f>IF(B962&lt;&gt;"",+VLOOKUP(I962,Recursos!C:F,4,FALSE),"")</f>
        <v>1</v>
      </c>
      <c r="M962" s="1293"/>
      <c r="N962" s="1294"/>
      <c r="O962" s="1286">
        <f t="shared" si="1033"/>
        <v>0</v>
      </c>
      <c r="P962" s="1287">
        <f t="shared" si="1034"/>
        <v>0</v>
      </c>
      <c r="Q962" s="1281">
        <f t="shared" si="1035"/>
        <v>0</v>
      </c>
      <c r="R962" s="1288">
        <f t="shared" si="1036"/>
        <v>0</v>
      </c>
      <c r="S962" s="1289">
        <f t="shared" si="1008"/>
        <v>0</v>
      </c>
      <c r="T962" s="1289">
        <f t="shared" si="1009"/>
        <v>0</v>
      </c>
      <c r="U962" s="1290">
        <f t="shared" si="1010"/>
        <v>0</v>
      </c>
      <c r="V962" s="1290">
        <f t="shared" si="1011"/>
        <v>0</v>
      </c>
      <c r="W962" s="1290">
        <f t="shared" si="1012"/>
        <v>0</v>
      </c>
      <c r="X962" s="1290">
        <f t="shared" si="1013"/>
        <v>0</v>
      </c>
      <c r="Y962" s="396"/>
      <c r="Z962" s="1291" t="str">
        <f t="shared" si="1037"/>
        <v>0-ITT009A</v>
      </c>
      <c r="AA962" s="1291" t="str">
        <f t="shared" si="1038"/>
        <v>0-ITT009E</v>
      </c>
      <c r="AB962" s="1291" t="str">
        <f t="shared" si="1039"/>
        <v>0-ITT009M</v>
      </c>
      <c r="AC962" s="1291" t="str">
        <f t="shared" si="1040"/>
        <v>0-ITT009T</v>
      </c>
      <c r="AD962" s="1291" t="str">
        <f t="shared" si="1041"/>
        <v>0-ITT009S</v>
      </c>
      <c r="AE962" s="1291" t="str">
        <f t="shared" si="1042"/>
        <v>0-ITT009X</v>
      </c>
      <c r="AF962" s="1291" t="str">
        <f t="shared" si="1043"/>
        <v>0-ITT009S</v>
      </c>
      <c r="AG962" s="1291">
        <f t="shared" si="1014"/>
        <v>1</v>
      </c>
      <c r="AH962" s="1291">
        <f>IF(B962&lt;&gt;"",+IF(H962="x",+VLOOKUP(I962,'AUX-NIV2'!B:AG,32,FALSE),0),"")</f>
        <v>0</v>
      </c>
      <c r="AI962" s="1291" t="str">
        <f t="shared" si="1044"/>
        <v>0-ITT009</v>
      </c>
      <c r="AK962" s="347">
        <f t="shared" si="1015"/>
        <v>962</v>
      </c>
      <c r="AL962" s="348">
        <f t="shared" si="1045"/>
        <v>962</v>
      </c>
      <c r="AM962" s="347">
        <f t="shared" si="1046"/>
        <v>1</v>
      </c>
      <c r="AN962" s="382">
        <f>IF(AND(AH962&gt;0,B962&lt;&gt;""),VLOOKUP(I962,'AUX-NIV2'!$B:$AP,40,FALSE)*O962,0)</f>
        <v>0</v>
      </c>
      <c r="AO962" s="382">
        <f t="shared" si="1016"/>
        <v>0</v>
      </c>
      <c r="AQ962" s="395">
        <f>(IF($H962="x",VLOOKUP($I962,'AUX-NIV2'!$B:$X,'AUX-NIV1'!AQ$3,FALSE),0)+($AV962*'AUX-NIV3'!S$4))*$O962+IF($H962=AQ$4,$P962,0)</f>
        <v>0</v>
      </c>
      <c r="AR962" s="395">
        <f>(IF($H962="x",VLOOKUP($I962,'AUX-NIV2'!$B:$X,'AUX-NIV1'!AR$3,FALSE),0)+($AV962*'AUX-NIV3'!T$4))*$O962+IF($H962=AR$4,$P962,0)</f>
        <v>0</v>
      </c>
      <c r="AS962" s="395">
        <f>(IF($H962="x",VLOOKUP($I962,'AUX-NIV2'!$B:$X,'AUX-NIV1'!AS$3,FALSE),0)+($AV962*'AUX-NIV3'!U$4))*$O962+IF($H962=AS$4,$P962,0)</f>
        <v>0</v>
      </c>
      <c r="AT962" s="395">
        <f>(IF($H962="x",VLOOKUP($I962,'AUX-NIV2'!$B:$X,'AUX-NIV1'!AT$3,FALSE),0)+($AV962*'AUX-NIV3'!V$4))*$O962+IF($H962=AT$4,$P962,0)</f>
        <v>0</v>
      </c>
      <c r="AU962" s="395">
        <f>(IF($H962="x",VLOOKUP($I962,'AUX-NIV2'!$B:$X,'AUX-NIV1'!AU$3,FALSE),0)+($AV962*'AUX-NIV3'!W$4))*$O962+IF($H962=AU$4,$P962,0)</f>
        <v>0</v>
      </c>
      <c r="AV962" s="395">
        <f>+IF($H962="x",VLOOKUP($I962,'AUX-NIV2'!$B:$X,'AUX-NIV1'!AV$3,FALSE),0)</f>
        <v>0</v>
      </c>
    </row>
    <row r="963" spans="2:48" ht="14.4" hidden="1" thickTop="1" thickBot="1">
      <c r="B963" s="501" t="s">
        <v>4215</v>
      </c>
      <c r="C963" s="951" t="s">
        <v>3655</v>
      </c>
      <c r="D963" s="1280" t="s">
        <v>1233</v>
      </c>
      <c r="E963" s="1281">
        <f>IF(B963&lt;&gt;"",+SUMIF(Items!C:C,'AUX-NIV1'!B963,Items!H:H),"")</f>
        <v>0</v>
      </c>
      <c r="F963" s="1281">
        <f t="shared" si="1006"/>
        <v>0</v>
      </c>
      <c r="G963" s="1281">
        <f t="shared" si="1007"/>
        <v>0</v>
      </c>
      <c r="H963" s="1395" t="str">
        <f t="shared" si="1032"/>
        <v>S</v>
      </c>
      <c r="I963" s="1462" t="s">
        <v>4233</v>
      </c>
      <c r="J963" s="1283" t="str">
        <f>IF(B963&lt;&gt;"",+VLOOKUP(I963,Recursos!C:F,2,FALSE),"")</f>
        <v>Mano de obra</v>
      </c>
      <c r="K963" s="1284" t="str">
        <f>IF(B963&lt;&gt;"",+VLOOKUP(I963,Recursos!C:F,3,FALSE),"")</f>
        <v>Gl</v>
      </c>
      <c r="L963" s="1285">
        <f>IF(B963&lt;&gt;"",+VLOOKUP(I963,Recursos!C:F,4,FALSE),"")</f>
        <v>1</v>
      </c>
      <c r="M963" s="1293"/>
      <c r="N963" s="1294"/>
      <c r="O963" s="1286">
        <f t="shared" si="1033"/>
        <v>0</v>
      </c>
      <c r="P963" s="1287">
        <f t="shared" si="1034"/>
        <v>0</v>
      </c>
      <c r="Q963" s="1281">
        <f t="shared" si="1035"/>
        <v>0</v>
      </c>
      <c r="R963" s="1288">
        <f t="shared" si="1036"/>
        <v>0</v>
      </c>
      <c r="S963" s="1289">
        <f t="shared" si="1008"/>
        <v>0</v>
      </c>
      <c r="T963" s="1289">
        <f t="shared" si="1009"/>
        <v>0</v>
      </c>
      <c r="U963" s="1290">
        <f t="shared" si="1010"/>
        <v>0</v>
      </c>
      <c r="V963" s="1290">
        <f t="shared" si="1011"/>
        <v>0</v>
      </c>
      <c r="W963" s="1290">
        <f t="shared" si="1012"/>
        <v>0</v>
      </c>
      <c r="X963" s="1290">
        <f t="shared" si="1013"/>
        <v>0</v>
      </c>
      <c r="Y963" s="396"/>
      <c r="Z963" s="1291" t="str">
        <f t="shared" si="1037"/>
        <v>0-ITT010A</v>
      </c>
      <c r="AA963" s="1291" t="str">
        <f t="shared" si="1038"/>
        <v>0-ITT010E</v>
      </c>
      <c r="AB963" s="1291" t="str">
        <f t="shared" si="1039"/>
        <v>0-ITT010M</v>
      </c>
      <c r="AC963" s="1291" t="str">
        <f t="shared" si="1040"/>
        <v>0-ITT010T</v>
      </c>
      <c r="AD963" s="1291" t="str">
        <f t="shared" si="1041"/>
        <v>0-ITT010S</v>
      </c>
      <c r="AE963" s="1291" t="str">
        <f t="shared" si="1042"/>
        <v>0-ITT010X</v>
      </c>
      <c r="AF963" s="1291" t="str">
        <f t="shared" si="1043"/>
        <v>0-ITT010S</v>
      </c>
      <c r="AG963" s="1291">
        <f t="shared" si="1014"/>
        <v>1</v>
      </c>
      <c r="AH963" s="1291">
        <f>IF(B963&lt;&gt;"",+IF(H963="x",+VLOOKUP(I963,'AUX-NIV2'!B:AG,32,FALSE),0),"")</f>
        <v>0</v>
      </c>
      <c r="AI963" s="1291" t="str">
        <f t="shared" si="1044"/>
        <v>0-ITT010</v>
      </c>
      <c r="AK963" s="347">
        <f t="shared" si="1015"/>
        <v>963</v>
      </c>
      <c r="AL963" s="348">
        <f t="shared" si="1045"/>
        <v>963</v>
      </c>
      <c r="AM963" s="347">
        <f t="shared" si="1046"/>
        <v>1</v>
      </c>
      <c r="AN963" s="382">
        <f>IF(AND(AH963&gt;0,B963&lt;&gt;""),VLOOKUP(I963,'AUX-NIV2'!$B:$AP,40,FALSE)*O963,0)</f>
        <v>0</v>
      </c>
      <c r="AO963" s="382">
        <f t="shared" si="1016"/>
        <v>0</v>
      </c>
      <c r="AQ963" s="395">
        <f>(IF($H963="x",VLOOKUP($I963,'AUX-NIV2'!$B:$X,'AUX-NIV1'!AQ$3,FALSE),0)+($AV963*'AUX-NIV3'!S$4))*$O963+IF($H963=AQ$4,$P963,0)</f>
        <v>0</v>
      </c>
      <c r="AR963" s="395">
        <f>(IF($H963="x",VLOOKUP($I963,'AUX-NIV2'!$B:$X,'AUX-NIV1'!AR$3,FALSE),0)+($AV963*'AUX-NIV3'!T$4))*$O963+IF($H963=AR$4,$P963,0)</f>
        <v>0</v>
      </c>
      <c r="AS963" s="395">
        <f>(IF($H963="x",VLOOKUP($I963,'AUX-NIV2'!$B:$X,'AUX-NIV1'!AS$3,FALSE),0)+($AV963*'AUX-NIV3'!U$4))*$O963+IF($H963=AS$4,$P963,0)</f>
        <v>0</v>
      </c>
      <c r="AT963" s="395">
        <f>(IF($H963="x",VLOOKUP($I963,'AUX-NIV2'!$B:$X,'AUX-NIV1'!AT$3,FALSE),0)+($AV963*'AUX-NIV3'!V$4))*$O963+IF($H963=AT$4,$P963,0)</f>
        <v>0</v>
      </c>
      <c r="AU963" s="395">
        <f>(IF($H963="x",VLOOKUP($I963,'AUX-NIV2'!$B:$X,'AUX-NIV1'!AU$3,FALSE),0)+($AV963*'AUX-NIV3'!W$4))*$O963+IF($H963=AU$4,$P963,0)</f>
        <v>0</v>
      </c>
      <c r="AV963" s="395">
        <f>+IF($H963="x",VLOOKUP($I963,'AUX-NIV2'!$B:$X,'AUX-NIV1'!AV$3,FALSE),0)</f>
        <v>0</v>
      </c>
    </row>
    <row r="964" spans="2:48" ht="14.4" hidden="1" thickTop="1" thickBot="1">
      <c r="B964" s="501" t="s">
        <v>4216</v>
      </c>
      <c r="C964" s="951" t="s">
        <v>3660</v>
      </c>
      <c r="D964" s="1280" t="s">
        <v>1233</v>
      </c>
      <c r="E964" s="1281">
        <f>IF(B964&lt;&gt;"",+SUMIF(Items!C:C,'AUX-NIV1'!B964,Items!H:H),"")</f>
        <v>0</v>
      </c>
      <c r="F964" s="1281">
        <f t="shared" si="1006"/>
        <v>0</v>
      </c>
      <c r="G964" s="1281">
        <f t="shared" si="1007"/>
        <v>0</v>
      </c>
      <c r="H964" s="1395" t="str">
        <f t="shared" si="1032"/>
        <v>S</v>
      </c>
      <c r="I964" s="1462" t="s">
        <v>4234</v>
      </c>
      <c r="J964" s="1283" t="str">
        <f>IF(B964&lt;&gt;"",+VLOOKUP(I964,Recursos!C:F,2,FALSE),"")</f>
        <v>Puesto de servicio para los sistemas de voz y datos</v>
      </c>
      <c r="K964" s="1284" t="str">
        <f>IF(B964&lt;&gt;"",+VLOOKUP(I964,Recursos!C:F,3,FALSE),"")</f>
        <v>Gl</v>
      </c>
      <c r="L964" s="1285">
        <f>IF(B964&lt;&gt;"",+VLOOKUP(I964,Recursos!C:F,4,FALSE),"")</f>
        <v>1</v>
      </c>
      <c r="M964" s="1293"/>
      <c r="N964" s="1294"/>
      <c r="O964" s="1286">
        <f t="shared" si="1033"/>
        <v>0</v>
      </c>
      <c r="P964" s="1287">
        <f t="shared" si="1034"/>
        <v>0</v>
      </c>
      <c r="Q964" s="1281">
        <f t="shared" si="1035"/>
        <v>0</v>
      </c>
      <c r="R964" s="1288">
        <f t="shared" si="1036"/>
        <v>0</v>
      </c>
      <c r="S964" s="1289">
        <f t="shared" si="1008"/>
        <v>0</v>
      </c>
      <c r="T964" s="1289">
        <f t="shared" si="1009"/>
        <v>0</v>
      </c>
      <c r="U964" s="1290">
        <f t="shared" si="1010"/>
        <v>0</v>
      </c>
      <c r="V964" s="1290">
        <f t="shared" si="1011"/>
        <v>0</v>
      </c>
      <c r="W964" s="1290">
        <f t="shared" si="1012"/>
        <v>0</v>
      </c>
      <c r="X964" s="1290">
        <f t="shared" si="1013"/>
        <v>0</v>
      </c>
      <c r="Y964" s="396"/>
      <c r="Z964" s="1291" t="str">
        <f t="shared" si="1037"/>
        <v>0-ITT011A</v>
      </c>
      <c r="AA964" s="1291" t="str">
        <f t="shared" si="1038"/>
        <v>0-ITT011E</v>
      </c>
      <c r="AB964" s="1291" t="str">
        <f t="shared" si="1039"/>
        <v>0-ITT011M</v>
      </c>
      <c r="AC964" s="1291" t="str">
        <f t="shared" si="1040"/>
        <v>0-ITT011T</v>
      </c>
      <c r="AD964" s="1291" t="str">
        <f t="shared" si="1041"/>
        <v>0-ITT011S</v>
      </c>
      <c r="AE964" s="1291" t="str">
        <f t="shared" si="1042"/>
        <v>0-ITT011X</v>
      </c>
      <c r="AF964" s="1291" t="str">
        <f t="shared" si="1043"/>
        <v>0-ITT011S</v>
      </c>
      <c r="AG964" s="1291">
        <f t="shared" si="1014"/>
        <v>1</v>
      </c>
      <c r="AH964" s="1291">
        <f>IF(B964&lt;&gt;"",+IF(H964="x",+VLOOKUP(I964,'AUX-NIV2'!B:AG,32,FALSE),0),"")</f>
        <v>0</v>
      </c>
      <c r="AI964" s="1291" t="str">
        <f t="shared" si="1044"/>
        <v>0-ITT011</v>
      </c>
      <c r="AK964" s="347">
        <f t="shared" si="1015"/>
        <v>964</v>
      </c>
      <c r="AL964" s="348">
        <f t="shared" si="1045"/>
        <v>964</v>
      </c>
      <c r="AM964" s="347">
        <f t="shared" si="1046"/>
        <v>1</v>
      </c>
      <c r="AN964" s="382">
        <f>IF(AND(AH964&gt;0,B964&lt;&gt;""),VLOOKUP(I964,'AUX-NIV2'!$B:$AP,40,FALSE)*O964,0)</f>
        <v>0</v>
      </c>
      <c r="AO964" s="382">
        <f t="shared" si="1016"/>
        <v>0</v>
      </c>
      <c r="AQ964" s="395">
        <f>(IF($H964="x",VLOOKUP($I964,'AUX-NIV2'!$B:$X,'AUX-NIV1'!AQ$3,FALSE),0)+($AV964*'AUX-NIV3'!S$4))*$O964+IF($H964=AQ$4,$P964,0)</f>
        <v>0</v>
      </c>
      <c r="AR964" s="395">
        <f>(IF($H964="x",VLOOKUP($I964,'AUX-NIV2'!$B:$X,'AUX-NIV1'!AR$3,FALSE),0)+($AV964*'AUX-NIV3'!T$4))*$O964+IF($H964=AR$4,$P964,0)</f>
        <v>0</v>
      </c>
      <c r="AS964" s="395">
        <f>(IF($H964="x",VLOOKUP($I964,'AUX-NIV2'!$B:$X,'AUX-NIV1'!AS$3,FALSE),0)+($AV964*'AUX-NIV3'!U$4))*$O964+IF($H964=AS$4,$P964,0)</f>
        <v>0</v>
      </c>
      <c r="AT964" s="395">
        <f>(IF($H964="x",VLOOKUP($I964,'AUX-NIV2'!$B:$X,'AUX-NIV1'!AT$3,FALSE),0)+($AV964*'AUX-NIV3'!V$4))*$O964+IF($H964=AT$4,$P964,0)</f>
        <v>0</v>
      </c>
      <c r="AU964" s="395">
        <f>(IF($H964="x",VLOOKUP($I964,'AUX-NIV2'!$B:$X,'AUX-NIV1'!AU$3,FALSE),0)+($AV964*'AUX-NIV3'!W$4))*$O964+IF($H964=AU$4,$P964,0)</f>
        <v>0</v>
      </c>
      <c r="AV964" s="395">
        <f>+IF($H964="x",VLOOKUP($I964,'AUX-NIV2'!$B:$X,'AUX-NIV1'!AV$3,FALSE),0)</f>
        <v>0</v>
      </c>
    </row>
    <row r="965" spans="2:48" ht="14.4" hidden="1" thickTop="1" thickBot="1">
      <c r="B965" s="501" t="s">
        <v>4217</v>
      </c>
      <c r="C965" s="951" t="s">
        <v>3661</v>
      </c>
      <c r="D965" s="1280" t="s">
        <v>1233</v>
      </c>
      <c r="E965" s="1281">
        <f>IF(B965&lt;&gt;"",+SUMIF(Items!C:C,'AUX-NIV1'!B965,Items!H:H),"")</f>
        <v>0</v>
      </c>
      <c r="F965" s="1281">
        <f t="shared" si="1006"/>
        <v>0</v>
      </c>
      <c r="G965" s="1281">
        <f t="shared" si="1007"/>
        <v>0</v>
      </c>
      <c r="H965" s="1395" t="str">
        <f t="shared" si="1032"/>
        <v>S</v>
      </c>
      <c r="I965" s="1462" t="s">
        <v>4235</v>
      </c>
      <c r="J965" s="1283" t="str">
        <f>IF(B965&lt;&gt;"",+VLOOKUP(I965,Recursos!C:F,2,FALSE),"")</f>
        <v>Cableado utp cat. 6</v>
      </c>
      <c r="K965" s="1284" t="str">
        <f>IF(B965&lt;&gt;"",+VLOOKUP(I965,Recursos!C:F,3,FALSE),"")</f>
        <v>Gl</v>
      </c>
      <c r="L965" s="1285">
        <f>IF(B965&lt;&gt;"",+VLOOKUP(I965,Recursos!C:F,4,FALSE),"")</f>
        <v>1</v>
      </c>
      <c r="M965" s="1293"/>
      <c r="N965" s="1294"/>
      <c r="O965" s="1286">
        <f t="shared" si="1033"/>
        <v>0</v>
      </c>
      <c r="P965" s="1287">
        <f t="shared" si="1034"/>
        <v>0</v>
      </c>
      <c r="Q965" s="1281">
        <f t="shared" si="1035"/>
        <v>0</v>
      </c>
      <c r="R965" s="1288">
        <f t="shared" si="1036"/>
        <v>0</v>
      </c>
      <c r="S965" s="1289">
        <f t="shared" si="1008"/>
        <v>0</v>
      </c>
      <c r="T965" s="1289">
        <f t="shared" si="1009"/>
        <v>0</v>
      </c>
      <c r="U965" s="1290">
        <f t="shared" si="1010"/>
        <v>0</v>
      </c>
      <c r="V965" s="1290">
        <f t="shared" si="1011"/>
        <v>0</v>
      </c>
      <c r="W965" s="1290">
        <f t="shared" si="1012"/>
        <v>0</v>
      </c>
      <c r="X965" s="1290">
        <f t="shared" si="1013"/>
        <v>0</v>
      </c>
      <c r="Y965" s="396"/>
      <c r="Z965" s="1291" t="str">
        <f t="shared" si="1037"/>
        <v>0-ITT012A</v>
      </c>
      <c r="AA965" s="1291" t="str">
        <f t="shared" si="1038"/>
        <v>0-ITT012E</v>
      </c>
      <c r="AB965" s="1291" t="str">
        <f t="shared" si="1039"/>
        <v>0-ITT012M</v>
      </c>
      <c r="AC965" s="1291" t="str">
        <f t="shared" si="1040"/>
        <v>0-ITT012T</v>
      </c>
      <c r="AD965" s="1291" t="str">
        <f t="shared" si="1041"/>
        <v>0-ITT012S</v>
      </c>
      <c r="AE965" s="1291" t="str">
        <f t="shared" si="1042"/>
        <v>0-ITT012X</v>
      </c>
      <c r="AF965" s="1291" t="str">
        <f t="shared" si="1043"/>
        <v>0-ITT012S</v>
      </c>
      <c r="AG965" s="1291">
        <f t="shared" si="1014"/>
        <v>1</v>
      </c>
      <c r="AH965" s="1291">
        <f>IF(B965&lt;&gt;"",+IF(H965="x",+VLOOKUP(I965,'AUX-NIV2'!B:AG,32,FALSE),0),"")</f>
        <v>0</v>
      </c>
      <c r="AI965" s="1291" t="str">
        <f t="shared" si="1044"/>
        <v>0-ITT012</v>
      </c>
      <c r="AK965" s="347">
        <f t="shared" si="1015"/>
        <v>965</v>
      </c>
      <c r="AL965" s="348">
        <f t="shared" si="1045"/>
        <v>965</v>
      </c>
      <c r="AM965" s="347">
        <f t="shared" si="1046"/>
        <v>1</v>
      </c>
      <c r="AN965" s="382">
        <f>IF(AND(AH965&gt;0,B965&lt;&gt;""),VLOOKUP(I965,'AUX-NIV2'!$B:$AP,40,FALSE)*O965,0)</f>
        <v>0</v>
      </c>
      <c r="AO965" s="382">
        <f t="shared" si="1016"/>
        <v>0</v>
      </c>
      <c r="AQ965" s="395">
        <f>(IF($H965="x",VLOOKUP($I965,'AUX-NIV2'!$B:$X,'AUX-NIV1'!AQ$3,FALSE),0)+($AV965*'AUX-NIV3'!S$4))*$O965+IF($H965=AQ$4,$P965,0)</f>
        <v>0</v>
      </c>
      <c r="AR965" s="395">
        <f>(IF($H965="x",VLOOKUP($I965,'AUX-NIV2'!$B:$X,'AUX-NIV1'!AR$3,FALSE),0)+($AV965*'AUX-NIV3'!T$4))*$O965+IF($H965=AR$4,$P965,0)</f>
        <v>0</v>
      </c>
      <c r="AS965" s="395">
        <f>(IF($H965="x",VLOOKUP($I965,'AUX-NIV2'!$B:$X,'AUX-NIV1'!AS$3,FALSE),0)+($AV965*'AUX-NIV3'!U$4))*$O965+IF($H965=AS$4,$P965,0)</f>
        <v>0</v>
      </c>
      <c r="AT965" s="395">
        <f>(IF($H965="x",VLOOKUP($I965,'AUX-NIV2'!$B:$X,'AUX-NIV1'!AT$3,FALSE),0)+($AV965*'AUX-NIV3'!V$4))*$O965+IF($H965=AT$4,$P965,0)</f>
        <v>0</v>
      </c>
      <c r="AU965" s="395">
        <f>(IF($H965="x",VLOOKUP($I965,'AUX-NIV2'!$B:$X,'AUX-NIV1'!AU$3,FALSE),0)+($AV965*'AUX-NIV3'!W$4))*$O965+IF($H965=AU$4,$P965,0)</f>
        <v>0</v>
      </c>
      <c r="AV965" s="395">
        <f>+IF($H965="x",VLOOKUP($I965,'AUX-NIV2'!$B:$X,'AUX-NIV1'!AV$3,FALSE),0)</f>
        <v>0</v>
      </c>
    </row>
    <row r="966" spans="2:48" ht="14.4" hidden="1" thickTop="1" thickBot="1">
      <c r="B966" s="501" t="s">
        <v>4218</v>
      </c>
      <c r="C966" s="951" t="s">
        <v>3662</v>
      </c>
      <c r="D966" s="1280" t="s">
        <v>1233</v>
      </c>
      <c r="E966" s="1281">
        <f>IF(B966&lt;&gt;"",+SUMIF(Items!C:C,'AUX-NIV1'!B966,Items!H:H),"")</f>
        <v>0</v>
      </c>
      <c r="F966" s="1281">
        <f t="shared" si="1006"/>
        <v>0</v>
      </c>
      <c r="G966" s="1281">
        <f t="shared" si="1007"/>
        <v>0</v>
      </c>
      <c r="H966" s="1395" t="str">
        <f t="shared" si="1032"/>
        <v>S</v>
      </c>
      <c r="I966" s="1462" t="s">
        <v>4236</v>
      </c>
      <c r="J966" s="1283" t="str">
        <f>IF(B966&lt;&gt;"",+VLOOKUP(I966,Recursos!C:F,2,FALSE),"")</f>
        <v>patcheras 24 bocas cat. 6.</v>
      </c>
      <c r="K966" s="1284" t="str">
        <f>IF(B966&lt;&gt;"",+VLOOKUP(I966,Recursos!C:F,3,FALSE),"")</f>
        <v>Gl</v>
      </c>
      <c r="L966" s="1285">
        <f>IF(B966&lt;&gt;"",+VLOOKUP(I966,Recursos!C:F,4,FALSE),"")</f>
        <v>1</v>
      </c>
      <c r="M966" s="1293"/>
      <c r="N966" s="1294"/>
      <c r="O966" s="1286">
        <f t="shared" si="1033"/>
        <v>0</v>
      </c>
      <c r="P966" s="1287">
        <f t="shared" si="1034"/>
        <v>0</v>
      </c>
      <c r="Q966" s="1281">
        <f t="shared" si="1035"/>
        <v>0</v>
      </c>
      <c r="R966" s="1288">
        <f t="shared" si="1036"/>
        <v>0</v>
      </c>
      <c r="S966" s="1289">
        <f t="shared" si="1008"/>
        <v>0</v>
      </c>
      <c r="T966" s="1289">
        <f t="shared" si="1009"/>
        <v>0</v>
      </c>
      <c r="U966" s="1290">
        <f t="shared" si="1010"/>
        <v>0</v>
      </c>
      <c r="V966" s="1290">
        <f t="shared" si="1011"/>
        <v>0</v>
      </c>
      <c r="W966" s="1290">
        <f t="shared" si="1012"/>
        <v>0</v>
      </c>
      <c r="X966" s="1290">
        <f t="shared" si="1013"/>
        <v>0</v>
      </c>
      <c r="Y966" s="396"/>
      <c r="Z966" s="1291" t="str">
        <f t="shared" si="1037"/>
        <v>0-ITT013A</v>
      </c>
      <c r="AA966" s="1291" t="str">
        <f t="shared" si="1038"/>
        <v>0-ITT013E</v>
      </c>
      <c r="AB966" s="1291" t="str">
        <f t="shared" si="1039"/>
        <v>0-ITT013M</v>
      </c>
      <c r="AC966" s="1291" t="str">
        <f t="shared" si="1040"/>
        <v>0-ITT013T</v>
      </c>
      <c r="AD966" s="1291" t="str">
        <f t="shared" si="1041"/>
        <v>0-ITT013S</v>
      </c>
      <c r="AE966" s="1291" t="str">
        <f t="shared" si="1042"/>
        <v>0-ITT013X</v>
      </c>
      <c r="AF966" s="1291" t="str">
        <f t="shared" si="1043"/>
        <v>0-ITT013S</v>
      </c>
      <c r="AG966" s="1291">
        <f t="shared" si="1014"/>
        <v>1</v>
      </c>
      <c r="AH966" s="1291">
        <f>IF(B966&lt;&gt;"",+IF(H966="x",+VLOOKUP(I966,'AUX-NIV2'!B:AG,32,FALSE),0),"")</f>
        <v>0</v>
      </c>
      <c r="AI966" s="1291" t="str">
        <f t="shared" si="1044"/>
        <v>0-ITT013</v>
      </c>
      <c r="AK966" s="347">
        <f t="shared" si="1015"/>
        <v>966</v>
      </c>
      <c r="AL966" s="348">
        <f t="shared" si="1045"/>
        <v>966</v>
      </c>
      <c r="AM966" s="347">
        <f t="shared" si="1046"/>
        <v>1</v>
      </c>
      <c r="AN966" s="382">
        <f>IF(AND(AH966&gt;0,B966&lt;&gt;""),VLOOKUP(I966,'AUX-NIV2'!$B:$AP,40,FALSE)*O966,0)</f>
        <v>0</v>
      </c>
      <c r="AO966" s="382">
        <f t="shared" si="1016"/>
        <v>0</v>
      </c>
      <c r="AQ966" s="395">
        <f>(IF($H966="x",VLOOKUP($I966,'AUX-NIV2'!$B:$X,'AUX-NIV1'!AQ$3,FALSE),0)+($AV966*'AUX-NIV3'!S$4))*$O966+IF($H966=AQ$4,$P966,0)</f>
        <v>0</v>
      </c>
      <c r="AR966" s="395">
        <f>(IF($H966="x",VLOOKUP($I966,'AUX-NIV2'!$B:$X,'AUX-NIV1'!AR$3,FALSE),0)+($AV966*'AUX-NIV3'!T$4))*$O966+IF($H966=AR$4,$P966,0)</f>
        <v>0</v>
      </c>
      <c r="AS966" s="395">
        <f>(IF($H966="x",VLOOKUP($I966,'AUX-NIV2'!$B:$X,'AUX-NIV1'!AS$3,FALSE),0)+($AV966*'AUX-NIV3'!U$4))*$O966+IF($H966=AS$4,$P966,0)</f>
        <v>0</v>
      </c>
      <c r="AT966" s="395">
        <f>(IF($H966="x",VLOOKUP($I966,'AUX-NIV2'!$B:$X,'AUX-NIV1'!AT$3,FALSE),0)+($AV966*'AUX-NIV3'!V$4))*$O966+IF($H966=AT$4,$P966,0)</f>
        <v>0</v>
      </c>
      <c r="AU966" s="395">
        <f>(IF($H966="x",VLOOKUP($I966,'AUX-NIV2'!$B:$X,'AUX-NIV1'!AU$3,FALSE),0)+($AV966*'AUX-NIV3'!W$4))*$O966+IF($H966=AU$4,$P966,0)</f>
        <v>0</v>
      </c>
      <c r="AV966" s="395">
        <f>+IF($H966="x",VLOOKUP($I966,'AUX-NIV2'!$B:$X,'AUX-NIV1'!AV$3,FALSE),0)</f>
        <v>0</v>
      </c>
    </row>
    <row r="967" spans="2:48" ht="14.4" hidden="1" thickTop="1" thickBot="1">
      <c r="B967" s="501" t="s">
        <v>4219</v>
      </c>
      <c r="C967" s="951" t="s">
        <v>3663</v>
      </c>
      <c r="D967" s="1280" t="s">
        <v>1233</v>
      </c>
      <c r="E967" s="1281">
        <f>IF(B967&lt;&gt;"",+SUMIF(Items!C:C,'AUX-NIV1'!B967,Items!H:H),"")</f>
        <v>0</v>
      </c>
      <c r="F967" s="1281">
        <f t="shared" ref="F967:F1030" si="1047">IF(B967&lt;&gt;"",+SUMIF(B:B,B967,P:P),"")</f>
        <v>0</v>
      </c>
      <c r="G967" s="1281">
        <f t="shared" ref="G967:G1030" si="1048">IF(B967&lt;&gt;"",+SUMIF(B:B,B967,R:R),"")</f>
        <v>0</v>
      </c>
      <c r="H967" s="1395" t="str">
        <f t="shared" si="1032"/>
        <v>S</v>
      </c>
      <c r="I967" s="1462" t="s">
        <v>4237</v>
      </c>
      <c r="J967" s="1283" t="str">
        <f>IF(B967&lt;&gt;"",+VLOOKUP(I967,Recursos!C:F,2,FALSE),"")</f>
        <v>Pachcord 2,40 mts. C6</v>
      </c>
      <c r="K967" s="1284" t="str">
        <f>IF(B967&lt;&gt;"",+VLOOKUP(I967,Recursos!C:F,3,FALSE),"")</f>
        <v>Gl</v>
      </c>
      <c r="L967" s="1285">
        <f>IF(B967&lt;&gt;"",+VLOOKUP(I967,Recursos!C:F,4,FALSE),"")</f>
        <v>1</v>
      </c>
      <c r="M967" s="1293"/>
      <c r="N967" s="1294"/>
      <c r="O967" s="1286">
        <f t="shared" si="1033"/>
        <v>0</v>
      </c>
      <c r="P967" s="1287">
        <f t="shared" si="1034"/>
        <v>0</v>
      </c>
      <c r="Q967" s="1281">
        <f t="shared" si="1035"/>
        <v>0</v>
      </c>
      <c r="R967" s="1288">
        <f t="shared" si="1036"/>
        <v>0</v>
      </c>
      <c r="S967" s="1289">
        <f t="shared" ref="S967:S1030" si="1049">IF(B967&lt;&gt;"",+SUMIF($AF:$AF,Z967,$P:$P),"")</f>
        <v>0</v>
      </c>
      <c r="T967" s="1289">
        <f t="shared" ref="T967:T1030" si="1050">IF(B967&lt;&gt;"",+SUMIF($AF:$AF,AA967,$P:$P),"")</f>
        <v>0</v>
      </c>
      <c r="U967" s="1290">
        <f t="shared" ref="U967:U1030" si="1051">IF(B967&lt;&gt;"",+SUMIF($AF:$AF,AB967,$P:$P),"")</f>
        <v>0</v>
      </c>
      <c r="V967" s="1290">
        <f t="shared" ref="V967:V1030" si="1052">IF(B967&lt;&gt;"",+SUMIF($AF:$AF,AC967,$P:$P),"")</f>
        <v>0</v>
      </c>
      <c r="W967" s="1290">
        <f t="shared" ref="W967:W1030" si="1053">IF(B967&lt;&gt;"",+SUMIF($AF:$AF,AD967,$P:$P),"")</f>
        <v>0</v>
      </c>
      <c r="X967" s="1290">
        <f t="shared" ref="X967:X1030" si="1054">IF(B967&lt;&gt;"",+SUMIF($AF:$AF,AE967,$P:$P),"")</f>
        <v>0</v>
      </c>
      <c r="Y967" s="396"/>
      <c r="Z967" s="1291" t="str">
        <f t="shared" si="1037"/>
        <v>0-ITT014A</v>
      </c>
      <c r="AA967" s="1291" t="str">
        <f t="shared" si="1038"/>
        <v>0-ITT014E</v>
      </c>
      <c r="AB967" s="1291" t="str">
        <f t="shared" si="1039"/>
        <v>0-ITT014M</v>
      </c>
      <c r="AC967" s="1291" t="str">
        <f t="shared" si="1040"/>
        <v>0-ITT014T</v>
      </c>
      <c r="AD967" s="1291" t="str">
        <f t="shared" si="1041"/>
        <v>0-ITT014S</v>
      </c>
      <c r="AE967" s="1291" t="str">
        <f t="shared" si="1042"/>
        <v>0-ITT014X</v>
      </c>
      <c r="AF967" s="1291" t="str">
        <f t="shared" si="1043"/>
        <v>0-ITT014S</v>
      </c>
      <c r="AG967" s="1291">
        <f t="shared" ref="AG967:AG1030" si="1055">IF(B967&lt;&gt;"",+COUNTIF(B:B,B967),"")</f>
        <v>1</v>
      </c>
      <c r="AH967" s="1291">
        <f>IF(B967&lt;&gt;"",+IF(H967="x",+VLOOKUP(I967,'AUX-NIV2'!B:AG,32,FALSE),0),"")</f>
        <v>0</v>
      </c>
      <c r="AI967" s="1291" t="str">
        <f t="shared" si="1044"/>
        <v>0-ITT014</v>
      </c>
      <c r="AK967" s="347">
        <f t="shared" ref="AK967:AK1030" si="1056">IF(B967&lt;&gt;"",+MATCH(B967,B:B,0),"")</f>
        <v>967</v>
      </c>
      <c r="AL967" s="348">
        <f t="shared" si="1045"/>
        <v>967</v>
      </c>
      <c r="AM967" s="347">
        <f t="shared" si="1046"/>
        <v>1</v>
      </c>
      <c r="AN967" s="382">
        <f>IF(AND(AH967&gt;0,B967&lt;&gt;""),VLOOKUP(I967,'AUX-NIV2'!$B:$AP,40,FALSE)*O967,0)</f>
        <v>0</v>
      </c>
      <c r="AO967" s="382">
        <f t="shared" ref="AO967:AO1030" si="1057">+IF(B967&lt;&gt;"",SUMIF(AF:AF,Z967,O:O)+SUMIF(Z:Z,Z967,AN:AN),0)</f>
        <v>0</v>
      </c>
      <c r="AQ967" s="395">
        <f>(IF($H967="x",VLOOKUP($I967,'AUX-NIV2'!$B:$X,'AUX-NIV1'!AQ$3,FALSE),0)+($AV967*'AUX-NIV3'!S$4))*$O967+IF($H967=AQ$4,$P967,0)</f>
        <v>0</v>
      </c>
      <c r="AR967" s="395">
        <f>(IF($H967="x",VLOOKUP($I967,'AUX-NIV2'!$B:$X,'AUX-NIV1'!AR$3,FALSE),0)+($AV967*'AUX-NIV3'!T$4))*$O967+IF($H967=AR$4,$P967,0)</f>
        <v>0</v>
      </c>
      <c r="AS967" s="395">
        <f>(IF($H967="x",VLOOKUP($I967,'AUX-NIV2'!$B:$X,'AUX-NIV1'!AS$3,FALSE),0)+($AV967*'AUX-NIV3'!U$4))*$O967+IF($H967=AS$4,$P967,0)</f>
        <v>0</v>
      </c>
      <c r="AT967" s="395">
        <f>(IF($H967="x",VLOOKUP($I967,'AUX-NIV2'!$B:$X,'AUX-NIV1'!AT$3,FALSE),0)+($AV967*'AUX-NIV3'!V$4))*$O967+IF($H967=AT$4,$P967,0)</f>
        <v>0</v>
      </c>
      <c r="AU967" s="395">
        <f>(IF($H967="x",VLOOKUP($I967,'AUX-NIV2'!$B:$X,'AUX-NIV1'!AU$3,FALSE),0)+($AV967*'AUX-NIV3'!W$4))*$O967+IF($H967=AU$4,$P967,0)</f>
        <v>0</v>
      </c>
      <c r="AV967" s="395">
        <f>+IF($H967="x",VLOOKUP($I967,'AUX-NIV2'!$B:$X,'AUX-NIV1'!AV$3,FALSE),0)</f>
        <v>0</v>
      </c>
    </row>
    <row r="968" spans="2:48" ht="14.4" hidden="1" thickTop="1" thickBot="1">
      <c r="B968" s="501" t="s">
        <v>4220</v>
      </c>
      <c r="C968" s="951" t="s">
        <v>3664</v>
      </c>
      <c r="D968" s="1280" t="s">
        <v>1233</v>
      </c>
      <c r="E968" s="1281">
        <f>IF(B968&lt;&gt;"",+SUMIF(Items!C:C,'AUX-NIV1'!B968,Items!H:H),"")</f>
        <v>0</v>
      </c>
      <c r="F968" s="1281">
        <f t="shared" si="1047"/>
        <v>0</v>
      </c>
      <c r="G968" s="1281">
        <f t="shared" si="1048"/>
        <v>0</v>
      </c>
      <c r="H968" s="1395" t="str">
        <f t="shared" si="1032"/>
        <v>S</v>
      </c>
      <c r="I968" s="1462" t="s">
        <v>4238</v>
      </c>
      <c r="J968" s="1283" t="str">
        <f>IF(B968&lt;&gt;"",+VLOOKUP(I968,Recursos!C:F,2,FALSE),"")</f>
        <v>Pachcord 1,20 mts. C6</v>
      </c>
      <c r="K968" s="1284" t="str">
        <f>IF(B968&lt;&gt;"",+VLOOKUP(I968,Recursos!C:F,3,FALSE),"")</f>
        <v>Gl</v>
      </c>
      <c r="L968" s="1285">
        <f>IF(B968&lt;&gt;"",+VLOOKUP(I968,Recursos!C:F,4,FALSE),"")</f>
        <v>1</v>
      </c>
      <c r="M968" s="1293"/>
      <c r="N968" s="1294"/>
      <c r="O968" s="1286">
        <f t="shared" si="1033"/>
        <v>0</v>
      </c>
      <c r="P968" s="1287">
        <f t="shared" si="1034"/>
        <v>0</v>
      </c>
      <c r="Q968" s="1281">
        <f t="shared" si="1035"/>
        <v>0</v>
      </c>
      <c r="R968" s="1288">
        <f t="shared" si="1036"/>
        <v>0</v>
      </c>
      <c r="S968" s="1289">
        <f t="shared" si="1049"/>
        <v>0</v>
      </c>
      <c r="T968" s="1289">
        <f t="shared" si="1050"/>
        <v>0</v>
      </c>
      <c r="U968" s="1290">
        <f t="shared" si="1051"/>
        <v>0</v>
      </c>
      <c r="V968" s="1290">
        <f t="shared" si="1052"/>
        <v>0</v>
      </c>
      <c r="W968" s="1290">
        <f t="shared" si="1053"/>
        <v>0</v>
      </c>
      <c r="X968" s="1290">
        <f t="shared" si="1054"/>
        <v>0</v>
      </c>
      <c r="Y968" s="396"/>
      <c r="Z968" s="1291" t="str">
        <f t="shared" si="1037"/>
        <v>0-ITT015A</v>
      </c>
      <c r="AA968" s="1291" t="str">
        <f t="shared" si="1038"/>
        <v>0-ITT015E</v>
      </c>
      <c r="AB968" s="1291" t="str">
        <f t="shared" si="1039"/>
        <v>0-ITT015M</v>
      </c>
      <c r="AC968" s="1291" t="str">
        <f t="shared" si="1040"/>
        <v>0-ITT015T</v>
      </c>
      <c r="AD968" s="1291" t="str">
        <f t="shared" si="1041"/>
        <v>0-ITT015S</v>
      </c>
      <c r="AE968" s="1291" t="str">
        <f t="shared" si="1042"/>
        <v>0-ITT015X</v>
      </c>
      <c r="AF968" s="1291" t="str">
        <f t="shared" si="1043"/>
        <v>0-ITT015S</v>
      </c>
      <c r="AG968" s="1291">
        <f t="shared" si="1055"/>
        <v>1</v>
      </c>
      <c r="AH968" s="1291">
        <f>IF(B968&lt;&gt;"",+IF(H968="x",+VLOOKUP(I968,'AUX-NIV2'!B:AG,32,FALSE),0),"")</f>
        <v>0</v>
      </c>
      <c r="AI968" s="1291" t="str">
        <f t="shared" si="1044"/>
        <v>0-ITT015</v>
      </c>
      <c r="AK968" s="347">
        <f t="shared" si="1056"/>
        <v>968</v>
      </c>
      <c r="AL968" s="348">
        <f t="shared" si="1045"/>
        <v>968</v>
      </c>
      <c r="AM968" s="347">
        <f t="shared" si="1046"/>
        <v>1</v>
      </c>
      <c r="AN968" s="382">
        <f>IF(AND(AH968&gt;0,B968&lt;&gt;""),VLOOKUP(I968,'AUX-NIV2'!$B:$AP,40,FALSE)*O968,0)</f>
        <v>0</v>
      </c>
      <c r="AO968" s="382">
        <f t="shared" si="1057"/>
        <v>0</v>
      </c>
      <c r="AQ968" s="395">
        <f>(IF($H968="x",VLOOKUP($I968,'AUX-NIV2'!$B:$X,'AUX-NIV1'!AQ$3,FALSE),0)+($AV968*'AUX-NIV3'!S$4))*$O968+IF($H968=AQ$4,$P968,0)</f>
        <v>0</v>
      </c>
      <c r="AR968" s="395">
        <f>(IF($H968="x",VLOOKUP($I968,'AUX-NIV2'!$B:$X,'AUX-NIV1'!AR$3,FALSE),0)+($AV968*'AUX-NIV3'!T$4))*$O968+IF($H968=AR$4,$P968,0)</f>
        <v>0</v>
      </c>
      <c r="AS968" s="395">
        <f>(IF($H968="x",VLOOKUP($I968,'AUX-NIV2'!$B:$X,'AUX-NIV1'!AS$3,FALSE),0)+($AV968*'AUX-NIV3'!U$4))*$O968+IF($H968=AS$4,$P968,0)</f>
        <v>0</v>
      </c>
      <c r="AT968" s="395">
        <f>(IF($H968="x",VLOOKUP($I968,'AUX-NIV2'!$B:$X,'AUX-NIV1'!AT$3,FALSE),0)+($AV968*'AUX-NIV3'!V$4))*$O968+IF($H968=AT$4,$P968,0)</f>
        <v>0</v>
      </c>
      <c r="AU968" s="395">
        <f>(IF($H968="x",VLOOKUP($I968,'AUX-NIV2'!$B:$X,'AUX-NIV1'!AU$3,FALSE),0)+($AV968*'AUX-NIV3'!W$4))*$O968+IF($H968=AU$4,$P968,0)</f>
        <v>0</v>
      </c>
      <c r="AV968" s="395">
        <f>+IF($H968="x",VLOOKUP($I968,'AUX-NIV2'!$B:$X,'AUX-NIV1'!AV$3,FALSE),0)</f>
        <v>0</v>
      </c>
    </row>
    <row r="969" spans="2:48" ht="14.4" hidden="1" thickTop="1" thickBot="1">
      <c r="B969" s="501" t="s">
        <v>4221</v>
      </c>
      <c r="C969" s="951" t="s">
        <v>3665</v>
      </c>
      <c r="D969" s="1280" t="s">
        <v>1233</v>
      </c>
      <c r="E969" s="1281">
        <f>IF(B969&lt;&gt;"",+SUMIF(Items!C:C,'AUX-NIV1'!B969,Items!H:H),"")</f>
        <v>0</v>
      </c>
      <c r="F969" s="1281">
        <f t="shared" si="1047"/>
        <v>0</v>
      </c>
      <c r="G969" s="1281">
        <f t="shared" si="1048"/>
        <v>0</v>
      </c>
      <c r="H969" s="1395" t="str">
        <f t="shared" si="1032"/>
        <v>S</v>
      </c>
      <c r="I969" s="1462" t="s">
        <v>4239</v>
      </c>
      <c r="J969" s="1283" t="str">
        <f>IF(B969&lt;&gt;"",+VLOOKUP(I969,Recursos!C:F,2,FALSE),"")</f>
        <v>Identificacion de PDT.</v>
      </c>
      <c r="K969" s="1284" t="str">
        <f>IF(B969&lt;&gt;"",+VLOOKUP(I969,Recursos!C:F,3,FALSE),"")</f>
        <v>Gl</v>
      </c>
      <c r="L969" s="1285">
        <f>IF(B969&lt;&gt;"",+VLOOKUP(I969,Recursos!C:F,4,FALSE),"")</f>
        <v>1</v>
      </c>
      <c r="M969" s="1293"/>
      <c r="N969" s="1294"/>
      <c r="O969" s="1286">
        <f t="shared" si="1033"/>
        <v>0</v>
      </c>
      <c r="P969" s="1287">
        <f t="shared" si="1034"/>
        <v>0</v>
      </c>
      <c r="Q969" s="1281">
        <f t="shared" si="1035"/>
        <v>0</v>
      </c>
      <c r="R969" s="1288">
        <f t="shared" si="1036"/>
        <v>0</v>
      </c>
      <c r="S969" s="1289">
        <f t="shared" si="1049"/>
        <v>0</v>
      </c>
      <c r="T969" s="1289">
        <f t="shared" si="1050"/>
        <v>0</v>
      </c>
      <c r="U969" s="1290">
        <f t="shared" si="1051"/>
        <v>0</v>
      </c>
      <c r="V969" s="1290">
        <f t="shared" si="1052"/>
        <v>0</v>
      </c>
      <c r="W969" s="1290">
        <f t="shared" si="1053"/>
        <v>0</v>
      </c>
      <c r="X969" s="1290">
        <f t="shared" si="1054"/>
        <v>0</v>
      </c>
      <c r="Y969" s="396"/>
      <c r="Z969" s="1291" t="str">
        <f t="shared" si="1037"/>
        <v>0-ITT016A</v>
      </c>
      <c r="AA969" s="1291" t="str">
        <f t="shared" si="1038"/>
        <v>0-ITT016E</v>
      </c>
      <c r="AB969" s="1291" t="str">
        <f t="shared" si="1039"/>
        <v>0-ITT016M</v>
      </c>
      <c r="AC969" s="1291" t="str">
        <f t="shared" si="1040"/>
        <v>0-ITT016T</v>
      </c>
      <c r="AD969" s="1291" t="str">
        <f t="shared" si="1041"/>
        <v>0-ITT016S</v>
      </c>
      <c r="AE969" s="1291" t="str">
        <f t="shared" si="1042"/>
        <v>0-ITT016X</v>
      </c>
      <c r="AF969" s="1291" t="str">
        <f t="shared" si="1043"/>
        <v>0-ITT016S</v>
      </c>
      <c r="AG969" s="1291">
        <f t="shared" si="1055"/>
        <v>1</v>
      </c>
      <c r="AH969" s="1291">
        <f>IF(B969&lt;&gt;"",+IF(H969="x",+VLOOKUP(I969,'AUX-NIV2'!B:AG,32,FALSE),0),"")</f>
        <v>0</v>
      </c>
      <c r="AI969" s="1291" t="str">
        <f t="shared" si="1044"/>
        <v>0-ITT016</v>
      </c>
      <c r="AK969" s="347">
        <f t="shared" si="1056"/>
        <v>969</v>
      </c>
      <c r="AL969" s="348">
        <f t="shared" si="1045"/>
        <v>969</v>
      </c>
      <c r="AM969" s="347">
        <f t="shared" si="1046"/>
        <v>1</v>
      </c>
      <c r="AN969" s="382">
        <f>IF(AND(AH969&gt;0,B969&lt;&gt;""),VLOOKUP(I969,'AUX-NIV2'!$B:$AP,40,FALSE)*O969,0)</f>
        <v>0</v>
      </c>
      <c r="AO969" s="382">
        <f t="shared" si="1057"/>
        <v>0</v>
      </c>
      <c r="AQ969" s="395">
        <f>(IF($H969="x",VLOOKUP($I969,'AUX-NIV2'!$B:$X,'AUX-NIV1'!AQ$3,FALSE),0)+($AV969*'AUX-NIV3'!S$4))*$O969+IF($H969=AQ$4,$P969,0)</f>
        <v>0</v>
      </c>
      <c r="AR969" s="395">
        <f>(IF($H969="x",VLOOKUP($I969,'AUX-NIV2'!$B:$X,'AUX-NIV1'!AR$3,FALSE),0)+($AV969*'AUX-NIV3'!T$4))*$O969+IF($H969=AR$4,$P969,0)</f>
        <v>0</v>
      </c>
      <c r="AS969" s="395">
        <f>(IF($H969="x",VLOOKUP($I969,'AUX-NIV2'!$B:$X,'AUX-NIV1'!AS$3,FALSE),0)+($AV969*'AUX-NIV3'!U$4))*$O969+IF($H969=AS$4,$P969,0)</f>
        <v>0</v>
      </c>
      <c r="AT969" s="395">
        <f>(IF($H969="x",VLOOKUP($I969,'AUX-NIV2'!$B:$X,'AUX-NIV1'!AT$3,FALSE),0)+($AV969*'AUX-NIV3'!V$4))*$O969+IF($H969=AT$4,$P969,0)</f>
        <v>0</v>
      </c>
      <c r="AU969" s="395">
        <f>(IF($H969="x",VLOOKUP($I969,'AUX-NIV2'!$B:$X,'AUX-NIV1'!AU$3,FALSE),0)+($AV969*'AUX-NIV3'!W$4))*$O969+IF($H969=AU$4,$P969,0)</f>
        <v>0</v>
      </c>
      <c r="AV969" s="395">
        <f>+IF($H969="x",VLOOKUP($I969,'AUX-NIV2'!$B:$X,'AUX-NIV1'!AV$3,FALSE),0)</f>
        <v>0</v>
      </c>
    </row>
    <row r="970" spans="2:48" ht="14.4" hidden="1" thickTop="1" thickBot="1">
      <c r="B970" s="501" t="s">
        <v>4222</v>
      </c>
      <c r="C970" s="951" t="s">
        <v>3666</v>
      </c>
      <c r="D970" s="1280" t="s">
        <v>1233</v>
      </c>
      <c r="E970" s="1281">
        <f>IF(B970&lt;&gt;"",+SUMIF(Items!C:C,'AUX-NIV1'!B970,Items!H:H),"")</f>
        <v>0</v>
      </c>
      <c r="F970" s="1281">
        <f t="shared" si="1047"/>
        <v>0</v>
      </c>
      <c r="G970" s="1281">
        <f t="shared" si="1048"/>
        <v>0</v>
      </c>
      <c r="H970" s="1395" t="str">
        <f t="shared" si="1032"/>
        <v>S</v>
      </c>
      <c r="I970" s="1462" t="s">
        <v>4240</v>
      </c>
      <c r="J970" s="1283" t="str">
        <f>IF(B970&lt;&gt;"",+VLOOKUP(I970,Recursos!C:F,2,FALSE),"")</f>
        <v>Certificación red de voz y datos.</v>
      </c>
      <c r="K970" s="1284" t="str">
        <f>IF(B970&lt;&gt;"",+VLOOKUP(I970,Recursos!C:F,3,FALSE),"")</f>
        <v>Gl</v>
      </c>
      <c r="L970" s="1285">
        <f>IF(B970&lt;&gt;"",+VLOOKUP(I970,Recursos!C:F,4,FALSE),"")</f>
        <v>1</v>
      </c>
      <c r="M970" s="1293"/>
      <c r="N970" s="1294"/>
      <c r="O970" s="1286">
        <f t="shared" si="1033"/>
        <v>0</v>
      </c>
      <c r="P970" s="1287">
        <f t="shared" si="1034"/>
        <v>0</v>
      </c>
      <c r="Q970" s="1281">
        <f t="shared" si="1035"/>
        <v>0</v>
      </c>
      <c r="R970" s="1288">
        <f t="shared" si="1036"/>
        <v>0</v>
      </c>
      <c r="S970" s="1289">
        <f t="shared" si="1049"/>
        <v>0</v>
      </c>
      <c r="T970" s="1289">
        <f t="shared" si="1050"/>
        <v>0</v>
      </c>
      <c r="U970" s="1290">
        <f t="shared" si="1051"/>
        <v>0</v>
      </c>
      <c r="V970" s="1290">
        <f t="shared" si="1052"/>
        <v>0</v>
      </c>
      <c r="W970" s="1290">
        <f t="shared" si="1053"/>
        <v>0</v>
      </c>
      <c r="X970" s="1290">
        <f t="shared" si="1054"/>
        <v>0</v>
      </c>
      <c r="Y970" s="396"/>
      <c r="Z970" s="1291" t="str">
        <f t="shared" si="1037"/>
        <v>0-ITT017A</v>
      </c>
      <c r="AA970" s="1291" t="str">
        <f t="shared" si="1038"/>
        <v>0-ITT017E</v>
      </c>
      <c r="AB970" s="1291" t="str">
        <f t="shared" si="1039"/>
        <v>0-ITT017M</v>
      </c>
      <c r="AC970" s="1291" t="str">
        <f t="shared" si="1040"/>
        <v>0-ITT017T</v>
      </c>
      <c r="AD970" s="1291" t="str">
        <f t="shared" si="1041"/>
        <v>0-ITT017S</v>
      </c>
      <c r="AE970" s="1291" t="str">
        <f t="shared" si="1042"/>
        <v>0-ITT017X</v>
      </c>
      <c r="AF970" s="1291" t="str">
        <f t="shared" si="1043"/>
        <v>0-ITT017S</v>
      </c>
      <c r="AG970" s="1291">
        <f t="shared" si="1055"/>
        <v>1</v>
      </c>
      <c r="AH970" s="1291">
        <f>IF(B970&lt;&gt;"",+IF(H970="x",+VLOOKUP(I970,'AUX-NIV2'!B:AG,32,FALSE),0),"")</f>
        <v>0</v>
      </c>
      <c r="AI970" s="1291" t="str">
        <f t="shared" si="1044"/>
        <v>0-ITT017</v>
      </c>
      <c r="AK970" s="347">
        <f t="shared" si="1056"/>
        <v>970</v>
      </c>
      <c r="AL970" s="348">
        <f t="shared" si="1045"/>
        <v>970</v>
      </c>
      <c r="AM970" s="347">
        <f t="shared" si="1046"/>
        <v>1</v>
      </c>
      <c r="AN970" s="382">
        <f>IF(AND(AH970&gt;0,B970&lt;&gt;""),VLOOKUP(I970,'AUX-NIV2'!$B:$AP,40,FALSE)*O970,0)</f>
        <v>0</v>
      </c>
      <c r="AO970" s="382">
        <f t="shared" si="1057"/>
        <v>0</v>
      </c>
      <c r="AQ970" s="395">
        <f>(IF($H970="x",VLOOKUP($I970,'AUX-NIV2'!$B:$X,'AUX-NIV1'!AQ$3,FALSE),0)+($AV970*'AUX-NIV3'!S$4))*$O970+IF($H970=AQ$4,$P970,0)</f>
        <v>0</v>
      </c>
      <c r="AR970" s="395">
        <f>(IF($H970="x",VLOOKUP($I970,'AUX-NIV2'!$B:$X,'AUX-NIV1'!AR$3,FALSE),0)+($AV970*'AUX-NIV3'!T$4))*$O970+IF($H970=AR$4,$P970,0)</f>
        <v>0</v>
      </c>
      <c r="AS970" s="395">
        <f>(IF($H970="x",VLOOKUP($I970,'AUX-NIV2'!$B:$X,'AUX-NIV1'!AS$3,FALSE),0)+($AV970*'AUX-NIV3'!U$4))*$O970+IF($H970=AS$4,$P970,0)</f>
        <v>0</v>
      </c>
      <c r="AT970" s="395">
        <f>(IF($H970="x",VLOOKUP($I970,'AUX-NIV2'!$B:$X,'AUX-NIV1'!AT$3,FALSE),0)+($AV970*'AUX-NIV3'!V$4))*$O970+IF($H970=AT$4,$P970,0)</f>
        <v>0</v>
      </c>
      <c r="AU970" s="395">
        <f>(IF($H970="x",VLOOKUP($I970,'AUX-NIV2'!$B:$X,'AUX-NIV1'!AU$3,FALSE),0)+($AV970*'AUX-NIV3'!W$4))*$O970+IF($H970=AU$4,$P970,0)</f>
        <v>0</v>
      </c>
      <c r="AV970" s="395">
        <f>+IF($H970="x",VLOOKUP($I970,'AUX-NIV2'!$B:$X,'AUX-NIV1'!AV$3,FALSE),0)</f>
        <v>0</v>
      </c>
    </row>
    <row r="971" spans="2:48" ht="14.4" hidden="1" thickTop="1" thickBot="1">
      <c r="B971" s="501" t="s">
        <v>4223</v>
      </c>
      <c r="C971" s="951" t="s">
        <v>3655</v>
      </c>
      <c r="D971" s="1280" t="s">
        <v>1233</v>
      </c>
      <c r="E971" s="1281">
        <f>IF(B971&lt;&gt;"",+SUMIF(Items!C:C,'AUX-NIV1'!B971,Items!H:H),"")</f>
        <v>0</v>
      </c>
      <c r="F971" s="1281">
        <f t="shared" si="1047"/>
        <v>0</v>
      </c>
      <c r="G971" s="1281">
        <f t="shared" si="1048"/>
        <v>0</v>
      </c>
      <c r="H971" s="1395" t="str">
        <f t="shared" si="1032"/>
        <v>S</v>
      </c>
      <c r="I971" s="1462" t="s">
        <v>4241</v>
      </c>
      <c r="J971" s="1283" t="str">
        <f>IF(B971&lt;&gt;"",+VLOOKUP(I971,Recursos!C:F,2,FALSE),"")</f>
        <v>Mano de obra</v>
      </c>
      <c r="K971" s="1284" t="str">
        <f>IF(B971&lt;&gt;"",+VLOOKUP(I971,Recursos!C:F,3,FALSE),"")</f>
        <v>Gl</v>
      </c>
      <c r="L971" s="1285">
        <f>IF(B971&lt;&gt;"",+VLOOKUP(I971,Recursos!C:F,4,FALSE),"")</f>
        <v>1</v>
      </c>
      <c r="M971" s="1293"/>
      <c r="N971" s="1294"/>
      <c r="O971" s="1286">
        <f t="shared" si="1033"/>
        <v>0</v>
      </c>
      <c r="P971" s="1287">
        <f t="shared" si="1034"/>
        <v>0</v>
      </c>
      <c r="Q971" s="1281">
        <f t="shared" si="1035"/>
        <v>0</v>
      </c>
      <c r="R971" s="1288">
        <f t="shared" si="1036"/>
        <v>0</v>
      </c>
      <c r="S971" s="1289">
        <f t="shared" si="1049"/>
        <v>0</v>
      </c>
      <c r="T971" s="1289">
        <f t="shared" si="1050"/>
        <v>0</v>
      </c>
      <c r="U971" s="1290">
        <f t="shared" si="1051"/>
        <v>0</v>
      </c>
      <c r="V971" s="1290">
        <f t="shared" si="1052"/>
        <v>0</v>
      </c>
      <c r="W971" s="1290">
        <f t="shared" si="1053"/>
        <v>0</v>
      </c>
      <c r="X971" s="1290">
        <f t="shared" si="1054"/>
        <v>0</v>
      </c>
      <c r="Y971" s="396"/>
      <c r="Z971" s="1291" t="str">
        <f t="shared" si="1037"/>
        <v>0-ITT018A</v>
      </c>
      <c r="AA971" s="1291" t="str">
        <f t="shared" si="1038"/>
        <v>0-ITT018E</v>
      </c>
      <c r="AB971" s="1291" t="str">
        <f t="shared" si="1039"/>
        <v>0-ITT018M</v>
      </c>
      <c r="AC971" s="1291" t="str">
        <f t="shared" si="1040"/>
        <v>0-ITT018T</v>
      </c>
      <c r="AD971" s="1291" t="str">
        <f t="shared" si="1041"/>
        <v>0-ITT018S</v>
      </c>
      <c r="AE971" s="1291" t="str">
        <f t="shared" si="1042"/>
        <v>0-ITT018X</v>
      </c>
      <c r="AF971" s="1291" t="str">
        <f t="shared" si="1043"/>
        <v>0-ITT018S</v>
      </c>
      <c r="AG971" s="1291">
        <f t="shared" si="1055"/>
        <v>1</v>
      </c>
      <c r="AH971" s="1291">
        <f>IF(B971&lt;&gt;"",+IF(H971="x",+VLOOKUP(I971,'AUX-NIV2'!B:AG,32,FALSE),0),"")</f>
        <v>0</v>
      </c>
      <c r="AI971" s="1291" t="str">
        <f t="shared" si="1044"/>
        <v>0-ITT018</v>
      </c>
      <c r="AK971" s="347">
        <f t="shared" si="1056"/>
        <v>971</v>
      </c>
      <c r="AL971" s="348">
        <f t="shared" si="1045"/>
        <v>971</v>
      </c>
      <c r="AM971" s="347">
        <f t="shared" si="1046"/>
        <v>1</v>
      </c>
      <c r="AN971" s="382">
        <f>IF(AND(AH971&gt;0,B971&lt;&gt;""),VLOOKUP(I971,'AUX-NIV2'!$B:$AP,40,FALSE)*O971,0)</f>
        <v>0</v>
      </c>
      <c r="AO971" s="382">
        <f t="shared" si="1057"/>
        <v>0</v>
      </c>
      <c r="AQ971" s="395">
        <f>(IF($H971="x",VLOOKUP($I971,'AUX-NIV2'!$B:$X,'AUX-NIV1'!AQ$3,FALSE),0)+($AV971*'AUX-NIV3'!S$4))*$O971+IF($H971=AQ$4,$P971,0)</f>
        <v>0</v>
      </c>
      <c r="AR971" s="395">
        <f>(IF($H971="x",VLOOKUP($I971,'AUX-NIV2'!$B:$X,'AUX-NIV1'!AR$3,FALSE),0)+($AV971*'AUX-NIV3'!T$4))*$O971+IF($H971=AR$4,$P971,0)</f>
        <v>0</v>
      </c>
      <c r="AS971" s="395">
        <f>(IF($H971="x",VLOOKUP($I971,'AUX-NIV2'!$B:$X,'AUX-NIV1'!AS$3,FALSE),0)+($AV971*'AUX-NIV3'!U$4))*$O971+IF($H971=AS$4,$P971,0)</f>
        <v>0</v>
      </c>
      <c r="AT971" s="395">
        <f>(IF($H971="x",VLOOKUP($I971,'AUX-NIV2'!$B:$X,'AUX-NIV1'!AT$3,FALSE),0)+($AV971*'AUX-NIV3'!V$4))*$O971+IF($H971=AT$4,$P971,0)</f>
        <v>0</v>
      </c>
      <c r="AU971" s="395">
        <f>(IF($H971="x",VLOOKUP($I971,'AUX-NIV2'!$B:$X,'AUX-NIV1'!AU$3,FALSE),0)+($AV971*'AUX-NIV3'!W$4))*$O971+IF($H971=AU$4,$P971,0)</f>
        <v>0</v>
      </c>
      <c r="AV971" s="395">
        <f>+IF($H971="x",VLOOKUP($I971,'AUX-NIV2'!$B:$X,'AUX-NIV1'!AV$3,FALSE),0)</f>
        <v>0</v>
      </c>
    </row>
    <row r="972" spans="2:48" ht="13.8" thickTop="1">
      <c r="B972" s="1374" t="s">
        <v>4344</v>
      </c>
      <c r="C972" s="1398" t="s">
        <v>4550</v>
      </c>
      <c r="D972" s="1376" t="s">
        <v>1172</v>
      </c>
      <c r="E972" s="1281">
        <f>IF(B972&lt;&gt;"",+SUMIF(Items!C:C,'AUX-NIV1'!B972,Items!H:H),"")</f>
        <v>0</v>
      </c>
      <c r="F972" s="1281">
        <f t="shared" si="1047"/>
        <v>102157.92952204407</v>
      </c>
      <c r="G972" s="1281">
        <f t="shared" si="1048"/>
        <v>0</v>
      </c>
      <c r="H972" s="1395" t="str">
        <f t="shared" ref="H972:H975" si="1058">IF(B972&lt;&gt;"",+LEFT(I972,1),"")</f>
        <v>X</v>
      </c>
      <c r="I972" s="1375" t="s">
        <v>4366</v>
      </c>
      <c r="J972" s="1283" t="str">
        <f>IF(B972&lt;&gt;"",+VLOOKUP(I972,Recursos!C:F,2,FALSE),"")</f>
        <v>Instalación de Bocas Eléctricas</v>
      </c>
      <c r="K972" s="1284" t="str">
        <f>IF(B972&lt;&gt;"",+VLOOKUP(I972,Recursos!C:F,3,FALSE),"")</f>
        <v>Un</v>
      </c>
      <c r="L972" s="1285">
        <f>IF(B972&lt;&gt;"",+VLOOKUP(I972,Recursos!C:F,4,FALSE),"")</f>
        <v>5072.9945387079233</v>
      </c>
      <c r="M972" s="1631"/>
      <c r="N972" s="1547">
        <v>10</v>
      </c>
      <c r="O972" s="1286">
        <f t="shared" ref="O972:O975" si="1059">N972</f>
        <v>10</v>
      </c>
      <c r="P972" s="1287">
        <f t="shared" ref="P972:P975" si="1060">IF(B972&lt;&gt;"",O972*L972,"")</f>
        <v>50729.945387079235</v>
      </c>
      <c r="Q972" s="1281">
        <f t="shared" ref="Q972:Q975" si="1061">IF(B972&lt;&gt;"",+O972*E972,"")</f>
        <v>0</v>
      </c>
      <c r="R972" s="1288">
        <f t="shared" ref="R972:R975" si="1062">IF(B972&lt;&gt;"",Q972*L972,"")</f>
        <v>0</v>
      </c>
      <c r="S972" s="1289">
        <f t="shared" si="1049"/>
        <v>0</v>
      </c>
      <c r="T972" s="1289">
        <f t="shared" si="1050"/>
        <v>0</v>
      </c>
      <c r="U972" s="1290">
        <f t="shared" si="1051"/>
        <v>0</v>
      </c>
      <c r="V972" s="1290">
        <f t="shared" si="1052"/>
        <v>0</v>
      </c>
      <c r="W972" s="1290">
        <f t="shared" si="1053"/>
        <v>0</v>
      </c>
      <c r="X972" s="1290">
        <f t="shared" si="1054"/>
        <v>102157.92952204407</v>
      </c>
      <c r="Y972" s="396"/>
      <c r="Z972" s="1291" t="str">
        <f t="shared" ref="Z972:Z975" si="1063">IF(B972&lt;&gt;"",+$B972&amp;"A","")</f>
        <v>0-INSTELECA</v>
      </c>
      <c r="AA972" s="1291" t="str">
        <f t="shared" ref="AA972:AA975" si="1064">IF(B972&lt;&gt;"",+$B972&amp;"E","")</f>
        <v>0-INSTELECE</v>
      </c>
      <c r="AB972" s="1291" t="str">
        <f t="shared" ref="AB972:AB975" si="1065">IF(B972&lt;&gt;"",++$B972&amp;"M","")</f>
        <v>0-INSTELECM</v>
      </c>
      <c r="AC972" s="1291" t="str">
        <f t="shared" ref="AC972:AC975" si="1066">IF(B972&lt;&gt;"",+$B972&amp;"T","")</f>
        <v>0-INSTELECT</v>
      </c>
      <c r="AD972" s="1291" t="str">
        <f t="shared" ref="AD972:AD975" si="1067">IF(B972&lt;&gt;"",+$B972&amp;"S","")</f>
        <v>0-INSTELECS</v>
      </c>
      <c r="AE972" s="1291" t="str">
        <f t="shared" ref="AE972:AE975" si="1068">IF(B972&lt;&gt;"",+$B972&amp;"X","")</f>
        <v>0-INSTELECX</v>
      </c>
      <c r="AF972" s="1291" t="str">
        <f t="shared" ref="AF972:AF975" si="1069">IF(B972&lt;&gt;"",+B972&amp;H972,"")</f>
        <v>0-INSTELECX</v>
      </c>
      <c r="AG972" s="1291">
        <f t="shared" si="1055"/>
        <v>4</v>
      </c>
      <c r="AH972" s="1291">
        <f>IF(B972&lt;&gt;"",+IF(H972="x",+VLOOKUP(I972,'AUX-NIV2'!B:AG,32,FALSE),0),"")</f>
        <v>12</v>
      </c>
      <c r="AI972" s="1291" t="str">
        <f t="shared" ref="AI972:AI975" si="1070">IF(B972&lt;&gt;"",+B972,"")</f>
        <v>0-INSTELEC</v>
      </c>
      <c r="AK972" s="347">
        <f t="shared" si="1056"/>
        <v>972</v>
      </c>
      <c r="AL972" s="348">
        <f t="shared" ref="AL972:AL975" si="1071">IF(B972&lt;&gt;"",+AK972+AG972-1,"")</f>
        <v>975</v>
      </c>
      <c r="AM972" s="347" t="e">
        <f>IF(B972&lt;&gt;"",IF(B972=#REF!,1+#REF!,1),"")</f>
        <v>#REF!</v>
      </c>
      <c r="AN972" s="382">
        <f>IF(AND(AH972&gt;0,B972&lt;&gt;""),VLOOKUP(I972,'AUX-NIV2'!$B:$AP,40,FALSE)*O972,0)</f>
        <v>40</v>
      </c>
      <c r="AO972" s="382">
        <f t="shared" si="1057"/>
        <v>59</v>
      </c>
      <c r="AQ972" s="395">
        <f>(IF($H972="x",VLOOKUP($I972,'AUX-NIV2'!$B:$X,'AUX-NIV1'!AQ$3,FALSE),0)+($AV972*'AUX-NIV3'!S$4))*$O972+IF($H972=AQ$4,$P972,0)</f>
        <v>21559.543183222479</v>
      </c>
      <c r="AR972" s="395">
        <f>(IF($H972="x",VLOOKUP($I972,'AUX-NIV2'!$B:$X,'AUX-NIV1'!AR$3,FALSE),0)+($AV972*'AUX-NIV3'!T$4))*$O972+IF($H972=AR$4,$P972,0)</f>
        <v>0</v>
      </c>
      <c r="AS972" s="395">
        <f>(IF($H972="x",VLOOKUP($I972,'AUX-NIV2'!$B:$X,'AUX-NIV1'!AS$3,FALSE),0)+($AV972*'AUX-NIV3'!U$4))*$O972+IF($H972=AS$4,$P972,0)</f>
        <v>29170.402203856749</v>
      </c>
      <c r="AT972" s="395">
        <f>(IF($H972="x",VLOOKUP($I972,'AUX-NIV2'!$B:$X,'AUX-NIV1'!AT$3,FALSE),0)+($AV972*'AUX-NIV3'!V$4))*$O972+IF($H972=AT$4,$P972,0)</f>
        <v>0</v>
      </c>
      <c r="AU972" s="395">
        <f>(IF($H972="x",VLOOKUP($I972,'AUX-NIV2'!$B:$X,'AUX-NIV1'!AU$3,FALSE),0)+($AV972*'AUX-NIV3'!W$4))*$O972+IF($H972=AU$4,$P972,0)</f>
        <v>0</v>
      </c>
      <c r="AV972" s="395">
        <f>+IF($H972="x",VLOOKUP($I972,'AUX-NIV2'!$B:$X,'AUX-NIV1'!AV$3,FALSE),0)</f>
        <v>0</v>
      </c>
    </row>
    <row r="973" spans="2:48">
      <c r="B973" s="1374" t="s">
        <v>4344</v>
      </c>
      <c r="C973" s="1398" t="s">
        <v>4550</v>
      </c>
      <c r="D973" s="1376" t="s">
        <v>1172</v>
      </c>
      <c r="E973" s="1281">
        <f>IF(B973&lt;&gt;"",+SUMIF(Items!C:C,'AUX-NIV1'!B973,Items!H:H),"")</f>
        <v>0</v>
      </c>
      <c r="F973" s="1281">
        <f t="shared" si="1047"/>
        <v>102157.92952204407</v>
      </c>
      <c r="G973" s="1281">
        <f t="shared" si="1048"/>
        <v>0</v>
      </c>
      <c r="H973" s="1395" t="str">
        <f t="shared" si="1058"/>
        <v>X</v>
      </c>
      <c r="I973" s="1462" t="s">
        <v>4345</v>
      </c>
      <c r="J973" s="1283" t="str">
        <f>IF(B973&lt;&gt;"",+VLOOKUP(I973,Recursos!C:F,2,FALSE),"")</f>
        <v>Tableros Eléctricos</v>
      </c>
      <c r="K973" s="1284" t="str">
        <f>IF(B973&lt;&gt;"",+VLOOKUP(I973,Recursos!C:F,3,FALSE),"")</f>
        <v>Gl</v>
      </c>
      <c r="L973" s="1285">
        <f>IF(B973&lt;&gt;"",+VLOOKUP(I973,Recursos!C:F,4,FALSE),"")</f>
        <v>12961.908636644495</v>
      </c>
      <c r="M973" s="1631"/>
      <c r="N973" s="1547">
        <v>1</v>
      </c>
      <c r="O973" s="1286">
        <f t="shared" si="1059"/>
        <v>1</v>
      </c>
      <c r="P973" s="1287">
        <f t="shared" si="1060"/>
        <v>12961.908636644495</v>
      </c>
      <c r="Q973" s="1281">
        <f t="shared" si="1061"/>
        <v>0</v>
      </c>
      <c r="R973" s="1288">
        <f t="shared" si="1062"/>
        <v>0</v>
      </c>
      <c r="S973" s="1289">
        <f t="shared" si="1049"/>
        <v>0</v>
      </c>
      <c r="T973" s="1289">
        <f t="shared" si="1050"/>
        <v>0</v>
      </c>
      <c r="U973" s="1290">
        <f t="shared" si="1051"/>
        <v>0</v>
      </c>
      <c r="V973" s="1290">
        <f t="shared" si="1052"/>
        <v>0</v>
      </c>
      <c r="W973" s="1290">
        <f t="shared" si="1053"/>
        <v>0</v>
      </c>
      <c r="X973" s="1290">
        <f t="shared" si="1054"/>
        <v>102157.92952204407</v>
      </c>
      <c r="Y973" s="396"/>
      <c r="Z973" s="1291" t="str">
        <f t="shared" si="1063"/>
        <v>0-INSTELECA</v>
      </c>
      <c r="AA973" s="1291" t="str">
        <f t="shared" si="1064"/>
        <v>0-INSTELECE</v>
      </c>
      <c r="AB973" s="1291" t="str">
        <f t="shared" si="1065"/>
        <v>0-INSTELECM</v>
      </c>
      <c r="AC973" s="1291" t="str">
        <f t="shared" si="1066"/>
        <v>0-INSTELECT</v>
      </c>
      <c r="AD973" s="1291" t="str">
        <f t="shared" si="1067"/>
        <v>0-INSTELECS</v>
      </c>
      <c r="AE973" s="1291" t="str">
        <f t="shared" si="1068"/>
        <v>0-INSTELECX</v>
      </c>
      <c r="AF973" s="1291" t="str">
        <f t="shared" si="1069"/>
        <v>0-INSTELECX</v>
      </c>
      <c r="AG973" s="1291">
        <f t="shared" si="1055"/>
        <v>4</v>
      </c>
      <c r="AH973" s="1291">
        <f>IF(B973&lt;&gt;"",+IF(H973="x",+VLOOKUP(I973,'AUX-NIV2'!B:AG,32,FALSE),0),"")</f>
        <v>10</v>
      </c>
      <c r="AI973" s="1291" t="str">
        <f t="shared" si="1070"/>
        <v>0-INSTELEC</v>
      </c>
      <c r="AK973" s="347">
        <f t="shared" si="1056"/>
        <v>972</v>
      </c>
      <c r="AL973" s="348">
        <f t="shared" si="1071"/>
        <v>975</v>
      </c>
      <c r="AM973" s="347" t="e">
        <f t="shared" ref="AM973" si="1072">IF(B973&lt;&gt;"",IF(B973=B972,1+AM972,1),"")</f>
        <v>#REF!</v>
      </c>
      <c r="AN973" s="382">
        <f>IF(AND(AH973&gt;0,B973&lt;&gt;""),VLOOKUP(I973,'AUX-NIV2'!$B:$AP,40,FALSE)*O973,0)</f>
        <v>8</v>
      </c>
      <c r="AO973" s="382">
        <f t="shared" si="1057"/>
        <v>59</v>
      </c>
      <c r="AQ973" s="395">
        <f>(IF($H973="x",VLOOKUP($I973,'AUX-NIV2'!$B:$X,'AUX-NIV1'!AQ$3,FALSE),0)+($AV973*'AUX-NIV3'!S$4))*$O973+IF($H973=AQ$4,$P973,0)</f>
        <v>4311.9086366444953</v>
      </c>
      <c r="AR973" s="395">
        <f>(IF($H973="x",VLOOKUP($I973,'AUX-NIV2'!$B:$X,'AUX-NIV1'!AR$3,FALSE),0)+($AV973*'AUX-NIV3'!T$4))*$O973+IF($H973=AR$4,$P973,0)</f>
        <v>0</v>
      </c>
      <c r="AS973" s="395">
        <f>(IF($H973="x",VLOOKUP($I973,'AUX-NIV2'!$B:$X,'AUX-NIV1'!AS$3,FALSE),0)+($AV973*'AUX-NIV3'!U$4))*$O973+IF($H973=AS$4,$P973,0)</f>
        <v>8650</v>
      </c>
      <c r="AT973" s="395">
        <f>(IF($H973="x",VLOOKUP($I973,'AUX-NIV2'!$B:$X,'AUX-NIV1'!AT$3,FALSE),0)+($AV973*'AUX-NIV3'!V$4))*$O973+IF($H973=AT$4,$P973,0)</f>
        <v>0</v>
      </c>
      <c r="AU973" s="395">
        <f>(IF($H973="x",VLOOKUP($I973,'AUX-NIV2'!$B:$X,'AUX-NIV1'!AU$3,FALSE),0)+($AV973*'AUX-NIV3'!W$4))*$O973+IF($H973=AU$4,$P973,0)</f>
        <v>0</v>
      </c>
      <c r="AV973" s="395">
        <f>+IF($H973="x",VLOOKUP($I973,'AUX-NIV2'!$B:$X,'AUX-NIV1'!AV$3,FALSE),0)</f>
        <v>0</v>
      </c>
    </row>
    <row r="974" spans="2:48">
      <c r="B974" s="1374" t="s">
        <v>4344</v>
      </c>
      <c r="C974" s="1398" t="s">
        <v>4550</v>
      </c>
      <c r="D974" s="1376" t="s">
        <v>1172</v>
      </c>
      <c r="E974" s="1281">
        <f>IF(B974&lt;&gt;"",+SUMIF(Items!C:C,'AUX-NIV1'!B974,Items!H:H),"")</f>
        <v>0</v>
      </c>
      <c r="F974" s="1281">
        <f t="shared" si="1047"/>
        <v>102157.92952204407</v>
      </c>
      <c r="G974" s="1281">
        <f t="shared" si="1048"/>
        <v>0</v>
      </c>
      <c r="H974" s="1395" t="str">
        <f t="shared" ref="H974" si="1073">IF(B974&lt;&gt;"",+LEFT(I974,1),"")</f>
        <v>X</v>
      </c>
      <c r="I974" s="1462" t="s">
        <v>4347</v>
      </c>
      <c r="J974" s="1283" t="str">
        <f>IF(B974&lt;&gt;"",+VLOOKUP(I974,Recursos!C:F,2,FALSE),"")</f>
        <v>Acometida, Poste y Medidor</v>
      </c>
      <c r="K974" s="1284" t="str">
        <f>IF(B974&lt;&gt;"",+VLOOKUP(I974,Recursos!C:F,3,FALSE),"")</f>
        <v>Gl</v>
      </c>
      <c r="L974" s="1285">
        <f>IF(B974&lt;&gt;"",+VLOOKUP(I974,Recursos!C:F,4,FALSE),"")</f>
        <v>15978.988330004435</v>
      </c>
      <c r="M974" s="1631"/>
      <c r="N974" s="1547">
        <v>0</v>
      </c>
      <c r="O974" s="1286">
        <f t="shared" ref="O974" si="1074">N974</f>
        <v>0</v>
      </c>
      <c r="P974" s="1287">
        <f t="shared" ref="P974" si="1075">IF(B974&lt;&gt;"",O974*L974,"")</f>
        <v>0</v>
      </c>
      <c r="Q974" s="1281">
        <f t="shared" ref="Q974" si="1076">IF(B974&lt;&gt;"",+O974*E974,"")</f>
        <v>0</v>
      </c>
      <c r="R974" s="1288">
        <f t="shared" ref="R974" si="1077">IF(B974&lt;&gt;"",Q974*L974,"")</f>
        <v>0</v>
      </c>
      <c r="S974" s="1289">
        <f t="shared" si="1049"/>
        <v>0</v>
      </c>
      <c r="T974" s="1289">
        <f t="shared" si="1050"/>
        <v>0</v>
      </c>
      <c r="U974" s="1290">
        <f t="shared" si="1051"/>
        <v>0</v>
      </c>
      <c r="V974" s="1290">
        <f t="shared" si="1052"/>
        <v>0</v>
      </c>
      <c r="W974" s="1290">
        <f t="shared" si="1053"/>
        <v>0</v>
      </c>
      <c r="X974" s="1290">
        <f t="shared" si="1054"/>
        <v>102157.92952204407</v>
      </c>
      <c r="Y974" s="396"/>
      <c r="Z974" s="1291" t="str">
        <f t="shared" ref="Z974" si="1078">IF(B974&lt;&gt;"",+$B974&amp;"A","")</f>
        <v>0-INSTELECA</v>
      </c>
      <c r="AA974" s="1291" t="str">
        <f t="shared" ref="AA974" si="1079">IF(B974&lt;&gt;"",+$B974&amp;"E","")</f>
        <v>0-INSTELECE</v>
      </c>
      <c r="AB974" s="1291" t="str">
        <f t="shared" ref="AB974" si="1080">IF(B974&lt;&gt;"",++$B974&amp;"M","")</f>
        <v>0-INSTELECM</v>
      </c>
      <c r="AC974" s="1291" t="str">
        <f t="shared" ref="AC974" si="1081">IF(B974&lt;&gt;"",+$B974&amp;"T","")</f>
        <v>0-INSTELECT</v>
      </c>
      <c r="AD974" s="1291" t="str">
        <f t="shared" ref="AD974" si="1082">IF(B974&lt;&gt;"",+$B974&amp;"S","")</f>
        <v>0-INSTELECS</v>
      </c>
      <c r="AE974" s="1291" t="str">
        <f t="shared" ref="AE974" si="1083">IF(B974&lt;&gt;"",+$B974&amp;"X","")</f>
        <v>0-INSTELECX</v>
      </c>
      <c r="AF974" s="1291" t="str">
        <f t="shared" ref="AF974" si="1084">IF(B974&lt;&gt;"",+B974&amp;H974,"")</f>
        <v>0-INSTELECX</v>
      </c>
      <c r="AG974" s="1291">
        <f t="shared" si="1055"/>
        <v>4</v>
      </c>
      <c r="AH974" s="1291">
        <f>IF(B974&lt;&gt;"",+IF(H974="x",+VLOOKUP(I974,'AUX-NIV2'!B:AG,32,FALSE),0),"")</f>
        <v>6</v>
      </c>
      <c r="AI974" s="1291" t="str">
        <f t="shared" ref="AI974" si="1085">IF(B974&lt;&gt;"",+B974,"")</f>
        <v>0-INSTELEC</v>
      </c>
      <c r="AK974" s="347">
        <f t="shared" si="1056"/>
        <v>972</v>
      </c>
      <c r="AL974" s="348">
        <f t="shared" ref="AL974" si="1086">IF(B974&lt;&gt;"",+AK974+AG974-1,"")</f>
        <v>975</v>
      </c>
      <c r="AM974" s="347" t="e">
        <f>IF(B974&lt;&gt;"",IF(B974=B972,1+AM972,1),"")</f>
        <v>#REF!</v>
      </c>
      <c r="AN974" s="382">
        <f>IF(AND(AH974&gt;0,B974&lt;&gt;""),VLOOKUP(I974,'AUX-NIV2'!$B:$AP,40,FALSE)*O974,0)</f>
        <v>0</v>
      </c>
      <c r="AO974" s="382">
        <f t="shared" si="1057"/>
        <v>59</v>
      </c>
      <c r="AQ974" s="395">
        <f>(IF($H974="x",VLOOKUP($I974,'AUX-NIV2'!$B:$X,'AUX-NIV1'!AQ$3,FALSE),0)+($AV974*'AUX-NIV3'!S$4))*$O974+IF($H974=AQ$4,$P974,0)</f>
        <v>0</v>
      </c>
      <c r="AR974" s="395">
        <f>(IF($H974="x",VLOOKUP($I974,'AUX-NIV2'!$B:$X,'AUX-NIV1'!AR$3,FALSE),0)+($AV974*'AUX-NIV3'!T$4))*$O974+IF($H974=AR$4,$P974,0)</f>
        <v>0</v>
      </c>
      <c r="AS974" s="395">
        <f>(IF($H974="x",VLOOKUP($I974,'AUX-NIV2'!$B:$X,'AUX-NIV1'!AS$3,FALSE),0)+($AV974*'AUX-NIV3'!U$4))*$O974+IF($H974=AS$4,$P974,0)</f>
        <v>0</v>
      </c>
      <c r="AT974" s="395">
        <f>(IF($H974="x",VLOOKUP($I974,'AUX-NIV2'!$B:$X,'AUX-NIV1'!AT$3,FALSE),0)+($AV974*'AUX-NIV3'!V$4))*$O974+IF($H974=AT$4,$P974,0)</f>
        <v>0</v>
      </c>
      <c r="AU974" s="395">
        <f>(IF($H974="x",VLOOKUP($I974,'AUX-NIV2'!$B:$X,'AUX-NIV1'!AU$3,FALSE),0)+($AV974*'AUX-NIV3'!W$4))*$O974+IF($H974=AU$4,$P974,0)</f>
        <v>0</v>
      </c>
      <c r="AV974" s="395">
        <f>+IF($H974="x",VLOOKUP($I974,'AUX-NIV2'!$B:$X,'AUX-NIV1'!AV$3,FALSE),0)</f>
        <v>0</v>
      </c>
    </row>
    <row r="975" spans="2:48" ht="13.8" thickBot="1">
      <c r="B975" s="1374" t="s">
        <v>4344</v>
      </c>
      <c r="C975" s="1398" t="s">
        <v>4550</v>
      </c>
      <c r="D975" s="1376" t="s">
        <v>1172</v>
      </c>
      <c r="E975" s="1281">
        <f>IF(B975&lt;&gt;"",+SUMIF(Items!C:C,'AUX-NIV1'!B975,Items!H:H),"")</f>
        <v>0</v>
      </c>
      <c r="F975" s="1281">
        <f t="shared" si="1047"/>
        <v>102157.92952204407</v>
      </c>
      <c r="G975" s="1281">
        <f t="shared" si="1048"/>
        <v>0</v>
      </c>
      <c r="H975" s="1395" t="str">
        <f t="shared" si="1058"/>
        <v>X</v>
      </c>
      <c r="I975" s="1462" t="s">
        <v>4570</v>
      </c>
      <c r="J975" s="1283" t="str">
        <f>IF(B975&lt;&gt;"",+VLOOKUP(I975,Recursos!C:F,2,FALSE),"")</f>
        <v>Artefactos Eléctricos</v>
      </c>
      <c r="K975" s="1284" t="str">
        <f>IF(B975&lt;&gt;"",+VLOOKUP(I975,Recursos!C:F,3,FALSE),"")</f>
        <v>Un</v>
      </c>
      <c r="L975" s="1285">
        <f>IF(B975&lt;&gt;"",+VLOOKUP(I975,Recursos!C:F,4,FALSE),"")</f>
        <v>3496.9159543927581</v>
      </c>
      <c r="M975" s="1622"/>
      <c r="N975" s="1623">
        <v>11</v>
      </c>
      <c r="O975" s="1286">
        <f t="shared" si="1059"/>
        <v>11</v>
      </c>
      <c r="P975" s="1287">
        <f t="shared" si="1060"/>
        <v>38466.075498320337</v>
      </c>
      <c r="Q975" s="1281">
        <f t="shared" si="1061"/>
        <v>0</v>
      </c>
      <c r="R975" s="1288">
        <f t="shared" si="1062"/>
        <v>0</v>
      </c>
      <c r="S975" s="1289">
        <f t="shared" si="1049"/>
        <v>0</v>
      </c>
      <c r="T975" s="1289">
        <f t="shared" si="1050"/>
        <v>0</v>
      </c>
      <c r="U975" s="1290">
        <f t="shared" si="1051"/>
        <v>0</v>
      </c>
      <c r="V975" s="1290">
        <f t="shared" si="1052"/>
        <v>0</v>
      </c>
      <c r="W975" s="1290">
        <f t="shared" si="1053"/>
        <v>0</v>
      </c>
      <c r="X975" s="1290">
        <f t="shared" si="1054"/>
        <v>102157.92952204407</v>
      </c>
      <c r="Y975" s="396"/>
      <c r="Z975" s="1291" t="str">
        <f t="shared" si="1063"/>
        <v>0-INSTELECA</v>
      </c>
      <c r="AA975" s="1291" t="str">
        <f t="shared" si="1064"/>
        <v>0-INSTELECE</v>
      </c>
      <c r="AB975" s="1291" t="str">
        <f t="shared" si="1065"/>
        <v>0-INSTELECM</v>
      </c>
      <c r="AC975" s="1291" t="str">
        <f t="shared" si="1066"/>
        <v>0-INSTELECT</v>
      </c>
      <c r="AD975" s="1291" t="str">
        <f t="shared" si="1067"/>
        <v>0-INSTELECS</v>
      </c>
      <c r="AE975" s="1291" t="str">
        <f t="shared" si="1068"/>
        <v>0-INSTELECX</v>
      </c>
      <c r="AF975" s="1291" t="str">
        <f t="shared" si="1069"/>
        <v>0-INSTELECX</v>
      </c>
      <c r="AG975" s="1291">
        <f t="shared" si="1055"/>
        <v>4</v>
      </c>
      <c r="AH975" s="1291">
        <f>IF(B975&lt;&gt;"",+IF(H975="x",+VLOOKUP(I975,'AUX-NIV2'!B:AG,32,FALSE),0),"")</f>
        <v>4</v>
      </c>
      <c r="AI975" s="1291" t="str">
        <f t="shared" si="1070"/>
        <v>0-INSTELEC</v>
      </c>
      <c r="AK975" s="347">
        <f t="shared" si="1056"/>
        <v>972</v>
      </c>
      <c r="AL975" s="348">
        <f t="shared" si="1071"/>
        <v>975</v>
      </c>
      <c r="AM975" s="347" t="e">
        <f>IF(B975&lt;&gt;"",IF(B975=B973,1+AM973,1),"")</f>
        <v>#REF!</v>
      </c>
      <c r="AN975" s="382">
        <f>IF(AND(AH975&gt;0,B975&lt;&gt;""),VLOOKUP(I975,'AUX-NIV2'!$B:$AP,40,FALSE)*O975,0)</f>
        <v>11</v>
      </c>
      <c r="AO975" s="382">
        <f t="shared" si="1057"/>
        <v>59</v>
      </c>
      <c r="AQ975" s="395">
        <f>(IF($H975="x",VLOOKUP($I975,'AUX-NIV2'!$B:$X,'AUX-NIV1'!AQ$3,FALSE),0)+($AV975*'AUX-NIV3'!S$4))*$O975+IF($H975=AQ$4,$P975,0)</f>
        <v>5466.0754983203406</v>
      </c>
      <c r="AR975" s="395">
        <f>(IF($H975="x",VLOOKUP($I975,'AUX-NIV2'!$B:$X,'AUX-NIV1'!AR$3,FALSE),0)+($AV975*'AUX-NIV3'!T$4))*$O975+IF($H975=AR$4,$P975,0)</f>
        <v>0</v>
      </c>
      <c r="AS975" s="395">
        <f>(IF($H975="x",VLOOKUP($I975,'AUX-NIV2'!$B:$X,'AUX-NIV1'!AS$3,FALSE),0)+($AV975*'AUX-NIV3'!U$4))*$O975+IF($H975=AS$4,$P975,0)</f>
        <v>33000</v>
      </c>
      <c r="AT975" s="395">
        <f>(IF($H975="x",VLOOKUP($I975,'AUX-NIV2'!$B:$X,'AUX-NIV1'!AT$3,FALSE),0)+($AV975*'AUX-NIV3'!V$4))*$O975+IF($H975=AT$4,$P975,0)</f>
        <v>0</v>
      </c>
      <c r="AU975" s="395">
        <f>(IF($H975="x",VLOOKUP($I975,'AUX-NIV2'!$B:$X,'AUX-NIV1'!AU$3,FALSE),0)+($AV975*'AUX-NIV3'!W$4))*$O975+IF($H975=AU$4,$P975,0)</f>
        <v>0</v>
      </c>
      <c r="AV975" s="395">
        <f>+IF($H975="x",VLOOKUP($I975,'AUX-NIV2'!$B:$X,'AUX-NIV1'!AV$3,FALSE),0)</f>
        <v>0</v>
      </c>
    </row>
    <row r="976" spans="2:48" ht="13.8" hidden="1" thickTop="1">
      <c r="B976" s="501" t="s">
        <v>4291</v>
      </c>
      <c r="C976" s="951" t="s">
        <v>4279</v>
      </c>
      <c r="D976" s="1280" t="s">
        <v>477</v>
      </c>
      <c r="E976" s="1281">
        <f>IF(B976&lt;&gt;"",+SUMIF(Items!C:C,'AUX-NIV1'!B976,Items!H:H),"")</f>
        <v>0</v>
      </c>
      <c r="F976" s="1281">
        <f t="shared" si="1047"/>
        <v>1995.3536835866144</v>
      </c>
      <c r="G976" s="1281">
        <f t="shared" si="1048"/>
        <v>0</v>
      </c>
      <c r="H976" s="1395" t="str">
        <f t="shared" ref="H976:H983" si="1087">IF(B976&lt;&gt;"",+LEFT(I976,1),"")</f>
        <v>A</v>
      </c>
      <c r="I976" s="1462" t="s">
        <v>1745</v>
      </c>
      <c r="J976" s="1283" t="str">
        <f>IF(B976&lt;&gt;"",+VLOOKUP(I976,Recursos!C:F,2,FALSE),"")</f>
        <v>AYUDANTE</v>
      </c>
      <c r="K976" s="1284" t="str">
        <f>IF(B976&lt;&gt;"",+VLOOKUP(I976,Recursos!C:F,3,FALSE),"")</f>
        <v>hh</v>
      </c>
      <c r="L976" s="1285">
        <f>IF(B976&lt;&gt;"",+VLOOKUP(I976,Recursos!C:F,4,FALSE),"")</f>
        <v>422.48042769667234</v>
      </c>
      <c r="M976" s="1618">
        <f>3*8/55</f>
        <v>0.43636363636363634</v>
      </c>
      <c r="N976" s="1619">
        <f>2*M976</f>
        <v>0.87272727272727268</v>
      </c>
      <c r="O976" s="1286">
        <f t="shared" ref="O976:O983" si="1088">N976</f>
        <v>0.87272727272727268</v>
      </c>
      <c r="P976" s="1287">
        <f t="shared" ref="P976:P983" si="1089">IF(B976&lt;&gt;"",O976*L976,"")</f>
        <v>368.71019144436855</v>
      </c>
      <c r="Q976" s="1281">
        <f t="shared" ref="Q976:Q983" si="1090">IF(B976&lt;&gt;"",+O976*E976,"")</f>
        <v>0</v>
      </c>
      <c r="R976" s="1288">
        <f t="shared" ref="R976:R983" si="1091">IF(B976&lt;&gt;"",Q976*L976,"")</f>
        <v>0</v>
      </c>
      <c r="S976" s="1289">
        <f t="shared" si="1049"/>
        <v>569.04514364171098</v>
      </c>
      <c r="T976" s="1289">
        <f t="shared" si="1050"/>
        <v>0</v>
      </c>
      <c r="U976" s="1290">
        <f t="shared" si="1051"/>
        <v>1426.3085399449035</v>
      </c>
      <c r="V976" s="1290">
        <f t="shared" si="1052"/>
        <v>0</v>
      </c>
      <c r="W976" s="1290">
        <f t="shared" si="1053"/>
        <v>0</v>
      </c>
      <c r="X976" s="1290">
        <f t="shared" si="1054"/>
        <v>0</v>
      </c>
      <c r="Y976" s="396"/>
      <c r="Z976" s="1291" t="str">
        <f t="shared" ref="Z976:Z983" si="1092">IF(B976&lt;&gt;"",+$B976&amp;"A","")</f>
        <v>0-CIEPERMA</v>
      </c>
      <c r="AA976" s="1291" t="str">
        <f t="shared" ref="AA976:AA983" si="1093">IF(B976&lt;&gt;"",+$B976&amp;"E","")</f>
        <v>0-CIEPERME</v>
      </c>
      <c r="AB976" s="1291" t="str">
        <f t="shared" ref="AB976:AB983" si="1094">IF(B976&lt;&gt;"",++$B976&amp;"M","")</f>
        <v>0-CIEPERMM</v>
      </c>
      <c r="AC976" s="1291" t="str">
        <f t="shared" ref="AC976:AC983" si="1095">IF(B976&lt;&gt;"",+$B976&amp;"T","")</f>
        <v>0-CIEPERMT</v>
      </c>
      <c r="AD976" s="1291" t="str">
        <f t="shared" ref="AD976:AD983" si="1096">IF(B976&lt;&gt;"",+$B976&amp;"S","")</f>
        <v>0-CIEPERMS</v>
      </c>
      <c r="AE976" s="1291" t="str">
        <f t="shared" ref="AE976:AE983" si="1097">IF(B976&lt;&gt;"",+$B976&amp;"X","")</f>
        <v>0-CIEPERMX</v>
      </c>
      <c r="AF976" s="1291" t="str">
        <f t="shared" ref="AF976:AF983" si="1098">IF(B976&lt;&gt;"",+B976&amp;H976,"")</f>
        <v>0-CIEPERMA</v>
      </c>
      <c r="AG976" s="1291">
        <f t="shared" si="1055"/>
        <v>9</v>
      </c>
      <c r="AH976" s="1291">
        <f>IF(B976&lt;&gt;"",+IF(H976="x",+VLOOKUP(I976,'AUX-NIV2'!B:AG,32,FALSE),0),"")</f>
        <v>0</v>
      </c>
      <c r="AI976" s="1291" t="str">
        <f t="shared" ref="AI976:AI983" si="1099">IF(B976&lt;&gt;"",+B976,"")</f>
        <v>0-CIEPERM</v>
      </c>
      <c r="AK976" s="347">
        <f t="shared" si="1056"/>
        <v>976</v>
      </c>
      <c r="AL976" s="348">
        <f t="shared" ref="AL976:AL983" si="1100">IF(B976&lt;&gt;"",+AK976+AG976-1,"")</f>
        <v>984</v>
      </c>
      <c r="AM976" s="347" t="e">
        <f>IF(B976&lt;&gt;"",IF(B976=#REF!,1+#REF!,1),"")</f>
        <v>#REF!</v>
      </c>
      <c r="AN976" s="382">
        <f>IF(AND(AH976&gt;0,B976&lt;&gt;""),VLOOKUP(I976,'AUX-NIV2'!$B:$AP,40,FALSE)*O976,0)</f>
        <v>0</v>
      </c>
      <c r="AO976" s="382">
        <f t="shared" si="1057"/>
        <v>1.3090909090909091</v>
      </c>
      <c r="AQ976" s="395">
        <f>(IF($H976="x",VLOOKUP($I976,'AUX-NIV2'!$B:$X,'AUX-NIV1'!AQ$3,FALSE),0)+($AV976*'AUX-NIV3'!S$4))*$O976+IF($H976=AQ$4,$P976,0)</f>
        <v>368.71019144436855</v>
      </c>
      <c r="AR976" s="395">
        <f>(IF($H976="x",VLOOKUP($I976,'AUX-NIV2'!$B:$X,'AUX-NIV1'!AR$3,FALSE),0)+($AV976*'AUX-NIV3'!T$4))*$O976+IF($H976=AR$4,$P976,0)</f>
        <v>0</v>
      </c>
      <c r="AS976" s="395">
        <f>(IF($H976="x",VLOOKUP($I976,'AUX-NIV2'!$B:$X,'AUX-NIV1'!AS$3,FALSE),0)+($AV976*'AUX-NIV3'!U$4))*$O976+IF($H976=AS$4,$P976,0)</f>
        <v>0</v>
      </c>
      <c r="AT976" s="395">
        <f>(IF($H976="x",VLOOKUP($I976,'AUX-NIV2'!$B:$X,'AUX-NIV1'!AT$3,FALSE),0)+($AV976*'AUX-NIV3'!V$4))*$O976+IF($H976=AT$4,$P976,0)</f>
        <v>0</v>
      </c>
      <c r="AU976" s="395">
        <f>(IF($H976="x",VLOOKUP($I976,'AUX-NIV2'!$B:$X,'AUX-NIV1'!AU$3,FALSE),0)+($AV976*'AUX-NIV3'!W$4))*$O976+IF($H976=AU$4,$P976,0)</f>
        <v>0</v>
      </c>
      <c r="AV976" s="395">
        <f>+IF($H976="x",VLOOKUP($I976,'AUX-NIV2'!$B:$X,'AUX-NIV1'!AV$3,FALSE),0)</f>
        <v>0</v>
      </c>
    </row>
    <row r="977" spans="2:48" ht="13.8" hidden="1" thickTop="1">
      <c r="B977" s="501" t="s">
        <v>4291</v>
      </c>
      <c r="C977" s="951" t="s">
        <v>4279</v>
      </c>
      <c r="D977" s="1280" t="s">
        <v>477</v>
      </c>
      <c r="E977" s="1281">
        <f>IF(B977&lt;&gt;"",+SUMIF(Items!C:C,'AUX-NIV1'!B977,Items!H:H),"")</f>
        <v>0</v>
      </c>
      <c r="F977" s="1281">
        <f t="shared" si="1047"/>
        <v>1995.3536835866144</v>
      </c>
      <c r="G977" s="1281">
        <f t="shared" si="1048"/>
        <v>0</v>
      </c>
      <c r="H977" s="1395" t="str">
        <f t="shared" si="1087"/>
        <v>A</v>
      </c>
      <c r="I977" s="1462" t="s">
        <v>3309</v>
      </c>
      <c r="J977" s="1283" t="str">
        <f>IF(B977&lt;&gt;"",+VLOOKUP(I977,Recursos!C:F,2,FALSE),"")</f>
        <v>MEDIO OFICIAL</v>
      </c>
      <c r="K977" s="1284" t="str">
        <f>IF(B977&lt;&gt;"",+VLOOKUP(I977,Recursos!C:F,3,FALSE),"")</f>
        <v>hh</v>
      </c>
      <c r="L977" s="1285">
        <f>IF(B977&lt;&gt;"",+VLOOKUP(I977,Recursos!C:F,4,FALSE),"")</f>
        <v>459.10093211890984</v>
      </c>
      <c r="M977" s="1620"/>
      <c r="N977" s="1621">
        <f>1*M976</f>
        <v>0.43636363636363634</v>
      </c>
      <c r="O977" s="1286">
        <f t="shared" si="1088"/>
        <v>0.43636363636363634</v>
      </c>
      <c r="P977" s="1287">
        <f t="shared" si="1089"/>
        <v>200.33495219734246</v>
      </c>
      <c r="Q977" s="1281">
        <f t="shared" si="1090"/>
        <v>0</v>
      </c>
      <c r="R977" s="1288">
        <f t="shared" si="1091"/>
        <v>0</v>
      </c>
      <c r="S977" s="1289">
        <f t="shared" si="1049"/>
        <v>569.04514364171098</v>
      </c>
      <c r="T977" s="1289">
        <f t="shared" si="1050"/>
        <v>0</v>
      </c>
      <c r="U977" s="1290">
        <f t="shared" si="1051"/>
        <v>1426.3085399449035</v>
      </c>
      <c r="V977" s="1290">
        <f t="shared" si="1052"/>
        <v>0</v>
      </c>
      <c r="W977" s="1290">
        <f t="shared" si="1053"/>
        <v>0</v>
      </c>
      <c r="X977" s="1290">
        <f t="shared" si="1054"/>
        <v>0</v>
      </c>
      <c r="Y977" s="396"/>
      <c r="Z977" s="1291" t="str">
        <f t="shared" si="1092"/>
        <v>0-CIEPERMA</v>
      </c>
      <c r="AA977" s="1291" t="str">
        <f t="shared" si="1093"/>
        <v>0-CIEPERME</v>
      </c>
      <c r="AB977" s="1291" t="str">
        <f t="shared" si="1094"/>
        <v>0-CIEPERMM</v>
      </c>
      <c r="AC977" s="1291" t="str">
        <f t="shared" si="1095"/>
        <v>0-CIEPERMT</v>
      </c>
      <c r="AD977" s="1291" t="str">
        <f t="shared" si="1096"/>
        <v>0-CIEPERMS</v>
      </c>
      <c r="AE977" s="1291" t="str">
        <f t="shared" si="1097"/>
        <v>0-CIEPERMX</v>
      </c>
      <c r="AF977" s="1291" t="str">
        <f t="shared" si="1098"/>
        <v>0-CIEPERMA</v>
      </c>
      <c r="AG977" s="1291">
        <f t="shared" si="1055"/>
        <v>9</v>
      </c>
      <c r="AH977" s="1291">
        <f>IF(B977&lt;&gt;"",+IF(H977="x",+VLOOKUP(I977,'AUX-NIV2'!B:AG,32,FALSE),0),"")</f>
        <v>0</v>
      </c>
      <c r="AI977" s="1291" t="str">
        <f t="shared" si="1099"/>
        <v>0-CIEPERM</v>
      </c>
      <c r="AK977" s="347">
        <f t="shared" si="1056"/>
        <v>976</v>
      </c>
      <c r="AL977" s="348">
        <f t="shared" si="1100"/>
        <v>984</v>
      </c>
      <c r="AM977" s="347" t="e">
        <f t="shared" ref="AM977:AM983" si="1101">IF(B977&lt;&gt;"",IF(B977=B976,1+AM976,1),"")</f>
        <v>#REF!</v>
      </c>
      <c r="AN977" s="382">
        <f>IF(AND(AH977&gt;0,B977&lt;&gt;""),VLOOKUP(I977,'AUX-NIV2'!$B:$AP,40,FALSE)*O977,0)</f>
        <v>0</v>
      </c>
      <c r="AO977" s="382">
        <f t="shared" si="1057"/>
        <v>1.3090909090909091</v>
      </c>
      <c r="AQ977" s="395">
        <f>(IF($H977="x",VLOOKUP($I977,'AUX-NIV2'!$B:$X,'AUX-NIV1'!AQ$3,FALSE),0)+($AV977*'AUX-NIV3'!S$4))*$O977+IF($H977=AQ$4,$P977,0)</f>
        <v>200.33495219734246</v>
      </c>
      <c r="AR977" s="395">
        <f>(IF($H977="x",VLOOKUP($I977,'AUX-NIV2'!$B:$X,'AUX-NIV1'!AR$3,FALSE),0)+($AV977*'AUX-NIV3'!T$4))*$O977+IF($H977=AR$4,$P977,0)</f>
        <v>0</v>
      </c>
      <c r="AS977" s="395">
        <f>(IF($H977="x",VLOOKUP($I977,'AUX-NIV2'!$B:$X,'AUX-NIV1'!AS$3,FALSE),0)+($AV977*'AUX-NIV3'!U$4))*$O977+IF($H977=AS$4,$P977,0)</f>
        <v>0</v>
      </c>
      <c r="AT977" s="395">
        <f>(IF($H977="x",VLOOKUP($I977,'AUX-NIV2'!$B:$X,'AUX-NIV1'!AT$3,FALSE),0)+($AV977*'AUX-NIV3'!V$4))*$O977+IF($H977=AT$4,$P977,0)</f>
        <v>0</v>
      </c>
      <c r="AU977" s="395">
        <f>(IF($H977="x",VLOOKUP($I977,'AUX-NIV2'!$B:$X,'AUX-NIV1'!AU$3,FALSE),0)+($AV977*'AUX-NIV3'!W$4))*$O977+IF($H977=AU$4,$P977,0)</f>
        <v>0</v>
      </c>
      <c r="AV977" s="395">
        <f>+IF($H977="x",VLOOKUP($I977,'AUX-NIV2'!$B:$X,'AUX-NIV1'!AV$3,FALSE),0)</f>
        <v>0</v>
      </c>
    </row>
    <row r="978" spans="2:48" ht="13.8" hidden="1" thickTop="1">
      <c r="B978" s="501" t="s">
        <v>4291</v>
      </c>
      <c r="C978" s="951" t="s">
        <v>4279</v>
      </c>
      <c r="D978" s="1280" t="s">
        <v>477</v>
      </c>
      <c r="E978" s="1281">
        <f>IF(B978&lt;&gt;"",+SUMIF(Items!C:C,'AUX-NIV1'!B978,Items!H:H),"")</f>
        <v>0</v>
      </c>
      <c r="F978" s="1281">
        <f t="shared" si="1047"/>
        <v>1995.3536835866144</v>
      </c>
      <c r="G978" s="1281">
        <f t="shared" si="1048"/>
        <v>0</v>
      </c>
      <c r="H978" s="1395" t="str">
        <f t="shared" si="1087"/>
        <v>M</v>
      </c>
      <c r="I978" s="1462" t="s">
        <v>4292</v>
      </c>
      <c r="J978" s="1283" t="str">
        <f>IF(B978&lt;&gt;"",+VLOOKUP(I978,Recursos!C:F,2,FALSE),"")</f>
        <v>FENOLICO 9 MM</v>
      </c>
      <c r="K978" s="1284" t="str">
        <f>IF(B978&lt;&gt;"",+VLOOKUP(I978,Recursos!C:F,3,FALSE),"")</f>
        <v>m2</v>
      </c>
      <c r="L978" s="1285">
        <f>IF(B978&lt;&gt;"",+VLOOKUP(I978,Recursos!C:F,4,FALSE),"")</f>
        <v>479.3388429752066</v>
      </c>
      <c r="M978" s="1620"/>
      <c r="N978" s="1621">
        <f>2.4</f>
        <v>2.4</v>
      </c>
      <c r="O978" s="1286">
        <f t="shared" si="1088"/>
        <v>2.4</v>
      </c>
      <c r="P978" s="1287">
        <f t="shared" si="1089"/>
        <v>1150.4132231404958</v>
      </c>
      <c r="Q978" s="1281">
        <f t="shared" si="1090"/>
        <v>0</v>
      </c>
      <c r="R978" s="1288">
        <f t="shared" si="1091"/>
        <v>0</v>
      </c>
      <c r="S978" s="1289">
        <f t="shared" si="1049"/>
        <v>569.04514364171098</v>
      </c>
      <c r="T978" s="1289">
        <f t="shared" si="1050"/>
        <v>0</v>
      </c>
      <c r="U978" s="1290">
        <f t="shared" si="1051"/>
        <v>1426.3085399449035</v>
      </c>
      <c r="V978" s="1290">
        <f t="shared" si="1052"/>
        <v>0</v>
      </c>
      <c r="W978" s="1290">
        <f t="shared" si="1053"/>
        <v>0</v>
      </c>
      <c r="X978" s="1290">
        <f t="shared" si="1054"/>
        <v>0</v>
      </c>
      <c r="Y978" s="396"/>
      <c r="Z978" s="1291" t="str">
        <f t="shared" si="1092"/>
        <v>0-CIEPERMA</v>
      </c>
      <c r="AA978" s="1291" t="str">
        <f t="shared" si="1093"/>
        <v>0-CIEPERME</v>
      </c>
      <c r="AB978" s="1291" t="str">
        <f t="shared" si="1094"/>
        <v>0-CIEPERMM</v>
      </c>
      <c r="AC978" s="1291" t="str">
        <f t="shared" si="1095"/>
        <v>0-CIEPERMT</v>
      </c>
      <c r="AD978" s="1291" t="str">
        <f t="shared" si="1096"/>
        <v>0-CIEPERMS</v>
      </c>
      <c r="AE978" s="1291" t="str">
        <f t="shared" si="1097"/>
        <v>0-CIEPERMX</v>
      </c>
      <c r="AF978" s="1291" t="str">
        <f t="shared" si="1098"/>
        <v>0-CIEPERMM</v>
      </c>
      <c r="AG978" s="1291">
        <f t="shared" si="1055"/>
        <v>9</v>
      </c>
      <c r="AH978" s="1291">
        <f>IF(B978&lt;&gt;"",+IF(H978="x",+VLOOKUP(I978,'AUX-NIV2'!B:AG,32,FALSE),0),"")</f>
        <v>0</v>
      </c>
      <c r="AI978" s="1291" t="str">
        <f t="shared" si="1099"/>
        <v>0-CIEPERM</v>
      </c>
      <c r="AK978" s="347">
        <f t="shared" si="1056"/>
        <v>976</v>
      </c>
      <c r="AL978" s="348">
        <f t="shared" si="1100"/>
        <v>984</v>
      </c>
      <c r="AM978" s="347" t="e">
        <f>IF(B978&lt;&gt;"",IF(B978=#REF!,1+#REF!,1),"")</f>
        <v>#REF!</v>
      </c>
      <c r="AN978" s="382">
        <f>IF(AND(AH978&gt;0,B978&lt;&gt;""),VLOOKUP(I978,'AUX-NIV2'!$B:$AP,40,FALSE)*O978,0)</f>
        <v>0</v>
      </c>
      <c r="AO978" s="382">
        <f t="shared" si="1057"/>
        <v>1.3090909090909091</v>
      </c>
      <c r="AQ978" s="395">
        <f>(IF($H978="x",VLOOKUP($I978,'AUX-NIV2'!$B:$X,'AUX-NIV1'!AQ$3,FALSE),0)+($AV978*'AUX-NIV3'!S$4))*$O978+IF($H978=AQ$4,$P978,0)</f>
        <v>0</v>
      </c>
      <c r="AR978" s="395">
        <f>(IF($H978="x",VLOOKUP($I978,'AUX-NIV2'!$B:$X,'AUX-NIV1'!AR$3,FALSE),0)+($AV978*'AUX-NIV3'!T$4))*$O978+IF($H978=AR$4,$P978,0)</f>
        <v>0</v>
      </c>
      <c r="AS978" s="395">
        <f>(IF($H978="x",VLOOKUP($I978,'AUX-NIV2'!$B:$X,'AUX-NIV1'!AS$3,FALSE),0)+($AV978*'AUX-NIV3'!U$4))*$O978+IF($H978=AS$4,$P978,0)</f>
        <v>1150.4132231404958</v>
      </c>
      <c r="AT978" s="395">
        <f>(IF($H978="x",VLOOKUP($I978,'AUX-NIV2'!$B:$X,'AUX-NIV1'!AT$3,FALSE),0)+($AV978*'AUX-NIV3'!V$4))*$O978+IF($H978=AT$4,$P978,0)</f>
        <v>0</v>
      </c>
      <c r="AU978" s="395">
        <f>(IF($H978="x",VLOOKUP($I978,'AUX-NIV2'!$B:$X,'AUX-NIV1'!AU$3,FALSE),0)+($AV978*'AUX-NIV3'!W$4))*$O978+IF($H978=AU$4,$P978,0)</f>
        <v>0</v>
      </c>
      <c r="AV978" s="395">
        <f>+IF($H978="x",VLOOKUP($I978,'AUX-NIV2'!$B:$X,'AUX-NIV1'!AV$3,FALSE),0)</f>
        <v>0</v>
      </c>
    </row>
    <row r="979" spans="2:48" ht="13.8" hidden="1" thickTop="1">
      <c r="B979" s="501" t="s">
        <v>4291</v>
      </c>
      <c r="C979" s="951" t="s">
        <v>4279</v>
      </c>
      <c r="D979" s="1280" t="s">
        <v>477</v>
      </c>
      <c r="E979" s="1281">
        <f>IF(B979&lt;&gt;"",+SUMIF(Items!C:C,'AUX-NIV1'!B979,Items!H:H),"")</f>
        <v>0</v>
      </c>
      <c r="F979" s="1281">
        <f t="shared" si="1047"/>
        <v>1995.3536835866144</v>
      </c>
      <c r="G979" s="1281">
        <f t="shared" si="1048"/>
        <v>0</v>
      </c>
      <c r="H979" s="1395" t="str">
        <f t="shared" si="1087"/>
        <v>M</v>
      </c>
      <c r="I979" s="1462" t="s">
        <v>4295</v>
      </c>
      <c r="J979" s="1283" t="str">
        <f>IF(B979&lt;&gt;"",+VLOOKUP(I979,Recursos!C:F,2,FALSE),"")</f>
        <v>POSTE TUBULAR ACERO GALV  P/CIERRE PERIM h=2.5</v>
      </c>
      <c r="K979" s="1284" t="str">
        <f>IF(B979&lt;&gt;"",+VLOOKUP(I979,Recursos!C:F,3,FALSE),"")</f>
        <v>Un</v>
      </c>
      <c r="L979" s="1285">
        <f>IF(B979&lt;&gt;"",+VLOOKUP(I979,Recursos!C:F,4,FALSE),"")</f>
        <v>1000</v>
      </c>
      <c r="M979" s="1620"/>
      <c r="N979" s="1621">
        <f>1/2.4*0</f>
        <v>0</v>
      </c>
      <c r="O979" s="1286">
        <f t="shared" si="1088"/>
        <v>0</v>
      </c>
      <c r="P979" s="1287">
        <f t="shared" si="1089"/>
        <v>0</v>
      </c>
      <c r="Q979" s="1281">
        <f t="shared" si="1090"/>
        <v>0</v>
      </c>
      <c r="R979" s="1288">
        <f t="shared" si="1091"/>
        <v>0</v>
      </c>
      <c r="S979" s="1289">
        <f t="shared" si="1049"/>
        <v>569.04514364171098</v>
      </c>
      <c r="T979" s="1289">
        <f t="shared" si="1050"/>
        <v>0</v>
      </c>
      <c r="U979" s="1290">
        <f t="shared" si="1051"/>
        <v>1426.3085399449035</v>
      </c>
      <c r="V979" s="1290">
        <f t="shared" si="1052"/>
        <v>0</v>
      </c>
      <c r="W979" s="1290">
        <f t="shared" si="1053"/>
        <v>0</v>
      </c>
      <c r="X979" s="1290">
        <f t="shared" si="1054"/>
        <v>0</v>
      </c>
      <c r="Y979" s="396"/>
      <c r="Z979" s="1291" t="str">
        <f t="shared" si="1092"/>
        <v>0-CIEPERMA</v>
      </c>
      <c r="AA979" s="1291" t="str">
        <f t="shared" si="1093"/>
        <v>0-CIEPERME</v>
      </c>
      <c r="AB979" s="1291" t="str">
        <f t="shared" si="1094"/>
        <v>0-CIEPERMM</v>
      </c>
      <c r="AC979" s="1291" t="str">
        <f t="shared" si="1095"/>
        <v>0-CIEPERMT</v>
      </c>
      <c r="AD979" s="1291" t="str">
        <f t="shared" si="1096"/>
        <v>0-CIEPERMS</v>
      </c>
      <c r="AE979" s="1291" t="str">
        <f t="shared" si="1097"/>
        <v>0-CIEPERMX</v>
      </c>
      <c r="AF979" s="1291" t="str">
        <f t="shared" si="1098"/>
        <v>0-CIEPERMM</v>
      </c>
      <c r="AG979" s="1291">
        <f t="shared" si="1055"/>
        <v>9</v>
      </c>
      <c r="AH979" s="1291">
        <f>IF(B979&lt;&gt;"",+IF(H979="x",+VLOOKUP(I979,'AUX-NIV2'!B:AG,32,FALSE),0),"")</f>
        <v>0</v>
      </c>
      <c r="AI979" s="1291" t="str">
        <f t="shared" si="1099"/>
        <v>0-CIEPERM</v>
      </c>
      <c r="AK979" s="347">
        <f t="shared" si="1056"/>
        <v>976</v>
      </c>
      <c r="AL979" s="348">
        <f t="shared" si="1100"/>
        <v>984</v>
      </c>
      <c r="AM979" s="347" t="e">
        <f t="shared" si="1101"/>
        <v>#REF!</v>
      </c>
      <c r="AN979" s="382">
        <f>IF(AND(AH979&gt;0,B979&lt;&gt;""),VLOOKUP(I979,'AUX-NIV2'!$B:$AP,40,FALSE)*O979,0)</f>
        <v>0</v>
      </c>
      <c r="AO979" s="382">
        <f t="shared" si="1057"/>
        <v>1.3090909090909091</v>
      </c>
      <c r="AQ979" s="395">
        <f>(IF($H979="x",VLOOKUP($I979,'AUX-NIV2'!$B:$X,'AUX-NIV1'!AQ$3,FALSE),0)+($AV979*'AUX-NIV3'!S$4))*$O979+IF($H979=AQ$4,$P979,0)</f>
        <v>0</v>
      </c>
      <c r="AR979" s="395">
        <f>(IF($H979="x",VLOOKUP($I979,'AUX-NIV2'!$B:$X,'AUX-NIV1'!AR$3,FALSE),0)+($AV979*'AUX-NIV3'!T$4))*$O979+IF($H979=AR$4,$P979,0)</f>
        <v>0</v>
      </c>
      <c r="AS979" s="395">
        <f>(IF($H979="x",VLOOKUP($I979,'AUX-NIV2'!$B:$X,'AUX-NIV1'!AS$3,FALSE),0)+($AV979*'AUX-NIV3'!U$4))*$O979+IF($H979=AS$4,$P979,0)</f>
        <v>0</v>
      </c>
      <c r="AT979" s="395">
        <f>(IF($H979="x",VLOOKUP($I979,'AUX-NIV2'!$B:$X,'AUX-NIV1'!AT$3,FALSE),0)+($AV979*'AUX-NIV3'!V$4))*$O979+IF($H979=AT$4,$P979,0)</f>
        <v>0</v>
      </c>
      <c r="AU979" s="395">
        <f>(IF($H979="x",VLOOKUP($I979,'AUX-NIV2'!$B:$X,'AUX-NIV1'!AU$3,FALSE),0)+($AV979*'AUX-NIV3'!W$4))*$O979+IF($H979=AU$4,$P979,0)</f>
        <v>0</v>
      </c>
      <c r="AV979" s="395">
        <f>+IF($H979="x",VLOOKUP($I979,'AUX-NIV2'!$B:$X,'AUX-NIV1'!AV$3,FALSE),0)</f>
        <v>0</v>
      </c>
    </row>
    <row r="980" spans="2:48" ht="13.8" hidden="1" thickTop="1">
      <c r="B980" s="501" t="s">
        <v>4291</v>
      </c>
      <c r="C980" s="951" t="s">
        <v>4279</v>
      </c>
      <c r="D980" s="1280" t="s">
        <v>477</v>
      </c>
      <c r="E980" s="1281">
        <f>IF(B980&lt;&gt;"",+SUMIF(Items!C:C,'AUX-NIV1'!B980,Items!H:H),"")</f>
        <v>0</v>
      </c>
      <c r="F980" s="1281">
        <f t="shared" si="1047"/>
        <v>1995.3536835866144</v>
      </c>
      <c r="G980" s="1281">
        <f t="shared" si="1048"/>
        <v>0</v>
      </c>
      <c r="H980" s="1395" t="str">
        <f t="shared" ref="H980" si="1102">IF(B980&lt;&gt;"",+LEFT(I980,1),"")</f>
        <v>M</v>
      </c>
      <c r="I980" s="1462" t="s">
        <v>608</v>
      </c>
      <c r="J980" s="1283" t="str">
        <f>IF(B980&lt;&gt;"",+VLOOKUP(I980,Recursos!C:F,2,FALSE),"")</f>
        <v>PUNTAL PARA ENCOFRADO</v>
      </c>
      <c r="K980" s="1284" t="str">
        <f>IF(B980&lt;&gt;"",+VLOOKUP(I980,Recursos!C:F,3,FALSE),"")</f>
        <v>M</v>
      </c>
      <c r="L980" s="1285">
        <f>IF(B980&lt;&gt;"",+VLOOKUP(I980,Recursos!C:F,4,FALSE),"")</f>
        <v>200</v>
      </c>
      <c r="M980" s="1620"/>
      <c r="N980" s="1621">
        <f>1/2.4</f>
        <v>0.41666666666666669</v>
      </c>
      <c r="O980" s="1286">
        <f t="shared" ref="O980" si="1103">N980</f>
        <v>0.41666666666666669</v>
      </c>
      <c r="P980" s="1287">
        <f t="shared" ref="P980" si="1104">IF(B980&lt;&gt;"",O980*L980,"")</f>
        <v>83.333333333333343</v>
      </c>
      <c r="Q980" s="1281">
        <f t="shared" ref="Q980" si="1105">IF(B980&lt;&gt;"",+O980*E980,"")</f>
        <v>0</v>
      </c>
      <c r="R980" s="1288">
        <f t="shared" ref="R980" si="1106">IF(B980&lt;&gt;"",Q980*L980,"")</f>
        <v>0</v>
      </c>
      <c r="S980" s="1289">
        <f t="shared" si="1049"/>
        <v>569.04514364171098</v>
      </c>
      <c r="T980" s="1289">
        <f t="shared" si="1050"/>
        <v>0</v>
      </c>
      <c r="U980" s="1290">
        <f t="shared" si="1051"/>
        <v>1426.3085399449035</v>
      </c>
      <c r="V980" s="1290">
        <f t="shared" si="1052"/>
        <v>0</v>
      </c>
      <c r="W980" s="1290">
        <f t="shared" si="1053"/>
        <v>0</v>
      </c>
      <c r="X980" s="1290">
        <f t="shared" si="1054"/>
        <v>0</v>
      </c>
      <c r="Y980" s="396"/>
      <c r="Z980" s="1291" t="str">
        <f t="shared" ref="Z980" si="1107">IF(B980&lt;&gt;"",+$B980&amp;"A","")</f>
        <v>0-CIEPERMA</v>
      </c>
      <c r="AA980" s="1291" t="str">
        <f t="shared" ref="AA980" si="1108">IF(B980&lt;&gt;"",+$B980&amp;"E","")</f>
        <v>0-CIEPERME</v>
      </c>
      <c r="AB980" s="1291" t="str">
        <f t="shared" ref="AB980" si="1109">IF(B980&lt;&gt;"",++$B980&amp;"M","")</f>
        <v>0-CIEPERMM</v>
      </c>
      <c r="AC980" s="1291" t="str">
        <f t="shared" ref="AC980" si="1110">IF(B980&lt;&gt;"",+$B980&amp;"T","")</f>
        <v>0-CIEPERMT</v>
      </c>
      <c r="AD980" s="1291" t="str">
        <f t="shared" ref="AD980" si="1111">IF(B980&lt;&gt;"",+$B980&amp;"S","")</f>
        <v>0-CIEPERMS</v>
      </c>
      <c r="AE980" s="1291" t="str">
        <f t="shared" ref="AE980" si="1112">IF(B980&lt;&gt;"",+$B980&amp;"X","")</f>
        <v>0-CIEPERMX</v>
      </c>
      <c r="AF980" s="1291" t="str">
        <f t="shared" ref="AF980" si="1113">IF(B980&lt;&gt;"",+B980&amp;H980,"")</f>
        <v>0-CIEPERMM</v>
      </c>
      <c r="AG980" s="1291">
        <f t="shared" si="1055"/>
        <v>9</v>
      </c>
      <c r="AH980" s="1291">
        <f>IF(B980&lt;&gt;"",+IF(H980="x",+VLOOKUP(I980,'AUX-NIV2'!B:AG,32,FALSE),0),"")</f>
        <v>0</v>
      </c>
      <c r="AI980" s="1291" t="str">
        <f t="shared" ref="AI980" si="1114">IF(B980&lt;&gt;"",+B980,"")</f>
        <v>0-CIEPERM</v>
      </c>
      <c r="AK980" s="347">
        <f t="shared" si="1056"/>
        <v>976</v>
      </c>
      <c r="AL980" s="348">
        <f t="shared" ref="AL980" si="1115">IF(B980&lt;&gt;"",+AK980+AG980-1,"")</f>
        <v>984</v>
      </c>
      <c r="AM980" s="347" t="e">
        <f t="shared" ref="AM980" si="1116">IF(B980&lt;&gt;"",IF(B980=B979,1+AM979,1),"")</f>
        <v>#REF!</v>
      </c>
      <c r="AN980" s="382">
        <f>IF(AND(AH980&gt;0,B980&lt;&gt;""),VLOOKUP(I980,'AUX-NIV2'!$B:$AP,40,FALSE)*O980,0)</f>
        <v>0</v>
      </c>
      <c r="AO980" s="382">
        <f t="shared" si="1057"/>
        <v>1.3090909090909091</v>
      </c>
      <c r="AQ980" s="395">
        <f>(IF($H980="x",VLOOKUP($I980,'AUX-NIV2'!$B:$X,'AUX-NIV1'!AQ$3,FALSE),0)+($AV980*'AUX-NIV3'!S$4))*$O980+IF($H980=AQ$4,$P980,0)</f>
        <v>0</v>
      </c>
      <c r="AR980" s="395">
        <f>(IF($H980="x",VLOOKUP($I980,'AUX-NIV2'!$B:$X,'AUX-NIV1'!AR$3,FALSE),0)+($AV980*'AUX-NIV3'!T$4))*$O980+IF($H980=AR$4,$P980,0)</f>
        <v>0</v>
      </c>
      <c r="AS980" s="395">
        <f>(IF($H980="x",VLOOKUP($I980,'AUX-NIV2'!$B:$X,'AUX-NIV1'!AS$3,FALSE),0)+($AV980*'AUX-NIV3'!U$4))*$O980+IF($H980=AS$4,$P980,0)</f>
        <v>83.333333333333343</v>
      </c>
      <c r="AT980" s="395">
        <f>(IF($H980="x",VLOOKUP($I980,'AUX-NIV2'!$B:$X,'AUX-NIV1'!AT$3,FALSE),0)+($AV980*'AUX-NIV3'!V$4))*$O980+IF($H980=AT$4,$P980,0)</f>
        <v>0</v>
      </c>
      <c r="AU980" s="395">
        <f>(IF($H980="x",VLOOKUP($I980,'AUX-NIV2'!$B:$X,'AUX-NIV1'!AU$3,FALSE),0)+($AV980*'AUX-NIV3'!W$4))*$O980+IF($H980=AU$4,$P980,0)</f>
        <v>0</v>
      </c>
      <c r="AV980" s="395">
        <f>+IF($H980="x",VLOOKUP($I980,'AUX-NIV2'!$B:$X,'AUX-NIV1'!AV$3,FALSE),0)</f>
        <v>0</v>
      </c>
    </row>
    <row r="981" spans="2:48" ht="13.8" hidden="1" thickTop="1">
      <c r="B981" s="501" t="s">
        <v>4291</v>
      </c>
      <c r="C981" s="951" t="s">
        <v>4279</v>
      </c>
      <c r="D981" s="1280" t="s">
        <v>477</v>
      </c>
      <c r="E981" s="1281">
        <f>IF(B981&lt;&gt;"",+SUMIF(Items!C:C,'AUX-NIV1'!B981,Items!H:H),"")</f>
        <v>0</v>
      </c>
      <c r="F981" s="1281">
        <f t="shared" si="1047"/>
        <v>1995.3536835866144</v>
      </c>
      <c r="G981" s="1281">
        <f t="shared" si="1048"/>
        <v>0</v>
      </c>
      <c r="H981" s="1395" t="str">
        <f t="shared" si="1087"/>
        <v>M</v>
      </c>
      <c r="I981" s="1462" t="s">
        <v>4296</v>
      </c>
      <c r="J981" s="1283" t="str">
        <f>IF(B981&lt;&gt;"",+VLOOKUP(I981,Recursos!C:F,2,FALSE),"")</f>
        <v xml:space="preserve">ALAMBRADO OLIMPICO h=2.4M </v>
      </c>
      <c r="K981" s="1284" t="str">
        <f>IF(B981&lt;&gt;"",+VLOOKUP(I981,Recursos!C:F,3,FALSE),"")</f>
        <v>m2</v>
      </c>
      <c r="L981" s="1285">
        <f>IF(B981&lt;&gt;"",+VLOOKUP(I981,Recursos!C:F,4,FALSE),"")</f>
        <v>350</v>
      </c>
      <c r="M981" s="1620"/>
      <c r="N981" s="1621">
        <v>0</v>
      </c>
      <c r="O981" s="1286">
        <f t="shared" si="1088"/>
        <v>0</v>
      </c>
      <c r="P981" s="1287">
        <f t="shared" si="1089"/>
        <v>0</v>
      </c>
      <c r="Q981" s="1281">
        <f t="shared" si="1090"/>
        <v>0</v>
      </c>
      <c r="R981" s="1288">
        <f t="shared" si="1091"/>
        <v>0</v>
      </c>
      <c r="S981" s="1289">
        <f t="shared" si="1049"/>
        <v>569.04514364171098</v>
      </c>
      <c r="T981" s="1289">
        <f t="shared" si="1050"/>
        <v>0</v>
      </c>
      <c r="U981" s="1290">
        <f t="shared" si="1051"/>
        <v>1426.3085399449035</v>
      </c>
      <c r="V981" s="1290">
        <f t="shared" si="1052"/>
        <v>0</v>
      </c>
      <c r="W981" s="1290">
        <f t="shared" si="1053"/>
        <v>0</v>
      </c>
      <c r="X981" s="1290">
        <f t="shared" si="1054"/>
        <v>0</v>
      </c>
      <c r="Y981" s="396"/>
      <c r="Z981" s="1291" t="str">
        <f t="shared" si="1092"/>
        <v>0-CIEPERMA</v>
      </c>
      <c r="AA981" s="1291" t="str">
        <f t="shared" si="1093"/>
        <v>0-CIEPERME</v>
      </c>
      <c r="AB981" s="1291" t="str">
        <f t="shared" si="1094"/>
        <v>0-CIEPERMM</v>
      </c>
      <c r="AC981" s="1291" t="str">
        <f t="shared" si="1095"/>
        <v>0-CIEPERMT</v>
      </c>
      <c r="AD981" s="1291" t="str">
        <f t="shared" si="1096"/>
        <v>0-CIEPERMS</v>
      </c>
      <c r="AE981" s="1291" t="str">
        <f t="shared" si="1097"/>
        <v>0-CIEPERMX</v>
      </c>
      <c r="AF981" s="1291" t="str">
        <f t="shared" si="1098"/>
        <v>0-CIEPERMM</v>
      </c>
      <c r="AG981" s="1291">
        <f t="shared" si="1055"/>
        <v>9</v>
      </c>
      <c r="AH981" s="1291">
        <f>IF(B981&lt;&gt;"",+IF(H981="x",+VLOOKUP(I981,'AUX-NIV2'!B:AG,32,FALSE),0),"")</f>
        <v>0</v>
      </c>
      <c r="AI981" s="1291" t="str">
        <f t="shared" si="1099"/>
        <v>0-CIEPERM</v>
      </c>
      <c r="AK981" s="347">
        <f t="shared" si="1056"/>
        <v>976</v>
      </c>
      <c r="AL981" s="348">
        <f t="shared" si="1100"/>
        <v>984</v>
      </c>
      <c r="AM981" s="347" t="e">
        <f>IF(B981&lt;&gt;"",IF(B981=B979,1+AM979,1),"")</f>
        <v>#REF!</v>
      </c>
      <c r="AN981" s="382">
        <f>IF(AND(AH981&gt;0,B981&lt;&gt;""),VLOOKUP(I981,'AUX-NIV2'!$B:$AP,40,FALSE)*O981,0)</f>
        <v>0</v>
      </c>
      <c r="AO981" s="382">
        <f t="shared" si="1057"/>
        <v>1.3090909090909091</v>
      </c>
      <c r="AQ981" s="395">
        <f>(IF($H981="x",VLOOKUP($I981,'AUX-NIV2'!$B:$X,'AUX-NIV1'!AQ$3,FALSE),0)+($AV981*'AUX-NIV3'!S$4))*$O981+IF($H981=AQ$4,$P981,0)</f>
        <v>0</v>
      </c>
      <c r="AR981" s="395">
        <f>(IF($H981="x",VLOOKUP($I981,'AUX-NIV2'!$B:$X,'AUX-NIV1'!AR$3,FALSE),0)+($AV981*'AUX-NIV3'!T$4))*$O981+IF($H981=AR$4,$P981,0)</f>
        <v>0</v>
      </c>
      <c r="AS981" s="395">
        <f>(IF($H981="x",VLOOKUP($I981,'AUX-NIV2'!$B:$X,'AUX-NIV1'!AS$3,FALSE),0)+($AV981*'AUX-NIV3'!U$4))*$O981+IF($H981=AS$4,$P981,0)</f>
        <v>0</v>
      </c>
      <c r="AT981" s="395">
        <f>(IF($H981="x",VLOOKUP($I981,'AUX-NIV2'!$B:$X,'AUX-NIV1'!AT$3,FALSE),0)+($AV981*'AUX-NIV3'!V$4))*$O981+IF($H981=AT$4,$P981,0)</f>
        <v>0</v>
      </c>
      <c r="AU981" s="395">
        <f>(IF($H981="x",VLOOKUP($I981,'AUX-NIV2'!$B:$X,'AUX-NIV1'!AU$3,FALSE),0)+($AV981*'AUX-NIV3'!W$4))*$O981+IF($H981=AU$4,$P981,0)</f>
        <v>0</v>
      </c>
      <c r="AV981" s="395">
        <f>+IF($H981="x",VLOOKUP($I981,'AUX-NIV2'!$B:$X,'AUX-NIV1'!AV$3,FALSE),0)</f>
        <v>0</v>
      </c>
    </row>
    <row r="982" spans="2:48" ht="13.8" hidden="1" thickTop="1">
      <c r="B982" s="501" t="s">
        <v>4291</v>
      </c>
      <c r="C982" s="951" t="s">
        <v>4279</v>
      </c>
      <c r="D982" s="1280" t="s">
        <v>477</v>
      </c>
      <c r="E982" s="1281">
        <f>IF(B982&lt;&gt;"",+SUMIF(Items!C:C,'AUX-NIV1'!B982,Items!H:H),"")</f>
        <v>0</v>
      </c>
      <c r="F982" s="1281">
        <f t="shared" si="1047"/>
        <v>1995.3536835866144</v>
      </c>
      <c r="G982" s="1281">
        <f t="shared" si="1048"/>
        <v>0</v>
      </c>
      <c r="H982" s="1395" t="str">
        <f t="shared" si="1087"/>
        <v>M</v>
      </c>
      <c r="I982" s="1462" t="s">
        <v>3487</v>
      </c>
      <c r="J982" s="1283" t="str">
        <f>IF(B982&lt;&gt;"",+VLOOKUP(I982,Recursos!C:F,2,FALSE),"")</f>
        <v>PINTURA LATEX EXTERIOR</v>
      </c>
      <c r="K982" s="1284" t="str">
        <f>IF(B982&lt;&gt;"",+VLOOKUP(I982,Recursos!C:F,3,FALSE),"")</f>
        <v>LTS</v>
      </c>
      <c r="L982" s="1285">
        <f>IF(B982&lt;&gt;"",+VLOOKUP(I982,Recursos!C:F,4,FALSE),"")</f>
        <v>330.57851239669424</v>
      </c>
      <c r="M982" s="1620"/>
      <c r="N982" s="1621">
        <v>0.5</v>
      </c>
      <c r="O982" s="1286">
        <f t="shared" si="1088"/>
        <v>0.5</v>
      </c>
      <c r="P982" s="1287">
        <f t="shared" si="1089"/>
        <v>165.28925619834712</v>
      </c>
      <c r="Q982" s="1281">
        <f t="shared" si="1090"/>
        <v>0</v>
      </c>
      <c r="R982" s="1288">
        <f t="shared" si="1091"/>
        <v>0</v>
      </c>
      <c r="S982" s="1289">
        <f t="shared" si="1049"/>
        <v>569.04514364171098</v>
      </c>
      <c r="T982" s="1289">
        <f t="shared" si="1050"/>
        <v>0</v>
      </c>
      <c r="U982" s="1290">
        <f t="shared" si="1051"/>
        <v>1426.3085399449035</v>
      </c>
      <c r="V982" s="1290">
        <f t="shared" si="1052"/>
        <v>0</v>
      </c>
      <c r="W982" s="1290">
        <f t="shared" si="1053"/>
        <v>0</v>
      </c>
      <c r="X982" s="1290">
        <f t="shared" si="1054"/>
        <v>0</v>
      </c>
      <c r="Y982" s="396"/>
      <c r="Z982" s="1291" t="str">
        <f t="shared" si="1092"/>
        <v>0-CIEPERMA</v>
      </c>
      <c r="AA982" s="1291" t="str">
        <f t="shared" si="1093"/>
        <v>0-CIEPERME</v>
      </c>
      <c r="AB982" s="1291" t="str">
        <f t="shared" si="1094"/>
        <v>0-CIEPERMM</v>
      </c>
      <c r="AC982" s="1291" t="str">
        <f t="shared" si="1095"/>
        <v>0-CIEPERMT</v>
      </c>
      <c r="AD982" s="1291" t="str">
        <f t="shared" si="1096"/>
        <v>0-CIEPERMS</v>
      </c>
      <c r="AE982" s="1291" t="str">
        <f t="shared" si="1097"/>
        <v>0-CIEPERMX</v>
      </c>
      <c r="AF982" s="1291" t="str">
        <f t="shared" si="1098"/>
        <v>0-CIEPERMM</v>
      </c>
      <c r="AG982" s="1291">
        <f t="shared" si="1055"/>
        <v>9</v>
      </c>
      <c r="AH982" s="1291">
        <f>IF(B982&lt;&gt;"",+IF(H982="x",+VLOOKUP(I982,'AUX-NIV2'!B:AG,32,FALSE),0),"")</f>
        <v>0</v>
      </c>
      <c r="AI982" s="1291" t="str">
        <f t="shared" si="1099"/>
        <v>0-CIEPERM</v>
      </c>
      <c r="AK982" s="347">
        <f t="shared" si="1056"/>
        <v>976</v>
      </c>
      <c r="AL982" s="348">
        <f t="shared" si="1100"/>
        <v>984</v>
      </c>
      <c r="AM982" s="347" t="e">
        <f t="shared" si="1101"/>
        <v>#REF!</v>
      </c>
      <c r="AN982" s="382">
        <f>IF(AND(AH982&gt;0,B982&lt;&gt;""),VLOOKUP(I982,'AUX-NIV2'!$B:$AP,40,FALSE)*O982,0)</f>
        <v>0</v>
      </c>
      <c r="AO982" s="382">
        <f t="shared" si="1057"/>
        <v>1.3090909090909091</v>
      </c>
      <c r="AQ982" s="395">
        <f>(IF($H982="x",VLOOKUP($I982,'AUX-NIV2'!$B:$X,'AUX-NIV1'!AQ$3,FALSE),0)+($AV982*'AUX-NIV3'!S$4))*$O982+IF($H982=AQ$4,$P982,0)</f>
        <v>0</v>
      </c>
      <c r="AR982" s="395">
        <f>(IF($H982="x",VLOOKUP($I982,'AUX-NIV2'!$B:$X,'AUX-NIV1'!AR$3,FALSE),0)+($AV982*'AUX-NIV3'!T$4))*$O982+IF($H982=AR$4,$P982,0)</f>
        <v>0</v>
      </c>
      <c r="AS982" s="395">
        <f>(IF($H982="x",VLOOKUP($I982,'AUX-NIV2'!$B:$X,'AUX-NIV1'!AS$3,FALSE),0)+($AV982*'AUX-NIV3'!U$4))*$O982+IF($H982=AS$4,$P982,0)</f>
        <v>165.28925619834712</v>
      </c>
      <c r="AT982" s="395">
        <f>(IF($H982="x",VLOOKUP($I982,'AUX-NIV2'!$B:$X,'AUX-NIV1'!AT$3,FALSE),0)+($AV982*'AUX-NIV3'!V$4))*$O982+IF($H982=AT$4,$P982,0)</f>
        <v>0</v>
      </c>
      <c r="AU982" s="395">
        <f>(IF($H982="x",VLOOKUP($I982,'AUX-NIV2'!$B:$X,'AUX-NIV1'!AU$3,FALSE),0)+($AV982*'AUX-NIV3'!W$4))*$O982+IF($H982=AU$4,$P982,0)</f>
        <v>0</v>
      </c>
      <c r="AV982" s="395">
        <f>+IF($H982="x",VLOOKUP($I982,'AUX-NIV2'!$B:$X,'AUX-NIV1'!AV$3,FALSE),0)</f>
        <v>0</v>
      </c>
    </row>
    <row r="983" spans="2:48" ht="13.8" hidden="1" thickTop="1">
      <c r="B983" s="501" t="s">
        <v>4291</v>
      </c>
      <c r="C983" s="951" t="s">
        <v>4279</v>
      </c>
      <c r="D983" s="1280" t="s">
        <v>477</v>
      </c>
      <c r="E983" s="1281">
        <f>IF(B983&lt;&gt;"",+SUMIF(Items!C:C,'AUX-NIV1'!B983,Items!H:H),"")</f>
        <v>0</v>
      </c>
      <c r="F983" s="1281">
        <f t="shared" si="1047"/>
        <v>1995.3536835866144</v>
      </c>
      <c r="G983" s="1281">
        <f t="shared" si="1048"/>
        <v>0</v>
      </c>
      <c r="H983" s="1395" t="str">
        <f t="shared" si="1087"/>
        <v>M</v>
      </c>
      <c r="I983" s="1462" t="s">
        <v>1925</v>
      </c>
      <c r="J983" s="1283" t="str">
        <f>IF(B983&lt;&gt;"",+VLOOKUP(I983,Recursos!C:F,2,FALSE),"")</f>
        <v>ALAMBRE RECOCIDO #14</v>
      </c>
      <c r="K983" s="1284" t="str">
        <f>IF(B983&lt;&gt;"",+VLOOKUP(I983,Recursos!C:F,3,FALSE),"")</f>
        <v>Kg</v>
      </c>
      <c r="L983" s="1285">
        <f>IF(B983&lt;&gt;"",+VLOOKUP(I983,Recursos!C:F,4,FALSE),"")</f>
        <v>300</v>
      </c>
      <c r="M983" s="1620"/>
      <c r="N983" s="1621">
        <f>5/55</f>
        <v>9.0909090909090912E-2</v>
      </c>
      <c r="O983" s="1286">
        <f t="shared" si="1088"/>
        <v>9.0909090909090912E-2</v>
      </c>
      <c r="P983" s="1287">
        <f t="shared" si="1089"/>
        <v>27.272727272727273</v>
      </c>
      <c r="Q983" s="1281">
        <f t="shared" si="1090"/>
        <v>0</v>
      </c>
      <c r="R983" s="1288">
        <f t="shared" si="1091"/>
        <v>0</v>
      </c>
      <c r="S983" s="1289">
        <f t="shared" si="1049"/>
        <v>569.04514364171098</v>
      </c>
      <c r="T983" s="1289">
        <f t="shared" si="1050"/>
        <v>0</v>
      </c>
      <c r="U983" s="1290">
        <f t="shared" si="1051"/>
        <v>1426.3085399449035</v>
      </c>
      <c r="V983" s="1290">
        <f t="shared" si="1052"/>
        <v>0</v>
      </c>
      <c r="W983" s="1290">
        <f t="shared" si="1053"/>
        <v>0</v>
      </c>
      <c r="X983" s="1290">
        <f t="shared" si="1054"/>
        <v>0</v>
      </c>
      <c r="Y983" s="396"/>
      <c r="Z983" s="1291" t="str">
        <f t="shared" si="1092"/>
        <v>0-CIEPERMA</v>
      </c>
      <c r="AA983" s="1291" t="str">
        <f t="shared" si="1093"/>
        <v>0-CIEPERME</v>
      </c>
      <c r="AB983" s="1291" t="str">
        <f t="shared" si="1094"/>
        <v>0-CIEPERMM</v>
      </c>
      <c r="AC983" s="1291" t="str">
        <f t="shared" si="1095"/>
        <v>0-CIEPERMT</v>
      </c>
      <c r="AD983" s="1291" t="str">
        <f t="shared" si="1096"/>
        <v>0-CIEPERMS</v>
      </c>
      <c r="AE983" s="1291" t="str">
        <f t="shared" si="1097"/>
        <v>0-CIEPERMX</v>
      </c>
      <c r="AF983" s="1291" t="str">
        <f t="shared" si="1098"/>
        <v>0-CIEPERMM</v>
      </c>
      <c r="AG983" s="1291">
        <f t="shared" si="1055"/>
        <v>9</v>
      </c>
      <c r="AH983" s="1291">
        <f>IF(B983&lt;&gt;"",+IF(H983="x",+VLOOKUP(I983,'AUX-NIV2'!B:AG,32,FALSE),0),"")</f>
        <v>0</v>
      </c>
      <c r="AI983" s="1291" t="str">
        <f t="shared" si="1099"/>
        <v>0-CIEPERM</v>
      </c>
      <c r="AK983" s="347">
        <f t="shared" si="1056"/>
        <v>976</v>
      </c>
      <c r="AL983" s="348">
        <f t="shared" si="1100"/>
        <v>984</v>
      </c>
      <c r="AM983" s="347" t="e">
        <f t="shared" si="1101"/>
        <v>#REF!</v>
      </c>
      <c r="AN983" s="382">
        <f>IF(AND(AH983&gt;0,B983&lt;&gt;""),VLOOKUP(I983,'AUX-NIV2'!$B:$AP,40,FALSE)*O983,0)</f>
        <v>0</v>
      </c>
      <c r="AO983" s="382">
        <f t="shared" si="1057"/>
        <v>1.3090909090909091</v>
      </c>
      <c r="AQ983" s="395">
        <f>(IF($H983="x",VLOOKUP($I983,'AUX-NIV2'!$B:$X,'AUX-NIV1'!AQ$3,FALSE),0)+($AV983*'AUX-NIV3'!S$4))*$O983+IF($H983=AQ$4,$P983,0)</f>
        <v>0</v>
      </c>
      <c r="AR983" s="395">
        <f>(IF($H983="x",VLOOKUP($I983,'AUX-NIV2'!$B:$X,'AUX-NIV1'!AR$3,FALSE),0)+($AV983*'AUX-NIV3'!T$4))*$O983+IF($H983=AR$4,$P983,0)</f>
        <v>0</v>
      </c>
      <c r="AS983" s="395">
        <f>(IF($H983="x",VLOOKUP($I983,'AUX-NIV2'!$B:$X,'AUX-NIV1'!AS$3,FALSE),0)+($AV983*'AUX-NIV3'!U$4))*$O983+IF($H983=AS$4,$P983,0)</f>
        <v>27.272727272727273</v>
      </c>
      <c r="AT983" s="395">
        <f>(IF($H983="x",VLOOKUP($I983,'AUX-NIV2'!$B:$X,'AUX-NIV1'!AT$3,FALSE),0)+($AV983*'AUX-NIV3'!V$4))*$O983+IF($H983=AT$4,$P983,0)</f>
        <v>0</v>
      </c>
      <c r="AU983" s="395">
        <f>(IF($H983="x",VLOOKUP($I983,'AUX-NIV2'!$B:$X,'AUX-NIV1'!AU$3,FALSE),0)+($AV983*'AUX-NIV3'!W$4))*$O983+IF($H983=AU$4,$P983,0)</f>
        <v>0</v>
      </c>
      <c r="AV983" s="395">
        <f>+IF($H983="x",VLOOKUP($I983,'AUX-NIV2'!$B:$X,'AUX-NIV1'!AV$3,FALSE),0)</f>
        <v>0</v>
      </c>
    </row>
    <row r="984" spans="2:48" ht="14.4" hidden="1" thickTop="1" thickBot="1">
      <c r="B984" s="501" t="s">
        <v>4291</v>
      </c>
      <c r="C984" s="951" t="s">
        <v>4279</v>
      </c>
      <c r="D984" s="1280" t="s">
        <v>477</v>
      </c>
      <c r="E984" s="1281">
        <f>IF(B984&lt;&gt;"",+SUMIF(Items!C:C,'AUX-NIV1'!B984,Items!H:H),"")</f>
        <v>0</v>
      </c>
      <c r="F984" s="1281">
        <f t="shared" si="1047"/>
        <v>1995.3536835866144</v>
      </c>
      <c r="G984" s="1281">
        <f t="shared" si="1048"/>
        <v>0</v>
      </c>
      <c r="H984" s="1395" t="str">
        <f t="shared" si="1032"/>
        <v>M</v>
      </c>
      <c r="I984" s="1462" t="s">
        <v>3719</v>
      </c>
      <c r="J984" s="1283" t="str">
        <f>IF(B984&lt;&gt;"",+VLOOKUP(I984,Recursos!C:F,2,FALSE),"")</f>
        <v>PERFILES DE CHAPA GALVANIZADA (2,6m) p/TABUIQUES</v>
      </c>
      <c r="K984" s="1284" t="str">
        <f>IF(B984&lt;&gt;"",+VLOOKUP(I984,Recursos!C:F,3,FALSE),"")</f>
        <v>m</v>
      </c>
      <c r="L984" s="1285">
        <f>IF(B984&lt;&gt;"",+VLOOKUP(I984,Recursos!C:F,4,FALSE),"")</f>
        <v>173.07692307692307</v>
      </c>
      <c r="M984" s="1622"/>
      <c r="N984" s="1623">
        <v>0</v>
      </c>
      <c r="O984" s="1286">
        <f t="shared" si="1033"/>
        <v>0</v>
      </c>
      <c r="P984" s="1287">
        <f t="shared" si="1034"/>
        <v>0</v>
      </c>
      <c r="Q984" s="1281">
        <f t="shared" si="1035"/>
        <v>0</v>
      </c>
      <c r="R984" s="1288">
        <f t="shared" si="1036"/>
        <v>0</v>
      </c>
      <c r="S984" s="1289">
        <f t="shared" si="1049"/>
        <v>569.04514364171098</v>
      </c>
      <c r="T984" s="1289">
        <f t="shared" si="1050"/>
        <v>0</v>
      </c>
      <c r="U984" s="1290">
        <f t="shared" si="1051"/>
        <v>1426.3085399449035</v>
      </c>
      <c r="V984" s="1290">
        <f t="shared" si="1052"/>
        <v>0</v>
      </c>
      <c r="W984" s="1290">
        <f t="shared" si="1053"/>
        <v>0</v>
      </c>
      <c r="X984" s="1290">
        <f t="shared" si="1054"/>
        <v>0</v>
      </c>
      <c r="Y984" s="396"/>
      <c r="Z984" s="1291" t="str">
        <f t="shared" si="1037"/>
        <v>0-CIEPERMA</v>
      </c>
      <c r="AA984" s="1291" t="str">
        <f t="shared" si="1038"/>
        <v>0-CIEPERME</v>
      </c>
      <c r="AB984" s="1291" t="str">
        <f t="shared" si="1039"/>
        <v>0-CIEPERMM</v>
      </c>
      <c r="AC984" s="1291" t="str">
        <f t="shared" si="1040"/>
        <v>0-CIEPERMT</v>
      </c>
      <c r="AD984" s="1291" t="str">
        <f t="shared" si="1041"/>
        <v>0-CIEPERMS</v>
      </c>
      <c r="AE984" s="1291" t="str">
        <f t="shared" si="1042"/>
        <v>0-CIEPERMX</v>
      </c>
      <c r="AF984" s="1291" t="str">
        <f t="shared" si="1043"/>
        <v>0-CIEPERMM</v>
      </c>
      <c r="AG984" s="1291">
        <f t="shared" si="1055"/>
        <v>9</v>
      </c>
      <c r="AH984" s="1291">
        <f>IF(B984&lt;&gt;"",+IF(H984="x",+VLOOKUP(I984,'AUX-NIV2'!B:AG,32,FALSE),0),"")</f>
        <v>0</v>
      </c>
      <c r="AI984" s="1291" t="str">
        <f t="shared" si="1044"/>
        <v>0-CIEPERM</v>
      </c>
      <c r="AK984" s="347">
        <f t="shared" si="1056"/>
        <v>976</v>
      </c>
      <c r="AL984" s="348">
        <f t="shared" si="1045"/>
        <v>984</v>
      </c>
      <c r="AM984" s="347" t="e">
        <f>IF(B984&lt;&gt;"",IF(B984=#REF!,1+#REF!,1),"")</f>
        <v>#REF!</v>
      </c>
      <c r="AN984" s="382">
        <f>IF(AND(AH984&gt;0,B984&lt;&gt;""),VLOOKUP(I984,'AUX-NIV2'!$B:$AP,40,FALSE)*O984,0)</f>
        <v>0</v>
      </c>
      <c r="AO984" s="382">
        <f t="shared" si="1057"/>
        <v>1.3090909090909091</v>
      </c>
      <c r="AQ984" s="395">
        <f>(IF($H984="x",VLOOKUP($I984,'AUX-NIV2'!$B:$X,'AUX-NIV1'!AQ$3,FALSE),0)+($AV984*'AUX-NIV3'!S$4))*$O984+IF($H984=AQ$4,$P984,0)</f>
        <v>0</v>
      </c>
      <c r="AR984" s="395">
        <f>(IF($H984="x",VLOOKUP($I984,'AUX-NIV2'!$B:$X,'AUX-NIV1'!AR$3,FALSE),0)+($AV984*'AUX-NIV3'!T$4))*$O984+IF($H984=AR$4,$P984,0)</f>
        <v>0</v>
      </c>
      <c r="AS984" s="395">
        <f>(IF($H984="x",VLOOKUP($I984,'AUX-NIV2'!$B:$X,'AUX-NIV1'!AS$3,FALSE),0)+($AV984*'AUX-NIV3'!U$4))*$O984+IF($H984=AS$4,$P984,0)</f>
        <v>0</v>
      </c>
      <c r="AT984" s="395">
        <f>(IF($H984="x",VLOOKUP($I984,'AUX-NIV2'!$B:$X,'AUX-NIV1'!AT$3,FALSE),0)+($AV984*'AUX-NIV3'!V$4))*$O984+IF($H984=AT$4,$P984,0)</f>
        <v>0</v>
      </c>
      <c r="AU984" s="395">
        <f>(IF($H984="x",VLOOKUP($I984,'AUX-NIV2'!$B:$X,'AUX-NIV1'!AU$3,FALSE),0)+($AV984*'AUX-NIV3'!W$4))*$O984+IF($H984=AU$4,$P984,0)</f>
        <v>0</v>
      </c>
      <c r="AV984" s="395">
        <f>+IF($H984="x",VLOOKUP($I984,'AUX-NIV2'!$B:$X,'AUX-NIV1'!AV$3,FALSE),0)</f>
        <v>0</v>
      </c>
    </row>
    <row r="985" spans="2:48" ht="13.8" hidden="1" thickTop="1">
      <c r="B985" s="324" t="s">
        <v>4298</v>
      </c>
      <c r="C985" s="325" t="s">
        <v>4280</v>
      </c>
      <c r="D985" s="326" t="s">
        <v>1172</v>
      </c>
      <c r="E985" s="349">
        <f>IF(B985&lt;&gt;"",+SUMIF(Items!C:C,'AUX-NIV1'!B985,Items!H:H),"")</f>
        <v>0</v>
      </c>
      <c r="F985" s="349">
        <f t="shared" si="1047"/>
        <v>66738</v>
      </c>
      <c r="G985" s="349">
        <f t="shared" si="1048"/>
        <v>0</v>
      </c>
      <c r="H985" s="1395" t="str">
        <f t="shared" si="1032"/>
        <v>S</v>
      </c>
      <c r="I985" s="1375" t="s">
        <v>698</v>
      </c>
      <c r="J985" s="350" t="str">
        <f>IF(B985&lt;&gt;"",+VLOOKUP(I985,Recursos!C:F,2,FALSE),"")</f>
        <v>ALQUILER DE CAMPAMENTOS</v>
      </c>
      <c r="K985" s="351" t="str">
        <f>IF(B985&lt;&gt;"",+VLOOKUP(I985,Recursos!C:F,3,FALSE),"")</f>
        <v>m2/MES</v>
      </c>
      <c r="L985" s="1475">
        <f>IF(B985&lt;&gt;"",+VLOOKUP(I985,Recursos!C:F,4,FALSE),"")</f>
        <v>2551.25</v>
      </c>
      <c r="M985" s="1501">
        <f>2.4*6/5</f>
        <v>2.88</v>
      </c>
      <c r="N985" s="1502">
        <v>5</v>
      </c>
      <c r="O985" s="1490">
        <f>M985*N985</f>
        <v>14.399999999999999</v>
      </c>
      <c r="P985" s="352">
        <f t="shared" si="1034"/>
        <v>36738</v>
      </c>
      <c r="Q985" s="349">
        <f t="shared" si="1035"/>
        <v>0</v>
      </c>
      <c r="R985" s="353">
        <f t="shared" si="1036"/>
        <v>0</v>
      </c>
      <c r="S985" s="354">
        <f t="shared" si="1049"/>
        <v>0</v>
      </c>
      <c r="T985" s="354">
        <f t="shared" si="1050"/>
        <v>0</v>
      </c>
      <c r="U985" s="355">
        <f t="shared" si="1051"/>
        <v>0</v>
      </c>
      <c r="V985" s="355">
        <f t="shared" si="1052"/>
        <v>0</v>
      </c>
      <c r="W985" s="355">
        <f t="shared" si="1053"/>
        <v>66738</v>
      </c>
      <c r="X985" s="355">
        <f t="shared" si="1054"/>
        <v>0</v>
      </c>
      <c r="Y985" s="396"/>
      <c r="Z985" s="346" t="str">
        <f t="shared" si="1037"/>
        <v>0-CAMPA</v>
      </c>
      <c r="AA985" s="346" t="str">
        <f t="shared" si="1038"/>
        <v>0-CAMPE</v>
      </c>
      <c r="AB985" s="346" t="str">
        <f t="shared" si="1039"/>
        <v>0-CAMPM</v>
      </c>
      <c r="AC985" s="346" t="str">
        <f t="shared" si="1040"/>
        <v>0-CAMPT</v>
      </c>
      <c r="AD985" s="346" t="str">
        <f t="shared" si="1041"/>
        <v>0-CAMPS</v>
      </c>
      <c r="AE985" s="346" t="str">
        <f t="shared" si="1042"/>
        <v>0-CAMPX</v>
      </c>
      <c r="AF985" s="346" t="str">
        <f t="shared" si="1043"/>
        <v>0-CAMPS</v>
      </c>
      <c r="AG985" s="346">
        <f t="shared" si="1055"/>
        <v>6</v>
      </c>
      <c r="AH985" s="346">
        <f>IF(B985&lt;&gt;"",+IF(H985="x",+VLOOKUP(I985,'AUX-NIV2'!B:AG,32,FALSE),0),"")</f>
        <v>0</v>
      </c>
      <c r="AI985" s="346" t="str">
        <f t="shared" si="1044"/>
        <v>0-CAMP</v>
      </c>
      <c r="AK985" s="347">
        <f t="shared" si="1056"/>
        <v>985</v>
      </c>
      <c r="AL985" s="348">
        <f t="shared" si="1045"/>
        <v>990</v>
      </c>
      <c r="AM985" s="347" t="e">
        <f>IF(B985&lt;&gt;"",IF(B985=#REF!,1+#REF!,1),"")</f>
        <v>#REF!</v>
      </c>
      <c r="AN985" s="382">
        <f>IF(AND(AH985&gt;0,B985&lt;&gt;""),VLOOKUP(I985,'AUX-NIV2'!$B:$AP,40,FALSE)*O985,0)</f>
        <v>0</v>
      </c>
      <c r="AO985" s="382">
        <f t="shared" si="1057"/>
        <v>0</v>
      </c>
      <c r="AQ985" s="395">
        <f>(IF($H985="x",VLOOKUP($I985,'AUX-NIV2'!$B:$X,'AUX-NIV1'!AQ$3,FALSE),0)+($AV985*'AUX-NIV3'!S$4))*$O985+IF($H985=AQ$4,$P985,0)</f>
        <v>0</v>
      </c>
      <c r="AR985" s="395">
        <f>(IF($H985="x",VLOOKUP($I985,'AUX-NIV2'!$B:$X,'AUX-NIV1'!AR$3,FALSE),0)+($AV985*'AUX-NIV3'!T$4))*$O985+IF($H985=AR$4,$P985,0)</f>
        <v>0</v>
      </c>
      <c r="AS985" s="395">
        <f>(IF($H985="x",VLOOKUP($I985,'AUX-NIV2'!$B:$X,'AUX-NIV1'!AS$3,FALSE),0)+($AV985*'AUX-NIV3'!U$4))*$O985+IF($H985=AS$4,$P985,0)</f>
        <v>0</v>
      </c>
      <c r="AT985" s="395">
        <f>(IF($H985="x",VLOOKUP($I985,'AUX-NIV2'!$B:$X,'AUX-NIV1'!AT$3,FALSE),0)+($AV985*'AUX-NIV3'!V$4))*$O985+IF($H985=AT$4,$P985,0)</f>
        <v>0</v>
      </c>
      <c r="AU985" s="395">
        <f>(IF($H985="x",VLOOKUP($I985,'AUX-NIV2'!$B:$X,'AUX-NIV1'!AU$3,FALSE),0)+($AV985*'AUX-NIV3'!W$4))*$O985+IF($H985=AU$4,$P985,0)</f>
        <v>36738</v>
      </c>
      <c r="AV985" s="395">
        <f>+IF($H985="x",VLOOKUP($I985,'AUX-NIV2'!$B:$X,'AUX-NIV1'!AV$3,FALSE),0)</f>
        <v>0</v>
      </c>
    </row>
    <row r="986" spans="2:48" ht="13.8" hidden="1" thickTop="1">
      <c r="B986" s="324" t="s">
        <v>4298</v>
      </c>
      <c r="C986" s="325" t="s">
        <v>4280</v>
      </c>
      <c r="D986" s="326" t="s">
        <v>1172</v>
      </c>
      <c r="E986" s="349">
        <f>IF(B986&lt;&gt;"",+SUMIF(Items!C:C,'AUX-NIV1'!B986,Items!H:H),"")</f>
        <v>0</v>
      </c>
      <c r="F986" s="349">
        <f t="shared" si="1047"/>
        <v>66738</v>
      </c>
      <c r="G986" s="349">
        <f t="shared" si="1048"/>
        <v>0</v>
      </c>
      <c r="H986" s="1395" t="str">
        <f t="shared" si="1032"/>
        <v>S</v>
      </c>
      <c r="I986" s="1375" t="s">
        <v>704</v>
      </c>
      <c r="J986" s="350" t="str">
        <f>IF(B986&lt;&gt;"",+VLOOKUP(I986,Recursos!C:F,2,FALSE),"")</f>
        <v>EQUIPAMIENTO PARA OFICINAS</v>
      </c>
      <c r="K986" s="351" t="str">
        <f>IF(B986&lt;&gt;"",+VLOOKUP(I986,Recursos!C:F,3,FALSE),"")</f>
        <v>UN</v>
      </c>
      <c r="L986" s="1475">
        <f>IF(B986&lt;&gt;"",+VLOOKUP(I986,Recursos!C:F,4,FALSE),"")</f>
        <v>10000</v>
      </c>
      <c r="M986" s="1501">
        <v>1</v>
      </c>
      <c r="N986" s="1502">
        <v>1</v>
      </c>
      <c r="O986" s="1490">
        <f>N986*M986</f>
        <v>1</v>
      </c>
      <c r="P986" s="352">
        <f t="shared" si="1034"/>
        <v>10000</v>
      </c>
      <c r="Q986" s="349">
        <f t="shared" si="1035"/>
        <v>0</v>
      </c>
      <c r="R986" s="353">
        <f t="shared" si="1036"/>
        <v>0</v>
      </c>
      <c r="S986" s="354">
        <f t="shared" si="1049"/>
        <v>0</v>
      </c>
      <c r="T986" s="354">
        <f t="shared" si="1050"/>
        <v>0</v>
      </c>
      <c r="U986" s="355">
        <f t="shared" si="1051"/>
        <v>0</v>
      </c>
      <c r="V986" s="355">
        <f t="shared" si="1052"/>
        <v>0</v>
      </c>
      <c r="W986" s="355">
        <f t="shared" si="1053"/>
        <v>66738</v>
      </c>
      <c r="X986" s="355">
        <f t="shared" si="1054"/>
        <v>0</v>
      </c>
      <c r="Y986" s="396"/>
      <c r="Z986" s="346" t="str">
        <f t="shared" si="1037"/>
        <v>0-CAMPA</v>
      </c>
      <c r="AA986" s="346" t="str">
        <f t="shared" si="1038"/>
        <v>0-CAMPE</v>
      </c>
      <c r="AB986" s="346" t="str">
        <f t="shared" si="1039"/>
        <v>0-CAMPM</v>
      </c>
      <c r="AC986" s="346" t="str">
        <f t="shared" si="1040"/>
        <v>0-CAMPT</v>
      </c>
      <c r="AD986" s="346" t="str">
        <f t="shared" si="1041"/>
        <v>0-CAMPS</v>
      </c>
      <c r="AE986" s="346" t="str">
        <f t="shared" si="1042"/>
        <v>0-CAMPX</v>
      </c>
      <c r="AF986" s="346" t="str">
        <f t="shared" si="1043"/>
        <v>0-CAMPS</v>
      </c>
      <c r="AG986" s="346">
        <f t="shared" si="1055"/>
        <v>6</v>
      </c>
      <c r="AH986" s="346">
        <f>IF(B986&lt;&gt;"",+IF(H986="x",+VLOOKUP(I986,'AUX-NIV2'!B:AG,32,FALSE),0),"")</f>
        <v>0</v>
      </c>
      <c r="AI986" s="346" t="str">
        <f t="shared" si="1044"/>
        <v>0-CAMP</v>
      </c>
      <c r="AK986" s="347">
        <f t="shared" si="1056"/>
        <v>985</v>
      </c>
      <c r="AL986" s="348">
        <f t="shared" si="1045"/>
        <v>990</v>
      </c>
      <c r="AM986" s="347" t="e">
        <f>IF(B986&lt;&gt;"",IF(B986=#REF!,1+#REF!,1),"")</f>
        <v>#REF!</v>
      </c>
      <c r="AN986" s="382">
        <f>IF(AND(AH986&gt;0,B986&lt;&gt;""),VLOOKUP(I986,'AUX-NIV2'!$B:$AP,40,FALSE)*O986,0)</f>
        <v>0</v>
      </c>
      <c r="AO986" s="382">
        <f t="shared" si="1057"/>
        <v>0</v>
      </c>
      <c r="AQ986" s="395">
        <f>(IF($H986="x",VLOOKUP($I986,'AUX-NIV2'!$B:$X,'AUX-NIV1'!AQ$3,FALSE),0)+($AV986*'AUX-NIV3'!S$4))*$O986+IF($H986=AQ$4,$P986,0)</f>
        <v>0</v>
      </c>
      <c r="AR986" s="395">
        <f>(IF($H986="x",VLOOKUP($I986,'AUX-NIV2'!$B:$X,'AUX-NIV1'!AR$3,FALSE),0)+($AV986*'AUX-NIV3'!T$4))*$O986+IF($H986=AR$4,$P986,0)</f>
        <v>0</v>
      </c>
      <c r="AS986" s="395">
        <f>(IF($H986="x",VLOOKUP($I986,'AUX-NIV2'!$B:$X,'AUX-NIV1'!AS$3,FALSE),0)+($AV986*'AUX-NIV3'!U$4))*$O986+IF($H986=AS$4,$P986,0)</f>
        <v>0</v>
      </c>
      <c r="AT986" s="395">
        <f>(IF($H986="x",VLOOKUP($I986,'AUX-NIV2'!$B:$X,'AUX-NIV1'!AT$3,FALSE),0)+($AV986*'AUX-NIV3'!V$4))*$O986+IF($H986=AT$4,$P986,0)</f>
        <v>0</v>
      </c>
      <c r="AU986" s="395">
        <f>(IF($H986="x",VLOOKUP($I986,'AUX-NIV2'!$B:$X,'AUX-NIV1'!AU$3,FALSE),0)+($AV986*'AUX-NIV3'!W$4))*$O986+IF($H986=AU$4,$P986,0)</f>
        <v>10000</v>
      </c>
      <c r="AV986" s="395">
        <f>+IF($H986="x",VLOOKUP($I986,'AUX-NIV2'!$B:$X,'AUX-NIV1'!AV$3,FALSE),0)</f>
        <v>0</v>
      </c>
    </row>
    <row r="987" spans="2:48" ht="13.8" hidden="1" thickTop="1">
      <c r="B987" s="324" t="s">
        <v>4298</v>
      </c>
      <c r="C987" s="325" t="s">
        <v>4280</v>
      </c>
      <c r="D987" s="326" t="s">
        <v>1172</v>
      </c>
      <c r="E987" s="349">
        <f>IF(B987&lt;&gt;"",+SUMIF(Items!C:C,'AUX-NIV1'!B987,Items!H:H),"")</f>
        <v>0</v>
      </c>
      <c r="F987" s="349">
        <f t="shared" si="1047"/>
        <v>66738</v>
      </c>
      <c r="G987" s="349">
        <f t="shared" si="1048"/>
        <v>0</v>
      </c>
      <c r="H987" s="1395" t="str">
        <f t="shared" si="1032"/>
        <v>S</v>
      </c>
      <c r="I987" s="1375" t="s">
        <v>720</v>
      </c>
      <c r="J987" s="350" t="str">
        <f>IF(B987&lt;&gt;"",+VLOOKUP(I987,Recursos!C:F,2,FALSE),"")</f>
        <v>EQUIPAMIENTO TECNICO PARA SEGURIDAD</v>
      </c>
      <c r="K987" s="351" t="str">
        <f>IF(B987&lt;&gt;"",+VLOOKUP(I987,Recursos!C:F,3,FALSE),"")</f>
        <v>UN</v>
      </c>
      <c r="L987" s="1475">
        <f>IF(B987&lt;&gt;"",+VLOOKUP(I987,Recursos!C:F,4,FALSE),"")</f>
        <v>10000</v>
      </c>
      <c r="M987" s="1501">
        <v>1</v>
      </c>
      <c r="N987" s="1502">
        <v>1</v>
      </c>
      <c r="O987" s="1490">
        <f>N987*M987</f>
        <v>1</v>
      </c>
      <c r="P987" s="352">
        <f t="shared" si="1034"/>
        <v>10000</v>
      </c>
      <c r="Q987" s="349">
        <f t="shared" si="1035"/>
        <v>0</v>
      </c>
      <c r="R987" s="353">
        <f t="shared" si="1036"/>
        <v>0</v>
      </c>
      <c r="S987" s="354">
        <f t="shared" si="1049"/>
        <v>0</v>
      </c>
      <c r="T987" s="354">
        <f t="shared" si="1050"/>
        <v>0</v>
      </c>
      <c r="U987" s="355">
        <f t="shared" si="1051"/>
        <v>0</v>
      </c>
      <c r="V987" s="355">
        <f t="shared" si="1052"/>
        <v>0</v>
      </c>
      <c r="W987" s="355">
        <f t="shared" si="1053"/>
        <v>66738</v>
      </c>
      <c r="X987" s="355">
        <f t="shared" si="1054"/>
        <v>0</v>
      </c>
      <c r="Y987" s="396"/>
      <c r="Z987" s="346" t="str">
        <f t="shared" si="1037"/>
        <v>0-CAMPA</v>
      </c>
      <c r="AA987" s="346" t="str">
        <f t="shared" si="1038"/>
        <v>0-CAMPE</v>
      </c>
      <c r="AB987" s="346" t="str">
        <f t="shared" si="1039"/>
        <v>0-CAMPM</v>
      </c>
      <c r="AC987" s="346" t="str">
        <f t="shared" si="1040"/>
        <v>0-CAMPT</v>
      </c>
      <c r="AD987" s="346" t="str">
        <f t="shared" si="1041"/>
        <v>0-CAMPS</v>
      </c>
      <c r="AE987" s="346" t="str">
        <f t="shared" si="1042"/>
        <v>0-CAMPX</v>
      </c>
      <c r="AF987" s="346" t="str">
        <f t="shared" si="1043"/>
        <v>0-CAMPS</v>
      </c>
      <c r="AG987" s="346">
        <f t="shared" si="1055"/>
        <v>6</v>
      </c>
      <c r="AH987" s="346">
        <f>IF(B987&lt;&gt;"",+IF(H987="x",+VLOOKUP(I987,'AUX-NIV2'!B:AG,32,FALSE),0),"")</f>
        <v>0</v>
      </c>
      <c r="AI987" s="346" t="str">
        <f t="shared" si="1044"/>
        <v>0-CAMP</v>
      </c>
      <c r="AK987" s="347">
        <f t="shared" si="1056"/>
        <v>985</v>
      </c>
      <c r="AL987" s="348">
        <f t="shared" si="1045"/>
        <v>990</v>
      </c>
      <c r="AM987" s="347" t="e">
        <f>IF(B987&lt;&gt;"",IF(B987=#REF!,1+#REF!,1),"")</f>
        <v>#REF!</v>
      </c>
      <c r="AN987" s="382">
        <f>IF(AND(AH987&gt;0,B987&lt;&gt;""),VLOOKUP(I987,'AUX-NIV2'!$B:$AP,40,FALSE)*O987,0)</f>
        <v>0</v>
      </c>
      <c r="AO987" s="382">
        <f t="shared" si="1057"/>
        <v>0</v>
      </c>
      <c r="AQ987" s="395">
        <f>(IF($H987="x",VLOOKUP($I987,'AUX-NIV2'!$B:$X,'AUX-NIV1'!AQ$3,FALSE),0)+($AV987*'AUX-NIV3'!S$4))*$O987+IF($H987=AQ$4,$P987,0)</f>
        <v>0</v>
      </c>
      <c r="AR987" s="395">
        <f>(IF($H987="x",VLOOKUP($I987,'AUX-NIV2'!$B:$X,'AUX-NIV1'!AR$3,FALSE),0)+($AV987*'AUX-NIV3'!T$4))*$O987+IF($H987=AR$4,$P987,0)</f>
        <v>0</v>
      </c>
      <c r="AS987" s="395">
        <f>(IF($H987="x",VLOOKUP($I987,'AUX-NIV2'!$B:$X,'AUX-NIV1'!AS$3,FALSE),0)+($AV987*'AUX-NIV3'!U$4))*$O987+IF($H987=AS$4,$P987,0)</f>
        <v>0</v>
      </c>
      <c r="AT987" s="395">
        <f>(IF($H987="x",VLOOKUP($I987,'AUX-NIV2'!$B:$X,'AUX-NIV1'!AT$3,FALSE),0)+($AV987*'AUX-NIV3'!V$4))*$O987+IF($H987=AT$4,$P987,0)</f>
        <v>0</v>
      </c>
      <c r="AU987" s="395">
        <f>(IF($H987="x",VLOOKUP($I987,'AUX-NIV2'!$B:$X,'AUX-NIV1'!AU$3,FALSE),0)+($AV987*'AUX-NIV3'!W$4))*$O987+IF($H987=AU$4,$P987,0)</f>
        <v>10000</v>
      </c>
      <c r="AV987" s="395">
        <f>+IF($H987="x",VLOOKUP($I987,'AUX-NIV2'!$B:$X,'AUX-NIV1'!AV$3,FALSE),0)</f>
        <v>0</v>
      </c>
    </row>
    <row r="988" spans="2:48" ht="13.8" hidden="1" thickTop="1">
      <c r="B988" s="324" t="s">
        <v>4298</v>
      </c>
      <c r="C988" s="325" t="s">
        <v>4280</v>
      </c>
      <c r="D988" s="326" t="s">
        <v>1172</v>
      </c>
      <c r="E988" s="349">
        <f>IF(B988&lt;&gt;"",+SUMIF(Items!C:C,'AUX-NIV1'!B988,Items!H:H),"")</f>
        <v>0</v>
      </c>
      <c r="F988" s="349">
        <f t="shared" si="1047"/>
        <v>66738</v>
      </c>
      <c r="G988" s="349">
        <f t="shared" si="1048"/>
        <v>0</v>
      </c>
      <c r="H988" s="1395" t="str">
        <f t="shared" si="1032"/>
        <v>E</v>
      </c>
      <c r="I988" s="1375" t="s">
        <v>1557</v>
      </c>
      <c r="J988" s="350" t="str">
        <f>IF(B988&lt;&gt;"",+VLOOKUP(I988,Recursos!C:F,2,FALSE),"")</f>
        <v>CAMION SEMIRREMOLQUE CAP. 30 T 6x4</v>
      </c>
      <c r="K988" s="351" t="str">
        <f>IF(B988&lt;&gt;"",+VLOOKUP(I988,Recursos!C:F,3,FALSE),"")</f>
        <v>HR</v>
      </c>
      <c r="L988" s="1475">
        <f>IF(B988&lt;&gt;"",+VLOOKUP(I988,Recursos!C:F,4,FALSE),"")</f>
        <v>3156.8051111111108</v>
      </c>
      <c r="M988" s="1493">
        <v>8</v>
      </c>
      <c r="N988" s="1507">
        <v>0</v>
      </c>
      <c r="O988" s="1490">
        <f t="shared" ref="O988" si="1117">+M988*N988</f>
        <v>0</v>
      </c>
      <c r="P988" s="352">
        <f t="shared" si="1034"/>
        <v>0</v>
      </c>
      <c r="Q988" s="349">
        <f t="shared" si="1035"/>
        <v>0</v>
      </c>
      <c r="R988" s="353">
        <f t="shared" si="1036"/>
        <v>0</v>
      </c>
      <c r="S988" s="354">
        <f t="shared" si="1049"/>
        <v>0</v>
      </c>
      <c r="T988" s="354">
        <f t="shared" si="1050"/>
        <v>0</v>
      </c>
      <c r="U988" s="355">
        <f t="shared" si="1051"/>
        <v>0</v>
      </c>
      <c r="V988" s="355">
        <f t="shared" si="1052"/>
        <v>0</v>
      </c>
      <c r="W988" s="355">
        <f t="shared" si="1053"/>
        <v>66738</v>
      </c>
      <c r="X988" s="355">
        <f t="shared" si="1054"/>
        <v>0</v>
      </c>
      <c r="Y988" s="396"/>
      <c r="Z988" s="346" t="str">
        <f t="shared" si="1037"/>
        <v>0-CAMPA</v>
      </c>
      <c r="AA988" s="346" t="str">
        <f t="shared" si="1038"/>
        <v>0-CAMPE</v>
      </c>
      <c r="AB988" s="346" t="str">
        <f t="shared" si="1039"/>
        <v>0-CAMPM</v>
      </c>
      <c r="AC988" s="346" t="str">
        <f t="shared" si="1040"/>
        <v>0-CAMPT</v>
      </c>
      <c r="AD988" s="346" t="str">
        <f t="shared" si="1041"/>
        <v>0-CAMPS</v>
      </c>
      <c r="AE988" s="346" t="str">
        <f t="shared" si="1042"/>
        <v>0-CAMPX</v>
      </c>
      <c r="AF988" s="346" t="str">
        <f t="shared" si="1043"/>
        <v>0-CAMPE</v>
      </c>
      <c r="AG988" s="346">
        <f t="shared" si="1055"/>
        <v>6</v>
      </c>
      <c r="AH988" s="346">
        <f>IF(B988&lt;&gt;"",+IF(H988="x",+VLOOKUP(I988,'AUX-NIV2'!B:AG,32,FALSE),0),"")</f>
        <v>0</v>
      </c>
      <c r="AI988" s="346" t="str">
        <f t="shared" si="1044"/>
        <v>0-CAMP</v>
      </c>
      <c r="AK988" s="347">
        <f t="shared" si="1056"/>
        <v>985</v>
      </c>
      <c r="AL988" s="348">
        <f t="shared" si="1045"/>
        <v>990</v>
      </c>
      <c r="AM988" s="347" t="e">
        <f>IF(B988&lt;&gt;"",IF(B988=#REF!,1+#REF!,1),"")</f>
        <v>#REF!</v>
      </c>
      <c r="AN988" s="382">
        <f>IF(AND(AH988&gt;0,B988&lt;&gt;""),VLOOKUP(I988,'AUX-NIV2'!$B:$AP,40,FALSE)*O988,0)</f>
        <v>0</v>
      </c>
      <c r="AO988" s="382">
        <f t="shared" si="1057"/>
        <v>0</v>
      </c>
      <c r="AQ988" s="395">
        <f>(IF($H988="x",VLOOKUP($I988,'AUX-NIV2'!$B:$X,'AUX-NIV1'!AQ$3,FALSE),0)+($AV988*'AUX-NIV3'!S$4))*$O988+IF($H988=AQ$4,$P988,0)</f>
        <v>0</v>
      </c>
      <c r="AR988" s="395">
        <f>(IF($H988="x",VLOOKUP($I988,'AUX-NIV2'!$B:$X,'AUX-NIV1'!AR$3,FALSE),0)+($AV988*'AUX-NIV3'!T$4))*$O988+IF($H988=AR$4,$P988,0)</f>
        <v>0</v>
      </c>
      <c r="AS988" s="395">
        <f>(IF($H988="x",VLOOKUP($I988,'AUX-NIV2'!$B:$X,'AUX-NIV1'!AS$3,FALSE),0)+($AV988*'AUX-NIV3'!U$4))*$O988+IF($H988=AS$4,$P988,0)</f>
        <v>0</v>
      </c>
      <c r="AT988" s="395">
        <f>(IF($H988="x",VLOOKUP($I988,'AUX-NIV2'!$B:$X,'AUX-NIV1'!AT$3,FALSE),0)+($AV988*'AUX-NIV3'!V$4))*$O988+IF($H988=AT$4,$P988,0)</f>
        <v>0</v>
      </c>
      <c r="AU988" s="395">
        <f>(IF($H988="x",VLOOKUP($I988,'AUX-NIV2'!$B:$X,'AUX-NIV1'!AU$3,FALSE),0)+($AV988*'AUX-NIV3'!W$4))*$O988+IF($H988=AU$4,$P988,0)</f>
        <v>0</v>
      </c>
      <c r="AV988" s="395">
        <f>+IF($H988="x",VLOOKUP($I988,'AUX-NIV2'!$B:$X,'AUX-NIV1'!AV$3,FALSE),0)</f>
        <v>0</v>
      </c>
    </row>
    <row r="989" spans="2:48" ht="13.8" hidden="1" thickTop="1">
      <c r="B989" s="324" t="s">
        <v>4298</v>
      </c>
      <c r="C989" s="325" t="s">
        <v>4280</v>
      </c>
      <c r="D989" s="326" t="s">
        <v>1172</v>
      </c>
      <c r="E989" s="349">
        <f>IF(B989&lt;&gt;"",+SUMIF(Items!C:C,'AUX-NIV1'!B989,Items!H:H),"")</f>
        <v>0</v>
      </c>
      <c r="F989" s="349">
        <f t="shared" si="1047"/>
        <v>66738</v>
      </c>
      <c r="G989" s="349">
        <f t="shared" si="1048"/>
        <v>0</v>
      </c>
      <c r="H989" s="1395" t="str">
        <f t="shared" si="1032"/>
        <v>S</v>
      </c>
      <c r="I989" s="1375" t="s">
        <v>733</v>
      </c>
      <c r="J989" s="350" t="str">
        <f>IF(B989&lt;&gt;"",+VLOOKUP(I989,Recursos!C:F,2,FALSE),"")</f>
        <v>CONSUMIBLES CAMPAMENTO (OFIC-SG-SEG-MA)</v>
      </c>
      <c r="K989" s="351" t="str">
        <f>IF(B989&lt;&gt;"",+VLOOKUP(I989,Recursos!C:F,3,FALSE),"")</f>
        <v>MES</v>
      </c>
      <c r="L989" s="1475">
        <f>IF(B989&lt;&gt;"",+VLOOKUP(I989,Recursos!C:F,4,FALSE),"")</f>
        <v>1</v>
      </c>
      <c r="M989" s="1493">
        <v>1</v>
      </c>
      <c r="N989" s="1507">
        <v>5000</v>
      </c>
      <c r="O989" s="1490">
        <f t="shared" ref="O989" si="1118">+M989*N989</f>
        <v>5000</v>
      </c>
      <c r="P989" s="352">
        <f t="shared" si="1034"/>
        <v>5000</v>
      </c>
      <c r="Q989" s="349">
        <f t="shared" si="1035"/>
        <v>0</v>
      </c>
      <c r="R989" s="353">
        <f t="shared" si="1036"/>
        <v>0</v>
      </c>
      <c r="S989" s="354">
        <f t="shared" si="1049"/>
        <v>0</v>
      </c>
      <c r="T989" s="354">
        <f t="shared" si="1050"/>
        <v>0</v>
      </c>
      <c r="U989" s="355">
        <f t="shared" si="1051"/>
        <v>0</v>
      </c>
      <c r="V989" s="355">
        <f t="shared" si="1052"/>
        <v>0</v>
      </c>
      <c r="W989" s="355">
        <f t="shared" si="1053"/>
        <v>66738</v>
      </c>
      <c r="X989" s="355">
        <f t="shared" si="1054"/>
        <v>0</v>
      </c>
      <c r="Y989" s="396"/>
      <c r="Z989" s="346" t="str">
        <f t="shared" si="1037"/>
        <v>0-CAMPA</v>
      </c>
      <c r="AA989" s="346" t="str">
        <f t="shared" si="1038"/>
        <v>0-CAMPE</v>
      </c>
      <c r="AB989" s="346" t="str">
        <f t="shared" si="1039"/>
        <v>0-CAMPM</v>
      </c>
      <c r="AC989" s="346" t="str">
        <f t="shared" si="1040"/>
        <v>0-CAMPT</v>
      </c>
      <c r="AD989" s="346" t="str">
        <f t="shared" si="1041"/>
        <v>0-CAMPS</v>
      </c>
      <c r="AE989" s="346" t="str">
        <f t="shared" si="1042"/>
        <v>0-CAMPX</v>
      </c>
      <c r="AF989" s="346" t="str">
        <f t="shared" si="1043"/>
        <v>0-CAMPS</v>
      </c>
      <c r="AG989" s="346">
        <f t="shared" si="1055"/>
        <v>6</v>
      </c>
      <c r="AH989" s="346">
        <f>IF(B989&lt;&gt;"",+IF(H989="x",+VLOOKUP(I989,'AUX-NIV2'!B:AG,32,FALSE),0),"")</f>
        <v>0</v>
      </c>
      <c r="AI989" s="346" t="str">
        <f t="shared" si="1044"/>
        <v>0-CAMP</v>
      </c>
      <c r="AK989" s="347">
        <f t="shared" si="1056"/>
        <v>985</v>
      </c>
      <c r="AL989" s="348">
        <f t="shared" si="1045"/>
        <v>990</v>
      </c>
      <c r="AM989" s="347" t="e">
        <f>IF(B989&lt;&gt;"",IF(B989=#REF!,1+#REF!,1),"")</f>
        <v>#REF!</v>
      </c>
      <c r="AN989" s="382">
        <f>IF(AND(AH989&gt;0,B989&lt;&gt;""),VLOOKUP(I989,'AUX-NIV2'!$B:$AP,40,FALSE)*O989,0)</f>
        <v>0</v>
      </c>
      <c r="AO989" s="382">
        <f t="shared" si="1057"/>
        <v>0</v>
      </c>
      <c r="AQ989" s="395">
        <f>(IF($H989="x",VLOOKUP($I989,'AUX-NIV2'!$B:$X,'AUX-NIV1'!AQ$3,FALSE),0)+($AV989*'AUX-NIV3'!S$4))*$O989+IF($H989=AQ$4,$P989,0)</f>
        <v>0</v>
      </c>
      <c r="AR989" s="395">
        <f>(IF($H989="x",VLOOKUP($I989,'AUX-NIV2'!$B:$X,'AUX-NIV1'!AR$3,FALSE),0)+($AV989*'AUX-NIV3'!T$4))*$O989+IF($H989=AR$4,$P989,0)</f>
        <v>0</v>
      </c>
      <c r="AS989" s="395">
        <f>(IF($H989="x",VLOOKUP($I989,'AUX-NIV2'!$B:$X,'AUX-NIV1'!AS$3,FALSE),0)+($AV989*'AUX-NIV3'!U$4))*$O989+IF($H989=AS$4,$P989,0)</f>
        <v>0</v>
      </c>
      <c r="AT989" s="395">
        <f>(IF($H989="x",VLOOKUP($I989,'AUX-NIV2'!$B:$X,'AUX-NIV1'!AT$3,FALSE),0)+($AV989*'AUX-NIV3'!V$4))*$O989+IF($H989=AT$4,$P989,0)</f>
        <v>0</v>
      </c>
      <c r="AU989" s="395">
        <f>(IF($H989="x",VLOOKUP($I989,'AUX-NIV2'!$B:$X,'AUX-NIV1'!AU$3,FALSE),0)+($AV989*'AUX-NIV3'!W$4))*$O989+IF($H989=AU$4,$P989,0)</f>
        <v>5000</v>
      </c>
      <c r="AV989" s="395">
        <f>+IF($H989="x",VLOOKUP($I989,'AUX-NIV2'!$B:$X,'AUX-NIV1'!AV$3,FALSE),0)</f>
        <v>0</v>
      </c>
    </row>
    <row r="990" spans="2:48" ht="14.4" hidden="1" thickTop="1" thickBot="1">
      <c r="B990" s="324" t="s">
        <v>4298</v>
      </c>
      <c r="C990" s="325" t="s">
        <v>4280</v>
      </c>
      <c r="D990" s="326" t="s">
        <v>1172</v>
      </c>
      <c r="E990" s="349">
        <f>IF(B990&lt;&gt;"",+SUMIF(Items!C:C,'AUX-NIV1'!B990,Items!H:H),"")</f>
        <v>0</v>
      </c>
      <c r="F990" s="349">
        <f t="shared" si="1047"/>
        <v>66738</v>
      </c>
      <c r="G990" s="349">
        <f t="shared" si="1048"/>
        <v>0</v>
      </c>
      <c r="H990" s="1395" t="str">
        <f t="shared" ref="H990" si="1119">IF(B990&lt;&gt;"",+LEFT(I990,1),"")</f>
        <v>S</v>
      </c>
      <c r="I990" s="1375" t="s">
        <v>3676</v>
      </c>
      <c r="J990" s="350" t="str">
        <f>IF(B990&lt;&gt;"",+VLOOKUP(I990,Recursos!C:F,2,FALSE),"")</f>
        <v>BAÑO QUIMICO</v>
      </c>
      <c r="K990" s="351" t="str">
        <f>IF(B990&lt;&gt;"",+VLOOKUP(I990,Recursos!C:F,3,FALSE),"")</f>
        <v>mes</v>
      </c>
      <c r="L990" s="1475">
        <f>IF(B990&lt;&gt;"",+VLOOKUP(I990,Recursos!C:F,4,FALSE),"")</f>
        <v>1000</v>
      </c>
      <c r="M990" s="1622">
        <v>5</v>
      </c>
      <c r="N990" s="1623">
        <v>1</v>
      </c>
      <c r="O990" s="1490">
        <f t="shared" ref="O990" si="1120">+M990*N990</f>
        <v>5</v>
      </c>
      <c r="P990" s="352">
        <f t="shared" ref="P990" si="1121">IF(B990&lt;&gt;"",O990*L990,"")</f>
        <v>5000</v>
      </c>
      <c r="Q990" s="349">
        <f t="shared" ref="Q990" si="1122">IF(B990&lt;&gt;"",+O990*E990,"")</f>
        <v>0</v>
      </c>
      <c r="R990" s="353">
        <f t="shared" ref="R990" si="1123">IF(B990&lt;&gt;"",Q990*L990,"")</f>
        <v>0</v>
      </c>
      <c r="S990" s="354">
        <f t="shared" si="1049"/>
        <v>0</v>
      </c>
      <c r="T990" s="354">
        <f t="shared" si="1050"/>
        <v>0</v>
      </c>
      <c r="U990" s="355">
        <f t="shared" si="1051"/>
        <v>0</v>
      </c>
      <c r="V990" s="355">
        <f t="shared" si="1052"/>
        <v>0</v>
      </c>
      <c r="W990" s="355">
        <f t="shared" si="1053"/>
        <v>66738</v>
      </c>
      <c r="X990" s="355">
        <f t="shared" si="1054"/>
        <v>0</v>
      </c>
      <c r="Y990" s="396"/>
      <c r="Z990" s="346" t="str">
        <f t="shared" ref="Z990" si="1124">IF(B990&lt;&gt;"",+$B990&amp;"A","")</f>
        <v>0-CAMPA</v>
      </c>
      <c r="AA990" s="346" t="str">
        <f t="shared" ref="AA990" si="1125">IF(B990&lt;&gt;"",+$B990&amp;"E","")</f>
        <v>0-CAMPE</v>
      </c>
      <c r="AB990" s="346" t="str">
        <f t="shared" ref="AB990" si="1126">IF(B990&lt;&gt;"",++$B990&amp;"M","")</f>
        <v>0-CAMPM</v>
      </c>
      <c r="AC990" s="346" t="str">
        <f t="shared" ref="AC990" si="1127">IF(B990&lt;&gt;"",+$B990&amp;"T","")</f>
        <v>0-CAMPT</v>
      </c>
      <c r="AD990" s="346" t="str">
        <f t="shared" ref="AD990" si="1128">IF(B990&lt;&gt;"",+$B990&amp;"S","")</f>
        <v>0-CAMPS</v>
      </c>
      <c r="AE990" s="346" t="str">
        <f t="shared" ref="AE990" si="1129">IF(B990&lt;&gt;"",+$B990&amp;"X","")</f>
        <v>0-CAMPX</v>
      </c>
      <c r="AF990" s="346" t="str">
        <f t="shared" ref="AF990" si="1130">IF(B990&lt;&gt;"",+B990&amp;H990,"")</f>
        <v>0-CAMPS</v>
      </c>
      <c r="AG990" s="346">
        <f t="shared" si="1055"/>
        <v>6</v>
      </c>
      <c r="AH990" s="346">
        <f>IF(B990&lt;&gt;"",+IF(H990="x",+VLOOKUP(I990,'AUX-NIV2'!B:AG,32,FALSE),0),"")</f>
        <v>0</v>
      </c>
      <c r="AI990" s="346" t="str">
        <f t="shared" ref="AI990" si="1131">IF(B990&lt;&gt;"",+B990,"")</f>
        <v>0-CAMP</v>
      </c>
      <c r="AK990" s="347">
        <f t="shared" si="1056"/>
        <v>985</v>
      </c>
      <c r="AL990" s="348">
        <f t="shared" ref="AL990" si="1132">IF(B990&lt;&gt;"",+AK990+AG990-1,"")</f>
        <v>990</v>
      </c>
      <c r="AM990" s="347" t="e">
        <f>IF(B990&lt;&gt;"",IF(B990=#REF!,1+#REF!,1),"")</f>
        <v>#REF!</v>
      </c>
      <c r="AN990" s="382">
        <f>IF(AND(AH990&gt;0,B990&lt;&gt;""),VLOOKUP(I990,'AUX-NIV2'!$B:$AP,40,FALSE)*O990,0)</f>
        <v>0</v>
      </c>
      <c r="AO990" s="382">
        <f t="shared" si="1057"/>
        <v>0</v>
      </c>
      <c r="AQ990" s="395">
        <f>(IF($H990="x",VLOOKUP($I990,'AUX-NIV2'!$B:$X,'AUX-NIV1'!AQ$3,FALSE),0)+($AV990*'AUX-NIV3'!S$4))*$O990+IF($H990=AQ$4,$P990,0)</f>
        <v>0</v>
      </c>
      <c r="AR990" s="395">
        <f>(IF($H990="x",VLOOKUP($I990,'AUX-NIV2'!$B:$X,'AUX-NIV1'!AR$3,FALSE),0)+($AV990*'AUX-NIV3'!T$4))*$O990+IF($H990=AR$4,$P990,0)</f>
        <v>0</v>
      </c>
      <c r="AS990" s="395">
        <f>(IF($H990="x",VLOOKUP($I990,'AUX-NIV2'!$B:$X,'AUX-NIV1'!AS$3,FALSE),0)+($AV990*'AUX-NIV3'!U$4))*$O990+IF($H990=AS$4,$P990,0)</f>
        <v>0</v>
      </c>
      <c r="AT990" s="395">
        <f>(IF($H990="x",VLOOKUP($I990,'AUX-NIV2'!$B:$X,'AUX-NIV1'!AT$3,FALSE),0)+($AV990*'AUX-NIV3'!V$4))*$O990+IF($H990=AT$4,$P990,0)</f>
        <v>0</v>
      </c>
      <c r="AU990" s="395">
        <f>(IF($H990="x",VLOOKUP($I990,'AUX-NIV2'!$B:$X,'AUX-NIV1'!AU$3,FALSE),0)+($AV990*'AUX-NIV3'!W$4))*$O990+IF($H990=AU$4,$P990,0)</f>
        <v>5000</v>
      </c>
      <c r="AV990" s="395">
        <f>+IF($H990="x",VLOOKUP($I990,'AUX-NIV2'!$B:$X,'AUX-NIV1'!AV$3,FALSE),0)</f>
        <v>0</v>
      </c>
    </row>
    <row r="991" spans="2:48" ht="13.8" hidden="1" thickTop="1">
      <c r="B991" s="1666" t="s">
        <v>4299</v>
      </c>
      <c r="C991" s="1667" t="s">
        <v>4281</v>
      </c>
      <c r="D991" s="1668" t="s">
        <v>501</v>
      </c>
      <c r="E991" s="349">
        <f>IF(B991&lt;&gt;"",+SUMIF(Items!C:C,'AUX-NIV1'!B991,Items!H:H),"")</f>
        <v>0</v>
      </c>
      <c r="F991" s="349">
        <f t="shared" si="1047"/>
        <v>4020.5435104064609</v>
      </c>
      <c r="G991" s="349">
        <f t="shared" si="1048"/>
        <v>0</v>
      </c>
      <c r="H991" s="1395" t="str">
        <f t="shared" ref="H991:H1008" si="1133">IF(B991&lt;&gt;"",+LEFT(I991,1),"")</f>
        <v>X</v>
      </c>
      <c r="I991" s="1669" t="s">
        <v>4302</v>
      </c>
      <c r="J991" s="350" t="str">
        <f>IF(B991&lt;&gt;"",+VLOOKUP(I991,Recursos!C:F,2,FALSE),"")</f>
        <v>Trabajos Metalurgicos en Entrepiso</v>
      </c>
      <c r="K991" s="351" t="str">
        <f>IF(B991&lt;&gt;"",+VLOOKUP(I991,Recursos!C:F,3,FALSE),"")</f>
        <v>m2</v>
      </c>
      <c r="L991" s="1475">
        <f>IF(B991&lt;&gt;"",+VLOOKUP(I991,Recursos!C:F,4,FALSE),"")</f>
        <v>1087.4791946545047</v>
      </c>
      <c r="M991" s="1493">
        <v>1.03</v>
      </c>
      <c r="N991" s="1507">
        <v>1</v>
      </c>
      <c r="O991" s="1490">
        <f t="shared" ref="O991:O1003" si="1134">+M991*N991</f>
        <v>1.03</v>
      </c>
      <c r="P991" s="352">
        <f t="shared" ref="P991:P1005" si="1135">IF(B991&lt;&gt;"",O991*L991,"")</f>
        <v>1120.1035704941398</v>
      </c>
      <c r="Q991" s="349">
        <f t="shared" ref="Q991:Q1008" si="1136">IF(B991&lt;&gt;"",+O991*E991,"")</f>
        <v>0</v>
      </c>
      <c r="R991" s="353">
        <f t="shared" ref="R991:R1008" si="1137">IF(B991&lt;&gt;"",Q991*L991,"")</f>
        <v>0</v>
      </c>
      <c r="S991" s="354">
        <f t="shared" si="1049"/>
        <v>0</v>
      </c>
      <c r="T991" s="354">
        <f t="shared" si="1050"/>
        <v>0</v>
      </c>
      <c r="U991" s="355">
        <f t="shared" si="1051"/>
        <v>0</v>
      </c>
      <c r="V991" s="355">
        <f t="shared" si="1052"/>
        <v>0</v>
      </c>
      <c r="W991" s="355">
        <f t="shared" si="1053"/>
        <v>0</v>
      </c>
      <c r="X991" s="355">
        <f t="shared" si="1054"/>
        <v>4020.5435104064609</v>
      </c>
      <c r="Y991" s="396"/>
      <c r="Z991" s="346" t="str">
        <f t="shared" ref="Z991:Z1008" si="1138">IF(B991&lt;&gt;"",+$B991&amp;"A","")</f>
        <v>0-ENTRPSOA</v>
      </c>
      <c r="AA991" s="346" t="str">
        <f t="shared" ref="AA991:AA1008" si="1139">IF(B991&lt;&gt;"",+$B991&amp;"E","")</f>
        <v>0-ENTRPSOE</v>
      </c>
      <c r="AB991" s="346" t="str">
        <f t="shared" ref="AB991:AB1008" si="1140">IF(B991&lt;&gt;"",++$B991&amp;"M","")</f>
        <v>0-ENTRPSOM</v>
      </c>
      <c r="AC991" s="346" t="str">
        <f t="shared" ref="AC991:AC1008" si="1141">IF(B991&lt;&gt;"",+$B991&amp;"T","")</f>
        <v>0-ENTRPSOT</v>
      </c>
      <c r="AD991" s="346" t="str">
        <f t="shared" ref="AD991:AD1008" si="1142">IF(B991&lt;&gt;"",+$B991&amp;"S","")</f>
        <v>0-ENTRPSOS</v>
      </c>
      <c r="AE991" s="346" t="str">
        <f t="shared" ref="AE991:AE1008" si="1143">IF(B991&lt;&gt;"",+$B991&amp;"X","")</f>
        <v>0-ENTRPSOX</v>
      </c>
      <c r="AF991" s="346" t="str">
        <f t="shared" ref="AF991:AF1008" si="1144">IF(B991&lt;&gt;"",+B991&amp;H991,"")</f>
        <v>0-ENTRPSOX</v>
      </c>
      <c r="AG991" s="346">
        <f t="shared" si="1055"/>
        <v>3</v>
      </c>
      <c r="AH991" s="346">
        <f>IF(B991&lt;&gt;"",+IF(H991="x",+VLOOKUP(I991,'AUX-NIV2'!B:AG,32,FALSE),0),"")</f>
        <v>7</v>
      </c>
      <c r="AI991" s="346" t="str">
        <f t="shared" ref="AI991:AI1008" si="1145">IF(B991&lt;&gt;"",+B991,"")</f>
        <v>0-ENTRPSO</v>
      </c>
      <c r="AK991" s="347">
        <f t="shared" si="1056"/>
        <v>991</v>
      </c>
      <c r="AL991" s="348">
        <f t="shared" ref="AL991:AL1008" si="1146">IF(B991&lt;&gt;"",+AK991+AG991-1,"")</f>
        <v>993</v>
      </c>
      <c r="AM991" s="347" t="e">
        <f>IF(B991&lt;&gt;"",IF(B991=#REF!,1+#REF!,1),"")</f>
        <v>#REF!</v>
      </c>
      <c r="AN991" s="382">
        <f>IF(AND(AH991&gt;0,B991&lt;&gt;""),VLOOKUP(I991,'AUX-NIV2'!$B:$AP,40,FALSE)*O991,0)</f>
        <v>1.3492397660818714</v>
      </c>
      <c r="AO991" s="382">
        <f t="shared" si="1057"/>
        <v>3.6817871345029238</v>
      </c>
      <c r="AQ991" s="395">
        <f>(IF($H991="x",VLOOKUP($I991,'AUX-NIV2'!$B:$X,'AUX-NIV1'!AQ$3,FALSE),0)+($AV991*'AUX-NIV3'!S$4))*$O991+IF($H991=AQ$4,$P991,0)</f>
        <v>701.71405913050341</v>
      </c>
      <c r="AR991" s="395">
        <f>(IF($H991="x",VLOOKUP($I991,'AUX-NIV2'!$B:$X,'AUX-NIV1'!AR$3,FALSE),0)+($AV991*'AUX-NIV3'!T$4))*$O991+IF($H991=AR$4,$P991,0)</f>
        <v>0</v>
      </c>
      <c r="AS991" s="395">
        <f>(IF($H991="x",VLOOKUP($I991,'AUX-NIV2'!$B:$X,'AUX-NIV1'!AS$3,FALSE),0)+($AV991*'AUX-NIV3'!U$4))*$O991+IF($H991=AS$4,$P991,0)</f>
        <v>418.38951136363636</v>
      </c>
      <c r="AT991" s="395">
        <f>(IF($H991="x",VLOOKUP($I991,'AUX-NIV2'!$B:$X,'AUX-NIV1'!AT$3,FALSE),0)+($AV991*'AUX-NIV3'!V$4))*$O991+IF($H991=AT$4,$P991,0)</f>
        <v>0</v>
      </c>
      <c r="AU991" s="395">
        <f>(IF($H991="x",VLOOKUP($I991,'AUX-NIV2'!$B:$X,'AUX-NIV1'!AU$3,FALSE),0)+($AV991*'AUX-NIV3'!W$4))*$O991+IF($H991=AU$4,$P991,0)</f>
        <v>0</v>
      </c>
      <c r="AV991" s="395">
        <f>+IF($H991="x",VLOOKUP($I991,'AUX-NIV2'!$B:$X,'AUX-NIV1'!AV$3,FALSE),0)</f>
        <v>0</v>
      </c>
    </row>
    <row r="992" spans="2:48" ht="13.8" hidden="1" thickTop="1">
      <c r="B992" s="1666" t="s">
        <v>4299</v>
      </c>
      <c r="C992" s="1667" t="s">
        <v>4281</v>
      </c>
      <c r="D992" s="1668" t="s">
        <v>501</v>
      </c>
      <c r="E992" s="349">
        <f>IF(B992&lt;&gt;"",+SUMIF(Items!C:C,'AUX-NIV1'!B992,Items!H:H),"")</f>
        <v>0</v>
      </c>
      <c r="F992" s="349">
        <f t="shared" si="1047"/>
        <v>4020.5435104064609</v>
      </c>
      <c r="G992" s="349">
        <f t="shared" si="1048"/>
        <v>0</v>
      </c>
      <c r="H992" s="1395" t="str">
        <f t="shared" si="1133"/>
        <v>X</v>
      </c>
      <c r="I992" s="1669" t="s">
        <v>4306</v>
      </c>
      <c r="J992" s="350" t="str">
        <f>IF(B992&lt;&gt;"",+VLOOKUP(I992,Recursos!C:F,2,FALSE),"")</f>
        <v>Entablonado Fenólico 1ra 18mm</v>
      </c>
      <c r="K992" s="351" t="str">
        <f>IF(B992&lt;&gt;"",+VLOOKUP(I992,Recursos!C:F,3,FALSE),"")</f>
        <v>m2</v>
      </c>
      <c r="L992" s="1475">
        <f>IF(B992&lt;&gt;"",+VLOOKUP(I992,Recursos!C:F,4,FALSE),"")</f>
        <v>1631.7085236645962</v>
      </c>
      <c r="M992" s="1493">
        <v>1.05</v>
      </c>
      <c r="N992" s="1507">
        <v>1</v>
      </c>
      <c r="O992" s="1490">
        <f t="shared" si="1134"/>
        <v>1.05</v>
      </c>
      <c r="P992" s="352">
        <f t="shared" si="1135"/>
        <v>1713.2939498478261</v>
      </c>
      <c r="Q992" s="349">
        <f t="shared" si="1136"/>
        <v>0</v>
      </c>
      <c r="R992" s="353">
        <f t="shared" si="1137"/>
        <v>0</v>
      </c>
      <c r="S992" s="354">
        <f t="shared" si="1049"/>
        <v>0</v>
      </c>
      <c r="T992" s="354">
        <f t="shared" si="1050"/>
        <v>0</v>
      </c>
      <c r="U992" s="355">
        <f t="shared" si="1051"/>
        <v>0</v>
      </c>
      <c r="V992" s="355">
        <f t="shared" si="1052"/>
        <v>0</v>
      </c>
      <c r="W992" s="355">
        <f t="shared" si="1053"/>
        <v>0</v>
      </c>
      <c r="X992" s="355">
        <f t="shared" si="1054"/>
        <v>4020.5435104064609</v>
      </c>
      <c r="Y992" s="396"/>
      <c r="Z992" s="346" t="str">
        <f t="shared" si="1138"/>
        <v>0-ENTRPSOA</v>
      </c>
      <c r="AA992" s="346" t="str">
        <f t="shared" si="1139"/>
        <v>0-ENTRPSOE</v>
      </c>
      <c r="AB992" s="346" t="str">
        <f t="shared" si="1140"/>
        <v>0-ENTRPSOM</v>
      </c>
      <c r="AC992" s="346" t="str">
        <f t="shared" si="1141"/>
        <v>0-ENTRPSOT</v>
      </c>
      <c r="AD992" s="346" t="str">
        <f t="shared" si="1142"/>
        <v>0-ENTRPSOS</v>
      </c>
      <c r="AE992" s="346" t="str">
        <f t="shared" si="1143"/>
        <v>0-ENTRPSOX</v>
      </c>
      <c r="AF992" s="346" t="str">
        <f t="shared" si="1144"/>
        <v>0-ENTRPSOX</v>
      </c>
      <c r="AG992" s="346">
        <f t="shared" si="1055"/>
        <v>3</v>
      </c>
      <c r="AH992" s="346">
        <f>IF(B992&lt;&gt;"",+IF(H992="x",+VLOOKUP(I992,'AUX-NIV2'!B:AG,32,FALSE),0),"")</f>
        <v>6</v>
      </c>
      <c r="AI992" s="346" t="str">
        <f t="shared" si="1145"/>
        <v>0-ENTRPSO</v>
      </c>
      <c r="AK992" s="347">
        <f t="shared" si="1056"/>
        <v>991</v>
      </c>
      <c r="AL992" s="348">
        <f t="shared" si="1146"/>
        <v>993</v>
      </c>
      <c r="AM992" s="347" t="e">
        <f>IF(B992&lt;&gt;"",IF(B992=#REF!,1+#REF!,1),"")</f>
        <v>#REF!</v>
      </c>
      <c r="AN992" s="382">
        <f>IF(AND(AH992&gt;0,B992&lt;&gt;""),VLOOKUP(I992,'AUX-NIV2'!$B:$AP,40,FALSE)*O992,0)</f>
        <v>1.1789473684210525</v>
      </c>
      <c r="AO992" s="382">
        <f t="shared" si="1057"/>
        <v>3.6817871345029238</v>
      </c>
      <c r="AQ992" s="395">
        <f>(IF($H992="x",VLOOKUP($I992,'AUX-NIV2'!$B:$X,'AUX-NIV1'!AQ$3,FALSE),0)+($AV992*'AUX-NIV3'!S$4))*$O992+IF($H992=AQ$4,$P992,0)</f>
        <v>541.95997260008539</v>
      </c>
      <c r="AR992" s="395">
        <f>(IF($H992="x",VLOOKUP($I992,'AUX-NIV2'!$B:$X,'AUX-NIV1'!AR$3,FALSE),0)+($AV992*'AUX-NIV3'!T$4))*$O992+IF($H992=AR$4,$P992,0)</f>
        <v>0</v>
      </c>
      <c r="AS992" s="395">
        <f>(IF($H992="x",VLOOKUP($I992,'AUX-NIV2'!$B:$X,'AUX-NIV1'!AS$3,FALSE),0)+($AV992*'AUX-NIV3'!U$4))*$O992+IF($H992=AS$4,$P992,0)</f>
        <v>1171.3339772477409</v>
      </c>
      <c r="AT992" s="395">
        <f>(IF($H992="x",VLOOKUP($I992,'AUX-NIV2'!$B:$X,'AUX-NIV1'!AT$3,FALSE),0)+($AV992*'AUX-NIV3'!V$4))*$O992+IF($H992=AT$4,$P992,0)</f>
        <v>0</v>
      </c>
      <c r="AU992" s="395">
        <f>(IF($H992="x",VLOOKUP($I992,'AUX-NIV2'!$B:$X,'AUX-NIV1'!AU$3,FALSE),0)+($AV992*'AUX-NIV3'!W$4))*$O992+IF($H992=AU$4,$P992,0)</f>
        <v>0</v>
      </c>
      <c r="AV992" s="395">
        <f>+IF($H992="x",VLOOKUP($I992,'AUX-NIV2'!$B:$X,'AUX-NIV1'!AV$3,FALSE),0)</f>
        <v>0</v>
      </c>
    </row>
    <row r="993" spans="2:48" ht="14.4" hidden="1" thickTop="1" thickBot="1">
      <c r="B993" s="1666" t="s">
        <v>4299</v>
      </c>
      <c r="C993" s="1667" t="s">
        <v>4281</v>
      </c>
      <c r="D993" s="1668" t="s">
        <v>501</v>
      </c>
      <c r="E993" s="349">
        <f>IF(B993&lt;&gt;"",+SUMIF(Items!C:C,'AUX-NIV1'!B993,Items!H:H),"")</f>
        <v>0</v>
      </c>
      <c r="F993" s="349">
        <f t="shared" si="1047"/>
        <v>4020.5435104064609</v>
      </c>
      <c r="G993" s="349">
        <f t="shared" si="1048"/>
        <v>0</v>
      </c>
      <c r="H993" s="1395" t="str">
        <f t="shared" si="1133"/>
        <v>X</v>
      </c>
      <c r="I993" s="1669" t="s">
        <v>4312</v>
      </c>
      <c r="J993" s="350" t="str">
        <f>IF(B993&lt;&gt;"",+VLOOKUP(I993,Recursos!C:F,2,FALSE),"")</f>
        <v>Hormigón Armado de Entrepiso</v>
      </c>
      <c r="K993" s="351" t="str">
        <f>IF(B993&lt;&gt;"",+VLOOKUP(I993,Recursos!C:F,3,FALSE),"")</f>
        <v>m3</v>
      </c>
      <c r="L993" s="1475">
        <f>IF(B993&lt;&gt;"",+VLOOKUP(I993,Recursos!C:F,4,FALSE),"")</f>
        <v>14407.111529908916</v>
      </c>
      <c r="M993" s="1622">
        <v>1.03</v>
      </c>
      <c r="N993" s="1623">
        <v>0.08</v>
      </c>
      <c r="O993" s="1490">
        <f t="shared" si="1134"/>
        <v>8.2400000000000001E-2</v>
      </c>
      <c r="P993" s="352">
        <f t="shared" si="1135"/>
        <v>1187.1459900644948</v>
      </c>
      <c r="Q993" s="349">
        <f t="shared" si="1136"/>
        <v>0</v>
      </c>
      <c r="R993" s="353">
        <f t="shared" si="1137"/>
        <v>0</v>
      </c>
      <c r="S993" s="354">
        <f t="shared" si="1049"/>
        <v>0</v>
      </c>
      <c r="T993" s="354">
        <f t="shared" si="1050"/>
        <v>0</v>
      </c>
      <c r="U993" s="355">
        <f t="shared" si="1051"/>
        <v>0</v>
      </c>
      <c r="V993" s="355">
        <f t="shared" si="1052"/>
        <v>0</v>
      </c>
      <c r="W993" s="355">
        <f t="shared" si="1053"/>
        <v>0</v>
      </c>
      <c r="X993" s="355">
        <f t="shared" si="1054"/>
        <v>4020.5435104064609</v>
      </c>
      <c r="Y993" s="396"/>
      <c r="Z993" s="346" t="str">
        <f t="shared" si="1138"/>
        <v>0-ENTRPSOA</v>
      </c>
      <c r="AA993" s="346" t="str">
        <f t="shared" si="1139"/>
        <v>0-ENTRPSOE</v>
      </c>
      <c r="AB993" s="346" t="str">
        <f t="shared" si="1140"/>
        <v>0-ENTRPSOM</v>
      </c>
      <c r="AC993" s="346" t="str">
        <f t="shared" si="1141"/>
        <v>0-ENTRPSOT</v>
      </c>
      <c r="AD993" s="346" t="str">
        <f t="shared" si="1142"/>
        <v>0-ENTRPSOS</v>
      </c>
      <c r="AE993" s="346" t="str">
        <f t="shared" si="1143"/>
        <v>0-ENTRPSOX</v>
      </c>
      <c r="AF993" s="346" t="str">
        <f t="shared" si="1144"/>
        <v>0-ENTRPSOX</v>
      </c>
      <c r="AG993" s="346">
        <f t="shared" si="1055"/>
        <v>3</v>
      </c>
      <c r="AH993" s="346">
        <f>IF(B993&lt;&gt;"",+IF(H993="x",+VLOOKUP(I993,'AUX-NIV2'!B:AG,32,FALSE),0),"")</f>
        <v>9</v>
      </c>
      <c r="AI993" s="346" t="str">
        <f t="shared" si="1145"/>
        <v>0-ENTRPSO</v>
      </c>
      <c r="AK993" s="347">
        <f t="shared" si="1056"/>
        <v>991</v>
      </c>
      <c r="AL993" s="348">
        <f t="shared" si="1146"/>
        <v>993</v>
      </c>
      <c r="AM993" s="347" t="e">
        <f>IF(B993&lt;&gt;"",IF(B993=#REF!,1+#REF!,1),"")</f>
        <v>#REF!</v>
      </c>
      <c r="AN993" s="382">
        <f>IF(AND(AH993&gt;0,B993&lt;&gt;""),VLOOKUP(I993,'AUX-NIV2'!$B:$AP,40,FALSE)*O993,0)</f>
        <v>1.1536</v>
      </c>
      <c r="AO993" s="382">
        <f t="shared" si="1057"/>
        <v>3.6817871345029238</v>
      </c>
      <c r="AQ993" s="395">
        <f>(IF($H993="x",VLOOKUP($I993,'AUX-NIV2'!$B:$X,'AUX-NIV1'!AQ$3,FALSE),0)+($AV993*'AUX-NIV3'!S$4))*$O993+IF($H993=AQ$4,$P993,0)</f>
        <v>511.71051444796564</v>
      </c>
      <c r="AR993" s="395">
        <f>(IF($H993="x",VLOOKUP($I993,'AUX-NIV2'!$B:$X,'AUX-NIV1'!AR$3,FALSE),0)+($AV993*'AUX-NIV3'!T$4))*$O993+IF($H993=AR$4,$P993,0)</f>
        <v>6.5589576000000003</v>
      </c>
      <c r="AS993" s="395">
        <f>(IF($H993="x",VLOOKUP($I993,'AUX-NIV2'!$B:$X,'AUX-NIV1'!AS$3,FALSE),0)+($AV993*'AUX-NIV3'!U$4))*$O993+IF($H993=AS$4,$P993,0)</f>
        <v>668.87651801652896</v>
      </c>
      <c r="AT993" s="395">
        <f>(IF($H993="x",VLOOKUP($I993,'AUX-NIV2'!$B:$X,'AUX-NIV1'!AT$3,FALSE),0)+($AV993*'AUX-NIV3'!V$4))*$O993+IF($H993=AT$4,$P993,0)</f>
        <v>0</v>
      </c>
      <c r="AU993" s="395">
        <f>(IF($H993="x",VLOOKUP($I993,'AUX-NIV2'!$B:$X,'AUX-NIV1'!AU$3,FALSE),0)+($AV993*'AUX-NIV3'!W$4))*$O993+IF($H993=AU$4,$P993,0)</f>
        <v>0</v>
      </c>
      <c r="AV993" s="395">
        <f>+IF($H993="x",VLOOKUP($I993,'AUX-NIV2'!$B:$X,'AUX-NIV1'!AV$3,FALSE),0)</f>
        <v>0</v>
      </c>
    </row>
    <row r="994" spans="2:48" ht="13.8" hidden="1" thickTop="1">
      <c r="B994" s="1374" t="s">
        <v>4612</v>
      </c>
      <c r="C994" s="1398" t="s">
        <v>4551</v>
      </c>
      <c r="D994" s="1376" t="s">
        <v>1172</v>
      </c>
      <c r="E994" s="1281">
        <f>IF(B994&lt;&gt;"",+SUMIF(Items!C:C,'AUX-NIV1'!B994,Items!H:H),"")</f>
        <v>0</v>
      </c>
      <c r="F994" s="1281">
        <f t="shared" si="1047"/>
        <v>18816.080147624536</v>
      </c>
      <c r="G994" s="1281">
        <f t="shared" si="1048"/>
        <v>0</v>
      </c>
      <c r="H994" s="1395" t="str">
        <f t="shared" si="1133"/>
        <v>A</v>
      </c>
      <c r="I994" s="1375" t="s">
        <v>1745</v>
      </c>
      <c r="J994" s="1283" t="str">
        <f>IF(B994&lt;&gt;"",+VLOOKUP(I994,Recursos!C:F,2,FALSE),"")</f>
        <v>AYUDANTE</v>
      </c>
      <c r="K994" s="1284" t="str">
        <f>IF(B994&lt;&gt;"",+VLOOKUP(I994,Recursos!C:F,3,FALSE),"")</f>
        <v>hh</v>
      </c>
      <c r="L994" s="1285">
        <f>IF(B994&lt;&gt;"",+VLOOKUP(I994,Recursos!C:F,4,FALSE),"")</f>
        <v>422.48042769667234</v>
      </c>
      <c r="M994" s="1304">
        <v>8</v>
      </c>
      <c r="N994" s="1367">
        <v>1</v>
      </c>
      <c r="O994" s="1286">
        <f>M994/N994</f>
        <v>8</v>
      </c>
      <c r="P994" s="1287">
        <f t="shared" si="1135"/>
        <v>3379.8434215733787</v>
      </c>
      <c r="Q994" s="1281">
        <f t="shared" si="1136"/>
        <v>0</v>
      </c>
      <c r="R994" s="1288">
        <f t="shared" si="1137"/>
        <v>0</v>
      </c>
      <c r="S994" s="1289">
        <f t="shared" si="1049"/>
        <v>7355.1710567154441</v>
      </c>
      <c r="T994" s="1289">
        <f t="shared" si="1050"/>
        <v>0</v>
      </c>
      <c r="U994" s="1290">
        <f t="shared" si="1051"/>
        <v>11460.909090909092</v>
      </c>
      <c r="V994" s="1290">
        <f t="shared" si="1052"/>
        <v>0</v>
      </c>
      <c r="W994" s="1290">
        <f t="shared" si="1053"/>
        <v>0</v>
      </c>
      <c r="X994" s="1290">
        <f t="shared" si="1054"/>
        <v>0</v>
      </c>
      <c r="Y994" s="396"/>
      <c r="Z994" s="1291" t="str">
        <f t="shared" si="1138"/>
        <v>0-INSTINCA</v>
      </c>
      <c r="AA994" s="1291" t="str">
        <f t="shared" si="1139"/>
        <v>0-INSTINCE</v>
      </c>
      <c r="AB994" s="1291" t="str">
        <f t="shared" si="1140"/>
        <v>0-INSTINCM</v>
      </c>
      <c r="AC994" s="1291" t="str">
        <f t="shared" si="1141"/>
        <v>0-INSTINCT</v>
      </c>
      <c r="AD994" s="1291" t="str">
        <f t="shared" si="1142"/>
        <v>0-INSTINCS</v>
      </c>
      <c r="AE994" s="1291" t="str">
        <f t="shared" si="1143"/>
        <v>0-INSTINCX</v>
      </c>
      <c r="AF994" s="1291" t="str">
        <f t="shared" si="1144"/>
        <v>0-INSTINCA</v>
      </c>
      <c r="AG994" s="1291">
        <f t="shared" si="1055"/>
        <v>6</v>
      </c>
      <c r="AH994" s="1291">
        <f>IF(B994&lt;&gt;"",+IF(H994="x",+VLOOKUP(I994,'AUX-NIV2'!B:AG,32,FALSE),0),"")</f>
        <v>0</v>
      </c>
      <c r="AI994" s="1291" t="str">
        <f t="shared" si="1145"/>
        <v>0-INSTINC</v>
      </c>
      <c r="AK994" s="347">
        <f t="shared" si="1056"/>
        <v>994</v>
      </c>
      <c r="AL994" s="348">
        <f t="shared" si="1146"/>
        <v>999</v>
      </c>
      <c r="AM994" s="347">
        <f t="shared" ref="AM994:AM995" si="1147">IF(B994&lt;&gt;"",IF(B994=B993,1+AM993,1),"")</f>
        <v>1</v>
      </c>
      <c r="AN994" s="382">
        <f>IF(AND(AH994&gt;0,B994&lt;&gt;""),VLOOKUP(I994,'AUX-NIV2'!$B:$AP,40,FALSE)*O994,0)</f>
        <v>0</v>
      </c>
      <c r="AO994" s="382">
        <f t="shared" si="1057"/>
        <v>16</v>
      </c>
      <c r="AQ994" s="395">
        <f>(IF($H994="x",VLOOKUP($I994,'AUX-NIV2'!$B:$X,'AUX-NIV1'!AQ$3,FALSE),0)+($AV994*'AUX-NIV3'!S$4))*$O994+IF($H994=AQ$4,$P994,0)</f>
        <v>3379.8434215733787</v>
      </c>
      <c r="AR994" s="395">
        <f>(IF($H994="x",VLOOKUP($I994,'AUX-NIV2'!$B:$X,'AUX-NIV1'!AR$3,FALSE),0)+($AV994*'AUX-NIV3'!T$4))*$O994+IF($H994=AR$4,$P994,0)</f>
        <v>0</v>
      </c>
      <c r="AS994" s="395">
        <f>(IF($H994="x",VLOOKUP($I994,'AUX-NIV2'!$B:$X,'AUX-NIV1'!AS$3,FALSE),0)+($AV994*'AUX-NIV3'!U$4))*$O994+IF($H994=AS$4,$P994,0)</f>
        <v>0</v>
      </c>
      <c r="AT994" s="395">
        <f>(IF($H994="x",VLOOKUP($I994,'AUX-NIV2'!$B:$X,'AUX-NIV1'!AT$3,FALSE),0)+($AV994*'AUX-NIV3'!V$4))*$O994+IF($H994=AT$4,$P994,0)</f>
        <v>0</v>
      </c>
      <c r="AU994" s="395">
        <f>(IF($H994="x",VLOOKUP($I994,'AUX-NIV2'!$B:$X,'AUX-NIV1'!AU$3,FALSE),0)+($AV994*'AUX-NIV3'!W$4))*$O994+IF($H994=AU$4,$P994,0)</f>
        <v>0</v>
      </c>
      <c r="AV994" s="395">
        <f>+IF($H994="x",VLOOKUP($I994,'AUX-NIV2'!$B:$X,'AUX-NIV1'!AV$3,FALSE),0)</f>
        <v>0</v>
      </c>
    </row>
    <row r="995" spans="2:48" ht="13.8" hidden="1" thickTop="1">
      <c r="B995" s="1374" t="s">
        <v>4612</v>
      </c>
      <c r="C995" s="1398" t="s">
        <v>4551</v>
      </c>
      <c r="D995" s="1376" t="s">
        <v>1172</v>
      </c>
      <c r="E995" s="1281">
        <f>IF(B995&lt;&gt;"",+SUMIF(Items!C:C,'AUX-NIV1'!B995,Items!H:H),"")</f>
        <v>0</v>
      </c>
      <c r="F995" s="1281">
        <f t="shared" si="1047"/>
        <v>18816.080147624536</v>
      </c>
      <c r="G995" s="1281">
        <f t="shared" si="1048"/>
        <v>0</v>
      </c>
      <c r="H995" s="1395" t="str">
        <f t="shared" si="1133"/>
        <v>A</v>
      </c>
      <c r="I995" s="1375" t="s">
        <v>1746</v>
      </c>
      <c r="J995" s="1283" t="str">
        <f>IF(B995&lt;&gt;"",+VLOOKUP(I995,Recursos!C:F,2,FALSE),"")</f>
        <v>OFICIAL</v>
      </c>
      <c r="K995" s="1284" t="str">
        <f>IF(B995&lt;&gt;"",+VLOOKUP(I995,Recursos!C:F,3,FALSE),"")</f>
        <v>hh</v>
      </c>
      <c r="L995" s="1285">
        <f>IF(B995&lt;&gt;"",+VLOOKUP(I995,Recursos!C:F,4,FALSE),"")</f>
        <v>496.91595439275824</v>
      </c>
      <c r="M995" s="1399">
        <v>8</v>
      </c>
      <c r="N995" s="1403"/>
      <c r="O995" s="1286">
        <f>M995/N994</f>
        <v>8</v>
      </c>
      <c r="P995" s="1287">
        <f t="shared" si="1135"/>
        <v>3975.3276351420659</v>
      </c>
      <c r="Q995" s="1281">
        <f t="shared" si="1136"/>
        <v>0</v>
      </c>
      <c r="R995" s="1288">
        <f t="shared" si="1137"/>
        <v>0</v>
      </c>
      <c r="S995" s="1289">
        <f t="shared" si="1049"/>
        <v>7355.1710567154441</v>
      </c>
      <c r="T995" s="1289">
        <f t="shared" si="1050"/>
        <v>0</v>
      </c>
      <c r="U995" s="1290">
        <f t="shared" si="1051"/>
        <v>11460.909090909092</v>
      </c>
      <c r="V995" s="1290">
        <f t="shared" si="1052"/>
        <v>0</v>
      </c>
      <c r="W995" s="1290">
        <f t="shared" si="1053"/>
        <v>0</v>
      </c>
      <c r="X995" s="1290">
        <f t="shared" si="1054"/>
        <v>0</v>
      </c>
      <c r="Y995" s="396"/>
      <c r="Z995" s="1291" t="str">
        <f t="shared" si="1138"/>
        <v>0-INSTINCA</v>
      </c>
      <c r="AA995" s="1291" t="str">
        <f t="shared" si="1139"/>
        <v>0-INSTINCE</v>
      </c>
      <c r="AB995" s="1291" t="str">
        <f t="shared" si="1140"/>
        <v>0-INSTINCM</v>
      </c>
      <c r="AC995" s="1291" t="str">
        <f t="shared" si="1141"/>
        <v>0-INSTINCT</v>
      </c>
      <c r="AD995" s="1291" t="str">
        <f t="shared" si="1142"/>
        <v>0-INSTINCS</v>
      </c>
      <c r="AE995" s="1291" t="str">
        <f t="shared" si="1143"/>
        <v>0-INSTINCX</v>
      </c>
      <c r="AF995" s="1291" t="str">
        <f t="shared" si="1144"/>
        <v>0-INSTINCA</v>
      </c>
      <c r="AG995" s="1291">
        <f t="shared" si="1055"/>
        <v>6</v>
      </c>
      <c r="AH995" s="1291">
        <f>IF(B995&lt;&gt;"",+IF(H995="x",+VLOOKUP(I995,'AUX-NIV2'!B:AG,32,FALSE),0),"")</f>
        <v>0</v>
      </c>
      <c r="AI995" s="1291" t="str">
        <f t="shared" si="1145"/>
        <v>0-INSTINC</v>
      </c>
      <c r="AK995" s="347">
        <f t="shared" si="1056"/>
        <v>994</v>
      </c>
      <c r="AL995" s="348">
        <f t="shared" si="1146"/>
        <v>999</v>
      </c>
      <c r="AM995" s="347">
        <f t="shared" si="1147"/>
        <v>2</v>
      </c>
      <c r="AN995" s="382">
        <f>IF(AND(AH995&gt;0,B995&lt;&gt;""),VLOOKUP(I995,'AUX-NIV2'!$B:$AP,40,FALSE)*O995,0)</f>
        <v>0</v>
      </c>
      <c r="AO995" s="382">
        <f t="shared" si="1057"/>
        <v>16</v>
      </c>
      <c r="AQ995" s="395">
        <f>(IF($H995="x",VLOOKUP($I995,'AUX-NIV2'!$B:$X,'AUX-NIV1'!AQ$3,FALSE),0)+($AV995*'AUX-NIV3'!S$4))*$O995+IF($H995=AQ$4,$P995,0)</f>
        <v>3975.3276351420659</v>
      </c>
      <c r="AR995" s="395">
        <f>(IF($H995="x",VLOOKUP($I995,'AUX-NIV2'!$B:$X,'AUX-NIV1'!AR$3,FALSE),0)+($AV995*'AUX-NIV3'!T$4))*$O995+IF($H995=AR$4,$P995,0)</f>
        <v>0</v>
      </c>
      <c r="AS995" s="395">
        <f>(IF($H995="x",VLOOKUP($I995,'AUX-NIV2'!$B:$X,'AUX-NIV1'!AS$3,FALSE),0)+($AV995*'AUX-NIV3'!U$4))*$O995+IF($H995=AS$4,$P995,0)</f>
        <v>0</v>
      </c>
      <c r="AT995" s="395">
        <f>(IF($H995="x",VLOOKUP($I995,'AUX-NIV2'!$B:$X,'AUX-NIV1'!AT$3,FALSE),0)+($AV995*'AUX-NIV3'!V$4))*$O995+IF($H995=AT$4,$P995,0)</f>
        <v>0</v>
      </c>
      <c r="AU995" s="395">
        <f>(IF($H995="x",VLOOKUP($I995,'AUX-NIV2'!$B:$X,'AUX-NIV1'!AU$3,FALSE),0)+($AV995*'AUX-NIV3'!W$4))*$O995+IF($H995=AU$4,$P995,0)</f>
        <v>0</v>
      </c>
      <c r="AV995" s="395">
        <f>+IF($H995="x",VLOOKUP($I995,'AUX-NIV2'!$B:$X,'AUX-NIV1'!AV$3,FALSE),0)</f>
        <v>0</v>
      </c>
    </row>
    <row r="996" spans="2:48" ht="13.8" hidden="1" thickTop="1">
      <c r="B996" s="1374" t="s">
        <v>4612</v>
      </c>
      <c r="C996" s="1398" t="s">
        <v>4551</v>
      </c>
      <c r="D996" s="1376" t="s">
        <v>1172</v>
      </c>
      <c r="E996" s="1281">
        <f>IF(B996&lt;&gt;"",+SUMIF(Items!C:C,'AUX-NIV1'!B996,Items!H:H),"")</f>
        <v>0</v>
      </c>
      <c r="F996" s="1281">
        <f t="shared" si="1047"/>
        <v>18816.080147624536</v>
      </c>
      <c r="G996" s="1281">
        <f t="shared" si="1048"/>
        <v>0</v>
      </c>
      <c r="H996" s="1395" t="str">
        <f t="shared" si="1133"/>
        <v>M</v>
      </c>
      <c r="I996" s="1375" t="s">
        <v>4585</v>
      </c>
      <c r="J996" s="1283" t="str">
        <f>IF(B996&lt;&gt;"",+VLOOKUP(I996,Recursos!C:F,2,FALSE),"")</f>
        <v>Extintor ABC 5kg</v>
      </c>
      <c r="K996" s="1284" t="str">
        <f>IF(B996&lt;&gt;"",+VLOOKUP(I996,Recursos!C:F,3,FALSE),"")</f>
        <v>Un</v>
      </c>
      <c r="L996" s="1285">
        <f>IF(B996&lt;&gt;"",+VLOOKUP(I996,Recursos!C:F,4,FALSE),"")</f>
        <v>4545.454545454546</v>
      </c>
      <c r="M996" s="1631"/>
      <c r="N996" s="1547">
        <v>2</v>
      </c>
      <c r="O996" s="1286">
        <f t="shared" ref="O996:O999" si="1148">N996</f>
        <v>2</v>
      </c>
      <c r="P996" s="1287">
        <f t="shared" si="1135"/>
        <v>9090.9090909090919</v>
      </c>
      <c r="Q996" s="1281">
        <f t="shared" si="1136"/>
        <v>0</v>
      </c>
      <c r="R996" s="1288">
        <f t="shared" si="1137"/>
        <v>0</v>
      </c>
      <c r="S996" s="1289">
        <f t="shared" si="1049"/>
        <v>7355.1710567154441</v>
      </c>
      <c r="T996" s="1289">
        <f t="shared" si="1050"/>
        <v>0</v>
      </c>
      <c r="U996" s="1290">
        <f t="shared" si="1051"/>
        <v>11460.909090909092</v>
      </c>
      <c r="V996" s="1290">
        <f t="shared" si="1052"/>
        <v>0</v>
      </c>
      <c r="W996" s="1290">
        <f t="shared" si="1053"/>
        <v>0</v>
      </c>
      <c r="X996" s="1290">
        <f t="shared" si="1054"/>
        <v>0</v>
      </c>
      <c r="Y996" s="396"/>
      <c r="Z996" s="1291" t="str">
        <f t="shared" si="1138"/>
        <v>0-INSTINCA</v>
      </c>
      <c r="AA996" s="1291" t="str">
        <f t="shared" si="1139"/>
        <v>0-INSTINCE</v>
      </c>
      <c r="AB996" s="1291" t="str">
        <f t="shared" si="1140"/>
        <v>0-INSTINCM</v>
      </c>
      <c r="AC996" s="1291" t="str">
        <f t="shared" si="1141"/>
        <v>0-INSTINCT</v>
      </c>
      <c r="AD996" s="1291" t="str">
        <f t="shared" si="1142"/>
        <v>0-INSTINCS</v>
      </c>
      <c r="AE996" s="1291" t="str">
        <f t="shared" si="1143"/>
        <v>0-INSTINCX</v>
      </c>
      <c r="AF996" s="1291" t="str">
        <f t="shared" si="1144"/>
        <v>0-INSTINCM</v>
      </c>
      <c r="AG996" s="1291">
        <f t="shared" si="1055"/>
        <v>6</v>
      </c>
      <c r="AH996" s="1291">
        <f>IF(B996&lt;&gt;"",+IF(H996="x",+VLOOKUP(I996,'AUX-NIV2'!B:AG,32,FALSE),0),"")</f>
        <v>0</v>
      </c>
      <c r="AI996" s="1291" t="str">
        <f t="shared" si="1145"/>
        <v>0-INSTINC</v>
      </c>
      <c r="AK996" s="347">
        <f t="shared" si="1056"/>
        <v>994</v>
      </c>
      <c r="AL996" s="348">
        <f t="shared" si="1146"/>
        <v>999</v>
      </c>
      <c r="AM996" s="347" t="e">
        <f>IF(B996&lt;&gt;"",IF(B996=#REF!,1+#REF!,1),"")</f>
        <v>#REF!</v>
      </c>
      <c r="AN996" s="382">
        <f>IF(AND(AH996&gt;0,B996&lt;&gt;""),VLOOKUP(I996,'AUX-NIV2'!$B:$AP,40,FALSE)*O996,0)</f>
        <v>0</v>
      </c>
      <c r="AO996" s="382">
        <f t="shared" si="1057"/>
        <v>16</v>
      </c>
      <c r="AQ996" s="395">
        <f>(IF($H996="x",VLOOKUP($I996,'AUX-NIV2'!$B:$X,'AUX-NIV1'!AQ$3,FALSE),0)+($AV996*'AUX-NIV3'!S$4))*$O996+IF($H996=AQ$4,$P996,0)</f>
        <v>0</v>
      </c>
      <c r="AR996" s="395">
        <f>(IF($H996="x",VLOOKUP($I996,'AUX-NIV2'!$B:$X,'AUX-NIV1'!AR$3,FALSE),0)+($AV996*'AUX-NIV3'!T$4))*$O996+IF($H996=AR$4,$P996,0)</f>
        <v>0</v>
      </c>
      <c r="AS996" s="395">
        <f>(IF($H996="x",VLOOKUP($I996,'AUX-NIV2'!$B:$X,'AUX-NIV1'!AS$3,FALSE),0)+($AV996*'AUX-NIV3'!U$4))*$O996+IF($H996=AS$4,$P996,0)</f>
        <v>9090.9090909090919</v>
      </c>
      <c r="AT996" s="395">
        <f>(IF($H996="x",VLOOKUP($I996,'AUX-NIV2'!$B:$X,'AUX-NIV1'!AT$3,FALSE),0)+($AV996*'AUX-NIV3'!V$4))*$O996+IF($H996=AT$4,$P996,0)</f>
        <v>0</v>
      </c>
      <c r="AU996" s="395">
        <f>(IF($H996="x",VLOOKUP($I996,'AUX-NIV2'!$B:$X,'AUX-NIV1'!AU$3,FALSE),0)+($AV996*'AUX-NIV3'!W$4))*$O996+IF($H996=AU$4,$P996,0)</f>
        <v>0</v>
      </c>
      <c r="AV996" s="395">
        <f>+IF($H996="x",VLOOKUP($I996,'AUX-NIV2'!$B:$X,'AUX-NIV1'!AV$3,FALSE),0)</f>
        <v>0</v>
      </c>
    </row>
    <row r="997" spans="2:48" ht="13.8" hidden="1" thickTop="1">
      <c r="B997" s="1374" t="s">
        <v>4612</v>
      </c>
      <c r="C997" s="1398" t="s">
        <v>4551</v>
      </c>
      <c r="D997" s="1376" t="s">
        <v>1172</v>
      </c>
      <c r="E997" s="1281">
        <f>IF(B997&lt;&gt;"",+SUMIF(Items!C:C,'AUX-NIV1'!B997,Items!H:H),"")</f>
        <v>0</v>
      </c>
      <c r="F997" s="1281">
        <f t="shared" si="1047"/>
        <v>18816.080147624536</v>
      </c>
      <c r="G997" s="1281">
        <f t="shared" si="1048"/>
        <v>0</v>
      </c>
      <c r="H997" s="1395" t="str">
        <f t="shared" si="1133"/>
        <v>M</v>
      </c>
      <c r="I997" s="1462" t="s">
        <v>4589</v>
      </c>
      <c r="J997" s="1283" t="str">
        <f>IF(B997&lt;&gt;"",+VLOOKUP(I997,Recursos!C:F,2,FALSE),"")</f>
        <v>Soporte Extintor 5kg</v>
      </c>
      <c r="K997" s="1284" t="str">
        <f>IF(B997&lt;&gt;"",+VLOOKUP(I997,Recursos!C:F,3,FALSE),"")</f>
        <v>Un</v>
      </c>
      <c r="L997" s="1285">
        <f>IF(B997&lt;&gt;"",+VLOOKUP(I997,Recursos!C:F,4,FALSE),"")</f>
        <v>200</v>
      </c>
      <c r="M997" s="1631"/>
      <c r="N997" s="1547">
        <v>2</v>
      </c>
      <c r="O997" s="1286">
        <f t="shared" si="1148"/>
        <v>2</v>
      </c>
      <c r="P997" s="1287">
        <f t="shared" si="1135"/>
        <v>400</v>
      </c>
      <c r="Q997" s="1281">
        <f t="shared" si="1136"/>
        <v>0</v>
      </c>
      <c r="R997" s="1288">
        <f t="shared" si="1137"/>
        <v>0</v>
      </c>
      <c r="S997" s="1289">
        <f t="shared" si="1049"/>
        <v>7355.1710567154441</v>
      </c>
      <c r="T997" s="1289">
        <f t="shared" si="1050"/>
        <v>0</v>
      </c>
      <c r="U997" s="1290">
        <f t="shared" si="1051"/>
        <v>11460.909090909092</v>
      </c>
      <c r="V997" s="1290">
        <f t="shared" si="1052"/>
        <v>0</v>
      </c>
      <c r="W997" s="1290">
        <f t="shared" si="1053"/>
        <v>0</v>
      </c>
      <c r="X997" s="1290">
        <f t="shared" si="1054"/>
        <v>0</v>
      </c>
      <c r="Y997" s="396"/>
      <c r="Z997" s="1291" t="str">
        <f t="shared" si="1138"/>
        <v>0-INSTINCA</v>
      </c>
      <c r="AA997" s="1291" t="str">
        <f t="shared" si="1139"/>
        <v>0-INSTINCE</v>
      </c>
      <c r="AB997" s="1291" t="str">
        <f t="shared" si="1140"/>
        <v>0-INSTINCM</v>
      </c>
      <c r="AC997" s="1291" t="str">
        <f t="shared" si="1141"/>
        <v>0-INSTINCT</v>
      </c>
      <c r="AD997" s="1291" t="str">
        <f t="shared" si="1142"/>
        <v>0-INSTINCS</v>
      </c>
      <c r="AE997" s="1291" t="str">
        <f t="shared" si="1143"/>
        <v>0-INSTINCX</v>
      </c>
      <c r="AF997" s="1291" t="str">
        <f t="shared" si="1144"/>
        <v>0-INSTINCM</v>
      </c>
      <c r="AG997" s="1291">
        <f t="shared" si="1055"/>
        <v>6</v>
      </c>
      <c r="AH997" s="1291">
        <f>IF(B997&lt;&gt;"",+IF(H997="x",+VLOOKUP(I997,'AUX-NIV2'!B:AG,32,FALSE),0),"")</f>
        <v>0</v>
      </c>
      <c r="AI997" s="1291" t="str">
        <f t="shared" si="1145"/>
        <v>0-INSTINC</v>
      </c>
      <c r="AK997" s="347">
        <f t="shared" si="1056"/>
        <v>994</v>
      </c>
      <c r="AL997" s="348">
        <f t="shared" si="1146"/>
        <v>999</v>
      </c>
      <c r="AM997" s="347" t="e">
        <f t="shared" ref="AM997" si="1149">IF(B997&lt;&gt;"",IF(B997=B996,1+AM996,1),"")</f>
        <v>#REF!</v>
      </c>
      <c r="AN997" s="382">
        <f>IF(AND(AH997&gt;0,B997&lt;&gt;""),VLOOKUP(I997,'AUX-NIV2'!$B:$AP,40,FALSE)*O997,0)</f>
        <v>0</v>
      </c>
      <c r="AO997" s="382">
        <f t="shared" si="1057"/>
        <v>16</v>
      </c>
      <c r="AQ997" s="395">
        <f>(IF($H997="x",VLOOKUP($I997,'AUX-NIV2'!$B:$X,'AUX-NIV1'!AQ$3,FALSE),0)+($AV997*'AUX-NIV3'!S$4))*$O997+IF($H997=AQ$4,$P997,0)</f>
        <v>0</v>
      </c>
      <c r="AR997" s="395">
        <f>(IF($H997="x",VLOOKUP($I997,'AUX-NIV2'!$B:$X,'AUX-NIV1'!AR$3,FALSE),0)+($AV997*'AUX-NIV3'!T$4))*$O997+IF($H997=AR$4,$P997,0)</f>
        <v>0</v>
      </c>
      <c r="AS997" s="395">
        <f>(IF($H997="x",VLOOKUP($I997,'AUX-NIV2'!$B:$X,'AUX-NIV1'!AS$3,FALSE),0)+($AV997*'AUX-NIV3'!U$4))*$O997+IF($H997=AS$4,$P997,0)</f>
        <v>400</v>
      </c>
      <c r="AT997" s="395">
        <f>(IF($H997="x",VLOOKUP($I997,'AUX-NIV2'!$B:$X,'AUX-NIV1'!AT$3,FALSE),0)+($AV997*'AUX-NIV3'!V$4))*$O997+IF($H997=AT$4,$P997,0)</f>
        <v>0</v>
      </c>
      <c r="AU997" s="395">
        <f>(IF($H997="x",VLOOKUP($I997,'AUX-NIV2'!$B:$X,'AUX-NIV1'!AU$3,FALSE),0)+($AV997*'AUX-NIV3'!W$4))*$O997+IF($H997=AU$4,$P997,0)</f>
        <v>0</v>
      </c>
      <c r="AV997" s="395">
        <f>+IF($H997="x",VLOOKUP($I997,'AUX-NIV2'!$B:$X,'AUX-NIV1'!AV$3,FALSE),0)</f>
        <v>0</v>
      </c>
    </row>
    <row r="998" spans="2:48" ht="13.8" hidden="1" thickTop="1">
      <c r="B998" s="1374" t="s">
        <v>4612</v>
      </c>
      <c r="C998" s="1398" t="s">
        <v>4551</v>
      </c>
      <c r="D998" s="1376" t="s">
        <v>1172</v>
      </c>
      <c r="E998" s="1281">
        <f>IF(B998&lt;&gt;"",+SUMIF(Items!C:C,'AUX-NIV1'!B998,Items!H:H),"")</f>
        <v>0</v>
      </c>
      <c r="F998" s="1281">
        <f t="shared" si="1047"/>
        <v>18816.080147624536</v>
      </c>
      <c r="G998" s="1281">
        <f t="shared" si="1048"/>
        <v>0</v>
      </c>
      <c r="H998" s="1395" t="str">
        <f t="shared" si="1133"/>
        <v>M</v>
      </c>
      <c r="I998" s="1462" t="s">
        <v>4592</v>
      </c>
      <c r="J998" s="1283" t="str">
        <f>IF(B998&lt;&gt;"",+VLOOKUP(I998,Recursos!C:F,2,FALSE),"")</f>
        <v>Señalización Reglamentaria Extintor</v>
      </c>
      <c r="K998" s="1284" t="str">
        <f>IF(B998&lt;&gt;"",+VLOOKUP(I998,Recursos!C:F,3,FALSE),"")</f>
        <v>Un</v>
      </c>
      <c r="L998" s="1285">
        <f>IF(B998&lt;&gt;"",+VLOOKUP(I998,Recursos!C:F,4,FALSE),"")</f>
        <v>160</v>
      </c>
      <c r="M998" s="1631"/>
      <c r="N998" s="1547">
        <v>2</v>
      </c>
      <c r="O998" s="1286">
        <f t="shared" si="1148"/>
        <v>2</v>
      </c>
      <c r="P998" s="1287">
        <f t="shared" si="1135"/>
        <v>320</v>
      </c>
      <c r="Q998" s="1281">
        <f t="shared" si="1136"/>
        <v>0</v>
      </c>
      <c r="R998" s="1288">
        <f t="shared" si="1137"/>
        <v>0</v>
      </c>
      <c r="S998" s="1289">
        <f t="shared" si="1049"/>
        <v>7355.1710567154441</v>
      </c>
      <c r="T998" s="1289">
        <f t="shared" si="1050"/>
        <v>0</v>
      </c>
      <c r="U998" s="1290">
        <f t="shared" si="1051"/>
        <v>11460.909090909092</v>
      </c>
      <c r="V998" s="1290">
        <f t="shared" si="1052"/>
        <v>0</v>
      </c>
      <c r="W998" s="1290">
        <f t="shared" si="1053"/>
        <v>0</v>
      </c>
      <c r="X998" s="1290">
        <f t="shared" si="1054"/>
        <v>0</v>
      </c>
      <c r="Y998" s="396"/>
      <c r="Z998" s="1291" t="str">
        <f t="shared" si="1138"/>
        <v>0-INSTINCA</v>
      </c>
      <c r="AA998" s="1291" t="str">
        <f t="shared" si="1139"/>
        <v>0-INSTINCE</v>
      </c>
      <c r="AB998" s="1291" t="str">
        <f t="shared" si="1140"/>
        <v>0-INSTINCM</v>
      </c>
      <c r="AC998" s="1291" t="str">
        <f t="shared" si="1141"/>
        <v>0-INSTINCT</v>
      </c>
      <c r="AD998" s="1291" t="str">
        <f t="shared" si="1142"/>
        <v>0-INSTINCS</v>
      </c>
      <c r="AE998" s="1291" t="str">
        <f t="shared" si="1143"/>
        <v>0-INSTINCX</v>
      </c>
      <c r="AF998" s="1291" t="str">
        <f t="shared" si="1144"/>
        <v>0-INSTINCM</v>
      </c>
      <c r="AG998" s="1291">
        <f t="shared" si="1055"/>
        <v>6</v>
      </c>
      <c r="AH998" s="1291">
        <f>IF(B998&lt;&gt;"",+IF(H998="x",+VLOOKUP(I998,'AUX-NIV2'!B:AG,32,FALSE),0),"")</f>
        <v>0</v>
      </c>
      <c r="AI998" s="1291" t="str">
        <f t="shared" si="1145"/>
        <v>0-INSTINC</v>
      </c>
      <c r="AK998" s="347">
        <f t="shared" si="1056"/>
        <v>994</v>
      </c>
      <c r="AL998" s="348">
        <f t="shared" si="1146"/>
        <v>999</v>
      </c>
      <c r="AM998" s="347" t="e">
        <f>IF(B998&lt;&gt;"",IF(B998=B996,1+AM996,1),"")</f>
        <v>#REF!</v>
      </c>
      <c r="AN998" s="382">
        <f>IF(AND(AH998&gt;0,B998&lt;&gt;""),VLOOKUP(I998,'AUX-NIV2'!$B:$AP,40,FALSE)*O998,0)</f>
        <v>0</v>
      </c>
      <c r="AO998" s="382">
        <f t="shared" si="1057"/>
        <v>16</v>
      </c>
      <c r="AQ998" s="395">
        <f>(IF($H998="x",VLOOKUP($I998,'AUX-NIV2'!$B:$X,'AUX-NIV1'!AQ$3,FALSE),0)+($AV998*'AUX-NIV3'!S$4))*$O998+IF($H998=AQ$4,$P998,0)</f>
        <v>0</v>
      </c>
      <c r="AR998" s="395">
        <f>(IF($H998="x",VLOOKUP($I998,'AUX-NIV2'!$B:$X,'AUX-NIV1'!AR$3,FALSE),0)+($AV998*'AUX-NIV3'!T$4))*$O998+IF($H998=AR$4,$P998,0)</f>
        <v>0</v>
      </c>
      <c r="AS998" s="395">
        <f>(IF($H998="x",VLOOKUP($I998,'AUX-NIV2'!$B:$X,'AUX-NIV1'!AS$3,FALSE),0)+($AV998*'AUX-NIV3'!U$4))*$O998+IF($H998=AS$4,$P998,0)</f>
        <v>320</v>
      </c>
      <c r="AT998" s="395">
        <f>(IF($H998="x",VLOOKUP($I998,'AUX-NIV2'!$B:$X,'AUX-NIV1'!AT$3,FALSE),0)+($AV998*'AUX-NIV3'!V$4))*$O998+IF($H998=AT$4,$P998,0)</f>
        <v>0</v>
      </c>
      <c r="AU998" s="395">
        <f>(IF($H998="x",VLOOKUP($I998,'AUX-NIV2'!$B:$X,'AUX-NIV1'!AU$3,FALSE),0)+($AV998*'AUX-NIV3'!W$4))*$O998+IF($H998=AU$4,$P998,0)</f>
        <v>0</v>
      </c>
      <c r="AV998" s="395">
        <f>+IF($H998="x",VLOOKUP($I998,'AUX-NIV2'!$B:$X,'AUX-NIV1'!AV$3,FALSE),0)</f>
        <v>0</v>
      </c>
    </row>
    <row r="999" spans="2:48" ht="13.8" hidden="1" thickTop="1">
      <c r="B999" s="1374" t="s">
        <v>4612</v>
      </c>
      <c r="C999" s="1398" t="s">
        <v>4551</v>
      </c>
      <c r="D999" s="1376" t="s">
        <v>1172</v>
      </c>
      <c r="E999" s="1281">
        <f>IF(B999&lt;&gt;"",+SUMIF(Items!C:C,'AUX-NIV1'!B999,Items!H:H),"")</f>
        <v>0</v>
      </c>
      <c r="F999" s="1281">
        <f t="shared" si="1047"/>
        <v>18816.080147624536</v>
      </c>
      <c r="G999" s="1281">
        <f t="shared" si="1048"/>
        <v>0</v>
      </c>
      <c r="H999" s="1395" t="str">
        <f t="shared" si="1133"/>
        <v>M</v>
      </c>
      <c r="I999" s="1462" t="s">
        <v>4613</v>
      </c>
      <c r="J999" s="1283" t="str">
        <f>IF(B999&lt;&gt;"",+VLOOKUP(I999,Recursos!C:F,2,FALSE),"")</f>
        <v>CARTEL INDICADOR DE SALIDA LED</v>
      </c>
      <c r="K999" s="1284" t="str">
        <f>IF(B999&lt;&gt;"",+VLOOKUP(I999,Recursos!C:F,3,FALSE),"")</f>
        <v>Un</v>
      </c>
      <c r="L999" s="1285">
        <f>IF(B999&lt;&gt;"",+VLOOKUP(I999,Recursos!C:F,4,FALSE),"")</f>
        <v>1650</v>
      </c>
      <c r="M999" s="1631"/>
      <c r="N999" s="1547">
        <v>1</v>
      </c>
      <c r="O999" s="1286">
        <f t="shared" si="1148"/>
        <v>1</v>
      </c>
      <c r="P999" s="1287">
        <f t="shared" si="1135"/>
        <v>1650</v>
      </c>
      <c r="Q999" s="1281">
        <f t="shared" si="1136"/>
        <v>0</v>
      </c>
      <c r="R999" s="1288">
        <f t="shared" si="1137"/>
        <v>0</v>
      </c>
      <c r="S999" s="1289">
        <f t="shared" si="1049"/>
        <v>7355.1710567154441</v>
      </c>
      <c r="T999" s="1289">
        <f t="shared" si="1050"/>
        <v>0</v>
      </c>
      <c r="U999" s="1290">
        <f t="shared" si="1051"/>
        <v>11460.909090909092</v>
      </c>
      <c r="V999" s="1290">
        <f t="shared" si="1052"/>
        <v>0</v>
      </c>
      <c r="W999" s="1290">
        <f t="shared" si="1053"/>
        <v>0</v>
      </c>
      <c r="X999" s="1290">
        <f t="shared" si="1054"/>
        <v>0</v>
      </c>
      <c r="Y999" s="396"/>
      <c r="Z999" s="1291" t="str">
        <f t="shared" si="1138"/>
        <v>0-INSTINCA</v>
      </c>
      <c r="AA999" s="1291" t="str">
        <f t="shared" si="1139"/>
        <v>0-INSTINCE</v>
      </c>
      <c r="AB999" s="1291" t="str">
        <f t="shared" si="1140"/>
        <v>0-INSTINCM</v>
      </c>
      <c r="AC999" s="1291" t="str">
        <f t="shared" si="1141"/>
        <v>0-INSTINCT</v>
      </c>
      <c r="AD999" s="1291" t="str">
        <f t="shared" si="1142"/>
        <v>0-INSTINCS</v>
      </c>
      <c r="AE999" s="1291" t="str">
        <f t="shared" si="1143"/>
        <v>0-INSTINCX</v>
      </c>
      <c r="AF999" s="1291" t="str">
        <f t="shared" si="1144"/>
        <v>0-INSTINCM</v>
      </c>
      <c r="AG999" s="1291">
        <f t="shared" si="1055"/>
        <v>6</v>
      </c>
      <c r="AH999" s="1291">
        <f>IF(B999&lt;&gt;"",+IF(H999="x",+VLOOKUP(I999,'AUX-NIV2'!B:AG,32,FALSE),0),"")</f>
        <v>0</v>
      </c>
      <c r="AI999" s="1291" t="str">
        <f t="shared" si="1145"/>
        <v>0-INSTINC</v>
      </c>
      <c r="AK999" s="347">
        <f t="shared" si="1056"/>
        <v>994</v>
      </c>
      <c r="AL999" s="348">
        <f t="shared" si="1146"/>
        <v>999</v>
      </c>
      <c r="AM999" s="347" t="e">
        <f>IF(B999&lt;&gt;"",IF(B999=B997,1+AM997,1),"")</f>
        <v>#REF!</v>
      </c>
      <c r="AN999" s="382">
        <f>IF(AND(AH999&gt;0,B999&lt;&gt;""),VLOOKUP(I999,'AUX-NIV2'!$B:$AP,40,FALSE)*O999,0)</f>
        <v>0</v>
      </c>
      <c r="AO999" s="382">
        <f t="shared" si="1057"/>
        <v>16</v>
      </c>
      <c r="AQ999" s="395">
        <f>(IF($H999="x",VLOOKUP($I999,'AUX-NIV2'!$B:$X,'AUX-NIV1'!AQ$3,FALSE),0)+($AV999*'AUX-NIV3'!S$4))*$O999+IF($H999=AQ$4,$P999,0)</f>
        <v>0</v>
      </c>
      <c r="AR999" s="395">
        <f>(IF($H999="x",VLOOKUP($I999,'AUX-NIV2'!$B:$X,'AUX-NIV1'!AR$3,FALSE),0)+($AV999*'AUX-NIV3'!T$4))*$O999+IF($H999=AR$4,$P999,0)</f>
        <v>0</v>
      </c>
      <c r="AS999" s="395">
        <f>(IF($H999="x",VLOOKUP($I999,'AUX-NIV2'!$B:$X,'AUX-NIV1'!AS$3,FALSE),0)+($AV999*'AUX-NIV3'!U$4))*$O999+IF($H999=AS$4,$P999,0)</f>
        <v>1650</v>
      </c>
      <c r="AT999" s="395">
        <f>(IF($H999="x",VLOOKUP($I999,'AUX-NIV2'!$B:$X,'AUX-NIV1'!AT$3,FALSE),0)+($AV999*'AUX-NIV3'!V$4))*$O999+IF($H999=AT$4,$P999,0)</f>
        <v>0</v>
      </c>
      <c r="AU999" s="395">
        <f>(IF($H999="x",VLOOKUP($I999,'AUX-NIV2'!$B:$X,'AUX-NIV1'!AU$3,FALSE),0)+($AV999*'AUX-NIV3'!W$4))*$O999+IF($H999=AU$4,$P999,0)</f>
        <v>0</v>
      </c>
      <c r="AV999" s="395">
        <f>+IF($H999="x",VLOOKUP($I999,'AUX-NIV2'!$B:$X,'AUX-NIV1'!AV$3,FALSE),0)</f>
        <v>0</v>
      </c>
    </row>
    <row r="1000" spans="2:48" ht="13.8" hidden="1" thickTop="1">
      <c r="B1000" s="1374" t="s">
        <v>4615</v>
      </c>
      <c r="C1000" s="1398" t="s">
        <v>4616</v>
      </c>
      <c r="D1000" s="1376" t="s">
        <v>1172</v>
      </c>
      <c r="E1000" s="1281">
        <f>IF(B1000&lt;&gt;"",+SUMIF(Items!C:C,'AUX-NIV1'!B1000,Items!H:H),"")</f>
        <v>0</v>
      </c>
      <c r="F1000" s="1281">
        <f t="shared" si="1047"/>
        <v>8355.1710567154441</v>
      </c>
      <c r="G1000" s="1281">
        <f t="shared" si="1048"/>
        <v>0</v>
      </c>
      <c r="H1000" s="1395" t="str">
        <f t="shared" ref="H1000:H1001" si="1150">IF(B1000&lt;&gt;"",+LEFT(I1000,1),"")</f>
        <v>A</v>
      </c>
      <c r="I1000" s="1375" t="s">
        <v>1745</v>
      </c>
      <c r="J1000" s="1283" t="str">
        <f>IF(B1000&lt;&gt;"",+VLOOKUP(I1000,Recursos!C:F,2,FALSE),"")</f>
        <v>AYUDANTE</v>
      </c>
      <c r="K1000" s="1284" t="str">
        <f>IF(B1000&lt;&gt;"",+VLOOKUP(I1000,Recursos!C:F,3,FALSE),"")</f>
        <v>hh</v>
      </c>
      <c r="L1000" s="1285">
        <f>IF(B1000&lt;&gt;"",+VLOOKUP(I1000,Recursos!C:F,4,FALSE),"")</f>
        <v>422.48042769667234</v>
      </c>
      <c r="M1000" s="1304">
        <v>8</v>
      </c>
      <c r="N1000" s="1367">
        <v>1</v>
      </c>
      <c r="O1000" s="1286">
        <f>M1000/N1000</f>
        <v>8</v>
      </c>
      <c r="P1000" s="1287">
        <f t="shared" ref="P1000:P1001" si="1151">IF(B1000&lt;&gt;"",O1000*L1000,"")</f>
        <v>3379.8434215733787</v>
      </c>
      <c r="Q1000" s="1281">
        <f t="shared" ref="Q1000:Q1001" si="1152">IF(B1000&lt;&gt;"",+O1000*E1000,"")</f>
        <v>0</v>
      </c>
      <c r="R1000" s="1288">
        <f t="shared" ref="R1000:R1001" si="1153">IF(B1000&lt;&gt;"",Q1000*L1000,"")</f>
        <v>0</v>
      </c>
      <c r="S1000" s="1289">
        <f t="shared" si="1049"/>
        <v>7355.1710567154441</v>
      </c>
      <c r="T1000" s="1289">
        <f t="shared" si="1050"/>
        <v>0</v>
      </c>
      <c r="U1000" s="1290">
        <f t="shared" si="1051"/>
        <v>1000</v>
      </c>
      <c r="V1000" s="1290">
        <f t="shared" si="1052"/>
        <v>0</v>
      </c>
      <c r="W1000" s="1290">
        <f t="shared" si="1053"/>
        <v>0</v>
      </c>
      <c r="X1000" s="1290">
        <f t="shared" si="1054"/>
        <v>0</v>
      </c>
      <c r="Y1000" s="396"/>
      <c r="Z1000" s="1291" t="str">
        <f t="shared" ref="Z1000:Z1001" si="1154">IF(B1000&lt;&gt;"",+$B1000&amp;"A","")</f>
        <v>0-BRNDMETA</v>
      </c>
      <c r="AA1000" s="1291" t="str">
        <f t="shared" ref="AA1000:AA1001" si="1155">IF(B1000&lt;&gt;"",+$B1000&amp;"E","")</f>
        <v>0-BRNDMETE</v>
      </c>
      <c r="AB1000" s="1291" t="str">
        <f t="shared" ref="AB1000:AB1001" si="1156">IF(B1000&lt;&gt;"",++$B1000&amp;"M","")</f>
        <v>0-BRNDMETM</v>
      </c>
      <c r="AC1000" s="1291" t="str">
        <f t="shared" ref="AC1000:AC1001" si="1157">IF(B1000&lt;&gt;"",+$B1000&amp;"T","")</f>
        <v>0-BRNDMETT</v>
      </c>
      <c r="AD1000" s="1291" t="str">
        <f t="shared" ref="AD1000:AD1001" si="1158">IF(B1000&lt;&gt;"",+$B1000&amp;"S","")</f>
        <v>0-BRNDMETS</v>
      </c>
      <c r="AE1000" s="1291" t="str">
        <f t="shared" ref="AE1000:AE1001" si="1159">IF(B1000&lt;&gt;"",+$B1000&amp;"X","")</f>
        <v>0-BRNDMETX</v>
      </c>
      <c r="AF1000" s="1291" t="str">
        <f t="shared" ref="AF1000:AF1001" si="1160">IF(B1000&lt;&gt;"",+B1000&amp;H1000,"")</f>
        <v>0-BRNDMETA</v>
      </c>
      <c r="AG1000" s="1291">
        <f t="shared" si="1055"/>
        <v>3</v>
      </c>
      <c r="AH1000" s="1291">
        <f>IF(B1000&lt;&gt;"",+IF(H1000="x",+VLOOKUP(I1000,'AUX-NIV2'!B:AG,32,FALSE),0),"")</f>
        <v>0</v>
      </c>
      <c r="AI1000" s="1291" t="str">
        <f t="shared" ref="AI1000:AI1001" si="1161">IF(B1000&lt;&gt;"",+B1000,"")</f>
        <v>0-BRNDMET</v>
      </c>
      <c r="AK1000" s="347">
        <f t="shared" si="1056"/>
        <v>1000</v>
      </c>
      <c r="AL1000" s="348">
        <f t="shared" ref="AL1000:AL1001" si="1162">IF(B1000&lt;&gt;"",+AK1000+AG1000-1,"")</f>
        <v>1002</v>
      </c>
      <c r="AM1000" s="347">
        <f t="shared" ref="AM1000:AM1001" si="1163">IF(B1000&lt;&gt;"",IF(B1000=B998,1+AM998,1),"")</f>
        <v>1</v>
      </c>
      <c r="AN1000" s="382">
        <f>IF(AND(AH1000&gt;0,B1000&lt;&gt;""),VLOOKUP(I1000,'AUX-NIV2'!$B:$AP,40,FALSE)*O1000,0)</f>
        <v>0</v>
      </c>
      <c r="AO1000" s="382">
        <f t="shared" si="1057"/>
        <v>16</v>
      </c>
      <c r="AQ1000" s="395">
        <f>(IF($H1000="x",VLOOKUP($I1000,'AUX-NIV2'!$B:$X,'AUX-NIV1'!AQ$3,FALSE),0)+($AV1000*'AUX-NIV3'!S$4))*$O1000+IF($H1000=AQ$4,$P1000,0)</f>
        <v>3379.8434215733787</v>
      </c>
      <c r="AR1000" s="395">
        <f>(IF($H1000="x",VLOOKUP($I1000,'AUX-NIV2'!$B:$X,'AUX-NIV1'!AR$3,FALSE),0)+($AV1000*'AUX-NIV3'!T$4))*$O1000+IF($H1000=AR$4,$P1000,0)</f>
        <v>0</v>
      </c>
      <c r="AS1000" s="395">
        <f>(IF($H1000="x",VLOOKUP($I1000,'AUX-NIV2'!$B:$X,'AUX-NIV1'!AS$3,FALSE),0)+($AV1000*'AUX-NIV3'!U$4))*$O1000+IF($H1000=AS$4,$P1000,0)</f>
        <v>0</v>
      </c>
      <c r="AT1000" s="395">
        <f>(IF($H1000="x",VLOOKUP($I1000,'AUX-NIV2'!$B:$X,'AUX-NIV1'!AT$3,FALSE),0)+($AV1000*'AUX-NIV3'!V$4))*$O1000+IF($H1000=AT$4,$P1000,0)</f>
        <v>0</v>
      </c>
      <c r="AU1000" s="395">
        <f>(IF($H1000="x",VLOOKUP($I1000,'AUX-NIV2'!$B:$X,'AUX-NIV1'!AU$3,FALSE),0)+($AV1000*'AUX-NIV3'!W$4))*$O1000+IF($H1000=AU$4,$P1000,0)</f>
        <v>0</v>
      </c>
      <c r="AV1000" s="395">
        <f>+IF($H1000="x",VLOOKUP($I1000,'AUX-NIV2'!$B:$X,'AUX-NIV1'!AV$3,FALSE),0)</f>
        <v>0</v>
      </c>
    </row>
    <row r="1001" spans="2:48" ht="13.8" hidden="1" thickTop="1">
      <c r="B1001" s="1374" t="s">
        <v>4615</v>
      </c>
      <c r="C1001" s="1398" t="s">
        <v>4616</v>
      </c>
      <c r="D1001" s="1376" t="s">
        <v>1172</v>
      </c>
      <c r="E1001" s="1281">
        <f>IF(B1001&lt;&gt;"",+SUMIF(Items!C:C,'AUX-NIV1'!B1001,Items!H:H),"")</f>
        <v>0</v>
      </c>
      <c r="F1001" s="1281">
        <f t="shared" si="1047"/>
        <v>8355.1710567154441</v>
      </c>
      <c r="G1001" s="1281">
        <f t="shared" si="1048"/>
        <v>0</v>
      </c>
      <c r="H1001" s="1395" t="str">
        <f t="shared" si="1150"/>
        <v>A</v>
      </c>
      <c r="I1001" s="1375" t="s">
        <v>1746</v>
      </c>
      <c r="J1001" s="1283" t="str">
        <f>IF(B1001&lt;&gt;"",+VLOOKUP(I1001,Recursos!C:F,2,FALSE),"")</f>
        <v>OFICIAL</v>
      </c>
      <c r="K1001" s="1284" t="str">
        <f>IF(B1001&lt;&gt;"",+VLOOKUP(I1001,Recursos!C:F,3,FALSE),"")</f>
        <v>hh</v>
      </c>
      <c r="L1001" s="1285">
        <f>IF(B1001&lt;&gt;"",+VLOOKUP(I1001,Recursos!C:F,4,FALSE),"")</f>
        <v>496.91595439275824</v>
      </c>
      <c r="M1001" s="1399">
        <v>8</v>
      </c>
      <c r="N1001" s="1403"/>
      <c r="O1001" s="1286">
        <f>M1001/N1000</f>
        <v>8</v>
      </c>
      <c r="P1001" s="1287">
        <f t="shared" si="1151"/>
        <v>3975.3276351420659</v>
      </c>
      <c r="Q1001" s="1281">
        <f t="shared" si="1152"/>
        <v>0</v>
      </c>
      <c r="R1001" s="1288">
        <f t="shared" si="1153"/>
        <v>0</v>
      </c>
      <c r="S1001" s="1289">
        <f t="shared" si="1049"/>
        <v>7355.1710567154441</v>
      </c>
      <c r="T1001" s="1289">
        <f t="shared" si="1050"/>
        <v>0</v>
      </c>
      <c r="U1001" s="1290">
        <f t="shared" si="1051"/>
        <v>1000</v>
      </c>
      <c r="V1001" s="1290">
        <f t="shared" si="1052"/>
        <v>0</v>
      </c>
      <c r="W1001" s="1290">
        <f t="shared" si="1053"/>
        <v>0</v>
      </c>
      <c r="X1001" s="1290">
        <f t="shared" si="1054"/>
        <v>0</v>
      </c>
      <c r="Y1001" s="396"/>
      <c r="Z1001" s="1291" t="str">
        <f t="shared" si="1154"/>
        <v>0-BRNDMETA</v>
      </c>
      <c r="AA1001" s="1291" t="str">
        <f t="shared" si="1155"/>
        <v>0-BRNDMETE</v>
      </c>
      <c r="AB1001" s="1291" t="str">
        <f t="shared" si="1156"/>
        <v>0-BRNDMETM</v>
      </c>
      <c r="AC1001" s="1291" t="str">
        <f t="shared" si="1157"/>
        <v>0-BRNDMETT</v>
      </c>
      <c r="AD1001" s="1291" t="str">
        <f t="shared" si="1158"/>
        <v>0-BRNDMETS</v>
      </c>
      <c r="AE1001" s="1291" t="str">
        <f t="shared" si="1159"/>
        <v>0-BRNDMETX</v>
      </c>
      <c r="AF1001" s="1291" t="str">
        <f t="shared" si="1160"/>
        <v>0-BRNDMETA</v>
      </c>
      <c r="AG1001" s="1291">
        <f t="shared" si="1055"/>
        <v>3</v>
      </c>
      <c r="AH1001" s="1291">
        <f>IF(B1001&lt;&gt;"",+IF(H1001="x",+VLOOKUP(I1001,'AUX-NIV2'!B:AG,32,FALSE),0),"")</f>
        <v>0</v>
      </c>
      <c r="AI1001" s="1291" t="str">
        <f t="shared" si="1161"/>
        <v>0-BRNDMET</v>
      </c>
      <c r="AK1001" s="347">
        <f t="shared" si="1056"/>
        <v>1000</v>
      </c>
      <c r="AL1001" s="348">
        <f t="shared" si="1162"/>
        <v>1002</v>
      </c>
      <c r="AM1001" s="347">
        <f t="shared" si="1163"/>
        <v>1</v>
      </c>
      <c r="AN1001" s="382">
        <f>IF(AND(AH1001&gt;0,B1001&lt;&gt;""),VLOOKUP(I1001,'AUX-NIV2'!$B:$AP,40,FALSE)*O1001,0)</f>
        <v>0</v>
      </c>
      <c r="AO1001" s="382">
        <f t="shared" si="1057"/>
        <v>16</v>
      </c>
      <c r="AQ1001" s="395">
        <f>(IF($H1001="x",VLOOKUP($I1001,'AUX-NIV2'!$B:$X,'AUX-NIV1'!AQ$3,FALSE),0)+($AV1001*'AUX-NIV3'!S$4))*$O1001+IF($H1001=AQ$4,$P1001,0)</f>
        <v>3975.3276351420659</v>
      </c>
      <c r="AR1001" s="395">
        <f>(IF($H1001="x",VLOOKUP($I1001,'AUX-NIV2'!$B:$X,'AUX-NIV1'!AR$3,FALSE),0)+($AV1001*'AUX-NIV3'!T$4))*$O1001+IF($H1001=AR$4,$P1001,0)</f>
        <v>0</v>
      </c>
      <c r="AS1001" s="395">
        <f>(IF($H1001="x",VLOOKUP($I1001,'AUX-NIV2'!$B:$X,'AUX-NIV1'!AS$3,FALSE),0)+($AV1001*'AUX-NIV3'!U$4))*$O1001+IF($H1001=AS$4,$P1001,0)</f>
        <v>0</v>
      </c>
      <c r="AT1001" s="395">
        <f>(IF($H1001="x",VLOOKUP($I1001,'AUX-NIV2'!$B:$X,'AUX-NIV1'!AT$3,FALSE),0)+($AV1001*'AUX-NIV3'!V$4))*$O1001+IF($H1001=AT$4,$P1001,0)</f>
        <v>0</v>
      </c>
      <c r="AU1001" s="395">
        <f>(IF($H1001="x",VLOOKUP($I1001,'AUX-NIV2'!$B:$X,'AUX-NIV1'!AU$3,FALSE),0)+($AV1001*'AUX-NIV3'!W$4))*$O1001+IF($H1001=AU$4,$P1001,0)</f>
        <v>0</v>
      </c>
      <c r="AV1001" s="395">
        <f>+IF($H1001="x",VLOOKUP($I1001,'AUX-NIV2'!$B:$X,'AUX-NIV1'!AV$3,FALSE),0)</f>
        <v>0</v>
      </c>
    </row>
    <row r="1002" spans="2:48" ht="13.8" hidden="1" thickTop="1">
      <c r="B1002" s="1374" t="s">
        <v>4615</v>
      </c>
      <c r="C1002" s="1398" t="s">
        <v>4616</v>
      </c>
      <c r="D1002" s="1376" t="s">
        <v>1172</v>
      </c>
      <c r="E1002" s="1281">
        <f>IF(B1002&lt;&gt;"",+SUMIF(Items!C:C,'AUX-NIV1'!B1002,Items!H:H),"")</f>
        <v>0</v>
      </c>
      <c r="F1002" s="1281">
        <f t="shared" si="1047"/>
        <v>8355.1710567154441</v>
      </c>
      <c r="G1002" s="1281">
        <f t="shared" si="1048"/>
        <v>0</v>
      </c>
      <c r="H1002" s="1395" t="str">
        <f t="shared" ref="H1002" si="1164">IF(B1002&lt;&gt;"",+LEFT(I1002,1),"")</f>
        <v>M</v>
      </c>
      <c r="I1002" s="1462" t="s">
        <v>621</v>
      </c>
      <c r="J1002" s="1283" t="str">
        <f>IF(B1002&lt;&gt;"",+VLOOKUP(I1002,Recursos!C:F,2,FALSE),"")</f>
        <v>MATERIALES VARIOS</v>
      </c>
      <c r="K1002" s="1284" t="str">
        <f>IF(B1002&lt;&gt;"",+VLOOKUP(I1002,Recursos!C:F,3,FALSE),"")</f>
        <v>GL</v>
      </c>
      <c r="L1002" s="1285">
        <f>IF(B1002&lt;&gt;"",+VLOOKUP(I1002,Recursos!C:F,4,FALSE),"")</f>
        <v>0.5</v>
      </c>
      <c r="M1002" s="1631"/>
      <c r="N1002" s="1547">
        <v>2000</v>
      </c>
      <c r="O1002" s="1286">
        <f t="shared" ref="O1002" si="1165">N1002</f>
        <v>2000</v>
      </c>
      <c r="P1002" s="1287">
        <f t="shared" ref="P1002" si="1166">IF(B1002&lt;&gt;"",O1002*L1002,"")</f>
        <v>1000</v>
      </c>
      <c r="Q1002" s="1281">
        <f t="shared" ref="Q1002" si="1167">IF(B1002&lt;&gt;"",+O1002*E1002,"")</f>
        <v>0</v>
      </c>
      <c r="R1002" s="1288">
        <f t="shared" ref="R1002" si="1168">IF(B1002&lt;&gt;"",Q1002*L1002,"")</f>
        <v>0</v>
      </c>
      <c r="S1002" s="1289">
        <f t="shared" si="1049"/>
        <v>7355.1710567154441</v>
      </c>
      <c r="T1002" s="1289">
        <f t="shared" si="1050"/>
        <v>0</v>
      </c>
      <c r="U1002" s="1290">
        <f t="shared" si="1051"/>
        <v>1000</v>
      </c>
      <c r="V1002" s="1290">
        <f t="shared" si="1052"/>
        <v>0</v>
      </c>
      <c r="W1002" s="1290">
        <f t="shared" si="1053"/>
        <v>0</v>
      </c>
      <c r="X1002" s="1290">
        <f t="shared" si="1054"/>
        <v>0</v>
      </c>
      <c r="Y1002" s="396"/>
      <c r="Z1002" s="1291" t="str">
        <f t="shared" ref="Z1002" si="1169">IF(B1002&lt;&gt;"",+$B1002&amp;"A","")</f>
        <v>0-BRNDMETA</v>
      </c>
      <c r="AA1002" s="1291" t="str">
        <f t="shared" ref="AA1002" si="1170">IF(B1002&lt;&gt;"",+$B1002&amp;"E","")</f>
        <v>0-BRNDMETE</v>
      </c>
      <c r="AB1002" s="1291" t="str">
        <f t="shared" ref="AB1002" si="1171">IF(B1002&lt;&gt;"",++$B1002&amp;"M","")</f>
        <v>0-BRNDMETM</v>
      </c>
      <c r="AC1002" s="1291" t="str">
        <f t="shared" ref="AC1002" si="1172">IF(B1002&lt;&gt;"",+$B1002&amp;"T","")</f>
        <v>0-BRNDMETT</v>
      </c>
      <c r="AD1002" s="1291" t="str">
        <f t="shared" ref="AD1002" si="1173">IF(B1002&lt;&gt;"",+$B1002&amp;"S","")</f>
        <v>0-BRNDMETS</v>
      </c>
      <c r="AE1002" s="1291" t="str">
        <f t="shared" ref="AE1002" si="1174">IF(B1002&lt;&gt;"",+$B1002&amp;"X","")</f>
        <v>0-BRNDMETX</v>
      </c>
      <c r="AF1002" s="1291" t="str">
        <f t="shared" ref="AF1002" si="1175">IF(B1002&lt;&gt;"",+B1002&amp;H1002,"")</f>
        <v>0-BRNDMETM</v>
      </c>
      <c r="AG1002" s="1291">
        <f t="shared" si="1055"/>
        <v>3</v>
      </c>
      <c r="AH1002" s="1291">
        <f>IF(B1002&lt;&gt;"",+IF(H1002="x",+VLOOKUP(I1002,'AUX-NIV2'!B:AG,32,FALSE),0),"")</f>
        <v>0</v>
      </c>
      <c r="AI1002" s="1291" t="str">
        <f t="shared" ref="AI1002" si="1176">IF(B1002&lt;&gt;"",+B1002,"")</f>
        <v>0-BRNDMET</v>
      </c>
      <c r="AK1002" s="347">
        <f t="shared" si="1056"/>
        <v>1000</v>
      </c>
      <c r="AL1002" s="348">
        <f t="shared" ref="AL1002" si="1177">IF(B1002&lt;&gt;"",+AK1002+AG1002-1,"")</f>
        <v>1002</v>
      </c>
      <c r="AM1002" s="347">
        <f t="shared" ref="AM1002" si="1178">IF(B1002&lt;&gt;"",IF(B1002=B1000,1+AM1000,1),"")</f>
        <v>2</v>
      </c>
      <c r="AN1002" s="382">
        <f>IF(AND(AH1002&gt;0,B1002&lt;&gt;""),VLOOKUP(I1002,'AUX-NIV2'!$B:$AP,40,FALSE)*O1002,0)</f>
        <v>0</v>
      </c>
      <c r="AO1002" s="382">
        <f t="shared" si="1057"/>
        <v>16</v>
      </c>
      <c r="AQ1002" s="395">
        <f>(IF($H1002="x",VLOOKUP($I1002,'AUX-NIV2'!$B:$X,'AUX-NIV1'!AQ$3,FALSE),0)+($AV1002*'AUX-NIV3'!S$4))*$O1002+IF($H1002=AQ$4,$P1002,0)</f>
        <v>0</v>
      </c>
      <c r="AR1002" s="395">
        <f>(IF($H1002="x",VLOOKUP($I1002,'AUX-NIV2'!$B:$X,'AUX-NIV1'!AR$3,FALSE),0)+($AV1002*'AUX-NIV3'!T$4))*$O1002+IF($H1002=AR$4,$P1002,0)</f>
        <v>0</v>
      </c>
      <c r="AS1002" s="395">
        <f>(IF($H1002="x",VLOOKUP($I1002,'AUX-NIV2'!$B:$X,'AUX-NIV1'!AS$3,FALSE),0)+($AV1002*'AUX-NIV3'!U$4))*$O1002+IF($H1002=AS$4,$P1002,0)</f>
        <v>1000</v>
      </c>
      <c r="AT1002" s="395">
        <f>(IF($H1002="x",VLOOKUP($I1002,'AUX-NIV2'!$B:$X,'AUX-NIV1'!AT$3,FALSE),0)+($AV1002*'AUX-NIV3'!V$4))*$O1002+IF($H1002=AT$4,$P1002,0)</f>
        <v>0</v>
      </c>
      <c r="AU1002" s="395">
        <f>(IF($H1002="x",VLOOKUP($I1002,'AUX-NIV2'!$B:$X,'AUX-NIV1'!AU$3,FALSE),0)+($AV1002*'AUX-NIV3'!W$4))*$O1002+IF($H1002=AU$4,$P1002,0)</f>
        <v>0</v>
      </c>
      <c r="AV1002" s="395">
        <f>+IF($H1002="x",VLOOKUP($I1002,'AUX-NIV2'!$B:$X,'AUX-NIV1'!AV$3,FALSE),0)</f>
        <v>0</v>
      </c>
    </row>
    <row r="1003" spans="2:48" ht="13.8" thickTop="1">
      <c r="B1003" s="324" t="s">
        <v>4321</v>
      </c>
      <c r="C1003" s="325" t="s">
        <v>4549</v>
      </c>
      <c r="D1003" s="326" t="s">
        <v>4284</v>
      </c>
      <c r="E1003" s="349">
        <f>IF(B1003&lt;&gt;"",+SUMIF(Items!C:C,'AUX-NIV1'!B1003,Items!H:H),"")</f>
        <v>0</v>
      </c>
      <c r="F1003" s="349">
        <f t="shared" si="1047"/>
        <v>2160.2217409044879</v>
      </c>
      <c r="G1003" s="349">
        <f t="shared" si="1048"/>
        <v>0</v>
      </c>
      <c r="H1003" s="1395" t="str">
        <f t="shared" si="1133"/>
        <v>S</v>
      </c>
      <c r="I1003" s="1375" t="s">
        <v>684</v>
      </c>
      <c r="J1003" s="350" t="str">
        <f>IF(B1003&lt;&gt;"",+VLOOKUP(I1003,Recursos!C:F,2,FALSE),"")</f>
        <v>INGENIERIA DE DETALLE</v>
      </c>
      <c r="K1003" s="351" t="str">
        <f>IF(B1003&lt;&gt;"",+VLOOKUP(I1003,Recursos!C:F,3,FALSE),"")</f>
        <v>GL</v>
      </c>
      <c r="L1003" s="1475">
        <f>IF(B1003&lt;&gt;"",+VLOOKUP(I1003,Recursos!C:F,4,FALSE),"")</f>
        <v>150000</v>
      </c>
      <c r="M1003" s="1493">
        <v>0.1</v>
      </c>
      <c r="N1003" s="1507">
        <f>1/17.5*0</f>
        <v>0</v>
      </c>
      <c r="O1003" s="1490">
        <f t="shared" si="1134"/>
        <v>0</v>
      </c>
      <c r="P1003" s="352">
        <f t="shared" si="1135"/>
        <v>0</v>
      </c>
      <c r="Q1003" s="349">
        <f t="shared" si="1136"/>
        <v>0</v>
      </c>
      <c r="R1003" s="353">
        <f t="shared" si="1137"/>
        <v>0</v>
      </c>
      <c r="S1003" s="354">
        <f t="shared" si="1049"/>
        <v>499.75435633539507</v>
      </c>
      <c r="T1003" s="354">
        <f t="shared" si="1050"/>
        <v>0</v>
      </c>
      <c r="U1003" s="355">
        <f t="shared" si="1051"/>
        <v>1660.4673845690927</v>
      </c>
      <c r="V1003" s="355">
        <f t="shared" si="1052"/>
        <v>0</v>
      </c>
      <c r="W1003" s="355">
        <f t="shared" si="1053"/>
        <v>0</v>
      </c>
      <c r="X1003" s="355">
        <f t="shared" si="1054"/>
        <v>0</v>
      </c>
      <c r="Y1003" s="396"/>
      <c r="Z1003" s="346" t="str">
        <f t="shared" si="1138"/>
        <v>0-CUBPTIOA</v>
      </c>
      <c r="AA1003" s="346" t="str">
        <f t="shared" si="1139"/>
        <v>0-CUBPTIOE</v>
      </c>
      <c r="AB1003" s="346" t="str">
        <f t="shared" si="1140"/>
        <v>0-CUBPTIOM</v>
      </c>
      <c r="AC1003" s="346" t="str">
        <f t="shared" si="1141"/>
        <v>0-CUBPTIOT</v>
      </c>
      <c r="AD1003" s="346" t="str">
        <f t="shared" si="1142"/>
        <v>0-CUBPTIOS</v>
      </c>
      <c r="AE1003" s="346" t="str">
        <f t="shared" si="1143"/>
        <v>0-CUBPTIOX</v>
      </c>
      <c r="AF1003" s="346" t="str">
        <f t="shared" si="1144"/>
        <v>0-CUBPTIOS</v>
      </c>
      <c r="AG1003" s="346">
        <f t="shared" si="1055"/>
        <v>7</v>
      </c>
      <c r="AH1003" s="346">
        <f>IF(B1003&lt;&gt;"",+IF(H1003="x",+VLOOKUP(I1003,'AUX-NIV2'!B:AG,32,FALSE),0),"")</f>
        <v>0</v>
      </c>
      <c r="AI1003" s="346" t="str">
        <f t="shared" si="1145"/>
        <v>0-CUBPTIO</v>
      </c>
      <c r="AK1003" s="347">
        <f t="shared" si="1056"/>
        <v>1003</v>
      </c>
      <c r="AL1003" s="348">
        <f t="shared" si="1146"/>
        <v>1009</v>
      </c>
      <c r="AM1003" s="347" t="e">
        <f>IF(B1003&lt;&gt;"",IF(B1003=#REF!,1+#REF!,1),"")</f>
        <v>#REF!</v>
      </c>
      <c r="AN1003" s="382">
        <f>IF(AND(AH1003&gt;0,B1003&lt;&gt;""),VLOOKUP(I1003,'AUX-NIV2'!$B:$AP,40,FALSE)*O1003,0)</f>
        <v>0</v>
      </c>
      <c r="AO1003" s="382">
        <f t="shared" si="1057"/>
        <v>1</v>
      </c>
      <c r="AQ1003" s="395">
        <f>(IF($H1003="x",VLOOKUP($I1003,'AUX-NIV2'!$B:$X,'AUX-NIV1'!AQ$3,FALSE),0)+($AV1003*'AUX-NIV3'!S$4))*$O1003+IF($H1003=AQ$4,$P1003,0)</f>
        <v>0</v>
      </c>
      <c r="AR1003" s="395">
        <f>(IF($H1003="x",VLOOKUP($I1003,'AUX-NIV2'!$B:$X,'AUX-NIV1'!AR$3,FALSE),0)+($AV1003*'AUX-NIV3'!T$4))*$O1003+IF($H1003=AR$4,$P1003,0)</f>
        <v>0</v>
      </c>
      <c r="AS1003" s="395">
        <f>(IF($H1003="x",VLOOKUP($I1003,'AUX-NIV2'!$B:$X,'AUX-NIV1'!AS$3,FALSE),0)+($AV1003*'AUX-NIV3'!U$4))*$O1003+IF($H1003=AS$4,$P1003,0)</f>
        <v>0</v>
      </c>
      <c r="AT1003" s="395">
        <f>(IF($H1003="x",VLOOKUP($I1003,'AUX-NIV2'!$B:$X,'AUX-NIV1'!AT$3,FALSE),0)+($AV1003*'AUX-NIV3'!V$4))*$O1003+IF($H1003=AT$4,$P1003,0)</f>
        <v>0</v>
      </c>
      <c r="AU1003" s="395">
        <f>(IF($H1003="x",VLOOKUP($I1003,'AUX-NIV2'!$B:$X,'AUX-NIV1'!AU$3,FALSE),0)+($AV1003*'AUX-NIV3'!W$4))*$O1003+IF($H1003=AU$4,$P1003,0)</f>
        <v>0</v>
      </c>
      <c r="AV1003" s="395">
        <f>+IF($H1003="x",VLOOKUP($I1003,'AUX-NIV2'!$B:$X,'AUX-NIV1'!AV$3,FALSE),0)</f>
        <v>0</v>
      </c>
    </row>
    <row r="1004" spans="2:48">
      <c r="B1004" s="324" t="s">
        <v>4321</v>
      </c>
      <c r="C1004" s="325" t="s">
        <v>4549</v>
      </c>
      <c r="D1004" s="326" t="s">
        <v>4284</v>
      </c>
      <c r="E1004" s="349">
        <f>IF(B1004&lt;&gt;"",+SUMIF(Items!C:C,'AUX-NIV1'!B1004,Items!H:H),"")</f>
        <v>0</v>
      </c>
      <c r="F1004" s="349">
        <f t="shared" si="1047"/>
        <v>2160.2217409044879</v>
      </c>
      <c r="G1004" s="349">
        <f t="shared" si="1048"/>
        <v>0</v>
      </c>
      <c r="H1004" s="1395" t="str">
        <f t="shared" si="1133"/>
        <v>A</v>
      </c>
      <c r="I1004" s="1375" t="s">
        <v>3309</v>
      </c>
      <c r="J1004" s="350" t="str">
        <f>IF(B1004&lt;&gt;"",+VLOOKUP(I1004,Recursos!C:F,2,FALSE),"")</f>
        <v>MEDIO OFICIAL</v>
      </c>
      <c r="K1004" s="351" t="str">
        <f>IF(B1004&lt;&gt;"",+VLOOKUP(I1004,Recursos!C:F,3,FALSE),"")</f>
        <v>hh</v>
      </c>
      <c r="L1004" s="1475">
        <f>IF(B1004&lt;&gt;"",+VLOOKUP(I1004,Recursos!C:F,4,FALSE),"")</f>
        <v>459.10093211890984</v>
      </c>
      <c r="M1004" s="1493">
        <f>1/3</f>
        <v>0.33333333333333331</v>
      </c>
      <c r="N1004" s="1625">
        <v>2</v>
      </c>
      <c r="O1004" s="1361">
        <f>M1004*N1004</f>
        <v>0.66666666666666663</v>
      </c>
      <c r="P1004" s="352">
        <f t="shared" si="1135"/>
        <v>306.06728807927323</v>
      </c>
      <c r="Q1004" s="349">
        <f t="shared" si="1136"/>
        <v>0</v>
      </c>
      <c r="R1004" s="353">
        <f t="shared" si="1137"/>
        <v>0</v>
      </c>
      <c r="S1004" s="354">
        <f t="shared" si="1049"/>
        <v>499.75435633539507</v>
      </c>
      <c r="T1004" s="354">
        <f t="shared" si="1050"/>
        <v>0</v>
      </c>
      <c r="U1004" s="355">
        <f t="shared" si="1051"/>
        <v>1660.4673845690927</v>
      </c>
      <c r="V1004" s="355">
        <f t="shared" si="1052"/>
        <v>0</v>
      </c>
      <c r="W1004" s="355">
        <f t="shared" si="1053"/>
        <v>0</v>
      </c>
      <c r="X1004" s="355">
        <f t="shared" si="1054"/>
        <v>0</v>
      </c>
      <c r="Y1004" s="396"/>
      <c r="Z1004" s="346" t="str">
        <f t="shared" si="1138"/>
        <v>0-CUBPTIOA</v>
      </c>
      <c r="AA1004" s="346" t="str">
        <f t="shared" si="1139"/>
        <v>0-CUBPTIOE</v>
      </c>
      <c r="AB1004" s="346" t="str">
        <f t="shared" si="1140"/>
        <v>0-CUBPTIOM</v>
      </c>
      <c r="AC1004" s="346" t="str">
        <f t="shared" si="1141"/>
        <v>0-CUBPTIOT</v>
      </c>
      <c r="AD1004" s="346" t="str">
        <f t="shared" si="1142"/>
        <v>0-CUBPTIOS</v>
      </c>
      <c r="AE1004" s="346" t="str">
        <f t="shared" si="1143"/>
        <v>0-CUBPTIOX</v>
      </c>
      <c r="AF1004" s="346" t="str">
        <f t="shared" si="1144"/>
        <v>0-CUBPTIOA</v>
      </c>
      <c r="AG1004" s="346">
        <f t="shared" si="1055"/>
        <v>7</v>
      </c>
      <c r="AH1004" s="346">
        <f>IF(B1004&lt;&gt;"",+IF(H1004="x",+VLOOKUP(I1004,'AUX-NIV2'!B:AG,32,FALSE),0),"")</f>
        <v>0</v>
      </c>
      <c r="AI1004" s="346" t="str">
        <f t="shared" si="1145"/>
        <v>0-CUBPTIO</v>
      </c>
      <c r="AK1004" s="347">
        <f t="shared" si="1056"/>
        <v>1003</v>
      </c>
      <c r="AL1004" s="348">
        <f t="shared" si="1146"/>
        <v>1009</v>
      </c>
      <c r="AM1004" s="347" t="e">
        <f>IF(B1004&lt;&gt;"",IF(B1004=#REF!,1+#REF!,1),"")</f>
        <v>#REF!</v>
      </c>
      <c r="AN1004" s="382">
        <f>IF(AND(AH1004&gt;0,B1004&lt;&gt;""),VLOOKUP(I1004,'AUX-NIV2'!$B:$AP,40,FALSE)*O1004,0)</f>
        <v>0</v>
      </c>
      <c r="AO1004" s="382">
        <f t="shared" si="1057"/>
        <v>1</v>
      </c>
      <c r="AQ1004" s="395">
        <f>(IF($H1004="x",VLOOKUP($I1004,'AUX-NIV2'!$B:$X,'AUX-NIV1'!AQ$3,FALSE),0)+($AV1004*'AUX-NIV3'!S$4))*$O1004+IF($H1004=AQ$4,$P1004,0)</f>
        <v>306.06728807927323</v>
      </c>
      <c r="AR1004" s="395">
        <f>(IF($H1004="x",VLOOKUP($I1004,'AUX-NIV2'!$B:$X,'AUX-NIV1'!AR$3,FALSE),0)+($AV1004*'AUX-NIV3'!T$4))*$O1004+IF($H1004=AR$4,$P1004,0)</f>
        <v>0</v>
      </c>
      <c r="AS1004" s="395">
        <f>(IF($H1004="x",VLOOKUP($I1004,'AUX-NIV2'!$B:$X,'AUX-NIV1'!AS$3,FALSE),0)+($AV1004*'AUX-NIV3'!U$4))*$O1004+IF($H1004=AS$4,$P1004,0)</f>
        <v>0</v>
      </c>
      <c r="AT1004" s="395">
        <f>(IF($H1004="x",VLOOKUP($I1004,'AUX-NIV2'!$B:$X,'AUX-NIV1'!AT$3,FALSE),0)+($AV1004*'AUX-NIV3'!V$4))*$O1004+IF($H1004=AT$4,$P1004,0)</f>
        <v>0</v>
      </c>
      <c r="AU1004" s="395">
        <f>(IF($H1004="x",VLOOKUP($I1004,'AUX-NIV2'!$B:$X,'AUX-NIV1'!AU$3,FALSE),0)+($AV1004*'AUX-NIV3'!W$4))*$O1004+IF($H1004=AU$4,$P1004,0)</f>
        <v>0</v>
      </c>
      <c r="AV1004" s="395">
        <f>+IF($H1004="x",VLOOKUP($I1004,'AUX-NIV2'!$B:$X,'AUX-NIV1'!AV$3,FALSE),0)</f>
        <v>0</v>
      </c>
    </row>
    <row r="1005" spans="2:48">
      <c r="B1005" s="324" t="s">
        <v>4321</v>
      </c>
      <c r="C1005" s="325" t="s">
        <v>4549</v>
      </c>
      <c r="D1005" s="326" t="s">
        <v>4284</v>
      </c>
      <c r="E1005" s="349">
        <f>IF(B1005&lt;&gt;"",+SUMIF(Items!C:C,'AUX-NIV1'!B1005,Items!H:H),"")</f>
        <v>0</v>
      </c>
      <c r="F1005" s="349">
        <f t="shared" si="1047"/>
        <v>2160.2217409044879</v>
      </c>
      <c r="G1005" s="349">
        <f t="shared" si="1048"/>
        <v>0</v>
      </c>
      <c r="H1005" s="1395" t="str">
        <f t="shared" si="1133"/>
        <v>A</v>
      </c>
      <c r="I1005" s="1375" t="s">
        <v>3310</v>
      </c>
      <c r="J1005" s="350" t="str">
        <f>IF(B1005&lt;&gt;"",+VLOOKUP(I1005,Recursos!C:F,2,FALSE),"")</f>
        <v>OFICIAL ESPECIALIZADO</v>
      </c>
      <c r="K1005" s="351" t="str">
        <f>IF(B1005&lt;&gt;"",+VLOOKUP(I1005,Recursos!C:F,3,FALSE),"")</f>
        <v>hh</v>
      </c>
      <c r="L1005" s="1475">
        <f>IF(B1005&lt;&gt;"",+VLOOKUP(I1005,Recursos!C:F,4,FALSE),"")</f>
        <v>581.06120476836554</v>
      </c>
      <c r="M1005" s="1493"/>
      <c r="N1005" s="1625">
        <v>1</v>
      </c>
      <c r="O1005" s="1361">
        <f>N1005*M1004</f>
        <v>0.33333333333333331</v>
      </c>
      <c r="P1005" s="352">
        <f t="shared" si="1135"/>
        <v>193.68706825612185</v>
      </c>
      <c r="Q1005" s="349">
        <f t="shared" si="1136"/>
        <v>0</v>
      </c>
      <c r="R1005" s="353">
        <f t="shared" si="1137"/>
        <v>0</v>
      </c>
      <c r="S1005" s="354">
        <f t="shared" si="1049"/>
        <v>499.75435633539507</v>
      </c>
      <c r="T1005" s="354">
        <f t="shared" si="1050"/>
        <v>0</v>
      </c>
      <c r="U1005" s="355">
        <f t="shared" si="1051"/>
        <v>1660.4673845690927</v>
      </c>
      <c r="V1005" s="355">
        <f t="shared" si="1052"/>
        <v>0</v>
      </c>
      <c r="W1005" s="355">
        <f t="shared" si="1053"/>
        <v>0</v>
      </c>
      <c r="X1005" s="355">
        <f t="shared" si="1054"/>
        <v>0</v>
      </c>
      <c r="Y1005" s="396"/>
      <c r="Z1005" s="346" t="str">
        <f t="shared" si="1138"/>
        <v>0-CUBPTIOA</v>
      </c>
      <c r="AA1005" s="346" t="str">
        <f t="shared" si="1139"/>
        <v>0-CUBPTIOE</v>
      </c>
      <c r="AB1005" s="346" t="str">
        <f t="shared" si="1140"/>
        <v>0-CUBPTIOM</v>
      </c>
      <c r="AC1005" s="346" t="str">
        <f t="shared" si="1141"/>
        <v>0-CUBPTIOT</v>
      </c>
      <c r="AD1005" s="346" t="str">
        <f t="shared" si="1142"/>
        <v>0-CUBPTIOS</v>
      </c>
      <c r="AE1005" s="346" t="str">
        <f t="shared" si="1143"/>
        <v>0-CUBPTIOX</v>
      </c>
      <c r="AF1005" s="346" t="str">
        <f t="shared" si="1144"/>
        <v>0-CUBPTIOA</v>
      </c>
      <c r="AG1005" s="346">
        <f t="shared" si="1055"/>
        <v>7</v>
      </c>
      <c r="AH1005" s="346">
        <f>IF(B1005&lt;&gt;"",+IF(H1005="x",+VLOOKUP(I1005,'AUX-NIV2'!B:AG,32,FALSE),0),"")</f>
        <v>0</v>
      </c>
      <c r="AI1005" s="346" t="str">
        <f t="shared" si="1145"/>
        <v>0-CUBPTIO</v>
      </c>
      <c r="AK1005" s="347">
        <f t="shared" si="1056"/>
        <v>1003</v>
      </c>
      <c r="AL1005" s="348">
        <f t="shared" si="1146"/>
        <v>1009</v>
      </c>
      <c r="AM1005" s="347" t="e">
        <f>IF(B1005&lt;&gt;"",IF(B1005=#REF!,1+#REF!,1),"")</f>
        <v>#REF!</v>
      </c>
      <c r="AN1005" s="382">
        <f>IF(AND(AH1005&gt;0,B1005&lt;&gt;""),VLOOKUP(I1005,'AUX-NIV2'!$B:$AP,40,FALSE)*O1005,0)</f>
        <v>0</v>
      </c>
      <c r="AO1005" s="382">
        <f t="shared" si="1057"/>
        <v>1</v>
      </c>
      <c r="AQ1005" s="395">
        <f>(IF($H1005="x",VLOOKUP($I1005,'AUX-NIV2'!$B:$X,'AUX-NIV1'!AQ$3,FALSE),0)+($AV1005*'AUX-NIV3'!S$4))*$O1005+IF($H1005=AQ$4,$P1005,0)</f>
        <v>193.68706825612185</v>
      </c>
      <c r="AR1005" s="395">
        <f>(IF($H1005="x",VLOOKUP($I1005,'AUX-NIV2'!$B:$X,'AUX-NIV1'!AR$3,FALSE),0)+($AV1005*'AUX-NIV3'!T$4))*$O1005+IF($H1005=AR$4,$P1005,0)</f>
        <v>0</v>
      </c>
      <c r="AS1005" s="395">
        <f>(IF($H1005="x",VLOOKUP($I1005,'AUX-NIV2'!$B:$X,'AUX-NIV1'!AS$3,FALSE),0)+($AV1005*'AUX-NIV3'!U$4))*$O1005+IF($H1005=AS$4,$P1005,0)</f>
        <v>0</v>
      </c>
      <c r="AT1005" s="395">
        <f>(IF($H1005="x",VLOOKUP($I1005,'AUX-NIV2'!$B:$X,'AUX-NIV1'!AT$3,FALSE),0)+($AV1005*'AUX-NIV3'!V$4))*$O1005+IF($H1005=AT$4,$P1005,0)</f>
        <v>0</v>
      </c>
      <c r="AU1005" s="395">
        <f>(IF($H1005="x",VLOOKUP($I1005,'AUX-NIV2'!$B:$X,'AUX-NIV1'!AU$3,FALSE),0)+($AV1005*'AUX-NIV3'!W$4))*$O1005+IF($H1005=AU$4,$P1005,0)</f>
        <v>0</v>
      </c>
      <c r="AV1005" s="395">
        <f>+IF($H1005="x",VLOOKUP($I1005,'AUX-NIV2'!$B:$X,'AUX-NIV1'!AV$3,FALSE),0)</f>
        <v>0</v>
      </c>
    </row>
    <row r="1006" spans="2:48">
      <c r="B1006" s="324" t="s">
        <v>4321</v>
      </c>
      <c r="C1006" s="325" t="s">
        <v>4549</v>
      </c>
      <c r="D1006" s="326" t="s">
        <v>4284</v>
      </c>
      <c r="E1006" s="349">
        <f>IF(B1006&lt;&gt;"",+SUMIF(Items!C:C,'AUX-NIV1'!B1006,Items!H:H),"")</f>
        <v>0</v>
      </c>
      <c r="F1006" s="349">
        <f t="shared" si="1047"/>
        <v>2160.2217409044879</v>
      </c>
      <c r="G1006" s="349">
        <f t="shared" si="1048"/>
        <v>0</v>
      </c>
      <c r="H1006" s="1395" t="str">
        <f>IF(B1006&lt;&gt;"",+LEFT(I1006,1),"")</f>
        <v>M</v>
      </c>
      <c r="I1006" s="1375" t="s">
        <v>4560</v>
      </c>
      <c r="J1006" s="350" t="str">
        <f>IF(B1006&lt;&gt;"",+VLOOKUP(I1006,Recursos!C:F,2,FALSE),"")</f>
        <v>PERFIL C DE CHAPA 140x60x20x2</v>
      </c>
      <c r="K1006" s="351" t="str">
        <f>IF(B1006&lt;&gt;"",+VLOOKUP(I1006,Recursos!C:F,3,FALSE),"")</f>
        <v>m</v>
      </c>
      <c r="L1006" s="1475">
        <f>IF(B1006&lt;&gt;"",+VLOOKUP(I1006,Recursos!C:F,4,FALSE),"")</f>
        <v>1077.823691460055</v>
      </c>
      <c r="M1006" s="1493">
        <v>0</v>
      </c>
      <c r="N1006" s="1507">
        <v>0</v>
      </c>
      <c r="O1006" s="1490">
        <f>+M1006*N1006</f>
        <v>0</v>
      </c>
      <c r="P1006" s="352">
        <f>IF(B1006&lt;&gt;"",O1006*L1006,"")</f>
        <v>0</v>
      </c>
      <c r="Q1006" s="349">
        <f>IF(B1006&lt;&gt;"",+O1006*E1006,"")</f>
        <v>0</v>
      </c>
      <c r="R1006" s="353">
        <f>IF(B1006&lt;&gt;"",Q1006*L1006,"")</f>
        <v>0</v>
      </c>
      <c r="S1006" s="354">
        <f t="shared" si="1049"/>
        <v>499.75435633539507</v>
      </c>
      <c r="T1006" s="354">
        <f t="shared" si="1050"/>
        <v>0</v>
      </c>
      <c r="U1006" s="355">
        <f t="shared" si="1051"/>
        <v>1660.4673845690927</v>
      </c>
      <c r="V1006" s="355">
        <f t="shared" si="1052"/>
        <v>0</v>
      </c>
      <c r="W1006" s="355">
        <f t="shared" si="1053"/>
        <v>0</v>
      </c>
      <c r="X1006" s="355">
        <f t="shared" si="1054"/>
        <v>0</v>
      </c>
      <c r="Y1006" s="396"/>
      <c r="Z1006" s="346" t="str">
        <f>IF(B1006&lt;&gt;"",+$B1006&amp;"A","")</f>
        <v>0-CUBPTIOA</v>
      </c>
      <c r="AA1006" s="346" t="str">
        <f>IF(B1006&lt;&gt;"",+$B1006&amp;"E","")</f>
        <v>0-CUBPTIOE</v>
      </c>
      <c r="AB1006" s="346" t="str">
        <f>IF(B1006&lt;&gt;"",++$B1006&amp;"M","")</f>
        <v>0-CUBPTIOM</v>
      </c>
      <c r="AC1006" s="346" t="str">
        <f>IF(B1006&lt;&gt;"",+$B1006&amp;"T","")</f>
        <v>0-CUBPTIOT</v>
      </c>
      <c r="AD1006" s="346" t="str">
        <f>IF(B1006&lt;&gt;"",+$B1006&amp;"S","")</f>
        <v>0-CUBPTIOS</v>
      </c>
      <c r="AE1006" s="346" t="str">
        <f>IF(B1006&lt;&gt;"",+$B1006&amp;"X","")</f>
        <v>0-CUBPTIOX</v>
      </c>
      <c r="AF1006" s="346" t="str">
        <f>IF(B1006&lt;&gt;"",+B1006&amp;H1006,"")</f>
        <v>0-CUBPTIOM</v>
      </c>
      <c r="AG1006" s="346">
        <f t="shared" si="1055"/>
        <v>7</v>
      </c>
      <c r="AH1006" s="346">
        <f>IF(B1006&lt;&gt;"",+IF(H1006="x",+VLOOKUP(I1006,'AUX-NIV2'!B:AG,32,FALSE),0),"")</f>
        <v>0</v>
      </c>
      <c r="AI1006" s="346" t="str">
        <f>IF(B1006&lt;&gt;"",+B1006,"")</f>
        <v>0-CUBPTIO</v>
      </c>
      <c r="AK1006" s="347">
        <f t="shared" si="1056"/>
        <v>1003</v>
      </c>
      <c r="AL1006" s="348">
        <f>IF(B1006&lt;&gt;"",+AK1006+AG1006-1,"")</f>
        <v>1009</v>
      </c>
      <c r="AM1006" s="347" t="e">
        <f>IF(B1006&lt;&gt;"",IF(B1006=#REF!,1+#REF!,1),"")</f>
        <v>#REF!</v>
      </c>
      <c r="AN1006" s="382">
        <f>IF(AND(AH1006&gt;0,B1006&lt;&gt;""),VLOOKUP(I1006,'AUX-NIV2'!$B:$AP,40,FALSE)*O1006,0)</f>
        <v>0</v>
      </c>
      <c r="AO1006" s="382">
        <f t="shared" si="1057"/>
        <v>1</v>
      </c>
      <c r="AQ1006" s="395">
        <f>(IF($H1006="x",VLOOKUP($I1006,'AUX-NIV2'!$B:$X,'AUX-NIV1'!AQ$3,FALSE),0)+($AV1006*'AUX-NIV3'!S$4))*$O1006+IF($H1006=AQ$4,$P1006,0)</f>
        <v>0</v>
      </c>
      <c r="AR1006" s="395">
        <f>(IF($H1006="x",VLOOKUP($I1006,'AUX-NIV2'!$B:$X,'AUX-NIV1'!AR$3,FALSE),0)+($AV1006*'AUX-NIV3'!T$4))*$O1006+IF($H1006=AR$4,$P1006,0)</f>
        <v>0</v>
      </c>
      <c r="AS1006" s="395">
        <f>(IF($H1006="x",VLOOKUP($I1006,'AUX-NIV2'!$B:$X,'AUX-NIV1'!AS$3,FALSE),0)+($AV1006*'AUX-NIV3'!U$4))*$O1006+IF($H1006=AS$4,$P1006,0)</f>
        <v>0</v>
      </c>
      <c r="AT1006" s="395">
        <f>(IF($H1006="x",VLOOKUP($I1006,'AUX-NIV2'!$B:$X,'AUX-NIV1'!AT$3,FALSE),0)+($AV1006*'AUX-NIV3'!V$4))*$O1006+IF($H1006=AT$4,$P1006,0)</f>
        <v>0</v>
      </c>
      <c r="AU1006" s="395">
        <f>(IF($H1006="x",VLOOKUP($I1006,'AUX-NIV2'!$B:$X,'AUX-NIV1'!AU$3,FALSE),0)+($AV1006*'AUX-NIV3'!W$4))*$O1006+IF($H1006=AU$4,$P1006,0)</f>
        <v>0</v>
      </c>
      <c r="AV1006" s="395">
        <f>+IF($H1006="x",VLOOKUP($I1006,'AUX-NIV2'!$B:$X,'AUX-NIV1'!AV$3,FALSE),0)</f>
        <v>0</v>
      </c>
    </row>
    <row r="1007" spans="2:48">
      <c r="B1007" s="324" t="s">
        <v>4321</v>
      </c>
      <c r="C1007" s="325" t="s">
        <v>4549</v>
      </c>
      <c r="D1007" s="326" t="s">
        <v>4284</v>
      </c>
      <c r="E1007" s="349">
        <f>IF(B1007&lt;&gt;"",+SUMIF(Items!C:C,'AUX-NIV1'!B1007,Items!H:H),"")</f>
        <v>0</v>
      </c>
      <c r="F1007" s="349">
        <f t="shared" si="1047"/>
        <v>2160.2217409044879</v>
      </c>
      <c r="G1007" s="349">
        <f t="shared" si="1048"/>
        <v>0</v>
      </c>
      <c r="H1007" s="1395" t="str">
        <f t="shared" si="1133"/>
        <v>M</v>
      </c>
      <c r="I1007" s="1375" t="s">
        <v>4689</v>
      </c>
      <c r="J1007" s="350" t="str">
        <f>IF(B1007&lt;&gt;"",+VLOOKUP(I1007,Recursos!C:F,2,FALSE),"")</f>
        <v>Caño Estructural 40x60x2</v>
      </c>
      <c r="K1007" s="351" t="str">
        <f>IF(B1007&lt;&gt;"",+VLOOKUP(I1007,Recursos!C:F,3,FALSE),"")</f>
        <v>m</v>
      </c>
      <c r="L1007" s="1475">
        <f>IF(B1007&lt;&gt;"",+VLOOKUP(I1007,Recursos!C:F,4,FALSE),"")</f>
        <v>826.44628099173553</v>
      </c>
      <c r="M1007" s="1493">
        <f>20/32</f>
        <v>0.625</v>
      </c>
      <c r="N1007" s="1507">
        <v>1</v>
      </c>
      <c r="O1007" s="1490">
        <f>+M1007*N1007</f>
        <v>0.625</v>
      </c>
      <c r="P1007" s="352">
        <f>IF(B1007&lt;&gt;"",O1007*L1007,"")</f>
        <v>516.52892561983469</v>
      </c>
      <c r="Q1007" s="349">
        <f>IF(B1007&lt;&gt;"",+O1007*E1007,"")</f>
        <v>0</v>
      </c>
      <c r="R1007" s="353">
        <f>IF(B1007&lt;&gt;"",Q1007*L1007,"")</f>
        <v>0</v>
      </c>
      <c r="S1007" s="354">
        <f t="shared" si="1049"/>
        <v>499.75435633539507</v>
      </c>
      <c r="T1007" s="354">
        <f t="shared" si="1050"/>
        <v>0</v>
      </c>
      <c r="U1007" s="355">
        <f t="shared" si="1051"/>
        <v>1660.4673845690927</v>
      </c>
      <c r="V1007" s="355">
        <f t="shared" si="1052"/>
        <v>0</v>
      </c>
      <c r="W1007" s="355">
        <f t="shared" si="1053"/>
        <v>0</v>
      </c>
      <c r="X1007" s="355">
        <f t="shared" si="1054"/>
        <v>0</v>
      </c>
      <c r="Y1007" s="396"/>
      <c r="Z1007" s="346" t="str">
        <f t="shared" si="1138"/>
        <v>0-CUBPTIOA</v>
      </c>
      <c r="AA1007" s="346" t="str">
        <f t="shared" si="1139"/>
        <v>0-CUBPTIOE</v>
      </c>
      <c r="AB1007" s="346" t="str">
        <f t="shared" si="1140"/>
        <v>0-CUBPTIOM</v>
      </c>
      <c r="AC1007" s="346" t="str">
        <f t="shared" si="1141"/>
        <v>0-CUBPTIOT</v>
      </c>
      <c r="AD1007" s="346" t="str">
        <f t="shared" si="1142"/>
        <v>0-CUBPTIOS</v>
      </c>
      <c r="AE1007" s="346" t="str">
        <f t="shared" si="1143"/>
        <v>0-CUBPTIOX</v>
      </c>
      <c r="AF1007" s="346" t="str">
        <f t="shared" si="1144"/>
        <v>0-CUBPTIOM</v>
      </c>
      <c r="AG1007" s="346">
        <f t="shared" si="1055"/>
        <v>7</v>
      </c>
      <c r="AH1007" s="346">
        <f>IF(B1007&lt;&gt;"",+IF(H1007="x",+VLOOKUP(I1007,'AUX-NIV2'!B:AG,32,FALSE),0),"")</f>
        <v>0</v>
      </c>
      <c r="AI1007" s="346" t="str">
        <f t="shared" si="1145"/>
        <v>0-CUBPTIO</v>
      </c>
      <c r="AK1007" s="347">
        <f t="shared" si="1056"/>
        <v>1003</v>
      </c>
      <c r="AL1007" s="348">
        <f t="shared" si="1146"/>
        <v>1009</v>
      </c>
      <c r="AM1007" s="347" t="e">
        <f>IF(B1007&lt;&gt;"",IF(B1007=#REF!,1+#REF!,1),"")</f>
        <v>#REF!</v>
      </c>
      <c r="AN1007" s="382">
        <f>IF(AND(AH1007&gt;0,B1007&lt;&gt;""),VLOOKUP(I1007,'AUX-NIV2'!$B:$AP,40,FALSE)*O1007,0)</f>
        <v>0</v>
      </c>
      <c r="AO1007" s="382">
        <f t="shared" si="1057"/>
        <v>1</v>
      </c>
      <c r="AQ1007" s="395">
        <f>(IF($H1007="x",VLOOKUP($I1007,'AUX-NIV2'!$B:$X,'AUX-NIV1'!AQ$3,FALSE),0)+($AV1007*'AUX-NIV3'!S$4))*$O1007+IF($H1007=AQ$4,$P1007,0)</f>
        <v>0</v>
      </c>
      <c r="AR1007" s="395">
        <f>(IF($H1007="x",VLOOKUP($I1007,'AUX-NIV2'!$B:$X,'AUX-NIV1'!AR$3,FALSE),0)+($AV1007*'AUX-NIV3'!T$4))*$O1007+IF($H1007=AR$4,$P1007,0)</f>
        <v>0</v>
      </c>
      <c r="AS1007" s="395">
        <f>(IF($H1007="x",VLOOKUP($I1007,'AUX-NIV2'!$B:$X,'AUX-NIV1'!AS$3,FALSE),0)+($AV1007*'AUX-NIV3'!U$4))*$O1007+IF($H1007=AS$4,$P1007,0)</f>
        <v>516.52892561983469</v>
      </c>
      <c r="AT1007" s="395">
        <f>(IF($H1007="x",VLOOKUP($I1007,'AUX-NIV2'!$B:$X,'AUX-NIV1'!AT$3,FALSE),0)+($AV1007*'AUX-NIV3'!V$4))*$O1007+IF($H1007=AT$4,$P1007,0)</f>
        <v>0</v>
      </c>
      <c r="AU1007" s="395">
        <f>(IF($H1007="x",VLOOKUP($I1007,'AUX-NIV2'!$B:$X,'AUX-NIV1'!AU$3,FALSE),0)+($AV1007*'AUX-NIV3'!W$4))*$O1007+IF($H1007=AU$4,$P1007,0)</f>
        <v>0</v>
      </c>
      <c r="AV1007" s="395">
        <f>+IF($H1007="x",VLOOKUP($I1007,'AUX-NIV2'!$B:$X,'AUX-NIV1'!AV$3,FALSE),0)</f>
        <v>0</v>
      </c>
    </row>
    <row r="1008" spans="2:48">
      <c r="B1008" s="324" t="s">
        <v>4321</v>
      </c>
      <c r="C1008" s="325" t="s">
        <v>4549</v>
      </c>
      <c r="D1008" s="326" t="s">
        <v>4284</v>
      </c>
      <c r="E1008" s="349">
        <f>IF(B1008&lt;&gt;"",+SUMIF(Items!C:C,'AUX-NIV1'!B1008,Items!H:H),"")</f>
        <v>0</v>
      </c>
      <c r="F1008" s="349">
        <f t="shared" si="1047"/>
        <v>2160.2217409044879</v>
      </c>
      <c r="G1008" s="349">
        <f t="shared" si="1048"/>
        <v>0</v>
      </c>
      <c r="H1008" s="1395" t="str">
        <f t="shared" si="1133"/>
        <v>M</v>
      </c>
      <c r="I1008" s="1375" t="s">
        <v>4651</v>
      </c>
      <c r="J1008" s="350" t="str">
        <f>IF(B1008&lt;&gt;"",+VLOOKUP(I1008,Recursos!C:F,2,FALSE),"")</f>
        <v>CHAPA ZINC SINUSOIDAL C27</v>
      </c>
      <c r="K1008" s="351" t="str">
        <f>IF(B1008&lt;&gt;"",+VLOOKUP(I1008,Recursos!C:F,3,FALSE),"")</f>
        <v>m2</v>
      </c>
      <c r="L1008" s="1475">
        <f>IF(B1008&lt;&gt;"",+VLOOKUP(I1008,Recursos!C:F,4,FALSE),"")</f>
        <v>1181.8181818181818</v>
      </c>
      <c r="M1008" s="1493">
        <f>30/32.41</f>
        <v>0.92564023449552613</v>
      </c>
      <c r="N1008" s="1507">
        <v>1</v>
      </c>
      <c r="O1008" s="1490">
        <f>+M1008*N1008</f>
        <v>0.92564023449552613</v>
      </c>
      <c r="P1008" s="352">
        <f>IF(B1008&lt;&gt;"",O1008*L1008,"")</f>
        <v>1093.9384589492581</v>
      </c>
      <c r="Q1008" s="349">
        <f t="shared" si="1136"/>
        <v>0</v>
      </c>
      <c r="R1008" s="353">
        <f t="shared" si="1137"/>
        <v>0</v>
      </c>
      <c r="S1008" s="354">
        <f t="shared" si="1049"/>
        <v>499.75435633539507</v>
      </c>
      <c r="T1008" s="354">
        <f t="shared" si="1050"/>
        <v>0</v>
      </c>
      <c r="U1008" s="355">
        <f t="shared" si="1051"/>
        <v>1660.4673845690927</v>
      </c>
      <c r="V1008" s="355">
        <f t="shared" si="1052"/>
        <v>0</v>
      </c>
      <c r="W1008" s="355">
        <f t="shared" si="1053"/>
        <v>0</v>
      </c>
      <c r="X1008" s="355">
        <f t="shared" si="1054"/>
        <v>0</v>
      </c>
      <c r="Y1008" s="396"/>
      <c r="Z1008" s="346" t="str">
        <f t="shared" si="1138"/>
        <v>0-CUBPTIOA</v>
      </c>
      <c r="AA1008" s="346" t="str">
        <f t="shared" si="1139"/>
        <v>0-CUBPTIOE</v>
      </c>
      <c r="AB1008" s="346" t="str">
        <f t="shared" si="1140"/>
        <v>0-CUBPTIOM</v>
      </c>
      <c r="AC1008" s="346" t="str">
        <f t="shared" si="1141"/>
        <v>0-CUBPTIOT</v>
      </c>
      <c r="AD1008" s="346" t="str">
        <f t="shared" si="1142"/>
        <v>0-CUBPTIOS</v>
      </c>
      <c r="AE1008" s="346" t="str">
        <f t="shared" si="1143"/>
        <v>0-CUBPTIOX</v>
      </c>
      <c r="AF1008" s="346" t="str">
        <f t="shared" si="1144"/>
        <v>0-CUBPTIOM</v>
      </c>
      <c r="AG1008" s="346">
        <f t="shared" si="1055"/>
        <v>7</v>
      </c>
      <c r="AH1008" s="346">
        <f>IF(B1008&lt;&gt;"",+IF(H1008="x",+VLOOKUP(I1008,'AUX-NIV2'!B:AG,32,FALSE),0),"")</f>
        <v>0</v>
      </c>
      <c r="AI1008" s="346" t="str">
        <f t="shared" si="1145"/>
        <v>0-CUBPTIO</v>
      </c>
      <c r="AK1008" s="347">
        <f t="shared" si="1056"/>
        <v>1003</v>
      </c>
      <c r="AL1008" s="348">
        <f t="shared" si="1146"/>
        <v>1009</v>
      </c>
      <c r="AM1008" s="347" t="e">
        <f>IF(B1008&lt;&gt;"",IF(B1008=#REF!,1+#REF!,1),"")</f>
        <v>#REF!</v>
      </c>
      <c r="AN1008" s="382">
        <f>IF(AND(AH1008&gt;0,B1008&lt;&gt;""),VLOOKUP(I1008,'AUX-NIV2'!$B:$AP,40,FALSE)*O1008,0)</f>
        <v>0</v>
      </c>
      <c r="AO1008" s="382">
        <f t="shared" si="1057"/>
        <v>1</v>
      </c>
      <c r="AQ1008" s="395">
        <f>(IF($H1008="x",VLOOKUP($I1008,'AUX-NIV2'!$B:$X,'AUX-NIV1'!AQ$3,FALSE),0)+($AV1008*'AUX-NIV3'!S$4))*$O1008+IF($H1008=AQ$4,$P1008,0)</f>
        <v>0</v>
      </c>
      <c r="AR1008" s="395">
        <f>(IF($H1008="x",VLOOKUP($I1008,'AUX-NIV2'!$B:$X,'AUX-NIV1'!AR$3,FALSE),0)+($AV1008*'AUX-NIV3'!T$4))*$O1008+IF($H1008=AR$4,$P1008,0)</f>
        <v>0</v>
      </c>
      <c r="AS1008" s="395">
        <f>(IF($H1008="x",VLOOKUP($I1008,'AUX-NIV2'!$B:$X,'AUX-NIV1'!AS$3,FALSE),0)+($AV1008*'AUX-NIV3'!U$4))*$O1008+IF($H1008=AS$4,$P1008,0)</f>
        <v>1093.9384589492581</v>
      </c>
      <c r="AT1008" s="395">
        <f>(IF($H1008="x",VLOOKUP($I1008,'AUX-NIV2'!$B:$X,'AUX-NIV1'!AT$3,FALSE),0)+($AV1008*'AUX-NIV3'!V$4))*$O1008+IF($H1008=AT$4,$P1008,0)</f>
        <v>0</v>
      </c>
      <c r="AU1008" s="395">
        <f>(IF($H1008="x",VLOOKUP($I1008,'AUX-NIV2'!$B:$X,'AUX-NIV1'!AU$3,FALSE),0)+($AV1008*'AUX-NIV3'!W$4))*$O1008+IF($H1008=AU$4,$P1008,0)</f>
        <v>0</v>
      </c>
      <c r="AV1008" s="395">
        <f>+IF($H1008="x",VLOOKUP($I1008,'AUX-NIV2'!$B:$X,'AUX-NIV1'!AV$3,FALSE),0)</f>
        <v>0</v>
      </c>
    </row>
    <row r="1009" spans="2:48" ht="13.8" thickBot="1">
      <c r="B1009" s="324" t="s">
        <v>4321</v>
      </c>
      <c r="C1009" s="325" t="s">
        <v>4549</v>
      </c>
      <c r="D1009" s="326" t="s">
        <v>4284</v>
      </c>
      <c r="E1009" s="349">
        <f>IF(B1009&lt;&gt;"",+SUMIF(Items!C:C,'AUX-NIV1'!B1009,Items!H:H),"")</f>
        <v>0</v>
      </c>
      <c r="F1009" s="349">
        <f t="shared" si="1047"/>
        <v>2160.2217409044879</v>
      </c>
      <c r="G1009" s="349">
        <f t="shared" si="1048"/>
        <v>0</v>
      </c>
      <c r="H1009" s="1395" t="str">
        <f>IF(B1009&lt;&gt;"",+LEFT(I1009,1),"")</f>
        <v>M</v>
      </c>
      <c r="I1009" s="1375" t="s">
        <v>621</v>
      </c>
      <c r="J1009" s="350" t="str">
        <f>IF(B1009&lt;&gt;"",+VLOOKUP(I1009,Recursos!C:F,2,FALSE),"")</f>
        <v>MATERIALES VARIOS</v>
      </c>
      <c r="K1009" s="351" t="str">
        <f>IF(B1009&lt;&gt;"",+VLOOKUP(I1009,Recursos!C:F,3,FALSE),"")</f>
        <v>GL</v>
      </c>
      <c r="L1009" s="1475">
        <f>IF(B1009&lt;&gt;"",+VLOOKUP(I1009,Recursos!C:F,4,FALSE),"")</f>
        <v>0.5</v>
      </c>
      <c r="M1009" s="1622">
        <v>1</v>
      </c>
      <c r="N1009" s="1623">
        <v>100</v>
      </c>
      <c r="O1009" s="1490">
        <f>N1009</f>
        <v>100</v>
      </c>
      <c r="P1009" s="352">
        <f>IF(B1009&lt;&gt;"",O1009*L1009,"")</f>
        <v>50</v>
      </c>
      <c r="Q1009" s="349">
        <f>IF(B1009&lt;&gt;"",+O1009*E1009,"")</f>
        <v>0</v>
      </c>
      <c r="R1009" s="353">
        <f>IF(B1009&lt;&gt;"",Q1009*L1009,"")</f>
        <v>0</v>
      </c>
      <c r="S1009" s="354">
        <f t="shared" si="1049"/>
        <v>499.75435633539507</v>
      </c>
      <c r="T1009" s="354">
        <f t="shared" si="1050"/>
        <v>0</v>
      </c>
      <c r="U1009" s="355">
        <f t="shared" si="1051"/>
        <v>1660.4673845690927</v>
      </c>
      <c r="V1009" s="355">
        <f t="shared" si="1052"/>
        <v>0</v>
      </c>
      <c r="W1009" s="355">
        <f t="shared" si="1053"/>
        <v>0</v>
      </c>
      <c r="X1009" s="355">
        <f t="shared" si="1054"/>
        <v>0</v>
      </c>
      <c r="Y1009" s="396"/>
      <c r="Z1009" s="346" t="str">
        <f>IF(B1009&lt;&gt;"",+$B1009&amp;"A","")</f>
        <v>0-CUBPTIOA</v>
      </c>
      <c r="AA1009" s="346" t="str">
        <f>IF(B1009&lt;&gt;"",+$B1009&amp;"E","")</f>
        <v>0-CUBPTIOE</v>
      </c>
      <c r="AB1009" s="346" t="str">
        <f>IF(B1009&lt;&gt;"",++$B1009&amp;"M","")</f>
        <v>0-CUBPTIOM</v>
      </c>
      <c r="AC1009" s="346" t="str">
        <f>IF(B1009&lt;&gt;"",+$B1009&amp;"T","")</f>
        <v>0-CUBPTIOT</v>
      </c>
      <c r="AD1009" s="346" t="str">
        <f>IF(B1009&lt;&gt;"",+$B1009&amp;"S","")</f>
        <v>0-CUBPTIOS</v>
      </c>
      <c r="AE1009" s="346" t="str">
        <f>IF(B1009&lt;&gt;"",+$B1009&amp;"X","")</f>
        <v>0-CUBPTIOX</v>
      </c>
      <c r="AF1009" s="346" t="str">
        <f>IF(B1009&lt;&gt;"",+B1009&amp;H1009,"")</f>
        <v>0-CUBPTIOM</v>
      </c>
      <c r="AG1009" s="346">
        <f t="shared" si="1055"/>
        <v>7</v>
      </c>
      <c r="AH1009" s="346">
        <f>IF(B1009&lt;&gt;"",+IF(H1009="x",+VLOOKUP(I1009,'AUX-NIV2'!B:AG,32,FALSE),0),"")</f>
        <v>0</v>
      </c>
      <c r="AI1009" s="346" t="str">
        <f>IF(B1009&lt;&gt;"",+B1009,"")</f>
        <v>0-CUBPTIO</v>
      </c>
      <c r="AK1009" s="347">
        <f t="shared" si="1056"/>
        <v>1003</v>
      </c>
      <c r="AL1009" s="348">
        <f>IF(B1009&lt;&gt;"",+AK1009+AG1009-1,"")</f>
        <v>1009</v>
      </c>
      <c r="AM1009" s="347" t="e">
        <f>IF(B1009&lt;&gt;"",IF(B1009=#REF!,1+#REF!,1),"")</f>
        <v>#REF!</v>
      </c>
      <c r="AN1009" s="382">
        <f>IF(AND(AH1009&gt;0,B1009&lt;&gt;""),VLOOKUP(I1009,'AUX-NIV2'!$B:$AP,40,FALSE)*O1009,0)</f>
        <v>0</v>
      </c>
      <c r="AO1009" s="382">
        <f t="shared" si="1057"/>
        <v>1</v>
      </c>
      <c r="AQ1009" s="395">
        <f>(IF($H1009="x",VLOOKUP($I1009,'AUX-NIV2'!$B:$X,'AUX-NIV1'!AQ$3,FALSE),0)+($AV1009*'AUX-NIV3'!S$4))*$O1009+IF($H1009=AQ$4,$P1009,0)</f>
        <v>0</v>
      </c>
      <c r="AR1009" s="395">
        <f>(IF($H1009="x",VLOOKUP($I1009,'AUX-NIV2'!$B:$X,'AUX-NIV1'!AR$3,FALSE),0)+($AV1009*'AUX-NIV3'!T$4))*$O1009+IF($H1009=AR$4,$P1009,0)</f>
        <v>0</v>
      </c>
      <c r="AS1009" s="395">
        <f>(IF($H1009="x",VLOOKUP($I1009,'AUX-NIV2'!$B:$X,'AUX-NIV1'!AS$3,FALSE),0)+($AV1009*'AUX-NIV3'!U$4))*$O1009+IF($H1009=AS$4,$P1009,0)</f>
        <v>50</v>
      </c>
      <c r="AT1009" s="395">
        <f>(IF($H1009="x",VLOOKUP($I1009,'AUX-NIV2'!$B:$X,'AUX-NIV1'!AT$3,FALSE),0)+($AV1009*'AUX-NIV3'!V$4))*$O1009+IF($H1009=AT$4,$P1009,0)</f>
        <v>0</v>
      </c>
      <c r="AU1009" s="395">
        <f>(IF($H1009="x",VLOOKUP($I1009,'AUX-NIV2'!$B:$X,'AUX-NIV1'!AU$3,FALSE),0)+($AV1009*'AUX-NIV3'!W$4))*$O1009+IF($H1009=AU$4,$P1009,0)</f>
        <v>0</v>
      </c>
      <c r="AV1009" s="395">
        <f>+IF($H1009="x",VLOOKUP($I1009,'AUX-NIV2'!$B:$X,'AUX-NIV1'!AV$3,FALSE),0)</f>
        <v>0</v>
      </c>
    </row>
    <row r="1010" spans="2:48" ht="13.8" thickTop="1">
      <c r="B1010" s="324" t="s">
        <v>4642</v>
      </c>
      <c r="C1010" s="325" t="s">
        <v>4641</v>
      </c>
      <c r="D1010" s="326" t="s">
        <v>477</v>
      </c>
      <c r="E1010" s="349">
        <f>IF(B1010&lt;&gt;"",+SUMIF(Items!C:C,'AUX-NIV1'!B1010,Items!H:H),"")</f>
        <v>0</v>
      </c>
      <c r="F1010" s="349">
        <f t="shared" si="1047"/>
        <v>1326.3501892484999</v>
      </c>
      <c r="G1010" s="349">
        <f t="shared" si="1048"/>
        <v>0</v>
      </c>
      <c r="H1010" s="1395" t="str">
        <f>IF(B1010&lt;&gt;"",+LEFT(I1010,1),"")</f>
        <v>X</v>
      </c>
      <c r="I1010" s="1375" t="s">
        <v>4643</v>
      </c>
      <c r="J1010" s="350" t="str">
        <f>IF(B1010&lt;&gt;"",+VLOOKUP(I1010,Recursos!C:F,2,FALSE),"")</f>
        <v>Estruct Metalica</v>
      </c>
      <c r="K1010" s="351" t="str">
        <f>IF(B1010&lt;&gt;"",+VLOOKUP(I1010,Recursos!C:F,3,FALSE),"")</f>
        <v>m</v>
      </c>
      <c r="L1010" s="1475">
        <f>IF(B1010&lt;&gt;"",+VLOOKUP(I1010,Recursos!C:F,4,FALSE),"")</f>
        <v>1095.9099589288937</v>
      </c>
      <c r="M1010" s="1493">
        <v>1.1000000000000001</v>
      </c>
      <c r="N1010" s="1507">
        <v>1</v>
      </c>
      <c r="O1010" s="1490">
        <f>+M1010*N1010</f>
        <v>1.1000000000000001</v>
      </c>
      <c r="P1010" s="352">
        <f>IF(B1010&lt;&gt;"",O1010*L1010,"")</f>
        <v>1205.5009548217831</v>
      </c>
      <c r="Q1010" s="349">
        <f>IF(B1010&lt;&gt;"",+O1010*E1010,"")</f>
        <v>0</v>
      </c>
      <c r="R1010" s="353">
        <f>IF(B1010&lt;&gt;"",Q1010*L1010,"")</f>
        <v>0</v>
      </c>
      <c r="S1010" s="354">
        <f t="shared" si="1049"/>
        <v>0</v>
      </c>
      <c r="T1010" s="354">
        <f t="shared" si="1050"/>
        <v>0</v>
      </c>
      <c r="U1010" s="355">
        <f t="shared" si="1051"/>
        <v>0</v>
      </c>
      <c r="V1010" s="355">
        <f t="shared" si="1052"/>
        <v>0</v>
      </c>
      <c r="W1010" s="355">
        <f t="shared" si="1053"/>
        <v>0</v>
      </c>
      <c r="X1010" s="355">
        <f t="shared" si="1054"/>
        <v>1326.3501892484999</v>
      </c>
      <c r="Y1010" s="396"/>
      <c r="Z1010" s="346" t="str">
        <f>IF(B1010&lt;&gt;"",+$B1010&amp;"A","")</f>
        <v>0-ESTMETA</v>
      </c>
      <c r="AA1010" s="346" t="str">
        <f>IF(B1010&lt;&gt;"",+$B1010&amp;"E","")</f>
        <v>0-ESTMETE</v>
      </c>
      <c r="AB1010" s="346" t="str">
        <f>IF(B1010&lt;&gt;"",++$B1010&amp;"M","")</f>
        <v>0-ESTMETM</v>
      </c>
      <c r="AC1010" s="346" t="str">
        <f>IF(B1010&lt;&gt;"",+$B1010&amp;"T","")</f>
        <v>0-ESTMETT</v>
      </c>
      <c r="AD1010" s="346" t="str">
        <f>IF(B1010&lt;&gt;"",+$B1010&amp;"S","")</f>
        <v>0-ESTMETS</v>
      </c>
      <c r="AE1010" s="346" t="str">
        <f>IF(B1010&lt;&gt;"",+$B1010&amp;"X","")</f>
        <v>0-ESTMETX</v>
      </c>
      <c r="AF1010" s="346" t="str">
        <f>IF(B1010&lt;&gt;"",+B1010&amp;H1010,"")</f>
        <v>0-ESTMETX</v>
      </c>
      <c r="AG1010" s="346">
        <f t="shared" si="1055"/>
        <v>2</v>
      </c>
      <c r="AH1010" s="346">
        <f>IF(B1010&lt;&gt;"",+IF(H1010="x",+VLOOKUP(I1010,'AUX-NIV2'!B:AG,32,FALSE),0),"")</f>
        <v>11</v>
      </c>
      <c r="AI1010" s="346" t="str">
        <f>IF(B1010&lt;&gt;"",+B1010,"")</f>
        <v>0-ESTMET</v>
      </c>
      <c r="AK1010" s="347">
        <f t="shared" si="1056"/>
        <v>1010</v>
      </c>
      <c r="AL1010" s="348">
        <f>IF(B1010&lt;&gt;"",+AK1010+AG1010-1,"")</f>
        <v>1011</v>
      </c>
      <c r="AM1010" s="347" t="e">
        <f>IF(B1010&lt;&gt;"",IF(B1010=#REF!,1+#REF!,1),"")</f>
        <v>#REF!</v>
      </c>
      <c r="AN1010" s="382">
        <f>IF(AND(AH1010&gt;0,B1010&lt;&gt;""),VLOOKUP(I1010,'AUX-NIV2'!$B:$AP,40,FALSE)*O1010,0)</f>
        <v>0.52822000000000002</v>
      </c>
      <c r="AO1010" s="382">
        <f t="shared" si="1057"/>
        <v>0.57619219295774649</v>
      </c>
      <c r="AQ1010" s="395">
        <f>(IF($H1010="x",VLOOKUP($I1010,'AUX-NIV2'!$B:$X,'AUX-NIV1'!AQ$3,FALSE),0)+($AV1010*'AUX-NIV3'!S$4))*$O1010+IF($H1010=AQ$4,$P1010,0)</f>
        <v>274.71722197329831</v>
      </c>
      <c r="AR1010" s="395">
        <f>(IF($H1010="x",VLOOKUP($I1010,'AUX-NIV2'!$B:$X,'AUX-NIV1'!AR$3,FALSE),0)+($AV1010*'AUX-NIV3'!T$4))*$O1010+IF($H1010=AR$4,$P1010,0)</f>
        <v>59.285248000000003</v>
      </c>
      <c r="AS1010" s="395">
        <f>(IF($H1010="x",VLOOKUP($I1010,'AUX-NIV2'!$B:$X,'AUX-NIV1'!AS$3,FALSE),0)+($AV1010*'AUX-NIV3'!U$4))*$O1010+IF($H1010=AS$4,$P1010,0)</f>
        <v>871.49848484848508</v>
      </c>
      <c r="AT1010" s="395">
        <f>(IF($H1010="x",VLOOKUP($I1010,'AUX-NIV2'!$B:$X,'AUX-NIV1'!AT$3,FALSE),0)+($AV1010*'AUX-NIV3'!V$4))*$O1010+IF($H1010=AT$4,$P1010,0)</f>
        <v>0</v>
      </c>
      <c r="AU1010" s="395">
        <f>(IF($H1010="x",VLOOKUP($I1010,'AUX-NIV2'!$B:$X,'AUX-NIV1'!AU$3,FALSE),0)+($AV1010*'AUX-NIV3'!W$4))*$O1010+IF($H1010=AU$4,$P1010,0)</f>
        <v>0</v>
      </c>
      <c r="AV1010" s="395">
        <f>+IF($H1010="x",VLOOKUP($I1010,'AUX-NIV2'!$B:$X,'AUX-NIV1'!AV$3,FALSE),0)</f>
        <v>0</v>
      </c>
    </row>
    <row r="1011" spans="2:48" ht="13.8" thickBot="1">
      <c r="B1011" s="324" t="s">
        <v>4642</v>
      </c>
      <c r="C1011" s="325" t="s">
        <v>4641</v>
      </c>
      <c r="D1011" s="326" t="s">
        <v>477</v>
      </c>
      <c r="E1011" s="349">
        <f>IF(B1011&lt;&gt;"",+SUMIF(Items!C:C,'AUX-NIV1'!B1011,Items!H:H),"")</f>
        <v>0</v>
      </c>
      <c r="F1011" s="349">
        <f t="shared" si="1047"/>
        <v>1326.3501892484999</v>
      </c>
      <c r="G1011" s="349">
        <f t="shared" si="1048"/>
        <v>0</v>
      </c>
      <c r="H1011" s="1395" t="str">
        <f t="shared" ref="H1011" si="1179">IF(B1011&lt;&gt;"",+LEFT(I1011,1),"")</f>
        <v>X</v>
      </c>
      <c r="I1011" s="1375" t="s">
        <v>4644</v>
      </c>
      <c r="J1011" s="350" t="str">
        <f>IF(B1011&lt;&gt;"",+VLOOKUP(I1011,Recursos!C:F,2,FALSE),"")</f>
        <v>Platinas Metálicas</v>
      </c>
      <c r="K1011" s="351" t="str">
        <f>IF(B1011&lt;&gt;"",+VLOOKUP(I1011,Recursos!C:F,3,FALSE),"")</f>
        <v>Un</v>
      </c>
      <c r="L1011" s="1475">
        <f>IF(B1011&lt;&gt;"",+VLOOKUP(I1011,Recursos!C:F,4,FALSE),"")</f>
        <v>1300.0447945904373</v>
      </c>
      <c r="M1011" s="1622">
        <f>12*1.1</f>
        <v>13.200000000000001</v>
      </c>
      <c r="N1011" s="1623">
        <f>M1011/142</f>
        <v>9.295774647887324E-2</v>
      </c>
      <c r="O1011" s="1490">
        <f>N1011</f>
        <v>9.295774647887324E-2</v>
      </c>
      <c r="P1011" s="352">
        <f t="shared" ref="P1011" si="1180">IF(B1011&lt;&gt;"",O1011*L1011,"")</f>
        <v>120.84923442671671</v>
      </c>
      <c r="Q1011" s="349">
        <f t="shared" ref="Q1011" si="1181">IF(B1011&lt;&gt;"",+O1011*E1011,"")</f>
        <v>0</v>
      </c>
      <c r="R1011" s="353">
        <f t="shared" ref="R1011" si="1182">IF(B1011&lt;&gt;"",Q1011*L1011,"")</f>
        <v>0</v>
      </c>
      <c r="S1011" s="354">
        <f t="shared" si="1049"/>
        <v>0</v>
      </c>
      <c r="T1011" s="354">
        <f t="shared" si="1050"/>
        <v>0</v>
      </c>
      <c r="U1011" s="355">
        <f t="shared" si="1051"/>
        <v>0</v>
      </c>
      <c r="V1011" s="355">
        <f t="shared" si="1052"/>
        <v>0</v>
      </c>
      <c r="W1011" s="355">
        <f t="shared" si="1053"/>
        <v>0</v>
      </c>
      <c r="X1011" s="355">
        <f t="shared" si="1054"/>
        <v>1326.3501892484999</v>
      </c>
      <c r="Y1011" s="396"/>
      <c r="Z1011" s="346" t="str">
        <f t="shared" ref="Z1011" si="1183">IF(B1011&lt;&gt;"",+$B1011&amp;"A","")</f>
        <v>0-ESTMETA</v>
      </c>
      <c r="AA1011" s="346" t="str">
        <f t="shared" ref="AA1011" si="1184">IF(B1011&lt;&gt;"",+$B1011&amp;"E","")</f>
        <v>0-ESTMETE</v>
      </c>
      <c r="AB1011" s="346" t="str">
        <f t="shared" ref="AB1011" si="1185">IF(B1011&lt;&gt;"",++$B1011&amp;"M","")</f>
        <v>0-ESTMETM</v>
      </c>
      <c r="AC1011" s="346" t="str">
        <f t="shared" ref="AC1011" si="1186">IF(B1011&lt;&gt;"",+$B1011&amp;"T","")</f>
        <v>0-ESTMETT</v>
      </c>
      <c r="AD1011" s="346" t="str">
        <f t="shared" ref="AD1011" si="1187">IF(B1011&lt;&gt;"",+$B1011&amp;"S","")</f>
        <v>0-ESTMETS</v>
      </c>
      <c r="AE1011" s="346" t="str">
        <f t="shared" ref="AE1011" si="1188">IF(B1011&lt;&gt;"",+$B1011&amp;"X","")</f>
        <v>0-ESTMETX</v>
      </c>
      <c r="AF1011" s="346" t="str">
        <f t="shared" ref="AF1011" si="1189">IF(B1011&lt;&gt;"",+B1011&amp;H1011,"")</f>
        <v>0-ESTMETX</v>
      </c>
      <c r="AG1011" s="346">
        <f t="shared" si="1055"/>
        <v>2</v>
      </c>
      <c r="AH1011" s="346">
        <f>IF(B1011&lt;&gt;"",+IF(H1011="x",+VLOOKUP(I1011,'AUX-NIV2'!B:AG,32,FALSE),0),"")</f>
        <v>10</v>
      </c>
      <c r="AI1011" s="346" t="str">
        <f t="shared" ref="AI1011" si="1190">IF(B1011&lt;&gt;"",+B1011,"")</f>
        <v>0-ESTMET</v>
      </c>
      <c r="AK1011" s="347">
        <f t="shared" si="1056"/>
        <v>1010</v>
      </c>
      <c r="AL1011" s="348">
        <f t="shared" ref="AL1011" si="1191">IF(B1011&lt;&gt;"",+AK1011+AG1011-1,"")</f>
        <v>1011</v>
      </c>
      <c r="AM1011" s="347" t="e">
        <f>IF(B1011&lt;&gt;"",IF(B1011=#REF!,1+#REF!,1),"")</f>
        <v>#REF!</v>
      </c>
      <c r="AN1011" s="382">
        <f>IF(AND(AH1011&gt;0,B1011&lt;&gt;""),VLOOKUP(I1011,'AUX-NIV2'!$B:$AP,40,FALSE)*O1011,0)</f>
        <v>4.7972192957746504E-2</v>
      </c>
      <c r="AO1011" s="382">
        <f t="shared" si="1057"/>
        <v>0.57619219295774649</v>
      </c>
      <c r="AQ1011" s="395">
        <f>(IF($H1011="x",VLOOKUP($I1011,'AUX-NIV2'!$B:$X,'AUX-NIV1'!AQ$3,FALSE),0)+($AV1011*'AUX-NIV3'!S$4))*$O1011+IF($H1011=AQ$4,$P1011,0)</f>
        <v>26.017414605974057</v>
      </c>
      <c r="AR1011" s="395">
        <f>(IF($H1011="x",VLOOKUP($I1011,'AUX-NIV2'!$B:$X,'AUX-NIV1'!AR$3,FALSE),0)+($AV1011*'AUX-NIV3'!T$4))*$O1011+IF($H1011=AR$4,$P1011,0)</f>
        <v>4.8949504225352118</v>
      </c>
      <c r="AS1011" s="395">
        <f>(IF($H1011="x",VLOOKUP($I1011,'AUX-NIV2'!$B:$X,'AUX-NIV1'!AS$3,FALSE),0)+($AV1011*'AUX-NIV3'!U$4))*$O1011+IF($H1011=AS$4,$P1011,0)</f>
        <v>89.936869398207449</v>
      </c>
      <c r="AT1011" s="395">
        <f>(IF($H1011="x",VLOOKUP($I1011,'AUX-NIV2'!$B:$X,'AUX-NIV1'!AT$3,FALSE),0)+($AV1011*'AUX-NIV3'!V$4))*$O1011+IF($H1011=AT$4,$P1011,0)</f>
        <v>0</v>
      </c>
      <c r="AU1011" s="395">
        <f>(IF($H1011="x",VLOOKUP($I1011,'AUX-NIV2'!$B:$X,'AUX-NIV1'!AU$3,FALSE),0)+($AV1011*'AUX-NIV3'!W$4))*$O1011+IF($H1011=AU$4,$P1011,0)</f>
        <v>0</v>
      </c>
      <c r="AV1011" s="395">
        <f>+IF($H1011="x",VLOOKUP($I1011,'AUX-NIV2'!$B:$X,'AUX-NIV1'!AV$3,FALSE),0)</f>
        <v>0</v>
      </c>
    </row>
    <row r="1012" spans="2:48" ht="13.8" thickTop="1">
      <c r="B1012" s="324" t="s">
        <v>4649</v>
      </c>
      <c r="C1012" s="325" t="s">
        <v>4650</v>
      </c>
      <c r="D1012" s="326" t="s">
        <v>477</v>
      </c>
      <c r="E1012" s="349">
        <f>IF(B1012&lt;&gt;"",+SUMIF(Items!C:C,'AUX-NIV1'!B1012,Items!H:H),"")</f>
        <v>0</v>
      </c>
      <c r="F1012" s="349">
        <f t="shared" si="1047"/>
        <v>1313.8380210376529</v>
      </c>
      <c r="G1012" s="349">
        <f t="shared" si="1048"/>
        <v>0</v>
      </c>
      <c r="H1012" s="1395" t="str">
        <f>IF(B1012&lt;&gt;"",+LEFT(I1012,1),"")</f>
        <v>X</v>
      </c>
      <c r="I1012" s="1375" t="s">
        <v>4643</v>
      </c>
      <c r="J1012" s="350" t="str">
        <f>IF(B1012&lt;&gt;"",+VLOOKUP(I1012,Recursos!C:F,2,FALSE),"")</f>
        <v>Estruct Metalica</v>
      </c>
      <c r="K1012" s="351" t="str">
        <f>IF(B1012&lt;&gt;"",+VLOOKUP(I1012,Recursos!C:F,3,FALSE),"")</f>
        <v>m</v>
      </c>
      <c r="L1012" s="1475">
        <f>IF(B1012&lt;&gt;"",+VLOOKUP(I1012,Recursos!C:F,4,FALSE),"")</f>
        <v>1095.9099589288937</v>
      </c>
      <c r="M1012" s="1493">
        <v>1.1000000000000001</v>
      </c>
      <c r="N1012" s="1507">
        <v>1</v>
      </c>
      <c r="O1012" s="1490">
        <f>+M1012*N1012</f>
        <v>1.1000000000000001</v>
      </c>
      <c r="P1012" s="352">
        <f>IF(B1012&lt;&gt;"",O1012*L1012,"")</f>
        <v>1205.5009548217831</v>
      </c>
      <c r="Q1012" s="349">
        <f>IF(B1012&lt;&gt;"",+O1012*E1012,"")</f>
        <v>0</v>
      </c>
      <c r="R1012" s="353">
        <f>IF(B1012&lt;&gt;"",Q1012*L1012,"")</f>
        <v>0</v>
      </c>
      <c r="S1012" s="354">
        <f t="shared" si="1049"/>
        <v>0</v>
      </c>
      <c r="T1012" s="354">
        <f t="shared" si="1050"/>
        <v>0</v>
      </c>
      <c r="U1012" s="355">
        <f t="shared" si="1051"/>
        <v>0</v>
      </c>
      <c r="V1012" s="355">
        <f t="shared" si="1052"/>
        <v>0</v>
      </c>
      <c r="W1012" s="355">
        <f t="shared" si="1053"/>
        <v>0</v>
      </c>
      <c r="X1012" s="355">
        <f t="shared" si="1054"/>
        <v>1313.8380210376529</v>
      </c>
      <c r="Y1012" s="396"/>
      <c r="Z1012" s="346" t="str">
        <f>IF(B1012&lt;&gt;"",+$B1012&amp;"A","")</f>
        <v>0-CORRMETA</v>
      </c>
      <c r="AA1012" s="346" t="str">
        <f>IF(B1012&lt;&gt;"",+$B1012&amp;"E","")</f>
        <v>0-CORRMETE</v>
      </c>
      <c r="AB1012" s="346" t="str">
        <f>IF(B1012&lt;&gt;"",++$B1012&amp;"M","")</f>
        <v>0-CORRMETM</v>
      </c>
      <c r="AC1012" s="346" t="str">
        <f>IF(B1012&lt;&gt;"",+$B1012&amp;"T","")</f>
        <v>0-CORRMETT</v>
      </c>
      <c r="AD1012" s="346" t="str">
        <f>IF(B1012&lt;&gt;"",+$B1012&amp;"S","")</f>
        <v>0-CORRMETS</v>
      </c>
      <c r="AE1012" s="346" t="str">
        <f>IF(B1012&lt;&gt;"",+$B1012&amp;"X","")</f>
        <v>0-CORRMETX</v>
      </c>
      <c r="AF1012" s="346" t="str">
        <f>IF(B1012&lt;&gt;"",+B1012&amp;H1012,"")</f>
        <v>0-CORRMETX</v>
      </c>
      <c r="AG1012" s="346">
        <f t="shared" si="1055"/>
        <v>2</v>
      </c>
      <c r="AH1012" s="346">
        <f>IF(B1012&lt;&gt;"",+IF(H1012="x",+VLOOKUP(I1012,'AUX-NIV2'!B:AG,32,FALSE),0),"")</f>
        <v>11</v>
      </c>
      <c r="AI1012" s="346" t="str">
        <f>IF(B1012&lt;&gt;"",+B1012,"")</f>
        <v>0-CORRMET</v>
      </c>
      <c r="AK1012" s="347">
        <f t="shared" si="1056"/>
        <v>1012</v>
      </c>
      <c r="AL1012" s="348">
        <f>IF(B1012&lt;&gt;"",+AK1012+AG1012-1,"")</f>
        <v>1013</v>
      </c>
      <c r="AM1012" s="347" t="e">
        <f>IF(B1012&lt;&gt;"",IF(B1012=#REF!,1+#REF!,1),"")</f>
        <v>#REF!</v>
      </c>
      <c r="AN1012" s="382">
        <f>IF(AND(AH1012&gt;0,B1012&lt;&gt;""),VLOOKUP(I1012,'AUX-NIV2'!$B:$AP,40,FALSE)*O1012,0)</f>
        <v>0.52822000000000002</v>
      </c>
      <c r="AO1012" s="382">
        <f t="shared" si="1057"/>
        <v>0.57122537500000004</v>
      </c>
      <c r="AQ1012" s="395">
        <f>(IF($H1012="x",VLOOKUP($I1012,'AUX-NIV2'!$B:$X,'AUX-NIV1'!AQ$3,FALSE),0)+($AV1012*'AUX-NIV3'!S$4))*$O1012+IF($H1012=AQ$4,$P1012,0)</f>
        <v>274.71722197329831</v>
      </c>
      <c r="AR1012" s="395">
        <f>(IF($H1012="x",VLOOKUP($I1012,'AUX-NIV2'!$B:$X,'AUX-NIV1'!AR$3,FALSE),0)+($AV1012*'AUX-NIV3'!T$4))*$O1012+IF($H1012=AR$4,$P1012,0)</f>
        <v>59.285248000000003</v>
      </c>
      <c r="AS1012" s="395">
        <f>(IF($H1012="x",VLOOKUP($I1012,'AUX-NIV2'!$B:$X,'AUX-NIV1'!AS$3,FALSE),0)+($AV1012*'AUX-NIV3'!U$4))*$O1012+IF($H1012=AS$4,$P1012,0)</f>
        <v>871.49848484848508</v>
      </c>
      <c r="AT1012" s="395">
        <f>(IF($H1012="x",VLOOKUP($I1012,'AUX-NIV2'!$B:$X,'AUX-NIV1'!AT$3,FALSE),0)+($AV1012*'AUX-NIV3'!V$4))*$O1012+IF($H1012=AT$4,$P1012,0)</f>
        <v>0</v>
      </c>
      <c r="AU1012" s="395">
        <f>(IF($H1012="x",VLOOKUP($I1012,'AUX-NIV2'!$B:$X,'AUX-NIV1'!AU$3,FALSE),0)+($AV1012*'AUX-NIV3'!W$4))*$O1012+IF($H1012=AU$4,$P1012,0)</f>
        <v>0</v>
      </c>
      <c r="AV1012" s="395">
        <f>+IF($H1012="x",VLOOKUP($I1012,'AUX-NIV2'!$B:$X,'AUX-NIV1'!AV$3,FALSE),0)</f>
        <v>0</v>
      </c>
    </row>
    <row r="1013" spans="2:48" ht="13.8" thickBot="1">
      <c r="B1013" s="324" t="s">
        <v>4649</v>
      </c>
      <c r="C1013" s="325" t="s">
        <v>4650</v>
      </c>
      <c r="D1013" s="326" t="s">
        <v>477</v>
      </c>
      <c r="E1013" s="349">
        <f>IF(B1013&lt;&gt;"",+SUMIF(Items!C:C,'AUX-NIV1'!B1013,Items!H:H),"")</f>
        <v>0</v>
      </c>
      <c r="F1013" s="349">
        <f t="shared" si="1047"/>
        <v>1313.8380210376529</v>
      </c>
      <c r="G1013" s="349">
        <f t="shared" si="1048"/>
        <v>0</v>
      </c>
      <c r="H1013" s="1395" t="str">
        <f>IF(B1013&lt;&gt;"",+LEFT(I1013,1),"")</f>
        <v>X</v>
      </c>
      <c r="I1013" s="1375" t="s">
        <v>4644</v>
      </c>
      <c r="J1013" s="350" t="str">
        <f>IF(B1013&lt;&gt;"",+VLOOKUP(I1013,Recursos!C:F,2,FALSE),"")</f>
        <v>Platinas Metálicas</v>
      </c>
      <c r="K1013" s="351" t="str">
        <f>IF(B1013&lt;&gt;"",+VLOOKUP(I1013,Recursos!C:F,3,FALSE),"")</f>
        <v>Un</v>
      </c>
      <c r="L1013" s="1475">
        <f>IF(B1013&lt;&gt;"",+VLOOKUP(I1013,Recursos!C:F,4,FALSE),"")</f>
        <v>1300.0447945904373</v>
      </c>
      <c r="M1013" s="1493">
        <f>1/0.6</f>
        <v>1.6666666666666667</v>
      </c>
      <c r="N1013" s="1507">
        <v>0.05</v>
      </c>
      <c r="O1013" s="1490">
        <f>+M1013*N1013</f>
        <v>8.3333333333333343E-2</v>
      </c>
      <c r="P1013" s="352">
        <f>IF(B1013&lt;&gt;"",O1013*L1013,"")</f>
        <v>108.33706621586978</v>
      </c>
      <c r="Q1013" s="349">
        <f>IF(B1013&lt;&gt;"",+O1013*E1013,"")</f>
        <v>0</v>
      </c>
      <c r="R1013" s="353">
        <f>IF(B1013&lt;&gt;"",Q1013*L1013,"")</f>
        <v>0</v>
      </c>
      <c r="S1013" s="354">
        <f t="shared" si="1049"/>
        <v>0</v>
      </c>
      <c r="T1013" s="354">
        <f t="shared" si="1050"/>
        <v>0</v>
      </c>
      <c r="U1013" s="355">
        <f t="shared" si="1051"/>
        <v>0</v>
      </c>
      <c r="V1013" s="355">
        <f t="shared" si="1052"/>
        <v>0</v>
      </c>
      <c r="W1013" s="355">
        <f t="shared" si="1053"/>
        <v>0</v>
      </c>
      <c r="X1013" s="355">
        <f t="shared" si="1054"/>
        <v>1313.8380210376529</v>
      </c>
      <c r="Y1013" s="396"/>
      <c r="Z1013" s="346" t="str">
        <f>IF(B1013&lt;&gt;"",+$B1013&amp;"A","")</f>
        <v>0-CORRMETA</v>
      </c>
      <c r="AA1013" s="346" t="str">
        <f>IF(B1013&lt;&gt;"",+$B1013&amp;"E","")</f>
        <v>0-CORRMETE</v>
      </c>
      <c r="AB1013" s="346" t="str">
        <f>IF(B1013&lt;&gt;"",++$B1013&amp;"M","")</f>
        <v>0-CORRMETM</v>
      </c>
      <c r="AC1013" s="346" t="str">
        <f>IF(B1013&lt;&gt;"",+$B1013&amp;"T","")</f>
        <v>0-CORRMETT</v>
      </c>
      <c r="AD1013" s="346" t="str">
        <f>IF(B1013&lt;&gt;"",+$B1013&amp;"S","")</f>
        <v>0-CORRMETS</v>
      </c>
      <c r="AE1013" s="346" t="str">
        <f>IF(B1013&lt;&gt;"",+$B1013&amp;"X","")</f>
        <v>0-CORRMETX</v>
      </c>
      <c r="AF1013" s="346" t="str">
        <f>IF(B1013&lt;&gt;"",+B1013&amp;H1013,"")</f>
        <v>0-CORRMETX</v>
      </c>
      <c r="AG1013" s="346">
        <f t="shared" si="1055"/>
        <v>2</v>
      </c>
      <c r="AH1013" s="346">
        <f>IF(B1013&lt;&gt;"",+IF(H1013="x",+VLOOKUP(I1013,'AUX-NIV2'!B:AG,32,FALSE),0),"")</f>
        <v>10</v>
      </c>
      <c r="AI1013" s="346" t="str">
        <f>IF(B1013&lt;&gt;"",+B1013,"")</f>
        <v>0-CORRMET</v>
      </c>
      <c r="AK1013" s="347">
        <f t="shared" si="1056"/>
        <v>1012</v>
      </c>
      <c r="AL1013" s="348">
        <f>IF(B1013&lt;&gt;"",+AK1013+AG1013-1,"")</f>
        <v>1013</v>
      </c>
      <c r="AM1013" s="347" t="e">
        <f>IF(B1013&lt;&gt;"",IF(B1013=#REF!,1+#REF!,1),"")</f>
        <v>#REF!</v>
      </c>
      <c r="AN1013" s="382">
        <f>IF(AND(AH1013&gt;0,B1013&lt;&gt;""),VLOOKUP(I1013,'AUX-NIV2'!$B:$AP,40,FALSE)*O1013,0)</f>
        <v>4.3005375000000026E-2</v>
      </c>
      <c r="AO1013" s="382">
        <f t="shared" si="1057"/>
        <v>0.57122537500000004</v>
      </c>
      <c r="AQ1013" s="395">
        <f>(IF($H1013="x",VLOOKUP($I1013,'AUX-NIV2'!$B:$X,'AUX-NIV1'!AQ$3,FALSE),0)+($AV1013*'AUX-NIV3'!S$4))*$O1013+IF($H1013=AQ$4,$P1013,0)</f>
        <v>23.323692386668665</v>
      </c>
      <c r="AR1013" s="395">
        <f>(IF($H1013="x",VLOOKUP($I1013,'AUX-NIV2'!$B:$X,'AUX-NIV1'!AR$3,FALSE),0)+($AV1013*'AUX-NIV3'!T$4))*$O1013+IF($H1013=AR$4,$P1013,0)</f>
        <v>4.3881500000000013</v>
      </c>
      <c r="AS1013" s="395">
        <f>(IF($H1013="x",VLOOKUP($I1013,'AUX-NIV2'!$B:$X,'AUX-NIV1'!AS$3,FALSE),0)+($AV1013*'AUX-NIV3'!U$4))*$O1013+IF($H1013=AS$4,$P1013,0)</f>
        <v>80.625223829201133</v>
      </c>
      <c r="AT1013" s="395">
        <f>(IF($H1013="x",VLOOKUP($I1013,'AUX-NIV2'!$B:$X,'AUX-NIV1'!AT$3,FALSE),0)+($AV1013*'AUX-NIV3'!V$4))*$O1013+IF($H1013=AT$4,$P1013,0)</f>
        <v>0</v>
      </c>
      <c r="AU1013" s="395">
        <f>(IF($H1013="x",VLOOKUP($I1013,'AUX-NIV2'!$B:$X,'AUX-NIV1'!AU$3,FALSE),0)+($AV1013*'AUX-NIV3'!W$4))*$O1013+IF($H1013=AU$4,$P1013,0)</f>
        <v>0</v>
      </c>
      <c r="AV1013" s="395">
        <f>+IF($H1013="x",VLOOKUP($I1013,'AUX-NIV2'!$B:$X,'AUX-NIV1'!AV$3,FALSE),0)</f>
        <v>0</v>
      </c>
    </row>
    <row r="1014" spans="2:48" ht="13.8" hidden="1" thickBot="1">
      <c r="B1014" s="324" t="s">
        <v>4327</v>
      </c>
      <c r="C1014" s="325" t="s">
        <v>4286</v>
      </c>
      <c r="D1014" s="326" t="s">
        <v>1172</v>
      </c>
      <c r="E1014" s="349">
        <f>IF(B1014&lt;&gt;"",+SUMIF(Items!C:C,'AUX-NIV1'!B1014,Items!H:H),"")</f>
        <v>0</v>
      </c>
      <c r="F1014" s="349">
        <f t="shared" si="1047"/>
        <v>117241.43391783902</v>
      </c>
      <c r="G1014" s="349">
        <f t="shared" si="1048"/>
        <v>0</v>
      </c>
      <c r="H1014" s="1395" t="str">
        <f t="shared" ref="H1014:H1016" si="1192">IF(B1014&lt;&gt;"",+LEFT(I1014,1),"")</f>
        <v>X</v>
      </c>
      <c r="I1014" s="1375" t="s">
        <v>4337</v>
      </c>
      <c r="J1014" s="350" t="str">
        <f>IF(B1014&lt;&gt;"",+VLOOKUP(I1014,Recursos!C:F,2,FALSE),"")</f>
        <v>Trabajos Metalurgicos en Escalera</v>
      </c>
      <c r="K1014" s="351" t="str">
        <f>IF(B1014&lt;&gt;"",+VLOOKUP(I1014,Recursos!C:F,3,FALSE),"")</f>
        <v>m2</v>
      </c>
      <c r="L1014" s="1475">
        <f>IF(B1014&lt;&gt;"",+VLOOKUP(I1014,Recursos!C:F,4,FALSE),"")</f>
        <v>1784.1783505760031</v>
      </c>
      <c r="M1014" s="1493">
        <v>1</v>
      </c>
      <c r="N1014" s="1507">
        <v>25</v>
      </c>
      <c r="O1014" s="1490">
        <f>+M1014*N1014</f>
        <v>25</v>
      </c>
      <c r="P1014" s="352">
        <f t="shared" ref="P1014:P1016" si="1193">IF(B1014&lt;&gt;"",O1014*L1014,"")</f>
        <v>44604.458764400079</v>
      </c>
      <c r="Q1014" s="349">
        <f t="shared" ref="Q1014:Q1016" si="1194">IF(B1014&lt;&gt;"",+O1014*E1014,"")</f>
        <v>0</v>
      </c>
      <c r="R1014" s="353">
        <f t="shared" ref="R1014:R1016" si="1195">IF(B1014&lt;&gt;"",Q1014*L1014,"")</f>
        <v>0</v>
      </c>
      <c r="S1014" s="354">
        <f t="shared" si="1049"/>
        <v>0</v>
      </c>
      <c r="T1014" s="354">
        <f t="shared" si="1050"/>
        <v>0</v>
      </c>
      <c r="U1014" s="355">
        <f t="shared" si="1051"/>
        <v>39000</v>
      </c>
      <c r="V1014" s="355">
        <f t="shared" si="1052"/>
        <v>0</v>
      </c>
      <c r="W1014" s="355">
        <f t="shared" si="1053"/>
        <v>17010</v>
      </c>
      <c r="X1014" s="355">
        <f t="shared" si="1054"/>
        <v>61231.433917839036</v>
      </c>
      <c r="Y1014" s="396"/>
      <c r="Z1014" s="346" t="str">
        <f t="shared" ref="Z1014:Z1016" si="1196">IF(B1014&lt;&gt;"",+$B1014&amp;"A","")</f>
        <v>0-TERMESCA</v>
      </c>
      <c r="AA1014" s="346" t="str">
        <f t="shared" ref="AA1014:AA1016" si="1197">IF(B1014&lt;&gt;"",+$B1014&amp;"E","")</f>
        <v>0-TERMESCE</v>
      </c>
      <c r="AB1014" s="346" t="str">
        <f t="shared" ref="AB1014:AB1016" si="1198">IF(B1014&lt;&gt;"",++$B1014&amp;"M","")</f>
        <v>0-TERMESCM</v>
      </c>
      <c r="AC1014" s="346" t="str">
        <f t="shared" ref="AC1014:AC1016" si="1199">IF(B1014&lt;&gt;"",+$B1014&amp;"T","")</f>
        <v>0-TERMESCT</v>
      </c>
      <c r="AD1014" s="346" t="str">
        <f t="shared" ref="AD1014:AD1016" si="1200">IF(B1014&lt;&gt;"",+$B1014&amp;"S","")</f>
        <v>0-TERMESCS</v>
      </c>
      <c r="AE1014" s="346" t="str">
        <f t="shared" ref="AE1014:AE1016" si="1201">IF(B1014&lt;&gt;"",+$B1014&amp;"X","")</f>
        <v>0-TERMESCX</v>
      </c>
      <c r="AF1014" s="346" t="str">
        <f t="shared" ref="AF1014:AF1016" si="1202">IF(B1014&lt;&gt;"",+B1014&amp;H1014,"")</f>
        <v>0-TERMESCX</v>
      </c>
      <c r="AG1014" s="346">
        <f t="shared" si="1055"/>
        <v>4</v>
      </c>
      <c r="AH1014" s="346">
        <f>IF(B1014&lt;&gt;"",+IF(H1014="x",+VLOOKUP(I1014,'AUX-NIV2'!B:AG,32,FALSE),0),"")</f>
        <v>6</v>
      </c>
      <c r="AI1014" s="346" t="str">
        <f t="shared" ref="AI1014:AI1016" si="1203">IF(B1014&lt;&gt;"",+B1014,"")</f>
        <v>0-TERMESC</v>
      </c>
      <c r="AK1014" s="347">
        <f t="shared" si="1056"/>
        <v>1014</v>
      </c>
      <c r="AL1014" s="348">
        <f t="shared" ref="AL1014:AL1016" si="1204">IF(B1014&lt;&gt;"",+AK1014+AG1014-1,"")</f>
        <v>1017</v>
      </c>
      <c r="AM1014" s="347" t="e">
        <f>IF(B1014&lt;&gt;"",IF(B1014=#REF!,1+#REF!,1),"")</f>
        <v>#REF!</v>
      </c>
      <c r="AN1014" s="382">
        <f>IF(AND(AH1014&gt;0,B1014&lt;&gt;""),VLOOKUP(I1014,'AUX-NIV2'!$B:$AP,40,FALSE)*O1014,0)</f>
        <v>55.000000000000007</v>
      </c>
      <c r="AO1014" s="382">
        <f t="shared" si="1057"/>
        <v>63.400000000000006</v>
      </c>
      <c r="AQ1014" s="395">
        <f>(IF($H1014="x",VLOOKUP($I1014,'AUX-NIV2'!$B:$X,'AUX-NIV1'!AQ$3,FALSE),0)+($AV1014*'AUX-NIV3'!S$4))*$O1014+IF($H1014=AQ$4,$P1014,0)</f>
        <v>28604.458764400079</v>
      </c>
      <c r="AR1014" s="395">
        <f>(IF($H1014="x",VLOOKUP($I1014,'AUX-NIV2'!$B:$X,'AUX-NIV1'!AR$3,FALSE),0)+($AV1014*'AUX-NIV3'!T$4))*$O1014+IF($H1014=AR$4,$P1014,0)</f>
        <v>0</v>
      </c>
      <c r="AS1014" s="395">
        <f>(IF($H1014="x",VLOOKUP($I1014,'AUX-NIV2'!$B:$X,'AUX-NIV1'!AS$3,FALSE),0)+($AV1014*'AUX-NIV3'!U$4))*$O1014+IF($H1014=AS$4,$P1014,0)</f>
        <v>16000</v>
      </c>
      <c r="AT1014" s="395">
        <f>(IF($H1014="x",VLOOKUP($I1014,'AUX-NIV2'!$B:$X,'AUX-NIV1'!AT$3,FALSE),0)+($AV1014*'AUX-NIV3'!V$4))*$O1014+IF($H1014=AT$4,$P1014,0)</f>
        <v>0</v>
      </c>
      <c r="AU1014" s="395">
        <f>(IF($H1014="x",VLOOKUP($I1014,'AUX-NIV2'!$B:$X,'AUX-NIV1'!AU$3,FALSE),0)+($AV1014*'AUX-NIV3'!W$4))*$O1014+IF($H1014=AU$4,$P1014,0)</f>
        <v>0</v>
      </c>
      <c r="AV1014" s="395">
        <f>+IF($H1014="x",VLOOKUP($I1014,'AUX-NIV2'!$B:$X,'AUX-NIV1'!AV$3,FALSE),0)</f>
        <v>0</v>
      </c>
    </row>
    <row r="1015" spans="2:48" ht="13.8" hidden="1" thickBot="1">
      <c r="B1015" s="324" t="s">
        <v>4327</v>
      </c>
      <c r="C1015" s="325" t="s">
        <v>4286</v>
      </c>
      <c r="D1015" s="326" t="s">
        <v>1172</v>
      </c>
      <c r="E1015" s="349">
        <f>IF(B1015&lt;&gt;"",+SUMIF(Items!C:C,'AUX-NIV1'!B1015,Items!H:H),"")</f>
        <v>0</v>
      </c>
      <c r="F1015" s="349">
        <f t="shared" si="1047"/>
        <v>117241.43391783902</v>
      </c>
      <c r="G1015" s="349">
        <f t="shared" si="1048"/>
        <v>0</v>
      </c>
      <c r="H1015" s="1395" t="str">
        <f t="shared" si="1192"/>
        <v>M</v>
      </c>
      <c r="I1015" s="1375" t="s">
        <v>4331</v>
      </c>
      <c r="J1015" s="350" t="str">
        <f>IF(B1015&lt;&gt;"",+VLOOKUP(I1015,Recursos!C:F,2,FALSE),"")</f>
        <v>PISO MADERA LAUREL</v>
      </c>
      <c r="K1015" s="351" t="str">
        <f>IF(B1015&lt;&gt;"",+VLOOKUP(I1015,Recursos!C:F,3,FALSE),"")</f>
        <v>m2</v>
      </c>
      <c r="L1015" s="1475">
        <f>IF(B1015&lt;&gt;"",+VLOOKUP(I1015,Recursos!C:F,4,FALSE),"")</f>
        <v>1950</v>
      </c>
      <c r="M1015" s="1493">
        <v>1</v>
      </c>
      <c r="N1015" s="1507">
        <v>20</v>
      </c>
      <c r="O1015" s="1490">
        <f t="shared" ref="O1015:O1016" si="1205">+M1015*N1015</f>
        <v>20</v>
      </c>
      <c r="P1015" s="352">
        <f t="shared" si="1193"/>
        <v>39000</v>
      </c>
      <c r="Q1015" s="349">
        <f t="shared" si="1194"/>
        <v>0</v>
      </c>
      <c r="R1015" s="353">
        <f t="shared" si="1195"/>
        <v>0</v>
      </c>
      <c r="S1015" s="354">
        <f t="shared" si="1049"/>
        <v>0</v>
      </c>
      <c r="T1015" s="354">
        <f t="shared" si="1050"/>
        <v>0</v>
      </c>
      <c r="U1015" s="355">
        <f t="shared" si="1051"/>
        <v>39000</v>
      </c>
      <c r="V1015" s="355">
        <f t="shared" si="1052"/>
        <v>0</v>
      </c>
      <c r="W1015" s="355">
        <f t="shared" si="1053"/>
        <v>17010</v>
      </c>
      <c r="X1015" s="355">
        <f t="shared" si="1054"/>
        <v>61231.433917839036</v>
      </c>
      <c r="Y1015" s="396"/>
      <c r="Z1015" s="346" t="str">
        <f t="shared" si="1196"/>
        <v>0-TERMESCA</v>
      </c>
      <c r="AA1015" s="346" t="str">
        <f t="shared" si="1197"/>
        <v>0-TERMESCE</v>
      </c>
      <c r="AB1015" s="346" t="str">
        <f t="shared" si="1198"/>
        <v>0-TERMESCM</v>
      </c>
      <c r="AC1015" s="346" t="str">
        <f t="shared" si="1199"/>
        <v>0-TERMESCT</v>
      </c>
      <c r="AD1015" s="346" t="str">
        <f t="shared" si="1200"/>
        <v>0-TERMESCS</v>
      </c>
      <c r="AE1015" s="346" t="str">
        <f t="shared" si="1201"/>
        <v>0-TERMESCX</v>
      </c>
      <c r="AF1015" s="346" t="str">
        <f t="shared" si="1202"/>
        <v>0-TERMESCM</v>
      </c>
      <c r="AG1015" s="346">
        <f t="shared" si="1055"/>
        <v>4</v>
      </c>
      <c r="AH1015" s="346">
        <f>IF(B1015&lt;&gt;"",+IF(H1015="x",+VLOOKUP(I1015,'AUX-NIV2'!B:AG,32,FALSE),0),"")</f>
        <v>0</v>
      </c>
      <c r="AI1015" s="346" t="str">
        <f t="shared" si="1203"/>
        <v>0-TERMESC</v>
      </c>
      <c r="AK1015" s="347">
        <f t="shared" si="1056"/>
        <v>1014</v>
      </c>
      <c r="AL1015" s="348">
        <f t="shared" si="1204"/>
        <v>1017</v>
      </c>
      <c r="AM1015" s="347" t="e">
        <f>IF(B1015&lt;&gt;"",IF(B1015=#REF!,1+#REF!,1),"")</f>
        <v>#REF!</v>
      </c>
      <c r="AN1015" s="382">
        <f>IF(AND(AH1015&gt;0,B1015&lt;&gt;""),VLOOKUP(I1015,'AUX-NIV2'!$B:$AP,40,FALSE)*O1015,0)</f>
        <v>0</v>
      </c>
      <c r="AO1015" s="382">
        <f t="shared" si="1057"/>
        <v>63.400000000000006</v>
      </c>
      <c r="AQ1015" s="395">
        <f>(IF($H1015="x",VLOOKUP($I1015,'AUX-NIV2'!$B:$X,'AUX-NIV1'!AQ$3,FALSE),0)+($AV1015*'AUX-NIV3'!S$4))*$O1015+IF($H1015=AQ$4,$P1015,0)</f>
        <v>0</v>
      </c>
      <c r="AR1015" s="395">
        <f>(IF($H1015="x",VLOOKUP($I1015,'AUX-NIV2'!$B:$X,'AUX-NIV1'!AR$3,FALSE),0)+($AV1015*'AUX-NIV3'!T$4))*$O1015+IF($H1015=AR$4,$P1015,0)</f>
        <v>0</v>
      </c>
      <c r="AS1015" s="395">
        <f>(IF($H1015="x",VLOOKUP($I1015,'AUX-NIV2'!$B:$X,'AUX-NIV1'!AS$3,FALSE),0)+($AV1015*'AUX-NIV3'!U$4))*$O1015+IF($H1015=AS$4,$P1015,0)</f>
        <v>39000</v>
      </c>
      <c r="AT1015" s="395">
        <f>(IF($H1015="x",VLOOKUP($I1015,'AUX-NIV2'!$B:$X,'AUX-NIV1'!AT$3,FALSE),0)+($AV1015*'AUX-NIV3'!V$4))*$O1015+IF($H1015=AT$4,$P1015,0)</f>
        <v>0</v>
      </c>
      <c r="AU1015" s="395">
        <f>(IF($H1015="x",VLOOKUP($I1015,'AUX-NIV2'!$B:$X,'AUX-NIV1'!AU$3,FALSE),0)+($AV1015*'AUX-NIV3'!W$4))*$O1015+IF($H1015=AU$4,$P1015,0)</f>
        <v>0</v>
      </c>
      <c r="AV1015" s="395">
        <f>+IF($H1015="x",VLOOKUP($I1015,'AUX-NIV2'!$B:$X,'AUX-NIV1'!AV$3,FALSE),0)</f>
        <v>0</v>
      </c>
    </row>
    <row r="1016" spans="2:48" ht="13.8" hidden="1" thickBot="1">
      <c r="B1016" s="324" t="s">
        <v>4327</v>
      </c>
      <c r="C1016" s="325" t="s">
        <v>4286</v>
      </c>
      <c r="D1016" s="326" t="s">
        <v>1172</v>
      </c>
      <c r="E1016" s="349">
        <f>IF(B1016&lt;&gt;"",+SUMIF(Items!C:C,'AUX-NIV1'!B1016,Items!H:H),"")</f>
        <v>0</v>
      </c>
      <c r="F1016" s="349">
        <f t="shared" si="1047"/>
        <v>117241.43391783902</v>
      </c>
      <c r="G1016" s="349">
        <f t="shared" si="1048"/>
        <v>0</v>
      </c>
      <c r="H1016" s="1395" t="str">
        <f t="shared" si="1192"/>
        <v>X</v>
      </c>
      <c r="I1016" s="1375" t="s">
        <v>4332</v>
      </c>
      <c r="J1016" s="350" t="str">
        <f>IF(B1016&lt;&gt;"",+VLOOKUP(I1016,Recursos!C:F,2,FALSE),"")</f>
        <v>Barandas Metálicas</v>
      </c>
      <c r="K1016" s="351" t="str">
        <f>IF(B1016&lt;&gt;"",+VLOOKUP(I1016,Recursos!C:F,3,FALSE),"")</f>
        <v>kg</v>
      </c>
      <c r="L1016" s="1475">
        <f>IF(B1016&lt;&gt;"",+VLOOKUP(I1016,Recursos!C:F,4,FALSE),"")</f>
        <v>791.76072159233115</v>
      </c>
      <c r="M1016" s="1493">
        <v>1</v>
      </c>
      <c r="N1016" s="1507">
        <v>21</v>
      </c>
      <c r="O1016" s="1490">
        <f t="shared" si="1205"/>
        <v>21</v>
      </c>
      <c r="P1016" s="352">
        <f t="shared" si="1193"/>
        <v>16626.975153438954</v>
      </c>
      <c r="Q1016" s="349">
        <f t="shared" si="1194"/>
        <v>0</v>
      </c>
      <c r="R1016" s="353">
        <f t="shared" si="1195"/>
        <v>0</v>
      </c>
      <c r="S1016" s="354">
        <f t="shared" si="1049"/>
        <v>0</v>
      </c>
      <c r="T1016" s="354">
        <f t="shared" si="1050"/>
        <v>0</v>
      </c>
      <c r="U1016" s="355">
        <f t="shared" si="1051"/>
        <v>39000</v>
      </c>
      <c r="V1016" s="355">
        <f t="shared" si="1052"/>
        <v>0</v>
      </c>
      <c r="W1016" s="355">
        <f t="shared" si="1053"/>
        <v>17010</v>
      </c>
      <c r="X1016" s="355">
        <f t="shared" si="1054"/>
        <v>61231.433917839036</v>
      </c>
      <c r="Y1016" s="396"/>
      <c r="Z1016" s="346" t="str">
        <f t="shared" si="1196"/>
        <v>0-TERMESCA</v>
      </c>
      <c r="AA1016" s="346" t="str">
        <f t="shared" si="1197"/>
        <v>0-TERMESCE</v>
      </c>
      <c r="AB1016" s="346" t="str">
        <f t="shared" si="1198"/>
        <v>0-TERMESCM</v>
      </c>
      <c r="AC1016" s="346" t="str">
        <f t="shared" si="1199"/>
        <v>0-TERMESCT</v>
      </c>
      <c r="AD1016" s="346" t="str">
        <f t="shared" si="1200"/>
        <v>0-TERMESCS</v>
      </c>
      <c r="AE1016" s="346" t="str">
        <f t="shared" si="1201"/>
        <v>0-TERMESCX</v>
      </c>
      <c r="AF1016" s="346" t="str">
        <f t="shared" si="1202"/>
        <v>0-TERMESCX</v>
      </c>
      <c r="AG1016" s="346">
        <f t="shared" si="1055"/>
        <v>4</v>
      </c>
      <c r="AH1016" s="346">
        <f>IF(B1016&lt;&gt;"",+IF(H1016="x",+VLOOKUP(I1016,'AUX-NIV2'!B:AG,32,FALSE),0),"")</f>
        <v>7</v>
      </c>
      <c r="AI1016" s="346" t="str">
        <f t="shared" si="1203"/>
        <v>0-TERMESC</v>
      </c>
      <c r="AK1016" s="347">
        <f t="shared" si="1056"/>
        <v>1014</v>
      </c>
      <c r="AL1016" s="348">
        <f t="shared" si="1204"/>
        <v>1017</v>
      </c>
      <c r="AM1016" s="347" t="e">
        <f>IF(B1016&lt;&gt;"",IF(B1016=#REF!,1+#REF!,1),"")</f>
        <v>#REF!</v>
      </c>
      <c r="AN1016" s="382">
        <f>IF(AND(AH1016&gt;0,B1016&lt;&gt;""),VLOOKUP(I1016,'AUX-NIV2'!$B:$AP,40,FALSE)*O1016,0)</f>
        <v>8.4</v>
      </c>
      <c r="AO1016" s="382">
        <f t="shared" si="1057"/>
        <v>63.400000000000006</v>
      </c>
      <c r="AQ1016" s="395">
        <f>(IF($H1016="x",VLOOKUP($I1016,'AUX-NIV2'!$B:$X,'AUX-NIV1'!AQ$3,FALSE),0)+($AV1016*'AUX-NIV3'!S$4))*$O1016+IF($H1016=AQ$4,$P1016,0)</f>
        <v>4368.6809749265567</v>
      </c>
      <c r="AR1016" s="395">
        <f>(IF($H1016="x",VLOOKUP($I1016,'AUX-NIV2'!$B:$X,'AUX-NIV1'!AR$3,FALSE),0)+($AV1016*'AUX-NIV3'!T$4))*$O1016+IF($H1016=AR$4,$P1016,0)</f>
        <v>1182.9636000000003</v>
      </c>
      <c r="AS1016" s="395">
        <f>(IF($H1016="x",VLOOKUP($I1016,'AUX-NIV2'!$B:$X,'AUX-NIV1'!AS$3,FALSE),0)+($AV1016*'AUX-NIV3'!U$4))*$O1016+IF($H1016=AS$4,$P1016,0)</f>
        <v>11075.330578512398</v>
      </c>
      <c r="AT1016" s="395">
        <f>(IF($H1016="x",VLOOKUP($I1016,'AUX-NIV2'!$B:$X,'AUX-NIV1'!AT$3,FALSE),0)+($AV1016*'AUX-NIV3'!V$4))*$O1016+IF($H1016=AT$4,$P1016,0)</f>
        <v>0</v>
      </c>
      <c r="AU1016" s="395">
        <f>(IF($H1016="x",VLOOKUP($I1016,'AUX-NIV2'!$B:$X,'AUX-NIV1'!AU$3,FALSE),0)+($AV1016*'AUX-NIV3'!W$4))*$O1016+IF($H1016=AU$4,$P1016,0)</f>
        <v>0</v>
      </c>
      <c r="AV1016" s="395">
        <f>+IF($H1016="x",VLOOKUP($I1016,'AUX-NIV2'!$B:$X,'AUX-NIV1'!AV$3,FALSE),0)</f>
        <v>0</v>
      </c>
    </row>
    <row r="1017" spans="2:48" ht="13.8" hidden="1" thickBot="1">
      <c r="B1017" s="324" t="s">
        <v>4327</v>
      </c>
      <c r="C1017" s="325" t="s">
        <v>4286</v>
      </c>
      <c r="D1017" s="326" t="s">
        <v>1172</v>
      </c>
      <c r="E1017" s="349">
        <f>IF(B1017&lt;&gt;"",+SUMIF(Items!C:C,'AUX-NIV1'!B1017,Items!H:H),"")</f>
        <v>0</v>
      </c>
      <c r="F1017" s="349">
        <f t="shared" si="1047"/>
        <v>117241.43391783902</v>
      </c>
      <c r="G1017" s="349">
        <f t="shared" si="1048"/>
        <v>0</v>
      </c>
      <c r="H1017" s="1395" t="str">
        <f>IF(B1017&lt;&gt;"",+LEFT(I1017,1),"")</f>
        <v>S</v>
      </c>
      <c r="I1017" s="1375" t="s">
        <v>4334</v>
      </c>
      <c r="J1017" s="350" t="str">
        <f>IF(B1017&lt;&gt;"",+VLOOKUP(I1017,Recursos!C:F,2,FALSE),"")</f>
        <v>Instalacíon Vidrio Templado en Barandas</v>
      </c>
      <c r="K1017" s="351" t="str">
        <f>IF(B1017&lt;&gt;"",+VLOOKUP(I1017,Recursos!C:F,3,FALSE),"")</f>
        <v>m2</v>
      </c>
      <c r="L1017" s="1475">
        <f>IF(B1017&lt;&gt;"",+VLOOKUP(I1017,Recursos!C:F,4,FALSE),"")</f>
        <v>1000</v>
      </c>
      <c r="M1017" s="1622">
        <v>0.9</v>
      </c>
      <c r="N1017" s="1623">
        <f>N1016*M1017</f>
        <v>18.900000000000002</v>
      </c>
      <c r="O1017" s="1490">
        <f>+M1017*N1017</f>
        <v>17.010000000000002</v>
      </c>
      <c r="P1017" s="352">
        <f>IF(B1017&lt;&gt;"",O1017*L1017,"")</f>
        <v>17010</v>
      </c>
      <c r="Q1017" s="349">
        <f>IF(B1017&lt;&gt;"",+O1017*E1017,"")</f>
        <v>0</v>
      </c>
      <c r="R1017" s="353">
        <f>IF(B1017&lt;&gt;"",Q1017*L1017,"")</f>
        <v>0</v>
      </c>
      <c r="S1017" s="354">
        <f t="shared" si="1049"/>
        <v>0</v>
      </c>
      <c r="T1017" s="354">
        <f t="shared" si="1050"/>
        <v>0</v>
      </c>
      <c r="U1017" s="355">
        <f t="shared" si="1051"/>
        <v>39000</v>
      </c>
      <c r="V1017" s="355">
        <f t="shared" si="1052"/>
        <v>0</v>
      </c>
      <c r="W1017" s="355">
        <f t="shared" si="1053"/>
        <v>17010</v>
      </c>
      <c r="X1017" s="355">
        <f t="shared" si="1054"/>
        <v>61231.433917839036</v>
      </c>
      <c r="Y1017" s="396"/>
      <c r="Z1017" s="346" t="str">
        <f>IF(B1017&lt;&gt;"",+$B1017&amp;"A","")</f>
        <v>0-TERMESCA</v>
      </c>
      <c r="AA1017" s="346" t="str">
        <f>IF(B1017&lt;&gt;"",+$B1017&amp;"E","")</f>
        <v>0-TERMESCE</v>
      </c>
      <c r="AB1017" s="346" t="str">
        <f>IF(B1017&lt;&gt;"",++$B1017&amp;"M","")</f>
        <v>0-TERMESCM</v>
      </c>
      <c r="AC1017" s="346" t="str">
        <f>IF(B1017&lt;&gt;"",+$B1017&amp;"T","")</f>
        <v>0-TERMESCT</v>
      </c>
      <c r="AD1017" s="346" t="str">
        <f>IF(B1017&lt;&gt;"",+$B1017&amp;"S","")</f>
        <v>0-TERMESCS</v>
      </c>
      <c r="AE1017" s="346" t="str">
        <f>IF(B1017&lt;&gt;"",+$B1017&amp;"X","")</f>
        <v>0-TERMESCX</v>
      </c>
      <c r="AF1017" s="346" t="str">
        <f>IF(B1017&lt;&gt;"",+B1017&amp;H1017,"")</f>
        <v>0-TERMESCS</v>
      </c>
      <c r="AG1017" s="346">
        <f t="shared" si="1055"/>
        <v>4</v>
      </c>
      <c r="AH1017" s="346">
        <f>IF(B1017&lt;&gt;"",+IF(H1017="x",+VLOOKUP(I1017,'AUX-NIV2'!B:AG,32,FALSE),0),"")</f>
        <v>0</v>
      </c>
      <c r="AI1017" s="346" t="str">
        <f>IF(B1017&lt;&gt;"",+B1017,"")</f>
        <v>0-TERMESC</v>
      </c>
      <c r="AK1017" s="347">
        <f t="shared" si="1056"/>
        <v>1014</v>
      </c>
      <c r="AL1017" s="348">
        <f>IF(B1017&lt;&gt;"",+AK1017+AG1017-1,"")</f>
        <v>1017</v>
      </c>
      <c r="AM1017" s="347" t="e">
        <f>IF(B1017&lt;&gt;"",IF(B1017=#REF!,1+#REF!,1),"")</f>
        <v>#REF!</v>
      </c>
      <c r="AN1017" s="382">
        <f>IF(AND(AH1017&gt;0,B1017&lt;&gt;""),VLOOKUP(I1017,'AUX-NIV2'!$B:$AP,40,FALSE)*O1017,0)</f>
        <v>0</v>
      </c>
      <c r="AO1017" s="382">
        <f t="shared" si="1057"/>
        <v>63.400000000000006</v>
      </c>
      <c r="AQ1017" s="395">
        <f>(IF($H1017="x",VLOOKUP($I1017,'AUX-NIV2'!$B:$X,'AUX-NIV1'!AQ$3,FALSE),0)+($AV1017*'AUX-NIV3'!S$4))*$O1017+IF($H1017=AQ$4,$P1017,0)</f>
        <v>0</v>
      </c>
      <c r="AR1017" s="395">
        <f>(IF($H1017="x",VLOOKUP($I1017,'AUX-NIV2'!$B:$X,'AUX-NIV1'!AR$3,FALSE),0)+($AV1017*'AUX-NIV3'!T$4))*$O1017+IF($H1017=AR$4,$P1017,0)</f>
        <v>0</v>
      </c>
      <c r="AS1017" s="395">
        <f>(IF($H1017="x",VLOOKUP($I1017,'AUX-NIV2'!$B:$X,'AUX-NIV1'!AS$3,FALSE),0)+($AV1017*'AUX-NIV3'!U$4))*$O1017+IF($H1017=AS$4,$P1017,0)</f>
        <v>0</v>
      </c>
      <c r="AT1017" s="395">
        <f>(IF($H1017="x",VLOOKUP($I1017,'AUX-NIV2'!$B:$X,'AUX-NIV1'!AT$3,FALSE),0)+($AV1017*'AUX-NIV3'!V$4))*$O1017+IF($H1017=AT$4,$P1017,0)</f>
        <v>0</v>
      </c>
      <c r="AU1017" s="395">
        <f>(IF($H1017="x",VLOOKUP($I1017,'AUX-NIV2'!$B:$X,'AUX-NIV1'!AU$3,FALSE),0)+($AV1017*'AUX-NIV3'!W$4))*$O1017+IF($H1017=AU$4,$P1017,0)</f>
        <v>17010</v>
      </c>
      <c r="AV1017" s="395">
        <f>+IF($H1017="x",VLOOKUP($I1017,'AUX-NIV2'!$B:$X,'AUX-NIV1'!AV$3,FALSE),0)</f>
        <v>0</v>
      </c>
    </row>
    <row r="1018" spans="2:48" ht="13.8" hidden="1" thickBot="1">
      <c r="B1018" s="324" t="s">
        <v>4328</v>
      </c>
      <c r="C1018" s="325" t="s">
        <v>4283</v>
      </c>
      <c r="D1018" s="326" t="s">
        <v>4284</v>
      </c>
      <c r="E1018" s="349">
        <f>IF(B1018&lt;&gt;"",+SUMIF(Items!C:C,'AUX-NIV1'!B1018,Items!H:H),"")</f>
        <v>0</v>
      </c>
      <c r="F1018" s="349">
        <f t="shared" si="1047"/>
        <v>8437.4977993428583</v>
      </c>
      <c r="G1018" s="349">
        <f t="shared" si="1048"/>
        <v>0</v>
      </c>
      <c r="H1018" s="1395" t="str">
        <f t="shared" ref="H1018:H1023" si="1206">IF(B1018&lt;&gt;"",+LEFT(I1018,1),"")</f>
        <v>S</v>
      </c>
      <c r="I1018" s="1375" t="s">
        <v>684</v>
      </c>
      <c r="J1018" s="350" t="str">
        <f>IF(B1018&lt;&gt;"",+VLOOKUP(I1018,Recursos!C:F,2,FALSE),"")</f>
        <v>INGENIERIA DE DETALLE</v>
      </c>
      <c r="K1018" s="351" t="str">
        <f>IF(B1018&lt;&gt;"",+VLOOKUP(I1018,Recursos!C:F,3,FALSE),"")</f>
        <v>GL</v>
      </c>
      <c r="L1018" s="1475">
        <f>IF(B1018&lt;&gt;"",+VLOOKUP(I1018,Recursos!C:F,4,FALSE),"")</f>
        <v>150000</v>
      </c>
      <c r="M1018" s="1493">
        <v>1.35</v>
      </c>
      <c r="N1018" s="1507">
        <f>30%*1/30*0</f>
        <v>0</v>
      </c>
      <c r="O1018" s="1490">
        <f t="shared" ref="O1018" si="1207">+M1018*N1018</f>
        <v>0</v>
      </c>
      <c r="P1018" s="352">
        <f t="shared" ref="P1018:P1023" si="1208">IF(B1018&lt;&gt;"",O1018*L1018,"")</f>
        <v>0</v>
      </c>
      <c r="Q1018" s="349">
        <f t="shared" ref="Q1018:Q1023" si="1209">IF(B1018&lt;&gt;"",+O1018*E1018,"")</f>
        <v>0</v>
      </c>
      <c r="R1018" s="353">
        <f t="shared" ref="R1018:R1023" si="1210">IF(B1018&lt;&gt;"",Q1018*L1018,"")</f>
        <v>0</v>
      </c>
      <c r="S1018" s="354">
        <f t="shared" si="1049"/>
        <v>0</v>
      </c>
      <c r="T1018" s="354">
        <f t="shared" si="1050"/>
        <v>0</v>
      </c>
      <c r="U1018" s="355">
        <f t="shared" si="1051"/>
        <v>305.8</v>
      </c>
      <c r="V1018" s="355">
        <f t="shared" si="1052"/>
        <v>0</v>
      </c>
      <c r="W1018" s="355">
        <f t="shared" si="1053"/>
        <v>810</v>
      </c>
      <c r="X1018" s="355">
        <f t="shared" si="1054"/>
        <v>7321.6977993428591</v>
      </c>
      <c r="Y1018" s="396"/>
      <c r="Z1018" s="346" t="str">
        <f t="shared" ref="Z1018:Z1023" si="1211">IF(B1018&lt;&gt;"",+$B1018&amp;"A","")</f>
        <v>0-ENTRPSESCA</v>
      </c>
      <c r="AA1018" s="346" t="str">
        <f t="shared" ref="AA1018:AA1023" si="1212">IF(B1018&lt;&gt;"",+$B1018&amp;"E","")</f>
        <v>0-ENTRPSESCE</v>
      </c>
      <c r="AB1018" s="346" t="str">
        <f t="shared" ref="AB1018:AB1023" si="1213">IF(B1018&lt;&gt;"",++$B1018&amp;"M","")</f>
        <v>0-ENTRPSESCM</v>
      </c>
      <c r="AC1018" s="346" t="str">
        <f t="shared" ref="AC1018:AC1023" si="1214">IF(B1018&lt;&gt;"",+$B1018&amp;"T","")</f>
        <v>0-ENTRPSESCT</v>
      </c>
      <c r="AD1018" s="346" t="str">
        <f t="shared" ref="AD1018:AD1023" si="1215">IF(B1018&lt;&gt;"",+$B1018&amp;"S","")</f>
        <v>0-ENTRPSESCS</v>
      </c>
      <c r="AE1018" s="346" t="str">
        <f t="shared" ref="AE1018:AE1023" si="1216">IF(B1018&lt;&gt;"",+$B1018&amp;"X","")</f>
        <v>0-ENTRPSESCX</v>
      </c>
      <c r="AF1018" s="346" t="str">
        <f t="shared" ref="AF1018:AF1023" si="1217">IF(B1018&lt;&gt;"",+B1018&amp;H1018,"")</f>
        <v>0-ENTRPSESCS</v>
      </c>
      <c r="AG1018" s="346">
        <f t="shared" si="1055"/>
        <v>8</v>
      </c>
      <c r="AH1018" s="346">
        <f>IF(B1018&lt;&gt;"",+IF(H1018="x",+VLOOKUP(I1018,'AUX-NIV2'!B:AG,32,FALSE),0),"")</f>
        <v>0</v>
      </c>
      <c r="AI1018" s="346" t="str">
        <f t="shared" ref="AI1018:AI1023" si="1218">IF(B1018&lt;&gt;"",+B1018,"")</f>
        <v>0-ENTRPSESC</v>
      </c>
      <c r="AK1018" s="347">
        <f t="shared" si="1056"/>
        <v>1018</v>
      </c>
      <c r="AL1018" s="348">
        <f t="shared" ref="AL1018:AL1023" si="1219">IF(B1018&lt;&gt;"",+AK1018+AG1018-1,"")</f>
        <v>1025</v>
      </c>
      <c r="AM1018" s="347" t="e">
        <f>IF(B1018&lt;&gt;"",IF(B1018=#REF!,1+#REF!,1),"")</f>
        <v>#REF!</v>
      </c>
      <c r="AN1018" s="382">
        <f>IF(AND(AH1018&gt;0,B1018&lt;&gt;""),VLOOKUP(I1018,'AUX-NIV2'!$B:$AP,40,FALSE)*O1018,0)</f>
        <v>0</v>
      </c>
      <c r="AO1018" s="382" t="e">
        <f t="shared" si="1057"/>
        <v>#N/A</v>
      </c>
      <c r="AQ1018" s="395">
        <f>(IF($H1018="x",VLOOKUP($I1018,'AUX-NIV2'!$B:$X,'AUX-NIV1'!AQ$3,FALSE),0)+($AV1018*'AUX-NIV3'!S$4))*$O1018+IF($H1018=AQ$4,$P1018,0)</f>
        <v>0</v>
      </c>
      <c r="AR1018" s="395">
        <f>(IF($H1018="x",VLOOKUP($I1018,'AUX-NIV2'!$B:$X,'AUX-NIV1'!AR$3,FALSE),0)+($AV1018*'AUX-NIV3'!T$4))*$O1018+IF($H1018=AR$4,$P1018,0)</f>
        <v>0</v>
      </c>
      <c r="AS1018" s="395">
        <f>(IF($H1018="x",VLOOKUP($I1018,'AUX-NIV2'!$B:$X,'AUX-NIV1'!AS$3,FALSE),0)+($AV1018*'AUX-NIV3'!U$4))*$O1018+IF($H1018=AS$4,$P1018,0)</f>
        <v>0</v>
      </c>
      <c r="AT1018" s="395">
        <f>(IF($H1018="x",VLOOKUP($I1018,'AUX-NIV2'!$B:$X,'AUX-NIV1'!AT$3,FALSE),0)+($AV1018*'AUX-NIV3'!V$4))*$O1018+IF($H1018=AT$4,$P1018,0)</f>
        <v>0</v>
      </c>
      <c r="AU1018" s="395">
        <f>(IF($H1018="x",VLOOKUP($I1018,'AUX-NIV2'!$B:$X,'AUX-NIV1'!AU$3,FALSE),0)+($AV1018*'AUX-NIV3'!W$4))*$O1018+IF($H1018=AU$4,$P1018,0)</f>
        <v>0</v>
      </c>
      <c r="AV1018" s="395">
        <f>+IF($H1018="x",VLOOKUP($I1018,'AUX-NIV2'!$B:$X,'AUX-NIV1'!AV$3,FALSE),0)</f>
        <v>0</v>
      </c>
    </row>
    <row r="1019" spans="2:48" ht="12" hidden="1" customHeight="1">
      <c r="B1019" s="324" t="s">
        <v>4328</v>
      </c>
      <c r="C1019" s="325" t="s">
        <v>4283</v>
      </c>
      <c r="D1019" s="326" t="s">
        <v>4284</v>
      </c>
      <c r="E1019" s="349">
        <f>IF(B1019&lt;&gt;"",+SUMIF(Items!C:C,'AUX-NIV1'!B1019,Items!H:H),"")</f>
        <v>0</v>
      </c>
      <c r="F1019" s="349">
        <f t="shared" si="1047"/>
        <v>8437.4977993428583</v>
      </c>
      <c r="G1019" s="349">
        <f t="shared" si="1048"/>
        <v>0</v>
      </c>
      <c r="H1019" s="1395" t="str">
        <f t="shared" si="1206"/>
        <v>X</v>
      </c>
      <c r="I1019" s="1375" t="s">
        <v>4329</v>
      </c>
      <c r="J1019" s="350" t="str">
        <f>IF(B1019&lt;&gt;"",+VLOOKUP(I1019,Recursos!C:F,2,FALSE),"")</f>
        <v>Estruct Met Entrepiso Comedor</v>
      </c>
      <c r="K1019" s="351" t="str">
        <f>IF(B1019&lt;&gt;"",+VLOOKUP(I1019,Recursos!C:F,3,FALSE),"")</f>
        <v>kg</v>
      </c>
      <c r="L1019" s="1475">
        <f>IF(B1019&lt;&gt;"",+VLOOKUP(I1019,Recursos!C:F,4,FALSE),"")</f>
        <v>0</v>
      </c>
      <c r="M1019" s="1493">
        <v>1</v>
      </c>
      <c r="N1019" s="1507">
        <v>1</v>
      </c>
      <c r="O1019" s="1490">
        <f>+$M$1018*N1019</f>
        <v>1.35</v>
      </c>
      <c r="P1019" s="352">
        <f t="shared" si="1208"/>
        <v>0</v>
      </c>
      <c r="Q1019" s="349">
        <f t="shared" si="1209"/>
        <v>0</v>
      </c>
      <c r="R1019" s="353">
        <f t="shared" si="1210"/>
        <v>0</v>
      </c>
      <c r="S1019" s="354">
        <f t="shared" si="1049"/>
        <v>0</v>
      </c>
      <c r="T1019" s="354">
        <f t="shared" si="1050"/>
        <v>0</v>
      </c>
      <c r="U1019" s="355">
        <f t="shared" si="1051"/>
        <v>305.8</v>
      </c>
      <c r="V1019" s="355">
        <f t="shared" si="1052"/>
        <v>0</v>
      </c>
      <c r="W1019" s="355">
        <f t="shared" si="1053"/>
        <v>810</v>
      </c>
      <c r="X1019" s="355">
        <f t="shared" si="1054"/>
        <v>7321.6977993428591</v>
      </c>
      <c r="Y1019" s="396"/>
      <c r="Z1019" s="346" t="str">
        <f t="shared" si="1211"/>
        <v>0-ENTRPSESCA</v>
      </c>
      <c r="AA1019" s="346" t="str">
        <f t="shared" si="1212"/>
        <v>0-ENTRPSESCE</v>
      </c>
      <c r="AB1019" s="346" t="str">
        <f t="shared" si="1213"/>
        <v>0-ENTRPSESCM</v>
      </c>
      <c r="AC1019" s="346" t="str">
        <f t="shared" si="1214"/>
        <v>0-ENTRPSESCT</v>
      </c>
      <c r="AD1019" s="346" t="str">
        <f t="shared" si="1215"/>
        <v>0-ENTRPSESCS</v>
      </c>
      <c r="AE1019" s="346" t="str">
        <f t="shared" si="1216"/>
        <v>0-ENTRPSESCX</v>
      </c>
      <c r="AF1019" s="346" t="str">
        <f t="shared" si="1217"/>
        <v>0-ENTRPSESCX</v>
      </c>
      <c r="AG1019" s="346">
        <f t="shared" si="1055"/>
        <v>8</v>
      </c>
      <c r="AH1019" s="346" t="e">
        <f>IF(B1019&lt;&gt;"",+IF(H1019="x",+VLOOKUP(I1019,'AUX-NIV2'!B:AG,32,FALSE),0),"")</f>
        <v>#N/A</v>
      </c>
      <c r="AI1019" s="346" t="str">
        <f t="shared" si="1218"/>
        <v>0-ENTRPSESC</v>
      </c>
      <c r="AK1019" s="347">
        <f t="shared" si="1056"/>
        <v>1018</v>
      </c>
      <c r="AL1019" s="348">
        <f t="shared" si="1219"/>
        <v>1025</v>
      </c>
      <c r="AM1019" s="347" t="e">
        <f>IF(B1019&lt;&gt;"",IF(B1019=#REF!,1+#REF!,1),"")</f>
        <v>#REF!</v>
      </c>
      <c r="AN1019" s="382" t="e">
        <f>IF(AND(AH1019&gt;0,B1019&lt;&gt;""),VLOOKUP(I1019,'AUX-NIV2'!$B:$AP,40,FALSE)*O1019,0)</f>
        <v>#N/A</v>
      </c>
      <c r="AO1019" s="382" t="e">
        <f t="shared" si="1057"/>
        <v>#N/A</v>
      </c>
      <c r="AQ1019" s="395" t="e">
        <f>(IF($H1019="x",VLOOKUP($I1019,'AUX-NIV2'!$B:$X,'AUX-NIV1'!AQ$3,FALSE),0)+($AV1019*'AUX-NIV3'!S$4))*$O1019+IF($H1019=AQ$4,$P1019,0)</f>
        <v>#N/A</v>
      </c>
      <c r="AR1019" s="395" t="e">
        <f>(IF($H1019="x",VLOOKUP($I1019,'AUX-NIV2'!$B:$X,'AUX-NIV1'!AR$3,FALSE),0)+($AV1019*'AUX-NIV3'!T$4))*$O1019+IF($H1019=AR$4,$P1019,0)</f>
        <v>#N/A</v>
      </c>
      <c r="AS1019" s="395" t="e">
        <f>(IF($H1019="x",VLOOKUP($I1019,'AUX-NIV2'!$B:$X,'AUX-NIV1'!AS$3,FALSE),0)+($AV1019*'AUX-NIV3'!U$4))*$O1019+IF($H1019=AS$4,$P1019,0)</f>
        <v>#N/A</v>
      </c>
      <c r="AT1019" s="395" t="e">
        <f>(IF($H1019="x",VLOOKUP($I1019,'AUX-NIV2'!$B:$X,'AUX-NIV1'!AT$3,FALSE),0)+($AV1019*'AUX-NIV3'!V$4))*$O1019+IF($H1019=AT$4,$P1019,0)</f>
        <v>#N/A</v>
      </c>
      <c r="AU1019" s="395" t="e">
        <f>(IF($H1019="x",VLOOKUP($I1019,'AUX-NIV2'!$B:$X,'AUX-NIV1'!AU$3,FALSE),0)+($AV1019*'AUX-NIV3'!W$4))*$O1019+IF($H1019=AU$4,$P1019,0)</f>
        <v>#N/A</v>
      </c>
      <c r="AV1019" s="395" t="e">
        <f>+IF($H1019="x",VLOOKUP($I1019,'AUX-NIV2'!$B:$X,'AUX-NIV1'!AV$3,FALSE),0)</f>
        <v>#N/A</v>
      </c>
    </row>
    <row r="1020" spans="2:48" ht="13.8" hidden="1" thickBot="1">
      <c r="B1020" s="324" t="s">
        <v>4328</v>
      </c>
      <c r="C1020" s="325" t="s">
        <v>4283</v>
      </c>
      <c r="D1020" s="326" t="s">
        <v>4284</v>
      </c>
      <c r="E1020" s="349">
        <f>IF(B1020&lt;&gt;"",+SUMIF(Items!C:C,'AUX-NIV1'!B1020,Items!H:H),"")</f>
        <v>0</v>
      </c>
      <c r="F1020" s="349">
        <f t="shared" si="1047"/>
        <v>8437.4977993428583</v>
      </c>
      <c r="G1020" s="349">
        <f t="shared" si="1048"/>
        <v>0</v>
      </c>
      <c r="H1020" s="1395" t="str">
        <f>IF(B1020&lt;&gt;"",+LEFT(I1020,1),"")</f>
        <v>X</v>
      </c>
      <c r="I1020" s="1375" t="s">
        <v>4306</v>
      </c>
      <c r="J1020" s="350" t="str">
        <f>IF(B1020&lt;&gt;"",+VLOOKUP(I1020,Recursos!C:F,2,FALSE),"")</f>
        <v>Entablonado Fenólico 1ra 18mm</v>
      </c>
      <c r="K1020" s="351" t="str">
        <f>IF(B1020&lt;&gt;"",+VLOOKUP(I1020,Recursos!C:F,3,FALSE),"")</f>
        <v>m2</v>
      </c>
      <c r="L1020" s="1475">
        <f>IF(B1020&lt;&gt;"",+VLOOKUP(I1020,Recursos!C:F,4,FALSE),"")</f>
        <v>1631.7085236645962</v>
      </c>
      <c r="M1020" s="1493">
        <v>1.05</v>
      </c>
      <c r="N1020" s="1507">
        <v>1</v>
      </c>
      <c r="O1020" s="1490">
        <f>+$M$1018*N1020</f>
        <v>1.35</v>
      </c>
      <c r="P1020" s="352">
        <f>IF(B1020&lt;&gt;"",O1020*L1020,"")</f>
        <v>2202.806506947205</v>
      </c>
      <c r="Q1020" s="349">
        <f>IF(B1020&lt;&gt;"",+O1020*E1020,"")</f>
        <v>0</v>
      </c>
      <c r="R1020" s="353">
        <f>IF(B1020&lt;&gt;"",Q1020*L1020,"")</f>
        <v>0</v>
      </c>
      <c r="S1020" s="354">
        <f t="shared" si="1049"/>
        <v>0</v>
      </c>
      <c r="T1020" s="354">
        <f t="shared" si="1050"/>
        <v>0</v>
      </c>
      <c r="U1020" s="355">
        <f t="shared" si="1051"/>
        <v>305.8</v>
      </c>
      <c r="V1020" s="355">
        <f t="shared" si="1052"/>
        <v>0</v>
      </c>
      <c r="W1020" s="355">
        <f t="shared" si="1053"/>
        <v>810</v>
      </c>
      <c r="X1020" s="355">
        <f t="shared" si="1054"/>
        <v>7321.6977993428591</v>
      </c>
      <c r="Y1020" s="396"/>
      <c r="Z1020" s="346" t="str">
        <f>IF(B1020&lt;&gt;"",+$B1020&amp;"A","")</f>
        <v>0-ENTRPSESCA</v>
      </c>
      <c r="AA1020" s="346" t="str">
        <f>IF(B1020&lt;&gt;"",+$B1020&amp;"E","")</f>
        <v>0-ENTRPSESCE</v>
      </c>
      <c r="AB1020" s="346" t="str">
        <f>IF(B1020&lt;&gt;"",++$B1020&amp;"M","")</f>
        <v>0-ENTRPSESCM</v>
      </c>
      <c r="AC1020" s="346" t="str">
        <f>IF(B1020&lt;&gt;"",+$B1020&amp;"T","")</f>
        <v>0-ENTRPSESCT</v>
      </c>
      <c r="AD1020" s="346" t="str">
        <f>IF(B1020&lt;&gt;"",+$B1020&amp;"S","")</f>
        <v>0-ENTRPSESCS</v>
      </c>
      <c r="AE1020" s="346" t="str">
        <f>IF(B1020&lt;&gt;"",+$B1020&amp;"X","")</f>
        <v>0-ENTRPSESCX</v>
      </c>
      <c r="AF1020" s="346" t="str">
        <f>IF(B1020&lt;&gt;"",+B1020&amp;H1020,"")</f>
        <v>0-ENTRPSESCX</v>
      </c>
      <c r="AG1020" s="346">
        <f t="shared" si="1055"/>
        <v>8</v>
      </c>
      <c r="AH1020" s="346">
        <f>IF(B1020&lt;&gt;"",+IF(H1020="x",+VLOOKUP(I1020,'AUX-NIV2'!B:AG,32,FALSE),0),"")</f>
        <v>6</v>
      </c>
      <c r="AI1020" s="346" t="str">
        <f>IF(B1020&lt;&gt;"",+B1020,"")</f>
        <v>0-ENTRPSESC</v>
      </c>
      <c r="AK1020" s="347">
        <f t="shared" si="1056"/>
        <v>1018</v>
      </c>
      <c r="AL1020" s="348">
        <f>IF(B1020&lt;&gt;"",+AK1020+AG1020-1,"")</f>
        <v>1025</v>
      </c>
      <c r="AM1020" s="347" t="e">
        <f>IF(B1020&lt;&gt;"",IF(B1020=#REF!,1+#REF!,1),"")</f>
        <v>#REF!</v>
      </c>
      <c r="AN1020" s="382">
        <f>IF(AND(AH1020&gt;0,B1020&lt;&gt;""),VLOOKUP(I1020,'AUX-NIV2'!$B:$AP,40,FALSE)*O1020,0)</f>
        <v>1.5157894736842106</v>
      </c>
      <c r="AO1020" s="382" t="e">
        <f t="shared" si="1057"/>
        <v>#N/A</v>
      </c>
      <c r="AQ1020" s="395">
        <f>(IF($H1020="x",VLOOKUP($I1020,'AUX-NIV2'!$B:$X,'AUX-NIV1'!AQ$3,FALSE),0)+($AV1020*'AUX-NIV3'!S$4))*$O1020+IF($H1020=AQ$4,$P1020,0)</f>
        <v>696.80567905725263</v>
      </c>
      <c r="AR1020" s="395">
        <f>(IF($H1020="x",VLOOKUP($I1020,'AUX-NIV2'!$B:$X,'AUX-NIV1'!AR$3,FALSE),0)+($AV1020*'AUX-NIV3'!T$4))*$O1020+IF($H1020=AR$4,$P1020,0)</f>
        <v>0</v>
      </c>
      <c r="AS1020" s="395">
        <f>(IF($H1020="x",VLOOKUP($I1020,'AUX-NIV2'!$B:$X,'AUX-NIV1'!AS$3,FALSE),0)+($AV1020*'AUX-NIV3'!U$4))*$O1020+IF($H1020=AS$4,$P1020,0)</f>
        <v>1506.0008278899525</v>
      </c>
      <c r="AT1020" s="395">
        <f>(IF($H1020="x",VLOOKUP($I1020,'AUX-NIV2'!$B:$X,'AUX-NIV1'!AT$3,FALSE),0)+($AV1020*'AUX-NIV3'!V$4))*$O1020+IF($H1020=AT$4,$P1020,0)</f>
        <v>0</v>
      </c>
      <c r="AU1020" s="395">
        <f>(IF($H1020="x",VLOOKUP($I1020,'AUX-NIV2'!$B:$X,'AUX-NIV1'!AU$3,FALSE),0)+($AV1020*'AUX-NIV3'!W$4))*$O1020+IF($H1020=AU$4,$P1020,0)</f>
        <v>0</v>
      </c>
      <c r="AV1020" s="395">
        <f>+IF($H1020="x",VLOOKUP($I1020,'AUX-NIV2'!$B:$X,'AUX-NIV1'!AV$3,FALSE),0)</f>
        <v>0</v>
      </c>
    </row>
    <row r="1021" spans="2:48" ht="13.8" hidden="1" thickBot="1">
      <c r="B1021" s="324" t="s">
        <v>4328</v>
      </c>
      <c r="C1021" s="325" t="s">
        <v>4283</v>
      </c>
      <c r="D1021" s="326" t="s">
        <v>4284</v>
      </c>
      <c r="E1021" s="349">
        <f>IF(B1021&lt;&gt;"",+SUMIF(Items!C:C,'AUX-NIV1'!B1021,Items!H:H),"")</f>
        <v>0</v>
      </c>
      <c r="F1021" s="349">
        <f t="shared" si="1047"/>
        <v>8437.4977993428583</v>
      </c>
      <c r="G1021" s="349">
        <f t="shared" si="1048"/>
        <v>0</v>
      </c>
      <c r="H1021" s="1395" t="str">
        <f t="shared" ref="H1021" si="1220">IF(B1021&lt;&gt;"",+LEFT(I1021,1),"")</f>
        <v>X</v>
      </c>
      <c r="I1021" s="1375" t="s">
        <v>4312</v>
      </c>
      <c r="J1021" s="350" t="str">
        <f>IF(B1021&lt;&gt;"",+VLOOKUP(I1021,Recursos!C:F,2,FALSE),"")</f>
        <v>Hormigón Armado de Entrepiso</v>
      </c>
      <c r="K1021" s="351" t="str">
        <f>IF(B1021&lt;&gt;"",+VLOOKUP(I1021,Recursos!C:F,3,FALSE),"")</f>
        <v>m3</v>
      </c>
      <c r="L1021" s="1475">
        <f>IF(B1021&lt;&gt;"",+VLOOKUP(I1021,Recursos!C:F,4,FALSE),"")</f>
        <v>14407.111529908916</v>
      </c>
      <c r="M1021" s="1493">
        <v>1.03</v>
      </c>
      <c r="N1021" s="1507">
        <v>0.08</v>
      </c>
      <c r="O1021" s="1490">
        <f>+$M$1018*N1021</f>
        <v>0.10800000000000001</v>
      </c>
      <c r="P1021" s="352">
        <f t="shared" ref="P1021" si="1221">IF(B1021&lt;&gt;"",O1021*L1021,"")</f>
        <v>1555.9680452301632</v>
      </c>
      <c r="Q1021" s="349">
        <f t="shared" ref="Q1021" si="1222">IF(B1021&lt;&gt;"",+O1021*E1021,"")</f>
        <v>0</v>
      </c>
      <c r="R1021" s="353">
        <f t="shared" ref="R1021" si="1223">IF(B1021&lt;&gt;"",Q1021*L1021,"")</f>
        <v>0</v>
      </c>
      <c r="S1021" s="354">
        <f t="shared" si="1049"/>
        <v>0</v>
      </c>
      <c r="T1021" s="354">
        <f t="shared" si="1050"/>
        <v>0</v>
      </c>
      <c r="U1021" s="355">
        <f t="shared" si="1051"/>
        <v>305.8</v>
      </c>
      <c r="V1021" s="355">
        <f t="shared" si="1052"/>
        <v>0</v>
      </c>
      <c r="W1021" s="355">
        <f t="shared" si="1053"/>
        <v>810</v>
      </c>
      <c r="X1021" s="355">
        <f t="shared" si="1054"/>
        <v>7321.6977993428591</v>
      </c>
      <c r="Y1021" s="396"/>
      <c r="Z1021" s="346" t="str">
        <f>IF(B1021&lt;&gt;"",+$B1021&amp;"A","")</f>
        <v>0-ENTRPSESCA</v>
      </c>
      <c r="AA1021" s="346" t="str">
        <f>IF(B1021&lt;&gt;"",+$B1021&amp;"E","")</f>
        <v>0-ENTRPSESCE</v>
      </c>
      <c r="AB1021" s="346" t="str">
        <f>IF(B1021&lt;&gt;"",++$B1021&amp;"M","")</f>
        <v>0-ENTRPSESCM</v>
      </c>
      <c r="AC1021" s="346" t="str">
        <f>IF(B1021&lt;&gt;"",+$B1021&amp;"T","")</f>
        <v>0-ENTRPSESCT</v>
      </c>
      <c r="AD1021" s="346" t="str">
        <f>IF(B1021&lt;&gt;"",+$B1021&amp;"S","")</f>
        <v>0-ENTRPSESCS</v>
      </c>
      <c r="AE1021" s="346" t="str">
        <f>IF(B1021&lt;&gt;"",+$B1021&amp;"X","")</f>
        <v>0-ENTRPSESCX</v>
      </c>
      <c r="AF1021" s="346" t="str">
        <f t="shared" ref="AF1021" si="1224">IF(B1021&lt;&gt;"",+B1021&amp;H1021,"")</f>
        <v>0-ENTRPSESCX</v>
      </c>
      <c r="AG1021" s="346">
        <f t="shared" si="1055"/>
        <v>8</v>
      </c>
      <c r="AH1021" s="346">
        <f>IF(B1021&lt;&gt;"",+IF(H1021="x",+VLOOKUP(I1021,'AUX-NIV2'!B:AG,32,FALSE),0),"")</f>
        <v>9</v>
      </c>
      <c r="AI1021" s="346" t="str">
        <f t="shared" ref="AI1021" si="1225">IF(B1021&lt;&gt;"",+B1021,"")</f>
        <v>0-ENTRPSESC</v>
      </c>
      <c r="AK1021" s="347">
        <f t="shared" si="1056"/>
        <v>1018</v>
      </c>
      <c r="AL1021" s="348">
        <f t="shared" ref="AL1021" si="1226">IF(B1021&lt;&gt;"",+AK1021+AG1021-1,"")</f>
        <v>1025</v>
      </c>
      <c r="AM1021" s="347" t="e">
        <f>IF(B1021&lt;&gt;"",IF(B1021=#REF!,1+#REF!,1),"")</f>
        <v>#REF!</v>
      </c>
      <c r="AN1021" s="382">
        <f>IF(AND(AH1021&gt;0,B1021&lt;&gt;""),VLOOKUP(I1021,'AUX-NIV2'!$B:$AP,40,FALSE)*O1021,0)</f>
        <v>1.5120000000000002</v>
      </c>
      <c r="AO1021" s="382" t="e">
        <f t="shared" si="1057"/>
        <v>#N/A</v>
      </c>
      <c r="AQ1021" s="395">
        <f>(IF($H1021="x",VLOOKUP($I1021,'AUX-NIV2'!$B:$X,'AUX-NIV1'!AQ$3,FALSE),0)+($AV1021*'AUX-NIV3'!S$4))*$O1021+IF($H1021=AQ$4,$P1021,0)</f>
        <v>670.68853835412983</v>
      </c>
      <c r="AR1021" s="395">
        <f>(IF($H1021="x",VLOOKUP($I1021,'AUX-NIV2'!$B:$X,'AUX-NIV1'!AR$3,FALSE),0)+($AV1021*'AUX-NIV3'!T$4))*$O1021+IF($H1021=AR$4,$P1021,0)</f>
        <v>8.5966920000000009</v>
      </c>
      <c r="AS1021" s="395">
        <f>(IF($H1021="x",VLOOKUP($I1021,'AUX-NIV2'!$B:$X,'AUX-NIV1'!AS$3,FALSE),0)+($AV1021*'AUX-NIV3'!U$4))*$O1021+IF($H1021=AS$4,$P1021,0)</f>
        <v>876.68281487603315</v>
      </c>
      <c r="AT1021" s="395">
        <f>(IF($H1021="x",VLOOKUP($I1021,'AUX-NIV2'!$B:$X,'AUX-NIV1'!AT$3,FALSE),0)+($AV1021*'AUX-NIV3'!V$4))*$O1021+IF($H1021=AT$4,$P1021,0)</f>
        <v>0</v>
      </c>
      <c r="AU1021" s="395">
        <f>(IF($H1021="x",VLOOKUP($I1021,'AUX-NIV2'!$B:$X,'AUX-NIV1'!AU$3,FALSE),0)+($AV1021*'AUX-NIV3'!W$4))*$O1021+IF($H1021=AU$4,$P1021,0)</f>
        <v>0</v>
      </c>
      <c r="AV1021" s="395">
        <f>+IF($H1021="x",VLOOKUP($I1021,'AUX-NIV2'!$B:$X,'AUX-NIV1'!AV$3,FALSE),0)</f>
        <v>0</v>
      </c>
    </row>
    <row r="1022" spans="2:48" ht="13.8" hidden="1" thickBot="1">
      <c r="B1022" s="324" t="s">
        <v>4328</v>
      </c>
      <c r="C1022" s="325" t="s">
        <v>4283</v>
      </c>
      <c r="D1022" s="326" t="s">
        <v>4284</v>
      </c>
      <c r="E1022" s="349">
        <f>IF(B1022&lt;&gt;"",+SUMIF(Items!C:C,'AUX-NIV1'!B1022,Items!H:H),"")</f>
        <v>0</v>
      </c>
      <c r="F1022" s="349">
        <f t="shared" si="1047"/>
        <v>8437.4977993428583</v>
      </c>
      <c r="G1022" s="349">
        <f t="shared" si="1048"/>
        <v>0</v>
      </c>
      <c r="H1022" s="1395" t="str">
        <f t="shared" si="1206"/>
        <v>X</v>
      </c>
      <c r="I1022" s="1375" t="s">
        <v>4332</v>
      </c>
      <c r="J1022" s="350" t="str">
        <f>IF(B1022&lt;&gt;"",+VLOOKUP(I1022,Recursos!C:F,2,FALSE),"")</f>
        <v>Barandas Metálicas</v>
      </c>
      <c r="K1022" s="351" t="str">
        <f>IF(B1022&lt;&gt;"",+VLOOKUP(I1022,Recursos!C:F,3,FALSE),"")</f>
        <v>kg</v>
      </c>
      <c r="L1022" s="1475">
        <f>IF(B1022&lt;&gt;"",+VLOOKUP(I1022,Recursos!C:F,4,FALSE),"")</f>
        <v>791.76072159233115</v>
      </c>
      <c r="M1022" s="1493">
        <v>1</v>
      </c>
      <c r="N1022" s="1507">
        <f>5*20/30</f>
        <v>3.3333333333333335</v>
      </c>
      <c r="O1022" s="1490">
        <f>+$M$1018*N1022</f>
        <v>4.5000000000000009</v>
      </c>
      <c r="P1022" s="352">
        <f t="shared" si="1208"/>
        <v>3562.9232471654909</v>
      </c>
      <c r="Q1022" s="349">
        <f t="shared" si="1209"/>
        <v>0</v>
      </c>
      <c r="R1022" s="353">
        <f t="shared" si="1210"/>
        <v>0</v>
      </c>
      <c r="S1022" s="354">
        <f t="shared" si="1049"/>
        <v>0</v>
      </c>
      <c r="T1022" s="354">
        <f t="shared" si="1050"/>
        <v>0</v>
      </c>
      <c r="U1022" s="355">
        <f t="shared" si="1051"/>
        <v>305.8</v>
      </c>
      <c r="V1022" s="355">
        <f t="shared" si="1052"/>
        <v>0</v>
      </c>
      <c r="W1022" s="355">
        <f t="shared" si="1053"/>
        <v>810</v>
      </c>
      <c r="X1022" s="355">
        <f t="shared" si="1054"/>
        <v>7321.6977993428591</v>
      </c>
      <c r="Y1022" s="396"/>
      <c r="Z1022" s="346" t="str">
        <f t="shared" si="1211"/>
        <v>0-ENTRPSESCA</v>
      </c>
      <c r="AA1022" s="346" t="str">
        <f t="shared" si="1212"/>
        <v>0-ENTRPSESCE</v>
      </c>
      <c r="AB1022" s="346" t="str">
        <f t="shared" si="1213"/>
        <v>0-ENTRPSESCM</v>
      </c>
      <c r="AC1022" s="346" t="str">
        <f t="shared" si="1214"/>
        <v>0-ENTRPSESCT</v>
      </c>
      <c r="AD1022" s="346" t="str">
        <f t="shared" si="1215"/>
        <v>0-ENTRPSESCS</v>
      </c>
      <c r="AE1022" s="346" t="str">
        <f t="shared" si="1216"/>
        <v>0-ENTRPSESCX</v>
      </c>
      <c r="AF1022" s="346" t="str">
        <f t="shared" si="1217"/>
        <v>0-ENTRPSESCX</v>
      </c>
      <c r="AG1022" s="346">
        <f t="shared" si="1055"/>
        <v>8</v>
      </c>
      <c r="AH1022" s="346">
        <f>IF(B1022&lt;&gt;"",+IF(H1022="x",+VLOOKUP(I1022,'AUX-NIV2'!B:AG,32,FALSE),0),"")</f>
        <v>7</v>
      </c>
      <c r="AI1022" s="346" t="str">
        <f t="shared" si="1218"/>
        <v>0-ENTRPSESC</v>
      </c>
      <c r="AK1022" s="347">
        <f t="shared" si="1056"/>
        <v>1018</v>
      </c>
      <c r="AL1022" s="348">
        <f t="shared" si="1219"/>
        <v>1025</v>
      </c>
      <c r="AM1022" s="347" t="e">
        <f>IF(B1022&lt;&gt;"",IF(B1022=#REF!,1+#REF!,1),"")</f>
        <v>#REF!</v>
      </c>
      <c r="AN1022" s="382">
        <f>IF(AND(AH1022&gt;0,B1022&lt;&gt;""),VLOOKUP(I1022,'AUX-NIV2'!$B:$AP,40,FALSE)*O1022,0)</f>
        <v>1.8000000000000005</v>
      </c>
      <c r="AO1022" s="382" t="e">
        <f t="shared" si="1057"/>
        <v>#N/A</v>
      </c>
      <c r="AQ1022" s="395">
        <f>(IF($H1022="x",VLOOKUP($I1022,'AUX-NIV2'!$B:$X,'AUX-NIV1'!AQ$3,FALSE),0)+($AV1022*'AUX-NIV3'!S$4))*$O1022+IF($H1022=AQ$4,$P1022,0)</f>
        <v>936.14592319854808</v>
      </c>
      <c r="AR1022" s="395">
        <f>(IF($H1022="x",VLOOKUP($I1022,'AUX-NIV2'!$B:$X,'AUX-NIV1'!AR$3,FALSE),0)+($AV1022*'AUX-NIV3'!T$4))*$O1022+IF($H1022=AR$4,$P1022,0)</f>
        <v>253.49220000000011</v>
      </c>
      <c r="AS1022" s="395">
        <f>(IF($H1022="x",VLOOKUP($I1022,'AUX-NIV2'!$B:$X,'AUX-NIV1'!AS$3,FALSE),0)+($AV1022*'AUX-NIV3'!U$4))*$O1022+IF($H1022=AS$4,$P1022,0)</f>
        <v>2373.285123966943</v>
      </c>
      <c r="AT1022" s="395">
        <f>(IF($H1022="x",VLOOKUP($I1022,'AUX-NIV2'!$B:$X,'AUX-NIV1'!AT$3,FALSE),0)+($AV1022*'AUX-NIV3'!V$4))*$O1022+IF($H1022=AT$4,$P1022,0)</f>
        <v>0</v>
      </c>
      <c r="AU1022" s="395">
        <f>(IF($H1022="x",VLOOKUP($I1022,'AUX-NIV2'!$B:$X,'AUX-NIV1'!AU$3,FALSE),0)+($AV1022*'AUX-NIV3'!W$4))*$O1022+IF($H1022=AU$4,$P1022,0)</f>
        <v>0</v>
      </c>
      <c r="AV1022" s="395">
        <f>+IF($H1022="x",VLOOKUP($I1022,'AUX-NIV2'!$B:$X,'AUX-NIV1'!AV$3,FALSE),0)</f>
        <v>0</v>
      </c>
    </row>
    <row r="1023" spans="2:48" ht="13.8" hidden="1" thickBot="1">
      <c r="B1023" s="324" t="s">
        <v>4328</v>
      </c>
      <c r="C1023" s="325" t="s">
        <v>4283</v>
      </c>
      <c r="D1023" s="326" t="s">
        <v>4284</v>
      </c>
      <c r="E1023" s="349">
        <f>IF(B1023&lt;&gt;"",+SUMIF(Items!C:C,'AUX-NIV1'!B1023,Items!H:H),"")</f>
        <v>0</v>
      </c>
      <c r="F1023" s="349">
        <f t="shared" si="1047"/>
        <v>8437.4977993428583</v>
      </c>
      <c r="G1023" s="349">
        <f t="shared" si="1048"/>
        <v>0</v>
      </c>
      <c r="H1023" s="1395" t="str">
        <f t="shared" si="1206"/>
        <v>S</v>
      </c>
      <c r="I1023" s="1375" t="s">
        <v>4334</v>
      </c>
      <c r="J1023" s="350" t="str">
        <f>IF(B1023&lt;&gt;"",+VLOOKUP(I1023,Recursos!C:F,2,FALSE),"")</f>
        <v>Instalacíon Vidrio Templado en Barandas</v>
      </c>
      <c r="K1023" s="351" t="str">
        <f>IF(B1023&lt;&gt;"",+VLOOKUP(I1023,Recursos!C:F,3,FALSE),"")</f>
        <v>m2</v>
      </c>
      <c r="L1023" s="1475">
        <f>IF(B1023&lt;&gt;"",+VLOOKUP(I1023,Recursos!C:F,4,FALSE),"")</f>
        <v>1000</v>
      </c>
      <c r="M1023" s="1493">
        <v>1</v>
      </c>
      <c r="N1023" s="1507">
        <f>20/30*0.9</f>
        <v>0.6</v>
      </c>
      <c r="O1023" s="1490">
        <f>+$M$1018*N1023</f>
        <v>0.81</v>
      </c>
      <c r="P1023" s="352">
        <f t="shared" si="1208"/>
        <v>810</v>
      </c>
      <c r="Q1023" s="349">
        <f t="shared" si="1209"/>
        <v>0</v>
      </c>
      <c r="R1023" s="353">
        <f t="shared" si="1210"/>
        <v>0</v>
      </c>
      <c r="S1023" s="354">
        <f t="shared" si="1049"/>
        <v>0</v>
      </c>
      <c r="T1023" s="354">
        <f t="shared" si="1050"/>
        <v>0</v>
      </c>
      <c r="U1023" s="355">
        <f t="shared" si="1051"/>
        <v>305.8</v>
      </c>
      <c r="V1023" s="355">
        <f t="shared" si="1052"/>
        <v>0</v>
      </c>
      <c r="W1023" s="355">
        <f t="shared" si="1053"/>
        <v>810</v>
      </c>
      <c r="X1023" s="355">
        <f t="shared" si="1054"/>
        <v>7321.6977993428591</v>
      </c>
      <c r="Y1023" s="396"/>
      <c r="Z1023" s="346" t="str">
        <f t="shared" si="1211"/>
        <v>0-ENTRPSESCA</v>
      </c>
      <c r="AA1023" s="346" t="str">
        <f t="shared" si="1212"/>
        <v>0-ENTRPSESCE</v>
      </c>
      <c r="AB1023" s="346" t="str">
        <f t="shared" si="1213"/>
        <v>0-ENTRPSESCM</v>
      </c>
      <c r="AC1023" s="346" t="str">
        <f t="shared" si="1214"/>
        <v>0-ENTRPSESCT</v>
      </c>
      <c r="AD1023" s="346" t="str">
        <f t="shared" si="1215"/>
        <v>0-ENTRPSESCS</v>
      </c>
      <c r="AE1023" s="346" t="str">
        <f t="shared" si="1216"/>
        <v>0-ENTRPSESCX</v>
      </c>
      <c r="AF1023" s="346" t="str">
        <f t="shared" si="1217"/>
        <v>0-ENTRPSESCS</v>
      </c>
      <c r="AG1023" s="346">
        <f t="shared" si="1055"/>
        <v>8</v>
      </c>
      <c r="AH1023" s="346">
        <f>IF(B1023&lt;&gt;"",+IF(H1023="x",+VLOOKUP(I1023,'AUX-NIV2'!B:AG,32,FALSE),0),"")</f>
        <v>0</v>
      </c>
      <c r="AI1023" s="346" t="str">
        <f t="shared" si="1218"/>
        <v>0-ENTRPSESC</v>
      </c>
      <c r="AK1023" s="347">
        <f t="shared" si="1056"/>
        <v>1018</v>
      </c>
      <c r="AL1023" s="348">
        <f t="shared" si="1219"/>
        <v>1025</v>
      </c>
      <c r="AM1023" s="347" t="e">
        <f>IF(B1023&lt;&gt;"",IF(B1023=#REF!,1+#REF!,1),"")</f>
        <v>#REF!</v>
      </c>
      <c r="AN1023" s="382">
        <f>IF(AND(AH1023&gt;0,B1023&lt;&gt;""),VLOOKUP(I1023,'AUX-NIV2'!$B:$AP,40,FALSE)*O1023,0)</f>
        <v>0</v>
      </c>
      <c r="AO1023" s="382" t="e">
        <f t="shared" si="1057"/>
        <v>#N/A</v>
      </c>
      <c r="AQ1023" s="395">
        <f>(IF($H1023="x",VLOOKUP($I1023,'AUX-NIV2'!$B:$X,'AUX-NIV1'!AQ$3,FALSE),0)+($AV1023*'AUX-NIV3'!S$4))*$O1023+IF($H1023=AQ$4,$P1023,0)</f>
        <v>0</v>
      </c>
      <c r="AR1023" s="395">
        <f>(IF($H1023="x",VLOOKUP($I1023,'AUX-NIV2'!$B:$X,'AUX-NIV1'!AR$3,FALSE),0)+($AV1023*'AUX-NIV3'!T$4))*$O1023+IF($H1023=AR$4,$P1023,0)</f>
        <v>0</v>
      </c>
      <c r="AS1023" s="395">
        <f>(IF($H1023="x",VLOOKUP($I1023,'AUX-NIV2'!$B:$X,'AUX-NIV1'!AS$3,FALSE),0)+($AV1023*'AUX-NIV3'!U$4))*$O1023+IF($H1023=AS$4,$P1023,0)</f>
        <v>0</v>
      </c>
      <c r="AT1023" s="395">
        <f>(IF($H1023="x",VLOOKUP($I1023,'AUX-NIV2'!$B:$X,'AUX-NIV1'!AT$3,FALSE),0)+($AV1023*'AUX-NIV3'!V$4))*$O1023+IF($H1023=AT$4,$P1023,0)</f>
        <v>0</v>
      </c>
      <c r="AU1023" s="395">
        <f>(IF($H1023="x",VLOOKUP($I1023,'AUX-NIV2'!$B:$X,'AUX-NIV1'!AU$3,FALSE),0)+($AV1023*'AUX-NIV3'!W$4))*$O1023+IF($H1023=AU$4,$P1023,0)</f>
        <v>810</v>
      </c>
      <c r="AV1023" s="395">
        <f>+IF($H1023="x",VLOOKUP($I1023,'AUX-NIV2'!$B:$X,'AUX-NIV1'!AV$3,FALSE),0)</f>
        <v>0</v>
      </c>
    </row>
    <row r="1024" spans="2:48" ht="13.8" hidden="1" thickBot="1">
      <c r="B1024" s="324" t="s">
        <v>4328</v>
      </c>
      <c r="C1024" s="325" t="s">
        <v>4283</v>
      </c>
      <c r="D1024" s="326" t="s">
        <v>4284</v>
      </c>
      <c r="E1024" s="349">
        <f>IF(B1024&lt;&gt;"",+SUMIF(Items!C:C,'AUX-NIV1'!B1024,Items!H:H),"")</f>
        <v>0</v>
      </c>
      <c r="F1024" s="349">
        <f t="shared" si="1047"/>
        <v>8437.4977993428583</v>
      </c>
      <c r="G1024" s="349">
        <f t="shared" si="1048"/>
        <v>0</v>
      </c>
      <c r="H1024" s="1395" t="str">
        <f t="shared" ref="H1024" si="1227">IF(B1024&lt;&gt;"",+LEFT(I1024,1),"")</f>
        <v>M</v>
      </c>
      <c r="I1024" s="1375" t="s">
        <v>4331</v>
      </c>
      <c r="J1024" s="350" t="str">
        <f>IF(B1024&lt;&gt;"",+VLOOKUP(I1024,Recursos!C:F,2,FALSE),"")</f>
        <v>PISO MADERA LAUREL</v>
      </c>
      <c r="K1024" s="351" t="str">
        <f>IF(B1024&lt;&gt;"",+VLOOKUP(I1024,Recursos!C:F,3,FALSE),"")</f>
        <v>m2</v>
      </c>
      <c r="L1024" s="1475">
        <f>IF(B1024&lt;&gt;"",+VLOOKUP(I1024,Recursos!C:F,4,FALSE),"")</f>
        <v>1950</v>
      </c>
      <c r="M1024" s="1493">
        <f>1.2*0.3*12</f>
        <v>4.32</v>
      </c>
      <c r="N1024" s="1507">
        <f>M1024/30</f>
        <v>0.14400000000000002</v>
      </c>
      <c r="O1024" s="1490">
        <f>N1024</f>
        <v>0.14400000000000002</v>
      </c>
      <c r="P1024" s="352">
        <f t="shared" ref="P1024" si="1228">IF(B1024&lt;&gt;"",O1024*L1024,"")</f>
        <v>280.8</v>
      </c>
      <c r="Q1024" s="349">
        <f t="shared" ref="Q1024" si="1229">IF(B1024&lt;&gt;"",+O1024*E1024,"")</f>
        <v>0</v>
      </c>
      <c r="R1024" s="353">
        <f t="shared" ref="R1024" si="1230">IF(B1024&lt;&gt;"",Q1024*L1024,"")</f>
        <v>0</v>
      </c>
      <c r="S1024" s="354">
        <f t="shared" si="1049"/>
        <v>0</v>
      </c>
      <c r="T1024" s="354">
        <f t="shared" si="1050"/>
        <v>0</v>
      </c>
      <c r="U1024" s="355">
        <f t="shared" si="1051"/>
        <v>305.8</v>
      </c>
      <c r="V1024" s="355">
        <f t="shared" si="1052"/>
        <v>0</v>
      </c>
      <c r="W1024" s="355">
        <f t="shared" si="1053"/>
        <v>810</v>
      </c>
      <c r="X1024" s="355">
        <f t="shared" si="1054"/>
        <v>7321.6977993428591</v>
      </c>
      <c r="Y1024" s="396"/>
      <c r="Z1024" s="346" t="str">
        <f t="shared" ref="Z1024" si="1231">IF(B1024&lt;&gt;"",+$B1024&amp;"A","")</f>
        <v>0-ENTRPSESCA</v>
      </c>
      <c r="AA1024" s="346" t="str">
        <f t="shared" ref="AA1024" si="1232">IF(B1024&lt;&gt;"",+$B1024&amp;"E","")</f>
        <v>0-ENTRPSESCE</v>
      </c>
      <c r="AB1024" s="346" t="str">
        <f t="shared" ref="AB1024" si="1233">IF(B1024&lt;&gt;"",++$B1024&amp;"M","")</f>
        <v>0-ENTRPSESCM</v>
      </c>
      <c r="AC1024" s="346" t="str">
        <f t="shared" ref="AC1024" si="1234">IF(B1024&lt;&gt;"",+$B1024&amp;"T","")</f>
        <v>0-ENTRPSESCT</v>
      </c>
      <c r="AD1024" s="346" t="str">
        <f t="shared" ref="AD1024" si="1235">IF(B1024&lt;&gt;"",+$B1024&amp;"S","")</f>
        <v>0-ENTRPSESCS</v>
      </c>
      <c r="AE1024" s="346" t="str">
        <f t="shared" ref="AE1024" si="1236">IF(B1024&lt;&gt;"",+$B1024&amp;"X","")</f>
        <v>0-ENTRPSESCX</v>
      </c>
      <c r="AF1024" s="346" t="str">
        <f t="shared" ref="AF1024" si="1237">IF(B1024&lt;&gt;"",+B1024&amp;H1024,"")</f>
        <v>0-ENTRPSESCM</v>
      </c>
      <c r="AG1024" s="346">
        <f t="shared" si="1055"/>
        <v>8</v>
      </c>
      <c r="AH1024" s="346">
        <f>IF(B1024&lt;&gt;"",+IF(H1024="x",+VLOOKUP(I1024,'AUX-NIV2'!B:AG,32,FALSE),0),"")</f>
        <v>0</v>
      </c>
      <c r="AI1024" s="346" t="str">
        <f t="shared" ref="AI1024" si="1238">IF(B1024&lt;&gt;"",+B1024,"")</f>
        <v>0-ENTRPSESC</v>
      </c>
      <c r="AK1024" s="347">
        <f t="shared" si="1056"/>
        <v>1018</v>
      </c>
      <c r="AL1024" s="348">
        <f t="shared" ref="AL1024" si="1239">IF(B1024&lt;&gt;"",+AK1024+AG1024-1,"")</f>
        <v>1025</v>
      </c>
      <c r="AM1024" s="347" t="e">
        <f>IF(B1024&lt;&gt;"",IF(B1024=#REF!,1+#REF!,1),"")</f>
        <v>#REF!</v>
      </c>
      <c r="AN1024" s="382">
        <f>IF(AND(AH1024&gt;0,B1024&lt;&gt;""),VLOOKUP(I1024,'AUX-NIV2'!$B:$AP,40,FALSE)*O1024,0)</f>
        <v>0</v>
      </c>
      <c r="AO1024" s="382" t="e">
        <f t="shared" si="1057"/>
        <v>#N/A</v>
      </c>
      <c r="AQ1024" s="395">
        <f>(IF($H1024="x",VLOOKUP($I1024,'AUX-NIV2'!$B:$X,'AUX-NIV1'!AQ$3,FALSE),0)+($AV1024*'AUX-NIV3'!S$4))*$O1024+IF($H1024=AQ$4,$P1024,0)</f>
        <v>0</v>
      </c>
      <c r="AR1024" s="395">
        <f>(IF($H1024="x",VLOOKUP($I1024,'AUX-NIV2'!$B:$X,'AUX-NIV1'!AR$3,FALSE),0)+($AV1024*'AUX-NIV3'!T$4))*$O1024+IF($H1024=AR$4,$P1024,0)</f>
        <v>0</v>
      </c>
      <c r="AS1024" s="395">
        <f>(IF($H1024="x",VLOOKUP($I1024,'AUX-NIV2'!$B:$X,'AUX-NIV1'!AS$3,FALSE),0)+($AV1024*'AUX-NIV3'!U$4))*$O1024+IF($H1024=AS$4,$P1024,0)</f>
        <v>280.8</v>
      </c>
      <c r="AT1024" s="395">
        <f>(IF($H1024="x",VLOOKUP($I1024,'AUX-NIV2'!$B:$X,'AUX-NIV1'!AT$3,FALSE),0)+($AV1024*'AUX-NIV3'!V$4))*$O1024+IF($H1024=AT$4,$P1024,0)</f>
        <v>0</v>
      </c>
      <c r="AU1024" s="395">
        <f>(IF($H1024="x",VLOOKUP($I1024,'AUX-NIV2'!$B:$X,'AUX-NIV1'!AU$3,FALSE),0)+($AV1024*'AUX-NIV3'!W$4))*$O1024+IF($H1024=AU$4,$P1024,0)</f>
        <v>0</v>
      </c>
      <c r="AV1024" s="395">
        <f>+IF($H1024="x",VLOOKUP($I1024,'AUX-NIV2'!$B:$X,'AUX-NIV1'!AV$3,FALSE),0)</f>
        <v>0</v>
      </c>
    </row>
    <row r="1025" spans="2:48" ht="13.8" hidden="1" thickBot="1">
      <c r="B1025" s="324" t="s">
        <v>4328</v>
      </c>
      <c r="C1025" s="325" t="s">
        <v>4283</v>
      </c>
      <c r="D1025" s="326" t="s">
        <v>4284</v>
      </c>
      <c r="E1025" s="349">
        <f>IF(B1025&lt;&gt;"",+SUMIF(Items!C:C,'AUX-NIV1'!B1025,Items!H:H),"")</f>
        <v>0</v>
      </c>
      <c r="F1025" s="349">
        <f t="shared" si="1047"/>
        <v>8437.4977993428583</v>
      </c>
      <c r="G1025" s="349">
        <f t="shared" si="1048"/>
        <v>0</v>
      </c>
      <c r="H1025" s="1395" t="str">
        <f t="shared" ref="H1025" si="1240">IF(B1025&lt;&gt;"",+LEFT(I1025,1),"")</f>
        <v>M</v>
      </c>
      <c r="I1025" s="1375" t="s">
        <v>621</v>
      </c>
      <c r="J1025" s="350" t="str">
        <f>IF(B1025&lt;&gt;"",+VLOOKUP(I1025,Recursos!C:F,2,FALSE),"")</f>
        <v>MATERIALES VARIOS</v>
      </c>
      <c r="K1025" s="351" t="str">
        <f>IF(B1025&lt;&gt;"",+VLOOKUP(I1025,Recursos!C:F,3,FALSE),"")</f>
        <v>GL</v>
      </c>
      <c r="L1025" s="1475">
        <f>IF(B1025&lt;&gt;"",+VLOOKUP(I1025,Recursos!C:F,4,FALSE),"")</f>
        <v>0.5</v>
      </c>
      <c r="M1025" s="1622"/>
      <c r="N1025" s="1623">
        <v>50</v>
      </c>
      <c r="O1025" s="1490">
        <f>N1025</f>
        <v>50</v>
      </c>
      <c r="P1025" s="352">
        <f t="shared" ref="P1025" si="1241">IF(B1025&lt;&gt;"",O1025*L1025,"")</f>
        <v>25</v>
      </c>
      <c r="Q1025" s="349">
        <f t="shared" ref="Q1025" si="1242">IF(B1025&lt;&gt;"",+O1025*E1025,"")</f>
        <v>0</v>
      </c>
      <c r="R1025" s="353">
        <f t="shared" ref="R1025" si="1243">IF(B1025&lt;&gt;"",Q1025*L1025,"")</f>
        <v>0</v>
      </c>
      <c r="S1025" s="354">
        <f t="shared" si="1049"/>
        <v>0</v>
      </c>
      <c r="T1025" s="354">
        <f t="shared" si="1050"/>
        <v>0</v>
      </c>
      <c r="U1025" s="355">
        <f t="shared" si="1051"/>
        <v>305.8</v>
      </c>
      <c r="V1025" s="355">
        <f t="shared" si="1052"/>
        <v>0</v>
      </c>
      <c r="W1025" s="355">
        <f t="shared" si="1053"/>
        <v>810</v>
      </c>
      <c r="X1025" s="355">
        <f t="shared" si="1054"/>
        <v>7321.6977993428591</v>
      </c>
      <c r="Y1025" s="396"/>
      <c r="Z1025" s="346" t="str">
        <f t="shared" ref="Z1025" si="1244">IF(B1025&lt;&gt;"",+$B1025&amp;"A","")</f>
        <v>0-ENTRPSESCA</v>
      </c>
      <c r="AA1025" s="346" t="str">
        <f t="shared" ref="AA1025" si="1245">IF(B1025&lt;&gt;"",+$B1025&amp;"E","")</f>
        <v>0-ENTRPSESCE</v>
      </c>
      <c r="AB1025" s="346" t="str">
        <f t="shared" ref="AB1025" si="1246">IF(B1025&lt;&gt;"",++$B1025&amp;"M","")</f>
        <v>0-ENTRPSESCM</v>
      </c>
      <c r="AC1025" s="346" t="str">
        <f t="shared" ref="AC1025" si="1247">IF(B1025&lt;&gt;"",+$B1025&amp;"T","")</f>
        <v>0-ENTRPSESCT</v>
      </c>
      <c r="AD1025" s="346" t="str">
        <f t="shared" ref="AD1025" si="1248">IF(B1025&lt;&gt;"",+$B1025&amp;"S","")</f>
        <v>0-ENTRPSESCS</v>
      </c>
      <c r="AE1025" s="346" t="str">
        <f t="shared" ref="AE1025" si="1249">IF(B1025&lt;&gt;"",+$B1025&amp;"X","")</f>
        <v>0-ENTRPSESCX</v>
      </c>
      <c r="AF1025" s="346" t="str">
        <f t="shared" ref="AF1025" si="1250">IF(B1025&lt;&gt;"",+B1025&amp;H1025,"")</f>
        <v>0-ENTRPSESCM</v>
      </c>
      <c r="AG1025" s="346">
        <f t="shared" si="1055"/>
        <v>8</v>
      </c>
      <c r="AH1025" s="346">
        <f>IF(B1025&lt;&gt;"",+IF(H1025="x",+VLOOKUP(I1025,'AUX-NIV2'!B:AG,32,FALSE),0),"")</f>
        <v>0</v>
      </c>
      <c r="AI1025" s="346" t="str">
        <f t="shared" ref="AI1025" si="1251">IF(B1025&lt;&gt;"",+B1025,"")</f>
        <v>0-ENTRPSESC</v>
      </c>
      <c r="AK1025" s="347">
        <f t="shared" si="1056"/>
        <v>1018</v>
      </c>
      <c r="AL1025" s="348">
        <f t="shared" ref="AL1025" si="1252">IF(B1025&lt;&gt;"",+AK1025+AG1025-1,"")</f>
        <v>1025</v>
      </c>
      <c r="AM1025" s="347" t="e">
        <f>IF(B1025&lt;&gt;"",IF(B1025=#REF!,1+#REF!,1),"")</f>
        <v>#REF!</v>
      </c>
      <c r="AN1025" s="382">
        <f>IF(AND(AH1025&gt;0,B1025&lt;&gt;""),VLOOKUP(I1025,'AUX-NIV2'!$B:$AP,40,FALSE)*O1025,0)</f>
        <v>0</v>
      </c>
      <c r="AO1025" s="382" t="e">
        <f t="shared" si="1057"/>
        <v>#N/A</v>
      </c>
      <c r="AQ1025" s="395">
        <f>(IF($H1025="x",VLOOKUP($I1025,'AUX-NIV2'!$B:$X,'AUX-NIV1'!AQ$3,FALSE),0)+($AV1025*'AUX-NIV3'!S$4))*$O1025+IF($H1025=AQ$4,$P1025,0)</f>
        <v>0</v>
      </c>
      <c r="AR1025" s="395">
        <f>(IF($H1025="x",VLOOKUP($I1025,'AUX-NIV2'!$B:$X,'AUX-NIV1'!AR$3,FALSE),0)+($AV1025*'AUX-NIV3'!T$4))*$O1025+IF($H1025=AR$4,$P1025,0)</f>
        <v>0</v>
      </c>
      <c r="AS1025" s="395">
        <f>(IF($H1025="x",VLOOKUP($I1025,'AUX-NIV2'!$B:$X,'AUX-NIV1'!AS$3,FALSE),0)+($AV1025*'AUX-NIV3'!U$4))*$O1025+IF($H1025=AS$4,$P1025,0)</f>
        <v>25</v>
      </c>
      <c r="AT1025" s="395">
        <f>(IF($H1025="x",VLOOKUP($I1025,'AUX-NIV2'!$B:$X,'AUX-NIV1'!AT$3,FALSE),0)+($AV1025*'AUX-NIV3'!V$4))*$O1025+IF($H1025=AT$4,$P1025,0)</f>
        <v>0</v>
      </c>
      <c r="AU1025" s="395">
        <f>(IF($H1025="x",VLOOKUP($I1025,'AUX-NIV2'!$B:$X,'AUX-NIV1'!AU$3,FALSE),0)+($AV1025*'AUX-NIV3'!W$4))*$O1025+IF($H1025=AU$4,$P1025,0)</f>
        <v>0</v>
      </c>
      <c r="AV1025" s="395">
        <f>+IF($H1025="x",VLOOKUP($I1025,'AUX-NIV2'!$B:$X,'AUX-NIV1'!AV$3,FALSE),0)</f>
        <v>0</v>
      </c>
    </row>
    <row r="1026" spans="2:48" ht="13.8" thickTop="1">
      <c r="B1026" s="324" t="s">
        <v>4389</v>
      </c>
      <c r="C1026" s="325" t="s">
        <v>4662</v>
      </c>
      <c r="D1026" s="326" t="s">
        <v>1172</v>
      </c>
      <c r="E1026" s="349">
        <f>IF(B1026&lt;&gt;"",+SUMIF(Items!C:C,'AUX-NIV1'!B1026,Items!H:H),"")</f>
        <v>0</v>
      </c>
      <c r="F1026" s="349">
        <f t="shared" si="1047"/>
        <v>104821.23688158262</v>
      </c>
      <c r="G1026" s="349">
        <f t="shared" si="1048"/>
        <v>0</v>
      </c>
      <c r="H1026" s="1395" t="str">
        <f t="shared" ref="H1026" si="1253">IF(B1026&lt;&gt;"",+LEFT(I1026,1),"")</f>
        <v>X</v>
      </c>
      <c r="I1026" s="1375" t="s">
        <v>4413</v>
      </c>
      <c r="J1026" s="350" t="str">
        <f>IF(B1026&lt;&gt;"",+VLOOKUP(I1026,Recursos!C:F,2,FALSE),"")</f>
        <v>Sanitario-Sistema Primario Enterrado</v>
      </c>
      <c r="K1026" s="351" t="str">
        <f>IF(B1026&lt;&gt;"",+VLOOKUP(I1026,Recursos!C:F,3,FALSE),"")</f>
        <v>m</v>
      </c>
      <c r="L1026" s="1475">
        <f>IF(B1026&lt;&gt;"",+VLOOKUP(I1026,Recursos!C:F,4,FALSE),"")</f>
        <v>2032.0608560830246</v>
      </c>
      <c r="M1026" s="989"/>
      <c r="N1026" s="1292">
        <v>22</v>
      </c>
      <c r="O1026" s="1490">
        <f>N1026</f>
        <v>22</v>
      </c>
      <c r="P1026" s="352">
        <f t="shared" ref="P1026" si="1254">IF(B1026&lt;&gt;"",O1026*L1026,"")</f>
        <v>44705.338833826543</v>
      </c>
      <c r="Q1026" s="349">
        <f t="shared" ref="Q1026" si="1255">IF(B1026&lt;&gt;"",+O1026*E1026,"")</f>
        <v>0</v>
      </c>
      <c r="R1026" s="353">
        <f t="shared" ref="R1026" si="1256">IF(B1026&lt;&gt;"",Q1026*L1026,"")</f>
        <v>0</v>
      </c>
      <c r="S1026" s="354">
        <f t="shared" si="1049"/>
        <v>0</v>
      </c>
      <c r="T1026" s="354">
        <f t="shared" si="1050"/>
        <v>0</v>
      </c>
      <c r="U1026" s="355">
        <f t="shared" si="1051"/>
        <v>0</v>
      </c>
      <c r="V1026" s="355">
        <f t="shared" si="1052"/>
        <v>0</v>
      </c>
      <c r="W1026" s="355">
        <f t="shared" si="1053"/>
        <v>0</v>
      </c>
      <c r="X1026" s="355">
        <f t="shared" si="1054"/>
        <v>104821.23688158262</v>
      </c>
      <c r="Y1026" s="396"/>
      <c r="Z1026" s="346" t="str">
        <f t="shared" ref="Z1026" si="1257">IF(B1026&lt;&gt;"",+$B1026&amp;"A","")</f>
        <v>0-INSTSANTA</v>
      </c>
      <c r="AA1026" s="346" t="str">
        <f t="shared" ref="AA1026" si="1258">IF(B1026&lt;&gt;"",+$B1026&amp;"E","")</f>
        <v>0-INSTSANTE</v>
      </c>
      <c r="AB1026" s="346" t="str">
        <f t="shared" ref="AB1026" si="1259">IF(B1026&lt;&gt;"",++$B1026&amp;"M","")</f>
        <v>0-INSTSANTM</v>
      </c>
      <c r="AC1026" s="346" t="str">
        <f t="shared" ref="AC1026" si="1260">IF(B1026&lt;&gt;"",+$B1026&amp;"T","")</f>
        <v>0-INSTSANTT</v>
      </c>
      <c r="AD1026" s="346" t="str">
        <f t="shared" ref="AD1026" si="1261">IF(B1026&lt;&gt;"",+$B1026&amp;"S","")</f>
        <v>0-INSTSANTS</v>
      </c>
      <c r="AE1026" s="346" t="str">
        <f t="shared" ref="AE1026" si="1262">IF(B1026&lt;&gt;"",+$B1026&amp;"X","")</f>
        <v>0-INSTSANTX</v>
      </c>
      <c r="AF1026" s="346" t="str">
        <f t="shared" ref="AF1026" si="1263">IF(B1026&lt;&gt;"",+B1026&amp;H1026,"")</f>
        <v>0-INSTSANTX</v>
      </c>
      <c r="AG1026" s="346">
        <f t="shared" si="1055"/>
        <v>6</v>
      </c>
      <c r="AH1026" s="346">
        <f>IF(B1026&lt;&gt;"",+IF(H1026="x",+VLOOKUP(I1026,'AUX-NIV2'!B:AG,32,FALSE),0),"")</f>
        <v>7</v>
      </c>
      <c r="AI1026" s="346" t="str">
        <f t="shared" ref="AI1026" si="1264">IF(B1026&lt;&gt;"",+B1026,"")</f>
        <v>0-INSTSANT</v>
      </c>
      <c r="AK1026" s="347">
        <f t="shared" si="1056"/>
        <v>1026</v>
      </c>
      <c r="AL1026" s="348">
        <f t="shared" ref="AL1026" si="1265">IF(B1026&lt;&gt;"",+AK1026+AG1026-1,"")</f>
        <v>1031</v>
      </c>
      <c r="AM1026" s="347" t="e">
        <f>IF(B1026&lt;&gt;"",IF(B1026=#REF!,1+#REF!,1),"")</f>
        <v>#REF!</v>
      </c>
      <c r="AN1026" s="382">
        <f>IF(AND(AH1026&gt;0,B1026&lt;&gt;""),VLOOKUP(I1026,'AUX-NIV2'!$B:$AP,40,FALSE)*O1026,0)</f>
        <v>70.666666666666657</v>
      </c>
      <c r="AO1026" s="382">
        <f t="shared" si="1057"/>
        <v>154.66666666666666</v>
      </c>
      <c r="AQ1026" s="395">
        <f>(IF($H1026="x",VLOOKUP($I1026,'AUX-NIV2'!$B:$X,'AUX-NIV1'!AQ$3,FALSE),0)+($AV1026*'AUX-NIV3'!S$4))*$O1026+IF($H1026=AQ$4,$P1026,0)</f>
        <v>27570.841044803306</v>
      </c>
      <c r="AR1026" s="395">
        <f>(IF($H1026="x",VLOOKUP($I1026,'AUX-NIV2'!$B:$X,'AUX-NIV1'!AR$3,FALSE),0)+($AV1026*'AUX-NIV3'!T$4))*$O1026+IF($H1026=AR$4,$P1026,0)</f>
        <v>5205.3179168198158</v>
      </c>
      <c r="AS1026" s="395">
        <f>(IF($H1026="x",VLOOKUP($I1026,'AUX-NIV2'!$B:$X,'AUX-NIV1'!AS$3,FALSE),0)+($AV1026*'AUX-NIV3'!U$4))*$O1026+IF($H1026=AS$4,$P1026,0)</f>
        <v>11929.17987220342</v>
      </c>
      <c r="AT1026" s="395">
        <f>(IF($H1026="x",VLOOKUP($I1026,'AUX-NIV2'!$B:$X,'AUX-NIV1'!AT$3,FALSE),0)+($AV1026*'AUX-NIV3'!V$4))*$O1026+IF($H1026=AT$4,$P1026,0)</f>
        <v>0</v>
      </c>
      <c r="AU1026" s="395">
        <f>(IF($H1026="x",VLOOKUP($I1026,'AUX-NIV2'!$B:$X,'AUX-NIV1'!AU$3,FALSE),0)+($AV1026*'AUX-NIV3'!W$4))*$O1026+IF($H1026=AU$4,$P1026,0)</f>
        <v>0</v>
      </c>
      <c r="AV1026" s="395">
        <f>+IF($H1026="x",VLOOKUP($I1026,'AUX-NIV2'!$B:$X,'AUX-NIV1'!AV$3,FALSE),0)</f>
        <v>264.38083147893559</v>
      </c>
    </row>
    <row r="1027" spans="2:48">
      <c r="B1027" s="324" t="s">
        <v>4389</v>
      </c>
      <c r="C1027" s="325" t="s">
        <v>4662</v>
      </c>
      <c r="D1027" s="326" t="s">
        <v>1172</v>
      </c>
      <c r="E1027" s="349">
        <f>IF(B1027&lt;&gt;"",+SUMIF(Items!C:C,'AUX-NIV1'!B1027,Items!H:H),"")</f>
        <v>0</v>
      </c>
      <c r="F1027" s="349">
        <f t="shared" si="1047"/>
        <v>104821.23688158262</v>
      </c>
      <c r="G1027" s="349">
        <f t="shared" si="1048"/>
        <v>0</v>
      </c>
      <c r="H1027" s="1395" t="str">
        <f t="shared" ref="H1027:H1029" si="1266">IF(B1027&lt;&gt;"",+LEFT(I1027,1),"")</f>
        <v>X</v>
      </c>
      <c r="I1027" s="1375" t="s">
        <v>4411</v>
      </c>
      <c r="J1027" s="350" t="str">
        <f>IF(B1027&lt;&gt;"",+VLOOKUP(I1027,Recursos!C:F,2,FALSE),"")</f>
        <v>Sanitario-Sistema Primario Suspendido</v>
      </c>
      <c r="K1027" s="351" t="str">
        <f>IF(B1027&lt;&gt;"",+VLOOKUP(I1027,Recursos!C:F,3,FALSE),"")</f>
        <v>m</v>
      </c>
      <c r="L1027" s="1475">
        <f>IF(B1027&lt;&gt;"",+VLOOKUP(I1027,Recursos!C:F,4,FALSE),"")</f>
        <v>2498.7238167559885</v>
      </c>
      <c r="M1027" s="1631"/>
      <c r="N1027" s="1639">
        <v>0</v>
      </c>
      <c r="O1027" s="1490">
        <f t="shared" ref="O1027:O1059" si="1267">N1027</f>
        <v>0</v>
      </c>
      <c r="P1027" s="352">
        <f t="shared" ref="P1027:P1029" si="1268">IF(B1027&lt;&gt;"",O1027*L1027,"")</f>
        <v>0</v>
      </c>
      <c r="Q1027" s="349">
        <f t="shared" ref="Q1027:Q1029" si="1269">IF(B1027&lt;&gt;"",+O1027*E1027,"")</f>
        <v>0</v>
      </c>
      <c r="R1027" s="353">
        <f t="shared" ref="R1027:R1029" si="1270">IF(B1027&lt;&gt;"",Q1027*L1027,"")</f>
        <v>0</v>
      </c>
      <c r="S1027" s="354">
        <f t="shared" si="1049"/>
        <v>0</v>
      </c>
      <c r="T1027" s="354">
        <f t="shared" si="1050"/>
        <v>0</v>
      </c>
      <c r="U1027" s="355">
        <f t="shared" si="1051"/>
        <v>0</v>
      </c>
      <c r="V1027" s="355">
        <f t="shared" si="1052"/>
        <v>0</v>
      </c>
      <c r="W1027" s="355">
        <f t="shared" si="1053"/>
        <v>0</v>
      </c>
      <c r="X1027" s="355">
        <f t="shared" si="1054"/>
        <v>104821.23688158262</v>
      </c>
      <c r="Y1027" s="396"/>
      <c r="Z1027" s="346" t="str">
        <f t="shared" ref="Z1027:Z1029" si="1271">IF(B1027&lt;&gt;"",+$B1027&amp;"A","")</f>
        <v>0-INSTSANTA</v>
      </c>
      <c r="AA1027" s="346" t="str">
        <f t="shared" ref="AA1027:AA1029" si="1272">IF(B1027&lt;&gt;"",+$B1027&amp;"E","")</f>
        <v>0-INSTSANTE</v>
      </c>
      <c r="AB1027" s="346" t="str">
        <f t="shared" ref="AB1027:AB1029" si="1273">IF(B1027&lt;&gt;"",++$B1027&amp;"M","")</f>
        <v>0-INSTSANTM</v>
      </c>
      <c r="AC1027" s="346" t="str">
        <f t="shared" ref="AC1027:AC1029" si="1274">IF(B1027&lt;&gt;"",+$B1027&amp;"T","")</f>
        <v>0-INSTSANTT</v>
      </c>
      <c r="AD1027" s="346" t="str">
        <f t="shared" ref="AD1027:AD1029" si="1275">IF(B1027&lt;&gt;"",+$B1027&amp;"S","")</f>
        <v>0-INSTSANTS</v>
      </c>
      <c r="AE1027" s="346" t="str">
        <f t="shared" ref="AE1027:AE1029" si="1276">IF(B1027&lt;&gt;"",+$B1027&amp;"X","")</f>
        <v>0-INSTSANTX</v>
      </c>
      <c r="AF1027" s="346" t="str">
        <f t="shared" ref="AF1027:AF1029" si="1277">IF(B1027&lt;&gt;"",+B1027&amp;H1027,"")</f>
        <v>0-INSTSANTX</v>
      </c>
      <c r="AG1027" s="346">
        <f t="shared" si="1055"/>
        <v>6</v>
      </c>
      <c r="AH1027" s="346">
        <f>IF(B1027&lt;&gt;"",+IF(H1027="x",+VLOOKUP(I1027,'AUX-NIV2'!B:AG,32,FALSE),0),"")</f>
        <v>8</v>
      </c>
      <c r="AI1027" s="346" t="str">
        <f t="shared" ref="AI1027:AI1029" si="1278">IF(B1027&lt;&gt;"",+B1027,"")</f>
        <v>0-INSTSANT</v>
      </c>
      <c r="AK1027" s="347">
        <f t="shared" si="1056"/>
        <v>1026</v>
      </c>
      <c r="AL1027" s="348">
        <f t="shared" ref="AL1027:AL1029" si="1279">IF(B1027&lt;&gt;"",+AK1027+AG1027-1,"")</f>
        <v>1031</v>
      </c>
      <c r="AM1027" s="347" t="e">
        <f>IF(B1027&lt;&gt;"",IF(B1027=#REF!,1+#REF!,1),"")</f>
        <v>#REF!</v>
      </c>
      <c r="AN1027" s="382">
        <f>IF(AND(AH1027&gt;0,B1027&lt;&gt;""),VLOOKUP(I1027,'AUX-NIV2'!$B:$AP,40,FALSE)*O1027,0)</f>
        <v>0</v>
      </c>
      <c r="AO1027" s="382">
        <f t="shared" si="1057"/>
        <v>154.66666666666666</v>
      </c>
      <c r="AQ1027" s="395">
        <f>(IF($H1027="x",VLOOKUP($I1027,'AUX-NIV2'!$B:$X,'AUX-NIV1'!AQ$3,FALSE),0)+($AV1027*'AUX-NIV3'!S$4))*$O1027+IF($H1027=AQ$4,$P1027,0)</f>
        <v>0</v>
      </c>
      <c r="AR1027" s="395">
        <f>(IF($H1027="x",VLOOKUP($I1027,'AUX-NIV2'!$B:$X,'AUX-NIV1'!AR$3,FALSE),0)+($AV1027*'AUX-NIV3'!T$4))*$O1027+IF($H1027=AR$4,$P1027,0)</f>
        <v>0</v>
      </c>
      <c r="AS1027" s="395">
        <f>(IF($H1027="x",VLOOKUP($I1027,'AUX-NIV2'!$B:$X,'AUX-NIV1'!AS$3,FALSE),0)+($AV1027*'AUX-NIV3'!U$4))*$O1027+IF($H1027=AS$4,$P1027,0)</f>
        <v>0</v>
      </c>
      <c r="AT1027" s="395">
        <f>(IF($H1027="x",VLOOKUP($I1027,'AUX-NIV2'!$B:$X,'AUX-NIV1'!AT$3,FALSE),0)+($AV1027*'AUX-NIV3'!V$4))*$O1027+IF($H1027=AT$4,$P1027,0)</f>
        <v>0</v>
      </c>
      <c r="AU1027" s="395">
        <f>(IF($H1027="x",VLOOKUP($I1027,'AUX-NIV2'!$B:$X,'AUX-NIV1'!AU$3,FALSE),0)+($AV1027*'AUX-NIV3'!W$4))*$O1027+IF($H1027=AU$4,$P1027,0)</f>
        <v>0</v>
      </c>
      <c r="AV1027" s="395">
        <f>+IF($H1027="x",VLOOKUP($I1027,'AUX-NIV2'!$B:$X,'AUX-NIV1'!AV$3,FALSE),0)</f>
        <v>542.86197397008118</v>
      </c>
    </row>
    <row r="1028" spans="2:48">
      <c r="B1028" s="324" t="s">
        <v>4389</v>
      </c>
      <c r="C1028" s="325" t="s">
        <v>4662</v>
      </c>
      <c r="D1028" s="326" t="s">
        <v>1172</v>
      </c>
      <c r="E1028" s="349">
        <f>IF(B1028&lt;&gt;"",+SUMIF(Items!C:C,'AUX-NIV1'!B1028,Items!H:H),"")</f>
        <v>0</v>
      </c>
      <c r="F1028" s="349">
        <f t="shared" si="1047"/>
        <v>104821.23688158262</v>
      </c>
      <c r="G1028" s="349">
        <f t="shared" si="1048"/>
        <v>0</v>
      </c>
      <c r="H1028" s="1395" t="str">
        <f t="shared" si="1266"/>
        <v>X</v>
      </c>
      <c r="I1028" s="1375" t="s">
        <v>4408</v>
      </c>
      <c r="J1028" s="350" t="str">
        <f>IF(B1028&lt;&gt;"",+VLOOKUP(I1028,Recursos!C:F,2,FALSE),"")</f>
        <v>Sanitario-Sistema Secundario</v>
      </c>
      <c r="K1028" s="351" t="str">
        <f>IF(B1028&lt;&gt;"",+VLOOKUP(I1028,Recursos!C:F,3,FALSE),"")</f>
        <v>m</v>
      </c>
      <c r="L1028" s="1475">
        <f>IF(B1028&lt;&gt;"",+VLOOKUP(I1028,Recursos!C:F,4,FALSE),"")</f>
        <v>1972.1118427859074</v>
      </c>
      <c r="M1028" s="1631"/>
      <c r="N1028" s="1639">
        <v>5</v>
      </c>
      <c r="O1028" s="1490">
        <f t="shared" si="1267"/>
        <v>5</v>
      </c>
      <c r="P1028" s="352">
        <f t="shared" si="1268"/>
        <v>9860.5592139295368</v>
      </c>
      <c r="Q1028" s="349">
        <f t="shared" si="1269"/>
        <v>0</v>
      </c>
      <c r="R1028" s="353">
        <f t="shared" si="1270"/>
        <v>0</v>
      </c>
      <c r="S1028" s="354">
        <f t="shared" si="1049"/>
        <v>0</v>
      </c>
      <c r="T1028" s="354">
        <f t="shared" si="1050"/>
        <v>0</v>
      </c>
      <c r="U1028" s="355">
        <f t="shared" si="1051"/>
        <v>0</v>
      </c>
      <c r="V1028" s="355">
        <f t="shared" si="1052"/>
        <v>0</v>
      </c>
      <c r="W1028" s="355">
        <f t="shared" si="1053"/>
        <v>0</v>
      </c>
      <c r="X1028" s="355">
        <f t="shared" si="1054"/>
        <v>104821.23688158262</v>
      </c>
      <c r="Y1028" s="396"/>
      <c r="Z1028" s="346" t="str">
        <f t="shared" si="1271"/>
        <v>0-INSTSANTA</v>
      </c>
      <c r="AA1028" s="346" t="str">
        <f t="shared" si="1272"/>
        <v>0-INSTSANTE</v>
      </c>
      <c r="AB1028" s="346" t="str">
        <f t="shared" si="1273"/>
        <v>0-INSTSANTM</v>
      </c>
      <c r="AC1028" s="346" t="str">
        <f t="shared" si="1274"/>
        <v>0-INSTSANTT</v>
      </c>
      <c r="AD1028" s="346" t="str">
        <f t="shared" si="1275"/>
        <v>0-INSTSANTS</v>
      </c>
      <c r="AE1028" s="346" t="str">
        <f t="shared" si="1276"/>
        <v>0-INSTSANTX</v>
      </c>
      <c r="AF1028" s="346" t="str">
        <f t="shared" si="1277"/>
        <v>0-INSTSANTX</v>
      </c>
      <c r="AG1028" s="346">
        <f t="shared" si="1055"/>
        <v>6</v>
      </c>
      <c r="AH1028" s="346">
        <f>IF(B1028&lt;&gt;"",+IF(H1028="x",+VLOOKUP(I1028,'AUX-NIV2'!B:AG,32,FALSE),0),"")</f>
        <v>7</v>
      </c>
      <c r="AI1028" s="346" t="str">
        <f t="shared" si="1278"/>
        <v>0-INSTSANT</v>
      </c>
      <c r="AK1028" s="347">
        <f t="shared" si="1056"/>
        <v>1026</v>
      </c>
      <c r="AL1028" s="348">
        <f t="shared" si="1279"/>
        <v>1031</v>
      </c>
      <c r="AM1028" s="347" t="e">
        <f>IF(B1028&lt;&gt;"",IF(B1028=#REF!,1+#REF!,1),"")</f>
        <v>#REF!</v>
      </c>
      <c r="AN1028" s="382">
        <f>IF(AND(AH1028&gt;0,B1028&lt;&gt;""),VLOOKUP(I1028,'AUX-NIV2'!$B:$AP,40,FALSE)*O1028,0)</f>
        <v>13.333333333333332</v>
      </c>
      <c r="AO1028" s="382">
        <f t="shared" si="1057"/>
        <v>154.66666666666666</v>
      </c>
      <c r="AQ1028" s="395">
        <f>(IF($H1028="x",VLOOKUP($I1028,'AUX-NIV2'!$B:$X,'AUX-NIV1'!AQ$3,FALSE),0)+($AV1028*'AUX-NIV3'!S$4))*$O1028+IF($H1028=AQ$4,$P1028,0)</f>
        <v>6129.3092139295368</v>
      </c>
      <c r="AR1028" s="395">
        <f>(IF($H1028="x",VLOOKUP($I1028,'AUX-NIV2'!$B:$X,'AUX-NIV1'!AR$3,FALSE),0)+($AV1028*'AUX-NIV3'!T$4))*$O1028+IF($H1028=AR$4,$P1028,0)</f>
        <v>0</v>
      </c>
      <c r="AS1028" s="395">
        <f>(IF($H1028="x",VLOOKUP($I1028,'AUX-NIV2'!$B:$X,'AUX-NIV1'!AS$3,FALSE),0)+($AV1028*'AUX-NIV3'!U$4))*$O1028+IF($H1028=AS$4,$P1028,0)</f>
        <v>3731.25</v>
      </c>
      <c r="AT1028" s="395">
        <f>(IF($H1028="x",VLOOKUP($I1028,'AUX-NIV2'!$B:$X,'AUX-NIV1'!AT$3,FALSE),0)+($AV1028*'AUX-NIV3'!V$4))*$O1028+IF($H1028=AT$4,$P1028,0)</f>
        <v>0</v>
      </c>
      <c r="AU1028" s="395">
        <f>(IF($H1028="x",VLOOKUP($I1028,'AUX-NIV2'!$B:$X,'AUX-NIV1'!AU$3,FALSE),0)+($AV1028*'AUX-NIV3'!W$4))*$O1028+IF($H1028=AU$4,$P1028,0)</f>
        <v>0</v>
      </c>
      <c r="AV1028" s="395">
        <f>+IF($H1028="x",VLOOKUP($I1028,'AUX-NIV2'!$B:$X,'AUX-NIV1'!AV$3,FALSE),0)</f>
        <v>0</v>
      </c>
    </row>
    <row r="1029" spans="2:48">
      <c r="B1029" s="324" t="s">
        <v>4389</v>
      </c>
      <c r="C1029" s="325" t="s">
        <v>4662</v>
      </c>
      <c r="D1029" s="326" t="s">
        <v>1172</v>
      </c>
      <c r="E1029" s="349">
        <f>IF(B1029&lt;&gt;"",+SUMIF(Items!C:C,'AUX-NIV1'!B1029,Items!H:H),"")</f>
        <v>0</v>
      </c>
      <c r="F1029" s="349">
        <f t="shared" si="1047"/>
        <v>104821.23688158262</v>
      </c>
      <c r="G1029" s="349">
        <f t="shared" si="1048"/>
        <v>0</v>
      </c>
      <c r="H1029" s="1395" t="str">
        <f t="shared" si="1266"/>
        <v>X</v>
      </c>
      <c r="I1029" s="1375" t="s">
        <v>4409</v>
      </c>
      <c r="J1029" s="350" t="str">
        <f>IF(B1029&lt;&gt;"",+VLOOKUP(I1029,Recursos!C:F,2,FALSE),"")</f>
        <v>Sanitario-Sistema Agua</v>
      </c>
      <c r="K1029" s="351" t="str">
        <f>IF(B1029&lt;&gt;"",+VLOOKUP(I1029,Recursos!C:F,3,FALSE),"")</f>
        <v>m</v>
      </c>
      <c r="L1029" s="1475">
        <f>IF(B1029&lt;&gt;"",+VLOOKUP(I1029,Recursos!C:F,4,FALSE),"")</f>
        <v>1646.3618427859074</v>
      </c>
      <c r="M1029" s="1493"/>
      <c r="N1029" s="1507">
        <v>20</v>
      </c>
      <c r="O1029" s="1490">
        <f t="shared" si="1267"/>
        <v>20</v>
      </c>
      <c r="P1029" s="352">
        <f t="shared" si="1268"/>
        <v>32927.236855718147</v>
      </c>
      <c r="Q1029" s="349">
        <f t="shared" si="1269"/>
        <v>0</v>
      </c>
      <c r="R1029" s="353">
        <f t="shared" si="1270"/>
        <v>0</v>
      </c>
      <c r="S1029" s="354">
        <f t="shared" si="1049"/>
        <v>0</v>
      </c>
      <c r="T1029" s="354">
        <f t="shared" si="1050"/>
        <v>0</v>
      </c>
      <c r="U1029" s="355">
        <f t="shared" si="1051"/>
        <v>0</v>
      </c>
      <c r="V1029" s="355">
        <f t="shared" si="1052"/>
        <v>0</v>
      </c>
      <c r="W1029" s="355">
        <f t="shared" si="1053"/>
        <v>0</v>
      </c>
      <c r="X1029" s="355">
        <f t="shared" si="1054"/>
        <v>104821.23688158262</v>
      </c>
      <c r="Y1029" s="396"/>
      <c r="Z1029" s="346" t="str">
        <f t="shared" si="1271"/>
        <v>0-INSTSANTA</v>
      </c>
      <c r="AA1029" s="346" t="str">
        <f t="shared" si="1272"/>
        <v>0-INSTSANTE</v>
      </c>
      <c r="AB1029" s="346" t="str">
        <f t="shared" si="1273"/>
        <v>0-INSTSANTM</v>
      </c>
      <c r="AC1029" s="346" t="str">
        <f t="shared" si="1274"/>
        <v>0-INSTSANTT</v>
      </c>
      <c r="AD1029" s="346" t="str">
        <f t="shared" si="1275"/>
        <v>0-INSTSANTS</v>
      </c>
      <c r="AE1029" s="346" t="str">
        <f t="shared" si="1276"/>
        <v>0-INSTSANTX</v>
      </c>
      <c r="AF1029" s="346" t="str">
        <f t="shared" si="1277"/>
        <v>0-INSTSANTX</v>
      </c>
      <c r="AG1029" s="346">
        <f t="shared" si="1055"/>
        <v>6</v>
      </c>
      <c r="AH1029" s="346">
        <f>IF(B1029&lt;&gt;"",+IF(H1029="x",+VLOOKUP(I1029,'AUX-NIV2'!B:AG,32,FALSE),0),"")</f>
        <v>10</v>
      </c>
      <c r="AI1029" s="346" t="str">
        <f t="shared" si="1278"/>
        <v>0-INSTSANT</v>
      </c>
      <c r="AK1029" s="347">
        <f t="shared" si="1056"/>
        <v>1026</v>
      </c>
      <c r="AL1029" s="348">
        <f t="shared" si="1279"/>
        <v>1031</v>
      </c>
      <c r="AM1029" s="347" t="e">
        <f>IF(B1029&lt;&gt;"",IF(B1029=#REF!,1+#REF!,1),"")</f>
        <v>#REF!</v>
      </c>
      <c r="AN1029" s="382">
        <f>IF(AND(AH1029&gt;0,B1029&lt;&gt;""),VLOOKUP(I1029,'AUX-NIV2'!$B:$AP,40,FALSE)*O1029,0)</f>
        <v>53.333333333333329</v>
      </c>
      <c r="AO1029" s="382">
        <f t="shared" si="1057"/>
        <v>154.66666666666666</v>
      </c>
      <c r="AQ1029" s="395">
        <f>(IF($H1029="x",VLOOKUP($I1029,'AUX-NIV2'!$B:$X,'AUX-NIV1'!AQ$3,FALSE),0)+($AV1029*'AUX-NIV3'!S$4))*$O1029+IF($H1029=AQ$4,$P1029,0)</f>
        <v>24517.236855718147</v>
      </c>
      <c r="AR1029" s="395">
        <f>(IF($H1029="x",VLOOKUP($I1029,'AUX-NIV2'!$B:$X,'AUX-NIV1'!AR$3,FALSE),0)+($AV1029*'AUX-NIV3'!T$4))*$O1029+IF($H1029=AR$4,$P1029,0)</f>
        <v>0</v>
      </c>
      <c r="AS1029" s="395">
        <f>(IF($H1029="x",VLOOKUP($I1029,'AUX-NIV2'!$B:$X,'AUX-NIV1'!AS$3,FALSE),0)+($AV1029*'AUX-NIV3'!U$4))*$O1029+IF($H1029=AS$4,$P1029,0)</f>
        <v>8410</v>
      </c>
      <c r="AT1029" s="395">
        <f>(IF($H1029="x",VLOOKUP($I1029,'AUX-NIV2'!$B:$X,'AUX-NIV1'!AT$3,FALSE),0)+($AV1029*'AUX-NIV3'!V$4))*$O1029+IF($H1029=AT$4,$P1029,0)</f>
        <v>0</v>
      </c>
      <c r="AU1029" s="395">
        <f>(IF($H1029="x",VLOOKUP($I1029,'AUX-NIV2'!$B:$X,'AUX-NIV1'!AU$3,FALSE),0)+($AV1029*'AUX-NIV3'!W$4))*$O1029+IF($H1029=AU$4,$P1029,0)</f>
        <v>0</v>
      </c>
      <c r="AV1029" s="395">
        <f>+IF($H1029="x",VLOOKUP($I1029,'AUX-NIV2'!$B:$X,'AUX-NIV1'!AV$3,FALSE),0)</f>
        <v>0</v>
      </c>
    </row>
    <row r="1030" spans="2:48">
      <c r="B1030" s="324" t="s">
        <v>4389</v>
      </c>
      <c r="C1030" s="325" t="s">
        <v>4662</v>
      </c>
      <c r="D1030" s="326" t="s">
        <v>1172</v>
      </c>
      <c r="E1030" s="349">
        <f>IF(B1030&lt;&gt;"",+SUMIF(Items!C:C,'AUX-NIV1'!B1030,Items!H:H),"")</f>
        <v>0</v>
      </c>
      <c r="F1030" s="349">
        <f t="shared" si="1047"/>
        <v>104821.23688158262</v>
      </c>
      <c r="G1030" s="349">
        <f t="shared" si="1048"/>
        <v>0</v>
      </c>
      <c r="H1030" s="1395" t="str">
        <f t="shared" ref="H1030" si="1280">IF(B1030&lt;&gt;"",+LEFT(I1030,1),"")</f>
        <v>X</v>
      </c>
      <c r="I1030" s="1375" t="s">
        <v>4416</v>
      </c>
      <c r="J1030" s="350" t="str">
        <f>IF(B1030&lt;&gt;"",+VLOOKUP(I1030,Recursos!C:F,2,FALSE),"")</f>
        <v>Sanitario-Sistema Ventilación</v>
      </c>
      <c r="K1030" s="351" t="str">
        <f>IF(B1030&lt;&gt;"",+VLOOKUP(I1030,Recursos!C:F,3,FALSE),"")</f>
        <v>gl</v>
      </c>
      <c r="L1030" s="1475">
        <f>IF(B1030&lt;&gt;"",+VLOOKUP(I1030,Recursos!C:F,4,FALSE),"")</f>
        <v>4298.792764178861</v>
      </c>
      <c r="M1030" s="1493"/>
      <c r="N1030" s="1507">
        <v>1</v>
      </c>
      <c r="O1030" s="1490">
        <f t="shared" si="1267"/>
        <v>1</v>
      </c>
      <c r="P1030" s="352">
        <f t="shared" ref="P1030" si="1281">IF(B1030&lt;&gt;"",O1030*L1030,"")</f>
        <v>4298.792764178861</v>
      </c>
      <c r="Q1030" s="349">
        <f t="shared" ref="Q1030" si="1282">IF(B1030&lt;&gt;"",+O1030*E1030,"")</f>
        <v>0</v>
      </c>
      <c r="R1030" s="353">
        <f t="shared" ref="R1030" si="1283">IF(B1030&lt;&gt;"",Q1030*L1030,"")</f>
        <v>0</v>
      </c>
      <c r="S1030" s="354">
        <f t="shared" si="1049"/>
        <v>0</v>
      </c>
      <c r="T1030" s="354">
        <f t="shared" si="1050"/>
        <v>0</v>
      </c>
      <c r="U1030" s="355">
        <f t="shared" si="1051"/>
        <v>0</v>
      </c>
      <c r="V1030" s="355">
        <f t="shared" si="1052"/>
        <v>0</v>
      </c>
      <c r="W1030" s="355">
        <f t="shared" si="1053"/>
        <v>0</v>
      </c>
      <c r="X1030" s="355">
        <f t="shared" si="1054"/>
        <v>104821.23688158262</v>
      </c>
      <c r="Y1030" s="396"/>
      <c r="Z1030" s="346" t="str">
        <f t="shared" ref="Z1030" si="1284">IF(B1030&lt;&gt;"",+$B1030&amp;"A","")</f>
        <v>0-INSTSANTA</v>
      </c>
      <c r="AA1030" s="346" t="str">
        <f t="shared" ref="AA1030" si="1285">IF(B1030&lt;&gt;"",+$B1030&amp;"E","")</f>
        <v>0-INSTSANTE</v>
      </c>
      <c r="AB1030" s="346" t="str">
        <f t="shared" ref="AB1030" si="1286">IF(B1030&lt;&gt;"",++$B1030&amp;"M","")</f>
        <v>0-INSTSANTM</v>
      </c>
      <c r="AC1030" s="346" t="str">
        <f t="shared" ref="AC1030" si="1287">IF(B1030&lt;&gt;"",+$B1030&amp;"T","")</f>
        <v>0-INSTSANTT</v>
      </c>
      <c r="AD1030" s="346" t="str">
        <f t="shared" ref="AD1030" si="1288">IF(B1030&lt;&gt;"",+$B1030&amp;"S","")</f>
        <v>0-INSTSANTS</v>
      </c>
      <c r="AE1030" s="346" t="str">
        <f t="shared" ref="AE1030" si="1289">IF(B1030&lt;&gt;"",+$B1030&amp;"X","")</f>
        <v>0-INSTSANTX</v>
      </c>
      <c r="AF1030" s="346" t="str">
        <f t="shared" ref="AF1030" si="1290">IF(B1030&lt;&gt;"",+B1030&amp;H1030,"")</f>
        <v>0-INSTSANTX</v>
      </c>
      <c r="AG1030" s="346">
        <f t="shared" si="1055"/>
        <v>6</v>
      </c>
      <c r="AH1030" s="346">
        <f>IF(B1030&lt;&gt;"",+IF(H1030="x",+VLOOKUP(I1030,'AUX-NIV2'!B:AG,32,FALSE),0),"")</f>
        <v>6</v>
      </c>
      <c r="AI1030" s="346" t="str">
        <f t="shared" ref="AI1030" si="1291">IF(B1030&lt;&gt;"",+B1030,"")</f>
        <v>0-INSTSANT</v>
      </c>
      <c r="AK1030" s="347">
        <f t="shared" si="1056"/>
        <v>1026</v>
      </c>
      <c r="AL1030" s="348">
        <f t="shared" ref="AL1030" si="1292">IF(B1030&lt;&gt;"",+AK1030+AG1030-1,"")</f>
        <v>1031</v>
      </c>
      <c r="AM1030" s="347" t="e">
        <f>IF(B1030&lt;&gt;"",IF(B1030=#REF!,1+#REF!,1),"")</f>
        <v>#REF!</v>
      </c>
      <c r="AN1030" s="382">
        <f>IF(AND(AH1030&gt;0,B1030&lt;&gt;""),VLOOKUP(I1030,'AUX-NIV2'!$B:$AP,40,FALSE)*O1030,0)</f>
        <v>4</v>
      </c>
      <c r="AO1030" s="382">
        <f t="shared" si="1057"/>
        <v>154.66666666666666</v>
      </c>
      <c r="AQ1030" s="395">
        <f>(IF($H1030="x",VLOOKUP($I1030,'AUX-NIV2'!$B:$X,'AUX-NIV1'!AQ$3,FALSE),0)+($AV1030*'AUX-NIV3'!S$4))*$O1030+IF($H1030=AQ$4,$P1030,0)</f>
        <v>1838.792764178861</v>
      </c>
      <c r="AR1030" s="395">
        <f>(IF($H1030="x",VLOOKUP($I1030,'AUX-NIV2'!$B:$X,'AUX-NIV1'!AR$3,FALSE),0)+($AV1030*'AUX-NIV3'!T$4))*$O1030+IF($H1030=AR$4,$P1030,0)</f>
        <v>0</v>
      </c>
      <c r="AS1030" s="395">
        <f>(IF($H1030="x",VLOOKUP($I1030,'AUX-NIV2'!$B:$X,'AUX-NIV1'!AS$3,FALSE),0)+($AV1030*'AUX-NIV3'!U$4))*$O1030+IF($H1030=AS$4,$P1030,0)</f>
        <v>2460</v>
      </c>
      <c r="AT1030" s="395">
        <f>(IF($H1030="x",VLOOKUP($I1030,'AUX-NIV2'!$B:$X,'AUX-NIV1'!AT$3,FALSE),0)+($AV1030*'AUX-NIV3'!V$4))*$O1030+IF($H1030=AT$4,$P1030,0)</f>
        <v>0</v>
      </c>
      <c r="AU1030" s="395">
        <f>(IF($H1030="x",VLOOKUP($I1030,'AUX-NIV2'!$B:$X,'AUX-NIV1'!AU$3,FALSE),0)+($AV1030*'AUX-NIV3'!W$4))*$O1030+IF($H1030=AU$4,$P1030,0)</f>
        <v>0</v>
      </c>
      <c r="AV1030" s="395">
        <f>+IF($H1030="x",VLOOKUP($I1030,'AUX-NIV2'!$B:$X,'AUX-NIV1'!AV$3,FALSE),0)</f>
        <v>0</v>
      </c>
    </row>
    <row r="1031" spans="2:48" ht="13.8" thickBot="1">
      <c r="B1031" s="324" t="s">
        <v>4389</v>
      </c>
      <c r="C1031" s="325" t="s">
        <v>4662</v>
      </c>
      <c r="D1031" s="326" t="s">
        <v>1172</v>
      </c>
      <c r="E1031" s="349">
        <f>IF(B1031&lt;&gt;"",+SUMIF(Items!C:C,'AUX-NIV1'!B1031,Items!H:H),"")</f>
        <v>0</v>
      </c>
      <c r="F1031" s="349">
        <f t="shared" ref="F1031:F1086" si="1293">IF(B1031&lt;&gt;"",+SUMIF(B:B,B1031,P:P),"")</f>
        <v>104821.23688158262</v>
      </c>
      <c r="G1031" s="349">
        <f t="shared" ref="G1031:G1086" si="1294">IF(B1031&lt;&gt;"",+SUMIF(B:B,B1031,R:R),"")</f>
        <v>0</v>
      </c>
      <c r="H1031" s="1395" t="str">
        <f t="shared" ref="H1031:H1041" si="1295">IF(B1031&lt;&gt;"",+LEFT(I1031,1),"")</f>
        <v>X</v>
      </c>
      <c r="I1031" s="1375" t="s">
        <v>4477</v>
      </c>
      <c r="J1031" s="350" t="str">
        <f>IF(B1031&lt;&gt;"",+VLOOKUP(I1031,Recursos!C:F,2,FALSE),"")</f>
        <v>Sanitario-Sistema Pluvial</v>
      </c>
      <c r="K1031" s="351" t="str">
        <f>IF(B1031&lt;&gt;"",+VLOOKUP(I1031,Recursos!C:F,3,FALSE),"")</f>
        <v>m</v>
      </c>
      <c r="L1031" s="1475">
        <f>IF(B1031&lt;&gt;"",+VLOOKUP(I1031,Recursos!C:F,4,FALSE),"")</f>
        <v>868.62061426196908</v>
      </c>
      <c r="M1031" s="1688"/>
      <c r="N1031" s="1689">
        <v>15</v>
      </c>
      <c r="O1031" s="1490">
        <f t="shared" si="1267"/>
        <v>15</v>
      </c>
      <c r="P1031" s="352">
        <f t="shared" ref="P1031:P1041" si="1296">IF(B1031&lt;&gt;"",O1031*L1031,"")</f>
        <v>13029.309213929537</v>
      </c>
      <c r="Q1031" s="349">
        <f t="shared" ref="Q1031:Q1041" si="1297">IF(B1031&lt;&gt;"",+O1031*E1031,"")</f>
        <v>0</v>
      </c>
      <c r="R1031" s="353">
        <f t="shared" ref="R1031:R1041" si="1298">IF(B1031&lt;&gt;"",Q1031*L1031,"")</f>
        <v>0</v>
      </c>
      <c r="S1031" s="354">
        <f t="shared" ref="S1031:S1086" si="1299">IF(B1031&lt;&gt;"",+SUMIF($AF:$AF,Z1031,$P:$P),"")</f>
        <v>0</v>
      </c>
      <c r="T1031" s="354">
        <f t="shared" ref="T1031:T1086" si="1300">IF(B1031&lt;&gt;"",+SUMIF($AF:$AF,AA1031,$P:$P),"")</f>
        <v>0</v>
      </c>
      <c r="U1031" s="355">
        <f t="shared" ref="U1031:U1086" si="1301">IF(B1031&lt;&gt;"",+SUMIF($AF:$AF,AB1031,$P:$P),"")</f>
        <v>0</v>
      </c>
      <c r="V1031" s="355">
        <f t="shared" ref="V1031:V1086" si="1302">IF(B1031&lt;&gt;"",+SUMIF($AF:$AF,AC1031,$P:$P),"")</f>
        <v>0</v>
      </c>
      <c r="W1031" s="355">
        <f t="shared" ref="W1031:W1086" si="1303">IF(B1031&lt;&gt;"",+SUMIF($AF:$AF,AD1031,$P:$P),"")</f>
        <v>0</v>
      </c>
      <c r="X1031" s="355">
        <f t="shared" ref="X1031:X1086" si="1304">IF(B1031&lt;&gt;"",+SUMIF($AF:$AF,AE1031,$P:$P),"")</f>
        <v>104821.23688158262</v>
      </c>
      <c r="Y1031" s="396"/>
      <c r="Z1031" s="346" t="str">
        <f t="shared" ref="Z1031:Z1041" si="1305">IF(B1031&lt;&gt;"",+$B1031&amp;"A","")</f>
        <v>0-INSTSANTA</v>
      </c>
      <c r="AA1031" s="346" t="str">
        <f t="shared" ref="AA1031:AA1041" si="1306">IF(B1031&lt;&gt;"",+$B1031&amp;"E","")</f>
        <v>0-INSTSANTE</v>
      </c>
      <c r="AB1031" s="346" t="str">
        <f t="shared" ref="AB1031:AB1041" si="1307">IF(B1031&lt;&gt;"",++$B1031&amp;"M","")</f>
        <v>0-INSTSANTM</v>
      </c>
      <c r="AC1031" s="346" t="str">
        <f t="shared" ref="AC1031:AC1041" si="1308">IF(B1031&lt;&gt;"",+$B1031&amp;"T","")</f>
        <v>0-INSTSANTT</v>
      </c>
      <c r="AD1031" s="346" t="str">
        <f t="shared" ref="AD1031:AD1041" si="1309">IF(B1031&lt;&gt;"",+$B1031&amp;"S","")</f>
        <v>0-INSTSANTS</v>
      </c>
      <c r="AE1031" s="346" t="str">
        <f t="shared" ref="AE1031:AE1041" si="1310">IF(B1031&lt;&gt;"",+$B1031&amp;"X","")</f>
        <v>0-INSTSANTX</v>
      </c>
      <c r="AF1031" s="346" t="str">
        <f t="shared" ref="AF1031:AF1041" si="1311">IF(B1031&lt;&gt;"",+B1031&amp;H1031,"")</f>
        <v>0-INSTSANTX</v>
      </c>
      <c r="AG1031" s="346">
        <f t="shared" ref="AG1031:AG1086" si="1312">IF(B1031&lt;&gt;"",+COUNTIF(B:B,B1031),"")</f>
        <v>6</v>
      </c>
      <c r="AH1031" s="346">
        <f>IF(B1031&lt;&gt;"",+IF(H1031="x",+VLOOKUP(I1031,'AUX-NIV2'!B:AG,32,FALSE),0),"")</f>
        <v>5</v>
      </c>
      <c r="AI1031" s="346" t="str">
        <f t="shared" ref="AI1031:AI1041" si="1313">IF(B1031&lt;&gt;"",+B1031,"")</f>
        <v>0-INSTSANT</v>
      </c>
      <c r="AK1031" s="347">
        <f t="shared" ref="AK1031:AK1086" si="1314">IF(B1031&lt;&gt;"",+MATCH(B1031,B:B,0),"")</f>
        <v>1026</v>
      </c>
      <c r="AL1031" s="348">
        <f t="shared" ref="AL1031:AL1041" si="1315">IF(B1031&lt;&gt;"",+AK1031+AG1031-1,"")</f>
        <v>1031</v>
      </c>
      <c r="AM1031" s="347" t="e">
        <f>IF(B1031&lt;&gt;"",IF(B1031=#REF!,1+#REF!,1),"")</f>
        <v>#REF!</v>
      </c>
      <c r="AN1031" s="382">
        <f>IF(AND(AH1031&gt;0,B1031&lt;&gt;""),VLOOKUP(I1031,'AUX-NIV2'!$B:$AP,40,FALSE)*O1031,0)</f>
        <v>13.333333333333332</v>
      </c>
      <c r="AO1031" s="382">
        <f t="shared" ref="AO1031:AO1086" si="1316">+IF(B1031&lt;&gt;"",SUMIF(AF:AF,Z1031,O:O)+SUMIF(Z:Z,Z1031,AN:AN),0)</f>
        <v>154.66666666666666</v>
      </c>
      <c r="AQ1031" s="395">
        <f>(IF($H1031="x",VLOOKUP($I1031,'AUX-NIV2'!$B:$X,'AUX-NIV1'!AQ$3,FALSE),0)+($AV1031*'AUX-NIV3'!S$4))*$O1031+IF($H1031=AQ$4,$P1031,0)</f>
        <v>6129.3092139295359</v>
      </c>
      <c r="AR1031" s="395">
        <f>(IF($H1031="x",VLOOKUP($I1031,'AUX-NIV2'!$B:$X,'AUX-NIV1'!AR$3,FALSE),0)+($AV1031*'AUX-NIV3'!T$4))*$O1031+IF($H1031=AR$4,$P1031,0)</f>
        <v>0</v>
      </c>
      <c r="AS1031" s="395">
        <f>(IF($H1031="x",VLOOKUP($I1031,'AUX-NIV2'!$B:$X,'AUX-NIV1'!AS$3,FALSE),0)+($AV1031*'AUX-NIV3'!U$4))*$O1031+IF($H1031=AS$4,$P1031,0)</f>
        <v>6900</v>
      </c>
      <c r="AT1031" s="395">
        <f>(IF($H1031="x",VLOOKUP($I1031,'AUX-NIV2'!$B:$X,'AUX-NIV1'!AT$3,FALSE),0)+($AV1031*'AUX-NIV3'!V$4))*$O1031+IF($H1031=AT$4,$P1031,0)</f>
        <v>0</v>
      </c>
      <c r="AU1031" s="395">
        <f>(IF($H1031="x",VLOOKUP($I1031,'AUX-NIV2'!$B:$X,'AUX-NIV1'!AU$3,FALSE),0)+($AV1031*'AUX-NIV3'!W$4))*$O1031+IF($H1031=AU$4,$P1031,0)</f>
        <v>0</v>
      </c>
      <c r="AV1031" s="395">
        <f>+IF($H1031="x",VLOOKUP($I1031,'AUX-NIV2'!$B:$X,'AUX-NIV1'!AV$3,FALSE),0)</f>
        <v>0</v>
      </c>
    </row>
    <row r="1032" spans="2:48" ht="13.8" hidden="1" thickTop="1">
      <c r="B1032" s="324" t="s">
        <v>4564</v>
      </c>
      <c r="C1032" s="325" t="s">
        <v>4565</v>
      </c>
      <c r="D1032" s="326" t="s">
        <v>1172</v>
      </c>
      <c r="E1032" s="349">
        <f>IF(B1032&lt;&gt;"",+SUMIF(Items!C:C,'AUX-NIV1'!B1032,Items!H:H),"")</f>
        <v>0</v>
      </c>
      <c r="F1032" s="349">
        <f t="shared" si="1293"/>
        <v>366451.02634029265</v>
      </c>
      <c r="G1032" s="349">
        <f t="shared" si="1294"/>
        <v>0</v>
      </c>
      <c r="H1032" s="1395" t="str">
        <f t="shared" ref="H1032:H1034" si="1317">IF(B1032&lt;&gt;"",+LEFT(I1032,1),"")</f>
        <v>A</v>
      </c>
      <c r="I1032" s="1375" t="s">
        <v>1745</v>
      </c>
      <c r="J1032" s="350" t="str">
        <f>IF(B1032&lt;&gt;"",+VLOOKUP(I1032,Recursos!C:F,2,FALSE),"")</f>
        <v>AYUDANTE</v>
      </c>
      <c r="K1032" s="351" t="str">
        <f>IF(B1032&lt;&gt;"",+VLOOKUP(I1032,Recursos!C:F,3,FALSE),"")</f>
        <v>hh</v>
      </c>
      <c r="L1032" s="1475">
        <f>IF(B1032&lt;&gt;"",+VLOOKUP(I1032,Recursos!C:F,4,FALSE),"")</f>
        <v>422.48042769667234</v>
      </c>
      <c r="M1032" s="1631">
        <v>24</v>
      </c>
      <c r="N1032" s="1639">
        <v>2</v>
      </c>
      <c r="O1032" s="1490">
        <f>N1032*M1032</f>
        <v>48</v>
      </c>
      <c r="P1032" s="352">
        <f t="shared" ref="P1032:P1034" si="1318">IF(B1032&lt;&gt;"",O1032*L1032,"")</f>
        <v>20279.06052944027</v>
      </c>
      <c r="Q1032" s="349">
        <f t="shared" ref="Q1032:Q1034" si="1319">IF(B1032&lt;&gt;"",+O1032*E1032,"")</f>
        <v>0</v>
      </c>
      <c r="R1032" s="353">
        <f t="shared" ref="R1032:R1034" si="1320">IF(B1032&lt;&gt;"",Q1032*L1032,"")</f>
        <v>0</v>
      </c>
      <c r="S1032" s="354">
        <f t="shared" si="1299"/>
        <v>44131.026340292665</v>
      </c>
      <c r="T1032" s="354">
        <f t="shared" si="1300"/>
        <v>0</v>
      </c>
      <c r="U1032" s="355">
        <f t="shared" si="1301"/>
        <v>322320</v>
      </c>
      <c r="V1032" s="355">
        <f t="shared" si="1302"/>
        <v>0</v>
      </c>
      <c r="W1032" s="355">
        <f t="shared" si="1303"/>
        <v>0</v>
      </c>
      <c r="X1032" s="355">
        <f t="shared" si="1304"/>
        <v>0</v>
      </c>
      <c r="Y1032" s="396"/>
      <c r="Z1032" s="346" t="str">
        <f t="shared" ref="Z1032:Z1034" si="1321">IF(B1032&lt;&gt;"",+$B1032&amp;"A","")</f>
        <v>0-MAMPALMA</v>
      </c>
      <c r="AA1032" s="346" t="str">
        <f t="shared" ref="AA1032:AA1034" si="1322">IF(B1032&lt;&gt;"",+$B1032&amp;"E","")</f>
        <v>0-MAMPALME</v>
      </c>
      <c r="AB1032" s="346" t="str">
        <f t="shared" ref="AB1032:AB1034" si="1323">IF(B1032&lt;&gt;"",++$B1032&amp;"M","")</f>
        <v>0-MAMPALMM</v>
      </c>
      <c r="AC1032" s="346" t="str">
        <f t="shared" ref="AC1032:AC1034" si="1324">IF(B1032&lt;&gt;"",+$B1032&amp;"T","")</f>
        <v>0-MAMPALMT</v>
      </c>
      <c r="AD1032" s="346" t="str">
        <f t="shared" ref="AD1032:AD1034" si="1325">IF(B1032&lt;&gt;"",+$B1032&amp;"S","")</f>
        <v>0-MAMPALMS</v>
      </c>
      <c r="AE1032" s="346" t="str">
        <f t="shared" ref="AE1032:AE1034" si="1326">IF(B1032&lt;&gt;"",+$B1032&amp;"X","")</f>
        <v>0-MAMPALMX</v>
      </c>
      <c r="AF1032" s="346" t="str">
        <f t="shared" ref="AF1032:AF1034" si="1327">IF(B1032&lt;&gt;"",+B1032&amp;H1032,"")</f>
        <v>0-MAMPALMA</v>
      </c>
      <c r="AG1032" s="346">
        <f t="shared" si="1312"/>
        <v>3</v>
      </c>
      <c r="AH1032" s="346">
        <f>IF(B1032&lt;&gt;"",+IF(H1032="x",+VLOOKUP(I1032,'AUX-NIV2'!B:AG,32,FALSE),0),"")</f>
        <v>0</v>
      </c>
      <c r="AI1032" s="346" t="str">
        <f t="shared" ref="AI1032:AI1034" si="1328">IF(B1032&lt;&gt;"",+B1032,"")</f>
        <v>0-MAMPALM</v>
      </c>
      <c r="AK1032" s="347">
        <f t="shared" si="1314"/>
        <v>1032</v>
      </c>
      <c r="AL1032" s="348">
        <f t="shared" ref="AL1032:AL1034" si="1329">IF(B1032&lt;&gt;"",+AK1032+AG1032-1,"")</f>
        <v>1034</v>
      </c>
      <c r="AM1032" s="347" t="e">
        <f>IF(B1032&lt;&gt;"",IF(B1032=#REF!,1+#REF!,1),"")</f>
        <v>#REF!</v>
      </c>
      <c r="AN1032" s="382">
        <f>IF(AND(AH1032&gt;0,B1032&lt;&gt;""),VLOOKUP(I1032,'AUX-NIV2'!$B:$AP,40,FALSE)*O1032,0)</f>
        <v>0</v>
      </c>
      <c r="AO1032" s="382">
        <f t="shared" si="1316"/>
        <v>96</v>
      </c>
      <c r="AQ1032" s="395">
        <f>(IF($H1032="x",VLOOKUP($I1032,'AUX-NIV2'!$B:$X,'AUX-NIV1'!AQ$3,FALSE),0)+($AV1032*'AUX-NIV3'!S$4))*$O1032+IF($H1032=AQ$4,$P1032,0)</f>
        <v>20279.06052944027</v>
      </c>
      <c r="AR1032" s="395">
        <f>(IF($H1032="x",VLOOKUP($I1032,'AUX-NIV2'!$B:$X,'AUX-NIV1'!AR$3,FALSE),0)+($AV1032*'AUX-NIV3'!T$4))*$O1032+IF($H1032=AR$4,$P1032,0)</f>
        <v>0</v>
      </c>
      <c r="AS1032" s="395">
        <f>(IF($H1032="x",VLOOKUP($I1032,'AUX-NIV2'!$B:$X,'AUX-NIV1'!AS$3,FALSE),0)+($AV1032*'AUX-NIV3'!U$4))*$O1032+IF($H1032=AS$4,$P1032,0)</f>
        <v>0</v>
      </c>
      <c r="AT1032" s="395">
        <f>(IF($H1032="x",VLOOKUP($I1032,'AUX-NIV2'!$B:$X,'AUX-NIV1'!AT$3,FALSE),0)+($AV1032*'AUX-NIV3'!V$4))*$O1032+IF($H1032=AT$4,$P1032,0)</f>
        <v>0</v>
      </c>
      <c r="AU1032" s="395">
        <f>(IF($H1032="x",VLOOKUP($I1032,'AUX-NIV2'!$B:$X,'AUX-NIV1'!AU$3,FALSE),0)+($AV1032*'AUX-NIV3'!W$4))*$O1032+IF($H1032=AU$4,$P1032,0)</f>
        <v>0</v>
      </c>
      <c r="AV1032" s="395">
        <f>+IF($H1032="x",VLOOKUP($I1032,'AUX-NIV2'!$B:$X,'AUX-NIV1'!AV$3,FALSE),0)</f>
        <v>0</v>
      </c>
    </row>
    <row r="1033" spans="2:48" ht="13.8" hidden="1" thickTop="1">
      <c r="B1033" s="324" t="s">
        <v>4564</v>
      </c>
      <c r="C1033" s="325" t="s">
        <v>4565</v>
      </c>
      <c r="D1033" s="326" t="s">
        <v>1172</v>
      </c>
      <c r="E1033" s="349">
        <f>IF(B1033&lt;&gt;"",+SUMIF(Items!C:C,'AUX-NIV1'!B1033,Items!H:H),"")</f>
        <v>0</v>
      </c>
      <c r="F1033" s="349">
        <f t="shared" si="1293"/>
        <v>366451.02634029265</v>
      </c>
      <c r="G1033" s="349">
        <f t="shared" si="1294"/>
        <v>0</v>
      </c>
      <c r="H1033" s="1395" t="str">
        <f t="shared" si="1317"/>
        <v>A</v>
      </c>
      <c r="I1033" s="1375" t="s">
        <v>1746</v>
      </c>
      <c r="J1033" s="350" t="str">
        <f>IF(B1033&lt;&gt;"",+VLOOKUP(I1033,Recursos!C:F,2,FALSE),"")</f>
        <v>OFICIAL</v>
      </c>
      <c r="K1033" s="351" t="str">
        <f>IF(B1033&lt;&gt;"",+VLOOKUP(I1033,Recursos!C:F,3,FALSE),"")</f>
        <v>hh</v>
      </c>
      <c r="L1033" s="1475">
        <f>IF(B1033&lt;&gt;"",+VLOOKUP(I1033,Recursos!C:F,4,FALSE),"")</f>
        <v>496.91595439275824</v>
      </c>
      <c r="M1033" s="1493"/>
      <c r="N1033" s="1507">
        <v>2</v>
      </c>
      <c r="O1033" s="1490">
        <f>N1033*M1032</f>
        <v>48</v>
      </c>
      <c r="P1033" s="352">
        <f t="shared" si="1318"/>
        <v>23851.965810852394</v>
      </c>
      <c r="Q1033" s="349">
        <f t="shared" si="1319"/>
        <v>0</v>
      </c>
      <c r="R1033" s="353">
        <f t="shared" si="1320"/>
        <v>0</v>
      </c>
      <c r="S1033" s="354">
        <f t="shared" si="1299"/>
        <v>44131.026340292665</v>
      </c>
      <c r="T1033" s="354">
        <f t="shared" si="1300"/>
        <v>0</v>
      </c>
      <c r="U1033" s="355">
        <f t="shared" si="1301"/>
        <v>322320</v>
      </c>
      <c r="V1033" s="355">
        <f t="shared" si="1302"/>
        <v>0</v>
      </c>
      <c r="W1033" s="355">
        <f t="shared" si="1303"/>
        <v>0</v>
      </c>
      <c r="X1033" s="355">
        <f t="shared" si="1304"/>
        <v>0</v>
      </c>
      <c r="Y1033" s="396"/>
      <c r="Z1033" s="346" t="str">
        <f t="shared" si="1321"/>
        <v>0-MAMPALMA</v>
      </c>
      <c r="AA1033" s="346" t="str">
        <f t="shared" si="1322"/>
        <v>0-MAMPALME</v>
      </c>
      <c r="AB1033" s="346" t="str">
        <f t="shared" si="1323"/>
        <v>0-MAMPALMM</v>
      </c>
      <c r="AC1033" s="346" t="str">
        <f t="shared" si="1324"/>
        <v>0-MAMPALMT</v>
      </c>
      <c r="AD1033" s="346" t="str">
        <f t="shared" si="1325"/>
        <v>0-MAMPALMS</v>
      </c>
      <c r="AE1033" s="346" t="str">
        <f t="shared" si="1326"/>
        <v>0-MAMPALMX</v>
      </c>
      <c r="AF1033" s="346" t="str">
        <f t="shared" si="1327"/>
        <v>0-MAMPALMA</v>
      </c>
      <c r="AG1033" s="346">
        <f t="shared" si="1312"/>
        <v>3</v>
      </c>
      <c r="AH1033" s="346">
        <f>IF(B1033&lt;&gt;"",+IF(H1033="x",+VLOOKUP(I1033,'AUX-NIV2'!B:AG,32,FALSE),0),"")</f>
        <v>0</v>
      </c>
      <c r="AI1033" s="346" t="str">
        <f t="shared" si="1328"/>
        <v>0-MAMPALM</v>
      </c>
      <c r="AK1033" s="347">
        <f t="shared" si="1314"/>
        <v>1032</v>
      </c>
      <c r="AL1033" s="348">
        <f t="shared" si="1329"/>
        <v>1034</v>
      </c>
      <c r="AM1033" s="347" t="e">
        <f>IF(B1033&lt;&gt;"",IF(B1033=#REF!,1+#REF!,1),"")</f>
        <v>#REF!</v>
      </c>
      <c r="AN1033" s="382">
        <f>IF(AND(AH1033&gt;0,B1033&lt;&gt;""),VLOOKUP(I1033,'AUX-NIV2'!$B:$AP,40,FALSE)*O1033,0)</f>
        <v>0</v>
      </c>
      <c r="AO1033" s="382">
        <f t="shared" si="1316"/>
        <v>96</v>
      </c>
      <c r="AQ1033" s="395">
        <f>(IF($H1033="x",VLOOKUP($I1033,'AUX-NIV2'!$B:$X,'AUX-NIV1'!AQ$3,FALSE),0)+($AV1033*'AUX-NIV3'!S$4))*$O1033+IF($H1033=AQ$4,$P1033,0)</f>
        <v>23851.965810852394</v>
      </c>
      <c r="AR1033" s="395">
        <f>(IF($H1033="x",VLOOKUP($I1033,'AUX-NIV2'!$B:$X,'AUX-NIV1'!AR$3,FALSE),0)+($AV1033*'AUX-NIV3'!T$4))*$O1033+IF($H1033=AR$4,$P1033,0)</f>
        <v>0</v>
      </c>
      <c r="AS1033" s="395">
        <f>(IF($H1033="x",VLOOKUP($I1033,'AUX-NIV2'!$B:$X,'AUX-NIV1'!AS$3,FALSE),0)+($AV1033*'AUX-NIV3'!U$4))*$O1033+IF($H1033=AS$4,$P1033,0)</f>
        <v>0</v>
      </c>
      <c r="AT1033" s="395">
        <f>(IF($H1033="x",VLOOKUP($I1033,'AUX-NIV2'!$B:$X,'AUX-NIV1'!AT$3,FALSE),0)+($AV1033*'AUX-NIV3'!V$4))*$O1033+IF($H1033=AT$4,$P1033,0)</f>
        <v>0</v>
      </c>
      <c r="AU1033" s="395">
        <f>(IF($H1033="x",VLOOKUP($I1033,'AUX-NIV2'!$B:$X,'AUX-NIV1'!AU$3,FALSE),0)+($AV1033*'AUX-NIV3'!W$4))*$O1033+IF($H1033=AU$4,$P1033,0)</f>
        <v>0</v>
      </c>
      <c r="AV1033" s="395">
        <f>+IF($H1033="x",VLOOKUP($I1033,'AUX-NIV2'!$B:$X,'AUX-NIV1'!AV$3,FALSE),0)</f>
        <v>0</v>
      </c>
    </row>
    <row r="1034" spans="2:48" ht="14.4" hidden="1" thickTop="1" thickBot="1">
      <c r="B1034" s="324" t="s">
        <v>4564</v>
      </c>
      <c r="C1034" s="325" t="s">
        <v>4565</v>
      </c>
      <c r="D1034" s="326" t="s">
        <v>1172</v>
      </c>
      <c r="E1034" s="349">
        <f>IF(B1034&lt;&gt;"",+SUMIF(Items!C:C,'AUX-NIV1'!B1034,Items!H:H),"")</f>
        <v>0</v>
      </c>
      <c r="F1034" s="349">
        <f t="shared" si="1293"/>
        <v>366451.02634029265</v>
      </c>
      <c r="G1034" s="349">
        <f t="shared" si="1294"/>
        <v>0</v>
      </c>
      <c r="H1034" s="1395" t="str">
        <f t="shared" si="1317"/>
        <v>M</v>
      </c>
      <c r="I1034" s="1375" t="s">
        <v>4562</v>
      </c>
      <c r="J1034" s="350" t="str">
        <f>IF(B1034&lt;&gt;"",+VLOOKUP(I1034,Recursos!C:F,2,FALSE),"")</f>
        <v>CARPINTERÍA ALUMINIO - MAMPARA</v>
      </c>
      <c r="K1034" s="351" t="str">
        <f>IF(B1034&lt;&gt;"",+VLOOKUP(I1034,Recursos!C:F,3,FALSE),"")</f>
        <v>M2</v>
      </c>
      <c r="L1034" s="1475">
        <f>IF(B1034&lt;&gt;"",+VLOOKUP(I1034,Recursos!C:F,4,FALSE),"")</f>
        <v>12000</v>
      </c>
      <c r="M1034" s="1622"/>
      <c r="N1034" s="1623">
        <f>7.9*3.4</f>
        <v>26.86</v>
      </c>
      <c r="O1034" s="1490">
        <f t="shared" ref="O1034" si="1330">N1034</f>
        <v>26.86</v>
      </c>
      <c r="P1034" s="352">
        <f t="shared" si="1318"/>
        <v>322320</v>
      </c>
      <c r="Q1034" s="349">
        <f t="shared" si="1319"/>
        <v>0</v>
      </c>
      <c r="R1034" s="353">
        <f t="shared" si="1320"/>
        <v>0</v>
      </c>
      <c r="S1034" s="354">
        <f t="shared" si="1299"/>
        <v>44131.026340292665</v>
      </c>
      <c r="T1034" s="354">
        <f t="shared" si="1300"/>
        <v>0</v>
      </c>
      <c r="U1034" s="355">
        <f t="shared" si="1301"/>
        <v>322320</v>
      </c>
      <c r="V1034" s="355">
        <f t="shared" si="1302"/>
        <v>0</v>
      </c>
      <c r="W1034" s="355">
        <f t="shared" si="1303"/>
        <v>0</v>
      </c>
      <c r="X1034" s="355">
        <f t="shared" si="1304"/>
        <v>0</v>
      </c>
      <c r="Y1034" s="396"/>
      <c r="Z1034" s="346" t="str">
        <f t="shared" si="1321"/>
        <v>0-MAMPALMA</v>
      </c>
      <c r="AA1034" s="346" t="str">
        <f t="shared" si="1322"/>
        <v>0-MAMPALME</v>
      </c>
      <c r="AB1034" s="346" t="str">
        <f t="shared" si="1323"/>
        <v>0-MAMPALMM</v>
      </c>
      <c r="AC1034" s="346" t="str">
        <f t="shared" si="1324"/>
        <v>0-MAMPALMT</v>
      </c>
      <c r="AD1034" s="346" t="str">
        <f t="shared" si="1325"/>
        <v>0-MAMPALMS</v>
      </c>
      <c r="AE1034" s="346" t="str">
        <f t="shared" si="1326"/>
        <v>0-MAMPALMX</v>
      </c>
      <c r="AF1034" s="346" t="str">
        <f t="shared" si="1327"/>
        <v>0-MAMPALMM</v>
      </c>
      <c r="AG1034" s="346">
        <f t="shared" si="1312"/>
        <v>3</v>
      </c>
      <c r="AH1034" s="346">
        <f>IF(B1034&lt;&gt;"",+IF(H1034="x",+VLOOKUP(I1034,'AUX-NIV2'!B:AG,32,FALSE),0),"")</f>
        <v>0</v>
      </c>
      <c r="AI1034" s="346" t="str">
        <f t="shared" si="1328"/>
        <v>0-MAMPALM</v>
      </c>
      <c r="AK1034" s="347">
        <f t="shared" si="1314"/>
        <v>1032</v>
      </c>
      <c r="AL1034" s="348">
        <f t="shared" si="1329"/>
        <v>1034</v>
      </c>
      <c r="AM1034" s="347" t="e">
        <f>IF(B1034&lt;&gt;"",IF(B1034=#REF!,1+#REF!,1),"")</f>
        <v>#REF!</v>
      </c>
      <c r="AN1034" s="382">
        <f>IF(AND(AH1034&gt;0,B1034&lt;&gt;""),VLOOKUP(I1034,'AUX-NIV2'!$B:$AP,40,FALSE)*O1034,0)</f>
        <v>0</v>
      </c>
      <c r="AO1034" s="382">
        <f t="shared" si="1316"/>
        <v>96</v>
      </c>
      <c r="AQ1034" s="395">
        <f>(IF($H1034="x",VLOOKUP($I1034,'AUX-NIV2'!$B:$X,'AUX-NIV1'!AQ$3,FALSE),0)+($AV1034*'AUX-NIV3'!S$4))*$O1034+IF($H1034=AQ$4,$P1034,0)</f>
        <v>0</v>
      </c>
      <c r="AR1034" s="395">
        <f>(IF($H1034="x",VLOOKUP($I1034,'AUX-NIV2'!$B:$X,'AUX-NIV1'!AR$3,FALSE),0)+($AV1034*'AUX-NIV3'!T$4))*$O1034+IF($H1034=AR$4,$P1034,0)</f>
        <v>0</v>
      </c>
      <c r="AS1034" s="395">
        <f>(IF($H1034="x",VLOOKUP($I1034,'AUX-NIV2'!$B:$X,'AUX-NIV1'!AS$3,FALSE),0)+($AV1034*'AUX-NIV3'!U$4))*$O1034+IF($H1034=AS$4,$P1034,0)</f>
        <v>322320</v>
      </c>
      <c r="AT1034" s="395">
        <f>(IF($H1034="x",VLOOKUP($I1034,'AUX-NIV2'!$B:$X,'AUX-NIV1'!AT$3,FALSE),0)+($AV1034*'AUX-NIV3'!V$4))*$O1034+IF($H1034=AT$4,$P1034,0)</f>
        <v>0</v>
      </c>
      <c r="AU1034" s="395">
        <f>(IF($H1034="x",VLOOKUP($I1034,'AUX-NIV2'!$B:$X,'AUX-NIV1'!AU$3,FALSE),0)+($AV1034*'AUX-NIV3'!W$4))*$O1034+IF($H1034=AU$4,$P1034,0)</f>
        <v>0</v>
      </c>
      <c r="AV1034" s="395">
        <f>+IF($H1034="x",VLOOKUP($I1034,'AUX-NIV2'!$B:$X,'AUX-NIV1'!AV$3,FALSE),0)</f>
        <v>0</v>
      </c>
    </row>
    <row r="1035" spans="2:48" ht="13.8" thickTop="1">
      <c r="B1035" s="324" t="s">
        <v>4566</v>
      </c>
      <c r="C1035" s="325" t="s">
        <v>4567</v>
      </c>
      <c r="D1035" s="326" t="s">
        <v>1172</v>
      </c>
      <c r="E1035" s="349">
        <f>IF(B1035&lt;&gt;"",+SUMIF(Items!C:C,'AUX-NIV1'!B1035,Items!H:H),"")</f>
        <v>0</v>
      </c>
      <c r="F1035" s="349">
        <f t="shared" si="1293"/>
        <v>147420.68422686178</v>
      </c>
      <c r="G1035" s="349">
        <f t="shared" si="1294"/>
        <v>0</v>
      </c>
      <c r="H1035" s="1395" t="str">
        <f t="shared" ref="H1035:H1038" si="1331">IF(B1035&lt;&gt;"",+LEFT(I1035,1),"")</f>
        <v>A</v>
      </c>
      <c r="I1035" s="1375" t="s">
        <v>1745</v>
      </c>
      <c r="J1035" s="350" t="str">
        <f>IF(B1035&lt;&gt;"",+VLOOKUP(I1035,Recursos!C:F,2,FALSE),"")</f>
        <v>AYUDANTE</v>
      </c>
      <c r="K1035" s="351" t="str">
        <f>IF(B1035&lt;&gt;"",+VLOOKUP(I1035,Recursos!C:F,3,FALSE),"")</f>
        <v>hh</v>
      </c>
      <c r="L1035" s="1475">
        <f>IF(B1035&lt;&gt;"",+VLOOKUP(I1035,Recursos!C:F,4,FALSE),"")</f>
        <v>422.48042769667234</v>
      </c>
      <c r="M1035" s="1631">
        <v>16</v>
      </c>
      <c r="N1035" s="1639">
        <v>2</v>
      </c>
      <c r="O1035" s="1490">
        <f>N1035*M1035</f>
        <v>32</v>
      </c>
      <c r="P1035" s="352">
        <f t="shared" ref="P1035:P1038" si="1332">IF(B1035&lt;&gt;"",O1035*L1035,"")</f>
        <v>13519.373686293515</v>
      </c>
      <c r="Q1035" s="349">
        <f t="shared" ref="Q1035:Q1038" si="1333">IF(B1035&lt;&gt;"",+O1035*E1035,"")</f>
        <v>0</v>
      </c>
      <c r="R1035" s="353">
        <f t="shared" ref="R1035:R1038" si="1334">IF(B1035&lt;&gt;"",Q1035*L1035,"")</f>
        <v>0</v>
      </c>
      <c r="S1035" s="354">
        <f t="shared" si="1299"/>
        <v>29420.684226861777</v>
      </c>
      <c r="T1035" s="354">
        <f t="shared" si="1300"/>
        <v>0</v>
      </c>
      <c r="U1035" s="355">
        <f t="shared" si="1301"/>
        <v>118000</v>
      </c>
      <c r="V1035" s="355">
        <f t="shared" si="1302"/>
        <v>0</v>
      </c>
      <c r="W1035" s="355">
        <f t="shared" si="1303"/>
        <v>0</v>
      </c>
      <c r="X1035" s="355">
        <f t="shared" si="1304"/>
        <v>0</v>
      </c>
      <c r="Y1035" s="396"/>
      <c r="Z1035" s="346" t="str">
        <f t="shared" ref="Z1035:Z1038" si="1335">IF(B1035&lt;&gt;"",+$B1035&amp;"A","")</f>
        <v>0-CARPMETA</v>
      </c>
      <c r="AA1035" s="346" t="str">
        <f t="shared" ref="AA1035:AA1038" si="1336">IF(B1035&lt;&gt;"",+$B1035&amp;"E","")</f>
        <v>0-CARPMETE</v>
      </c>
      <c r="AB1035" s="346" t="str">
        <f t="shared" ref="AB1035:AB1038" si="1337">IF(B1035&lt;&gt;"",++$B1035&amp;"M","")</f>
        <v>0-CARPMETM</v>
      </c>
      <c r="AC1035" s="346" t="str">
        <f t="shared" ref="AC1035:AC1038" si="1338">IF(B1035&lt;&gt;"",+$B1035&amp;"T","")</f>
        <v>0-CARPMETT</v>
      </c>
      <c r="AD1035" s="346" t="str">
        <f t="shared" ref="AD1035:AD1038" si="1339">IF(B1035&lt;&gt;"",+$B1035&amp;"S","")</f>
        <v>0-CARPMETS</v>
      </c>
      <c r="AE1035" s="346" t="str">
        <f t="shared" ref="AE1035:AE1038" si="1340">IF(B1035&lt;&gt;"",+$B1035&amp;"X","")</f>
        <v>0-CARPMETX</v>
      </c>
      <c r="AF1035" s="346" t="str">
        <f t="shared" ref="AF1035:AF1038" si="1341">IF(B1035&lt;&gt;"",+B1035&amp;H1035,"")</f>
        <v>0-CARPMETA</v>
      </c>
      <c r="AG1035" s="346">
        <f t="shared" si="1312"/>
        <v>4</v>
      </c>
      <c r="AH1035" s="346">
        <f>IF(B1035&lt;&gt;"",+IF(H1035="x",+VLOOKUP(I1035,'AUX-NIV2'!B:AG,32,FALSE),0),"")</f>
        <v>0</v>
      </c>
      <c r="AI1035" s="346" t="str">
        <f t="shared" ref="AI1035:AI1038" si="1342">IF(B1035&lt;&gt;"",+B1035,"")</f>
        <v>0-CARPMET</v>
      </c>
      <c r="AK1035" s="347">
        <f t="shared" si="1314"/>
        <v>1035</v>
      </c>
      <c r="AL1035" s="348">
        <f t="shared" ref="AL1035:AL1038" si="1343">IF(B1035&lt;&gt;"",+AK1035+AG1035-1,"")</f>
        <v>1038</v>
      </c>
      <c r="AM1035" s="347" t="e">
        <f>IF(B1035&lt;&gt;"",IF(B1035=#REF!,1+#REF!,1),"")</f>
        <v>#REF!</v>
      </c>
      <c r="AN1035" s="382">
        <f>IF(AND(AH1035&gt;0,B1035&lt;&gt;""),VLOOKUP(I1035,'AUX-NIV2'!$B:$AP,40,FALSE)*O1035,0)</f>
        <v>0</v>
      </c>
      <c r="AO1035" s="382">
        <f t="shared" si="1316"/>
        <v>64</v>
      </c>
      <c r="AQ1035" s="395">
        <f>(IF($H1035="x",VLOOKUP($I1035,'AUX-NIV2'!$B:$X,'AUX-NIV1'!AQ$3,FALSE),0)+($AV1035*'AUX-NIV3'!S$4))*$O1035+IF($H1035=AQ$4,$P1035,0)</f>
        <v>13519.373686293515</v>
      </c>
      <c r="AR1035" s="395">
        <f>(IF($H1035="x",VLOOKUP($I1035,'AUX-NIV2'!$B:$X,'AUX-NIV1'!AR$3,FALSE),0)+($AV1035*'AUX-NIV3'!T$4))*$O1035+IF($H1035=AR$4,$P1035,0)</f>
        <v>0</v>
      </c>
      <c r="AS1035" s="395">
        <f>(IF($H1035="x",VLOOKUP($I1035,'AUX-NIV2'!$B:$X,'AUX-NIV1'!AS$3,FALSE),0)+($AV1035*'AUX-NIV3'!U$4))*$O1035+IF($H1035=AS$4,$P1035,0)</f>
        <v>0</v>
      </c>
      <c r="AT1035" s="395">
        <f>(IF($H1035="x",VLOOKUP($I1035,'AUX-NIV2'!$B:$X,'AUX-NIV1'!AT$3,FALSE),0)+($AV1035*'AUX-NIV3'!V$4))*$O1035+IF($H1035=AT$4,$P1035,0)</f>
        <v>0</v>
      </c>
      <c r="AU1035" s="395">
        <f>(IF($H1035="x",VLOOKUP($I1035,'AUX-NIV2'!$B:$X,'AUX-NIV1'!AU$3,FALSE),0)+($AV1035*'AUX-NIV3'!W$4))*$O1035+IF($H1035=AU$4,$P1035,0)</f>
        <v>0</v>
      </c>
      <c r="AV1035" s="395">
        <f>+IF($H1035="x",VLOOKUP($I1035,'AUX-NIV2'!$B:$X,'AUX-NIV1'!AV$3,FALSE),0)</f>
        <v>0</v>
      </c>
    </row>
    <row r="1036" spans="2:48">
      <c r="B1036" s="324" t="s">
        <v>4566</v>
      </c>
      <c r="C1036" s="325" t="s">
        <v>4567</v>
      </c>
      <c r="D1036" s="326" t="s">
        <v>1172</v>
      </c>
      <c r="E1036" s="349">
        <f>IF(B1036&lt;&gt;"",+SUMIF(Items!C:C,'AUX-NIV1'!B1036,Items!H:H),"")</f>
        <v>0</v>
      </c>
      <c r="F1036" s="349">
        <f t="shared" si="1293"/>
        <v>147420.68422686178</v>
      </c>
      <c r="G1036" s="349">
        <f t="shared" si="1294"/>
        <v>0</v>
      </c>
      <c r="H1036" s="1395" t="str">
        <f t="shared" si="1331"/>
        <v>A</v>
      </c>
      <c r="I1036" s="1375" t="s">
        <v>1746</v>
      </c>
      <c r="J1036" s="350" t="str">
        <f>IF(B1036&lt;&gt;"",+VLOOKUP(I1036,Recursos!C:F,2,FALSE),"")</f>
        <v>OFICIAL</v>
      </c>
      <c r="K1036" s="351" t="str">
        <f>IF(B1036&lt;&gt;"",+VLOOKUP(I1036,Recursos!C:F,3,FALSE),"")</f>
        <v>hh</v>
      </c>
      <c r="L1036" s="1475">
        <f>IF(B1036&lt;&gt;"",+VLOOKUP(I1036,Recursos!C:F,4,FALSE),"")</f>
        <v>496.91595439275824</v>
      </c>
      <c r="M1036" s="1493"/>
      <c r="N1036" s="1507">
        <v>2</v>
      </c>
      <c r="O1036" s="1490">
        <f>N1036*M1035</f>
        <v>32</v>
      </c>
      <c r="P1036" s="352">
        <f t="shared" si="1332"/>
        <v>15901.310540568264</v>
      </c>
      <c r="Q1036" s="349">
        <f t="shared" si="1333"/>
        <v>0</v>
      </c>
      <c r="R1036" s="353">
        <f t="shared" si="1334"/>
        <v>0</v>
      </c>
      <c r="S1036" s="354">
        <f t="shared" si="1299"/>
        <v>29420.684226861777</v>
      </c>
      <c r="T1036" s="354">
        <f t="shared" si="1300"/>
        <v>0</v>
      </c>
      <c r="U1036" s="355">
        <f t="shared" si="1301"/>
        <v>118000</v>
      </c>
      <c r="V1036" s="355">
        <f t="shared" si="1302"/>
        <v>0</v>
      </c>
      <c r="W1036" s="355">
        <f t="shared" si="1303"/>
        <v>0</v>
      </c>
      <c r="X1036" s="355">
        <f t="shared" si="1304"/>
        <v>0</v>
      </c>
      <c r="Y1036" s="396"/>
      <c r="Z1036" s="346" t="str">
        <f t="shared" si="1335"/>
        <v>0-CARPMETA</v>
      </c>
      <c r="AA1036" s="346" t="str">
        <f t="shared" si="1336"/>
        <v>0-CARPMETE</v>
      </c>
      <c r="AB1036" s="346" t="str">
        <f t="shared" si="1337"/>
        <v>0-CARPMETM</v>
      </c>
      <c r="AC1036" s="346" t="str">
        <f t="shared" si="1338"/>
        <v>0-CARPMETT</v>
      </c>
      <c r="AD1036" s="346" t="str">
        <f t="shared" si="1339"/>
        <v>0-CARPMETS</v>
      </c>
      <c r="AE1036" s="346" t="str">
        <f t="shared" si="1340"/>
        <v>0-CARPMETX</v>
      </c>
      <c r="AF1036" s="346" t="str">
        <f t="shared" si="1341"/>
        <v>0-CARPMETA</v>
      </c>
      <c r="AG1036" s="346">
        <f t="shared" si="1312"/>
        <v>4</v>
      </c>
      <c r="AH1036" s="346">
        <f>IF(B1036&lt;&gt;"",+IF(H1036="x",+VLOOKUP(I1036,'AUX-NIV2'!B:AG,32,FALSE),0),"")</f>
        <v>0</v>
      </c>
      <c r="AI1036" s="346" t="str">
        <f t="shared" si="1342"/>
        <v>0-CARPMET</v>
      </c>
      <c r="AK1036" s="347">
        <f t="shared" si="1314"/>
        <v>1035</v>
      </c>
      <c r="AL1036" s="348">
        <f t="shared" si="1343"/>
        <v>1038</v>
      </c>
      <c r="AM1036" s="347" t="e">
        <f>IF(B1036&lt;&gt;"",IF(B1036=#REF!,1+#REF!,1),"")</f>
        <v>#REF!</v>
      </c>
      <c r="AN1036" s="382">
        <f>IF(AND(AH1036&gt;0,B1036&lt;&gt;""),VLOOKUP(I1036,'AUX-NIV2'!$B:$AP,40,FALSE)*O1036,0)</f>
        <v>0</v>
      </c>
      <c r="AO1036" s="382">
        <f t="shared" si="1316"/>
        <v>64</v>
      </c>
      <c r="AQ1036" s="395">
        <f>(IF($H1036="x",VLOOKUP($I1036,'AUX-NIV2'!$B:$X,'AUX-NIV1'!AQ$3,FALSE),0)+($AV1036*'AUX-NIV3'!S$4))*$O1036+IF($H1036=AQ$4,$P1036,0)</f>
        <v>15901.310540568264</v>
      </c>
      <c r="AR1036" s="395">
        <f>(IF($H1036="x",VLOOKUP($I1036,'AUX-NIV2'!$B:$X,'AUX-NIV1'!AR$3,FALSE),0)+($AV1036*'AUX-NIV3'!T$4))*$O1036+IF($H1036=AR$4,$P1036,0)</f>
        <v>0</v>
      </c>
      <c r="AS1036" s="395">
        <f>(IF($H1036="x",VLOOKUP($I1036,'AUX-NIV2'!$B:$X,'AUX-NIV1'!AS$3,FALSE),0)+($AV1036*'AUX-NIV3'!U$4))*$O1036+IF($H1036=AS$4,$P1036,0)</f>
        <v>0</v>
      </c>
      <c r="AT1036" s="395">
        <f>(IF($H1036="x",VLOOKUP($I1036,'AUX-NIV2'!$B:$X,'AUX-NIV1'!AT$3,FALSE),0)+($AV1036*'AUX-NIV3'!V$4))*$O1036+IF($H1036=AT$4,$P1036,0)</f>
        <v>0</v>
      </c>
      <c r="AU1036" s="395">
        <f>(IF($H1036="x",VLOOKUP($I1036,'AUX-NIV2'!$B:$X,'AUX-NIV1'!AU$3,FALSE),0)+($AV1036*'AUX-NIV3'!W$4))*$O1036+IF($H1036=AU$4,$P1036,0)</f>
        <v>0</v>
      </c>
      <c r="AV1036" s="395">
        <f>+IF($H1036="x",VLOOKUP($I1036,'AUX-NIV2'!$B:$X,'AUX-NIV1'!AV$3,FALSE),0)</f>
        <v>0</v>
      </c>
    </row>
    <row r="1037" spans="2:48">
      <c r="B1037" s="324" t="s">
        <v>4566</v>
      </c>
      <c r="C1037" s="325" t="s">
        <v>4567</v>
      </c>
      <c r="D1037" s="326" t="s">
        <v>1172</v>
      </c>
      <c r="E1037" s="349">
        <f>IF(B1037&lt;&gt;"",+SUMIF(Items!C:C,'AUX-NIV1'!B1037,Items!H:H),"")</f>
        <v>0</v>
      </c>
      <c r="F1037" s="349">
        <f t="shared" si="1293"/>
        <v>147420.68422686178</v>
      </c>
      <c r="G1037" s="349">
        <f t="shared" si="1294"/>
        <v>0</v>
      </c>
      <c r="H1037" s="1395" t="str">
        <f t="shared" ref="H1037" si="1344">IF(B1037&lt;&gt;"",+LEFT(I1037,1),"")</f>
        <v>M</v>
      </c>
      <c r="I1037" s="1375" t="s">
        <v>4568</v>
      </c>
      <c r="J1037" s="350" t="str">
        <f>IF(B1037&lt;&gt;"",+VLOOKUP(I1037,Recursos!C:F,2,FALSE),"")</f>
        <v xml:space="preserve">CARPINTERÍA ALUMINIO </v>
      </c>
      <c r="K1037" s="351" t="str">
        <f>IF(B1037&lt;&gt;"",+VLOOKUP(I1037,Recursos!C:F,3,FALSE),"")</f>
        <v>M2</v>
      </c>
      <c r="L1037" s="1475">
        <f>IF(B1037&lt;&gt;"",+VLOOKUP(I1037,Recursos!C:F,4,FALSE),"")</f>
        <v>8000</v>
      </c>
      <c r="M1037" s="1493"/>
      <c r="N1037" s="1507">
        <f>4+7</f>
        <v>11</v>
      </c>
      <c r="O1037" s="1490">
        <f>N1037</f>
        <v>11</v>
      </c>
      <c r="P1037" s="352">
        <f t="shared" ref="P1037" si="1345">IF(B1037&lt;&gt;"",O1037*L1037,"")</f>
        <v>88000</v>
      </c>
      <c r="Q1037" s="349">
        <f t="shared" ref="Q1037" si="1346">IF(B1037&lt;&gt;"",+O1037*E1037,"")</f>
        <v>0</v>
      </c>
      <c r="R1037" s="353">
        <f t="shared" ref="R1037" si="1347">IF(B1037&lt;&gt;"",Q1037*L1037,"")</f>
        <v>0</v>
      </c>
      <c r="S1037" s="354">
        <f t="shared" si="1299"/>
        <v>29420.684226861777</v>
      </c>
      <c r="T1037" s="354">
        <f t="shared" si="1300"/>
        <v>0</v>
      </c>
      <c r="U1037" s="355">
        <f t="shared" si="1301"/>
        <v>118000</v>
      </c>
      <c r="V1037" s="355">
        <f t="shared" si="1302"/>
        <v>0</v>
      </c>
      <c r="W1037" s="355">
        <f t="shared" si="1303"/>
        <v>0</v>
      </c>
      <c r="X1037" s="355">
        <f t="shared" si="1304"/>
        <v>0</v>
      </c>
      <c r="Y1037" s="396"/>
      <c r="Z1037" s="346" t="str">
        <f t="shared" ref="Z1037" si="1348">IF(B1037&lt;&gt;"",+$B1037&amp;"A","")</f>
        <v>0-CARPMETA</v>
      </c>
      <c r="AA1037" s="346" t="str">
        <f t="shared" ref="AA1037" si="1349">IF(B1037&lt;&gt;"",+$B1037&amp;"E","")</f>
        <v>0-CARPMETE</v>
      </c>
      <c r="AB1037" s="346" t="str">
        <f t="shared" ref="AB1037" si="1350">IF(B1037&lt;&gt;"",++$B1037&amp;"M","")</f>
        <v>0-CARPMETM</v>
      </c>
      <c r="AC1037" s="346" t="str">
        <f t="shared" ref="AC1037" si="1351">IF(B1037&lt;&gt;"",+$B1037&amp;"T","")</f>
        <v>0-CARPMETT</v>
      </c>
      <c r="AD1037" s="346" t="str">
        <f t="shared" ref="AD1037" si="1352">IF(B1037&lt;&gt;"",+$B1037&amp;"S","")</f>
        <v>0-CARPMETS</v>
      </c>
      <c r="AE1037" s="346" t="str">
        <f t="shared" ref="AE1037" si="1353">IF(B1037&lt;&gt;"",+$B1037&amp;"X","")</f>
        <v>0-CARPMETX</v>
      </c>
      <c r="AF1037" s="346" t="str">
        <f t="shared" ref="AF1037" si="1354">IF(B1037&lt;&gt;"",+B1037&amp;H1037,"")</f>
        <v>0-CARPMETM</v>
      </c>
      <c r="AG1037" s="346">
        <f t="shared" si="1312"/>
        <v>4</v>
      </c>
      <c r="AH1037" s="346">
        <f>IF(B1037&lt;&gt;"",+IF(H1037="x",+VLOOKUP(I1037,'AUX-NIV2'!B:AG,32,FALSE),0),"")</f>
        <v>0</v>
      </c>
      <c r="AI1037" s="346" t="str">
        <f t="shared" ref="AI1037" si="1355">IF(B1037&lt;&gt;"",+B1037,"")</f>
        <v>0-CARPMET</v>
      </c>
      <c r="AK1037" s="347">
        <f t="shared" si="1314"/>
        <v>1035</v>
      </c>
      <c r="AL1037" s="348">
        <f t="shared" ref="AL1037" si="1356">IF(B1037&lt;&gt;"",+AK1037+AG1037-1,"")</f>
        <v>1038</v>
      </c>
      <c r="AM1037" s="347" t="e">
        <f>IF(B1037&lt;&gt;"",IF(B1037=#REF!,1+#REF!,1),"")</f>
        <v>#REF!</v>
      </c>
      <c r="AN1037" s="382">
        <f>IF(AND(AH1037&gt;0,B1037&lt;&gt;""),VLOOKUP(I1037,'AUX-NIV2'!$B:$AP,40,FALSE)*O1037,0)</f>
        <v>0</v>
      </c>
      <c r="AO1037" s="382">
        <f t="shared" si="1316"/>
        <v>64</v>
      </c>
      <c r="AQ1037" s="395">
        <f>(IF($H1037="x",VLOOKUP($I1037,'AUX-NIV2'!$B:$X,'AUX-NIV1'!AQ$3,FALSE),0)+($AV1037*'AUX-NIV3'!S$4))*$O1037+IF($H1037=AQ$4,$P1037,0)</f>
        <v>0</v>
      </c>
      <c r="AR1037" s="395">
        <f>(IF($H1037="x",VLOOKUP($I1037,'AUX-NIV2'!$B:$X,'AUX-NIV1'!AR$3,FALSE),0)+($AV1037*'AUX-NIV3'!T$4))*$O1037+IF($H1037=AR$4,$P1037,0)</f>
        <v>0</v>
      </c>
      <c r="AS1037" s="395">
        <f>(IF($H1037="x",VLOOKUP($I1037,'AUX-NIV2'!$B:$X,'AUX-NIV1'!AS$3,FALSE),0)+($AV1037*'AUX-NIV3'!U$4))*$O1037+IF($H1037=AS$4,$P1037,0)</f>
        <v>88000</v>
      </c>
      <c r="AT1037" s="395">
        <f>(IF($H1037="x",VLOOKUP($I1037,'AUX-NIV2'!$B:$X,'AUX-NIV1'!AT$3,FALSE),0)+($AV1037*'AUX-NIV3'!V$4))*$O1037+IF($H1037=AT$4,$P1037,0)</f>
        <v>0</v>
      </c>
      <c r="AU1037" s="395">
        <f>(IF($H1037="x",VLOOKUP($I1037,'AUX-NIV2'!$B:$X,'AUX-NIV1'!AU$3,FALSE),0)+($AV1037*'AUX-NIV3'!W$4))*$O1037+IF($H1037=AU$4,$P1037,0)</f>
        <v>0</v>
      </c>
      <c r="AV1037" s="395">
        <f>+IF($H1037="x",VLOOKUP($I1037,'AUX-NIV2'!$B:$X,'AUX-NIV1'!AV$3,FALSE),0)</f>
        <v>0</v>
      </c>
    </row>
    <row r="1038" spans="2:48" ht="13.8" thickBot="1">
      <c r="B1038" s="324" t="s">
        <v>4566</v>
      </c>
      <c r="C1038" s="325" t="s">
        <v>4567</v>
      </c>
      <c r="D1038" s="326" t="s">
        <v>1172</v>
      </c>
      <c r="E1038" s="349">
        <f>IF(B1038&lt;&gt;"",+SUMIF(Items!C:C,'AUX-NIV1'!B1038,Items!H:H),"")</f>
        <v>0</v>
      </c>
      <c r="F1038" s="349">
        <f t="shared" si="1293"/>
        <v>147420.68422686178</v>
      </c>
      <c r="G1038" s="349">
        <f t="shared" si="1294"/>
        <v>0</v>
      </c>
      <c r="H1038" s="1395" t="str">
        <f t="shared" si="1331"/>
        <v>M</v>
      </c>
      <c r="I1038" s="1375" t="s">
        <v>3479</v>
      </c>
      <c r="J1038" s="350" t="str">
        <f>IF(B1038&lt;&gt;"",+VLOOKUP(I1038,Recursos!C:F,2,FALSE),"")</f>
        <v>VENTANA METALICA EXTERIOR 1,5x1,5</v>
      </c>
      <c r="K1038" s="351" t="str">
        <f>IF(B1038&lt;&gt;"",+VLOOKUP(I1038,Recursos!C:F,3,FALSE),"")</f>
        <v>Un</v>
      </c>
      <c r="L1038" s="1475">
        <f>IF(B1038&lt;&gt;"",+VLOOKUP(I1038,Recursos!C:F,4,FALSE),"")</f>
        <v>15000</v>
      </c>
      <c r="M1038" s="1622"/>
      <c r="N1038" s="1623">
        <v>2</v>
      </c>
      <c r="O1038" s="1490">
        <f>N1038</f>
        <v>2</v>
      </c>
      <c r="P1038" s="352">
        <f t="shared" si="1332"/>
        <v>30000</v>
      </c>
      <c r="Q1038" s="349">
        <f t="shared" si="1333"/>
        <v>0</v>
      </c>
      <c r="R1038" s="353">
        <f t="shared" si="1334"/>
        <v>0</v>
      </c>
      <c r="S1038" s="354">
        <f t="shared" si="1299"/>
        <v>29420.684226861777</v>
      </c>
      <c r="T1038" s="354">
        <f t="shared" si="1300"/>
        <v>0</v>
      </c>
      <c r="U1038" s="355">
        <f t="shared" si="1301"/>
        <v>118000</v>
      </c>
      <c r="V1038" s="355">
        <f t="shared" si="1302"/>
        <v>0</v>
      </c>
      <c r="W1038" s="355">
        <f t="shared" si="1303"/>
        <v>0</v>
      </c>
      <c r="X1038" s="355">
        <f t="shared" si="1304"/>
        <v>0</v>
      </c>
      <c r="Y1038" s="396"/>
      <c r="Z1038" s="346" t="str">
        <f t="shared" si="1335"/>
        <v>0-CARPMETA</v>
      </c>
      <c r="AA1038" s="346" t="str">
        <f t="shared" si="1336"/>
        <v>0-CARPMETE</v>
      </c>
      <c r="AB1038" s="346" t="str">
        <f t="shared" si="1337"/>
        <v>0-CARPMETM</v>
      </c>
      <c r="AC1038" s="346" t="str">
        <f t="shared" si="1338"/>
        <v>0-CARPMETT</v>
      </c>
      <c r="AD1038" s="346" t="str">
        <f t="shared" si="1339"/>
        <v>0-CARPMETS</v>
      </c>
      <c r="AE1038" s="346" t="str">
        <f t="shared" si="1340"/>
        <v>0-CARPMETX</v>
      </c>
      <c r="AF1038" s="346" t="str">
        <f t="shared" si="1341"/>
        <v>0-CARPMETM</v>
      </c>
      <c r="AG1038" s="346">
        <f t="shared" si="1312"/>
        <v>4</v>
      </c>
      <c r="AH1038" s="346">
        <f>IF(B1038&lt;&gt;"",+IF(H1038="x",+VLOOKUP(I1038,'AUX-NIV2'!B:AG,32,FALSE),0),"")</f>
        <v>0</v>
      </c>
      <c r="AI1038" s="346" t="str">
        <f t="shared" si="1342"/>
        <v>0-CARPMET</v>
      </c>
      <c r="AK1038" s="347">
        <f t="shared" si="1314"/>
        <v>1035</v>
      </c>
      <c r="AL1038" s="348">
        <f t="shared" si="1343"/>
        <v>1038</v>
      </c>
      <c r="AM1038" s="347" t="e">
        <f>IF(B1038&lt;&gt;"",IF(B1038=#REF!,1+#REF!,1),"")</f>
        <v>#REF!</v>
      </c>
      <c r="AN1038" s="382">
        <f>IF(AND(AH1038&gt;0,B1038&lt;&gt;""),VLOOKUP(I1038,'AUX-NIV2'!$B:$AP,40,FALSE)*O1038,0)</f>
        <v>0</v>
      </c>
      <c r="AO1038" s="382">
        <f t="shared" si="1316"/>
        <v>64</v>
      </c>
      <c r="AQ1038" s="395">
        <f>(IF($H1038="x",VLOOKUP($I1038,'AUX-NIV2'!$B:$X,'AUX-NIV1'!AQ$3,FALSE),0)+($AV1038*'AUX-NIV3'!S$4))*$O1038+IF($H1038=AQ$4,$P1038,0)</f>
        <v>0</v>
      </c>
      <c r="AR1038" s="395">
        <f>(IF($H1038="x",VLOOKUP($I1038,'AUX-NIV2'!$B:$X,'AUX-NIV1'!AR$3,FALSE),0)+($AV1038*'AUX-NIV3'!T$4))*$O1038+IF($H1038=AR$4,$P1038,0)</f>
        <v>0</v>
      </c>
      <c r="AS1038" s="395">
        <f>(IF($H1038="x",VLOOKUP($I1038,'AUX-NIV2'!$B:$X,'AUX-NIV1'!AS$3,FALSE),0)+($AV1038*'AUX-NIV3'!U$4))*$O1038+IF($H1038=AS$4,$P1038,0)</f>
        <v>30000</v>
      </c>
      <c r="AT1038" s="395">
        <f>(IF($H1038="x",VLOOKUP($I1038,'AUX-NIV2'!$B:$X,'AUX-NIV1'!AT$3,FALSE),0)+($AV1038*'AUX-NIV3'!V$4))*$O1038+IF($H1038=AT$4,$P1038,0)</f>
        <v>0</v>
      </c>
      <c r="AU1038" s="395">
        <f>(IF($H1038="x",VLOOKUP($I1038,'AUX-NIV2'!$B:$X,'AUX-NIV1'!AU$3,FALSE),0)+($AV1038*'AUX-NIV3'!W$4))*$O1038+IF($H1038=AU$4,$P1038,0)</f>
        <v>0</v>
      </c>
      <c r="AV1038" s="395">
        <f>+IF($H1038="x",VLOOKUP($I1038,'AUX-NIV2'!$B:$X,'AUX-NIV1'!AV$3,FALSE),0)</f>
        <v>0</v>
      </c>
    </row>
    <row r="1039" spans="2:48" ht="13.8" hidden="1" thickTop="1">
      <c r="B1039" s="324" t="s">
        <v>4491</v>
      </c>
      <c r="C1039" s="325" t="s">
        <v>4287</v>
      </c>
      <c r="D1039" s="326" t="s">
        <v>1172</v>
      </c>
      <c r="E1039" s="349">
        <f>IF(B1039&lt;&gt;"",+SUMIF(Items!C:C,'AUX-NIV1'!B1039,Items!H:H),"")</f>
        <v>0</v>
      </c>
      <c r="F1039" s="349">
        <f t="shared" si="1293"/>
        <v>10305.171056715444</v>
      </c>
      <c r="G1039" s="349">
        <f t="shared" si="1294"/>
        <v>0</v>
      </c>
      <c r="H1039" s="1395" t="str">
        <f t="shared" si="1295"/>
        <v>A</v>
      </c>
      <c r="I1039" s="1375" t="s">
        <v>1745</v>
      </c>
      <c r="J1039" s="350" t="str">
        <f>IF(B1039&lt;&gt;"",+VLOOKUP(I1039,Recursos!C:F,2,FALSE),"")</f>
        <v>AYUDANTE</v>
      </c>
      <c r="K1039" s="351" t="str">
        <f>IF(B1039&lt;&gt;"",+VLOOKUP(I1039,Recursos!C:F,3,FALSE),"")</f>
        <v>hh</v>
      </c>
      <c r="L1039" s="1475">
        <f>IF(B1039&lt;&gt;"",+VLOOKUP(I1039,Recursos!C:F,4,FALSE),"")</f>
        <v>422.48042769667234</v>
      </c>
      <c r="M1039" s="1631">
        <v>8</v>
      </c>
      <c r="N1039" s="1639">
        <f>1*M1039</f>
        <v>8</v>
      </c>
      <c r="O1039" s="1490">
        <f t="shared" si="1267"/>
        <v>8</v>
      </c>
      <c r="P1039" s="352">
        <f t="shared" si="1296"/>
        <v>3379.8434215733787</v>
      </c>
      <c r="Q1039" s="349">
        <f t="shared" si="1297"/>
        <v>0</v>
      </c>
      <c r="R1039" s="353">
        <f t="shared" si="1298"/>
        <v>0</v>
      </c>
      <c r="S1039" s="354">
        <f t="shared" si="1299"/>
        <v>7355.1710567154441</v>
      </c>
      <c r="T1039" s="354">
        <f t="shared" si="1300"/>
        <v>0</v>
      </c>
      <c r="U1039" s="355">
        <f t="shared" si="1301"/>
        <v>2950</v>
      </c>
      <c r="V1039" s="355">
        <f t="shared" si="1302"/>
        <v>0</v>
      </c>
      <c r="W1039" s="355">
        <f t="shared" si="1303"/>
        <v>0</v>
      </c>
      <c r="X1039" s="355">
        <f t="shared" si="1304"/>
        <v>0</v>
      </c>
      <c r="Y1039" s="396"/>
      <c r="Z1039" s="346" t="str">
        <f t="shared" si="1305"/>
        <v>0-VAR01A</v>
      </c>
      <c r="AA1039" s="346" t="str">
        <f t="shared" si="1306"/>
        <v>0-VAR01E</v>
      </c>
      <c r="AB1039" s="346" t="str">
        <f t="shared" si="1307"/>
        <v>0-VAR01M</v>
      </c>
      <c r="AC1039" s="346" t="str">
        <f t="shared" si="1308"/>
        <v>0-VAR01T</v>
      </c>
      <c r="AD1039" s="346" t="str">
        <f t="shared" si="1309"/>
        <v>0-VAR01S</v>
      </c>
      <c r="AE1039" s="346" t="str">
        <f t="shared" si="1310"/>
        <v>0-VAR01X</v>
      </c>
      <c r="AF1039" s="346" t="str">
        <f t="shared" si="1311"/>
        <v>0-VAR01A</v>
      </c>
      <c r="AG1039" s="346">
        <f t="shared" si="1312"/>
        <v>3</v>
      </c>
      <c r="AH1039" s="346">
        <f>IF(B1039&lt;&gt;"",+IF(H1039="x",+VLOOKUP(I1039,'AUX-NIV2'!B:AG,32,FALSE),0),"")</f>
        <v>0</v>
      </c>
      <c r="AI1039" s="346" t="str">
        <f t="shared" si="1313"/>
        <v>0-VAR01</v>
      </c>
      <c r="AK1039" s="347">
        <f t="shared" si="1314"/>
        <v>1039</v>
      </c>
      <c r="AL1039" s="348">
        <f t="shared" si="1315"/>
        <v>1041</v>
      </c>
      <c r="AM1039" s="347" t="e">
        <f>IF(B1039&lt;&gt;"",IF(B1039=#REF!,1+#REF!,1),"")</f>
        <v>#REF!</v>
      </c>
      <c r="AN1039" s="382">
        <f>IF(AND(AH1039&gt;0,B1039&lt;&gt;""),VLOOKUP(I1039,'AUX-NIV2'!$B:$AP,40,FALSE)*O1039,0)</f>
        <v>0</v>
      </c>
      <c r="AO1039" s="382">
        <f t="shared" si="1316"/>
        <v>16</v>
      </c>
      <c r="AQ1039" s="395">
        <f>(IF($H1039="x",VLOOKUP($I1039,'AUX-NIV2'!$B:$X,'AUX-NIV1'!AQ$3,FALSE),0)+($AV1039*'AUX-NIV3'!S$4))*$O1039+IF($H1039=AQ$4,$P1039,0)</f>
        <v>3379.8434215733787</v>
      </c>
      <c r="AR1039" s="395">
        <f>(IF($H1039="x",VLOOKUP($I1039,'AUX-NIV2'!$B:$X,'AUX-NIV1'!AR$3,FALSE),0)+($AV1039*'AUX-NIV3'!T$4))*$O1039+IF($H1039=AR$4,$P1039,0)</f>
        <v>0</v>
      </c>
      <c r="AS1039" s="395">
        <f>(IF($H1039="x",VLOOKUP($I1039,'AUX-NIV2'!$B:$X,'AUX-NIV1'!AS$3,FALSE),0)+($AV1039*'AUX-NIV3'!U$4))*$O1039+IF($H1039=AS$4,$P1039,0)</f>
        <v>0</v>
      </c>
      <c r="AT1039" s="395">
        <f>(IF($H1039="x",VLOOKUP($I1039,'AUX-NIV2'!$B:$X,'AUX-NIV1'!AT$3,FALSE),0)+($AV1039*'AUX-NIV3'!V$4))*$O1039+IF($H1039=AT$4,$P1039,0)</f>
        <v>0</v>
      </c>
      <c r="AU1039" s="395">
        <f>(IF($H1039="x",VLOOKUP($I1039,'AUX-NIV2'!$B:$X,'AUX-NIV1'!AU$3,FALSE),0)+($AV1039*'AUX-NIV3'!W$4))*$O1039+IF($H1039=AU$4,$P1039,0)</f>
        <v>0</v>
      </c>
      <c r="AV1039" s="395">
        <f>+IF($H1039="x",VLOOKUP($I1039,'AUX-NIV2'!$B:$X,'AUX-NIV1'!AV$3,FALSE),0)</f>
        <v>0</v>
      </c>
    </row>
    <row r="1040" spans="2:48" ht="13.8" hidden="1" thickTop="1">
      <c r="B1040" s="324" t="s">
        <v>4491</v>
      </c>
      <c r="C1040" s="325" t="s">
        <v>4287</v>
      </c>
      <c r="D1040" s="326" t="s">
        <v>1172</v>
      </c>
      <c r="E1040" s="349">
        <f>IF(B1040&lt;&gt;"",+SUMIF(Items!C:C,'AUX-NIV1'!B1040,Items!H:H),"")</f>
        <v>0</v>
      </c>
      <c r="F1040" s="349">
        <f t="shared" si="1293"/>
        <v>10305.171056715444</v>
      </c>
      <c r="G1040" s="349">
        <f t="shared" si="1294"/>
        <v>0</v>
      </c>
      <c r="H1040" s="1395" t="str">
        <f t="shared" si="1295"/>
        <v>A</v>
      </c>
      <c r="I1040" s="1375" t="s">
        <v>1746</v>
      </c>
      <c r="J1040" s="350" t="str">
        <f>IF(B1040&lt;&gt;"",+VLOOKUP(I1040,Recursos!C:F,2,FALSE),"")</f>
        <v>OFICIAL</v>
      </c>
      <c r="K1040" s="351" t="str">
        <f>IF(B1040&lt;&gt;"",+VLOOKUP(I1040,Recursos!C:F,3,FALSE),"")</f>
        <v>hh</v>
      </c>
      <c r="L1040" s="1475">
        <f>IF(B1040&lt;&gt;"",+VLOOKUP(I1040,Recursos!C:F,4,FALSE),"")</f>
        <v>496.91595439275824</v>
      </c>
      <c r="M1040" s="1493"/>
      <c r="N1040" s="1507">
        <f>1*M1039</f>
        <v>8</v>
      </c>
      <c r="O1040" s="1490">
        <f t="shared" si="1267"/>
        <v>8</v>
      </c>
      <c r="P1040" s="352">
        <f t="shared" si="1296"/>
        <v>3975.3276351420659</v>
      </c>
      <c r="Q1040" s="349">
        <f t="shared" si="1297"/>
        <v>0</v>
      </c>
      <c r="R1040" s="353">
        <f t="shared" si="1298"/>
        <v>0</v>
      </c>
      <c r="S1040" s="354">
        <f t="shared" si="1299"/>
        <v>7355.1710567154441</v>
      </c>
      <c r="T1040" s="354">
        <f t="shared" si="1300"/>
        <v>0</v>
      </c>
      <c r="U1040" s="355">
        <f t="shared" si="1301"/>
        <v>2950</v>
      </c>
      <c r="V1040" s="355">
        <f t="shared" si="1302"/>
        <v>0</v>
      </c>
      <c r="W1040" s="355">
        <f t="shared" si="1303"/>
        <v>0</v>
      </c>
      <c r="X1040" s="355">
        <f t="shared" si="1304"/>
        <v>0</v>
      </c>
      <c r="Y1040" s="396"/>
      <c r="Z1040" s="346" t="str">
        <f t="shared" si="1305"/>
        <v>0-VAR01A</v>
      </c>
      <c r="AA1040" s="346" t="str">
        <f t="shared" si="1306"/>
        <v>0-VAR01E</v>
      </c>
      <c r="AB1040" s="346" t="str">
        <f t="shared" si="1307"/>
        <v>0-VAR01M</v>
      </c>
      <c r="AC1040" s="346" t="str">
        <f t="shared" si="1308"/>
        <v>0-VAR01T</v>
      </c>
      <c r="AD1040" s="346" t="str">
        <f t="shared" si="1309"/>
        <v>0-VAR01S</v>
      </c>
      <c r="AE1040" s="346" t="str">
        <f t="shared" si="1310"/>
        <v>0-VAR01X</v>
      </c>
      <c r="AF1040" s="346" t="str">
        <f t="shared" si="1311"/>
        <v>0-VAR01A</v>
      </c>
      <c r="AG1040" s="346">
        <f t="shared" si="1312"/>
        <v>3</v>
      </c>
      <c r="AH1040" s="346">
        <f>IF(B1040&lt;&gt;"",+IF(H1040="x",+VLOOKUP(I1040,'AUX-NIV2'!B:AG,32,FALSE),0),"")</f>
        <v>0</v>
      </c>
      <c r="AI1040" s="346" t="str">
        <f t="shared" si="1313"/>
        <v>0-VAR01</v>
      </c>
      <c r="AK1040" s="347">
        <f t="shared" si="1314"/>
        <v>1039</v>
      </c>
      <c r="AL1040" s="348">
        <f t="shared" si="1315"/>
        <v>1041</v>
      </c>
      <c r="AM1040" s="347" t="e">
        <f>IF(B1040&lt;&gt;"",IF(B1040=#REF!,1+#REF!,1),"")</f>
        <v>#REF!</v>
      </c>
      <c r="AN1040" s="382">
        <f>IF(AND(AH1040&gt;0,B1040&lt;&gt;""),VLOOKUP(I1040,'AUX-NIV2'!$B:$AP,40,FALSE)*O1040,0)</f>
        <v>0</v>
      </c>
      <c r="AO1040" s="382">
        <f t="shared" si="1316"/>
        <v>16</v>
      </c>
      <c r="AQ1040" s="395">
        <f>(IF($H1040="x",VLOOKUP($I1040,'AUX-NIV2'!$B:$X,'AUX-NIV1'!AQ$3,FALSE),0)+($AV1040*'AUX-NIV3'!S$4))*$O1040+IF($H1040=AQ$4,$P1040,0)</f>
        <v>3975.3276351420659</v>
      </c>
      <c r="AR1040" s="395">
        <f>(IF($H1040="x",VLOOKUP($I1040,'AUX-NIV2'!$B:$X,'AUX-NIV1'!AR$3,FALSE),0)+($AV1040*'AUX-NIV3'!T$4))*$O1040+IF($H1040=AR$4,$P1040,0)</f>
        <v>0</v>
      </c>
      <c r="AS1040" s="395">
        <f>(IF($H1040="x",VLOOKUP($I1040,'AUX-NIV2'!$B:$X,'AUX-NIV1'!AS$3,FALSE),0)+($AV1040*'AUX-NIV3'!U$4))*$O1040+IF($H1040=AS$4,$P1040,0)</f>
        <v>0</v>
      </c>
      <c r="AT1040" s="395">
        <f>(IF($H1040="x",VLOOKUP($I1040,'AUX-NIV2'!$B:$X,'AUX-NIV1'!AT$3,FALSE),0)+($AV1040*'AUX-NIV3'!V$4))*$O1040+IF($H1040=AT$4,$P1040,0)</f>
        <v>0</v>
      </c>
      <c r="AU1040" s="395">
        <f>(IF($H1040="x",VLOOKUP($I1040,'AUX-NIV2'!$B:$X,'AUX-NIV1'!AU$3,FALSE),0)+($AV1040*'AUX-NIV3'!W$4))*$O1040+IF($H1040=AU$4,$P1040,0)</f>
        <v>0</v>
      </c>
      <c r="AV1040" s="395">
        <f>+IF($H1040="x",VLOOKUP($I1040,'AUX-NIV2'!$B:$X,'AUX-NIV1'!AV$3,FALSE),0)</f>
        <v>0</v>
      </c>
    </row>
    <row r="1041" spans="2:48" ht="14.4" hidden="1" thickTop="1" thickBot="1">
      <c r="B1041" s="324" t="s">
        <v>4491</v>
      </c>
      <c r="C1041" s="325" t="s">
        <v>4287</v>
      </c>
      <c r="D1041" s="326" t="s">
        <v>1172</v>
      </c>
      <c r="E1041" s="349">
        <f>IF(B1041&lt;&gt;"",+SUMIF(Items!C:C,'AUX-NIV1'!B1041,Items!H:H),"")</f>
        <v>0</v>
      </c>
      <c r="F1041" s="349">
        <f t="shared" si="1293"/>
        <v>10305.171056715444</v>
      </c>
      <c r="G1041" s="349">
        <f t="shared" si="1294"/>
        <v>0</v>
      </c>
      <c r="H1041" s="1395" t="str">
        <f t="shared" si="1295"/>
        <v>M</v>
      </c>
      <c r="I1041" s="1375" t="s">
        <v>4496</v>
      </c>
      <c r="J1041" s="350" t="str">
        <f>IF(B1041&lt;&gt;"",+VLOOKUP(I1041,Recursos!C:F,2,FALSE),"")</f>
        <v>MEMBRANA ASFALTICA C/ALUM 4MM</v>
      </c>
      <c r="K1041" s="351" t="str">
        <f>IF(B1041&lt;&gt;"",+VLOOKUP(I1041,Recursos!C:F,3,FALSE),"")</f>
        <v>m2</v>
      </c>
      <c r="L1041" s="1475">
        <f>IF(B1041&lt;&gt;"",+VLOOKUP(I1041,Recursos!C:F,4,FALSE),"")</f>
        <v>295</v>
      </c>
      <c r="M1041" s="1622"/>
      <c r="N1041" s="1623">
        <v>10</v>
      </c>
      <c r="O1041" s="1490">
        <f t="shared" si="1267"/>
        <v>10</v>
      </c>
      <c r="P1041" s="352">
        <f t="shared" si="1296"/>
        <v>2950</v>
      </c>
      <c r="Q1041" s="349">
        <f t="shared" si="1297"/>
        <v>0</v>
      </c>
      <c r="R1041" s="353">
        <f t="shared" si="1298"/>
        <v>0</v>
      </c>
      <c r="S1041" s="354">
        <f t="shared" si="1299"/>
        <v>7355.1710567154441</v>
      </c>
      <c r="T1041" s="354">
        <f t="shared" si="1300"/>
        <v>0</v>
      </c>
      <c r="U1041" s="355">
        <f t="shared" si="1301"/>
        <v>2950</v>
      </c>
      <c r="V1041" s="355">
        <f t="shared" si="1302"/>
        <v>0</v>
      </c>
      <c r="W1041" s="355">
        <f t="shared" si="1303"/>
        <v>0</v>
      </c>
      <c r="X1041" s="355">
        <f t="shared" si="1304"/>
        <v>0</v>
      </c>
      <c r="Y1041" s="396"/>
      <c r="Z1041" s="346" t="str">
        <f t="shared" si="1305"/>
        <v>0-VAR01A</v>
      </c>
      <c r="AA1041" s="346" t="str">
        <f t="shared" si="1306"/>
        <v>0-VAR01E</v>
      </c>
      <c r="AB1041" s="346" t="str">
        <f t="shared" si="1307"/>
        <v>0-VAR01M</v>
      </c>
      <c r="AC1041" s="346" t="str">
        <f t="shared" si="1308"/>
        <v>0-VAR01T</v>
      </c>
      <c r="AD1041" s="346" t="str">
        <f t="shared" si="1309"/>
        <v>0-VAR01S</v>
      </c>
      <c r="AE1041" s="346" t="str">
        <f t="shared" si="1310"/>
        <v>0-VAR01X</v>
      </c>
      <c r="AF1041" s="346" t="str">
        <f t="shared" si="1311"/>
        <v>0-VAR01M</v>
      </c>
      <c r="AG1041" s="346">
        <f t="shared" si="1312"/>
        <v>3</v>
      </c>
      <c r="AH1041" s="346">
        <f>IF(B1041&lt;&gt;"",+IF(H1041="x",+VLOOKUP(I1041,'AUX-NIV2'!B:AG,32,FALSE),0),"")</f>
        <v>0</v>
      </c>
      <c r="AI1041" s="346" t="str">
        <f t="shared" si="1313"/>
        <v>0-VAR01</v>
      </c>
      <c r="AK1041" s="347">
        <f t="shared" si="1314"/>
        <v>1039</v>
      </c>
      <c r="AL1041" s="348">
        <f t="shared" si="1315"/>
        <v>1041</v>
      </c>
      <c r="AM1041" s="347" t="e">
        <f>IF(B1041&lt;&gt;"",IF(B1041=#REF!,1+#REF!,1),"")</f>
        <v>#REF!</v>
      </c>
      <c r="AN1041" s="382">
        <f>IF(AND(AH1041&gt;0,B1041&lt;&gt;""),VLOOKUP(I1041,'AUX-NIV2'!$B:$AP,40,FALSE)*O1041,0)</f>
        <v>0</v>
      </c>
      <c r="AO1041" s="382">
        <f t="shared" si="1316"/>
        <v>16</v>
      </c>
      <c r="AQ1041" s="395">
        <f>(IF($H1041="x",VLOOKUP($I1041,'AUX-NIV2'!$B:$X,'AUX-NIV1'!AQ$3,FALSE),0)+($AV1041*'AUX-NIV3'!S$4))*$O1041+IF($H1041=AQ$4,$P1041,0)</f>
        <v>0</v>
      </c>
      <c r="AR1041" s="395">
        <f>(IF($H1041="x",VLOOKUP($I1041,'AUX-NIV2'!$B:$X,'AUX-NIV1'!AR$3,FALSE),0)+($AV1041*'AUX-NIV3'!T$4))*$O1041+IF($H1041=AR$4,$P1041,0)</f>
        <v>0</v>
      </c>
      <c r="AS1041" s="395">
        <f>(IF($H1041="x",VLOOKUP($I1041,'AUX-NIV2'!$B:$X,'AUX-NIV1'!AS$3,FALSE),0)+($AV1041*'AUX-NIV3'!U$4))*$O1041+IF($H1041=AS$4,$P1041,0)</f>
        <v>2950</v>
      </c>
      <c r="AT1041" s="395">
        <f>(IF($H1041="x",VLOOKUP($I1041,'AUX-NIV2'!$B:$X,'AUX-NIV1'!AT$3,FALSE),0)+($AV1041*'AUX-NIV3'!V$4))*$O1041+IF($H1041=AT$4,$P1041,0)</f>
        <v>0</v>
      </c>
      <c r="AU1041" s="395">
        <f>(IF($H1041="x",VLOOKUP($I1041,'AUX-NIV2'!$B:$X,'AUX-NIV1'!AU$3,FALSE),0)+($AV1041*'AUX-NIV3'!W$4))*$O1041+IF($H1041=AU$4,$P1041,0)</f>
        <v>0</v>
      </c>
      <c r="AV1041" s="395">
        <f>+IF($H1041="x",VLOOKUP($I1041,'AUX-NIV2'!$B:$X,'AUX-NIV1'!AV$3,FALSE),0)</f>
        <v>0</v>
      </c>
    </row>
    <row r="1042" spans="2:48" ht="13.8" hidden="1" thickTop="1">
      <c r="B1042" s="324" t="s">
        <v>4492</v>
      </c>
      <c r="C1042" s="325" t="s">
        <v>4288</v>
      </c>
      <c r="D1042" s="326" t="s">
        <v>1840</v>
      </c>
      <c r="E1042" s="349">
        <f>IF(B1042&lt;&gt;"",+SUMIF(Items!C:C,'AUX-NIV1'!B1042,Items!H:H),"")</f>
        <v>0</v>
      </c>
      <c r="F1042" s="349">
        <f t="shared" si="1293"/>
        <v>1893.3824251468795</v>
      </c>
      <c r="G1042" s="349">
        <f t="shared" si="1294"/>
        <v>0</v>
      </c>
      <c r="H1042" s="1395" t="str">
        <f t="shared" ref="H1042:H1044" si="1357">IF(B1042&lt;&gt;"",+LEFT(I1042,1),"")</f>
        <v>A</v>
      </c>
      <c r="I1042" s="1375" t="s">
        <v>1745</v>
      </c>
      <c r="J1042" s="350" t="str">
        <f>IF(B1042&lt;&gt;"",+VLOOKUP(I1042,Recursos!C:F,2,FALSE),"")</f>
        <v>AYUDANTE</v>
      </c>
      <c r="K1042" s="351" t="str">
        <f>IF(B1042&lt;&gt;"",+VLOOKUP(I1042,Recursos!C:F,3,FALSE),"")</f>
        <v>hh</v>
      </c>
      <c r="L1042" s="1475">
        <f>IF(B1042&lt;&gt;"",+VLOOKUP(I1042,Recursos!C:F,4,FALSE),"")</f>
        <v>422.48042769667234</v>
      </c>
      <c r="M1042" s="1631">
        <f>(8+4+8)/48</f>
        <v>0.41666666666666669</v>
      </c>
      <c r="N1042" s="1639">
        <f>3*M1042</f>
        <v>1.25</v>
      </c>
      <c r="O1042" s="1490">
        <f>N1042</f>
        <v>1.25</v>
      </c>
      <c r="P1042" s="352">
        <f>IF(B1042&lt;&gt;"",O1042*L1042,"")</f>
        <v>528.10053462084045</v>
      </c>
      <c r="Q1042" s="349">
        <f>IF(B1042&lt;&gt;"",+O1042*E1042,"")</f>
        <v>0</v>
      </c>
      <c r="R1042" s="353">
        <f>IF(B1042&lt;&gt;"",Q1042*L1042,"")</f>
        <v>0</v>
      </c>
      <c r="S1042" s="354">
        <f t="shared" si="1299"/>
        <v>942.19716328147229</v>
      </c>
      <c r="T1042" s="354">
        <f t="shared" si="1300"/>
        <v>0</v>
      </c>
      <c r="U1042" s="355">
        <f t="shared" si="1301"/>
        <v>951.18526186540737</v>
      </c>
      <c r="V1042" s="355">
        <f t="shared" si="1302"/>
        <v>0</v>
      </c>
      <c r="W1042" s="355">
        <f t="shared" si="1303"/>
        <v>0</v>
      </c>
      <c r="X1042" s="355">
        <f t="shared" si="1304"/>
        <v>0</v>
      </c>
      <c r="Y1042" s="396"/>
      <c r="Z1042" s="346" t="str">
        <f t="shared" ref="Z1042:Z1044" si="1358">IF(B1042&lt;&gt;"",+$B1042&amp;"A","")</f>
        <v>0-VAR02A</v>
      </c>
      <c r="AA1042" s="346" t="str">
        <f t="shared" ref="AA1042:AA1044" si="1359">IF(B1042&lt;&gt;"",+$B1042&amp;"E","")</f>
        <v>0-VAR02E</v>
      </c>
      <c r="AB1042" s="346" t="str">
        <f t="shared" ref="AB1042:AB1044" si="1360">IF(B1042&lt;&gt;"",++$B1042&amp;"M","")</f>
        <v>0-VAR02M</v>
      </c>
      <c r="AC1042" s="346" t="str">
        <f t="shared" ref="AC1042:AC1044" si="1361">IF(B1042&lt;&gt;"",+$B1042&amp;"T","")</f>
        <v>0-VAR02T</v>
      </c>
      <c r="AD1042" s="346" t="str">
        <f t="shared" ref="AD1042:AD1044" si="1362">IF(B1042&lt;&gt;"",+$B1042&amp;"S","")</f>
        <v>0-VAR02S</v>
      </c>
      <c r="AE1042" s="346" t="str">
        <f t="shared" ref="AE1042:AE1044" si="1363">IF(B1042&lt;&gt;"",+$B1042&amp;"X","")</f>
        <v>0-VAR02X</v>
      </c>
      <c r="AF1042" s="346" t="str">
        <f t="shared" ref="AF1042:AF1044" si="1364">IF(B1042&lt;&gt;"",+B1042&amp;H1042,"")</f>
        <v>0-VAR02A</v>
      </c>
      <c r="AG1042" s="346">
        <f t="shared" si="1312"/>
        <v>7</v>
      </c>
      <c r="AH1042" s="346">
        <f>IF(B1042&lt;&gt;"",+IF(H1042="x",+VLOOKUP(I1042,'AUX-NIV2'!B:AG,32,FALSE),0),"")</f>
        <v>0</v>
      </c>
      <c r="AI1042" s="346" t="str">
        <f t="shared" ref="AI1042:AI1044" si="1365">IF(B1042&lt;&gt;"",+B1042,"")</f>
        <v>0-VAR02</v>
      </c>
      <c r="AK1042" s="347">
        <f t="shared" si="1314"/>
        <v>1042</v>
      </c>
      <c r="AL1042" s="348">
        <f t="shared" ref="AL1042:AL1044" si="1366">IF(B1042&lt;&gt;"",+AK1042+AG1042-1,"")</f>
        <v>1048</v>
      </c>
      <c r="AM1042" s="347" t="e">
        <f>IF(B1042&lt;&gt;"",IF(B1042=#REF!,1+#REF!,1),"")</f>
        <v>#REF!</v>
      </c>
      <c r="AN1042" s="382">
        <f>IF(AND(AH1042&gt;0,B1042&lt;&gt;""),VLOOKUP(I1042,'AUX-NIV2'!$B:$AP,40,FALSE)*O1042,0)</f>
        <v>0</v>
      </c>
      <c r="AO1042" s="382">
        <f t="shared" si="1316"/>
        <v>2.0833333333333335</v>
      </c>
      <c r="AQ1042" s="395">
        <f>(IF($H1042="x",VLOOKUP($I1042,'AUX-NIV2'!$B:$X,'AUX-NIV1'!AQ$3,FALSE),0)+($AV1042*'AUX-NIV3'!S$4))*$O1042+IF($H1042=AQ$4,$P1042,0)</f>
        <v>528.10053462084045</v>
      </c>
      <c r="AR1042" s="395">
        <f>(IF($H1042="x",VLOOKUP($I1042,'AUX-NIV2'!$B:$X,'AUX-NIV1'!AR$3,FALSE),0)+($AV1042*'AUX-NIV3'!T$4))*$O1042+IF($H1042=AR$4,$P1042,0)</f>
        <v>0</v>
      </c>
      <c r="AS1042" s="395">
        <f>(IF($H1042="x",VLOOKUP($I1042,'AUX-NIV2'!$B:$X,'AUX-NIV1'!AS$3,FALSE),0)+($AV1042*'AUX-NIV3'!U$4))*$O1042+IF($H1042=AS$4,$P1042,0)</f>
        <v>0</v>
      </c>
      <c r="AT1042" s="395">
        <f>(IF($H1042="x",VLOOKUP($I1042,'AUX-NIV2'!$B:$X,'AUX-NIV1'!AT$3,FALSE),0)+($AV1042*'AUX-NIV3'!V$4))*$O1042+IF($H1042=AT$4,$P1042,0)</f>
        <v>0</v>
      </c>
      <c r="AU1042" s="395">
        <f>(IF($H1042="x",VLOOKUP($I1042,'AUX-NIV2'!$B:$X,'AUX-NIV1'!AU$3,FALSE),0)+($AV1042*'AUX-NIV3'!W$4))*$O1042+IF($H1042=AU$4,$P1042,0)</f>
        <v>0</v>
      </c>
      <c r="AV1042" s="395">
        <f>+IF($H1042="x",VLOOKUP($I1042,'AUX-NIV2'!$B:$X,'AUX-NIV1'!AV$3,FALSE),0)</f>
        <v>0</v>
      </c>
    </row>
    <row r="1043" spans="2:48" ht="13.8" hidden="1" thickTop="1">
      <c r="B1043" s="324" t="s">
        <v>4492</v>
      </c>
      <c r="C1043" s="325" t="s">
        <v>4288</v>
      </c>
      <c r="D1043" s="326" t="s">
        <v>1840</v>
      </c>
      <c r="E1043" s="349">
        <f>IF(B1043&lt;&gt;"",+SUMIF(Items!C:C,'AUX-NIV1'!B1043,Items!H:H),"")</f>
        <v>0</v>
      </c>
      <c r="F1043" s="349">
        <f t="shared" si="1293"/>
        <v>1893.3824251468795</v>
      </c>
      <c r="G1043" s="349">
        <f t="shared" si="1294"/>
        <v>0</v>
      </c>
      <c r="H1043" s="1395" t="str">
        <f t="shared" si="1357"/>
        <v>A</v>
      </c>
      <c r="I1043" s="1375" t="s">
        <v>1746</v>
      </c>
      <c r="J1043" s="350" t="str">
        <f>IF(B1043&lt;&gt;"",+VLOOKUP(I1043,Recursos!C:F,2,FALSE),"")</f>
        <v>OFICIAL</v>
      </c>
      <c r="K1043" s="351" t="str">
        <f>IF(B1043&lt;&gt;"",+VLOOKUP(I1043,Recursos!C:F,3,FALSE),"")</f>
        <v>hh</v>
      </c>
      <c r="L1043" s="1475">
        <f>IF(B1043&lt;&gt;"",+VLOOKUP(I1043,Recursos!C:F,4,FALSE),"")</f>
        <v>496.91595439275824</v>
      </c>
      <c r="M1043" s="1631"/>
      <c r="N1043" s="1639">
        <f>2*M1042</f>
        <v>0.83333333333333337</v>
      </c>
      <c r="O1043" s="1490">
        <f>N1043</f>
        <v>0.83333333333333337</v>
      </c>
      <c r="P1043" s="352">
        <f>IF(B1043&lt;&gt;"",O1043*L1043,"")</f>
        <v>414.09662866063189</v>
      </c>
      <c r="Q1043" s="349">
        <f>IF(B1043&lt;&gt;"",+O1043*E1043,"")</f>
        <v>0</v>
      </c>
      <c r="R1043" s="353">
        <f>IF(B1043&lt;&gt;"",Q1043*L1043,"")</f>
        <v>0</v>
      </c>
      <c r="S1043" s="354">
        <f t="shared" si="1299"/>
        <v>942.19716328147229</v>
      </c>
      <c r="T1043" s="354">
        <f t="shared" si="1300"/>
        <v>0</v>
      </c>
      <c r="U1043" s="355">
        <f t="shared" si="1301"/>
        <v>951.18526186540737</v>
      </c>
      <c r="V1043" s="355">
        <f t="shared" si="1302"/>
        <v>0</v>
      </c>
      <c r="W1043" s="355">
        <f t="shared" si="1303"/>
        <v>0</v>
      </c>
      <c r="X1043" s="355">
        <f t="shared" si="1304"/>
        <v>0</v>
      </c>
      <c r="Y1043" s="396"/>
      <c r="Z1043" s="346" t="str">
        <f t="shared" si="1358"/>
        <v>0-VAR02A</v>
      </c>
      <c r="AA1043" s="346" t="str">
        <f t="shared" si="1359"/>
        <v>0-VAR02E</v>
      </c>
      <c r="AB1043" s="346" t="str">
        <f t="shared" si="1360"/>
        <v>0-VAR02M</v>
      </c>
      <c r="AC1043" s="346" t="str">
        <f t="shared" si="1361"/>
        <v>0-VAR02T</v>
      </c>
      <c r="AD1043" s="346" t="str">
        <f t="shared" si="1362"/>
        <v>0-VAR02S</v>
      </c>
      <c r="AE1043" s="346" t="str">
        <f t="shared" si="1363"/>
        <v>0-VAR02X</v>
      </c>
      <c r="AF1043" s="346" t="str">
        <f t="shared" si="1364"/>
        <v>0-VAR02A</v>
      </c>
      <c r="AG1043" s="346">
        <f t="shared" si="1312"/>
        <v>7</v>
      </c>
      <c r="AH1043" s="346">
        <f>IF(B1043&lt;&gt;"",+IF(H1043="x",+VLOOKUP(I1043,'AUX-NIV2'!B:AG,32,FALSE),0),"")</f>
        <v>0</v>
      </c>
      <c r="AI1043" s="346" t="str">
        <f t="shared" si="1365"/>
        <v>0-VAR02</v>
      </c>
      <c r="AK1043" s="347">
        <f t="shared" si="1314"/>
        <v>1042</v>
      </c>
      <c r="AL1043" s="348">
        <f t="shared" si="1366"/>
        <v>1048</v>
      </c>
      <c r="AM1043" s="347" t="e">
        <f>IF(B1043&lt;&gt;"",IF(B1043=#REF!,1+#REF!,1),"")</f>
        <v>#REF!</v>
      </c>
      <c r="AN1043" s="382">
        <f>IF(AND(AH1043&gt;0,B1043&lt;&gt;""),VLOOKUP(I1043,'AUX-NIV2'!$B:$AP,40,FALSE)*O1043,0)</f>
        <v>0</v>
      </c>
      <c r="AO1043" s="382">
        <f t="shared" si="1316"/>
        <v>2.0833333333333335</v>
      </c>
      <c r="AQ1043" s="395">
        <f>(IF($H1043="x",VLOOKUP($I1043,'AUX-NIV2'!$B:$X,'AUX-NIV1'!AQ$3,FALSE),0)+($AV1043*'AUX-NIV3'!S$4))*$O1043+IF($H1043=AQ$4,$P1043,0)</f>
        <v>414.09662866063189</v>
      </c>
      <c r="AR1043" s="395">
        <f>(IF($H1043="x",VLOOKUP($I1043,'AUX-NIV2'!$B:$X,'AUX-NIV1'!AR$3,FALSE),0)+($AV1043*'AUX-NIV3'!T$4))*$O1043+IF($H1043=AR$4,$P1043,0)</f>
        <v>0</v>
      </c>
      <c r="AS1043" s="395">
        <f>(IF($H1043="x",VLOOKUP($I1043,'AUX-NIV2'!$B:$X,'AUX-NIV1'!AS$3,FALSE),0)+($AV1043*'AUX-NIV3'!U$4))*$O1043+IF($H1043=AS$4,$P1043,0)</f>
        <v>0</v>
      </c>
      <c r="AT1043" s="395">
        <f>(IF($H1043="x",VLOOKUP($I1043,'AUX-NIV2'!$B:$X,'AUX-NIV1'!AT$3,FALSE),0)+($AV1043*'AUX-NIV3'!V$4))*$O1043+IF($H1043=AT$4,$P1043,0)</f>
        <v>0</v>
      </c>
      <c r="AU1043" s="395">
        <f>(IF($H1043="x",VLOOKUP($I1043,'AUX-NIV2'!$B:$X,'AUX-NIV1'!AU$3,FALSE),0)+($AV1043*'AUX-NIV3'!W$4))*$O1043+IF($H1043=AU$4,$P1043,0)</f>
        <v>0</v>
      </c>
      <c r="AV1043" s="395">
        <f>+IF($H1043="x",VLOOKUP($I1043,'AUX-NIV2'!$B:$X,'AUX-NIV1'!AV$3,FALSE),0)</f>
        <v>0</v>
      </c>
    </row>
    <row r="1044" spans="2:48" ht="13.8" hidden="1" thickTop="1">
      <c r="B1044" s="324" t="s">
        <v>4492</v>
      </c>
      <c r="C1044" s="325" t="s">
        <v>4288</v>
      </c>
      <c r="D1044" s="326" t="s">
        <v>1840</v>
      </c>
      <c r="E1044" s="349">
        <f>IF(B1044&lt;&gt;"",+SUMIF(Items!C:C,'AUX-NIV1'!B1044,Items!H:H),"")</f>
        <v>0</v>
      </c>
      <c r="F1044" s="349">
        <f t="shared" si="1293"/>
        <v>1893.3824251468795</v>
      </c>
      <c r="G1044" s="349">
        <f t="shared" si="1294"/>
        <v>0</v>
      </c>
      <c r="H1044" s="1395" t="str">
        <f t="shared" si="1357"/>
        <v>M</v>
      </c>
      <c r="I1044" s="1375" t="s">
        <v>4498</v>
      </c>
      <c r="J1044" s="350" t="str">
        <f>IF(B1044&lt;&gt;"",+VLOOKUP(I1044,Recursos!C:F,2,FALSE),"")</f>
        <v>Varilla de Acero ADN 420, fe 8mm</v>
      </c>
      <c r="K1044" s="351" t="str">
        <f>IF(B1044&lt;&gt;"",+VLOOKUP(I1044,Recursos!C:F,3,FALSE),"")</f>
        <v>m</v>
      </c>
      <c r="L1044" s="1475">
        <f>IF(B1044&lt;&gt;"",+VLOOKUP(I1044,Recursos!C:F,4,FALSE),"")</f>
        <v>90</v>
      </c>
      <c r="M1044" s="1631">
        <v>4</v>
      </c>
      <c r="N1044" s="1639">
        <f>1*M1044</f>
        <v>4</v>
      </c>
      <c r="O1044" s="1490">
        <f t="shared" si="1267"/>
        <v>4</v>
      </c>
      <c r="P1044" s="352">
        <f t="shared" ref="P1044" si="1367">IF(B1044&lt;&gt;"",O1044*L1044,"")</f>
        <v>360</v>
      </c>
      <c r="Q1044" s="349">
        <f t="shared" ref="Q1044" si="1368">IF(B1044&lt;&gt;"",+O1044*E1044,"")</f>
        <v>0</v>
      </c>
      <c r="R1044" s="353">
        <f>IF(B1044&lt;&gt;"",Q1044*L1044,"")</f>
        <v>0</v>
      </c>
      <c r="S1044" s="354">
        <f t="shared" si="1299"/>
        <v>942.19716328147229</v>
      </c>
      <c r="T1044" s="354">
        <f t="shared" si="1300"/>
        <v>0</v>
      </c>
      <c r="U1044" s="355">
        <f t="shared" si="1301"/>
        <v>951.18526186540737</v>
      </c>
      <c r="V1044" s="355">
        <f t="shared" si="1302"/>
        <v>0</v>
      </c>
      <c r="W1044" s="355">
        <f t="shared" si="1303"/>
        <v>0</v>
      </c>
      <c r="X1044" s="355">
        <f t="shared" si="1304"/>
        <v>0</v>
      </c>
      <c r="Y1044" s="396"/>
      <c r="Z1044" s="346" t="str">
        <f t="shared" si="1358"/>
        <v>0-VAR02A</v>
      </c>
      <c r="AA1044" s="346" t="str">
        <f t="shared" si="1359"/>
        <v>0-VAR02E</v>
      </c>
      <c r="AB1044" s="346" t="str">
        <f t="shared" si="1360"/>
        <v>0-VAR02M</v>
      </c>
      <c r="AC1044" s="346" t="str">
        <f t="shared" si="1361"/>
        <v>0-VAR02T</v>
      </c>
      <c r="AD1044" s="346" t="str">
        <f t="shared" si="1362"/>
        <v>0-VAR02S</v>
      </c>
      <c r="AE1044" s="346" t="str">
        <f t="shared" si="1363"/>
        <v>0-VAR02X</v>
      </c>
      <c r="AF1044" s="346" t="str">
        <f t="shared" si="1364"/>
        <v>0-VAR02M</v>
      </c>
      <c r="AG1044" s="346">
        <f t="shared" si="1312"/>
        <v>7</v>
      </c>
      <c r="AH1044" s="346">
        <f>IF(B1044&lt;&gt;"",+IF(H1044="x",+VLOOKUP(I1044,'AUX-NIV2'!B:AG,32,FALSE),0),"")</f>
        <v>0</v>
      </c>
      <c r="AI1044" s="346" t="str">
        <f t="shared" si="1365"/>
        <v>0-VAR02</v>
      </c>
      <c r="AK1044" s="347">
        <f t="shared" si="1314"/>
        <v>1042</v>
      </c>
      <c r="AL1044" s="348">
        <f t="shared" si="1366"/>
        <v>1048</v>
      </c>
      <c r="AM1044" s="347" t="e">
        <f>IF(B1044&lt;&gt;"",IF(B1044=#REF!,1+#REF!,1),"")</f>
        <v>#REF!</v>
      </c>
      <c r="AN1044" s="382">
        <f>IF(AND(AH1044&gt;0,B1044&lt;&gt;""),VLOOKUP(I1044,'AUX-NIV2'!$B:$AP,40,FALSE)*O1044,0)</f>
        <v>0</v>
      </c>
      <c r="AO1044" s="382">
        <f t="shared" si="1316"/>
        <v>2.0833333333333335</v>
      </c>
      <c r="AQ1044" s="395">
        <f>(IF($H1044="x",VLOOKUP($I1044,'AUX-NIV2'!$B:$X,'AUX-NIV1'!AQ$3,FALSE),0)+($AV1044*'AUX-NIV3'!S$4))*$O1044+IF($H1044=AQ$4,$P1044,0)</f>
        <v>0</v>
      </c>
      <c r="AR1044" s="395">
        <f>(IF($H1044="x",VLOOKUP($I1044,'AUX-NIV2'!$B:$X,'AUX-NIV1'!AR$3,FALSE),0)+($AV1044*'AUX-NIV3'!T$4))*$O1044+IF($H1044=AR$4,$P1044,0)</f>
        <v>0</v>
      </c>
      <c r="AS1044" s="395">
        <f>(IF($H1044="x",VLOOKUP($I1044,'AUX-NIV2'!$B:$X,'AUX-NIV1'!AS$3,FALSE),0)+($AV1044*'AUX-NIV3'!U$4))*$O1044+IF($H1044=AS$4,$P1044,0)</f>
        <v>360</v>
      </c>
      <c r="AT1044" s="395">
        <f>(IF($H1044="x",VLOOKUP($I1044,'AUX-NIV2'!$B:$X,'AUX-NIV1'!AT$3,FALSE),0)+($AV1044*'AUX-NIV3'!V$4))*$O1044+IF($H1044=AT$4,$P1044,0)</f>
        <v>0</v>
      </c>
      <c r="AU1044" s="395">
        <f>(IF($H1044="x",VLOOKUP($I1044,'AUX-NIV2'!$B:$X,'AUX-NIV1'!AU$3,FALSE),0)+($AV1044*'AUX-NIV3'!W$4))*$O1044+IF($H1044=AU$4,$P1044,0)</f>
        <v>0</v>
      </c>
      <c r="AV1044" s="395">
        <f>+IF($H1044="x",VLOOKUP($I1044,'AUX-NIV2'!$B:$X,'AUX-NIV1'!AV$3,FALSE),0)</f>
        <v>0</v>
      </c>
    </row>
    <row r="1045" spans="2:48" ht="13.8" hidden="1" thickTop="1">
      <c r="B1045" s="324" t="s">
        <v>4492</v>
      </c>
      <c r="C1045" s="325" t="s">
        <v>4288</v>
      </c>
      <c r="D1045" s="326" t="s">
        <v>1840</v>
      </c>
      <c r="E1045" s="349">
        <f>IF(B1045&lt;&gt;"",+SUMIF(Items!C:C,'AUX-NIV1'!B1045,Items!H:H),"")</f>
        <v>0</v>
      </c>
      <c r="F1045" s="349">
        <f t="shared" si="1293"/>
        <v>1893.3824251468795</v>
      </c>
      <c r="G1045" s="349">
        <f t="shared" si="1294"/>
        <v>0</v>
      </c>
      <c r="H1045" s="1395" t="str">
        <f t="shared" ref="H1045:H1046" si="1369">IF(B1045&lt;&gt;"",+LEFT(I1045,1),"")</f>
        <v>M</v>
      </c>
      <c r="I1045" s="1375" t="s">
        <v>4499</v>
      </c>
      <c r="J1045" s="350" t="str">
        <f>IF(B1045&lt;&gt;"",+VLOOKUP(I1045,Recursos!C:F,2,FALSE),"")</f>
        <v>Varilla de Acero ADN 420, fe 6mm</v>
      </c>
      <c r="K1045" s="351" t="str">
        <f>IF(B1045&lt;&gt;"",+VLOOKUP(I1045,Recursos!C:F,3,FALSE),"")</f>
        <v>m</v>
      </c>
      <c r="L1045" s="1475">
        <f>IF(B1045&lt;&gt;"",+VLOOKUP(I1045,Recursos!C:F,4,FALSE),"")</f>
        <v>60</v>
      </c>
      <c r="M1045" s="1631">
        <v>0.15</v>
      </c>
      <c r="N1045" s="1639">
        <f>(0.18*4+0.04)/M1045</f>
        <v>5.0666666666666673</v>
      </c>
      <c r="O1045" s="1490">
        <f>N1045</f>
        <v>5.0666666666666673</v>
      </c>
      <c r="P1045" s="352">
        <f>IF(B1045&lt;&gt;"",O1045*L1045,"")</f>
        <v>304.00000000000006</v>
      </c>
      <c r="Q1045" s="349">
        <f>IF(B1045&lt;&gt;"",+O1045*E1045,"")</f>
        <v>0</v>
      </c>
      <c r="R1045" s="353">
        <f>IF(B1045&lt;&gt;"",Q1045*L1045,"")</f>
        <v>0</v>
      </c>
      <c r="S1045" s="354">
        <f t="shared" si="1299"/>
        <v>942.19716328147229</v>
      </c>
      <c r="T1045" s="354">
        <f t="shared" si="1300"/>
        <v>0</v>
      </c>
      <c r="U1045" s="355">
        <f t="shared" si="1301"/>
        <v>951.18526186540737</v>
      </c>
      <c r="V1045" s="355">
        <f t="shared" si="1302"/>
        <v>0</v>
      </c>
      <c r="W1045" s="355">
        <f t="shared" si="1303"/>
        <v>0</v>
      </c>
      <c r="X1045" s="355">
        <f t="shared" si="1304"/>
        <v>0</v>
      </c>
      <c r="Y1045" s="396"/>
      <c r="Z1045" s="346" t="str">
        <f t="shared" ref="Z1045:Z1046" si="1370">IF(B1045&lt;&gt;"",+$B1045&amp;"A","")</f>
        <v>0-VAR02A</v>
      </c>
      <c r="AA1045" s="346" t="str">
        <f t="shared" ref="AA1045:AA1046" si="1371">IF(B1045&lt;&gt;"",+$B1045&amp;"E","")</f>
        <v>0-VAR02E</v>
      </c>
      <c r="AB1045" s="346" t="str">
        <f t="shared" ref="AB1045:AB1046" si="1372">IF(B1045&lt;&gt;"",++$B1045&amp;"M","")</f>
        <v>0-VAR02M</v>
      </c>
      <c r="AC1045" s="346" t="str">
        <f t="shared" ref="AC1045:AC1046" si="1373">IF(B1045&lt;&gt;"",+$B1045&amp;"T","")</f>
        <v>0-VAR02T</v>
      </c>
      <c r="AD1045" s="346" t="str">
        <f t="shared" ref="AD1045:AD1046" si="1374">IF(B1045&lt;&gt;"",+$B1045&amp;"S","")</f>
        <v>0-VAR02S</v>
      </c>
      <c r="AE1045" s="346" t="str">
        <f t="shared" ref="AE1045:AE1046" si="1375">IF(B1045&lt;&gt;"",+$B1045&amp;"X","")</f>
        <v>0-VAR02X</v>
      </c>
      <c r="AF1045" s="346" t="str">
        <f t="shared" ref="AF1045:AF1046" si="1376">IF(B1045&lt;&gt;"",+B1045&amp;H1045,"")</f>
        <v>0-VAR02M</v>
      </c>
      <c r="AG1045" s="346">
        <f t="shared" si="1312"/>
        <v>7</v>
      </c>
      <c r="AH1045" s="346">
        <f>IF(B1045&lt;&gt;"",+IF(H1045="x",+VLOOKUP(I1045,'AUX-NIV2'!B:AG,32,FALSE),0),"")</f>
        <v>0</v>
      </c>
      <c r="AI1045" s="346" t="str">
        <f t="shared" ref="AI1045:AI1046" si="1377">IF(B1045&lt;&gt;"",+B1045,"")</f>
        <v>0-VAR02</v>
      </c>
      <c r="AK1045" s="347">
        <f t="shared" si="1314"/>
        <v>1042</v>
      </c>
      <c r="AL1045" s="348">
        <f t="shared" ref="AL1045:AL1046" si="1378">IF(B1045&lt;&gt;"",+AK1045+AG1045-1,"")</f>
        <v>1048</v>
      </c>
      <c r="AM1045" s="347" t="e">
        <f>IF(B1045&lt;&gt;"",IF(B1045=#REF!,1+#REF!,1),"")</f>
        <v>#REF!</v>
      </c>
      <c r="AN1045" s="382">
        <f>IF(AND(AH1045&gt;0,B1045&lt;&gt;""),VLOOKUP(I1045,'AUX-NIV2'!$B:$AP,40,FALSE)*O1045,0)</f>
        <v>0</v>
      </c>
      <c r="AO1045" s="382">
        <f t="shared" si="1316"/>
        <v>2.0833333333333335</v>
      </c>
      <c r="AQ1045" s="395">
        <f>(IF($H1045="x",VLOOKUP($I1045,'AUX-NIV2'!$B:$X,'AUX-NIV1'!AQ$3,FALSE),0)+($AV1045*'AUX-NIV3'!S$4))*$O1045+IF($H1045=AQ$4,$P1045,0)</f>
        <v>0</v>
      </c>
      <c r="AR1045" s="395">
        <f>(IF($H1045="x",VLOOKUP($I1045,'AUX-NIV2'!$B:$X,'AUX-NIV1'!AR$3,FALSE),0)+($AV1045*'AUX-NIV3'!T$4))*$O1045+IF($H1045=AR$4,$P1045,0)</f>
        <v>0</v>
      </c>
      <c r="AS1045" s="395">
        <f>(IF($H1045="x",VLOOKUP($I1045,'AUX-NIV2'!$B:$X,'AUX-NIV1'!AS$3,FALSE),0)+($AV1045*'AUX-NIV3'!U$4))*$O1045+IF($H1045=AS$4,$P1045,0)</f>
        <v>304.00000000000006</v>
      </c>
      <c r="AT1045" s="395">
        <f>(IF($H1045="x",VLOOKUP($I1045,'AUX-NIV2'!$B:$X,'AUX-NIV1'!AT$3,FALSE),0)+($AV1045*'AUX-NIV3'!V$4))*$O1045+IF($H1045=AT$4,$P1045,0)</f>
        <v>0</v>
      </c>
      <c r="AU1045" s="395">
        <f>(IF($H1045="x",VLOOKUP($I1045,'AUX-NIV2'!$B:$X,'AUX-NIV1'!AU$3,FALSE),0)+($AV1045*'AUX-NIV3'!W$4))*$O1045+IF($H1045=AU$4,$P1045,0)</f>
        <v>0</v>
      </c>
      <c r="AV1045" s="395">
        <f>+IF($H1045="x",VLOOKUP($I1045,'AUX-NIV2'!$B:$X,'AUX-NIV1'!AV$3,FALSE),0)</f>
        <v>0</v>
      </c>
    </row>
    <row r="1046" spans="2:48" ht="13.8" hidden="1" thickTop="1">
      <c r="B1046" s="324" t="s">
        <v>4492</v>
      </c>
      <c r="C1046" s="325" t="s">
        <v>4288</v>
      </c>
      <c r="D1046" s="326" t="s">
        <v>1840</v>
      </c>
      <c r="E1046" s="349">
        <f>IF(B1046&lt;&gt;"",+SUMIF(Items!C:C,'AUX-NIV1'!B1046,Items!H:H),"")</f>
        <v>0</v>
      </c>
      <c r="F1046" s="349">
        <f t="shared" si="1293"/>
        <v>1893.3824251468795</v>
      </c>
      <c r="G1046" s="349">
        <f t="shared" si="1294"/>
        <v>0</v>
      </c>
      <c r="H1046" s="1395" t="str">
        <f t="shared" si="1369"/>
        <v>M</v>
      </c>
      <c r="I1046" s="1375" t="s">
        <v>3213</v>
      </c>
      <c r="J1046" s="350" t="str">
        <f>IF(B1046&lt;&gt;"",+VLOOKUP(I1046,Recursos!C:F,2,FALSE),"")</f>
        <v>HORMIGON ELABORADO H25 TRANSPORTADO</v>
      </c>
      <c r="K1046" s="351" t="str">
        <f>IF(B1046&lt;&gt;"",+VLOOKUP(I1046,Recursos!C:F,3,FALSE),"")</f>
        <v>m3</v>
      </c>
      <c r="L1046" s="1475">
        <f>IF(B1046&lt;&gt;"",+VLOOKUP(I1046,Recursos!C:F,4,FALSE),"")</f>
        <v>6117.95</v>
      </c>
      <c r="M1046" s="1631">
        <v>0.8</v>
      </c>
      <c r="N1046" s="1639">
        <f>0.2*0.2</f>
        <v>4.0000000000000008E-2</v>
      </c>
      <c r="O1046" s="1490">
        <f>N1046*M1046</f>
        <v>3.2000000000000008E-2</v>
      </c>
      <c r="P1046" s="352">
        <f t="shared" ref="P1046" si="1379">IF(B1046&lt;&gt;"",O1046*L1046,"")</f>
        <v>195.77440000000004</v>
      </c>
      <c r="Q1046" s="349">
        <f t="shared" ref="Q1046" si="1380">IF(B1046&lt;&gt;"",+O1046*E1046,"")</f>
        <v>0</v>
      </c>
      <c r="R1046" s="353">
        <f t="shared" ref="R1046" si="1381">IF(B1046&lt;&gt;"",Q1046*L1046,"")</f>
        <v>0</v>
      </c>
      <c r="S1046" s="354">
        <f t="shared" si="1299"/>
        <v>942.19716328147229</v>
      </c>
      <c r="T1046" s="354">
        <f t="shared" si="1300"/>
        <v>0</v>
      </c>
      <c r="U1046" s="355">
        <f t="shared" si="1301"/>
        <v>951.18526186540737</v>
      </c>
      <c r="V1046" s="355">
        <f t="shared" si="1302"/>
        <v>0</v>
      </c>
      <c r="W1046" s="355">
        <f t="shared" si="1303"/>
        <v>0</v>
      </c>
      <c r="X1046" s="355">
        <f t="shared" si="1304"/>
        <v>0</v>
      </c>
      <c r="Y1046" s="396"/>
      <c r="Z1046" s="346" t="str">
        <f t="shared" si="1370"/>
        <v>0-VAR02A</v>
      </c>
      <c r="AA1046" s="346" t="str">
        <f t="shared" si="1371"/>
        <v>0-VAR02E</v>
      </c>
      <c r="AB1046" s="346" t="str">
        <f t="shared" si="1372"/>
        <v>0-VAR02M</v>
      </c>
      <c r="AC1046" s="346" t="str">
        <f t="shared" si="1373"/>
        <v>0-VAR02T</v>
      </c>
      <c r="AD1046" s="346" t="str">
        <f t="shared" si="1374"/>
        <v>0-VAR02S</v>
      </c>
      <c r="AE1046" s="346" t="str">
        <f t="shared" si="1375"/>
        <v>0-VAR02X</v>
      </c>
      <c r="AF1046" s="346" t="str">
        <f t="shared" si="1376"/>
        <v>0-VAR02M</v>
      </c>
      <c r="AG1046" s="346">
        <f t="shared" si="1312"/>
        <v>7</v>
      </c>
      <c r="AH1046" s="346">
        <f>IF(B1046&lt;&gt;"",+IF(H1046="x",+VLOOKUP(I1046,'AUX-NIV2'!B:AG,32,FALSE),0),"")</f>
        <v>0</v>
      </c>
      <c r="AI1046" s="346" t="str">
        <f t="shared" si="1377"/>
        <v>0-VAR02</v>
      </c>
      <c r="AK1046" s="347">
        <f t="shared" si="1314"/>
        <v>1042</v>
      </c>
      <c r="AL1046" s="348">
        <f t="shared" si="1378"/>
        <v>1048</v>
      </c>
      <c r="AM1046" s="347" t="e">
        <f>IF(B1046&lt;&gt;"",IF(B1046=#REF!,1+#REF!,1),"")</f>
        <v>#REF!</v>
      </c>
      <c r="AN1046" s="382">
        <f>IF(AND(AH1046&gt;0,B1046&lt;&gt;""),VLOOKUP(I1046,'AUX-NIV2'!$B:$AP,40,FALSE)*O1046,0)</f>
        <v>0</v>
      </c>
      <c r="AO1046" s="382">
        <f t="shared" si="1316"/>
        <v>2.0833333333333335</v>
      </c>
      <c r="AQ1046" s="395">
        <f>(IF($H1046="x",VLOOKUP($I1046,'AUX-NIV2'!$B:$X,'AUX-NIV1'!AQ$3,FALSE),0)+($AV1046*'AUX-NIV3'!S$4))*$O1046+IF($H1046=AQ$4,$P1046,0)</f>
        <v>0</v>
      </c>
      <c r="AR1046" s="395">
        <f>(IF($H1046="x",VLOOKUP($I1046,'AUX-NIV2'!$B:$X,'AUX-NIV1'!AR$3,FALSE),0)+($AV1046*'AUX-NIV3'!T$4))*$O1046+IF($H1046=AR$4,$P1046,0)</f>
        <v>0</v>
      </c>
      <c r="AS1046" s="395">
        <f>(IF($H1046="x",VLOOKUP($I1046,'AUX-NIV2'!$B:$X,'AUX-NIV1'!AS$3,FALSE),0)+($AV1046*'AUX-NIV3'!U$4))*$O1046+IF($H1046=AS$4,$P1046,0)</f>
        <v>195.77440000000004</v>
      </c>
      <c r="AT1046" s="395">
        <f>(IF($H1046="x",VLOOKUP($I1046,'AUX-NIV2'!$B:$X,'AUX-NIV1'!AT$3,FALSE),0)+($AV1046*'AUX-NIV3'!V$4))*$O1046+IF($H1046=AT$4,$P1046,0)</f>
        <v>0</v>
      </c>
      <c r="AU1046" s="395">
        <f>(IF($H1046="x",VLOOKUP($I1046,'AUX-NIV2'!$B:$X,'AUX-NIV1'!AU$3,FALSE),0)+($AV1046*'AUX-NIV3'!W$4))*$O1046+IF($H1046=AU$4,$P1046,0)</f>
        <v>0</v>
      </c>
      <c r="AV1046" s="395">
        <f>+IF($H1046="x",VLOOKUP($I1046,'AUX-NIV2'!$B:$X,'AUX-NIV1'!AV$3,FALSE),0)</f>
        <v>0</v>
      </c>
    </row>
    <row r="1047" spans="2:48" ht="13.8" hidden="1" thickTop="1">
      <c r="B1047" s="324" t="s">
        <v>4492</v>
      </c>
      <c r="C1047" s="325" t="s">
        <v>4288</v>
      </c>
      <c r="D1047" s="326" t="s">
        <v>1840</v>
      </c>
      <c r="E1047" s="349">
        <f>IF(B1047&lt;&gt;"",+SUMIF(Items!C:C,'AUX-NIV1'!B1047,Items!H:H),"")</f>
        <v>0</v>
      </c>
      <c r="F1047" s="349">
        <f t="shared" si="1293"/>
        <v>1893.3824251468795</v>
      </c>
      <c r="G1047" s="349">
        <f t="shared" si="1294"/>
        <v>0</v>
      </c>
      <c r="H1047" s="1395" t="str">
        <f t="shared" ref="H1047:H1048" si="1382">IF(B1047&lt;&gt;"",+LEFT(I1047,1),"")</f>
        <v>M</v>
      </c>
      <c r="I1047" s="1375" t="s">
        <v>4314</v>
      </c>
      <c r="J1047" s="350" t="str">
        <f>IF(B1047&lt;&gt;"",+VLOOKUP(I1047,Recursos!C:F,2,FALSE),"")</f>
        <v>TABLAS 1X6 PARA ENCOFRADO</v>
      </c>
      <c r="K1047" s="351" t="str">
        <f>IF(B1047&lt;&gt;"",+VLOOKUP(I1047,Recursos!C:F,3,FALSE),"")</f>
        <v>m</v>
      </c>
      <c r="L1047" s="1475">
        <f>IF(B1047&lt;&gt;"",+VLOOKUP(I1047,Recursos!C:F,4,FALSE),"")</f>
        <v>92.975206611570258</v>
      </c>
      <c r="M1047" s="1493">
        <v>0.25</v>
      </c>
      <c r="N1047" s="1507">
        <f>0.2/0.14*2</f>
        <v>2.8571428571428572</v>
      </c>
      <c r="O1047" s="1490">
        <f>N1047*M1047</f>
        <v>0.7142857142857143</v>
      </c>
      <c r="P1047" s="352">
        <f t="shared" ref="P1047:P1048" si="1383">IF(B1047&lt;&gt;"",O1047*L1047,"")</f>
        <v>66.410861865407327</v>
      </c>
      <c r="Q1047" s="349">
        <f t="shared" ref="Q1047:Q1048" si="1384">IF(B1047&lt;&gt;"",+O1047*E1047,"")</f>
        <v>0</v>
      </c>
      <c r="R1047" s="353">
        <f t="shared" ref="R1047:R1048" si="1385">IF(B1047&lt;&gt;"",Q1047*L1047,"")</f>
        <v>0</v>
      </c>
      <c r="S1047" s="354">
        <f t="shared" si="1299"/>
        <v>942.19716328147229</v>
      </c>
      <c r="T1047" s="354">
        <f t="shared" si="1300"/>
        <v>0</v>
      </c>
      <c r="U1047" s="355">
        <f t="shared" si="1301"/>
        <v>951.18526186540737</v>
      </c>
      <c r="V1047" s="355">
        <f t="shared" si="1302"/>
        <v>0</v>
      </c>
      <c r="W1047" s="355">
        <f t="shared" si="1303"/>
        <v>0</v>
      </c>
      <c r="X1047" s="355">
        <f t="shared" si="1304"/>
        <v>0</v>
      </c>
      <c r="Y1047" s="396"/>
      <c r="Z1047" s="346" t="str">
        <f t="shared" ref="Z1047:Z1048" si="1386">IF(B1047&lt;&gt;"",+$B1047&amp;"A","")</f>
        <v>0-VAR02A</v>
      </c>
      <c r="AA1047" s="346" t="str">
        <f t="shared" ref="AA1047:AA1048" si="1387">IF(B1047&lt;&gt;"",+$B1047&amp;"E","")</f>
        <v>0-VAR02E</v>
      </c>
      <c r="AB1047" s="346" t="str">
        <f t="shared" ref="AB1047:AB1048" si="1388">IF(B1047&lt;&gt;"",++$B1047&amp;"M","")</f>
        <v>0-VAR02M</v>
      </c>
      <c r="AC1047" s="346" t="str">
        <f t="shared" ref="AC1047:AC1048" si="1389">IF(B1047&lt;&gt;"",+$B1047&amp;"T","")</f>
        <v>0-VAR02T</v>
      </c>
      <c r="AD1047" s="346" t="str">
        <f t="shared" ref="AD1047:AD1048" si="1390">IF(B1047&lt;&gt;"",+$B1047&amp;"S","")</f>
        <v>0-VAR02S</v>
      </c>
      <c r="AE1047" s="346" t="str">
        <f t="shared" ref="AE1047:AE1048" si="1391">IF(B1047&lt;&gt;"",+$B1047&amp;"X","")</f>
        <v>0-VAR02X</v>
      </c>
      <c r="AF1047" s="346" t="str">
        <f t="shared" ref="AF1047:AF1048" si="1392">IF(B1047&lt;&gt;"",+B1047&amp;H1047,"")</f>
        <v>0-VAR02M</v>
      </c>
      <c r="AG1047" s="346">
        <f t="shared" si="1312"/>
        <v>7</v>
      </c>
      <c r="AH1047" s="346">
        <f>IF(B1047&lt;&gt;"",+IF(H1047="x",+VLOOKUP(I1047,'AUX-NIV2'!B:AG,32,FALSE),0),"")</f>
        <v>0</v>
      </c>
      <c r="AI1047" s="346" t="str">
        <f t="shared" ref="AI1047:AI1048" si="1393">IF(B1047&lt;&gt;"",+B1047,"")</f>
        <v>0-VAR02</v>
      </c>
      <c r="AK1047" s="347">
        <f t="shared" si="1314"/>
        <v>1042</v>
      </c>
      <c r="AL1047" s="348">
        <f t="shared" ref="AL1047:AL1048" si="1394">IF(B1047&lt;&gt;"",+AK1047+AG1047-1,"")</f>
        <v>1048</v>
      </c>
      <c r="AM1047" s="347" t="e">
        <f>IF(B1047&lt;&gt;"",IF(B1047=#REF!,1+#REF!,1),"")</f>
        <v>#REF!</v>
      </c>
      <c r="AN1047" s="382">
        <f>IF(AND(AH1047&gt;0,B1047&lt;&gt;""),VLOOKUP(I1047,'AUX-NIV2'!$B:$AP,40,FALSE)*O1047,0)</f>
        <v>0</v>
      </c>
      <c r="AO1047" s="382">
        <f t="shared" si="1316"/>
        <v>2.0833333333333335</v>
      </c>
      <c r="AQ1047" s="395">
        <f>(IF($H1047="x",VLOOKUP($I1047,'AUX-NIV2'!$B:$X,'AUX-NIV1'!AQ$3,FALSE),0)+($AV1047*'AUX-NIV3'!S$4))*$O1047+IF($H1047=AQ$4,$P1047,0)</f>
        <v>0</v>
      </c>
      <c r="AR1047" s="395">
        <f>(IF($H1047="x",VLOOKUP($I1047,'AUX-NIV2'!$B:$X,'AUX-NIV1'!AR$3,FALSE),0)+($AV1047*'AUX-NIV3'!T$4))*$O1047+IF($H1047=AR$4,$P1047,0)</f>
        <v>0</v>
      </c>
      <c r="AS1047" s="395">
        <f>(IF($H1047="x",VLOOKUP($I1047,'AUX-NIV2'!$B:$X,'AUX-NIV1'!AS$3,FALSE),0)+($AV1047*'AUX-NIV3'!U$4))*$O1047+IF($H1047=AS$4,$P1047,0)</f>
        <v>66.410861865407327</v>
      </c>
      <c r="AT1047" s="395">
        <f>(IF($H1047="x",VLOOKUP($I1047,'AUX-NIV2'!$B:$X,'AUX-NIV1'!AT$3,FALSE),0)+($AV1047*'AUX-NIV3'!V$4))*$O1047+IF($H1047=AT$4,$P1047,0)</f>
        <v>0</v>
      </c>
      <c r="AU1047" s="395">
        <f>(IF($H1047="x",VLOOKUP($I1047,'AUX-NIV2'!$B:$X,'AUX-NIV1'!AU$3,FALSE),0)+($AV1047*'AUX-NIV3'!W$4))*$O1047+IF($H1047=AU$4,$P1047,0)</f>
        <v>0</v>
      </c>
      <c r="AV1047" s="395">
        <f>+IF($H1047="x",VLOOKUP($I1047,'AUX-NIV2'!$B:$X,'AUX-NIV1'!AV$3,FALSE),0)</f>
        <v>0</v>
      </c>
    </row>
    <row r="1048" spans="2:48" ht="14.4" hidden="1" thickTop="1" thickBot="1">
      <c r="B1048" s="324" t="s">
        <v>4492</v>
      </c>
      <c r="C1048" s="325" t="s">
        <v>4288</v>
      </c>
      <c r="D1048" s="326" t="s">
        <v>1840</v>
      </c>
      <c r="E1048" s="349">
        <f>IF(B1048&lt;&gt;"",+SUMIF(Items!C:C,'AUX-NIV1'!B1048,Items!H:H),"")</f>
        <v>0</v>
      </c>
      <c r="F1048" s="349">
        <f t="shared" si="1293"/>
        <v>1893.3824251468795</v>
      </c>
      <c r="G1048" s="349">
        <f t="shared" si="1294"/>
        <v>0</v>
      </c>
      <c r="H1048" s="1395" t="str">
        <f t="shared" si="1382"/>
        <v>M</v>
      </c>
      <c r="I1048" s="1375" t="s">
        <v>621</v>
      </c>
      <c r="J1048" s="350" t="str">
        <f>IF(B1048&lt;&gt;"",+VLOOKUP(I1048,Recursos!C:F,2,FALSE),"")</f>
        <v>MATERIALES VARIOS</v>
      </c>
      <c r="K1048" s="351" t="str">
        <f>IF(B1048&lt;&gt;"",+VLOOKUP(I1048,Recursos!C:F,3,FALSE),"")</f>
        <v>GL</v>
      </c>
      <c r="L1048" s="1475">
        <f>IF(B1048&lt;&gt;"",+VLOOKUP(I1048,Recursos!C:F,4,FALSE),"")</f>
        <v>0.5</v>
      </c>
      <c r="M1048" s="1622"/>
      <c r="N1048" s="1623">
        <v>50</v>
      </c>
      <c r="O1048" s="1490">
        <f t="shared" si="1267"/>
        <v>50</v>
      </c>
      <c r="P1048" s="352">
        <f t="shared" si="1383"/>
        <v>25</v>
      </c>
      <c r="Q1048" s="349">
        <f t="shared" si="1384"/>
        <v>0</v>
      </c>
      <c r="R1048" s="353">
        <f t="shared" si="1385"/>
        <v>0</v>
      </c>
      <c r="S1048" s="354">
        <f t="shared" si="1299"/>
        <v>942.19716328147229</v>
      </c>
      <c r="T1048" s="354">
        <f t="shared" si="1300"/>
        <v>0</v>
      </c>
      <c r="U1048" s="355">
        <f t="shared" si="1301"/>
        <v>951.18526186540737</v>
      </c>
      <c r="V1048" s="355">
        <f t="shared" si="1302"/>
        <v>0</v>
      </c>
      <c r="W1048" s="355">
        <f t="shared" si="1303"/>
        <v>0</v>
      </c>
      <c r="X1048" s="355">
        <f t="shared" si="1304"/>
        <v>0</v>
      </c>
      <c r="Y1048" s="396"/>
      <c r="Z1048" s="346" t="str">
        <f t="shared" si="1386"/>
        <v>0-VAR02A</v>
      </c>
      <c r="AA1048" s="346" t="str">
        <f t="shared" si="1387"/>
        <v>0-VAR02E</v>
      </c>
      <c r="AB1048" s="346" t="str">
        <f t="shared" si="1388"/>
        <v>0-VAR02M</v>
      </c>
      <c r="AC1048" s="346" t="str">
        <f t="shared" si="1389"/>
        <v>0-VAR02T</v>
      </c>
      <c r="AD1048" s="346" t="str">
        <f t="shared" si="1390"/>
        <v>0-VAR02S</v>
      </c>
      <c r="AE1048" s="346" t="str">
        <f t="shared" si="1391"/>
        <v>0-VAR02X</v>
      </c>
      <c r="AF1048" s="346" t="str">
        <f t="shared" si="1392"/>
        <v>0-VAR02M</v>
      </c>
      <c r="AG1048" s="346">
        <f t="shared" si="1312"/>
        <v>7</v>
      </c>
      <c r="AH1048" s="346">
        <f>IF(B1048&lt;&gt;"",+IF(H1048="x",+VLOOKUP(I1048,'AUX-NIV2'!B:AG,32,FALSE),0),"")</f>
        <v>0</v>
      </c>
      <c r="AI1048" s="346" t="str">
        <f t="shared" si="1393"/>
        <v>0-VAR02</v>
      </c>
      <c r="AK1048" s="347">
        <f t="shared" si="1314"/>
        <v>1042</v>
      </c>
      <c r="AL1048" s="348">
        <f t="shared" si="1394"/>
        <v>1048</v>
      </c>
      <c r="AM1048" s="347" t="e">
        <f>IF(B1048&lt;&gt;"",IF(B1048=#REF!,1+#REF!,1),"")</f>
        <v>#REF!</v>
      </c>
      <c r="AN1048" s="382">
        <f>IF(AND(AH1048&gt;0,B1048&lt;&gt;""),VLOOKUP(I1048,'AUX-NIV2'!$B:$AP,40,FALSE)*O1048,0)</f>
        <v>0</v>
      </c>
      <c r="AO1048" s="382">
        <f t="shared" si="1316"/>
        <v>2.0833333333333335</v>
      </c>
      <c r="AQ1048" s="395">
        <f>(IF($H1048="x",VLOOKUP($I1048,'AUX-NIV2'!$B:$X,'AUX-NIV1'!AQ$3,FALSE),0)+($AV1048*'AUX-NIV3'!S$4))*$O1048+IF($H1048=AQ$4,$P1048,0)</f>
        <v>0</v>
      </c>
      <c r="AR1048" s="395">
        <f>(IF($H1048="x",VLOOKUP($I1048,'AUX-NIV2'!$B:$X,'AUX-NIV1'!AR$3,FALSE),0)+($AV1048*'AUX-NIV3'!T$4))*$O1048+IF($H1048=AR$4,$P1048,0)</f>
        <v>0</v>
      </c>
      <c r="AS1048" s="395">
        <f>(IF($H1048="x",VLOOKUP($I1048,'AUX-NIV2'!$B:$X,'AUX-NIV1'!AS$3,FALSE),0)+($AV1048*'AUX-NIV3'!U$4))*$O1048+IF($H1048=AS$4,$P1048,0)</f>
        <v>25</v>
      </c>
      <c r="AT1048" s="395">
        <f>(IF($H1048="x",VLOOKUP($I1048,'AUX-NIV2'!$B:$X,'AUX-NIV1'!AT$3,FALSE),0)+($AV1048*'AUX-NIV3'!V$4))*$O1048+IF($H1048=AT$4,$P1048,0)</f>
        <v>0</v>
      </c>
      <c r="AU1048" s="395">
        <f>(IF($H1048="x",VLOOKUP($I1048,'AUX-NIV2'!$B:$X,'AUX-NIV1'!AU$3,FALSE),0)+($AV1048*'AUX-NIV3'!W$4))*$O1048+IF($H1048=AU$4,$P1048,0)</f>
        <v>0</v>
      </c>
      <c r="AV1048" s="395">
        <f>+IF($H1048="x",VLOOKUP($I1048,'AUX-NIV2'!$B:$X,'AUX-NIV1'!AV$3,FALSE),0)</f>
        <v>0</v>
      </c>
    </row>
    <row r="1049" spans="2:48" ht="13.8" hidden="1" thickTop="1">
      <c r="B1049" s="324" t="s">
        <v>4493</v>
      </c>
      <c r="C1049" s="325" t="s">
        <v>4289</v>
      </c>
      <c r="D1049" s="326" t="s">
        <v>501</v>
      </c>
      <c r="E1049" s="349">
        <f>IF(B1049&lt;&gt;"",+SUMIF(Items!C:C,'AUX-NIV1'!B1049,Items!H:H),"")</f>
        <v>0</v>
      </c>
      <c r="F1049" s="349">
        <f t="shared" si="1293"/>
        <v>827.44666935586145</v>
      </c>
      <c r="G1049" s="349">
        <f t="shared" si="1294"/>
        <v>0</v>
      </c>
      <c r="H1049" s="1395" t="str">
        <f t="shared" ref="H1049:H1051" si="1395">IF(B1049&lt;&gt;"",+LEFT(I1049,1),"")</f>
        <v>A</v>
      </c>
      <c r="I1049" s="1375" t="s">
        <v>1745</v>
      </c>
      <c r="J1049" s="350" t="str">
        <f>IF(B1049&lt;&gt;"",+VLOOKUP(I1049,Recursos!C:F,2,FALSE),"")</f>
        <v>AYUDANTE</v>
      </c>
      <c r="K1049" s="351" t="str">
        <f>IF(B1049&lt;&gt;"",+VLOOKUP(I1049,Recursos!C:F,3,FALSE),"")</f>
        <v>hh</v>
      </c>
      <c r="L1049" s="1475">
        <f>IF(B1049&lt;&gt;"",+VLOOKUP(I1049,Recursos!C:F,4,FALSE),"")</f>
        <v>422.48042769667234</v>
      </c>
      <c r="M1049" s="1631">
        <f>1/3+1/6</f>
        <v>0.5</v>
      </c>
      <c r="N1049" s="1639">
        <f>2</f>
        <v>2</v>
      </c>
      <c r="O1049" s="1490">
        <f>M1049*N1049</f>
        <v>1</v>
      </c>
      <c r="P1049" s="352">
        <f>IF(B1049&lt;&gt;"",O1049*L1049,"")</f>
        <v>422.48042769667234</v>
      </c>
      <c r="Q1049" s="349">
        <f>IF(B1049&lt;&gt;"",+O1049*E1049,"")</f>
        <v>0</v>
      </c>
      <c r="R1049" s="353">
        <f>IF(B1049&lt;&gt;"",Q1049*L1049,"")</f>
        <v>0</v>
      </c>
      <c r="S1049" s="354">
        <f t="shared" si="1299"/>
        <v>670.93840489305148</v>
      </c>
      <c r="T1049" s="354">
        <f t="shared" si="1300"/>
        <v>0</v>
      </c>
      <c r="U1049" s="355">
        <f t="shared" si="1301"/>
        <v>156.5082644628099</v>
      </c>
      <c r="V1049" s="355">
        <f t="shared" si="1302"/>
        <v>0</v>
      </c>
      <c r="W1049" s="355">
        <f t="shared" si="1303"/>
        <v>0</v>
      </c>
      <c r="X1049" s="355">
        <f t="shared" si="1304"/>
        <v>0</v>
      </c>
      <c r="Y1049" s="396"/>
      <c r="Z1049" s="346" t="str">
        <f t="shared" ref="Z1049:Z1051" si="1396">IF(B1049&lt;&gt;"",+$B1049&amp;"A","")</f>
        <v>0-VAR03A</v>
      </c>
      <c r="AA1049" s="346" t="str">
        <f t="shared" ref="AA1049:AA1051" si="1397">IF(B1049&lt;&gt;"",+$B1049&amp;"E","")</f>
        <v>0-VAR03E</v>
      </c>
      <c r="AB1049" s="346" t="str">
        <f t="shared" ref="AB1049:AB1051" si="1398">IF(B1049&lt;&gt;"",++$B1049&amp;"M","")</f>
        <v>0-VAR03M</v>
      </c>
      <c r="AC1049" s="346" t="str">
        <f t="shared" ref="AC1049:AC1051" si="1399">IF(B1049&lt;&gt;"",+$B1049&amp;"T","")</f>
        <v>0-VAR03T</v>
      </c>
      <c r="AD1049" s="346" t="str">
        <f t="shared" ref="AD1049:AD1051" si="1400">IF(B1049&lt;&gt;"",+$B1049&amp;"S","")</f>
        <v>0-VAR03S</v>
      </c>
      <c r="AE1049" s="346" t="str">
        <f t="shared" ref="AE1049:AE1051" si="1401">IF(B1049&lt;&gt;"",+$B1049&amp;"X","")</f>
        <v>0-VAR03X</v>
      </c>
      <c r="AF1049" s="346" t="str">
        <f t="shared" ref="AF1049:AF1051" si="1402">IF(B1049&lt;&gt;"",+B1049&amp;H1049,"")</f>
        <v>0-VAR03A</v>
      </c>
      <c r="AG1049" s="346">
        <f t="shared" si="1312"/>
        <v>4</v>
      </c>
      <c r="AH1049" s="346">
        <f>IF(B1049&lt;&gt;"",+IF(H1049="x",+VLOOKUP(I1049,'AUX-NIV2'!B:AG,32,FALSE),0),"")</f>
        <v>0</v>
      </c>
      <c r="AI1049" s="346" t="str">
        <f t="shared" ref="AI1049:AI1051" si="1403">IF(B1049&lt;&gt;"",+B1049,"")</f>
        <v>0-VAR03</v>
      </c>
      <c r="AK1049" s="347">
        <f t="shared" si="1314"/>
        <v>1049</v>
      </c>
      <c r="AL1049" s="348">
        <f t="shared" ref="AL1049:AL1051" si="1404">IF(B1049&lt;&gt;"",+AK1049+AG1049-1,"")</f>
        <v>1052</v>
      </c>
      <c r="AM1049" s="347" t="e">
        <f>IF(B1049&lt;&gt;"",IF(B1049=#REF!,1+#REF!,1),"")</f>
        <v>#REF!</v>
      </c>
      <c r="AN1049" s="382">
        <f>IF(AND(AH1049&gt;0,B1049&lt;&gt;""),VLOOKUP(I1049,'AUX-NIV2'!$B:$AP,40,FALSE)*O1049,0)</f>
        <v>0</v>
      </c>
      <c r="AO1049" s="382">
        <f t="shared" si="1316"/>
        <v>1.5</v>
      </c>
      <c r="AQ1049" s="395">
        <f>(IF($H1049="x",VLOOKUP($I1049,'AUX-NIV2'!$B:$X,'AUX-NIV1'!AQ$3,FALSE),0)+($AV1049*'AUX-NIV3'!S$4))*$O1049+IF($H1049=AQ$4,$P1049,0)</f>
        <v>422.48042769667234</v>
      </c>
      <c r="AR1049" s="395">
        <f>(IF($H1049="x",VLOOKUP($I1049,'AUX-NIV2'!$B:$X,'AUX-NIV1'!AR$3,FALSE),0)+($AV1049*'AUX-NIV3'!T$4))*$O1049+IF($H1049=AR$4,$P1049,0)</f>
        <v>0</v>
      </c>
      <c r="AS1049" s="395">
        <f>(IF($H1049="x",VLOOKUP($I1049,'AUX-NIV2'!$B:$X,'AUX-NIV1'!AS$3,FALSE),0)+($AV1049*'AUX-NIV3'!U$4))*$O1049+IF($H1049=AS$4,$P1049,0)</f>
        <v>0</v>
      </c>
      <c r="AT1049" s="395">
        <f>(IF($H1049="x",VLOOKUP($I1049,'AUX-NIV2'!$B:$X,'AUX-NIV1'!AT$3,FALSE),0)+($AV1049*'AUX-NIV3'!V$4))*$O1049+IF($H1049=AT$4,$P1049,0)</f>
        <v>0</v>
      </c>
      <c r="AU1049" s="395">
        <f>(IF($H1049="x",VLOOKUP($I1049,'AUX-NIV2'!$B:$X,'AUX-NIV1'!AU$3,FALSE),0)+($AV1049*'AUX-NIV3'!W$4))*$O1049+IF($H1049=AU$4,$P1049,0)</f>
        <v>0</v>
      </c>
      <c r="AV1049" s="395">
        <f>+IF($H1049="x",VLOOKUP($I1049,'AUX-NIV2'!$B:$X,'AUX-NIV1'!AV$3,FALSE),0)</f>
        <v>0</v>
      </c>
    </row>
    <row r="1050" spans="2:48" ht="13.8" hidden="1" thickTop="1">
      <c r="B1050" s="324" t="s">
        <v>4493</v>
      </c>
      <c r="C1050" s="325" t="s">
        <v>4289</v>
      </c>
      <c r="D1050" s="326" t="s">
        <v>501</v>
      </c>
      <c r="E1050" s="349">
        <f>IF(B1050&lt;&gt;"",+SUMIF(Items!C:C,'AUX-NIV1'!B1050,Items!H:H),"")</f>
        <v>0</v>
      </c>
      <c r="F1050" s="349">
        <f t="shared" si="1293"/>
        <v>827.44666935586145</v>
      </c>
      <c r="G1050" s="349">
        <f t="shared" si="1294"/>
        <v>0</v>
      </c>
      <c r="H1050" s="1395" t="str">
        <f t="shared" si="1395"/>
        <v>A</v>
      </c>
      <c r="I1050" s="1375" t="s">
        <v>1746</v>
      </c>
      <c r="J1050" s="350" t="str">
        <f>IF(B1050&lt;&gt;"",+VLOOKUP(I1050,Recursos!C:F,2,FALSE),"")</f>
        <v>OFICIAL</v>
      </c>
      <c r="K1050" s="351" t="str">
        <f>IF(B1050&lt;&gt;"",+VLOOKUP(I1050,Recursos!C:F,3,FALSE),"")</f>
        <v>hh</v>
      </c>
      <c r="L1050" s="1475">
        <f>IF(B1050&lt;&gt;"",+VLOOKUP(I1050,Recursos!C:F,4,FALSE),"")</f>
        <v>496.91595439275824</v>
      </c>
      <c r="M1050" s="1631"/>
      <c r="N1050" s="1639">
        <f>1</f>
        <v>1</v>
      </c>
      <c r="O1050" s="1490">
        <f>N1050*M1049</f>
        <v>0.5</v>
      </c>
      <c r="P1050" s="352">
        <f>IF(B1050&lt;&gt;"",O1050*L1050,"")</f>
        <v>248.45797719637912</v>
      </c>
      <c r="Q1050" s="349">
        <f>IF(B1050&lt;&gt;"",+O1050*E1050,"")</f>
        <v>0</v>
      </c>
      <c r="R1050" s="353">
        <f>IF(B1050&lt;&gt;"",Q1050*L1050,"")</f>
        <v>0</v>
      </c>
      <c r="S1050" s="354">
        <f t="shared" si="1299"/>
        <v>670.93840489305148</v>
      </c>
      <c r="T1050" s="354">
        <f t="shared" si="1300"/>
        <v>0</v>
      </c>
      <c r="U1050" s="355">
        <f t="shared" si="1301"/>
        <v>156.5082644628099</v>
      </c>
      <c r="V1050" s="355">
        <f t="shared" si="1302"/>
        <v>0</v>
      </c>
      <c r="W1050" s="355">
        <f t="shared" si="1303"/>
        <v>0</v>
      </c>
      <c r="X1050" s="355">
        <f t="shared" si="1304"/>
        <v>0</v>
      </c>
      <c r="Y1050" s="396"/>
      <c r="Z1050" s="346" t="str">
        <f t="shared" si="1396"/>
        <v>0-VAR03A</v>
      </c>
      <c r="AA1050" s="346" t="str">
        <f t="shared" si="1397"/>
        <v>0-VAR03E</v>
      </c>
      <c r="AB1050" s="346" t="str">
        <f t="shared" si="1398"/>
        <v>0-VAR03M</v>
      </c>
      <c r="AC1050" s="346" t="str">
        <f t="shared" si="1399"/>
        <v>0-VAR03T</v>
      </c>
      <c r="AD1050" s="346" t="str">
        <f t="shared" si="1400"/>
        <v>0-VAR03S</v>
      </c>
      <c r="AE1050" s="346" t="str">
        <f t="shared" si="1401"/>
        <v>0-VAR03X</v>
      </c>
      <c r="AF1050" s="346" t="str">
        <f t="shared" si="1402"/>
        <v>0-VAR03A</v>
      </c>
      <c r="AG1050" s="346">
        <f t="shared" si="1312"/>
        <v>4</v>
      </c>
      <c r="AH1050" s="346">
        <f>IF(B1050&lt;&gt;"",+IF(H1050="x",+VLOOKUP(I1050,'AUX-NIV2'!B:AG,32,FALSE),0),"")</f>
        <v>0</v>
      </c>
      <c r="AI1050" s="346" t="str">
        <f t="shared" si="1403"/>
        <v>0-VAR03</v>
      </c>
      <c r="AK1050" s="347">
        <f t="shared" si="1314"/>
        <v>1049</v>
      </c>
      <c r="AL1050" s="348">
        <f t="shared" si="1404"/>
        <v>1052</v>
      </c>
      <c r="AM1050" s="347" t="e">
        <f>IF(B1050&lt;&gt;"",IF(B1050=#REF!,1+#REF!,1),"")</f>
        <v>#REF!</v>
      </c>
      <c r="AN1050" s="382">
        <f>IF(AND(AH1050&gt;0,B1050&lt;&gt;""),VLOOKUP(I1050,'AUX-NIV2'!$B:$AP,40,FALSE)*O1050,0)</f>
        <v>0</v>
      </c>
      <c r="AO1050" s="382">
        <f t="shared" si="1316"/>
        <v>1.5</v>
      </c>
      <c r="AQ1050" s="395">
        <f>(IF($H1050="x",VLOOKUP($I1050,'AUX-NIV2'!$B:$X,'AUX-NIV1'!AQ$3,FALSE),0)+($AV1050*'AUX-NIV3'!S$4))*$O1050+IF($H1050=AQ$4,$P1050,0)</f>
        <v>248.45797719637912</v>
      </c>
      <c r="AR1050" s="395">
        <f>(IF($H1050="x",VLOOKUP($I1050,'AUX-NIV2'!$B:$X,'AUX-NIV1'!AR$3,FALSE),0)+($AV1050*'AUX-NIV3'!T$4))*$O1050+IF($H1050=AR$4,$P1050,0)</f>
        <v>0</v>
      </c>
      <c r="AS1050" s="395">
        <f>(IF($H1050="x",VLOOKUP($I1050,'AUX-NIV2'!$B:$X,'AUX-NIV1'!AS$3,FALSE),0)+($AV1050*'AUX-NIV3'!U$4))*$O1050+IF($H1050=AS$4,$P1050,0)</f>
        <v>0</v>
      </c>
      <c r="AT1050" s="395">
        <f>(IF($H1050="x",VLOOKUP($I1050,'AUX-NIV2'!$B:$X,'AUX-NIV1'!AT$3,FALSE),0)+($AV1050*'AUX-NIV3'!V$4))*$O1050+IF($H1050=AT$4,$P1050,0)</f>
        <v>0</v>
      </c>
      <c r="AU1050" s="395">
        <f>(IF($H1050="x",VLOOKUP($I1050,'AUX-NIV2'!$B:$X,'AUX-NIV1'!AU$3,FALSE),0)+($AV1050*'AUX-NIV3'!W$4))*$O1050+IF($H1050=AU$4,$P1050,0)</f>
        <v>0</v>
      </c>
      <c r="AV1050" s="395">
        <f>+IF($H1050="x",VLOOKUP($I1050,'AUX-NIV2'!$B:$X,'AUX-NIV1'!AV$3,FALSE),0)</f>
        <v>0</v>
      </c>
    </row>
    <row r="1051" spans="2:48" ht="13.8" hidden="1" thickTop="1">
      <c r="B1051" s="324" t="s">
        <v>4493</v>
      </c>
      <c r="C1051" s="325" t="s">
        <v>4289</v>
      </c>
      <c r="D1051" s="326" t="s">
        <v>501</v>
      </c>
      <c r="E1051" s="349">
        <f>IF(B1051&lt;&gt;"",+SUMIF(Items!C:C,'AUX-NIV1'!B1051,Items!H:H),"")</f>
        <v>0</v>
      </c>
      <c r="F1051" s="349">
        <f t="shared" si="1293"/>
        <v>827.44666935586145</v>
      </c>
      <c r="G1051" s="349">
        <f t="shared" si="1294"/>
        <v>0</v>
      </c>
      <c r="H1051" s="1395" t="str">
        <f t="shared" si="1395"/>
        <v>M</v>
      </c>
      <c r="I1051" s="1375" t="s">
        <v>1889</v>
      </c>
      <c r="J1051" s="350" t="str">
        <f>IF(B1051&lt;&gt;"",+VLOOKUP(I1051,Recursos!C:F,2,FALSE),"")</f>
        <v>CEMENTO PORTLAND (BOLSA 50Kg)</v>
      </c>
      <c r="K1051" s="351" t="str">
        <f>IF(B1051&lt;&gt;"",+VLOOKUP(I1051,Recursos!C:F,3,FALSE),"")</f>
        <v>Un</v>
      </c>
      <c r="L1051" s="1475">
        <f>IF(B1051&lt;&gt;"",+VLOOKUP(I1051,Recursos!C:F,4,FALSE),"")</f>
        <v>661.15702479338847</v>
      </c>
      <c r="M1051" s="1631">
        <v>6</v>
      </c>
      <c r="N1051" s="1639">
        <f>0.02*1.5</f>
        <v>0.03</v>
      </c>
      <c r="O1051" s="1490">
        <f>M1051*N1051</f>
        <v>0.18</v>
      </c>
      <c r="P1051" s="352">
        <f>IF(B1051&lt;&gt;"",O1051*L1051,"")</f>
        <v>119.00826446280992</v>
      </c>
      <c r="Q1051" s="349">
        <f>IF(B1051&lt;&gt;"",+O1051*E1051,"")</f>
        <v>0</v>
      </c>
      <c r="R1051" s="353">
        <f>IF(B1051&lt;&gt;"",Q1051*L1051,"")</f>
        <v>0</v>
      </c>
      <c r="S1051" s="354">
        <f t="shared" si="1299"/>
        <v>670.93840489305148</v>
      </c>
      <c r="T1051" s="354">
        <f t="shared" si="1300"/>
        <v>0</v>
      </c>
      <c r="U1051" s="355">
        <f t="shared" si="1301"/>
        <v>156.5082644628099</v>
      </c>
      <c r="V1051" s="355">
        <f t="shared" si="1302"/>
        <v>0</v>
      </c>
      <c r="W1051" s="355">
        <f t="shared" si="1303"/>
        <v>0</v>
      </c>
      <c r="X1051" s="355">
        <f t="shared" si="1304"/>
        <v>0</v>
      </c>
      <c r="Y1051" s="396"/>
      <c r="Z1051" s="346" t="str">
        <f t="shared" si="1396"/>
        <v>0-VAR03A</v>
      </c>
      <c r="AA1051" s="346" t="str">
        <f t="shared" si="1397"/>
        <v>0-VAR03E</v>
      </c>
      <c r="AB1051" s="346" t="str">
        <f t="shared" si="1398"/>
        <v>0-VAR03M</v>
      </c>
      <c r="AC1051" s="346" t="str">
        <f t="shared" si="1399"/>
        <v>0-VAR03T</v>
      </c>
      <c r="AD1051" s="346" t="str">
        <f t="shared" si="1400"/>
        <v>0-VAR03S</v>
      </c>
      <c r="AE1051" s="346" t="str">
        <f t="shared" si="1401"/>
        <v>0-VAR03X</v>
      </c>
      <c r="AF1051" s="346" t="str">
        <f t="shared" si="1402"/>
        <v>0-VAR03M</v>
      </c>
      <c r="AG1051" s="346">
        <f t="shared" si="1312"/>
        <v>4</v>
      </c>
      <c r="AH1051" s="346">
        <f>IF(B1051&lt;&gt;"",+IF(H1051="x",+VLOOKUP(I1051,'AUX-NIV2'!B:AG,32,FALSE),0),"")</f>
        <v>0</v>
      </c>
      <c r="AI1051" s="346" t="str">
        <f t="shared" si="1403"/>
        <v>0-VAR03</v>
      </c>
      <c r="AK1051" s="347">
        <f t="shared" si="1314"/>
        <v>1049</v>
      </c>
      <c r="AL1051" s="348">
        <f t="shared" si="1404"/>
        <v>1052</v>
      </c>
      <c r="AM1051" s="347" t="e">
        <f>IF(B1051&lt;&gt;"",IF(B1051=#REF!,1+#REF!,1),"")</f>
        <v>#REF!</v>
      </c>
      <c r="AN1051" s="382">
        <f>IF(AND(AH1051&gt;0,B1051&lt;&gt;""),VLOOKUP(I1051,'AUX-NIV2'!$B:$AP,40,FALSE)*O1051,0)</f>
        <v>0</v>
      </c>
      <c r="AO1051" s="382">
        <f t="shared" si="1316"/>
        <v>1.5</v>
      </c>
      <c r="AQ1051" s="395">
        <f>(IF($H1051="x",VLOOKUP($I1051,'AUX-NIV2'!$B:$X,'AUX-NIV1'!AQ$3,FALSE),0)+($AV1051*'AUX-NIV3'!S$4))*$O1051+IF($H1051=AQ$4,$P1051,0)</f>
        <v>0</v>
      </c>
      <c r="AR1051" s="395">
        <f>(IF($H1051="x",VLOOKUP($I1051,'AUX-NIV2'!$B:$X,'AUX-NIV1'!AR$3,FALSE),0)+($AV1051*'AUX-NIV3'!T$4))*$O1051+IF($H1051=AR$4,$P1051,0)</f>
        <v>0</v>
      </c>
      <c r="AS1051" s="395">
        <f>(IF($H1051="x",VLOOKUP($I1051,'AUX-NIV2'!$B:$X,'AUX-NIV1'!AS$3,FALSE),0)+($AV1051*'AUX-NIV3'!U$4))*$O1051+IF($H1051=AS$4,$P1051,0)</f>
        <v>119.00826446280992</v>
      </c>
      <c r="AT1051" s="395">
        <f>(IF($H1051="x",VLOOKUP($I1051,'AUX-NIV2'!$B:$X,'AUX-NIV1'!AT$3,FALSE),0)+($AV1051*'AUX-NIV3'!V$4))*$O1051+IF($H1051=AT$4,$P1051,0)</f>
        <v>0</v>
      </c>
      <c r="AU1051" s="395">
        <f>(IF($H1051="x",VLOOKUP($I1051,'AUX-NIV2'!$B:$X,'AUX-NIV1'!AU$3,FALSE),0)+($AV1051*'AUX-NIV3'!W$4))*$O1051+IF($H1051=AU$4,$P1051,0)</f>
        <v>0</v>
      </c>
      <c r="AV1051" s="395">
        <f>+IF($H1051="x",VLOOKUP($I1051,'AUX-NIV2'!$B:$X,'AUX-NIV1'!AV$3,FALSE),0)</f>
        <v>0</v>
      </c>
    </row>
    <row r="1052" spans="2:48" ht="14.4" hidden="1" thickTop="1" thickBot="1">
      <c r="B1052" s="324" t="s">
        <v>4493</v>
      </c>
      <c r="C1052" s="325" t="s">
        <v>4289</v>
      </c>
      <c r="D1052" s="326" t="s">
        <v>501</v>
      </c>
      <c r="E1052" s="349">
        <f>IF(B1052&lt;&gt;"",+SUMIF(Items!C:C,'AUX-NIV1'!B1052,Items!H:H),"")</f>
        <v>0</v>
      </c>
      <c r="F1052" s="349">
        <f t="shared" si="1293"/>
        <v>827.44666935586145</v>
      </c>
      <c r="G1052" s="349">
        <f t="shared" si="1294"/>
        <v>0</v>
      </c>
      <c r="H1052" s="1395" t="str">
        <f t="shared" ref="H1052:H1057" si="1405">IF(B1052&lt;&gt;"",+LEFT(I1052,1),"")</f>
        <v>M</v>
      </c>
      <c r="I1052" s="1375" t="s">
        <v>4503</v>
      </c>
      <c r="J1052" s="350" t="str">
        <f>IF(B1052&lt;&gt;"",+VLOOKUP(I1052,Recursos!C:F,2,FALSE),"")</f>
        <v>Arena Gruesa Para Revoques</v>
      </c>
      <c r="K1052" s="351" t="str">
        <f>IF(B1052&lt;&gt;"",+VLOOKUP(I1052,Recursos!C:F,3,FALSE),"")</f>
        <v>m3</v>
      </c>
      <c r="L1052" s="1475">
        <f>IF(B1052&lt;&gt;"",+VLOOKUP(I1052,Recursos!C:F,4,FALSE),"")</f>
        <v>1500</v>
      </c>
      <c r="M1052" s="1622">
        <v>1.25</v>
      </c>
      <c r="N1052" s="1623">
        <f>0.02</f>
        <v>0.02</v>
      </c>
      <c r="O1052" s="1490">
        <f>M1052*N1052</f>
        <v>2.5000000000000001E-2</v>
      </c>
      <c r="P1052" s="352">
        <f>IF(B1052&lt;&gt;"",O1052*L1052,"")</f>
        <v>37.5</v>
      </c>
      <c r="Q1052" s="349">
        <f>IF(B1052&lt;&gt;"",+O1052*E1052,"")</f>
        <v>0</v>
      </c>
      <c r="R1052" s="353">
        <f>IF(B1052&lt;&gt;"",Q1052*L1052,"")</f>
        <v>0</v>
      </c>
      <c r="S1052" s="354">
        <f t="shared" si="1299"/>
        <v>670.93840489305148</v>
      </c>
      <c r="T1052" s="354">
        <f t="shared" si="1300"/>
        <v>0</v>
      </c>
      <c r="U1052" s="355">
        <f t="shared" si="1301"/>
        <v>156.5082644628099</v>
      </c>
      <c r="V1052" s="355">
        <f t="shared" si="1302"/>
        <v>0</v>
      </c>
      <c r="W1052" s="355">
        <f t="shared" si="1303"/>
        <v>0</v>
      </c>
      <c r="X1052" s="355">
        <f t="shared" si="1304"/>
        <v>0</v>
      </c>
      <c r="Y1052" s="396"/>
      <c r="Z1052" s="346" t="str">
        <f t="shared" ref="Z1052:Z1057" si="1406">IF(B1052&lt;&gt;"",+$B1052&amp;"A","")</f>
        <v>0-VAR03A</v>
      </c>
      <c r="AA1052" s="346" t="str">
        <f t="shared" ref="AA1052:AA1057" si="1407">IF(B1052&lt;&gt;"",+$B1052&amp;"E","")</f>
        <v>0-VAR03E</v>
      </c>
      <c r="AB1052" s="346" t="str">
        <f t="shared" ref="AB1052:AB1057" si="1408">IF(B1052&lt;&gt;"",++$B1052&amp;"M","")</f>
        <v>0-VAR03M</v>
      </c>
      <c r="AC1052" s="346" t="str">
        <f t="shared" ref="AC1052:AC1057" si="1409">IF(B1052&lt;&gt;"",+$B1052&amp;"T","")</f>
        <v>0-VAR03T</v>
      </c>
      <c r="AD1052" s="346" t="str">
        <f t="shared" ref="AD1052:AD1057" si="1410">IF(B1052&lt;&gt;"",+$B1052&amp;"S","")</f>
        <v>0-VAR03S</v>
      </c>
      <c r="AE1052" s="346" t="str">
        <f t="shared" ref="AE1052:AE1057" si="1411">IF(B1052&lt;&gt;"",+$B1052&amp;"X","")</f>
        <v>0-VAR03X</v>
      </c>
      <c r="AF1052" s="346" t="str">
        <f t="shared" ref="AF1052:AF1057" si="1412">IF(B1052&lt;&gt;"",+B1052&amp;H1052,"")</f>
        <v>0-VAR03M</v>
      </c>
      <c r="AG1052" s="346">
        <f t="shared" si="1312"/>
        <v>4</v>
      </c>
      <c r="AH1052" s="346">
        <f>IF(B1052&lt;&gt;"",+IF(H1052="x",+VLOOKUP(I1052,'AUX-NIV2'!B:AG,32,FALSE),0),"")</f>
        <v>0</v>
      </c>
      <c r="AI1052" s="346" t="str">
        <f t="shared" ref="AI1052:AI1057" si="1413">IF(B1052&lt;&gt;"",+B1052,"")</f>
        <v>0-VAR03</v>
      </c>
      <c r="AK1052" s="347">
        <f t="shared" si="1314"/>
        <v>1049</v>
      </c>
      <c r="AL1052" s="348">
        <f t="shared" ref="AL1052:AL1057" si="1414">IF(B1052&lt;&gt;"",+AK1052+AG1052-1,"")</f>
        <v>1052</v>
      </c>
      <c r="AM1052" s="347" t="e">
        <f>IF(B1052&lt;&gt;"",IF(B1052=#REF!,1+#REF!,1),"")</f>
        <v>#REF!</v>
      </c>
      <c r="AN1052" s="382">
        <f>IF(AND(AH1052&gt;0,B1052&lt;&gt;""),VLOOKUP(I1052,'AUX-NIV2'!$B:$AP,40,FALSE)*O1052,0)</f>
        <v>0</v>
      </c>
      <c r="AO1052" s="382">
        <f t="shared" si="1316"/>
        <v>1.5</v>
      </c>
      <c r="AQ1052" s="395">
        <f>(IF($H1052="x",VLOOKUP($I1052,'AUX-NIV2'!$B:$X,'AUX-NIV1'!AQ$3,FALSE),0)+($AV1052*'AUX-NIV3'!S$4))*$O1052+IF($H1052=AQ$4,$P1052,0)</f>
        <v>0</v>
      </c>
      <c r="AR1052" s="395">
        <f>(IF($H1052="x",VLOOKUP($I1052,'AUX-NIV2'!$B:$X,'AUX-NIV1'!AR$3,FALSE),0)+($AV1052*'AUX-NIV3'!T$4))*$O1052+IF($H1052=AR$4,$P1052,0)</f>
        <v>0</v>
      </c>
      <c r="AS1052" s="395">
        <f>(IF($H1052="x",VLOOKUP($I1052,'AUX-NIV2'!$B:$X,'AUX-NIV1'!AS$3,FALSE),0)+($AV1052*'AUX-NIV3'!U$4))*$O1052+IF($H1052=AS$4,$P1052,0)</f>
        <v>37.5</v>
      </c>
      <c r="AT1052" s="395">
        <f>(IF($H1052="x",VLOOKUP($I1052,'AUX-NIV2'!$B:$X,'AUX-NIV1'!AT$3,FALSE),0)+($AV1052*'AUX-NIV3'!V$4))*$O1052+IF($H1052=AT$4,$P1052,0)</f>
        <v>0</v>
      </c>
      <c r="AU1052" s="395">
        <f>(IF($H1052="x",VLOOKUP($I1052,'AUX-NIV2'!$B:$X,'AUX-NIV1'!AU$3,FALSE),0)+($AV1052*'AUX-NIV3'!W$4))*$O1052+IF($H1052=AU$4,$P1052,0)</f>
        <v>0</v>
      </c>
      <c r="AV1052" s="395">
        <f>+IF($H1052="x",VLOOKUP($I1052,'AUX-NIV2'!$B:$X,'AUX-NIV1'!AV$3,FALSE),0)</f>
        <v>0</v>
      </c>
    </row>
    <row r="1053" spans="2:48" ht="13.8" hidden="1" thickTop="1">
      <c r="B1053" s="324" t="s">
        <v>4494</v>
      </c>
      <c r="C1053" s="325" t="s">
        <v>4290</v>
      </c>
      <c r="D1053" s="326" t="s">
        <v>501</v>
      </c>
      <c r="E1053" s="349">
        <f>IF(B1053&lt;&gt;"",+SUMIF(Items!C:C,'AUX-NIV1'!B1053,Items!H:H),"")</f>
        <v>0</v>
      </c>
      <c r="F1053" s="349">
        <f t="shared" si="1293"/>
        <v>389.38792764178862</v>
      </c>
      <c r="G1053" s="349">
        <f t="shared" si="1294"/>
        <v>0</v>
      </c>
      <c r="H1053" s="1395" t="str">
        <f t="shared" si="1405"/>
        <v>A</v>
      </c>
      <c r="I1053" s="1375" t="s">
        <v>1745</v>
      </c>
      <c r="J1053" s="350" t="str">
        <f>IF(B1053&lt;&gt;"",+VLOOKUP(I1053,Recursos!C:F,2,FALSE),"")</f>
        <v>AYUDANTE</v>
      </c>
      <c r="K1053" s="351" t="str">
        <f>IF(B1053&lt;&gt;"",+VLOOKUP(I1053,Recursos!C:F,3,FALSE),"")</f>
        <v>hh</v>
      </c>
      <c r="L1053" s="1475">
        <f>IF(B1053&lt;&gt;"",+VLOOKUP(I1053,Recursos!C:F,4,FALSE),"")</f>
        <v>422.48042769667234</v>
      </c>
      <c r="M1053" s="1631">
        <f>1/50</f>
        <v>0.02</v>
      </c>
      <c r="N1053" s="1639">
        <f>1*M1053</f>
        <v>0.02</v>
      </c>
      <c r="O1053" s="1490">
        <f t="shared" si="1267"/>
        <v>0.02</v>
      </c>
      <c r="P1053" s="352">
        <f t="shared" ref="P1053:P1057" si="1415">IF(B1053&lt;&gt;"",O1053*L1053,"")</f>
        <v>8.4496085539334462</v>
      </c>
      <c r="Q1053" s="349">
        <f t="shared" ref="Q1053:Q1057" si="1416">IF(B1053&lt;&gt;"",+O1053*E1053,"")</f>
        <v>0</v>
      </c>
      <c r="R1053" s="353">
        <f t="shared" ref="R1053:R1057" si="1417">IF(B1053&lt;&gt;"",Q1053*L1053,"")</f>
        <v>0</v>
      </c>
      <c r="S1053" s="354">
        <f t="shared" si="1299"/>
        <v>18.387927641788611</v>
      </c>
      <c r="T1053" s="354">
        <f t="shared" si="1300"/>
        <v>0</v>
      </c>
      <c r="U1053" s="355">
        <f t="shared" si="1301"/>
        <v>371</v>
      </c>
      <c r="V1053" s="355">
        <f t="shared" si="1302"/>
        <v>0</v>
      </c>
      <c r="W1053" s="355">
        <f t="shared" si="1303"/>
        <v>0</v>
      </c>
      <c r="X1053" s="355">
        <f t="shared" si="1304"/>
        <v>0</v>
      </c>
      <c r="Y1053" s="396"/>
      <c r="Z1053" s="346" t="str">
        <f t="shared" si="1406"/>
        <v>0-VAR04A</v>
      </c>
      <c r="AA1053" s="346" t="str">
        <f t="shared" si="1407"/>
        <v>0-VAR04E</v>
      </c>
      <c r="AB1053" s="346" t="str">
        <f t="shared" si="1408"/>
        <v>0-VAR04M</v>
      </c>
      <c r="AC1053" s="346" t="str">
        <f t="shared" si="1409"/>
        <v>0-VAR04T</v>
      </c>
      <c r="AD1053" s="346" t="str">
        <f t="shared" si="1410"/>
        <v>0-VAR04S</v>
      </c>
      <c r="AE1053" s="346" t="str">
        <f t="shared" si="1411"/>
        <v>0-VAR04X</v>
      </c>
      <c r="AF1053" s="346" t="str">
        <f t="shared" si="1412"/>
        <v>0-VAR04A</v>
      </c>
      <c r="AG1053" s="346">
        <f t="shared" si="1312"/>
        <v>4</v>
      </c>
      <c r="AH1053" s="346">
        <f>IF(B1053&lt;&gt;"",+IF(H1053="x",+VLOOKUP(I1053,'AUX-NIV2'!B:AG,32,FALSE),0),"")</f>
        <v>0</v>
      </c>
      <c r="AI1053" s="346" t="str">
        <f t="shared" si="1413"/>
        <v>0-VAR04</v>
      </c>
      <c r="AK1053" s="347">
        <f t="shared" si="1314"/>
        <v>1053</v>
      </c>
      <c r="AL1053" s="348">
        <f t="shared" si="1414"/>
        <v>1056</v>
      </c>
      <c r="AM1053" s="347" t="e">
        <f>IF(B1053&lt;&gt;"",IF(B1053=#REF!,1+#REF!,1),"")</f>
        <v>#REF!</v>
      </c>
      <c r="AN1053" s="382">
        <f>IF(AND(AH1053&gt;0,B1053&lt;&gt;""),VLOOKUP(I1053,'AUX-NIV2'!$B:$AP,40,FALSE)*O1053,0)</f>
        <v>0</v>
      </c>
      <c r="AO1053" s="382">
        <f t="shared" si="1316"/>
        <v>0.04</v>
      </c>
      <c r="AQ1053" s="395">
        <f>(IF($H1053="x",VLOOKUP($I1053,'AUX-NIV2'!$B:$X,'AUX-NIV1'!AQ$3,FALSE),0)+($AV1053*'AUX-NIV3'!S$4))*$O1053+IF($H1053=AQ$4,$P1053,0)</f>
        <v>8.4496085539334462</v>
      </c>
      <c r="AR1053" s="395">
        <f>(IF($H1053="x",VLOOKUP($I1053,'AUX-NIV2'!$B:$X,'AUX-NIV1'!AR$3,FALSE),0)+($AV1053*'AUX-NIV3'!T$4))*$O1053+IF($H1053=AR$4,$P1053,0)</f>
        <v>0</v>
      </c>
      <c r="AS1053" s="395">
        <f>(IF($H1053="x",VLOOKUP($I1053,'AUX-NIV2'!$B:$X,'AUX-NIV1'!AS$3,FALSE),0)+($AV1053*'AUX-NIV3'!U$4))*$O1053+IF($H1053=AS$4,$P1053,0)</f>
        <v>0</v>
      </c>
      <c r="AT1053" s="395">
        <f>(IF($H1053="x",VLOOKUP($I1053,'AUX-NIV2'!$B:$X,'AUX-NIV1'!AT$3,FALSE),0)+($AV1053*'AUX-NIV3'!V$4))*$O1053+IF($H1053=AT$4,$P1053,0)</f>
        <v>0</v>
      </c>
      <c r="AU1053" s="395">
        <f>(IF($H1053="x",VLOOKUP($I1053,'AUX-NIV2'!$B:$X,'AUX-NIV1'!AU$3,FALSE),0)+($AV1053*'AUX-NIV3'!W$4))*$O1053+IF($H1053=AU$4,$P1053,0)</f>
        <v>0</v>
      </c>
      <c r="AV1053" s="395">
        <f>+IF($H1053="x",VLOOKUP($I1053,'AUX-NIV2'!$B:$X,'AUX-NIV1'!AV$3,FALSE),0)</f>
        <v>0</v>
      </c>
    </row>
    <row r="1054" spans="2:48" ht="13.8" hidden="1" thickTop="1">
      <c r="B1054" s="324" t="s">
        <v>4494</v>
      </c>
      <c r="C1054" s="325" t="s">
        <v>4290</v>
      </c>
      <c r="D1054" s="326" t="s">
        <v>501</v>
      </c>
      <c r="E1054" s="349">
        <f>IF(B1054&lt;&gt;"",+SUMIF(Items!C:C,'AUX-NIV1'!B1054,Items!H:H),"")</f>
        <v>0</v>
      </c>
      <c r="F1054" s="349">
        <f t="shared" si="1293"/>
        <v>389.38792764178862</v>
      </c>
      <c r="G1054" s="349">
        <f t="shared" si="1294"/>
        <v>0</v>
      </c>
      <c r="H1054" s="1395" t="str">
        <f t="shared" ref="H1054" si="1418">IF(B1054&lt;&gt;"",+LEFT(I1054,1),"")</f>
        <v>A</v>
      </c>
      <c r="I1054" s="1375" t="s">
        <v>1746</v>
      </c>
      <c r="J1054" s="350" t="str">
        <f>IF(B1054&lt;&gt;"",+VLOOKUP(I1054,Recursos!C:F,2,FALSE),"")</f>
        <v>OFICIAL</v>
      </c>
      <c r="K1054" s="351" t="str">
        <f>IF(B1054&lt;&gt;"",+VLOOKUP(I1054,Recursos!C:F,3,FALSE),"")</f>
        <v>hh</v>
      </c>
      <c r="L1054" s="1475">
        <f>IF(B1054&lt;&gt;"",+VLOOKUP(I1054,Recursos!C:F,4,FALSE),"")</f>
        <v>496.91595439275824</v>
      </c>
      <c r="M1054" s="1631"/>
      <c r="N1054" s="1639">
        <f>1*M1053</f>
        <v>0.02</v>
      </c>
      <c r="O1054" s="1490">
        <f t="shared" si="1267"/>
        <v>0.02</v>
      </c>
      <c r="P1054" s="352">
        <f t="shared" ref="P1054" si="1419">IF(B1054&lt;&gt;"",O1054*L1054,"")</f>
        <v>9.9383190878551648</v>
      </c>
      <c r="Q1054" s="349">
        <f t="shared" ref="Q1054" si="1420">IF(B1054&lt;&gt;"",+O1054*E1054,"")</f>
        <v>0</v>
      </c>
      <c r="R1054" s="353">
        <f t="shared" ref="R1054" si="1421">IF(B1054&lt;&gt;"",Q1054*L1054,"")</f>
        <v>0</v>
      </c>
      <c r="S1054" s="354">
        <f t="shared" si="1299"/>
        <v>18.387927641788611</v>
      </c>
      <c r="T1054" s="354">
        <f t="shared" si="1300"/>
        <v>0</v>
      </c>
      <c r="U1054" s="355">
        <f t="shared" si="1301"/>
        <v>371</v>
      </c>
      <c r="V1054" s="355">
        <f t="shared" si="1302"/>
        <v>0</v>
      </c>
      <c r="W1054" s="355">
        <f t="shared" si="1303"/>
        <v>0</v>
      </c>
      <c r="X1054" s="355">
        <f t="shared" si="1304"/>
        <v>0</v>
      </c>
      <c r="Y1054" s="396"/>
      <c r="Z1054" s="346" t="str">
        <f t="shared" ref="Z1054" si="1422">IF(B1054&lt;&gt;"",+$B1054&amp;"A","")</f>
        <v>0-VAR04A</v>
      </c>
      <c r="AA1054" s="346" t="str">
        <f t="shared" ref="AA1054" si="1423">IF(B1054&lt;&gt;"",+$B1054&amp;"E","")</f>
        <v>0-VAR04E</v>
      </c>
      <c r="AB1054" s="346" t="str">
        <f t="shared" ref="AB1054" si="1424">IF(B1054&lt;&gt;"",++$B1054&amp;"M","")</f>
        <v>0-VAR04M</v>
      </c>
      <c r="AC1054" s="346" t="str">
        <f t="shared" ref="AC1054" si="1425">IF(B1054&lt;&gt;"",+$B1054&amp;"T","")</f>
        <v>0-VAR04T</v>
      </c>
      <c r="AD1054" s="346" t="str">
        <f t="shared" ref="AD1054" si="1426">IF(B1054&lt;&gt;"",+$B1054&amp;"S","")</f>
        <v>0-VAR04S</v>
      </c>
      <c r="AE1054" s="346" t="str">
        <f t="shared" ref="AE1054" si="1427">IF(B1054&lt;&gt;"",+$B1054&amp;"X","")</f>
        <v>0-VAR04X</v>
      </c>
      <c r="AF1054" s="346" t="str">
        <f t="shared" ref="AF1054" si="1428">IF(B1054&lt;&gt;"",+B1054&amp;H1054,"")</f>
        <v>0-VAR04A</v>
      </c>
      <c r="AG1054" s="346">
        <f t="shared" si="1312"/>
        <v>4</v>
      </c>
      <c r="AH1054" s="346">
        <f>IF(B1054&lt;&gt;"",+IF(H1054="x",+VLOOKUP(I1054,'AUX-NIV2'!B:AG,32,FALSE),0),"")</f>
        <v>0</v>
      </c>
      <c r="AI1054" s="346" t="str">
        <f t="shared" ref="AI1054" si="1429">IF(B1054&lt;&gt;"",+B1054,"")</f>
        <v>0-VAR04</v>
      </c>
      <c r="AK1054" s="347">
        <f t="shared" si="1314"/>
        <v>1053</v>
      </c>
      <c r="AL1054" s="348">
        <f t="shared" ref="AL1054" si="1430">IF(B1054&lt;&gt;"",+AK1054+AG1054-1,"")</f>
        <v>1056</v>
      </c>
      <c r="AM1054" s="347" t="e">
        <f>IF(B1054&lt;&gt;"",IF(B1054=#REF!,1+#REF!,1),"")</f>
        <v>#REF!</v>
      </c>
      <c r="AN1054" s="382">
        <f>IF(AND(AH1054&gt;0,B1054&lt;&gt;""),VLOOKUP(I1054,'AUX-NIV2'!$B:$AP,40,FALSE)*O1054,0)</f>
        <v>0</v>
      </c>
      <c r="AO1054" s="382">
        <f t="shared" si="1316"/>
        <v>0.04</v>
      </c>
      <c r="AQ1054" s="395">
        <f>(IF($H1054="x",VLOOKUP($I1054,'AUX-NIV2'!$B:$X,'AUX-NIV1'!AQ$3,FALSE),0)+($AV1054*'AUX-NIV3'!S$4))*$O1054+IF($H1054=AQ$4,$P1054,0)</f>
        <v>9.9383190878551648</v>
      </c>
      <c r="AR1054" s="395">
        <f>(IF($H1054="x",VLOOKUP($I1054,'AUX-NIV2'!$B:$X,'AUX-NIV1'!AR$3,FALSE),0)+($AV1054*'AUX-NIV3'!T$4))*$O1054+IF($H1054=AR$4,$P1054,0)</f>
        <v>0</v>
      </c>
      <c r="AS1054" s="395">
        <f>(IF($H1054="x",VLOOKUP($I1054,'AUX-NIV2'!$B:$X,'AUX-NIV1'!AS$3,FALSE),0)+($AV1054*'AUX-NIV3'!U$4))*$O1054+IF($H1054=AS$4,$P1054,0)</f>
        <v>0</v>
      </c>
      <c r="AT1054" s="395">
        <f>(IF($H1054="x",VLOOKUP($I1054,'AUX-NIV2'!$B:$X,'AUX-NIV1'!AT$3,FALSE),0)+($AV1054*'AUX-NIV3'!V$4))*$O1054+IF($H1054=AT$4,$P1054,0)</f>
        <v>0</v>
      </c>
      <c r="AU1054" s="395">
        <f>(IF($H1054="x",VLOOKUP($I1054,'AUX-NIV2'!$B:$X,'AUX-NIV1'!AU$3,FALSE),0)+($AV1054*'AUX-NIV3'!W$4))*$O1054+IF($H1054=AU$4,$P1054,0)</f>
        <v>0</v>
      </c>
      <c r="AV1054" s="395">
        <f>+IF($H1054="x",VLOOKUP($I1054,'AUX-NIV2'!$B:$X,'AUX-NIV1'!AV$3,FALSE),0)</f>
        <v>0</v>
      </c>
    </row>
    <row r="1055" spans="2:48" ht="13.8" hidden="1" thickTop="1">
      <c r="B1055" s="324" t="s">
        <v>4494</v>
      </c>
      <c r="C1055" s="325" t="s">
        <v>4290</v>
      </c>
      <c r="D1055" s="326" t="s">
        <v>501</v>
      </c>
      <c r="E1055" s="349">
        <f>IF(B1055&lt;&gt;"",+SUMIF(Items!C:C,'AUX-NIV1'!B1055,Items!H:H),"")</f>
        <v>0</v>
      </c>
      <c r="F1055" s="349">
        <f t="shared" si="1293"/>
        <v>389.38792764178862</v>
      </c>
      <c r="G1055" s="349">
        <f t="shared" si="1294"/>
        <v>0</v>
      </c>
      <c r="H1055" s="1395" t="str">
        <f t="shared" si="1405"/>
        <v>M</v>
      </c>
      <c r="I1055" s="1375" t="s">
        <v>4504</v>
      </c>
      <c r="J1055" s="350" t="str">
        <f>IF(B1055&lt;&gt;"",+VLOOKUP(I1055,Recursos!C:F,2,FALSE),"")</f>
        <v>Membrana Líquida</v>
      </c>
      <c r="K1055" s="351" t="str">
        <f>IF(B1055&lt;&gt;"",+VLOOKUP(I1055,Recursos!C:F,3,FALSE),"")</f>
        <v>kg</v>
      </c>
      <c r="L1055" s="1475">
        <f>IF(B1055&lt;&gt;"",+VLOOKUP(I1055,Recursos!C:F,4,FALSE),"")</f>
        <v>305</v>
      </c>
      <c r="M1055" s="1631"/>
      <c r="N1055" s="1639">
        <v>1.2</v>
      </c>
      <c r="O1055" s="1490">
        <f>N1055</f>
        <v>1.2</v>
      </c>
      <c r="P1055" s="352">
        <f t="shared" si="1415"/>
        <v>366</v>
      </c>
      <c r="Q1055" s="349">
        <f t="shared" si="1416"/>
        <v>0</v>
      </c>
      <c r="R1055" s="353">
        <f t="shared" si="1417"/>
        <v>0</v>
      </c>
      <c r="S1055" s="354">
        <f t="shared" si="1299"/>
        <v>18.387927641788611</v>
      </c>
      <c r="T1055" s="354">
        <f t="shared" si="1300"/>
        <v>0</v>
      </c>
      <c r="U1055" s="355">
        <f t="shared" si="1301"/>
        <v>371</v>
      </c>
      <c r="V1055" s="355">
        <f t="shared" si="1302"/>
        <v>0</v>
      </c>
      <c r="W1055" s="355">
        <f t="shared" si="1303"/>
        <v>0</v>
      </c>
      <c r="X1055" s="355">
        <f t="shared" si="1304"/>
        <v>0</v>
      </c>
      <c r="Y1055" s="396"/>
      <c r="Z1055" s="346" t="str">
        <f t="shared" si="1406"/>
        <v>0-VAR04A</v>
      </c>
      <c r="AA1055" s="346" t="str">
        <f t="shared" si="1407"/>
        <v>0-VAR04E</v>
      </c>
      <c r="AB1055" s="346" t="str">
        <f t="shared" si="1408"/>
        <v>0-VAR04M</v>
      </c>
      <c r="AC1055" s="346" t="str">
        <f t="shared" si="1409"/>
        <v>0-VAR04T</v>
      </c>
      <c r="AD1055" s="346" t="str">
        <f t="shared" si="1410"/>
        <v>0-VAR04S</v>
      </c>
      <c r="AE1055" s="346" t="str">
        <f t="shared" si="1411"/>
        <v>0-VAR04X</v>
      </c>
      <c r="AF1055" s="346" t="str">
        <f t="shared" si="1412"/>
        <v>0-VAR04M</v>
      </c>
      <c r="AG1055" s="346">
        <f t="shared" si="1312"/>
        <v>4</v>
      </c>
      <c r="AH1055" s="346">
        <f>IF(B1055&lt;&gt;"",+IF(H1055="x",+VLOOKUP(I1055,'AUX-NIV2'!B:AG,32,FALSE),0),"")</f>
        <v>0</v>
      </c>
      <c r="AI1055" s="346" t="str">
        <f t="shared" si="1413"/>
        <v>0-VAR04</v>
      </c>
      <c r="AK1055" s="347">
        <f t="shared" si="1314"/>
        <v>1053</v>
      </c>
      <c r="AL1055" s="348">
        <f t="shared" si="1414"/>
        <v>1056</v>
      </c>
      <c r="AM1055" s="347" t="e">
        <f>IF(B1055&lt;&gt;"",IF(B1055=#REF!,1+#REF!,1),"")</f>
        <v>#REF!</v>
      </c>
      <c r="AN1055" s="382">
        <f>IF(AND(AH1055&gt;0,B1055&lt;&gt;""),VLOOKUP(I1055,'AUX-NIV2'!$B:$AP,40,FALSE)*O1055,0)</f>
        <v>0</v>
      </c>
      <c r="AO1055" s="382">
        <f t="shared" si="1316"/>
        <v>0.04</v>
      </c>
      <c r="AQ1055" s="395">
        <f>(IF($H1055="x",VLOOKUP($I1055,'AUX-NIV2'!$B:$X,'AUX-NIV1'!AQ$3,FALSE),0)+($AV1055*'AUX-NIV3'!S$4))*$O1055+IF($H1055=AQ$4,$P1055,0)</f>
        <v>0</v>
      </c>
      <c r="AR1055" s="395">
        <f>(IF($H1055="x",VLOOKUP($I1055,'AUX-NIV2'!$B:$X,'AUX-NIV1'!AR$3,FALSE),0)+($AV1055*'AUX-NIV3'!T$4))*$O1055+IF($H1055=AR$4,$P1055,0)</f>
        <v>0</v>
      </c>
      <c r="AS1055" s="395">
        <f>(IF($H1055="x",VLOOKUP($I1055,'AUX-NIV2'!$B:$X,'AUX-NIV1'!AS$3,FALSE),0)+($AV1055*'AUX-NIV3'!U$4))*$O1055+IF($H1055=AS$4,$P1055,0)</f>
        <v>366</v>
      </c>
      <c r="AT1055" s="395">
        <f>(IF($H1055="x",VLOOKUP($I1055,'AUX-NIV2'!$B:$X,'AUX-NIV1'!AT$3,FALSE),0)+($AV1055*'AUX-NIV3'!V$4))*$O1055+IF($H1055=AT$4,$P1055,0)</f>
        <v>0</v>
      </c>
      <c r="AU1055" s="395">
        <f>(IF($H1055="x",VLOOKUP($I1055,'AUX-NIV2'!$B:$X,'AUX-NIV1'!AU$3,FALSE),0)+($AV1055*'AUX-NIV3'!W$4))*$O1055+IF($H1055=AU$4,$P1055,0)</f>
        <v>0</v>
      </c>
      <c r="AV1055" s="395">
        <f>+IF($H1055="x",VLOOKUP($I1055,'AUX-NIV2'!$B:$X,'AUX-NIV1'!AV$3,FALSE),0)</f>
        <v>0</v>
      </c>
    </row>
    <row r="1056" spans="2:48" ht="14.4" hidden="1" thickTop="1" thickBot="1">
      <c r="B1056" s="324" t="s">
        <v>4494</v>
      </c>
      <c r="C1056" s="325" t="s">
        <v>4290</v>
      </c>
      <c r="D1056" s="326" t="s">
        <v>501</v>
      </c>
      <c r="E1056" s="349">
        <f>IF(B1056&lt;&gt;"",+SUMIF(Items!C:C,'AUX-NIV1'!B1056,Items!H:H),"")</f>
        <v>0</v>
      </c>
      <c r="F1056" s="349">
        <f t="shared" si="1293"/>
        <v>389.38792764178862</v>
      </c>
      <c r="G1056" s="349">
        <f t="shared" si="1294"/>
        <v>0</v>
      </c>
      <c r="H1056" s="1395" t="str">
        <f t="shared" si="1405"/>
        <v>M</v>
      </c>
      <c r="I1056" s="1375" t="s">
        <v>621</v>
      </c>
      <c r="J1056" s="350" t="str">
        <f>IF(B1056&lt;&gt;"",+VLOOKUP(I1056,Recursos!C:F,2,FALSE),"")</f>
        <v>MATERIALES VARIOS</v>
      </c>
      <c r="K1056" s="351" t="str">
        <f>IF(B1056&lt;&gt;"",+VLOOKUP(I1056,Recursos!C:F,3,FALSE),"")</f>
        <v>GL</v>
      </c>
      <c r="L1056" s="1475">
        <f>IF(B1056&lt;&gt;"",+VLOOKUP(I1056,Recursos!C:F,4,FALSE),"")</f>
        <v>0.5</v>
      </c>
      <c r="M1056" s="1622"/>
      <c r="N1056" s="1623">
        <v>10</v>
      </c>
      <c r="O1056" s="1490">
        <f t="shared" si="1267"/>
        <v>10</v>
      </c>
      <c r="P1056" s="352">
        <f t="shared" si="1415"/>
        <v>5</v>
      </c>
      <c r="Q1056" s="349">
        <f t="shared" si="1416"/>
        <v>0</v>
      </c>
      <c r="R1056" s="353">
        <f t="shared" si="1417"/>
        <v>0</v>
      </c>
      <c r="S1056" s="354">
        <f t="shared" si="1299"/>
        <v>18.387927641788611</v>
      </c>
      <c r="T1056" s="354">
        <f t="shared" si="1300"/>
        <v>0</v>
      </c>
      <c r="U1056" s="355">
        <f t="shared" si="1301"/>
        <v>371</v>
      </c>
      <c r="V1056" s="355">
        <f t="shared" si="1302"/>
        <v>0</v>
      </c>
      <c r="W1056" s="355">
        <f t="shared" si="1303"/>
        <v>0</v>
      </c>
      <c r="X1056" s="355">
        <f t="shared" si="1304"/>
        <v>0</v>
      </c>
      <c r="Y1056" s="396"/>
      <c r="Z1056" s="346" t="str">
        <f t="shared" si="1406"/>
        <v>0-VAR04A</v>
      </c>
      <c r="AA1056" s="346" t="str">
        <f t="shared" si="1407"/>
        <v>0-VAR04E</v>
      </c>
      <c r="AB1056" s="346" t="str">
        <f t="shared" si="1408"/>
        <v>0-VAR04M</v>
      </c>
      <c r="AC1056" s="346" t="str">
        <f t="shared" si="1409"/>
        <v>0-VAR04T</v>
      </c>
      <c r="AD1056" s="346" t="str">
        <f t="shared" si="1410"/>
        <v>0-VAR04S</v>
      </c>
      <c r="AE1056" s="346" t="str">
        <f t="shared" si="1411"/>
        <v>0-VAR04X</v>
      </c>
      <c r="AF1056" s="346" t="str">
        <f t="shared" si="1412"/>
        <v>0-VAR04M</v>
      </c>
      <c r="AG1056" s="346">
        <f t="shared" si="1312"/>
        <v>4</v>
      </c>
      <c r="AH1056" s="346">
        <f>IF(B1056&lt;&gt;"",+IF(H1056="x",+VLOOKUP(I1056,'AUX-NIV2'!B:AG,32,FALSE),0),"")</f>
        <v>0</v>
      </c>
      <c r="AI1056" s="346" t="str">
        <f t="shared" si="1413"/>
        <v>0-VAR04</v>
      </c>
      <c r="AK1056" s="347">
        <f t="shared" si="1314"/>
        <v>1053</v>
      </c>
      <c r="AL1056" s="348">
        <f t="shared" si="1414"/>
        <v>1056</v>
      </c>
      <c r="AM1056" s="347" t="e">
        <f>IF(B1056&lt;&gt;"",IF(B1056=#REF!,1+#REF!,1),"")</f>
        <v>#REF!</v>
      </c>
      <c r="AN1056" s="382">
        <f>IF(AND(AH1056&gt;0,B1056&lt;&gt;""),VLOOKUP(I1056,'AUX-NIV2'!$B:$AP,40,FALSE)*O1056,0)</f>
        <v>0</v>
      </c>
      <c r="AO1056" s="382">
        <f t="shared" si="1316"/>
        <v>0.04</v>
      </c>
      <c r="AQ1056" s="395">
        <f>(IF($H1056="x",VLOOKUP($I1056,'AUX-NIV2'!$B:$X,'AUX-NIV1'!AQ$3,FALSE),0)+($AV1056*'AUX-NIV3'!S$4))*$O1056+IF($H1056=AQ$4,$P1056,0)</f>
        <v>0</v>
      </c>
      <c r="AR1056" s="395">
        <f>(IF($H1056="x",VLOOKUP($I1056,'AUX-NIV2'!$B:$X,'AUX-NIV1'!AR$3,FALSE),0)+($AV1056*'AUX-NIV3'!T$4))*$O1056+IF($H1056=AR$4,$P1056,0)</f>
        <v>0</v>
      </c>
      <c r="AS1056" s="395">
        <f>(IF($H1056="x",VLOOKUP($I1056,'AUX-NIV2'!$B:$X,'AUX-NIV1'!AS$3,FALSE),0)+($AV1056*'AUX-NIV3'!U$4))*$O1056+IF($H1056=AS$4,$P1056,0)</f>
        <v>5</v>
      </c>
      <c r="AT1056" s="395">
        <f>(IF($H1056="x",VLOOKUP($I1056,'AUX-NIV2'!$B:$X,'AUX-NIV1'!AT$3,FALSE),0)+($AV1056*'AUX-NIV3'!V$4))*$O1056+IF($H1056=AT$4,$P1056,0)</f>
        <v>0</v>
      </c>
      <c r="AU1056" s="395">
        <f>(IF($H1056="x",VLOOKUP($I1056,'AUX-NIV2'!$B:$X,'AUX-NIV1'!AU$3,FALSE),0)+($AV1056*'AUX-NIV3'!W$4))*$O1056+IF($H1056=AU$4,$P1056,0)</f>
        <v>0</v>
      </c>
      <c r="AV1056" s="395">
        <f>+IF($H1056="x",VLOOKUP($I1056,'AUX-NIV2'!$B:$X,'AUX-NIV1'!AV$3,FALSE),0)</f>
        <v>0</v>
      </c>
    </row>
    <row r="1057" spans="2:48" ht="13.8" thickTop="1">
      <c r="B1057" s="324" t="s">
        <v>4495</v>
      </c>
      <c r="C1057" s="325" t="s">
        <v>3560</v>
      </c>
      <c r="D1057" s="326" t="s">
        <v>1172</v>
      </c>
      <c r="E1057" s="349">
        <f>IF(B1057&lt;&gt;"",+SUMIF(Items!C:C,'AUX-NIV1'!B1057,Items!H:H),"")</f>
        <v>0</v>
      </c>
      <c r="F1057" s="349">
        <f t="shared" si="1293"/>
        <v>7177.5855283577221</v>
      </c>
      <c r="G1057" s="349">
        <f t="shared" si="1294"/>
        <v>0</v>
      </c>
      <c r="H1057" s="1395" t="str">
        <f t="shared" si="1405"/>
        <v>A</v>
      </c>
      <c r="I1057" s="1375" t="s">
        <v>1745</v>
      </c>
      <c r="J1057" s="350" t="str">
        <f>IF(B1057&lt;&gt;"",+VLOOKUP(I1057,Recursos!C:F,2,FALSE),"")</f>
        <v>AYUDANTE</v>
      </c>
      <c r="K1057" s="351" t="str">
        <f>IF(B1057&lt;&gt;"",+VLOOKUP(I1057,Recursos!C:F,3,FALSE),"")</f>
        <v>hh</v>
      </c>
      <c r="L1057" s="1475">
        <f>IF(B1057&lt;&gt;"",+VLOOKUP(I1057,Recursos!C:F,4,FALSE),"")</f>
        <v>422.48042769667234</v>
      </c>
      <c r="M1057" s="1631">
        <v>4</v>
      </c>
      <c r="N1057" s="1639">
        <f>1*M1057</f>
        <v>4</v>
      </c>
      <c r="O1057" s="1490">
        <f t="shared" si="1267"/>
        <v>4</v>
      </c>
      <c r="P1057" s="352">
        <f t="shared" si="1415"/>
        <v>1689.9217107866893</v>
      </c>
      <c r="Q1057" s="349">
        <f t="shared" si="1416"/>
        <v>0</v>
      </c>
      <c r="R1057" s="353">
        <f t="shared" si="1417"/>
        <v>0</v>
      </c>
      <c r="S1057" s="354">
        <f t="shared" si="1299"/>
        <v>3677.5855283577221</v>
      </c>
      <c r="T1057" s="354">
        <f t="shared" si="1300"/>
        <v>0</v>
      </c>
      <c r="U1057" s="355">
        <f t="shared" si="1301"/>
        <v>0</v>
      </c>
      <c r="V1057" s="355">
        <f t="shared" si="1302"/>
        <v>0</v>
      </c>
      <c r="W1057" s="355">
        <f t="shared" si="1303"/>
        <v>3500</v>
      </c>
      <c r="X1057" s="355">
        <f t="shared" si="1304"/>
        <v>0</v>
      </c>
      <c r="Y1057" s="396"/>
      <c r="Z1057" s="346" t="str">
        <f t="shared" si="1406"/>
        <v>0-VAR05A</v>
      </c>
      <c r="AA1057" s="346" t="str">
        <f t="shared" si="1407"/>
        <v>0-VAR05E</v>
      </c>
      <c r="AB1057" s="346" t="str">
        <f t="shared" si="1408"/>
        <v>0-VAR05M</v>
      </c>
      <c r="AC1057" s="346" t="str">
        <f t="shared" si="1409"/>
        <v>0-VAR05T</v>
      </c>
      <c r="AD1057" s="346" t="str">
        <f t="shared" si="1410"/>
        <v>0-VAR05S</v>
      </c>
      <c r="AE1057" s="346" t="str">
        <f t="shared" si="1411"/>
        <v>0-VAR05X</v>
      </c>
      <c r="AF1057" s="346" t="str">
        <f t="shared" si="1412"/>
        <v>0-VAR05A</v>
      </c>
      <c r="AG1057" s="346">
        <f t="shared" si="1312"/>
        <v>3</v>
      </c>
      <c r="AH1057" s="346">
        <f>IF(B1057&lt;&gt;"",+IF(H1057="x",+VLOOKUP(I1057,'AUX-NIV2'!B:AG,32,FALSE),0),"")</f>
        <v>0</v>
      </c>
      <c r="AI1057" s="346" t="str">
        <f t="shared" si="1413"/>
        <v>0-VAR05</v>
      </c>
      <c r="AK1057" s="347">
        <f t="shared" si="1314"/>
        <v>1057</v>
      </c>
      <c r="AL1057" s="348">
        <f t="shared" si="1414"/>
        <v>1059</v>
      </c>
      <c r="AM1057" s="347" t="e">
        <f>IF(B1057&lt;&gt;"",IF(B1057=#REF!,1+#REF!,1),"")</f>
        <v>#REF!</v>
      </c>
      <c r="AN1057" s="382">
        <f>IF(AND(AH1057&gt;0,B1057&lt;&gt;""),VLOOKUP(I1057,'AUX-NIV2'!$B:$AP,40,FALSE)*O1057,0)</f>
        <v>0</v>
      </c>
      <c r="AO1057" s="382">
        <f t="shared" si="1316"/>
        <v>8</v>
      </c>
      <c r="AQ1057" s="395">
        <f>(IF($H1057="x",VLOOKUP($I1057,'AUX-NIV2'!$B:$X,'AUX-NIV1'!AQ$3,FALSE),0)+($AV1057*'AUX-NIV3'!S$4))*$O1057+IF($H1057=AQ$4,$P1057,0)</f>
        <v>1689.9217107866893</v>
      </c>
      <c r="AR1057" s="395">
        <f>(IF($H1057="x",VLOOKUP($I1057,'AUX-NIV2'!$B:$X,'AUX-NIV1'!AR$3,FALSE),0)+($AV1057*'AUX-NIV3'!T$4))*$O1057+IF($H1057=AR$4,$P1057,0)</f>
        <v>0</v>
      </c>
      <c r="AS1057" s="395">
        <f>(IF($H1057="x",VLOOKUP($I1057,'AUX-NIV2'!$B:$X,'AUX-NIV1'!AS$3,FALSE),0)+($AV1057*'AUX-NIV3'!U$4))*$O1057+IF($H1057=AS$4,$P1057,0)</f>
        <v>0</v>
      </c>
      <c r="AT1057" s="395">
        <f>(IF($H1057="x",VLOOKUP($I1057,'AUX-NIV2'!$B:$X,'AUX-NIV1'!AT$3,FALSE),0)+($AV1057*'AUX-NIV3'!V$4))*$O1057+IF($H1057=AT$4,$P1057,0)</f>
        <v>0</v>
      </c>
      <c r="AU1057" s="395">
        <f>(IF($H1057="x",VLOOKUP($I1057,'AUX-NIV2'!$B:$X,'AUX-NIV1'!AU$3,FALSE),0)+($AV1057*'AUX-NIV3'!W$4))*$O1057+IF($H1057=AU$4,$P1057,0)</f>
        <v>0</v>
      </c>
      <c r="AV1057" s="395">
        <f>+IF($H1057="x",VLOOKUP($I1057,'AUX-NIV2'!$B:$X,'AUX-NIV1'!AV$3,FALSE),0)</f>
        <v>0</v>
      </c>
    </row>
    <row r="1058" spans="2:48">
      <c r="B1058" s="324" t="s">
        <v>4495</v>
      </c>
      <c r="C1058" s="325" t="s">
        <v>3560</v>
      </c>
      <c r="D1058" s="326" t="s">
        <v>1172</v>
      </c>
      <c r="E1058" s="349">
        <f>IF(B1058&lt;&gt;"",+SUMIF(Items!C:C,'AUX-NIV1'!B1058,Items!H:H),"")</f>
        <v>0</v>
      </c>
      <c r="F1058" s="349">
        <f t="shared" si="1293"/>
        <v>7177.5855283577221</v>
      </c>
      <c r="G1058" s="349">
        <f t="shared" si="1294"/>
        <v>0</v>
      </c>
      <c r="H1058" s="1395" t="str">
        <f t="shared" ref="H1058:H1059" si="1431">IF(B1058&lt;&gt;"",+LEFT(I1058,1),"")</f>
        <v>A</v>
      </c>
      <c r="I1058" s="1375" t="s">
        <v>1746</v>
      </c>
      <c r="J1058" s="350" t="str">
        <f>IF(B1058&lt;&gt;"",+VLOOKUP(I1058,Recursos!C:F,2,FALSE),"")</f>
        <v>OFICIAL</v>
      </c>
      <c r="K1058" s="351" t="str">
        <f>IF(B1058&lt;&gt;"",+VLOOKUP(I1058,Recursos!C:F,3,FALSE),"")</f>
        <v>hh</v>
      </c>
      <c r="L1058" s="1475">
        <f>IF(B1058&lt;&gt;"",+VLOOKUP(I1058,Recursos!C:F,4,FALSE),"")</f>
        <v>496.91595439275824</v>
      </c>
      <c r="M1058" s="1631"/>
      <c r="N1058" s="1639">
        <f>1*M1057</f>
        <v>4</v>
      </c>
      <c r="O1058" s="1490">
        <f t="shared" si="1267"/>
        <v>4</v>
      </c>
      <c r="P1058" s="352">
        <f t="shared" ref="P1058:P1059" si="1432">IF(B1058&lt;&gt;"",O1058*L1058,"")</f>
        <v>1987.663817571033</v>
      </c>
      <c r="Q1058" s="349">
        <f t="shared" ref="Q1058:Q1059" si="1433">IF(B1058&lt;&gt;"",+O1058*E1058,"")</f>
        <v>0</v>
      </c>
      <c r="R1058" s="353">
        <f t="shared" ref="R1058:R1059" si="1434">IF(B1058&lt;&gt;"",Q1058*L1058,"")</f>
        <v>0</v>
      </c>
      <c r="S1058" s="354">
        <f t="shared" si="1299"/>
        <v>3677.5855283577221</v>
      </c>
      <c r="T1058" s="354">
        <f t="shared" si="1300"/>
        <v>0</v>
      </c>
      <c r="U1058" s="355">
        <f t="shared" si="1301"/>
        <v>0</v>
      </c>
      <c r="V1058" s="355">
        <f t="shared" si="1302"/>
        <v>0</v>
      </c>
      <c r="W1058" s="355">
        <f t="shared" si="1303"/>
        <v>3500</v>
      </c>
      <c r="X1058" s="355">
        <f t="shared" si="1304"/>
        <v>0</v>
      </c>
      <c r="Y1058" s="396"/>
      <c r="Z1058" s="346" t="str">
        <f t="shared" ref="Z1058:Z1059" si="1435">IF(B1058&lt;&gt;"",+$B1058&amp;"A","")</f>
        <v>0-VAR05A</v>
      </c>
      <c r="AA1058" s="346" t="str">
        <f t="shared" ref="AA1058:AA1059" si="1436">IF(B1058&lt;&gt;"",+$B1058&amp;"E","")</f>
        <v>0-VAR05E</v>
      </c>
      <c r="AB1058" s="346" t="str">
        <f t="shared" ref="AB1058:AB1059" si="1437">IF(B1058&lt;&gt;"",++$B1058&amp;"M","")</f>
        <v>0-VAR05M</v>
      </c>
      <c r="AC1058" s="346" t="str">
        <f t="shared" ref="AC1058:AC1059" si="1438">IF(B1058&lt;&gt;"",+$B1058&amp;"T","")</f>
        <v>0-VAR05T</v>
      </c>
      <c r="AD1058" s="346" t="str">
        <f t="shared" ref="AD1058:AD1059" si="1439">IF(B1058&lt;&gt;"",+$B1058&amp;"S","")</f>
        <v>0-VAR05S</v>
      </c>
      <c r="AE1058" s="346" t="str">
        <f t="shared" ref="AE1058:AE1059" si="1440">IF(B1058&lt;&gt;"",+$B1058&amp;"X","")</f>
        <v>0-VAR05X</v>
      </c>
      <c r="AF1058" s="346" t="str">
        <f t="shared" ref="AF1058:AF1059" si="1441">IF(B1058&lt;&gt;"",+B1058&amp;H1058,"")</f>
        <v>0-VAR05A</v>
      </c>
      <c r="AG1058" s="346">
        <f t="shared" si="1312"/>
        <v>3</v>
      </c>
      <c r="AH1058" s="346">
        <f>IF(B1058&lt;&gt;"",+IF(H1058="x",+VLOOKUP(I1058,'AUX-NIV2'!B:AG,32,FALSE),0),"")</f>
        <v>0</v>
      </c>
      <c r="AI1058" s="346" t="str">
        <f t="shared" ref="AI1058:AI1059" si="1442">IF(B1058&lt;&gt;"",+B1058,"")</f>
        <v>0-VAR05</v>
      </c>
      <c r="AK1058" s="347">
        <f t="shared" si="1314"/>
        <v>1057</v>
      </c>
      <c r="AL1058" s="348">
        <f t="shared" ref="AL1058:AL1059" si="1443">IF(B1058&lt;&gt;"",+AK1058+AG1058-1,"")</f>
        <v>1059</v>
      </c>
      <c r="AM1058" s="347" t="e">
        <f>IF(B1058&lt;&gt;"",IF(B1058=#REF!,1+#REF!,1),"")</f>
        <v>#REF!</v>
      </c>
      <c r="AN1058" s="382">
        <f>IF(AND(AH1058&gt;0,B1058&lt;&gt;""),VLOOKUP(I1058,'AUX-NIV2'!$B:$AP,40,FALSE)*O1058,0)</f>
        <v>0</v>
      </c>
      <c r="AO1058" s="382">
        <f t="shared" si="1316"/>
        <v>8</v>
      </c>
      <c r="AQ1058" s="395">
        <f>(IF($H1058="x",VLOOKUP($I1058,'AUX-NIV2'!$B:$X,'AUX-NIV1'!AQ$3,FALSE),0)+($AV1058*'AUX-NIV3'!S$4))*$O1058+IF($H1058=AQ$4,$P1058,0)</f>
        <v>1987.663817571033</v>
      </c>
      <c r="AR1058" s="395">
        <f>(IF($H1058="x",VLOOKUP($I1058,'AUX-NIV2'!$B:$X,'AUX-NIV1'!AR$3,FALSE),0)+($AV1058*'AUX-NIV3'!T$4))*$O1058+IF($H1058=AR$4,$P1058,0)</f>
        <v>0</v>
      </c>
      <c r="AS1058" s="395">
        <f>(IF($H1058="x",VLOOKUP($I1058,'AUX-NIV2'!$B:$X,'AUX-NIV1'!AS$3,FALSE),0)+($AV1058*'AUX-NIV3'!U$4))*$O1058+IF($H1058=AS$4,$P1058,0)</f>
        <v>0</v>
      </c>
      <c r="AT1058" s="395">
        <f>(IF($H1058="x",VLOOKUP($I1058,'AUX-NIV2'!$B:$X,'AUX-NIV1'!AT$3,FALSE),0)+($AV1058*'AUX-NIV3'!V$4))*$O1058+IF($H1058=AT$4,$P1058,0)</f>
        <v>0</v>
      </c>
      <c r="AU1058" s="395">
        <f>(IF($H1058="x",VLOOKUP($I1058,'AUX-NIV2'!$B:$X,'AUX-NIV1'!AU$3,FALSE),0)+($AV1058*'AUX-NIV3'!W$4))*$O1058+IF($H1058=AU$4,$P1058,0)</f>
        <v>0</v>
      </c>
      <c r="AV1058" s="395">
        <f>+IF($H1058="x",VLOOKUP($I1058,'AUX-NIV2'!$B:$X,'AUX-NIV1'!AV$3,FALSE),0)</f>
        <v>0</v>
      </c>
    </row>
    <row r="1059" spans="2:48" ht="13.8" thickBot="1">
      <c r="B1059" s="324" t="s">
        <v>4495</v>
      </c>
      <c r="C1059" s="325" t="s">
        <v>3560</v>
      </c>
      <c r="D1059" s="326" t="s">
        <v>1172</v>
      </c>
      <c r="E1059" s="349">
        <f>IF(B1059&lt;&gt;"",+SUMIF(Items!C:C,'AUX-NIV1'!B1059,Items!H:H),"")</f>
        <v>0</v>
      </c>
      <c r="F1059" s="349">
        <f t="shared" si="1293"/>
        <v>7177.5855283577221</v>
      </c>
      <c r="G1059" s="349">
        <f t="shared" si="1294"/>
        <v>0</v>
      </c>
      <c r="H1059" s="1395" t="str">
        <f t="shared" si="1431"/>
        <v>S</v>
      </c>
      <c r="I1059" s="1375" t="s">
        <v>4506</v>
      </c>
      <c r="J1059" s="350" t="str">
        <f>IF(B1059&lt;&gt;"",+VLOOKUP(I1059,Recursos!C:F,2,FALSE),"")</f>
        <v>Alquiler Contenedor para escombros</v>
      </c>
      <c r="K1059" s="351" t="str">
        <f>IF(B1059&lt;&gt;"",+VLOOKUP(I1059,Recursos!C:F,3,FALSE),"")</f>
        <v>un</v>
      </c>
      <c r="L1059" s="1475">
        <f>IF(B1059&lt;&gt;"",+VLOOKUP(I1059,Recursos!C:F,4,FALSE),"")</f>
        <v>3500</v>
      </c>
      <c r="M1059" s="1622"/>
      <c r="N1059" s="1623">
        <v>1</v>
      </c>
      <c r="O1059" s="1490">
        <f t="shared" si="1267"/>
        <v>1</v>
      </c>
      <c r="P1059" s="352">
        <f t="shared" si="1432"/>
        <v>3500</v>
      </c>
      <c r="Q1059" s="349">
        <f t="shared" si="1433"/>
        <v>0</v>
      </c>
      <c r="R1059" s="353">
        <f t="shared" si="1434"/>
        <v>0</v>
      </c>
      <c r="S1059" s="354">
        <f t="shared" si="1299"/>
        <v>3677.5855283577221</v>
      </c>
      <c r="T1059" s="354">
        <f t="shared" si="1300"/>
        <v>0</v>
      </c>
      <c r="U1059" s="355">
        <f t="shared" si="1301"/>
        <v>0</v>
      </c>
      <c r="V1059" s="355">
        <f t="shared" si="1302"/>
        <v>0</v>
      </c>
      <c r="W1059" s="355">
        <f t="shared" si="1303"/>
        <v>3500</v>
      </c>
      <c r="X1059" s="355">
        <f t="shared" si="1304"/>
        <v>0</v>
      </c>
      <c r="Y1059" s="396"/>
      <c r="Z1059" s="346" t="str">
        <f t="shared" si="1435"/>
        <v>0-VAR05A</v>
      </c>
      <c r="AA1059" s="346" t="str">
        <f t="shared" si="1436"/>
        <v>0-VAR05E</v>
      </c>
      <c r="AB1059" s="346" t="str">
        <f t="shared" si="1437"/>
        <v>0-VAR05M</v>
      </c>
      <c r="AC1059" s="346" t="str">
        <f t="shared" si="1438"/>
        <v>0-VAR05T</v>
      </c>
      <c r="AD1059" s="346" t="str">
        <f t="shared" si="1439"/>
        <v>0-VAR05S</v>
      </c>
      <c r="AE1059" s="346" t="str">
        <f t="shared" si="1440"/>
        <v>0-VAR05X</v>
      </c>
      <c r="AF1059" s="346" t="str">
        <f t="shared" si="1441"/>
        <v>0-VAR05S</v>
      </c>
      <c r="AG1059" s="346">
        <f t="shared" si="1312"/>
        <v>3</v>
      </c>
      <c r="AH1059" s="346">
        <f>IF(B1059&lt;&gt;"",+IF(H1059="x",+VLOOKUP(I1059,'AUX-NIV2'!B:AG,32,FALSE),0),"")</f>
        <v>0</v>
      </c>
      <c r="AI1059" s="346" t="str">
        <f t="shared" si="1442"/>
        <v>0-VAR05</v>
      </c>
      <c r="AK1059" s="347">
        <f t="shared" si="1314"/>
        <v>1057</v>
      </c>
      <c r="AL1059" s="348">
        <f t="shared" si="1443"/>
        <v>1059</v>
      </c>
      <c r="AM1059" s="347" t="e">
        <f>IF(B1059&lt;&gt;"",IF(B1059=#REF!,1+#REF!,1),"")</f>
        <v>#REF!</v>
      </c>
      <c r="AN1059" s="382">
        <f>IF(AND(AH1059&gt;0,B1059&lt;&gt;""),VLOOKUP(I1059,'AUX-NIV2'!$B:$AP,40,FALSE)*O1059,0)</f>
        <v>0</v>
      </c>
      <c r="AO1059" s="382">
        <f t="shared" si="1316"/>
        <v>8</v>
      </c>
      <c r="AQ1059" s="395">
        <f>(IF($H1059="x",VLOOKUP($I1059,'AUX-NIV2'!$B:$X,'AUX-NIV1'!AQ$3,FALSE),0)+($AV1059*'AUX-NIV3'!S$4))*$O1059+IF($H1059=AQ$4,$P1059,0)</f>
        <v>0</v>
      </c>
      <c r="AR1059" s="395">
        <f>(IF($H1059="x",VLOOKUP($I1059,'AUX-NIV2'!$B:$X,'AUX-NIV1'!AR$3,FALSE),0)+($AV1059*'AUX-NIV3'!T$4))*$O1059+IF($H1059=AR$4,$P1059,0)</f>
        <v>0</v>
      </c>
      <c r="AS1059" s="395">
        <f>(IF($H1059="x",VLOOKUP($I1059,'AUX-NIV2'!$B:$X,'AUX-NIV1'!AS$3,FALSE),0)+($AV1059*'AUX-NIV3'!U$4))*$O1059+IF($H1059=AS$4,$P1059,0)</f>
        <v>0</v>
      </c>
      <c r="AT1059" s="395">
        <f>(IF($H1059="x",VLOOKUP($I1059,'AUX-NIV2'!$B:$X,'AUX-NIV1'!AT$3,FALSE),0)+($AV1059*'AUX-NIV3'!V$4))*$O1059+IF($H1059=AT$4,$P1059,0)</f>
        <v>0</v>
      </c>
      <c r="AU1059" s="395">
        <f>(IF($H1059="x",VLOOKUP($I1059,'AUX-NIV2'!$B:$X,'AUX-NIV1'!AU$3,FALSE),0)+($AV1059*'AUX-NIV3'!W$4))*$O1059+IF($H1059=AU$4,$P1059,0)</f>
        <v>3500</v>
      </c>
      <c r="AV1059" s="395">
        <f>+IF($H1059="x",VLOOKUP($I1059,'AUX-NIV2'!$B:$X,'AUX-NIV1'!AV$3,FALSE),0)</f>
        <v>0</v>
      </c>
    </row>
    <row r="1060" spans="2:48" ht="13.8" thickTop="1">
      <c r="B1060" s="324" t="s">
        <v>4669</v>
      </c>
      <c r="C1060" s="325" t="s">
        <v>4670</v>
      </c>
      <c r="D1060" s="326" t="s">
        <v>1172</v>
      </c>
      <c r="E1060" s="349">
        <f>IF(B1060&lt;&gt;"",+SUMIF(Items!C:C,'AUX-NIV1'!B1060,Items!H:H),"")</f>
        <v>0</v>
      </c>
      <c r="F1060" s="349">
        <f t="shared" si="1293"/>
        <v>138253.11647593146</v>
      </c>
      <c r="G1060" s="349">
        <f t="shared" si="1294"/>
        <v>0</v>
      </c>
      <c r="H1060" s="1395" t="str">
        <f t="shared" ref="H1060:H1071" si="1444">IF(B1060&lt;&gt;"",+LEFT(I1060,1),"")</f>
        <v>A</v>
      </c>
      <c r="I1060" s="1375" t="s">
        <v>1745</v>
      </c>
      <c r="J1060" s="350" t="str">
        <f>IF(B1060&lt;&gt;"",+VLOOKUP(I1060,Recursos!C:F,2,FALSE),"")</f>
        <v>AYUDANTE</v>
      </c>
      <c r="K1060" s="351" t="str">
        <f>IF(B1060&lt;&gt;"",+VLOOKUP(I1060,Recursos!C:F,3,FALSE),"")</f>
        <v>hh</v>
      </c>
      <c r="L1060" s="1475">
        <f>IF(B1060&lt;&gt;"",+VLOOKUP(I1060,Recursos!C:F,4,FALSE),"")</f>
        <v>422.48042769667234</v>
      </c>
      <c r="M1060" s="1631">
        <v>24</v>
      </c>
      <c r="N1060" s="1639">
        <f>M1060</f>
        <v>24</v>
      </c>
      <c r="O1060" s="1490">
        <f t="shared" ref="O1060:O1071" si="1445">N1060</f>
        <v>24</v>
      </c>
      <c r="P1060" s="352">
        <f t="shared" ref="P1060:P1071" si="1446">IF(B1060&lt;&gt;"",O1060*L1060,"")</f>
        <v>10139.530264720135</v>
      </c>
      <c r="Q1060" s="349">
        <f t="shared" ref="Q1060:Q1071" si="1447">IF(B1060&lt;&gt;"",+O1060*E1060,"")</f>
        <v>0</v>
      </c>
      <c r="R1060" s="353">
        <f t="shared" ref="R1060:R1071" si="1448">IF(B1060&lt;&gt;"",Q1060*L1060,"")</f>
        <v>0</v>
      </c>
      <c r="S1060" s="354">
        <f t="shared" si="1299"/>
        <v>22065.513170146332</v>
      </c>
      <c r="T1060" s="354">
        <f t="shared" si="1300"/>
        <v>0</v>
      </c>
      <c r="U1060" s="355">
        <f t="shared" si="1301"/>
        <v>116187.60330578512</v>
      </c>
      <c r="V1060" s="355">
        <f t="shared" si="1302"/>
        <v>0</v>
      </c>
      <c r="W1060" s="355">
        <f t="shared" si="1303"/>
        <v>0</v>
      </c>
      <c r="X1060" s="355">
        <f t="shared" si="1304"/>
        <v>0</v>
      </c>
      <c r="Y1060" s="396"/>
      <c r="Z1060" s="346" t="str">
        <f t="shared" ref="Z1060:Z1071" si="1449">IF(B1060&lt;&gt;"",+$B1060&amp;"A","")</f>
        <v>0-ARTFCTA</v>
      </c>
      <c r="AA1060" s="346" t="str">
        <f t="shared" ref="AA1060:AA1071" si="1450">IF(B1060&lt;&gt;"",+$B1060&amp;"E","")</f>
        <v>0-ARTFCTE</v>
      </c>
      <c r="AB1060" s="346" t="str">
        <f t="shared" ref="AB1060:AB1071" si="1451">IF(B1060&lt;&gt;"",++$B1060&amp;"M","")</f>
        <v>0-ARTFCTM</v>
      </c>
      <c r="AC1060" s="346" t="str">
        <f t="shared" ref="AC1060:AC1071" si="1452">IF(B1060&lt;&gt;"",+$B1060&amp;"T","")</f>
        <v>0-ARTFCTT</v>
      </c>
      <c r="AD1060" s="346" t="str">
        <f t="shared" ref="AD1060:AD1071" si="1453">IF(B1060&lt;&gt;"",+$B1060&amp;"S","")</f>
        <v>0-ARTFCTS</v>
      </c>
      <c r="AE1060" s="346" t="str">
        <f t="shared" ref="AE1060:AE1071" si="1454">IF(B1060&lt;&gt;"",+$B1060&amp;"X","")</f>
        <v>0-ARTFCTX</v>
      </c>
      <c r="AF1060" s="346" t="str">
        <f t="shared" ref="AF1060:AF1071" si="1455">IF(B1060&lt;&gt;"",+B1060&amp;H1060,"")</f>
        <v>0-ARTFCTA</v>
      </c>
      <c r="AG1060" s="346">
        <f t="shared" si="1312"/>
        <v>13</v>
      </c>
      <c r="AH1060" s="346">
        <f>IF(B1060&lt;&gt;"",+IF(H1060="x",+VLOOKUP(I1060,'AUX-NIV2'!B:AG,32,FALSE),0),"")</f>
        <v>0</v>
      </c>
      <c r="AI1060" s="346" t="str">
        <f t="shared" ref="AI1060:AI1071" si="1456">IF(B1060&lt;&gt;"",+B1060,"")</f>
        <v>0-ARTFCT</v>
      </c>
      <c r="AK1060" s="347">
        <f t="shared" si="1314"/>
        <v>1060</v>
      </c>
      <c r="AL1060" s="348">
        <f t="shared" ref="AL1060:AL1071" si="1457">IF(B1060&lt;&gt;"",+AK1060+AG1060-1,"")</f>
        <v>1072</v>
      </c>
      <c r="AM1060" s="347" t="e">
        <f>IF(B1060&lt;&gt;"",IF(B1060=#REF!,1+#REF!,1),"")</f>
        <v>#REF!</v>
      </c>
      <c r="AN1060" s="382">
        <f>IF(AND(AH1060&gt;0,B1060&lt;&gt;""),VLOOKUP(I1060,'AUX-NIV2'!$B:$AP,40,FALSE)*O1060,0)</f>
        <v>0</v>
      </c>
      <c r="AO1060" s="382">
        <f t="shared" si="1316"/>
        <v>48</v>
      </c>
      <c r="AQ1060" s="395">
        <f>(IF($H1060="x",VLOOKUP($I1060,'AUX-NIV2'!$B:$X,'AUX-NIV1'!AQ$3,FALSE),0)+($AV1060*'AUX-NIV3'!S$4))*$O1060+IF($H1060=AQ$4,$P1060,0)</f>
        <v>10139.530264720135</v>
      </c>
      <c r="AR1060" s="395">
        <f>(IF($H1060="x",VLOOKUP($I1060,'AUX-NIV2'!$B:$X,'AUX-NIV1'!AR$3,FALSE),0)+($AV1060*'AUX-NIV3'!T$4))*$O1060+IF($H1060=AR$4,$P1060,0)</f>
        <v>0</v>
      </c>
      <c r="AS1060" s="395">
        <f>(IF($H1060="x",VLOOKUP($I1060,'AUX-NIV2'!$B:$X,'AUX-NIV1'!AS$3,FALSE),0)+($AV1060*'AUX-NIV3'!U$4))*$O1060+IF($H1060=AS$4,$P1060,0)</f>
        <v>0</v>
      </c>
      <c r="AT1060" s="395">
        <f>(IF($H1060="x",VLOOKUP($I1060,'AUX-NIV2'!$B:$X,'AUX-NIV1'!AT$3,FALSE),0)+($AV1060*'AUX-NIV3'!V$4))*$O1060+IF($H1060=AT$4,$P1060,0)</f>
        <v>0</v>
      </c>
      <c r="AU1060" s="395">
        <f>(IF($H1060="x",VLOOKUP($I1060,'AUX-NIV2'!$B:$X,'AUX-NIV1'!AU$3,FALSE),0)+($AV1060*'AUX-NIV3'!W$4))*$O1060+IF($H1060=AU$4,$P1060,0)</f>
        <v>0</v>
      </c>
      <c r="AV1060" s="395">
        <f>+IF($H1060="x",VLOOKUP($I1060,'AUX-NIV2'!$B:$X,'AUX-NIV1'!AV$3,FALSE),0)</f>
        <v>0</v>
      </c>
    </row>
    <row r="1061" spans="2:48">
      <c r="B1061" s="324" t="s">
        <v>4669</v>
      </c>
      <c r="C1061" s="325" t="s">
        <v>4670</v>
      </c>
      <c r="D1061" s="326" t="s">
        <v>1172</v>
      </c>
      <c r="E1061" s="349">
        <f>IF(B1061&lt;&gt;"",+SUMIF(Items!C:C,'AUX-NIV1'!B1061,Items!H:H),"")</f>
        <v>0</v>
      </c>
      <c r="F1061" s="349">
        <f t="shared" si="1293"/>
        <v>138253.11647593146</v>
      </c>
      <c r="G1061" s="349">
        <f t="shared" si="1294"/>
        <v>0</v>
      </c>
      <c r="H1061" s="1395" t="str">
        <f t="shared" si="1444"/>
        <v>A</v>
      </c>
      <c r="I1061" s="1375" t="s">
        <v>1746</v>
      </c>
      <c r="J1061" s="350" t="str">
        <f>IF(B1061&lt;&gt;"",+VLOOKUP(I1061,Recursos!C:F,2,FALSE),"")</f>
        <v>OFICIAL</v>
      </c>
      <c r="K1061" s="351" t="str">
        <f>IF(B1061&lt;&gt;"",+VLOOKUP(I1061,Recursos!C:F,3,FALSE),"")</f>
        <v>hh</v>
      </c>
      <c r="L1061" s="1475">
        <f>IF(B1061&lt;&gt;"",+VLOOKUP(I1061,Recursos!C:F,4,FALSE),"")</f>
        <v>496.91595439275824</v>
      </c>
      <c r="M1061" s="1631">
        <v>24</v>
      </c>
      <c r="N1061" s="1639">
        <f>M1061</f>
        <v>24</v>
      </c>
      <c r="O1061" s="1490">
        <f t="shared" si="1445"/>
        <v>24</v>
      </c>
      <c r="P1061" s="352">
        <f t="shared" si="1446"/>
        <v>11925.982905426197</v>
      </c>
      <c r="Q1061" s="349">
        <f t="shared" si="1447"/>
        <v>0</v>
      </c>
      <c r="R1061" s="353">
        <f t="shared" si="1448"/>
        <v>0</v>
      </c>
      <c r="S1061" s="354">
        <f t="shared" si="1299"/>
        <v>22065.513170146332</v>
      </c>
      <c r="T1061" s="354">
        <f t="shared" si="1300"/>
        <v>0</v>
      </c>
      <c r="U1061" s="355">
        <f t="shared" si="1301"/>
        <v>116187.60330578512</v>
      </c>
      <c r="V1061" s="355">
        <f t="shared" si="1302"/>
        <v>0</v>
      </c>
      <c r="W1061" s="355">
        <f t="shared" si="1303"/>
        <v>0</v>
      </c>
      <c r="X1061" s="355">
        <f t="shared" si="1304"/>
        <v>0</v>
      </c>
      <c r="Y1061" s="396"/>
      <c r="Z1061" s="346" t="str">
        <f t="shared" si="1449"/>
        <v>0-ARTFCTA</v>
      </c>
      <c r="AA1061" s="346" t="str">
        <f t="shared" si="1450"/>
        <v>0-ARTFCTE</v>
      </c>
      <c r="AB1061" s="346" t="str">
        <f t="shared" si="1451"/>
        <v>0-ARTFCTM</v>
      </c>
      <c r="AC1061" s="346" t="str">
        <f t="shared" si="1452"/>
        <v>0-ARTFCTT</v>
      </c>
      <c r="AD1061" s="346" t="str">
        <f t="shared" si="1453"/>
        <v>0-ARTFCTS</v>
      </c>
      <c r="AE1061" s="346" t="str">
        <f t="shared" si="1454"/>
        <v>0-ARTFCTX</v>
      </c>
      <c r="AF1061" s="346" t="str">
        <f t="shared" si="1455"/>
        <v>0-ARTFCTA</v>
      </c>
      <c r="AG1061" s="346">
        <f t="shared" si="1312"/>
        <v>13</v>
      </c>
      <c r="AH1061" s="346">
        <f>IF(B1061&lt;&gt;"",+IF(H1061="x",+VLOOKUP(I1061,'AUX-NIV2'!B:AG,32,FALSE),0),"")</f>
        <v>0</v>
      </c>
      <c r="AI1061" s="346" t="str">
        <f t="shared" si="1456"/>
        <v>0-ARTFCT</v>
      </c>
      <c r="AK1061" s="347">
        <f t="shared" si="1314"/>
        <v>1060</v>
      </c>
      <c r="AL1061" s="348">
        <f t="shared" si="1457"/>
        <v>1072</v>
      </c>
      <c r="AM1061" s="347" t="e">
        <f>IF(B1061&lt;&gt;"",IF(B1061=#REF!,1+#REF!,1),"")</f>
        <v>#REF!</v>
      </c>
      <c r="AN1061" s="382">
        <f>IF(AND(AH1061&gt;0,B1061&lt;&gt;""),VLOOKUP(I1061,'AUX-NIV2'!$B:$AP,40,FALSE)*O1061,0)</f>
        <v>0</v>
      </c>
      <c r="AO1061" s="382">
        <f t="shared" si="1316"/>
        <v>48</v>
      </c>
      <c r="AQ1061" s="395">
        <f>(IF($H1061="x",VLOOKUP($I1061,'AUX-NIV2'!$B:$X,'AUX-NIV1'!AQ$3,FALSE),0)+($AV1061*'AUX-NIV3'!S$4))*$O1061+IF($H1061=AQ$4,$P1061,0)</f>
        <v>11925.982905426197</v>
      </c>
      <c r="AR1061" s="395">
        <f>(IF($H1061="x",VLOOKUP($I1061,'AUX-NIV2'!$B:$X,'AUX-NIV1'!AR$3,FALSE),0)+($AV1061*'AUX-NIV3'!T$4))*$O1061+IF($H1061=AR$4,$P1061,0)</f>
        <v>0</v>
      </c>
      <c r="AS1061" s="395">
        <f>(IF($H1061="x",VLOOKUP($I1061,'AUX-NIV2'!$B:$X,'AUX-NIV1'!AS$3,FALSE),0)+($AV1061*'AUX-NIV3'!U$4))*$O1061+IF($H1061=AS$4,$P1061,0)</f>
        <v>0</v>
      </c>
      <c r="AT1061" s="395">
        <f>(IF($H1061="x",VLOOKUP($I1061,'AUX-NIV2'!$B:$X,'AUX-NIV1'!AT$3,FALSE),0)+($AV1061*'AUX-NIV3'!V$4))*$O1061+IF($H1061=AT$4,$P1061,0)</f>
        <v>0</v>
      </c>
      <c r="AU1061" s="395">
        <f>(IF($H1061="x",VLOOKUP($I1061,'AUX-NIV2'!$B:$X,'AUX-NIV1'!AU$3,FALSE),0)+($AV1061*'AUX-NIV3'!W$4))*$O1061+IF($H1061=AU$4,$P1061,0)</f>
        <v>0</v>
      </c>
      <c r="AV1061" s="395">
        <f>+IF($H1061="x",VLOOKUP($I1061,'AUX-NIV2'!$B:$X,'AUX-NIV1'!AV$3,FALSE),0)</f>
        <v>0</v>
      </c>
    </row>
    <row r="1062" spans="2:48">
      <c r="B1062" s="324" t="s">
        <v>4669</v>
      </c>
      <c r="C1062" s="325" t="s">
        <v>4670</v>
      </c>
      <c r="D1062" s="326" t="s">
        <v>1172</v>
      </c>
      <c r="E1062" s="349">
        <f>IF(B1062&lt;&gt;"",+SUMIF(Items!C:C,'AUX-NIV1'!B1062,Items!H:H),"")</f>
        <v>0</v>
      </c>
      <c r="F1062" s="349">
        <f t="shared" si="1293"/>
        <v>138253.11647593146</v>
      </c>
      <c r="G1062" s="349">
        <f t="shared" si="1294"/>
        <v>0</v>
      </c>
      <c r="H1062" s="1395" t="str">
        <f t="shared" si="1444"/>
        <v>M</v>
      </c>
      <c r="I1062" s="1375" t="s">
        <v>4428</v>
      </c>
      <c r="J1062" s="350" t="str">
        <f>IF(B1062&lt;&gt;"",+VLOOKUP(I1062,Recursos!C:F,2,FALSE),"")</f>
        <v>Inodoro Corto ROCA Gap c/mochila</v>
      </c>
      <c r="K1062" s="351" t="str">
        <f>IF(B1062&lt;&gt;"",+VLOOKUP(I1062,Recursos!C:F,3,FALSE),"")</f>
        <v>Un</v>
      </c>
      <c r="L1062" s="1475">
        <f>IF(B1062&lt;&gt;"",+VLOOKUP(I1062,Recursos!C:F,4,FALSE),"")</f>
        <v>10272.727272727274</v>
      </c>
      <c r="M1062" s="1631"/>
      <c r="N1062" s="1639">
        <v>3</v>
      </c>
      <c r="O1062" s="1490">
        <f t="shared" si="1445"/>
        <v>3</v>
      </c>
      <c r="P1062" s="352">
        <f t="shared" si="1446"/>
        <v>30818.181818181823</v>
      </c>
      <c r="Q1062" s="349">
        <f t="shared" si="1447"/>
        <v>0</v>
      </c>
      <c r="R1062" s="353">
        <f t="shared" si="1448"/>
        <v>0</v>
      </c>
      <c r="S1062" s="354">
        <f t="shared" si="1299"/>
        <v>22065.513170146332</v>
      </c>
      <c r="T1062" s="354">
        <f t="shared" si="1300"/>
        <v>0</v>
      </c>
      <c r="U1062" s="355">
        <f t="shared" si="1301"/>
        <v>116187.60330578512</v>
      </c>
      <c r="V1062" s="355">
        <f t="shared" si="1302"/>
        <v>0</v>
      </c>
      <c r="W1062" s="355">
        <f t="shared" si="1303"/>
        <v>0</v>
      </c>
      <c r="X1062" s="355">
        <f t="shared" si="1304"/>
        <v>0</v>
      </c>
      <c r="Y1062" s="396"/>
      <c r="Z1062" s="346" t="str">
        <f t="shared" si="1449"/>
        <v>0-ARTFCTA</v>
      </c>
      <c r="AA1062" s="346" t="str">
        <f t="shared" si="1450"/>
        <v>0-ARTFCTE</v>
      </c>
      <c r="AB1062" s="346" t="str">
        <f t="shared" si="1451"/>
        <v>0-ARTFCTM</v>
      </c>
      <c r="AC1062" s="346" t="str">
        <f t="shared" si="1452"/>
        <v>0-ARTFCTT</v>
      </c>
      <c r="AD1062" s="346" t="str">
        <f t="shared" si="1453"/>
        <v>0-ARTFCTS</v>
      </c>
      <c r="AE1062" s="346" t="str">
        <f t="shared" si="1454"/>
        <v>0-ARTFCTX</v>
      </c>
      <c r="AF1062" s="346" t="str">
        <f t="shared" si="1455"/>
        <v>0-ARTFCTM</v>
      </c>
      <c r="AG1062" s="346">
        <f t="shared" si="1312"/>
        <v>13</v>
      </c>
      <c r="AH1062" s="346">
        <f>IF(B1062&lt;&gt;"",+IF(H1062="x",+VLOOKUP(I1062,'AUX-NIV2'!B:AG,32,FALSE),0),"")</f>
        <v>0</v>
      </c>
      <c r="AI1062" s="346" t="str">
        <f t="shared" si="1456"/>
        <v>0-ARTFCT</v>
      </c>
      <c r="AK1062" s="347">
        <f t="shared" si="1314"/>
        <v>1060</v>
      </c>
      <c r="AL1062" s="348">
        <f t="shared" si="1457"/>
        <v>1072</v>
      </c>
      <c r="AM1062" s="347" t="e">
        <f>IF(B1062&lt;&gt;"",IF(B1062=#REF!,1+#REF!,1),"")</f>
        <v>#REF!</v>
      </c>
      <c r="AN1062" s="382">
        <f>IF(AND(AH1062&gt;0,B1062&lt;&gt;""),VLOOKUP(I1062,'AUX-NIV2'!$B:$AP,40,FALSE)*O1062,0)</f>
        <v>0</v>
      </c>
      <c r="AO1062" s="382">
        <f t="shared" si="1316"/>
        <v>48</v>
      </c>
      <c r="AQ1062" s="395">
        <f>(IF($H1062="x",VLOOKUP($I1062,'AUX-NIV2'!$B:$X,'AUX-NIV1'!AQ$3,FALSE),0)+($AV1062*'AUX-NIV3'!S$4))*$O1062+IF($H1062=AQ$4,$P1062,0)</f>
        <v>0</v>
      </c>
      <c r="AR1062" s="395">
        <f>(IF($H1062="x",VLOOKUP($I1062,'AUX-NIV2'!$B:$X,'AUX-NIV1'!AR$3,FALSE),0)+($AV1062*'AUX-NIV3'!T$4))*$O1062+IF($H1062=AR$4,$P1062,0)</f>
        <v>0</v>
      </c>
      <c r="AS1062" s="395">
        <f>(IF($H1062="x",VLOOKUP($I1062,'AUX-NIV2'!$B:$X,'AUX-NIV1'!AS$3,FALSE),0)+($AV1062*'AUX-NIV3'!U$4))*$O1062+IF($H1062=AS$4,$P1062,0)</f>
        <v>30818.181818181823</v>
      </c>
      <c r="AT1062" s="395">
        <f>(IF($H1062="x",VLOOKUP($I1062,'AUX-NIV2'!$B:$X,'AUX-NIV1'!AT$3,FALSE),0)+($AV1062*'AUX-NIV3'!V$4))*$O1062+IF($H1062=AT$4,$P1062,0)</f>
        <v>0</v>
      </c>
      <c r="AU1062" s="395">
        <f>(IF($H1062="x",VLOOKUP($I1062,'AUX-NIV2'!$B:$X,'AUX-NIV1'!AU$3,FALSE),0)+($AV1062*'AUX-NIV3'!W$4))*$O1062+IF($H1062=AU$4,$P1062,0)</f>
        <v>0</v>
      </c>
      <c r="AV1062" s="395">
        <f>+IF($H1062="x",VLOOKUP($I1062,'AUX-NIV2'!$B:$X,'AUX-NIV1'!AV$3,FALSE),0)</f>
        <v>0</v>
      </c>
    </row>
    <row r="1063" spans="2:48">
      <c r="B1063" s="324" t="s">
        <v>4669</v>
      </c>
      <c r="C1063" s="325" t="s">
        <v>4670</v>
      </c>
      <c r="D1063" s="326" t="s">
        <v>1172</v>
      </c>
      <c r="E1063" s="349">
        <f>IF(B1063&lt;&gt;"",+SUMIF(Items!C:C,'AUX-NIV1'!B1063,Items!H:H),"")</f>
        <v>0</v>
      </c>
      <c r="F1063" s="349">
        <f t="shared" si="1293"/>
        <v>138253.11647593146</v>
      </c>
      <c r="G1063" s="349">
        <f t="shared" si="1294"/>
        <v>0</v>
      </c>
      <c r="H1063" s="1395" t="str">
        <f t="shared" si="1444"/>
        <v>M</v>
      </c>
      <c r="I1063" s="1375" t="s">
        <v>4459</v>
      </c>
      <c r="J1063" s="350" t="str">
        <f>IF(B1063&lt;&gt;"",+VLOOKUP(I1063,Recursos!C:F,2,FALSE),"")</f>
        <v>Mingitorio Mini Urinario</v>
      </c>
      <c r="K1063" s="351" t="str">
        <f>IF(B1063&lt;&gt;"",+VLOOKUP(I1063,Recursos!C:F,3,FALSE),"")</f>
        <v>Un</v>
      </c>
      <c r="L1063" s="1475">
        <f>IF(B1063&lt;&gt;"",+VLOOKUP(I1063,Recursos!C:F,4,FALSE),"")</f>
        <v>7599.1735537190089</v>
      </c>
      <c r="M1063" s="1631"/>
      <c r="N1063" s="1639">
        <v>2</v>
      </c>
      <c r="O1063" s="1490">
        <f t="shared" si="1445"/>
        <v>2</v>
      </c>
      <c r="P1063" s="352">
        <f t="shared" si="1446"/>
        <v>15198.347107438018</v>
      </c>
      <c r="Q1063" s="349">
        <f t="shared" si="1447"/>
        <v>0</v>
      </c>
      <c r="R1063" s="353">
        <f t="shared" si="1448"/>
        <v>0</v>
      </c>
      <c r="S1063" s="354">
        <f t="shared" si="1299"/>
        <v>22065.513170146332</v>
      </c>
      <c r="T1063" s="354">
        <f t="shared" si="1300"/>
        <v>0</v>
      </c>
      <c r="U1063" s="355">
        <f t="shared" si="1301"/>
        <v>116187.60330578512</v>
      </c>
      <c r="V1063" s="355">
        <f t="shared" si="1302"/>
        <v>0</v>
      </c>
      <c r="W1063" s="355">
        <f t="shared" si="1303"/>
        <v>0</v>
      </c>
      <c r="X1063" s="355">
        <f t="shared" si="1304"/>
        <v>0</v>
      </c>
      <c r="Y1063" s="396"/>
      <c r="Z1063" s="346" t="str">
        <f t="shared" si="1449"/>
        <v>0-ARTFCTA</v>
      </c>
      <c r="AA1063" s="346" t="str">
        <f t="shared" si="1450"/>
        <v>0-ARTFCTE</v>
      </c>
      <c r="AB1063" s="346" t="str">
        <f t="shared" si="1451"/>
        <v>0-ARTFCTM</v>
      </c>
      <c r="AC1063" s="346" t="str">
        <f t="shared" si="1452"/>
        <v>0-ARTFCTT</v>
      </c>
      <c r="AD1063" s="346" t="str">
        <f t="shared" si="1453"/>
        <v>0-ARTFCTS</v>
      </c>
      <c r="AE1063" s="346" t="str">
        <f t="shared" si="1454"/>
        <v>0-ARTFCTX</v>
      </c>
      <c r="AF1063" s="346" t="str">
        <f t="shared" si="1455"/>
        <v>0-ARTFCTM</v>
      </c>
      <c r="AG1063" s="346">
        <f t="shared" si="1312"/>
        <v>13</v>
      </c>
      <c r="AH1063" s="346">
        <f>IF(B1063&lt;&gt;"",+IF(H1063="x",+VLOOKUP(I1063,'AUX-NIV2'!B:AG,32,FALSE),0),"")</f>
        <v>0</v>
      </c>
      <c r="AI1063" s="346" t="str">
        <f t="shared" si="1456"/>
        <v>0-ARTFCT</v>
      </c>
      <c r="AK1063" s="347">
        <f t="shared" si="1314"/>
        <v>1060</v>
      </c>
      <c r="AL1063" s="348">
        <f t="shared" si="1457"/>
        <v>1072</v>
      </c>
      <c r="AM1063" s="347" t="e">
        <f>IF(B1063&lt;&gt;"",IF(B1063=#REF!,1+#REF!,1),"")</f>
        <v>#REF!</v>
      </c>
      <c r="AN1063" s="382">
        <f>IF(AND(AH1063&gt;0,B1063&lt;&gt;""),VLOOKUP(I1063,'AUX-NIV2'!$B:$AP,40,FALSE)*O1063,0)</f>
        <v>0</v>
      </c>
      <c r="AO1063" s="382">
        <f t="shared" si="1316"/>
        <v>48</v>
      </c>
      <c r="AQ1063" s="395">
        <f>(IF($H1063="x",VLOOKUP($I1063,'AUX-NIV2'!$B:$X,'AUX-NIV1'!AQ$3,FALSE),0)+($AV1063*'AUX-NIV3'!S$4))*$O1063+IF($H1063=AQ$4,$P1063,0)</f>
        <v>0</v>
      </c>
      <c r="AR1063" s="395">
        <f>(IF($H1063="x",VLOOKUP($I1063,'AUX-NIV2'!$B:$X,'AUX-NIV1'!AR$3,FALSE),0)+($AV1063*'AUX-NIV3'!T$4))*$O1063+IF($H1063=AR$4,$P1063,0)</f>
        <v>0</v>
      </c>
      <c r="AS1063" s="395">
        <f>(IF($H1063="x",VLOOKUP($I1063,'AUX-NIV2'!$B:$X,'AUX-NIV1'!AS$3,FALSE),0)+($AV1063*'AUX-NIV3'!U$4))*$O1063+IF($H1063=AS$4,$P1063,0)</f>
        <v>15198.347107438018</v>
      </c>
      <c r="AT1063" s="395">
        <f>(IF($H1063="x",VLOOKUP($I1063,'AUX-NIV2'!$B:$X,'AUX-NIV1'!AT$3,FALSE),0)+($AV1063*'AUX-NIV3'!V$4))*$O1063+IF($H1063=AT$4,$P1063,0)</f>
        <v>0</v>
      </c>
      <c r="AU1063" s="395">
        <f>(IF($H1063="x",VLOOKUP($I1063,'AUX-NIV2'!$B:$X,'AUX-NIV1'!AU$3,FALSE),0)+($AV1063*'AUX-NIV3'!W$4))*$O1063+IF($H1063=AU$4,$P1063,0)</f>
        <v>0</v>
      </c>
      <c r="AV1063" s="395">
        <f>+IF($H1063="x",VLOOKUP($I1063,'AUX-NIV2'!$B:$X,'AUX-NIV1'!AV$3,FALSE),0)</f>
        <v>0</v>
      </c>
    </row>
    <row r="1064" spans="2:48">
      <c r="B1064" s="324" t="s">
        <v>4669</v>
      </c>
      <c r="C1064" s="325" t="s">
        <v>4670</v>
      </c>
      <c r="D1064" s="326" t="s">
        <v>1172</v>
      </c>
      <c r="E1064" s="349">
        <f>IF(B1064&lt;&gt;"",+SUMIF(Items!C:C,'AUX-NIV1'!B1064,Items!H:H),"")</f>
        <v>0</v>
      </c>
      <c r="F1064" s="349">
        <f t="shared" si="1293"/>
        <v>138253.11647593146</v>
      </c>
      <c r="G1064" s="349">
        <f t="shared" si="1294"/>
        <v>0</v>
      </c>
      <c r="H1064" s="1395" t="str">
        <f t="shared" si="1444"/>
        <v>M</v>
      </c>
      <c r="I1064" s="1375" t="s">
        <v>4461</v>
      </c>
      <c r="J1064" s="350" t="str">
        <f>IF(B1064&lt;&gt;"",+VLOOKUP(I1064,Recursos!C:F,2,FALSE),"")</f>
        <v>Kit de Instalación Mingitorio</v>
      </c>
      <c r="K1064" s="351" t="str">
        <f>IF(B1064&lt;&gt;"",+VLOOKUP(I1064,Recursos!C:F,3,FALSE),"")</f>
        <v>Un</v>
      </c>
      <c r="L1064" s="1475">
        <f>IF(B1064&lt;&gt;"",+VLOOKUP(I1064,Recursos!C:F,4,FALSE),"")</f>
        <v>0</v>
      </c>
      <c r="M1064" s="1631"/>
      <c r="N1064" s="1639">
        <v>2</v>
      </c>
      <c r="O1064" s="1490">
        <f t="shared" si="1445"/>
        <v>2</v>
      </c>
      <c r="P1064" s="352">
        <f t="shared" si="1446"/>
        <v>0</v>
      </c>
      <c r="Q1064" s="349">
        <f t="shared" si="1447"/>
        <v>0</v>
      </c>
      <c r="R1064" s="353">
        <f t="shared" si="1448"/>
        <v>0</v>
      </c>
      <c r="S1064" s="354">
        <f t="shared" si="1299"/>
        <v>22065.513170146332</v>
      </c>
      <c r="T1064" s="354">
        <f t="shared" si="1300"/>
        <v>0</v>
      </c>
      <c r="U1064" s="355">
        <f t="shared" si="1301"/>
        <v>116187.60330578512</v>
      </c>
      <c r="V1064" s="355">
        <f t="shared" si="1302"/>
        <v>0</v>
      </c>
      <c r="W1064" s="355">
        <f t="shared" si="1303"/>
        <v>0</v>
      </c>
      <c r="X1064" s="355">
        <f t="shared" si="1304"/>
        <v>0</v>
      </c>
      <c r="Y1064" s="396"/>
      <c r="Z1064" s="346" t="str">
        <f t="shared" si="1449"/>
        <v>0-ARTFCTA</v>
      </c>
      <c r="AA1064" s="346" t="str">
        <f t="shared" si="1450"/>
        <v>0-ARTFCTE</v>
      </c>
      <c r="AB1064" s="346" t="str">
        <f t="shared" si="1451"/>
        <v>0-ARTFCTM</v>
      </c>
      <c r="AC1064" s="346" t="str">
        <f t="shared" si="1452"/>
        <v>0-ARTFCTT</v>
      </c>
      <c r="AD1064" s="346" t="str">
        <f t="shared" si="1453"/>
        <v>0-ARTFCTS</v>
      </c>
      <c r="AE1064" s="346" t="str">
        <f t="shared" si="1454"/>
        <v>0-ARTFCTX</v>
      </c>
      <c r="AF1064" s="346" t="str">
        <f t="shared" si="1455"/>
        <v>0-ARTFCTM</v>
      </c>
      <c r="AG1064" s="346">
        <f t="shared" si="1312"/>
        <v>13</v>
      </c>
      <c r="AH1064" s="346">
        <f>IF(B1064&lt;&gt;"",+IF(H1064="x",+VLOOKUP(I1064,'AUX-NIV2'!B:AG,32,FALSE),0),"")</f>
        <v>0</v>
      </c>
      <c r="AI1064" s="346" t="str">
        <f t="shared" si="1456"/>
        <v>0-ARTFCT</v>
      </c>
      <c r="AK1064" s="347">
        <f t="shared" si="1314"/>
        <v>1060</v>
      </c>
      <c r="AL1064" s="348">
        <f t="shared" si="1457"/>
        <v>1072</v>
      </c>
      <c r="AM1064" s="347" t="e">
        <f>IF(B1064&lt;&gt;"",IF(B1064=#REF!,1+#REF!,1),"")</f>
        <v>#REF!</v>
      </c>
      <c r="AN1064" s="382">
        <f>IF(AND(AH1064&gt;0,B1064&lt;&gt;""),VLOOKUP(I1064,'AUX-NIV2'!$B:$AP,40,FALSE)*O1064,0)</f>
        <v>0</v>
      </c>
      <c r="AO1064" s="382">
        <f t="shared" si="1316"/>
        <v>48</v>
      </c>
      <c r="AQ1064" s="395">
        <f>(IF($H1064="x",VLOOKUP($I1064,'AUX-NIV2'!$B:$X,'AUX-NIV1'!AQ$3,FALSE),0)+($AV1064*'AUX-NIV3'!S$4))*$O1064+IF($H1064=AQ$4,$P1064,0)</f>
        <v>0</v>
      </c>
      <c r="AR1064" s="395">
        <f>(IF($H1064="x",VLOOKUP($I1064,'AUX-NIV2'!$B:$X,'AUX-NIV1'!AR$3,FALSE),0)+($AV1064*'AUX-NIV3'!T$4))*$O1064+IF($H1064=AR$4,$P1064,0)</f>
        <v>0</v>
      </c>
      <c r="AS1064" s="395">
        <f>(IF($H1064="x",VLOOKUP($I1064,'AUX-NIV2'!$B:$X,'AUX-NIV1'!AS$3,FALSE),0)+($AV1064*'AUX-NIV3'!U$4))*$O1064+IF($H1064=AS$4,$P1064,0)</f>
        <v>0</v>
      </c>
      <c r="AT1064" s="395">
        <f>(IF($H1064="x",VLOOKUP($I1064,'AUX-NIV2'!$B:$X,'AUX-NIV1'!AT$3,FALSE),0)+($AV1064*'AUX-NIV3'!V$4))*$O1064+IF($H1064=AT$4,$P1064,0)</f>
        <v>0</v>
      </c>
      <c r="AU1064" s="395">
        <f>(IF($H1064="x",VLOOKUP($I1064,'AUX-NIV2'!$B:$X,'AUX-NIV1'!AU$3,FALSE),0)+($AV1064*'AUX-NIV3'!W$4))*$O1064+IF($H1064=AU$4,$P1064,0)</f>
        <v>0</v>
      </c>
      <c r="AV1064" s="395">
        <f>+IF($H1064="x",VLOOKUP($I1064,'AUX-NIV2'!$B:$X,'AUX-NIV1'!AV$3,FALSE),0)</f>
        <v>0</v>
      </c>
    </row>
    <row r="1065" spans="2:48">
      <c r="B1065" s="324" t="s">
        <v>4669</v>
      </c>
      <c r="C1065" s="325" t="s">
        <v>4670</v>
      </c>
      <c r="D1065" s="326" t="s">
        <v>1172</v>
      </c>
      <c r="E1065" s="349">
        <f>IF(B1065&lt;&gt;"",+SUMIF(Items!C:C,'AUX-NIV1'!B1065,Items!H:H),"")</f>
        <v>0</v>
      </c>
      <c r="F1065" s="349">
        <f t="shared" si="1293"/>
        <v>138253.11647593146</v>
      </c>
      <c r="G1065" s="349">
        <f t="shared" si="1294"/>
        <v>0</v>
      </c>
      <c r="H1065" s="1395" t="str">
        <f t="shared" si="1444"/>
        <v>M</v>
      </c>
      <c r="I1065" s="1375" t="s">
        <v>4431</v>
      </c>
      <c r="J1065" s="350" t="str">
        <f>IF(B1065&lt;&gt;"",+VLOOKUP(I1065,Recursos!C:F,2,FALSE),"")</f>
        <v>Accesorios Baño - Barral p/discapacitados</v>
      </c>
      <c r="K1065" s="351" t="str">
        <f>IF(B1065&lt;&gt;"",+VLOOKUP(I1065,Recursos!C:F,3,FALSE),"")</f>
        <v>Un</v>
      </c>
      <c r="L1065" s="1475">
        <f>IF(B1065&lt;&gt;"",+VLOOKUP(I1065,Recursos!C:F,4,FALSE),"")</f>
        <v>2550</v>
      </c>
      <c r="M1065" s="1631"/>
      <c r="N1065" s="1639">
        <v>2</v>
      </c>
      <c r="O1065" s="1490">
        <f t="shared" si="1445"/>
        <v>2</v>
      </c>
      <c r="P1065" s="352">
        <f t="shared" si="1446"/>
        <v>5100</v>
      </c>
      <c r="Q1065" s="349">
        <f t="shared" si="1447"/>
        <v>0</v>
      </c>
      <c r="R1065" s="353">
        <f t="shared" si="1448"/>
        <v>0</v>
      </c>
      <c r="S1065" s="354">
        <f t="shared" si="1299"/>
        <v>22065.513170146332</v>
      </c>
      <c r="T1065" s="354">
        <f t="shared" si="1300"/>
        <v>0</v>
      </c>
      <c r="U1065" s="355">
        <f t="shared" si="1301"/>
        <v>116187.60330578512</v>
      </c>
      <c r="V1065" s="355">
        <f t="shared" si="1302"/>
        <v>0</v>
      </c>
      <c r="W1065" s="355">
        <f t="shared" si="1303"/>
        <v>0</v>
      </c>
      <c r="X1065" s="355">
        <f t="shared" si="1304"/>
        <v>0</v>
      </c>
      <c r="Y1065" s="396"/>
      <c r="Z1065" s="346" t="str">
        <f t="shared" si="1449"/>
        <v>0-ARTFCTA</v>
      </c>
      <c r="AA1065" s="346" t="str">
        <f t="shared" si="1450"/>
        <v>0-ARTFCTE</v>
      </c>
      <c r="AB1065" s="346" t="str">
        <f t="shared" si="1451"/>
        <v>0-ARTFCTM</v>
      </c>
      <c r="AC1065" s="346" t="str">
        <f t="shared" si="1452"/>
        <v>0-ARTFCTT</v>
      </c>
      <c r="AD1065" s="346" t="str">
        <f t="shared" si="1453"/>
        <v>0-ARTFCTS</v>
      </c>
      <c r="AE1065" s="346" t="str">
        <f t="shared" si="1454"/>
        <v>0-ARTFCTX</v>
      </c>
      <c r="AF1065" s="346" t="str">
        <f t="shared" si="1455"/>
        <v>0-ARTFCTM</v>
      </c>
      <c r="AG1065" s="346">
        <f t="shared" si="1312"/>
        <v>13</v>
      </c>
      <c r="AH1065" s="346">
        <f>IF(B1065&lt;&gt;"",+IF(H1065="x",+VLOOKUP(I1065,'AUX-NIV2'!B:AG,32,FALSE),0),"")</f>
        <v>0</v>
      </c>
      <c r="AI1065" s="346" t="str">
        <f t="shared" si="1456"/>
        <v>0-ARTFCT</v>
      </c>
      <c r="AK1065" s="347">
        <f t="shared" si="1314"/>
        <v>1060</v>
      </c>
      <c r="AL1065" s="348">
        <f t="shared" si="1457"/>
        <v>1072</v>
      </c>
      <c r="AM1065" s="347" t="e">
        <f>IF(B1065&lt;&gt;"",IF(B1065=#REF!,1+#REF!,1),"")</f>
        <v>#REF!</v>
      </c>
      <c r="AN1065" s="382">
        <f>IF(AND(AH1065&gt;0,B1065&lt;&gt;""),VLOOKUP(I1065,'AUX-NIV2'!$B:$AP,40,FALSE)*O1065,0)</f>
        <v>0</v>
      </c>
      <c r="AO1065" s="382">
        <f t="shared" si="1316"/>
        <v>48</v>
      </c>
      <c r="AQ1065" s="395">
        <f>(IF($H1065="x",VLOOKUP($I1065,'AUX-NIV2'!$B:$X,'AUX-NIV1'!AQ$3,FALSE),0)+($AV1065*'AUX-NIV3'!S$4))*$O1065+IF($H1065=AQ$4,$P1065,0)</f>
        <v>0</v>
      </c>
      <c r="AR1065" s="395">
        <f>(IF($H1065="x",VLOOKUP($I1065,'AUX-NIV2'!$B:$X,'AUX-NIV1'!AR$3,FALSE),0)+($AV1065*'AUX-NIV3'!T$4))*$O1065+IF($H1065=AR$4,$P1065,0)</f>
        <v>0</v>
      </c>
      <c r="AS1065" s="395">
        <f>(IF($H1065="x",VLOOKUP($I1065,'AUX-NIV2'!$B:$X,'AUX-NIV1'!AS$3,FALSE),0)+($AV1065*'AUX-NIV3'!U$4))*$O1065+IF($H1065=AS$4,$P1065,0)</f>
        <v>5100</v>
      </c>
      <c r="AT1065" s="395">
        <f>(IF($H1065="x",VLOOKUP($I1065,'AUX-NIV2'!$B:$X,'AUX-NIV1'!AT$3,FALSE),0)+($AV1065*'AUX-NIV3'!V$4))*$O1065+IF($H1065=AT$4,$P1065,0)</f>
        <v>0</v>
      </c>
      <c r="AU1065" s="395">
        <f>(IF($H1065="x",VLOOKUP($I1065,'AUX-NIV2'!$B:$X,'AUX-NIV1'!AU$3,FALSE),0)+($AV1065*'AUX-NIV3'!W$4))*$O1065+IF($H1065=AU$4,$P1065,0)</f>
        <v>0</v>
      </c>
      <c r="AV1065" s="395">
        <f>+IF($H1065="x",VLOOKUP($I1065,'AUX-NIV2'!$B:$X,'AUX-NIV1'!AV$3,FALSE),0)</f>
        <v>0</v>
      </c>
    </row>
    <row r="1066" spans="2:48">
      <c r="B1066" s="324" t="s">
        <v>4669</v>
      </c>
      <c r="C1066" s="325" t="s">
        <v>4670</v>
      </c>
      <c r="D1066" s="326" t="s">
        <v>1172</v>
      </c>
      <c r="E1066" s="349">
        <f>IF(B1066&lt;&gt;"",+SUMIF(Items!C:C,'AUX-NIV1'!B1066,Items!H:H),"")</f>
        <v>0</v>
      </c>
      <c r="F1066" s="349">
        <f t="shared" si="1293"/>
        <v>138253.11647593146</v>
      </c>
      <c r="G1066" s="349">
        <f t="shared" si="1294"/>
        <v>0</v>
      </c>
      <c r="H1066" s="1395" t="str">
        <f t="shared" si="1444"/>
        <v>M</v>
      </c>
      <c r="I1066" s="1375" t="s">
        <v>4433</v>
      </c>
      <c r="J1066" s="350" t="str">
        <f>IF(B1066&lt;&gt;"",+VLOOKUP(I1066,Recursos!C:F,2,FALSE),"")</f>
        <v>Accesorios Baño - Porta Rollo</v>
      </c>
      <c r="K1066" s="351" t="str">
        <f>IF(B1066&lt;&gt;"",+VLOOKUP(I1066,Recursos!C:F,3,FALSE),"")</f>
        <v>Un</v>
      </c>
      <c r="L1066" s="1475">
        <f>IF(B1066&lt;&gt;"",+VLOOKUP(I1066,Recursos!C:F,4,FALSE),"")</f>
        <v>1487.6033057851241</v>
      </c>
      <c r="M1066" s="1631"/>
      <c r="N1066" s="1639">
        <v>3</v>
      </c>
      <c r="O1066" s="1490">
        <f t="shared" si="1445"/>
        <v>3</v>
      </c>
      <c r="P1066" s="352">
        <f t="shared" si="1446"/>
        <v>4462.8099173553728</v>
      </c>
      <c r="Q1066" s="349">
        <f t="shared" si="1447"/>
        <v>0</v>
      </c>
      <c r="R1066" s="353">
        <f t="shared" si="1448"/>
        <v>0</v>
      </c>
      <c r="S1066" s="354">
        <f t="shared" si="1299"/>
        <v>22065.513170146332</v>
      </c>
      <c r="T1066" s="354">
        <f t="shared" si="1300"/>
        <v>0</v>
      </c>
      <c r="U1066" s="355">
        <f t="shared" si="1301"/>
        <v>116187.60330578512</v>
      </c>
      <c r="V1066" s="355">
        <f t="shared" si="1302"/>
        <v>0</v>
      </c>
      <c r="W1066" s="355">
        <f t="shared" si="1303"/>
        <v>0</v>
      </c>
      <c r="X1066" s="355">
        <f t="shared" si="1304"/>
        <v>0</v>
      </c>
      <c r="Y1066" s="396"/>
      <c r="Z1066" s="346" t="str">
        <f t="shared" si="1449"/>
        <v>0-ARTFCTA</v>
      </c>
      <c r="AA1066" s="346" t="str">
        <f t="shared" si="1450"/>
        <v>0-ARTFCTE</v>
      </c>
      <c r="AB1066" s="346" t="str">
        <f t="shared" si="1451"/>
        <v>0-ARTFCTM</v>
      </c>
      <c r="AC1066" s="346" t="str">
        <f t="shared" si="1452"/>
        <v>0-ARTFCTT</v>
      </c>
      <c r="AD1066" s="346" t="str">
        <f t="shared" si="1453"/>
        <v>0-ARTFCTS</v>
      </c>
      <c r="AE1066" s="346" t="str">
        <f t="shared" si="1454"/>
        <v>0-ARTFCTX</v>
      </c>
      <c r="AF1066" s="346" t="str">
        <f t="shared" si="1455"/>
        <v>0-ARTFCTM</v>
      </c>
      <c r="AG1066" s="346">
        <f t="shared" si="1312"/>
        <v>13</v>
      </c>
      <c r="AH1066" s="346">
        <f>IF(B1066&lt;&gt;"",+IF(H1066="x",+VLOOKUP(I1066,'AUX-NIV2'!B:AG,32,FALSE),0),"")</f>
        <v>0</v>
      </c>
      <c r="AI1066" s="346" t="str">
        <f t="shared" si="1456"/>
        <v>0-ARTFCT</v>
      </c>
      <c r="AK1066" s="347">
        <f t="shared" si="1314"/>
        <v>1060</v>
      </c>
      <c r="AL1066" s="348">
        <f t="shared" si="1457"/>
        <v>1072</v>
      </c>
      <c r="AM1066" s="347" t="e">
        <f>IF(B1066&lt;&gt;"",IF(B1066=#REF!,1+#REF!,1),"")</f>
        <v>#REF!</v>
      </c>
      <c r="AN1066" s="382">
        <f>IF(AND(AH1066&gt;0,B1066&lt;&gt;""),VLOOKUP(I1066,'AUX-NIV2'!$B:$AP,40,FALSE)*O1066,0)</f>
        <v>0</v>
      </c>
      <c r="AO1066" s="382">
        <f t="shared" si="1316"/>
        <v>48</v>
      </c>
      <c r="AQ1066" s="395">
        <f>(IF($H1066="x",VLOOKUP($I1066,'AUX-NIV2'!$B:$X,'AUX-NIV1'!AQ$3,FALSE),0)+($AV1066*'AUX-NIV3'!S$4))*$O1066+IF($H1066=AQ$4,$P1066,0)</f>
        <v>0</v>
      </c>
      <c r="AR1066" s="395">
        <f>(IF($H1066="x",VLOOKUP($I1066,'AUX-NIV2'!$B:$X,'AUX-NIV1'!AR$3,FALSE),0)+($AV1066*'AUX-NIV3'!T$4))*$O1066+IF($H1066=AR$4,$P1066,0)</f>
        <v>0</v>
      </c>
      <c r="AS1066" s="395">
        <f>(IF($H1066="x",VLOOKUP($I1066,'AUX-NIV2'!$B:$X,'AUX-NIV1'!AS$3,FALSE),0)+($AV1066*'AUX-NIV3'!U$4))*$O1066+IF($H1066=AS$4,$P1066,0)</f>
        <v>4462.8099173553728</v>
      </c>
      <c r="AT1066" s="395">
        <f>(IF($H1066="x",VLOOKUP($I1066,'AUX-NIV2'!$B:$X,'AUX-NIV1'!AT$3,FALSE),0)+($AV1066*'AUX-NIV3'!V$4))*$O1066+IF($H1066=AT$4,$P1066,0)</f>
        <v>0</v>
      </c>
      <c r="AU1066" s="395">
        <f>(IF($H1066="x",VLOOKUP($I1066,'AUX-NIV2'!$B:$X,'AUX-NIV1'!AU$3,FALSE),0)+($AV1066*'AUX-NIV3'!W$4))*$O1066+IF($H1066=AU$4,$P1066,0)</f>
        <v>0</v>
      </c>
      <c r="AV1066" s="395">
        <f>+IF($H1066="x",VLOOKUP($I1066,'AUX-NIV2'!$B:$X,'AUX-NIV1'!AV$3,FALSE),0)</f>
        <v>0</v>
      </c>
    </row>
    <row r="1067" spans="2:48">
      <c r="B1067" s="324" t="s">
        <v>4669</v>
      </c>
      <c r="C1067" s="325" t="s">
        <v>4670</v>
      </c>
      <c r="D1067" s="326" t="s">
        <v>1172</v>
      </c>
      <c r="E1067" s="349">
        <f>IF(B1067&lt;&gt;"",+SUMIF(Items!C:C,'AUX-NIV1'!B1067,Items!H:H),"")</f>
        <v>0</v>
      </c>
      <c r="F1067" s="349">
        <f t="shared" si="1293"/>
        <v>138253.11647593146</v>
      </c>
      <c r="G1067" s="349">
        <f t="shared" si="1294"/>
        <v>0</v>
      </c>
      <c r="H1067" s="1395" t="str">
        <f t="shared" si="1444"/>
        <v>M</v>
      </c>
      <c r="I1067" s="1375" t="s">
        <v>4435</v>
      </c>
      <c r="J1067" s="350" t="str">
        <f>IF(B1067&lt;&gt;"",+VLOOKUP(I1067,Recursos!C:F,2,FALSE),"")</f>
        <v>Accesorios Baño - Asiento Inodoro</v>
      </c>
      <c r="K1067" s="351" t="str">
        <f>IF(B1067&lt;&gt;"",+VLOOKUP(I1067,Recursos!C:F,3,FALSE),"")</f>
        <v>Un</v>
      </c>
      <c r="L1067" s="1475">
        <f>IF(B1067&lt;&gt;"",+VLOOKUP(I1067,Recursos!C:F,4,FALSE),"")</f>
        <v>2479.3388429752067</v>
      </c>
      <c r="M1067" s="1631"/>
      <c r="N1067" s="1639">
        <v>3</v>
      </c>
      <c r="O1067" s="1490">
        <f t="shared" si="1445"/>
        <v>3</v>
      </c>
      <c r="P1067" s="352">
        <f t="shared" si="1446"/>
        <v>7438.0165289256202</v>
      </c>
      <c r="Q1067" s="349">
        <f t="shared" si="1447"/>
        <v>0</v>
      </c>
      <c r="R1067" s="353">
        <f t="shared" si="1448"/>
        <v>0</v>
      </c>
      <c r="S1067" s="354">
        <f t="shared" si="1299"/>
        <v>22065.513170146332</v>
      </c>
      <c r="T1067" s="354">
        <f t="shared" si="1300"/>
        <v>0</v>
      </c>
      <c r="U1067" s="355">
        <f t="shared" si="1301"/>
        <v>116187.60330578512</v>
      </c>
      <c r="V1067" s="355">
        <f t="shared" si="1302"/>
        <v>0</v>
      </c>
      <c r="W1067" s="355">
        <f t="shared" si="1303"/>
        <v>0</v>
      </c>
      <c r="X1067" s="355">
        <f t="shared" si="1304"/>
        <v>0</v>
      </c>
      <c r="Y1067" s="396"/>
      <c r="Z1067" s="346" t="str">
        <f t="shared" si="1449"/>
        <v>0-ARTFCTA</v>
      </c>
      <c r="AA1067" s="346" t="str">
        <f t="shared" si="1450"/>
        <v>0-ARTFCTE</v>
      </c>
      <c r="AB1067" s="346" t="str">
        <f t="shared" si="1451"/>
        <v>0-ARTFCTM</v>
      </c>
      <c r="AC1067" s="346" t="str">
        <f t="shared" si="1452"/>
        <v>0-ARTFCTT</v>
      </c>
      <c r="AD1067" s="346" t="str">
        <f t="shared" si="1453"/>
        <v>0-ARTFCTS</v>
      </c>
      <c r="AE1067" s="346" t="str">
        <f t="shared" si="1454"/>
        <v>0-ARTFCTX</v>
      </c>
      <c r="AF1067" s="346" t="str">
        <f t="shared" si="1455"/>
        <v>0-ARTFCTM</v>
      </c>
      <c r="AG1067" s="346">
        <f t="shared" si="1312"/>
        <v>13</v>
      </c>
      <c r="AH1067" s="346">
        <f>IF(B1067&lt;&gt;"",+IF(H1067="x",+VLOOKUP(I1067,'AUX-NIV2'!B:AG,32,FALSE),0),"")</f>
        <v>0</v>
      </c>
      <c r="AI1067" s="346" t="str">
        <f t="shared" si="1456"/>
        <v>0-ARTFCT</v>
      </c>
      <c r="AK1067" s="347">
        <f t="shared" si="1314"/>
        <v>1060</v>
      </c>
      <c r="AL1067" s="348">
        <f t="shared" si="1457"/>
        <v>1072</v>
      </c>
      <c r="AM1067" s="347" t="e">
        <f>IF(B1067&lt;&gt;"",IF(B1067=#REF!,1+#REF!,1),"")</f>
        <v>#REF!</v>
      </c>
      <c r="AN1067" s="382">
        <f>IF(AND(AH1067&gt;0,B1067&lt;&gt;""),VLOOKUP(I1067,'AUX-NIV2'!$B:$AP,40,FALSE)*O1067,0)</f>
        <v>0</v>
      </c>
      <c r="AO1067" s="382">
        <f t="shared" si="1316"/>
        <v>48</v>
      </c>
      <c r="AQ1067" s="395">
        <f>(IF($H1067="x",VLOOKUP($I1067,'AUX-NIV2'!$B:$X,'AUX-NIV1'!AQ$3,FALSE),0)+($AV1067*'AUX-NIV3'!S$4))*$O1067+IF($H1067=AQ$4,$P1067,0)</f>
        <v>0</v>
      </c>
      <c r="AR1067" s="395">
        <f>(IF($H1067="x",VLOOKUP($I1067,'AUX-NIV2'!$B:$X,'AUX-NIV1'!AR$3,FALSE),0)+($AV1067*'AUX-NIV3'!T$4))*$O1067+IF($H1067=AR$4,$P1067,0)</f>
        <v>0</v>
      </c>
      <c r="AS1067" s="395">
        <f>(IF($H1067="x",VLOOKUP($I1067,'AUX-NIV2'!$B:$X,'AUX-NIV1'!AS$3,FALSE),0)+($AV1067*'AUX-NIV3'!U$4))*$O1067+IF($H1067=AS$4,$P1067,0)</f>
        <v>7438.0165289256202</v>
      </c>
      <c r="AT1067" s="395">
        <f>(IF($H1067="x",VLOOKUP($I1067,'AUX-NIV2'!$B:$X,'AUX-NIV1'!AT$3,FALSE),0)+($AV1067*'AUX-NIV3'!V$4))*$O1067+IF($H1067=AT$4,$P1067,0)</f>
        <v>0</v>
      </c>
      <c r="AU1067" s="395">
        <f>(IF($H1067="x",VLOOKUP($I1067,'AUX-NIV2'!$B:$X,'AUX-NIV1'!AU$3,FALSE),0)+($AV1067*'AUX-NIV3'!W$4))*$O1067+IF($H1067=AU$4,$P1067,0)</f>
        <v>0</v>
      </c>
      <c r="AV1067" s="395">
        <f>+IF($H1067="x",VLOOKUP($I1067,'AUX-NIV2'!$B:$X,'AUX-NIV1'!AV$3,FALSE),0)</f>
        <v>0</v>
      </c>
    </row>
    <row r="1068" spans="2:48">
      <c r="B1068" s="324" t="s">
        <v>4669</v>
      </c>
      <c r="C1068" s="325" t="s">
        <v>4670</v>
      </c>
      <c r="D1068" s="326" t="s">
        <v>1172</v>
      </c>
      <c r="E1068" s="349">
        <f>IF(B1068&lt;&gt;"",+SUMIF(Items!C:C,'AUX-NIV1'!B1068,Items!H:H),"")</f>
        <v>0</v>
      </c>
      <c r="F1068" s="349">
        <f t="shared" si="1293"/>
        <v>138253.11647593146</v>
      </c>
      <c r="G1068" s="349">
        <f t="shared" si="1294"/>
        <v>0</v>
      </c>
      <c r="H1068" s="1395" t="str">
        <f t="shared" si="1444"/>
        <v>M</v>
      </c>
      <c r="I1068" s="1375" t="s">
        <v>4441</v>
      </c>
      <c r="J1068" s="350" t="str">
        <f>IF(B1068&lt;&gt;"",+VLOOKUP(I1068,Recursos!C:F,2,FALSE),"")</f>
        <v>Accesorios Baño - Dispenser Jabón Liquido</v>
      </c>
      <c r="K1068" s="351" t="str">
        <f>IF(B1068&lt;&gt;"",+VLOOKUP(I1068,Recursos!C:F,3,FALSE),"")</f>
        <v>Un</v>
      </c>
      <c r="L1068" s="1475">
        <f>IF(B1068&lt;&gt;"",+VLOOKUP(I1068,Recursos!C:F,4,FALSE),"")</f>
        <v>1900.8264462809918</v>
      </c>
      <c r="M1068" s="1631"/>
      <c r="N1068" s="1639">
        <v>2</v>
      </c>
      <c r="O1068" s="1490">
        <f t="shared" si="1445"/>
        <v>2</v>
      </c>
      <c r="P1068" s="352">
        <f t="shared" si="1446"/>
        <v>3801.6528925619837</v>
      </c>
      <c r="Q1068" s="349">
        <f t="shared" si="1447"/>
        <v>0</v>
      </c>
      <c r="R1068" s="353">
        <f t="shared" si="1448"/>
        <v>0</v>
      </c>
      <c r="S1068" s="354">
        <f t="shared" si="1299"/>
        <v>22065.513170146332</v>
      </c>
      <c r="T1068" s="354">
        <f t="shared" si="1300"/>
        <v>0</v>
      </c>
      <c r="U1068" s="355">
        <f t="shared" si="1301"/>
        <v>116187.60330578512</v>
      </c>
      <c r="V1068" s="355">
        <f t="shared" si="1302"/>
        <v>0</v>
      </c>
      <c r="W1068" s="355">
        <f t="shared" si="1303"/>
        <v>0</v>
      </c>
      <c r="X1068" s="355">
        <f t="shared" si="1304"/>
        <v>0</v>
      </c>
      <c r="Y1068" s="396"/>
      <c r="Z1068" s="346" t="str">
        <f t="shared" si="1449"/>
        <v>0-ARTFCTA</v>
      </c>
      <c r="AA1068" s="346" t="str">
        <f t="shared" si="1450"/>
        <v>0-ARTFCTE</v>
      </c>
      <c r="AB1068" s="346" t="str">
        <f t="shared" si="1451"/>
        <v>0-ARTFCTM</v>
      </c>
      <c r="AC1068" s="346" t="str">
        <f t="shared" si="1452"/>
        <v>0-ARTFCTT</v>
      </c>
      <c r="AD1068" s="346" t="str">
        <f t="shared" si="1453"/>
        <v>0-ARTFCTS</v>
      </c>
      <c r="AE1068" s="346" t="str">
        <f t="shared" si="1454"/>
        <v>0-ARTFCTX</v>
      </c>
      <c r="AF1068" s="346" t="str">
        <f t="shared" si="1455"/>
        <v>0-ARTFCTM</v>
      </c>
      <c r="AG1068" s="346">
        <f t="shared" si="1312"/>
        <v>13</v>
      </c>
      <c r="AH1068" s="346">
        <f>IF(B1068&lt;&gt;"",+IF(H1068="x",+VLOOKUP(I1068,'AUX-NIV2'!B:AG,32,FALSE),0),"")</f>
        <v>0</v>
      </c>
      <c r="AI1068" s="346" t="str">
        <f t="shared" si="1456"/>
        <v>0-ARTFCT</v>
      </c>
      <c r="AK1068" s="347">
        <f t="shared" si="1314"/>
        <v>1060</v>
      </c>
      <c r="AL1068" s="348">
        <f t="shared" si="1457"/>
        <v>1072</v>
      </c>
      <c r="AM1068" s="347" t="e">
        <f>IF(B1068&lt;&gt;"",IF(B1068=#REF!,1+#REF!,1),"")</f>
        <v>#REF!</v>
      </c>
      <c r="AN1068" s="382">
        <f>IF(AND(AH1068&gt;0,B1068&lt;&gt;""),VLOOKUP(I1068,'AUX-NIV2'!$B:$AP,40,FALSE)*O1068,0)</f>
        <v>0</v>
      </c>
      <c r="AO1068" s="382">
        <f t="shared" si="1316"/>
        <v>48</v>
      </c>
      <c r="AQ1068" s="395">
        <f>(IF($H1068="x",VLOOKUP($I1068,'AUX-NIV2'!$B:$X,'AUX-NIV1'!AQ$3,FALSE),0)+($AV1068*'AUX-NIV3'!S$4))*$O1068+IF($H1068=AQ$4,$P1068,0)</f>
        <v>0</v>
      </c>
      <c r="AR1068" s="395">
        <f>(IF($H1068="x",VLOOKUP($I1068,'AUX-NIV2'!$B:$X,'AUX-NIV1'!AR$3,FALSE),0)+($AV1068*'AUX-NIV3'!T$4))*$O1068+IF($H1068=AR$4,$P1068,0)</f>
        <v>0</v>
      </c>
      <c r="AS1068" s="395">
        <f>(IF($H1068="x",VLOOKUP($I1068,'AUX-NIV2'!$B:$X,'AUX-NIV1'!AS$3,FALSE),0)+($AV1068*'AUX-NIV3'!U$4))*$O1068+IF($H1068=AS$4,$P1068,0)</f>
        <v>3801.6528925619837</v>
      </c>
      <c r="AT1068" s="395">
        <f>(IF($H1068="x",VLOOKUP($I1068,'AUX-NIV2'!$B:$X,'AUX-NIV1'!AT$3,FALSE),0)+($AV1068*'AUX-NIV3'!V$4))*$O1068+IF($H1068=AT$4,$P1068,0)</f>
        <v>0</v>
      </c>
      <c r="AU1068" s="395">
        <f>(IF($H1068="x",VLOOKUP($I1068,'AUX-NIV2'!$B:$X,'AUX-NIV1'!AU$3,FALSE),0)+($AV1068*'AUX-NIV3'!W$4))*$O1068+IF($H1068=AU$4,$P1068,0)</f>
        <v>0</v>
      </c>
      <c r="AV1068" s="395">
        <f>+IF($H1068="x",VLOOKUP($I1068,'AUX-NIV2'!$B:$X,'AUX-NIV1'!AV$3,FALSE),0)</f>
        <v>0</v>
      </c>
    </row>
    <row r="1069" spans="2:48">
      <c r="B1069" s="324" t="s">
        <v>4669</v>
      </c>
      <c r="C1069" s="325" t="s">
        <v>4670</v>
      </c>
      <c r="D1069" s="326" t="s">
        <v>1172</v>
      </c>
      <c r="E1069" s="349">
        <f>IF(B1069&lt;&gt;"",+SUMIF(Items!C:C,'AUX-NIV1'!B1069,Items!H:H),"")</f>
        <v>0</v>
      </c>
      <c r="F1069" s="349">
        <f t="shared" si="1293"/>
        <v>138253.11647593146</v>
      </c>
      <c r="G1069" s="349">
        <f t="shared" si="1294"/>
        <v>0</v>
      </c>
      <c r="H1069" s="1395" t="str">
        <f t="shared" si="1444"/>
        <v>M</v>
      </c>
      <c r="I1069" s="1375" t="s">
        <v>4449</v>
      </c>
      <c r="J1069" s="350" t="str">
        <f>IF(B1069&lt;&gt;"",+VLOOKUP(I1069,Recursos!C:F,2,FALSE),"")</f>
        <v>Lavatorio para Discapacitado</v>
      </c>
      <c r="K1069" s="351" t="str">
        <f>IF(B1069&lt;&gt;"",+VLOOKUP(I1069,Recursos!C:F,3,FALSE),"")</f>
        <v>Un</v>
      </c>
      <c r="L1069" s="1475">
        <f>IF(B1069&lt;&gt;"",+VLOOKUP(I1069,Recursos!C:F,4,FALSE),"")</f>
        <v>15600</v>
      </c>
      <c r="M1069" s="1631"/>
      <c r="N1069" s="1639">
        <v>2</v>
      </c>
      <c r="O1069" s="1490">
        <f t="shared" si="1445"/>
        <v>2</v>
      </c>
      <c r="P1069" s="352">
        <f t="shared" si="1446"/>
        <v>31200</v>
      </c>
      <c r="Q1069" s="349">
        <f t="shared" si="1447"/>
        <v>0</v>
      </c>
      <c r="R1069" s="353">
        <f t="shared" si="1448"/>
        <v>0</v>
      </c>
      <c r="S1069" s="354">
        <f t="shared" si="1299"/>
        <v>22065.513170146332</v>
      </c>
      <c r="T1069" s="354">
        <f t="shared" si="1300"/>
        <v>0</v>
      </c>
      <c r="U1069" s="355">
        <f t="shared" si="1301"/>
        <v>116187.60330578512</v>
      </c>
      <c r="V1069" s="355">
        <f t="shared" si="1302"/>
        <v>0</v>
      </c>
      <c r="W1069" s="355">
        <f t="shared" si="1303"/>
        <v>0</v>
      </c>
      <c r="X1069" s="355">
        <f t="shared" si="1304"/>
        <v>0</v>
      </c>
      <c r="Y1069" s="396"/>
      <c r="Z1069" s="346" t="str">
        <f t="shared" si="1449"/>
        <v>0-ARTFCTA</v>
      </c>
      <c r="AA1069" s="346" t="str">
        <f t="shared" si="1450"/>
        <v>0-ARTFCTE</v>
      </c>
      <c r="AB1069" s="346" t="str">
        <f t="shared" si="1451"/>
        <v>0-ARTFCTM</v>
      </c>
      <c r="AC1069" s="346" t="str">
        <f t="shared" si="1452"/>
        <v>0-ARTFCTT</v>
      </c>
      <c r="AD1069" s="346" t="str">
        <f t="shared" si="1453"/>
        <v>0-ARTFCTS</v>
      </c>
      <c r="AE1069" s="346" t="str">
        <f t="shared" si="1454"/>
        <v>0-ARTFCTX</v>
      </c>
      <c r="AF1069" s="346" t="str">
        <f t="shared" si="1455"/>
        <v>0-ARTFCTM</v>
      </c>
      <c r="AG1069" s="346">
        <f t="shared" si="1312"/>
        <v>13</v>
      </c>
      <c r="AH1069" s="346">
        <f>IF(B1069&lt;&gt;"",+IF(H1069="x",+VLOOKUP(I1069,'AUX-NIV2'!B:AG,32,FALSE),0),"")</f>
        <v>0</v>
      </c>
      <c r="AI1069" s="346" t="str">
        <f t="shared" si="1456"/>
        <v>0-ARTFCT</v>
      </c>
      <c r="AK1069" s="347">
        <f t="shared" si="1314"/>
        <v>1060</v>
      </c>
      <c r="AL1069" s="348">
        <f t="shared" si="1457"/>
        <v>1072</v>
      </c>
      <c r="AM1069" s="347" t="e">
        <f>IF(B1069&lt;&gt;"",IF(B1069=#REF!,1+#REF!,1),"")</f>
        <v>#REF!</v>
      </c>
      <c r="AN1069" s="382">
        <f>IF(AND(AH1069&gt;0,B1069&lt;&gt;""),VLOOKUP(I1069,'AUX-NIV2'!$B:$AP,40,FALSE)*O1069,0)</f>
        <v>0</v>
      </c>
      <c r="AO1069" s="382">
        <f t="shared" si="1316"/>
        <v>48</v>
      </c>
      <c r="AQ1069" s="395">
        <f>(IF($H1069="x",VLOOKUP($I1069,'AUX-NIV2'!$B:$X,'AUX-NIV1'!AQ$3,FALSE),0)+($AV1069*'AUX-NIV3'!S$4))*$O1069+IF($H1069=AQ$4,$P1069,0)</f>
        <v>0</v>
      </c>
      <c r="AR1069" s="395">
        <f>(IF($H1069="x",VLOOKUP($I1069,'AUX-NIV2'!$B:$X,'AUX-NIV1'!AR$3,FALSE),0)+($AV1069*'AUX-NIV3'!T$4))*$O1069+IF($H1069=AR$4,$P1069,0)</f>
        <v>0</v>
      </c>
      <c r="AS1069" s="395">
        <f>(IF($H1069="x",VLOOKUP($I1069,'AUX-NIV2'!$B:$X,'AUX-NIV1'!AS$3,FALSE),0)+($AV1069*'AUX-NIV3'!U$4))*$O1069+IF($H1069=AS$4,$P1069,0)</f>
        <v>31200</v>
      </c>
      <c r="AT1069" s="395">
        <f>(IF($H1069="x",VLOOKUP($I1069,'AUX-NIV2'!$B:$X,'AUX-NIV1'!AT$3,FALSE),0)+($AV1069*'AUX-NIV3'!V$4))*$O1069+IF($H1069=AT$4,$P1069,0)</f>
        <v>0</v>
      </c>
      <c r="AU1069" s="395">
        <f>(IF($H1069="x",VLOOKUP($I1069,'AUX-NIV2'!$B:$X,'AUX-NIV1'!AU$3,FALSE),0)+($AV1069*'AUX-NIV3'!W$4))*$O1069+IF($H1069=AU$4,$P1069,0)</f>
        <v>0</v>
      </c>
      <c r="AV1069" s="395">
        <f>+IF($H1069="x",VLOOKUP($I1069,'AUX-NIV2'!$B:$X,'AUX-NIV1'!AV$3,FALSE),0)</f>
        <v>0</v>
      </c>
    </row>
    <row r="1070" spans="2:48">
      <c r="B1070" s="324" t="s">
        <v>4669</v>
      </c>
      <c r="C1070" s="325" t="s">
        <v>4670</v>
      </c>
      <c r="D1070" s="326" t="s">
        <v>1172</v>
      </c>
      <c r="E1070" s="349">
        <f>IF(B1070&lt;&gt;"",+SUMIF(Items!C:C,'AUX-NIV1'!B1070,Items!H:H),"")</f>
        <v>0</v>
      </c>
      <c r="F1070" s="349">
        <f t="shared" si="1293"/>
        <v>138253.11647593146</v>
      </c>
      <c r="G1070" s="349">
        <f t="shared" si="1294"/>
        <v>0</v>
      </c>
      <c r="H1070" s="1395" t="str">
        <f t="shared" ref="H1070" si="1458">IF(B1070&lt;&gt;"",+LEFT(I1070,1),"")</f>
        <v>M</v>
      </c>
      <c r="I1070" s="1375" t="s">
        <v>4463</v>
      </c>
      <c r="J1070" s="350" t="str">
        <f>IF(B1070&lt;&gt;"",+VLOOKUP(I1070,Recursos!C:F,2,FALSE),"")</f>
        <v>Valvula Descarga Mingitorio</v>
      </c>
      <c r="K1070" s="351" t="str">
        <f>IF(B1070&lt;&gt;"",+VLOOKUP(I1070,Recursos!C:F,3,FALSE),"")</f>
        <v>Un</v>
      </c>
      <c r="L1070" s="1475">
        <f>IF(B1070&lt;&gt;"",+VLOOKUP(I1070,Recursos!C:F,4,FALSE),"")</f>
        <v>3200</v>
      </c>
      <c r="M1070" s="1631"/>
      <c r="N1070" s="1639">
        <v>2</v>
      </c>
      <c r="O1070" s="1490">
        <f t="shared" ref="O1070" si="1459">N1070</f>
        <v>2</v>
      </c>
      <c r="P1070" s="352">
        <f t="shared" ref="P1070" si="1460">IF(B1070&lt;&gt;"",O1070*L1070,"")</f>
        <v>6400</v>
      </c>
      <c r="Q1070" s="349">
        <f t="shared" ref="Q1070" si="1461">IF(B1070&lt;&gt;"",+O1070*E1070,"")</f>
        <v>0</v>
      </c>
      <c r="R1070" s="353">
        <f t="shared" ref="R1070" si="1462">IF(B1070&lt;&gt;"",Q1070*L1070,"")</f>
        <v>0</v>
      </c>
      <c r="S1070" s="354">
        <f t="shared" si="1299"/>
        <v>22065.513170146332</v>
      </c>
      <c r="T1070" s="354">
        <f t="shared" si="1300"/>
        <v>0</v>
      </c>
      <c r="U1070" s="355">
        <f t="shared" si="1301"/>
        <v>116187.60330578512</v>
      </c>
      <c r="V1070" s="355">
        <f t="shared" si="1302"/>
        <v>0</v>
      </c>
      <c r="W1070" s="355">
        <f t="shared" si="1303"/>
        <v>0</v>
      </c>
      <c r="X1070" s="355">
        <f t="shared" si="1304"/>
        <v>0</v>
      </c>
      <c r="Y1070" s="396"/>
      <c r="Z1070" s="346" t="str">
        <f t="shared" ref="Z1070" si="1463">IF(B1070&lt;&gt;"",+$B1070&amp;"A","")</f>
        <v>0-ARTFCTA</v>
      </c>
      <c r="AA1070" s="346" t="str">
        <f t="shared" ref="AA1070" si="1464">IF(B1070&lt;&gt;"",+$B1070&amp;"E","")</f>
        <v>0-ARTFCTE</v>
      </c>
      <c r="AB1070" s="346" t="str">
        <f t="shared" ref="AB1070" si="1465">IF(B1070&lt;&gt;"",++$B1070&amp;"M","")</f>
        <v>0-ARTFCTM</v>
      </c>
      <c r="AC1070" s="346" t="str">
        <f t="shared" ref="AC1070" si="1466">IF(B1070&lt;&gt;"",+$B1070&amp;"T","")</f>
        <v>0-ARTFCTT</v>
      </c>
      <c r="AD1070" s="346" t="str">
        <f t="shared" ref="AD1070" si="1467">IF(B1070&lt;&gt;"",+$B1070&amp;"S","")</f>
        <v>0-ARTFCTS</v>
      </c>
      <c r="AE1070" s="346" t="str">
        <f t="shared" ref="AE1070" si="1468">IF(B1070&lt;&gt;"",+$B1070&amp;"X","")</f>
        <v>0-ARTFCTX</v>
      </c>
      <c r="AF1070" s="346" t="str">
        <f t="shared" ref="AF1070" si="1469">IF(B1070&lt;&gt;"",+B1070&amp;H1070,"")</f>
        <v>0-ARTFCTM</v>
      </c>
      <c r="AG1070" s="346">
        <f t="shared" si="1312"/>
        <v>13</v>
      </c>
      <c r="AH1070" s="346">
        <f>IF(B1070&lt;&gt;"",+IF(H1070="x",+VLOOKUP(I1070,'AUX-NIV2'!B:AG,32,FALSE),0),"")</f>
        <v>0</v>
      </c>
      <c r="AI1070" s="346" t="str">
        <f t="shared" ref="AI1070" si="1470">IF(B1070&lt;&gt;"",+B1070,"")</f>
        <v>0-ARTFCT</v>
      </c>
      <c r="AK1070" s="347">
        <f t="shared" si="1314"/>
        <v>1060</v>
      </c>
      <c r="AL1070" s="348">
        <f t="shared" ref="AL1070" si="1471">IF(B1070&lt;&gt;"",+AK1070+AG1070-1,"")</f>
        <v>1072</v>
      </c>
      <c r="AM1070" s="347" t="e">
        <f>IF(B1070&lt;&gt;"",IF(B1070=#REF!,1+#REF!,1),"")</f>
        <v>#REF!</v>
      </c>
      <c r="AN1070" s="382">
        <f>IF(AND(AH1070&gt;0,B1070&lt;&gt;""),VLOOKUP(I1070,'AUX-NIV2'!$B:$AP,40,FALSE)*O1070,0)</f>
        <v>0</v>
      </c>
      <c r="AO1070" s="382">
        <f t="shared" si="1316"/>
        <v>48</v>
      </c>
      <c r="AQ1070" s="395">
        <f>(IF($H1070="x",VLOOKUP($I1070,'AUX-NIV2'!$B:$X,'AUX-NIV1'!AQ$3,FALSE),0)+($AV1070*'AUX-NIV3'!S$4))*$O1070+IF($H1070=AQ$4,$P1070,0)</f>
        <v>0</v>
      </c>
      <c r="AR1070" s="395">
        <f>(IF($H1070="x",VLOOKUP($I1070,'AUX-NIV2'!$B:$X,'AUX-NIV1'!AR$3,FALSE),0)+($AV1070*'AUX-NIV3'!T$4))*$O1070+IF($H1070=AR$4,$P1070,0)</f>
        <v>0</v>
      </c>
      <c r="AS1070" s="395">
        <f>(IF($H1070="x",VLOOKUP($I1070,'AUX-NIV2'!$B:$X,'AUX-NIV1'!AS$3,FALSE),0)+($AV1070*'AUX-NIV3'!U$4))*$O1070+IF($H1070=AS$4,$P1070,0)</f>
        <v>6400</v>
      </c>
      <c r="AT1070" s="395">
        <f>(IF($H1070="x",VLOOKUP($I1070,'AUX-NIV2'!$B:$X,'AUX-NIV1'!AT$3,FALSE),0)+($AV1070*'AUX-NIV3'!V$4))*$O1070+IF($H1070=AT$4,$P1070,0)</f>
        <v>0</v>
      </c>
      <c r="AU1070" s="395">
        <f>(IF($H1070="x",VLOOKUP($I1070,'AUX-NIV2'!$B:$X,'AUX-NIV1'!AU$3,FALSE),0)+($AV1070*'AUX-NIV3'!W$4))*$O1070+IF($H1070=AU$4,$P1070,0)</f>
        <v>0</v>
      </c>
      <c r="AV1070" s="395">
        <f>+IF($H1070="x",VLOOKUP($I1070,'AUX-NIV2'!$B:$X,'AUX-NIV1'!AV$3,FALSE),0)</f>
        <v>0</v>
      </c>
    </row>
    <row r="1071" spans="2:48">
      <c r="B1071" s="324" t="s">
        <v>4669</v>
      </c>
      <c r="C1071" s="325" t="s">
        <v>4670</v>
      </c>
      <c r="D1071" s="326" t="s">
        <v>1172</v>
      </c>
      <c r="E1071" s="349">
        <f>IF(B1071&lt;&gt;"",+SUMIF(Items!C:C,'AUX-NIV1'!B1071,Items!H:H),"")</f>
        <v>0</v>
      </c>
      <c r="F1071" s="349">
        <f t="shared" si="1293"/>
        <v>138253.11647593146</v>
      </c>
      <c r="G1071" s="349">
        <f t="shared" si="1294"/>
        <v>0</v>
      </c>
      <c r="H1071" s="1395" t="str">
        <f t="shared" si="1444"/>
        <v>M</v>
      </c>
      <c r="I1071" s="1375" t="s">
        <v>3802</v>
      </c>
      <c r="J1071" s="350" t="str">
        <f>IF(B1071&lt;&gt;"",+VLOOKUP(I1071,Recursos!C:F,2,FALSE),"")</f>
        <v>MESADA DE GRANITO</v>
      </c>
      <c r="K1071" s="351" t="str">
        <f>IF(B1071&lt;&gt;"",+VLOOKUP(I1071,Recursos!C:F,3,FALSE),"")</f>
        <v>m</v>
      </c>
      <c r="L1071" s="1475">
        <f>IF(B1071&lt;&gt;"",+VLOOKUP(I1071,Recursos!C:F,4,FALSE),"")</f>
        <v>1818.1818181818182</v>
      </c>
      <c r="M1071" s="1631"/>
      <c r="N1071" s="1639">
        <v>1.2</v>
      </c>
      <c r="O1071" s="1490">
        <f t="shared" si="1445"/>
        <v>1.2</v>
      </c>
      <c r="P1071" s="352">
        <f t="shared" si="1446"/>
        <v>2181.818181818182</v>
      </c>
      <c r="Q1071" s="349">
        <f t="shared" si="1447"/>
        <v>0</v>
      </c>
      <c r="R1071" s="353">
        <f t="shared" si="1448"/>
        <v>0</v>
      </c>
      <c r="S1071" s="354">
        <f t="shared" si="1299"/>
        <v>22065.513170146332</v>
      </c>
      <c r="T1071" s="354">
        <f t="shared" si="1300"/>
        <v>0</v>
      </c>
      <c r="U1071" s="355">
        <f t="shared" si="1301"/>
        <v>116187.60330578512</v>
      </c>
      <c r="V1071" s="355">
        <f t="shared" si="1302"/>
        <v>0</v>
      </c>
      <c r="W1071" s="355">
        <f t="shared" si="1303"/>
        <v>0</v>
      </c>
      <c r="X1071" s="355">
        <f t="shared" si="1304"/>
        <v>0</v>
      </c>
      <c r="Y1071" s="396"/>
      <c r="Z1071" s="346" t="str">
        <f t="shared" si="1449"/>
        <v>0-ARTFCTA</v>
      </c>
      <c r="AA1071" s="346" t="str">
        <f t="shared" si="1450"/>
        <v>0-ARTFCTE</v>
      </c>
      <c r="AB1071" s="346" t="str">
        <f t="shared" si="1451"/>
        <v>0-ARTFCTM</v>
      </c>
      <c r="AC1071" s="346" t="str">
        <f t="shared" si="1452"/>
        <v>0-ARTFCTT</v>
      </c>
      <c r="AD1071" s="346" t="str">
        <f t="shared" si="1453"/>
        <v>0-ARTFCTS</v>
      </c>
      <c r="AE1071" s="346" t="str">
        <f t="shared" si="1454"/>
        <v>0-ARTFCTX</v>
      </c>
      <c r="AF1071" s="346" t="str">
        <f t="shared" si="1455"/>
        <v>0-ARTFCTM</v>
      </c>
      <c r="AG1071" s="346">
        <f t="shared" si="1312"/>
        <v>13</v>
      </c>
      <c r="AH1071" s="346">
        <f>IF(B1071&lt;&gt;"",+IF(H1071="x",+VLOOKUP(I1071,'AUX-NIV2'!B:AG,32,FALSE),0),"")</f>
        <v>0</v>
      </c>
      <c r="AI1071" s="346" t="str">
        <f t="shared" si="1456"/>
        <v>0-ARTFCT</v>
      </c>
      <c r="AK1071" s="347">
        <f t="shared" si="1314"/>
        <v>1060</v>
      </c>
      <c r="AL1071" s="348">
        <f t="shared" si="1457"/>
        <v>1072</v>
      </c>
      <c r="AM1071" s="347" t="e">
        <f>IF(B1071&lt;&gt;"",IF(B1071=#REF!,1+#REF!,1),"")</f>
        <v>#REF!</v>
      </c>
      <c r="AN1071" s="382">
        <f>IF(AND(AH1071&gt;0,B1071&lt;&gt;""),VLOOKUP(I1071,'AUX-NIV2'!$B:$AP,40,FALSE)*O1071,0)</f>
        <v>0</v>
      </c>
      <c r="AO1071" s="382">
        <f t="shared" si="1316"/>
        <v>48</v>
      </c>
      <c r="AQ1071" s="395">
        <f>(IF($H1071="x",VLOOKUP($I1071,'AUX-NIV2'!$B:$X,'AUX-NIV1'!AQ$3,FALSE),0)+($AV1071*'AUX-NIV3'!S$4))*$O1071+IF($H1071=AQ$4,$P1071,0)</f>
        <v>0</v>
      </c>
      <c r="AR1071" s="395">
        <f>(IF($H1071="x",VLOOKUP($I1071,'AUX-NIV2'!$B:$X,'AUX-NIV1'!AR$3,FALSE),0)+($AV1071*'AUX-NIV3'!T$4))*$O1071+IF($H1071=AR$4,$P1071,0)</f>
        <v>0</v>
      </c>
      <c r="AS1071" s="395">
        <f>(IF($H1071="x",VLOOKUP($I1071,'AUX-NIV2'!$B:$X,'AUX-NIV1'!AS$3,FALSE),0)+($AV1071*'AUX-NIV3'!U$4))*$O1071+IF($H1071=AS$4,$P1071,0)</f>
        <v>2181.818181818182</v>
      </c>
      <c r="AT1071" s="395">
        <f>(IF($H1071="x",VLOOKUP($I1071,'AUX-NIV2'!$B:$X,'AUX-NIV1'!AT$3,FALSE),0)+($AV1071*'AUX-NIV3'!V$4))*$O1071+IF($H1071=AT$4,$P1071,0)</f>
        <v>0</v>
      </c>
      <c r="AU1071" s="395">
        <f>(IF($H1071="x",VLOOKUP($I1071,'AUX-NIV2'!$B:$X,'AUX-NIV1'!AU$3,FALSE),0)+($AV1071*'AUX-NIV3'!W$4))*$O1071+IF($H1071=AU$4,$P1071,0)</f>
        <v>0</v>
      </c>
      <c r="AV1071" s="395">
        <f>+IF($H1071="x",VLOOKUP($I1071,'AUX-NIV2'!$B:$X,'AUX-NIV1'!AV$3,FALSE),0)</f>
        <v>0</v>
      </c>
    </row>
    <row r="1072" spans="2:48" ht="13.8" thickBot="1">
      <c r="B1072" s="324" t="s">
        <v>4669</v>
      </c>
      <c r="C1072" s="325" t="s">
        <v>4670</v>
      </c>
      <c r="D1072" s="326" t="s">
        <v>1172</v>
      </c>
      <c r="E1072" s="349">
        <f>IF(B1072&lt;&gt;"",+SUMIF(Items!C:C,'AUX-NIV1'!B1072,Items!H:H),"")</f>
        <v>0</v>
      </c>
      <c r="F1072" s="349">
        <f t="shared" si="1293"/>
        <v>138253.11647593146</v>
      </c>
      <c r="G1072" s="349">
        <f t="shared" si="1294"/>
        <v>0</v>
      </c>
      <c r="H1072" s="1395" t="str">
        <f t="shared" ref="H1072" si="1472">IF(B1072&lt;&gt;"",+LEFT(I1072,1),"")</f>
        <v>M</v>
      </c>
      <c r="I1072" s="1375" t="s">
        <v>4673</v>
      </c>
      <c r="J1072" s="350" t="str">
        <f>IF(B1072&lt;&gt;"",+VLOOKUP(I1072,Recursos!C:F,2,FALSE),"")</f>
        <v>Bacha Acero Inox 38 x 28</v>
      </c>
      <c r="K1072" s="351" t="str">
        <f>IF(B1072&lt;&gt;"",+VLOOKUP(I1072,Recursos!C:F,3,FALSE),"")</f>
        <v>Un</v>
      </c>
      <c r="L1072" s="1475">
        <f>IF(B1072&lt;&gt;"",+VLOOKUP(I1072,Recursos!C:F,4,FALSE),"")</f>
        <v>2396.6942148760331</v>
      </c>
      <c r="M1072" s="1622"/>
      <c r="N1072" s="1623">
        <v>4</v>
      </c>
      <c r="O1072" s="1490">
        <f t="shared" ref="O1072" si="1473">N1072</f>
        <v>4</v>
      </c>
      <c r="P1072" s="352">
        <f t="shared" ref="P1072" si="1474">IF(B1072&lt;&gt;"",O1072*L1072,"")</f>
        <v>9586.7768595041325</v>
      </c>
      <c r="Q1072" s="349">
        <f t="shared" ref="Q1072" si="1475">IF(B1072&lt;&gt;"",+O1072*E1072,"")</f>
        <v>0</v>
      </c>
      <c r="R1072" s="353">
        <f t="shared" ref="R1072" si="1476">IF(B1072&lt;&gt;"",Q1072*L1072,"")</f>
        <v>0</v>
      </c>
      <c r="S1072" s="354">
        <f t="shared" si="1299"/>
        <v>22065.513170146332</v>
      </c>
      <c r="T1072" s="354">
        <f t="shared" si="1300"/>
        <v>0</v>
      </c>
      <c r="U1072" s="355">
        <f t="shared" si="1301"/>
        <v>116187.60330578512</v>
      </c>
      <c r="V1072" s="355">
        <f t="shared" si="1302"/>
        <v>0</v>
      </c>
      <c r="W1072" s="355">
        <f t="shared" si="1303"/>
        <v>0</v>
      </c>
      <c r="X1072" s="355">
        <f t="shared" si="1304"/>
        <v>0</v>
      </c>
      <c r="Y1072" s="396"/>
      <c r="Z1072" s="346" t="str">
        <f t="shared" ref="Z1072" si="1477">IF(B1072&lt;&gt;"",+$B1072&amp;"A","")</f>
        <v>0-ARTFCTA</v>
      </c>
      <c r="AA1072" s="346" t="str">
        <f t="shared" ref="AA1072" si="1478">IF(B1072&lt;&gt;"",+$B1072&amp;"E","")</f>
        <v>0-ARTFCTE</v>
      </c>
      <c r="AB1072" s="346" t="str">
        <f t="shared" ref="AB1072" si="1479">IF(B1072&lt;&gt;"",++$B1072&amp;"M","")</f>
        <v>0-ARTFCTM</v>
      </c>
      <c r="AC1072" s="346" t="str">
        <f t="shared" ref="AC1072" si="1480">IF(B1072&lt;&gt;"",+$B1072&amp;"T","")</f>
        <v>0-ARTFCTT</v>
      </c>
      <c r="AD1072" s="346" t="str">
        <f t="shared" ref="AD1072" si="1481">IF(B1072&lt;&gt;"",+$B1072&amp;"S","")</f>
        <v>0-ARTFCTS</v>
      </c>
      <c r="AE1072" s="346" t="str">
        <f t="shared" ref="AE1072" si="1482">IF(B1072&lt;&gt;"",+$B1072&amp;"X","")</f>
        <v>0-ARTFCTX</v>
      </c>
      <c r="AF1072" s="346" t="str">
        <f t="shared" ref="AF1072" si="1483">IF(B1072&lt;&gt;"",+B1072&amp;H1072,"")</f>
        <v>0-ARTFCTM</v>
      </c>
      <c r="AG1072" s="346">
        <f t="shared" si="1312"/>
        <v>13</v>
      </c>
      <c r="AH1072" s="346">
        <f>IF(B1072&lt;&gt;"",+IF(H1072="x",+VLOOKUP(I1072,'AUX-NIV2'!B:AG,32,FALSE),0),"")</f>
        <v>0</v>
      </c>
      <c r="AI1072" s="346" t="str">
        <f t="shared" ref="AI1072" si="1484">IF(B1072&lt;&gt;"",+B1072,"")</f>
        <v>0-ARTFCT</v>
      </c>
      <c r="AK1072" s="347">
        <f t="shared" si="1314"/>
        <v>1060</v>
      </c>
      <c r="AL1072" s="348">
        <f t="shared" ref="AL1072" si="1485">IF(B1072&lt;&gt;"",+AK1072+AG1072-1,"")</f>
        <v>1072</v>
      </c>
      <c r="AM1072" s="347" t="e">
        <f>IF(B1072&lt;&gt;"",IF(B1072=#REF!,1+#REF!,1),"")</f>
        <v>#REF!</v>
      </c>
      <c r="AN1072" s="382">
        <f>IF(AND(AH1072&gt;0,B1072&lt;&gt;""),VLOOKUP(I1072,'AUX-NIV2'!$B:$AP,40,FALSE)*O1072,0)</f>
        <v>0</v>
      </c>
      <c r="AO1072" s="382">
        <f t="shared" si="1316"/>
        <v>48</v>
      </c>
      <c r="AQ1072" s="395">
        <f>(IF($H1072="x",VLOOKUP($I1072,'AUX-NIV2'!$B:$X,'AUX-NIV1'!AQ$3,FALSE),0)+($AV1072*'AUX-NIV3'!S$4))*$O1072+IF($H1072=AQ$4,$P1072,0)</f>
        <v>0</v>
      </c>
      <c r="AR1072" s="395">
        <f>(IF($H1072="x",VLOOKUP($I1072,'AUX-NIV2'!$B:$X,'AUX-NIV1'!AR$3,FALSE),0)+($AV1072*'AUX-NIV3'!T$4))*$O1072+IF($H1072=AR$4,$P1072,0)</f>
        <v>0</v>
      </c>
      <c r="AS1072" s="395">
        <f>(IF($H1072="x",VLOOKUP($I1072,'AUX-NIV2'!$B:$X,'AUX-NIV1'!AS$3,FALSE),0)+($AV1072*'AUX-NIV3'!U$4))*$O1072+IF($H1072=AS$4,$P1072,0)</f>
        <v>9586.7768595041325</v>
      </c>
      <c r="AT1072" s="395">
        <f>(IF($H1072="x",VLOOKUP($I1072,'AUX-NIV2'!$B:$X,'AUX-NIV1'!AT$3,FALSE),0)+($AV1072*'AUX-NIV3'!V$4))*$O1072+IF($H1072=AT$4,$P1072,0)</f>
        <v>0</v>
      </c>
      <c r="AU1072" s="395">
        <f>(IF($H1072="x",VLOOKUP($I1072,'AUX-NIV2'!$B:$X,'AUX-NIV1'!AU$3,FALSE),0)+($AV1072*'AUX-NIV3'!W$4))*$O1072+IF($H1072=AU$4,$P1072,0)</f>
        <v>0</v>
      </c>
      <c r="AV1072" s="395">
        <f>+IF($H1072="x",VLOOKUP($I1072,'AUX-NIV2'!$B:$X,'AUX-NIV1'!AV$3,FALSE),0)</f>
        <v>0</v>
      </c>
    </row>
    <row r="1073" spans="2:48" ht="13.8" thickTop="1">
      <c r="B1073" s="324" t="s">
        <v>4671</v>
      </c>
      <c r="C1073" s="325" t="s">
        <v>4672</v>
      </c>
      <c r="D1073" s="326" t="s">
        <v>1172</v>
      </c>
      <c r="E1073" s="349">
        <f>IF(B1073&lt;&gt;"",+SUMIF(Items!C:C,'AUX-NIV1'!B1073,Items!H:H),"")</f>
        <v>0</v>
      </c>
      <c r="F1073" s="349">
        <f t="shared" si="1293"/>
        <v>18655.171056715444</v>
      </c>
      <c r="G1073" s="349">
        <f t="shared" si="1294"/>
        <v>0</v>
      </c>
      <c r="H1073" s="1395" t="str">
        <f t="shared" ref="H1073:H1083" si="1486">IF(B1073&lt;&gt;"",+LEFT(I1073,1),"")</f>
        <v>A</v>
      </c>
      <c r="I1073" s="1375" t="s">
        <v>1745</v>
      </c>
      <c r="J1073" s="350" t="str">
        <f>IF(B1073&lt;&gt;"",+VLOOKUP(I1073,Recursos!C:F,2,FALSE),"")</f>
        <v>AYUDANTE</v>
      </c>
      <c r="K1073" s="351" t="str">
        <f>IF(B1073&lt;&gt;"",+VLOOKUP(I1073,Recursos!C:F,3,FALSE),"")</f>
        <v>hh</v>
      </c>
      <c r="L1073" s="1475">
        <f>IF(B1073&lt;&gt;"",+VLOOKUP(I1073,Recursos!C:F,4,FALSE),"")</f>
        <v>422.48042769667234</v>
      </c>
      <c r="M1073" s="1631"/>
      <c r="N1073" s="1639">
        <v>8</v>
      </c>
      <c r="O1073" s="1490">
        <f t="shared" ref="O1073:O1076" si="1487">N1073</f>
        <v>8</v>
      </c>
      <c r="P1073" s="352">
        <f t="shared" ref="P1073:P1083" si="1488">IF(B1073&lt;&gt;"",O1073*L1073,"")</f>
        <v>3379.8434215733787</v>
      </c>
      <c r="Q1073" s="349">
        <f t="shared" ref="Q1073:Q1083" si="1489">IF(B1073&lt;&gt;"",+O1073*E1073,"")</f>
        <v>0</v>
      </c>
      <c r="R1073" s="353">
        <f t="shared" ref="R1073:R1083" si="1490">IF(B1073&lt;&gt;"",Q1073*L1073,"")</f>
        <v>0</v>
      </c>
      <c r="S1073" s="354">
        <f t="shared" si="1299"/>
        <v>7355.1710567154441</v>
      </c>
      <c r="T1073" s="354">
        <f t="shared" si="1300"/>
        <v>0</v>
      </c>
      <c r="U1073" s="355">
        <f t="shared" si="1301"/>
        <v>11300</v>
      </c>
      <c r="V1073" s="355">
        <f t="shared" si="1302"/>
        <v>0</v>
      </c>
      <c r="W1073" s="355">
        <f t="shared" si="1303"/>
        <v>0</v>
      </c>
      <c r="X1073" s="355">
        <f t="shared" si="1304"/>
        <v>0</v>
      </c>
      <c r="Y1073" s="396"/>
      <c r="Z1073" s="346" t="str">
        <f t="shared" ref="Z1073:Z1076" si="1491">IF(B1073&lt;&gt;"",+$B1073&amp;"A","")</f>
        <v>0-GRIFERA</v>
      </c>
      <c r="AA1073" s="346" t="str">
        <f t="shared" ref="AA1073:AA1076" si="1492">IF(B1073&lt;&gt;"",+$B1073&amp;"E","")</f>
        <v>0-GRIFERE</v>
      </c>
      <c r="AB1073" s="346" t="str">
        <f t="shared" ref="AB1073:AB1076" si="1493">IF(B1073&lt;&gt;"",++$B1073&amp;"M","")</f>
        <v>0-GRIFERM</v>
      </c>
      <c r="AC1073" s="346" t="str">
        <f t="shared" ref="AC1073:AC1076" si="1494">IF(B1073&lt;&gt;"",+$B1073&amp;"T","")</f>
        <v>0-GRIFERT</v>
      </c>
      <c r="AD1073" s="346" t="str">
        <f t="shared" ref="AD1073:AD1076" si="1495">IF(B1073&lt;&gt;"",+$B1073&amp;"S","")</f>
        <v>0-GRIFERS</v>
      </c>
      <c r="AE1073" s="346" t="str">
        <f t="shared" ref="AE1073:AE1076" si="1496">IF(B1073&lt;&gt;"",+$B1073&amp;"X","")</f>
        <v>0-GRIFERX</v>
      </c>
      <c r="AF1073" s="346" t="str">
        <f t="shared" ref="AF1073:AF1083" si="1497">IF(B1073&lt;&gt;"",+B1073&amp;H1073,"")</f>
        <v>0-GRIFERA</v>
      </c>
      <c r="AG1073" s="346">
        <f t="shared" si="1312"/>
        <v>4</v>
      </c>
      <c r="AH1073" s="346">
        <f>IF(B1073&lt;&gt;"",+IF(H1073="x",+VLOOKUP(I1073,'AUX-NIV2'!B:AG,32,FALSE),0),"")</f>
        <v>0</v>
      </c>
      <c r="AI1073" s="346" t="str">
        <f t="shared" ref="AI1073:AI1083" si="1498">IF(B1073&lt;&gt;"",+B1073,"")</f>
        <v>0-GRIFER</v>
      </c>
      <c r="AK1073" s="347">
        <f t="shared" si="1314"/>
        <v>1073</v>
      </c>
      <c r="AL1073" s="348">
        <f t="shared" ref="AL1073:AL1083" si="1499">IF(B1073&lt;&gt;"",+AK1073+AG1073-1,"")</f>
        <v>1076</v>
      </c>
      <c r="AM1073" s="347" t="e">
        <f>IF(B1073&lt;&gt;"",IF(B1073=#REF!,1+#REF!,1),"")</f>
        <v>#REF!</v>
      </c>
      <c r="AN1073" s="382">
        <f>IF(AND(AH1073&gt;0,B1073&lt;&gt;""),VLOOKUP(I1073,'AUX-NIV2'!$B:$AP,40,FALSE)*O1073,0)</f>
        <v>0</v>
      </c>
      <c r="AO1073" s="382">
        <f t="shared" si="1316"/>
        <v>16</v>
      </c>
      <c r="AQ1073" s="395">
        <f>(IF($H1073="x",VLOOKUP($I1073,'AUX-NIV2'!$B:$X,'AUX-NIV1'!AQ$3,FALSE),0)+($AV1073*'AUX-NIV3'!S$4))*$O1073+IF($H1073=AQ$4,$P1073,0)</f>
        <v>3379.8434215733787</v>
      </c>
      <c r="AR1073" s="395">
        <f>(IF($H1073="x",VLOOKUP($I1073,'AUX-NIV2'!$B:$X,'AUX-NIV1'!AR$3,FALSE),0)+($AV1073*'AUX-NIV3'!T$4))*$O1073+IF($H1073=AR$4,$P1073,0)</f>
        <v>0</v>
      </c>
      <c r="AS1073" s="395">
        <f>(IF($H1073="x",VLOOKUP($I1073,'AUX-NIV2'!$B:$X,'AUX-NIV1'!AS$3,FALSE),0)+($AV1073*'AUX-NIV3'!U$4))*$O1073+IF($H1073=AS$4,$P1073,0)</f>
        <v>0</v>
      </c>
      <c r="AT1073" s="395">
        <f>(IF($H1073="x",VLOOKUP($I1073,'AUX-NIV2'!$B:$X,'AUX-NIV1'!AT$3,FALSE),0)+($AV1073*'AUX-NIV3'!V$4))*$O1073+IF($H1073=AT$4,$P1073,0)</f>
        <v>0</v>
      </c>
      <c r="AU1073" s="395">
        <f>(IF($H1073="x",VLOOKUP($I1073,'AUX-NIV2'!$B:$X,'AUX-NIV1'!AU$3,FALSE),0)+($AV1073*'AUX-NIV3'!W$4))*$O1073+IF($H1073=AU$4,$P1073,0)</f>
        <v>0</v>
      </c>
      <c r="AV1073" s="395">
        <f>+IF($H1073="x",VLOOKUP($I1073,'AUX-NIV2'!$B:$X,'AUX-NIV1'!AV$3,FALSE),0)</f>
        <v>0</v>
      </c>
    </row>
    <row r="1074" spans="2:48">
      <c r="B1074" s="324" t="s">
        <v>4671</v>
      </c>
      <c r="C1074" s="325" t="s">
        <v>4672</v>
      </c>
      <c r="D1074" s="326" t="s">
        <v>1172</v>
      </c>
      <c r="E1074" s="349">
        <f>IF(B1074&lt;&gt;"",+SUMIF(Items!C:C,'AUX-NIV1'!B1074,Items!H:H),"")</f>
        <v>0</v>
      </c>
      <c r="F1074" s="349">
        <f t="shared" si="1293"/>
        <v>18655.171056715444</v>
      </c>
      <c r="G1074" s="349">
        <f t="shared" si="1294"/>
        <v>0</v>
      </c>
      <c r="H1074" s="1395" t="str">
        <f t="shared" si="1486"/>
        <v>A</v>
      </c>
      <c r="I1074" s="1375" t="s">
        <v>1746</v>
      </c>
      <c r="J1074" s="350" t="str">
        <f>IF(B1074&lt;&gt;"",+VLOOKUP(I1074,Recursos!C:F,2,FALSE),"")</f>
        <v>OFICIAL</v>
      </c>
      <c r="K1074" s="351" t="str">
        <f>IF(B1074&lt;&gt;"",+VLOOKUP(I1074,Recursos!C:F,3,FALSE),"")</f>
        <v>hh</v>
      </c>
      <c r="L1074" s="1475">
        <f>IF(B1074&lt;&gt;"",+VLOOKUP(I1074,Recursos!C:F,4,FALSE),"")</f>
        <v>496.91595439275824</v>
      </c>
      <c r="M1074" s="1631"/>
      <c r="N1074" s="1639">
        <v>8</v>
      </c>
      <c r="O1074" s="1490">
        <f t="shared" si="1487"/>
        <v>8</v>
      </c>
      <c r="P1074" s="352">
        <f t="shared" si="1488"/>
        <v>3975.3276351420659</v>
      </c>
      <c r="Q1074" s="349">
        <f t="shared" si="1489"/>
        <v>0</v>
      </c>
      <c r="R1074" s="353">
        <f t="shared" si="1490"/>
        <v>0</v>
      </c>
      <c r="S1074" s="354">
        <f t="shared" si="1299"/>
        <v>7355.1710567154441</v>
      </c>
      <c r="T1074" s="354">
        <f t="shared" si="1300"/>
        <v>0</v>
      </c>
      <c r="U1074" s="355">
        <f t="shared" si="1301"/>
        <v>11300</v>
      </c>
      <c r="V1074" s="355">
        <f t="shared" si="1302"/>
        <v>0</v>
      </c>
      <c r="W1074" s="355">
        <f t="shared" si="1303"/>
        <v>0</v>
      </c>
      <c r="X1074" s="355">
        <f t="shared" si="1304"/>
        <v>0</v>
      </c>
      <c r="Y1074" s="396"/>
      <c r="Z1074" s="346" t="str">
        <f t="shared" si="1491"/>
        <v>0-GRIFERA</v>
      </c>
      <c r="AA1074" s="346" t="str">
        <f t="shared" si="1492"/>
        <v>0-GRIFERE</v>
      </c>
      <c r="AB1074" s="346" t="str">
        <f t="shared" si="1493"/>
        <v>0-GRIFERM</v>
      </c>
      <c r="AC1074" s="346" t="str">
        <f t="shared" si="1494"/>
        <v>0-GRIFERT</v>
      </c>
      <c r="AD1074" s="346" t="str">
        <f t="shared" si="1495"/>
        <v>0-GRIFERS</v>
      </c>
      <c r="AE1074" s="346" t="str">
        <f t="shared" si="1496"/>
        <v>0-GRIFERX</v>
      </c>
      <c r="AF1074" s="346" t="str">
        <f t="shared" si="1497"/>
        <v>0-GRIFERA</v>
      </c>
      <c r="AG1074" s="346">
        <f t="shared" si="1312"/>
        <v>4</v>
      </c>
      <c r="AH1074" s="346">
        <f>IF(B1074&lt;&gt;"",+IF(H1074="x",+VLOOKUP(I1074,'AUX-NIV2'!B:AG,32,FALSE),0),"")</f>
        <v>0</v>
      </c>
      <c r="AI1074" s="346" t="str">
        <f t="shared" si="1498"/>
        <v>0-GRIFER</v>
      </c>
      <c r="AK1074" s="347">
        <f t="shared" si="1314"/>
        <v>1073</v>
      </c>
      <c r="AL1074" s="348">
        <f t="shared" si="1499"/>
        <v>1076</v>
      </c>
      <c r="AM1074" s="347" t="e">
        <f>IF(B1074&lt;&gt;"",IF(B1074=#REF!,1+#REF!,1),"")</f>
        <v>#REF!</v>
      </c>
      <c r="AN1074" s="382">
        <f>IF(AND(AH1074&gt;0,B1074&lt;&gt;""),VLOOKUP(I1074,'AUX-NIV2'!$B:$AP,40,FALSE)*O1074,0)</f>
        <v>0</v>
      </c>
      <c r="AO1074" s="382">
        <f t="shared" si="1316"/>
        <v>16</v>
      </c>
      <c r="AQ1074" s="395">
        <f>(IF($H1074="x",VLOOKUP($I1074,'AUX-NIV2'!$B:$X,'AUX-NIV1'!AQ$3,FALSE),0)+($AV1074*'AUX-NIV3'!S$4))*$O1074+IF($H1074=AQ$4,$P1074,0)</f>
        <v>3975.3276351420659</v>
      </c>
      <c r="AR1074" s="395">
        <f>(IF($H1074="x",VLOOKUP($I1074,'AUX-NIV2'!$B:$X,'AUX-NIV1'!AR$3,FALSE),0)+($AV1074*'AUX-NIV3'!T$4))*$O1074+IF($H1074=AR$4,$P1074,0)</f>
        <v>0</v>
      </c>
      <c r="AS1074" s="395">
        <f>(IF($H1074="x",VLOOKUP($I1074,'AUX-NIV2'!$B:$X,'AUX-NIV1'!AS$3,FALSE),0)+($AV1074*'AUX-NIV3'!U$4))*$O1074+IF($H1074=AS$4,$P1074,0)</f>
        <v>0</v>
      </c>
      <c r="AT1074" s="395">
        <f>(IF($H1074="x",VLOOKUP($I1074,'AUX-NIV2'!$B:$X,'AUX-NIV1'!AT$3,FALSE),0)+($AV1074*'AUX-NIV3'!V$4))*$O1074+IF($H1074=AT$4,$P1074,0)</f>
        <v>0</v>
      </c>
      <c r="AU1074" s="395">
        <f>(IF($H1074="x",VLOOKUP($I1074,'AUX-NIV2'!$B:$X,'AUX-NIV1'!AU$3,FALSE),0)+($AV1074*'AUX-NIV3'!W$4))*$O1074+IF($H1074=AU$4,$P1074,0)</f>
        <v>0</v>
      </c>
      <c r="AV1074" s="395">
        <f>+IF($H1074="x",VLOOKUP($I1074,'AUX-NIV2'!$B:$X,'AUX-NIV1'!AV$3,FALSE),0)</f>
        <v>0</v>
      </c>
    </row>
    <row r="1075" spans="2:48">
      <c r="B1075" s="324" t="s">
        <v>4671</v>
      </c>
      <c r="C1075" s="325" t="s">
        <v>4672</v>
      </c>
      <c r="D1075" s="326" t="s">
        <v>1172</v>
      </c>
      <c r="E1075" s="349">
        <f>IF(B1075&lt;&gt;"",+SUMIF(Items!C:C,'AUX-NIV1'!B1075,Items!H:H),"")</f>
        <v>0</v>
      </c>
      <c r="F1075" s="349">
        <f t="shared" si="1293"/>
        <v>18655.171056715444</v>
      </c>
      <c r="G1075" s="349">
        <f t="shared" si="1294"/>
        <v>0</v>
      </c>
      <c r="H1075" s="1395" t="str">
        <f t="shared" si="1486"/>
        <v>M</v>
      </c>
      <c r="I1075" s="1375" t="s">
        <v>4676</v>
      </c>
      <c r="J1075" s="350" t="str">
        <f>IF(B1075&lt;&gt;"",+VLOOKUP(I1075,Recursos!C:F,2,FALSE),"")</f>
        <v>Grifería Lavatorio Monocomando</v>
      </c>
      <c r="K1075" s="351" t="str">
        <f>IF(B1075&lt;&gt;"",+VLOOKUP(I1075,Recursos!C:F,3,FALSE),"")</f>
        <v>Un</v>
      </c>
      <c r="L1075" s="1475">
        <f>IF(B1075&lt;&gt;"",+VLOOKUP(I1075,Recursos!C:F,4,FALSE),"")</f>
        <v>2200</v>
      </c>
      <c r="M1075" s="1631"/>
      <c r="N1075" s="1639">
        <v>4</v>
      </c>
      <c r="O1075" s="1490">
        <f t="shared" si="1487"/>
        <v>4</v>
      </c>
      <c r="P1075" s="352">
        <f t="shared" si="1488"/>
        <v>8800</v>
      </c>
      <c r="Q1075" s="349">
        <f t="shared" si="1489"/>
        <v>0</v>
      </c>
      <c r="R1075" s="353">
        <f t="shared" si="1490"/>
        <v>0</v>
      </c>
      <c r="S1075" s="354">
        <f t="shared" si="1299"/>
        <v>7355.1710567154441</v>
      </c>
      <c r="T1075" s="354">
        <f t="shared" si="1300"/>
        <v>0</v>
      </c>
      <c r="U1075" s="355">
        <f t="shared" si="1301"/>
        <v>11300</v>
      </c>
      <c r="V1075" s="355">
        <f t="shared" si="1302"/>
        <v>0</v>
      </c>
      <c r="W1075" s="355">
        <f t="shared" si="1303"/>
        <v>0</v>
      </c>
      <c r="X1075" s="355">
        <f t="shared" si="1304"/>
        <v>0</v>
      </c>
      <c r="Y1075" s="396"/>
      <c r="Z1075" s="346" t="str">
        <f t="shared" si="1491"/>
        <v>0-GRIFERA</v>
      </c>
      <c r="AA1075" s="346" t="str">
        <f t="shared" si="1492"/>
        <v>0-GRIFERE</v>
      </c>
      <c r="AB1075" s="346" t="str">
        <f t="shared" si="1493"/>
        <v>0-GRIFERM</v>
      </c>
      <c r="AC1075" s="346" t="str">
        <f t="shared" si="1494"/>
        <v>0-GRIFERT</v>
      </c>
      <c r="AD1075" s="346" t="str">
        <f t="shared" si="1495"/>
        <v>0-GRIFERS</v>
      </c>
      <c r="AE1075" s="346" t="str">
        <f t="shared" si="1496"/>
        <v>0-GRIFERX</v>
      </c>
      <c r="AF1075" s="346" t="str">
        <f t="shared" si="1497"/>
        <v>0-GRIFERM</v>
      </c>
      <c r="AG1075" s="346">
        <f t="shared" si="1312"/>
        <v>4</v>
      </c>
      <c r="AH1075" s="346">
        <f>IF(B1075&lt;&gt;"",+IF(H1075="x",+VLOOKUP(I1075,'AUX-NIV2'!B:AG,32,FALSE),0),"")</f>
        <v>0</v>
      </c>
      <c r="AI1075" s="346" t="str">
        <f t="shared" si="1498"/>
        <v>0-GRIFER</v>
      </c>
      <c r="AK1075" s="347">
        <f t="shared" si="1314"/>
        <v>1073</v>
      </c>
      <c r="AL1075" s="348">
        <f t="shared" si="1499"/>
        <v>1076</v>
      </c>
      <c r="AM1075" s="347" t="e">
        <f>IF(B1075&lt;&gt;"",IF(B1075=#REF!,1+#REF!,1),"")</f>
        <v>#REF!</v>
      </c>
      <c r="AN1075" s="382">
        <f>IF(AND(AH1075&gt;0,B1075&lt;&gt;""),VLOOKUP(I1075,'AUX-NIV2'!$B:$AP,40,FALSE)*O1075,0)</f>
        <v>0</v>
      </c>
      <c r="AO1075" s="382">
        <f t="shared" si="1316"/>
        <v>16</v>
      </c>
      <c r="AQ1075" s="395">
        <f>(IF($H1075="x",VLOOKUP($I1075,'AUX-NIV2'!$B:$X,'AUX-NIV1'!AQ$3,FALSE),0)+($AV1075*'AUX-NIV3'!S$4))*$O1075+IF($H1075=AQ$4,$P1075,0)</f>
        <v>0</v>
      </c>
      <c r="AR1075" s="395">
        <f>(IF($H1075="x",VLOOKUP($I1075,'AUX-NIV2'!$B:$X,'AUX-NIV1'!AR$3,FALSE),0)+($AV1075*'AUX-NIV3'!T$4))*$O1075+IF($H1075=AR$4,$P1075,0)</f>
        <v>0</v>
      </c>
      <c r="AS1075" s="395">
        <f>(IF($H1075="x",VLOOKUP($I1075,'AUX-NIV2'!$B:$X,'AUX-NIV1'!AS$3,FALSE),0)+($AV1075*'AUX-NIV3'!U$4))*$O1075+IF($H1075=AS$4,$P1075,0)</f>
        <v>8800</v>
      </c>
      <c r="AT1075" s="395">
        <f>(IF($H1075="x",VLOOKUP($I1075,'AUX-NIV2'!$B:$X,'AUX-NIV1'!AT$3,FALSE),0)+($AV1075*'AUX-NIV3'!V$4))*$O1075+IF($H1075=AT$4,$P1075,0)</f>
        <v>0</v>
      </c>
      <c r="AU1075" s="395">
        <f>(IF($H1075="x",VLOOKUP($I1075,'AUX-NIV2'!$B:$X,'AUX-NIV1'!AU$3,FALSE),0)+($AV1075*'AUX-NIV3'!W$4))*$O1075+IF($H1075=AU$4,$P1075,0)</f>
        <v>0</v>
      </c>
      <c r="AV1075" s="395">
        <f>+IF($H1075="x",VLOOKUP($I1075,'AUX-NIV2'!$B:$X,'AUX-NIV1'!AV$3,FALSE),0)</f>
        <v>0</v>
      </c>
    </row>
    <row r="1076" spans="2:48" ht="13.8" thickBot="1">
      <c r="B1076" s="324" t="s">
        <v>4671</v>
      </c>
      <c r="C1076" s="325" t="s">
        <v>4672</v>
      </c>
      <c r="D1076" s="326" t="s">
        <v>1172</v>
      </c>
      <c r="E1076" s="349">
        <f>IF(B1076&lt;&gt;"",+SUMIF(Items!C:C,'AUX-NIV1'!B1076,Items!H:H),"")</f>
        <v>0</v>
      </c>
      <c r="F1076" s="349">
        <f t="shared" si="1293"/>
        <v>18655.171056715444</v>
      </c>
      <c r="G1076" s="349">
        <f t="shared" si="1294"/>
        <v>0</v>
      </c>
      <c r="H1076" s="1395" t="str">
        <f t="shared" si="1486"/>
        <v>M</v>
      </c>
      <c r="I1076" s="1375" t="s">
        <v>621</v>
      </c>
      <c r="J1076" s="350" t="str">
        <f>IF(B1076&lt;&gt;"",+VLOOKUP(I1076,Recursos!C:F,2,FALSE),"")</f>
        <v>MATERIALES VARIOS</v>
      </c>
      <c r="K1076" s="351" t="str">
        <f>IF(B1076&lt;&gt;"",+VLOOKUP(I1076,Recursos!C:F,3,FALSE),"")</f>
        <v>GL</v>
      </c>
      <c r="L1076" s="1475">
        <f>IF(B1076&lt;&gt;"",+VLOOKUP(I1076,Recursos!C:F,4,FALSE),"")</f>
        <v>0.5</v>
      </c>
      <c r="M1076" s="1631"/>
      <c r="N1076" s="1639">
        <v>5000</v>
      </c>
      <c r="O1076" s="1490">
        <f t="shared" si="1487"/>
        <v>5000</v>
      </c>
      <c r="P1076" s="352">
        <f t="shared" si="1488"/>
        <v>2500</v>
      </c>
      <c r="Q1076" s="349">
        <f t="shared" si="1489"/>
        <v>0</v>
      </c>
      <c r="R1076" s="353">
        <f t="shared" si="1490"/>
        <v>0</v>
      </c>
      <c r="S1076" s="354">
        <f t="shared" si="1299"/>
        <v>7355.1710567154441</v>
      </c>
      <c r="T1076" s="354">
        <f t="shared" si="1300"/>
        <v>0</v>
      </c>
      <c r="U1076" s="355">
        <f t="shared" si="1301"/>
        <v>11300</v>
      </c>
      <c r="V1076" s="355">
        <f t="shared" si="1302"/>
        <v>0</v>
      </c>
      <c r="W1076" s="355">
        <f t="shared" si="1303"/>
        <v>0</v>
      </c>
      <c r="X1076" s="355">
        <f t="shared" si="1304"/>
        <v>0</v>
      </c>
      <c r="Y1076" s="396"/>
      <c r="Z1076" s="346" t="str">
        <f t="shared" si="1491"/>
        <v>0-GRIFERA</v>
      </c>
      <c r="AA1076" s="346" t="str">
        <f t="shared" si="1492"/>
        <v>0-GRIFERE</v>
      </c>
      <c r="AB1076" s="346" t="str">
        <f t="shared" si="1493"/>
        <v>0-GRIFERM</v>
      </c>
      <c r="AC1076" s="346" t="str">
        <f t="shared" si="1494"/>
        <v>0-GRIFERT</v>
      </c>
      <c r="AD1076" s="346" t="str">
        <f t="shared" si="1495"/>
        <v>0-GRIFERS</v>
      </c>
      <c r="AE1076" s="346" t="str">
        <f t="shared" si="1496"/>
        <v>0-GRIFERX</v>
      </c>
      <c r="AF1076" s="346" t="str">
        <f t="shared" si="1497"/>
        <v>0-GRIFERM</v>
      </c>
      <c r="AG1076" s="346">
        <f t="shared" si="1312"/>
        <v>4</v>
      </c>
      <c r="AH1076" s="346">
        <f>IF(B1076&lt;&gt;"",+IF(H1076="x",+VLOOKUP(I1076,'AUX-NIV2'!B:AG,32,FALSE),0),"")</f>
        <v>0</v>
      </c>
      <c r="AI1076" s="346" t="str">
        <f t="shared" si="1498"/>
        <v>0-GRIFER</v>
      </c>
      <c r="AK1076" s="347">
        <f t="shared" si="1314"/>
        <v>1073</v>
      </c>
      <c r="AL1076" s="348">
        <f t="shared" si="1499"/>
        <v>1076</v>
      </c>
      <c r="AM1076" s="347" t="e">
        <f>IF(B1076&lt;&gt;"",IF(B1076=#REF!,1+#REF!,1),"")</f>
        <v>#REF!</v>
      </c>
      <c r="AN1076" s="382">
        <f>IF(AND(AH1076&gt;0,B1076&lt;&gt;""),VLOOKUP(I1076,'AUX-NIV2'!$B:$AP,40,FALSE)*O1076,0)</f>
        <v>0</v>
      </c>
      <c r="AO1076" s="382">
        <f t="shared" si="1316"/>
        <v>16</v>
      </c>
      <c r="AQ1076" s="395">
        <f>(IF($H1076="x",VLOOKUP($I1076,'AUX-NIV2'!$B:$X,'AUX-NIV1'!AQ$3,FALSE),0)+($AV1076*'AUX-NIV3'!S$4))*$O1076+IF($H1076=AQ$4,$P1076,0)</f>
        <v>0</v>
      </c>
      <c r="AR1076" s="395">
        <f>(IF($H1076="x",VLOOKUP($I1076,'AUX-NIV2'!$B:$X,'AUX-NIV1'!AR$3,FALSE),0)+($AV1076*'AUX-NIV3'!T$4))*$O1076+IF($H1076=AR$4,$P1076,0)</f>
        <v>0</v>
      </c>
      <c r="AS1076" s="395">
        <f>(IF($H1076="x",VLOOKUP($I1076,'AUX-NIV2'!$B:$X,'AUX-NIV1'!AS$3,FALSE),0)+($AV1076*'AUX-NIV3'!U$4))*$O1076+IF($H1076=AS$4,$P1076,0)</f>
        <v>2500</v>
      </c>
      <c r="AT1076" s="395">
        <f>(IF($H1076="x",VLOOKUP($I1076,'AUX-NIV2'!$B:$X,'AUX-NIV1'!AT$3,FALSE),0)+($AV1076*'AUX-NIV3'!V$4))*$O1076+IF($H1076=AT$4,$P1076,0)</f>
        <v>0</v>
      </c>
      <c r="AU1076" s="395">
        <f>(IF($H1076="x",VLOOKUP($I1076,'AUX-NIV2'!$B:$X,'AUX-NIV1'!AU$3,FALSE),0)+($AV1076*'AUX-NIV3'!W$4))*$O1076+IF($H1076=AU$4,$P1076,0)</f>
        <v>0</v>
      </c>
      <c r="AV1076" s="395">
        <f>+IF($H1076="x",VLOOKUP($I1076,'AUX-NIV2'!$B:$X,'AUX-NIV1'!AV$3,FALSE),0)</f>
        <v>0</v>
      </c>
    </row>
    <row r="1077" spans="2:48" customFormat="1" ht="13.8" thickTop="1">
      <c r="B1077" s="501" t="s">
        <v>4685</v>
      </c>
      <c r="C1077" s="951" t="s">
        <v>4636</v>
      </c>
      <c r="D1077" s="326" t="s">
        <v>4629</v>
      </c>
      <c r="E1077" s="349">
        <f>IF(B1077&lt;&gt;"",+SUMIF(Items!C:C,'AUX-NIV1'!B1077,Items!H:H),"")</f>
        <v>0</v>
      </c>
      <c r="F1077" s="327">
        <f t="shared" si="1293"/>
        <v>18135.171056715444</v>
      </c>
      <c r="G1077" s="327">
        <f t="shared" si="1294"/>
        <v>0</v>
      </c>
      <c r="H1077" s="328" t="str">
        <f t="shared" si="1486"/>
        <v>A</v>
      </c>
      <c r="I1077" s="324" t="s">
        <v>1745</v>
      </c>
      <c r="J1077" s="431" t="str">
        <f>IF(B1077&lt;&gt;"",+VLOOKUP(I1077,Recursos!C:F,2,FALSE),"")</f>
        <v>AYUDANTE</v>
      </c>
      <c r="K1077" s="330" t="str">
        <f>IF(B1077&lt;&gt;"",+VLOOKUP(I1077,Recursos!C:F,3,FALSE),"")</f>
        <v>hh</v>
      </c>
      <c r="L1077" s="446">
        <f>IF(B1077&lt;&gt;"",+VLOOKUP(I1077,Recursos!C:F,4,FALSE),"")</f>
        <v>422.48042769667234</v>
      </c>
      <c r="M1077" s="1270"/>
      <c r="N1077" s="1352">
        <v>8</v>
      </c>
      <c r="O1077" s="1361">
        <f>N1077</f>
        <v>8</v>
      </c>
      <c r="P1077" s="333">
        <f t="shared" si="1488"/>
        <v>3379.8434215733787</v>
      </c>
      <c r="Q1077" s="327">
        <f t="shared" si="1489"/>
        <v>0</v>
      </c>
      <c r="R1077" s="334">
        <f t="shared" si="1490"/>
        <v>0</v>
      </c>
      <c r="S1077" s="335">
        <f t="shared" si="1299"/>
        <v>7355.1710567154441</v>
      </c>
      <c r="T1077" s="335">
        <f t="shared" si="1300"/>
        <v>0</v>
      </c>
      <c r="U1077" s="336">
        <f t="shared" si="1301"/>
        <v>10780</v>
      </c>
      <c r="V1077" s="336">
        <f t="shared" si="1302"/>
        <v>0</v>
      </c>
      <c r="W1077" s="336">
        <f t="shared" si="1303"/>
        <v>0</v>
      </c>
      <c r="X1077" s="336">
        <f t="shared" si="1304"/>
        <v>0</v>
      </c>
      <c r="Y1077" s="320"/>
      <c r="Z1077" s="321" t="str">
        <f>IF(B1077&lt;&gt;"",+$B1077&amp;"A","")</f>
        <v>0-CANLTA</v>
      </c>
      <c r="AA1077" s="321" t="str">
        <f>IF(B1077&lt;&gt;"",+$B1077&amp;"E","")</f>
        <v>0-CANLTE</v>
      </c>
      <c r="AB1077" s="321" t="str">
        <f>IF(B1077&lt;&gt;"",++$B1077&amp;"M","")</f>
        <v>0-CANLTM</v>
      </c>
      <c r="AC1077" s="321" t="str">
        <f>IF(B1077&lt;&gt;"",+$B1077&amp;"T","")</f>
        <v>0-CANLTT</v>
      </c>
      <c r="AD1077" s="321" t="str">
        <f>IF(B1077&lt;&gt;"",+$B1077&amp;"S","")</f>
        <v>0-CANLTS</v>
      </c>
      <c r="AE1077" s="321" t="str">
        <f>IF(B1077&lt;&gt;"",+$B1077&amp;"X","")</f>
        <v>0-CANLTX</v>
      </c>
      <c r="AF1077" s="321" t="str">
        <f t="shared" si="1497"/>
        <v>0-CANLTA</v>
      </c>
      <c r="AG1077" s="321">
        <f t="shared" si="1312"/>
        <v>4</v>
      </c>
      <c r="AH1077" s="321">
        <f>IF(B1077&lt;&gt;"",IF(H1077="x",VLOOKUP(I1077,'AUX-NIV3'!B:AG,32,FALSE),0),"")</f>
        <v>0</v>
      </c>
      <c r="AI1077" s="321" t="str">
        <f t="shared" si="1498"/>
        <v>0-CANLT</v>
      </c>
      <c r="AJ1077" s="320"/>
      <c r="AK1077" s="322">
        <f t="shared" si="1314"/>
        <v>1077</v>
      </c>
      <c r="AL1077" s="323">
        <f t="shared" si="1499"/>
        <v>1080</v>
      </c>
      <c r="AM1077" s="322">
        <f>IF(B1077&lt;&gt;"",IF(B1077=B1070,1+AM1070,1),"")</f>
        <v>1</v>
      </c>
      <c r="AN1077" s="380">
        <f>IF(AND(AH1077&gt;0,B1077&lt;&gt;""),VLOOKUP(I1077,'AUX-NIV3'!$B:$AO,39,FALSE)*O1077,0)</f>
        <v>0</v>
      </c>
      <c r="AO1077" s="380">
        <f t="shared" si="1316"/>
        <v>16</v>
      </c>
      <c r="AP1077" s="380"/>
      <c r="AQ1077" s="395">
        <f>(IF($H1077="x",VLOOKUP($I1077,'AUX-NIV2'!$B:$X,'AUX-NIV1'!AQ$3,FALSE),0)+($AV1077*'AUX-NIV3'!S$4))*$O1077+IF($H1077=AQ$4,$P1077,0)</f>
        <v>3379.8434215733787</v>
      </c>
      <c r="AR1077" s="395">
        <f>(IF($H1077="x",VLOOKUP($I1077,'AUX-NIV2'!$B:$X,'AUX-NIV1'!AR$3,FALSE),0)+($AV1077*'AUX-NIV3'!T$4))*$O1077+IF($H1077=AR$4,$P1077,0)</f>
        <v>0</v>
      </c>
      <c r="AS1077" s="395">
        <f>(IF($H1077="x",VLOOKUP($I1077,'AUX-NIV2'!$B:$X,'AUX-NIV1'!AS$3,FALSE),0)+($AV1077*'AUX-NIV3'!U$4))*$O1077+IF($H1077=AS$4,$P1077,0)</f>
        <v>0</v>
      </c>
      <c r="AT1077" s="395">
        <f>(IF($H1077="x",VLOOKUP($I1077,'AUX-NIV2'!$B:$X,'AUX-NIV1'!AT$3,FALSE),0)+($AV1077*'AUX-NIV3'!V$4))*$O1077+IF($H1077=AT$4,$P1077,0)</f>
        <v>0</v>
      </c>
      <c r="AU1077" s="395">
        <f>(IF($H1077="x",VLOOKUP($I1077,'AUX-NIV2'!$B:$X,'AUX-NIV1'!AU$3,FALSE),0)+($AV1077*'AUX-NIV3'!W$4))*$O1077+IF($H1077=AU$4,$P1077,0)</f>
        <v>0</v>
      </c>
      <c r="AV1077" s="395">
        <f>+IF($H1077="x",VLOOKUP($I1077,'AUX-NIV2'!$B:$X,'AUX-NIV1'!AV$3,FALSE),0)</f>
        <v>0</v>
      </c>
    </row>
    <row r="1078" spans="2:48" customFormat="1">
      <c r="B1078" s="501" t="s">
        <v>4685</v>
      </c>
      <c r="C1078" s="951" t="s">
        <v>4636</v>
      </c>
      <c r="D1078" s="326" t="s">
        <v>4629</v>
      </c>
      <c r="E1078" s="349">
        <f>IF(B1078&lt;&gt;"",+SUMIF(Items!C:C,'AUX-NIV1'!B1078,Items!H:H),"")</f>
        <v>0</v>
      </c>
      <c r="F1078" s="327">
        <f t="shared" si="1293"/>
        <v>18135.171056715444</v>
      </c>
      <c r="G1078" s="327">
        <f t="shared" si="1294"/>
        <v>0</v>
      </c>
      <c r="H1078" s="328" t="str">
        <f t="shared" si="1486"/>
        <v>A</v>
      </c>
      <c r="I1078" s="324" t="s">
        <v>1746</v>
      </c>
      <c r="J1078" s="431" t="str">
        <f>IF(B1078&lt;&gt;"",+VLOOKUP(I1078,Recursos!C:F,2,FALSE),"")</f>
        <v>OFICIAL</v>
      </c>
      <c r="K1078" s="330" t="str">
        <f>IF(B1078&lt;&gt;"",+VLOOKUP(I1078,Recursos!C:F,3,FALSE),"")</f>
        <v>hh</v>
      </c>
      <c r="L1078" s="446">
        <f>IF(B1078&lt;&gt;"",+VLOOKUP(I1078,Recursos!C:F,4,FALSE),"")</f>
        <v>496.91595439275824</v>
      </c>
      <c r="M1078" s="1637"/>
      <c r="N1078" s="1638">
        <v>8</v>
      </c>
      <c r="O1078" s="1361">
        <f>N1078</f>
        <v>8</v>
      </c>
      <c r="P1078" s="333">
        <f t="shared" si="1488"/>
        <v>3975.3276351420659</v>
      </c>
      <c r="Q1078" s="327">
        <f t="shared" si="1489"/>
        <v>0</v>
      </c>
      <c r="R1078" s="334">
        <f t="shared" si="1490"/>
        <v>0</v>
      </c>
      <c r="S1078" s="335">
        <f t="shared" si="1299"/>
        <v>7355.1710567154441</v>
      </c>
      <c r="T1078" s="335">
        <f t="shared" si="1300"/>
        <v>0</v>
      </c>
      <c r="U1078" s="336">
        <f t="shared" si="1301"/>
        <v>10780</v>
      </c>
      <c r="V1078" s="336">
        <f t="shared" si="1302"/>
        <v>0</v>
      </c>
      <c r="W1078" s="336">
        <f t="shared" si="1303"/>
        <v>0</v>
      </c>
      <c r="X1078" s="336">
        <f t="shared" si="1304"/>
        <v>0</v>
      </c>
      <c r="Y1078" s="320"/>
      <c r="Z1078" s="321" t="str">
        <f>IF(B1078&lt;&gt;"",+$B1078&amp;"A","")</f>
        <v>0-CANLTA</v>
      </c>
      <c r="AA1078" s="321" t="str">
        <f>IF(B1078&lt;&gt;"",+$B1078&amp;"E","")</f>
        <v>0-CANLTE</v>
      </c>
      <c r="AB1078" s="321" t="str">
        <f>IF(B1078&lt;&gt;"",++$B1078&amp;"M","")</f>
        <v>0-CANLTM</v>
      </c>
      <c r="AC1078" s="321" t="str">
        <f>IF(B1078&lt;&gt;"",+$B1078&amp;"T","")</f>
        <v>0-CANLTT</v>
      </c>
      <c r="AD1078" s="321" t="str">
        <f>IF(B1078&lt;&gt;"",+$B1078&amp;"S","")</f>
        <v>0-CANLTS</v>
      </c>
      <c r="AE1078" s="321" t="str">
        <f>IF(B1078&lt;&gt;"",+$B1078&amp;"X","")</f>
        <v>0-CANLTX</v>
      </c>
      <c r="AF1078" s="321" t="str">
        <f t="shared" si="1497"/>
        <v>0-CANLTA</v>
      </c>
      <c r="AG1078" s="321">
        <f t="shared" si="1312"/>
        <v>4</v>
      </c>
      <c r="AH1078" s="321">
        <f>IF(B1078&lt;&gt;"",IF(H1078="x",VLOOKUP(I1078,'AUX-NIV3'!B:AG,32,FALSE),0),"")</f>
        <v>0</v>
      </c>
      <c r="AI1078" s="321" t="str">
        <f t="shared" si="1498"/>
        <v>0-CANLT</v>
      </c>
      <c r="AJ1078" s="320"/>
      <c r="AK1078" s="322">
        <f t="shared" si="1314"/>
        <v>1077</v>
      </c>
      <c r="AL1078" s="323">
        <f t="shared" si="1499"/>
        <v>1080</v>
      </c>
      <c r="AM1078" s="322">
        <f t="shared" ref="AM1078:AM1079" si="1500">IF(B1078&lt;&gt;"",IF(B1078=B1077,1+AM1077,1),"")</f>
        <v>2</v>
      </c>
      <c r="AN1078" s="380">
        <f>IF(AND(AH1078&gt;0,B1078&lt;&gt;""),VLOOKUP(I1078,'AUX-NIV3'!$B:$AO,39,FALSE)*O1078,0)</f>
        <v>0</v>
      </c>
      <c r="AO1078" s="380">
        <f t="shared" si="1316"/>
        <v>16</v>
      </c>
      <c r="AP1078" s="380"/>
      <c r="AQ1078" s="395">
        <f>(IF($H1078="x",VLOOKUP($I1078,'AUX-NIV2'!$B:$X,'AUX-NIV1'!AQ$3,FALSE),0)+($AV1078*'AUX-NIV3'!S$4))*$O1078+IF($H1078=AQ$4,$P1078,0)</f>
        <v>3975.3276351420659</v>
      </c>
      <c r="AR1078" s="395">
        <f>(IF($H1078="x",VLOOKUP($I1078,'AUX-NIV2'!$B:$X,'AUX-NIV1'!AR$3,FALSE),0)+($AV1078*'AUX-NIV3'!T$4))*$O1078+IF($H1078=AR$4,$P1078,0)</f>
        <v>0</v>
      </c>
      <c r="AS1078" s="395">
        <f>(IF($H1078="x",VLOOKUP($I1078,'AUX-NIV2'!$B:$X,'AUX-NIV1'!AS$3,FALSE),0)+($AV1078*'AUX-NIV3'!U$4))*$O1078+IF($H1078=AS$4,$P1078,0)</f>
        <v>0</v>
      </c>
      <c r="AT1078" s="395">
        <f>(IF($H1078="x",VLOOKUP($I1078,'AUX-NIV2'!$B:$X,'AUX-NIV1'!AT$3,FALSE),0)+($AV1078*'AUX-NIV3'!V$4))*$O1078+IF($H1078=AT$4,$P1078,0)</f>
        <v>0</v>
      </c>
      <c r="AU1078" s="395">
        <f>(IF($H1078="x",VLOOKUP($I1078,'AUX-NIV2'!$B:$X,'AUX-NIV1'!AU$3,FALSE),0)+($AV1078*'AUX-NIV3'!W$4))*$O1078+IF($H1078=AU$4,$P1078,0)</f>
        <v>0</v>
      </c>
      <c r="AV1078" s="395">
        <f>+IF($H1078="x",VLOOKUP($I1078,'AUX-NIV2'!$B:$X,'AUX-NIV1'!AV$3,FALSE),0)</f>
        <v>0</v>
      </c>
    </row>
    <row r="1079" spans="2:48" customFormat="1">
      <c r="B1079" s="501" t="s">
        <v>4685</v>
      </c>
      <c r="C1079" s="951" t="s">
        <v>4636</v>
      </c>
      <c r="D1079" s="326" t="s">
        <v>4629</v>
      </c>
      <c r="E1079" s="349">
        <f>IF(B1079&lt;&gt;"",+SUMIF(Items!C:C,'AUX-NIV1'!B1079,Items!H:H),"")</f>
        <v>0</v>
      </c>
      <c r="F1079" s="327">
        <f t="shared" si="1293"/>
        <v>18135.171056715444</v>
      </c>
      <c r="G1079" s="327">
        <f t="shared" si="1294"/>
        <v>0</v>
      </c>
      <c r="H1079" s="328" t="str">
        <f t="shared" si="1486"/>
        <v>M</v>
      </c>
      <c r="I1079" s="324" t="s">
        <v>4489</v>
      </c>
      <c r="J1079" s="431" t="str">
        <f>IF(B1079&lt;&gt;"",+VLOOKUP(I1079,Recursos!C:F,2,FALSE),"")</f>
        <v>CAÑO PLUVIAL 110MM</v>
      </c>
      <c r="K1079" s="330" t="str">
        <f>IF(B1079&lt;&gt;"",+VLOOKUP(I1079,Recursos!C:F,3,FALSE),"")</f>
        <v>m</v>
      </c>
      <c r="L1079" s="446">
        <f>IF(B1079&lt;&gt;"",+VLOOKUP(I1079,Recursos!C:F,4,FALSE),"")</f>
        <v>360</v>
      </c>
      <c r="M1079" s="1646">
        <v>23</v>
      </c>
      <c r="N1079" s="1638">
        <f>M1079</f>
        <v>23</v>
      </c>
      <c r="O1079" s="1361">
        <f>N1079</f>
        <v>23</v>
      </c>
      <c r="P1079" s="333">
        <f t="shared" si="1488"/>
        <v>8280</v>
      </c>
      <c r="Q1079" s="327">
        <f t="shared" si="1489"/>
        <v>0</v>
      </c>
      <c r="R1079" s="334">
        <f t="shared" si="1490"/>
        <v>0</v>
      </c>
      <c r="S1079" s="335">
        <f t="shared" si="1299"/>
        <v>7355.1710567154441</v>
      </c>
      <c r="T1079" s="335">
        <f t="shared" si="1300"/>
        <v>0</v>
      </c>
      <c r="U1079" s="336">
        <f t="shared" si="1301"/>
        <v>10780</v>
      </c>
      <c r="V1079" s="336">
        <f t="shared" si="1302"/>
        <v>0</v>
      </c>
      <c r="W1079" s="336">
        <f t="shared" si="1303"/>
        <v>0</v>
      </c>
      <c r="X1079" s="336">
        <f t="shared" si="1304"/>
        <v>0</v>
      </c>
      <c r="Y1079" s="320"/>
      <c r="Z1079" s="321" t="str">
        <f>IF(B1079&lt;&gt;"",+$B1079&amp;"A","")</f>
        <v>0-CANLTA</v>
      </c>
      <c r="AA1079" s="321" t="str">
        <f>IF(B1079&lt;&gt;"",+$B1079&amp;"E","")</f>
        <v>0-CANLTE</v>
      </c>
      <c r="AB1079" s="321" t="str">
        <f>IF(B1079&lt;&gt;"",++$B1079&amp;"M","")</f>
        <v>0-CANLTM</v>
      </c>
      <c r="AC1079" s="321" t="str">
        <f>IF(B1079&lt;&gt;"",+$B1079&amp;"T","")</f>
        <v>0-CANLTT</v>
      </c>
      <c r="AD1079" s="321" t="str">
        <f>IF(B1079&lt;&gt;"",+$B1079&amp;"S","")</f>
        <v>0-CANLTS</v>
      </c>
      <c r="AE1079" s="321" t="str">
        <f>IF(B1079&lt;&gt;"",+$B1079&amp;"X","")</f>
        <v>0-CANLTX</v>
      </c>
      <c r="AF1079" s="321" t="str">
        <f t="shared" si="1497"/>
        <v>0-CANLTM</v>
      </c>
      <c r="AG1079" s="321">
        <f t="shared" si="1312"/>
        <v>4</v>
      </c>
      <c r="AH1079" s="321">
        <f>IF(B1079&lt;&gt;"",IF(H1079="x",VLOOKUP(I1079,'AUX-NIV3'!B:AG,32,FALSE),0),"")</f>
        <v>0</v>
      </c>
      <c r="AI1079" s="321" t="str">
        <f t="shared" si="1498"/>
        <v>0-CANLT</v>
      </c>
      <c r="AJ1079" s="320"/>
      <c r="AK1079" s="322">
        <f t="shared" si="1314"/>
        <v>1077</v>
      </c>
      <c r="AL1079" s="323">
        <f t="shared" si="1499"/>
        <v>1080</v>
      </c>
      <c r="AM1079" s="322">
        <f t="shared" si="1500"/>
        <v>3</v>
      </c>
      <c r="AN1079" s="380">
        <f>IF(AND(AH1079&gt;0,B1079&lt;&gt;""),VLOOKUP(I1079,'AUX-NIV3'!$B:$AO,39,FALSE)*O1079,0)</f>
        <v>0</v>
      </c>
      <c r="AO1079" s="380">
        <f t="shared" si="1316"/>
        <v>16</v>
      </c>
      <c r="AP1079" s="380"/>
      <c r="AQ1079" s="395">
        <f>(IF($H1079="x",VLOOKUP($I1079,'AUX-NIV2'!$B:$X,'AUX-NIV1'!AQ$3,FALSE),0)+($AV1079*'AUX-NIV3'!S$4))*$O1079+IF($H1079=AQ$4,$P1079,0)</f>
        <v>0</v>
      </c>
      <c r="AR1079" s="395">
        <f>(IF($H1079="x",VLOOKUP($I1079,'AUX-NIV2'!$B:$X,'AUX-NIV1'!AR$3,FALSE),0)+($AV1079*'AUX-NIV3'!T$4))*$O1079+IF($H1079=AR$4,$P1079,0)</f>
        <v>0</v>
      </c>
      <c r="AS1079" s="395">
        <f>(IF($H1079="x",VLOOKUP($I1079,'AUX-NIV2'!$B:$X,'AUX-NIV1'!AS$3,FALSE),0)+($AV1079*'AUX-NIV3'!U$4))*$O1079+IF($H1079=AS$4,$P1079,0)</f>
        <v>8280</v>
      </c>
      <c r="AT1079" s="395">
        <f>(IF($H1079="x",VLOOKUP($I1079,'AUX-NIV2'!$B:$X,'AUX-NIV1'!AT$3,FALSE),0)+($AV1079*'AUX-NIV3'!V$4))*$O1079+IF($H1079=AT$4,$P1079,0)</f>
        <v>0</v>
      </c>
      <c r="AU1079" s="395">
        <f>(IF($H1079="x",VLOOKUP($I1079,'AUX-NIV2'!$B:$X,'AUX-NIV1'!AU$3,FALSE),0)+($AV1079*'AUX-NIV3'!W$4))*$O1079+IF($H1079=AU$4,$P1079,0)</f>
        <v>0</v>
      </c>
      <c r="AV1079" s="395">
        <f>+IF($H1079="x",VLOOKUP($I1079,'AUX-NIV2'!$B:$X,'AUX-NIV1'!AV$3,FALSE),0)</f>
        <v>0</v>
      </c>
    </row>
    <row r="1080" spans="2:48" customFormat="1" ht="13.8" thickBot="1">
      <c r="B1080" s="501" t="s">
        <v>4685</v>
      </c>
      <c r="C1080" s="951" t="s">
        <v>4636</v>
      </c>
      <c r="D1080" s="326" t="s">
        <v>4629</v>
      </c>
      <c r="E1080" s="349">
        <f>IF(B1080&lt;&gt;"",+SUMIF(Items!C:C,'AUX-NIV1'!B1080,Items!H:H),"")</f>
        <v>0</v>
      </c>
      <c r="F1080" s="327">
        <f t="shared" si="1293"/>
        <v>18135.171056715444</v>
      </c>
      <c r="G1080" s="327">
        <f t="shared" si="1294"/>
        <v>0</v>
      </c>
      <c r="H1080" s="328" t="str">
        <f t="shared" si="1486"/>
        <v>M</v>
      </c>
      <c r="I1080" s="1375" t="s">
        <v>621</v>
      </c>
      <c r="J1080" s="431" t="str">
        <f>IF(B1080&lt;&gt;"",+VLOOKUP(I1080,Recursos!C:F,2,FALSE),"")</f>
        <v>MATERIALES VARIOS</v>
      </c>
      <c r="K1080" s="330" t="str">
        <f>IF(B1080&lt;&gt;"",+VLOOKUP(I1080,Recursos!C:F,3,FALSE),"")</f>
        <v>GL</v>
      </c>
      <c r="L1080" s="446">
        <f>IF(B1080&lt;&gt;"",+VLOOKUP(I1080,Recursos!C:F,4,FALSE),"")</f>
        <v>0.5</v>
      </c>
      <c r="M1080" s="1631">
        <v>0</v>
      </c>
      <c r="N1080" s="1639">
        <v>5000</v>
      </c>
      <c r="O1080" s="1361">
        <f t="shared" ref="O1080" si="1501">N1080</f>
        <v>5000</v>
      </c>
      <c r="P1080" s="333">
        <f t="shared" si="1488"/>
        <v>2500</v>
      </c>
      <c r="Q1080" s="327">
        <f t="shared" si="1489"/>
        <v>0</v>
      </c>
      <c r="R1080" s="334">
        <f t="shared" si="1490"/>
        <v>0</v>
      </c>
      <c r="S1080" s="335">
        <f t="shared" si="1299"/>
        <v>7355.1710567154441</v>
      </c>
      <c r="T1080" s="335">
        <f t="shared" si="1300"/>
        <v>0</v>
      </c>
      <c r="U1080" s="336">
        <f t="shared" si="1301"/>
        <v>10780</v>
      </c>
      <c r="V1080" s="336">
        <f t="shared" si="1302"/>
        <v>0</v>
      </c>
      <c r="W1080" s="336">
        <f t="shared" si="1303"/>
        <v>0</v>
      </c>
      <c r="X1080" s="336">
        <f t="shared" si="1304"/>
        <v>0</v>
      </c>
      <c r="Y1080" s="320"/>
      <c r="Z1080" s="321" t="str">
        <f t="shared" ref="Z1080:Z1083" si="1502">IF(B1080&lt;&gt;"",+$B1080&amp;"A","")</f>
        <v>0-CANLTA</v>
      </c>
      <c r="AA1080" s="321" t="str">
        <f t="shared" ref="AA1080:AA1083" si="1503">IF(B1080&lt;&gt;"",+$B1080&amp;"E","")</f>
        <v>0-CANLTE</v>
      </c>
      <c r="AB1080" s="321" t="str">
        <f t="shared" ref="AB1080:AB1083" si="1504">IF(B1080&lt;&gt;"",++$B1080&amp;"M","")</f>
        <v>0-CANLTM</v>
      </c>
      <c r="AC1080" s="321" t="str">
        <f t="shared" ref="AC1080:AC1083" si="1505">IF(B1080&lt;&gt;"",+$B1080&amp;"T","")</f>
        <v>0-CANLTT</v>
      </c>
      <c r="AD1080" s="321" t="str">
        <f t="shared" ref="AD1080:AD1083" si="1506">IF(B1080&lt;&gt;"",+$B1080&amp;"S","")</f>
        <v>0-CANLTS</v>
      </c>
      <c r="AE1080" s="321" t="str">
        <f t="shared" ref="AE1080:AE1083" si="1507">IF(B1080&lt;&gt;"",+$B1080&amp;"X","")</f>
        <v>0-CANLTX</v>
      </c>
      <c r="AF1080" s="321" t="str">
        <f t="shared" si="1497"/>
        <v>0-CANLTM</v>
      </c>
      <c r="AG1080" s="321">
        <f t="shared" si="1312"/>
        <v>4</v>
      </c>
      <c r="AH1080" s="321">
        <f>IF(B1080&lt;&gt;"",IF(H1080="x",VLOOKUP(I1080,'AUX-NIV3'!B:AG,32,FALSE),0),"")</f>
        <v>0</v>
      </c>
      <c r="AI1080" s="321" t="str">
        <f t="shared" si="1498"/>
        <v>0-CANLT</v>
      </c>
      <c r="AJ1080" s="320"/>
      <c r="AK1080" s="322">
        <f t="shared" si="1314"/>
        <v>1077</v>
      </c>
      <c r="AL1080" s="323">
        <f t="shared" si="1499"/>
        <v>1080</v>
      </c>
      <c r="AM1080" s="322" t="e">
        <f>IF(B1080&lt;&gt;"",IF(B1080=#REF!,1+#REF!,1),"")</f>
        <v>#REF!</v>
      </c>
      <c r="AN1080" s="380">
        <f>IF(AND(AH1080&gt;0,B1080&lt;&gt;""),VLOOKUP(I1080,'AUX-NIV3'!$B:$AO,39,FALSE)*O1080,0)</f>
        <v>0</v>
      </c>
      <c r="AO1080" s="380">
        <f t="shared" si="1316"/>
        <v>16</v>
      </c>
      <c r="AP1080" s="380"/>
      <c r="AQ1080" s="395">
        <f>(IF($H1080="x",VLOOKUP($I1080,'AUX-NIV2'!$B:$X,'AUX-NIV1'!AQ$3,FALSE),0)+($AV1080*'AUX-NIV3'!S$4))*$O1080+IF($H1080=AQ$4,$P1080,0)</f>
        <v>0</v>
      </c>
      <c r="AR1080" s="395">
        <f>(IF($H1080="x",VLOOKUP($I1080,'AUX-NIV2'!$B:$X,'AUX-NIV1'!AR$3,FALSE),0)+($AV1080*'AUX-NIV3'!T$4))*$O1080+IF($H1080=AR$4,$P1080,0)</f>
        <v>0</v>
      </c>
      <c r="AS1080" s="395">
        <f>(IF($H1080="x",VLOOKUP($I1080,'AUX-NIV2'!$B:$X,'AUX-NIV1'!AS$3,FALSE),0)+($AV1080*'AUX-NIV3'!U$4))*$O1080+IF($H1080=AS$4,$P1080,0)</f>
        <v>2500</v>
      </c>
      <c r="AT1080" s="395">
        <f>(IF($H1080="x",VLOOKUP($I1080,'AUX-NIV2'!$B:$X,'AUX-NIV1'!AT$3,FALSE),0)+($AV1080*'AUX-NIV3'!V$4))*$O1080+IF($H1080=AT$4,$P1080,0)</f>
        <v>0</v>
      </c>
      <c r="AU1080" s="395">
        <f>(IF($H1080="x",VLOOKUP($I1080,'AUX-NIV2'!$B:$X,'AUX-NIV1'!AU$3,FALSE),0)+($AV1080*'AUX-NIV3'!W$4))*$O1080+IF($H1080=AU$4,$P1080,0)</f>
        <v>0</v>
      </c>
      <c r="AV1080" s="395">
        <f>+IF($H1080="x",VLOOKUP($I1080,'AUX-NIV2'!$B:$X,'AUX-NIV1'!AV$3,FALSE),0)</f>
        <v>0</v>
      </c>
    </row>
    <row r="1081" spans="2:48" ht="13.8" thickTop="1">
      <c r="B1081" s="324" t="s">
        <v>4691</v>
      </c>
      <c r="C1081" s="325" t="s">
        <v>4635</v>
      </c>
      <c r="D1081" s="326" t="s">
        <v>501</v>
      </c>
      <c r="E1081" s="349">
        <f>IF(B1081&lt;&gt;"",+SUMIF(Items!C:C,'AUX-NIV1'!B1081,Items!H:H),"")</f>
        <v>0</v>
      </c>
      <c r="F1081" s="349">
        <f t="shared" si="1293"/>
        <v>4211.9442552196706</v>
      </c>
      <c r="G1081" s="349">
        <f t="shared" si="1294"/>
        <v>0</v>
      </c>
      <c r="H1081" s="1395" t="str">
        <f t="shared" si="1486"/>
        <v>S</v>
      </c>
      <c r="I1081" s="1375" t="s">
        <v>684</v>
      </c>
      <c r="J1081" s="350" t="str">
        <f>IF(B1081&lt;&gt;"",+VLOOKUP(I1081,Recursos!C:F,2,FALSE),"")</f>
        <v>INGENIERIA DE DETALLE</v>
      </c>
      <c r="K1081" s="351" t="str">
        <f>IF(B1081&lt;&gt;"",+VLOOKUP(I1081,Recursos!C:F,3,FALSE),"")</f>
        <v>GL</v>
      </c>
      <c r="L1081" s="1475">
        <f>IF(B1081&lt;&gt;"",+VLOOKUP(I1081,Recursos!C:F,4,FALSE),"")</f>
        <v>150000</v>
      </c>
      <c r="M1081" s="1270">
        <v>0.1</v>
      </c>
      <c r="N1081" s="1352">
        <f>1/17.5*0</f>
        <v>0</v>
      </c>
      <c r="O1081" s="1490">
        <f t="shared" ref="O1081" si="1508">+M1081*N1081</f>
        <v>0</v>
      </c>
      <c r="P1081" s="352">
        <f t="shared" si="1488"/>
        <v>0</v>
      </c>
      <c r="Q1081" s="349">
        <f t="shared" si="1489"/>
        <v>0</v>
      </c>
      <c r="R1081" s="353">
        <f t="shared" si="1490"/>
        <v>0</v>
      </c>
      <c r="S1081" s="354">
        <f t="shared" si="1299"/>
        <v>1499.2630690061851</v>
      </c>
      <c r="T1081" s="354">
        <f t="shared" si="1300"/>
        <v>0</v>
      </c>
      <c r="U1081" s="355">
        <f t="shared" si="1301"/>
        <v>2712.6811862134855</v>
      </c>
      <c r="V1081" s="355">
        <f t="shared" si="1302"/>
        <v>0</v>
      </c>
      <c r="W1081" s="355">
        <f t="shared" si="1303"/>
        <v>0</v>
      </c>
      <c r="X1081" s="355">
        <f t="shared" si="1304"/>
        <v>0</v>
      </c>
      <c r="Y1081" s="396"/>
      <c r="Z1081" s="346" t="str">
        <f t="shared" si="1502"/>
        <v>0-SEPBANOA</v>
      </c>
      <c r="AA1081" s="346" t="str">
        <f t="shared" si="1503"/>
        <v>0-SEPBANOE</v>
      </c>
      <c r="AB1081" s="346" t="str">
        <f t="shared" si="1504"/>
        <v>0-SEPBANOM</v>
      </c>
      <c r="AC1081" s="346" t="str">
        <f t="shared" si="1505"/>
        <v>0-SEPBANOT</v>
      </c>
      <c r="AD1081" s="346" t="str">
        <f t="shared" si="1506"/>
        <v>0-SEPBANOS</v>
      </c>
      <c r="AE1081" s="346" t="str">
        <f t="shared" si="1507"/>
        <v>0-SEPBANOX</v>
      </c>
      <c r="AF1081" s="346" t="str">
        <f t="shared" si="1497"/>
        <v>0-SEPBANOS</v>
      </c>
      <c r="AG1081" s="346">
        <f t="shared" si="1312"/>
        <v>6</v>
      </c>
      <c r="AH1081" s="346">
        <f>IF(B1081&lt;&gt;"",+IF(H1081="x",+VLOOKUP(I1081,'AUX-NIV2'!B:AG,32,FALSE),0),"")</f>
        <v>0</v>
      </c>
      <c r="AI1081" s="346" t="str">
        <f t="shared" si="1498"/>
        <v>0-SEPBANO</v>
      </c>
      <c r="AK1081" s="347">
        <f t="shared" si="1314"/>
        <v>1081</v>
      </c>
      <c r="AL1081" s="348">
        <f t="shared" si="1499"/>
        <v>1086</v>
      </c>
      <c r="AM1081" s="347" t="e">
        <f>IF(B1081&lt;&gt;"",IF(B1081=#REF!,1+#REF!,1),"")</f>
        <v>#REF!</v>
      </c>
      <c r="AN1081" s="382">
        <f>IF(AND(AH1081&gt;0,B1081&lt;&gt;""),VLOOKUP(I1081,'AUX-NIV2'!$B:$AP,40,FALSE)*O1081,0)</f>
        <v>0</v>
      </c>
      <c r="AO1081" s="382">
        <f t="shared" si="1316"/>
        <v>3</v>
      </c>
      <c r="AQ1081" s="395">
        <f>(IF($H1081="x",VLOOKUP($I1081,'AUX-NIV2'!$B:$X,'AUX-NIV1'!AQ$3,FALSE),0)+($AV1081*'AUX-NIV3'!S$4))*$O1081+IF($H1081=AQ$4,$P1081,0)</f>
        <v>0</v>
      </c>
      <c r="AR1081" s="395">
        <f>(IF($H1081="x",VLOOKUP($I1081,'AUX-NIV2'!$B:$X,'AUX-NIV1'!AR$3,FALSE),0)+($AV1081*'AUX-NIV3'!T$4))*$O1081+IF($H1081=AR$4,$P1081,0)</f>
        <v>0</v>
      </c>
      <c r="AS1081" s="395">
        <f>(IF($H1081="x",VLOOKUP($I1081,'AUX-NIV2'!$B:$X,'AUX-NIV1'!AS$3,FALSE),0)+($AV1081*'AUX-NIV3'!U$4))*$O1081+IF($H1081=AS$4,$P1081,0)</f>
        <v>0</v>
      </c>
      <c r="AT1081" s="395">
        <f>(IF($H1081="x",VLOOKUP($I1081,'AUX-NIV2'!$B:$X,'AUX-NIV1'!AT$3,FALSE),0)+($AV1081*'AUX-NIV3'!V$4))*$O1081+IF($H1081=AT$4,$P1081,0)</f>
        <v>0</v>
      </c>
      <c r="AU1081" s="395">
        <f>(IF($H1081="x",VLOOKUP($I1081,'AUX-NIV2'!$B:$X,'AUX-NIV1'!AU$3,FALSE),0)+($AV1081*'AUX-NIV3'!W$4))*$O1081+IF($H1081=AU$4,$P1081,0)</f>
        <v>0</v>
      </c>
      <c r="AV1081" s="395">
        <f>+IF($H1081="x",VLOOKUP($I1081,'AUX-NIV2'!$B:$X,'AUX-NIV1'!AV$3,FALSE),0)</f>
        <v>0</v>
      </c>
    </row>
    <row r="1082" spans="2:48">
      <c r="B1082" s="324" t="s">
        <v>4691</v>
      </c>
      <c r="C1082" s="325" t="s">
        <v>4635</v>
      </c>
      <c r="D1082" s="326" t="s">
        <v>501</v>
      </c>
      <c r="E1082" s="349">
        <f>IF(B1082&lt;&gt;"",+SUMIF(Items!C:C,'AUX-NIV1'!B1082,Items!H:H),"")</f>
        <v>0</v>
      </c>
      <c r="F1082" s="349">
        <f t="shared" si="1293"/>
        <v>4211.9442552196706</v>
      </c>
      <c r="G1082" s="349">
        <f t="shared" si="1294"/>
        <v>0</v>
      </c>
      <c r="H1082" s="1395" t="str">
        <f t="shared" si="1486"/>
        <v>A</v>
      </c>
      <c r="I1082" s="1375" t="s">
        <v>3309</v>
      </c>
      <c r="J1082" s="350" t="str">
        <f>IF(B1082&lt;&gt;"",+VLOOKUP(I1082,Recursos!C:F,2,FALSE),"")</f>
        <v>MEDIO OFICIAL</v>
      </c>
      <c r="K1082" s="351" t="str">
        <f>IF(B1082&lt;&gt;"",+VLOOKUP(I1082,Recursos!C:F,3,FALSE),"")</f>
        <v>hh</v>
      </c>
      <c r="L1082" s="1475">
        <f>IF(B1082&lt;&gt;"",+VLOOKUP(I1082,Recursos!C:F,4,FALSE),"")</f>
        <v>459.10093211890984</v>
      </c>
      <c r="M1082" s="1493">
        <v>1</v>
      </c>
      <c r="N1082" s="1625">
        <v>2</v>
      </c>
      <c r="O1082" s="1361">
        <f>M1082*N1082</f>
        <v>2</v>
      </c>
      <c r="P1082" s="352">
        <f t="shared" si="1488"/>
        <v>918.20186423781968</v>
      </c>
      <c r="Q1082" s="349">
        <f t="shared" si="1489"/>
        <v>0</v>
      </c>
      <c r="R1082" s="353">
        <f t="shared" si="1490"/>
        <v>0</v>
      </c>
      <c r="S1082" s="354">
        <f t="shared" si="1299"/>
        <v>1499.2630690061851</v>
      </c>
      <c r="T1082" s="354">
        <f t="shared" si="1300"/>
        <v>0</v>
      </c>
      <c r="U1082" s="355">
        <f t="shared" si="1301"/>
        <v>2712.6811862134855</v>
      </c>
      <c r="V1082" s="355">
        <f t="shared" si="1302"/>
        <v>0</v>
      </c>
      <c r="W1082" s="355">
        <f t="shared" si="1303"/>
        <v>0</v>
      </c>
      <c r="X1082" s="355">
        <f t="shared" si="1304"/>
        <v>0</v>
      </c>
      <c r="Y1082" s="396"/>
      <c r="Z1082" s="346" t="str">
        <f t="shared" si="1502"/>
        <v>0-SEPBANOA</v>
      </c>
      <c r="AA1082" s="346" t="str">
        <f t="shared" si="1503"/>
        <v>0-SEPBANOE</v>
      </c>
      <c r="AB1082" s="346" t="str">
        <f t="shared" si="1504"/>
        <v>0-SEPBANOM</v>
      </c>
      <c r="AC1082" s="346" t="str">
        <f t="shared" si="1505"/>
        <v>0-SEPBANOT</v>
      </c>
      <c r="AD1082" s="346" t="str">
        <f t="shared" si="1506"/>
        <v>0-SEPBANOS</v>
      </c>
      <c r="AE1082" s="346" t="str">
        <f t="shared" si="1507"/>
        <v>0-SEPBANOX</v>
      </c>
      <c r="AF1082" s="346" t="str">
        <f t="shared" si="1497"/>
        <v>0-SEPBANOA</v>
      </c>
      <c r="AG1082" s="346">
        <f t="shared" si="1312"/>
        <v>6</v>
      </c>
      <c r="AH1082" s="346">
        <f>IF(B1082&lt;&gt;"",+IF(H1082="x",+VLOOKUP(I1082,'AUX-NIV2'!B:AG,32,FALSE),0),"")</f>
        <v>0</v>
      </c>
      <c r="AI1082" s="346" t="str">
        <f t="shared" si="1498"/>
        <v>0-SEPBANO</v>
      </c>
      <c r="AK1082" s="347">
        <f t="shared" si="1314"/>
        <v>1081</v>
      </c>
      <c r="AL1082" s="348">
        <f t="shared" si="1499"/>
        <v>1086</v>
      </c>
      <c r="AM1082" s="347" t="e">
        <f>IF(B1082&lt;&gt;"",IF(B1082=#REF!,1+#REF!,1),"")</f>
        <v>#REF!</v>
      </c>
      <c r="AN1082" s="382">
        <f>IF(AND(AH1082&gt;0,B1082&lt;&gt;""),VLOOKUP(I1082,'AUX-NIV2'!$B:$AP,40,FALSE)*O1082,0)</f>
        <v>0</v>
      </c>
      <c r="AO1082" s="382">
        <f t="shared" si="1316"/>
        <v>3</v>
      </c>
      <c r="AQ1082" s="395">
        <f>(IF($H1082="x",VLOOKUP($I1082,'AUX-NIV2'!$B:$X,'AUX-NIV1'!AQ$3,FALSE),0)+($AV1082*'AUX-NIV3'!S$4))*$O1082+IF($H1082=AQ$4,$P1082,0)</f>
        <v>918.20186423781968</v>
      </c>
      <c r="AR1082" s="395">
        <f>(IF($H1082="x",VLOOKUP($I1082,'AUX-NIV2'!$B:$X,'AUX-NIV1'!AR$3,FALSE),0)+($AV1082*'AUX-NIV3'!T$4))*$O1082+IF($H1082=AR$4,$P1082,0)</f>
        <v>0</v>
      </c>
      <c r="AS1082" s="395">
        <f>(IF($H1082="x",VLOOKUP($I1082,'AUX-NIV2'!$B:$X,'AUX-NIV1'!AS$3,FALSE),0)+($AV1082*'AUX-NIV3'!U$4))*$O1082+IF($H1082=AS$4,$P1082,0)</f>
        <v>0</v>
      </c>
      <c r="AT1082" s="395">
        <f>(IF($H1082="x",VLOOKUP($I1082,'AUX-NIV2'!$B:$X,'AUX-NIV1'!AT$3,FALSE),0)+($AV1082*'AUX-NIV3'!V$4))*$O1082+IF($H1082=AT$4,$P1082,0)</f>
        <v>0</v>
      </c>
      <c r="AU1082" s="395">
        <f>(IF($H1082="x",VLOOKUP($I1082,'AUX-NIV2'!$B:$X,'AUX-NIV1'!AU$3,FALSE),0)+($AV1082*'AUX-NIV3'!W$4))*$O1082+IF($H1082=AU$4,$P1082,0)</f>
        <v>0</v>
      </c>
      <c r="AV1082" s="395">
        <f>+IF($H1082="x",VLOOKUP($I1082,'AUX-NIV2'!$B:$X,'AUX-NIV1'!AV$3,FALSE),0)</f>
        <v>0</v>
      </c>
    </row>
    <row r="1083" spans="2:48">
      <c r="B1083" s="324" t="s">
        <v>4691</v>
      </c>
      <c r="C1083" s="325" t="s">
        <v>4635</v>
      </c>
      <c r="D1083" s="326" t="s">
        <v>501</v>
      </c>
      <c r="E1083" s="349">
        <f>IF(B1083&lt;&gt;"",+SUMIF(Items!C:C,'AUX-NIV1'!B1083,Items!H:H),"")</f>
        <v>0</v>
      </c>
      <c r="F1083" s="349">
        <f t="shared" si="1293"/>
        <v>4211.9442552196706</v>
      </c>
      <c r="G1083" s="349">
        <f t="shared" si="1294"/>
        <v>0</v>
      </c>
      <c r="H1083" s="1395" t="str">
        <f t="shared" si="1486"/>
        <v>A</v>
      </c>
      <c r="I1083" s="1375" t="s">
        <v>3310</v>
      </c>
      <c r="J1083" s="350" t="str">
        <f>IF(B1083&lt;&gt;"",+VLOOKUP(I1083,Recursos!C:F,2,FALSE),"")</f>
        <v>OFICIAL ESPECIALIZADO</v>
      </c>
      <c r="K1083" s="351" t="str">
        <f>IF(B1083&lt;&gt;"",+VLOOKUP(I1083,Recursos!C:F,3,FALSE),"")</f>
        <v>hh</v>
      </c>
      <c r="L1083" s="1475">
        <f>IF(B1083&lt;&gt;"",+VLOOKUP(I1083,Recursos!C:F,4,FALSE),"")</f>
        <v>581.06120476836554</v>
      </c>
      <c r="M1083" s="1493"/>
      <c r="N1083" s="1625">
        <v>1</v>
      </c>
      <c r="O1083" s="1361">
        <f>N1083*M1082</f>
        <v>1</v>
      </c>
      <c r="P1083" s="352">
        <f t="shared" si="1488"/>
        <v>581.06120476836554</v>
      </c>
      <c r="Q1083" s="349">
        <f t="shared" si="1489"/>
        <v>0</v>
      </c>
      <c r="R1083" s="353">
        <f t="shared" si="1490"/>
        <v>0</v>
      </c>
      <c r="S1083" s="354">
        <f t="shared" si="1299"/>
        <v>1499.2630690061851</v>
      </c>
      <c r="T1083" s="354">
        <f t="shared" si="1300"/>
        <v>0</v>
      </c>
      <c r="U1083" s="355">
        <f t="shared" si="1301"/>
        <v>2712.6811862134855</v>
      </c>
      <c r="V1083" s="355">
        <f t="shared" si="1302"/>
        <v>0</v>
      </c>
      <c r="W1083" s="355">
        <f t="shared" si="1303"/>
        <v>0</v>
      </c>
      <c r="X1083" s="355">
        <f t="shared" si="1304"/>
        <v>0</v>
      </c>
      <c r="Y1083" s="396"/>
      <c r="Z1083" s="346" t="str">
        <f t="shared" si="1502"/>
        <v>0-SEPBANOA</v>
      </c>
      <c r="AA1083" s="346" t="str">
        <f t="shared" si="1503"/>
        <v>0-SEPBANOE</v>
      </c>
      <c r="AB1083" s="346" t="str">
        <f t="shared" si="1504"/>
        <v>0-SEPBANOM</v>
      </c>
      <c r="AC1083" s="346" t="str">
        <f t="shared" si="1505"/>
        <v>0-SEPBANOT</v>
      </c>
      <c r="AD1083" s="346" t="str">
        <f t="shared" si="1506"/>
        <v>0-SEPBANOS</v>
      </c>
      <c r="AE1083" s="346" t="str">
        <f t="shared" si="1507"/>
        <v>0-SEPBANOX</v>
      </c>
      <c r="AF1083" s="346" t="str">
        <f t="shared" si="1497"/>
        <v>0-SEPBANOA</v>
      </c>
      <c r="AG1083" s="346">
        <f t="shared" si="1312"/>
        <v>6</v>
      </c>
      <c r="AH1083" s="346">
        <f>IF(B1083&lt;&gt;"",+IF(H1083="x",+VLOOKUP(I1083,'AUX-NIV2'!B:AG,32,FALSE),0),"")</f>
        <v>0</v>
      </c>
      <c r="AI1083" s="346" t="str">
        <f t="shared" si="1498"/>
        <v>0-SEPBANO</v>
      </c>
      <c r="AK1083" s="347">
        <f t="shared" si="1314"/>
        <v>1081</v>
      </c>
      <c r="AL1083" s="348">
        <f t="shared" si="1499"/>
        <v>1086</v>
      </c>
      <c r="AM1083" s="347" t="e">
        <f>IF(B1083&lt;&gt;"",IF(B1083=#REF!,1+#REF!,1),"")</f>
        <v>#REF!</v>
      </c>
      <c r="AN1083" s="382">
        <f>IF(AND(AH1083&gt;0,B1083&lt;&gt;""),VLOOKUP(I1083,'AUX-NIV2'!$B:$AP,40,FALSE)*O1083,0)</f>
        <v>0</v>
      </c>
      <c r="AO1083" s="382">
        <f t="shared" si="1316"/>
        <v>3</v>
      </c>
      <c r="AQ1083" s="395">
        <f>(IF($H1083="x",VLOOKUP($I1083,'AUX-NIV2'!$B:$X,'AUX-NIV1'!AQ$3,FALSE),0)+($AV1083*'AUX-NIV3'!S$4))*$O1083+IF($H1083=AQ$4,$P1083,0)</f>
        <v>581.06120476836554</v>
      </c>
      <c r="AR1083" s="395">
        <f>(IF($H1083="x",VLOOKUP($I1083,'AUX-NIV2'!$B:$X,'AUX-NIV1'!AR$3,FALSE),0)+($AV1083*'AUX-NIV3'!T$4))*$O1083+IF($H1083=AR$4,$P1083,0)</f>
        <v>0</v>
      </c>
      <c r="AS1083" s="395">
        <f>(IF($H1083="x",VLOOKUP($I1083,'AUX-NIV2'!$B:$X,'AUX-NIV1'!AS$3,FALSE),0)+($AV1083*'AUX-NIV3'!U$4))*$O1083+IF($H1083=AS$4,$P1083,0)</f>
        <v>0</v>
      </c>
      <c r="AT1083" s="395">
        <f>(IF($H1083="x",VLOOKUP($I1083,'AUX-NIV2'!$B:$X,'AUX-NIV1'!AT$3,FALSE),0)+($AV1083*'AUX-NIV3'!V$4))*$O1083+IF($H1083=AT$4,$P1083,0)</f>
        <v>0</v>
      </c>
      <c r="AU1083" s="395">
        <f>(IF($H1083="x",VLOOKUP($I1083,'AUX-NIV2'!$B:$X,'AUX-NIV1'!AU$3,FALSE),0)+($AV1083*'AUX-NIV3'!W$4))*$O1083+IF($H1083=AU$4,$P1083,0)</f>
        <v>0</v>
      </c>
      <c r="AV1083" s="395">
        <f>+IF($H1083="x",VLOOKUP($I1083,'AUX-NIV2'!$B:$X,'AUX-NIV1'!AV$3,FALSE),0)</f>
        <v>0</v>
      </c>
    </row>
    <row r="1084" spans="2:48">
      <c r="B1084" s="324" t="s">
        <v>4691</v>
      </c>
      <c r="C1084" s="325" t="s">
        <v>4635</v>
      </c>
      <c r="D1084" s="326" t="s">
        <v>501</v>
      </c>
      <c r="E1084" s="349">
        <f>IF(B1084&lt;&gt;"",+SUMIF(Items!C:C,'AUX-NIV1'!B1084,Items!H:H),"")</f>
        <v>0</v>
      </c>
      <c r="F1084" s="349">
        <f t="shared" si="1293"/>
        <v>4211.9442552196706</v>
      </c>
      <c r="G1084" s="349">
        <f t="shared" si="1294"/>
        <v>0</v>
      </c>
      <c r="H1084" s="1395" t="str">
        <f t="shared" ref="H1084:H1085" si="1509">IF(B1084&lt;&gt;"",+LEFT(I1084,1),"")</f>
        <v>M</v>
      </c>
      <c r="I1084" s="1375" t="s">
        <v>4694</v>
      </c>
      <c r="J1084" s="350" t="str">
        <f>IF(B1084&lt;&gt;"",+VLOOKUP(I1084,Recursos!C:F,2,FALSE),"")</f>
        <v>Caño Estructural 20x20x2</v>
      </c>
      <c r="K1084" s="351" t="str">
        <f>IF(B1084&lt;&gt;"",+VLOOKUP(I1084,Recursos!C:F,3,FALSE),"")</f>
        <v>m</v>
      </c>
      <c r="L1084" s="1475">
        <f>IF(B1084&lt;&gt;"",+VLOOKUP(I1084,Recursos!C:F,4,FALSE),"")</f>
        <v>344.3526170798898</v>
      </c>
      <c r="M1084" s="1493">
        <v>2</v>
      </c>
      <c r="N1084" s="1507">
        <v>1.1000000000000001</v>
      </c>
      <c r="O1084" s="1490">
        <f>+M1084*N1084</f>
        <v>2.2000000000000002</v>
      </c>
      <c r="P1084" s="352">
        <f>IF(B1084&lt;&gt;"",O1084*L1084,"")</f>
        <v>757.57575757575762</v>
      </c>
      <c r="Q1084" s="349">
        <f>IF(B1084&lt;&gt;"",+O1084*E1084,"")</f>
        <v>0</v>
      </c>
      <c r="R1084" s="353">
        <f>IF(B1084&lt;&gt;"",Q1084*L1084,"")</f>
        <v>0</v>
      </c>
      <c r="S1084" s="354">
        <f t="shared" si="1299"/>
        <v>1499.2630690061851</v>
      </c>
      <c r="T1084" s="354">
        <f t="shared" si="1300"/>
        <v>0</v>
      </c>
      <c r="U1084" s="355">
        <f t="shared" si="1301"/>
        <v>2712.6811862134855</v>
      </c>
      <c r="V1084" s="355">
        <f t="shared" si="1302"/>
        <v>0</v>
      </c>
      <c r="W1084" s="355">
        <f t="shared" si="1303"/>
        <v>0</v>
      </c>
      <c r="X1084" s="355">
        <f t="shared" si="1304"/>
        <v>0</v>
      </c>
      <c r="Y1084" s="396"/>
      <c r="Z1084" s="346" t="str">
        <f t="shared" ref="Z1084:Z1085" si="1510">IF(B1084&lt;&gt;"",+$B1084&amp;"A","")</f>
        <v>0-SEPBANOA</v>
      </c>
      <c r="AA1084" s="346" t="str">
        <f t="shared" ref="AA1084:AA1085" si="1511">IF(B1084&lt;&gt;"",+$B1084&amp;"E","")</f>
        <v>0-SEPBANOE</v>
      </c>
      <c r="AB1084" s="346" t="str">
        <f t="shared" ref="AB1084:AB1085" si="1512">IF(B1084&lt;&gt;"",++$B1084&amp;"M","")</f>
        <v>0-SEPBANOM</v>
      </c>
      <c r="AC1084" s="346" t="str">
        <f t="shared" ref="AC1084:AC1085" si="1513">IF(B1084&lt;&gt;"",+$B1084&amp;"T","")</f>
        <v>0-SEPBANOT</v>
      </c>
      <c r="AD1084" s="346" t="str">
        <f t="shared" ref="AD1084:AD1085" si="1514">IF(B1084&lt;&gt;"",+$B1084&amp;"S","")</f>
        <v>0-SEPBANOS</v>
      </c>
      <c r="AE1084" s="346" t="str">
        <f t="shared" ref="AE1084:AE1085" si="1515">IF(B1084&lt;&gt;"",+$B1084&amp;"X","")</f>
        <v>0-SEPBANOX</v>
      </c>
      <c r="AF1084" s="346" t="str">
        <f t="shared" ref="AF1084:AF1085" si="1516">IF(B1084&lt;&gt;"",+B1084&amp;H1084,"")</f>
        <v>0-SEPBANOM</v>
      </c>
      <c r="AG1084" s="346">
        <f t="shared" si="1312"/>
        <v>6</v>
      </c>
      <c r="AH1084" s="346">
        <f>IF(B1084&lt;&gt;"",+IF(H1084="x",+VLOOKUP(I1084,'AUX-NIV2'!B:AG,32,FALSE),0),"")</f>
        <v>0</v>
      </c>
      <c r="AI1084" s="346" t="str">
        <f t="shared" ref="AI1084:AI1085" si="1517">IF(B1084&lt;&gt;"",+B1084,"")</f>
        <v>0-SEPBANO</v>
      </c>
      <c r="AK1084" s="347">
        <f t="shared" si="1314"/>
        <v>1081</v>
      </c>
      <c r="AL1084" s="348">
        <f t="shared" ref="AL1084:AL1085" si="1518">IF(B1084&lt;&gt;"",+AK1084+AG1084-1,"")</f>
        <v>1086</v>
      </c>
      <c r="AM1084" s="347" t="e">
        <f>IF(B1084&lt;&gt;"",IF(B1084=#REF!,1+#REF!,1),"")</f>
        <v>#REF!</v>
      </c>
      <c r="AN1084" s="382">
        <f>IF(AND(AH1084&gt;0,B1084&lt;&gt;""),VLOOKUP(I1084,'AUX-NIV2'!$B:$AP,40,FALSE)*O1084,0)</f>
        <v>0</v>
      </c>
      <c r="AO1084" s="382">
        <f t="shared" si="1316"/>
        <v>3</v>
      </c>
      <c r="AQ1084" s="395">
        <f>(IF($H1084="x",VLOOKUP($I1084,'AUX-NIV2'!$B:$X,'AUX-NIV1'!AQ$3,FALSE),0)+($AV1084*'AUX-NIV3'!S$4))*$O1084+IF($H1084=AQ$4,$P1084,0)</f>
        <v>0</v>
      </c>
      <c r="AR1084" s="395">
        <f>(IF($H1084="x",VLOOKUP($I1084,'AUX-NIV2'!$B:$X,'AUX-NIV1'!AR$3,FALSE),0)+($AV1084*'AUX-NIV3'!T$4))*$O1084+IF($H1084=AR$4,$P1084,0)</f>
        <v>0</v>
      </c>
      <c r="AS1084" s="395">
        <f>(IF($H1084="x",VLOOKUP($I1084,'AUX-NIV2'!$B:$X,'AUX-NIV1'!AS$3,FALSE),0)+($AV1084*'AUX-NIV3'!U$4))*$O1084+IF($H1084=AS$4,$P1084,0)</f>
        <v>757.57575757575762</v>
      </c>
      <c r="AT1084" s="395">
        <f>(IF($H1084="x",VLOOKUP($I1084,'AUX-NIV2'!$B:$X,'AUX-NIV1'!AT$3,FALSE),0)+($AV1084*'AUX-NIV3'!V$4))*$O1084+IF($H1084=AT$4,$P1084,0)</f>
        <v>0</v>
      </c>
      <c r="AU1084" s="395">
        <f>(IF($H1084="x",VLOOKUP($I1084,'AUX-NIV2'!$B:$X,'AUX-NIV1'!AU$3,FALSE),0)+($AV1084*'AUX-NIV3'!W$4))*$O1084+IF($H1084=AU$4,$P1084,0)</f>
        <v>0</v>
      </c>
      <c r="AV1084" s="395">
        <f>+IF($H1084="x",VLOOKUP($I1084,'AUX-NIV2'!$B:$X,'AUX-NIV1'!AV$3,FALSE),0)</f>
        <v>0</v>
      </c>
    </row>
    <row r="1085" spans="2:48">
      <c r="B1085" s="324" t="s">
        <v>4691</v>
      </c>
      <c r="C1085" s="325" t="s">
        <v>4635</v>
      </c>
      <c r="D1085" s="326" t="s">
        <v>501</v>
      </c>
      <c r="E1085" s="349">
        <f>IF(B1085&lt;&gt;"",+SUMIF(Items!C:C,'AUX-NIV1'!B1085,Items!H:H),"")</f>
        <v>0</v>
      </c>
      <c r="F1085" s="349">
        <f t="shared" si="1293"/>
        <v>4211.9442552196706</v>
      </c>
      <c r="G1085" s="349">
        <f t="shared" si="1294"/>
        <v>0</v>
      </c>
      <c r="H1085" s="1395" t="str">
        <f t="shared" si="1509"/>
        <v>M</v>
      </c>
      <c r="I1085" s="1375" t="s">
        <v>4692</v>
      </c>
      <c r="J1085" s="350" t="str">
        <f>IF(B1085&lt;&gt;"",+VLOOKUP(I1085,Recursos!C:F,2,FALSE),"")</f>
        <v>CHAPA lisa nro 20</v>
      </c>
      <c r="K1085" s="351" t="str">
        <f>IF(B1085&lt;&gt;"",+VLOOKUP(I1085,Recursos!C:F,3,FALSE),"")</f>
        <v>m2</v>
      </c>
      <c r="L1085" s="1475">
        <f>IF(B1085&lt;&gt;"",+VLOOKUP(I1085,Recursos!C:F,4,FALSE),"")</f>
        <v>2004.1322314049587</v>
      </c>
      <c r="M1085" s="1493">
        <f>30/32.41</f>
        <v>0.92564023449552613</v>
      </c>
      <c r="N1085" s="1507">
        <v>1</v>
      </c>
      <c r="O1085" s="1490">
        <f>+M1085*N1085</f>
        <v>0.92564023449552613</v>
      </c>
      <c r="P1085" s="352">
        <f>IF(B1085&lt;&gt;"",O1085*L1085,"")</f>
        <v>1855.105428637728</v>
      </c>
      <c r="Q1085" s="349">
        <f t="shared" ref="Q1085" si="1519">IF(B1085&lt;&gt;"",+O1085*E1085,"")</f>
        <v>0</v>
      </c>
      <c r="R1085" s="353">
        <f t="shared" ref="R1085" si="1520">IF(B1085&lt;&gt;"",Q1085*L1085,"")</f>
        <v>0</v>
      </c>
      <c r="S1085" s="354">
        <f t="shared" si="1299"/>
        <v>1499.2630690061851</v>
      </c>
      <c r="T1085" s="354">
        <f t="shared" si="1300"/>
        <v>0</v>
      </c>
      <c r="U1085" s="355">
        <f t="shared" si="1301"/>
        <v>2712.6811862134855</v>
      </c>
      <c r="V1085" s="355">
        <f t="shared" si="1302"/>
        <v>0</v>
      </c>
      <c r="W1085" s="355">
        <f t="shared" si="1303"/>
        <v>0</v>
      </c>
      <c r="X1085" s="355">
        <f t="shared" si="1304"/>
        <v>0</v>
      </c>
      <c r="Y1085" s="396"/>
      <c r="Z1085" s="346" t="str">
        <f t="shared" si="1510"/>
        <v>0-SEPBANOA</v>
      </c>
      <c r="AA1085" s="346" t="str">
        <f t="shared" si="1511"/>
        <v>0-SEPBANOE</v>
      </c>
      <c r="AB1085" s="346" t="str">
        <f t="shared" si="1512"/>
        <v>0-SEPBANOM</v>
      </c>
      <c r="AC1085" s="346" t="str">
        <f t="shared" si="1513"/>
        <v>0-SEPBANOT</v>
      </c>
      <c r="AD1085" s="346" t="str">
        <f t="shared" si="1514"/>
        <v>0-SEPBANOS</v>
      </c>
      <c r="AE1085" s="346" t="str">
        <f t="shared" si="1515"/>
        <v>0-SEPBANOX</v>
      </c>
      <c r="AF1085" s="346" t="str">
        <f t="shared" si="1516"/>
        <v>0-SEPBANOM</v>
      </c>
      <c r="AG1085" s="346">
        <f t="shared" si="1312"/>
        <v>6</v>
      </c>
      <c r="AH1085" s="346">
        <f>IF(B1085&lt;&gt;"",+IF(H1085="x",+VLOOKUP(I1085,'AUX-NIV2'!B:AG,32,FALSE),0),"")</f>
        <v>0</v>
      </c>
      <c r="AI1085" s="346" t="str">
        <f t="shared" si="1517"/>
        <v>0-SEPBANO</v>
      </c>
      <c r="AK1085" s="347">
        <f t="shared" si="1314"/>
        <v>1081</v>
      </c>
      <c r="AL1085" s="348">
        <f t="shared" si="1518"/>
        <v>1086</v>
      </c>
      <c r="AM1085" s="347" t="e">
        <f>IF(B1085&lt;&gt;"",IF(B1085=#REF!,1+#REF!,1),"")</f>
        <v>#REF!</v>
      </c>
      <c r="AN1085" s="382">
        <f>IF(AND(AH1085&gt;0,B1085&lt;&gt;""),VLOOKUP(I1085,'AUX-NIV2'!$B:$AP,40,FALSE)*O1085,0)</f>
        <v>0</v>
      </c>
      <c r="AO1085" s="382">
        <f t="shared" si="1316"/>
        <v>3</v>
      </c>
      <c r="AQ1085" s="395">
        <f>(IF($H1085="x",VLOOKUP($I1085,'AUX-NIV2'!$B:$X,'AUX-NIV1'!AQ$3,FALSE),0)+($AV1085*'AUX-NIV3'!S$4))*$O1085+IF($H1085=AQ$4,$P1085,0)</f>
        <v>0</v>
      </c>
      <c r="AR1085" s="395">
        <f>(IF($H1085="x",VLOOKUP($I1085,'AUX-NIV2'!$B:$X,'AUX-NIV1'!AR$3,FALSE),0)+($AV1085*'AUX-NIV3'!T$4))*$O1085+IF($H1085=AR$4,$P1085,0)</f>
        <v>0</v>
      </c>
      <c r="AS1085" s="395">
        <f>(IF($H1085="x",VLOOKUP($I1085,'AUX-NIV2'!$B:$X,'AUX-NIV1'!AS$3,FALSE),0)+($AV1085*'AUX-NIV3'!U$4))*$O1085+IF($H1085=AS$4,$P1085,0)</f>
        <v>1855.105428637728</v>
      </c>
      <c r="AT1085" s="395">
        <f>(IF($H1085="x",VLOOKUP($I1085,'AUX-NIV2'!$B:$X,'AUX-NIV1'!AT$3,FALSE),0)+($AV1085*'AUX-NIV3'!V$4))*$O1085+IF($H1085=AT$4,$P1085,0)</f>
        <v>0</v>
      </c>
      <c r="AU1085" s="395">
        <f>(IF($H1085="x",VLOOKUP($I1085,'AUX-NIV2'!$B:$X,'AUX-NIV1'!AU$3,FALSE),0)+($AV1085*'AUX-NIV3'!W$4))*$O1085+IF($H1085=AU$4,$P1085,0)</f>
        <v>0</v>
      </c>
      <c r="AV1085" s="395">
        <f>+IF($H1085="x",VLOOKUP($I1085,'AUX-NIV2'!$B:$X,'AUX-NIV1'!AV$3,FALSE),0)</f>
        <v>0</v>
      </c>
    </row>
    <row r="1086" spans="2:48" ht="13.8" thickBot="1">
      <c r="B1086" s="324" t="s">
        <v>4691</v>
      </c>
      <c r="C1086" s="325" t="s">
        <v>4635</v>
      </c>
      <c r="D1086" s="326" t="s">
        <v>501</v>
      </c>
      <c r="E1086" s="349">
        <f>IF(B1086&lt;&gt;"",+SUMIF(Items!C:C,'AUX-NIV1'!B1086,Items!H:H),"")</f>
        <v>0</v>
      </c>
      <c r="F1086" s="349">
        <f t="shared" si="1293"/>
        <v>4211.9442552196706</v>
      </c>
      <c r="G1086" s="349">
        <f t="shared" si="1294"/>
        <v>0</v>
      </c>
      <c r="H1086" s="1395" t="str">
        <f>IF(B1086&lt;&gt;"",+LEFT(I1086,1),"")</f>
        <v>M</v>
      </c>
      <c r="I1086" s="1375" t="s">
        <v>621</v>
      </c>
      <c r="J1086" s="350" t="str">
        <f>IF(B1086&lt;&gt;"",+VLOOKUP(I1086,Recursos!C:F,2,FALSE),"")</f>
        <v>MATERIALES VARIOS</v>
      </c>
      <c r="K1086" s="351" t="str">
        <f>IF(B1086&lt;&gt;"",+VLOOKUP(I1086,Recursos!C:F,3,FALSE),"")</f>
        <v>GL</v>
      </c>
      <c r="L1086" s="1475">
        <f>IF(B1086&lt;&gt;"",+VLOOKUP(I1086,Recursos!C:F,4,FALSE),"")</f>
        <v>0.5</v>
      </c>
      <c r="M1086" s="1622">
        <v>1</v>
      </c>
      <c r="N1086" s="1623">
        <v>200</v>
      </c>
      <c r="O1086" s="1490">
        <f>N1086</f>
        <v>200</v>
      </c>
      <c r="P1086" s="352">
        <f>IF(B1086&lt;&gt;"",O1086*L1086,"")</f>
        <v>100</v>
      </c>
      <c r="Q1086" s="349">
        <f>IF(B1086&lt;&gt;"",+O1086*E1086,"")</f>
        <v>0</v>
      </c>
      <c r="R1086" s="353">
        <f>IF(B1086&lt;&gt;"",Q1086*L1086,"")</f>
        <v>0</v>
      </c>
      <c r="S1086" s="354">
        <f t="shared" si="1299"/>
        <v>1499.2630690061851</v>
      </c>
      <c r="T1086" s="354">
        <f t="shared" si="1300"/>
        <v>0</v>
      </c>
      <c r="U1086" s="355">
        <f t="shared" si="1301"/>
        <v>2712.6811862134855</v>
      </c>
      <c r="V1086" s="355">
        <f t="shared" si="1302"/>
        <v>0</v>
      </c>
      <c r="W1086" s="355">
        <f t="shared" si="1303"/>
        <v>0</v>
      </c>
      <c r="X1086" s="355">
        <f t="shared" si="1304"/>
        <v>0</v>
      </c>
      <c r="Y1086" s="396"/>
      <c r="Z1086" s="346" t="str">
        <f>IF(B1086&lt;&gt;"",+$B1086&amp;"A","")</f>
        <v>0-SEPBANOA</v>
      </c>
      <c r="AA1086" s="346" t="str">
        <f>IF(B1086&lt;&gt;"",+$B1086&amp;"E","")</f>
        <v>0-SEPBANOE</v>
      </c>
      <c r="AB1086" s="346" t="str">
        <f>IF(B1086&lt;&gt;"",++$B1086&amp;"M","")</f>
        <v>0-SEPBANOM</v>
      </c>
      <c r="AC1086" s="346" t="str">
        <f>IF(B1086&lt;&gt;"",+$B1086&amp;"T","")</f>
        <v>0-SEPBANOT</v>
      </c>
      <c r="AD1086" s="346" t="str">
        <f>IF(B1086&lt;&gt;"",+$B1086&amp;"S","")</f>
        <v>0-SEPBANOS</v>
      </c>
      <c r="AE1086" s="346" t="str">
        <f>IF(B1086&lt;&gt;"",+$B1086&amp;"X","")</f>
        <v>0-SEPBANOX</v>
      </c>
      <c r="AF1086" s="346" t="str">
        <f>IF(B1086&lt;&gt;"",+B1086&amp;H1086,"")</f>
        <v>0-SEPBANOM</v>
      </c>
      <c r="AG1086" s="346">
        <f t="shared" si="1312"/>
        <v>6</v>
      </c>
      <c r="AH1086" s="346">
        <f>IF(B1086&lt;&gt;"",+IF(H1086="x",+VLOOKUP(I1086,'AUX-NIV2'!B:AG,32,FALSE),0),"")</f>
        <v>0</v>
      </c>
      <c r="AI1086" s="346" t="str">
        <f>IF(B1086&lt;&gt;"",+B1086,"")</f>
        <v>0-SEPBANO</v>
      </c>
      <c r="AK1086" s="347">
        <f t="shared" si="1314"/>
        <v>1081</v>
      </c>
      <c r="AL1086" s="348">
        <f>IF(B1086&lt;&gt;"",+AK1086+AG1086-1,"")</f>
        <v>1086</v>
      </c>
      <c r="AM1086" s="347" t="e">
        <f>IF(B1086&lt;&gt;"",IF(B1086=#REF!,1+#REF!,1),"")</f>
        <v>#REF!</v>
      </c>
      <c r="AN1086" s="382">
        <f>IF(AND(AH1086&gt;0,B1086&lt;&gt;""),VLOOKUP(I1086,'AUX-NIV2'!$B:$AP,40,FALSE)*O1086,0)</f>
        <v>0</v>
      </c>
      <c r="AO1086" s="382">
        <f t="shared" si="1316"/>
        <v>3</v>
      </c>
      <c r="AQ1086" s="395">
        <f>(IF($H1086="x",VLOOKUP($I1086,'AUX-NIV2'!$B:$X,'AUX-NIV1'!AQ$3,FALSE),0)+($AV1086*'AUX-NIV3'!S$4))*$O1086+IF($H1086=AQ$4,$P1086,0)</f>
        <v>0</v>
      </c>
      <c r="AR1086" s="395">
        <f>(IF($H1086="x",VLOOKUP($I1086,'AUX-NIV2'!$B:$X,'AUX-NIV1'!AR$3,FALSE),0)+($AV1086*'AUX-NIV3'!T$4))*$O1086+IF($H1086=AR$4,$P1086,0)</f>
        <v>0</v>
      </c>
      <c r="AS1086" s="395">
        <f>(IF($H1086="x",VLOOKUP($I1086,'AUX-NIV2'!$B:$X,'AUX-NIV1'!AS$3,FALSE),0)+($AV1086*'AUX-NIV3'!U$4))*$O1086+IF($H1086=AS$4,$P1086,0)</f>
        <v>100</v>
      </c>
      <c r="AT1086" s="395">
        <f>(IF($H1086="x",VLOOKUP($I1086,'AUX-NIV2'!$B:$X,'AUX-NIV1'!AT$3,FALSE),0)+($AV1086*'AUX-NIV3'!V$4))*$O1086+IF($H1086=AT$4,$P1086,0)</f>
        <v>0</v>
      </c>
      <c r="AU1086" s="395">
        <f>(IF($H1086="x",VLOOKUP($I1086,'AUX-NIV2'!$B:$X,'AUX-NIV1'!AU$3,FALSE),0)+($AV1086*'AUX-NIV3'!W$4))*$O1086+IF($H1086=AU$4,$P1086,0)</f>
        <v>0</v>
      </c>
      <c r="AV1086" s="395">
        <f>+IF($H1086="x",VLOOKUP($I1086,'AUX-NIV2'!$B:$X,'AUX-NIV1'!AV$3,FALSE),0)</f>
        <v>0</v>
      </c>
    </row>
    <row r="1087" spans="2:48" ht="13.8" thickTop="1"/>
  </sheetData>
  <autoFilter ref="B6:AI1080">
    <filterColumn colId="3">
      <filters>
        <filter val="0.24"/>
        <filter val="1.00"/>
        <filter val="100.40"/>
        <filter val="142.63"/>
        <filter val="15.51"/>
        <filter val="18.35"/>
        <filter val="2.00"/>
        <filter val="21.00"/>
        <filter val="3.62"/>
        <filter val="32.41"/>
        <filter val="50.96"/>
        <filter val="62.95"/>
        <filter val="7.61"/>
        <filter val="75.06"/>
      </filters>
    </filterColumn>
  </autoFilter>
  <phoneticPr fontId="0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 filterMode="1"/>
  <dimension ref="A1:AV1507"/>
  <sheetViews>
    <sheetView zoomScale="70" zoomScaleNormal="70" workbookViewId="0">
      <pane xSplit="7" ySplit="6" topLeftCell="I1379" activePane="bottomRight" state="frozen"/>
      <selection activeCell="B1391" sqref="B1391:D1391"/>
      <selection pane="topRight" activeCell="B1391" sqref="B1391:D1391"/>
      <selection pane="bottomLeft" activeCell="B1391" sqref="B1391:D1391"/>
      <selection pane="bottomRight" activeCell="F1464" sqref="F1464"/>
    </sheetView>
  </sheetViews>
  <sheetFormatPr baseColWidth="10" defaultColWidth="9.109375" defaultRowHeight="13.2"/>
  <cols>
    <col min="1" max="1" width="0.88671875" customWidth="1"/>
    <col min="2" max="2" width="13.33203125" customWidth="1"/>
    <col min="3" max="3" width="38.5546875" customWidth="1"/>
    <col min="6" max="6" width="11" customWidth="1"/>
    <col min="7" max="7" width="13.88671875" customWidth="1"/>
    <col min="9" max="9" width="11.33203125" customWidth="1"/>
    <col min="10" max="10" width="52.6640625" customWidth="1"/>
    <col min="12" max="12" width="13" customWidth="1"/>
    <col min="13" max="14" width="10.33203125" bestFit="1" customWidth="1"/>
    <col min="15" max="15" width="12.33203125" bestFit="1" customWidth="1"/>
    <col min="16" max="16" width="14.5546875" bestFit="1" customWidth="1"/>
    <col min="17" max="17" width="15.109375" bestFit="1" customWidth="1"/>
    <col min="18" max="18" width="14.5546875" bestFit="1" customWidth="1"/>
    <col min="35" max="35" width="10.44140625" customWidth="1"/>
  </cols>
  <sheetData>
    <row r="1" spans="2:42" ht="3.75" customHeight="1"/>
    <row r="2" spans="2:42" ht="15" customHeight="1">
      <c r="B2" s="82" t="s">
        <v>1224</v>
      </c>
      <c r="D2" s="306">
        <f>+COUNTA(B:B)-3</f>
        <v>1501</v>
      </c>
    </row>
    <row r="3" spans="2:42" ht="15" customHeight="1"/>
    <row r="4" spans="2:42" ht="15" customHeight="1" thickBot="1"/>
    <row r="5" spans="2:42" ht="33.75" customHeight="1" thickTop="1" thickBot="1">
      <c r="B5" s="299" t="s">
        <v>206</v>
      </c>
      <c r="C5" s="300"/>
      <c r="D5" s="300"/>
      <c r="E5" s="300"/>
      <c r="F5" s="300"/>
      <c r="G5" s="301"/>
      <c r="H5" s="237" t="s">
        <v>1218</v>
      </c>
      <c r="I5" s="238"/>
      <c r="J5" s="238"/>
      <c r="K5" s="238"/>
      <c r="L5" s="239"/>
      <c r="M5" s="240" t="s">
        <v>1219</v>
      </c>
      <c r="N5" s="240"/>
      <c r="O5" s="240"/>
      <c r="P5" s="240"/>
      <c r="Q5" s="240"/>
      <c r="R5" s="241"/>
      <c r="S5" s="240" t="s">
        <v>1225</v>
      </c>
      <c r="T5" s="240"/>
      <c r="U5" s="240"/>
      <c r="V5" s="240"/>
      <c r="W5" s="240"/>
      <c r="X5" s="240"/>
      <c r="Z5" s="244" t="s">
        <v>1248</v>
      </c>
      <c r="AA5" s="243"/>
      <c r="AB5" s="243"/>
      <c r="AC5" s="243"/>
      <c r="AD5" s="243"/>
      <c r="AE5" s="243"/>
      <c r="AF5" s="243"/>
      <c r="AG5" s="243"/>
      <c r="AH5" s="243"/>
      <c r="AI5" s="243"/>
      <c r="AK5" s="303" t="s">
        <v>1161</v>
      </c>
      <c r="AL5" s="303"/>
      <c r="AM5" s="303"/>
      <c r="AN5" s="303"/>
      <c r="AO5" s="303"/>
      <c r="AP5" s="303"/>
    </row>
    <row r="6" spans="2:42" ht="33.75" customHeight="1" thickTop="1" thickBot="1">
      <c r="B6" s="234" t="s">
        <v>1206</v>
      </c>
      <c r="C6" s="235" t="s">
        <v>1211</v>
      </c>
      <c r="D6" s="235" t="s">
        <v>610</v>
      </c>
      <c r="E6" s="235" t="s">
        <v>1212</v>
      </c>
      <c r="F6" s="235" t="s">
        <v>372</v>
      </c>
      <c r="G6" s="236" t="s">
        <v>325</v>
      </c>
      <c r="H6" s="230" t="s">
        <v>1214</v>
      </c>
      <c r="I6" s="230" t="s">
        <v>1213</v>
      </c>
      <c r="J6" s="231" t="s">
        <v>1215</v>
      </c>
      <c r="K6" s="231" t="s">
        <v>1216</v>
      </c>
      <c r="L6" s="231" t="s">
        <v>1209</v>
      </c>
      <c r="M6" s="232" t="s">
        <v>1220</v>
      </c>
      <c r="N6" s="232" t="s">
        <v>1210</v>
      </c>
      <c r="O6" s="232" t="s">
        <v>1217</v>
      </c>
      <c r="P6" s="232" t="s">
        <v>1221</v>
      </c>
      <c r="Q6" s="232" t="s">
        <v>1222</v>
      </c>
      <c r="R6" s="233" t="s">
        <v>1223</v>
      </c>
      <c r="S6" s="232" t="s">
        <v>1226</v>
      </c>
      <c r="T6" s="232" t="s">
        <v>1227</v>
      </c>
      <c r="U6" s="232" t="s">
        <v>1228</v>
      </c>
      <c r="V6" s="232" t="s">
        <v>1229</v>
      </c>
      <c r="W6" s="232" t="s">
        <v>1230</v>
      </c>
      <c r="X6" s="232" t="s">
        <v>1231</v>
      </c>
      <c r="Z6" s="242" t="s">
        <v>1226</v>
      </c>
      <c r="AA6" s="242" t="s">
        <v>1227</v>
      </c>
      <c r="AB6" s="242" t="s">
        <v>1228</v>
      </c>
      <c r="AC6" s="242" t="s">
        <v>1229</v>
      </c>
      <c r="AD6" s="242" t="s">
        <v>1230</v>
      </c>
      <c r="AE6" s="242" t="s">
        <v>1231</v>
      </c>
      <c r="AF6" s="242" t="s">
        <v>1249</v>
      </c>
      <c r="AG6" s="242" t="s">
        <v>187</v>
      </c>
      <c r="AH6" s="242" t="s">
        <v>205</v>
      </c>
      <c r="AI6" s="242" t="s">
        <v>23</v>
      </c>
      <c r="AK6" s="379" t="s">
        <v>1162</v>
      </c>
      <c r="AL6" s="379" t="s">
        <v>1163</v>
      </c>
      <c r="AM6" s="379" t="s">
        <v>1043</v>
      </c>
      <c r="AN6" s="379" t="s">
        <v>1332</v>
      </c>
      <c r="AO6" s="379" t="s">
        <v>1333</v>
      </c>
      <c r="AP6" s="379"/>
    </row>
    <row r="7" spans="2:42" ht="13.8" hidden="1" thickTop="1">
      <c r="B7" s="307" t="s">
        <v>1251</v>
      </c>
      <c r="C7" s="308" t="s">
        <v>1252</v>
      </c>
      <c r="D7" s="309" t="s">
        <v>447</v>
      </c>
      <c r="E7" s="310">
        <f>IF(B7&lt;&gt;"",SUMIF('AUX-NIV1'!I:I,'AUX-NIV2'!B7,'AUX-NIV1'!Q:Q),"")</f>
        <v>0</v>
      </c>
      <c r="F7" s="310">
        <f t="shared" ref="F7:F70" si="0">IF(B7&lt;&gt;"",+SUMIF(B:B,B7,P:P),"")</f>
        <v>716.31423187834969</v>
      </c>
      <c r="G7" s="310">
        <f t="shared" ref="G7:G70" si="1">IF(B7&lt;&gt;"",+SUMIF(B:B,B7,R:R),"")</f>
        <v>0</v>
      </c>
      <c r="H7" s="311" t="str">
        <f t="shared" ref="H7:H71" si="2">IF(B7&lt;&gt;"",+LEFT(I7,1),"")</f>
        <v>A</v>
      </c>
      <c r="I7" s="308" t="s">
        <v>3312</v>
      </c>
      <c r="J7" s="312" t="str">
        <f>IF(B7&lt;&gt;"",+VLOOKUP(I7,Recursos!C:F,2,FALSE),"")</f>
        <v>CHOFER</v>
      </c>
      <c r="K7" s="313" t="str">
        <f>IF(B7&lt;&gt;"",+VLOOKUP(I7,Recursos!C:F,3,FALSE),"")</f>
        <v>hh</v>
      </c>
      <c r="L7" s="310">
        <f>IF(B7&lt;&gt;"",+VLOOKUP(I7,Recursos!C:F,4,FALSE),"")</f>
        <v>496.91595439275824</v>
      </c>
      <c r="M7" s="314">
        <v>18</v>
      </c>
      <c r="N7" s="314">
        <v>1.25</v>
      </c>
      <c r="O7" s="315">
        <f t="shared" ref="O7:O19" si="3">1/M7*N7</f>
        <v>6.9444444444444448E-2</v>
      </c>
      <c r="P7" s="316">
        <f>IF(B7&lt;&gt;"",O7*L7,"")</f>
        <v>34.508052388385991</v>
      </c>
      <c r="Q7" s="310">
        <f>IF(B7&lt;&gt;"",+O7*E7,"")</f>
        <v>0</v>
      </c>
      <c r="R7" s="317">
        <f>IF(B7&lt;&gt;"",Q7*L7,"")</f>
        <v>0</v>
      </c>
      <c r="S7" s="356">
        <f t="shared" ref="S7:S70" si="4">IF(B7&lt;&gt;"",+SUMIF($AF:$AF,Z7,$P:$P),"")</f>
        <v>42.64290925514311</v>
      </c>
      <c r="T7" s="356">
        <f t="shared" ref="T7:T70" si="5">IF(B7&lt;&gt;"",+SUMIF($AF:$AF,AA7,$P:$P),"")</f>
        <v>228.8832612121212</v>
      </c>
      <c r="U7" s="357">
        <f t="shared" ref="U7:U70" si="6">IF(B7&lt;&gt;"",+SUMIF($AF:$AF,AB7,$P:$P),"")</f>
        <v>0</v>
      </c>
      <c r="V7" s="357">
        <f t="shared" ref="V7:V70" si="7">IF(B7&lt;&gt;"",+SUMIF($AF:$AF,AC7,$P:$P),"")</f>
        <v>0</v>
      </c>
      <c r="W7" s="357">
        <f t="shared" ref="W7:W70" si="8">IF(B7&lt;&gt;"",+SUMIF($AF:$AF,AD7,$P:$P),"")</f>
        <v>0</v>
      </c>
      <c r="X7" s="357">
        <f t="shared" ref="X7:X70" si="9">IF(B7&lt;&gt;"",+SUMIF($AF:$AF,AE7,$P:$P),"")</f>
        <v>444.78806141108532</v>
      </c>
      <c r="Y7" s="320"/>
      <c r="Z7" s="321" t="str">
        <f>IF(B7&lt;&gt;"",+$B7&amp;"A","")</f>
        <v>X-EDOSH21A</v>
      </c>
      <c r="AA7" s="321" t="str">
        <f>IF(B7&lt;&gt;"",+$B7&amp;"E","")</f>
        <v>X-EDOSH21E</v>
      </c>
      <c r="AB7" s="321" t="str">
        <f>IF(B7&lt;&gt;"",++$B7&amp;"M","")</f>
        <v>X-EDOSH21M</v>
      </c>
      <c r="AC7" s="321" t="str">
        <f>IF(B7&lt;&gt;"",+$B7&amp;"T","")</f>
        <v>X-EDOSH21T</v>
      </c>
      <c r="AD7" s="321" t="str">
        <f>IF(B7&lt;&gt;"",+$B7&amp;"S","")</f>
        <v>X-EDOSH21S</v>
      </c>
      <c r="AE7" s="321" t="str">
        <f>IF(B7&lt;&gt;"",+$B7&amp;"X","")</f>
        <v>X-EDOSH21X</v>
      </c>
      <c r="AF7" s="321" t="str">
        <f>IF(B7&lt;&gt;"",+B7&amp;H7,"")</f>
        <v>X-EDOSH21A</v>
      </c>
      <c r="AG7" s="321">
        <f t="shared" ref="AG7:AG70" si="10">IF(B7&lt;&gt;"",+COUNTIF(B:B,B7),"")</f>
        <v>13</v>
      </c>
      <c r="AH7" s="321">
        <f>IF(B7&lt;&gt;"",IF(H7="x",VLOOKUP(I7,'AUX-NIV3'!B:AG,32,FALSE),0),"")</f>
        <v>0</v>
      </c>
      <c r="AI7" s="321" t="str">
        <f>IF(B7&lt;&gt;"",+B7,"")</f>
        <v>X-EDOSH21</v>
      </c>
      <c r="AJ7" s="320"/>
      <c r="AK7" s="322">
        <f t="shared" ref="AK7:AK70" si="11">IF(B7&lt;&gt;"",+MATCH(B7,B:B,0),"")</f>
        <v>7</v>
      </c>
      <c r="AL7" s="323">
        <f>IF(B7&lt;&gt;"",+AK7+AG7-1,"")</f>
        <v>19</v>
      </c>
      <c r="AM7" s="322">
        <f>IF(B7&lt;&gt;"",IF(B7=B6,1+AM6,1),"")</f>
        <v>1</v>
      </c>
      <c r="AN7" s="380">
        <f>IF(AND(AH7&gt;0,B7&lt;&gt;""),VLOOKUP(I7,'AUX-NIV3'!$B:$AO,39,FALSE)*O7,0)</f>
        <v>0</v>
      </c>
      <c r="AO7" s="380">
        <f t="shared" ref="AO7:AO70" si="12">+IF(B7&lt;&gt;"",SUMIF(AF:AF,Z7,O:O)+SUMIF(Z:Z,Z7,AN:AN),0)</f>
        <v>0.16858924444444445</v>
      </c>
      <c r="AP7" s="380"/>
    </row>
    <row r="8" spans="2:42" ht="13.8" hidden="1" thickTop="1">
      <c r="B8" s="324" t="s">
        <v>1251</v>
      </c>
      <c r="C8" s="325" t="s">
        <v>1252</v>
      </c>
      <c r="D8" s="326" t="s">
        <v>447</v>
      </c>
      <c r="E8" s="327">
        <f>IF(B8&lt;&gt;"",SUMIF('AUX-NIV1'!I:I,'AUX-NIV2'!B8,'AUX-NIV1'!Q:Q),"")</f>
        <v>0</v>
      </c>
      <c r="F8" s="327">
        <f t="shared" si="0"/>
        <v>716.31423187834969</v>
      </c>
      <c r="G8" s="327">
        <f t="shared" si="1"/>
        <v>0</v>
      </c>
      <c r="H8" s="328" t="str">
        <f t="shared" si="2"/>
        <v>A</v>
      </c>
      <c r="I8" s="325" t="s">
        <v>3311</v>
      </c>
      <c r="J8" s="329" t="str">
        <f>IF(B8&lt;&gt;"",+VLOOKUP(I8,Recursos!C:F,2,FALSE),"")</f>
        <v>OPER. EQUIPO</v>
      </c>
      <c r="K8" s="330" t="str">
        <f>IF(B8&lt;&gt;"",+VLOOKUP(I8,Recursos!C:F,3,FALSE),"")</f>
        <v>hh</v>
      </c>
      <c r="L8" s="327">
        <f>IF(B8&lt;&gt;"",+VLOOKUP(I8,Recursos!C:F,4,FALSE),"")</f>
        <v>581.06120476836554</v>
      </c>
      <c r="M8" s="331">
        <v>100</v>
      </c>
      <c r="N8" s="331">
        <v>1.4</v>
      </c>
      <c r="O8" s="332">
        <f t="shared" si="3"/>
        <v>1.3999999999999999E-2</v>
      </c>
      <c r="P8" s="333">
        <f t="shared" ref="P8:P71" si="13">IF(B8&lt;&gt;"",O8*L8,"")</f>
        <v>8.1348568667571168</v>
      </c>
      <c r="Q8" s="327">
        <f t="shared" ref="Q8:Q71" si="14">IF(B8&lt;&gt;"",+O8*E8,"")</f>
        <v>0</v>
      </c>
      <c r="R8" s="334">
        <f t="shared" ref="R8:R71" si="15">IF(B8&lt;&gt;"",Q8*L8,"")</f>
        <v>0</v>
      </c>
      <c r="S8" s="358">
        <f t="shared" si="4"/>
        <v>42.64290925514311</v>
      </c>
      <c r="T8" s="358">
        <f t="shared" si="5"/>
        <v>228.8832612121212</v>
      </c>
      <c r="U8" s="359">
        <f t="shared" si="6"/>
        <v>0</v>
      </c>
      <c r="V8" s="359">
        <f t="shared" si="7"/>
        <v>0</v>
      </c>
      <c r="W8" s="359">
        <f t="shared" si="8"/>
        <v>0</v>
      </c>
      <c r="X8" s="359">
        <f t="shared" si="9"/>
        <v>444.78806141108532</v>
      </c>
      <c r="Y8" s="320"/>
      <c r="Z8" s="321" t="str">
        <f t="shared" ref="Z8:Z71" si="16">IF(B8&lt;&gt;"",+$B8&amp;"A","")</f>
        <v>X-EDOSH21A</v>
      </c>
      <c r="AA8" s="321" t="str">
        <f t="shared" ref="AA8:AA71" si="17">IF(B8&lt;&gt;"",+$B8&amp;"E","")</f>
        <v>X-EDOSH21E</v>
      </c>
      <c r="AB8" s="321" t="str">
        <f t="shared" ref="AB8:AB71" si="18">IF(B8&lt;&gt;"",++$B8&amp;"M","")</f>
        <v>X-EDOSH21M</v>
      </c>
      <c r="AC8" s="321" t="str">
        <f t="shared" ref="AC8:AC71" si="19">IF(B8&lt;&gt;"",+$B8&amp;"T","")</f>
        <v>X-EDOSH21T</v>
      </c>
      <c r="AD8" s="321" t="str">
        <f t="shared" ref="AD8:AD71" si="20">IF(B8&lt;&gt;"",+$B8&amp;"S","")</f>
        <v>X-EDOSH21S</v>
      </c>
      <c r="AE8" s="321" t="str">
        <f t="shared" ref="AE8:AE71" si="21">IF(B8&lt;&gt;"",+$B8&amp;"X","")</f>
        <v>X-EDOSH21X</v>
      </c>
      <c r="AF8" s="321" t="str">
        <f t="shared" ref="AF8:AF71" si="22">IF(B8&lt;&gt;"",+B8&amp;H8,"")</f>
        <v>X-EDOSH21A</v>
      </c>
      <c r="AG8" s="321">
        <f t="shared" si="10"/>
        <v>13</v>
      </c>
      <c r="AH8" s="321">
        <f>IF(B8&lt;&gt;"",IF(H8="x",VLOOKUP(I8,'AUX-NIV3'!B:AG,32,FALSE),0),"")</f>
        <v>0</v>
      </c>
      <c r="AI8" s="321" t="str">
        <f t="shared" ref="AI8:AI71" si="23">IF(B8&lt;&gt;"",+B8,"")</f>
        <v>X-EDOSH21</v>
      </c>
      <c r="AJ8" s="320"/>
      <c r="AK8" s="322">
        <f t="shared" si="11"/>
        <v>7</v>
      </c>
      <c r="AL8" s="323">
        <f t="shared" ref="AL8:AL71" si="24">IF(B8&lt;&gt;"",+AK8+AG8-1,"")</f>
        <v>19</v>
      </c>
      <c r="AM8" s="322">
        <f t="shared" ref="AM8:AM71" si="25">IF(B8&lt;&gt;"",IF(B8=B7,1+AM7,1),"")</f>
        <v>2</v>
      </c>
      <c r="AN8" s="380">
        <f>IF(AND(AH8&gt;0,B8&lt;&gt;""),VLOOKUP(I8,'AUX-NIV3'!$B:$AO,39,FALSE)*O8,0)</f>
        <v>0</v>
      </c>
      <c r="AO8" s="380">
        <f t="shared" si="12"/>
        <v>0.16858924444444445</v>
      </c>
      <c r="AP8" s="380"/>
    </row>
    <row r="9" spans="2:42" ht="13.8" hidden="1" thickTop="1">
      <c r="B9" s="324" t="s">
        <v>1251</v>
      </c>
      <c r="C9" s="325" t="s">
        <v>1252</v>
      </c>
      <c r="D9" s="326" t="s">
        <v>447</v>
      </c>
      <c r="E9" s="327">
        <f>IF(B9&lt;&gt;"",SUMIF('AUX-NIV1'!I:I,'AUX-NIV2'!B9,'AUX-NIV1'!Q:Q),"")</f>
        <v>0</v>
      </c>
      <c r="F9" s="327">
        <f t="shared" si="0"/>
        <v>716.31423187834969</v>
      </c>
      <c r="G9" s="327">
        <f t="shared" si="1"/>
        <v>0</v>
      </c>
      <c r="H9" s="328" t="str">
        <f t="shared" si="2"/>
        <v>A</v>
      </c>
      <c r="I9" s="325" t="s">
        <v>3311</v>
      </c>
      <c r="J9" s="329" t="str">
        <f>IF(B9&lt;&gt;"",+VLOOKUP(I9,Recursos!C:F,2,FALSE),"")</f>
        <v>OPER. EQUIPO</v>
      </c>
      <c r="K9" s="330" t="str">
        <f>IF(B9&lt;&gt;"",+VLOOKUP(I9,Recursos!C:F,3,FALSE),"")</f>
        <v>hh</v>
      </c>
      <c r="L9" s="327">
        <f>IF(B9&lt;&gt;"",+VLOOKUP(I9,Recursos!C:F,4,FALSE),"")</f>
        <v>581.06120476836554</v>
      </c>
      <c r="M9" s="331">
        <v>18</v>
      </c>
      <c r="N9" s="331">
        <v>0</v>
      </c>
      <c r="O9" s="332">
        <f t="shared" si="3"/>
        <v>0</v>
      </c>
      <c r="P9" s="333">
        <f t="shared" si="13"/>
        <v>0</v>
      </c>
      <c r="Q9" s="327">
        <f t="shared" si="14"/>
        <v>0</v>
      </c>
      <c r="R9" s="334">
        <f t="shared" si="15"/>
        <v>0</v>
      </c>
      <c r="S9" s="358">
        <f t="shared" si="4"/>
        <v>42.64290925514311</v>
      </c>
      <c r="T9" s="358">
        <f t="shared" si="5"/>
        <v>228.8832612121212</v>
      </c>
      <c r="U9" s="359">
        <f t="shared" si="6"/>
        <v>0</v>
      </c>
      <c r="V9" s="359">
        <f t="shared" si="7"/>
        <v>0</v>
      </c>
      <c r="W9" s="359">
        <f t="shared" si="8"/>
        <v>0</v>
      </c>
      <c r="X9" s="359">
        <f t="shared" si="9"/>
        <v>444.78806141108532</v>
      </c>
      <c r="Y9" s="320"/>
      <c r="Z9" s="321" t="str">
        <f t="shared" si="16"/>
        <v>X-EDOSH21A</v>
      </c>
      <c r="AA9" s="321" t="str">
        <f t="shared" si="17"/>
        <v>X-EDOSH21E</v>
      </c>
      <c r="AB9" s="321" t="str">
        <f t="shared" si="18"/>
        <v>X-EDOSH21M</v>
      </c>
      <c r="AC9" s="321" t="str">
        <f t="shared" si="19"/>
        <v>X-EDOSH21T</v>
      </c>
      <c r="AD9" s="321" t="str">
        <f t="shared" si="20"/>
        <v>X-EDOSH21S</v>
      </c>
      <c r="AE9" s="321" t="str">
        <f t="shared" si="21"/>
        <v>X-EDOSH21X</v>
      </c>
      <c r="AF9" s="321" t="str">
        <f t="shared" si="22"/>
        <v>X-EDOSH21A</v>
      </c>
      <c r="AG9" s="321">
        <f t="shared" si="10"/>
        <v>13</v>
      </c>
      <c r="AH9" s="321">
        <f>IF(B9&lt;&gt;"",IF(H9="x",VLOOKUP(I9,'AUX-NIV3'!B:AG,32,FALSE),0),"")</f>
        <v>0</v>
      </c>
      <c r="AI9" s="321" t="str">
        <f t="shared" si="23"/>
        <v>X-EDOSH21</v>
      </c>
      <c r="AJ9" s="320"/>
      <c r="AK9" s="322">
        <f t="shared" si="11"/>
        <v>7</v>
      </c>
      <c r="AL9" s="323">
        <f t="shared" si="24"/>
        <v>19</v>
      </c>
      <c r="AM9" s="322">
        <f t="shared" si="25"/>
        <v>3</v>
      </c>
      <c r="AN9" s="380">
        <f>IF(AND(AH9&gt;0,B9&lt;&gt;""),VLOOKUP(I9,'AUX-NIV3'!$B:$AO,39,FALSE)*O9,0)</f>
        <v>0</v>
      </c>
      <c r="AO9" s="380">
        <f t="shared" si="12"/>
        <v>0.16858924444444445</v>
      </c>
      <c r="AP9" s="380"/>
    </row>
    <row r="10" spans="2:42" ht="13.8" hidden="1" thickTop="1">
      <c r="B10" s="324" t="s">
        <v>1251</v>
      </c>
      <c r="C10" s="325" t="s">
        <v>1252</v>
      </c>
      <c r="D10" s="326" t="s">
        <v>447</v>
      </c>
      <c r="E10" s="327">
        <f>IF(B10&lt;&gt;"",SUMIF('AUX-NIV1'!I:I,'AUX-NIV2'!B10,'AUX-NIV1'!Q:Q),"")</f>
        <v>0</v>
      </c>
      <c r="F10" s="327">
        <f t="shared" si="0"/>
        <v>716.31423187834969</v>
      </c>
      <c r="G10" s="327">
        <f t="shared" si="1"/>
        <v>0</v>
      </c>
      <c r="H10" s="328" t="str">
        <f t="shared" si="2"/>
        <v>A</v>
      </c>
      <c r="I10" s="325" t="s">
        <v>3309</v>
      </c>
      <c r="J10" s="329" t="str">
        <f>IF(B10&lt;&gt;"",+VLOOKUP(I10,Recursos!C:F,2,FALSE),"")</f>
        <v>MEDIO OFICIAL</v>
      </c>
      <c r="K10" s="330" t="str">
        <f>IF(B10&lt;&gt;"",+VLOOKUP(I10,Recursos!C:F,3,FALSE),"")</f>
        <v>hh</v>
      </c>
      <c r="L10" s="327">
        <f>IF(B10&lt;&gt;"",+VLOOKUP(I10,Recursos!C:F,4,FALSE),"")</f>
        <v>459.10093211890984</v>
      </c>
      <c r="M10" s="331">
        <v>100</v>
      </c>
      <c r="N10" s="331">
        <v>0</v>
      </c>
      <c r="O10" s="332">
        <f t="shared" si="3"/>
        <v>0</v>
      </c>
      <c r="P10" s="333">
        <f t="shared" si="13"/>
        <v>0</v>
      </c>
      <c r="Q10" s="327">
        <f t="shared" si="14"/>
        <v>0</v>
      </c>
      <c r="R10" s="334">
        <f t="shared" si="15"/>
        <v>0</v>
      </c>
      <c r="S10" s="358">
        <f t="shared" si="4"/>
        <v>42.64290925514311</v>
      </c>
      <c r="T10" s="358">
        <f t="shared" si="5"/>
        <v>228.8832612121212</v>
      </c>
      <c r="U10" s="359">
        <f t="shared" si="6"/>
        <v>0</v>
      </c>
      <c r="V10" s="359">
        <f t="shared" si="7"/>
        <v>0</v>
      </c>
      <c r="W10" s="359">
        <f t="shared" si="8"/>
        <v>0</v>
      </c>
      <c r="X10" s="359">
        <f t="shared" si="9"/>
        <v>444.78806141108532</v>
      </c>
      <c r="Y10" s="320"/>
      <c r="Z10" s="321" t="str">
        <f t="shared" si="16"/>
        <v>X-EDOSH21A</v>
      </c>
      <c r="AA10" s="321" t="str">
        <f t="shared" si="17"/>
        <v>X-EDOSH21E</v>
      </c>
      <c r="AB10" s="321" t="str">
        <f t="shared" si="18"/>
        <v>X-EDOSH21M</v>
      </c>
      <c r="AC10" s="321" t="str">
        <f t="shared" si="19"/>
        <v>X-EDOSH21T</v>
      </c>
      <c r="AD10" s="321" t="str">
        <f t="shared" si="20"/>
        <v>X-EDOSH21S</v>
      </c>
      <c r="AE10" s="321" t="str">
        <f t="shared" si="21"/>
        <v>X-EDOSH21X</v>
      </c>
      <c r="AF10" s="321" t="str">
        <f t="shared" si="22"/>
        <v>X-EDOSH21A</v>
      </c>
      <c r="AG10" s="321">
        <f t="shared" si="10"/>
        <v>13</v>
      </c>
      <c r="AH10" s="321">
        <f>IF(B10&lt;&gt;"",IF(H10="x",VLOOKUP(I10,'AUX-NIV3'!B:AG,32,FALSE),0),"")</f>
        <v>0</v>
      </c>
      <c r="AI10" s="321" t="str">
        <f t="shared" si="23"/>
        <v>X-EDOSH21</v>
      </c>
      <c r="AJ10" s="320"/>
      <c r="AK10" s="322">
        <f t="shared" si="11"/>
        <v>7</v>
      </c>
      <c r="AL10" s="323">
        <f t="shared" si="24"/>
        <v>19</v>
      </c>
      <c r="AM10" s="322">
        <f t="shared" si="25"/>
        <v>4</v>
      </c>
      <c r="AN10" s="380">
        <f>IF(AND(AH10&gt;0,B10&lt;&gt;""),VLOOKUP(I10,'AUX-NIV3'!$B:$AO,39,FALSE)*O10,0)</f>
        <v>0</v>
      </c>
      <c r="AO10" s="380">
        <f t="shared" si="12"/>
        <v>0.16858924444444445</v>
      </c>
      <c r="AP10" s="380"/>
    </row>
    <row r="11" spans="2:42" ht="13.8" hidden="1" thickTop="1">
      <c r="B11" s="324" t="s">
        <v>1251</v>
      </c>
      <c r="C11" s="325" t="s">
        <v>1252</v>
      </c>
      <c r="D11" s="326" t="s">
        <v>447</v>
      </c>
      <c r="E11" s="327">
        <f>IF(B11&lt;&gt;"",SUMIF('AUX-NIV1'!I:I,'AUX-NIV2'!B11,'AUX-NIV1'!Q:Q),"")</f>
        <v>0</v>
      </c>
      <c r="F11" s="327">
        <f t="shared" si="0"/>
        <v>716.31423187834969</v>
      </c>
      <c r="G11" s="327">
        <f t="shared" si="1"/>
        <v>0</v>
      </c>
      <c r="H11" s="328" t="str">
        <f t="shared" si="2"/>
        <v>E</v>
      </c>
      <c r="I11" s="325" t="s">
        <v>1555</v>
      </c>
      <c r="J11" s="329" t="str">
        <f>IF(B11&lt;&gt;"",+VLOOKUP(I11,Recursos!C:F,2,FALSE),"")</f>
        <v>CAMION VOLCADOR 6x4 CAP. 24 T=15 m3</v>
      </c>
      <c r="K11" s="330" t="str">
        <f>IF(B11&lt;&gt;"",+VLOOKUP(I11,Recursos!C:F,3,FALSE),"")</f>
        <v>HR</v>
      </c>
      <c r="L11" s="327">
        <f>IF(B11&lt;&gt;"",+VLOOKUP(I11,Recursos!C:F,4,FALSE),"")</f>
        <v>3333.261</v>
      </c>
      <c r="M11" s="331">
        <v>18</v>
      </c>
      <c r="N11" s="331">
        <v>1</v>
      </c>
      <c r="O11" s="332">
        <f t="shared" si="3"/>
        <v>5.5555555555555552E-2</v>
      </c>
      <c r="P11" s="333">
        <f t="shared" si="13"/>
        <v>185.18116666666666</v>
      </c>
      <c r="Q11" s="327">
        <f t="shared" si="14"/>
        <v>0</v>
      </c>
      <c r="R11" s="334">
        <f t="shared" si="15"/>
        <v>0</v>
      </c>
      <c r="S11" s="358">
        <f t="shared" si="4"/>
        <v>42.64290925514311</v>
      </c>
      <c r="T11" s="358">
        <f t="shared" si="5"/>
        <v>228.8832612121212</v>
      </c>
      <c r="U11" s="359">
        <f t="shared" si="6"/>
        <v>0</v>
      </c>
      <c r="V11" s="359">
        <f t="shared" si="7"/>
        <v>0</v>
      </c>
      <c r="W11" s="359">
        <f t="shared" si="8"/>
        <v>0</v>
      </c>
      <c r="X11" s="359">
        <f t="shared" si="9"/>
        <v>444.78806141108532</v>
      </c>
      <c r="Y11" s="320"/>
      <c r="Z11" s="321" t="str">
        <f t="shared" si="16"/>
        <v>X-EDOSH21A</v>
      </c>
      <c r="AA11" s="321" t="str">
        <f t="shared" si="17"/>
        <v>X-EDOSH21E</v>
      </c>
      <c r="AB11" s="321" t="str">
        <f t="shared" si="18"/>
        <v>X-EDOSH21M</v>
      </c>
      <c r="AC11" s="321" t="str">
        <f t="shared" si="19"/>
        <v>X-EDOSH21T</v>
      </c>
      <c r="AD11" s="321" t="str">
        <f t="shared" si="20"/>
        <v>X-EDOSH21S</v>
      </c>
      <c r="AE11" s="321" t="str">
        <f t="shared" si="21"/>
        <v>X-EDOSH21X</v>
      </c>
      <c r="AF11" s="321" t="str">
        <f t="shared" si="22"/>
        <v>X-EDOSH21E</v>
      </c>
      <c r="AG11" s="321">
        <f t="shared" si="10"/>
        <v>13</v>
      </c>
      <c r="AH11" s="321">
        <f>IF(B11&lt;&gt;"",IF(H11="x",VLOOKUP(I11,'AUX-NIV3'!B:AG,32,FALSE),0),"")</f>
        <v>0</v>
      </c>
      <c r="AI11" s="321" t="str">
        <f t="shared" si="23"/>
        <v>X-EDOSH21</v>
      </c>
      <c r="AJ11" s="320"/>
      <c r="AK11" s="322">
        <f t="shared" si="11"/>
        <v>7</v>
      </c>
      <c r="AL11" s="323">
        <f t="shared" si="24"/>
        <v>19</v>
      </c>
      <c r="AM11" s="322">
        <f t="shared" si="25"/>
        <v>5</v>
      </c>
      <c r="AN11" s="380">
        <f>IF(AND(AH11&gt;0,B11&lt;&gt;""),VLOOKUP(I11,'AUX-NIV3'!$B:$AO,39,FALSE)*O11,0)</f>
        <v>0</v>
      </c>
      <c r="AO11" s="380">
        <f t="shared" si="12"/>
        <v>0.16858924444444445</v>
      </c>
      <c r="AP11" s="380"/>
    </row>
    <row r="12" spans="2:42" ht="13.8" hidden="1" thickTop="1">
      <c r="B12" s="324" t="s">
        <v>1251</v>
      </c>
      <c r="C12" s="325" t="s">
        <v>1252</v>
      </c>
      <c r="D12" s="326" t="s">
        <v>447</v>
      </c>
      <c r="E12" s="327">
        <f>IF(B12&lt;&gt;"",SUMIF('AUX-NIV1'!I:I,'AUX-NIV2'!B12,'AUX-NIV1'!Q:Q),"")</f>
        <v>0</v>
      </c>
      <c r="F12" s="327">
        <f t="shared" si="0"/>
        <v>716.31423187834969</v>
      </c>
      <c r="G12" s="327">
        <f t="shared" si="1"/>
        <v>0</v>
      </c>
      <c r="H12" s="328" t="str">
        <f t="shared" si="2"/>
        <v>E</v>
      </c>
      <c r="I12" s="325" t="s">
        <v>1579</v>
      </c>
      <c r="J12" s="329" t="str">
        <f>IF(B12&lt;&gt;"",+VLOOKUP(I12,Recursos!C:F,2,FALSE),"")</f>
        <v>TRACTOR PANTANERO 8 CUBIERTAS</v>
      </c>
      <c r="K12" s="330" t="str">
        <f>IF(B12&lt;&gt;"",+VLOOKUP(I12,Recursos!C:F,3,FALSE),"")</f>
        <v>HR</v>
      </c>
      <c r="L12" s="327">
        <f>IF(B12&lt;&gt;"",+VLOOKUP(I12,Recursos!C:F,4,FALSE),"")</f>
        <v>3411.4653333333331</v>
      </c>
      <c r="M12" s="331">
        <v>10</v>
      </c>
      <c r="N12" s="331">
        <v>0</v>
      </c>
      <c r="O12" s="332">
        <f t="shared" si="3"/>
        <v>0</v>
      </c>
      <c r="P12" s="333">
        <f t="shared" si="13"/>
        <v>0</v>
      </c>
      <c r="Q12" s="327">
        <f t="shared" si="14"/>
        <v>0</v>
      </c>
      <c r="R12" s="334">
        <f t="shared" si="15"/>
        <v>0</v>
      </c>
      <c r="S12" s="358">
        <f t="shared" si="4"/>
        <v>42.64290925514311</v>
      </c>
      <c r="T12" s="358">
        <f t="shared" si="5"/>
        <v>228.8832612121212</v>
      </c>
      <c r="U12" s="359">
        <f t="shared" si="6"/>
        <v>0</v>
      </c>
      <c r="V12" s="359">
        <f t="shared" si="7"/>
        <v>0</v>
      </c>
      <c r="W12" s="359">
        <f t="shared" si="8"/>
        <v>0</v>
      </c>
      <c r="X12" s="359">
        <f t="shared" si="9"/>
        <v>444.78806141108532</v>
      </c>
      <c r="Y12" s="320"/>
      <c r="Z12" s="321" t="str">
        <f t="shared" si="16"/>
        <v>X-EDOSH21A</v>
      </c>
      <c r="AA12" s="321" t="str">
        <f t="shared" si="17"/>
        <v>X-EDOSH21E</v>
      </c>
      <c r="AB12" s="321" t="str">
        <f t="shared" si="18"/>
        <v>X-EDOSH21M</v>
      </c>
      <c r="AC12" s="321" t="str">
        <f t="shared" si="19"/>
        <v>X-EDOSH21T</v>
      </c>
      <c r="AD12" s="321" t="str">
        <f t="shared" si="20"/>
        <v>X-EDOSH21S</v>
      </c>
      <c r="AE12" s="321" t="str">
        <f t="shared" si="21"/>
        <v>X-EDOSH21X</v>
      </c>
      <c r="AF12" s="321" t="str">
        <f t="shared" si="22"/>
        <v>X-EDOSH21E</v>
      </c>
      <c r="AG12" s="321">
        <f t="shared" si="10"/>
        <v>13</v>
      </c>
      <c r="AH12" s="321">
        <f>IF(B12&lt;&gt;"",IF(H12="x",VLOOKUP(I12,'AUX-NIV3'!B:AG,32,FALSE),0),"")</f>
        <v>0</v>
      </c>
      <c r="AI12" s="321" t="str">
        <f t="shared" si="23"/>
        <v>X-EDOSH21</v>
      </c>
      <c r="AJ12" s="320"/>
      <c r="AK12" s="322">
        <f t="shared" si="11"/>
        <v>7</v>
      </c>
      <c r="AL12" s="323">
        <f t="shared" si="24"/>
        <v>19</v>
      </c>
      <c r="AM12" s="322">
        <f t="shared" si="25"/>
        <v>6</v>
      </c>
      <c r="AN12" s="380">
        <f>IF(AND(AH12&gt;0,B12&lt;&gt;""),VLOOKUP(I12,'AUX-NIV3'!$B:$AO,39,FALSE)*O12,0)</f>
        <v>0</v>
      </c>
      <c r="AO12" s="380">
        <f t="shared" si="12"/>
        <v>0.16858924444444445</v>
      </c>
      <c r="AP12" s="380"/>
    </row>
    <row r="13" spans="2:42" ht="13.8" hidden="1" thickTop="1">
      <c r="B13" s="324" t="s">
        <v>1251</v>
      </c>
      <c r="C13" s="325" t="s">
        <v>1252</v>
      </c>
      <c r="D13" s="326" t="s">
        <v>447</v>
      </c>
      <c r="E13" s="327">
        <f>IF(B13&lt;&gt;"",SUMIF('AUX-NIV1'!I:I,'AUX-NIV2'!B13,'AUX-NIV1'!Q:Q),"")</f>
        <v>0</v>
      </c>
      <c r="F13" s="327">
        <f t="shared" si="0"/>
        <v>716.31423187834969</v>
      </c>
      <c r="G13" s="327">
        <f t="shared" si="1"/>
        <v>0</v>
      </c>
      <c r="H13" s="328" t="str">
        <f t="shared" si="2"/>
        <v>E</v>
      </c>
      <c r="I13" s="325" t="s">
        <v>1564</v>
      </c>
      <c r="J13" s="329" t="str">
        <f>IF(B13&lt;&gt;"",+VLOOKUP(I13,Recursos!C:F,2,FALSE),"")</f>
        <v>ACOPLADO O TANQUE CAP. 10 m3</v>
      </c>
      <c r="K13" s="330" t="str">
        <f>IF(B13&lt;&gt;"",+VLOOKUP(I13,Recursos!C:F,3,FALSE),"")</f>
        <v>HR</v>
      </c>
      <c r="L13" s="327">
        <f>IF(B13&lt;&gt;"",+VLOOKUP(I13,Recursos!C:F,4,FALSE),"")</f>
        <v>200.018</v>
      </c>
      <c r="M13" s="331">
        <v>10</v>
      </c>
      <c r="N13" s="331">
        <v>0</v>
      </c>
      <c r="O13" s="332">
        <f t="shared" si="3"/>
        <v>0</v>
      </c>
      <c r="P13" s="333">
        <f t="shared" si="13"/>
        <v>0</v>
      </c>
      <c r="Q13" s="327">
        <f t="shared" si="14"/>
        <v>0</v>
      </c>
      <c r="R13" s="334">
        <f t="shared" si="15"/>
        <v>0</v>
      </c>
      <c r="S13" s="358">
        <f t="shared" si="4"/>
        <v>42.64290925514311</v>
      </c>
      <c r="T13" s="358">
        <f t="shared" si="5"/>
        <v>228.8832612121212</v>
      </c>
      <c r="U13" s="359">
        <f t="shared" si="6"/>
        <v>0</v>
      </c>
      <c r="V13" s="359">
        <f t="shared" si="7"/>
        <v>0</v>
      </c>
      <c r="W13" s="359">
        <f t="shared" si="8"/>
        <v>0</v>
      </c>
      <c r="X13" s="359">
        <f t="shared" si="9"/>
        <v>444.78806141108532</v>
      </c>
      <c r="Y13" s="320"/>
      <c r="Z13" s="321" t="str">
        <f t="shared" si="16"/>
        <v>X-EDOSH21A</v>
      </c>
      <c r="AA13" s="321" t="str">
        <f t="shared" si="17"/>
        <v>X-EDOSH21E</v>
      </c>
      <c r="AB13" s="321" t="str">
        <f t="shared" si="18"/>
        <v>X-EDOSH21M</v>
      </c>
      <c r="AC13" s="321" t="str">
        <f t="shared" si="19"/>
        <v>X-EDOSH21T</v>
      </c>
      <c r="AD13" s="321" t="str">
        <f t="shared" si="20"/>
        <v>X-EDOSH21S</v>
      </c>
      <c r="AE13" s="321" t="str">
        <f t="shared" si="21"/>
        <v>X-EDOSH21X</v>
      </c>
      <c r="AF13" s="321" t="str">
        <f t="shared" si="22"/>
        <v>X-EDOSH21E</v>
      </c>
      <c r="AG13" s="321">
        <f t="shared" si="10"/>
        <v>13</v>
      </c>
      <c r="AH13" s="321">
        <f>IF(B13&lt;&gt;"",IF(H13="x",VLOOKUP(I13,'AUX-NIV3'!B:AG,32,FALSE),0),"")</f>
        <v>0</v>
      </c>
      <c r="AI13" s="321" t="str">
        <f t="shared" si="23"/>
        <v>X-EDOSH21</v>
      </c>
      <c r="AJ13" s="320"/>
      <c r="AK13" s="322">
        <f t="shared" si="11"/>
        <v>7</v>
      </c>
      <c r="AL13" s="323">
        <f t="shared" si="24"/>
        <v>19</v>
      </c>
      <c r="AM13" s="322">
        <f t="shared" si="25"/>
        <v>7</v>
      </c>
      <c r="AN13" s="380">
        <f>IF(AND(AH13&gt;0,B13&lt;&gt;""),VLOOKUP(I13,'AUX-NIV3'!$B:$AO,39,FALSE)*O13,0)</f>
        <v>0</v>
      </c>
      <c r="AO13" s="380">
        <f t="shared" si="12"/>
        <v>0.16858924444444445</v>
      </c>
      <c r="AP13" s="380"/>
    </row>
    <row r="14" spans="2:42" ht="13.8" hidden="1" thickTop="1">
      <c r="B14" s="324" t="s">
        <v>1251</v>
      </c>
      <c r="C14" s="325" t="s">
        <v>1252</v>
      </c>
      <c r="D14" s="326" t="s">
        <v>447</v>
      </c>
      <c r="E14" s="327">
        <f>IF(B14&lt;&gt;"",SUMIF('AUX-NIV1'!I:I,'AUX-NIV2'!B14,'AUX-NIV1'!Q:Q),"")</f>
        <v>0</v>
      </c>
      <c r="F14" s="327">
        <f t="shared" si="0"/>
        <v>716.31423187834969</v>
      </c>
      <c r="G14" s="327">
        <f t="shared" si="1"/>
        <v>0</v>
      </c>
      <c r="H14" s="328" t="str">
        <f t="shared" si="2"/>
        <v>E</v>
      </c>
      <c r="I14" s="325" t="s">
        <v>1543</v>
      </c>
      <c r="J14" s="329" t="str">
        <f>IF(B14&lt;&gt;"",+VLOOKUP(I14,Recursos!C:F,2,FALSE),"")</f>
        <v>CARGADOR FRONTAL S/NEUM. (3,00 M3)</v>
      </c>
      <c r="K14" s="330" t="str">
        <f>IF(B14&lt;&gt;"",+VLOOKUP(I14,Recursos!C:F,3,FALSE),"")</f>
        <v>HR</v>
      </c>
      <c r="L14" s="327">
        <f>IF(B14&lt;&gt;"",+VLOOKUP(I14,Recursos!C:F,4,FALSE),"")</f>
        <v>4370.2094545454547</v>
      </c>
      <c r="M14" s="331">
        <v>100</v>
      </c>
      <c r="N14" s="331">
        <v>1</v>
      </c>
      <c r="O14" s="332">
        <f t="shared" si="3"/>
        <v>0.01</v>
      </c>
      <c r="P14" s="333">
        <f t="shared" si="13"/>
        <v>43.70209454545455</v>
      </c>
      <c r="Q14" s="327">
        <f t="shared" si="14"/>
        <v>0</v>
      </c>
      <c r="R14" s="334">
        <f t="shared" si="15"/>
        <v>0</v>
      </c>
      <c r="S14" s="358">
        <f t="shared" si="4"/>
        <v>42.64290925514311</v>
      </c>
      <c r="T14" s="358">
        <f t="shared" si="5"/>
        <v>228.8832612121212</v>
      </c>
      <c r="U14" s="359">
        <f t="shared" si="6"/>
        <v>0</v>
      </c>
      <c r="V14" s="359">
        <f t="shared" si="7"/>
        <v>0</v>
      </c>
      <c r="W14" s="359">
        <f t="shared" si="8"/>
        <v>0</v>
      </c>
      <c r="X14" s="359">
        <f t="shared" si="9"/>
        <v>444.78806141108532</v>
      </c>
      <c r="Y14" s="320"/>
      <c r="Z14" s="321" t="str">
        <f t="shared" si="16"/>
        <v>X-EDOSH21A</v>
      </c>
      <c r="AA14" s="321" t="str">
        <f t="shared" si="17"/>
        <v>X-EDOSH21E</v>
      </c>
      <c r="AB14" s="321" t="str">
        <f t="shared" si="18"/>
        <v>X-EDOSH21M</v>
      </c>
      <c r="AC14" s="321" t="str">
        <f t="shared" si="19"/>
        <v>X-EDOSH21T</v>
      </c>
      <c r="AD14" s="321" t="str">
        <f t="shared" si="20"/>
        <v>X-EDOSH21S</v>
      </c>
      <c r="AE14" s="321" t="str">
        <f t="shared" si="21"/>
        <v>X-EDOSH21X</v>
      </c>
      <c r="AF14" s="321" t="str">
        <f t="shared" si="22"/>
        <v>X-EDOSH21E</v>
      </c>
      <c r="AG14" s="321">
        <f t="shared" si="10"/>
        <v>13</v>
      </c>
      <c r="AH14" s="321">
        <f>IF(B14&lt;&gt;"",IF(H14="x",VLOOKUP(I14,'AUX-NIV3'!B:AG,32,FALSE),0),"")</f>
        <v>0</v>
      </c>
      <c r="AI14" s="321" t="str">
        <f t="shared" si="23"/>
        <v>X-EDOSH21</v>
      </c>
      <c r="AJ14" s="320"/>
      <c r="AK14" s="322">
        <f t="shared" si="11"/>
        <v>7</v>
      </c>
      <c r="AL14" s="323">
        <f t="shared" si="24"/>
        <v>19</v>
      </c>
      <c r="AM14" s="322">
        <f t="shared" si="25"/>
        <v>8</v>
      </c>
      <c r="AN14" s="380">
        <f>IF(AND(AH14&gt;0,B14&lt;&gt;""),VLOOKUP(I14,'AUX-NIV3'!$B:$AO,39,FALSE)*O14,0)</f>
        <v>0</v>
      </c>
      <c r="AO14" s="380">
        <f t="shared" si="12"/>
        <v>0.16858924444444445</v>
      </c>
      <c r="AP14" s="380"/>
    </row>
    <row r="15" spans="2:42" ht="13.8" hidden="1" thickTop="1">
      <c r="B15" s="324" t="s">
        <v>1251</v>
      </c>
      <c r="C15" s="325" t="s">
        <v>1252</v>
      </c>
      <c r="D15" s="326" t="s">
        <v>447</v>
      </c>
      <c r="E15" s="327">
        <f>IF(B15&lt;&gt;"",SUMIF('AUX-NIV1'!I:I,'AUX-NIV2'!B15,'AUX-NIV1'!Q:Q),"")</f>
        <v>0</v>
      </c>
      <c r="F15" s="327">
        <f t="shared" si="0"/>
        <v>716.31423187834969</v>
      </c>
      <c r="G15" s="327">
        <f t="shared" si="1"/>
        <v>0</v>
      </c>
      <c r="H15" s="328" t="str">
        <f t="shared" si="2"/>
        <v>M</v>
      </c>
      <c r="I15" s="325" t="s">
        <v>493</v>
      </c>
      <c r="J15" s="329" t="str">
        <f>IF(B15&lt;&gt;"",+VLOOKUP(I15,Recursos!C:F,2,FALSE),"")</f>
        <v>CEMENTO (en obra-bolsa)</v>
      </c>
      <c r="K15" s="330" t="str">
        <f>IF(B15&lt;&gt;"",+VLOOKUP(I15,Recursos!C:F,3,FALSE),"")</f>
        <v>bolsa</v>
      </c>
      <c r="L15" s="327">
        <f>IF(B15&lt;&gt;"",+VLOOKUP(I15,Recursos!C:F,4,FALSE),"")</f>
        <v>21</v>
      </c>
      <c r="M15" s="331">
        <v>250</v>
      </c>
      <c r="N15" s="331">
        <v>0</v>
      </c>
      <c r="O15" s="332">
        <f t="shared" si="3"/>
        <v>0</v>
      </c>
      <c r="P15" s="333">
        <f t="shared" si="13"/>
        <v>0</v>
      </c>
      <c r="Q15" s="327">
        <f t="shared" si="14"/>
        <v>0</v>
      </c>
      <c r="R15" s="334">
        <f t="shared" si="15"/>
        <v>0</v>
      </c>
      <c r="S15" s="358">
        <f t="shared" si="4"/>
        <v>42.64290925514311</v>
      </c>
      <c r="T15" s="358">
        <f t="shared" si="5"/>
        <v>228.8832612121212</v>
      </c>
      <c r="U15" s="359">
        <f t="shared" si="6"/>
        <v>0</v>
      </c>
      <c r="V15" s="359">
        <f t="shared" si="7"/>
        <v>0</v>
      </c>
      <c r="W15" s="359">
        <f t="shared" si="8"/>
        <v>0</v>
      </c>
      <c r="X15" s="359">
        <f t="shared" si="9"/>
        <v>444.78806141108532</v>
      </c>
      <c r="Y15" s="320"/>
      <c r="Z15" s="321" t="str">
        <f t="shared" si="16"/>
        <v>X-EDOSH21A</v>
      </c>
      <c r="AA15" s="321" t="str">
        <f t="shared" si="17"/>
        <v>X-EDOSH21E</v>
      </c>
      <c r="AB15" s="321" t="str">
        <f t="shared" si="18"/>
        <v>X-EDOSH21M</v>
      </c>
      <c r="AC15" s="321" t="str">
        <f t="shared" si="19"/>
        <v>X-EDOSH21T</v>
      </c>
      <c r="AD15" s="321" t="str">
        <f t="shared" si="20"/>
        <v>X-EDOSH21S</v>
      </c>
      <c r="AE15" s="321" t="str">
        <f t="shared" si="21"/>
        <v>X-EDOSH21X</v>
      </c>
      <c r="AF15" s="321" t="str">
        <f t="shared" si="22"/>
        <v>X-EDOSH21M</v>
      </c>
      <c r="AG15" s="321">
        <f t="shared" si="10"/>
        <v>13</v>
      </c>
      <c r="AH15" s="321">
        <f>IF(B15&lt;&gt;"",IF(H15="x",VLOOKUP(I15,'AUX-NIV3'!B:AG,32,FALSE),0),"")</f>
        <v>0</v>
      </c>
      <c r="AI15" s="321" t="str">
        <f t="shared" si="23"/>
        <v>X-EDOSH21</v>
      </c>
      <c r="AJ15" s="320"/>
      <c r="AK15" s="322">
        <f t="shared" si="11"/>
        <v>7</v>
      </c>
      <c r="AL15" s="323">
        <f t="shared" si="24"/>
        <v>19</v>
      </c>
      <c r="AM15" s="322">
        <f t="shared" si="25"/>
        <v>9</v>
      </c>
      <c r="AN15" s="380">
        <f>IF(AND(AH15&gt;0,B15&lt;&gt;""),VLOOKUP(I15,'AUX-NIV3'!$B:$AO,39,FALSE)*O15,0)</f>
        <v>0</v>
      </c>
      <c r="AO15" s="380">
        <f t="shared" si="12"/>
        <v>0.16858924444444445</v>
      </c>
      <c r="AP15" s="380"/>
    </row>
    <row r="16" spans="2:42" ht="13.8" hidden="1" thickTop="1">
      <c r="B16" s="324" t="s">
        <v>1251</v>
      </c>
      <c r="C16" s="325" t="s">
        <v>1252</v>
      </c>
      <c r="D16" s="326" t="s">
        <v>447</v>
      </c>
      <c r="E16" s="327">
        <f>IF(B16&lt;&gt;"",SUMIF('AUX-NIV1'!I:I,'AUX-NIV2'!B16,'AUX-NIV1'!Q:Q),"")</f>
        <v>0</v>
      </c>
      <c r="F16" s="327">
        <f t="shared" si="0"/>
        <v>716.31423187834969</v>
      </c>
      <c r="G16" s="327">
        <f t="shared" si="1"/>
        <v>0</v>
      </c>
      <c r="H16" s="328" t="str">
        <f t="shared" si="2"/>
        <v>M</v>
      </c>
      <c r="I16" s="325" t="s">
        <v>495</v>
      </c>
      <c r="J16" s="329" t="str">
        <f>IF(B16&lt;&gt;"",+VLOOKUP(I16,Recursos!C:F,2,FALSE),"")</f>
        <v>PLASTIFICANTE</v>
      </c>
      <c r="K16" s="330" t="str">
        <f>IF(B16&lt;&gt;"",+VLOOKUP(I16,Recursos!C:F,3,FALSE),"")</f>
        <v>Kg</v>
      </c>
      <c r="L16" s="327">
        <f>IF(B16&lt;&gt;"",+VLOOKUP(I16,Recursos!C:F,4,FALSE),"")</f>
        <v>40.25</v>
      </c>
      <c r="M16" s="331">
        <v>1</v>
      </c>
      <c r="N16" s="331">
        <v>0</v>
      </c>
      <c r="O16" s="332">
        <f t="shared" si="3"/>
        <v>0</v>
      </c>
      <c r="P16" s="333">
        <f t="shared" si="13"/>
        <v>0</v>
      </c>
      <c r="Q16" s="327">
        <f t="shared" si="14"/>
        <v>0</v>
      </c>
      <c r="R16" s="334">
        <f t="shared" si="15"/>
        <v>0</v>
      </c>
      <c r="S16" s="358">
        <f t="shared" si="4"/>
        <v>42.64290925514311</v>
      </c>
      <c r="T16" s="358">
        <f t="shared" si="5"/>
        <v>228.8832612121212</v>
      </c>
      <c r="U16" s="359">
        <f t="shared" si="6"/>
        <v>0</v>
      </c>
      <c r="V16" s="359">
        <f t="shared" si="7"/>
        <v>0</v>
      </c>
      <c r="W16" s="359">
        <f t="shared" si="8"/>
        <v>0</v>
      </c>
      <c r="X16" s="359">
        <f t="shared" si="9"/>
        <v>444.78806141108532</v>
      </c>
      <c r="Y16" s="320"/>
      <c r="Z16" s="321" t="str">
        <f t="shared" si="16"/>
        <v>X-EDOSH21A</v>
      </c>
      <c r="AA16" s="321" t="str">
        <f t="shared" si="17"/>
        <v>X-EDOSH21E</v>
      </c>
      <c r="AB16" s="321" t="str">
        <f t="shared" si="18"/>
        <v>X-EDOSH21M</v>
      </c>
      <c r="AC16" s="321" t="str">
        <f t="shared" si="19"/>
        <v>X-EDOSH21T</v>
      </c>
      <c r="AD16" s="321" t="str">
        <f t="shared" si="20"/>
        <v>X-EDOSH21S</v>
      </c>
      <c r="AE16" s="321" t="str">
        <f t="shared" si="21"/>
        <v>X-EDOSH21X</v>
      </c>
      <c r="AF16" s="321" t="str">
        <f t="shared" si="22"/>
        <v>X-EDOSH21M</v>
      </c>
      <c r="AG16" s="321">
        <f t="shared" si="10"/>
        <v>13</v>
      </c>
      <c r="AH16" s="321">
        <f>IF(B16&lt;&gt;"",IF(H16="x",VLOOKUP(I16,'AUX-NIV3'!B:AG,32,FALSE),0),"")</f>
        <v>0</v>
      </c>
      <c r="AI16" s="321" t="str">
        <f t="shared" si="23"/>
        <v>X-EDOSH21</v>
      </c>
      <c r="AJ16" s="320"/>
      <c r="AK16" s="322">
        <f t="shared" si="11"/>
        <v>7</v>
      </c>
      <c r="AL16" s="323">
        <f t="shared" si="24"/>
        <v>19</v>
      </c>
      <c r="AM16" s="322">
        <f t="shared" si="25"/>
        <v>10</v>
      </c>
      <c r="AN16" s="380">
        <f>IF(AND(AH16&gt;0,B16&lt;&gt;""),VLOOKUP(I16,'AUX-NIV3'!$B:$AO,39,FALSE)*O16,0)</f>
        <v>0</v>
      </c>
      <c r="AO16" s="380">
        <f t="shared" si="12"/>
        <v>0.16858924444444445</v>
      </c>
      <c r="AP16" s="380"/>
    </row>
    <row r="17" spans="2:42" ht="13.8" hidden="1" thickTop="1">
      <c r="B17" s="324" t="s">
        <v>1251</v>
      </c>
      <c r="C17" s="325" t="s">
        <v>1252</v>
      </c>
      <c r="D17" s="326" t="s">
        <v>447</v>
      </c>
      <c r="E17" s="327">
        <f>IF(B17&lt;&gt;"",SUMIF('AUX-NIV1'!I:I,'AUX-NIV2'!B17,'AUX-NIV1'!Q:Q),"")</f>
        <v>0</v>
      </c>
      <c r="F17" s="327">
        <f t="shared" si="0"/>
        <v>716.31423187834969</v>
      </c>
      <c r="G17" s="327">
        <f t="shared" si="1"/>
        <v>0</v>
      </c>
      <c r="H17" s="328" t="str">
        <f t="shared" si="2"/>
        <v>X</v>
      </c>
      <c r="I17" s="325" t="s">
        <v>1207</v>
      </c>
      <c r="J17" s="329" t="str">
        <f>IF(B17&lt;&gt;"",+VLOOKUP(I17,Recursos!C:F,2,FALSE),"")</f>
        <v>Planta de Aridos - Trituración y Clasificación</v>
      </c>
      <c r="K17" s="330" t="str">
        <f>IF(B17&lt;&gt;"",+VLOOKUP(I17,Recursos!C:F,3,FALSE),"")</f>
        <v>M3</v>
      </c>
      <c r="L17" s="327">
        <f>IF(B17&lt;&gt;"",+VLOOKUP(I17,Recursos!C:F,4,FALSE),"")</f>
        <v>633.60122708131803</v>
      </c>
      <c r="M17" s="331">
        <v>0.46500000000000002</v>
      </c>
      <c r="N17" s="331">
        <v>1</v>
      </c>
      <c r="O17" s="332">
        <f>+M17*N17</f>
        <v>0.46500000000000002</v>
      </c>
      <c r="P17" s="333">
        <f t="shared" si="13"/>
        <v>294.62457059281292</v>
      </c>
      <c r="Q17" s="327">
        <f t="shared" si="14"/>
        <v>0</v>
      </c>
      <c r="R17" s="334">
        <f t="shared" si="15"/>
        <v>0</v>
      </c>
      <c r="S17" s="358">
        <f t="shared" si="4"/>
        <v>42.64290925514311</v>
      </c>
      <c r="T17" s="358">
        <f t="shared" si="5"/>
        <v>228.8832612121212</v>
      </c>
      <c r="U17" s="359">
        <f t="shared" si="6"/>
        <v>0</v>
      </c>
      <c r="V17" s="359">
        <f t="shared" si="7"/>
        <v>0</v>
      </c>
      <c r="W17" s="359">
        <f t="shared" si="8"/>
        <v>0</v>
      </c>
      <c r="X17" s="359">
        <f t="shared" si="9"/>
        <v>444.78806141108532</v>
      </c>
      <c r="Y17" s="320"/>
      <c r="Z17" s="321" t="str">
        <f t="shared" si="16"/>
        <v>X-EDOSH21A</v>
      </c>
      <c r="AA17" s="321" t="str">
        <f t="shared" si="17"/>
        <v>X-EDOSH21E</v>
      </c>
      <c r="AB17" s="321" t="str">
        <f t="shared" si="18"/>
        <v>X-EDOSH21M</v>
      </c>
      <c r="AC17" s="321" t="str">
        <f t="shared" si="19"/>
        <v>X-EDOSH21T</v>
      </c>
      <c r="AD17" s="321" t="str">
        <f t="shared" si="20"/>
        <v>X-EDOSH21S</v>
      </c>
      <c r="AE17" s="321" t="str">
        <f t="shared" si="21"/>
        <v>X-EDOSH21X</v>
      </c>
      <c r="AF17" s="321" t="str">
        <f t="shared" si="22"/>
        <v>X-EDOSH21X</v>
      </c>
      <c r="AG17" s="321">
        <f t="shared" si="10"/>
        <v>13</v>
      </c>
      <c r="AH17" s="321">
        <f>IF(B17&lt;&gt;"",IF(H17="x",VLOOKUP(I17,'AUX-NIV3'!B:AG,32,FALSE),0),"")</f>
        <v>21</v>
      </c>
      <c r="AI17" s="321" t="str">
        <f t="shared" si="23"/>
        <v>X-EDOSH21</v>
      </c>
      <c r="AJ17" s="320"/>
      <c r="AK17" s="322">
        <f t="shared" si="11"/>
        <v>7</v>
      </c>
      <c r="AL17" s="323">
        <f t="shared" si="24"/>
        <v>19</v>
      </c>
      <c r="AM17" s="322">
        <f t="shared" si="25"/>
        <v>11</v>
      </c>
      <c r="AN17" s="380">
        <f>IF(AND(AH17&gt;0,B17&lt;&gt;""),VLOOKUP(I17,'AUX-NIV3'!$B:$AO,39,FALSE)*O17,0)</f>
        <v>5.6399333333333336E-2</v>
      </c>
      <c r="AO17" s="380">
        <f t="shared" si="12"/>
        <v>0.16858924444444445</v>
      </c>
      <c r="AP17" s="380"/>
    </row>
    <row r="18" spans="2:42" ht="13.8" hidden="1" thickTop="1">
      <c r="B18" s="324" t="s">
        <v>1251</v>
      </c>
      <c r="C18" s="325" t="s">
        <v>1252</v>
      </c>
      <c r="D18" s="326" t="s">
        <v>447</v>
      </c>
      <c r="E18" s="327">
        <f>IF(B18&lt;&gt;"",SUMIF('AUX-NIV1'!I:I,'AUX-NIV2'!B18,'AUX-NIV1'!Q:Q),"")</f>
        <v>0</v>
      </c>
      <c r="F18" s="327">
        <f t="shared" si="0"/>
        <v>716.31423187834969</v>
      </c>
      <c r="G18" s="327">
        <f t="shared" si="1"/>
        <v>0</v>
      </c>
      <c r="H18" s="328" t="str">
        <f t="shared" si="2"/>
        <v>X</v>
      </c>
      <c r="I18" s="325" t="s">
        <v>1207</v>
      </c>
      <c r="J18" s="329" t="str">
        <f>IF(B18&lt;&gt;"",+VLOOKUP(I18,Recursos!C:F,2,FALSE),"")</f>
        <v>Planta de Aridos - Trituración y Clasificación</v>
      </c>
      <c r="K18" s="330" t="str">
        <f>IF(B18&lt;&gt;"",+VLOOKUP(I18,Recursos!C:F,3,FALSE),"")</f>
        <v>M3</v>
      </c>
      <c r="L18" s="327">
        <f>IF(B18&lt;&gt;"",+VLOOKUP(I18,Recursos!C:F,4,FALSE),"")</f>
        <v>633.60122708131803</v>
      </c>
      <c r="M18" s="331">
        <v>0.23699999999999999</v>
      </c>
      <c r="N18" s="331">
        <v>1</v>
      </c>
      <c r="O18" s="332">
        <f>+M18*N18</f>
        <v>0.23699999999999999</v>
      </c>
      <c r="P18" s="333">
        <f t="shared" si="13"/>
        <v>150.16349081827238</v>
      </c>
      <c r="Q18" s="327">
        <f t="shared" si="14"/>
        <v>0</v>
      </c>
      <c r="R18" s="334">
        <f t="shared" si="15"/>
        <v>0</v>
      </c>
      <c r="S18" s="358">
        <f t="shared" si="4"/>
        <v>42.64290925514311</v>
      </c>
      <c r="T18" s="358">
        <f t="shared" si="5"/>
        <v>228.8832612121212</v>
      </c>
      <c r="U18" s="359">
        <f t="shared" si="6"/>
        <v>0</v>
      </c>
      <c r="V18" s="359">
        <f t="shared" si="7"/>
        <v>0</v>
      </c>
      <c r="W18" s="359">
        <f t="shared" si="8"/>
        <v>0</v>
      </c>
      <c r="X18" s="359">
        <f t="shared" si="9"/>
        <v>444.78806141108532</v>
      </c>
      <c r="Y18" s="320"/>
      <c r="Z18" s="321" t="str">
        <f t="shared" si="16"/>
        <v>X-EDOSH21A</v>
      </c>
      <c r="AA18" s="321" t="str">
        <f t="shared" si="17"/>
        <v>X-EDOSH21E</v>
      </c>
      <c r="AB18" s="321" t="str">
        <f t="shared" si="18"/>
        <v>X-EDOSH21M</v>
      </c>
      <c r="AC18" s="321" t="str">
        <f t="shared" si="19"/>
        <v>X-EDOSH21T</v>
      </c>
      <c r="AD18" s="321" t="str">
        <f t="shared" si="20"/>
        <v>X-EDOSH21S</v>
      </c>
      <c r="AE18" s="321" t="str">
        <f t="shared" si="21"/>
        <v>X-EDOSH21X</v>
      </c>
      <c r="AF18" s="321" t="str">
        <f t="shared" si="22"/>
        <v>X-EDOSH21X</v>
      </c>
      <c r="AG18" s="321">
        <f t="shared" si="10"/>
        <v>13</v>
      </c>
      <c r="AH18" s="321">
        <f>IF(B18&lt;&gt;"",IF(H18="x",VLOOKUP(I18,'AUX-NIV3'!B:AG,32,FALSE),0),"")</f>
        <v>21</v>
      </c>
      <c r="AI18" s="321" t="str">
        <f t="shared" si="23"/>
        <v>X-EDOSH21</v>
      </c>
      <c r="AJ18" s="320"/>
      <c r="AK18" s="322">
        <f t="shared" si="11"/>
        <v>7</v>
      </c>
      <c r="AL18" s="323">
        <f t="shared" si="24"/>
        <v>19</v>
      </c>
      <c r="AM18" s="322">
        <f t="shared" si="25"/>
        <v>12</v>
      </c>
      <c r="AN18" s="380">
        <f>IF(AND(AH18&gt;0,B18&lt;&gt;""),VLOOKUP(I18,'AUX-NIV3'!$B:$AO,39,FALSE)*O18,0)</f>
        <v>2.8745466666666667E-2</v>
      </c>
      <c r="AO18" s="380">
        <f t="shared" si="12"/>
        <v>0.16858924444444445</v>
      </c>
      <c r="AP18" s="380"/>
    </row>
    <row r="19" spans="2:42" ht="13.8" hidden="1" thickTop="1">
      <c r="B19" s="324" t="s">
        <v>1251</v>
      </c>
      <c r="C19" s="325" t="s">
        <v>1252</v>
      </c>
      <c r="D19" s="326" t="s">
        <v>447</v>
      </c>
      <c r="E19" s="327">
        <f>IF(B19&lt;&gt;"",SUMIF('AUX-NIV1'!I:I,'AUX-NIV2'!B19,'AUX-NIV1'!Q:Q),"")</f>
        <v>0</v>
      </c>
      <c r="F19" s="327">
        <f t="shared" si="0"/>
        <v>716.31423187834969</v>
      </c>
      <c r="G19" s="327">
        <f t="shared" si="1"/>
        <v>0</v>
      </c>
      <c r="H19" s="328" t="str">
        <f t="shared" si="2"/>
        <v>T</v>
      </c>
      <c r="I19" s="325" t="s">
        <v>752</v>
      </c>
      <c r="J19" s="329" t="str">
        <f>IF(B19&lt;&gt;"",+VLOOKUP(I19,Recursos!C:F,2,FALSE),"")</f>
        <v>TRANSP.AGREGADO (Tpte largo cotizado x 10 Km)</v>
      </c>
      <c r="K19" s="330" t="str">
        <f>IF(B19&lt;&gt;"",+VLOOKUP(I19,Recursos!C:F,3,FALSE),"")</f>
        <v>Tn.Km</v>
      </c>
      <c r="L19" s="327">
        <f>IF(B19&lt;&gt;"",+VLOOKUP(I19,Recursos!C:F,4,FALSE),"")</f>
        <v>0.1</v>
      </c>
      <c r="M19" s="331">
        <v>1.2E-2</v>
      </c>
      <c r="N19" s="331">
        <v>0</v>
      </c>
      <c r="O19" s="332">
        <f t="shared" si="3"/>
        <v>0</v>
      </c>
      <c r="P19" s="333">
        <f t="shared" si="13"/>
        <v>0</v>
      </c>
      <c r="Q19" s="327">
        <f t="shared" si="14"/>
        <v>0</v>
      </c>
      <c r="R19" s="334">
        <f t="shared" si="15"/>
        <v>0</v>
      </c>
      <c r="S19" s="358">
        <f t="shared" si="4"/>
        <v>42.64290925514311</v>
      </c>
      <c r="T19" s="358">
        <f t="shared" si="5"/>
        <v>228.8832612121212</v>
      </c>
      <c r="U19" s="359">
        <f t="shared" si="6"/>
        <v>0</v>
      </c>
      <c r="V19" s="359">
        <f t="shared" si="7"/>
        <v>0</v>
      </c>
      <c r="W19" s="359">
        <f t="shared" si="8"/>
        <v>0</v>
      </c>
      <c r="X19" s="359">
        <f t="shared" si="9"/>
        <v>444.78806141108532</v>
      </c>
      <c r="Y19" s="320"/>
      <c r="Z19" s="321" t="str">
        <f t="shared" si="16"/>
        <v>X-EDOSH21A</v>
      </c>
      <c r="AA19" s="321" t="str">
        <f t="shared" si="17"/>
        <v>X-EDOSH21E</v>
      </c>
      <c r="AB19" s="321" t="str">
        <f t="shared" si="18"/>
        <v>X-EDOSH21M</v>
      </c>
      <c r="AC19" s="321" t="str">
        <f t="shared" si="19"/>
        <v>X-EDOSH21T</v>
      </c>
      <c r="AD19" s="321" t="str">
        <f t="shared" si="20"/>
        <v>X-EDOSH21S</v>
      </c>
      <c r="AE19" s="321" t="str">
        <f t="shared" si="21"/>
        <v>X-EDOSH21X</v>
      </c>
      <c r="AF19" s="321" t="str">
        <f t="shared" si="22"/>
        <v>X-EDOSH21T</v>
      </c>
      <c r="AG19" s="321">
        <f t="shared" si="10"/>
        <v>13</v>
      </c>
      <c r="AH19" s="321">
        <f>IF(B19&lt;&gt;"",IF(H19="x",VLOOKUP(I19,'AUX-NIV3'!B:AG,32,FALSE),0),"")</f>
        <v>0</v>
      </c>
      <c r="AI19" s="321" t="str">
        <f t="shared" si="23"/>
        <v>X-EDOSH21</v>
      </c>
      <c r="AJ19" s="320"/>
      <c r="AK19" s="322">
        <f t="shared" si="11"/>
        <v>7</v>
      </c>
      <c r="AL19" s="323">
        <f t="shared" si="24"/>
        <v>19</v>
      </c>
      <c r="AM19" s="322">
        <f t="shared" si="25"/>
        <v>13</v>
      </c>
      <c r="AN19" s="380">
        <f>IF(AND(AH19&gt;0,B19&lt;&gt;""),VLOOKUP(I19,'AUX-NIV3'!$B:$AO,39,FALSE)*O19,0)</f>
        <v>0</v>
      </c>
      <c r="AO19" s="380">
        <f t="shared" si="12"/>
        <v>0.16858924444444445</v>
      </c>
      <c r="AP19" s="380"/>
    </row>
    <row r="20" spans="2:42" ht="13.8" hidden="1" thickTop="1">
      <c r="B20" s="324" t="s">
        <v>1253</v>
      </c>
      <c r="C20" s="325" t="s">
        <v>1298</v>
      </c>
      <c r="D20" s="326" t="s">
        <v>1160</v>
      </c>
      <c r="E20" s="327">
        <f>IF(B20&lt;&gt;"",SUMIF('AUX-NIV1'!I:I,'AUX-NIV2'!B20,'AUX-NIV1'!Q:Q),"")</f>
        <v>0</v>
      </c>
      <c r="F20" s="327">
        <f t="shared" si="0"/>
        <v>352.16492140392978</v>
      </c>
      <c r="G20" s="327">
        <f t="shared" si="1"/>
        <v>0</v>
      </c>
      <c r="H20" s="328" t="str">
        <f t="shared" si="2"/>
        <v>A</v>
      </c>
      <c r="I20" s="325" t="s">
        <v>3312</v>
      </c>
      <c r="J20" s="329" t="str">
        <f>IF(B20&lt;&gt;"",+VLOOKUP(I20,Recursos!C:F,2,FALSE),"")</f>
        <v>CHOFER</v>
      </c>
      <c r="K20" s="330" t="str">
        <f>IF(B20&lt;&gt;"",+VLOOKUP(I20,Recursos!C:F,3,FALSE),"")</f>
        <v>hh</v>
      </c>
      <c r="L20" s="327">
        <f>IF(B20&lt;&gt;"",+VLOOKUP(I20,Recursos!C:F,4,FALSE),"")</f>
        <v>496.91595439275824</v>
      </c>
      <c r="M20" s="331">
        <v>11</v>
      </c>
      <c r="N20" s="331">
        <v>2</v>
      </c>
      <c r="O20" s="721">
        <f t="shared" ref="O20:O26" si="26">1/M20*N20</f>
        <v>0.18181818181818182</v>
      </c>
      <c r="P20" s="333">
        <f t="shared" si="13"/>
        <v>90.348355344137858</v>
      </c>
      <c r="Q20" s="327">
        <f t="shared" si="14"/>
        <v>0</v>
      </c>
      <c r="R20" s="334">
        <f t="shared" si="15"/>
        <v>0</v>
      </c>
      <c r="S20" s="358">
        <f t="shared" si="4"/>
        <v>128.75566695292625</v>
      </c>
      <c r="T20" s="358">
        <f t="shared" si="5"/>
        <v>223.40925445100356</v>
      </c>
      <c r="U20" s="359">
        <f t="shared" si="6"/>
        <v>0</v>
      </c>
      <c r="V20" s="359">
        <f t="shared" si="7"/>
        <v>0</v>
      </c>
      <c r="W20" s="359">
        <f t="shared" si="8"/>
        <v>0</v>
      </c>
      <c r="X20" s="359">
        <f t="shared" si="9"/>
        <v>0</v>
      </c>
      <c r="Y20" s="320"/>
      <c r="Z20" s="321" t="str">
        <f t="shared" si="16"/>
        <v>X-AGUAA</v>
      </c>
      <c r="AA20" s="321" t="str">
        <f t="shared" si="17"/>
        <v>X-AGUAE</v>
      </c>
      <c r="AB20" s="321" t="str">
        <f t="shared" si="18"/>
        <v>X-AGUAM</v>
      </c>
      <c r="AC20" s="321" t="str">
        <f t="shared" si="19"/>
        <v>X-AGUAT</v>
      </c>
      <c r="AD20" s="321" t="str">
        <f t="shared" si="20"/>
        <v>X-AGUAS</v>
      </c>
      <c r="AE20" s="321" t="str">
        <f t="shared" si="21"/>
        <v>X-AGUAX</v>
      </c>
      <c r="AF20" s="321" t="str">
        <f t="shared" si="22"/>
        <v>X-AGUAA</v>
      </c>
      <c r="AG20" s="321">
        <f t="shared" si="10"/>
        <v>7</v>
      </c>
      <c r="AH20" s="321">
        <f>IF(B20&lt;&gt;"",IF(H20="x",VLOOKUP(I20,'AUX-NIV3'!B:AG,32,FALSE),0),"")</f>
        <v>0</v>
      </c>
      <c r="AI20" s="321" t="str">
        <f t="shared" si="23"/>
        <v>X-AGUA</v>
      </c>
      <c r="AJ20" s="320"/>
      <c r="AK20" s="322">
        <f t="shared" si="11"/>
        <v>20</v>
      </c>
      <c r="AL20" s="323">
        <f t="shared" si="24"/>
        <v>26</v>
      </c>
      <c r="AM20" s="322">
        <f t="shared" si="25"/>
        <v>1</v>
      </c>
      <c r="AN20" s="380">
        <f>IF(AND(AH20&gt;0,B20&lt;&gt;""),VLOOKUP(I20,'AUX-NIV3'!$B:$AO,39,FALSE)*O20,0)</f>
        <v>0</v>
      </c>
      <c r="AO20" s="380">
        <f t="shared" si="12"/>
        <v>0.27272727272727271</v>
      </c>
      <c r="AP20" s="380"/>
    </row>
    <row r="21" spans="2:42" ht="13.8" hidden="1" thickTop="1">
      <c r="B21" s="324" t="s">
        <v>1253</v>
      </c>
      <c r="C21" s="325" t="s">
        <v>1298</v>
      </c>
      <c r="D21" s="326" t="s">
        <v>1160</v>
      </c>
      <c r="E21" s="327">
        <f>IF(B21&lt;&gt;"",SUMIF('AUX-NIV1'!I:I,'AUX-NIV2'!B21,'AUX-NIV1'!Q:Q),"")</f>
        <v>0</v>
      </c>
      <c r="F21" s="327">
        <f t="shared" si="0"/>
        <v>352.16492140392978</v>
      </c>
      <c r="G21" s="327">
        <f t="shared" si="1"/>
        <v>0</v>
      </c>
      <c r="H21" s="328" t="str">
        <f t="shared" si="2"/>
        <v>A</v>
      </c>
      <c r="I21" s="325" t="s">
        <v>1745</v>
      </c>
      <c r="J21" s="329" t="str">
        <f>IF(B21&lt;&gt;"",+VLOOKUP(I21,Recursos!C:F,2,FALSE),"")</f>
        <v>AYUDANTE</v>
      </c>
      <c r="K21" s="330" t="str">
        <f>IF(B21&lt;&gt;"",+VLOOKUP(I21,Recursos!C:F,3,FALSE),"")</f>
        <v>hh</v>
      </c>
      <c r="L21" s="327">
        <f>IF(B21&lt;&gt;"",+VLOOKUP(I21,Recursos!C:F,4,FALSE),"")</f>
        <v>422.48042769667234</v>
      </c>
      <c r="M21" s="331">
        <v>11</v>
      </c>
      <c r="N21" s="331">
        <v>1</v>
      </c>
      <c r="O21" s="721">
        <f t="shared" si="26"/>
        <v>9.0909090909090912E-2</v>
      </c>
      <c r="P21" s="333">
        <f t="shared" si="13"/>
        <v>38.407311608788397</v>
      </c>
      <c r="Q21" s="327">
        <f t="shared" si="14"/>
        <v>0</v>
      </c>
      <c r="R21" s="334">
        <f t="shared" si="15"/>
        <v>0</v>
      </c>
      <c r="S21" s="358">
        <f t="shared" si="4"/>
        <v>128.75566695292625</v>
      </c>
      <c r="T21" s="358">
        <f t="shared" si="5"/>
        <v>223.40925445100356</v>
      </c>
      <c r="U21" s="359">
        <f t="shared" si="6"/>
        <v>0</v>
      </c>
      <c r="V21" s="359">
        <f t="shared" si="7"/>
        <v>0</v>
      </c>
      <c r="W21" s="359">
        <f t="shared" si="8"/>
        <v>0</v>
      </c>
      <c r="X21" s="359">
        <f t="shared" si="9"/>
        <v>0</v>
      </c>
      <c r="Y21" s="320"/>
      <c r="Z21" s="321" t="str">
        <f t="shared" si="16"/>
        <v>X-AGUAA</v>
      </c>
      <c r="AA21" s="321" t="str">
        <f t="shared" si="17"/>
        <v>X-AGUAE</v>
      </c>
      <c r="AB21" s="321" t="str">
        <f t="shared" si="18"/>
        <v>X-AGUAM</v>
      </c>
      <c r="AC21" s="321" t="str">
        <f t="shared" si="19"/>
        <v>X-AGUAT</v>
      </c>
      <c r="AD21" s="321" t="str">
        <f t="shared" si="20"/>
        <v>X-AGUAS</v>
      </c>
      <c r="AE21" s="321" t="str">
        <f t="shared" si="21"/>
        <v>X-AGUAX</v>
      </c>
      <c r="AF21" s="321" t="str">
        <f t="shared" si="22"/>
        <v>X-AGUAA</v>
      </c>
      <c r="AG21" s="321">
        <f t="shared" si="10"/>
        <v>7</v>
      </c>
      <c r="AH21" s="321">
        <f>IF(B21&lt;&gt;"",IF(H21="x",VLOOKUP(I21,'AUX-NIV3'!B:AG,32,FALSE),0),"")</f>
        <v>0</v>
      </c>
      <c r="AI21" s="321" t="str">
        <f t="shared" si="23"/>
        <v>X-AGUA</v>
      </c>
      <c r="AJ21" s="320"/>
      <c r="AK21" s="322">
        <f t="shared" si="11"/>
        <v>20</v>
      </c>
      <c r="AL21" s="323">
        <f t="shared" si="24"/>
        <v>26</v>
      </c>
      <c r="AM21" s="322">
        <f t="shared" si="25"/>
        <v>2</v>
      </c>
      <c r="AN21" s="380">
        <f>IF(AND(AH21&gt;0,B21&lt;&gt;""),VLOOKUP(I21,'AUX-NIV3'!$B:$AO,39,FALSE)*O21,0)</f>
        <v>0</v>
      </c>
      <c r="AO21" s="380">
        <f t="shared" si="12"/>
        <v>0.27272727272727271</v>
      </c>
      <c r="AP21" s="380"/>
    </row>
    <row r="22" spans="2:42" ht="13.8" hidden="1" thickTop="1">
      <c r="B22" s="324" t="s">
        <v>1253</v>
      </c>
      <c r="C22" s="325" t="s">
        <v>1298</v>
      </c>
      <c r="D22" s="326" t="s">
        <v>1160</v>
      </c>
      <c r="E22" s="327">
        <f>IF(B22&lt;&gt;"",SUMIF('AUX-NIV1'!I:I,'AUX-NIV2'!B22,'AUX-NIV1'!Q:Q),"")</f>
        <v>0</v>
      </c>
      <c r="F22" s="327">
        <f t="shared" si="0"/>
        <v>352.16492140392978</v>
      </c>
      <c r="G22" s="327">
        <f t="shared" si="1"/>
        <v>0</v>
      </c>
      <c r="H22" s="328" t="str">
        <f t="shared" si="2"/>
        <v>E</v>
      </c>
      <c r="I22" s="325" t="s">
        <v>1562</v>
      </c>
      <c r="J22" s="329" t="str">
        <f>IF(B22&lt;&gt;"",+VLOOKUP(I22,Recursos!C:F,2,FALSE),"")</f>
        <v>CAMION REGADOR CAP. 7 m3</v>
      </c>
      <c r="K22" s="330" t="str">
        <f>IF(B22&lt;&gt;"",+VLOOKUP(I22,Recursos!C:F,3,FALSE),"")</f>
        <v>HR</v>
      </c>
      <c r="L22" s="327">
        <f>IF(B22&lt;&gt;"",+VLOOKUP(I22,Recursos!C:F,4,FALSE),"")</f>
        <v>1747.7965714285715</v>
      </c>
      <c r="M22" s="331">
        <v>7</v>
      </c>
      <c r="N22" s="331">
        <v>0</v>
      </c>
      <c r="O22" s="721">
        <f t="shared" si="26"/>
        <v>0</v>
      </c>
      <c r="P22" s="333">
        <f t="shared" si="13"/>
        <v>0</v>
      </c>
      <c r="Q22" s="327">
        <f t="shared" si="14"/>
        <v>0</v>
      </c>
      <c r="R22" s="334">
        <f t="shared" si="15"/>
        <v>0</v>
      </c>
      <c r="S22" s="358">
        <f t="shared" si="4"/>
        <v>128.75566695292625</v>
      </c>
      <c r="T22" s="358">
        <f t="shared" si="5"/>
        <v>223.40925445100356</v>
      </c>
      <c r="U22" s="359">
        <f t="shared" si="6"/>
        <v>0</v>
      </c>
      <c r="V22" s="359">
        <f t="shared" si="7"/>
        <v>0</v>
      </c>
      <c r="W22" s="359">
        <f t="shared" si="8"/>
        <v>0</v>
      </c>
      <c r="X22" s="359">
        <f t="shared" si="9"/>
        <v>0</v>
      </c>
      <c r="Y22" s="320"/>
      <c r="Z22" s="321" t="str">
        <f t="shared" si="16"/>
        <v>X-AGUAA</v>
      </c>
      <c r="AA22" s="321" t="str">
        <f t="shared" si="17"/>
        <v>X-AGUAE</v>
      </c>
      <c r="AB22" s="321" t="str">
        <f t="shared" si="18"/>
        <v>X-AGUAM</v>
      </c>
      <c r="AC22" s="321" t="str">
        <f t="shared" si="19"/>
        <v>X-AGUAT</v>
      </c>
      <c r="AD22" s="321" t="str">
        <f t="shared" si="20"/>
        <v>X-AGUAS</v>
      </c>
      <c r="AE22" s="321" t="str">
        <f t="shared" si="21"/>
        <v>X-AGUAX</v>
      </c>
      <c r="AF22" s="321" t="str">
        <f t="shared" si="22"/>
        <v>X-AGUAE</v>
      </c>
      <c r="AG22" s="321">
        <f t="shared" si="10"/>
        <v>7</v>
      </c>
      <c r="AH22" s="321">
        <f>IF(B22&lt;&gt;"",IF(H22="x",VLOOKUP(I22,'AUX-NIV3'!B:AG,32,FALSE),0),"")</f>
        <v>0</v>
      </c>
      <c r="AI22" s="321" t="str">
        <f t="shared" si="23"/>
        <v>X-AGUA</v>
      </c>
      <c r="AJ22" s="320"/>
      <c r="AK22" s="322">
        <f t="shared" si="11"/>
        <v>20</v>
      </c>
      <c r="AL22" s="323">
        <f t="shared" si="24"/>
        <v>26</v>
      </c>
      <c r="AM22" s="322">
        <f t="shared" si="25"/>
        <v>3</v>
      </c>
      <c r="AN22" s="380">
        <f>IF(AND(AH22&gt;0,B22&lt;&gt;""),VLOOKUP(I22,'AUX-NIV3'!$B:$AO,39,FALSE)*O22,0)</f>
        <v>0</v>
      </c>
      <c r="AO22" s="380">
        <f t="shared" si="12"/>
        <v>0.27272727272727271</v>
      </c>
      <c r="AP22" s="380"/>
    </row>
    <row r="23" spans="2:42" ht="13.8" hidden="1" thickTop="1">
      <c r="B23" s="324" t="s">
        <v>1253</v>
      </c>
      <c r="C23" s="325" t="s">
        <v>1298</v>
      </c>
      <c r="D23" s="326" t="s">
        <v>1160</v>
      </c>
      <c r="E23" s="327">
        <f>IF(B23&lt;&gt;"",SUMIF('AUX-NIV1'!I:I,'AUX-NIV2'!B23,'AUX-NIV1'!Q:Q),"")</f>
        <v>0</v>
      </c>
      <c r="F23" s="327">
        <f t="shared" si="0"/>
        <v>352.16492140392978</v>
      </c>
      <c r="G23" s="327">
        <f t="shared" si="1"/>
        <v>0</v>
      </c>
      <c r="H23" s="328" t="str">
        <f t="shared" si="2"/>
        <v>E</v>
      </c>
      <c r="I23" s="325" t="s">
        <v>1563</v>
      </c>
      <c r="J23" s="329" t="str">
        <f>IF(B23&lt;&gt;"",+VLOOKUP(I23,Recursos!C:F,2,FALSE),"")</f>
        <v>CAMION REGADOR CAP. 11 m3</v>
      </c>
      <c r="K23" s="330" t="str">
        <f>IF(B23&lt;&gt;"",+VLOOKUP(I23,Recursos!C:F,3,FALSE),"")</f>
        <v>HR</v>
      </c>
      <c r="L23" s="327">
        <f>IF(B23&lt;&gt;"",+VLOOKUP(I23,Recursos!C:F,4,FALSE),"")</f>
        <v>2430.5830389610392</v>
      </c>
      <c r="M23" s="331">
        <v>11</v>
      </c>
      <c r="N23" s="331">
        <v>1</v>
      </c>
      <c r="O23" s="721">
        <f t="shared" si="26"/>
        <v>9.0909090909090912E-2</v>
      </c>
      <c r="P23" s="333">
        <f t="shared" si="13"/>
        <v>220.96209445100357</v>
      </c>
      <c r="Q23" s="327">
        <f t="shared" si="14"/>
        <v>0</v>
      </c>
      <c r="R23" s="334">
        <f t="shared" si="15"/>
        <v>0</v>
      </c>
      <c r="S23" s="358">
        <f t="shared" si="4"/>
        <v>128.75566695292625</v>
      </c>
      <c r="T23" s="358">
        <f t="shared" si="5"/>
        <v>223.40925445100356</v>
      </c>
      <c r="U23" s="359">
        <f t="shared" si="6"/>
        <v>0</v>
      </c>
      <c r="V23" s="359">
        <f t="shared" si="7"/>
        <v>0</v>
      </c>
      <c r="W23" s="359">
        <f t="shared" si="8"/>
        <v>0</v>
      </c>
      <c r="X23" s="359">
        <f t="shared" si="9"/>
        <v>0</v>
      </c>
      <c r="Y23" s="320"/>
      <c r="Z23" s="321" t="str">
        <f t="shared" si="16"/>
        <v>X-AGUAA</v>
      </c>
      <c r="AA23" s="321" t="str">
        <f t="shared" si="17"/>
        <v>X-AGUAE</v>
      </c>
      <c r="AB23" s="321" t="str">
        <f t="shared" si="18"/>
        <v>X-AGUAM</v>
      </c>
      <c r="AC23" s="321" t="str">
        <f t="shared" si="19"/>
        <v>X-AGUAT</v>
      </c>
      <c r="AD23" s="321" t="str">
        <f t="shared" si="20"/>
        <v>X-AGUAS</v>
      </c>
      <c r="AE23" s="321" t="str">
        <f t="shared" si="21"/>
        <v>X-AGUAX</v>
      </c>
      <c r="AF23" s="321" t="str">
        <f t="shared" si="22"/>
        <v>X-AGUAE</v>
      </c>
      <c r="AG23" s="321">
        <f t="shared" si="10"/>
        <v>7</v>
      </c>
      <c r="AH23" s="321">
        <f>IF(B23&lt;&gt;"",IF(H23="x",VLOOKUP(I23,'AUX-NIV3'!B:AG,32,FALSE),0),"")</f>
        <v>0</v>
      </c>
      <c r="AI23" s="321" t="str">
        <f t="shared" si="23"/>
        <v>X-AGUA</v>
      </c>
      <c r="AJ23" s="320"/>
      <c r="AK23" s="322">
        <f t="shared" si="11"/>
        <v>20</v>
      </c>
      <c r="AL23" s="323">
        <f t="shared" si="24"/>
        <v>26</v>
      </c>
      <c r="AM23" s="322">
        <f t="shared" si="25"/>
        <v>4</v>
      </c>
      <c r="AN23" s="380">
        <f>IF(AND(AH23&gt;0,B23&lt;&gt;""),VLOOKUP(I23,'AUX-NIV3'!$B:$AO,39,FALSE)*O23,0)</f>
        <v>0</v>
      </c>
      <c r="AO23" s="380">
        <f t="shared" si="12"/>
        <v>0.27272727272727271</v>
      </c>
      <c r="AP23" s="380"/>
    </row>
    <row r="24" spans="2:42" ht="13.8" hidden="1" thickTop="1">
      <c r="B24" s="324" t="s">
        <v>1253</v>
      </c>
      <c r="C24" s="325" t="s">
        <v>1298</v>
      </c>
      <c r="D24" s="326" t="s">
        <v>1160</v>
      </c>
      <c r="E24" s="327">
        <f>IF(B24&lt;&gt;"",SUMIF('AUX-NIV1'!I:I,'AUX-NIV2'!B24,'AUX-NIV1'!Q:Q),"")</f>
        <v>0</v>
      </c>
      <c r="F24" s="327">
        <f t="shared" si="0"/>
        <v>352.16492140392978</v>
      </c>
      <c r="G24" s="327">
        <f t="shared" si="1"/>
        <v>0</v>
      </c>
      <c r="H24" s="328" t="str">
        <f t="shared" si="2"/>
        <v>E</v>
      </c>
      <c r="I24" s="325" t="s">
        <v>1564</v>
      </c>
      <c r="J24" s="329" t="str">
        <f>IF(B24&lt;&gt;"",+VLOOKUP(I24,Recursos!C:F,2,FALSE),"")</f>
        <v>ACOPLADO O TANQUE CAP. 10 m3</v>
      </c>
      <c r="K24" s="330" t="str">
        <f>IF(B24&lt;&gt;"",+VLOOKUP(I24,Recursos!C:F,3,FALSE),"")</f>
        <v>HR</v>
      </c>
      <c r="L24" s="327">
        <f>IF(B24&lt;&gt;"",+VLOOKUP(I24,Recursos!C:F,4,FALSE),"")</f>
        <v>200.018</v>
      </c>
      <c r="M24" s="331">
        <v>1</v>
      </c>
      <c r="N24" s="331">
        <v>0</v>
      </c>
      <c r="O24" s="721">
        <f t="shared" si="26"/>
        <v>0</v>
      </c>
      <c r="P24" s="333">
        <f t="shared" si="13"/>
        <v>0</v>
      </c>
      <c r="Q24" s="327">
        <f t="shared" si="14"/>
        <v>0</v>
      </c>
      <c r="R24" s="334">
        <f t="shared" si="15"/>
        <v>0</v>
      </c>
      <c r="S24" s="358">
        <f t="shared" si="4"/>
        <v>128.75566695292625</v>
      </c>
      <c r="T24" s="358">
        <f t="shared" si="5"/>
        <v>223.40925445100356</v>
      </c>
      <c r="U24" s="359">
        <f t="shared" si="6"/>
        <v>0</v>
      </c>
      <c r="V24" s="359">
        <f t="shared" si="7"/>
        <v>0</v>
      </c>
      <c r="W24" s="359">
        <f t="shared" si="8"/>
        <v>0</v>
      </c>
      <c r="X24" s="359">
        <f t="shared" si="9"/>
        <v>0</v>
      </c>
      <c r="Y24" s="320"/>
      <c r="Z24" s="321" t="str">
        <f t="shared" si="16"/>
        <v>X-AGUAA</v>
      </c>
      <c r="AA24" s="321" t="str">
        <f t="shared" si="17"/>
        <v>X-AGUAE</v>
      </c>
      <c r="AB24" s="321" t="str">
        <f t="shared" si="18"/>
        <v>X-AGUAM</v>
      </c>
      <c r="AC24" s="321" t="str">
        <f t="shared" si="19"/>
        <v>X-AGUAT</v>
      </c>
      <c r="AD24" s="321" t="str">
        <f t="shared" si="20"/>
        <v>X-AGUAS</v>
      </c>
      <c r="AE24" s="321" t="str">
        <f t="shared" si="21"/>
        <v>X-AGUAX</v>
      </c>
      <c r="AF24" s="321" t="str">
        <f t="shared" si="22"/>
        <v>X-AGUAE</v>
      </c>
      <c r="AG24" s="321">
        <f t="shared" si="10"/>
        <v>7</v>
      </c>
      <c r="AH24" s="321">
        <f>IF(B24&lt;&gt;"",IF(H24="x",VLOOKUP(I24,'AUX-NIV3'!B:AG,32,FALSE),0),"")</f>
        <v>0</v>
      </c>
      <c r="AI24" s="321" t="str">
        <f t="shared" si="23"/>
        <v>X-AGUA</v>
      </c>
      <c r="AJ24" s="320"/>
      <c r="AK24" s="322">
        <f t="shared" si="11"/>
        <v>20</v>
      </c>
      <c r="AL24" s="323">
        <f t="shared" si="24"/>
        <v>26</v>
      </c>
      <c r="AM24" s="322">
        <f t="shared" si="25"/>
        <v>5</v>
      </c>
      <c r="AN24" s="380">
        <f>IF(AND(AH24&gt;0,B24&lt;&gt;""),VLOOKUP(I24,'AUX-NIV3'!$B:$AO,39,FALSE)*O24,0)</f>
        <v>0</v>
      </c>
      <c r="AO24" s="380">
        <f t="shared" si="12"/>
        <v>0.27272727272727271</v>
      </c>
      <c r="AP24" s="380"/>
    </row>
    <row r="25" spans="2:42" ht="13.8" hidden="1" thickTop="1">
      <c r="B25" s="324" t="s">
        <v>1253</v>
      </c>
      <c r="C25" s="325" t="s">
        <v>1298</v>
      </c>
      <c r="D25" s="326" t="s">
        <v>1160</v>
      </c>
      <c r="E25" s="327">
        <f>IF(B25&lt;&gt;"",SUMIF('AUX-NIV1'!I:I,'AUX-NIV2'!B25,'AUX-NIV1'!Q:Q),"")</f>
        <v>0</v>
      </c>
      <c r="F25" s="327">
        <f t="shared" si="0"/>
        <v>352.16492140392978</v>
      </c>
      <c r="G25" s="327">
        <f t="shared" si="1"/>
        <v>0</v>
      </c>
      <c r="H25" s="328" t="str">
        <f t="shared" si="2"/>
        <v>E</v>
      </c>
      <c r="I25" s="325" t="s">
        <v>1590</v>
      </c>
      <c r="J25" s="329" t="str">
        <f>IF(B25&lt;&gt;"",+VLOOKUP(I25,Recursos!C:F,2,FALSE),"")</f>
        <v>MOTOBOMBA 5 HP (52 m3/h)</v>
      </c>
      <c r="K25" s="330" t="str">
        <f>IF(B25&lt;&gt;"",+VLOOKUP(I25,Recursos!C:F,3,FALSE),"")</f>
        <v>HR</v>
      </c>
      <c r="L25" s="327">
        <f>IF(B25&lt;&gt;"",+VLOOKUP(I25,Recursos!C:F,4,FALSE),"")</f>
        <v>122.358</v>
      </c>
      <c r="M25" s="331">
        <v>50</v>
      </c>
      <c r="N25" s="331">
        <v>1</v>
      </c>
      <c r="O25" s="721">
        <f t="shared" si="26"/>
        <v>0.02</v>
      </c>
      <c r="P25" s="333">
        <f t="shared" si="13"/>
        <v>2.4471600000000002</v>
      </c>
      <c r="Q25" s="327">
        <f t="shared" si="14"/>
        <v>0</v>
      </c>
      <c r="R25" s="334">
        <f t="shared" si="15"/>
        <v>0</v>
      </c>
      <c r="S25" s="358">
        <f t="shared" si="4"/>
        <v>128.75566695292625</v>
      </c>
      <c r="T25" s="358">
        <f t="shared" si="5"/>
        <v>223.40925445100356</v>
      </c>
      <c r="U25" s="359">
        <f t="shared" si="6"/>
        <v>0</v>
      </c>
      <c r="V25" s="359">
        <f t="shared" si="7"/>
        <v>0</v>
      </c>
      <c r="W25" s="359">
        <f t="shared" si="8"/>
        <v>0</v>
      </c>
      <c r="X25" s="359">
        <f t="shared" si="9"/>
        <v>0</v>
      </c>
      <c r="Y25" s="320"/>
      <c r="Z25" s="321" t="str">
        <f t="shared" si="16"/>
        <v>X-AGUAA</v>
      </c>
      <c r="AA25" s="321" t="str">
        <f t="shared" si="17"/>
        <v>X-AGUAE</v>
      </c>
      <c r="AB25" s="321" t="str">
        <f t="shared" si="18"/>
        <v>X-AGUAM</v>
      </c>
      <c r="AC25" s="321" t="str">
        <f t="shared" si="19"/>
        <v>X-AGUAT</v>
      </c>
      <c r="AD25" s="321" t="str">
        <f t="shared" si="20"/>
        <v>X-AGUAS</v>
      </c>
      <c r="AE25" s="321" t="str">
        <f t="shared" si="21"/>
        <v>X-AGUAX</v>
      </c>
      <c r="AF25" s="321" t="str">
        <f t="shared" si="22"/>
        <v>X-AGUAE</v>
      </c>
      <c r="AG25" s="321">
        <f t="shared" si="10"/>
        <v>7</v>
      </c>
      <c r="AH25" s="321">
        <f>IF(B25&lt;&gt;"",IF(H25="x",VLOOKUP(I25,'AUX-NIV3'!B:AG,32,FALSE),0),"")</f>
        <v>0</v>
      </c>
      <c r="AI25" s="321" t="str">
        <f t="shared" si="23"/>
        <v>X-AGUA</v>
      </c>
      <c r="AJ25" s="320"/>
      <c r="AK25" s="322">
        <f t="shared" si="11"/>
        <v>20</v>
      </c>
      <c r="AL25" s="323">
        <f t="shared" si="24"/>
        <v>26</v>
      </c>
      <c r="AM25" s="322">
        <f t="shared" si="25"/>
        <v>6</v>
      </c>
      <c r="AN25" s="380">
        <f>IF(AND(AH25&gt;0,B25&lt;&gt;""),VLOOKUP(I25,'AUX-NIV3'!$B:$AO,39,FALSE)*O25,0)</f>
        <v>0</v>
      </c>
      <c r="AO25" s="380">
        <f t="shared" si="12"/>
        <v>0.27272727272727271</v>
      </c>
      <c r="AP25" s="380"/>
    </row>
    <row r="26" spans="2:42" hidden="1">
      <c r="B26" s="324" t="s">
        <v>1253</v>
      </c>
      <c r="C26" s="325" t="s">
        <v>1298</v>
      </c>
      <c r="D26" s="326" t="s">
        <v>1160</v>
      </c>
      <c r="E26" s="327">
        <f>IF(B26&lt;&gt;"",SUMIF('AUX-NIV1'!I:I,'AUX-NIV2'!B26,'AUX-NIV1'!Q:Q),"")</f>
        <v>0</v>
      </c>
      <c r="F26" s="327">
        <f t="shared" si="0"/>
        <v>352.16492140392978</v>
      </c>
      <c r="G26" s="327">
        <f t="shared" si="1"/>
        <v>0</v>
      </c>
      <c r="H26" s="328" t="str">
        <f t="shared" si="2"/>
        <v>S</v>
      </c>
      <c r="I26" s="325" t="s">
        <v>627</v>
      </c>
      <c r="J26" s="329" t="str">
        <f>IF(B26&lt;&gt;"",+VLOOKUP(I26,Recursos!C:F,2,FALSE),"")</f>
        <v>TUBERIAS PARA AGUA</v>
      </c>
      <c r="K26" s="330" t="str">
        <f>IF(B26&lt;&gt;"",+VLOOKUP(I26,Recursos!C:F,3,FALSE),"")</f>
        <v>M</v>
      </c>
      <c r="L26" s="327">
        <f>IF(B26&lt;&gt;"",+VLOOKUP(I26,Recursos!C:F,4,FALSE),"")</f>
        <v>20</v>
      </c>
      <c r="M26" s="331">
        <v>1</v>
      </c>
      <c r="N26" s="337">
        <v>0</v>
      </c>
      <c r="O26" s="721">
        <f t="shared" si="26"/>
        <v>0</v>
      </c>
      <c r="P26" s="333">
        <f t="shared" si="13"/>
        <v>0</v>
      </c>
      <c r="Q26" s="327">
        <f t="shared" si="14"/>
        <v>0</v>
      </c>
      <c r="R26" s="334">
        <f t="shared" si="15"/>
        <v>0</v>
      </c>
      <c r="S26" s="358">
        <f t="shared" si="4"/>
        <v>128.75566695292625</v>
      </c>
      <c r="T26" s="358">
        <f t="shared" si="5"/>
        <v>223.40925445100356</v>
      </c>
      <c r="U26" s="359">
        <f t="shared" si="6"/>
        <v>0</v>
      </c>
      <c r="V26" s="359">
        <f t="shared" si="7"/>
        <v>0</v>
      </c>
      <c r="W26" s="359">
        <f t="shared" si="8"/>
        <v>0</v>
      </c>
      <c r="X26" s="359">
        <f t="shared" si="9"/>
        <v>0</v>
      </c>
      <c r="Y26" s="320"/>
      <c r="Z26" s="321" t="str">
        <f t="shared" si="16"/>
        <v>X-AGUAA</v>
      </c>
      <c r="AA26" s="321" t="str">
        <f t="shared" si="17"/>
        <v>X-AGUAE</v>
      </c>
      <c r="AB26" s="321" t="str">
        <f t="shared" si="18"/>
        <v>X-AGUAM</v>
      </c>
      <c r="AC26" s="321" t="str">
        <f t="shared" si="19"/>
        <v>X-AGUAT</v>
      </c>
      <c r="AD26" s="321" t="str">
        <f t="shared" si="20"/>
        <v>X-AGUAS</v>
      </c>
      <c r="AE26" s="321" t="str">
        <f t="shared" si="21"/>
        <v>X-AGUAX</v>
      </c>
      <c r="AF26" s="321" t="str">
        <f t="shared" si="22"/>
        <v>X-AGUAS</v>
      </c>
      <c r="AG26" s="321">
        <f t="shared" si="10"/>
        <v>7</v>
      </c>
      <c r="AH26" s="321">
        <f>IF(B26&lt;&gt;"",IF(H26="x",VLOOKUP(I26,'AUX-NIV3'!B:AG,32,FALSE),0),"")</f>
        <v>0</v>
      </c>
      <c r="AI26" s="321" t="str">
        <f t="shared" si="23"/>
        <v>X-AGUA</v>
      </c>
      <c r="AJ26" s="320"/>
      <c r="AK26" s="322">
        <f t="shared" si="11"/>
        <v>20</v>
      </c>
      <c r="AL26" s="323">
        <f t="shared" si="24"/>
        <v>26</v>
      </c>
      <c r="AM26" s="322">
        <f t="shared" si="25"/>
        <v>7</v>
      </c>
      <c r="AN26" s="380">
        <f>IF(AND(AH26&gt;0,B26&lt;&gt;""),VLOOKUP(I26,'AUX-NIV3'!$B:$AO,39,FALSE)*O26,0)</f>
        <v>0</v>
      </c>
      <c r="AO26" s="380">
        <f t="shared" si="12"/>
        <v>0.27272727272727271</v>
      </c>
      <c r="AP26" s="380"/>
    </row>
    <row r="27" spans="2:42" ht="13.8" thickTop="1">
      <c r="B27" s="324" t="s">
        <v>1254</v>
      </c>
      <c r="C27" s="325" t="s">
        <v>1299</v>
      </c>
      <c r="D27" s="326" t="s">
        <v>1160</v>
      </c>
      <c r="E27" s="327">
        <f>IF(B27&lt;&gt;"",SUMIF('AUX-NIV1'!I:I,'AUX-NIV2'!B27,'AUX-NIV1'!Q:Q),"")</f>
        <v>7.9907520000000005</v>
      </c>
      <c r="F27" s="327">
        <f t="shared" si="0"/>
        <v>1555.538909786103</v>
      </c>
      <c r="G27" s="327">
        <f t="shared" si="1"/>
        <v>12429.925654451123</v>
      </c>
      <c r="H27" s="328" t="str">
        <f t="shared" si="2"/>
        <v>A</v>
      </c>
      <c r="I27" s="325" t="s">
        <v>1745</v>
      </c>
      <c r="J27" s="329" t="str">
        <f>IF(B27&lt;&gt;"",+VLOOKUP(I27,Recursos!C:F,2,FALSE),"")</f>
        <v>AYUDANTE</v>
      </c>
      <c r="K27" s="330" t="str">
        <f>IF(B27&lt;&gt;"",+VLOOKUP(I27,Recursos!C:F,3,FALSE),"")</f>
        <v>hh</v>
      </c>
      <c r="L27" s="327">
        <f>IF(B27&lt;&gt;"",+VLOOKUP(I27,Recursos!C:F,4,FALSE),"")</f>
        <v>422.48042769667234</v>
      </c>
      <c r="M27" s="331">
        <v>0.5</v>
      </c>
      <c r="N27" s="331">
        <v>4</v>
      </c>
      <c r="O27" s="332">
        <v>2</v>
      </c>
      <c r="P27" s="333">
        <f t="shared" si="13"/>
        <v>844.96085539334467</v>
      </c>
      <c r="Q27" s="327">
        <f t="shared" si="14"/>
        <v>15.981504000000001</v>
      </c>
      <c r="R27" s="334">
        <f t="shared" si="15"/>
        <v>6751.8726451560806</v>
      </c>
      <c r="S27" s="358">
        <f t="shared" si="4"/>
        <v>1341.876809786103</v>
      </c>
      <c r="T27" s="358">
        <f t="shared" si="5"/>
        <v>213.16209999999998</v>
      </c>
      <c r="U27" s="359">
        <f t="shared" si="6"/>
        <v>0.5</v>
      </c>
      <c r="V27" s="359">
        <f t="shared" si="7"/>
        <v>0</v>
      </c>
      <c r="W27" s="359">
        <f t="shared" si="8"/>
        <v>0</v>
      </c>
      <c r="X27" s="359">
        <f t="shared" si="9"/>
        <v>0</v>
      </c>
      <c r="Y27" s="320"/>
      <c r="Z27" s="321" t="str">
        <f t="shared" si="16"/>
        <v>X-PRODH500LA</v>
      </c>
      <c r="AA27" s="321" t="str">
        <f t="shared" si="17"/>
        <v>X-PRODH500LE</v>
      </c>
      <c r="AB27" s="321" t="str">
        <f t="shared" si="18"/>
        <v>X-PRODH500LM</v>
      </c>
      <c r="AC27" s="321" t="str">
        <f t="shared" si="19"/>
        <v>X-PRODH500LT</v>
      </c>
      <c r="AD27" s="321" t="str">
        <f t="shared" si="20"/>
        <v>X-PRODH500LS</v>
      </c>
      <c r="AE27" s="321" t="str">
        <f t="shared" si="21"/>
        <v>X-PRODH500LX</v>
      </c>
      <c r="AF27" s="321" t="str">
        <f t="shared" si="22"/>
        <v>X-PRODH500LA</v>
      </c>
      <c r="AG27" s="321">
        <f t="shared" si="10"/>
        <v>4</v>
      </c>
      <c r="AH27" s="321">
        <f>IF(B27&lt;&gt;"",IF(H27="x",VLOOKUP(I27,'AUX-NIV3'!B:AG,32,FALSE),0),"")</f>
        <v>0</v>
      </c>
      <c r="AI27" s="321" t="str">
        <f t="shared" si="23"/>
        <v>X-PRODH500L</v>
      </c>
      <c r="AJ27" s="320"/>
      <c r="AK27" s="322">
        <f t="shared" si="11"/>
        <v>27</v>
      </c>
      <c r="AL27" s="323">
        <f t="shared" si="24"/>
        <v>30</v>
      </c>
      <c r="AM27" s="322">
        <f t="shared" si="25"/>
        <v>1</v>
      </c>
      <c r="AN27" s="380">
        <f>IF(AND(AH27&gt;0,B27&lt;&gt;""),VLOOKUP(I27,'AUX-NIV3'!$B:$AO,39,FALSE)*O27,0)</f>
        <v>0</v>
      </c>
      <c r="AO27" s="380">
        <f t="shared" si="12"/>
        <v>3</v>
      </c>
      <c r="AP27" s="380"/>
    </row>
    <row r="28" spans="2:42">
      <c r="B28" s="324" t="s">
        <v>1254</v>
      </c>
      <c r="C28" s="325" t="s">
        <v>1299</v>
      </c>
      <c r="D28" s="326" t="s">
        <v>1160</v>
      </c>
      <c r="E28" s="327">
        <f>IF(B28&lt;&gt;"",SUMIF('AUX-NIV1'!I:I,'AUX-NIV2'!B28,'AUX-NIV1'!Q:Q),"")</f>
        <v>7.9907520000000005</v>
      </c>
      <c r="F28" s="327">
        <f t="shared" si="0"/>
        <v>1555.538909786103</v>
      </c>
      <c r="G28" s="327">
        <f t="shared" si="1"/>
        <v>12429.925654451123</v>
      </c>
      <c r="H28" s="328" t="str">
        <f t="shared" si="2"/>
        <v>A</v>
      </c>
      <c r="I28" s="325" t="s">
        <v>1746</v>
      </c>
      <c r="J28" s="329" t="str">
        <f>IF(B28&lt;&gt;"",+VLOOKUP(I28,Recursos!C:F,2,FALSE),"")</f>
        <v>OFICIAL</v>
      </c>
      <c r="K28" s="330" t="str">
        <f>IF(B28&lt;&gt;"",+VLOOKUP(I28,Recursos!C:F,3,FALSE),"")</f>
        <v>hh</v>
      </c>
      <c r="L28" s="327">
        <f>IF(B28&lt;&gt;"",+VLOOKUP(I28,Recursos!C:F,4,FALSE),"")</f>
        <v>496.91595439275824</v>
      </c>
      <c r="M28" s="331">
        <v>0.5</v>
      </c>
      <c r="N28" s="331">
        <v>2</v>
      </c>
      <c r="O28" s="332">
        <v>1</v>
      </c>
      <c r="P28" s="333">
        <f t="shared" si="13"/>
        <v>496.91595439275824</v>
      </c>
      <c r="Q28" s="327">
        <f t="shared" si="14"/>
        <v>7.9907520000000005</v>
      </c>
      <c r="R28" s="334">
        <f t="shared" si="15"/>
        <v>3970.7321563958421</v>
      </c>
      <c r="S28" s="358">
        <f t="shared" si="4"/>
        <v>1341.876809786103</v>
      </c>
      <c r="T28" s="358">
        <f t="shared" si="5"/>
        <v>213.16209999999998</v>
      </c>
      <c r="U28" s="359">
        <f t="shared" si="6"/>
        <v>0.5</v>
      </c>
      <c r="V28" s="359">
        <f t="shared" si="7"/>
        <v>0</v>
      </c>
      <c r="W28" s="359">
        <f t="shared" si="8"/>
        <v>0</v>
      </c>
      <c r="X28" s="359">
        <f t="shared" si="9"/>
        <v>0</v>
      </c>
      <c r="Y28" s="320"/>
      <c r="Z28" s="321" t="str">
        <f t="shared" si="16"/>
        <v>X-PRODH500LA</v>
      </c>
      <c r="AA28" s="321" t="str">
        <f t="shared" si="17"/>
        <v>X-PRODH500LE</v>
      </c>
      <c r="AB28" s="321" t="str">
        <f t="shared" si="18"/>
        <v>X-PRODH500LM</v>
      </c>
      <c r="AC28" s="321" t="str">
        <f t="shared" si="19"/>
        <v>X-PRODH500LT</v>
      </c>
      <c r="AD28" s="321" t="str">
        <f t="shared" si="20"/>
        <v>X-PRODH500LS</v>
      </c>
      <c r="AE28" s="321" t="str">
        <f t="shared" si="21"/>
        <v>X-PRODH500LX</v>
      </c>
      <c r="AF28" s="321" t="str">
        <f t="shared" si="22"/>
        <v>X-PRODH500LA</v>
      </c>
      <c r="AG28" s="321">
        <f t="shared" si="10"/>
        <v>4</v>
      </c>
      <c r="AH28" s="321">
        <f>IF(B28&lt;&gt;"",IF(H28="x",VLOOKUP(I28,'AUX-NIV3'!B:AG,32,FALSE),0),"")</f>
        <v>0</v>
      </c>
      <c r="AI28" s="321" t="str">
        <f t="shared" si="23"/>
        <v>X-PRODH500L</v>
      </c>
      <c r="AJ28" s="320"/>
      <c r="AK28" s="322">
        <f t="shared" si="11"/>
        <v>27</v>
      </c>
      <c r="AL28" s="323">
        <f t="shared" si="24"/>
        <v>30</v>
      </c>
      <c r="AM28" s="322">
        <f t="shared" si="25"/>
        <v>2</v>
      </c>
      <c r="AN28" s="380">
        <f>IF(AND(AH28&gt;0,B28&lt;&gt;""),VLOOKUP(I28,'AUX-NIV3'!$B:$AO,39,FALSE)*O28,0)</f>
        <v>0</v>
      </c>
      <c r="AO28" s="380">
        <f t="shared" si="12"/>
        <v>3</v>
      </c>
      <c r="AP28" s="380"/>
    </row>
    <row r="29" spans="2:42">
      <c r="B29" s="324" t="s">
        <v>1254</v>
      </c>
      <c r="C29" s="325" t="s">
        <v>1299</v>
      </c>
      <c r="D29" s="326" t="s">
        <v>1160</v>
      </c>
      <c r="E29" s="327">
        <f>IF(B29&lt;&gt;"",SUMIF('AUX-NIV1'!I:I,'AUX-NIV2'!B29,'AUX-NIV1'!Q:Q),"")</f>
        <v>7.9907520000000005</v>
      </c>
      <c r="F29" s="327">
        <f t="shared" si="0"/>
        <v>1555.538909786103</v>
      </c>
      <c r="G29" s="327">
        <f t="shared" si="1"/>
        <v>12429.925654451123</v>
      </c>
      <c r="H29" s="328" t="str">
        <f t="shared" si="2"/>
        <v>E</v>
      </c>
      <c r="I29" s="325" t="s">
        <v>1628</v>
      </c>
      <c r="J29" s="329" t="str">
        <f>IF(B29&lt;&gt;"",+VLOOKUP(I29,Recursos!C:F,2,FALSE),"")</f>
        <v>HORMIGONERA DE 500 LITROS (EX)</v>
      </c>
      <c r="K29" s="330" t="str">
        <f>IF(B29&lt;&gt;"",+VLOOKUP(I29,Recursos!C:F,3,FALSE),"")</f>
        <v>HR</v>
      </c>
      <c r="L29" s="327">
        <f>IF(B29&lt;&gt;"",+VLOOKUP(I29,Recursos!C:F,4,FALSE),"")</f>
        <v>426.32419999999996</v>
      </c>
      <c r="M29" s="331">
        <v>0.5</v>
      </c>
      <c r="N29" s="331">
        <v>1</v>
      </c>
      <c r="O29" s="332">
        <v>0.5</v>
      </c>
      <c r="P29" s="333">
        <f t="shared" si="13"/>
        <v>213.16209999999998</v>
      </c>
      <c r="Q29" s="327">
        <f t="shared" si="14"/>
        <v>3.9953760000000003</v>
      </c>
      <c r="R29" s="334">
        <f t="shared" si="15"/>
        <v>1703.3254768991999</v>
      </c>
      <c r="S29" s="358">
        <f t="shared" si="4"/>
        <v>1341.876809786103</v>
      </c>
      <c r="T29" s="358">
        <f t="shared" si="5"/>
        <v>213.16209999999998</v>
      </c>
      <c r="U29" s="359">
        <f t="shared" si="6"/>
        <v>0.5</v>
      </c>
      <c r="V29" s="359">
        <f t="shared" si="7"/>
        <v>0</v>
      </c>
      <c r="W29" s="359">
        <f t="shared" si="8"/>
        <v>0</v>
      </c>
      <c r="X29" s="359">
        <f t="shared" si="9"/>
        <v>0</v>
      </c>
      <c r="Y29" s="320"/>
      <c r="Z29" s="321" t="str">
        <f t="shared" si="16"/>
        <v>X-PRODH500LA</v>
      </c>
      <c r="AA29" s="321" t="str">
        <f t="shared" si="17"/>
        <v>X-PRODH500LE</v>
      </c>
      <c r="AB29" s="321" t="str">
        <f t="shared" si="18"/>
        <v>X-PRODH500LM</v>
      </c>
      <c r="AC29" s="321" t="str">
        <f t="shared" si="19"/>
        <v>X-PRODH500LT</v>
      </c>
      <c r="AD29" s="321" t="str">
        <f t="shared" si="20"/>
        <v>X-PRODH500LS</v>
      </c>
      <c r="AE29" s="321" t="str">
        <f t="shared" si="21"/>
        <v>X-PRODH500LX</v>
      </c>
      <c r="AF29" s="321" t="str">
        <f t="shared" si="22"/>
        <v>X-PRODH500LE</v>
      </c>
      <c r="AG29" s="321">
        <f t="shared" si="10"/>
        <v>4</v>
      </c>
      <c r="AH29" s="321">
        <f>IF(B29&lt;&gt;"",IF(H29="x",VLOOKUP(I29,'AUX-NIV3'!B:AG,32,FALSE),0),"")</f>
        <v>0</v>
      </c>
      <c r="AI29" s="321" t="str">
        <f t="shared" si="23"/>
        <v>X-PRODH500L</v>
      </c>
      <c r="AJ29" s="320"/>
      <c r="AK29" s="322">
        <f t="shared" si="11"/>
        <v>27</v>
      </c>
      <c r="AL29" s="323">
        <f t="shared" si="24"/>
        <v>30</v>
      </c>
      <c r="AM29" s="322">
        <f t="shared" si="25"/>
        <v>3</v>
      </c>
      <c r="AN29" s="380">
        <f>IF(AND(AH29&gt;0,B29&lt;&gt;""),VLOOKUP(I29,'AUX-NIV3'!$B:$AO,39,FALSE)*O29,0)</f>
        <v>0</v>
      </c>
      <c r="AO29" s="380">
        <f t="shared" si="12"/>
        <v>3</v>
      </c>
      <c r="AP29" s="380"/>
    </row>
    <row r="30" spans="2:42">
      <c r="B30" s="324" t="s">
        <v>1254</v>
      </c>
      <c r="C30" s="325" t="s">
        <v>1299</v>
      </c>
      <c r="D30" s="326" t="s">
        <v>1160</v>
      </c>
      <c r="E30" s="327">
        <f>IF(B30&lt;&gt;"",SUMIF('AUX-NIV1'!I:I,'AUX-NIV2'!B30,'AUX-NIV1'!Q:Q),"")</f>
        <v>7.9907520000000005</v>
      </c>
      <c r="F30" s="327">
        <f t="shared" si="0"/>
        <v>1555.538909786103</v>
      </c>
      <c r="G30" s="327">
        <f t="shared" si="1"/>
        <v>12429.925654451123</v>
      </c>
      <c r="H30" s="328" t="str">
        <f t="shared" si="2"/>
        <v>M</v>
      </c>
      <c r="I30" s="325" t="s">
        <v>621</v>
      </c>
      <c r="J30" s="329" t="str">
        <f>IF(B30&lt;&gt;"",+VLOOKUP(I30,Recursos!C:F,2,FALSE),"")</f>
        <v>MATERIALES VARIOS</v>
      </c>
      <c r="K30" s="330" t="str">
        <f>IF(B30&lt;&gt;"",+VLOOKUP(I30,Recursos!C:F,3,FALSE),"")</f>
        <v>GL</v>
      </c>
      <c r="L30" s="327">
        <f>IF(B30&lt;&gt;"",+VLOOKUP(I30,Recursos!C:F,4,FALSE),"")</f>
        <v>0.5</v>
      </c>
      <c r="M30" s="331">
        <v>1</v>
      </c>
      <c r="N30" s="331">
        <v>1</v>
      </c>
      <c r="O30" s="332">
        <f>+M30*N30</f>
        <v>1</v>
      </c>
      <c r="P30" s="333">
        <f t="shared" si="13"/>
        <v>0.5</v>
      </c>
      <c r="Q30" s="327">
        <f t="shared" si="14"/>
        <v>7.9907520000000005</v>
      </c>
      <c r="R30" s="334">
        <f t="shared" si="15"/>
        <v>3.9953760000000003</v>
      </c>
      <c r="S30" s="358">
        <f t="shared" si="4"/>
        <v>1341.876809786103</v>
      </c>
      <c r="T30" s="358">
        <f t="shared" si="5"/>
        <v>213.16209999999998</v>
      </c>
      <c r="U30" s="359">
        <f t="shared" si="6"/>
        <v>0.5</v>
      </c>
      <c r="V30" s="359">
        <f t="shared" si="7"/>
        <v>0</v>
      </c>
      <c r="W30" s="359">
        <f t="shared" si="8"/>
        <v>0</v>
      </c>
      <c r="X30" s="359">
        <f t="shared" si="9"/>
        <v>0</v>
      </c>
      <c r="Y30" s="320"/>
      <c r="Z30" s="321" t="str">
        <f t="shared" si="16"/>
        <v>X-PRODH500LA</v>
      </c>
      <c r="AA30" s="321" t="str">
        <f t="shared" si="17"/>
        <v>X-PRODH500LE</v>
      </c>
      <c r="AB30" s="321" t="str">
        <f t="shared" si="18"/>
        <v>X-PRODH500LM</v>
      </c>
      <c r="AC30" s="321" t="str">
        <f t="shared" si="19"/>
        <v>X-PRODH500LT</v>
      </c>
      <c r="AD30" s="321" t="str">
        <f t="shared" si="20"/>
        <v>X-PRODH500LS</v>
      </c>
      <c r="AE30" s="321" t="str">
        <f t="shared" si="21"/>
        <v>X-PRODH500LX</v>
      </c>
      <c r="AF30" s="321" t="str">
        <f t="shared" si="22"/>
        <v>X-PRODH500LM</v>
      </c>
      <c r="AG30" s="321">
        <f t="shared" si="10"/>
        <v>4</v>
      </c>
      <c r="AH30" s="321">
        <f>IF(B30&lt;&gt;"",IF(H30="x",VLOOKUP(I30,'AUX-NIV3'!B:AG,32,FALSE),0),"")</f>
        <v>0</v>
      </c>
      <c r="AI30" s="321" t="str">
        <f t="shared" si="23"/>
        <v>X-PRODH500L</v>
      </c>
      <c r="AJ30" s="320"/>
      <c r="AK30" s="322">
        <f t="shared" si="11"/>
        <v>27</v>
      </c>
      <c r="AL30" s="323">
        <f t="shared" si="24"/>
        <v>30</v>
      </c>
      <c r="AM30" s="322">
        <f t="shared" si="25"/>
        <v>4</v>
      </c>
      <c r="AN30" s="380">
        <f>IF(AND(AH30&gt;0,B30&lt;&gt;""),VLOOKUP(I30,'AUX-NIV3'!$B:$AO,39,FALSE)*O30,0)</f>
        <v>0</v>
      </c>
      <c r="AO30" s="380">
        <f t="shared" si="12"/>
        <v>3</v>
      </c>
      <c r="AP30" s="380"/>
    </row>
    <row r="31" spans="2:42">
      <c r="B31" s="324" t="s">
        <v>1255</v>
      </c>
      <c r="C31" s="325" t="s">
        <v>802</v>
      </c>
      <c r="D31" s="326" t="s">
        <v>1160</v>
      </c>
      <c r="E31" s="327">
        <f>IF(B31&lt;&gt;"",SUMIF('AUX-NIV1'!I:I,'AUX-NIV2'!B31,'AUX-NIV1'!Q:Q),"")</f>
        <v>0</v>
      </c>
      <c r="F31" s="327">
        <f t="shared" si="0"/>
        <v>699.62883343063208</v>
      </c>
      <c r="G31" s="327">
        <f t="shared" si="1"/>
        <v>0</v>
      </c>
      <c r="H31" s="328" t="str">
        <f t="shared" si="2"/>
        <v>A</v>
      </c>
      <c r="I31" s="325" t="s">
        <v>1745</v>
      </c>
      <c r="J31" s="329" t="str">
        <f>IF(B31&lt;&gt;"",+VLOOKUP(I31,Recursos!C:F,2,FALSE),"")</f>
        <v>AYUDANTE</v>
      </c>
      <c r="K31" s="330" t="str">
        <f>IF(B31&lt;&gt;"",+VLOOKUP(I31,Recursos!C:F,3,FALSE),"")</f>
        <v>hh</v>
      </c>
      <c r="L31" s="327">
        <f>IF(B31&lt;&gt;"",+VLOOKUP(I31,Recursos!C:F,4,FALSE),"")</f>
        <v>422.48042769667234</v>
      </c>
      <c r="M31" s="331">
        <v>30</v>
      </c>
      <c r="N31" s="331">
        <v>8</v>
      </c>
      <c r="O31" s="332">
        <f t="shared" ref="O31:O39" si="27">1/M31*N31</f>
        <v>0.26666666666666666</v>
      </c>
      <c r="P31" s="333">
        <f t="shared" si="13"/>
        <v>112.66144738577928</v>
      </c>
      <c r="Q31" s="327">
        <f t="shared" si="14"/>
        <v>0</v>
      </c>
      <c r="R31" s="334">
        <f t="shared" si="15"/>
        <v>0</v>
      </c>
      <c r="S31" s="358">
        <f t="shared" si="4"/>
        <v>248.26105043063205</v>
      </c>
      <c r="T31" s="358">
        <f t="shared" si="5"/>
        <v>451.26778300000001</v>
      </c>
      <c r="U31" s="359">
        <f t="shared" si="6"/>
        <v>0.1</v>
      </c>
      <c r="V31" s="359">
        <f t="shared" si="7"/>
        <v>0</v>
      </c>
      <c r="W31" s="359">
        <f t="shared" si="8"/>
        <v>0</v>
      </c>
      <c r="X31" s="359">
        <f t="shared" si="9"/>
        <v>0</v>
      </c>
      <c r="Y31" s="320"/>
      <c r="Z31" s="321" t="str">
        <f t="shared" si="16"/>
        <v>X-COLH500LA</v>
      </c>
      <c r="AA31" s="321" t="str">
        <f t="shared" si="17"/>
        <v>X-COLH500LE</v>
      </c>
      <c r="AB31" s="321" t="str">
        <f t="shared" si="18"/>
        <v>X-COLH500LM</v>
      </c>
      <c r="AC31" s="321" t="str">
        <f t="shared" si="19"/>
        <v>X-COLH500LT</v>
      </c>
      <c r="AD31" s="321" t="str">
        <f t="shared" si="20"/>
        <v>X-COLH500LS</v>
      </c>
      <c r="AE31" s="321" t="str">
        <f t="shared" si="21"/>
        <v>X-COLH500LX</v>
      </c>
      <c r="AF31" s="321" t="str">
        <f t="shared" si="22"/>
        <v>X-COLH500LA</v>
      </c>
      <c r="AG31" s="321">
        <f t="shared" si="10"/>
        <v>9</v>
      </c>
      <c r="AH31" s="321">
        <f>IF(B31&lt;&gt;"",IF(H31="x",VLOOKUP(I31,'AUX-NIV3'!B:AG,32,FALSE),0),"")</f>
        <v>0</v>
      </c>
      <c r="AI31" s="321" t="str">
        <f t="shared" si="23"/>
        <v>X-COLH500L</v>
      </c>
      <c r="AJ31" s="320"/>
      <c r="AK31" s="322">
        <f t="shared" si="11"/>
        <v>31</v>
      </c>
      <c r="AL31" s="323">
        <f t="shared" si="24"/>
        <v>39</v>
      </c>
      <c r="AM31" s="322">
        <f t="shared" si="25"/>
        <v>1</v>
      </c>
      <c r="AN31" s="380">
        <f>IF(AND(AH31&gt;0,B31&lt;&gt;""),VLOOKUP(I31,'AUX-NIV3'!$B:$AO,39,FALSE)*O31,0)</f>
        <v>0</v>
      </c>
      <c r="AO31" s="380">
        <f t="shared" si="12"/>
        <v>0.53333333333333333</v>
      </c>
      <c r="AP31" s="380"/>
    </row>
    <row r="32" spans="2:42">
      <c r="B32" s="324" t="s">
        <v>1255</v>
      </c>
      <c r="C32" s="325" t="s">
        <v>802</v>
      </c>
      <c r="D32" s="326" t="s">
        <v>1160</v>
      </c>
      <c r="E32" s="327">
        <f>IF(B32&lt;&gt;"",SUMIF('AUX-NIV1'!I:I,'AUX-NIV2'!B32,'AUX-NIV1'!Q:Q),"")</f>
        <v>0</v>
      </c>
      <c r="F32" s="327">
        <f t="shared" si="0"/>
        <v>699.62883343063208</v>
      </c>
      <c r="G32" s="327">
        <f t="shared" si="1"/>
        <v>0</v>
      </c>
      <c r="H32" s="328" t="str">
        <f t="shared" si="2"/>
        <v>A</v>
      </c>
      <c r="I32" s="325" t="s">
        <v>1746</v>
      </c>
      <c r="J32" s="329" t="str">
        <f>IF(B32&lt;&gt;"",+VLOOKUP(I32,Recursos!C:F,2,FALSE),"")</f>
        <v>OFICIAL</v>
      </c>
      <c r="K32" s="330" t="str">
        <f>IF(B32&lt;&gt;"",+VLOOKUP(I32,Recursos!C:F,3,FALSE),"")</f>
        <v>hh</v>
      </c>
      <c r="L32" s="327">
        <f>IF(B32&lt;&gt;"",+VLOOKUP(I32,Recursos!C:F,4,FALSE),"")</f>
        <v>496.91595439275824</v>
      </c>
      <c r="M32" s="331">
        <v>30</v>
      </c>
      <c r="N32" s="331">
        <v>4</v>
      </c>
      <c r="O32" s="332">
        <f t="shared" si="27"/>
        <v>0.13333333333333333</v>
      </c>
      <c r="P32" s="333">
        <f t="shared" si="13"/>
        <v>66.255460585701101</v>
      </c>
      <c r="Q32" s="327">
        <f t="shared" si="14"/>
        <v>0</v>
      </c>
      <c r="R32" s="334">
        <f t="shared" si="15"/>
        <v>0</v>
      </c>
      <c r="S32" s="358">
        <f t="shared" si="4"/>
        <v>248.26105043063205</v>
      </c>
      <c r="T32" s="358">
        <f t="shared" si="5"/>
        <v>451.26778300000001</v>
      </c>
      <c r="U32" s="359">
        <f t="shared" si="6"/>
        <v>0.1</v>
      </c>
      <c r="V32" s="359">
        <f t="shared" si="7"/>
        <v>0</v>
      </c>
      <c r="W32" s="359">
        <f t="shared" si="8"/>
        <v>0</v>
      </c>
      <c r="X32" s="359">
        <f t="shared" si="9"/>
        <v>0</v>
      </c>
      <c r="Y32" s="320"/>
      <c r="Z32" s="321" t="str">
        <f t="shared" si="16"/>
        <v>X-COLH500LA</v>
      </c>
      <c r="AA32" s="321" t="str">
        <f t="shared" si="17"/>
        <v>X-COLH500LE</v>
      </c>
      <c r="AB32" s="321" t="str">
        <f t="shared" si="18"/>
        <v>X-COLH500LM</v>
      </c>
      <c r="AC32" s="321" t="str">
        <f t="shared" si="19"/>
        <v>X-COLH500LT</v>
      </c>
      <c r="AD32" s="321" t="str">
        <f t="shared" si="20"/>
        <v>X-COLH500LS</v>
      </c>
      <c r="AE32" s="321" t="str">
        <f t="shared" si="21"/>
        <v>X-COLH500LX</v>
      </c>
      <c r="AF32" s="321" t="str">
        <f t="shared" si="22"/>
        <v>X-COLH500LA</v>
      </c>
      <c r="AG32" s="321">
        <f t="shared" si="10"/>
        <v>9</v>
      </c>
      <c r="AH32" s="321">
        <f>IF(B32&lt;&gt;"",IF(H32="x",VLOOKUP(I32,'AUX-NIV3'!B:AG,32,FALSE),0),"")</f>
        <v>0</v>
      </c>
      <c r="AI32" s="321" t="str">
        <f t="shared" si="23"/>
        <v>X-COLH500L</v>
      </c>
      <c r="AJ32" s="320"/>
      <c r="AK32" s="322">
        <f t="shared" si="11"/>
        <v>31</v>
      </c>
      <c r="AL32" s="323">
        <f t="shared" si="24"/>
        <v>39</v>
      </c>
      <c r="AM32" s="322">
        <f t="shared" si="25"/>
        <v>2</v>
      </c>
      <c r="AN32" s="380">
        <f>IF(AND(AH32&gt;0,B32&lt;&gt;""),VLOOKUP(I32,'AUX-NIV3'!$B:$AO,39,FALSE)*O32,0)</f>
        <v>0</v>
      </c>
      <c r="AO32" s="380">
        <f t="shared" si="12"/>
        <v>0.53333333333333333</v>
      </c>
      <c r="AP32" s="380"/>
    </row>
    <row r="33" spans="2:42">
      <c r="B33" s="324" t="s">
        <v>1255</v>
      </c>
      <c r="C33" s="325" t="s">
        <v>802</v>
      </c>
      <c r="D33" s="326" t="s">
        <v>1160</v>
      </c>
      <c r="E33" s="327">
        <f>IF(B33&lt;&gt;"",SUMIF('AUX-NIV1'!I:I,'AUX-NIV2'!B33,'AUX-NIV1'!Q:Q),"")</f>
        <v>0</v>
      </c>
      <c r="F33" s="327">
        <f t="shared" si="0"/>
        <v>699.62883343063208</v>
      </c>
      <c r="G33" s="327">
        <f t="shared" si="1"/>
        <v>0</v>
      </c>
      <c r="H33" s="328" t="str">
        <f t="shared" si="2"/>
        <v>A</v>
      </c>
      <c r="I33" s="325" t="s">
        <v>3310</v>
      </c>
      <c r="J33" s="329" t="str">
        <f>IF(B33&lt;&gt;"",+VLOOKUP(I33,Recursos!C:F,2,FALSE),"")</f>
        <v>OFICIAL ESPECIALIZADO</v>
      </c>
      <c r="K33" s="330" t="str">
        <f>IF(B33&lt;&gt;"",+VLOOKUP(I33,Recursos!C:F,3,FALSE),"")</f>
        <v>hh</v>
      </c>
      <c r="L33" s="327">
        <f>IF(B33&lt;&gt;"",+VLOOKUP(I33,Recursos!C:F,4,FALSE),"")</f>
        <v>581.06120476836554</v>
      </c>
      <c r="M33" s="331">
        <v>30</v>
      </c>
      <c r="N33" s="331">
        <v>2</v>
      </c>
      <c r="O33" s="332">
        <f t="shared" si="27"/>
        <v>6.6666666666666666E-2</v>
      </c>
      <c r="P33" s="333">
        <f t="shared" si="13"/>
        <v>38.737413651224372</v>
      </c>
      <c r="Q33" s="327">
        <f t="shared" si="14"/>
        <v>0</v>
      </c>
      <c r="R33" s="334">
        <f t="shared" si="15"/>
        <v>0</v>
      </c>
      <c r="S33" s="358">
        <f t="shared" si="4"/>
        <v>248.26105043063205</v>
      </c>
      <c r="T33" s="358">
        <f t="shared" si="5"/>
        <v>451.26778300000001</v>
      </c>
      <c r="U33" s="359">
        <f t="shared" si="6"/>
        <v>0.1</v>
      </c>
      <c r="V33" s="359">
        <f t="shared" si="7"/>
        <v>0</v>
      </c>
      <c r="W33" s="359">
        <f t="shared" si="8"/>
        <v>0</v>
      </c>
      <c r="X33" s="359">
        <f t="shared" si="9"/>
        <v>0</v>
      </c>
      <c r="Y33" s="320"/>
      <c r="Z33" s="321" t="str">
        <f t="shared" si="16"/>
        <v>X-COLH500LA</v>
      </c>
      <c r="AA33" s="321" t="str">
        <f t="shared" si="17"/>
        <v>X-COLH500LE</v>
      </c>
      <c r="AB33" s="321" t="str">
        <f t="shared" si="18"/>
        <v>X-COLH500LM</v>
      </c>
      <c r="AC33" s="321" t="str">
        <f t="shared" si="19"/>
        <v>X-COLH500LT</v>
      </c>
      <c r="AD33" s="321" t="str">
        <f t="shared" si="20"/>
        <v>X-COLH500LS</v>
      </c>
      <c r="AE33" s="321" t="str">
        <f t="shared" si="21"/>
        <v>X-COLH500LX</v>
      </c>
      <c r="AF33" s="321" t="str">
        <f t="shared" si="22"/>
        <v>X-COLH500LA</v>
      </c>
      <c r="AG33" s="321">
        <f t="shared" si="10"/>
        <v>9</v>
      </c>
      <c r="AH33" s="321">
        <f>IF(B33&lt;&gt;"",IF(H33="x",VLOOKUP(I33,'AUX-NIV3'!B:AG,32,FALSE),0),"")</f>
        <v>0</v>
      </c>
      <c r="AI33" s="321" t="str">
        <f t="shared" si="23"/>
        <v>X-COLH500L</v>
      </c>
      <c r="AJ33" s="320"/>
      <c r="AK33" s="322">
        <f t="shared" si="11"/>
        <v>31</v>
      </c>
      <c r="AL33" s="323">
        <f t="shared" si="24"/>
        <v>39</v>
      </c>
      <c r="AM33" s="322">
        <f t="shared" si="25"/>
        <v>3</v>
      </c>
      <c r="AN33" s="380">
        <f>IF(AND(AH33&gt;0,B33&lt;&gt;""),VLOOKUP(I33,'AUX-NIV3'!$B:$AO,39,FALSE)*O33,0)</f>
        <v>0</v>
      </c>
      <c r="AO33" s="380">
        <f t="shared" si="12"/>
        <v>0.53333333333333333</v>
      </c>
      <c r="AP33" s="380"/>
    </row>
    <row r="34" spans="2:42">
      <c r="B34" s="324" t="s">
        <v>1255</v>
      </c>
      <c r="C34" s="325" t="s">
        <v>802</v>
      </c>
      <c r="D34" s="326" t="s">
        <v>1160</v>
      </c>
      <c r="E34" s="327">
        <f>IF(B34&lt;&gt;"",SUMIF('AUX-NIV1'!I:I,'AUX-NIV2'!B34,'AUX-NIV1'!Q:Q),"")</f>
        <v>0</v>
      </c>
      <c r="F34" s="327">
        <f t="shared" si="0"/>
        <v>699.62883343063208</v>
      </c>
      <c r="G34" s="327">
        <f t="shared" si="1"/>
        <v>0</v>
      </c>
      <c r="H34" s="328" t="str">
        <f t="shared" si="2"/>
        <v>A</v>
      </c>
      <c r="I34" s="325" t="s">
        <v>3309</v>
      </c>
      <c r="J34" s="329" t="str">
        <f>IF(B34&lt;&gt;"",+VLOOKUP(I34,Recursos!C:F,2,FALSE),"")</f>
        <v>MEDIO OFICIAL</v>
      </c>
      <c r="K34" s="330" t="str">
        <f>IF(B34&lt;&gt;"",+VLOOKUP(I34,Recursos!C:F,3,FALSE),"")</f>
        <v>hh</v>
      </c>
      <c r="L34" s="327">
        <f>IF(B34&lt;&gt;"",+VLOOKUP(I34,Recursos!C:F,4,FALSE),"")</f>
        <v>459.10093211890984</v>
      </c>
      <c r="M34" s="331">
        <v>30</v>
      </c>
      <c r="N34" s="331">
        <v>2</v>
      </c>
      <c r="O34" s="332">
        <f t="shared" si="27"/>
        <v>6.6666666666666666E-2</v>
      </c>
      <c r="P34" s="333">
        <f t="shared" si="13"/>
        <v>30.606728807927322</v>
      </c>
      <c r="Q34" s="327">
        <f t="shared" si="14"/>
        <v>0</v>
      </c>
      <c r="R34" s="334">
        <f t="shared" si="15"/>
        <v>0</v>
      </c>
      <c r="S34" s="358">
        <f t="shared" si="4"/>
        <v>248.26105043063205</v>
      </c>
      <c r="T34" s="358">
        <f t="shared" si="5"/>
        <v>451.26778300000001</v>
      </c>
      <c r="U34" s="359">
        <f t="shared" si="6"/>
        <v>0.1</v>
      </c>
      <c r="V34" s="359">
        <f t="shared" si="7"/>
        <v>0</v>
      </c>
      <c r="W34" s="359">
        <f t="shared" si="8"/>
        <v>0</v>
      </c>
      <c r="X34" s="359">
        <f t="shared" si="9"/>
        <v>0</v>
      </c>
      <c r="Y34" s="320"/>
      <c r="Z34" s="321" t="str">
        <f t="shared" si="16"/>
        <v>X-COLH500LA</v>
      </c>
      <c r="AA34" s="321" t="str">
        <f t="shared" si="17"/>
        <v>X-COLH500LE</v>
      </c>
      <c r="AB34" s="321" t="str">
        <f t="shared" si="18"/>
        <v>X-COLH500LM</v>
      </c>
      <c r="AC34" s="321" t="str">
        <f t="shared" si="19"/>
        <v>X-COLH500LT</v>
      </c>
      <c r="AD34" s="321" t="str">
        <f t="shared" si="20"/>
        <v>X-COLH500LS</v>
      </c>
      <c r="AE34" s="321" t="str">
        <f t="shared" si="21"/>
        <v>X-COLH500LX</v>
      </c>
      <c r="AF34" s="321" t="str">
        <f t="shared" si="22"/>
        <v>X-COLH500LA</v>
      </c>
      <c r="AG34" s="321">
        <f t="shared" si="10"/>
        <v>9</v>
      </c>
      <c r="AH34" s="321">
        <f>IF(B34&lt;&gt;"",IF(H34="x",VLOOKUP(I34,'AUX-NIV3'!B:AG,32,FALSE),0),"")</f>
        <v>0</v>
      </c>
      <c r="AI34" s="321" t="str">
        <f t="shared" si="23"/>
        <v>X-COLH500L</v>
      </c>
      <c r="AJ34" s="320"/>
      <c r="AK34" s="322">
        <f t="shared" si="11"/>
        <v>31</v>
      </c>
      <c r="AL34" s="323">
        <f t="shared" si="24"/>
        <v>39</v>
      </c>
      <c r="AM34" s="322">
        <f t="shared" si="25"/>
        <v>4</v>
      </c>
      <c r="AN34" s="380">
        <f>IF(AND(AH34&gt;0,B34&lt;&gt;""),VLOOKUP(I34,'AUX-NIV3'!$B:$AO,39,FALSE)*O34,0)</f>
        <v>0</v>
      </c>
      <c r="AO34" s="380">
        <f t="shared" si="12"/>
        <v>0.53333333333333333</v>
      </c>
      <c r="AP34" s="380"/>
    </row>
    <row r="35" spans="2:42">
      <c r="B35" s="324" t="s">
        <v>1255</v>
      </c>
      <c r="C35" s="325" t="s">
        <v>802</v>
      </c>
      <c r="D35" s="326" t="s">
        <v>1160</v>
      </c>
      <c r="E35" s="327">
        <f>IF(B35&lt;&gt;"",SUMIF('AUX-NIV1'!I:I,'AUX-NIV2'!B35,'AUX-NIV1'!Q:Q),"")</f>
        <v>0</v>
      </c>
      <c r="F35" s="327">
        <f t="shared" si="0"/>
        <v>699.62883343063208</v>
      </c>
      <c r="G35" s="327">
        <f t="shared" si="1"/>
        <v>0</v>
      </c>
      <c r="H35" s="328" t="str">
        <f t="shared" si="2"/>
        <v>E</v>
      </c>
      <c r="I35" s="325" t="s">
        <v>1615</v>
      </c>
      <c r="J35" s="329" t="str">
        <f>IF(B35&lt;&gt;"",+VLOOKUP(I35,Recursos!C:F,2,FALSE),"")</f>
        <v>CAMION MOTOHORMIGONERO CAP. 7 M3</v>
      </c>
      <c r="K35" s="330" t="str">
        <f>IF(B35&lt;&gt;"",+VLOOKUP(I35,Recursos!C:F,3,FALSE),"")</f>
        <v>HR</v>
      </c>
      <c r="L35" s="327">
        <f>IF(B35&lt;&gt;"",+VLOOKUP(I35,Recursos!C:F,4,FALSE),"")</f>
        <v>2415.7289999999998</v>
      </c>
      <c r="M35" s="331">
        <v>0.16700000000000001</v>
      </c>
      <c r="N35" s="331">
        <v>1</v>
      </c>
      <c r="O35" s="332">
        <v>0.16700000000000001</v>
      </c>
      <c r="P35" s="333">
        <f t="shared" si="13"/>
        <v>403.42674299999999</v>
      </c>
      <c r="Q35" s="327">
        <f t="shared" si="14"/>
        <v>0</v>
      </c>
      <c r="R35" s="334">
        <f t="shared" si="15"/>
        <v>0</v>
      </c>
      <c r="S35" s="358">
        <f t="shared" si="4"/>
        <v>248.26105043063205</v>
      </c>
      <c r="T35" s="358">
        <f t="shared" si="5"/>
        <v>451.26778300000001</v>
      </c>
      <c r="U35" s="359">
        <f t="shared" si="6"/>
        <v>0.1</v>
      </c>
      <c r="V35" s="359">
        <f t="shared" si="7"/>
        <v>0</v>
      </c>
      <c r="W35" s="359">
        <f t="shared" si="8"/>
        <v>0</v>
      </c>
      <c r="X35" s="359">
        <f t="shared" si="9"/>
        <v>0</v>
      </c>
      <c r="Y35" s="320"/>
      <c r="Z35" s="321" t="str">
        <f t="shared" si="16"/>
        <v>X-COLH500LA</v>
      </c>
      <c r="AA35" s="321" t="str">
        <f t="shared" si="17"/>
        <v>X-COLH500LE</v>
      </c>
      <c r="AB35" s="321" t="str">
        <f t="shared" si="18"/>
        <v>X-COLH500LM</v>
      </c>
      <c r="AC35" s="321" t="str">
        <f t="shared" si="19"/>
        <v>X-COLH500LT</v>
      </c>
      <c r="AD35" s="321" t="str">
        <f t="shared" si="20"/>
        <v>X-COLH500LS</v>
      </c>
      <c r="AE35" s="321" t="str">
        <f t="shared" si="21"/>
        <v>X-COLH500LX</v>
      </c>
      <c r="AF35" s="321" t="str">
        <f t="shared" si="22"/>
        <v>X-COLH500LE</v>
      </c>
      <c r="AG35" s="321">
        <f t="shared" si="10"/>
        <v>9</v>
      </c>
      <c r="AH35" s="321">
        <f>IF(B35&lt;&gt;"",IF(H35="x",VLOOKUP(I35,'AUX-NIV3'!B:AG,32,FALSE),0),"")</f>
        <v>0</v>
      </c>
      <c r="AI35" s="321" t="str">
        <f t="shared" si="23"/>
        <v>X-COLH500L</v>
      </c>
      <c r="AJ35" s="320"/>
      <c r="AK35" s="322">
        <f t="shared" si="11"/>
        <v>31</v>
      </c>
      <c r="AL35" s="323">
        <f t="shared" si="24"/>
        <v>39</v>
      </c>
      <c r="AM35" s="322">
        <f t="shared" si="25"/>
        <v>5</v>
      </c>
      <c r="AN35" s="380">
        <f>IF(AND(AH35&gt;0,B35&lt;&gt;""),VLOOKUP(I35,'AUX-NIV3'!$B:$AO,39,FALSE)*O35,0)</f>
        <v>0</v>
      </c>
      <c r="AO35" s="380">
        <f t="shared" si="12"/>
        <v>0.53333333333333333</v>
      </c>
      <c r="AP35" s="380"/>
    </row>
    <row r="36" spans="2:42">
      <c r="B36" s="324" t="s">
        <v>1255</v>
      </c>
      <c r="C36" s="325" t="s">
        <v>802</v>
      </c>
      <c r="D36" s="326" t="s">
        <v>1160</v>
      </c>
      <c r="E36" s="327">
        <f>IF(B36&lt;&gt;"",SUMIF('AUX-NIV1'!I:I,'AUX-NIV2'!B36,'AUX-NIV1'!Q:Q),"")</f>
        <v>0</v>
      </c>
      <c r="F36" s="327">
        <f t="shared" si="0"/>
        <v>699.62883343063208</v>
      </c>
      <c r="G36" s="327">
        <f t="shared" si="1"/>
        <v>0</v>
      </c>
      <c r="H36" s="328" t="str">
        <f t="shared" si="2"/>
        <v>M</v>
      </c>
      <c r="I36" s="325" t="s">
        <v>469</v>
      </c>
      <c r="J36" s="329" t="str">
        <f>IF(B36&lt;&gt;"",+VLOOKUP(I36,Recursos!C:F,2,FALSE),"")</f>
        <v>CAÑERIA DIAM. 100 H°F°</v>
      </c>
      <c r="K36" s="330" t="str">
        <f>IF(B36&lt;&gt;"",+VLOOKUP(I36,Recursos!C:F,3,FALSE),"")</f>
        <v>M</v>
      </c>
      <c r="L36" s="327">
        <f>IF(B36&lt;&gt;"",+VLOOKUP(I36,Recursos!C:F,4,FALSE),"")</f>
        <v>0</v>
      </c>
      <c r="M36" s="331">
        <v>2.5000000000000001E-2</v>
      </c>
      <c r="N36" s="331">
        <v>1</v>
      </c>
      <c r="O36" s="332">
        <v>2.5000000000000001E-2</v>
      </c>
      <c r="P36" s="333">
        <f t="shared" si="13"/>
        <v>0</v>
      </c>
      <c r="Q36" s="327">
        <f t="shared" si="14"/>
        <v>0</v>
      </c>
      <c r="R36" s="334">
        <f t="shared" si="15"/>
        <v>0</v>
      </c>
      <c r="S36" s="358">
        <f t="shared" si="4"/>
        <v>248.26105043063205</v>
      </c>
      <c r="T36" s="358">
        <f t="shared" si="5"/>
        <v>451.26778300000001</v>
      </c>
      <c r="U36" s="359">
        <f t="shared" si="6"/>
        <v>0.1</v>
      </c>
      <c r="V36" s="359">
        <f t="shared" si="7"/>
        <v>0</v>
      </c>
      <c r="W36" s="359">
        <f t="shared" si="8"/>
        <v>0</v>
      </c>
      <c r="X36" s="359">
        <f t="shared" si="9"/>
        <v>0</v>
      </c>
      <c r="Y36" s="320"/>
      <c r="Z36" s="321" t="str">
        <f t="shared" si="16"/>
        <v>X-COLH500LA</v>
      </c>
      <c r="AA36" s="321" t="str">
        <f t="shared" si="17"/>
        <v>X-COLH500LE</v>
      </c>
      <c r="AB36" s="321" t="str">
        <f t="shared" si="18"/>
        <v>X-COLH500LM</v>
      </c>
      <c r="AC36" s="321" t="str">
        <f t="shared" si="19"/>
        <v>X-COLH500LT</v>
      </c>
      <c r="AD36" s="321" t="str">
        <f t="shared" si="20"/>
        <v>X-COLH500LS</v>
      </c>
      <c r="AE36" s="321" t="str">
        <f t="shared" si="21"/>
        <v>X-COLH500LX</v>
      </c>
      <c r="AF36" s="321" t="str">
        <f t="shared" si="22"/>
        <v>X-COLH500LM</v>
      </c>
      <c r="AG36" s="321">
        <f t="shared" si="10"/>
        <v>9</v>
      </c>
      <c r="AH36" s="321">
        <f>IF(B36&lt;&gt;"",IF(H36="x",VLOOKUP(I36,'AUX-NIV3'!B:AG,32,FALSE),0),"")</f>
        <v>0</v>
      </c>
      <c r="AI36" s="321" t="str">
        <f t="shared" si="23"/>
        <v>X-COLH500L</v>
      </c>
      <c r="AJ36" s="320"/>
      <c r="AK36" s="322">
        <f t="shared" si="11"/>
        <v>31</v>
      </c>
      <c r="AL36" s="323">
        <f t="shared" si="24"/>
        <v>39</v>
      </c>
      <c r="AM36" s="322">
        <f t="shared" si="25"/>
        <v>6</v>
      </c>
      <c r="AN36" s="380">
        <f>IF(AND(AH36&gt;0,B36&lt;&gt;""),VLOOKUP(I36,'AUX-NIV3'!$B:$AO,39,FALSE)*O36,0)</f>
        <v>0</v>
      </c>
      <c r="AO36" s="380">
        <f t="shared" si="12"/>
        <v>0.53333333333333333</v>
      </c>
      <c r="AP36" s="380"/>
    </row>
    <row r="37" spans="2:42">
      <c r="B37" s="324" t="s">
        <v>1255</v>
      </c>
      <c r="C37" s="325" t="s">
        <v>802</v>
      </c>
      <c r="D37" s="326" t="s">
        <v>1160</v>
      </c>
      <c r="E37" s="327">
        <f>IF(B37&lt;&gt;"",SUMIF('AUX-NIV1'!I:I,'AUX-NIV2'!B37,'AUX-NIV1'!Q:Q),"")</f>
        <v>0</v>
      </c>
      <c r="F37" s="327">
        <f t="shared" si="0"/>
        <v>699.62883343063208</v>
      </c>
      <c r="G37" s="327">
        <f t="shared" si="1"/>
        <v>0</v>
      </c>
      <c r="H37" s="328" t="str">
        <f t="shared" si="2"/>
        <v>E</v>
      </c>
      <c r="I37" s="325" t="s">
        <v>1625</v>
      </c>
      <c r="J37" s="329" t="str">
        <f>IF(B37&lt;&gt;"",+VLOOKUP(I37,Recursos!C:F,2,FALSE),"")</f>
        <v>VIBRADOR DE INMERSION d=57 mm (NE)</v>
      </c>
      <c r="K37" s="330" t="str">
        <f>IF(B37&lt;&gt;"",+VLOOKUP(I37,Recursos!C:F,3,FALSE),"")</f>
        <v>HR</v>
      </c>
      <c r="L37" s="327">
        <f>IF(B37&lt;&gt;"",+VLOOKUP(I37,Recursos!C:F,4,FALSE),"")</f>
        <v>79.599000000000004</v>
      </c>
      <c r="M37" s="331">
        <v>30</v>
      </c>
      <c r="N37" s="331">
        <v>4</v>
      </c>
      <c r="O37" s="332">
        <f t="shared" si="27"/>
        <v>0.13333333333333333</v>
      </c>
      <c r="P37" s="333">
        <f t="shared" si="13"/>
        <v>10.613200000000001</v>
      </c>
      <c r="Q37" s="327">
        <f t="shared" si="14"/>
        <v>0</v>
      </c>
      <c r="R37" s="334">
        <f t="shared" si="15"/>
        <v>0</v>
      </c>
      <c r="S37" s="358">
        <f t="shared" si="4"/>
        <v>248.26105043063205</v>
      </c>
      <c r="T37" s="358">
        <f t="shared" si="5"/>
        <v>451.26778300000001</v>
      </c>
      <c r="U37" s="359">
        <f t="shared" si="6"/>
        <v>0.1</v>
      </c>
      <c r="V37" s="359">
        <f t="shared" si="7"/>
        <v>0</v>
      </c>
      <c r="W37" s="359">
        <f t="shared" si="8"/>
        <v>0</v>
      </c>
      <c r="X37" s="359">
        <f t="shared" si="9"/>
        <v>0</v>
      </c>
      <c r="Y37" s="320"/>
      <c r="Z37" s="321" t="str">
        <f t="shared" si="16"/>
        <v>X-COLH500LA</v>
      </c>
      <c r="AA37" s="321" t="str">
        <f t="shared" si="17"/>
        <v>X-COLH500LE</v>
      </c>
      <c r="AB37" s="321" t="str">
        <f t="shared" si="18"/>
        <v>X-COLH500LM</v>
      </c>
      <c r="AC37" s="321" t="str">
        <f t="shared" si="19"/>
        <v>X-COLH500LT</v>
      </c>
      <c r="AD37" s="321" t="str">
        <f t="shared" si="20"/>
        <v>X-COLH500LS</v>
      </c>
      <c r="AE37" s="321" t="str">
        <f t="shared" si="21"/>
        <v>X-COLH500LX</v>
      </c>
      <c r="AF37" s="321" t="str">
        <f t="shared" si="22"/>
        <v>X-COLH500LE</v>
      </c>
      <c r="AG37" s="321">
        <f t="shared" si="10"/>
        <v>9</v>
      </c>
      <c r="AH37" s="321">
        <f>IF(B37&lt;&gt;"",IF(H37="x",VLOOKUP(I37,'AUX-NIV3'!B:AG,32,FALSE),0),"")</f>
        <v>0</v>
      </c>
      <c r="AI37" s="321" t="str">
        <f t="shared" si="23"/>
        <v>X-COLH500L</v>
      </c>
      <c r="AJ37" s="320"/>
      <c r="AK37" s="322">
        <f t="shared" si="11"/>
        <v>31</v>
      </c>
      <c r="AL37" s="323">
        <f t="shared" si="24"/>
        <v>39</v>
      </c>
      <c r="AM37" s="322">
        <f t="shared" si="25"/>
        <v>7</v>
      </c>
      <c r="AN37" s="380">
        <f>IF(AND(AH37&gt;0,B37&lt;&gt;""),VLOOKUP(I37,'AUX-NIV3'!$B:$AO,39,FALSE)*O37,0)</f>
        <v>0</v>
      </c>
      <c r="AO37" s="380">
        <f t="shared" si="12"/>
        <v>0.53333333333333333</v>
      </c>
      <c r="AP37" s="380"/>
    </row>
    <row r="38" spans="2:42">
      <c r="B38" s="324" t="s">
        <v>1255</v>
      </c>
      <c r="C38" s="325" t="s">
        <v>802</v>
      </c>
      <c r="D38" s="326" t="s">
        <v>1160</v>
      </c>
      <c r="E38" s="327">
        <f>IF(B38&lt;&gt;"",SUMIF('AUX-NIV1'!I:I,'AUX-NIV2'!B38,'AUX-NIV1'!Q:Q),"")</f>
        <v>0</v>
      </c>
      <c r="F38" s="327">
        <f t="shared" si="0"/>
        <v>699.62883343063208</v>
      </c>
      <c r="G38" s="327">
        <f t="shared" si="1"/>
        <v>0</v>
      </c>
      <c r="H38" s="328" t="str">
        <f t="shared" si="2"/>
        <v>E</v>
      </c>
      <c r="I38" s="325" t="s">
        <v>1620</v>
      </c>
      <c r="J38" s="329" t="str">
        <f>IF(B38&lt;&gt;"",+VLOOKUP(I38,Recursos!C:F,2,FALSE),"")</f>
        <v>BOMBA DE Hº ESTACIONARIA (67 M3/H)</v>
      </c>
      <c r="K38" s="330" t="str">
        <f>IF(B38&lt;&gt;"",+VLOOKUP(I38,Recursos!C:F,3,FALSE),"")</f>
        <v>HR</v>
      </c>
      <c r="L38" s="327">
        <f>IF(B38&lt;&gt;"",+VLOOKUP(I38,Recursos!C:F,4,FALSE),"")</f>
        <v>1116.8352</v>
      </c>
      <c r="M38" s="331">
        <v>30</v>
      </c>
      <c r="N38" s="331">
        <v>1</v>
      </c>
      <c r="O38" s="332">
        <f t="shared" si="27"/>
        <v>3.3333333333333333E-2</v>
      </c>
      <c r="P38" s="333">
        <f t="shared" si="13"/>
        <v>37.22784</v>
      </c>
      <c r="Q38" s="327">
        <f t="shared" si="14"/>
        <v>0</v>
      </c>
      <c r="R38" s="334">
        <f t="shared" si="15"/>
        <v>0</v>
      </c>
      <c r="S38" s="358">
        <f t="shared" si="4"/>
        <v>248.26105043063205</v>
      </c>
      <c r="T38" s="358">
        <f t="shared" si="5"/>
        <v>451.26778300000001</v>
      </c>
      <c r="U38" s="359">
        <f t="shared" si="6"/>
        <v>0.1</v>
      </c>
      <c r="V38" s="359">
        <f t="shared" si="7"/>
        <v>0</v>
      </c>
      <c r="W38" s="359">
        <f t="shared" si="8"/>
        <v>0</v>
      </c>
      <c r="X38" s="359">
        <f t="shared" si="9"/>
        <v>0</v>
      </c>
      <c r="Y38" s="320"/>
      <c r="Z38" s="321" t="str">
        <f t="shared" si="16"/>
        <v>X-COLH500LA</v>
      </c>
      <c r="AA38" s="321" t="str">
        <f t="shared" si="17"/>
        <v>X-COLH500LE</v>
      </c>
      <c r="AB38" s="321" t="str">
        <f t="shared" si="18"/>
        <v>X-COLH500LM</v>
      </c>
      <c r="AC38" s="321" t="str">
        <f t="shared" si="19"/>
        <v>X-COLH500LT</v>
      </c>
      <c r="AD38" s="321" t="str">
        <f t="shared" si="20"/>
        <v>X-COLH500LS</v>
      </c>
      <c r="AE38" s="321" t="str">
        <f t="shared" si="21"/>
        <v>X-COLH500LX</v>
      </c>
      <c r="AF38" s="321" t="str">
        <f t="shared" si="22"/>
        <v>X-COLH500LE</v>
      </c>
      <c r="AG38" s="321">
        <f t="shared" si="10"/>
        <v>9</v>
      </c>
      <c r="AH38" s="321">
        <f>IF(B38&lt;&gt;"",IF(H38="x",VLOOKUP(I38,'AUX-NIV3'!B:AG,32,FALSE),0),"")</f>
        <v>0</v>
      </c>
      <c r="AI38" s="321" t="str">
        <f t="shared" si="23"/>
        <v>X-COLH500L</v>
      </c>
      <c r="AJ38" s="320"/>
      <c r="AK38" s="322">
        <f t="shared" si="11"/>
        <v>31</v>
      </c>
      <c r="AL38" s="323">
        <f t="shared" si="24"/>
        <v>39</v>
      </c>
      <c r="AM38" s="322">
        <f t="shared" si="25"/>
        <v>8</v>
      </c>
      <c r="AN38" s="380">
        <f>IF(AND(AH38&gt;0,B38&lt;&gt;""),VLOOKUP(I38,'AUX-NIV3'!$B:$AO,39,FALSE)*O38,0)</f>
        <v>0</v>
      </c>
      <c r="AO38" s="380">
        <f t="shared" si="12"/>
        <v>0.53333333333333333</v>
      </c>
      <c r="AP38" s="380"/>
    </row>
    <row r="39" spans="2:42">
      <c r="B39" s="324" t="s">
        <v>1255</v>
      </c>
      <c r="C39" s="325" t="s">
        <v>802</v>
      </c>
      <c r="D39" s="326" t="s">
        <v>1160</v>
      </c>
      <c r="E39" s="327">
        <f>IF(B39&lt;&gt;"",SUMIF('AUX-NIV1'!I:I,'AUX-NIV2'!B39,'AUX-NIV1'!Q:Q),"")</f>
        <v>0</v>
      </c>
      <c r="F39" s="327">
        <f t="shared" si="0"/>
        <v>699.62883343063208</v>
      </c>
      <c r="G39" s="327">
        <f t="shared" si="1"/>
        <v>0</v>
      </c>
      <c r="H39" s="328" t="str">
        <f>IF(B39&lt;&gt;"",+LEFT(I39,1),"")</f>
        <v>M</v>
      </c>
      <c r="I39" s="325" t="s">
        <v>621</v>
      </c>
      <c r="J39" s="329" t="str">
        <f>IF(B39&lt;&gt;"",+VLOOKUP(I39,Recursos!C:F,2,FALSE),"")</f>
        <v>MATERIALES VARIOS</v>
      </c>
      <c r="K39" s="330" t="str">
        <f>IF(B39&lt;&gt;"",+VLOOKUP(I39,Recursos!C:F,3,FALSE),"")</f>
        <v>GL</v>
      </c>
      <c r="L39" s="327">
        <f>IF(B39&lt;&gt;"",+VLOOKUP(I39,Recursos!C:F,4,FALSE),"")</f>
        <v>0.5</v>
      </c>
      <c r="M39" s="331">
        <v>5</v>
      </c>
      <c r="N39" s="331">
        <v>1</v>
      </c>
      <c r="O39" s="332">
        <f t="shared" si="27"/>
        <v>0.2</v>
      </c>
      <c r="P39" s="333">
        <f t="shared" si="13"/>
        <v>0.1</v>
      </c>
      <c r="Q39" s="327">
        <f t="shared" si="14"/>
        <v>0</v>
      </c>
      <c r="R39" s="334">
        <f t="shared" si="15"/>
        <v>0</v>
      </c>
      <c r="S39" s="358">
        <f t="shared" si="4"/>
        <v>248.26105043063205</v>
      </c>
      <c r="T39" s="358">
        <f t="shared" si="5"/>
        <v>451.26778300000001</v>
      </c>
      <c r="U39" s="359">
        <f t="shared" si="6"/>
        <v>0.1</v>
      </c>
      <c r="V39" s="359">
        <f t="shared" si="7"/>
        <v>0</v>
      </c>
      <c r="W39" s="359">
        <f t="shared" si="8"/>
        <v>0</v>
      </c>
      <c r="X39" s="359">
        <f t="shared" si="9"/>
        <v>0</v>
      </c>
      <c r="Y39" s="320"/>
      <c r="Z39" s="321" t="str">
        <f t="shared" si="16"/>
        <v>X-COLH500LA</v>
      </c>
      <c r="AA39" s="321" t="str">
        <f t="shared" si="17"/>
        <v>X-COLH500LE</v>
      </c>
      <c r="AB39" s="321" t="str">
        <f t="shared" si="18"/>
        <v>X-COLH500LM</v>
      </c>
      <c r="AC39" s="321" t="str">
        <f t="shared" si="19"/>
        <v>X-COLH500LT</v>
      </c>
      <c r="AD39" s="321" t="str">
        <f t="shared" si="20"/>
        <v>X-COLH500LS</v>
      </c>
      <c r="AE39" s="321" t="str">
        <f t="shared" si="21"/>
        <v>X-COLH500LX</v>
      </c>
      <c r="AF39" s="321" t="str">
        <f t="shared" si="22"/>
        <v>X-COLH500LM</v>
      </c>
      <c r="AG39" s="321">
        <f t="shared" si="10"/>
        <v>9</v>
      </c>
      <c r="AH39" s="321">
        <f>IF(B39&lt;&gt;"",IF(H39="x",VLOOKUP(I39,'AUX-NIV3'!B:AG,32,FALSE),0),"")</f>
        <v>0</v>
      </c>
      <c r="AI39" s="321" t="str">
        <f t="shared" si="23"/>
        <v>X-COLH500L</v>
      </c>
      <c r="AJ39" s="320"/>
      <c r="AK39" s="322">
        <f t="shared" si="11"/>
        <v>31</v>
      </c>
      <c r="AL39" s="323">
        <f t="shared" si="24"/>
        <v>39</v>
      </c>
      <c r="AM39" s="322">
        <f t="shared" si="25"/>
        <v>9</v>
      </c>
      <c r="AN39" s="380">
        <f>IF(AND(AH39&gt;0,B39&lt;&gt;""),VLOOKUP(I39,'AUX-NIV3'!$B:$AO,39,FALSE)*O39,0)</f>
        <v>0</v>
      </c>
      <c r="AO39" s="380">
        <f t="shared" si="12"/>
        <v>0.53333333333333333</v>
      </c>
      <c r="AP39" s="380"/>
    </row>
    <row r="40" spans="2:42">
      <c r="B40" s="324" t="s">
        <v>1256</v>
      </c>
      <c r="C40" s="325" t="s">
        <v>1301</v>
      </c>
      <c r="D40" s="326" t="s">
        <v>501</v>
      </c>
      <c r="E40" s="327">
        <f>IF(B40&lt;&gt;"",SUMIF('AUX-NIV1'!I:I,'AUX-NIV2'!B40,'AUX-NIV1'!Q:Q),"")</f>
        <v>0</v>
      </c>
      <c r="F40" s="327">
        <f t="shared" si="0"/>
        <v>5261.6988424670626</v>
      </c>
      <c r="G40" s="327">
        <f t="shared" si="1"/>
        <v>0</v>
      </c>
      <c r="H40" s="328" t="str">
        <f t="shared" si="2"/>
        <v>A</v>
      </c>
      <c r="I40" s="325" t="s">
        <v>1745</v>
      </c>
      <c r="J40" s="329" t="str">
        <f>IF(B40&lt;&gt;"",+VLOOKUP(I40,Recursos!C:F,2,FALSE),"")</f>
        <v>AYUDANTE</v>
      </c>
      <c r="K40" s="330" t="str">
        <f>IF(B40&lt;&gt;"",+VLOOKUP(I40,Recursos!C:F,3,FALSE),"")</f>
        <v>hh</v>
      </c>
      <c r="L40" s="327">
        <f>IF(B40&lt;&gt;"",+VLOOKUP(I40,Recursos!C:F,4,FALSE),"")</f>
        <v>422.48042769667234</v>
      </c>
      <c r="M40" s="331">
        <v>2</v>
      </c>
      <c r="N40" s="331">
        <v>1</v>
      </c>
      <c r="O40" s="332">
        <f t="shared" ref="O40:O47" si="28">+M40*N40</f>
        <v>2</v>
      </c>
      <c r="P40" s="333">
        <f t="shared" si="13"/>
        <v>844.96085539334467</v>
      </c>
      <c r="Q40" s="327">
        <f t="shared" si="14"/>
        <v>0</v>
      </c>
      <c r="R40" s="334">
        <f t="shared" si="15"/>
        <v>0</v>
      </c>
      <c r="S40" s="358">
        <f t="shared" si="4"/>
        <v>2332.6778131052638</v>
      </c>
      <c r="T40" s="358">
        <f t="shared" si="5"/>
        <v>44.026680000000006</v>
      </c>
      <c r="U40" s="359">
        <f t="shared" si="6"/>
        <v>2884.9943493617993</v>
      </c>
      <c r="V40" s="359">
        <f t="shared" si="7"/>
        <v>0</v>
      </c>
      <c r="W40" s="359">
        <f t="shared" si="8"/>
        <v>0</v>
      </c>
      <c r="X40" s="359">
        <f t="shared" si="9"/>
        <v>0</v>
      </c>
      <c r="Y40" s="320"/>
      <c r="Z40" s="321" t="str">
        <f t="shared" si="16"/>
        <v>X-ENCOFRADOA</v>
      </c>
      <c r="AA40" s="321" t="str">
        <f t="shared" si="17"/>
        <v>X-ENCOFRADOE</v>
      </c>
      <c r="AB40" s="321" t="str">
        <f t="shared" si="18"/>
        <v>X-ENCOFRADOM</v>
      </c>
      <c r="AC40" s="321" t="str">
        <f t="shared" si="19"/>
        <v>X-ENCOFRADOT</v>
      </c>
      <c r="AD40" s="321" t="str">
        <f t="shared" si="20"/>
        <v>X-ENCOFRADOS</v>
      </c>
      <c r="AE40" s="321" t="str">
        <f t="shared" si="21"/>
        <v>X-ENCOFRADOX</v>
      </c>
      <c r="AF40" s="321" t="str">
        <f t="shared" si="22"/>
        <v>X-ENCOFRADOA</v>
      </c>
      <c r="AG40" s="321">
        <f t="shared" si="10"/>
        <v>13</v>
      </c>
      <c r="AH40" s="321">
        <f>IF(B40&lt;&gt;"",IF(H40="x",VLOOKUP(I40,'AUX-NIV3'!B:AG,32,FALSE),0),"")</f>
        <v>0</v>
      </c>
      <c r="AI40" s="321" t="str">
        <f t="shared" si="23"/>
        <v>X-ENCOFRADO</v>
      </c>
      <c r="AJ40" s="320"/>
      <c r="AK40" s="322">
        <f t="shared" si="11"/>
        <v>40</v>
      </c>
      <c r="AL40" s="323">
        <f t="shared" si="24"/>
        <v>52</v>
      </c>
      <c r="AM40" s="322">
        <f t="shared" si="25"/>
        <v>1</v>
      </c>
      <c r="AN40" s="380">
        <f>IF(AND(AH40&gt;0,B40&lt;&gt;""),VLOOKUP(I40,'AUX-NIV3'!$B:$AO,39,FALSE)*O40,0)</f>
        <v>0</v>
      </c>
      <c r="AO40" s="380">
        <f t="shared" si="12"/>
        <v>5.07</v>
      </c>
      <c r="AP40" s="380"/>
    </row>
    <row r="41" spans="2:42">
      <c r="B41" s="324" t="s">
        <v>1256</v>
      </c>
      <c r="C41" s="325" t="s">
        <v>1301</v>
      </c>
      <c r="D41" s="326" t="s">
        <v>501</v>
      </c>
      <c r="E41" s="327">
        <f>IF(B41&lt;&gt;"",SUMIF('AUX-NIV1'!I:I,'AUX-NIV2'!B41,'AUX-NIV1'!Q:Q),"")</f>
        <v>0</v>
      </c>
      <c r="F41" s="327">
        <f t="shared" si="0"/>
        <v>5261.6988424670626</v>
      </c>
      <c r="G41" s="327">
        <f t="shared" si="1"/>
        <v>0</v>
      </c>
      <c r="H41" s="328" t="str">
        <f t="shared" si="2"/>
        <v>A</v>
      </c>
      <c r="I41" s="325" t="s">
        <v>1746</v>
      </c>
      <c r="J41" s="329" t="str">
        <f>IF(B41&lt;&gt;"",+VLOOKUP(I41,Recursos!C:F,2,FALSE),"")</f>
        <v>OFICIAL</v>
      </c>
      <c r="K41" s="330" t="str">
        <f>IF(B41&lt;&gt;"",+VLOOKUP(I41,Recursos!C:F,3,FALSE),"")</f>
        <v>hh</v>
      </c>
      <c r="L41" s="327">
        <f>IF(B41&lt;&gt;"",+VLOOKUP(I41,Recursos!C:F,4,FALSE),"")</f>
        <v>496.91595439275824</v>
      </c>
      <c r="M41" s="331">
        <v>2</v>
      </c>
      <c r="N41" s="331">
        <v>1</v>
      </c>
      <c r="O41" s="332">
        <f t="shared" si="28"/>
        <v>2</v>
      </c>
      <c r="P41" s="333">
        <f t="shared" si="13"/>
        <v>993.83190878551648</v>
      </c>
      <c r="Q41" s="327">
        <f t="shared" si="14"/>
        <v>0</v>
      </c>
      <c r="R41" s="334">
        <f t="shared" si="15"/>
        <v>0</v>
      </c>
      <c r="S41" s="358">
        <f t="shared" si="4"/>
        <v>2332.6778131052638</v>
      </c>
      <c r="T41" s="358">
        <f t="shared" si="5"/>
        <v>44.026680000000006</v>
      </c>
      <c r="U41" s="359">
        <f t="shared" si="6"/>
        <v>2884.9943493617993</v>
      </c>
      <c r="V41" s="359">
        <f t="shared" si="7"/>
        <v>0</v>
      </c>
      <c r="W41" s="359">
        <f t="shared" si="8"/>
        <v>0</v>
      </c>
      <c r="X41" s="359">
        <f t="shared" si="9"/>
        <v>0</v>
      </c>
      <c r="Y41" s="320"/>
      <c r="Z41" s="321" t="str">
        <f t="shared" si="16"/>
        <v>X-ENCOFRADOA</v>
      </c>
      <c r="AA41" s="321" t="str">
        <f t="shared" si="17"/>
        <v>X-ENCOFRADOE</v>
      </c>
      <c r="AB41" s="321" t="str">
        <f t="shared" si="18"/>
        <v>X-ENCOFRADOM</v>
      </c>
      <c r="AC41" s="321" t="str">
        <f t="shared" si="19"/>
        <v>X-ENCOFRADOT</v>
      </c>
      <c r="AD41" s="321" t="str">
        <f t="shared" si="20"/>
        <v>X-ENCOFRADOS</v>
      </c>
      <c r="AE41" s="321" t="str">
        <f t="shared" si="21"/>
        <v>X-ENCOFRADOX</v>
      </c>
      <c r="AF41" s="321" t="str">
        <f t="shared" si="22"/>
        <v>X-ENCOFRADOA</v>
      </c>
      <c r="AG41" s="321">
        <f t="shared" si="10"/>
        <v>13</v>
      </c>
      <c r="AH41" s="321">
        <f>IF(B41&lt;&gt;"",IF(H41="x",VLOOKUP(I41,'AUX-NIV3'!B:AG,32,FALSE),0),"")</f>
        <v>0</v>
      </c>
      <c r="AI41" s="321" t="str">
        <f t="shared" si="23"/>
        <v>X-ENCOFRADO</v>
      </c>
      <c r="AJ41" s="320"/>
      <c r="AK41" s="322">
        <f t="shared" si="11"/>
        <v>40</v>
      </c>
      <c r="AL41" s="323">
        <f t="shared" si="24"/>
        <v>52</v>
      </c>
      <c r="AM41" s="322">
        <f t="shared" si="25"/>
        <v>2</v>
      </c>
      <c r="AN41" s="380">
        <f>IF(AND(AH41&gt;0,B41&lt;&gt;""),VLOOKUP(I41,'AUX-NIV3'!$B:$AO,39,FALSE)*O41,0)</f>
        <v>0</v>
      </c>
      <c r="AO41" s="380">
        <f t="shared" si="12"/>
        <v>5.07</v>
      </c>
      <c r="AP41" s="380"/>
    </row>
    <row r="42" spans="2:42">
      <c r="B42" s="324" t="s">
        <v>1256</v>
      </c>
      <c r="C42" s="325" t="s">
        <v>1301</v>
      </c>
      <c r="D42" s="326" t="s">
        <v>501</v>
      </c>
      <c r="E42" s="327">
        <f>IF(B42&lt;&gt;"",SUMIF('AUX-NIV1'!I:I,'AUX-NIV2'!B42,'AUX-NIV1'!Q:Q),"")</f>
        <v>0</v>
      </c>
      <c r="F42" s="327">
        <f t="shared" si="0"/>
        <v>5261.6988424670626</v>
      </c>
      <c r="G42" s="327">
        <f t="shared" si="1"/>
        <v>0</v>
      </c>
      <c r="H42" s="328" t="str">
        <f t="shared" si="2"/>
        <v>A</v>
      </c>
      <c r="I42" s="325" t="s">
        <v>3309</v>
      </c>
      <c r="J42" s="329" t="str">
        <f>IF(B42&lt;&gt;"",+VLOOKUP(I42,Recursos!C:F,2,FALSE),"")</f>
        <v>MEDIO OFICIAL</v>
      </c>
      <c r="K42" s="330" t="str">
        <f>IF(B42&lt;&gt;"",+VLOOKUP(I42,Recursos!C:F,3,FALSE),"")</f>
        <v>hh</v>
      </c>
      <c r="L42" s="327">
        <f>IF(B42&lt;&gt;"",+VLOOKUP(I42,Recursos!C:F,4,FALSE),"")</f>
        <v>459.10093211890984</v>
      </c>
      <c r="M42" s="331">
        <v>1</v>
      </c>
      <c r="N42" s="331">
        <v>1</v>
      </c>
      <c r="O42" s="332">
        <f t="shared" si="28"/>
        <v>1</v>
      </c>
      <c r="P42" s="333">
        <f t="shared" si="13"/>
        <v>459.10093211890984</v>
      </c>
      <c r="Q42" s="327">
        <f t="shared" si="14"/>
        <v>0</v>
      </c>
      <c r="R42" s="334">
        <f t="shared" si="15"/>
        <v>0</v>
      </c>
      <c r="S42" s="358">
        <f t="shared" si="4"/>
        <v>2332.6778131052638</v>
      </c>
      <c r="T42" s="358">
        <f t="shared" si="5"/>
        <v>44.026680000000006</v>
      </c>
      <c r="U42" s="359">
        <f t="shared" si="6"/>
        <v>2884.9943493617993</v>
      </c>
      <c r="V42" s="359">
        <f t="shared" si="7"/>
        <v>0</v>
      </c>
      <c r="W42" s="359">
        <f t="shared" si="8"/>
        <v>0</v>
      </c>
      <c r="X42" s="359">
        <f t="shared" si="9"/>
        <v>0</v>
      </c>
      <c r="Y42" s="320"/>
      <c r="Z42" s="321" t="str">
        <f t="shared" si="16"/>
        <v>X-ENCOFRADOA</v>
      </c>
      <c r="AA42" s="321" t="str">
        <f t="shared" si="17"/>
        <v>X-ENCOFRADOE</v>
      </c>
      <c r="AB42" s="321" t="str">
        <f t="shared" si="18"/>
        <v>X-ENCOFRADOM</v>
      </c>
      <c r="AC42" s="321" t="str">
        <f t="shared" si="19"/>
        <v>X-ENCOFRADOT</v>
      </c>
      <c r="AD42" s="321" t="str">
        <f t="shared" si="20"/>
        <v>X-ENCOFRADOS</v>
      </c>
      <c r="AE42" s="321" t="str">
        <f t="shared" si="21"/>
        <v>X-ENCOFRADOX</v>
      </c>
      <c r="AF42" s="321" t="str">
        <f t="shared" si="22"/>
        <v>X-ENCOFRADOA</v>
      </c>
      <c r="AG42" s="321">
        <f t="shared" si="10"/>
        <v>13</v>
      </c>
      <c r="AH42" s="321">
        <f>IF(B42&lt;&gt;"",IF(H42="x",VLOOKUP(I42,'AUX-NIV3'!B:AG,32,FALSE),0),"")</f>
        <v>0</v>
      </c>
      <c r="AI42" s="321" t="str">
        <f t="shared" si="23"/>
        <v>X-ENCOFRADO</v>
      </c>
      <c r="AJ42" s="320"/>
      <c r="AK42" s="322">
        <f t="shared" si="11"/>
        <v>40</v>
      </c>
      <c r="AL42" s="323">
        <f t="shared" si="24"/>
        <v>52</v>
      </c>
      <c r="AM42" s="322">
        <f t="shared" si="25"/>
        <v>3</v>
      </c>
      <c r="AN42" s="380">
        <f>IF(AND(AH42&gt;0,B42&lt;&gt;""),VLOOKUP(I42,'AUX-NIV3'!$B:$AO,39,FALSE)*O42,0)</f>
        <v>0</v>
      </c>
      <c r="AO42" s="380">
        <f t="shared" si="12"/>
        <v>5.07</v>
      </c>
      <c r="AP42" s="380"/>
    </row>
    <row r="43" spans="2:42">
      <c r="B43" s="324" t="s">
        <v>1256</v>
      </c>
      <c r="C43" s="325" t="s">
        <v>1301</v>
      </c>
      <c r="D43" s="326" t="s">
        <v>501</v>
      </c>
      <c r="E43" s="327">
        <f>IF(B43&lt;&gt;"",SUMIF('AUX-NIV1'!I:I,'AUX-NIV2'!B43,'AUX-NIV1'!Q:Q),"")</f>
        <v>0</v>
      </c>
      <c r="F43" s="327">
        <f t="shared" si="0"/>
        <v>5261.6988424670626</v>
      </c>
      <c r="G43" s="327">
        <f t="shared" si="1"/>
        <v>0</v>
      </c>
      <c r="H43" s="328" t="str">
        <f t="shared" si="2"/>
        <v>A</v>
      </c>
      <c r="I43" s="325" t="s">
        <v>3312</v>
      </c>
      <c r="J43" s="329" t="str">
        <f>IF(B43&lt;&gt;"",+VLOOKUP(I43,Recursos!C:F,2,FALSE),"")</f>
        <v>CHOFER</v>
      </c>
      <c r="K43" s="330" t="str">
        <f>IF(B43&lt;&gt;"",+VLOOKUP(I43,Recursos!C:F,3,FALSE),"")</f>
        <v>hh</v>
      </c>
      <c r="L43" s="327">
        <f>IF(B43&lt;&gt;"",+VLOOKUP(I43,Recursos!C:F,4,FALSE),"")</f>
        <v>496.91595439275824</v>
      </c>
      <c r="M43" s="331">
        <v>0.05</v>
      </c>
      <c r="N43" s="331">
        <v>1.4</v>
      </c>
      <c r="O43" s="332">
        <f t="shared" si="28"/>
        <v>6.9999999999999993E-2</v>
      </c>
      <c r="P43" s="333">
        <f t="shared" si="13"/>
        <v>34.784116807493071</v>
      </c>
      <c r="Q43" s="327">
        <f t="shared" si="14"/>
        <v>0</v>
      </c>
      <c r="R43" s="334">
        <f t="shared" si="15"/>
        <v>0</v>
      </c>
      <c r="S43" s="358">
        <f t="shared" si="4"/>
        <v>2332.6778131052638</v>
      </c>
      <c r="T43" s="358">
        <f t="shared" si="5"/>
        <v>44.026680000000006</v>
      </c>
      <c r="U43" s="359">
        <f t="shared" si="6"/>
        <v>2884.9943493617993</v>
      </c>
      <c r="V43" s="359">
        <f t="shared" si="7"/>
        <v>0</v>
      </c>
      <c r="W43" s="359">
        <f t="shared" si="8"/>
        <v>0</v>
      </c>
      <c r="X43" s="359">
        <f t="shared" si="9"/>
        <v>0</v>
      </c>
      <c r="Y43" s="320"/>
      <c r="Z43" s="321" t="str">
        <f t="shared" si="16"/>
        <v>X-ENCOFRADOA</v>
      </c>
      <c r="AA43" s="321" t="str">
        <f t="shared" si="17"/>
        <v>X-ENCOFRADOE</v>
      </c>
      <c r="AB43" s="321" t="str">
        <f t="shared" si="18"/>
        <v>X-ENCOFRADOM</v>
      </c>
      <c r="AC43" s="321" t="str">
        <f t="shared" si="19"/>
        <v>X-ENCOFRADOT</v>
      </c>
      <c r="AD43" s="321" t="str">
        <f t="shared" si="20"/>
        <v>X-ENCOFRADOS</v>
      </c>
      <c r="AE43" s="321" t="str">
        <f t="shared" si="21"/>
        <v>X-ENCOFRADOX</v>
      </c>
      <c r="AF43" s="321" t="str">
        <f t="shared" si="22"/>
        <v>X-ENCOFRADOA</v>
      </c>
      <c r="AG43" s="321">
        <f t="shared" si="10"/>
        <v>13</v>
      </c>
      <c r="AH43" s="321">
        <f>IF(B43&lt;&gt;"",IF(H43="x",VLOOKUP(I43,'AUX-NIV3'!B:AG,32,FALSE),0),"")</f>
        <v>0</v>
      </c>
      <c r="AI43" s="321" t="str">
        <f t="shared" si="23"/>
        <v>X-ENCOFRADO</v>
      </c>
      <c r="AJ43" s="320"/>
      <c r="AK43" s="322">
        <f t="shared" si="11"/>
        <v>40</v>
      </c>
      <c r="AL43" s="323">
        <f t="shared" si="24"/>
        <v>52</v>
      </c>
      <c r="AM43" s="322">
        <f t="shared" si="25"/>
        <v>4</v>
      </c>
      <c r="AN43" s="380">
        <f>IF(AND(AH43&gt;0,B43&lt;&gt;""),VLOOKUP(I43,'AUX-NIV3'!$B:$AO,39,FALSE)*O43,0)</f>
        <v>0</v>
      </c>
      <c r="AO43" s="380">
        <f t="shared" si="12"/>
        <v>5.07</v>
      </c>
      <c r="AP43" s="380"/>
    </row>
    <row r="44" spans="2:42">
      <c r="B44" s="324" t="s">
        <v>1256</v>
      </c>
      <c r="C44" s="325" t="s">
        <v>1301</v>
      </c>
      <c r="D44" s="326" t="s">
        <v>501</v>
      </c>
      <c r="E44" s="327">
        <f>IF(B44&lt;&gt;"",SUMIF('AUX-NIV1'!I:I,'AUX-NIV2'!B44,'AUX-NIV1'!Q:Q),"")</f>
        <v>0</v>
      </c>
      <c r="F44" s="327">
        <f t="shared" si="0"/>
        <v>5261.6988424670626</v>
      </c>
      <c r="G44" s="327">
        <f t="shared" si="1"/>
        <v>0</v>
      </c>
      <c r="H44" s="328" t="str">
        <f t="shared" si="2"/>
        <v>E</v>
      </c>
      <c r="I44" s="325" t="s">
        <v>1549</v>
      </c>
      <c r="J44" s="329" t="str">
        <f>IF(B44&lt;&gt;"",+VLOOKUP(I44,Recursos!C:F,2,FALSE),"")</f>
        <v>RETROEXC. CARG. S/ROD.NEUM. 0.24 M3</v>
      </c>
      <c r="K44" s="330" t="str">
        <f>IF(B44&lt;&gt;"",+VLOOKUP(I44,Recursos!C:F,3,FALSE),"")</f>
        <v>HR</v>
      </c>
      <c r="L44" s="327">
        <f>IF(B44&lt;&gt;"",+VLOOKUP(I44,Recursos!C:F,4,FALSE),"")</f>
        <v>1761.0672000000002</v>
      </c>
      <c r="M44" s="331">
        <v>2.5000000000000001E-2</v>
      </c>
      <c r="N44" s="331">
        <v>1</v>
      </c>
      <c r="O44" s="332">
        <v>2.5000000000000001E-2</v>
      </c>
      <c r="P44" s="333">
        <f t="shared" si="13"/>
        <v>44.026680000000006</v>
      </c>
      <c r="Q44" s="327">
        <f t="shared" si="14"/>
        <v>0</v>
      </c>
      <c r="R44" s="334">
        <f t="shared" si="15"/>
        <v>0</v>
      </c>
      <c r="S44" s="358">
        <f t="shared" si="4"/>
        <v>2332.6778131052638</v>
      </c>
      <c r="T44" s="358">
        <f t="shared" si="5"/>
        <v>44.026680000000006</v>
      </c>
      <c r="U44" s="359">
        <f t="shared" si="6"/>
        <v>2884.9943493617993</v>
      </c>
      <c r="V44" s="359">
        <f t="shared" si="7"/>
        <v>0</v>
      </c>
      <c r="W44" s="359">
        <f t="shared" si="8"/>
        <v>0</v>
      </c>
      <c r="X44" s="359">
        <f t="shared" si="9"/>
        <v>0</v>
      </c>
      <c r="Y44" s="320"/>
      <c r="Z44" s="321" t="str">
        <f t="shared" si="16"/>
        <v>X-ENCOFRADOA</v>
      </c>
      <c r="AA44" s="321" t="str">
        <f t="shared" si="17"/>
        <v>X-ENCOFRADOE</v>
      </c>
      <c r="AB44" s="321" t="str">
        <f t="shared" si="18"/>
        <v>X-ENCOFRADOM</v>
      </c>
      <c r="AC44" s="321" t="str">
        <f t="shared" si="19"/>
        <v>X-ENCOFRADOT</v>
      </c>
      <c r="AD44" s="321" t="str">
        <f t="shared" si="20"/>
        <v>X-ENCOFRADOS</v>
      </c>
      <c r="AE44" s="321" t="str">
        <f t="shared" si="21"/>
        <v>X-ENCOFRADOX</v>
      </c>
      <c r="AF44" s="321" t="str">
        <f t="shared" si="22"/>
        <v>X-ENCOFRADOE</v>
      </c>
      <c r="AG44" s="321">
        <f t="shared" si="10"/>
        <v>13</v>
      </c>
      <c r="AH44" s="321">
        <f>IF(B44&lt;&gt;"",IF(H44="x",VLOOKUP(I44,'AUX-NIV3'!B:AG,32,FALSE),0),"")</f>
        <v>0</v>
      </c>
      <c r="AI44" s="321" t="str">
        <f t="shared" si="23"/>
        <v>X-ENCOFRADO</v>
      </c>
      <c r="AJ44" s="320"/>
      <c r="AK44" s="322">
        <f t="shared" si="11"/>
        <v>40</v>
      </c>
      <c r="AL44" s="323">
        <f t="shared" si="24"/>
        <v>52</v>
      </c>
      <c r="AM44" s="322">
        <f t="shared" si="25"/>
        <v>5</v>
      </c>
      <c r="AN44" s="380">
        <f>IF(AND(AH44&gt;0,B44&lt;&gt;""),VLOOKUP(I44,'AUX-NIV3'!$B:$AO,39,FALSE)*O44,0)</f>
        <v>0</v>
      </c>
      <c r="AO44" s="380">
        <f t="shared" si="12"/>
        <v>5.07</v>
      </c>
      <c r="AP44" s="380"/>
    </row>
    <row r="45" spans="2:42">
      <c r="B45" s="324" t="s">
        <v>1256</v>
      </c>
      <c r="C45" s="325" t="s">
        <v>1301</v>
      </c>
      <c r="D45" s="326" t="s">
        <v>501</v>
      </c>
      <c r="E45" s="327">
        <f>IF(B45&lt;&gt;"",SUMIF('AUX-NIV1'!I:I,'AUX-NIV2'!B45,'AUX-NIV1'!Q:Q),"")</f>
        <v>0</v>
      </c>
      <c r="F45" s="327">
        <f t="shared" si="0"/>
        <v>5261.6988424670626</v>
      </c>
      <c r="G45" s="327">
        <f t="shared" si="1"/>
        <v>0</v>
      </c>
      <c r="H45" s="328" t="str">
        <f t="shared" si="2"/>
        <v>E</v>
      </c>
      <c r="I45" s="325" t="s">
        <v>1595</v>
      </c>
      <c r="J45" s="329" t="str">
        <f>IF(B45&lt;&gt;"",+VLOOKUP(I45,Recursos!C:F,2,FALSE),"")</f>
        <v>GRUA TORRE S/RIELES (300 TM)</v>
      </c>
      <c r="K45" s="330" t="str">
        <f>IF(B45&lt;&gt;"",+VLOOKUP(I45,Recursos!C:F,3,FALSE),"")</f>
        <v>HR</v>
      </c>
      <c r="L45" s="327">
        <f>IF(B45&lt;&gt;"",+VLOOKUP(I45,Recursos!C:F,4,FALSE),"")</f>
        <v>4082</v>
      </c>
      <c r="M45" s="331">
        <v>1</v>
      </c>
      <c r="N45" s="331">
        <v>0</v>
      </c>
      <c r="O45" s="332">
        <v>0</v>
      </c>
      <c r="P45" s="333">
        <f t="shared" si="13"/>
        <v>0</v>
      </c>
      <c r="Q45" s="327">
        <f t="shared" si="14"/>
        <v>0</v>
      </c>
      <c r="R45" s="334">
        <f t="shared" si="15"/>
        <v>0</v>
      </c>
      <c r="S45" s="358">
        <f t="shared" si="4"/>
        <v>2332.6778131052638</v>
      </c>
      <c r="T45" s="358">
        <f t="shared" si="5"/>
        <v>44.026680000000006</v>
      </c>
      <c r="U45" s="359">
        <f t="shared" si="6"/>
        <v>2884.9943493617993</v>
      </c>
      <c r="V45" s="359">
        <f t="shared" si="7"/>
        <v>0</v>
      </c>
      <c r="W45" s="359">
        <f t="shared" si="8"/>
        <v>0</v>
      </c>
      <c r="X45" s="359">
        <f t="shared" si="9"/>
        <v>0</v>
      </c>
      <c r="Y45" s="320"/>
      <c r="Z45" s="321" t="str">
        <f t="shared" si="16"/>
        <v>X-ENCOFRADOA</v>
      </c>
      <c r="AA45" s="321" t="str">
        <f t="shared" si="17"/>
        <v>X-ENCOFRADOE</v>
      </c>
      <c r="AB45" s="321" t="str">
        <f t="shared" si="18"/>
        <v>X-ENCOFRADOM</v>
      </c>
      <c r="AC45" s="321" t="str">
        <f t="shared" si="19"/>
        <v>X-ENCOFRADOT</v>
      </c>
      <c r="AD45" s="321" t="str">
        <f t="shared" si="20"/>
        <v>X-ENCOFRADOS</v>
      </c>
      <c r="AE45" s="321" t="str">
        <f t="shared" si="21"/>
        <v>X-ENCOFRADOX</v>
      </c>
      <c r="AF45" s="321" t="str">
        <f t="shared" si="22"/>
        <v>X-ENCOFRADOE</v>
      </c>
      <c r="AG45" s="321">
        <f t="shared" si="10"/>
        <v>13</v>
      </c>
      <c r="AH45" s="321">
        <f>IF(B45&lt;&gt;"",IF(H45="x",VLOOKUP(I45,'AUX-NIV3'!B:AG,32,FALSE),0),"")</f>
        <v>0</v>
      </c>
      <c r="AI45" s="321" t="str">
        <f t="shared" si="23"/>
        <v>X-ENCOFRADO</v>
      </c>
      <c r="AJ45" s="320"/>
      <c r="AK45" s="322">
        <f t="shared" si="11"/>
        <v>40</v>
      </c>
      <c r="AL45" s="323">
        <f t="shared" si="24"/>
        <v>52</v>
      </c>
      <c r="AM45" s="322">
        <f t="shared" si="25"/>
        <v>6</v>
      </c>
      <c r="AN45" s="380">
        <f>IF(AND(AH45&gt;0,B45&lt;&gt;""),VLOOKUP(I45,'AUX-NIV3'!$B:$AO,39,FALSE)*O45,0)</f>
        <v>0</v>
      </c>
      <c r="AO45" s="380">
        <f t="shared" si="12"/>
        <v>5.07</v>
      </c>
      <c r="AP45" s="380"/>
    </row>
    <row r="46" spans="2:42">
      <c r="B46" s="324" t="s">
        <v>1256</v>
      </c>
      <c r="C46" s="325" t="s">
        <v>1301</v>
      </c>
      <c r="D46" s="326" t="s">
        <v>501</v>
      </c>
      <c r="E46" s="327">
        <f>IF(B46&lt;&gt;"",SUMIF('AUX-NIV1'!I:I,'AUX-NIV2'!B46,'AUX-NIV1'!Q:Q),"")</f>
        <v>0</v>
      </c>
      <c r="F46" s="327">
        <f t="shared" si="0"/>
        <v>5261.6988424670626</v>
      </c>
      <c r="G46" s="327">
        <f t="shared" si="1"/>
        <v>0</v>
      </c>
      <c r="H46" s="328" t="str">
        <f t="shared" si="2"/>
        <v>M</v>
      </c>
      <c r="I46" s="325" t="s">
        <v>621</v>
      </c>
      <c r="J46" s="329" t="str">
        <f>IF(B46&lt;&gt;"",+VLOOKUP(I46,Recursos!C:F,2,FALSE),"")</f>
        <v>MATERIALES VARIOS</v>
      </c>
      <c r="K46" s="330" t="str">
        <f>IF(B46&lt;&gt;"",+VLOOKUP(I46,Recursos!C:F,3,FALSE),"")</f>
        <v>GL</v>
      </c>
      <c r="L46" s="327">
        <f>IF(B46&lt;&gt;"",+VLOOKUP(I46,Recursos!C:F,4,FALSE),"")</f>
        <v>0.5</v>
      </c>
      <c r="M46" s="331">
        <v>2.1741899999999998</v>
      </c>
      <c r="N46" s="331">
        <v>1</v>
      </c>
      <c r="O46" s="332">
        <f t="shared" si="28"/>
        <v>2.1741899999999998</v>
      </c>
      <c r="P46" s="333">
        <f t="shared" si="13"/>
        <v>1.0870949999999999</v>
      </c>
      <c r="Q46" s="327">
        <f t="shared" si="14"/>
        <v>0</v>
      </c>
      <c r="R46" s="334">
        <f t="shared" si="15"/>
        <v>0</v>
      </c>
      <c r="S46" s="358">
        <f t="shared" si="4"/>
        <v>2332.6778131052638</v>
      </c>
      <c r="T46" s="358">
        <f t="shared" si="5"/>
        <v>44.026680000000006</v>
      </c>
      <c r="U46" s="359">
        <f t="shared" si="6"/>
        <v>2884.9943493617993</v>
      </c>
      <c r="V46" s="359">
        <f t="shared" si="7"/>
        <v>0</v>
      </c>
      <c r="W46" s="359">
        <f t="shared" si="8"/>
        <v>0</v>
      </c>
      <c r="X46" s="359">
        <f t="shared" si="9"/>
        <v>0</v>
      </c>
      <c r="Y46" s="320"/>
      <c r="Z46" s="321" t="str">
        <f t="shared" si="16"/>
        <v>X-ENCOFRADOA</v>
      </c>
      <c r="AA46" s="321" t="str">
        <f t="shared" si="17"/>
        <v>X-ENCOFRADOE</v>
      </c>
      <c r="AB46" s="321" t="str">
        <f t="shared" si="18"/>
        <v>X-ENCOFRADOM</v>
      </c>
      <c r="AC46" s="321" t="str">
        <f t="shared" si="19"/>
        <v>X-ENCOFRADOT</v>
      </c>
      <c r="AD46" s="321" t="str">
        <f t="shared" si="20"/>
        <v>X-ENCOFRADOS</v>
      </c>
      <c r="AE46" s="321" t="str">
        <f t="shared" si="21"/>
        <v>X-ENCOFRADOX</v>
      </c>
      <c r="AF46" s="321" t="str">
        <f t="shared" si="22"/>
        <v>X-ENCOFRADOM</v>
      </c>
      <c r="AG46" s="321">
        <f t="shared" si="10"/>
        <v>13</v>
      </c>
      <c r="AH46" s="321">
        <f>IF(B46&lt;&gt;"",IF(H46="x",VLOOKUP(I46,'AUX-NIV3'!B:AG,32,FALSE),0),"")</f>
        <v>0</v>
      </c>
      <c r="AI46" s="321" t="str">
        <f t="shared" si="23"/>
        <v>X-ENCOFRADO</v>
      </c>
      <c r="AJ46" s="320"/>
      <c r="AK46" s="322">
        <f t="shared" si="11"/>
        <v>40</v>
      </c>
      <c r="AL46" s="323">
        <f t="shared" si="24"/>
        <v>52</v>
      </c>
      <c r="AM46" s="322">
        <f t="shared" si="25"/>
        <v>7</v>
      </c>
      <c r="AN46" s="380">
        <f>IF(AND(AH46&gt;0,B46&lt;&gt;""),VLOOKUP(I46,'AUX-NIV3'!$B:$AO,39,FALSE)*O46,0)</f>
        <v>0</v>
      </c>
      <c r="AO46" s="380">
        <f t="shared" si="12"/>
        <v>5.07</v>
      </c>
      <c r="AP46" s="380"/>
    </row>
    <row r="47" spans="2:42">
      <c r="B47" s="324" t="s">
        <v>1256</v>
      </c>
      <c r="C47" s="325" t="s">
        <v>1301</v>
      </c>
      <c r="D47" s="326" t="s">
        <v>501</v>
      </c>
      <c r="E47" s="327">
        <f>IF(B47&lt;&gt;"",SUMIF('AUX-NIV1'!I:I,'AUX-NIV2'!B47,'AUX-NIV1'!Q:Q),"")</f>
        <v>0</v>
      </c>
      <c r="F47" s="327">
        <f t="shared" si="0"/>
        <v>5261.6988424670626</v>
      </c>
      <c r="G47" s="327">
        <f t="shared" si="1"/>
        <v>0</v>
      </c>
      <c r="H47" s="328" t="str">
        <f t="shared" si="2"/>
        <v>M</v>
      </c>
      <c r="I47" s="325" t="s">
        <v>580</v>
      </c>
      <c r="J47" s="329" t="str">
        <f>IF(B47&lt;&gt;"",+VLOOKUP(I47,Recursos!C:F,2,FALSE),"")</f>
        <v>DESMOLDANTE</v>
      </c>
      <c r="K47" s="330" t="str">
        <f>IF(B47&lt;&gt;"",+VLOOKUP(I47,Recursos!C:F,3,FALSE),"")</f>
        <v>Kg</v>
      </c>
      <c r="L47" s="327">
        <f>IF(B47&lt;&gt;"",+VLOOKUP(I47,Recursos!C:F,4,FALSE),"")</f>
        <v>0</v>
      </c>
      <c r="M47" s="331">
        <v>0.1</v>
      </c>
      <c r="N47" s="331">
        <v>1</v>
      </c>
      <c r="O47" s="332">
        <f t="shared" si="28"/>
        <v>0.1</v>
      </c>
      <c r="P47" s="333">
        <f t="shared" si="13"/>
        <v>0</v>
      </c>
      <c r="Q47" s="327">
        <f t="shared" si="14"/>
        <v>0</v>
      </c>
      <c r="R47" s="334">
        <f t="shared" si="15"/>
        <v>0</v>
      </c>
      <c r="S47" s="358">
        <f t="shared" si="4"/>
        <v>2332.6778131052638</v>
      </c>
      <c r="T47" s="358">
        <f t="shared" si="5"/>
        <v>44.026680000000006</v>
      </c>
      <c r="U47" s="359">
        <f t="shared" si="6"/>
        <v>2884.9943493617993</v>
      </c>
      <c r="V47" s="359">
        <f t="shared" si="7"/>
        <v>0</v>
      </c>
      <c r="W47" s="359">
        <f t="shared" si="8"/>
        <v>0</v>
      </c>
      <c r="X47" s="359">
        <f t="shared" si="9"/>
        <v>0</v>
      </c>
      <c r="Y47" s="320"/>
      <c r="Z47" s="321" t="str">
        <f t="shared" si="16"/>
        <v>X-ENCOFRADOA</v>
      </c>
      <c r="AA47" s="321" t="str">
        <f t="shared" si="17"/>
        <v>X-ENCOFRADOE</v>
      </c>
      <c r="AB47" s="321" t="str">
        <f t="shared" si="18"/>
        <v>X-ENCOFRADOM</v>
      </c>
      <c r="AC47" s="321" t="str">
        <f t="shared" si="19"/>
        <v>X-ENCOFRADOT</v>
      </c>
      <c r="AD47" s="321" t="str">
        <f t="shared" si="20"/>
        <v>X-ENCOFRADOS</v>
      </c>
      <c r="AE47" s="321" t="str">
        <f t="shared" si="21"/>
        <v>X-ENCOFRADOX</v>
      </c>
      <c r="AF47" s="321" t="str">
        <f t="shared" si="22"/>
        <v>X-ENCOFRADOM</v>
      </c>
      <c r="AG47" s="321">
        <f t="shared" si="10"/>
        <v>13</v>
      </c>
      <c r="AH47" s="321">
        <f>IF(B47&lt;&gt;"",IF(H47="x",VLOOKUP(I47,'AUX-NIV3'!B:AG,32,FALSE),0),"")</f>
        <v>0</v>
      </c>
      <c r="AI47" s="321" t="str">
        <f t="shared" si="23"/>
        <v>X-ENCOFRADO</v>
      </c>
      <c r="AJ47" s="320"/>
      <c r="AK47" s="322">
        <f t="shared" si="11"/>
        <v>40</v>
      </c>
      <c r="AL47" s="323">
        <f t="shared" si="24"/>
        <v>52</v>
      </c>
      <c r="AM47" s="322">
        <f t="shared" si="25"/>
        <v>8</v>
      </c>
      <c r="AN47" s="380">
        <f>IF(AND(AH47&gt;0,B47&lt;&gt;""),VLOOKUP(I47,'AUX-NIV3'!$B:$AO,39,FALSE)*O47,0)</f>
        <v>0</v>
      </c>
      <c r="AO47" s="380">
        <f t="shared" si="12"/>
        <v>5.07</v>
      </c>
      <c r="AP47" s="380"/>
    </row>
    <row r="48" spans="2:42">
      <c r="B48" s="324" t="s">
        <v>1256</v>
      </c>
      <c r="C48" s="325" t="s">
        <v>1301</v>
      </c>
      <c r="D48" s="326" t="s">
        <v>501</v>
      </c>
      <c r="E48" s="327">
        <f>IF(B48&lt;&gt;"",SUMIF('AUX-NIV1'!I:I,'AUX-NIV2'!B48,'AUX-NIV1'!Q:Q),"")</f>
        <v>0</v>
      </c>
      <c r="F48" s="327">
        <f t="shared" si="0"/>
        <v>5261.6988424670626</v>
      </c>
      <c r="G48" s="327">
        <f t="shared" si="1"/>
        <v>0</v>
      </c>
      <c r="H48" s="328" t="str">
        <f t="shared" si="2"/>
        <v>M</v>
      </c>
      <c r="I48" s="325" t="s">
        <v>594</v>
      </c>
      <c r="J48" s="329" t="str">
        <f>IF(B48&lt;&gt;"",+VLOOKUP(I48,Recursos!C:F,2,FALSE),"")</f>
        <v>LISTON TIPO PARA ENCOFRADO</v>
      </c>
      <c r="K48" s="330" t="str">
        <f>IF(B48&lt;&gt;"",+VLOOKUP(I48,Recursos!C:F,3,FALSE),"")</f>
        <v>m2</v>
      </c>
      <c r="L48" s="327">
        <f>IF(B48&lt;&gt;"",+VLOOKUP(I48,Recursos!C:F,4,FALSE),"")</f>
        <v>2375</v>
      </c>
      <c r="M48" s="331">
        <v>1</v>
      </c>
      <c r="N48" s="331">
        <v>1</v>
      </c>
      <c r="O48" s="332">
        <v>1</v>
      </c>
      <c r="P48" s="333">
        <f t="shared" si="13"/>
        <v>2375</v>
      </c>
      <c r="Q48" s="327">
        <f t="shared" si="14"/>
        <v>0</v>
      </c>
      <c r="R48" s="334">
        <f t="shared" si="15"/>
        <v>0</v>
      </c>
      <c r="S48" s="358">
        <f t="shared" si="4"/>
        <v>2332.6778131052638</v>
      </c>
      <c r="T48" s="358">
        <f t="shared" si="5"/>
        <v>44.026680000000006</v>
      </c>
      <c r="U48" s="359">
        <f t="shared" si="6"/>
        <v>2884.9943493617993</v>
      </c>
      <c r="V48" s="359">
        <f t="shared" si="7"/>
        <v>0</v>
      </c>
      <c r="W48" s="359">
        <f t="shared" si="8"/>
        <v>0</v>
      </c>
      <c r="X48" s="359">
        <f t="shared" si="9"/>
        <v>0</v>
      </c>
      <c r="Y48" s="320"/>
      <c r="Z48" s="321" t="str">
        <f t="shared" si="16"/>
        <v>X-ENCOFRADOA</v>
      </c>
      <c r="AA48" s="321" t="str">
        <f t="shared" si="17"/>
        <v>X-ENCOFRADOE</v>
      </c>
      <c r="AB48" s="321" t="str">
        <f t="shared" si="18"/>
        <v>X-ENCOFRADOM</v>
      </c>
      <c r="AC48" s="321" t="str">
        <f t="shared" si="19"/>
        <v>X-ENCOFRADOT</v>
      </c>
      <c r="AD48" s="321" t="str">
        <f t="shared" si="20"/>
        <v>X-ENCOFRADOS</v>
      </c>
      <c r="AE48" s="321" t="str">
        <f t="shared" si="21"/>
        <v>X-ENCOFRADOX</v>
      </c>
      <c r="AF48" s="321" t="str">
        <f t="shared" si="22"/>
        <v>X-ENCOFRADOM</v>
      </c>
      <c r="AG48" s="321">
        <f t="shared" si="10"/>
        <v>13</v>
      </c>
      <c r="AH48" s="321">
        <f>IF(B48&lt;&gt;"",IF(H48="x",VLOOKUP(I48,'AUX-NIV3'!B:AG,32,FALSE),0),"")</f>
        <v>0</v>
      </c>
      <c r="AI48" s="321" t="str">
        <f t="shared" si="23"/>
        <v>X-ENCOFRADO</v>
      </c>
      <c r="AJ48" s="320"/>
      <c r="AK48" s="322">
        <f t="shared" si="11"/>
        <v>40</v>
      </c>
      <c r="AL48" s="323">
        <f t="shared" si="24"/>
        <v>52</v>
      </c>
      <c r="AM48" s="322">
        <f t="shared" si="25"/>
        <v>9</v>
      </c>
      <c r="AN48" s="380">
        <f>IF(AND(AH48&gt;0,B48&lt;&gt;""),VLOOKUP(I48,'AUX-NIV3'!$B:$AO,39,FALSE)*O48,0)</f>
        <v>0</v>
      </c>
      <c r="AO48" s="380">
        <f t="shared" si="12"/>
        <v>5.07</v>
      </c>
      <c r="AP48" s="380"/>
    </row>
    <row r="49" spans="2:42">
      <c r="B49" s="324" t="s">
        <v>1256</v>
      </c>
      <c r="C49" s="325" t="s">
        <v>1301</v>
      </c>
      <c r="D49" s="326" t="s">
        <v>501</v>
      </c>
      <c r="E49" s="327">
        <f>IF(B49&lt;&gt;"",SUMIF('AUX-NIV1'!I:I,'AUX-NIV2'!B49,'AUX-NIV1'!Q:Q),"")</f>
        <v>0</v>
      </c>
      <c r="F49" s="327">
        <f t="shared" si="0"/>
        <v>5261.6988424670626</v>
      </c>
      <c r="G49" s="327">
        <f t="shared" si="1"/>
        <v>0</v>
      </c>
      <c r="H49" s="328" t="str">
        <f t="shared" si="2"/>
        <v>M</v>
      </c>
      <c r="I49" s="325" t="s">
        <v>584</v>
      </c>
      <c r="J49" s="329" t="str">
        <f>IF(B49&lt;&gt;"",+VLOOKUP(I49,Recursos!C:F,2,FALSE),"")</f>
        <v>FENOLICO PARA ENCOFRADO</v>
      </c>
      <c r="K49" s="330" t="str">
        <f>IF(B49&lt;&gt;"",+VLOOKUP(I49,Recursos!C:F,3,FALSE),"")</f>
        <v>M2</v>
      </c>
      <c r="L49" s="327">
        <f>IF(B49&lt;&gt;"",+VLOOKUP(I49,Recursos!C:F,4,FALSE),"")</f>
        <v>901.05601469237831</v>
      </c>
      <c r="M49" s="331">
        <v>0.1</v>
      </c>
      <c r="N49" s="331">
        <v>1</v>
      </c>
      <c r="O49" s="332">
        <v>0.1</v>
      </c>
      <c r="P49" s="333">
        <f t="shared" si="13"/>
        <v>90.10560146923784</v>
      </c>
      <c r="Q49" s="327">
        <f t="shared" si="14"/>
        <v>0</v>
      </c>
      <c r="R49" s="334">
        <f t="shared" si="15"/>
        <v>0</v>
      </c>
      <c r="S49" s="358">
        <f t="shared" si="4"/>
        <v>2332.6778131052638</v>
      </c>
      <c r="T49" s="358">
        <f t="shared" si="5"/>
        <v>44.026680000000006</v>
      </c>
      <c r="U49" s="359">
        <f t="shared" si="6"/>
        <v>2884.9943493617993</v>
      </c>
      <c r="V49" s="359">
        <f t="shared" si="7"/>
        <v>0</v>
      </c>
      <c r="W49" s="359">
        <f t="shared" si="8"/>
        <v>0</v>
      </c>
      <c r="X49" s="359">
        <f t="shared" si="9"/>
        <v>0</v>
      </c>
      <c r="Y49" s="320"/>
      <c r="Z49" s="321" t="str">
        <f t="shared" si="16"/>
        <v>X-ENCOFRADOA</v>
      </c>
      <c r="AA49" s="321" t="str">
        <f t="shared" si="17"/>
        <v>X-ENCOFRADOE</v>
      </c>
      <c r="AB49" s="321" t="str">
        <f t="shared" si="18"/>
        <v>X-ENCOFRADOM</v>
      </c>
      <c r="AC49" s="321" t="str">
        <f t="shared" si="19"/>
        <v>X-ENCOFRADOT</v>
      </c>
      <c r="AD49" s="321" t="str">
        <f t="shared" si="20"/>
        <v>X-ENCOFRADOS</v>
      </c>
      <c r="AE49" s="321" t="str">
        <f t="shared" si="21"/>
        <v>X-ENCOFRADOX</v>
      </c>
      <c r="AF49" s="321" t="str">
        <f t="shared" si="22"/>
        <v>X-ENCOFRADOM</v>
      </c>
      <c r="AG49" s="321">
        <f t="shared" si="10"/>
        <v>13</v>
      </c>
      <c r="AH49" s="321">
        <f>IF(B49&lt;&gt;"",IF(H49="x",VLOOKUP(I49,'AUX-NIV3'!B:AG,32,FALSE),0),"")</f>
        <v>0</v>
      </c>
      <c r="AI49" s="321" t="str">
        <f t="shared" si="23"/>
        <v>X-ENCOFRADO</v>
      </c>
      <c r="AJ49" s="320"/>
      <c r="AK49" s="322">
        <f t="shared" si="11"/>
        <v>40</v>
      </c>
      <c r="AL49" s="323">
        <f t="shared" si="24"/>
        <v>52</v>
      </c>
      <c r="AM49" s="322">
        <f t="shared" si="25"/>
        <v>10</v>
      </c>
      <c r="AN49" s="380">
        <f>IF(AND(AH49&gt;0,B49&lt;&gt;""),VLOOKUP(I49,'AUX-NIV3'!$B:$AO,39,FALSE)*O49,0)</f>
        <v>0</v>
      </c>
      <c r="AO49" s="380">
        <f t="shared" si="12"/>
        <v>5.07</v>
      </c>
      <c r="AP49" s="380"/>
    </row>
    <row r="50" spans="2:42">
      <c r="B50" s="324" t="s">
        <v>1256</v>
      </c>
      <c r="C50" s="325" t="s">
        <v>1301</v>
      </c>
      <c r="D50" s="326" t="s">
        <v>501</v>
      </c>
      <c r="E50" s="327">
        <f>IF(B50&lt;&gt;"",SUMIF('AUX-NIV1'!I:I,'AUX-NIV2'!B50,'AUX-NIV1'!Q:Q),"")</f>
        <v>0</v>
      </c>
      <c r="F50" s="327">
        <f t="shared" si="0"/>
        <v>5261.6988424670626</v>
      </c>
      <c r="G50" s="327">
        <f t="shared" si="1"/>
        <v>0</v>
      </c>
      <c r="H50" s="328" t="str">
        <f t="shared" si="2"/>
        <v>M</v>
      </c>
      <c r="I50" s="325" t="s">
        <v>608</v>
      </c>
      <c r="J50" s="329" t="str">
        <f>IF(B50&lt;&gt;"",+VLOOKUP(I50,Recursos!C:F,2,FALSE),"")</f>
        <v>PUNTAL PARA ENCOFRADO</v>
      </c>
      <c r="K50" s="330" t="str">
        <f>IF(B50&lt;&gt;"",+VLOOKUP(I50,Recursos!C:F,3,FALSE),"")</f>
        <v>M</v>
      </c>
      <c r="L50" s="327">
        <f>IF(B50&lt;&gt;"",+VLOOKUP(I50,Recursos!C:F,4,FALSE),"")</f>
        <v>200</v>
      </c>
      <c r="M50" s="331">
        <v>4</v>
      </c>
      <c r="N50" s="331">
        <v>3</v>
      </c>
      <c r="O50" s="332">
        <f>+N50/M50</f>
        <v>0.75</v>
      </c>
      <c r="P50" s="333">
        <f t="shared" si="13"/>
        <v>150</v>
      </c>
      <c r="Q50" s="327">
        <f t="shared" si="14"/>
        <v>0</v>
      </c>
      <c r="R50" s="334">
        <f t="shared" si="15"/>
        <v>0</v>
      </c>
      <c r="S50" s="358">
        <f t="shared" si="4"/>
        <v>2332.6778131052638</v>
      </c>
      <c r="T50" s="358">
        <f t="shared" si="5"/>
        <v>44.026680000000006</v>
      </c>
      <c r="U50" s="359">
        <f t="shared" si="6"/>
        <v>2884.9943493617993</v>
      </c>
      <c r="V50" s="359">
        <f t="shared" si="7"/>
        <v>0</v>
      </c>
      <c r="W50" s="359">
        <f t="shared" si="8"/>
        <v>0</v>
      </c>
      <c r="X50" s="359">
        <f t="shared" si="9"/>
        <v>0</v>
      </c>
      <c r="Y50" s="320"/>
      <c r="Z50" s="321" t="str">
        <f t="shared" si="16"/>
        <v>X-ENCOFRADOA</v>
      </c>
      <c r="AA50" s="321" t="str">
        <f t="shared" si="17"/>
        <v>X-ENCOFRADOE</v>
      </c>
      <c r="AB50" s="321" t="str">
        <f t="shared" si="18"/>
        <v>X-ENCOFRADOM</v>
      </c>
      <c r="AC50" s="321" t="str">
        <f t="shared" si="19"/>
        <v>X-ENCOFRADOT</v>
      </c>
      <c r="AD50" s="321" t="str">
        <f t="shared" si="20"/>
        <v>X-ENCOFRADOS</v>
      </c>
      <c r="AE50" s="321" t="str">
        <f t="shared" si="21"/>
        <v>X-ENCOFRADOX</v>
      </c>
      <c r="AF50" s="321" t="str">
        <f t="shared" si="22"/>
        <v>X-ENCOFRADOM</v>
      </c>
      <c r="AG50" s="321">
        <f t="shared" si="10"/>
        <v>13</v>
      </c>
      <c r="AH50" s="321">
        <f>IF(B50&lt;&gt;"",IF(H50="x",VLOOKUP(I50,'AUX-NIV3'!B:AG,32,FALSE),0),"")</f>
        <v>0</v>
      </c>
      <c r="AI50" s="321" t="str">
        <f t="shared" si="23"/>
        <v>X-ENCOFRADO</v>
      </c>
      <c r="AJ50" s="320"/>
      <c r="AK50" s="322">
        <f t="shared" si="11"/>
        <v>40</v>
      </c>
      <c r="AL50" s="323">
        <f t="shared" si="24"/>
        <v>52</v>
      </c>
      <c r="AM50" s="322">
        <f t="shared" si="25"/>
        <v>11</v>
      </c>
      <c r="AN50" s="380">
        <f>IF(AND(AH50&gt;0,B50&lt;&gt;""),VLOOKUP(I50,'AUX-NIV3'!$B:$AO,39,FALSE)*O50,0)</f>
        <v>0</v>
      </c>
      <c r="AO50" s="380">
        <f t="shared" si="12"/>
        <v>5.07</v>
      </c>
      <c r="AP50" s="380"/>
    </row>
    <row r="51" spans="2:42">
      <c r="B51" s="324" t="s">
        <v>1256</v>
      </c>
      <c r="C51" s="325" t="s">
        <v>1301</v>
      </c>
      <c r="D51" s="326" t="s">
        <v>501</v>
      </c>
      <c r="E51" s="327">
        <f>IF(B51&lt;&gt;"",SUMIF('AUX-NIV1'!I:I,'AUX-NIV2'!B51,'AUX-NIV1'!Q:Q),"")</f>
        <v>0</v>
      </c>
      <c r="F51" s="327">
        <f t="shared" si="0"/>
        <v>5261.6988424670626</v>
      </c>
      <c r="G51" s="327">
        <f t="shared" si="1"/>
        <v>0</v>
      </c>
      <c r="H51" s="328" t="str">
        <f t="shared" si="2"/>
        <v>M</v>
      </c>
      <c r="I51" s="325" t="s">
        <v>448</v>
      </c>
      <c r="J51" s="329" t="str">
        <f>IF(B51&lt;&gt;"",+VLOOKUP(I51,Recursos!C:F,2,FALSE),"")</f>
        <v>ALAMBRE RECOCIDO #14</v>
      </c>
      <c r="K51" s="330" t="str">
        <f>IF(B51&lt;&gt;"",+VLOOKUP(I51,Recursos!C:F,3,FALSE),"")</f>
        <v>Kg</v>
      </c>
      <c r="L51" s="327">
        <f>IF(B51&lt;&gt;"",+VLOOKUP(I51,Recursos!C:F,4,FALSE),"")</f>
        <v>735.53719008264466</v>
      </c>
      <c r="M51" s="331">
        <v>0.25</v>
      </c>
      <c r="N51" s="331">
        <v>1</v>
      </c>
      <c r="O51" s="332">
        <f>+M51*N51</f>
        <v>0.25</v>
      </c>
      <c r="P51" s="333">
        <f t="shared" si="13"/>
        <v>183.88429752066116</v>
      </c>
      <c r="Q51" s="327">
        <f t="shared" si="14"/>
        <v>0</v>
      </c>
      <c r="R51" s="334">
        <f t="shared" si="15"/>
        <v>0</v>
      </c>
      <c r="S51" s="358">
        <f t="shared" si="4"/>
        <v>2332.6778131052638</v>
      </c>
      <c r="T51" s="358">
        <f t="shared" si="5"/>
        <v>44.026680000000006</v>
      </c>
      <c r="U51" s="359">
        <f t="shared" si="6"/>
        <v>2884.9943493617993</v>
      </c>
      <c r="V51" s="359">
        <f t="shared" si="7"/>
        <v>0</v>
      </c>
      <c r="W51" s="359">
        <f t="shared" si="8"/>
        <v>0</v>
      </c>
      <c r="X51" s="359">
        <f t="shared" si="9"/>
        <v>0</v>
      </c>
      <c r="Y51" s="320"/>
      <c r="Z51" s="321" t="str">
        <f t="shared" si="16"/>
        <v>X-ENCOFRADOA</v>
      </c>
      <c r="AA51" s="321" t="str">
        <f t="shared" si="17"/>
        <v>X-ENCOFRADOE</v>
      </c>
      <c r="AB51" s="321" t="str">
        <f t="shared" si="18"/>
        <v>X-ENCOFRADOM</v>
      </c>
      <c r="AC51" s="321" t="str">
        <f t="shared" si="19"/>
        <v>X-ENCOFRADOT</v>
      </c>
      <c r="AD51" s="321" t="str">
        <f t="shared" si="20"/>
        <v>X-ENCOFRADOS</v>
      </c>
      <c r="AE51" s="321" t="str">
        <f t="shared" si="21"/>
        <v>X-ENCOFRADOX</v>
      </c>
      <c r="AF51" s="321" t="str">
        <f t="shared" si="22"/>
        <v>X-ENCOFRADOM</v>
      </c>
      <c r="AG51" s="321">
        <f t="shared" si="10"/>
        <v>13</v>
      </c>
      <c r="AH51" s="321">
        <f>IF(B51&lt;&gt;"",IF(H51="x",VLOOKUP(I51,'AUX-NIV3'!B:AG,32,FALSE),0),"")</f>
        <v>0</v>
      </c>
      <c r="AI51" s="321" t="str">
        <f t="shared" si="23"/>
        <v>X-ENCOFRADO</v>
      </c>
      <c r="AJ51" s="320"/>
      <c r="AK51" s="322">
        <f t="shared" si="11"/>
        <v>40</v>
      </c>
      <c r="AL51" s="323">
        <f t="shared" si="24"/>
        <v>52</v>
      </c>
      <c r="AM51" s="322">
        <f t="shared" si="25"/>
        <v>12</v>
      </c>
      <c r="AN51" s="380">
        <f>IF(AND(AH51&gt;0,B51&lt;&gt;""),VLOOKUP(I51,'AUX-NIV3'!$B:$AO,39,FALSE)*O51,0)</f>
        <v>0</v>
      </c>
      <c r="AO51" s="380">
        <f t="shared" si="12"/>
        <v>5.07</v>
      </c>
      <c r="AP51" s="380"/>
    </row>
    <row r="52" spans="2:42">
      <c r="B52" s="324" t="s">
        <v>1256</v>
      </c>
      <c r="C52" s="325" t="s">
        <v>1301</v>
      </c>
      <c r="D52" s="326" t="s">
        <v>501</v>
      </c>
      <c r="E52" s="327">
        <f>IF(B52&lt;&gt;"",SUMIF('AUX-NIV1'!I:I,'AUX-NIV2'!B52,'AUX-NIV1'!Q:Q),"")</f>
        <v>0</v>
      </c>
      <c r="F52" s="327">
        <f t="shared" si="0"/>
        <v>5261.6988424670626</v>
      </c>
      <c r="G52" s="327">
        <f t="shared" si="1"/>
        <v>0</v>
      </c>
      <c r="H52" s="328" t="str">
        <f t="shared" si="2"/>
        <v>M</v>
      </c>
      <c r="I52" s="325" t="s">
        <v>504</v>
      </c>
      <c r="J52" s="329" t="str">
        <f>IF(B52&lt;&gt;"",+VLOOKUP(I52,Recursos!C:F,2,FALSE),"")</f>
        <v>CLAVO DE 2 A 4"</v>
      </c>
      <c r="K52" s="330" t="str">
        <f>IF(B52&lt;&gt;"",+VLOOKUP(I52,Recursos!C:F,3,FALSE),"")</f>
        <v>Kg</v>
      </c>
      <c r="L52" s="327">
        <f>IF(B52&lt;&gt;"",+VLOOKUP(I52,Recursos!C:F,4,FALSE),"")</f>
        <v>566.11570247933889</v>
      </c>
      <c r="M52" s="331">
        <v>0.15</v>
      </c>
      <c r="N52" s="331">
        <v>1</v>
      </c>
      <c r="O52" s="332">
        <f>+M52*N52</f>
        <v>0.15</v>
      </c>
      <c r="P52" s="333">
        <f t="shared" si="13"/>
        <v>84.917355371900825</v>
      </c>
      <c r="Q52" s="327">
        <f t="shared" si="14"/>
        <v>0</v>
      </c>
      <c r="R52" s="334">
        <f t="shared" si="15"/>
        <v>0</v>
      </c>
      <c r="S52" s="358">
        <f t="shared" si="4"/>
        <v>2332.6778131052638</v>
      </c>
      <c r="T52" s="358">
        <f t="shared" si="5"/>
        <v>44.026680000000006</v>
      </c>
      <c r="U52" s="359">
        <f t="shared" si="6"/>
        <v>2884.9943493617993</v>
      </c>
      <c r="V52" s="359">
        <f t="shared" si="7"/>
        <v>0</v>
      </c>
      <c r="W52" s="359">
        <f t="shared" si="8"/>
        <v>0</v>
      </c>
      <c r="X52" s="359">
        <f t="shared" si="9"/>
        <v>0</v>
      </c>
      <c r="Y52" s="320"/>
      <c r="Z52" s="321" t="str">
        <f t="shared" si="16"/>
        <v>X-ENCOFRADOA</v>
      </c>
      <c r="AA52" s="321" t="str">
        <f t="shared" si="17"/>
        <v>X-ENCOFRADOE</v>
      </c>
      <c r="AB52" s="321" t="str">
        <f t="shared" si="18"/>
        <v>X-ENCOFRADOM</v>
      </c>
      <c r="AC52" s="321" t="str">
        <f t="shared" si="19"/>
        <v>X-ENCOFRADOT</v>
      </c>
      <c r="AD52" s="321" t="str">
        <f t="shared" si="20"/>
        <v>X-ENCOFRADOS</v>
      </c>
      <c r="AE52" s="321" t="str">
        <f t="shared" si="21"/>
        <v>X-ENCOFRADOX</v>
      </c>
      <c r="AF52" s="321" t="str">
        <f t="shared" si="22"/>
        <v>X-ENCOFRADOM</v>
      </c>
      <c r="AG52" s="321">
        <f t="shared" si="10"/>
        <v>13</v>
      </c>
      <c r="AH52" s="321">
        <f>IF(B52&lt;&gt;"",IF(H52="x",VLOOKUP(I52,'AUX-NIV3'!B:AG,32,FALSE),0),"")</f>
        <v>0</v>
      </c>
      <c r="AI52" s="321" t="str">
        <f t="shared" si="23"/>
        <v>X-ENCOFRADO</v>
      </c>
      <c r="AJ52" s="320"/>
      <c r="AK52" s="322">
        <f t="shared" si="11"/>
        <v>40</v>
      </c>
      <c r="AL52" s="323">
        <f t="shared" si="24"/>
        <v>52</v>
      </c>
      <c r="AM52" s="322">
        <f t="shared" si="25"/>
        <v>13</v>
      </c>
      <c r="AN52" s="380">
        <f>IF(AND(AH52&gt;0,B52&lt;&gt;""),VLOOKUP(I52,'AUX-NIV3'!$B:$AO,39,FALSE)*O52,0)</f>
        <v>0</v>
      </c>
      <c r="AO52" s="380">
        <f t="shared" si="12"/>
        <v>5.07</v>
      </c>
      <c r="AP52" s="380"/>
    </row>
    <row r="53" spans="2:42" hidden="1">
      <c r="B53" s="324" t="s">
        <v>1257</v>
      </c>
      <c r="C53" s="325" t="s">
        <v>1302</v>
      </c>
      <c r="D53" s="326" t="s">
        <v>441</v>
      </c>
      <c r="E53" s="327">
        <f>IF(B53&lt;&gt;"",SUMIF('AUX-NIV1'!I:I,'AUX-NIV2'!B53,'AUX-NIV1'!Q:Q),"")</f>
        <v>0</v>
      </c>
      <c r="F53" s="327">
        <f t="shared" si="0"/>
        <v>196905.98153277466</v>
      </c>
      <c r="G53" s="327">
        <f t="shared" si="1"/>
        <v>0</v>
      </c>
      <c r="H53" s="328" t="str">
        <f t="shared" si="2"/>
        <v>A</v>
      </c>
      <c r="I53" s="325" t="s">
        <v>1745</v>
      </c>
      <c r="J53" s="329" t="str">
        <f>IF(B53&lt;&gt;"",+VLOOKUP(I53,Recursos!C:F,2,FALSE),"")</f>
        <v>AYUDANTE</v>
      </c>
      <c r="K53" s="330" t="str">
        <f>IF(B53&lt;&gt;"",+VLOOKUP(I53,Recursos!C:F,3,FALSE),"")</f>
        <v>hh</v>
      </c>
      <c r="L53" s="327">
        <f>IF(B53&lt;&gt;"",+VLOOKUP(I53,Recursos!C:F,4,FALSE),"")</f>
        <v>422.48042769667234</v>
      </c>
      <c r="M53" s="331">
        <v>1</v>
      </c>
      <c r="N53" s="331">
        <v>16</v>
      </c>
      <c r="O53" s="332">
        <v>16</v>
      </c>
      <c r="P53" s="333">
        <f t="shared" si="13"/>
        <v>6759.6868431467574</v>
      </c>
      <c r="Q53" s="327">
        <f t="shared" si="14"/>
        <v>0</v>
      </c>
      <c r="R53" s="334">
        <f t="shared" si="15"/>
        <v>0</v>
      </c>
      <c r="S53" s="358">
        <f t="shared" si="4"/>
        <v>6777.0789015505043</v>
      </c>
      <c r="T53" s="358">
        <f t="shared" si="5"/>
        <v>46.258003125000002</v>
      </c>
      <c r="U53" s="359">
        <f t="shared" si="6"/>
        <v>190082.64462809917</v>
      </c>
      <c r="V53" s="359">
        <f t="shared" si="7"/>
        <v>0</v>
      </c>
      <c r="W53" s="359">
        <f t="shared" si="8"/>
        <v>0</v>
      </c>
      <c r="X53" s="359">
        <f t="shared" si="9"/>
        <v>0</v>
      </c>
      <c r="Y53" s="320"/>
      <c r="Z53" s="321" t="str">
        <f t="shared" si="16"/>
        <v>X-ACEROPOA</v>
      </c>
      <c r="AA53" s="321" t="str">
        <f t="shared" si="17"/>
        <v>X-ACEROPOE</v>
      </c>
      <c r="AB53" s="321" t="str">
        <f t="shared" si="18"/>
        <v>X-ACEROPOM</v>
      </c>
      <c r="AC53" s="321" t="str">
        <f t="shared" si="19"/>
        <v>X-ACEROPOT</v>
      </c>
      <c r="AD53" s="321" t="str">
        <f t="shared" si="20"/>
        <v>X-ACEROPOS</v>
      </c>
      <c r="AE53" s="321" t="str">
        <f t="shared" si="21"/>
        <v>X-ACEROPOX</v>
      </c>
      <c r="AF53" s="321" t="str">
        <f t="shared" si="22"/>
        <v>X-ACEROPOA</v>
      </c>
      <c r="AG53" s="321">
        <f t="shared" si="10"/>
        <v>6</v>
      </c>
      <c r="AH53" s="321">
        <f>IF(B53&lt;&gt;"",IF(H53="x",VLOOKUP(I53,'AUX-NIV3'!B:AG,32,FALSE),0),"")</f>
        <v>0</v>
      </c>
      <c r="AI53" s="321" t="str">
        <f t="shared" si="23"/>
        <v>X-ACEROPO</v>
      </c>
      <c r="AJ53" s="320"/>
      <c r="AK53" s="322">
        <f t="shared" si="11"/>
        <v>53</v>
      </c>
      <c r="AL53" s="323">
        <f t="shared" si="24"/>
        <v>58</v>
      </c>
      <c r="AM53" s="322">
        <f t="shared" si="25"/>
        <v>1</v>
      </c>
      <c r="AN53" s="380">
        <f>IF(AND(AH53&gt;0,B53&lt;&gt;""),VLOOKUP(I53,'AUX-NIV3'!$B:$AO,39,FALSE)*O53,0)</f>
        <v>0</v>
      </c>
      <c r="AO53" s="380">
        <f t="shared" si="12"/>
        <v>16.035</v>
      </c>
      <c r="AP53" s="380"/>
    </row>
    <row r="54" spans="2:42" hidden="1">
      <c r="B54" s="324" t="s">
        <v>1257</v>
      </c>
      <c r="C54" s="325" t="s">
        <v>1302</v>
      </c>
      <c r="D54" s="326" t="s">
        <v>441</v>
      </c>
      <c r="E54" s="327">
        <f>IF(B54&lt;&gt;"",SUMIF('AUX-NIV1'!I:I,'AUX-NIV2'!B54,'AUX-NIV1'!Q:Q),"")</f>
        <v>0</v>
      </c>
      <c r="F54" s="327">
        <f t="shared" si="0"/>
        <v>196905.98153277466</v>
      </c>
      <c r="G54" s="327">
        <f t="shared" si="1"/>
        <v>0</v>
      </c>
      <c r="H54" s="328" t="str">
        <f t="shared" si="2"/>
        <v>A</v>
      </c>
      <c r="I54" s="325" t="s">
        <v>3312</v>
      </c>
      <c r="J54" s="329" t="str">
        <f>IF(B54&lt;&gt;"",+VLOOKUP(I54,Recursos!C:F,2,FALSE),"")</f>
        <v>CHOFER</v>
      </c>
      <c r="K54" s="330" t="str">
        <f>IF(B54&lt;&gt;"",+VLOOKUP(I54,Recursos!C:F,3,FALSE),"")</f>
        <v>hh</v>
      </c>
      <c r="L54" s="327">
        <f>IF(B54&lt;&gt;"",+VLOOKUP(I54,Recursos!C:F,4,FALSE),"")</f>
        <v>496.91595439275824</v>
      </c>
      <c r="M54" s="331">
        <v>40</v>
      </c>
      <c r="N54" s="331">
        <v>1.4</v>
      </c>
      <c r="O54" s="332">
        <f>+N54/M54</f>
        <v>3.4999999999999996E-2</v>
      </c>
      <c r="P54" s="333">
        <f t="shared" si="13"/>
        <v>17.392058403746535</v>
      </c>
      <c r="Q54" s="327">
        <f t="shared" si="14"/>
        <v>0</v>
      </c>
      <c r="R54" s="334">
        <f t="shared" si="15"/>
        <v>0</v>
      </c>
      <c r="S54" s="358">
        <f t="shared" si="4"/>
        <v>6777.0789015505043</v>
      </c>
      <c r="T54" s="358">
        <f t="shared" si="5"/>
        <v>46.258003125000002</v>
      </c>
      <c r="U54" s="359">
        <f t="shared" si="6"/>
        <v>190082.64462809917</v>
      </c>
      <c r="V54" s="359">
        <f t="shared" si="7"/>
        <v>0</v>
      </c>
      <c r="W54" s="359">
        <f t="shared" si="8"/>
        <v>0</v>
      </c>
      <c r="X54" s="359">
        <f t="shared" si="9"/>
        <v>0</v>
      </c>
      <c r="Y54" s="320"/>
      <c r="Z54" s="321" t="str">
        <f t="shared" si="16"/>
        <v>X-ACEROPOA</v>
      </c>
      <c r="AA54" s="321" t="str">
        <f t="shared" si="17"/>
        <v>X-ACEROPOE</v>
      </c>
      <c r="AB54" s="321" t="str">
        <f t="shared" si="18"/>
        <v>X-ACEROPOM</v>
      </c>
      <c r="AC54" s="321" t="str">
        <f t="shared" si="19"/>
        <v>X-ACEROPOT</v>
      </c>
      <c r="AD54" s="321" t="str">
        <f t="shared" si="20"/>
        <v>X-ACEROPOS</v>
      </c>
      <c r="AE54" s="321" t="str">
        <f t="shared" si="21"/>
        <v>X-ACEROPOX</v>
      </c>
      <c r="AF54" s="321" t="str">
        <f t="shared" si="22"/>
        <v>X-ACEROPOA</v>
      </c>
      <c r="AG54" s="321">
        <f t="shared" si="10"/>
        <v>6</v>
      </c>
      <c r="AH54" s="321">
        <f>IF(B54&lt;&gt;"",IF(H54="x",VLOOKUP(I54,'AUX-NIV3'!B:AG,32,FALSE),0),"")</f>
        <v>0</v>
      </c>
      <c r="AI54" s="321" t="str">
        <f t="shared" si="23"/>
        <v>X-ACEROPO</v>
      </c>
      <c r="AJ54" s="320"/>
      <c r="AK54" s="322">
        <f t="shared" si="11"/>
        <v>53</v>
      </c>
      <c r="AL54" s="323">
        <f t="shared" si="24"/>
        <v>58</v>
      </c>
      <c r="AM54" s="322">
        <f t="shared" si="25"/>
        <v>2</v>
      </c>
      <c r="AN54" s="380">
        <f>IF(AND(AH54&gt;0,B54&lt;&gt;""),VLOOKUP(I54,'AUX-NIV3'!$B:$AO,39,FALSE)*O54,0)</f>
        <v>0</v>
      </c>
      <c r="AO54" s="380">
        <f t="shared" si="12"/>
        <v>16.035</v>
      </c>
      <c r="AP54" s="380"/>
    </row>
    <row r="55" spans="2:42" hidden="1">
      <c r="B55" s="324" t="s">
        <v>1257</v>
      </c>
      <c r="C55" s="325" t="s">
        <v>1302</v>
      </c>
      <c r="D55" s="326" t="s">
        <v>441</v>
      </c>
      <c r="E55" s="327">
        <f>IF(B55&lt;&gt;"",SUMIF('AUX-NIV1'!I:I,'AUX-NIV2'!B55,'AUX-NIV1'!Q:Q),"")</f>
        <v>0</v>
      </c>
      <c r="F55" s="327">
        <f t="shared" si="0"/>
        <v>196905.98153277466</v>
      </c>
      <c r="G55" s="327">
        <f t="shared" si="1"/>
        <v>0</v>
      </c>
      <c r="H55" s="328" t="str">
        <f t="shared" si="2"/>
        <v>E</v>
      </c>
      <c r="I55" s="325" t="s">
        <v>1597</v>
      </c>
      <c r="J55" s="329" t="str">
        <f>IF(B55&lt;&gt;"",+VLOOKUP(I55,Recursos!C:F,2,FALSE),"")</f>
        <v>HIDROGRUA MONTADA S/CAMION (6 T)</v>
      </c>
      <c r="K55" s="330" t="str">
        <f>IF(B55&lt;&gt;"",+VLOOKUP(I55,Recursos!C:F,3,FALSE),"")</f>
        <v>HR</v>
      </c>
      <c r="L55" s="327">
        <f>IF(B55&lt;&gt;"",+VLOOKUP(I55,Recursos!C:F,4,FALSE),"")</f>
        <v>2378.0722500000002</v>
      </c>
      <c r="M55" s="331">
        <v>40</v>
      </c>
      <c r="N55" s="331">
        <v>0.5</v>
      </c>
      <c r="O55" s="332">
        <f>1/M55*N55</f>
        <v>1.2500000000000001E-2</v>
      </c>
      <c r="P55" s="333">
        <f t="shared" si="13"/>
        <v>29.725903125000002</v>
      </c>
      <c r="Q55" s="327">
        <f t="shared" si="14"/>
        <v>0</v>
      </c>
      <c r="R55" s="334">
        <f t="shared" si="15"/>
        <v>0</v>
      </c>
      <c r="S55" s="358">
        <f t="shared" si="4"/>
        <v>6777.0789015505043</v>
      </c>
      <c r="T55" s="358">
        <f t="shared" si="5"/>
        <v>46.258003125000002</v>
      </c>
      <c r="U55" s="359">
        <f t="shared" si="6"/>
        <v>190082.64462809917</v>
      </c>
      <c r="V55" s="359">
        <f t="shared" si="7"/>
        <v>0</v>
      </c>
      <c r="W55" s="359">
        <f t="shared" si="8"/>
        <v>0</v>
      </c>
      <c r="X55" s="359">
        <f t="shared" si="9"/>
        <v>0</v>
      </c>
      <c r="Y55" s="320"/>
      <c r="Z55" s="321" t="str">
        <f t="shared" si="16"/>
        <v>X-ACEROPOA</v>
      </c>
      <c r="AA55" s="321" t="str">
        <f t="shared" si="17"/>
        <v>X-ACEROPOE</v>
      </c>
      <c r="AB55" s="321" t="str">
        <f t="shared" si="18"/>
        <v>X-ACEROPOM</v>
      </c>
      <c r="AC55" s="321" t="str">
        <f t="shared" si="19"/>
        <v>X-ACEROPOT</v>
      </c>
      <c r="AD55" s="321" t="str">
        <f t="shared" si="20"/>
        <v>X-ACEROPOS</v>
      </c>
      <c r="AE55" s="321" t="str">
        <f t="shared" si="21"/>
        <v>X-ACEROPOX</v>
      </c>
      <c r="AF55" s="321" t="str">
        <f t="shared" si="22"/>
        <v>X-ACEROPOE</v>
      </c>
      <c r="AG55" s="321">
        <f t="shared" si="10"/>
        <v>6</v>
      </c>
      <c r="AH55" s="321">
        <f>IF(B55&lt;&gt;"",IF(H55="x",VLOOKUP(I55,'AUX-NIV3'!B:AG,32,FALSE),0),"")</f>
        <v>0</v>
      </c>
      <c r="AI55" s="321" t="str">
        <f t="shared" si="23"/>
        <v>X-ACEROPO</v>
      </c>
      <c r="AJ55" s="320"/>
      <c r="AK55" s="322">
        <f t="shared" si="11"/>
        <v>53</v>
      </c>
      <c r="AL55" s="323">
        <f t="shared" si="24"/>
        <v>58</v>
      </c>
      <c r="AM55" s="322">
        <f t="shared" si="25"/>
        <v>3</v>
      </c>
      <c r="AN55" s="380">
        <f>IF(AND(AH55&gt;0,B55&lt;&gt;""),VLOOKUP(I55,'AUX-NIV3'!$B:$AO,39,FALSE)*O55,0)</f>
        <v>0</v>
      </c>
      <c r="AO55" s="380">
        <f t="shared" si="12"/>
        <v>16.035</v>
      </c>
      <c r="AP55" s="380"/>
    </row>
    <row r="56" spans="2:42" hidden="1">
      <c r="B56" s="324" t="s">
        <v>1257</v>
      </c>
      <c r="C56" s="325" t="s">
        <v>1302</v>
      </c>
      <c r="D56" s="326" t="s">
        <v>441</v>
      </c>
      <c r="E56" s="327">
        <f>IF(B56&lt;&gt;"",SUMIF('AUX-NIV1'!I:I,'AUX-NIV2'!B56,'AUX-NIV1'!Q:Q),"")</f>
        <v>0</v>
      </c>
      <c r="F56" s="327">
        <f t="shared" si="0"/>
        <v>196905.98153277466</v>
      </c>
      <c r="G56" s="327">
        <f t="shared" si="1"/>
        <v>0</v>
      </c>
      <c r="H56" s="328" t="str">
        <f t="shared" si="2"/>
        <v>E</v>
      </c>
      <c r="I56" s="325" t="s">
        <v>1642</v>
      </c>
      <c r="J56" s="329" t="str">
        <f>IF(B56&lt;&gt;"",+VLOOKUP(I56,Recursos!C:F,2,FALSE),"")</f>
        <v>GRUA TORRE S/RIELES (50 TM)</v>
      </c>
      <c r="K56" s="330" t="str">
        <f>IF(B56&lt;&gt;"",+VLOOKUP(I56,Recursos!C:F,3,FALSE),"")</f>
        <v>HR</v>
      </c>
      <c r="L56" s="327">
        <f>IF(B56&lt;&gt;"",+VLOOKUP(I56,Recursos!C:F,4,FALSE),"")</f>
        <v>1322.568</v>
      </c>
      <c r="M56" s="331">
        <v>40</v>
      </c>
      <c r="N56" s="331">
        <v>0.5</v>
      </c>
      <c r="O56" s="332">
        <f>1/M56*N56</f>
        <v>1.2500000000000001E-2</v>
      </c>
      <c r="P56" s="333">
        <f t="shared" si="13"/>
        <v>16.5321</v>
      </c>
      <c r="Q56" s="327">
        <f t="shared" si="14"/>
        <v>0</v>
      </c>
      <c r="R56" s="334">
        <f t="shared" si="15"/>
        <v>0</v>
      </c>
      <c r="S56" s="358">
        <f t="shared" si="4"/>
        <v>6777.0789015505043</v>
      </c>
      <c r="T56" s="358">
        <f t="shared" si="5"/>
        <v>46.258003125000002</v>
      </c>
      <c r="U56" s="359">
        <f t="shared" si="6"/>
        <v>190082.64462809917</v>
      </c>
      <c r="V56" s="359">
        <f t="shared" si="7"/>
        <v>0</v>
      </c>
      <c r="W56" s="359">
        <f t="shared" si="8"/>
        <v>0</v>
      </c>
      <c r="X56" s="359">
        <f t="shared" si="9"/>
        <v>0</v>
      </c>
      <c r="Y56" s="320"/>
      <c r="Z56" s="321" t="str">
        <f t="shared" si="16"/>
        <v>X-ACEROPOA</v>
      </c>
      <c r="AA56" s="321" t="str">
        <f t="shared" si="17"/>
        <v>X-ACEROPOE</v>
      </c>
      <c r="AB56" s="321" t="str">
        <f t="shared" si="18"/>
        <v>X-ACEROPOM</v>
      </c>
      <c r="AC56" s="321" t="str">
        <f t="shared" si="19"/>
        <v>X-ACEROPOT</v>
      </c>
      <c r="AD56" s="321" t="str">
        <f t="shared" si="20"/>
        <v>X-ACEROPOS</v>
      </c>
      <c r="AE56" s="321" t="str">
        <f t="shared" si="21"/>
        <v>X-ACEROPOX</v>
      </c>
      <c r="AF56" s="321" t="str">
        <f t="shared" si="22"/>
        <v>X-ACEROPOE</v>
      </c>
      <c r="AG56" s="321">
        <f t="shared" si="10"/>
        <v>6</v>
      </c>
      <c r="AH56" s="321">
        <f>IF(B56&lt;&gt;"",IF(H56="x",VLOOKUP(I56,'AUX-NIV3'!B:AG,32,FALSE),0),"")</f>
        <v>0</v>
      </c>
      <c r="AI56" s="321" t="str">
        <f t="shared" si="23"/>
        <v>X-ACEROPO</v>
      </c>
      <c r="AJ56" s="320"/>
      <c r="AK56" s="322">
        <f t="shared" si="11"/>
        <v>53</v>
      </c>
      <c r="AL56" s="323">
        <f t="shared" si="24"/>
        <v>58</v>
      </c>
      <c r="AM56" s="322">
        <f t="shared" si="25"/>
        <v>4</v>
      </c>
      <c r="AN56" s="380">
        <f>IF(AND(AH56&gt;0,B56&lt;&gt;""),VLOOKUP(I56,'AUX-NIV3'!$B:$AO,39,FALSE)*O56,0)</f>
        <v>0</v>
      </c>
      <c r="AO56" s="380">
        <f t="shared" si="12"/>
        <v>16.035</v>
      </c>
      <c r="AP56" s="380"/>
    </row>
    <row r="57" spans="2:42" hidden="1">
      <c r="B57" s="324" t="s">
        <v>1257</v>
      </c>
      <c r="C57" s="325" t="s">
        <v>1302</v>
      </c>
      <c r="D57" s="326" t="s">
        <v>441</v>
      </c>
      <c r="E57" s="327">
        <f>IF(B57&lt;&gt;"",SUMIF('AUX-NIV1'!I:I,'AUX-NIV2'!B57,'AUX-NIV1'!Q:Q),"")</f>
        <v>0</v>
      </c>
      <c r="F57" s="327">
        <f t="shared" si="0"/>
        <v>196905.98153277466</v>
      </c>
      <c r="G57" s="327">
        <f t="shared" si="1"/>
        <v>0</v>
      </c>
      <c r="H57" s="328" t="str">
        <f t="shared" si="2"/>
        <v>M</v>
      </c>
      <c r="I57" s="325" t="s">
        <v>439</v>
      </c>
      <c r="J57" s="329" t="str">
        <f>IF(B57&lt;&gt;"",+VLOOKUP(I57,Recursos!C:F,2,FALSE),"")</f>
        <v>ACERO TIPO ADN 420</v>
      </c>
      <c r="K57" s="330" t="str">
        <f>IF(B57&lt;&gt;"",+VLOOKUP(I57,Recursos!C:F,3,FALSE),"")</f>
        <v>tn</v>
      </c>
      <c r="L57" s="327">
        <f>IF(B57&lt;&gt;"",+VLOOKUP(I57,Recursos!C:F,4,FALSE),"")</f>
        <v>190082.64462809917</v>
      </c>
      <c r="M57" s="331">
        <v>1</v>
      </c>
      <c r="N57" s="331">
        <v>1</v>
      </c>
      <c r="O57" s="332">
        <f>+M57*N57</f>
        <v>1</v>
      </c>
      <c r="P57" s="333">
        <f t="shared" si="13"/>
        <v>190082.64462809917</v>
      </c>
      <c r="Q57" s="327">
        <f t="shared" si="14"/>
        <v>0</v>
      </c>
      <c r="R57" s="334">
        <f t="shared" si="15"/>
        <v>0</v>
      </c>
      <c r="S57" s="358">
        <f t="shared" si="4"/>
        <v>6777.0789015505043</v>
      </c>
      <c r="T57" s="358">
        <f t="shared" si="5"/>
        <v>46.258003125000002</v>
      </c>
      <c r="U57" s="359">
        <f t="shared" si="6"/>
        <v>190082.64462809917</v>
      </c>
      <c r="V57" s="359">
        <f t="shared" si="7"/>
        <v>0</v>
      </c>
      <c r="W57" s="359">
        <f t="shared" si="8"/>
        <v>0</v>
      </c>
      <c r="X57" s="359">
        <f t="shared" si="9"/>
        <v>0</v>
      </c>
      <c r="Y57" s="320"/>
      <c r="Z57" s="321" t="str">
        <f t="shared" si="16"/>
        <v>X-ACEROPOA</v>
      </c>
      <c r="AA57" s="321" t="str">
        <f t="shared" si="17"/>
        <v>X-ACEROPOE</v>
      </c>
      <c r="AB57" s="321" t="str">
        <f t="shared" si="18"/>
        <v>X-ACEROPOM</v>
      </c>
      <c r="AC57" s="321" t="str">
        <f t="shared" si="19"/>
        <v>X-ACEROPOT</v>
      </c>
      <c r="AD57" s="321" t="str">
        <f t="shared" si="20"/>
        <v>X-ACEROPOS</v>
      </c>
      <c r="AE57" s="321" t="str">
        <f t="shared" si="21"/>
        <v>X-ACEROPOX</v>
      </c>
      <c r="AF57" s="321" t="str">
        <f t="shared" si="22"/>
        <v>X-ACEROPOM</v>
      </c>
      <c r="AG57" s="321">
        <f t="shared" si="10"/>
        <v>6</v>
      </c>
      <c r="AH57" s="321">
        <f>IF(B57&lt;&gt;"",IF(H57="x",VLOOKUP(I57,'AUX-NIV3'!B:AG,32,FALSE),0),"")</f>
        <v>0</v>
      </c>
      <c r="AI57" s="321" t="str">
        <f t="shared" si="23"/>
        <v>X-ACEROPO</v>
      </c>
      <c r="AJ57" s="320"/>
      <c r="AK57" s="322">
        <f t="shared" si="11"/>
        <v>53</v>
      </c>
      <c r="AL57" s="323">
        <f t="shared" si="24"/>
        <v>58</v>
      </c>
      <c r="AM57" s="322">
        <f t="shared" si="25"/>
        <v>5</v>
      </c>
      <c r="AN57" s="380">
        <f>IF(AND(AH57&gt;0,B57&lt;&gt;""),VLOOKUP(I57,'AUX-NIV3'!$B:$AO,39,FALSE)*O57,0)</f>
        <v>0</v>
      </c>
      <c r="AO57" s="380">
        <f t="shared" si="12"/>
        <v>16.035</v>
      </c>
      <c r="AP57" s="380"/>
    </row>
    <row r="58" spans="2:42" hidden="1">
      <c r="B58" s="324" t="s">
        <v>1257</v>
      </c>
      <c r="C58" s="325" t="s">
        <v>1302</v>
      </c>
      <c r="D58" s="326" t="s">
        <v>441</v>
      </c>
      <c r="E58" s="327">
        <f>IF(B58&lt;&gt;"",SUMIF('AUX-NIV1'!I:I,'AUX-NIV2'!B58,'AUX-NIV1'!Q:Q),"")</f>
        <v>0</v>
      </c>
      <c r="F58" s="327">
        <f t="shared" si="0"/>
        <v>196905.98153277466</v>
      </c>
      <c r="G58" s="327">
        <f t="shared" si="1"/>
        <v>0</v>
      </c>
      <c r="H58" s="328" t="str">
        <f t="shared" si="2"/>
        <v>M</v>
      </c>
      <c r="I58" s="325" t="s">
        <v>504</v>
      </c>
      <c r="J58" s="329" t="str">
        <f>IF(B58&lt;&gt;"",+VLOOKUP(I58,Recursos!C:F,2,FALSE),"")</f>
        <v>CLAVO DE 2 A 4"</v>
      </c>
      <c r="K58" s="330" t="str">
        <f>IF(B58&lt;&gt;"",+VLOOKUP(I58,Recursos!C:F,3,FALSE),"")</f>
        <v>Kg</v>
      </c>
      <c r="L58" s="327">
        <f>IF(B58&lt;&gt;"",+VLOOKUP(I58,Recursos!C:F,4,FALSE),"")</f>
        <v>566.11570247933889</v>
      </c>
      <c r="M58" s="331">
        <v>0</v>
      </c>
      <c r="N58" s="331">
        <v>0</v>
      </c>
      <c r="O58" s="332">
        <f>+M58*N58</f>
        <v>0</v>
      </c>
      <c r="P58" s="333">
        <f t="shared" si="13"/>
        <v>0</v>
      </c>
      <c r="Q58" s="327">
        <f t="shared" si="14"/>
        <v>0</v>
      </c>
      <c r="R58" s="334">
        <f t="shared" si="15"/>
        <v>0</v>
      </c>
      <c r="S58" s="358">
        <f t="shared" si="4"/>
        <v>6777.0789015505043</v>
      </c>
      <c r="T58" s="358">
        <f t="shared" si="5"/>
        <v>46.258003125000002</v>
      </c>
      <c r="U58" s="359">
        <f t="shared" si="6"/>
        <v>190082.64462809917</v>
      </c>
      <c r="V58" s="359">
        <f t="shared" si="7"/>
        <v>0</v>
      </c>
      <c r="W58" s="359">
        <f t="shared" si="8"/>
        <v>0</v>
      </c>
      <c r="X58" s="359">
        <f t="shared" si="9"/>
        <v>0</v>
      </c>
      <c r="Y58" s="320"/>
      <c r="Z58" s="321" t="str">
        <f t="shared" si="16"/>
        <v>X-ACEROPOA</v>
      </c>
      <c r="AA58" s="321" t="str">
        <f t="shared" si="17"/>
        <v>X-ACEROPOE</v>
      </c>
      <c r="AB58" s="321" t="str">
        <f t="shared" si="18"/>
        <v>X-ACEROPOM</v>
      </c>
      <c r="AC58" s="321" t="str">
        <f t="shared" si="19"/>
        <v>X-ACEROPOT</v>
      </c>
      <c r="AD58" s="321" t="str">
        <f t="shared" si="20"/>
        <v>X-ACEROPOS</v>
      </c>
      <c r="AE58" s="321" t="str">
        <f t="shared" si="21"/>
        <v>X-ACEROPOX</v>
      </c>
      <c r="AF58" s="321" t="str">
        <f t="shared" si="22"/>
        <v>X-ACEROPOM</v>
      </c>
      <c r="AG58" s="321">
        <f t="shared" si="10"/>
        <v>6</v>
      </c>
      <c r="AH58" s="321">
        <f>IF(B58&lt;&gt;"",IF(H58="x",VLOOKUP(I58,'AUX-NIV3'!B:AG,32,FALSE),0),"")</f>
        <v>0</v>
      </c>
      <c r="AI58" s="321" t="str">
        <f t="shared" si="23"/>
        <v>X-ACEROPO</v>
      </c>
      <c r="AJ58" s="320"/>
      <c r="AK58" s="322">
        <f t="shared" si="11"/>
        <v>53</v>
      </c>
      <c r="AL58" s="323">
        <f t="shared" si="24"/>
        <v>58</v>
      </c>
      <c r="AM58" s="322">
        <f t="shared" si="25"/>
        <v>6</v>
      </c>
      <c r="AN58" s="380">
        <f>IF(AND(AH58&gt;0,B58&lt;&gt;""),VLOOKUP(I58,'AUX-NIV3'!$B:$AO,39,FALSE)*O58,0)</f>
        <v>0</v>
      </c>
      <c r="AO58" s="380">
        <f t="shared" si="12"/>
        <v>16.035</v>
      </c>
      <c r="AP58" s="380"/>
    </row>
    <row r="59" spans="2:42" hidden="1">
      <c r="B59" s="324" t="s">
        <v>1258</v>
      </c>
      <c r="C59" s="325" t="s">
        <v>1303</v>
      </c>
      <c r="D59" s="326" t="s">
        <v>441</v>
      </c>
      <c r="E59" s="327">
        <f>IF(B59&lt;&gt;"",SUMIF('AUX-NIV1'!I:I,'AUX-NIV2'!B59,'AUX-NIV1'!Q:Q),"")</f>
        <v>0</v>
      </c>
      <c r="F59" s="327">
        <f t="shared" si="0"/>
        <v>5738.4992568333619</v>
      </c>
      <c r="G59" s="327">
        <f t="shared" si="1"/>
        <v>0</v>
      </c>
      <c r="H59" s="328" t="str">
        <f t="shared" si="2"/>
        <v>A</v>
      </c>
      <c r="I59" s="325" t="s">
        <v>1745</v>
      </c>
      <c r="J59" s="329" t="str">
        <f>IF(B59&lt;&gt;"",+VLOOKUP(I59,Recursos!C:F,2,FALSE),"")</f>
        <v>AYUDANTE</v>
      </c>
      <c r="K59" s="330" t="str">
        <f>IF(B59&lt;&gt;"",+VLOOKUP(I59,Recursos!C:F,3,FALSE),"")</f>
        <v>hh</v>
      </c>
      <c r="L59" s="327">
        <f>IF(B59&lt;&gt;"",+VLOOKUP(I59,Recursos!C:F,4,FALSE),"")</f>
        <v>422.48042769667234</v>
      </c>
      <c r="M59" s="331">
        <v>4</v>
      </c>
      <c r="N59" s="331">
        <v>1</v>
      </c>
      <c r="O59" s="332">
        <f>+M59*N59</f>
        <v>4</v>
      </c>
      <c r="P59" s="333">
        <f t="shared" si="13"/>
        <v>1689.9217107866893</v>
      </c>
      <c r="Q59" s="327">
        <f t="shared" si="14"/>
        <v>0</v>
      </c>
      <c r="R59" s="334">
        <f t="shared" si="15"/>
        <v>0</v>
      </c>
      <c r="S59" s="358">
        <f t="shared" si="4"/>
        <v>5513.9892568333617</v>
      </c>
      <c r="T59" s="358">
        <f t="shared" si="5"/>
        <v>224.51</v>
      </c>
      <c r="U59" s="359">
        <f t="shared" si="6"/>
        <v>0</v>
      </c>
      <c r="V59" s="359">
        <f t="shared" si="7"/>
        <v>0</v>
      </c>
      <c r="W59" s="359">
        <f t="shared" si="8"/>
        <v>0</v>
      </c>
      <c r="X59" s="359">
        <f t="shared" si="9"/>
        <v>0</v>
      </c>
      <c r="Y59" s="320"/>
      <c r="Z59" s="321" t="str">
        <f t="shared" si="16"/>
        <v>X-ACEROcdA</v>
      </c>
      <c r="AA59" s="321" t="str">
        <f t="shared" si="17"/>
        <v>X-ACEROcdE</v>
      </c>
      <c r="AB59" s="321" t="str">
        <f t="shared" si="18"/>
        <v>X-ACEROcdM</v>
      </c>
      <c r="AC59" s="321" t="str">
        <f t="shared" si="19"/>
        <v>X-ACEROcdT</v>
      </c>
      <c r="AD59" s="321" t="str">
        <f t="shared" si="20"/>
        <v>X-ACEROcdS</v>
      </c>
      <c r="AE59" s="321" t="str">
        <f t="shared" si="21"/>
        <v>X-ACEROcdX</v>
      </c>
      <c r="AF59" s="321" t="str">
        <f t="shared" si="22"/>
        <v>X-ACEROcdA</v>
      </c>
      <c r="AG59" s="321">
        <f t="shared" si="10"/>
        <v>5</v>
      </c>
      <c r="AH59" s="321">
        <f>IF(B59&lt;&gt;"",IF(H59="x",VLOOKUP(I59,'AUX-NIV3'!B:AG,32,FALSE),0),"")</f>
        <v>0</v>
      </c>
      <c r="AI59" s="321" t="str">
        <f t="shared" si="23"/>
        <v>X-ACEROcd</v>
      </c>
      <c r="AJ59" s="320"/>
      <c r="AK59" s="322">
        <f t="shared" si="11"/>
        <v>59</v>
      </c>
      <c r="AL59" s="323">
        <f t="shared" si="24"/>
        <v>63</v>
      </c>
      <c r="AM59" s="322">
        <f t="shared" si="25"/>
        <v>1</v>
      </c>
      <c r="AN59" s="380">
        <f>IF(AND(AH59&gt;0,B59&lt;&gt;""),VLOOKUP(I59,'AUX-NIV3'!$B:$AO,39,FALSE)*O59,0)</f>
        <v>0</v>
      </c>
      <c r="AO59" s="380">
        <f t="shared" si="12"/>
        <v>12</v>
      </c>
      <c r="AP59" s="380"/>
    </row>
    <row r="60" spans="2:42" hidden="1">
      <c r="B60" s="324" t="s">
        <v>1258</v>
      </c>
      <c r="C60" s="325" t="s">
        <v>1303</v>
      </c>
      <c r="D60" s="326" t="s">
        <v>441</v>
      </c>
      <c r="E60" s="327">
        <f>IF(B60&lt;&gt;"",SUMIF('AUX-NIV1'!I:I,'AUX-NIV2'!B60,'AUX-NIV1'!Q:Q),"")</f>
        <v>0</v>
      </c>
      <c r="F60" s="327">
        <f t="shared" si="0"/>
        <v>5738.4992568333619</v>
      </c>
      <c r="G60" s="327">
        <f t="shared" si="1"/>
        <v>0</v>
      </c>
      <c r="H60" s="328" t="str">
        <f t="shared" si="2"/>
        <v>A</v>
      </c>
      <c r="I60" s="325" t="s">
        <v>3309</v>
      </c>
      <c r="J60" s="329" t="str">
        <f>IF(B60&lt;&gt;"",+VLOOKUP(I60,Recursos!C:F,2,FALSE),"")</f>
        <v>MEDIO OFICIAL</v>
      </c>
      <c r="K60" s="330" t="str">
        <f>IF(B60&lt;&gt;"",+VLOOKUP(I60,Recursos!C:F,3,FALSE),"")</f>
        <v>hh</v>
      </c>
      <c r="L60" s="327">
        <f>IF(B60&lt;&gt;"",+VLOOKUP(I60,Recursos!C:F,4,FALSE),"")</f>
        <v>459.10093211890984</v>
      </c>
      <c r="M60" s="331">
        <v>4</v>
      </c>
      <c r="N60" s="331">
        <v>1</v>
      </c>
      <c r="O60" s="332">
        <f>+M60*N60</f>
        <v>4</v>
      </c>
      <c r="P60" s="333">
        <f t="shared" si="13"/>
        <v>1836.4037284756394</v>
      </c>
      <c r="Q60" s="327">
        <f t="shared" si="14"/>
        <v>0</v>
      </c>
      <c r="R60" s="334">
        <f t="shared" si="15"/>
        <v>0</v>
      </c>
      <c r="S60" s="358">
        <f t="shared" si="4"/>
        <v>5513.9892568333617</v>
      </c>
      <c r="T60" s="358">
        <f t="shared" si="5"/>
        <v>224.51</v>
      </c>
      <c r="U60" s="359">
        <f t="shared" si="6"/>
        <v>0</v>
      </c>
      <c r="V60" s="359">
        <f t="shared" si="7"/>
        <v>0</v>
      </c>
      <c r="W60" s="359">
        <f t="shared" si="8"/>
        <v>0</v>
      </c>
      <c r="X60" s="359">
        <f t="shared" si="9"/>
        <v>0</v>
      </c>
      <c r="Y60" s="320"/>
      <c r="Z60" s="321" t="str">
        <f t="shared" si="16"/>
        <v>X-ACEROcdA</v>
      </c>
      <c r="AA60" s="321" t="str">
        <f t="shared" si="17"/>
        <v>X-ACEROcdE</v>
      </c>
      <c r="AB60" s="321" t="str">
        <f t="shared" si="18"/>
        <v>X-ACEROcdM</v>
      </c>
      <c r="AC60" s="321" t="str">
        <f t="shared" si="19"/>
        <v>X-ACEROcdT</v>
      </c>
      <c r="AD60" s="321" t="str">
        <f t="shared" si="20"/>
        <v>X-ACEROcdS</v>
      </c>
      <c r="AE60" s="321" t="str">
        <f t="shared" si="21"/>
        <v>X-ACEROcdX</v>
      </c>
      <c r="AF60" s="321" t="str">
        <f t="shared" si="22"/>
        <v>X-ACEROcdA</v>
      </c>
      <c r="AG60" s="321">
        <f t="shared" si="10"/>
        <v>5</v>
      </c>
      <c r="AH60" s="321">
        <f>IF(B60&lt;&gt;"",IF(H60="x",VLOOKUP(I60,'AUX-NIV3'!B:AG,32,FALSE),0),"")</f>
        <v>0</v>
      </c>
      <c r="AI60" s="321" t="str">
        <f t="shared" si="23"/>
        <v>X-ACEROcd</v>
      </c>
      <c r="AJ60" s="320"/>
      <c r="AK60" s="322">
        <f t="shared" si="11"/>
        <v>59</v>
      </c>
      <c r="AL60" s="323">
        <f t="shared" si="24"/>
        <v>63</v>
      </c>
      <c r="AM60" s="322">
        <f t="shared" si="25"/>
        <v>2</v>
      </c>
      <c r="AN60" s="380">
        <f>IF(AND(AH60&gt;0,B60&lt;&gt;""),VLOOKUP(I60,'AUX-NIV3'!$B:$AO,39,FALSE)*O60,0)</f>
        <v>0</v>
      </c>
      <c r="AO60" s="380">
        <f t="shared" si="12"/>
        <v>12</v>
      </c>
      <c r="AP60" s="380"/>
    </row>
    <row r="61" spans="2:42" hidden="1">
      <c r="B61" s="324" t="s">
        <v>1258</v>
      </c>
      <c r="C61" s="325" t="s">
        <v>1303</v>
      </c>
      <c r="D61" s="326" t="s">
        <v>441</v>
      </c>
      <c r="E61" s="327">
        <f>IF(B61&lt;&gt;"",SUMIF('AUX-NIV1'!I:I,'AUX-NIV2'!B61,'AUX-NIV1'!Q:Q),"")</f>
        <v>0</v>
      </c>
      <c r="F61" s="327">
        <f t="shared" si="0"/>
        <v>5738.4992568333619</v>
      </c>
      <c r="G61" s="327">
        <f t="shared" si="1"/>
        <v>0</v>
      </c>
      <c r="H61" s="328" t="str">
        <f t="shared" si="2"/>
        <v>A</v>
      </c>
      <c r="I61" s="325" t="s">
        <v>1746</v>
      </c>
      <c r="J61" s="329" t="str">
        <f>IF(B61&lt;&gt;"",+VLOOKUP(I61,Recursos!C:F,2,FALSE),"")</f>
        <v>OFICIAL</v>
      </c>
      <c r="K61" s="330" t="str">
        <f>IF(B61&lt;&gt;"",+VLOOKUP(I61,Recursos!C:F,3,FALSE),"")</f>
        <v>hh</v>
      </c>
      <c r="L61" s="327">
        <f>IF(B61&lt;&gt;"",+VLOOKUP(I61,Recursos!C:F,4,FALSE),"")</f>
        <v>496.91595439275824</v>
      </c>
      <c r="M61" s="331">
        <v>4</v>
      </c>
      <c r="N61" s="331">
        <v>1</v>
      </c>
      <c r="O61" s="332">
        <f>+M61*N61</f>
        <v>4</v>
      </c>
      <c r="P61" s="333">
        <f t="shared" si="13"/>
        <v>1987.663817571033</v>
      </c>
      <c r="Q61" s="327">
        <f t="shared" si="14"/>
        <v>0</v>
      </c>
      <c r="R61" s="334">
        <f t="shared" si="15"/>
        <v>0</v>
      </c>
      <c r="S61" s="358">
        <f t="shared" si="4"/>
        <v>5513.9892568333617</v>
      </c>
      <c r="T61" s="358">
        <f t="shared" si="5"/>
        <v>224.51</v>
      </c>
      <c r="U61" s="359">
        <f t="shared" si="6"/>
        <v>0</v>
      </c>
      <c r="V61" s="359">
        <f t="shared" si="7"/>
        <v>0</v>
      </c>
      <c r="W61" s="359">
        <f t="shared" si="8"/>
        <v>0</v>
      </c>
      <c r="X61" s="359">
        <f t="shared" si="9"/>
        <v>0</v>
      </c>
      <c r="Y61" s="320"/>
      <c r="Z61" s="321" t="str">
        <f t="shared" si="16"/>
        <v>X-ACEROcdA</v>
      </c>
      <c r="AA61" s="321" t="str">
        <f t="shared" si="17"/>
        <v>X-ACEROcdE</v>
      </c>
      <c r="AB61" s="321" t="str">
        <f t="shared" si="18"/>
        <v>X-ACEROcdM</v>
      </c>
      <c r="AC61" s="321" t="str">
        <f t="shared" si="19"/>
        <v>X-ACEROcdT</v>
      </c>
      <c r="AD61" s="321" t="str">
        <f t="shared" si="20"/>
        <v>X-ACEROcdS</v>
      </c>
      <c r="AE61" s="321" t="str">
        <f t="shared" si="21"/>
        <v>X-ACEROcdX</v>
      </c>
      <c r="AF61" s="321" t="str">
        <f t="shared" si="22"/>
        <v>X-ACEROcdA</v>
      </c>
      <c r="AG61" s="321">
        <f t="shared" si="10"/>
        <v>5</v>
      </c>
      <c r="AH61" s="321">
        <f>IF(B61&lt;&gt;"",IF(H61="x",VLOOKUP(I61,'AUX-NIV3'!B:AG,32,FALSE),0),"")</f>
        <v>0</v>
      </c>
      <c r="AI61" s="321" t="str">
        <f t="shared" si="23"/>
        <v>X-ACEROcd</v>
      </c>
      <c r="AJ61" s="320"/>
      <c r="AK61" s="322">
        <f t="shared" si="11"/>
        <v>59</v>
      </c>
      <c r="AL61" s="323">
        <f t="shared" si="24"/>
        <v>63</v>
      </c>
      <c r="AM61" s="322">
        <f t="shared" si="25"/>
        <v>3</v>
      </c>
      <c r="AN61" s="380">
        <f>IF(AND(AH61&gt;0,B61&lt;&gt;""),VLOOKUP(I61,'AUX-NIV3'!$B:$AO,39,FALSE)*O61,0)</f>
        <v>0</v>
      </c>
      <c r="AO61" s="380">
        <f t="shared" si="12"/>
        <v>12</v>
      </c>
      <c r="AP61" s="380"/>
    </row>
    <row r="62" spans="2:42" hidden="1">
      <c r="B62" s="324" t="s">
        <v>1258</v>
      </c>
      <c r="C62" s="325" t="s">
        <v>1303</v>
      </c>
      <c r="D62" s="326" t="s">
        <v>441</v>
      </c>
      <c r="E62" s="327">
        <f>IF(B62&lt;&gt;"",SUMIF('AUX-NIV1'!I:I,'AUX-NIV2'!B62,'AUX-NIV1'!Q:Q),"")</f>
        <v>0</v>
      </c>
      <c r="F62" s="327">
        <f t="shared" si="0"/>
        <v>5738.4992568333619</v>
      </c>
      <c r="G62" s="327">
        <f t="shared" si="1"/>
        <v>0</v>
      </c>
      <c r="H62" s="328" t="str">
        <f t="shared" si="2"/>
        <v>E</v>
      </c>
      <c r="I62" s="325" t="s">
        <v>1640</v>
      </c>
      <c r="J62" s="329" t="str">
        <f>IF(B62&lt;&gt;"",+VLOOKUP(I62,Recursos!C:F,2,FALSE),"")</f>
        <v>CORTADORA Y DOBLADORA Fe 4,0 T/h</v>
      </c>
      <c r="K62" s="330" t="str">
        <f>IF(B62&lt;&gt;"",+VLOOKUP(I62,Recursos!C:F,3,FALSE),"")</f>
        <v>HR</v>
      </c>
      <c r="L62" s="327">
        <f>IF(B62&lt;&gt;"",+VLOOKUP(I62,Recursos!C:F,4,FALSE),"")</f>
        <v>898.04</v>
      </c>
      <c r="M62" s="331">
        <v>4</v>
      </c>
      <c r="N62" s="331">
        <v>1</v>
      </c>
      <c r="O62" s="332">
        <f>+N62/M62</f>
        <v>0.25</v>
      </c>
      <c r="P62" s="333">
        <f t="shared" si="13"/>
        <v>224.51</v>
      </c>
      <c r="Q62" s="327">
        <f t="shared" si="14"/>
        <v>0</v>
      </c>
      <c r="R62" s="334">
        <f t="shared" si="15"/>
        <v>0</v>
      </c>
      <c r="S62" s="358">
        <f t="shared" si="4"/>
        <v>5513.9892568333617</v>
      </c>
      <c r="T62" s="358">
        <f t="shared" si="5"/>
        <v>224.51</v>
      </c>
      <c r="U62" s="359">
        <f t="shared" si="6"/>
        <v>0</v>
      </c>
      <c r="V62" s="359">
        <f t="shared" si="7"/>
        <v>0</v>
      </c>
      <c r="W62" s="359">
        <f t="shared" si="8"/>
        <v>0</v>
      </c>
      <c r="X62" s="359">
        <f t="shared" si="9"/>
        <v>0</v>
      </c>
      <c r="Y62" s="320"/>
      <c r="Z62" s="321" t="str">
        <f t="shared" si="16"/>
        <v>X-ACEROcdA</v>
      </c>
      <c r="AA62" s="321" t="str">
        <f t="shared" si="17"/>
        <v>X-ACEROcdE</v>
      </c>
      <c r="AB62" s="321" t="str">
        <f t="shared" si="18"/>
        <v>X-ACEROcdM</v>
      </c>
      <c r="AC62" s="321" t="str">
        <f t="shared" si="19"/>
        <v>X-ACEROcdT</v>
      </c>
      <c r="AD62" s="321" t="str">
        <f t="shared" si="20"/>
        <v>X-ACEROcdS</v>
      </c>
      <c r="AE62" s="321" t="str">
        <f t="shared" si="21"/>
        <v>X-ACEROcdX</v>
      </c>
      <c r="AF62" s="321" t="str">
        <f t="shared" si="22"/>
        <v>X-ACEROcdE</v>
      </c>
      <c r="AG62" s="321">
        <f t="shared" si="10"/>
        <v>5</v>
      </c>
      <c r="AH62" s="321">
        <f>IF(B62&lt;&gt;"",IF(H62="x",VLOOKUP(I62,'AUX-NIV3'!B:AG,32,FALSE),0),"")</f>
        <v>0</v>
      </c>
      <c r="AI62" s="321" t="str">
        <f t="shared" si="23"/>
        <v>X-ACEROcd</v>
      </c>
      <c r="AJ62" s="320"/>
      <c r="AK62" s="322">
        <f t="shared" si="11"/>
        <v>59</v>
      </c>
      <c r="AL62" s="323">
        <f t="shared" si="24"/>
        <v>63</v>
      </c>
      <c r="AM62" s="322">
        <f t="shared" si="25"/>
        <v>4</v>
      </c>
      <c r="AN62" s="380">
        <f>IF(AND(AH62&gt;0,B62&lt;&gt;""),VLOOKUP(I62,'AUX-NIV3'!$B:$AO,39,FALSE)*O62,0)</f>
        <v>0</v>
      </c>
      <c r="AO62" s="380">
        <f t="shared" si="12"/>
        <v>12</v>
      </c>
      <c r="AP62" s="380"/>
    </row>
    <row r="63" spans="2:42" hidden="1">
      <c r="B63" s="324" t="s">
        <v>1258</v>
      </c>
      <c r="C63" s="325" t="s">
        <v>1303</v>
      </c>
      <c r="D63" s="326" t="s">
        <v>441</v>
      </c>
      <c r="E63" s="327">
        <f>IF(B63&lt;&gt;"",SUMIF('AUX-NIV1'!I:I,'AUX-NIV2'!B63,'AUX-NIV1'!Q:Q),"")</f>
        <v>0</v>
      </c>
      <c r="F63" s="327">
        <f t="shared" si="0"/>
        <v>5738.4992568333619</v>
      </c>
      <c r="G63" s="327">
        <f t="shared" si="1"/>
        <v>0</v>
      </c>
      <c r="H63" s="328" t="str">
        <f t="shared" si="2"/>
        <v>M</v>
      </c>
      <c r="I63" s="325" t="s">
        <v>621</v>
      </c>
      <c r="J63" s="329" t="str">
        <f>IF(B63&lt;&gt;"",+VLOOKUP(I63,Recursos!C:F,2,FALSE),"")</f>
        <v>MATERIALES VARIOS</v>
      </c>
      <c r="K63" s="330" t="str">
        <f>IF(B63&lt;&gt;"",+VLOOKUP(I63,Recursos!C:F,3,FALSE),"")</f>
        <v>GL</v>
      </c>
      <c r="L63" s="327">
        <f>IF(B63&lt;&gt;"",+VLOOKUP(I63,Recursos!C:F,4,FALSE),"")</f>
        <v>0.5</v>
      </c>
      <c r="M63" s="331">
        <v>0</v>
      </c>
      <c r="N63" s="331">
        <v>0</v>
      </c>
      <c r="O63" s="332">
        <f>+M63*N63</f>
        <v>0</v>
      </c>
      <c r="P63" s="333">
        <f t="shared" si="13"/>
        <v>0</v>
      </c>
      <c r="Q63" s="327">
        <f t="shared" si="14"/>
        <v>0</v>
      </c>
      <c r="R63" s="334">
        <f t="shared" si="15"/>
        <v>0</v>
      </c>
      <c r="S63" s="358">
        <f t="shared" si="4"/>
        <v>5513.9892568333617</v>
      </c>
      <c r="T63" s="358">
        <f t="shared" si="5"/>
        <v>224.51</v>
      </c>
      <c r="U63" s="359">
        <f t="shared" si="6"/>
        <v>0</v>
      </c>
      <c r="V63" s="359">
        <f t="shared" si="7"/>
        <v>0</v>
      </c>
      <c r="W63" s="359">
        <f t="shared" si="8"/>
        <v>0</v>
      </c>
      <c r="X63" s="359">
        <f t="shared" si="9"/>
        <v>0</v>
      </c>
      <c r="Y63" s="320"/>
      <c r="Z63" s="321" t="str">
        <f t="shared" si="16"/>
        <v>X-ACEROcdA</v>
      </c>
      <c r="AA63" s="321" t="str">
        <f t="shared" si="17"/>
        <v>X-ACEROcdE</v>
      </c>
      <c r="AB63" s="321" t="str">
        <f t="shared" si="18"/>
        <v>X-ACEROcdM</v>
      </c>
      <c r="AC63" s="321" t="str">
        <f t="shared" si="19"/>
        <v>X-ACEROcdT</v>
      </c>
      <c r="AD63" s="321" t="str">
        <f t="shared" si="20"/>
        <v>X-ACEROcdS</v>
      </c>
      <c r="AE63" s="321" t="str">
        <f t="shared" si="21"/>
        <v>X-ACEROcdX</v>
      </c>
      <c r="AF63" s="321" t="str">
        <f t="shared" si="22"/>
        <v>X-ACEROcdM</v>
      </c>
      <c r="AG63" s="321">
        <f t="shared" si="10"/>
        <v>5</v>
      </c>
      <c r="AH63" s="321">
        <f>IF(B63&lt;&gt;"",IF(H63="x",VLOOKUP(I63,'AUX-NIV3'!B:AG,32,FALSE),0),"")</f>
        <v>0</v>
      </c>
      <c r="AI63" s="321" t="str">
        <f t="shared" si="23"/>
        <v>X-ACEROcd</v>
      </c>
      <c r="AJ63" s="320"/>
      <c r="AK63" s="322">
        <f t="shared" si="11"/>
        <v>59</v>
      </c>
      <c r="AL63" s="323">
        <f t="shared" si="24"/>
        <v>63</v>
      </c>
      <c r="AM63" s="322">
        <f t="shared" si="25"/>
        <v>5</v>
      </c>
      <c r="AN63" s="380">
        <f>IF(AND(AH63&gt;0,B63&lt;&gt;""),VLOOKUP(I63,'AUX-NIV3'!$B:$AO,39,FALSE)*O63,0)</f>
        <v>0</v>
      </c>
      <c r="AO63" s="380">
        <f t="shared" si="12"/>
        <v>12</v>
      </c>
      <c r="AP63" s="380"/>
    </row>
    <row r="64" spans="2:42" hidden="1">
      <c r="B64" s="324" t="s">
        <v>1259</v>
      </c>
      <c r="C64" s="325" t="s">
        <v>1304</v>
      </c>
      <c r="D64" s="326" t="s">
        <v>441</v>
      </c>
      <c r="E64" s="327">
        <f>IF(B64&lt;&gt;"",SUMIF('AUX-NIV1'!I:I,'AUX-NIV2'!B64,'AUX-NIV1'!Q:Q),"")</f>
        <v>0</v>
      </c>
      <c r="F64" s="327">
        <f t="shared" si="0"/>
        <v>1468.5768159616337</v>
      </c>
      <c r="G64" s="327">
        <f t="shared" si="1"/>
        <v>0</v>
      </c>
      <c r="H64" s="328" t="str">
        <f t="shared" si="2"/>
        <v>A</v>
      </c>
      <c r="I64" s="325" t="s">
        <v>1745</v>
      </c>
      <c r="J64" s="329" t="str">
        <f>IF(B64&lt;&gt;"",+VLOOKUP(I64,Recursos!C:F,2,FALSE),"")</f>
        <v>AYUDANTE</v>
      </c>
      <c r="K64" s="330" t="str">
        <f>IF(B64&lt;&gt;"",+VLOOKUP(I64,Recursos!C:F,3,FALSE),"")</f>
        <v>hh</v>
      </c>
      <c r="L64" s="327">
        <f>IF(B64&lt;&gt;"",+VLOOKUP(I64,Recursos!C:F,4,FALSE),"")</f>
        <v>422.48042769667234</v>
      </c>
      <c r="M64" s="331">
        <v>4</v>
      </c>
      <c r="N64" s="331">
        <v>1</v>
      </c>
      <c r="O64" s="332">
        <f>+N64/M64</f>
        <v>0.25</v>
      </c>
      <c r="P64" s="333">
        <f t="shared" si="13"/>
        <v>105.62010692416808</v>
      </c>
      <c r="Q64" s="327">
        <f t="shared" si="14"/>
        <v>0</v>
      </c>
      <c r="R64" s="334">
        <f t="shared" si="15"/>
        <v>0</v>
      </c>
      <c r="S64" s="358">
        <f t="shared" si="4"/>
        <v>279.54069096163346</v>
      </c>
      <c r="T64" s="358">
        <f t="shared" si="5"/>
        <v>1189.0361250000001</v>
      </c>
      <c r="U64" s="359">
        <f t="shared" si="6"/>
        <v>0</v>
      </c>
      <c r="V64" s="359">
        <f t="shared" si="7"/>
        <v>0</v>
      </c>
      <c r="W64" s="359">
        <f t="shared" si="8"/>
        <v>0</v>
      </c>
      <c r="X64" s="359">
        <f t="shared" si="9"/>
        <v>0</v>
      </c>
      <c r="Y64" s="320"/>
      <c r="Z64" s="321" t="str">
        <f t="shared" si="16"/>
        <v>X-ACEROtrA</v>
      </c>
      <c r="AA64" s="321" t="str">
        <f t="shared" si="17"/>
        <v>X-ACEROtrE</v>
      </c>
      <c r="AB64" s="321" t="str">
        <f t="shared" si="18"/>
        <v>X-ACEROtrM</v>
      </c>
      <c r="AC64" s="321" t="str">
        <f t="shared" si="19"/>
        <v>X-ACEROtrT</v>
      </c>
      <c r="AD64" s="321" t="str">
        <f t="shared" si="20"/>
        <v>X-ACEROtrS</v>
      </c>
      <c r="AE64" s="321" t="str">
        <f t="shared" si="21"/>
        <v>X-ACEROtrX</v>
      </c>
      <c r="AF64" s="321" t="str">
        <f t="shared" si="22"/>
        <v>X-ACEROtrA</v>
      </c>
      <c r="AG64" s="321">
        <f t="shared" si="10"/>
        <v>5</v>
      </c>
      <c r="AH64" s="321">
        <f>IF(B64&lt;&gt;"",IF(H64="x",VLOOKUP(I64,'AUX-NIV3'!B:AG,32,FALSE),0),"")</f>
        <v>0</v>
      </c>
      <c r="AI64" s="321" t="str">
        <f t="shared" si="23"/>
        <v>X-ACEROtr</v>
      </c>
      <c r="AJ64" s="320"/>
      <c r="AK64" s="322">
        <f t="shared" si="11"/>
        <v>64</v>
      </c>
      <c r="AL64" s="323">
        <f t="shared" si="24"/>
        <v>68</v>
      </c>
      <c r="AM64" s="322">
        <f t="shared" si="25"/>
        <v>1</v>
      </c>
      <c r="AN64" s="380">
        <f>IF(AND(AH64&gt;0,B64&lt;&gt;""),VLOOKUP(I64,'AUX-NIV3'!$B:$AO,39,FALSE)*O64,0)</f>
        <v>0</v>
      </c>
      <c r="AO64" s="380">
        <f t="shared" si="12"/>
        <v>0.6</v>
      </c>
      <c r="AP64" s="380"/>
    </row>
    <row r="65" spans="2:42" hidden="1">
      <c r="B65" s="324" t="s">
        <v>1259</v>
      </c>
      <c r="C65" s="325" t="s">
        <v>1304</v>
      </c>
      <c r="D65" s="326" t="s">
        <v>441</v>
      </c>
      <c r="E65" s="327">
        <f>IF(B65&lt;&gt;"",SUMIF('AUX-NIV1'!I:I,'AUX-NIV2'!B65,'AUX-NIV1'!Q:Q),"")</f>
        <v>0</v>
      </c>
      <c r="F65" s="327">
        <f t="shared" si="0"/>
        <v>1468.5768159616337</v>
      </c>
      <c r="G65" s="327">
        <f t="shared" si="1"/>
        <v>0</v>
      </c>
      <c r="H65" s="328" t="str">
        <f t="shared" si="2"/>
        <v>A</v>
      </c>
      <c r="I65" s="325" t="s">
        <v>3312</v>
      </c>
      <c r="J65" s="329" t="str">
        <f>IF(B65&lt;&gt;"",+VLOOKUP(I65,Recursos!C:F,2,FALSE),"")</f>
        <v>CHOFER</v>
      </c>
      <c r="K65" s="330" t="str">
        <f>IF(B65&lt;&gt;"",+VLOOKUP(I65,Recursos!C:F,3,FALSE),"")</f>
        <v>hh</v>
      </c>
      <c r="L65" s="327">
        <f>IF(B65&lt;&gt;"",+VLOOKUP(I65,Recursos!C:F,4,FALSE),"")</f>
        <v>496.91595439275824</v>
      </c>
      <c r="M65" s="331">
        <v>4</v>
      </c>
      <c r="N65" s="331">
        <v>1.4</v>
      </c>
      <c r="O65" s="332">
        <f>+N65/M65</f>
        <v>0.35</v>
      </c>
      <c r="P65" s="333">
        <f t="shared" si="13"/>
        <v>173.92058403746537</v>
      </c>
      <c r="Q65" s="327">
        <f t="shared" si="14"/>
        <v>0</v>
      </c>
      <c r="R65" s="334">
        <f t="shared" si="15"/>
        <v>0</v>
      </c>
      <c r="S65" s="358">
        <f t="shared" si="4"/>
        <v>279.54069096163346</v>
      </c>
      <c r="T65" s="358">
        <f t="shared" si="5"/>
        <v>1189.0361250000001</v>
      </c>
      <c r="U65" s="359">
        <f t="shared" si="6"/>
        <v>0</v>
      </c>
      <c r="V65" s="359">
        <f t="shared" si="7"/>
        <v>0</v>
      </c>
      <c r="W65" s="359">
        <f t="shared" si="8"/>
        <v>0</v>
      </c>
      <c r="X65" s="359">
        <f t="shared" si="9"/>
        <v>0</v>
      </c>
      <c r="Y65" s="320"/>
      <c r="Z65" s="321" t="str">
        <f t="shared" si="16"/>
        <v>X-ACEROtrA</v>
      </c>
      <c r="AA65" s="321" t="str">
        <f t="shared" si="17"/>
        <v>X-ACEROtrE</v>
      </c>
      <c r="AB65" s="321" t="str">
        <f t="shared" si="18"/>
        <v>X-ACEROtrM</v>
      </c>
      <c r="AC65" s="321" t="str">
        <f t="shared" si="19"/>
        <v>X-ACEROtrT</v>
      </c>
      <c r="AD65" s="321" t="str">
        <f t="shared" si="20"/>
        <v>X-ACEROtrS</v>
      </c>
      <c r="AE65" s="321" t="str">
        <f t="shared" si="21"/>
        <v>X-ACEROtrX</v>
      </c>
      <c r="AF65" s="321" t="str">
        <f t="shared" si="22"/>
        <v>X-ACEROtrA</v>
      </c>
      <c r="AG65" s="321">
        <f t="shared" si="10"/>
        <v>5</v>
      </c>
      <c r="AH65" s="321">
        <f>IF(B65&lt;&gt;"",IF(H65="x",VLOOKUP(I65,'AUX-NIV3'!B:AG,32,FALSE),0),"")</f>
        <v>0</v>
      </c>
      <c r="AI65" s="321" t="str">
        <f t="shared" si="23"/>
        <v>X-ACEROtr</v>
      </c>
      <c r="AJ65" s="320"/>
      <c r="AK65" s="322">
        <f t="shared" si="11"/>
        <v>64</v>
      </c>
      <c r="AL65" s="323">
        <f t="shared" si="24"/>
        <v>68</v>
      </c>
      <c r="AM65" s="322">
        <f t="shared" si="25"/>
        <v>2</v>
      </c>
      <c r="AN65" s="380">
        <f>IF(AND(AH65&gt;0,B65&lt;&gt;""),VLOOKUP(I65,'AUX-NIV3'!$B:$AO,39,FALSE)*O65,0)</f>
        <v>0</v>
      </c>
      <c r="AO65" s="380">
        <f t="shared" si="12"/>
        <v>0.6</v>
      </c>
      <c r="AP65" s="380"/>
    </row>
    <row r="66" spans="2:42" hidden="1">
      <c r="B66" s="324" t="s">
        <v>1259</v>
      </c>
      <c r="C66" s="325" t="s">
        <v>1304</v>
      </c>
      <c r="D66" s="326" t="s">
        <v>441</v>
      </c>
      <c r="E66" s="327">
        <f>IF(B66&lt;&gt;"",SUMIF('AUX-NIV1'!I:I,'AUX-NIV2'!B66,'AUX-NIV1'!Q:Q),"")</f>
        <v>0</v>
      </c>
      <c r="F66" s="327">
        <f t="shared" si="0"/>
        <v>1468.5768159616337</v>
      </c>
      <c r="G66" s="327">
        <f t="shared" si="1"/>
        <v>0</v>
      </c>
      <c r="H66" s="328" t="str">
        <f t="shared" si="2"/>
        <v>E</v>
      </c>
      <c r="I66" s="325" t="s">
        <v>1597</v>
      </c>
      <c r="J66" s="329" t="str">
        <f>IF(B66&lt;&gt;"",+VLOOKUP(I66,Recursos!C:F,2,FALSE),"")</f>
        <v>HIDROGRUA MONTADA S/CAMION (6 T)</v>
      </c>
      <c r="K66" s="330" t="str">
        <f>IF(B66&lt;&gt;"",+VLOOKUP(I66,Recursos!C:F,3,FALSE),"")</f>
        <v>HR</v>
      </c>
      <c r="L66" s="327">
        <f>IF(B66&lt;&gt;"",+VLOOKUP(I66,Recursos!C:F,4,FALSE),"")</f>
        <v>2378.0722500000002</v>
      </c>
      <c r="M66" s="331">
        <v>4</v>
      </c>
      <c r="N66" s="331">
        <v>1</v>
      </c>
      <c r="O66" s="332">
        <f>+N66/M66</f>
        <v>0.25</v>
      </c>
      <c r="P66" s="333">
        <f t="shared" si="13"/>
        <v>594.51806250000004</v>
      </c>
      <c r="Q66" s="327">
        <f t="shared" si="14"/>
        <v>0</v>
      </c>
      <c r="R66" s="334">
        <f t="shared" si="15"/>
        <v>0</v>
      </c>
      <c r="S66" s="358">
        <f t="shared" si="4"/>
        <v>279.54069096163346</v>
      </c>
      <c r="T66" s="358">
        <f t="shared" si="5"/>
        <v>1189.0361250000001</v>
      </c>
      <c r="U66" s="359">
        <f t="shared" si="6"/>
        <v>0</v>
      </c>
      <c r="V66" s="359">
        <f t="shared" si="7"/>
        <v>0</v>
      </c>
      <c r="W66" s="359">
        <f t="shared" si="8"/>
        <v>0</v>
      </c>
      <c r="X66" s="359">
        <f t="shared" si="9"/>
        <v>0</v>
      </c>
      <c r="Y66" s="320"/>
      <c r="Z66" s="321" t="str">
        <f t="shared" si="16"/>
        <v>X-ACEROtrA</v>
      </c>
      <c r="AA66" s="321" t="str">
        <f t="shared" si="17"/>
        <v>X-ACEROtrE</v>
      </c>
      <c r="AB66" s="321" t="str">
        <f t="shared" si="18"/>
        <v>X-ACEROtrM</v>
      </c>
      <c r="AC66" s="321" t="str">
        <f t="shared" si="19"/>
        <v>X-ACEROtrT</v>
      </c>
      <c r="AD66" s="321" t="str">
        <f t="shared" si="20"/>
        <v>X-ACEROtrS</v>
      </c>
      <c r="AE66" s="321" t="str">
        <f t="shared" si="21"/>
        <v>X-ACEROtrX</v>
      </c>
      <c r="AF66" s="321" t="str">
        <f t="shared" si="22"/>
        <v>X-ACEROtrE</v>
      </c>
      <c r="AG66" s="321">
        <f t="shared" si="10"/>
        <v>5</v>
      </c>
      <c r="AH66" s="321">
        <f>IF(B66&lt;&gt;"",IF(H66="x",VLOOKUP(I66,'AUX-NIV3'!B:AG,32,FALSE),0),"")</f>
        <v>0</v>
      </c>
      <c r="AI66" s="321" t="str">
        <f t="shared" si="23"/>
        <v>X-ACEROtr</v>
      </c>
      <c r="AJ66" s="320"/>
      <c r="AK66" s="322">
        <f t="shared" si="11"/>
        <v>64</v>
      </c>
      <c r="AL66" s="323">
        <f t="shared" si="24"/>
        <v>68</v>
      </c>
      <c r="AM66" s="322">
        <f t="shared" si="25"/>
        <v>3</v>
      </c>
      <c r="AN66" s="380">
        <f>IF(AND(AH66&gt;0,B66&lt;&gt;""),VLOOKUP(I66,'AUX-NIV3'!$B:$AO,39,FALSE)*O66,0)</f>
        <v>0</v>
      </c>
      <c r="AO66" s="380">
        <f t="shared" si="12"/>
        <v>0.6</v>
      </c>
      <c r="AP66" s="380"/>
    </row>
    <row r="67" spans="2:42" hidden="1">
      <c r="B67" s="324" t="s">
        <v>1259</v>
      </c>
      <c r="C67" s="325" t="s">
        <v>1304</v>
      </c>
      <c r="D67" s="326" t="s">
        <v>441</v>
      </c>
      <c r="E67" s="327">
        <f>IF(B67&lt;&gt;"",SUMIF('AUX-NIV1'!I:I,'AUX-NIV2'!B67,'AUX-NIV1'!Q:Q),"")</f>
        <v>0</v>
      </c>
      <c r="F67" s="327">
        <f t="shared" si="0"/>
        <v>1468.5768159616337</v>
      </c>
      <c r="G67" s="327">
        <f t="shared" si="1"/>
        <v>0</v>
      </c>
      <c r="H67" s="328" t="str">
        <f t="shared" si="2"/>
        <v>E</v>
      </c>
      <c r="I67" s="325" t="s">
        <v>1597</v>
      </c>
      <c r="J67" s="329" t="str">
        <f>IF(B67&lt;&gt;"",+VLOOKUP(I67,Recursos!C:F,2,FALSE),"")</f>
        <v>HIDROGRUA MONTADA S/CAMION (6 T)</v>
      </c>
      <c r="K67" s="330" t="str">
        <f>IF(B67&lt;&gt;"",+VLOOKUP(I67,Recursos!C:F,3,FALSE),"")</f>
        <v>HR</v>
      </c>
      <c r="L67" s="327">
        <f>IF(B67&lt;&gt;"",+VLOOKUP(I67,Recursos!C:F,4,FALSE),"")</f>
        <v>2378.0722500000002</v>
      </c>
      <c r="M67" s="331">
        <v>4</v>
      </c>
      <c r="N67" s="331">
        <v>1</v>
      </c>
      <c r="O67" s="332">
        <f>+N67/M67</f>
        <v>0.25</v>
      </c>
      <c r="P67" s="333">
        <f t="shared" si="13"/>
        <v>594.51806250000004</v>
      </c>
      <c r="Q67" s="327">
        <f t="shared" si="14"/>
        <v>0</v>
      </c>
      <c r="R67" s="334">
        <f t="shared" si="15"/>
        <v>0</v>
      </c>
      <c r="S67" s="358">
        <f t="shared" si="4"/>
        <v>279.54069096163346</v>
      </c>
      <c r="T67" s="358">
        <f t="shared" si="5"/>
        <v>1189.0361250000001</v>
      </c>
      <c r="U67" s="359">
        <f t="shared" si="6"/>
        <v>0</v>
      </c>
      <c r="V67" s="359">
        <f t="shared" si="7"/>
        <v>0</v>
      </c>
      <c r="W67" s="359">
        <f t="shared" si="8"/>
        <v>0</v>
      </c>
      <c r="X67" s="359">
        <f t="shared" si="9"/>
        <v>0</v>
      </c>
      <c r="Y67" s="320"/>
      <c r="Z67" s="321" t="str">
        <f t="shared" si="16"/>
        <v>X-ACEROtrA</v>
      </c>
      <c r="AA67" s="321" t="str">
        <f t="shared" si="17"/>
        <v>X-ACEROtrE</v>
      </c>
      <c r="AB67" s="321" t="str">
        <f t="shared" si="18"/>
        <v>X-ACEROtrM</v>
      </c>
      <c r="AC67" s="321" t="str">
        <f t="shared" si="19"/>
        <v>X-ACEROtrT</v>
      </c>
      <c r="AD67" s="321" t="str">
        <f t="shared" si="20"/>
        <v>X-ACEROtrS</v>
      </c>
      <c r="AE67" s="321" t="str">
        <f t="shared" si="21"/>
        <v>X-ACEROtrX</v>
      </c>
      <c r="AF67" s="321" t="str">
        <f t="shared" si="22"/>
        <v>X-ACEROtrE</v>
      </c>
      <c r="AG67" s="321">
        <f t="shared" si="10"/>
        <v>5</v>
      </c>
      <c r="AH67" s="321">
        <f>IF(B67&lt;&gt;"",IF(H67="x",VLOOKUP(I67,'AUX-NIV3'!B:AG,32,FALSE),0),"")</f>
        <v>0</v>
      </c>
      <c r="AI67" s="321" t="str">
        <f t="shared" si="23"/>
        <v>X-ACEROtr</v>
      </c>
      <c r="AJ67" s="320"/>
      <c r="AK67" s="322">
        <f t="shared" si="11"/>
        <v>64</v>
      </c>
      <c r="AL67" s="323">
        <f t="shared" si="24"/>
        <v>68</v>
      </c>
      <c r="AM67" s="322">
        <f t="shared" si="25"/>
        <v>4</v>
      </c>
      <c r="AN67" s="380">
        <f>IF(AND(AH67&gt;0,B67&lt;&gt;""),VLOOKUP(I67,'AUX-NIV3'!$B:$AO,39,FALSE)*O67,0)</f>
        <v>0</v>
      </c>
      <c r="AO67" s="380">
        <f t="shared" si="12"/>
        <v>0.6</v>
      </c>
      <c r="AP67" s="380"/>
    </row>
    <row r="68" spans="2:42" hidden="1">
      <c r="B68" s="324" t="s">
        <v>1259</v>
      </c>
      <c r="C68" s="325" t="s">
        <v>1304</v>
      </c>
      <c r="D68" s="326" t="s">
        <v>441</v>
      </c>
      <c r="E68" s="327">
        <f>IF(B68&lt;&gt;"",SUMIF('AUX-NIV1'!I:I,'AUX-NIV2'!B68,'AUX-NIV1'!Q:Q),"")</f>
        <v>0</v>
      </c>
      <c r="F68" s="327">
        <f t="shared" si="0"/>
        <v>1468.5768159616337</v>
      </c>
      <c r="G68" s="327">
        <f t="shared" si="1"/>
        <v>0</v>
      </c>
      <c r="H68" s="328" t="str">
        <f t="shared" si="2"/>
        <v>M</v>
      </c>
      <c r="I68" s="325" t="s">
        <v>504</v>
      </c>
      <c r="J68" s="329" t="str">
        <f>IF(B68&lt;&gt;"",+VLOOKUP(I68,Recursos!C:F,2,FALSE),"")</f>
        <v>CLAVO DE 2 A 4"</v>
      </c>
      <c r="K68" s="330" t="str">
        <f>IF(B68&lt;&gt;"",+VLOOKUP(I68,Recursos!C:F,3,FALSE),"")</f>
        <v>Kg</v>
      </c>
      <c r="L68" s="327">
        <f>IF(B68&lt;&gt;"",+VLOOKUP(I68,Recursos!C:F,4,FALSE),"")</f>
        <v>566.11570247933889</v>
      </c>
      <c r="M68" s="331">
        <v>0</v>
      </c>
      <c r="N68" s="331">
        <v>0</v>
      </c>
      <c r="O68" s="332">
        <f t="shared" ref="O68:O73" si="29">+M68*N68</f>
        <v>0</v>
      </c>
      <c r="P68" s="333">
        <f t="shared" si="13"/>
        <v>0</v>
      </c>
      <c r="Q68" s="327">
        <f t="shared" si="14"/>
        <v>0</v>
      </c>
      <c r="R68" s="334">
        <f t="shared" si="15"/>
        <v>0</v>
      </c>
      <c r="S68" s="358">
        <f t="shared" si="4"/>
        <v>279.54069096163346</v>
      </c>
      <c r="T68" s="358">
        <f t="shared" si="5"/>
        <v>1189.0361250000001</v>
      </c>
      <c r="U68" s="359">
        <f t="shared" si="6"/>
        <v>0</v>
      </c>
      <c r="V68" s="359">
        <f t="shared" si="7"/>
        <v>0</v>
      </c>
      <c r="W68" s="359">
        <f t="shared" si="8"/>
        <v>0</v>
      </c>
      <c r="X68" s="359">
        <f t="shared" si="9"/>
        <v>0</v>
      </c>
      <c r="Y68" s="320"/>
      <c r="Z68" s="321" t="str">
        <f t="shared" si="16"/>
        <v>X-ACEROtrA</v>
      </c>
      <c r="AA68" s="321" t="str">
        <f t="shared" si="17"/>
        <v>X-ACEROtrE</v>
      </c>
      <c r="AB68" s="321" t="str">
        <f t="shared" si="18"/>
        <v>X-ACEROtrM</v>
      </c>
      <c r="AC68" s="321" t="str">
        <f t="shared" si="19"/>
        <v>X-ACEROtrT</v>
      </c>
      <c r="AD68" s="321" t="str">
        <f t="shared" si="20"/>
        <v>X-ACEROtrS</v>
      </c>
      <c r="AE68" s="321" t="str">
        <f t="shared" si="21"/>
        <v>X-ACEROtrX</v>
      </c>
      <c r="AF68" s="321" t="str">
        <f t="shared" si="22"/>
        <v>X-ACEROtrM</v>
      </c>
      <c r="AG68" s="321">
        <f t="shared" si="10"/>
        <v>5</v>
      </c>
      <c r="AH68" s="321">
        <f>IF(B68&lt;&gt;"",IF(H68="x",VLOOKUP(I68,'AUX-NIV3'!B:AG,32,FALSE),0),"")</f>
        <v>0</v>
      </c>
      <c r="AI68" s="321" t="str">
        <f t="shared" si="23"/>
        <v>X-ACEROtr</v>
      </c>
      <c r="AJ68" s="320"/>
      <c r="AK68" s="322">
        <f t="shared" si="11"/>
        <v>64</v>
      </c>
      <c r="AL68" s="323">
        <f t="shared" si="24"/>
        <v>68</v>
      </c>
      <c r="AM68" s="322">
        <f t="shared" si="25"/>
        <v>5</v>
      </c>
      <c r="AN68" s="380">
        <f>IF(AND(AH68&gt;0,B68&lt;&gt;""),VLOOKUP(I68,'AUX-NIV3'!$B:$AO,39,FALSE)*O68,0)</f>
        <v>0</v>
      </c>
      <c r="AO68" s="380">
        <f t="shared" si="12"/>
        <v>0.6</v>
      </c>
      <c r="AP68" s="380"/>
    </row>
    <row r="69" spans="2:42" hidden="1">
      <c r="B69" s="324" t="s">
        <v>1260</v>
      </c>
      <c r="C69" s="325" t="s">
        <v>9</v>
      </c>
      <c r="D69" s="326" t="s">
        <v>441</v>
      </c>
      <c r="E69" s="327">
        <f>IF(B69&lt;&gt;"",SUMIF('AUX-NIV1'!I:I,'AUX-NIV2'!B69,'AUX-NIV1'!Q:Q),"")</f>
        <v>0</v>
      </c>
      <c r="F69" s="327">
        <f t="shared" si="0"/>
        <v>57070.536358063975</v>
      </c>
      <c r="G69" s="327">
        <f t="shared" si="1"/>
        <v>0</v>
      </c>
      <c r="H69" s="328" t="str">
        <f t="shared" si="2"/>
        <v>A</v>
      </c>
      <c r="I69" s="325" t="s">
        <v>1745</v>
      </c>
      <c r="J69" s="329" t="str">
        <f>IF(B69&lt;&gt;"",+VLOOKUP(I69,Recursos!C:F,2,FALSE),"")</f>
        <v>AYUDANTE</v>
      </c>
      <c r="K69" s="330" t="str">
        <f>IF(B69&lt;&gt;"",+VLOOKUP(I69,Recursos!C:F,3,FALSE),"")</f>
        <v>hh</v>
      </c>
      <c r="L69" s="327">
        <f>IF(B69&lt;&gt;"",+VLOOKUP(I69,Recursos!C:F,4,FALSE),"")</f>
        <v>422.48042769667234</v>
      </c>
      <c r="M69" s="331">
        <v>30</v>
      </c>
      <c r="N69" s="331">
        <v>1</v>
      </c>
      <c r="O69" s="332">
        <v>30</v>
      </c>
      <c r="P69" s="333">
        <f t="shared" si="13"/>
        <v>12674.41283090017</v>
      </c>
      <c r="Q69" s="327">
        <f t="shared" si="14"/>
        <v>0</v>
      </c>
      <c r="R69" s="334">
        <f t="shared" si="15"/>
        <v>0</v>
      </c>
      <c r="S69" s="358">
        <f t="shared" si="4"/>
        <v>45740.219475574304</v>
      </c>
      <c r="T69" s="358">
        <f t="shared" si="5"/>
        <v>297.25903125000002</v>
      </c>
      <c r="U69" s="359">
        <f t="shared" si="6"/>
        <v>11033.05785123967</v>
      </c>
      <c r="V69" s="359">
        <f t="shared" si="7"/>
        <v>0</v>
      </c>
      <c r="W69" s="359">
        <f t="shared" si="8"/>
        <v>0</v>
      </c>
      <c r="X69" s="359">
        <f t="shared" si="9"/>
        <v>0</v>
      </c>
      <c r="Y69" s="320"/>
      <c r="Z69" s="321" t="str">
        <f t="shared" si="16"/>
        <v>X-ACEROmaA</v>
      </c>
      <c r="AA69" s="321" t="str">
        <f t="shared" si="17"/>
        <v>X-ACEROmaE</v>
      </c>
      <c r="AB69" s="321" t="str">
        <f t="shared" si="18"/>
        <v>X-ACEROmaM</v>
      </c>
      <c r="AC69" s="321" t="str">
        <f t="shared" si="19"/>
        <v>X-ACEROmaT</v>
      </c>
      <c r="AD69" s="321" t="str">
        <f t="shared" si="20"/>
        <v>X-ACEROmaS</v>
      </c>
      <c r="AE69" s="321" t="str">
        <f t="shared" si="21"/>
        <v>X-ACEROmaX</v>
      </c>
      <c r="AF69" s="321" t="str">
        <f t="shared" si="22"/>
        <v>X-ACEROmaA</v>
      </c>
      <c r="AG69" s="321">
        <f t="shared" si="10"/>
        <v>7</v>
      </c>
      <c r="AH69" s="321">
        <f>IF(B69&lt;&gt;"",IF(H69="x",VLOOKUP(I69,'AUX-NIV3'!B:AG,32,FALSE),0),"")</f>
        <v>0</v>
      </c>
      <c r="AI69" s="321" t="str">
        <f t="shared" si="23"/>
        <v>X-ACEROma</v>
      </c>
      <c r="AJ69" s="320"/>
      <c r="AK69" s="322">
        <f t="shared" si="11"/>
        <v>69</v>
      </c>
      <c r="AL69" s="323">
        <f t="shared" si="24"/>
        <v>75</v>
      </c>
      <c r="AM69" s="322">
        <f t="shared" si="25"/>
        <v>1</v>
      </c>
      <c r="AN69" s="380">
        <f>IF(AND(AH69&gt;0,B69&lt;&gt;""),VLOOKUP(I69,'AUX-NIV3'!$B:$AO,39,FALSE)*O69,0)</f>
        <v>0</v>
      </c>
      <c r="AO69" s="380">
        <f t="shared" si="12"/>
        <v>94</v>
      </c>
      <c r="AP69" s="380"/>
    </row>
    <row r="70" spans="2:42" hidden="1">
      <c r="B70" s="324" t="s">
        <v>1260</v>
      </c>
      <c r="C70" s="325" t="s">
        <v>9</v>
      </c>
      <c r="D70" s="326" t="s">
        <v>441</v>
      </c>
      <c r="E70" s="327">
        <f>IF(B70&lt;&gt;"",SUMIF('AUX-NIV1'!I:I,'AUX-NIV2'!B70,'AUX-NIV1'!Q:Q),"")</f>
        <v>0</v>
      </c>
      <c r="F70" s="327">
        <f t="shared" si="0"/>
        <v>57070.536358063975</v>
      </c>
      <c r="G70" s="327">
        <f t="shared" si="1"/>
        <v>0</v>
      </c>
      <c r="H70" s="328" t="str">
        <f t="shared" si="2"/>
        <v>A</v>
      </c>
      <c r="I70" s="325" t="s">
        <v>3309</v>
      </c>
      <c r="J70" s="329" t="str">
        <f>IF(B70&lt;&gt;"",+VLOOKUP(I70,Recursos!C:F,2,FALSE),"")</f>
        <v>MEDIO OFICIAL</v>
      </c>
      <c r="K70" s="330" t="str">
        <f>IF(B70&lt;&gt;"",+VLOOKUP(I70,Recursos!C:F,3,FALSE),"")</f>
        <v>hh</v>
      </c>
      <c r="L70" s="327">
        <f>IF(B70&lt;&gt;"",+VLOOKUP(I70,Recursos!C:F,4,FALSE),"")</f>
        <v>459.10093211890984</v>
      </c>
      <c r="M70" s="331">
        <v>20</v>
      </c>
      <c r="N70" s="331">
        <v>1</v>
      </c>
      <c r="O70" s="332">
        <f t="shared" si="29"/>
        <v>20</v>
      </c>
      <c r="P70" s="333">
        <f t="shared" si="13"/>
        <v>9182.0186423781961</v>
      </c>
      <c r="Q70" s="327">
        <f t="shared" si="14"/>
        <v>0</v>
      </c>
      <c r="R70" s="334">
        <f t="shared" si="15"/>
        <v>0</v>
      </c>
      <c r="S70" s="358">
        <f t="shared" si="4"/>
        <v>45740.219475574304</v>
      </c>
      <c r="T70" s="358">
        <f t="shared" si="5"/>
        <v>297.25903125000002</v>
      </c>
      <c r="U70" s="359">
        <f t="shared" si="6"/>
        <v>11033.05785123967</v>
      </c>
      <c r="V70" s="359">
        <f t="shared" si="7"/>
        <v>0</v>
      </c>
      <c r="W70" s="359">
        <f t="shared" si="8"/>
        <v>0</v>
      </c>
      <c r="X70" s="359">
        <f t="shared" si="9"/>
        <v>0</v>
      </c>
      <c r="Y70" s="320"/>
      <c r="Z70" s="321" t="str">
        <f t="shared" si="16"/>
        <v>X-ACEROmaA</v>
      </c>
      <c r="AA70" s="321" t="str">
        <f t="shared" si="17"/>
        <v>X-ACEROmaE</v>
      </c>
      <c r="AB70" s="321" t="str">
        <f t="shared" si="18"/>
        <v>X-ACEROmaM</v>
      </c>
      <c r="AC70" s="321" t="str">
        <f t="shared" si="19"/>
        <v>X-ACEROmaT</v>
      </c>
      <c r="AD70" s="321" t="str">
        <f t="shared" si="20"/>
        <v>X-ACEROmaS</v>
      </c>
      <c r="AE70" s="321" t="str">
        <f t="shared" si="21"/>
        <v>X-ACEROmaX</v>
      </c>
      <c r="AF70" s="321" t="str">
        <f t="shared" si="22"/>
        <v>X-ACEROmaA</v>
      </c>
      <c r="AG70" s="321">
        <f t="shared" si="10"/>
        <v>7</v>
      </c>
      <c r="AH70" s="321">
        <f>IF(B70&lt;&gt;"",IF(H70="x",VLOOKUP(I70,'AUX-NIV3'!B:AG,32,FALSE),0),"")</f>
        <v>0</v>
      </c>
      <c r="AI70" s="321" t="str">
        <f t="shared" si="23"/>
        <v>X-ACEROma</v>
      </c>
      <c r="AJ70" s="320"/>
      <c r="AK70" s="322">
        <f t="shared" si="11"/>
        <v>69</v>
      </c>
      <c r="AL70" s="323">
        <f t="shared" si="24"/>
        <v>75</v>
      </c>
      <c r="AM70" s="322">
        <f t="shared" si="25"/>
        <v>2</v>
      </c>
      <c r="AN70" s="380">
        <f>IF(AND(AH70&gt;0,B70&lt;&gt;""),VLOOKUP(I70,'AUX-NIV3'!$B:$AO,39,FALSE)*O70,0)</f>
        <v>0</v>
      </c>
      <c r="AO70" s="380">
        <f t="shared" si="12"/>
        <v>94</v>
      </c>
      <c r="AP70" s="380"/>
    </row>
    <row r="71" spans="2:42" hidden="1">
      <c r="B71" s="324" t="s">
        <v>1260</v>
      </c>
      <c r="C71" s="325" t="s">
        <v>9</v>
      </c>
      <c r="D71" s="326" t="s">
        <v>441</v>
      </c>
      <c r="E71" s="327">
        <f>IF(B71&lt;&gt;"",SUMIF('AUX-NIV1'!I:I,'AUX-NIV2'!B71,'AUX-NIV1'!Q:Q),"")</f>
        <v>0</v>
      </c>
      <c r="F71" s="327">
        <f t="shared" ref="F71:F134" si="30">IF(B71&lt;&gt;"",+SUMIF(B:B,B71,P:P),"")</f>
        <v>57070.536358063975</v>
      </c>
      <c r="G71" s="327">
        <f t="shared" ref="G71:G134" si="31">IF(B71&lt;&gt;"",+SUMIF(B:B,B71,R:R),"")</f>
        <v>0</v>
      </c>
      <c r="H71" s="328" t="str">
        <f t="shared" si="2"/>
        <v>A</v>
      </c>
      <c r="I71" s="325" t="s">
        <v>1746</v>
      </c>
      <c r="J71" s="329" t="str">
        <f>IF(B71&lt;&gt;"",+VLOOKUP(I71,Recursos!C:F,2,FALSE),"")</f>
        <v>OFICIAL</v>
      </c>
      <c r="K71" s="330" t="str">
        <f>IF(B71&lt;&gt;"",+VLOOKUP(I71,Recursos!C:F,3,FALSE),"")</f>
        <v>hh</v>
      </c>
      <c r="L71" s="327">
        <f>IF(B71&lt;&gt;"",+VLOOKUP(I71,Recursos!C:F,4,FALSE),"")</f>
        <v>496.91595439275824</v>
      </c>
      <c r="M71" s="331">
        <v>20</v>
      </c>
      <c r="N71" s="331">
        <v>1</v>
      </c>
      <c r="O71" s="332">
        <f t="shared" si="29"/>
        <v>20</v>
      </c>
      <c r="P71" s="333">
        <f t="shared" si="13"/>
        <v>9938.319087855165</v>
      </c>
      <c r="Q71" s="327">
        <f t="shared" si="14"/>
        <v>0</v>
      </c>
      <c r="R71" s="334">
        <f t="shared" si="15"/>
        <v>0</v>
      </c>
      <c r="S71" s="358">
        <f t="shared" ref="S71:S134" si="32">IF(B71&lt;&gt;"",+SUMIF($AF:$AF,Z71,$P:$P),"")</f>
        <v>45740.219475574304</v>
      </c>
      <c r="T71" s="358">
        <f t="shared" ref="T71:T134" si="33">IF(B71&lt;&gt;"",+SUMIF($AF:$AF,AA71,$P:$P),"")</f>
        <v>297.25903125000002</v>
      </c>
      <c r="U71" s="359">
        <f t="shared" ref="U71:U134" si="34">IF(B71&lt;&gt;"",+SUMIF($AF:$AF,AB71,$P:$P),"")</f>
        <v>11033.05785123967</v>
      </c>
      <c r="V71" s="359">
        <f t="shared" ref="V71:V134" si="35">IF(B71&lt;&gt;"",+SUMIF($AF:$AF,AC71,$P:$P),"")</f>
        <v>0</v>
      </c>
      <c r="W71" s="359">
        <f t="shared" ref="W71:W134" si="36">IF(B71&lt;&gt;"",+SUMIF($AF:$AF,AD71,$P:$P),"")</f>
        <v>0</v>
      </c>
      <c r="X71" s="359">
        <f t="shared" ref="X71:X134" si="37">IF(B71&lt;&gt;"",+SUMIF($AF:$AF,AE71,$P:$P),"")</f>
        <v>0</v>
      </c>
      <c r="Y71" s="320"/>
      <c r="Z71" s="321" t="str">
        <f t="shared" si="16"/>
        <v>X-ACEROmaA</v>
      </c>
      <c r="AA71" s="321" t="str">
        <f t="shared" si="17"/>
        <v>X-ACEROmaE</v>
      </c>
      <c r="AB71" s="321" t="str">
        <f t="shared" si="18"/>
        <v>X-ACEROmaM</v>
      </c>
      <c r="AC71" s="321" t="str">
        <f t="shared" si="19"/>
        <v>X-ACEROmaT</v>
      </c>
      <c r="AD71" s="321" t="str">
        <f t="shared" si="20"/>
        <v>X-ACEROmaS</v>
      </c>
      <c r="AE71" s="321" t="str">
        <f t="shared" si="21"/>
        <v>X-ACEROmaX</v>
      </c>
      <c r="AF71" s="321" t="str">
        <f t="shared" si="22"/>
        <v>X-ACEROmaA</v>
      </c>
      <c r="AG71" s="321">
        <f t="shared" ref="AG71:AG134" si="38">IF(B71&lt;&gt;"",+COUNTIF(B:B,B71),"")</f>
        <v>7</v>
      </c>
      <c r="AH71" s="321">
        <f>IF(B71&lt;&gt;"",IF(H71="x",VLOOKUP(I71,'AUX-NIV3'!B:AG,32,FALSE),0),"")</f>
        <v>0</v>
      </c>
      <c r="AI71" s="321" t="str">
        <f t="shared" si="23"/>
        <v>X-ACEROma</v>
      </c>
      <c r="AJ71" s="320"/>
      <c r="AK71" s="322">
        <f t="shared" ref="AK71:AK134" si="39">IF(B71&lt;&gt;"",+MATCH(B71,B:B,0),"")</f>
        <v>69</v>
      </c>
      <c r="AL71" s="323">
        <f t="shared" si="24"/>
        <v>75</v>
      </c>
      <c r="AM71" s="322">
        <f t="shared" si="25"/>
        <v>3</v>
      </c>
      <c r="AN71" s="380">
        <f>IF(AND(AH71&gt;0,B71&lt;&gt;""),VLOOKUP(I71,'AUX-NIV3'!$B:$AO,39,FALSE)*O71,0)</f>
        <v>0</v>
      </c>
      <c r="AO71" s="380">
        <f t="shared" ref="AO71:AO134" si="40">+IF(B71&lt;&gt;"",SUMIF(AF:AF,Z71,O:O)+SUMIF(Z:Z,Z71,AN:AN),0)</f>
        <v>94</v>
      </c>
      <c r="AP71" s="380"/>
    </row>
    <row r="72" spans="2:42" hidden="1">
      <c r="B72" s="324" t="s">
        <v>1260</v>
      </c>
      <c r="C72" s="325" t="s">
        <v>9</v>
      </c>
      <c r="D72" s="326" t="s">
        <v>441</v>
      </c>
      <c r="E72" s="327">
        <f>IF(B72&lt;&gt;"",SUMIF('AUX-NIV1'!I:I,'AUX-NIV2'!B72,'AUX-NIV1'!Q:Q),"")</f>
        <v>0</v>
      </c>
      <c r="F72" s="327">
        <f t="shared" si="30"/>
        <v>57070.536358063975</v>
      </c>
      <c r="G72" s="327">
        <f t="shared" si="31"/>
        <v>0</v>
      </c>
      <c r="H72" s="328" t="str">
        <f t="shared" ref="H72:H135" si="41">IF(B72&lt;&gt;"",+LEFT(I72,1),"")</f>
        <v>A</v>
      </c>
      <c r="I72" s="325" t="s">
        <v>3310</v>
      </c>
      <c r="J72" s="329" t="str">
        <f>IF(B72&lt;&gt;"",+VLOOKUP(I72,Recursos!C:F,2,FALSE),"")</f>
        <v>OFICIAL ESPECIALIZADO</v>
      </c>
      <c r="K72" s="330" t="str">
        <f>IF(B72&lt;&gt;"",+VLOOKUP(I72,Recursos!C:F,3,FALSE),"")</f>
        <v>hh</v>
      </c>
      <c r="L72" s="327">
        <f>IF(B72&lt;&gt;"",+VLOOKUP(I72,Recursos!C:F,4,FALSE),"")</f>
        <v>581.06120476836554</v>
      </c>
      <c r="M72" s="331">
        <v>20</v>
      </c>
      <c r="N72" s="331">
        <v>1</v>
      </c>
      <c r="O72" s="332">
        <v>20</v>
      </c>
      <c r="P72" s="333">
        <f t="shared" ref="P72:P135" si="42">IF(B72&lt;&gt;"",O72*L72,"")</f>
        <v>11621.22409536731</v>
      </c>
      <c r="Q72" s="327">
        <f t="shared" ref="Q72:Q135" si="43">IF(B72&lt;&gt;"",+O72*E72,"")</f>
        <v>0</v>
      </c>
      <c r="R72" s="334">
        <f t="shared" ref="R72:R135" si="44">IF(B72&lt;&gt;"",Q72*L72,"")</f>
        <v>0</v>
      </c>
      <c r="S72" s="358">
        <f t="shared" si="32"/>
        <v>45740.219475574304</v>
      </c>
      <c r="T72" s="358">
        <f t="shared" si="33"/>
        <v>297.25903125000002</v>
      </c>
      <c r="U72" s="359">
        <f t="shared" si="34"/>
        <v>11033.05785123967</v>
      </c>
      <c r="V72" s="359">
        <f t="shared" si="35"/>
        <v>0</v>
      </c>
      <c r="W72" s="359">
        <f t="shared" si="36"/>
        <v>0</v>
      </c>
      <c r="X72" s="359">
        <f t="shared" si="37"/>
        <v>0</v>
      </c>
      <c r="Y72" s="320"/>
      <c r="Z72" s="321" t="str">
        <f t="shared" ref="Z72:Z135" si="45">IF(B72&lt;&gt;"",+$B72&amp;"A","")</f>
        <v>X-ACEROmaA</v>
      </c>
      <c r="AA72" s="321" t="str">
        <f t="shared" ref="AA72:AA135" si="46">IF(B72&lt;&gt;"",+$B72&amp;"E","")</f>
        <v>X-ACEROmaE</v>
      </c>
      <c r="AB72" s="321" t="str">
        <f t="shared" ref="AB72:AB135" si="47">IF(B72&lt;&gt;"",++$B72&amp;"M","")</f>
        <v>X-ACEROmaM</v>
      </c>
      <c r="AC72" s="321" t="str">
        <f t="shared" ref="AC72:AC135" si="48">IF(B72&lt;&gt;"",+$B72&amp;"T","")</f>
        <v>X-ACEROmaT</v>
      </c>
      <c r="AD72" s="321" t="str">
        <f t="shared" ref="AD72:AD135" si="49">IF(B72&lt;&gt;"",+$B72&amp;"S","")</f>
        <v>X-ACEROmaS</v>
      </c>
      <c r="AE72" s="321" t="str">
        <f t="shared" ref="AE72:AE135" si="50">IF(B72&lt;&gt;"",+$B72&amp;"X","")</f>
        <v>X-ACEROmaX</v>
      </c>
      <c r="AF72" s="321" t="str">
        <f t="shared" ref="AF72:AF135" si="51">IF(B72&lt;&gt;"",+B72&amp;H72,"")</f>
        <v>X-ACEROmaA</v>
      </c>
      <c r="AG72" s="321">
        <f t="shared" si="38"/>
        <v>7</v>
      </c>
      <c r="AH72" s="321">
        <f>IF(B72&lt;&gt;"",IF(H72="x",VLOOKUP(I72,'AUX-NIV3'!B:AG,32,FALSE),0),"")</f>
        <v>0</v>
      </c>
      <c r="AI72" s="321" t="str">
        <f t="shared" ref="AI72:AI135" si="52">IF(B72&lt;&gt;"",+B72,"")</f>
        <v>X-ACEROma</v>
      </c>
      <c r="AJ72" s="320"/>
      <c r="AK72" s="322">
        <f t="shared" si="39"/>
        <v>69</v>
      </c>
      <c r="AL72" s="323">
        <f t="shared" ref="AL72:AL135" si="53">IF(B72&lt;&gt;"",+AK72+AG72-1,"")</f>
        <v>75</v>
      </c>
      <c r="AM72" s="322">
        <f t="shared" ref="AM72:AM135" si="54">IF(B72&lt;&gt;"",IF(B72=B71,1+AM71,1),"")</f>
        <v>4</v>
      </c>
      <c r="AN72" s="380">
        <f>IF(AND(AH72&gt;0,B72&lt;&gt;""),VLOOKUP(I72,'AUX-NIV3'!$B:$AO,39,FALSE)*O72,0)</f>
        <v>0</v>
      </c>
      <c r="AO72" s="380">
        <f t="shared" si="40"/>
        <v>94</v>
      </c>
      <c r="AP72" s="380"/>
    </row>
    <row r="73" spans="2:42" hidden="1">
      <c r="B73" s="324" t="s">
        <v>1260</v>
      </c>
      <c r="C73" s="325" t="s">
        <v>9</v>
      </c>
      <c r="D73" s="326" t="s">
        <v>441</v>
      </c>
      <c r="E73" s="327">
        <f>IF(B73&lt;&gt;"",SUMIF('AUX-NIV1'!I:I,'AUX-NIV2'!B73,'AUX-NIV1'!Q:Q),"")</f>
        <v>0</v>
      </c>
      <c r="F73" s="327">
        <f t="shared" si="30"/>
        <v>57070.536358063975</v>
      </c>
      <c r="G73" s="327">
        <f t="shared" si="31"/>
        <v>0</v>
      </c>
      <c r="H73" s="328" t="str">
        <f t="shared" si="41"/>
        <v>A</v>
      </c>
      <c r="I73" s="325" t="s">
        <v>3311</v>
      </c>
      <c r="J73" s="329" t="str">
        <f>IF(B73&lt;&gt;"",+VLOOKUP(I73,Recursos!C:F,2,FALSE),"")</f>
        <v>OPER. EQUIPO</v>
      </c>
      <c r="K73" s="330" t="str">
        <f>IF(B73&lt;&gt;"",+VLOOKUP(I73,Recursos!C:F,3,FALSE),"")</f>
        <v>hh</v>
      </c>
      <c r="L73" s="327">
        <f>IF(B73&lt;&gt;"",+VLOOKUP(I73,Recursos!C:F,4,FALSE),"")</f>
        <v>581.06120476836554</v>
      </c>
      <c r="M73" s="331">
        <v>4</v>
      </c>
      <c r="N73" s="331">
        <v>1</v>
      </c>
      <c r="O73" s="332">
        <f t="shared" si="29"/>
        <v>4</v>
      </c>
      <c r="P73" s="333">
        <f t="shared" si="42"/>
        <v>2324.2448190734622</v>
      </c>
      <c r="Q73" s="327">
        <f t="shared" si="43"/>
        <v>0</v>
      </c>
      <c r="R73" s="334">
        <f t="shared" si="44"/>
        <v>0</v>
      </c>
      <c r="S73" s="358">
        <f t="shared" si="32"/>
        <v>45740.219475574304</v>
      </c>
      <c r="T73" s="358">
        <f t="shared" si="33"/>
        <v>297.25903125000002</v>
      </c>
      <c r="U73" s="359">
        <f t="shared" si="34"/>
        <v>11033.05785123967</v>
      </c>
      <c r="V73" s="359">
        <f t="shared" si="35"/>
        <v>0</v>
      </c>
      <c r="W73" s="359">
        <f t="shared" si="36"/>
        <v>0</v>
      </c>
      <c r="X73" s="359">
        <f t="shared" si="37"/>
        <v>0</v>
      </c>
      <c r="Y73" s="320"/>
      <c r="Z73" s="321" t="str">
        <f t="shared" si="45"/>
        <v>X-ACEROmaA</v>
      </c>
      <c r="AA73" s="321" t="str">
        <f t="shared" si="46"/>
        <v>X-ACEROmaE</v>
      </c>
      <c r="AB73" s="321" t="str">
        <f t="shared" si="47"/>
        <v>X-ACEROmaM</v>
      </c>
      <c r="AC73" s="321" t="str">
        <f t="shared" si="48"/>
        <v>X-ACEROmaT</v>
      </c>
      <c r="AD73" s="321" t="str">
        <f t="shared" si="49"/>
        <v>X-ACEROmaS</v>
      </c>
      <c r="AE73" s="321" t="str">
        <f t="shared" si="50"/>
        <v>X-ACEROmaX</v>
      </c>
      <c r="AF73" s="321" t="str">
        <f t="shared" si="51"/>
        <v>X-ACEROmaA</v>
      </c>
      <c r="AG73" s="321">
        <f t="shared" si="38"/>
        <v>7</v>
      </c>
      <c r="AH73" s="321">
        <f>IF(B73&lt;&gt;"",IF(H73="x",VLOOKUP(I73,'AUX-NIV3'!B:AG,32,FALSE),0),"")</f>
        <v>0</v>
      </c>
      <c r="AI73" s="321" t="str">
        <f t="shared" si="52"/>
        <v>X-ACEROma</v>
      </c>
      <c r="AJ73" s="320"/>
      <c r="AK73" s="322">
        <f t="shared" si="39"/>
        <v>69</v>
      </c>
      <c r="AL73" s="323">
        <f t="shared" si="53"/>
        <v>75</v>
      </c>
      <c r="AM73" s="322">
        <f t="shared" si="54"/>
        <v>5</v>
      </c>
      <c r="AN73" s="380">
        <f>IF(AND(AH73&gt;0,B73&lt;&gt;""),VLOOKUP(I73,'AUX-NIV3'!$B:$AO,39,FALSE)*O73,0)</f>
        <v>0</v>
      </c>
      <c r="AO73" s="380">
        <f t="shared" si="40"/>
        <v>94</v>
      </c>
      <c r="AP73" s="380"/>
    </row>
    <row r="74" spans="2:42" hidden="1">
      <c r="B74" s="324" t="s">
        <v>1260</v>
      </c>
      <c r="C74" s="325" t="s">
        <v>9</v>
      </c>
      <c r="D74" s="326" t="s">
        <v>441</v>
      </c>
      <c r="E74" s="327">
        <f>IF(B74&lt;&gt;"",SUMIF('AUX-NIV1'!I:I,'AUX-NIV2'!B74,'AUX-NIV1'!Q:Q),"")</f>
        <v>0</v>
      </c>
      <c r="F74" s="327">
        <f t="shared" si="30"/>
        <v>57070.536358063975</v>
      </c>
      <c r="G74" s="327">
        <f t="shared" si="31"/>
        <v>0</v>
      </c>
      <c r="H74" s="328" t="str">
        <f t="shared" si="41"/>
        <v>E</v>
      </c>
      <c r="I74" s="325" t="s">
        <v>1597</v>
      </c>
      <c r="J74" s="329" t="str">
        <f>IF(B74&lt;&gt;"",+VLOOKUP(I74,Recursos!C:F,2,FALSE),"")</f>
        <v>HIDROGRUA MONTADA S/CAMION (6 T)</v>
      </c>
      <c r="K74" s="330" t="str">
        <f>IF(B74&lt;&gt;"",+VLOOKUP(I74,Recursos!C:F,3,FALSE),"")</f>
        <v>HR</v>
      </c>
      <c r="L74" s="327">
        <f>IF(B74&lt;&gt;"",+VLOOKUP(I74,Recursos!C:F,4,FALSE),"")</f>
        <v>2378.0722500000002</v>
      </c>
      <c r="M74" s="331">
        <v>4</v>
      </c>
      <c r="N74" s="331">
        <v>0.5</v>
      </c>
      <c r="O74" s="332">
        <f>+N74/M74</f>
        <v>0.125</v>
      </c>
      <c r="P74" s="333">
        <f t="shared" si="42"/>
        <v>297.25903125000002</v>
      </c>
      <c r="Q74" s="327">
        <f t="shared" si="43"/>
        <v>0</v>
      </c>
      <c r="R74" s="334">
        <f t="shared" si="44"/>
        <v>0</v>
      </c>
      <c r="S74" s="358">
        <f t="shared" si="32"/>
        <v>45740.219475574304</v>
      </c>
      <c r="T74" s="358">
        <f t="shared" si="33"/>
        <v>297.25903125000002</v>
      </c>
      <c r="U74" s="359">
        <f t="shared" si="34"/>
        <v>11033.05785123967</v>
      </c>
      <c r="V74" s="359">
        <f t="shared" si="35"/>
        <v>0</v>
      </c>
      <c r="W74" s="359">
        <f t="shared" si="36"/>
        <v>0</v>
      </c>
      <c r="X74" s="359">
        <f t="shared" si="37"/>
        <v>0</v>
      </c>
      <c r="Y74" s="320"/>
      <c r="Z74" s="321" t="str">
        <f t="shared" si="45"/>
        <v>X-ACEROmaA</v>
      </c>
      <c r="AA74" s="321" t="str">
        <f t="shared" si="46"/>
        <v>X-ACEROmaE</v>
      </c>
      <c r="AB74" s="321" t="str">
        <f t="shared" si="47"/>
        <v>X-ACEROmaM</v>
      </c>
      <c r="AC74" s="321" t="str">
        <f t="shared" si="48"/>
        <v>X-ACEROmaT</v>
      </c>
      <c r="AD74" s="321" t="str">
        <f t="shared" si="49"/>
        <v>X-ACEROmaS</v>
      </c>
      <c r="AE74" s="321" t="str">
        <f t="shared" si="50"/>
        <v>X-ACEROmaX</v>
      </c>
      <c r="AF74" s="321" t="str">
        <f t="shared" si="51"/>
        <v>X-ACEROmaE</v>
      </c>
      <c r="AG74" s="321">
        <f t="shared" si="38"/>
        <v>7</v>
      </c>
      <c r="AH74" s="321">
        <f>IF(B74&lt;&gt;"",IF(H74="x",VLOOKUP(I74,'AUX-NIV3'!B:AG,32,FALSE),0),"")</f>
        <v>0</v>
      </c>
      <c r="AI74" s="321" t="str">
        <f t="shared" si="52"/>
        <v>X-ACEROma</v>
      </c>
      <c r="AJ74" s="320"/>
      <c r="AK74" s="322">
        <f t="shared" si="39"/>
        <v>69</v>
      </c>
      <c r="AL74" s="323">
        <f t="shared" si="53"/>
        <v>75</v>
      </c>
      <c r="AM74" s="322">
        <f t="shared" si="54"/>
        <v>6</v>
      </c>
      <c r="AN74" s="380">
        <f>IF(AND(AH74&gt;0,B74&lt;&gt;""),VLOOKUP(I74,'AUX-NIV3'!$B:$AO,39,FALSE)*O74,0)</f>
        <v>0</v>
      </c>
      <c r="AO74" s="380">
        <f t="shared" si="40"/>
        <v>94</v>
      </c>
      <c r="AP74" s="380"/>
    </row>
    <row r="75" spans="2:42" hidden="1">
      <c r="B75" s="324" t="s">
        <v>1260</v>
      </c>
      <c r="C75" s="325" t="s">
        <v>9</v>
      </c>
      <c r="D75" s="326" t="s">
        <v>441</v>
      </c>
      <c r="E75" s="327">
        <f>IF(B75&lt;&gt;"",SUMIF('AUX-NIV1'!I:I,'AUX-NIV2'!B75,'AUX-NIV1'!Q:Q),"")</f>
        <v>0</v>
      </c>
      <c r="F75" s="327">
        <f t="shared" si="30"/>
        <v>57070.536358063975</v>
      </c>
      <c r="G75" s="327">
        <f t="shared" si="31"/>
        <v>0</v>
      </c>
      <c r="H75" s="328" t="str">
        <f t="shared" si="41"/>
        <v>M</v>
      </c>
      <c r="I75" s="325" t="s">
        <v>448</v>
      </c>
      <c r="J75" s="329" t="str">
        <f>IF(B75&lt;&gt;"",+VLOOKUP(I75,Recursos!C:F,2,FALSE),"")</f>
        <v>ALAMBRE RECOCIDO #14</v>
      </c>
      <c r="K75" s="330" t="str">
        <f>IF(B75&lt;&gt;"",+VLOOKUP(I75,Recursos!C:F,3,FALSE),"")</f>
        <v>Kg</v>
      </c>
      <c r="L75" s="327">
        <f>IF(B75&lt;&gt;"",+VLOOKUP(I75,Recursos!C:F,4,FALSE),"")</f>
        <v>735.53719008264466</v>
      </c>
      <c r="M75" s="331">
        <v>15</v>
      </c>
      <c r="N75" s="331">
        <v>1</v>
      </c>
      <c r="O75" s="332">
        <f>+M75*N75</f>
        <v>15</v>
      </c>
      <c r="P75" s="333">
        <f t="shared" si="42"/>
        <v>11033.05785123967</v>
      </c>
      <c r="Q75" s="327">
        <f t="shared" si="43"/>
        <v>0</v>
      </c>
      <c r="R75" s="334">
        <f t="shared" si="44"/>
        <v>0</v>
      </c>
      <c r="S75" s="358">
        <f t="shared" si="32"/>
        <v>45740.219475574304</v>
      </c>
      <c r="T75" s="358">
        <f t="shared" si="33"/>
        <v>297.25903125000002</v>
      </c>
      <c r="U75" s="359">
        <f t="shared" si="34"/>
        <v>11033.05785123967</v>
      </c>
      <c r="V75" s="359">
        <f t="shared" si="35"/>
        <v>0</v>
      </c>
      <c r="W75" s="359">
        <f t="shared" si="36"/>
        <v>0</v>
      </c>
      <c r="X75" s="359">
        <f t="shared" si="37"/>
        <v>0</v>
      </c>
      <c r="Y75" s="320"/>
      <c r="Z75" s="321" t="str">
        <f t="shared" si="45"/>
        <v>X-ACEROmaA</v>
      </c>
      <c r="AA75" s="321" t="str">
        <f t="shared" si="46"/>
        <v>X-ACEROmaE</v>
      </c>
      <c r="AB75" s="321" t="str">
        <f t="shared" si="47"/>
        <v>X-ACEROmaM</v>
      </c>
      <c r="AC75" s="321" t="str">
        <f t="shared" si="48"/>
        <v>X-ACEROmaT</v>
      </c>
      <c r="AD75" s="321" t="str">
        <f t="shared" si="49"/>
        <v>X-ACEROmaS</v>
      </c>
      <c r="AE75" s="321" t="str">
        <f t="shared" si="50"/>
        <v>X-ACEROmaX</v>
      </c>
      <c r="AF75" s="321" t="str">
        <f t="shared" si="51"/>
        <v>X-ACEROmaM</v>
      </c>
      <c r="AG75" s="321">
        <f t="shared" si="38"/>
        <v>7</v>
      </c>
      <c r="AH75" s="321">
        <f>IF(B75&lt;&gt;"",IF(H75="x",VLOOKUP(I75,'AUX-NIV3'!B:AG,32,FALSE),0),"")</f>
        <v>0</v>
      </c>
      <c r="AI75" s="321" t="str">
        <f t="shared" si="52"/>
        <v>X-ACEROma</v>
      </c>
      <c r="AJ75" s="320"/>
      <c r="AK75" s="322">
        <f t="shared" si="39"/>
        <v>69</v>
      </c>
      <c r="AL75" s="323">
        <f t="shared" si="53"/>
        <v>75</v>
      </c>
      <c r="AM75" s="322">
        <f t="shared" si="54"/>
        <v>7</v>
      </c>
      <c r="AN75" s="380">
        <f>IF(AND(AH75&gt;0,B75&lt;&gt;""),VLOOKUP(I75,'AUX-NIV3'!$B:$AO,39,FALSE)*O75,0)</f>
        <v>0</v>
      </c>
      <c r="AO75" s="380">
        <f t="shared" si="40"/>
        <v>94</v>
      </c>
      <c r="AP75" s="380"/>
    </row>
    <row r="76" spans="2:42" hidden="1">
      <c r="B76" s="324" t="s">
        <v>1261</v>
      </c>
      <c r="C76" s="325" t="s">
        <v>10</v>
      </c>
      <c r="D76" s="326" t="s">
        <v>441</v>
      </c>
      <c r="E76" s="327">
        <f>IF(B76&lt;&gt;"",SUMIF('AUX-NIV1'!I:I,'AUX-NIV2'!B76,'AUX-NIV1'!Q:Q),"")</f>
        <v>0</v>
      </c>
      <c r="F76" s="327">
        <f t="shared" si="30"/>
        <v>54186.239776046117</v>
      </c>
      <c r="G76" s="327">
        <f t="shared" si="31"/>
        <v>0</v>
      </c>
      <c r="H76" s="328" t="str">
        <f t="shared" si="41"/>
        <v>A</v>
      </c>
      <c r="I76" s="325" t="s">
        <v>1745</v>
      </c>
      <c r="J76" s="329" t="str">
        <f>IF(B76&lt;&gt;"",+VLOOKUP(I76,Recursos!C:F,2,FALSE),"")</f>
        <v>AYUDANTE</v>
      </c>
      <c r="K76" s="330" t="str">
        <f>IF(B76&lt;&gt;"",+VLOOKUP(I76,Recursos!C:F,3,FALSE),"")</f>
        <v>hh</v>
      </c>
      <c r="L76" s="327">
        <f>IF(B76&lt;&gt;"",+VLOOKUP(I76,Recursos!C:F,4,FALSE),"")</f>
        <v>422.48042769667234</v>
      </c>
      <c r="M76" s="331">
        <v>20</v>
      </c>
      <c r="N76" s="331">
        <v>1</v>
      </c>
      <c r="O76" s="332">
        <v>20</v>
      </c>
      <c r="P76" s="333">
        <f t="shared" si="42"/>
        <v>8449.6085539334472</v>
      </c>
      <c r="Q76" s="327">
        <f t="shared" si="43"/>
        <v>0</v>
      </c>
      <c r="R76" s="334">
        <f t="shared" si="44"/>
        <v>0</v>
      </c>
      <c r="S76" s="358">
        <f t="shared" si="32"/>
        <v>42270.794764806451</v>
      </c>
      <c r="T76" s="358">
        <f t="shared" si="33"/>
        <v>882.38715999999988</v>
      </c>
      <c r="U76" s="359">
        <f t="shared" si="34"/>
        <v>11033.05785123967</v>
      </c>
      <c r="V76" s="359">
        <f t="shared" si="35"/>
        <v>0</v>
      </c>
      <c r="W76" s="359">
        <f t="shared" si="36"/>
        <v>0</v>
      </c>
      <c r="X76" s="359">
        <f t="shared" si="37"/>
        <v>0</v>
      </c>
      <c r="Y76" s="320"/>
      <c r="Z76" s="321" t="str">
        <f t="shared" si="45"/>
        <v>X-ACEROgrA</v>
      </c>
      <c r="AA76" s="321" t="str">
        <f t="shared" si="46"/>
        <v>X-ACEROgrE</v>
      </c>
      <c r="AB76" s="321" t="str">
        <f t="shared" si="47"/>
        <v>X-ACEROgrM</v>
      </c>
      <c r="AC76" s="321" t="str">
        <f t="shared" si="48"/>
        <v>X-ACEROgrT</v>
      </c>
      <c r="AD76" s="321" t="str">
        <f t="shared" si="49"/>
        <v>X-ACEROgrS</v>
      </c>
      <c r="AE76" s="321" t="str">
        <f t="shared" si="50"/>
        <v>X-ACEROgrX</v>
      </c>
      <c r="AF76" s="321" t="str">
        <f t="shared" si="51"/>
        <v>X-ACEROgrA</v>
      </c>
      <c r="AG76" s="321">
        <f t="shared" si="38"/>
        <v>8</v>
      </c>
      <c r="AH76" s="321">
        <f>IF(B76&lt;&gt;"",IF(H76="x",VLOOKUP(I76,'AUX-NIV3'!B:AG,32,FALSE),0),"")</f>
        <v>0</v>
      </c>
      <c r="AI76" s="321" t="str">
        <f t="shared" si="52"/>
        <v>X-ACEROgr</v>
      </c>
      <c r="AJ76" s="320"/>
      <c r="AK76" s="322">
        <f t="shared" si="39"/>
        <v>76</v>
      </c>
      <c r="AL76" s="323">
        <f t="shared" si="53"/>
        <v>83</v>
      </c>
      <c r="AM76" s="322">
        <f t="shared" si="54"/>
        <v>1</v>
      </c>
      <c r="AN76" s="380">
        <f>IF(AND(AH76&gt;0,B76&lt;&gt;""),VLOOKUP(I76,'AUX-NIV3'!$B:$AO,39,FALSE)*O76,0)</f>
        <v>0</v>
      </c>
      <c r="AO76" s="380">
        <f t="shared" si="40"/>
        <v>85.3</v>
      </c>
      <c r="AP76" s="380"/>
    </row>
    <row r="77" spans="2:42" hidden="1">
      <c r="B77" s="324" t="s">
        <v>1261</v>
      </c>
      <c r="C77" s="325" t="s">
        <v>10</v>
      </c>
      <c r="D77" s="326" t="s">
        <v>441</v>
      </c>
      <c r="E77" s="327">
        <f>IF(B77&lt;&gt;"",SUMIF('AUX-NIV1'!I:I,'AUX-NIV2'!B77,'AUX-NIV1'!Q:Q),"")</f>
        <v>0</v>
      </c>
      <c r="F77" s="327">
        <f t="shared" si="30"/>
        <v>54186.239776046117</v>
      </c>
      <c r="G77" s="327">
        <f t="shared" si="31"/>
        <v>0</v>
      </c>
      <c r="H77" s="328" t="str">
        <f t="shared" si="41"/>
        <v>A</v>
      </c>
      <c r="I77" s="325" t="s">
        <v>3309</v>
      </c>
      <c r="J77" s="329" t="str">
        <f>IF(B77&lt;&gt;"",+VLOOKUP(I77,Recursos!C:F,2,FALSE),"")</f>
        <v>MEDIO OFICIAL</v>
      </c>
      <c r="K77" s="330" t="str">
        <f>IF(B77&lt;&gt;"",+VLOOKUP(I77,Recursos!C:F,3,FALSE),"")</f>
        <v>hh</v>
      </c>
      <c r="L77" s="327">
        <f>IF(B77&lt;&gt;"",+VLOOKUP(I77,Recursos!C:F,4,FALSE),"")</f>
        <v>459.10093211890984</v>
      </c>
      <c r="M77" s="331">
        <v>20</v>
      </c>
      <c r="N77" s="331">
        <v>1</v>
      </c>
      <c r="O77" s="332">
        <v>20</v>
      </c>
      <c r="P77" s="333">
        <f t="shared" si="42"/>
        <v>9182.0186423781961</v>
      </c>
      <c r="Q77" s="327">
        <f t="shared" si="43"/>
        <v>0</v>
      </c>
      <c r="R77" s="334">
        <f t="shared" si="44"/>
        <v>0</v>
      </c>
      <c r="S77" s="358">
        <f t="shared" si="32"/>
        <v>42270.794764806451</v>
      </c>
      <c r="T77" s="358">
        <f t="shared" si="33"/>
        <v>882.38715999999988</v>
      </c>
      <c r="U77" s="359">
        <f t="shared" si="34"/>
        <v>11033.05785123967</v>
      </c>
      <c r="V77" s="359">
        <f t="shared" si="35"/>
        <v>0</v>
      </c>
      <c r="W77" s="359">
        <f t="shared" si="36"/>
        <v>0</v>
      </c>
      <c r="X77" s="359">
        <f t="shared" si="37"/>
        <v>0</v>
      </c>
      <c r="Y77" s="320"/>
      <c r="Z77" s="321" t="str">
        <f t="shared" si="45"/>
        <v>X-ACEROgrA</v>
      </c>
      <c r="AA77" s="321" t="str">
        <f t="shared" si="46"/>
        <v>X-ACEROgrE</v>
      </c>
      <c r="AB77" s="321" t="str">
        <f t="shared" si="47"/>
        <v>X-ACEROgrM</v>
      </c>
      <c r="AC77" s="321" t="str">
        <f t="shared" si="48"/>
        <v>X-ACEROgrT</v>
      </c>
      <c r="AD77" s="321" t="str">
        <f t="shared" si="49"/>
        <v>X-ACEROgrS</v>
      </c>
      <c r="AE77" s="321" t="str">
        <f t="shared" si="50"/>
        <v>X-ACEROgrX</v>
      </c>
      <c r="AF77" s="321" t="str">
        <f t="shared" si="51"/>
        <v>X-ACEROgrA</v>
      </c>
      <c r="AG77" s="321">
        <f t="shared" si="38"/>
        <v>8</v>
      </c>
      <c r="AH77" s="321">
        <f>IF(B77&lt;&gt;"",IF(H77="x",VLOOKUP(I77,'AUX-NIV3'!B:AG,32,FALSE),0),"")</f>
        <v>0</v>
      </c>
      <c r="AI77" s="321" t="str">
        <f t="shared" si="52"/>
        <v>X-ACEROgr</v>
      </c>
      <c r="AJ77" s="320"/>
      <c r="AK77" s="322">
        <f t="shared" si="39"/>
        <v>76</v>
      </c>
      <c r="AL77" s="323">
        <f t="shared" si="53"/>
        <v>83</v>
      </c>
      <c r="AM77" s="322">
        <f t="shared" si="54"/>
        <v>2</v>
      </c>
      <c r="AN77" s="380">
        <f>IF(AND(AH77&gt;0,B77&lt;&gt;""),VLOOKUP(I77,'AUX-NIV3'!$B:$AO,39,FALSE)*O77,0)</f>
        <v>0</v>
      </c>
      <c r="AO77" s="380">
        <f t="shared" si="40"/>
        <v>85.3</v>
      </c>
      <c r="AP77" s="380"/>
    </row>
    <row r="78" spans="2:42" hidden="1">
      <c r="B78" s="324" t="s">
        <v>1261</v>
      </c>
      <c r="C78" s="325" t="s">
        <v>10</v>
      </c>
      <c r="D78" s="326" t="s">
        <v>441</v>
      </c>
      <c r="E78" s="327">
        <f>IF(B78&lt;&gt;"",SUMIF('AUX-NIV1'!I:I,'AUX-NIV2'!B78,'AUX-NIV1'!Q:Q),"")</f>
        <v>0</v>
      </c>
      <c r="F78" s="327">
        <f t="shared" si="30"/>
        <v>54186.239776046117</v>
      </c>
      <c r="G78" s="327">
        <f t="shared" si="31"/>
        <v>0</v>
      </c>
      <c r="H78" s="328" t="str">
        <f t="shared" si="41"/>
        <v>A</v>
      </c>
      <c r="I78" s="325" t="s">
        <v>1746</v>
      </c>
      <c r="J78" s="329" t="str">
        <f>IF(B78&lt;&gt;"",+VLOOKUP(I78,Recursos!C:F,2,FALSE),"")</f>
        <v>OFICIAL</v>
      </c>
      <c r="K78" s="330" t="str">
        <f>IF(B78&lt;&gt;"",+VLOOKUP(I78,Recursos!C:F,3,FALSE),"")</f>
        <v>hh</v>
      </c>
      <c r="L78" s="327">
        <f>IF(B78&lt;&gt;"",+VLOOKUP(I78,Recursos!C:F,4,FALSE),"")</f>
        <v>496.91595439275824</v>
      </c>
      <c r="M78" s="331">
        <v>20</v>
      </c>
      <c r="N78" s="331">
        <v>1</v>
      </c>
      <c r="O78" s="332">
        <v>20</v>
      </c>
      <c r="P78" s="333">
        <f t="shared" si="42"/>
        <v>9938.319087855165</v>
      </c>
      <c r="Q78" s="327">
        <f t="shared" si="43"/>
        <v>0</v>
      </c>
      <c r="R78" s="334">
        <f t="shared" si="44"/>
        <v>0</v>
      </c>
      <c r="S78" s="358">
        <f t="shared" si="32"/>
        <v>42270.794764806451</v>
      </c>
      <c r="T78" s="358">
        <f t="shared" si="33"/>
        <v>882.38715999999988</v>
      </c>
      <c r="U78" s="359">
        <f t="shared" si="34"/>
        <v>11033.05785123967</v>
      </c>
      <c r="V78" s="359">
        <f t="shared" si="35"/>
        <v>0</v>
      </c>
      <c r="W78" s="359">
        <f t="shared" si="36"/>
        <v>0</v>
      </c>
      <c r="X78" s="359">
        <f t="shared" si="37"/>
        <v>0</v>
      </c>
      <c r="Y78" s="320"/>
      <c r="Z78" s="321" t="str">
        <f t="shared" si="45"/>
        <v>X-ACEROgrA</v>
      </c>
      <c r="AA78" s="321" t="str">
        <f t="shared" si="46"/>
        <v>X-ACEROgrE</v>
      </c>
      <c r="AB78" s="321" t="str">
        <f t="shared" si="47"/>
        <v>X-ACEROgrM</v>
      </c>
      <c r="AC78" s="321" t="str">
        <f t="shared" si="48"/>
        <v>X-ACEROgrT</v>
      </c>
      <c r="AD78" s="321" t="str">
        <f t="shared" si="49"/>
        <v>X-ACEROgrS</v>
      </c>
      <c r="AE78" s="321" t="str">
        <f t="shared" si="50"/>
        <v>X-ACEROgrX</v>
      </c>
      <c r="AF78" s="321" t="str">
        <f t="shared" si="51"/>
        <v>X-ACEROgrA</v>
      </c>
      <c r="AG78" s="321">
        <f t="shared" si="38"/>
        <v>8</v>
      </c>
      <c r="AH78" s="321">
        <f>IF(B78&lt;&gt;"",IF(H78="x",VLOOKUP(I78,'AUX-NIV3'!B:AG,32,FALSE),0),"")</f>
        <v>0</v>
      </c>
      <c r="AI78" s="321" t="str">
        <f t="shared" si="52"/>
        <v>X-ACEROgr</v>
      </c>
      <c r="AJ78" s="320"/>
      <c r="AK78" s="322">
        <f t="shared" si="39"/>
        <v>76</v>
      </c>
      <c r="AL78" s="323">
        <f t="shared" si="53"/>
        <v>83</v>
      </c>
      <c r="AM78" s="322">
        <f t="shared" si="54"/>
        <v>3</v>
      </c>
      <c r="AN78" s="380">
        <f>IF(AND(AH78&gt;0,B78&lt;&gt;""),VLOOKUP(I78,'AUX-NIV3'!$B:$AO,39,FALSE)*O78,0)</f>
        <v>0</v>
      </c>
      <c r="AO78" s="380">
        <f t="shared" si="40"/>
        <v>85.3</v>
      </c>
      <c r="AP78" s="380"/>
    </row>
    <row r="79" spans="2:42" hidden="1">
      <c r="B79" s="324" t="s">
        <v>1261</v>
      </c>
      <c r="C79" s="325" t="s">
        <v>10</v>
      </c>
      <c r="D79" s="326" t="s">
        <v>441</v>
      </c>
      <c r="E79" s="327">
        <f>IF(B79&lt;&gt;"",SUMIF('AUX-NIV1'!I:I,'AUX-NIV2'!B79,'AUX-NIV1'!Q:Q),"")</f>
        <v>0</v>
      </c>
      <c r="F79" s="327">
        <f t="shared" si="30"/>
        <v>54186.239776046117</v>
      </c>
      <c r="G79" s="327">
        <f t="shared" si="31"/>
        <v>0</v>
      </c>
      <c r="H79" s="328" t="str">
        <f t="shared" si="41"/>
        <v>A</v>
      </c>
      <c r="I79" s="325" t="s">
        <v>3310</v>
      </c>
      <c r="J79" s="329" t="str">
        <f>IF(B79&lt;&gt;"",+VLOOKUP(I79,Recursos!C:F,2,FALSE),"")</f>
        <v>OFICIAL ESPECIALIZADO</v>
      </c>
      <c r="K79" s="330" t="str">
        <f>IF(B79&lt;&gt;"",+VLOOKUP(I79,Recursos!C:F,3,FALSE),"")</f>
        <v>hh</v>
      </c>
      <c r="L79" s="327">
        <f>IF(B79&lt;&gt;"",+VLOOKUP(I79,Recursos!C:F,4,FALSE),"")</f>
        <v>581.06120476836554</v>
      </c>
      <c r="M79" s="331">
        <v>20</v>
      </c>
      <c r="N79" s="331">
        <v>1</v>
      </c>
      <c r="O79" s="332">
        <v>20</v>
      </c>
      <c r="P79" s="333">
        <f t="shared" si="42"/>
        <v>11621.22409536731</v>
      </c>
      <c r="Q79" s="327">
        <f t="shared" si="43"/>
        <v>0</v>
      </c>
      <c r="R79" s="334">
        <f t="shared" si="44"/>
        <v>0</v>
      </c>
      <c r="S79" s="358">
        <f t="shared" si="32"/>
        <v>42270.794764806451</v>
      </c>
      <c r="T79" s="358">
        <f t="shared" si="33"/>
        <v>882.38715999999988</v>
      </c>
      <c r="U79" s="359">
        <f t="shared" si="34"/>
        <v>11033.05785123967</v>
      </c>
      <c r="V79" s="359">
        <f t="shared" si="35"/>
        <v>0</v>
      </c>
      <c r="W79" s="359">
        <f t="shared" si="36"/>
        <v>0</v>
      </c>
      <c r="X79" s="359">
        <f t="shared" si="37"/>
        <v>0</v>
      </c>
      <c r="Y79" s="320"/>
      <c r="Z79" s="321" t="str">
        <f t="shared" si="45"/>
        <v>X-ACEROgrA</v>
      </c>
      <c r="AA79" s="321" t="str">
        <f t="shared" si="46"/>
        <v>X-ACEROgrE</v>
      </c>
      <c r="AB79" s="321" t="str">
        <f t="shared" si="47"/>
        <v>X-ACEROgrM</v>
      </c>
      <c r="AC79" s="321" t="str">
        <f t="shared" si="48"/>
        <v>X-ACEROgrT</v>
      </c>
      <c r="AD79" s="321" t="str">
        <f t="shared" si="49"/>
        <v>X-ACEROgrS</v>
      </c>
      <c r="AE79" s="321" t="str">
        <f t="shared" si="50"/>
        <v>X-ACEROgrX</v>
      </c>
      <c r="AF79" s="321" t="str">
        <f t="shared" si="51"/>
        <v>X-ACEROgrA</v>
      </c>
      <c r="AG79" s="321">
        <f t="shared" si="38"/>
        <v>8</v>
      </c>
      <c r="AH79" s="321">
        <f>IF(B79&lt;&gt;"",IF(H79="x",VLOOKUP(I79,'AUX-NIV3'!B:AG,32,FALSE),0),"")</f>
        <v>0</v>
      </c>
      <c r="AI79" s="321" t="str">
        <f t="shared" si="52"/>
        <v>X-ACEROgr</v>
      </c>
      <c r="AJ79" s="320"/>
      <c r="AK79" s="322">
        <f t="shared" si="39"/>
        <v>76</v>
      </c>
      <c r="AL79" s="323">
        <f t="shared" si="53"/>
        <v>83</v>
      </c>
      <c r="AM79" s="322">
        <f t="shared" si="54"/>
        <v>4</v>
      </c>
      <c r="AN79" s="380">
        <f>IF(AND(AH79&gt;0,B79&lt;&gt;""),VLOOKUP(I79,'AUX-NIV3'!$B:$AO,39,FALSE)*O79,0)</f>
        <v>0</v>
      </c>
      <c r="AO79" s="380">
        <f t="shared" si="40"/>
        <v>85.3</v>
      </c>
      <c r="AP79" s="380"/>
    </row>
    <row r="80" spans="2:42" hidden="1">
      <c r="B80" s="324" t="s">
        <v>1261</v>
      </c>
      <c r="C80" s="325" t="s">
        <v>10</v>
      </c>
      <c r="D80" s="326" t="s">
        <v>441</v>
      </c>
      <c r="E80" s="327">
        <f>IF(B80&lt;&gt;"",SUMIF('AUX-NIV1'!I:I,'AUX-NIV2'!B80,'AUX-NIV1'!Q:Q),"")</f>
        <v>0</v>
      </c>
      <c r="F80" s="327">
        <f t="shared" si="30"/>
        <v>54186.239776046117</v>
      </c>
      <c r="G80" s="327">
        <f t="shared" si="31"/>
        <v>0</v>
      </c>
      <c r="H80" s="328" t="str">
        <f t="shared" si="41"/>
        <v>A</v>
      </c>
      <c r="I80" s="325" t="s">
        <v>3311</v>
      </c>
      <c r="J80" s="329" t="str">
        <f>IF(B80&lt;&gt;"",+VLOOKUP(I80,Recursos!C:F,2,FALSE),"")</f>
        <v>OPER. EQUIPO</v>
      </c>
      <c r="K80" s="330" t="str">
        <f>IF(B80&lt;&gt;"",+VLOOKUP(I80,Recursos!C:F,3,FALSE),"")</f>
        <v>hh</v>
      </c>
      <c r="L80" s="327">
        <f>IF(B80&lt;&gt;"",+VLOOKUP(I80,Recursos!C:F,4,FALSE),"")</f>
        <v>581.06120476836554</v>
      </c>
      <c r="M80" s="331">
        <v>5</v>
      </c>
      <c r="N80" s="331">
        <v>1.5</v>
      </c>
      <c r="O80" s="332">
        <f>+N80/M80</f>
        <v>0.3</v>
      </c>
      <c r="P80" s="333">
        <f t="shared" si="42"/>
        <v>174.31836143050967</v>
      </c>
      <c r="Q80" s="327">
        <f t="shared" si="43"/>
        <v>0</v>
      </c>
      <c r="R80" s="334">
        <f t="shared" si="44"/>
        <v>0</v>
      </c>
      <c r="S80" s="358">
        <f t="shared" si="32"/>
        <v>42270.794764806451</v>
      </c>
      <c r="T80" s="358">
        <f t="shared" si="33"/>
        <v>882.38715999999988</v>
      </c>
      <c r="U80" s="359">
        <f t="shared" si="34"/>
        <v>11033.05785123967</v>
      </c>
      <c r="V80" s="359">
        <f t="shared" si="35"/>
        <v>0</v>
      </c>
      <c r="W80" s="359">
        <f t="shared" si="36"/>
        <v>0</v>
      </c>
      <c r="X80" s="359">
        <f t="shared" si="37"/>
        <v>0</v>
      </c>
      <c r="Y80" s="320"/>
      <c r="Z80" s="321" t="str">
        <f t="shared" si="45"/>
        <v>X-ACEROgrA</v>
      </c>
      <c r="AA80" s="321" t="str">
        <f t="shared" si="46"/>
        <v>X-ACEROgrE</v>
      </c>
      <c r="AB80" s="321" t="str">
        <f t="shared" si="47"/>
        <v>X-ACEROgrM</v>
      </c>
      <c r="AC80" s="321" t="str">
        <f t="shared" si="48"/>
        <v>X-ACEROgrT</v>
      </c>
      <c r="AD80" s="321" t="str">
        <f t="shared" si="49"/>
        <v>X-ACEROgrS</v>
      </c>
      <c r="AE80" s="321" t="str">
        <f t="shared" si="50"/>
        <v>X-ACEROgrX</v>
      </c>
      <c r="AF80" s="321" t="str">
        <f t="shared" si="51"/>
        <v>X-ACEROgrA</v>
      </c>
      <c r="AG80" s="321">
        <f t="shared" si="38"/>
        <v>8</v>
      </c>
      <c r="AH80" s="321">
        <f>IF(B80&lt;&gt;"",IF(H80="x",VLOOKUP(I80,'AUX-NIV3'!B:AG,32,FALSE),0),"")</f>
        <v>0</v>
      </c>
      <c r="AI80" s="321" t="str">
        <f t="shared" si="52"/>
        <v>X-ACEROgr</v>
      </c>
      <c r="AJ80" s="320"/>
      <c r="AK80" s="322">
        <f t="shared" si="39"/>
        <v>76</v>
      </c>
      <c r="AL80" s="323">
        <f t="shared" si="53"/>
        <v>83</v>
      </c>
      <c r="AM80" s="322">
        <f t="shared" si="54"/>
        <v>5</v>
      </c>
      <c r="AN80" s="380">
        <f>IF(AND(AH80&gt;0,B80&lt;&gt;""),VLOOKUP(I80,'AUX-NIV3'!$B:$AO,39,FALSE)*O80,0)</f>
        <v>0</v>
      </c>
      <c r="AO80" s="380">
        <f t="shared" si="40"/>
        <v>85.3</v>
      </c>
      <c r="AP80" s="380"/>
    </row>
    <row r="81" spans="2:42" hidden="1">
      <c r="B81" s="324" t="s">
        <v>1261</v>
      </c>
      <c r="C81" s="325" t="s">
        <v>10</v>
      </c>
      <c r="D81" s="326" t="s">
        <v>441</v>
      </c>
      <c r="E81" s="327">
        <f>IF(B81&lt;&gt;"",SUMIF('AUX-NIV1'!I:I,'AUX-NIV2'!B81,'AUX-NIV1'!Q:Q),"")</f>
        <v>0</v>
      </c>
      <c r="F81" s="327">
        <f t="shared" si="30"/>
        <v>54186.239776046117</v>
      </c>
      <c r="G81" s="327">
        <f t="shared" si="31"/>
        <v>0</v>
      </c>
      <c r="H81" s="328" t="str">
        <f t="shared" si="41"/>
        <v>A</v>
      </c>
      <c r="I81" s="325" t="s">
        <v>3311</v>
      </c>
      <c r="J81" s="329" t="str">
        <f>IF(B81&lt;&gt;"",+VLOOKUP(I81,Recursos!C:F,2,FALSE),"")</f>
        <v>OPER. EQUIPO</v>
      </c>
      <c r="K81" s="330" t="str">
        <f>IF(B81&lt;&gt;"",+VLOOKUP(I81,Recursos!C:F,3,FALSE),"")</f>
        <v>hh</v>
      </c>
      <c r="L81" s="327">
        <f>IF(B81&lt;&gt;"",+VLOOKUP(I81,Recursos!C:F,4,FALSE),"")</f>
        <v>581.06120476836554</v>
      </c>
      <c r="M81" s="331">
        <v>5</v>
      </c>
      <c r="N81" s="331">
        <v>1</v>
      </c>
      <c r="O81" s="332">
        <f>+M81*N81</f>
        <v>5</v>
      </c>
      <c r="P81" s="333">
        <f t="shared" si="42"/>
        <v>2905.3060238418275</v>
      </c>
      <c r="Q81" s="327">
        <f t="shared" si="43"/>
        <v>0</v>
      </c>
      <c r="R81" s="334">
        <f t="shared" si="44"/>
        <v>0</v>
      </c>
      <c r="S81" s="358">
        <f t="shared" si="32"/>
        <v>42270.794764806451</v>
      </c>
      <c r="T81" s="358">
        <f t="shared" si="33"/>
        <v>882.38715999999988</v>
      </c>
      <c r="U81" s="359">
        <f t="shared" si="34"/>
        <v>11033.05785123967</v>
      </c>
      <c r="V81" s="359">
        <f t="shared" si="35"/>
        <v>0</v>
      </c>
      <c r="W81" s="359">
        <f t="shared" si="36"/>
        <v>0</v>
      </c>
      <c r="X81" s="359">
        <f t="shared" si="37"/>
        <v>0</v>
      </c>
      <c r="Y81" s="320"/>
      <c r="Z81" s="321" t="str">
        <f t="shared" si="45"/>
        <v>X-ACEROgrA</v>
      </c>
      <c r="AA81" s="321" t="str">
        <f t="shared" si="46"/>
        <v>X-ACEROgrE</v>
      </c>
      <c r="AB81" s="321" t="str">
        <f t="shared" si="47"/>
        <v>X-ACEROgrM</v>
      </c>
      <c r="AC81" s="321" t="str">
        <f t="shared" si="48"/>
        <v>X-ACEROgrT</v>
      </c>
      <c r="AD81" s="321" t="str">
        <f t="shared" si="49"/>
        <v>X-ACEROgrS</v>
      </c>
      <c r="AE81" s="321" t="str">
        <f t="shared" si="50"/>
        <v>X-ACEROgrX</v>
      </c>
      <c r="AF81" s="321" t="str">
        <f t="shared" si="51"/>
        <v>X-ACEROgrA</v>
      </c>
      <c r="AG81" s="321">
        <f t="shared" si="38"/>
        <v>8</v>
      </c>
      <c r="AH81" s="321">
        <f>IF(B81&lt;&gt;"",IF(H81="x",VLOOKUP(I81,'AUX-NIV3'!B:AG,32,FALSE),0),"")</f>
        <v>0</v>
      </c>
      <c r="AI81" s="321" t="str">
        <f t="shared" si="52"/>
        <v>X-ACEROgr</v>
      </c>
      <c r="AJ81" s="320"/>
      <c r="AK81" s="322">
        <f t="shared" si="39"/>
        <v>76</v>
      </c>
      <c r="AL81" s="323">
        <f t="shared" si="53"/>
        <v>83</v>
      </c>
      <c r="AM81" s="322">
        <f t="shared" si="54"/>
        <v>6</v>
      </c>
      <c r="AN81" s="380">
        <f>IF(AND(AH81&gt;0,B81&lt;&gt;""),VLOOKUP(I81,'AUX-NIV3'!$B:$AO,39,FALSE)*O81,0)</f>
        <v>0</v>
      </c>
      <c r="AO81" s="380">
        <f t="shared" si="40"/>
        <v>85.3</v>
      </c>
      <c r="AP81" s="380"/>
    </row>
    <row r="82" spans="2:42" hidden="1">
      <c r="B82" s="324" t="s">
        <v>1261</v>
      </c>
      <c r="C82" s="325" t="s">
        <v>10</v>
      </c>
      <c r="D82" s="326" t="s">
        <v>441</v>
      </c>
      <c r="E82" s="327">
        <f>IF(B82&lt;&gt;"",SUMIF('AUX-NIV1'!I:I,'AUX-NIV2'!B82,'AUX-NIV1'!Q:Q),"")</f>
        <v>0</v>
      </c>
      <c r="F82" s="327">
        <f t="shared" si="30"/>
        <v>54186.239776046117</v>
      </c>
      <c r="G82" s="327">
        <f t="shared" si="31"/>
        <v>0</v>
      </c>
      <c r="H82" s="328" t="str">
        <f t="shared" si="41"/>
        <v>E</v>
      </c>
      <c r="I82" s="325" t="s">
        <v>1596</v>
      </c>
      <c r="J82" s="329" t="str">
        <f>IF(B82&lt;&gt;"",+VLOOKUP(I82,Recursos!C:F,2,FALSE),"")</f>
        <v>GRUA MOVIL TODO TERRENO (32 T)</v>
      </c>
      <c r="K82" s="330" t="str">
        <f>IF(B82&lt;&gt;"",+VLOOKUP(I82,Recursos!C:F,3,FALSE),"")</f>
        <v>HR</v>
      </c>
      <c r="L82" s="327">
        <f>IF(B82&lt;&gt;"",+VLOOKUP(I82,Recursos!C:F,4,FALSE),"")</f>
        <v>4411.9357999999993</v>
      </c>
      <c r="M82" s="331">
        <v>5</v>
      </c>
      <c r="N82" s="331">
        <v>1</v>
      </c>
      <c r="O82" s="332">
        <f>+N82/M82</f>
        <v>0.2</v>
      </c>
      <c r="P82" s="333">
        <f t="shared" si="42"/>
        <v>882.38715999999988</v>
      </c>
      <c r="Q82" s="327">
        <f t="shared" si="43"/>
        <v>0</v>
      </c>
      <c r="R82" s="334">
        <f t="shared" si="44"/>
        <v>0</v>
      </c>
      <c r="S82" s="358">
        <f t="shared" si="32"/>
        <v>42270.794764806451</v>
      </c>
      <c r="T82" s="358">
        <f t="shared" si="33"/>
        <v>882.38715999999988</v>
      </c>
      <c r="U82" s="359">
        <f t="shared" si="34"/>
        <v>11033.05785123967</v>
      </c>
      <c r="V82" s="359">
        <f t="shared" si="35"/>
        <v>0</v>
      </c>
      <c r="W82" s="359">
        <f t="shared" si="36"/>
        <v>0</v>
      </c>
      <c r="X82" s="359">
        <f t="shared" si="37"/>
        <v>0</v>
      </c>
      <c r="Y82" s="320"/>
      <c r="Z82" s="321" t="str">
        <f t="shared" si="45"/>
        <v>X-ACEROgrA</v>
      </c>
      <c r="AA82" s="321" t="str">
        <f t="shared" si="46"/>
        <v>X-ACEROgrE</v>
      </c>
      <c r="AB82" s="321" t="str">
        <f t="shared" si="47"/>
        <v>X-ACEROgrM</v>
      </c>
      <c r="AC82" s="321" t="str">
        <f t="shared" si="48"/>
        <v>X-ACEROgrT</v>
      </c>
      <c r="AD82" s="321" t="str">
        <f t="shared" si="49"/>
        <v>X-ACEROgrS</v>
      </c>
      <c r="AE82" s="321" t="str">
        <f t="shared" si="50"/>
        <v>X-ACEROgrX</v>
      </c>
      <c r="AF82" s="321" t="str">
        <f t="shared" si="51"/>
        <v>X-ACEROgrE</v>
      </c>
      <c r="AG82" s="321">
        <f t="shared" si="38"/>
        <v>8</v>
      </c>
      <c r="AH82" s="321">
        <f>IF(B82&lt;&gt;"",IF(H82="x",VLOOKUP(I82,'AUX-NIV3'!B:AG,32,FALSE),0),"")</f>
        <v>0</v>
      </c>
      <c r="AI82" s="321" t="str">
        <f t="shared" si="52"/>
        <v>X-ACEROgr</v>
      </c>
      <c r="AJ82" s="320"/>
      <c r="AK82" s="322">
        <f t="shared" si="39"/>
        <v>76</v>
      </c>
      <c r="AL82" s="323">
        <f t="shared" si="53"/>
        <v>83</v>
      </c>
      <c r="AM82" s="322">
        <f t="shared" si="54"/>
        <v>7</v>
      </c>
      <c r="AN82" s="380">
        <f>IF(AND(AH82&gt;0,B82&lt;&gt;""),VLOOKUP(I82,'AUX-NIV3'!$B:$AO,39,FALSE)*O82,0)</f>
        <v>0</v>
      </c>
      <c r="AO82" s="380">
        <f t="shared" si="40"/>
        <v>85.3</v>
      </c>
      <c r="AP82" s="380"/>
    </row>
    <row r="83" spans="2:42" hidden="1">
      <c r="B83" s="324" t="s">
        <v>1261</v>
      </c>
      <c r="C83" s="325" t="s">
        <v>10</v>
      </c>
      <c r="D83" s="326" t="s">
        <v>441</v>
      </c>
      <c r="E83" s="327">
        <f>IF(B83&lt;&gt;"",SUMIF('AUX-NIV1'!I:I,'AUX-NIV2'!B83,'AUX-NIV1'!Q:Q),"")</f>
        <v>0</v>
      </c>
      <c r="F83" s="327">
        <f t="shared" si="30"/>
        <v>54186.239776046117</v>
      </c>
      <c r="G83" s="327">
        <f t="shared" si="31"/>
        <v>0</v>
      </c>
      <c r="H83" s="328" t="str">
        <f t="shared" si="41"/>
        <v>M</v>
      </c>
      <c r="I83" s="325" t="s">
        <v>448</v>
      </c>
      <c r="J83" s="329" t="str">
        <f>IF(B83&lt;&gt;"",+VLOOKUP(I83,Recursos!C:F,2,FALSE),"")</f>
        <v>ALAMBRE RECOCIDO #14</v>
      </c>
      <c r="K83" s="330" t="str">
        <f>IF(B83&lt;&gt;"",+VLOOKUP(I83,Recursos!C:F,3,FALSE),"")</f>
        <v>Kg</v>
      </c>
      <c r="L83" s="327">
        <f>IF(B83&lt;&gt;"",+VLOOKUP(I83,Recursos!C:F,4,FALSE),"")</f>
        <v>735.53719008264466</v>
      </c>
      <c r="M83" s="331">
        <v>15</v>
      </c>
      <c r="N83" s="331">
        <v>1</v>
      </c>
      <c r="O83" s="332">
        <f>+M83*N83</f>
        <v>15</v>
      </c>
      <c r="P83" s="333">
        <f t="shared" si="42"/>
        <v>11033.05785123967</v>
      </c>
      <c r="Q83" s="327">
        <f t="shared" si="43"/>
        <v>0</v>
      </c>
      <c r="R83" s="334">
        <f t="shared" si="44"/>
        <v>0</v>
      </c>
      <c r="S83" s="358">
        <f t="shared" si="32"/>
        <v>42270.794764806451</v>
      </c>
      <c r="T83" s="358">
        <f t="shared" si="33"/>
        <v>882.38715999999988</v>
      </c>
      <c r="U83" s="359">
        <f t="shared" si="34"/>
        <v>11033.05785123967</v>
      </c>
      <c r="V83" s="359">
        <f t="shared" si="35"/>
        <v>0</v>
      </c>
      <c r="W83" s="359">
        <f t="shared" si="36"/>
        <v>0</v>
      </c>
      <c r="X83" s="359">
        <f t="shared" si="37"/>
        <v>0</v>
      </c>
      <c r="Y83" s="320"/>
      <c r="Z83" s="321" t="str">
        <f t="shared" si="45"/>
        <v>X-ACEROgrA</v>
      </c>
      <c r="AA83" s="321" t="str">
        <f t="shared" si="46"/>
        <v>X-ACEROgrE</v>
      </c>
      <c r="AB83" s="321" t="str">
        <f t="shared" si="47"/>
        <v>X-ACEROgrM</v>
      </c>
      <c r="AC83" s="321" t="str">
        <f t="shared" si="48"/>
        <v>X-ACEROgrT</v>
      </c>
      <c r="AD83" s="321" t="str">
        <f t="shared" si="49"/>
        <v>X-ACEROgrS</v>
      </c>
      <c r="AE83" s="321" t="str">
        <f t="shared" si="50"/>
        <v>X-ACEROgrX</v>
      </c>
      <c r="AF83" s="321" t="str">
        <f t="shared" si="51"/>
        <v>X-ACEROgrM</v>
      </c>
      <c r="AG83" s="321">
        <f t="shared" si="38"/>
        <v>8</v>
      </c>
      <c r="AH83" s="321">
        <f>IF(B83&lt;&gt;"",IF(H83="x",VLOOKUP(I83,'AUX-NIV3'!B:AG,32,FALSE),0),"")</f>
        <v>0</v>
      </c>
      <c r="AI83" s="321" t="str">
        <f t="shared" si="52"/>
        <v>X-ACEROgr</v>
      </c>
      <c r="AJ83" s="320"/>
      <c r="AK83" s="322">
        <f t="shared" si="39"/>
        <v>76</v>
      </c>
      <c r="AL83" s="323">
        <f t="shared" si="53"/>
        <v>83</v>
      </c>
      <c r="AM83" s="322">
        <f t="shared" si="54"/>
        <v>8</v>
      </c>
      <c r="AN83" s="380">
        <f>IF(AND(AH83&gt;0,B83&lt;&gt;""),VLOOKUP(I83,'AUX-NIV3'!$B:$AO,39,FALSE)*O83,0)</f>
        <v>0</v>
      </c>
      <c r="AO83" s="380">
        <f t="shared" si="40"/>
        <v>85.3</v>
      </c>
      <c r="AP83" s="380"/>
    </row>
    <row r="84" spans="2:42">
      <c r="B84" s="324" t="s">
        <v>1262</v>
      </c>
      <c r="C84" s="325" t="s">
        <v>11</v>
      </c>
      <c r="D84" s="326" t="s">
        <v>1160</v>
      </c>
      <c r="E84" s="327">
        <f>IF(B84&lt;&gt;"",SUMIF('AUX-NIV1'!I:I,'AUX-NIV2'!B84,'AUX-NIV1'!Q:Q),"")</f>
        <v>7.9905000000000008</v>
      </c>
      <c r="F84" s="327">
        <f t="shared" si="30"/>
        <v>5756.0283072512138</v>
      </c>
      <c r="G84" s="327">
        <f t="shared" si="31"/>
        <v>45993.544189090819</v>
      </c>
      <c r="H84" s="328" t="str">
        <f t="shared" si="41"/>
        <v>A</v>
      </c>
      <c r="I84" s="325" t="s">
        <v>3312</v>
      </c>
      <c r="J84" s="329" t="str">
        <f>IF(B84&lt;&gt;"",+VLOOKUP(I84,Recursos!C:F,2,FALSE),"")</f>
        <v>CHOFER</v>
      </c>
      <c r="K84" s="330" t="str">
        <f>IF(B84&lt;&gt;"",+VLOOKUP(I84,Recursos!C:F,3,FALSE),"")</f>
        <v>hh</v>
      </c>
      <c r="L84" s="327">
        <f>IF(B84&lt;&gt;"",+VLOOKUP(I84,Recursos!C:F,4,FALSE),"")</f>
        <v>496.91595439275824</v>
      </c>
      <c r="M84" s="331">
        <v>15</v>
      </c>
      <c r="N84" s="331">
        <f>1.25*0</f>
        <v>0</v>
      </c>
      <c r="O84" s="332">
        <f>1/M84*N84</f>
        <v>0</v>
      </c>
      <c r="P84" s="333">
        <f t="shared" si="42"/>
        <v>0</v>
      </c>
      <c r="Q84" s="327">
        <f t="shared" si="43"/>
        <v>0</v>
      </c>
      <c r="R84" s="334">
        <f t="shared" si="44"/>
        <v>0</v>
      </c>
      <c r="S84" s="358">
        <f t="shared" si="32"/>
        <v>1689.9217107866893</v>
      </c>
      <c r="T84" s="358">
        <f t="shared" si="33"/>
        <v>0</v>
      </c>
      <c r="U84" s="359">
        <f t="shared" si="34"/>
        <v>3305.7851239669426</v>
      </c>
      <c r="V84" s="359">
        <f t="shared" si="35"/>
        <v>0</v>
      </c>
      <c r="W84" s="359">
        <f t="shared" si="36"/>
        <v>0</v>
      </c>
      <c r="X84" s="359">
        <f t="shared" si="37"/>
        <v>760.32147249758168</v>
      </c>
      <c r="Y84" s="320"/>
      <c r="Z84" s="321" t="str">
        <f t="shared" si="45"/>
        <v>X-EDOSH17A</v>
      </c>
      <c r="AA84" s="321" t="str">
        <f t="shared" si="46"/>
        <v>X-EDOSH17E</v>
      </c>
      <c r="AB84" s="321" t="str">
        <f t="shared" si="47"/>
        <v>X-EDOSH17M</v>
      </c>
      <c r="AC84" s="321" t="str">
        <f t="shared" si="48"/>
        <v>X-EDOSH17T</v>
      </c>
      <c r="AD84" s="321" t="str">
        <f t="shared" si="49"/>
        <v>X-EDOSH17S</v>
      </c>
      <c r="AE84" s="321" t="str">
        <f t="shared" si="50"/>
        <v>X-EDOSH17X</v>
      </c>
      <c r="AF84" s="321" t="str">
        <f t="shared" si="51"/>
        <v>X-EDOSH17A</v>
      </c>
      <c r="AG84" s="321">
        <f t="shared" si="38"/>
        <v>13</v>
      </c>
      <c r="AH84" s="321">
        <f>IF(B84&lt;&gt;"",IF(H84="x",VLOOKUP(I84,'AUX-NIV3'!B:AG,32,FALSE),0),"")</f>
        <v>0</v>
      </c>
      <c r="AI84" s="321" t="str">
        <f t="shared" si="52"/>
        <v>X-EDOSH17</v>
      </c>
      <c r="AJ84" s="320"/>
      <c r="AK84" s="322">
        <f t="shared" si="39"/>
        <v>84</v>
      </c>
      <c r="AL84" s="323">
        <f t="shared" si="53"/>
        <v>96</v>
      </c>
      <c r="AM84" s="322">
        <f t="shared" si="54"/>
        <v>1</v>
      </c>
      <c r="AN84" s="380">
        <f>IF(AND(AH84&gt;0,B84&lt;&gt;""),VLOOKUP(I84,'AUX-NIV3'!$B:$AO,39,FALSE)*O84,0)</f>
        <v>0</v>
      </c>
      <c r="AO84" s="380">
        <f t="shared" si="40"/>
        <v>4.1455466666666663</v>
      </c>
      <c r="AP84" s="380"/>
    </row>
    <row r="85" spans="2:42">
      <c r="B85" s="324" t="s">
        <v>1262</v>
      </c>
      <c r="C85" s="325" t="s">
        <v>11</v>
      </c>
      <c r="D85" s="326" t="s">
        <v>1160</v>
      </c>
      <c r="E85" s="327">
        <f>IF(B85&lt;&gt;"",SUMIF('AUX-NIV1'!I:I,'AUX-NIV2'!B85,'AUX-NIV1'!Q:Q),"")</f>
        <v>7.9905000000000008</v>
      </c>
      <c r="F85" s="327">
        <f t="shared" si="30"/>
        <v>5756.0283072512138</v>
      </c>
      <c r="G85" s="327">
        <f t="shared" si="31"/>
        <v>45993.544189090819</v>
      </c>
      <c r="H85" s="328" t="str">
        <f t="shared" si="41"/>
        <v>A</v>
      </c>
      <c r="I85" s="325" t="s">
        <v>3311</v>
      </c>
      <c r="J85" s="329" t="str">
        <f>IF(B85&lt;&gt;"",+VLOOKUP(I85,Recursos!C:F,2,FALSE),"")</f>
        <v>OPER. EQUIPO</v>
      </c>
      <c r="K85" s="330" t="str">
        <f>IF(B85&lt;&gt;"",+VLOOKUP(I85,Recursos!C:F,3,FALSE),"")</f>
        <v>hh</v>
      </c>
      <c r="L85" s="327">
        <f>IF(B85&lt;&gt;"",+VLOOKUP(I85,Recursos!C:F,4,FALSE),"")</f>
        <v>581.06120476836554</v>
      </c>
      <c r="M85" s="331">
        <v>100</v>
      </c>
      <c r="N85" s="331">
        <f>1.4*0</f>
        <v>0</v>
      </c>
      <c r="O85" s="332">
        <f>1/M85*N85</f>
        <v>0</v>
      </c>
      <c r="P85" s="333">
        <f t="shared" si="42"/>
        <v>0</v>
      </c>
      <c r="Q85" s="327">
        <f t="shared" si="43"/>
        <v>0</v>
      </c>
      <c r="R85" s="334">
        <f t="shared" si="44"/>
        <v>0</v>
      </c>
      <c r="S85" s="358">
        <f t="shared" si="32"/>
        <v>1689.9217107866893</v>
      </c>
      <c r="T85" s="358">
        <f t="shared" si="33"/>
        <v>0</v>
      </c>
      <c r="U85" s="359">
        <f t="shared" si="34"/>
        <v>3305.7851239669426</v>
      </c>
      <c r="V85" s="359">
        <f t="shared" si="35"/>
        <v>0</v>
      </c>
      <c r="W85" s="359">
        <f t="shared" si="36"/>
        <v>0</v>
      </c>
      <c r="X85" s="359">
        <f t="shared" si="37"/>
        <v>760.32147249758168</v>
      </c>
      <c r="Y85" s="320"/>
      <c r="Z85" s="321" t="str">
        <f t="shared" si="45"/>
        <v>X-EDOSH17A</v>
      </c>
      <c r="AA85" s="321" t="str">
        <f t="shared" si="46"/>
        <v>X-EDOSH17E</v>
      </c>
      <c r="AB85" s="321" t="str">
        <f t="shared" si="47"/>
        <v>X-EDOSH17M</v>
      </c>
      <c r="AC85" s="321" t="str">
        <f t="shared" si="48"/>
        <v>X-EDOSH17T</v>
      </c>
      <c r="AD85" s="321" t="str">
        <f t="shared" si="49"/>
        <v>X-EDOSH17S</v>
      </c>
      <c r="AE85" s="321" t="str">
        <f t="shared" si="50"/>
        <v>X-EDOSH17X</v>
      </c>
      <c r="AF85" s="321" t="str">
        <f t="shared" si="51"/>
        <v>X-EDOSH17A</v>
      </c>
      <c r="AG85" s="321">
        <f t="shared" si="38"/>
        <v>13</v>
      </c>
      <c r="AH85" s="321">
        <f>IF(B85&lt;&gt;"",IF(H85="x",VLOOKUP(I85,'AUX-NIV3'!B:AG,32,FALSE),0),"")</f>
        <v>0</v>
      </c>
      <c r="AI85" s="321" t="str">
        <f t="shared" si="52"/>
        <v>X-EDOSH17</v>
      </c>
      <c r="AJ85" s="320"/>
      <c r="AK85" s="322">
        <f t="shared" si="39"/>
        <v>84</v>
      </c>
      <c r="AL85" s="323">
        <f t="shared" si="53"/>
        <v>96</v>
      </c>
      <c r="AM85" s="322">
        <f t="shared" si="54"/>
        <v>2</v>
      </c>
      <c r="AN85" s="380">
        <f>IF(AND(AH85&gt;0,B85&lt;&gt;""),VLOOKUP(I85,'AUX-NIV3'!$B:$AO,39,FALSE)*O85,0)</f>
        <v>0</v>
      </c>
      <c r="AO85" s="380">
        <f t="shared" si="40"/>
        <v>4.1455466666666663</v>
      </c>
      <c r="AP85" s="380"/>
    </row>
    <row r="86" spans="2:42">
      <c r="B86" s="324" t="s">
        <v>1262</v>
      </c>
      <c r="C86" s="325" t="s">
        <v>11</v>
      </c>
      <c r="D86" s="326" t="s">
        <v>1160</v>
      </c>
      <c r="E86" s="327">
        <f>IF(B86&lt;&gt;"",SUMIF('AUX-NIV1'!I:I,'AUX-NIV2'!B86,'AUX-NIV1'!Q:Q),"")</f>
        <v>7.9905000000000008</v>
      </c>
      <c r="F86" s="327">
        <f t="shared" si="30"/>
        <v>5756.0283072512138</v>
      </c>
      <c r="G86" s="327">
        <f t="shared" si="31"/>
        <v>45993.544189090819</v>
      </c>
      <c r="H86" s="328" t="str">
        <f t="shared" si="41"/>
        <v>A</v>
      </c>
      <c r="I86" s="325" t="s">
        <v>3311</v>
      </c>
      <c r="J86" s="329" t="str">
        <f>IF(B86&lt;&gt;"",+VLOOKUP(I86,Recursos!C:F,2,FALSE),"")</f>
        <v>OPER. EQUIPO</v>
      </c>
      <c r="K86" s="330" t="str">
        <f>IF(B86&lt;&gt;"",+VLOOKUP(I86,Recursos!C:F,3,FALSE),"")</f>
        <v>hh</v>
      </c>
      <c r="L86" s="327">
        <f>IF(B86&lt;&gt;"",+VLOOKUP(I86,Recursos!C:F,4,FALSE),"")</f>
        <v>581.06120476836554</v>
      </c>
      <c r="M86" s="331">
        <v>10</v>
      </c>
      <c r="N86" s="331">
        <v>0</v>
      </c>
      <c r="O86" s="332">
        <f>1/M86*N86</f>
        <v>0</v>
      </c>
      <c r="P86" s="333">
        <f t="shared" si="42"/>
        <v>0</v>
      </c>
      <c r="Q86" s="327">
        <f t="shared" si="43"/>
        <v>0</v>
      </c>
      <c r="R86" s="334">
        <f t="shared" si="44"/>
        <v>0</v>
      </c>
      <c r="S86" s="358">
        <f t="shared" si="32"/>
        <v>1689.9217107866893</v>
      </c>
      <c r="T86" s="358">
        <f t="shared" si="33"/>
        <v>0</v>
      </c>
      <c r="U86" s="359">
        <f t="shared" si="34"/>
        <v>3305.7851239669426</v>
      </c>
      <c r="V86" s="359">
        <f t="shared" si="35"/>
        <v>0</v>
      </c>
      <c r="W86" s="359">
        <f t="shared" si="36"/>
        <v>0</v>
      </c>
      <c r="X86" s="359">
        <f t="shared" si="37"/>
        <v>760.32147249758168</v>
      </c>
      <c r="Y86" s="320"/>
      <c r="Z86" s="321" t="str">
        <f t="shared" si="45"/>
        <v>X-EDOSH17A</v>
      </c>
      <c r="AA86" s="321" t="str">
        <f t="shared" si="46"/>
        <v>X-EDOSH17E</v>
      </c>
      <c r="AB86" s="321" t="str">
        <f t="shared" si="47"/>
        <v>X-EDOSH17M</v>
      </c>
      <c r="AC86" s="321" t="str">
        <f t="shared" si="48"/>
        <v>X-EDOSH17T</v>
      </c>
      <c r="AD86" s="321" t="str">
        <f t="shared" si="49"/>
        <v>X-EDOSH17S</v>
      </c>
      <c r="AE86" s="321" t="str">
        <f t="shared" si="50"/>
        <v>X-EDOSH17X</v>
      </c>
      <c r="AF86" s="321" t="str">
        <f t="shared" si="51"/>
        <v>X-EDOSH17A</v>
      </c>
      <c r="AG86" s="321">
        <f t="shared" si="38"/>
        <v>13</v>
      </c>
      <c r="AH86" s="321">
        <f>IF(B86&lt;&gt;"",IF(H86="x",VLOOKUP(I86,'AUX-NIV3'!B:AG,32,FALSE),0),"")</f>
        <v>0</v>
      </c>
      <c r="AI86" s="321" t="str">
        <f t="shared" si="52"/>
        <v>X-EDOSH17</v>
      </c>
      <c r="AJ86" s="320"/>
      <c r="AK86" s="322">
        <f t="shared" si="39"/>
        <v>84</v>
      </c>
      <c r="AL86" s="323">
        <f t="shared" si="53"/>
        <v>96</v>
      </c>
      <c r="AM86" s="322">
        <f t="shared" si="54"/>
        <v>3</v>
      </c>
      <c r="AN86" s="380">
        <f>IF(AND(AH86&gt;0,B86&lt;&gt;""),VLOOKUP(I86,'AUX-NIV3'!$B:$AO,39,FALSE)*O86,0)</f>
        <v>0</v>
      </c>
      <c r="AO86" s="380">
        <f t="shared" si="40"/>
        <v>4.1455466666666663</v>
      </c>
      <c r="AP86" s="380"/>
    </row>
    <row r="87" spans="2:42">
      <c r="B87" s="324" t="s">
        <v>1262</v>
      </c>
      <c r="C87" s="325" t="s">
        <v>11</v>
      </c>
      <c r="D87" s="326" t="s">
        <v>1160</v>
      </c>
      <c r="E87" s="327">
        <f>IF(B87&lt;&gt;"",SUMIF('AUX-NIV1'!I:I,'AUX-NIV2'!B87,'AUX-NIV1'!Q:Q),"")</f>
        <v>7.9905000000000008</v>
      </c>
      <c r="F87" s="327">
        <f t="shared" si="30"/>
        <v>5756.0283072512138</v>
      </c>
      <c r="G87" s="327">
        <f t="shared" si="31"/>
        <v>45993.544189090819</v>
      </c>
      <c r="H87" s="328" t="str">
        <f t="shared" si="41"/>
        <v>A</v>
      </c>
      <c r="I87" s="325" t="s">
        <v>1745</v>
      </c>
      <c r="J87" s="329" t="str">
        <f>IF(B87&lt;&gt;"",+VLOOKUP(I87,Recursos!C:F,2,FALSE),"")</f>
        <v>AYUDANTE</v>
      </c>
      <c r="K87" s="330" t="str">
        <f>IF(B87&lt;&gt;"",+VLOOKUP(I87,Recursos!C:F,3,FALSE),"")</f>
        <v>hh</v>
      </c>
      <c r="L87" s="327">
        <f>IF(B87&lt;&gt;"",+VLOOKUP(I87,Recursos!C:F,4,FALSE),"")</f>
        <v>422.48042769667234</v>
      </c>
      <c r="M87" s="331">
        <v>1</v>
      </c>
      <c r="N87" s="331">
        <v>4</v>
      </c>
      <c r="O87" s="332">
        <f t="shared" ref="O87:O91" si="55">1/M87*N87</f>
        <v>4</v>
      </c>
      <c r="P87" s="333">
        <f t="shared" si="42"/>
        <v>1689.9217107866893</v>
      </c>
      <c r="Q87" s="327">
        <f t="shared" si="43"/>
        <v>31.962000000000003</v>
      </c>
      <c r="R87" s="334">
        <f t="shared" si="44"/>
        <v>13503.319430041043</v>
      </c>
      <c r="S87" s="358">
        <f t="shared" si="32"/>
        <v>1689.9217107866893</v>
      </c>
      <c r="T87" s="358">
        <f t="shared" si="33"/>
        <v>0</v>
      </c>
      <c r="U87" s="359">
        <f t="shared" si="34"/>
        <v>3305.7851239669426</v>
      </c>
      <c r="V87" s="359">
        <f t="shared" si="35"/>
        <v>0</v>
      </c>
      <c r="W87" s="359">
        <f t="shared" si="36"/>
        <v>0</v>
      </c>
      <c r="X87" s="359">
        <f t="shared" si="37"/>
        <v>760.32147249758168</v>
      </c>
      <c r="Y87" s="320"/>
      <c r="Z87" s="321" t="str">
        <f t="shared" si="45"/>
        <v>X-EDOSH17A</v>
      </c>
      <c r="AA87" s="321" t="str">
        <f t="shared" si="46"/>
        <v>X-EDOSH17E</v>
      </c>
      <c r="AB87" s="321" t="str">
        <f t="shared" si="47"/>
        <v>X-EDOSH17M</v>
      </c>
      <c r="AC87" s="321" t="str">
        <f t="shared" si="48"/>
        <v>X-EDOSH17T</v>
      </c>
      <c r="AD87" s="321" t="str">
        <f t="shared" si="49"/>
        <v>X-EDOSH17S</v>
      </c>
      <c r="AE87" s="321" t="str">
        <f t="shared" si="50"/>
        <v>X-EDOSH17X</v>
      </c>
      <c r="AF87" s="321" t="str">
        <f t="shared" si="51"/>
        <v>X-EDOSH17A</v>
      </c>
      <c r="AG87" s="321">
        <f t="shared" si="38"/>
        <v>13</v>
      </c>
      <c r="AH87" s="321">
        <f>IF(B87&lt;&gt;"",IF(H87="x",VLOOKUP(I87,'AUX-NIV3'!B:AG,32,FALSE),0),"")</f>
        <v>0</v>
      </c>
      <c r="AI87" s="321" t="str">
        <f t="shared" si="52"/>
        <v>X-EDOSH17</v>
      </c>
      <c r="AJ87" s="320"/>
      <c r="AK87" s="322">
        <f t="shared" si="39"/>
        <v>84</v>
      </c>
      <c r="AL87" s="323">
        <f t="shared" si="53"/>
        <v>96</v>
      </c>
      <c r="AM87" s="322">
        <f t="shared" si="54"/>
        <v>4</v>
      </c>
      <c r="AN87" s="380">
        <f>IF(AND(AH87&gt;0,B87&lt;&gt;""),VLOOKUP(I87,'AUX-NIV3'!$B:$AO,39,FALSE)*O87,0)</f>
        <v>0</v>
      </c>
      <c r="AO87" s="380">
        <f t="shared" si="40"/>
        <v>4.1455466666666663</v>
      </c>
      <c r="AP87" s="380"/>
    </row>
    <row r="88" spans="2:42">
      <c r="B88" s="324" t="s">
        <v>1262</v>
      </c>
      <c r="C88" s="325" t="s">
        <v>11</v>
      </c>
      <c r="D88" s="326" t="s">
        <v>1160</v>
      </c>
      <c r="E88" s="327">
        <f>IF(B88&lt;&gt;"",SUMIF('AUX-NIV1'!I:I,'AUX-NIV2'!B88,'AUX-NIV1'!Q:Q),"")</f>
        <v>7.9905000000000008</v>
      </c>
      <c r="F88" s="327">
        <f t="shared" si="30"/>
        <v>5756.0283072512138</v>
      </c>
      <c r="G88" s="327">
        <f t="shared" si="31"/>
        <v>45993.544189090819</v>
      </c>
      <c r="H88" s="328" t="str">
        <f t="shared" si="41"/>
        <v>E</v>
      </c>
      <c r="I88" s="325" t="s">
        <v>1555</v>
      </c>
      <c r="J88" s="329" t="str">
        <f>IF(B88&lt;&gt;"",+VLOOKUP(I88,Recursos!C:F,2,FALSE),"")</f>
        <v>CAMION VOLCADOR 6x4 CAP. 24 T=15 m3</v>
      </c>
      <c r="K88" s="330" t="str">
        <f>IF(B88&lt;&gt;"",+VLOOKUP(I88,Recursos!C:F,3,FALSE),"")</f>
        <v>HR</v>
      </c>
      <c r="L88" s="327">
        <f>IF(B88&lt;&gt;"",+VLOOKUP(I88,Recursos!C:F,4,FALSE),"")</f>
        <v>3333.261</v>
      </c>
      <c r="M88" s="331">
        <v>15</v>
      </c>
      <c r="N88" s="331">
        <f>1*0</f>
        <v>0</v>
      </c>
      <c r="O88" s="332">
        <f t="shared" si="55"/>
        <v>0</v>
      </c>
      <c r="P88" s="333">
        <f t="shared" si="42"/>
        <v>0</v>
      </c>
      <c r="Q88" s="327">
        <f t="shared" si="43"/>
        <v>0</v>
      </c>
      <c r="R88" s="334">
        <f t="shared" si="44"/>
        <v>0</v>
      </c>
      <c r="S88" s="358">
        <f t="shared" si="32"/>
        <v>1689.9217107866893</v>
      </c>
      <c r="T88" s="358">
        <f t="shared" si="33"/>
        <v>0</v>
      </c>
      <c r="U88" s="359">
        <f t="shared" si="34"/>
        <v>3305.7851239669426</v>
      </c>
      <c r="V88" s="359">
        <f t="shared" si="35"/>
        <v>0</v>
      </c>
      <c r="W88" s="359">
        <f t="shared" si="36"/>
        <v>0</v>
      </c>
      <c r="X88" s="359">
        <f t="shared" si="37"/>
        <v>760.32147249758168</v>
      </c>
      <c r="Y88" s="320"/>
      <c r="Z88" s="321" t="str">
        <f t="shared" si="45"/>
        <v>X-EDOSH17A</v>
      </c>
      <c r="AA88" s="321" t="str">
        <f t="shared" si="46"/>
        <v>X-EDOSH17E</v>
      </c>
      <c r="AB88" s="321" t="str">
        <f t="shared" si="47"/>
        <v>X-EDOSH17M</v>
      </c>
      <c r="AC88" s="321" t="str">
        <f t="shared" si="48"/>
        <v>X-EDOSH17T</v>
      </c>
      <c r="AD88" s="321" t="str">
        <f t="shared" si="49"/>
        <v>X-EDOSH17S</v>
      </c>
      <c r="AE88" s="321" t="str">
        <f t="shared" si="50"/>
        <v>X-EDOSH17X</v>
      </c>
      <c r="AF88" s="321" t="str">
        <f t="shared" si="51"/>
        <v>X-EDOSH17E</v>
      </c>
      <c r="AG88" s="321">
        <f t="shared" si="38"/>
        <v>13</v>
      </c>
      <c r="AH88" s="321">
        <f>IF(B88&lt;&gt;"",IF(H88="x",VLOOKUP(I88,'AUX-NIV3'!B:AG,32,FALSE),0),"")</f>
        <v>0</v>
      </c>
      <c r="AI88" s="321" t="str">
        <f t="shared" si="52"/>
        <v>X-EDOSH17</v>
      </c>
      <c r="AJ88" s="320"/>
      <c r="AK88" s="322">
        <f t="shared" si="39"/>
        <v>84</v>
      </c>
      <c r="AL88" s="323">
        <f t="shared" si="53"/>
        <v>96</v>
      </c>
      <c r="AM88" s="322">
        <f t="shared" si="54"/>
        <v>5</v>
      </c>
      <c r="AN88" s="380">
        <f>IF(AND(AH88&gt;0,B88&lt;&gt;""),VLOOKUP(I88,'AUX-NIV3'!$B:$AO,39,FALSE)*O88,0)</f>
        <v>0</v>
      </c>
      <c r="AO88" s="380">
        <f t="shared" si="40"/>
        <v>4.1455466666666663</v>
      </c>
      <c r="AP88" s="380"/>
    </row>
    <row r="89" spans="2:42">
      <c r="B89" s="324" t="s">
        <v>1262</v>
      </c>
      <c r="C89" s="325" t="s">
        <v>11</v>
      </c>
      <c r="D89" s="326" t="s">
        <v>1160</v>
      </c>
      <c r="E89" s="327">
        <f>IF(B89&lt;&gt;"",SUMIF('AUX-NIV1'!I:I,'AUX-NIV2'!B89,'AUX-NIV1'!Q:Q),"")</f>
        <v>7.9905000000000008</v>
      </c>
      <c r="F89" s="327">
        <f t="shared" si="30"/>
        <v>5756.0283072512138</v>
      </c>
      <c r="G89" s="327">
        <f t="shared" si="31"/>
        <v>45993.544189090819</v>
      </c>
      <c r="H89" s="328" t="str">
        <f t="shared" si="41"/>
        <v>E</v>
      </c>
      <c r="I89" s="325" t="s">
        <v>1579</v>
      </c>
      <c r="J89" s="329" t="str">
        <f>IF(B89&lt;&gt;"",+VLOOKUP(I89,Recursos!C:F,2,FALSE),"")</f>
        <v>TRACTOR PANTANERO 8 CUBIERTAS</v>
      </c>
      <c r="K89" s="330" t="str">
        <f>IF(B89&lt;&gt;"",+VLOOKUP(I89,Recursos!C:F,3,FALSE),"")</f>
        <v>HR</v>
      </c>
      <c r="L89" s="327">
        <f>IF(B89&lt;&gt;"",+VLOOKUP(I89,Recursos!C:F,4,FALSE),"")</f>
        <v>3411.4653333333331</v>
      </c>
      <c r="M89" s="331">
        <v>10</v>
      </c>
      <c r="N89" s="331">
        <v>0</v>
      </c>
      <c r="O89" s="332">
        <f t="shared" si="55"/>
        <v>0</v>
      </c>
      <c r="P89" s="333">
        <f t="shared" si="42"/>
        <v>0</v>
      </c>
      <c r="Q89" s="327">
        <f t="shared" si="43"/>
        <v>0</v>
      </c>
      <c r="R89" s="334">
        <f t="shared" si="44"/>
        <v>0</v>
      </c>
      <c r="S89" s="358">
        <f t="shared" si="32"/>
        <v>1689.9217107866893</v>
      </c>
      <c r="T89" s="358">
        <f t="shared" si="33"/>
        <v>0</v>
      </c>
      <c r="U89" s="359">
        <f t="shared" si="34"/>
        <v>3305.7851239669426</v>
      </c>
      <c r="V89" s="359">
        <f t="shared" si="35"/>
        <v>0</v>
      </c>
      <c r="W89" s="359">
        <f t="shared" si="36"/>
        <v>0</v>
      </c>
      <c r="X89" s="359">
        <f t="shared" si="37"/>
        <v>760.32147249758168</v>
      </c>
      <c r="Y89" s="320"/>
      <c r="Z89" s="321" t="str">
        <f t="shared" si="45"/>
        <v>X-EDOSH17A</v>
      </c>
      <c r="AA89" s="321" t="str">
        <f t="shared" si="46"/>
        <v>X-EDOSH17E</v>
      </c>
      <c r="AB89" s="321" t="str">
        <f t="shared" si="47"/>
        <v>X-EDOSH17M</v>
      </c>
      <c r="AC89" s="321" t="str">
        <f t="shared" si="48"/>
        <v>X-EDOSH17T</v>
      </c>
      <c r="AD89" s="321" t="str">
        <f t="shared" si="49"/>
        <v>X-EDOSH17S</v>
      </c>
      <c r="AE89" s="321" t="str">
        <f t="shared" si="50"/>
        <v>X-EDOSH17X</v>
      </c>
      <c r="AF89" s="321" t="str">
        <f t="shared" si="51"/>
        <v>X-EDOSH17E</v>
      </c>
      <c r="AG89" s="321">
        <f t="shared" si="38"/>
        <v>13</v>
      </c>
      <c r="AH89" s="321">
        <f>IF(B89&lt;&gt;"",IF(H89="x",VLOOKUP(I89,'AUX-NIV3'!B:AG,32,FALSE),0),"")</f>
        <v>0</v>
      </c>
      <c r="AI89" s="321" t="str">
        <f t="shared" si="52"/>
        <v>X-EDOSH17</v>
      </c>
      <c r="AJ89" s="320"/>
      <c r="AK89" s="322">
        <f t="shared" si="39"/>
        <v>84</v>
      </c>
      <c r="AL89" s="323">
        <f t="shared" si="53"/>
        <v>96</v>
      </c>
      <c r="AM89" s="322">
        <f t="shared" si="54"/>
        <v>6</v>
      </c>
      <c r="AN89" s="380">
        <f>IF(AND(AH89&gt;0,B89&lt;&gt;""),VLOOKUP(I89,'AUX-NIV3'!$B:$AO,39,FALSE)*O89,0)</f>
        <v>0</v>
      </c>
      <c r="AO89" s="380">
        <f t="shared" si="40"/>
        <v>4.1455466666666663</v>
      </c>
      <c r="AP89" s="380"/>
    </row>
    <row r="90" spans="2:42">
      <c r="B90" s="324" t="s">
        <v>1262</v>
      </c>
      <c r="C90" s="325" t="s">
        <v>11</v>
      </c>
      <c r="D90" s="326" t="s">
        <v>1160</v>
      </c>
      <c r="E90" s="327">
        <f>IF(B90&lt;&gt;"",SUMIF('AUX-NIV1'!I:I,'AUX-NIV2'!B90,'AUX-NIV1'!Q:Q),"")</f>
        <v>7.9905000000000008</v>
      </c>
      <c r="F90" s="327">
        <f t="shared" si="30"/>
        <v>5756.0283072512138</v>
      </c>
      <c r="G90" s="327">
        <f t="shared" si="31"/>
        <v>45993.544189090819</v>
      </c>
      <c r="H90" s="328" t="str">
        <f t="shared" si="41"/>
        <v>E</v>
      </c>
      <c r="I90" s="325" t="s">
        <v>1564</v>
      </c>
      <c r="J90" s="329" t="str">
        <f>IF(B90&lt;&gt;"",+VLOOKUP(I90,Recursos!C:F,2,FALSE),"")</f>
        <v>ACOPLADO O TANQUE CAP. 10 m3</v>
      </c>
      <c r="K90" s="330" t="str">
        <f>IF(B90&lt;&gt;"",+VLOOKUP(I90,Recursos!C:F,3,FALSE),"")</f>
        <v>HR</v>
      </c>
      <c r="L90" s="327">
        <f>IF(B90&lt;&gt;"",+VLOOKUP(I90,Recursos!C:F,4,FALSE),"")</f>
        <v>200.018</v>
      </c>
      <c r="M90" s="331">
        <v>10</v>
      </c>
      <c r="N90" s="331">
        <v>0</v>
      </c>
      <c r="O90" s="332">
        <f t="shared" si="55"/>
        <v>0</v>
      </c>
      <c r="P90" s="333">
        <f t="shared" si="42"/>
        <v>0</v>
      </c>
      <c r="Q90" s="327">
        <f t="shared" si="43"/>
        <v>0</v>
      </c>
      <c r="R90" s="334">
        <f t="shared" si="44"/>
        <v>0</v>
      </c>
      <c r="S90" s="358">
        <f t="shared" si="32"/>
        <v>1689.9217107866893</v>
      </c>
      <c r="T90" s="358">
        <f t="shared" si="33"/>
        <v>0</v>
      </c>
      <c r="U90" s="359">
        <f t="shared" si="34"/>
        <v>3305.7851239669426</v>
      </c>
      <c r="V90" s="359">
        <f t="shared" si="35"/>
        <v>0</v>
      </c>
      <c r="W90" s="359">
        <f t="shared" si="36"/>
        <v>0</v>
      </c>
      <c r="X90" s="359">
        <f t="shared" si="37"/>
        <v>760.32147249758168</v>
      </c>
      <c r="Y90" s="320"/>
      <c r="Z90" s="321" t="str">
        <f t="shared" si="45"/>
        <v>X-EDOSH17A</v>
      </c>
      <c r="AA90" s="321" t="str">
        <f t="shared" si="46"/>
        <v>X-EDOSH17E</v>
      </c>
      <c r="AB90" s="321" t="str">
        <f t="shared" si="47"/>
        <v>X-EDOSH17M</v>
      </c>
      <c r="AC90" s="321" t="str">
        <f t="shared" si="48"/>
        <v>X-EDOSH17T</v>
      </c>
      <c r="AD90" s="321" t="str">
        <f t="shared" si="49"/>
        <v>X-EDOSH17S</v>
      </c>
      <c r="AE90" s="321" t="str">
        <f t="shared" si="50"/>
        <v>X-EDOSH17X</v>
      </c>
      <c r="AF90" s="321" t="str">
        <f t="shared" si="51"/>
        <v>X-EDOSH17E</v>
      </c>
      <c r="AG90" s="321">
        <f t="shared" si="38"/>
        <v>13</v>
      </c>
      <c r="AH90" s="321">
        <f>IF(B90&lt;&gt;"",IF(H90="x",VLOOKUP(I90,'AUX-NIV3'!B:AG,32,FALSE),0),"")</f>
        <v>0</v>
      </c>
      <c r="AI90" s="321" t="str">
        <f t="shared" si="52"/>
        <v>X-EDOSH17</v>
      </c>
      <c r="AJ90" s="320"/>
      <c r="AK90" s="322">
        <f t="shared" si="39"/>
        <v>84</v>
      </c>
      <c r="AL90" s="323">
        <f t="shared" si="53"/>
        <v>96</v>
      </c>
      <c r="AM90" s="322">
        <f t="shared" si="54"/>
        <v>7</v>
      </c>
      <c r="AN90" s="380">
        <f>IF(AND(AH90&gt;0,B90&lt;&gt;""),VLOOKUP(I90,'AUX-NIV3'!$B:$AO,39,FALSE)*O90,0)</f>
        <v>0</v>
      </c>
      <c r="AO90" s="380">
        <f t="shared" si="40"/>
        <v>4.1455466666666663</v>
      </c>
      <c r="AP90" s="380"/>
    </row>
    <row r="91" spans="2:42">
      <c r="B91" s="324" t="s">
        <v>1262</v>
      </c>
      <c r="C91" s="325" t="s">
        <v>11</v>
      </c>
      <c r="D91" s="326" t="s">
        <v>1160</v>
      </c>
      <c r="E91" s="327">
        <f>IF(B91&lt;&gt;"",SUMIF('AUX-NIV1'!I:I,'AUX-NIV2'!B91,'AUX-NIV1'!Q:Q),"")</f>
        <v>7.9905000000000008</v>
      </c>
      <c r="F91" s="327">
        <f t="shared" si="30"/>
        <v>5756.0283072512138</v>
      </c>
      <c r="G91" s="327">
        <f t="shared" si="31"/>
        <v>45993.544189090819</v>
      </c>
      <c r="H91" s="328" t="str">
        <f t="shared" si="41"/>
        <v>E</v>
      </c>
      <c r="I91" s="325" t="s">
        <v>1543</v>
      </c>
      <c r="J91" s="329" t="str">
        <f>IF(B91&lt;&gt;"",+VLOOKUP(I91,Recursos!C:F,2,FALSE),"")</f>
        <v>CARGADOR FRONTAL S/NEUM. (3,00 M3)</v>
      </c>
      <c r="K91" s="330" t="str">
        <f>IF(B91&lt;&gt;"",+VLOOKUP(I91,Recursos!C:F,3,FALSE),"")</f>
        <v>HR</v>
      </c>
      <c r="L91" s="327">
        <f>IF(B91&lt;&gt;"",+VLOOKUP(I91,Recursos!C:F,4,FALSE),"")</f>
        <v>4370.2094545454547</v>
      </c>
      <c r="M91" s="331">
        <v>100</v>
      </c>
      <c r="N91" s="331">
        <f>1*0</f>
        <v>0</v>
      </c>
      <c r="O91" s="332">
        <f t="shared" si="55"/>
        <v>0</v>
      </c>
      <c r="P91" s="333">
        <f t="shared" si="42"/>
        <v>0</v>
      </c>
      <c r="Q91" s="327">
        <f t="shared" si="43"/>
        <v>0</v>
      </c>
      <c r="R91" s="334">
        <f t="shared" si="44"/>
        <v>0</v>
      </c>
      <c r="S91" s="358">
        <f t="shared" si="32"/>
        <v>1689.9217107866893</v>
      </c>
      <c r="T91" s="358">
        <f t="shared" si="33"/>
        <v>0</v>
      </c>
      <c r="U91" s="359">
        <f t="shared" si="34"/>
        <v>3305.7851239669426</v>
      </c>
      <c r="V91" s="359">
        <f t="shared" si="35"/>
        <v>0</v>
      </c>
      <c r="W91" s="359">
        <f t="shared" si="36"/>
        <v>0</v>
      </c>
      <c r="X91" s="359">
        <f t="shared" si="37"/>
        <v>760.32147249758168</v>
      </c>
      <c r="Y91" s="320"/>
      <c r="Z91" s="321" t="str">
        <f t="shared" si="45"/>
        <v>X-EDOSH17A</v>
      </c>
      <c r="AA91" s="321" t="str">
        <f t="shared" si="46"/>
        <v>X-EDOSH17E</v>
      </c>
      <c r="AB91" s="321" t="str">
        <f t="shared" si="47"/>
        <v>X-EDOSH17M</v>
      </c>
      <c r="AC91" s="321" t="str">
        <f t="shared" si="48"/>
        <v>X-EDOSH17T</v>
      </c>
      <c r="AD91" s="321" t="str">
        <f t="shared" si="49"/>
        <v>X-EDOSH17S</v>
      </c>
      <c r="AE91" s="321" t="str">
        <f t="shared" si="50"/>
        <v>X-EDOSH17X</v>
      </c>
      <c r="AF91" s="321" t="str">
        <f t="shared" si="51"/>
        <v>X-EDOSH17E</v>
      </c>
      <c r="AG91" s="321">
        <f t="shared" si="38"/>
        <v>13</v>
      </c>
      <c r="AH91" s="321">
        <f>IF(B91&lt;&gt;"",IF(H91="x",VLOOKUP(I91,'AUX-NIV3'!B:AG,32,FALSE),0),"")</f>
        <v>0</v>
      </c>
      <c r="AI91" s="321" t="str">
        <f t="shared" si="52"/>
        <v>X-EDOSH17</v>
      </c>
      <c r="AJ91" s="320"/>
      <c r="AK91" s="322">
        <f t="shared" si="39"/>
        <v>84</v>
      </c>
      <c r="AL91" s="323">
        <f t="shared" si="53"/>
        <v>96</v>
      </c>
      <c r="AM91" s="322">
        <f t="shared" si="54"/>
        <v>8</v>
      </c>
      <c r="AN91" s="380">
        <f>IF(AND(AH91&gt;0,B91&lt;&gt;""),VLOOKUP(I91,'AUX-NIV3'!$B:$AO,39,FALSE)*O91,0)</f>
        <v>0</v>
      </c>
      <c r="AO91" s="380">
        <f t="shared" si="40"/>
        <v>4.1455466666666663</v>
      </c>
      <c r="AP91" s="380"/>
    </row>
    <row r="92" spans="2:42">
      <c r="B92" s="324" t="s">
        <v>1262</v>
      </c>
      <c r="C92" s="325" t="s">
        <v>11</v>
      </c>
      <c r="D92" s="326" t="s">
        <v>1160</v>
      </c>
      <c r="E92" s="327">
        <f>IF(B92&lt;&gt;"",SUMIF('AUX-NIV1'!I:I,'AUX-NIV2'!B92,'AUX-NIV1'!Q:Q),"")</f>
        <v>7.9905000000000008</v>
      </c>
      <c r="F92" s="327">
        <f t="shared" si="30"/>
        <v>5756.0283072512138</v>
      </c>
      <c r="G92" s="327">
        <f t="shared" si="31"/>
        <v>45993.544189090819</v>
      </c>
      <c r="H92" s="328" t="str">
        <f t="shared" si="41"/>
        <v>M</v>
      </c>
      <c r="I92" s="325" t="s">
        <v>1889</v>
      </c>
      <c r="J92" s="329" t="str">
        <f>IF(B92&lt;&gt;"",+VLOOKUP(I92,Recursos!C:F,2,FALSE),"")</f>
        <v>CEMENTO PORTLAND (BOLSA 50Kg)</v>
      </c>
      <c r="K92" s="330" t="str">
        <f>IF(B92&lt;&gt;"",+VLOOKUP(I92,Recursos!C:F,3,FALSE),"")</f>
        <v>Un</v>
      </c>
      <c r="L92" s="327">
        <f>IF(B92&lt;&gt;"",+VLOOKUP(I92,Recursos!C:F,4,FALSE),"")</f>
        <v>661.15702479338847</v>
      </c>
      <c r="M92" s="331">
        <v>250</v>
      </c>
      <c r="N92" s="331">
        <v>1</v>
      </c>
      <c r="O92" s="332">
        <f>+M92/50*N92</f>
        <v>5</v>
      </c>
      <c r="P92" s="333">
        <f t="shared" si="42"/>
        <v>3305.7851239669426</v>
      </c>
      <c r="Q92" s="327">
        <f t="shared" si="43"/>
        <v>39.952500000000001</v>
      </c>
      <c r="R92" s="334">
        <f t="shared" si="44"/>
        <v>26414.876033057852</v>
      </c>
      <c r="S92" s="358">
        <f t="shared" si="32"/>
        <v>1689.9217107866893</v>
      </c>
      <c r="T92" s="358">
        <f t="shared" si="33"/>
        <v>0</v>
      </c>
      <c r="U92" s="359">
        <f t="shared" si="34"/>
        <v>3305.7851239669426</v>
      </c>
      <c r="V92" s="359">
        <f t="shared" si="35"/>
        <v>0</v>
      </c>
      <c r="W92" s="359">
        <f t="shared" si="36"/>
        <v>0</v>
      </c>
      <c r="X92" s="359">
        <f t="shared" si="37"/>
        <v>760.32147249758168</v>
      </c>
      <c r="Y92" s="320"/>
      <c r="Z92" s="321" t="str">
        <f t="shared" si="45"/>
        <v>X-EDOSH17A</v>
      </c>
      <c r="AA92" s="321" t="str">
        <f t="shared" si="46"/>
        <v>X-EDOSH17E</v>
      </c>
      <c r="AB92" s="321" t="str">
        <f t="shared" si="47"/>
        <v>X-EDOSH17M</v>
      </c>
      <c r="AC92" s="321" t="str">
        <f t="shared" si="48"/>
        <v>X-EDOSH17T</v>
      </c>
      <c r="AD92" s="321" t="str">
        <f t="shared" si="49"/>
        <v>X-EDOSH17S</v>
      </c>
      <c r="AE92" s="321" t="str">
        <f t="shared" si="50"/>
        <v>X-EDOSH17X</v>
      </c>
      <c r="AF92" s="321" t="str">
        <f t="shared" si="51"/>
        <v>X-EDOSH17M</v>
      </c>
      <c r="AG92" s="321">
        <f t="shared" si="38"/>
        <v>13</v>
      </c>
      <c r="AH92" s="321">
        <f>IF(B92&lt;&gt;"",IF(H92="x",VLOOKUP(I92,'AUX-NIV3'!B:AG,32,FALSE),0),"")</f>
        <v>0</v>
      </c>
      <c r="AI92" s="321" t="str">
        <f t="shared" si="52"/>
        <v>X-EDOSH17</v>
      </c>
      <c r="AJ92" s="320"/>
      <c r="AK92" s="322">
        <f t="shared" si="39"/>
        <v>84</v>
      </c>
      <c r="AL92" s="323">
        <f t="shared" si="53"/>
        <v>96</v>
      </c>
      <c r="AM92" s="322">
        <f t="shared" si="54"/>
        <v>9</v>
      </c>
      <c r="AN92" s="380">
        <f>IF(AND(AH92&gt;0,B92&lt;&gt;""),VLOOKUP(I92,'AUX-NIV3'!$B:$AO,39,FALSE)*O92,0)</f>
        <v>0</v>
      </c>
      <c r="AO92" s="380">
        <f t="shared" si="40"/>
        <v>4.1455466666666663</v>
      </c>
      <c r="AP92" s="380"/>
    </row>
    <row r="93" spans="2:42">
      <c r="B93" s="324" t="s">
        <v>1262</v>
      </c>
      <c r="C93" s="325" t="s">
        <v>11</v>
      </c>
      <c r="D93" s="326" t="s">
        <v>1160</v>
      </c>
      <c r="E93" s="327">
        <f>IF(B93&lt;&gt;"",SUMIF('AUX-NIV1'!I:I,'AUX-NIV2'!B93,'AUX-NIV1'!Q:Q),"")</f>
        <v>7.9905000000000008</v>
      </c>
      <c r="F93" s="327">
        <f t="shared" si="30"/>
        <v>5756.0283072512138</v>
      </c>
      <c r="G93" s="327">
        <f t="shared" si="31"/>
        <v>45993.544189090819</v>
      </c>
      <c r="H93" s="328" t="str">
        <f t="shared" si="41"/>
        <v>M</v>
      </c>
      <c r="I93" s="325" t="s">
        <v>495</v>
      </c>
      <c r="J93" s="329" t="str">
        <f>IF(B93&lt;&gt;"",+VLOOKUP(I93,Recursos!C:F,2,FALSE),"")</f>
        <v>PLASTIFICANTE</v>
      </c>
      <c r="K93" s="330" t="str">
        <f>IF(B93&lt;&gt;"",+VLOOKUP(I93,Recursos!C:F,3,FALSE),"")</f>
        <v>Kg</v>
      </c>
      <c r="L93" s="327">
        <f>IF(B93&lt;&gt;"",+VLOOKUP(I93,Recursos!C:F,4,FALSE),"")</f>
        <v>40.25</v>
      </c>
      <c r="M93" s="331">
        <v>1.5</v>
      </c>
      <c r="N93" s="331">
        <v>0</v>
      </c>
      <c r="O93" s="332">
        <f>+M93*N93</f>
        <v>0</v>
      </c>
      <c r="P93" s="333">
        <f t="shared" si="42"/>
        <v>0</v>
      </c>
      <c r="Q93" s="327">
        <f t="shared" si="43"/>
        <v>0</v>
      </c>
      <c r="R93" s="334">
        <f t="shared" si="44"/>
        <v>0</v>
      </c>
      <c r="S93" s="358">
        <f t="shared" si="32"/>
        <v>1689.9217107866893</v>
      </c>
      <c r="T93" s="358">
        <f t="shared" si="33"/>
        <v>0</v>
      </c>
      <c r="U93" s="359">
        <f t="shared" si="34"/>
        <v>3305.7851239669426</v>
      </c>
      <c r="V93" s="359">
        <f t="shared" si="35"/>
        <v>0</v>
      </c>
      <c r="W93" s="359">
        <f t="shared" si="36"/>
        <v>0</v>
      </c>
      <c r="X93" s="359">
        <f t="shared" si="37"/>
        <v>760.32147249758168</v>
      </c>
      <c r="Y93" s="320"/>
      <c r="Z93" s="321" t="str">
        <f t="shared" si="45"/>
        <v>X-EDOSH17A</v>
      </c>
      <c r="AA93" s="321" t="str">
        <f t="shared" si="46"/>
        <v>X-EDOSH17E</v>
      </c>
      <c r="AB93" s="321" t="str">
        <f t="shared" si="47"/>
        <v>X-EDOSH17M</v>
      </c>
      <c r="AC93" s="321" t="str">
        <f t="shared" si="48"/>
        <v>X-EDOSH17T</v>
      </c>
      <c r="AD93" s="321" t="str">
        <f t="shared" si="49"/>
        <v>X-EDOSH17S</v>
      </c>
      <c r="AE93" s="321" t="str">
        <f t="shared" si="50"/>
        <v>X-EDOSH17X</v>
      </c>
      <c r="AF93" s="321" t="str">
        <f t="shared" si="51"/>
        <v>X-EDOSH17M</v>
      </c>
      <c r="AG93" s="321">
        <f t="shared" si="38"/>
        <v>13</v>
      </c>
      <c r="AH93" s="321">
        <f>IF(B93&lt;&gt;"",IF(H93="x",VLOOKUP(I93,'AUX-NIV3'!B:AG,32,FALSE),0),"")</f>
        <v>0</v>
      </c>
      <c r="AI93" s="321" t="str">
        <f t="shared" si="52"/>
        <v>X-EDOSH17</v>
      </c>
      <c r="AJ93" s="320"/>
      <c r="AK93" s="322">
        <f t="shared" si="39"/>
        <v>84</v>
      </c>
      <c r="AL93" s="323">
        <f t="shared" si="53"/>
        <v>96</v>
      </c>
      <c r="AM93" s="322">
        <f t="shared" si="54"/>
        <v>10</v>
      </c>
      <c r="AN93" s="380">
        <f>IF(AND(AH93&gt;0,B93&lt;&gt;""),VLOOKUP(I93,'AUX-NIV3'!$B:$AO,39,FALSE)*O93,0)</f>
        <v>0</v>
      </c>
      <c r="AO93" s="380">
        <f t="shared" si="40"/>
        <v>4.1455466666666663</v>
      </c>
      <c r="AP93" s="380"/>
    </row>
    <row r="94" spans="2:42">
      <c r="B94" s="324" t="s">
        <v>1262</v>
      </c>
      <c r="C94" s="325" t="s">
        <v>11</v>
      </c>
      <c r="D94" s="326" t="s">
        <v>1160</v>
      </c>
      <c r="E94" s="327">
        <f>IF(B94&lt;&gt;"",SUMIF('AUX-NIV1'!I:I,'AUX-NIV2'!B94,'AUX-NIV1'!Q:Q),"")</f>
        <v>7.9905000000000008</v>
      </c>
      <c r="F94" s="327">
        <f t="shared" si="30"/>
        <v>5756.0283072512138</v>
      </c>
      <c r="G94" s="327">
        <f t="shared" si="31"/>
        <v>45993.544189090819</v>
      </c>
      <c r="H94" s="328" t="str">
        <f t="shared" si="41"/>
        <v>X</v>
      </c>
      <c r="I94" s="325" t="s">
        <v>1207</v>
      </c>
      <c r="J94" s="329" t="str">
        <f>IF(B94&lt;&gt;"",+VLOOKUP(I94,Recursos!C:F,2,FALSE),"")</f>
        <v>Planta de Aridos - Trituración y Clasificación</v>
      </c>
      <c r="K94" s="330" t="str">
        <f>IF(B94&lt;&gt;"",+VLOOKUP(I94,Recursos!C:F,3,FALSE),"")</f>
        <v>M3</v>
      </c>
      <c r="L94" s="327">
        <f>IF(B94&lt;&gt;"",+VLOOKUP(I94,Recursos!C:F,4,FALSE),"")</f>
        <v>633.60122708131803</v>
      </c>
      <c r="M94" s="331">
        <v>0.7</v>
      </c>
      <c r="N94" s="331">
        <v>1</v>
      </c>
      <c r="O94" s="332">
        <f>+M94*N94</f>
        <v>0.7</v>
      </c>
      <c r="P94" s="333">
        <f t="shared" si="42"/>
        <v>443.52085895692261</v>
      </c>
      <c r="Q94" s="327">
        <f t="shared" si="43"/>
        <v>5.59335</v>
      </c>
      <c r="R94" s="334">
        <f t="shared" si="44"/>
        <v>3543.9534234952903</v>
      </c>
      <c r="S94" s="358">
        <f t="shared" si="32"/>
        <v>1689.9217107866893</v>
      </c>
      <c r="T94" s="358">
        <f t="shared" si="33"/>
        <v>0</v>
      </c>
      <c r="U94" s="359">
        <f t="shared" si="34"/>
        <v>3305.7851239669426</v>
      </c>
      <c r="V94" s="359">
        <f t="shared" si="35"/>
        <v>0</v>
      </c>
      <c r="W94" s="359">
        <f t="shared" si="36"/>
        <v>0</v>
      </c>
      <c r="X94" s="359">
        <f t="shared" si="37"/>
        <v>760.32147249758168</v>
      </c>
      <c r="Y94" s="320"/>
      <c r="Z94" s="321" t="str">
        <f t="shared" si="45"/>
        <v>X-EDOSH17A</v>
      </c>
      <c r="AA94" s="321" t="str">
        <f t="shared" si="46"/>
        <v>X-EDOSH17E</v>
      </c>
      <c r="AB94" s="321" t="str">
        <f t="shared" si="47"/>
        <v>X-EDOSH17M</v>
      </c>
      <c r="AC94" s="321" t="str">
        <f t="shared" si="48"/>
        <v>X-EDOSH17T</v>
      </c>
      <c r="AD94" s="321" t="str">
        <f t="shared" si="49"/>
        <v>X-EDOSH17S</v>
      </c>
      <c r="AE94" s="321" t="str">
        <f t="shared" si="50"/>
        <v>X-EDOSH17X</v>
      </c>
      <c r="AF94" s="321" t="str">
        <f t="shared" si="51"/>
        <v>X-EDOSH17X</v>
      </c>
      <c r="AG94" s="321">
        <f t="shared" si="38"/>
        <v>13</v>
      </c>
      <c r="AH94" s="321">
        <f>IF(B94&lt;&gt;"",IF(H94="x",VLOOKUP(I94,'AUX-NIV3'!B:AG,32,FALSE),0),"")</f>
        <v>21</v>
      </c>
      <c r="AI94" s="321" t="str">
        <f t="shared" si="52"/>
        <v>X-EDOSH17</v>
      </c>
      <c r="AJ94" s="320"/>
      <c r="AK94" s="322">
        <f t="shared" si="39"/>
        <v>84</v>
      </c>
      <c r="AL94" s="323">
        <f t="shared" si="53"/>
        <v>96</v>
      </c>
      <c r="AM94" s="322">
        <f t="shared" si="54"/>
        <v>11</v>
      </c>
      <c r="AN94" s="380">
        <f>IF(AND(AH94&gt;0,B94&lt;&gt;""),VLOOKUP(I94,'AUX-NIV3'!$B:$AO,39,FALSE)*O94,0)</f>
        <v>8.4902222222222212E-2</v>
      </c>
      <c r="AO94" s="380">
        <f t="shared" si="40"/>
        <v>4.1455466666666663</v>
      </c>
      <c r="AP94" s="380"/>
    </row>
    <row r="95" spans="2:42">
      <c r="B95" s="324" t="s">
        <v>1262</v>
      </c>
      <c r="C95" s="325" t="s">
        <v>11</v>
      </c>
      <c r="D95" s="326" t="s">
        <v>1160</v>
      </c>
      <c r="E95" s="327">
        <f>IF(B95&lt;&gt;"",SUMIF('AUX-NIV1'!I:I,'AUX-NIV2'!B95,'AUX-NIV1'!Q:Q),"")</f>
        <v>7.9905000000000008</v>
      </c>
      <c r="F95" s="327">
        <f t="shared" si="30"/>
        <v>5756.0283072512138</v>
      </c>
      <c r="G95" s="327">
        <f t="shared" si="31"/>
        <v>45993.544189090819</v>
      </c>
      <c r="H95" s="328" t="str">
        <f t="shared" si="41"/>
        <v>X</v>
      </c>
      <c r="I95" s="325" t="s">
        <v>1207</v>
      </c>
      <c r="J95" s="329" t="str">
        <f>IF(B95&lt;&gt;"",+VLOOKUP(I95,Recursos!C:F,2,FALSE),"")</f>
        <v>Planta de Aridos - Trituración y Clasificación</v>
      </c>
      <c r="K95" s="330" t="str">
        <f>IF(B95&lt;&gt;"",+VLOOKUP(I95,Recursos!C:F,3,FALSE),"")</f>
        <v>M3</v>
      </c>
      <c r="L95" s="327">
        <f>IF(B95&lt;&gt;"",+VLOOKUP(I95,Recursos!C:F,4,FALSE),"")</f>
        <v>633.60122708131803</v>
      </c>
      <c r="M95" s="331">
        <v>0.5</v>
      </c>
      <c r="N95" s="331">
        <v>1</v>
      </c>
      <c r="O95" s="332">
        <f>+M95*N95</f>
        <v>0.5</v>
      </c>
      <c r="P95" s="333">
        <f t="shared" si="42"/>
        <v>316.80061354065901</v>
      </c>
      <c r="Q95" s="327">
        <f t="shared" si="43"/>
        <v>3.9952500000000004</v>
      </c>
      <c r="R95" s="334">
        <f t="shared" si="44"/>
        <v>2531.3953024966363</v>
      </c>
      <c r="S95" s="358">
        <f t="shared" si="32"/>
        <v>1689.9217107866893</v>
      </c>
      <c r="T95" s="358">
        <f t="shared" si="33"/>
        <v>0</v>
      </c>
      <c r="U95" s="359">
        <f t="shared" si="34"/>
        <v>3305.7851239669426</v>
      </c>
      <c r="V95" s="359">
        <f t="shared" si="35"/>
        <v>0</v>
      </c>
      <c r="W95" s="359">
        <f t="shared" si="36"/>
        <v>0</v>
      </c>
      <c r="X95" s="359">
        <f t="shared" si="37"/>
        <v>760.32147249758168</v>
      </c>
      <c r="Y95" s="320"/>
      <c r="Z95" s="321" t="str">
        <f t="shared" si="45"/>
        <v>X-EDOSH17A</v>
      </c>
      <c r="AA95" s="321" t="str">
        <f t="shared" si="46"/>
        <v>X-EDOSH17E</v>
      </c>
      <c r="AB95" s="321" t="str">
        <f t="shared" si="47"/>
        <v>X-EDOSH17M</v>
      </c>
      <c r="AC95" s="321" t="str">
        <f t="shared" si="48"/>
        <v>X-EDOSH17T</v>
      </c>
      <c r="AD95" s="321" t="str">
        <f t="shared" si="49"/>
        <v>X-EDOSH17S</v>
      </c>
      <c r="AE95" s="321" t="str">
        <f t="shared" si="50"/>
        <v>X-EDOSH17X</v>
      </c>
      <c r="AF95" s="321" t="str">
        <f t="shared" si="51"/>
        <v>X-EDOSH17X</v>
      </c>
      <c r="AG95" s="321">
        <f t="shared" si="38"/>
        <v>13</v>
      </c>
      <c r="AH95" s="321">
        <f>IF(B95&lt;&gt;"",IF(H95="x",VLOOKUP(I95,'AUX-NIV3'!B:AG,32,FALSE),0),"")</f>
        <v>21</v>
      </c>
      <c r="AI95" s="321" t="str">
        <f t="shared" si="52"/>
        <v>X-EDOSH17</v>
      </c>
      <c r="AJ95" s="320"/>
      <c r="AK95" s="322">
        <f t="shared" si="39"/>
        <v>84</v>
      </c>
      <c r="AL95" s="323">
        <f t="shared" si="53"/>
        <v>96</v>
      </c>
      <c r="AM95" s="322">
        <f t="shared" si="54"/>
        <v>12</v>
      </c>
      <c r="AN95" s="380">
        <f>IF(AND(AH95&gt;0,B95&lt;&gt;""),VLOOKUP(I95,'AUX-NIV3'!$B:$AO,39,FALSE)*O95,0)</f>
        <v>6.0644444444444445E-2</v>
      </c>
      <c r="AO95" s="380">
        <f t="shared" si="40"/>
        <v>4.1455466666666663</v>
      </c>
      <c r="AP95" s="380"/>
    </row>
    <row r="96" spans="2:42">
      <c r="B96" s="324" t="s">
        <v>1262</v>
      </c>
      <c r="C96" s="325" t="s">
        <v>11</v>
      </c>
      <c r="D96" s="326" t="s">
        <v>1160</v>
      </c>
      <c r="E96" s="327">
        <f>IF(B96&lt;&gt;"",SUMIF('AUX-NIV1'!I:I,'AUX-NIV2'!B96,'AUX-NIV1'!Q:Q),"")</f>
        <v>7.9905000000000008</v>
      </c>
      <c r="F96" s="327">
        <f t="shared" si="30"/>
        <v>5756.0283072512138</v>
      </c>
      <c r="G96" s="327">
        <f t="shared" si="31"/>
        <v>45993.544189090819</v>
      </c>
      <c r="H96" s="328" t="str">
        <f t="shared" si="41"/>
        <v>T</v>
      </c>
      <c r="I96" s="325" t="s">
        <v>752</v>
      </c>
      <c r="J96" s="329" t="str">
        <f>IF(B96&lt;&gt;"",+VLOOKUP(I96,Recursos!C:F,2,FALSE),"")</f>
        <v>TRANSP.AGREGADO (Tpte largo cotizado x 10 Km)</v>
      </c>
      <c r="K96" s="330" t="str">
        <f>IF(B96&lt;&gt;"",+VLOOKUP(I96,Recursos!C:F,3,FALSE),"")</f>
        <v>Tn.Km</v>
      </c>
      <c r="L96" s="327">
        <f>IF(B96&lt;&gt;"",+VLOOKUP(I96,Recursos!C:F,4,FALSE),"")</f>
        <v>0.1</v>
      </c>
      <c r="M96" s="331">
        <v>1.2E-2</v>
      </c>
      <c r="N96" s="331">
        <v>0</v>
      </c>
      <c r="O96" s="332">
        <f>+M96*N96</f>
        <v>0</v>
      </c>
      <c r="P96" s="333">
        <f t="shared" si="42"/>
        <v>0</v>
      </c>
      <c r="Q96" s="327">
        <f t="shared" si="43"/>
        <v>0</v>
      </c>
      <c r="R96" s="334">
        <f t="shared" si="44"/>
        <v>0</v>
      </c>
      <c r="S96" s="358">
        <f t="shared" si="32"/>
        <v>1689.9217107866893</v>
      </c>
      <c r="T96" s="358">
        <f t="shared" si="33"/>
        <v>0</v>
      </c>
      <c r="U96" s="359">
        <f t="shared" si="34"/>
        <v>3305.7851239669426</v>
      </c>
      <c r="V96" s="359">
        <f t="shared" si="35"/>
        <v>0</v>
      </c>
      <c r="W96" s="359">
        <f t="shared" si="36"/>
        <v>0</v>
      </c>
      <c r="X96" s="359">
        <f t="shared" si="37"/>
        <v>760.32147249758168</v>
      </c>
      <c r="Y96" s="320"/>
      <c r="Z96" s="321" t="str">
        <f t="shared" si="45"/>
        <v>X-EDOSH17A</v>
      </c>
      <c r="AA96" s="321" t="str">
        <f t="shared" si="46"/>
        <v>X-EDOSH17E</v>
      </c>
      <c r="AB96" s="321" t="str">
        <f t="shared" si="47"/>
        <v>X-EDOSH17M</v>
      </c>
      <c r="AC96" s="321" t="str">
        <f t="shared" si="48"/>
        <v>X-EDOSH17T</v>
      </c>
      <c r="AD96" s="321" t="str">
        <f t="shared" si="49"/>
        <v>X-EDOSH17S</v>
      </c>
      <c r="AE96" s="321" t="str">
        <f t="shared" si="50"/>
        <v>X-EDOSH17X</v>
      </c>
      <c r="AF96" s="321" t="str">
        <f t="shared" si="51"/>
        <v>X-EDOSH17T</v>
      </c>
      <c r="AG96" s="321">
        <f t="shared" si="38"/>
        <v>13</v>
      </c>
      <c r="AH96" s="321">
        <f>IF(B96&lt;&gt;"",IF(H96="x",VLOOKUP(I96,'AUX-NIV3'!B:AG,32,FALSE),0),"")</f>
        <v>0</v>
      </c>
      <c r="AI96" s="321" t="str">
        <f t="shared" si="52"/>
        <v>X-EDOSH17</v>
      </c>
      <c r="AJ96" s="320"/>
      <c r="AK96" s="322">
        <f t="shared" si="39"/>
        <v>84</v>
      </c>
      <c r="AL96" s="323">
        <f t="shared" si="53"/>
        <v>96</v>
      </c>
      <c r="AM96" s="322">
        <f t="shared" si="54"/>
        <v>13</v>
      </c>
      <c r="AN96" s="380">
        <f>IF(AND(AH96&gt;0,B96&lt;&gt;""),VLOOKUP(I96,'AUX-NIV3'!$B:$AO,39,FALSE)*O96,0)</f>
        <v>0</v>
      </c>
      <c r="AO96" s="380">
        <f t="shared" si="40"/>
        <v>4.1455466666666663</v>
      </c>
      <c r="AP96" s="380"/>
    </row>
    <row r="97" spans="2:42">
      <c r="B97" s="324" t="s">
        <v>1263</v>
      </c>
      <c r="C97" s="325" t="s">
        <v>12</v>
      </c>
      <c r="D97" s="326" t="s">
        <v>1160</v>
      </c>
      <c r="E97" s="327">
        <f>IF(B97&lt;&gt;"",SUMIF('AUX-NIV1'!I:I,'AUX-NIV2'!B97,'AUX-NIV1'!Q:Q),"")</f>
        <v>0.252</v>
      </c>
      <c r="F97" s="327">
        <f t="shared" si="30"/>
        <v>3470.6907694011379</v>
      </c>
      <c r="G97" s="327">
        <f t="shared" si="31"/>
        <v>874.61407388908674</v>
      </c>
      <c r="H97" s="328" t="str">
        <f t="shared" si="41"/>
        <v>A</v>
      </c>
      <c r="I97" s="325" t="s">
        <v>3312</v>
      </c>
      <c r="J97" s="329" t="str">
        <f>IF(B97&lt;&gt;"",+VLOOKUP(I97,Recursos!C:F,2,FALSE),"")</f>
        <v>CHOFER</v>
      </c>
      <c r="K97" s="330" t="str">
        <f>IF(B97&lt;&gt;"",+VLOOKUP(I97,Recursos!C:F,3,FALSE),"")</f>
        <v>hh</v>
      </c>
      <c r="L97" s="327">
        <f>IF(B97&lt;&gt;"",+VLOOKUP(I97,Recursos!C:F,4,FALSE),"")</f>
        <v>496.91595439275824</v>
      </c>
      <c r="M97" s="331">
        <v>18</v>
      </c>
      <c r="N97" s="331">
        <v>1.25</v>
      </c>
      <c r="O97" s="332">
        <f t="shared" ref="O97:O104" si="56">1/M97*N97</f>
        <v>6.9444444444444448E-2</v>
      </c>
      <c r="P97" s="333">
        <f t="shared" si="42"/>
        <v>34.508052388385991</v>
      </c>
      <c r="Q97" s="327">
        <f t="shared" si="43"/>
        <v>1.7500000000000002E-2</v>
      </c>
      <c r="R97" s="334">
        <f t="shared" si="44"/>
        <v>8.6960292018732694</v>
      </c>
      <c r="S97" s="358">
        <f t="shared" si="32"/>
        <v>101.32074643523649</v>
      </c>
      <c r="T97" s="358">
        <f t="shared" si="33"/>
        <v>228.8832612121212</v>
      </c>
      <c r="U97" s="359">
        <f t="shared" si="34"/>
        <v>2380.1652892561988</v>
      </c>
      <c r="V97" s="359">
        <f t="shared" si="35"/>
        <v>0</v>
      </c>
      <c r="W97" s="359">
        <f t="shared" si="36"/>
        <v>0</v>
      </c>
      <c r="X97" s="359">
        <f t="shared" si="37"/>
        <v>760.32147249758168</v>
      </c>
      <c r="Y97" s="320"/>
      <c r="Z97" s="321" t="str">
        <f t="shared" si="45"/>
        <v>X-EDOSH08A</v>
      </c>
      <c r="AA97" s="321" t="str">
        <f t="shared" si="46"/>
        <v>X-EDOSH08E</v>
      </c>
      <c r="AB97" s="321" t="str">
        <f t="shared" si="47"/>
        <v>X-EDOSH08M</v>
      </c>
      <c r="AC97" s="321" t="str">
        <f t="shared" si="48"/>
        <v>X-EDOSH08T</v>
      </c>
      <c r="AD97" s="321" t="str">
        <f t="shared" si="49"/>
        <v>X-EDOSH08S</v>
      </c>
      <c r="AE97" s="321" t="str">
        <f t="shared" si="50"/>
        <v>X-EDOSH08X</v>
      </c>
      <c r="AF97" s="321" t="str">
        <f t="shared" si="51"/>
        <v>X-EDOSH08A</v>
      </c>
      <c r="AG97" s="321">
        <f t="shared" si="38"/>
        <v>13</v>
      </c>
      <c r="AH97" s="321">
        <f>IF(B97&lt;&gt;"",IF(H97="x",VLOOKUP(I97,'AUX-NIV3'!B:AG,32,FALSE),0),"")</f>
        <v>0</v>
      </c>
      <c r="AI97" s="321" t="str">
        <f t="shared" si="52"/>
        <v>X-EDOSH08</v>
      </c>
      <c r="AJ97" s="320"/>
      <c r="AK97" s="322">
        <f t="shared" si="39"/>
        <v>97</v>
      </c>
      <c r="AL97" s="323">
        <f t="shared" si="53"/>
        <v>109</v>
      </c>
      <c r="AM97" s="322">
        <f t="shared" si="54"/>
        <v>1</v>
      </c>
      <c r="AN97" s="380">
        <f>IF(AND(AH97&gt;0,B97&lt;&gt;""),VLOOKUP(I97,'AUX-NIV3'!$B:$AO,39,FALSE)*O97,0)</f>
        <v>0</v>
      </c>
      <c r="AO97" s="380">
        <f t="shared" si="40"/>
        <v>0.36787999999999998</v>
      </c>
      <c r="AP97" s="380"/>
    </row>
    <row r="98" spans="2:42">
      <c r="B98" s="324" t="s">
        <v>1263</v>
      </c>
      <c r="C98" s="325" t="s">
        <v>12</v>
      </c>
      <c r="D98" s="326" t="s">
        <v>1160</v>
      </c>
      <c r="E98" s="327">
        <f>IF(B98&lt;&gt;"",SUMIF('AUX-NIV1'!I:I,'AUX-NIV2'!B98,'AUX-NIV1'!Q:Q),"")</f>
        <v>0.252</v>
      </c>
      <c r="F98" s="327">
        <f t="shared" si="30"/>
        <v>3470.6907694011379</v>
      </c>
      <c r="G98" s="327">
        <f t="shared" si="31"/>
        <v>874.61407388908674</v>
      </c>
      <c r="H98" s="328" t="str">
        <f t="shared" si="41"/>
        <v>A</v>
      </c>
      <c r="I98" s="325" t="s">
        <v>3311</v>
      </c>
      <c r="J98" s="329" t="str">
        <f>IF(B98&lt;&gt;"",+VLOOKUP(I98,Recursos!C:F,2,FALSE),"")</f>
        <v>OPER. EQUIPO</v>
      </c>
      <c r="K98" s="330" t="str">
        <f>IF(B98&lt;&gt;"",+VLOOKUP(I98,Recursos!C:F,3,FALSE),"")</f>
        <v>hh</v>
      </c>
      <c r="L98" s="327">
        <f>IF(B98&lt;&gt;"",+VLOOKUP(I98,Recursos!C:F,4,FALSE),"")</f>
        <v>581.06120476836554</v>
      </c>
      <c r="M98" s="331">
        <v>100</v>
      </c>
      <c r="N98" s="331">
        <v>1.4</v>
      </c>
      <c r="O98" s="332">
        <f t="shared" si="56"/>
        <v>1.3999999999999999E-2</v>
      </c>
      <c r="P98" s="333">
        <f t="shared" si="42"/>
        <v>8.1348568667571168</v>
      </c>
      <c r="Q98" s="327">
        <f t="shared" si="43"/>
        <v>3.5279999999999995E-3</v>
      </c>
      <c r="R98" s="334">
        <f t="shared" si="44"/>
        <v>2.0499839304227931</v>
      </c>
      <c r="S98" s="358">
        <f t="shared" si="32"/>
        <v>101.32074643523649</v>
      </c>
      <c r="T98" s="358">
        <f t="shared" si="33"/>
        <v>228.8832612121212</v>
      </c>
      <c r="U98" s="359">
        <f t="shared" si="34"/>
        <v>2380.1652892561988</v>
      </c>
      <c r="V98" s="359">
        <f t="shared" si="35"/>
        <v>0</v>
      </c>
      <c r="W98" s="359">
        <f t="shared" si="36"/>
        <v>0</v>
      </c>
      <c r="X98" s="359">
        <f t="shared" si="37"/>
        <v>760.32147249758168</v>
      </c>
      <c r="Y98" s="320"/>
      <c r="Z98" s="321" t="str">
        <f t="shared" si="45"/>
        <v>X-EDOSH08A</v>
      </c>
      <c r="AA98" s="321" t="str">
        <f t="shared" si="46"/>
        <v>X-EDOSH08E</v>
      </c>
      <c r="AB98" s="321" t="str">
        <f t="shared" si="47"/>
        <v>X-EDOSH08M</v>
      </c>
      <c r="AC98" s="321" t="str">
        <f t="shared" si="48"/>
        <v>X-EDOSH08T</v>
      </c>
      <c r="AD98" s="321" t="str">
        <f t="shared" si="49"/>
        <v>X-EDOSH08S</v>
      </c>
      <c r="AE98" s="321" t="str">
        <f t="shared" si="50"/>
        <v>X-EDOSH08X</v>
      </c>
      <c r="AF98" s="321" t="str">
        <f t="shared" si="51"/>
        <v>X-EDOSH08A</v>
      </c>
      <c r="AG98" s="321">
        <f t="shared" si="38"/>
        <v>13</v>
      </c>
      <c r="AH98" s="321">
        <f>IF(B98&lt;&gt;"",IF(H98="x",VLOOKUP(I98,'AUX-NIV3'!B:AG,32,FALSE),0),"")</f>
        <v>0</v>
      </c>
      <c r="AI98" s="321" t="str">
        <f t="shared" si="52"/>
        <v>X-EDOSH08</v>
      </c>
      <c r="AJ98" s="320"/>
      <c r="AK98" s="322">
        <f t="shared" si="39"/>
        <v>97</v>
      </c>
      <c r="AL98" s="323">
        <f t="shared" si="53"/>
        <v>109</v>
      </c>
      <c r="AM98" s="322">
        <f t="shared" si="54"/>
        <v>2</v>
      </c>
      <c r="AN98" s="380">
        <f>IF(AND(AH98&gt;0,B98&lt;&gt;""),VLOOKUP(I98,'AUX-NIV3'!$B:$AO,39,FALSE)*O98,0)</f>
        <v>0</v>
      </c>
      <c r="AO98" s="380">
        <f t="shared" si="40"/>
        <v>0.36787999999999998</v>
      </c>
      <c r="AP98" s="380"/>
    </row>
    <row r="99" spans="2:42">
      <c r="B99" s="324" t="s">
        <v>1263</v>
      </c>
      <c r="C99" s="325" t="s">
        <v>12</v>
      </c>
      <c r="D99" s="326" t="s">
        <v>1160</v>
      </c>
      <c r="E99" s="327">
        <f>IF(B99&lt;&gt;"",SUMIF('AUX-NIV1'!I:I,'AUX-NIV2'!B99,'AUX-NIV1'!Q:Q),"")</f>
        <v>0.252</v>
      </c>
      <c r="F99" s="327">
        <f t="shared" si="30"/>
        <v>3470.6907694011379</v>
      </c>
      <c r="G99" s="327">
        <f t="shared" si="31"/>
        <v>874.61407388908674</v>
      </c>
      <c r="H99" s="328" t="str">
        <f t="shared" si="41"/>
        <v>A</v>
      </c>
      <c r="I99" s="325" t="s">
        <v>3311</v>
      </c>
      <c r="J99" s="329" t="str">
        <f>IF(B99&lt;&gt;"",+VLOOKUP(I99,Recursos!C:F,2,FALSE),"")</f>
        <v>OPER. EQUIPO</v>
      </c>
      <c r="K99" s="330" t="str">
        <f>IF(B99&lt;&gt;"",+VLOOKUP(I99,Recursos!C:F,3,FALSE),"")</f>
        <v>hh</v>
      </c>
      <c r="L99" s="327">
        <f>IF(B99&lt;&gt;"",+VLOOKUP(I99,Recursos!C:F,4,FALSE),"")</f>
        <v>581.06120476836554</v>
      </c>
      <c r="M99" s="331">
        <v>10</v>
      </c>
      <c r="N99" s="331">
        <v>0</v>
      </c>
      <c r="O99" s="332">
        <f t="shared" si="56"/>
        <v>0</v>
      </c>
      <c r="P99" s="333">
        <f t="shared" si="42"/>
        <v>0</v>
      </c>
      <c r="Q99" s="327">
        <f t="shared" si="43"/>
        <v>0</v>
      </c>
      <c r="R99" s="334">
        <f t="shared" si="44"/>
        <v>0</v>
      </c>
      <c r="S99" s="358">
        <f t="shared" si="32"/>
        <v>101.32074643523649</v>
      </c>
      <c r="T99" s="358">
        <f t="shared" si="33"/>
        <v>228.8832612121212</v>
      </c>
      <c r="U99" s="359">
        <f t="shared" si="34"/>
        <v>2380.1652892561988</v>
      </c>
      <c r="V99" s="359">
        <f t="shared" si="35"/>
        <v>0</v>
      </c>
      <c r="W99" s="359">
        <f t="shared" si="36"/>
        <v>0</v>
      </c>
      <c r="X99" s="359">
        <f t="shared" si="37"/>
        <v>760.32147249758168</v>
      </c>
      <c r="Y99" s="320"/>
      <c r="Z99" s="321" t="str">
        <f t="shared" si="45"/>
        <v>X-EDOSH08A</v>
      </c>
      <c r="AA99" s="321" t="str">
        <f t="shared" si="46"/>
        <v>X-EDOSH08E</v>
      </c>
      <c r="AB99" s="321" t="str">
        <f t="shared" si="47"/>
        <v>X-EDOSH08M</v>
      </c>
      <c r="AC99" s="321" t="str">
        <f t="shared" si="48"/>
        <v>X-EDOSH08T</v>
      </c>
      <c r="AD99" s="321" t="str">
        <f t="shared" si="49"/>
        <v>X-EDOSH08S</v>
      </c>
      <c r="AE99" s="321" t="str">
        <f t="shared" si="50"/>
        <v>X-EDOSH08X</v>
      </c>
      <c r="AF99" s="321" t="str">
        <f t="shared" si="51"/>
        <v>X-EDOSH08A</v>
      </c>
      <c r="AG99" s="321">
        <f t="shared" si="38"/>
        <v>13</v>
      </c>
      <c r="AH99" s="321">
        <f>IF(B99&lt;&gt;"",IF(H99="x",VLOOKUP(I99,'AUX-NIV3'!B:AG,32,FALSE),0),"")</f>
        <v>0</v>
      </c>
      <c r="AI99" s="321" t="str">
        <f t="shared" si="52"/>
        <v>X-EDOSH08</v>
      </c>
      <c r="AJ99" s="320"/>
      <c r="AK99" s="322">
        <f t="shared" si="39"/>
        <v>97</v>
      </c>
      <c r="AL99" s="323">
        <f t="shared" si="53"/>
        <v>109</v>
      </c>
      <c r="AM99" s="322">
        <f t="shared" si="54"/>
        <v>3</v>
      </c>
      <c r="AN99" s="380">
        <f>IF(AND(AH99&gt;0,B99&lt;&gt;""),VLOOKUP(I99,'AUX-NIV3'!$B:$AO,39,FALSE)*O99,0)</f>
        <v>0</v>
      </c>
      <c r="AO99" s="380">
        <f t="shared" si="40"/>
        <v>0.36787999999999998</v>
      </c>
      <c r="AP99" s="380"/>
    </row>
    <row r="100" spans="2:42">
      <c r="B100" s="324" t="s">
        <v>1263</v>
      </c>
      <c r="C100" s="325" t="s">
        <v>12</v>
      </c>
      <c r="D100" s="326" t="s">
        <v>1160</v>
      </c>
      <c r="E100" s="327">
        <f>IF(B100&lt;&gt;"",SUMIF('AUX-NIV1'!I:I,'AUX-NIV2'!B100,'AUX-NIV1'!Q:Q),"")</f>
        <v>0.252</v>
      </c>
      <c r="F100" s="327">
        <f t="shared" si="30"/>
        <v>3470.6907694011379</v>
      </c>
      <c r="G100" s="327">
        <f t="shared" si="31"/>
        <v>874.61407388908674</v>
      </c>
      <c r="H100" s="328" t="str">
        <f t="shared" si="41"/>
        <v>A</v>
      </c>
      <c r="I100" s="325" t="s">
        <v>1745</v>
      </c>
      <c r="J100" s="329" t="str">
        <f>IF(B100&lt;&gt;"",+VLOOKUP(I100,Recursos!C:F,2,FALSE),"")</f>
        <v>AYUDANTE</v>
      </c>
      <c r="K100" s="330" t="str">
        <f>IF(B100&lt;&gt;"",+VLOOKUP(I100,Recursos!C:F,3,FALSE),"")</f>
        <v>hh</v>
      </c>
      <c r="L100" s="327">
        <f>IF(B100&lt;&gt;"",+VLOOKUP(I100,Recursos!C:F,4,FALSE),"")</f>
        <v>422.48042769667234</v>
      </c>
      <c r="M100" s="331">
        <v>18</v>
      </c>
      <c r="N100" s="331">
        <v>2.5</v>
      </c>
      <c r="O100" s="332">
        <f t="shared" si="56"/>
        <v>0.1388888888888889</v>
      </c>
      <c r="P100" s="333">
        <f t="shared" si="42"/>
        <v>58.677837180093384</v>
      </c>
      <c r="Q100" s="327">
        <f t="shared" si="43"/>
        <v>3.5000000000000003E-2</v>
      </c>
      <c r="R100" s="334">
        <f t="shared" si="44"/>
        <v>14.786814969383533</v>
      </c>
      <c r="S100" s="358">
        <f t="shared" si="32"/>
        <v>101.32074643523649</v>
      </c>
      <c r="T100" s="358">
        <f t="shared" si="33"/>
        <v>228.8832612121212</v>
      </c>
      <c r="U100" s="359">
        <f t="shared" si="34"/>
        <v>2380.1652892561988</v>
      </c>
      <c r="V100" s="359">
        <f t="shared" si="35"/>
        <v>0</v>
      </c>
      <c r="W100" s="359">
        <f t="shared" si="36"/>
        <v>0</v>
      </c>
      <c r="X100" s="359">
        <f t="shared" si="37"/>
        <v>760.32147249758168</v>
      </c>
      <c r="Y100" s="320"/>
      <c r="Z100" s="321" t="str">
        <f t="shared" si="45"/>
        <v>X-EDOSH08A</v>
      </c>
      <c r="AA100" s="321" t="str">
        <f t="shared" si="46"/>
        <v>X-EDOSH08E</v>
      </c>
      <c r="AB100" s="321" t="str">
        <f t="shared" si="47"/>
        <v>X-EDOSH08M</v>
      </c>
      <c r="AC100" s="321" t="str">
        <f t="shared" si="48"/>
        <v>X-EDOSH08T</v>
      </c>
      <c r="AD100" s="321" t="str">
        <f t="shared" si="49"/>
        <v>X-EDOSH08S</v>
      </c>
      <c r="AE100" s="321" t="str">
        <f t="shared" si="50"/>
        <v>X-EDOSH08X</v>
      </c>
      <c r="AF100" s="321" t="str">
        <f t="shared" si="51"/>
        <v>X-EDOSH08A</v>
      </c>
      <c r="AG100" s="321">
        <f t="shared" si="38"/>
        <v>13</v>
      </c>
      <c r="AH100" s="321">
        <f>IF(B100&lt;&gt;"",IF(H100="x",VLOOKUP(I100,'AUX-NIV3'!B:AG,32,FALSE),0),"")</f>
        <v>0</v>
      </c>
      <c r="AI100" s="321" t="str">
        <f t="shared" si="52"/>
        <v>X-EDOSH08</v>
      </c>
      <c r="AJ100" s="320"/>
      <c r="AK100" s="322">
        <f t="shared" si="39"/>
        <v>97</v>
      </c>
      <c r="AL100" s="323">
        <f t="shared" si="53"/>
        <v>109</v>
      </c>
      <c r="AM100" s="322">
        <f t="shared" si="54"/>
        <v>4</v>
      </c>
      <c r="AN100" s="380">
        <f>IF(AND(AH100&gt;0,B100&lt;&gt;""),VLOOKUP(I100,'AUX-NIV3'!$B:$AO,39,FALSE)*O100,0)</f>
        <v>0</v>
      </c>
      <c r="AO100" s="380">
        <f t="shared" si="40"/>
        <v>0.36787999999999998</v>
      </c>
      <c r="AP100" s="380"/>
    </row>
    <row r="101" spans="2:42">
      <c r="B101" s="324" t="s">
        <v>1263</v>
      </c>
      <c r="C101" s="325" t="s">
        <v>12</v>
      </c>
      <c r="D101" s="326" t="s">
        <v>1160</v>
      </c>
      <c r="E101" s="327">
        <f>IF(B101&lt;&gt;"",SUMIF('AUX-NIV1'!I:I,'AUX-NIV2'!B101,'AUX-NIV1'!Q:Q),"")</f>
        <v>0.252</v>
      </c>
      <c r="F101" s="327">
        <f t="shared" si="30"/>
        <v>3470.6907694011379</v>
      </c>
      <c r="G101" s="327">
        <f t="shared" si="31"/>
        <v>874.61407388908674</v>
      </c>
      <c r="H101" s="328" t="str">
        <f t="shared" si="41"/>
        <v>E</v>
      </c>
      <c r="I101" s="325" t="s">
        <v>1555</v>
      </c>
      <c r="J101" s="329" t="str">
        <f>IF(B101&lt;&gt;"",+VLOOKUP(I101,Recursos!C:F,2,FALSE),"")</f>
        <v>CAMION VOLCADOR 6x4 CAP. 24 T=15 m3</v>
      </c>
      <c r="K101" s="330" t="str">
        <f>IF(B101&lt;&gt;"",+VLOOKUP(I101,Recursos!C:F,3,FALSE),"")</f>
        <v>HR</v>
      </c>
      <c r="L101" s="327">
        <f>IF(B101&lt;&gt;"",+VLOOKUP(I101,Recursos!C:F,4,FALSE),"")</f>
        <v>3333.261</v>
      </c>
      <c r="M101" s="331">
        <v>18</v>
      </c>
      <c r="N101" s="331">
        <v>1</v>
      </c>
      <c r="O101" s="332">
        <f t="shared" si="56"/>
        <v>5.5555555555555552E-2</v>
      </c>
      <c r="P101" s="333">
        <f t="shared" si="42"/>
        <v>185.18116666666666</v>
      </c>
      <c r="Q101" s="327">
        <f t="shared" si="43"/>
        <v>1.3999999999999999E-2</v>
      </c>
      <c r="R101" s="334">
        <f t="shared" si="44"/>
        <v>46.665653999999996</v>
      </c>
      <c r="S101" s="358">
        <f t="shared" si="32"/>
        <v>101.32074643523649</v>
      </c>
      <c r="T101" s="358">
        <f t="shared" si="33"/>
        <v>228.8832612121212</v>
      </c>
      <c r="U101" s="359">
        <f t="shared" si="34"/>
        <v>2380.1652892561988</v>
      </c>
      <c r="V101" s="359">
        <f t="shared" si="35"/>
        <v>0</v>
      </c>
      <c r="W101" s="359">
        <f t="shared" si="36"/>
        <v>0</v>
      </c>
      <c r="X101" s="359">
        <f t="shared" si="37"/>
        <v>760.32147249758168</v>
      </c>
      <c r="Y101" s="320"/>
      <c r="Z101" s="321" t="str">
        <f t="shared" si="45"/>
        <v>X-EDOSH08A</v>
      </c>
      <c r="AA101" s="321" t="str">
        <f t="shared" si="46"/>
        <v>X-EDOSH08E</v>
      </c>
      <c r="AB101" s="321" t="str">
        <f t="shared" si="47"/>
        <v>X-EDOSH08M</v>
      </c>
      <c r="AC101" s="321" t="str">
        <f t="shared" si="48"/>
        <v>X-EDOSH08T</v>
      </c>
      <c r="AD101" s="321" t="str">
        <f t="shared" si="49"/>
        <v>X-EDOSH08S</v>
      </c>
      <c r="AE101" s="321" t="str">
        <f t="shared" si="50"/>
        <v>X-EDOSH08X</v>
      </c>
      <c r="AF101" s="321" t="str">
        <f t="shared" si="51"/>
        <v>X-EDOSH08E</v>
      </c>
      <c r="AG101" s="321">
        <f t="shared" si="38"/>
        <v>13</v>
      </c>
      <c r="AH101" s="321">
        <f>IF(B101&lt;&gt;"",IF(H101="x",VLOOKUP(I101,'AUX-NIV3'!B:AG,32,FALSE),0),"")</f>
        <v>0</v>
      </c>
      <c r="AI101" s="321" t="str">
        <f t="shared" si="52"/>
        <v>X-EDOSH08</v>
      </c>
      <c r="AJ101" s="320"/>
      <c r="AK101" s="322">
        <f t="shared" si="39"/>
        <v>97</v>
      </c>
      <c r="AL101" s="323">
        <f t="shared" si="53"/>
        <v>109</v>
      </c>
      <c r="AM101" s="322">
        <f t="shared" si="54"/>
        <v>5</v>
      </c>
      <c r="AN101" s="380">
        <f>IF(AND(AH101&gt;0,B101&lt;&gt;""),VLOOKUP(I101,'AUX-NIV3'!$B:$AO,39,FALSE)*O101,0)</f>
        <v>0</v>
      </c>
      <c r="AO101" s="380">
        <f t="shared" si="40"/>
        <v>0.36787999999999998</v>
      </c>
      <c r="AP101" s="380"/>
    </row>
    <row r="102" spans="2:42">
      <c r="B102" s="324" t="s">
        <v>1263</v>
      </c>
      <c r="C102" s="325" t="s">
        <v>12</v>
      </c>
      <c r="D102" s="326" t="s">
        <v>1160</v>
      </c>
      <c r="E102" s="327">
        <f>IF(B102&lt;&gt;"",SUMIF('AUX-NIV1'!I:I,'AUX-NIV2'!B102,'AUX-NIV1'!Q:Q),"")</f>
        <v>0.252</v>
      </c>
      <c r="F102" s="327">
        <f t="shared" si="30"/>
        <v>3470.6907694011379</v>
      </c>
      <c r="G102" s="327">
        <f t="shared" si="31"/>
        <v>874.61407388908674</v>
      </c>
      <c r="H102" s="328" t="str">
        <f t="shared" si="41"/>
        <v>E</v>
      </c>
      <c r="I102" s="325" t="s">
        <v>1579</v>
      </c>
      <c r="J102" s="329" t="str">
        <f>IF(B102&lt;&gt;"",+VLOOKUP(I102,Recursos!C:F,2,FALSE),"")</f>
        <v>TRACTOR PANTANERO 8 CUBIERTAS</v>
      </c>
      <c r="K102" s="330" t="str">
        <f>IF(B102&lt;&gt;"",+VLOOKUP(I102,Recursos!C:F,3,FALSE),"")</f>
        <v>HR</v>
      </c>
      <c r="L102" s="327">
        <f>IF(B102&lt;&gt;"",+VLOOKUP(I102,Recursos!C:F,4,FALSE),"")</f>
        <v>3411.4653333333331</v>
      </c>
      <c r="M102" s="331">
        <v>10</v>
      </c>
      <c r="N102" s="331">
        <v>0</v>
      </c>
      <c r="O102" s="332">
        <f t="shared" si="56"/>
        <v>0</v>
      </c>
      <c r="P102" s="333">
        <f t="shared" si="42"/>
        <v>0</v>
      </c>
      <c r="Q102" s="327">
        <f t="shared" si="43"/>
        <v>0</v>
      </c>
      <c r="R102" s="334">
        <f t="shared" si="44"/>
        <v>0</v>
      </c>
      <c r="S102" s="358">
        <f t="shared" si="32"/>
        <v>101.32074643523649</v>
      </c>
      <c r="T102" s="358">
        <f t="shared" si="33"/>
        <v>228.8832612121212</v>
      </c>
      <c r="U102" s="359">
        <f t="shared" si="34"/>
        <v>2380.1652892561988</v>
      </c>
      <c r="V102" s="359">
        <f t="shared" si="35"/>
        <v>0</v>
      </c>
      <c r="W102" s="359">
        <f t="shared" si="36"/>
        <v>0</v>
      </c>
      <c r="X102" s="359">
        <f t="shared" si="37"/>
        <v>760.32147249758168</v>
      </c>
      <c r="Y102" s="320"/>
      <c r="Z102" s="321" t="str">
        <f t="shared" si="45"/>
        <v>X-EDOSH08A</v>
      </c>
      <c r="AA102" s="321" t="str">
        <f t="shared" si="46"/>
        <v>X-EDOSH08E</v>
      </c>
      <c r="AB102" s="321" t="str">
        <f t="shared" si="47"/>
        <v>X-EDOSH08M</v>
      </c>
      <c r="AC102" s="321" t="str">
        <f t="shared" si="48"/>
        <v>X-EDOSH08T</v>
      </c>
      <c r="AD102" s="321" t="str">
        <f t="shared" si="49"/>
        <v>X-EDOSH08S</v>
      </c>
      <c r="AE102" s="321" t="str">
        <f t="shared" si="50"/>
        <v>X-EDOSH08X</v>
      </c>
      <c r="AF102" s="321" t="str">
        <f t="shared" si="51"/>
        <v>X-EDOSH08E</v>
      </c>
      <c r="AG102" s="321">
        <f t="shared" si="38"/>
        <v>13</v>
      </c>
      <c r="AH102" s="321">
        <f>IF(B102&lt;&gt;"",IF(H102="x",VLOOKUP(I102,'AUX-NIV3'!B:AG,32,FALSE),0),"")</f>
        <v>0</v>
      </c>
      <c r="AI102" s="321" t="str">
        <f t="shared" si="52"/>
        <v>X-EDOSH08</v>
      </c>
      <c r="AJ102" s="320"/>
      <c r="AK102" s="322">
        <f t="shared" si="39"/>
        <v>97</v>
      </c>
      <c r="AL102" s="323">
        <f t="shared" si="53"/>
        <v>109</v>
      </c>
      <c r="AM102" s="322">
        <f t="shared" si="54"/>
        <v>6</v>
      </c>
      <c r="AN102" s="380">
        <f>IF(AND(AH102&gt;0,B102&lt;&gt;""),VLOOKUP(I102,'AUX-NIV3'!$B:$AO,39,FALSE)*O102,0)</f>
        <v>0</v>
      </c>
      <c r="AO102" s="380">
        <f t="shared" si="40"/>
        <v>0.36787999999999998</v>
      </c>
      <c r="AP102" s="380"/>
    </row>
    <row r="103" spans="2:42">
      <c r="B103" s="324" t="s">
        <v>1263</v>
      </c>
      <c r="C103" s="325" t="s">
        <v>12</v>
      </c>
      <c r="D103" s="326" t="s">
        <v>1160</v>
      </c>
      <c r="E103" s="327">
        <f>IF(B103&lt;&gt;"",SUMIF('AUX-NIV1'!I:I,'AUX-NIV2'!B103,'AUX-NIV1'!Q:Q),"")</f>
        <v>0.252</v>
      </c>
      <c r="F103" s="327">
        <f t="shared" si="30"/>
        <v>3470.6907694011379</v>
      </c>
      <c r="G103" s="327">
        <f t="shared" si="31"/>
        <v>874.61407388908674</v>
      </c>
      <c r="H103" s="328" t="str">
        <f t="shared" si="41"/>
        <v>E</v>
      </c>
      <c r="I103" s="325" t="s">
        <v>1564</v>
      </c>
      <c r="J103" s="329" t="str">
        <f>IF(B103&lt;&gt;"",+VLOOKUP(I103,Recursos!C:F,2,FALSE),"")</f>
        <v>ACOPLADO O TANQUE CAP. 10 m3</v>
      </c>
      <c r="K103" s="330" t="str">
        <f>IF(B103&lt;&gt;"",+VLOOKUP(I103,Recursos!C:F,3,FALSE),"")</f>
        <v>HR</v>
      </c>
      <c r="L103" s="327">
        <f>IF(B103&lt;&gt;"",+VLOOKUP(I103,Recursos!C:F,4,FALSE),"")</f>
        <v>200.018</v>
      </c>
      <c r="M103" s="331">
        <v>10</v>
      </c>
      <c r="N103" s="331">
        <v>0</v>
      </c>
      <c r="O103" s="332">
        <f t="shared" si="56"/>
        <v>0</v>
      </c>
      <c r="P103" s="333">
        <f t="shared" si="42"/>
        <v>0</v>
      </c>
      <c r="Q103" s="327">
        <f t="shared" si="43"/>
        <v>0</v>
      </c>
      <c r="R103" s="334">
        <f t="shared" si="44"/>
        <v>0</v>
      </c>
      <c r="S103" s="358">
        <f t="shared" si="32"/>
        <v>101.32074643523649</v>
      </c>
      <c r="T103" s="358">
        <f t="shared" si="33"/>
        <v>228.8832612121212</v>
      </c>
      <c r="U103" s="359">
        <f t="shared" si="34"/>
        <v>2380.1652892561988</v>
      </c>
      <c r="V103" s="359">
        <f t="shared" si="35"/>
        <v>0</v>
      </c>
      <c r="W103" s="359">
        <f t="shared" si="36"/>
        <v>0</v>
      </c>
      <c r="X103" s="359">
        <f t="shared" si="37"/>
        <v>760.32147249758168</v>
      </c>
      <c r="Y103" s="320"/>
      <c r="Z103" s="321" t="str">
        <f t="shared" si="45"/>
        <v>X-EDOSH08A</v>
      </c>
      <c r="AA103" s="321" t="str">
        <f t="shared" si="46"/>
        <v>X-EDOSH08E</v>
      </c>
      <c r="AB103" s="321" t="str">
        <f t="shared" si="47"/>
        <v>X-EDOSH08M</v>
      </c>
      <c r="AC103" s="321" t="str">
        <f t="shared" si="48"/>
        <v>X-EDOSH08T</v>
      </c>
      <c r="AD103" s="321" t="str">
        <f t="shared" si="49"/>
        <v>X-EDOSH08S</v>
      </c>
      <c r="AE103" s="321" t="str">
        <f t="shared" si="50"/>
        <v>X-EDOSH08X</v>
      </c>
      <c r="AF103" s="321" t="str">
        <f t="shared" si="51"/>
        <v>X-EDOSH08E</v>
      </c>
      <c r="AG103" s="321">
        <f t="shared" si="38"/>
        <v>13</v>
      </c>
      <c r="AH103" s="321">
        <f>IF(B103&lt;&gt;"",IF(H103="x",VLOOKUP(I103,'AUX-NIV3'!B:AG,32,FALSE),0),"")</f>
        <v>0</v>
      </c>
      <c r="AI103" s="321" t="str">
        <f t="shared" si="52"/>
        <v>X-EDOSH08</v>
      </c>
      <c r="AJ103" s="320"/>
      <c r="AK103" s="322">
        <f t="shared" si="39"/>
        <v>97</v>
      </c>
      <c r="AL103" s="323">
        <f t="shared" si="53"/>
        <v>109</v>
      </c>
      <c r="AM103" s="322">
        <f t="shared" si="54"/>
        <v>7</v>
      </c>
      <c r="AN103" s="380">
        <f>IF(AND(AH103&gt;0,B103&lt;&gt;""),VLOOKUP(I103,'AUX-NIV3'!$B:$AO,39,FALSE)*O103,0)</f>
        <v>0</v>
      </c>
      <c r="AO103" s="380">
        <f t="shared" si="40"/>
        <v>0.36787999999999998</v>
      </c>
      <c r="AP103" s="380"/>
    </row>
    <row r="104" spans="2:42">
      <c r="B104" s="324" t="s">
        <v>1263</v>
      </c>
      <c r="C104" s="325" t="s">
        <v>12</v>
      </c>
      <c r="D104" s="326" t="s">
        <v>1160</v>
      </c>
      <c r="E104" s="327">
        <f>IF(B104&lt;&gt;"",SUMIF('AUX-NIV1'!I:I,'AUX-NIV2'!B104,'AUX-NIV1'!Q:Q),"")</f>
        <v>0.252</v>
      </c>
      <c r="F104" s="327">
        <f t="shared" si="30"/>
        <v>3470.6907694011379</v>
      </c>
      <c r="G104" s="327">
        <f t="shared" si="31"/>
        <v>874.61407388908674</v>
      </c>
      <c r="H104" s="328" t="str">
        <f t="shared" si="41"/>
        <v>E</v>
      </c>
      <c r="I104" s="325" t="s">
        <v>1543</v>
      </c>
      <c r="J104" s="329" t="str">
        <f>IF(B104&lt;&gt;"",+VLOOKUP(I104,Recursos!C:F,2,FALSE),"")</f>
        <v>CARGADOR FRONTAL S/NEUM. (3,00 M3)</v>
      </c>
      <c r="K104" s="330" t="str">
        <f>IF(B104&lt;&gt;"",+VLOOKUP(I104,Recursos!C:F,3,FALSE),"")</f>
        <v>HR</v>
      </c>
      <c r="L104" s="327">
        <f>IF(B104&lt;&gt;"",+VLOOKUP(I104,Recursos!C:F,4,FALSE),"")</f>
        <v>4370.2094545454547</v>
      </c>
      <c r="M104" s="331">
        <v>100</v>
      </c>
      <c r="N104" s="331">
        <v>1</v>
      </c>
      <c r="O104" s="332">
        <f t="shared" si="56"/>
        <v>0.01</v>
      </c>
      <c r="P104" s="333">
        <f t="shared" si="42"/>
        <v>43.70209454545455</v>
      </c>
      <c r="Q104" s="327">
        <f t="shared" si="43"/>
        <v>2.5200000000000001E-3</v>
      </c>
      <c r="R104" s="334">
        <f t="shared" si="44"/>
        <v>11.012927825454547</v>
      </c>
      <c r="S104" s="358">
        <f t="shared" si="32"/>
        <v>101.32074643523649</v>
      </c>
      <c r="T104" s="358">
        <f t="shared" si="33"/>
        <v>228.8832612121212</v>
      </c>
      <c r="U104" s="359">
        <f t="shared" si="34"/>
        <v>2380.1652892561988</v>
      </c>
      <c r="V104" s="359">
        <f t="shared" si="35"/>
        <v>0</v>
      </c>
      <c r="W104" s="359">
        <f t="shared" si="36"/>
        <v>0</v>
      </c>
      <c r="X104" s="359">
        <f t="shared" si="37"/>
        <v>760.32147249758168</v>
      </c>
      <c r="Y104" s="320"/>
      <c r="Z104" s="321" t="str">
        <f t="shared" si="45"/>
        <v>X-EDOSH08A</v>
      </c>
      <c r="AA104" s="321" t="str">
        <f t="shared" si="46"/>
        <v>X-EDOSH08E</v>
      </c>
      <c r="AB104" s="321" t="str">
        <f t="shared" si="47"/>
        <v>X-EDOSH08M</v>
      </c>
      <c r="AC104" s="321" t="str">
        <f t="shared" si="48"/>
        <v>X-EDOSH08T</v>
      </c>
      <c r="AD104" s="321" t="str">
        <f t="shared" si="49"/>
        <v>X-EDOSH08S</v>
      </c>
      <c r="AE104" s="321" t="str">
        <f t="shared" si="50"/>
        <v>X-EDOSH08X</v>
      </c>
      <c r="AF104" s="321" t="str">
        <f t="shared" si="51"/>
        <v>X-EDOSH08E</v>
      </c>
      <c r="AG104" s="321">
        <f t="shared" si="38"/>
        <v>13</v>
      </c>
      <c r="AH104" s="321">
        <f>IF(B104&lt;&gt;"",IF(H104="x",VLOOKUP(I104,'AUX-NIV3'!B:AG,32,FALSE),0),"")</f>
        <v>0</v>
      </c>
      <c r="AI104" s="321" t="str">
        <f t="shared" si="52"/>
        <v>X-EDOSH08</v>
      </c>
      <c r="AJ104" s="320"/>
      <c r="AK104" s="322">
        <f t="shared" si="39"/>
        <v>97</v>
      </c>
      <c r="AL104" s="323">
        <f t="shared" si="53"/>
        <v>109</v>
      </c>
      <c r="AM104" s="322">
        <f t="shared" si="54"/>
        <v>8</v>
      </c>
      <c r="AN104" s="380">
        <f>IF(AND(AH104&gt;0,B104&lt;&gt;""),VLOOKUP(I104,'AUX-NIV3'!$B:$AO,39,FALSE)*O104,0)</f>
        <v>0</v>
      </c>
      <c r="AO104" s="380">
        <f t="shared" si="40"/>
        <v>0.36787999999999998</v>
      </c>
      <c r="AP104" s="380"/>
    </row>
    <row r="105" spans="2:42">
      <c r="B105" s="324" t="s">
        <v>1263</v>
      </c>
      <c r="C105" s="325" t="s">
        <v>12</v>
      </c>
      <c r="D105" s="326" t="s">
        <v>1160</v>
      </c>
      <c r="E105" s="327">
        <f>IF(B105&lt;&gt;"",SUMIF('AUX-NIV1'!I:I,'AUX-NIV2'!B105,'AUX-NIV1'!Q:Q),"")</f>
        <v>0.252</v>
      </c>
      <c r="F105" s="327">
        <f t="shared" si="30"/>
        <v>3470.6907694011379</v>
      </c>
      <c r="G105" s="327">
        <f t="shared" si="31"/>
        <v>874.61407388908674</v>
      </c>
      <c r="H105" s="328" t="str">
        <f t="shared" si="41"/>
        <v>M</v>
      </c>
      <c r="I105" s="325" t="s">
        <v>1889</v>
      </c>
      <c r="J105" s="329" t="str">
        <f>IF(B105&lt;&gt;"",+VLOOKUP(I105,Recursos!C:F,2,FALSE),"")</f>
        <v>CEMENTO PORTLAND (BOLSA 50Kg)</v>
      </c>
      <c r="K105" s="330" t="str">
        <f>IF(B105&lt;&gt;"",+VLOOKUP(I105,Recursos!C:F,3,FALSE),"")</f>
        <v>Un</v>
      </c>
      <c r="L105" s="327">
        <f>IF(B105&lt;&gt;"",+VLOOKUP(I105,Recursos!C:F,4,FALSE),"")</f>
        <v>661.15702479338847</v>
      </c>
      <c r="M105" s="331">
        <v>180</v>
      </c>
      <c r="N105" s="331">
        <v>1</v>
      </c>
      <c r="O105" s="332">
        <f>+M105/50*N105</f>
        <v>3.6</v>
      </c>
      <c r="P105" s="333">
        <f t="shared" si="42"/>
        <v>2380.1652892561988</v>
      </c>
      <c r="Q105" s="327">
        <f t="shared" si="43"/>
        <v>0.90720000000000001</v>
      </c>
      <c r="R105" s="334">
        <f t="shared" si="44"/>
        <v>599.80165289256206</v>
      </c>
      <c r="S105" s="358">
        <f t="shared" si="32"/>
        <v>101.32074643523649</v>
      </c>
      <c r="T105" s="358">
        <f t="shared" si="33"/>
        <v>228.8832612121212</v>
      </c>
      <c r="U105" s="359">
        <f t="shared" si="34"/>
        <v>2380.1652892561988</v>
      </c>
      <c r="V105" s="359">
        <f t="shared" si="35"/>
        <v>0</v>
      </c>
      <c r="W105" s="359">
        <f t="shared" si="36"/>
        <v>0</v>
      </c>
      <c r="X105" s="359">
        <f t="shared" si="37"/>
        <v>760.32147249758168</v>
      </c>
      <c r="Y105" s="320"/>
      <c r="Z105" s="321" t="str">
        <f t="shared" si="45"/>
        <v>X-EDOSH08A</v>
      </c>
      <c r="AA105" s="321" t="str">
        <f t="shared" si="46"/>
        <v>X-EDOSH08E</v>
      </c>
      <c r="AB105" s="321" t="str">
        <f t="shared" si="47"/>
        <v>X-EDOSH08M</v>
      </c>
      <c r="AC105" s="321" t="str">
        <f t="shared" si="48"/>
        <v>X-EDOSH08T</v>
      </c>
      <c r="AD105" s="321" t="str">
        <f t="shared" si="49"/>
        <v>X-EDOSH08S</v>
      </c>
      <c r="AE105" s="321" t="str">
        <f t="shared" si="50"/>
        <v>X-EDOSH08X</v>
      </c>
      <c r="AF105" s="321" t="str">
        <f t="shared" si="51"/>
        <v>X-EDOSH08M</v>
      </c>
      <c r="AG105" s="321">
        <f t="shared" si="38"/>
        <v>13</v>
      </c>
      <c r="AH105" s="321">
        <f>IF(B105&lt;&gt;"",IF(H105="x",VLOOKUP(I105,'AUX-NIV3'!B:AG,32,FALSE),0),"")</f>
        <v>0</v>
      </c>
      <c r="AI105" s="321" t="str">
        <f t="shared" si="52"/>
        <v>X-EDOSH08</v>
      </c>
      <c r="AJ105" s="320"/>
      <c r="AK105" s="322">
        <f t="shared" si="39"/>
        <v>97</v>
      </c>
      <c r="AL105" s="323">
        <f t="shared" si="53"/>
        <v>109</v>
      </c>
      <c r="AM105" s="322">
        <f t="shared" si="54"/>
        <v>9</v>
      </c>
      <c r="AN105" s="380">
        <f>IF(AND(AH105&gt;0,B105&lt;&gt;""),VLOOKUP(I105,'AUX-NIV3'!$B:$AO,39,FALSE)*O105,0)</f>
        <v>0</v>
      </c>
      <c r="AO105" s="380">
        <f t="shared" si="40"/>
        <v>0.36787999999999998</v>
      </c>
      <c r="AP105" s="380"/>
    </row>
    <row r="106" spans="2:42">
      <c r="B106" s="324" t="s">
        <v>1263</v>
      </c>
      <c r="C106" s="325" t="s">
        <v>12</v>
      </c>
      <c r="D106" s="326" t="s">
        <v>1160</v>
      </c>
      <c r="E106" s="327">
        <f>IF(B106&lt;&gt;"",SUMIF('AUX-NIV1'!I:I,'AUX-NIV2'!B106,'AUX-NIV1'!Q:Q),"")</f>
        <v>0.252</v>
      </c>
      <c r="F106" s="327">
        <f t="shared" si="30"/>
        <v>3470.6907694011379</v>
      </c>
      <c r="G106" s="327">
        <f t="shared" si="31"/>
        <v>874.61407388908674</v>
      </c>
      <c r="H106" s="328" t="str">
        <f t="shared" si="41"/>
        <v>M</v>
      </c>
      <c r="I106" s="325" t="s">
        <v>495</v>
      </c>
      <c r="J106" s="329" t="str">
        <f>IF(B106&lt;&gt;"",+VLOOKUP(I106,Recursos!C:F,2,FALSE),"")</f>
        <v>PLASTIFICANTE</v>
      </c>
      <c r="K106" s="330" t="str">
        <f>IF(B106&lt;&gt;"",+VLOOKUP(I106,Recursos!C:F,3,FALSE),"")</f>
        <v>Kg</v>
      </c>
      <c r="L106" s="327">
        <f>IF(B106&lt;&gt;"",+VLOOKUP(I106,Recursos!C:F,4,FALSE),"")</f>
        <v>40.25</v>
      </c>
      <c r="M106" s="331">
        <v>0</v>
      </c>
      <c r="N106" s="331">
        <v>0</v>
      </c>
      <c r="O106" s="332">
        <f>+M106*N106</f>
        <v>0</v>
      </c>
      <c r="P106" s="333">
        <f t="shared" si="42"/>
        <v>0</v>
      </c>
      <c r="Q106" s="327">
        <f t="shared" si="43"/>
        <v>0</v>
      </c>
      <c r="R106" s="334">
        <f t="shared" si="44"/>
        <v>0</v>
      </c>
      <c r="S106" s="358">
        <f t="shared" si="32"/>
        <v>101.32074643523649</v>
      </c>
      <c r="T106" s="358">
        <f t="shared" si="33"/>
        <v>228.8832612121212</v>
      </c>
      <c r="U106" s="359">
        <f t="shared" si="34"/>
        <v>2380.1652892561988</v>
      </c>
      <c r="V106" s="359">
        <f t="shared" si="35"/>
        <v>0</v>
      </c>
      <c r="W106" s="359">
        <f t="shared" si="36"/>
        <v>0</v>
      </c>
      <c r="X106" s="359">
        <f t="shared" si="37"/>
        <v>760.32147249758168</v>
      </c>
      <c r="Y106" s="320"/>
      <c r="Z106" s="321" t="str">
        <f t="shared" si="45"/>
        <v>X-EDOSH08A</v>
      </c>
      <c r="AA106" s="321" t="str">
        <f t="shared" si="46"/>
        <v>X-EDOSH08E</v>
      </c>
      <c r="AB106" s="321" t="str">
        <f t="shared" si="47"/>
        <v>X-EDOSH08M</v>
      </c>
      <c r="AC106" s="321" t="str">
        <f t="shared" si="48"/>
        <v>X-EDOSH08T</v>
      </c>
      <c r="AD106" s="321" t="str">
        <f t="shared" si="49"/>
        <v>X-EDOSH08S</v>
      </c>
      <c r="AE106" s="321" t="str">
        <f t="shared" si="50"/>
        <v>X-EDOSH08X</v>
      </c>
      <c r="AF106" s="321" t="str">
        <f t="shared" si="51"/>
        <v>X-EDOSH08M</v>
      </c>
      <c r="AG106" s="321">
        <f t="shared" si="38"/>
        <v>13</v>
      </c>
      <c r="AH106" s="321">
        <f>IF(B106&lt;&gt;"",IF(H106="x",VLOOKUP(I106,'AUX-NIV3'!B:AG,32,FALSE),0),"")</f>
        <v>0</v>
      </c>
      <c r="AI106" s="321" t="str">
        <f t="shared" si="52"/>
        <v>X-EDOSH08</v>
      </c>
      <c r="AJ106" s="320"/>
      <c r="AK106" s="322">
        <f t="shared" si="39"/>
        <v>97</v>
      </c>
      <c r="AL106" s="323">
        <f t="shared" si="53"/>
        <v>109</v>
      </c>
      <c r="AM106" s="322">
        <f t="shared" si="54"/>
        <v>10</v>
      </c>
      <c r="AN106" s="380">
        <f>IF(AND(AH106&gt;0,B106&lt;&gt;""),VLOOKUP(I106,'AUX-NIV3'!$B:$AO,39,FALSE)*O106,0)</f>
        <v>0</v>
      </c>
      <c r="AO106" s="380">
        <f t="shared" si="40"/>
        <v>0.36787999999999998</v>
      </c>
      <c r="AP106" s="380"/>
    </row>
    <row r="107" spans="2:42">
      <c r="B107" s="324" t="s">
        <v>1263</v>
      </c>
      <c r="C107" s="325" t="s">
        <v>12</v>
      </c>
      <c r="D107" s="326" t="s">
        <v>1160</v>
      </c>
      <c r="E107" s="327">
        <f>IF(B107&lt;&gt;"",SUMIF('AUX-NIV1'!I:I,'AUX-NIV2'!B107,'AUX-NIV1'!Q:Q),"")</f>
        <v>0.252</v>
      </c>
      <c r="F107" s="327">
        <f t="shared" si="30"/>
        <v>3470.6907694011379</v>
      </c>
      <c r="G107" s="327">
        <f t="shared" si="31"/>
        <v>874.61407388908674</v>
      </c>
      <c r="H107" s="328" t="str">
        <f t="shared" si="41"/>
        <v>X</v>
      </c>
      <c r="I107" s="325" t="s">
        <v>1207</v>
      </c>
      <c r="J107" s="329" t="str">
        <f>IF(B107&lt;&gt;"",+VLOOKUP(I107,Recursos!C:F,2,FALSE),"")</f>
        <v>Planta de Aridos - Trituración y Clasificación</v>
      </c>
      <c r="K107" s="330" t="str">
        <f>IF(B107&lt;&gt;"",+VLOOKUP(I107,Recursos!C:F,3,FALSE),"")</f>
        <v>M3</v>
      </c>
      <c r="L107" s="327">
        <f>IF(B107&lt;&gt;"",+VLOOKUP(I107,Recursos!C:F,4,FALSE),"")</f>
        <v>633.60122708131803</v>
      </c>
      <c r="M107" s="331">
        <v>0.7</v>
      </c>
      <c r="N107" s="331">
        <v>1</v>
      </c>
      <c r="O107" s="332">
        <f>+M107*N107</f>
        <v>0.7</v>
      </c>
      <c r="P107" s="333">
        <f t="shared" si="42"/>
        <v>443.52085895692261</v>
      </c>
      <c r="Q107" s="327">
        <f t="shared" si="43"/>
        <v>0.1764</v>
      </c>
      <c r="R107" s="334">
        <f t="shared" si="44"/>
        <v>111.7672564571445</v>
      </c>
      <c r="S107" s="358">
        <f t="shared" si="32"/>
        <v>101.32074643523649</v>
      </c>
      <c r="T107" s="358">
        <f t="shared" si="33"/>
        <v>228.8832612121212</v>
      </c>
      <c r="U107" s="359">
        <f t="shared" si="34"/>
        <v>2380.1652892561988</v>
      </c>
      <c r="V107" s="359">
        <f t="shared" si="35"/>
        <v>0</v>
      </c>
      <c r="W107" s="359">
        <f t="shared" si="36"/>
        <v>0</v>
      </c>
      <c r="X107" s="359">
        <f t="shared" si="37"/>
        <v>760.32147249758168</v>
      </c>
      <c r="Y107" s="320"/>
      <c r="Z107" s="321" t="str">
        <f t="shared" si="45"/>
        <v>X-EDOSH08A</v>
      </c>
      <c r="AA107" s="321" t="str">
        <f t="shared" si="46"/>
        <v>X-EDOSH08E</v>
      </c>
      <c r="AB107" s="321" t="str">
        <f t="shared" si="47"/>
        <v>X-EDOSH08M</v>
      </c>
      <c r="AC107" s="321" t="str">
        <f t="shared" si="48"/>
        <v>X-EDOSH08T</v>
      </c>
      <c r="AD107" s="321" t="str">
        <f t="shared" si="49"/>
        <v>X-EDOSH08S</v>
      </c>
      <c r="AE107" s="321" t="str">
        <f t="shared" si="50"/>
        <v>X-EDOSH08X</v>
      </c>
      <c r="AF107" s="321" t="str">
        <f t="shared" si="51"/>
        <v>X-EDOSH08X</v>
      </c>
      <c r="AG107" s="321">
        <f t="shared" si="38"/>
        <v>13</v>
      </c>
      <c r="AH107" s="321">
        <f>IF(B107&lt;&gt;"",IF(H107="x",VLOOKUP(I107,'AUX-NIV3'!B:AG,32,FALSE),0),"")</f>
        <v>21</v>
      </c>
      <c r="AI107" s="321" t="str">
        <f t="shared" si="52"/>
        <v>X-EDOSH08</v>
      </c>
      <c r="AJ107" s="320"/>
      <c r="AK107" s="322">
        <f t="shared" si="39"/>
        <v>97</v>
      </c>
      <c r="AL107" s="323">
        <f t="shared" si="53"/>
        <v>109</v>
      </c>
      <c r="AM107" s="322">
        <f t="shared" si="54"/>
        <v>11</v>
      </c>
      <c r="AN107" s="380">
        <f>IF(AND(AH107&gt;0,B107&lt;&gt;""),VLOOKUP(I107,'AUX-NIV3'!$B:$AO,39,FALSE)*O107,0)</f>
        <v>8.4902222222222212E-2</v>
      </c>
      <c r="AO107" s="380">
        <f t="shared" si="40"/>
        <v>0.36787999999999998</v>
      </c>
      <c r="AP107" s="380"/>
    </row>
    <row r="108" spans="2:42">
      <c r="B108" s="324" t="s">
        <v>1263</v>
      </c>
      <c r="C108" s="325" t="s">
        <v>12</v>
      </c>
      <c r="D108" s="326" t="s">
        <v>1160</v>
      </c>
      <c r="E108" s="327">
        <f>IF(B108&lt;&gt;"",SUMIF('AUX-NIV1'!I:I,'AUX-NIV2'!B108,'AUX-NIV1'!Q:Q),"")</f>
        <v>0.252</v>
      </c>
      <c r="F108" s="327">
        <f t="shared" si="30"/>
        <v>3470.6907694011379</v>
      </c>
      <c r="G108" s="327">
        <f t="shared" si="31"/>
        <v>874.61407388908674</v>
      </c>
      <c r="H108" s="328" t="str">
        <f t="shared" si="41"/>
        <v>X</v>
      </c>
      <c r="I108" s="325" t="s">
        <v>1207</v>
      </c>
      <c r="J108" s="329" t="str">
        <f>IF(B108&lt;&gt;"",+VLOOKUP(I108,Recursos!C:F,2,FALSE),"")</f>
        <v>Planta de Aridos - Trituración y Clasificación</v>
      </c>
      <c r="K108" s="330" t="str">
        <f>IF(B108&lt;&gt;"",+VLOOKUP(I108,Recursos!C:F,3,FALSE),"")</f>
        <v>M3</v>
      </c>
      <c r="L108" s="327">
        <f>IF(B108&lt;&gt;"",+VLOOKUP(I108,Recursos!C:F,4,FALSE),"")</f>
        <v>633.60122708131803</v>
      </c>
      <c r="M108" s="331">
        <v>0.5</v>
      </c>
      <c r="N108" s="331">
        <v>1</v>
      </c>
      <c r="O108" s="332">
        <f>+M108*N108</f>
        <v>0.5</v>
      </c>
      <c r="P108" s="333">
        <f t="shared" si="42"/>
        <v>316.80061354065901</v>
      </c>
      <c r="Q108" s="327">
        <f t="shared" si="43"/>
        <v>0.126</v>
      </c>
      <c r="R108" s="334">
        <f t="shared" si="44"/>
        <v>79.833754612246068</v>
      </c>
      <c r="S108" s="358">
        <f t="shared" si="32"/>
        <v>101.32074643523649</v>
      </c>
      <c r="T108" s="358">
        <f t="shared" si="33"/>
        <v>228.8832612121212</v>
      </c>
      <c r="U108" s="359">
        <f t="shared" si="34"/>
        <v>2380.1652892561988</v>
      </c>
      <c r="V108" s="359">
        <f t="shared" si="35"/>
        <v>0</v>
      </c>
      <c r="W108" s="359">
        <f t="shared" si="36"/>
        <v>0</v>
      </c>
      <c r="X108" s="359">
        <f t="shared" si="37"/>
        <v>760.32147249758168</v>
      </c>
      <c r="Y108" s="320"/>
      <c r="Z108" s="321" t="str">
        <f t="shared" si="45"/>
        <v>X-EDOSH08A</v>
      </c>
      <c r="AA108" s="321" t="str">
        <f t="shared" si="46"/>
        <v>X-EDOSH08E</v>
      </c>
      <c r="AB108" s="321" t="str">
        <f t="shared" si="47"/>
        <v>X-EDOSH08M</v>
      </c>
      <c r="AC108" s="321" t="str">
        <f t="shared" si="48"/>
        <v>X-EDOSH08T</v>
      </c>
      <c r="AD108" s="321" t="str">
        <f t="shared" si="49"/>
        <v>X-EDOSH08S</v>
      </c>
      <c r="AE108" s="321" t="str">
        <f t="shared" si="50"/>
        <v>X-EDOSH08X</v>
      </c>
      <c r="AF108" s="321" t="str">
        <f t="shared" si="51"/>
        <v>X-EDOSH08X</v>
      </c>
      <c r="AG108" s="321">
        <f t="shared" si="38"/>
        <v>13</v>
      </c>
      <c r="AH108" s="321">
        <f>IF(B108&lt;&gt;"",IF(H108="x",VLOOKUP(I108,'AUX-NIV3'!B:AG,32,FALSE),0),"")</f>
        <v>21</v>
      </c>
      <c r="AI108" s="321" t="str">
        <f t="shared" si="52"/>
        <v>X-EDOSH08</v>
      </c>
      <c r="AJ108" s="320"/>
      <c r="AK108" s="322">
        <f t="shared" si="39"/>
        <v>97</v>
      </c>
      <c r="AL108" s="323">
        <f t="shared" si="53"/>
        <v>109</v>
      </c>
      <c r="AM108" s="322">
        <f t="shared" si="54"/>
        <v>12</v>
      </c>
      <c r="AN108" s="380">
        <f>IF(AND(AH108&gt;0,B108&lt;&gt;""),VLOOKUP(I108,'AUX-NIV3'!$B:$AO,39,FALSE)*O108,0)</f>
        <v>6.0644444444444445E-2</v>
      </c>
      <c r="AO108" s="380">
        <f t="shared" si="40"/>
        <v>0.36787999999999998</v>
      </c>
      <c r="AP108" s="380"/>
    </row>
    <row r="109" spans="2:42">
      <c r="B109" s="324" t="s">
        <v>1263</v>
      </c>
      <c r="C109" s="325" t="s">
        <v>12</v>
      </c>
      <c r="D109" s="326" t="s">
        <v>1160</v>
      </c>
      <c r="E109" s="327">
        <f>IF(B109&lt;&gt;"",SUMIF('AUX-NIV1'!I:I,'AUX-NIV2'!B109,'AUX-NIV1'!Q:Q),"")</f>
        <v>0.252</v>
      </c>
      <c r="F109" s="327">
        <f t="shared" si="30"/>
        <v>3470.6907694011379</v>
      </c>
      <c r="G109" s="327">
        <f t="shared" si="31"/>
        <v>874.61407388908674</v>
      </c>
      <c r="H109" s="328" t="str">
        <f t="shared" si="41"/>
        <v>T</v>
      </c>
      <c r="I109" s="325" t="s">
        <v>752</v>
      </c>
      <c r="J109" s="329" t="str">
        <f>IF(B109&lt;&gt;"",+VLOOKUP(I109,Recursos!C:F,2,FALSE),"")</f>
        <v>TRANSP.AGREGADO (Tpte largo cotizado x 10 Km)</v>
      </c>
      <c r="K109" s="330" t="str">
        <f>IF(B109&lt;&gt;"",+VLOOKUP(I109,Recursos!C:F,3,FALSE),"")</f>
        <v>Tn.Km</v>
      </c>
      <c r="L109" s="327">
        <f>IF(B109&lt;&gt;"",+VLOOKUP(I109,Recursos!C:F,4,FALSE),"")</f>
        <v>0.1</v>
      </c>
      <c r="M109" s="331">
        <v>1.2E-2</v>
      </c>
      <c r="N109" s="331">
        <v>0</v>
      </c>
      <c r="O109" s="332">
        <f>+M109*N109</f>
        <v>0</v>
      </c>
      <c r="P109" s="333">
        <f t="shared" si="42"/>
        <v>0</v>
      </c>
      <c r="Q109" s="327">
        <f t="shared" si="43"/>
        <v>0</v>
      </c>
      <c r="R109" s="334">
        <f t="shared" si="44"/>
        <v>0</v>
      </c>
      <c r="S109" s="358">
        <f t="shared" si="32"/>
        <v>101.32074643523649</v>
      </c>
      <c r="T109" s="358">
        <f t="shared" si="33"/>
        <v>228.8832612121212</v>
      </c>
      <c r="U109" s="359">
        <f t="shared" si="34"/>
        <v>2380.1652892561988</v>
      </c>
      <c r="V109" s="359">
        <f t="shared" si="35"/>
        <v>0</v>
      </c>
      <c r="W109" s="359">
        <f t="shared" si="36"/>
        <v>0</v>
      </c>
      <c r="X109" s="359">
        <f t="shared" si="37"/>
        <v>760.32147249758168</v>
      </c>
      <c r="Y109" s="320"/>
      <c r="Z109" s="321" t="str">
        <f t="shared" si="45"/>
        <v>X-EDOSH08A</v>
      </c>
      <c r="AA109" s="321" t="str">
        <f t="shared" si="46"/>
        <v>X-EDOSH08E</v>
      </c>
      <c r="AB109" s="321" t="str">
        <f t="shared" si="47"/>
        <v>X-EDOSH08M</v>
      </c>
      <c r="AC109" s="321" t="str">
        <f t="shared" si="48"/>
        <v>X-EDOSH08T</v>
      </c>
      <c r="AD109" s="321" t="str">
        <f t="shared" si="49"/>
        <v>X-EDOSH08S</v>
      </c>
      <c r="AE109" s="321" t="str">
        <f t="shared" si="50"/>
        <v>X-EDOSH08X</v>
      </c>
      <c r="AF109" s="321" t="str">
        <f t="shared" si="51"/>
        <v>X-EDOSH08T</v>
      </c>
      <c r="AG109" s="321">
        <f t="shared" si="38"/>
        <v>13</v>
      </c>
      <c r="AH109" s="321">
        <f>IF(B109&lt;&gt;"",IF(H109="x",VLOOKUP(I109,'AUX-NIV3'!B:AG,32,FALSE),0),"")</f>
        <v>0</v>
      </c>
      <c r="AI109" s="321" t="str">
        <f t="shared" si="52"/>
        <v>X-EDOSH08</v>
      </c>
      <c r="AJ109" s="320"/>
      <c r="AK109" s="322">
        <f t="shared" si="39"/>
        <v>97</v>
      </c>
      <c r="AL109" s="323">
        <f t="shared" si="53"/>
        <v>109</v>
      </c>
      <c r="AM109" s="322">
        <f t="shared" si="54"/>
        <v>13</v>
      </c>
      <c r="AN109" s="380">
        <f>IF(AND(AH109&gt;0,B109&lt;&gt;""),VLOOKUP(I109,'AUX-NIV3'!$B:$AO,39,FALSE)*O109,0)</f>
        <v>0</v>
      </c>
      <c r="AO109" s="380">
        <f t="shared" si="40"/>
        <v>0.36787999999999998</v>
      </c>
      <c r="AP109" s="380"/>
    </row>
    <row r="110" spans="2:42">
      <c r="B110" s="324" t="s">
        <v>1264</v>
      </c>
      <c r="C110" s="325" t="s">
        <v>13</v>
      </c>
      <c r="D110" s="326" t="s">
        <v>501</v>
      </c>
      <c r="E110" s="327">
        <f>IF(B110&lt;&gt;"",SUMIF('AUX-NIV1'!I:I,'AUX-NIV2'!B110,'AUX-NIV1'!Q:Q),"")</f>
        <v>0</v>
      </c>
      <c r="F110" s="327">
        <f t="shared" si="30"/>
        <v>134.41940461611205</v>
      </c>
      <c r="G110" s="327">
        <f t="shared" si="31"/>
        <v>0</v>
      </c>
      <c r="H110" s="328" t="str">
        <f t="shared" si="41"/>
        <v>A</v>
      </c>
      <c r="I110" s="325" t="s">
        <v>1745</v>
      </c>
      <c r="J110" s="329" t="str">
        <f>IF(B110&lt;&gt;"",+VLOOKUP(I110,Recursos!C:F,2,FALSE),"")</f>
        <v>AYUDANTE</v>
      </c>
      <c r="K110" s="330" t="str">
        <f>IF(B110&lt;&gt;"",+VLOOKUP(I110,Recursos!C:F,3,FALSE),"")</f>
        <v>hh</v>
      </c>
      <c r="L110" s="327">
        <f>IF(B110&lt;&gt;"",+VLOOKUP(I110,Recursos!C:F,4,FALSE),"")</f>
        <v>422.48042769667234</v>
      </c>
      <c r="M110" s="331">
        <v>6</v>
      </c>
      <c r="N110" s="331">
        <v>1</v>
      </c>
      <c r="O110" s="332">
        <f>1/M110*N110</f>
        <v>0.16666666666666666</v>
      </c>
      <c r="P110" s="333">
        <f t="shared" si="42"/>
        <v>70.413404616112047</v>
      </c>
      <c r="Q110" s="327">
        <f t="shared" si="43"/>
        <v>0</v>
      </c>
      <c r="R110" s="334">
        <f t="shared" si="44"/>
        <v>0</v>
      </c>
      <c r="S110" s="358">
        <f t="shared" si="32"/>
        <v>70.413404616112047</v>
      </c>
      <c r="T110" s="358">
        <f t="shared" si="33"/>
        <v>0</v>
      </c>
      <c r="U110" s="359">
        <f t="shared" si="34"/>
        <v>64.006</v>
      </c>
      <c r="V110" s="359">
        <f t="shared" si="35"/>
        <v>0</v>
      </c>
      <c r="W110" s="359">
        <f t="shared" si="36"/>
        <v>0</v>
      </c>
      <c r="X110" s="359">
        <f t="shared" si="37"/>
        <v>0</v>
      </c>
      <c r="Y110" s="320"/>
      <c r="Z110" s="321" t="str">
        <f t="shared" si="45"/>
        <v>X-CURADOA</v>
      </c>
      <c r="AA110" s="321" t="str">
        <f t="shared" si="46"/>
        <v>X-CURADOE</v>
      </c>
      <c r="AB110" s="321" t="str">
        <f t="shared" si="47"/>
        <v>X-CURADOM</v>
      </c>
      <c r="AC110" s="321" t="str">
        <f t="shared" si="48"/>
        <v>X-CURADOT</v>
      </c>
      <c r="AD110" s="321" t="str">
        <f t="shared" si="49"/>
        <v>X-CURADOS</v>
      </c>
      <c r="AE110" s="321" t="str">
        <f t="shared" si="50"/>
        <v>X-CURADOX</v>
      </c>
      <c r="AF110" s="321" t="str">
        <f t="shared" si="51"/>
        <v>X-CURADOA</v>
      </c>
      <c r="AG110" s="321">
        <f t="shared" si="38"/>
        <v>3</v>
      </c>
      <c r="AH110" s="321">
        <f>IF(B110&lt;&gt;"",IF(H110="x",VLOOKUP(I110,'AUX-NIV3'!B:AG,32,FALSE),0),"")</f>
        <v>0</v>
      </c>
      <c r="AI110" s="321" t="str">
        <f t="shared" si="52"/>
        <v>X-CURADO</v>
      </c>
      <c r="AJ110" s="320"/>
      <c r="AK110" s="322">
        <f t="shared" si="39"/>
        <v>110</v>
      </c>
      <c r="AL110" s="323">
        <f t="shared" si="53"/>
        <v>112</v>
      </c>
      <c r="AM110" s="322">
        <f t="shared" si="54"/>
        <v>1</v>
      </c>
      <c r="AN110" s="380">
        <f>IF(AND(AH110&gt;0,B110&lt;&gt;""),VLOOKUP(I110,'AUX-NIV3'!$B:$AO,39,FALSE)*O110,0)</f>
        <v>0</v>
      </c>
      <c r="AO110" s="380">
        <f t="shared" si="40"/>
        <v>0.16666666666666666</v>
      </c>
      <c r="AP110" s="380"/>
    </row>
    <row r="111" spans="2:42">
      <c r="B111" s="324" t="s">
        <v>1264</v>
      </c>
      <c r="C111" s="325" t="s">
        <v>13</v>
      </c>
      <c r="D111" s="326" t="s">
        <v>501</v>
      </c>
      <c r="E111" s="327">
        <f>IF(B111&lt;&gt;"",SUMIF('AUX-NIV1'!I:I,'AUX-NIV2'!B111,'AUX-NIV1'!Q:Q),"")</f>
        <v>0</v>
      </c>
      <c r="F111" s="327">
        <f t="shared" si="30"/>
        <v>134.41940461611205</v>
      </c>
      <c r="G111" s="327">
        <f t="shared" si="31"/>
        <v>0</v>
      </c>
      <c r="H111" s="328" t="str">
        <f t="shared" si="41"/>
        <v>M</v>
      </c>
      <c r="I111" s="325" t="s">
        <v>454</v>
      </c>
      <c r="J111" s="329" t="str">
        <f>IF(B111&lt;&gt;"",+VLOOKUP(I111,Recursos!C:F,2,FALSE),"")</f>
        <v>ANTISOL</v>
      </c>
      <c r="K111" s="330" t="str">
        <f>IF(B111&lt;&gt;"",+VLOOKUP(I111,Recursos!C:F,3,FALSE),"")</f>
        <v>L</v>
      </c>
      <c r="L111" s="327">
        <f>IF(B111&lt;&gt;"",+VLOOKUP(I111,Recursos!C:F,4,FALSE),"")</f>
        <v>193.2</v>
      </c>
      <c r="M111" s="331">
        <v>0.3</v>
      </c>
      <c r="N111" s="331">
        <v>1.1000000000000001</v>
      </c>
      <c r="O111" s="332">
        <f>+M111*N111</f>
        <v>0.33</v>
      </c>
      <c r="P111" s="333">
        <f t="shared" si="42"/>
        <v>63.756</v>
      </c>
      <c r="Q111" s="327">
        <f t="shared" si="43"/>
        <v>0</v>
      </c>
      <c r="R111" s="334">
        <f t="shared" si="44"/>
        <v>0</v>
      </c>
      <c r="S111" s="358">
        <f t="shared" si="32"/>
        <v>70.413404616112047</v>
      </c>
      <c r="T111" s="358">
        <f t="shared" si="33"/>
        <v>0</v>
      </c>
      <c r="U111" s="359">
        <f t="shared" si="34"/>
        <v>64.006</v>
      </c>
      <c r="V111" s="359">
        <f t="shared" si="35"/>
        <v>0</v>
      </c>
      <c r="W111" s="359">
        <f t="shared" si="36"/>
        <v>0</v>
      </c>
      <c r="X111" s="359">
        <f t="shared" si="37"/>
        <v>0</v>
      </c>
      <c r="Y111" s="320"/>
      <c r="Z111" s="321" t="str">
        <f t="shared" si="45"/>
        <v>X-CURADOA</v>
      </c>
      <c r="AA111" s="321" t="str">
        <f t="shared" si="46"/>
        <v>X-CURADOE</v>
      </c>
      <c r="AB111" s="321" t="str">
        <f t="shared" si="47"/>
        <v>X-CURADOM</v>
      </c>
      <c r="AC111" s="321" t="str">
        <f t="shared" si="48"/>
        <v>X-CURADOT</v>
      </c>
      <c r="AD111" s="321" t="str">
        <f t="shared" si="49"/>
        <v>X-CURADOS</v>
      </c>
      <c r="AE111" s="321" t="str">
        <f t="shared" si="50"/>
        <v>X-CURADOX</v>
      </c>
      <c r="AF111" s="321" t="str">
        <f t="shared" si="51"/>
        <v>X-CURADOM</v>
      </c>
      <c r="AG111" s="321">
        <f t="shared" si="38"/>
        <v>3</v>
      </c>
      <c r="AH111" s="321">
        <f>IF(B111&lt;&gt;"",IF(H111="x",VLOOKUP(I111,'AUX-NIV3'!B:AG,32,FALSE),0),"")</f>
        <v>0</v>
      </c>
      <c r="AI111" s="321" t="str">
        <f t="shared" si="52"/>
        <v>X-CURADO</v>
      </c>
      <c r="AJ111" s="320"/>
      <c r="AK111" s="322">
        <f t="shared" si="39"/>
        <v>110</v>
      </c>
      <c r="AL111" s="323">
        <f t="shared" si="53"/>
        <v>112</v>
      </c>
      <c r="AM111" s="322">
        <f t="shared" si="54"/>
        <v>2</v>
      </c>
      <c r="AN111" s="380">
        <f>IF(AND(AH111&gt;0,B111&lt;&gt;""),VLOOKUP(I111,'AUX-NIV3'!$B:$AO,39,FALSE)*O111,0)</f>
        <v>0</v>
      </c>
      <c r="AO111" s="380">
        <f t="shared" si="40"/>
        <v>0.16666666666666666</v>
      </c>
      <c r="AP111" s="380"/>
    </row>
    <row r="112" spans="2:42" ht="13.8" thickBot="1">
      <c r="B112" s="324" t="s">
        <v>1264</v>
      </c>
      <c r="C112" s="325" t="s">
        <v>13</v>
      </c>
      <c r="D112" s="326" t="s">
        <v>501</v>
      </c>
      <c r="E112" s="327">
        <f>IF(B112&lt;&gt;"",SUMIF('AUX-NIV1'!I:I,'AUX-NIV2'!B112,'AUX-NIV1'!Q:Q),"")</f>
        <v>0</v>
      </c>
      <c r="F112" s="327">
        <f t="shared" si="30"/>
        <v>134.41940461611205</v>
      </c>
      <c r="G112" s="327">
        <f t="shared" si="31"/>
        <v>0</v>
      </c>
      <c r="H112" s="328" t="str">
        <f t="shared" si="41"/>
        <v>M</v>
      </c>
      <c r="I112" s="325" t="s">
        <v>621</v>
      </c>
      <c r="J112" s="329" t="str">
        <f>IF(B112&lt;&gt;"",+VLOOKUP(I112,Recursos!C:F,2,FALSE),"")</f>
        <v>MATERIALES VARIOS</v>
      </c>
      <c r="K112" s="330" t="str">
        <f>IF(B112&lt;&gt;"",+VLOOKUP(I112,Recursos!C:F,3,FALSE),"")</f>
        <v>GL</v>
      </c>
      <c r="L112" s="327">
        <f>IF(B112&lt;&gt;"",+VLOOKUP(I112,Recursos!C:F,4,FALSE),"")</f>
        <v>0.5</v>
      </c>
      <c r="M112" s="503">
        <v>0.5</v>
      </c>
      <c r="N112" s="503">
        <v>1</v>
      </c>
      <c r="O112" s="332">
        <f>+M112*N112</f>
        <v>0.5</v>
      </c>
      <c r="P112" s="333">
        <f t="shared" si="42"/>
        <v>0.25</v>
      </c>
      <c r="Q112" s="327">
        <f t="shared" si="43"/>
        <v>0</v>
      </c>
      <c r="R112" s="334">
        <f t="shared" si="44"/>
        <v>0</v>
      </c>
      <c r="S112" s="358">
        <f t="shared" si="32"/>
        <v>70.413404616112047</v>
      </c>
      <c r="T112" s="358">
        <f t="shared" si="33"/>
        <v>0</v>
      </c>
      <c r="U112" s="359">
        <f t="shared" si="34"/>
        <v>64.006</v>
      </c>
      <c r="V112" s="359">
        <f t="shared" si="35"/>
        <v>0</v>
      </c>
      <c r="W112" s="359">
        <f t="shared" si="36"/>
        <v>0</v>
      </c>
      <c r="X112" s="359">
        <f t="shared" si="37"/>
        <v>0</v>
      </c>
      <c r="Y112" s="320"/>
      <c r="Z112" s="321" t="str">
        <f t="shared" si="45"/>
        <v>X-CURADOA</v>
      </c>
      <c r="AA112" s="321" t="str">
        <f t="shared" si="46"/>
        <v>X-CURADOE</v>
      </c>
      <c r="AB112" s="321" t="str">
        <f t="shared" si="47"/>
        <v>X-CURADOM</v>
      </c>
      <c r="AC112" s="321" t="str">
        <f t="shared" si="48"/>
        <v>X-CURADOT</v>
      </c>
      <c r="AD112" s="321" t="str">
        <f t="shared" si="49"/>
        <v>X-CURADOS</v>
      </c>
      <c r="AE112" s="321" t="str">
        <f t="shared" si="50"/>
        <v>X-CURADOX</v>
      </c>
      <c r="AF112" s="321" t="str">
        <f t="shared" si="51"/>
        <v>X-CURADOM</v>
      </c>
      <c r="AG112" s="321">
        <f t="shared" si="38"/>
        <v>3</v>
      </c>
      <c r="AH112" s="321">
        <f>IF(B112&lt;&gt;"",IF(H112="x",VLOOKUP(I112,'AUX-NIV3'!B:AG,32,FALSE),0),"")</f>
        <v>0</v>
      </c>
      <c r="AI112" s="321" t="str">
        <f t="shared" si="52"/>
        <v>X-CURADO</v>
      </c>
      <c r="AJ112" s="320"/>
      <c r="AK112" s="322">
        <f t="shared" si="39"/>
        <v>110</v>
      </c>
      <c r="AL112" s="323">
        <f t="shared" si="53"/>
        <v>112</v>
      </c>
      <c r="AM112" s="322">
        <f t="shared" si="54"/>
        <v>3</v>
      </c>
      <c r="AN112" s="380">
        <f>IF(AND(AH112&gt;0,B112&lt;&gt;""),VLOOKUP(I112,'AUX-NIV3'!$B:$AO,39,FALSE)*O112,0)</f>
        <v>0</v>
      </c>
      <c r="AO112" s="380">
        <f t="shared" si="40"/>
        <v>0.16666666666666666</v>
      </c>
      <c r="AP112" s="380"/>
    </row>
    <row r="113" spans="2:42" ht="13.8" thickTop="1">
      <c r="B113" s="501" t="s">
        <v>1265</v>
      </c>
      <c r="C113" s="951" t="s">
        <v>2990</v>
      </c>
      <c r="D113" s="326" t="s">
        <v>1160</v>
      </c>
      <c r="E113" s="327">
        <f>IF(B113&lt;&gt;"",SUMIF('AUX-NIV1'!I:I,'AUX-NIV2'!B113,'AUX-NIV1'!Q:Q),"")</f>
        <v>6</v>
      </c>
      <c r="F113" s="327">
        <f t="shared" si="30"/>
        <v>533.25466069647678</v>
      </c>
      <c r="G113" s="327">
        <f t="shared" si="31"/>
        <v>3199.5279641788611</v>
      </c>
      <c r="H113" s="328" t="str">
        <f t="shared" si="41"/>
        <v>A</v>
      </c>
      <c r="I113" s="325" t="s">
        <v>1745</v>
      </c>
      <c r="J113" s="329" t="str">
        <f>IF(B113&lt;&gt;"",+VLOOKUP(I113,Recursos!C:F,2,FALSE),"")</f>
        <v>AYUDANTE</v>
      </c>
      <c r="K113" s="330" t="str">
        <f>IF(B113&lt;&gt;"",+VLOOKUP(I113,Recursos!C:F,3,FALSE),"")</f>
        <v>hh</v>
      </c>
      <c r="L113" s="446">
        <f>IF(B113&lt;&gt;"",+VLOOKUP(I113,Recursos!C:F,4,FALSE),"")</f>
        <v>422.48042769667234</v>
      </c>
      <c r="M113" s="718"/>
      <c r="N113" s="706">
        <v>2</v>
      </c>
      <c r="O113" s="459">
        <f>1/M116*N113</f>
        <v>0.33333333333333331</v>
      </c>
      <c r="P113" s="333">
        <f t="shared" si="42"/>
        <v>140.82680923222409</v>
      </c>
      <c r="Q113" s="327">
        <f t="shared" si="43"/>
        <v>2</v>
      </c>
      <c r="R113" s="334">
        <f t="shared" si="44"/>
        <v>844.96085539334467</v>
      </c>
      <c r="S113" s="358">
        <f t="shared" si="32"/>
        <v>306.46546069647684</v>
      </c>
      <c r="T113" s="358">
        <f t="shared" si="33"/>
        <v>208.03919999999999</v>
      </c>
      <c r="U113" s="359">
        <f t="shared" si="34"/>
        <v>18.75</v>
      </c>
      <c r="V113" s="359">
        <f t="shared" si="35"/>
        <v>0</v>
      </c>
      <c r="W113" s="359">
        <f t="shared" si="36"/>
        <v>0</v>
      </c>
      <c r="X113" s="359">
        <f t="shared" si="37"/>
        <v>0</v>
      </c>
      <c r="Y113" s="320"/>
      <c r="Z113" s="321" t="str">
        <f t="shared" si="45"/>
        <v>X-RELLENOmaA</v>
      </c>
      <c r="AA113" s="321" t="str">
        <f t="shared" si="46"/>
        <v>X-RELLENOmaE</v>
      </c>
      <c r="AB113" s="321" t="str">
        <f t="shared" si="47"/>
        <v>X-RELLENOmaM</v>
      </c>
      <c r="AC113" s="321" t="str">
        <f t="shared" si="48"/>
        <v>X-RELLENOmaT</v>
      </c>
      <c r="AD113" s="321" t="str">
        <f t="shared" si="49"/>
        <v>X-RELLENOmaS</v>
      </c>
      <c r="AE113" s="321" t="str">
        <f t="shared" si="50"/>
        <v>X-RELLENOmaX</v>
      </c>
      <c r="AF113" s="321" t="str">
        <f t="shared" si="51"/>
        <v>X-RELLENOmaA</v>
      </c>
      <c r="AG113" s="321">
        <f t="shared" si="38"/>
        <v>5</v>
      </c>
      <c r="AH113" s="321">
        <f>IF(B113&lt;&gt;"",IF(H113="x",VLOOKUP(I113,'AUX-NIV3'!B:AG,32,FALSE),0),"")</f>
        <v>0</v>
      </c>
      <c r="AI113" s="321" t="str">
        <f t="shared" si="52"/>
        <v>X-RELLENOma</v>
      </c>
      <c r="AJ113" s="320"/>
      <c r="AK113" s="322">
        <f t="shared" si="39"/>
        <v>113</v>
      </c>
      <c r="AL113" s="323">
        <f t="shared" si="53"/>
        <v>117</v>
      </c>
      <c r="AM113" s="322">
        <f t="shared" si="54"/>
        <v>1</v>
      </c>
      <c r="AN113" s="380">
        <f>IF(AND(AH113&gt;0,B113&lt;&gt;""),VLOOKUP(I113,'AUX-NIV3'!$B:$AO,39,FALSE)*O113,0)</f>
        <v>0</v>
      </c>
      <c r="AO113" s="380">
        <f t="shared" si="40"/>
        <v>0.66666666666666663</v>
      </c>
      <c r="AP113" s="380"/>
    </row>
    <row r="114" spans="2:42">
      <c r="B114" s="501" t="s">
        <v>1265</v>
      </c>
      <c r="C114" s="951" t="s">
        <v>2990</v>
      </c>
      <c r="D114" s="326" t="s">
        <v>1160</v>
      </c>
      <c r="E114" s="327">
        <f>IF(B114&lt;&gt;"",SUMIF('AUX-NIV1'!I:I,'AUX-NIV2'!B114,'AUX-NIV1'!Q:Q),"")</f>
        <v>6</v>
      </c>
      <c r="F114" s="327">
        <f t="shared" si="30"/>
        <v>533.25466069647678</v>
      </c>
      <c r="G114" s="327">
        <f t="shared" si="31"/>
        <v>3199.5279641788611</v>
      </c>
      <c r="H114" s="328" t="str">
        <f t="shared" si="41"/>
        <v>A</v>
      </c>
      <c r="I114" s="325" t="s">
        <v>1746</v>
      </c>
      <c r="J114" s="329" t="str">
        <f>IF(B114&lt;&gt;"",+VLOOKUP(I114,Recursos!C:F,2,FALSE),"")</f>
        <v>OFICIAL</v>
      </c>
      <c r="K114" s="330" t="str">
        <f>IF(B114&lt;&gt;"",+VLOOKUP(I114,Recursos!C:F,3,FALSE),"")</f>
        <v>hh</v>
      </c>
      <c r="L114" s="446">
        <f>IF(B114&lt;&gt;"",+VLOOKUP(I114,Recursos!C:F,4,FALSE),"")</f>
        <v>496.91595439275824</v>
      </c>
      <c r="M114" s="719"/>
      <c r="N114" s="708">
        <v>2</v>
      </c>
      <c r="O114" s="459">
        <f>1/M116*N114</f>
        <v>0.33333333333333331</v>
      </c>
      <c r="P114" s="333">
        <f t="shared" si="42"/>
        <v>165.63865146425275</v>
      </c>
      <c r="Q114" s="327">
        <f t="shared" si="43"/>
        <v>2</v>
      </c>
      <c r="R114" s="334">
        <f t="shared" si="44"/>
        <v>993.83190878551648</v>
      </c>
      <c r="S114" s="358">
        <f t="shared" si="32"/>
        <v>306.46546069647684</v>
      </c>
      <c r="T114" s="358">
        <f t="shared" si="33"/>
        <v>208.03919999999999</v>
      </c>
      <c r="U114" s="359">
        <f t="shared" si="34"/>
        <v>18.75</v>
      </c>
      <c r="V114" s="359">
        <f t="shared" si="35"/>
        <v>0</v>
      </c>
      <c r="W114" s="359">
        <f t="shared" si="36"/>
        <v>0</v>
      </c>
      <c r="X114" s="359">
        <f t="shared" si="37"/>
        <v>0</v>
      </c>
      <c r="Y114" s="320"/>
      <c r="Z114" s="321" t="str">
        <f t="shared" si="45"/>
        <v>X-RELLENOmaA</v>
      </c>
      <c r="AA114" s="321" t="str">
        <f t="shared" si="46"/>
        <v>X-RELLENOmaE</v>
      </c>
      <c r="AB114" s="321" t="str">
        <f t="shared" si="47"/>
        <v>X-RELLENOmaM</v>
      </c>
      <c r="AC114" s="321" t="str">
        <f t="shared" si="48"/>
        <v>X-RELLENOmaT</v>
      </c>
      <c r="AD114" s="321" t="str">
        <f t="shared" si="49"/>
        <v>X-RELLENOmaS</v>
      </c>
      <c r="AE114" s="321" t="str">
        <f t="shared" si="50"/>
        <v>X-RELLENOmaX</v>
      </c>
      <c r="AF114" s="321" t="str">
        <f t="shared" si="51"/>
        <v>X-RELLENOmaA</v>
      </c>
      <c r="AG114" s="321">
        <f t="shared" si="38"/>
        <v>5</v>
      </c>
      <c r="AH114" s="321">
        <f>IF(B114&lt;&gt;"",IF(H114="x",VLOOKUP(I114,'AUX-NIV3'!B:AG,32,FALSE),0),"")</f>
        <v>0</v>
      </c>
      <c r="AI114" s="321" t="str">
        <f t="shared" si="52"/>
        <v>X-RELLENOma</v>
      </c>
      <c r="AJ114" s="320"/>
      <c r="AK114" s="322">
        <f t="shared" si="39"/>
        <v>113</v>
      </c>
      <c r="AL114" s="323">
        <f t="shared" si="53"/>
        <v>117</v>
      </c>
      <c r="AM114" s="322">
        <f t="shared" si="54"/>
        <v>2</v>
      </c>
      <c r="AN114" s="380">
        <f>IF(AND(AH114&gt;0,B114&lt;&gt;""),VLOOKUP(I114,'AUX-NIV3'!$B:$AO,39,FALSE)*O114,0)</f>
        <v>0</v>
      </c>
      <c r="AO114" s="380">
        <f t="shared" si="40"/>
        <v>0.66666666666666663</v>
      </c>
      <c r="AP114" s="380"/>
    </row>
    <row r="115" spans="2:42">
      <c r="B115" s="501" t="s">
        <v>1265</v>
      </c>
      <c r="C115" s="951" t="s">
        <v>2990</v>
      </c>
      <c r="D115" s="326" t="s">
        <v>1160</v>
      </c>
      <c r="E115" s="327">
        <f>IF(B115&lt;&gt;"",SUMIF('AUX-NIV1'!I:I,'AUX-NIV2'!B115,'AUX-NIV1'!Q:Q),"")</f>
        <v>6</v>
      </c>
      <c r="F115" s="327">
        <f t="shared" si="30"/>
        <v>533.25466069647678</v>
      </c>
      <c r="G115" s="327">
        <f t="shared" si="31"/>
        <v>3199.5279641788611</v>
      </c>
      <c r="H115" s="328" t="str">
        <f t="shared" si="41"/>
        <v>E</v>
      </c>
      <c r="I115" s="325" t="s">
        <v>1549</v>
      </c>
      <c r="J115" s="329" t="str">
        <f>IF(B115&lt;&gt;"",+VLOOKUP(I115,Recursos!C:F,2,FALSE),"")</f>
        <v>RETROEXC. CARG. S/ROD.NEUM. 0.24 M3</v>
      </c>
      <c r="K115" s="330" t="str">
        <f>IF(B115&lt;&gt;"",+VLOOKUP(I115,Recursos!C:F,3,FALSE),"")</f>
        <v>HR</v>
      </c>
      <c r="L115" s="446">
        <f>IF(B115&lt;&gt;"",+VLOOKUP(I115,Recursos!C:F,4,FALSE),"")</f>
        <v>1761.0672000000002</v>
      </c>
      <c r="M115" s="707">
        <v>50</v>
      </c>
      <c r="N115" s="708">
        <v>0</v>
      </c>
      <c r="O115" s="459">
        <f>1/M115*N115</f>
        <v>0</v>
      </c>
      <c r="P115" s="333">
        <f t="shared" si="42"/>
        <v>0</v>
      </c>
      <c r="Q115" s="327">
        <f t="shared" si="43"/>
        <v>0</v>
      </c>
      <c r="R115" s="334">
        <f t="shared" si="44"/>
        <v>0</v>
      </c>
      <c r="S115" s="358">
        <f t="shared" si="32"/>
        <v>306.46546069647684</v>
      </c>
      <c r="T115" s="358">
        <f t="shared" si="33"/>
        <v>208.03919999999999</v>
      </c>
      <c r="U115" s="359">
        <f t="shared" si="34"/>
        <v>18.75</v>
      </c>
      <c r="V115" s="359">
        <f t="shared" si="35"/>
        <v>0</v>
      </c>
      <c r="W115" s="359">
        <f t="shared" si="36"/>
        <v>0</v>
      </c>
      <c r="X115" s="359">
        <f t="shared" si="37"/>
        <v>0</v>
      </c>
      <c r="Y115" s="320"/>
      <c r="Z115" s="321" t="str">
        <f t="shared" si="45"/>
        <v>X-RELLENOmaA</v>
      </c>
      <c r="AA115" s="321" t="str">
        <f t="shared" si="46"/>
        <v>X-RELLENOmaE</v>
      </c>
      <c r="AB115" s="321" t="str">
        <f t="shared" si="47"/>
        <v>X-RELLENOmaM</v>
      </c>
      <c r="AC115" s="321" t="str">
        <f t="shared" si="48"/>
        <v>X-RELLENOmaT</v>
      </c>
      <c r="AD115" s="321" t="str">
        <f t="shared" si="49"/>
        <v>X-RELLENOmaS</v>
      </c>
      <c r="AE115" s="321" t="str">
        <f t="shared" si="50"/>
        <v>X-RELLENOmaX</v>
      </c>
      <c r="AF115" s="321" t="str">
        <f t="shared" si="51"/>
        <v>X-RELLENOmaE</v>
      </c>
      <c r="AG115" s="321">
        <f t="shared" si="38"/>
        <v>5</v>
      </c>
      <c r="AH115" s="321">
        <f>IF(B115&lt;&gt;"",IF(H115="x",VLOOKUP(I115,'AUX-NIV3'!B:AG,32,FALSE),0),"")</f>
        <v>0</v>
      </c>
      <c r="AI115" s="321" t="str">
        <f t="shared" si="52"/>
        <v>X-RELLENOma</v>
      </c>
      <c r="AJ115" s="320"/>
      <c r="AK115" s="322">
        <f t="shared" si="39"/>
        <v>113</v>
      </c>
      <c r="AL115" s="323">
        <f t="shared" si="53"/>
        <v>117</v>
      </c>
      <c r="AM115" s="322">
        <f t="shared" si="54"/>
        <v>3</v>
      </c>
      <c r="AN115" s="380">
        <f>IF(AND(AH115&gt;0,B115&lt;&gt;""),VLOOKUP(I115,'AUX-NIV3'!$B:$AO,39,FALSE)*O115,0)</f>
        <v>0</v>
      </c>
      <c r="AO115" s="380">
        <f t="shared" si="40"/>
        <v>0.66666666666666663</v>
      </c>
      <c r="AP115" s="380"/>
    </row>
    <row r="116" spans="2:42">
      <c r="B116" s="501" t="s">
        <v>1265</v>
      </c>
      <c r="C116" s="951" t="s">
        <v>2990</v>
      </c>
      <c r="D116" s="326" t="s">
        <v>1160</v>
      </c>
      <c r="E116" s="327">
        <f>IF(B116&lt;&gt;"",SUMIF('AUX-NIV1'!I:I,'AUX-NIV2'!B116,'AUX-NIV1'!Q:Q),"")</f>
        <v>6</v>
      </c>
      <c r="F116" s="327">
        <f t="shared" si="30"/>
        <v>533.25466069647678</v>
      </c>
      <c r="G116" s="327">
        <f t="shared" si="31"/>
        <v>3199.5279641788611</v>
      </c>
      <c r="H116" s="328" t="str">
        <f t="shared" si="41"/>
        <v>E</v>
      </c>
      <c r="I116" s="325" t="s">
        <v>1571</v>
      </c>
      <c r="J116" s="329" t="str">
        <f>IF(B116&lt;&gt;"",+VLOOKUP(I116,Recursos!C:F,2,FALSE),"")</f>
        <v>PLANCHA VIBRATORIA 90x70 cm-470 Kg</v>
      </c>
      <c r="K116" s="330" t="str">
        <f>IF(B116&lt;&gt;"",+VLOOKUP(I116,Recursos!C:F,3,FALSE),"")</f>
        <v>HR</v>
      </c>
      <c r="L116" s="446">
        <f>IF(B116&lt;&gt;"",+VLOOKUP(I116,Recursos!C:F,4,FALSE),"")</f>
        <v>624.11760000000004</v>
      </c>
      <c r="M116" s="707">
        <v>6</v>
      </c>
      <c r="N116" s="708">
        <v>2</v>
      </c>
      <c r="O116" s="459">
        <f>1/M116*N116</f>
        <v>0.33333333333333331</v>
      </c>
      <c r="P116" s="333">
        <f t="shared" si="42"/>
        <v>208.03919999999999</v>
      </c>
      <c r="Q116" s="327">
        <f t="shared" si="43"/>
        <v>2</v>
      </c>
      <c r="R116" s="334">
        <f t="shared" si="44"/>
        <v>1248.2352000000001</v>
      </c>
      <c r="S116" s="358">
        <f t="shared" si="32"/>
        <v>306.46546069647684</v>
      </c>
      <c r="T116" s="358">
        <f t="shared" si="33"/>
        <v>208.03919999999999</v>
      </c>
      <c r="U116" s="359">
        <f t="shared" si="34"/>
        <v>18.75</v>
      </c>
      <c r="V116" s="359">
        <f t="shared" si="35"/>
        <v>0</v>
      </c>
      <c r="W116" s="359">
        <f t="shared" si="36"/>
        <v>0</v>
      </c>
      <c r="X116" s="359">
        <f t="shared" si="37"/>
        <v>0</v>
      </c>
      <c r="Y116" s="320"/>
      <c r="Z116" s="321" t="str">
        <f t="shared" si="45"/>
        <v>X-RELLENOmaA</v>
      </c>
      <c r="AA116" s="321" t="str">
        <f t="shared" si="46"/>
        <v>X-RELLENOmaE</v>
      </c>
      <c r="AB116" s="321" t="str">
        <f t="shared" si="47"/>
        <v>X-RELLENOmaM</v>
      </c>
      <c r="AC116" s="321" t="str">
        <f t="shared" si="48"/>
        <v>X-RELLENOmaT</v>
      </c>
      <c r="AD116" s="321" t="str">
        <f t="shared" si="49"/>
        <v>X-RELLENOmaS</v>
      </c>
      <c r="AE116" s="321" t="str">
        <f t="shared" si="50"/>
        <v>X-RELLENOmaX</v>
      </c>
      <c r="AF116" s="321" t="str">
        <f t="shared" si="51"/>
        <v>X-RELLENOmaE</v>
      </c>
      <c r="AG116" s="321">
        <f t="shared" si="38"/>
        <v>5</v>
      </c>
      <c r="AH116" s="321">
        <f>IF(B116&lt;&gt;"",IF(H116="x",VLOOKUP(I116,'AUX-NIV3'!B:AG,32,FALSE),0),"")</f>
        <v>0</v>
      </c>
      <c r="AI116" s="321" t="str">
        <f t="shared" si="52"/>
        <v>X-RELLENOma</v>
      </c>
      <c r="AJ116" s="320"/>
      <c r="AK116" s="322">
        <f t="shared" si="39"/>
        <v>113</v>
      </c>
      <c r="AL116" s="323">
        <f t="shared" si="53"/>
        <v>117</v>
      </c>
      <c r="AM116" s="322">
        <f t="shared" si="54"/>
        <v>4</v>
      </c>
      <c r="AN116" s="380">
        <f>IF(AND(AH116&gt;0,B116&lt;&gt;""),VLOOKUP(I116,'AUX-NIV3'!$B:$AO,39,FALSE)*O116,0)</f>
        <v>0</v>
      </c>
      <c r="AO116" s="380">
        <f t="shared" si="40"/>
        <v>0.66666666666666663</v>
      </c>
      <c r="AP116" s="380"/>
    </row>
    <row r="117" spans="2:42" ht="13.8" thickBot="1">
      <c r="B117" s="501" t="s">
        <v>1265</v>
      </c>
      <c r="C117" s="951" t="s">
        <v>2990</v>
      </c>
      <c r="D117" s="326" t="s">
        <v>1160</v>
      </c>
      <c r="E117" s="327">
        <f>IF(B117&lt;&gt;"",SUMIF('AUX-NIV1'!I:I,'AUX-NIV2'!B117,'AUX-NIV1'!Q:Q),"")</f>
        <v>6</v>
      </c>
      <c r="F117" s="327">
        <f t="shared" si="30"/>
        <v>533.25466069647678</v>
      </c>
      <c r="G117" s="327">
        <f t="shared" si="31"/>
        <v>3199.5279641788611</v>
      </c>
      <c r="H117" s="328" t="str">
        <f t="shared" si="41"/>
        <v>M</v>
      </c>
      <c r="I117" s="325" t="s">
        <v>621</v>
      </c>
      <c r="J117" s="329" t="str">
        <f>IF(B117&lt;&gt;"",+VLOOKUP(I117,Recursos!C:F,2,FALSE),"")</f>
        <v>MATERIALES VARIOS</v>
      </c>
      <c r="K117" s="330" t="str">
        <f>IF(B117&lt;&gt;"",+VLOOKUP(I117,Recursos!C:F,3,FALSE),"")</f>
        <v>GL</v>
      </c>
      <c r="L117" s="446">
        <f>IF(B117&lt;&gt;"",+VLOOKUP(I117,Recursos!C:F,4,FALSE),"")</f>
        <v>0.5</v>
      </c>
      <c r="M117" s="720"/>
      <c r="N117" s="710">
        <f>750*5%</f>
        <v>37.5</v>
      </c>
      <c r="O117" s="459">
        <f>N117</f>
        <v>37.5</v>
      </c>
      <c r="P117" s="333">
        <f t="shared" si="42"/>
        <v>18.75</v>
      </c>
      <c r="Q117" s="327">
        <f t="shared" si="43"/>
        <v>225</v>
      </c>
      <c r="R117" s="334">
        <f t="shared" si="44"/>
        <v>112.5</v>
      </c>
      <c r="S117" s="358">
        <f t="shared" si="32"/>
        <v>306.46546069647684</v>
      </c>
      <c r="T117" s="358">
        <f t="shared" si="33"/>
        <v>208.03919999999999</v>
      </c>
      <c r="U117" s="359">
        <f t="shared" si="34"/>
        <v>18.75</v>
      </c>
      <c r="V117" s="359">
        <f t="shared" si="35"/>
        <v>0</v>
      </c>
      <c r="W117" s="359">
        <f t="shared" si="36"/>
        <v>0</v>
      </c>
      <c r="X117" s="359">
        <f t="shared" si="37"/>
        <v>0</v>
      </c>
      <c r="Y117" s="320"/>
      <c r="Z117" s="321" t="str">
        <f t="shared" si="45"/>
        <v>X-RELLENOmaA</v>
      </c>
      <c r="AA117" s="321" t="str">
        <f t="shared" si="46"/>
        <v>X-RELLENOmaE</v>
      </c>
      <c r="AB117" s="321" t="str">
        <f t="shared" si="47"/>
        <v>X-RELLENOmaM</v>
      </c>
      <c r="AC117" s="321" t="str">
        <f t="shared" si="48"/>
        <v>X-RELLENOmaT</v>
      </c>
      <c r="AD117" s="321" t="str">
        <f t="shared" si="49"/>
        <v>X-RELLENOmaS</v>
      </c>
      <c r="AE117" s="321" t="str">
        <f t="shared" si="50"/>
        <v>X-RELLENOmaX</v>
      </c>
      <c r="AF117" s="321" t="str">
        <f t="shared" si="51"/>
        <v>X-RELLENOmaM</v>
      </c>
      <c r="AG117" s="321">
        <f t="shared" si="38"/>
        <v>5</v>
      </c>
      <c r="AH117" s="321">
        <f>IF(B117&lt;&gt;"",IF(H117="x",VLOOKUP(I117,'AUX-NIV3'!B:AG,32,FALSE),0),"")</f>
        <v>0</v>
      </c>
      <c r="AI117" s="321" t="str">
        <f t="shared" si="52"/>
        <v>X-RELLENOma</v>
      </c>
      <c r="AJ117" s="320"/>
      <c r="AK117" s="322">
        <f t="shared" si="39"/>
        <v>113</v>
      </c>
      <c r="AL117" s="323">
        <f t="shared" si="53"/>
        <v>117</v>
      </c>
      <c r="AM117" s="322">
        <f t="shared" si="54"/>
        <v>5</v>
      </c>
      <c r="AN117" s="380">
        <f>IF(AND(AH117&gt;0,B117&lt;&gt;""),VLOOKUP(I117,'AUX-NIV3'!$B:$AO,39,FALSE)*O117,0)</f>
        <v>0</v>
      </c>
      <c r="AO117" s="380">
        <f t="shared" si="40"/>
        <v>0.66666666666666663</v>
      </c>
      <c r="AP117" s="380"/>
    </row>
    <row r="118" spans="2:42" ht="13.8" hidden="1" thickTop="1">
      <c r="B118" s="324" t="s">
        <v>1266</v>
      </c>
      <c r="C118" s="325" t="s">
        <v>15</v>
      </c>
      <c r="D118" s="326" t="s">
        <v>501</v>
      </c>
      <c r="E118" s="327">
        <f>IF(B118&lt;&gt;"",SUMIF('AUX-NIV1'!I:I,'AUX-NIV2'!B118,'AUX-NIV1'!Q:Q),"")</f>
        <v>0</v>
      </c>
      <c r="F118" s="327">
        <f t="shared" si="30"/>
        <v>390.39586911319242</v>
      </c>
      <c r="G118" s="327">
        <f t="shared" si="31"/>
        <v>0</v>
      </c>
      <c r="H118" s="328" t="str">
        <f t="shared" si="41"/>
        <v>A</v>
      </c>
      <c r="I118" s="325" t="s">
        <v>1745</v>
      </c>
      <c r="J118" s="329" t="str">
        <f>IF(B118&lt;&gt;"",+VLOOKUP(I118,Recursos!C:F,2,FALSE),"")</f>
        <v>AYUDANTE</v>
      </c>
      <c r="K118" s="330" t="str">
        <f>IF(B118&lt;&gt;"",+VLOOKUP(I118,Recursos!C:F,3,FALSE),"")</f>
        <v>hh</v>
      </c>
      <c r="L118" s="327">
        <f>IF(B118&lt;&gt;"",+VLOOKUP(I118,Recursos!C:F,4,FALSE),"")</f>
        <v>422.48042769667234</v>
      </c>
      <c r="M118" s="717">
        <v>4</v>
      </c>
      <c r="N118" s="717">
        <v>2</v>
      </c>
      <c r="O118" s="332">
        <f>1/M118*N118</f>
        <v>0.5</v>
      </c>
      <c r="P118" s="333">
        <f t="shared" si="42"/>
        <v>211.24021384833617</v>
      </c>
      <c r="Q118" s="327">
        <f t="shared" si="43"/>
        <v>0</v>
      </c>
      <c r="R118" s="334">
        <f t="shared" si="44"/>
        <v>0</v>
      </c>
      <c r="S118" s="358">
        <f t="shared" si="32"/>
        <v>335.46920244652574</v>
      </c>
      <c r="T118" s="358">
        <f t="shared" si="33"/>
        <v>54.426666666666655</v>
      </c>
      <c r="U118" s="359">
        <f t="shared" si="34"/>
        <v>0.5</v>
      </c>
      <c r="V118" s="359">
        <f t="shared" si="35"/>
        <v>0</v>
      </c>
      <c r="W118" s="359">
        <f t="shared" si="36"/>
        <v>0</v>
      </c>
      <c r="X118" s="359">
        <f t="shared" si="37"/>
        <v>0</v>
      </c>
      <c r="Y118" s="320"/>
      <c r="Z118" s="321" t="str">
        <f t="shared" si="45"/>
        <v>X-TERMINACIONA</v>
      </c>
      <c r="AA118" s="321" t="str">
        <f t="shared" si="46"/>
        <v>X-TERMINACIONE</v>
      </c>
      <c r="AB118" s="321" t="str">
        <f t="shared" si="47"/>
        <v>X-TERMINACIONM</v>
      </c>
      <c r="AC118" s="321" t="str">
        <f t="shared" si="48"/>
        <v>X-TERMINACIONT</v>
      </c>
      <c r="AD118" s="321" t="str">
        <f t="shared" si="49"/>
        <v>X-TERMINACIONS</v>
      </c>
      <c r="AE118" s="321" t="str">
        <f t="shared" si="50"/>
        <v>X-TERMINACIONX</v>
      </c>
      <c r="AF118" s="321" t="str">
        <f t="shared" si="51"/>
        <v>X-TERMINACIONA</v>
      </c>
      <c r="AG118" s="321">
        <f t="shared" si="38"/>
        <v>4</v>
      </c>
      <c r="AH118" s="321">
        <f>IF(B118&lt;&gt;"",IF(H118="x",VLOOKUP(I118,'AUX-NIV3'!B:AG,32,FALSE),0),"")</f>
        <v>0</v>
      </c>
      <c r="AI118" s="321" t="str">
        <f t="shared" si="52"/>
        <v>X-TERMINACION</v>
      </c>
      <c r="AJ118" s="320"/>
      <c r="AK118" s="322">
        <f t="shared" si="39"/>
        <v>118</v>
      </c>
      <c r="AL118" s="323">
        <f t="shared" si="53"/>
        <v>121</v>
      </c>
      <c r="AM118" s="322">
        <f t="shared" si="54"/>
        <v>1</v>
      </c>
      <c r="AN118" s="380">
        <f>IF(AND(AH118&gt;0,B118&lt;&gt;""),VLOOKUP(I118,'AUX-NIV3'!$B:$AO,39,FALSE)*O118,0)</f>
        <v>0</v>
      </c>
      <c r="AO118" s="380">
        <f t="shared" si="40"/>
        <v>0.75</v>
      </c>
      <c r="AP118" s="380"/>
    </row>
    <row r="119" spans="2:42" ht="14.4" hidden="1" thickTop="1" thickBot="1">
      <c r="B119" s="324" t="s">
        <v>1266</v>
      </c>
      <c r="C119" s="325" t="s">
        <v>15</v>
      </c>
      <c r="D119" s="326" t="s">
        <v>501</v>
      </c>
      <c r="E119" s="327">
        <f>IF(B119&lt;&gt;"",SUMIF('AUX-NIV1'!I:I,'AUX-NIV2'!B119,'AUX-NIV1'!Q:Q),"")</f>
        <v>0</v>
      </c>
      <c r="F119" s="327">
        <f t="shared" si="30"/>
        <v>390.39586911319242</v>
      </c>
      <c r="G119" s="327">
        <f t="shared" si="31"/>
        <v>0</v>
      </c>
      <c r="H119" s="328" t="str">
        <f t="shared" si="41"/>
        <v>A</v>
      </c>
      <c r="I119" s="325" t="s">
        <v>1746</v>
      </c>
      <c r="J119" s="329" t="str">
        <f>IF(B119&lt;&gt;"",+VLOOKUP(I119,Recursos!C:F,2,FALSE),"")</f>
        <v>OFICIAL</v>
      </c>
      <c r="K119" s="330" t="str">
        <f>IF(B119&lt;&gt;"",+VLOOKUP(I119,Recursos!C:F,3,FALSE),"")</f>
        <v>hh</v>
      </c>
      <c r="L119" s="327">
        <f>IF(B119&lt;&gt;"",+VLOOKUP(I119,Recursos!C:F,4,FALSE),"")</f>
        <v>496.91595439275824</v>
      </c>
      <c r="M119" s="331">
        <v>4</v>
      </c>
      <c r="N119" s="331">
        <v>1</v>
      </c>
      <c r="O119" s="332">
        <f>1/M119*N119</f>
        <v>0.25</v>
      </c>
      <c r="P119" s="333">
        <f t="shared" si="42"/>
        <v>124.22898859818956</v>
      </c>
      <c r="Q119" s="327">
        <f t="shared" si="43"/>
        <v>0</v>
      </c>
      <c r="R119" s="334">
        <f t="shared" si="44"/>
        <v>0</v>
      </c>
      <c r="S119" s="358">
        <f t="shared" si="32"/>
        <v>335.46920244652574</v>
      </c>
      <c r="T119" s="358">
        <f t="shared" si="33"/>
        <v>54.426666666666655</v>
      </c>
      <c r="U119" s="359">
        <f t="shared" si="34"/>
        <v>0.5</v>
      </c>
      <c r="V119" s="359">
        <f t="shared" si="35"/>
        <v>0</v>
      </c>
      <c r="W119" s="359">
        <f t="shared" si="36"/>
        <v>0</v>
      </c>
      <c r="X119" s="359">
        <f t="shared" si="37"/>
        <v>0</v>
      </c>
      <c r="Y119" s="320"/>
      <c r="Z119" s="321" t="str">
        <f t="shared" si="45"/>
        <v>X-TERMINACIONA</v>
      </c>
      <c r="AA119" s="321" t="str">
        <f t="shared" si="46"/>
        <v>X-TERMINACIONE</v>
      </c>
      <c r="AB119" s="321" t="str">
        <f t="shared" si="47"/>
        <v>X-TERMINACIONM</v>
      </c>
      <c r="AC119" s="321" t="str">
        <f t="shared" si="48"/>
        <v>X-TERMINACIONT</v>
      </c>
      <c r="AD119" s="321" t="str">
        <f t="shared" si="49"/>
        <v>X-TERMINACIONS</v>
      </c>
      <c r="AE119" s="321" t="str">
        <f t="shared" si="50"/>
        <v>X-TERMINACIONX</v>
      </c>
      <c r="AF119" s="321" t="str">
        <f t="shared" si="51"/>
        <v>X-TERMINACIONA</v>
      </c>
      <c r="AG119" s="321">
        <f t="shared" si="38"/>
        <v>4</v>
      </c>
      <c r="AH119" s="321">
        <f>IF(B119&lt;&gt;"",IF(H119="x",VLOOKUP(I119,'AUX-NIV3'!B:AG,32,FALSE),0),"")</f>
        <v>0</v>
      </c>
      <c r="AI119" s="321" t="str">
        <f t="shared" si="52"/>
        <v>X-TERMINACION</v>
      </c>
      <c r="AJ119" s="320"/>
      <c r="AK119" s="322">
        <f t="shared" si="39"/>
        <v>118</v>
      </c>
      <c r="AL119" s="323">
        <f t="shared" si="53"/>
        <v>121</v>
      </c>
      <c r="AM119" s="322">
        <f t="shared" si="54"/>
        <v>2</v>
      </c>
      <c r="AN119" s="380">
        <f>IF(AND(AH119&gt;0,B119&lt;&gt;""),VLOOKUP(I119,'AUX-NIV3'!$B:$AO,39,FALSE)*O119,0)</f>
        <v>0</v>
      </c>
      <c r="AO119" s="380">
        <f t="shared" si="40"/>
        <v>0.75</v>
      </c>
      <c r="AP119" s="380"/>
    </row>
    <row r="120" spans="2:42" ht="14.4" hidden="1" thickTop="1" thickBot="1">
      <c r="B120" s="324" t="s">
        <v>1266</v>
      </c>
      <c r="C120" s="325" t="s">
        <v>15</v>
      </c>
      <c r="D120" s="326" t="s">
        <v>501</v>
      </c>
      <c r="E120" s="327">
        <f>IF(B120&lt;&gt;"",SUMIF('AUX-NIV1'!I:I,'AUX-NIV2'!B120,'AUX-NIV1'!Q:Q),"")</f>
        <v>0</v>
      </c>
      <c r="F120" s="327">
        <f t="shared" si="30"/>
        <v>390.39586911319242</v>
      </c>
      <c r="G120" s="327">
        <f t="shared" si="31"/>
        <v>0</v>
      </c>
      <c r="H120" s="328" t="str">
        <f t="shared" si="41"/>
        <v>E</v>
      </c>
      <c r="I120" s="325" t="s">
        <v>1623</v>
      </c>
      <c r="J120" s="329" t="str">
        <f>IF(B120&lt;&gt;"",+VLOOKUP(I120,Recursos!C:F,2,FALSE),"")</f>
        <v>REGLA VIBRATORIA 15 m ANCHO</v>
      </c>
      <c r="K120" s="330" t="str">
        <f>IF(B120&lt;&gt;"",+VLOOKUP(I120,Recursos!C:F,3,FALSE),"")</f>
        <v>HR</v>
      </c>
      <c r="L120" s="327">
        <f>IF(B120&lt;&gt;"",+VLOOKUP(I120,Recursos!C:F,4,FALSE),"")</f>
        <v>163.27999999999997</v>
      </c>
      <c r="M120" s="331">
        <v>3</v>
      </c>
      <c r="N120" s="331">
        <v>1</v>
      </c>
      <c r="O120" s="332">
        <f>1/M120</f>
        <v>0.33333333333333331</v>
      </c>
      <c r="P120" s="333">
        <f t="shared" si="42"/>
        <v>54.426666666666655</v>
      </c>
      <c r="Q120" s="327">
        <f t="shared" si="43"/>
        <v>0</v>
      </c>
      <c r="R120" s="334">
        <f t="shared" si="44"/>
        <v>0</v>
      </c>
      <c r="S120" s="358">
        <f t="shared" si="32"/>
        <v>335.46920244652574</v>
      </c>
      <c r="T120" s="358">
        <f t="shared" si="33"/>
        <v>54.426666666666655</v>
      </c>
      <c r="U120" s="359">
        <f t="shared" si="34"/>
        <v>0.5</v>
      </c>
      <c r="V120" s="359">
        <f t="shared" si="35"/>
        <v>0</v>
      </c>
      <c r="W120" s="359">
        <f t="shared" si="36"/>
        <v>0</v>
      </c>
      <c r="X120" s="359">
        <f t="shared" si="37"/>
        <v>0</v>
      </c>
      <c r="Y120" s="320"/>
      <c r="Z120" s="321" t="str">
        <f t="shared" si="45"/>
        <v>X-TERMINACIONA</v>
      </c>
      <c r="AA120" s="321" t="str">
        <f t="shared" si="46"/>
        <v>X-TERMINACIONE</v>
      </c>
      <c r="AB120" s="321" t="str">
        <f t="shared" si="47"/>
        <v>X-TERMINACIONM</v>
      </c>
      <c r="AC120" s="321" t="str">
        <f t="shared" si="48"/>
        <v>X-TERMINACIONT</v>
      </c>
      <c r="AD120" s="321" t="str">
        <f t="shared" si="49"/>
        <v>X-TERMINACIONS</v>
      </c>
      <c r="AE120" s="321" t="str">
        <f t="shared" si="50"/>
        <v>X-TERMINACIONX</v>
      </c>
      <c r="AF120" s="321" t="str">
        <f t="shared" si="51"/>
        <v>X-TERMINACIONE</v>
      </c>
      <c r="AG120" s="321">
        <f t="shared" si="38"/>
        <v>4</v>
      </c>
      <c r="AH120" s="321">
        <f>IF(B120&lt;&gt;"",IF(H120="x",VLOOKUP(I120,'AUX-NIV3'!B:AG,32,FALSE),0),"")</f>
        <v>0</v>
      </c>
      <c r="AI120" s="321" t="str">
        <f t="shared" si="52"/>
        <v>X-TERMINACION</v>
      </c>
      <c r="AJ120" s="320"/>
      <c r="AK120" s="322">
        <f t="shared" si="39"/>
        <v>118</v>
      </c>
      <c r="AL120" s="323">
        <f t="shared" si="53"/>
        <v>121</v>
      </c>
      <c r="AM120" s="322">
        <f t="shared" si="54"/>
        <v>3</v>
      </c>
      <c r="AN120" s="380">
        <f>IF(AND(AH120&gt;0,B120&lt;&gt;""),VLOOKUP(I120,'AUX-NIV3'!$B:$AO,39,FALSE)*O120,0)</f>
        <v>0</v>
      </c>
      <c r="AO120" s="380">
        <f t="shared" si="40"/>
        <v>0.75</v>
      </c>
      <c r="AP120" s="380"/>
    </row>
    <row r="121" spans="2:42" ht="14.4" hidden="1" thickTop="1" thickBot="1">
      <c r="B121" s="324" t="s">
        <v>1266</v>
      </c>
      <c r="C121" s="325" t="s">
        <v>15</v>
      </c>
      <c r="D121" s="326" t="s">
        <v>501</v>
      </c>
      <c r="E121" s="327">
        <f>IF(B121&lt;&gt;"",SUMIF('AUX-NIV1'!I:I,'AUX-NIV2'!B121,'AUX-NIV1'!Q:Q),"")</f>
        <v>0</v>
      </c>
      <c r="F121" s="327">
        <f t="shared" si="30"/>
        <v>390.39586911319242</v>
      </c>
      <c r="G121" s="327">
        <f t="shared" si="31"/>
        <v>0</v>
      </c>
      <c r="H121" s="328" t="str">
        <f t="shared" si="41"/>
        <v>M</v>
      </c>
      <c r="I121" s="325" t="s">
        <v>621</v>
      </c>
      <c r="J121" s="329" t="str">
        <f>IF(B121&lt;&gt;"",+VLOOKUP(I121,Recursos!C:F,2,FALSE),"")</f>
        <v>MATERIALES VARIOS</v>
      </c>
      <c r="K121" s="330" t="str">
        <f>IF(B121&lt;&gt;"",+VLOOKUP(I121,Recursos!C:F,3,FALSE),"")</f>
        <v>GL</v>
      </c>
      <c r="L121" s="327">
        <f>IF(B121&lt;&gt;"",+VLOOKUP(I121,Recursos!C:F,4,FALSE),"")</f>
        <v>0.5</v>
      </c>
      <c r="M121" s="331">
        <v>1</v>
      </c>
      <c r="N121" s="331">
        <v>1</v>
      </c>
      <c r="O121" s="332">
        <f>+M121*N121</f>
        <v>1</v>
      </c>
      <c r="P121" s="333">
        <f t="shared" si="42"/>
        <v>0.5</v>
      </c>
      <c r="Q121" s="327">
        <f t="shared" si="43"/>
        <v>0</v>
      </c>
      <c r="R121" s="334">
        <f t="shared" si="44"/>
        <v>0</v>
      </c>
      <c r="S121" s="358">
        <f t="shared" si="32"/>
        <v>335.46920244652574</v>
      </c>
      <c r="T121" s="358">
        <f t="shared" si="33"/>
        <v>54.426666666666655</v>
      </c>
      <c r="U121" s="359">
        <f t="shared" si="34"/>
        <v>0.5</v>
      </c>
      <c r="V121" s="359">
        <f t="shared" si="35"/>
        <v>0</v>
      </c>
      <c r="W121" s="359">
        <f t="shared" si="36"/>
        <v>0</v>
      </c>
      <c r="X121" s="359">
        <f t="shared" si="37"/>
        <v>0</v>
      </c>
      <c r="Y121" s="320"/>
      <c r="Z121" s="321" t="str">
        <f t="shared" si="45"/>
        <v>X-TERMINACIONA</v>
      </c>
      <c r="AA121" s="321" t="str">
        <f t="shared" si="46"/>
        <v>X-TERMINACIONE</v>
      </c>
      <c r="AB121" s="321" t="str">
        <f t="shared" si="47"/>
        <v>X-TERMINACIONM</v>
      </c>
      <c r="AC121" s="321" t="str">
        <f t="shared" si="48"/>
        <v>X-TERMINACIONT</v>
      </c>
      <c r="AD121" s="321" t="str">
        <f t="shared" si="49"/>
        <v>X-TERMINACIONS</v>
      </c>
      <c r="AE121" s="321" t="str">
        <f t="shared" si="50"/>
        <v>X-TERMINACIONX</v>
      </c>
      <c r="AF121" s="321" t="str">
        <f t="shared" si="51"/>
        <v>X-TERMINACIONM</v>
      </c>
      <c r="AG121" s="321">
        <f t="shared" si="38"/>
        <v>4</v>
      </c>
      <c r="AH121" s="321">
        <f>IF(B121&lt;&gt;"",IF(H121="x",VLOOKUP(I121,'AUX-NIV3'!B:AG,32,FALSE),0),"")</f>
        <v>0</v>
      </c>
      <c r="AI121" s="321" t="str">
        <f t="shared" si="52"/>
        <v>X-TERMINACION</v>
      </c>
      <c r="AJ121" s="320"/>
      <c r="AK121" s="322">
        <f t="shared" si="39"/>
        <v>118</v>
      </c>
      <c r="AL121" s="323">
        <f t="shared" si="53"/>
        <v>121</v>
      </c>
      <c r="AM121" s="322">
        <f t="shared" si="54"/>
        <v>4</v>
      </c>
      <c r="AN121" s="380">
        <f>IF(AND(AH121&gt;0,B121&lt;&gt;""),VLOOKUP(I121,'AUX-NIV3'!$B:$AO,39,FALSE)*O121,0)</f>
        <v>0</v>
      </c>
      <c r="AO121" s="380">
        <f t="shared" si="40"/>
        <v>0.75</v>
      </c>
      <c r="AP121" s="380"/>
    </row>
    <row r="122" spans="2:42" ht="14.4" hidden="1" thickTop="1" thickBot="1">
      <c r="B122" s="324" t="s">
        <v>1267</v>
      </c>
      <c r="C122" s="325" t="s">
        <v>16</v>
      </c>
      <c r="D122" s="326" t="s">
        <v>1160</v>
      </c>
      <c r="E122" s="327">
        <f>IF(B122&lt;&gt;"",SUMIF('AUX-NIV1'!I:I,'AUX-NIV2'!B122,'AUX-NIV1'!Q:Q),"")</f>
        <v>0</v>
      </c>
      <c r="F122" s="327">
        <f t="shared" si="30"/>
        <v>1090.5254801449394</v>
      </c>
      <c r="G122" s="327">
        <f t="shared" si="31"/>
        <v>0</v>
      </c>
      <c r="H122" s="328" t="str">
        <f t="shared" si="41"/>
        <v>A</v>
      </c>
      <c r="I122" s="325" t="s">
        <v>3312</v>
      </c>
      <c r="J122" s="329" t="str">
        <f>IF(B122&lt;&gt;"",+VLOOKUP(I122,Recursos!C:F,2,FALSE),"")</f>
        <v>CHOFER</v>
      </c>
      <c r="K122" s="330" t="str">
        <f>IF(B122&lt;&gt;"",+VLOOKUP(I122,Recursos!C:F,3,FALSE),"")</f>
        <v>hh</v>
      </c>
      <c r="L122" s="327">
        <f>IF(B122&lt;&gt;"",+VLOOKUP(I122,Recursos!C:F,4,FALSE),"")</f>
        <v>496.91595439275824</v>
      </c>
      <c r="M122" s="331">
        <v>18</v>
      </c>
      <c r="N122" s="331">
        <v>1.25</v>
      </c>
      <c r="O122" s="332">
        <f t="shared" ref="O122:O129" si="57">1/M122*N122</f>
        <v>6.9444444444444448E-2</v>
      </c>
      <c r="P122" s="333">
        <f t="shared" si="42"/>
        <v>34.508052388385991</v>
      </c>
      <c r="Q122" s="327">
        <f t="shared" si="43"/>
        <v>0</v>
      </c>
      <c r="R122" s="334">
        <f t="shared" si="44"/>
        <v>0</v>
      </c>
      <c r="S122" s="358">
        <f t="shared" si="32"/>
        <v>101.32074643523649</v>
      </c>
      <c r="T122" s="358">
        <f t="shared" si="33"/>
        <v>228.8832612121212</v>
      </c>
      <c r="U122" s="359">
        <f t="shared" si="34"/>
        <v>0</v>
      </c>
      <c r="V122" s="359">
        <f t="shared" si="35"/>
        <v>0</v>
      </c>
      <c r="W122" s="359">
        <f t="shared" si="36"/>
        <v>0</v>
      </c>
      <c r="X122" s="359">
        <f t="shared" si="37"/>
        <v>760.32147249758168</v>
      </c>
      <c r="Y122" s="320"/>
      <c r="Z122" s="321" t="str">
        <f t="shared" si="45"/>
        <v>X-EDOSMORA</v>
      </c>
      <c r="AA122" s="321" t="str">
        <f t="shared" si="46"/>
        <v>X-EDOSMORE</v>
      </c>
      <c r="AB122" s="321" t="str">
        <f t="shared" si="47"/>
        <v>X-EDOSMORM</v>
      </c>
      <c r="AC122" s="321" t="str">
        <f t="shared" si="48"/>
        <v>X-EDOSMORT</v>
      </c>
      <c r="AD122" s="321" t="str">
        <f t="shared" si="49"/>
        <v>X-EDOSMORS</v>
      </c>
      <c r="AE122" s="321" t="str">
        <f t="shared" si="50"/>
        <v>X-EDOSMORX</v>
      </c>
      <c r="AF122" s="321" t="str">
        <f t="shared" si="51"/>
        <v>X-EDOSMORA</v>
      </c>
      <c r="AG122" s="321">
        <f t="shared" si="38"/>
        <v>13</v>
      </c>
      <c r="AH122" s="321">
        <f>IF(B122&lt;&gt;"",IF(H122="x",VLOOKUP(I122,'AUX-NIV3'!B:AG,32,FALSE),0),"")</f>
        <v>0</v>
      </c>
      <c r="AI122" s="321" t="str">
        <f t="shared" si="52"/>
        <v>X-EDOSMOR</v>
      </c>
      <c r="AJ122" s="320"/>
      <c r="AK122" s="322">
        <f t="shared" si="39"/>
        <v>122</v>
      </c>
      <c r="AL122" s="323">
        <f t="shared" si="53"/>
        <v>134</v>
      </c>
      <c r="AM122" s="322">
        <f t="shared" si="54"/>
        <v>1</v>
      </c>
      <c r="AN122" s="380">
        <f>IF(AND(AH122&gt;0,B122&lt;&gt;""),VLOOKUP(I122,'AUX-NIV3'!$B:$AO,39,FALSE)*O122,0)</f>
        <v>0</v>
      </c>
      <c r="AO122" s="380">
        <f t="shared" si="40"/>
        <v>0.36787999999999998</v>
      </c>
      <c r="AP122" s="380"/>
    </row>
    <row r="123" spans="2:42" ht="14.4" hidden="1" thickTop="1" thickBot="1">
      <c r="B123" s="324" t="s">
        <v>1267</v>
      </c>
      <c r="C123" s="325" t="s">
        <v>16</v>
      </c>
      <c r="D123" s="326" t="s">
        <v>1160</v>
      </c>
      <c r="E123" s="327">
        <f>IF(B123&lt;&gt;"",SUMIF('AUX-NIV1'!I:I,'AUX-NIV2'!B123,'AUX-NIV1'!Q:Q),"")</f>
        <v>0</v>
      </c>
      <c r="F123" s="327">
        <f t="shared" si="30"/>
        <v>1090.5254801449394</v>
      </c>
      <c r="G123" s="327">
        <f t="shared" si="31"/>
        <v>0</v>
      </c>
      <c r="H123" s="328" t="str">
        <f t="shared" si="41"/>
        <v>A</v>
      </c>
      <c r="I123" s="325" t="s">
        <v>3311</v>
      </c>
      <c r="J123" s="329" t="str">
        <f>IF(B123&lt;&gt;"",+VLOOKUP(I123,Recursos!C:F,2,FALSE),"")</f>
        <v>OPER. EQUIPO</v>
      </c>
      <c r="K123" s="330" t="str">
        <f>IF(B123&lt;&gt;"",+VLOOKUP(I123,Recursos!C:F,3,FALSE),"")</f>
        <v>hh</v>
      </c>
      <c r="L123" s="327">
        <f>IF(B123&lt;&gt;"",+VLOOKUP(I123,Recursos!C:F,4,FALSE),"")</f>
        <v>581.06120476836554</v>
      </c>
      <c r="M123" s="331">
        <v>100</v>
      </c>
      <c r="N123" s="331">
        <v>1.4</v>
      </c>
      <c r="O123" s="332">
        <f t="shared" si="57"/>
        <v>1.3999999999999999E-2</v>
      </c>
      <c r="P123" s="333">
        <f t="shared" si="42"/>
        <v>8.1348568667571168</v>
      </c>
      <c r="Q123" s="327">
        <f t="shared" si="43"/>
        <v>0</v>
      </c>
      <c r="R123" s="334">
        <f t="shared" si="44"/>
        <v>0</v>
      </c>
      <c r="S123" s="358">
        <f t="shared" si="32"/>
        <v>101.32074643523649</v>
      </c>
      <c r="T123" s="358">
        <f t="shared" si="33"/>
        <v>228.8832612121212</v>
      </c>
      <c r="U123" s="359">
        <f t="shared" si="34"/>
        <v>0</v>
      </c>
      <c r="V123" s="359">
        <f t="shared" si="35"/>
        <v>0</v>
      </c>
      <c r="W123" s="359">
        <f t="shared" si="36"/>
        <v>0</v>
      </c>
      <c r="X123" s="359">
        <f t="shared" si="37"/>
        <v>760.32147249758168</v>
      </c>
      <c r="Y123" s="320"/>
      <c r="Z123" s="321" t="str">
        <f t="shared" si="45"/>
        <v>X-EDOSMORA</v>
      </c>
      <c r="AA123" s="321" t="str">
        <f t="shared" si="46"/>
        <v>X-EDOSMORE</v>
      </c>
      <c r="AB123" s="321" t="str">
        <f t="shared" si="47"/>
        <v>X-EDOSMORM</v>
      </c>
      <c r="AC123" s="321" t="str">
        <f t="shared" si="48"/>
        <v>X-EDOSMORT</v>
      </c>
      <c r="AD123" s="321" t="str">
        <f t="shared" si="49"/>
        <v>X-EDOSMORS</v>
      </c>
      <c r="AE123" s="321" t="str">
        <f t="shared" si="50"/>
        <v>X-EDOSMORX</v>
      </c>
      <c r="AF123" s="321" t="str">
        <f t="shared" si="51"/>
        <v>X-EDOSMORA</v>
      </c>
      <c r="AG123" s="321">
        <f t="shared" si="38"/>
        <v>13</v>
      </c>
      <c r="AH123" s="321">
        <f>IF(B123&lt;&gt;"",IF(H123="x",VLOOKUP(I123,'AUX-NIV3'!B:AG,32,FALSE),0),"")</f>
        <v>0</v>
      </c>
      <c r="AI123" s="321" t="str">
        <f t="shared" si="52"/>
        <v>X-EDOSMOR</v>
      </c>
      <c r="AJ123" s="320"/>
      <c r="AK123" s="322">
        <f t="shared" si="39"/>
        <v>122</v>
      </c>
      <c r="AL123" s="323">
        <f t="shared" si="53"/>
        <v>134</v>
      </c>
      <c r="AM123" s="322">
        <f t="shared" si="54"/>
        <v>2</v>
      </c>
      <c r="AN123" s="380">
        <f>IF(AND(AH123&gt;0,B123&lt;&gt;""),VLOOKUP(I123,'AUX-NIV3'!$B:$AO,39,FALSE)*O123,0)</f>
        <v>0</v>
      </c>
      <c r="AO123" s="380">
        <f t="shared" si="40"/>
        <v>0.36787999999999998</v>
      </c>
      <c r="AP123" s="380"/>
    </row>
    <row r="124" spans="2:42" ht="14.4" hidden="1" thickTop="1" thickBot="1">
      <c r="B124" s="324" t="s">
        <v>1267</v>
      </c>
      <c r="C124" s="325" t="s">
        <v>16</v>
      </c>
      <c r="D124" s="326" t="s">
        <v>1160</v>
      </c>
      <c r="E124" s="327">
        <f>IF(B124&lt;&gt;"",SUMIF('AUX-NIV1'!I:I,'AUX-NIV2'!B124,'AUX-NIV1'!Q:Q),"")</f>
        <v>0</v>
      </c>
      <c r="F124" s="327">
        <f t="shared" si="30"/>
        <v>1090.5254801449394</v>
      </c>
      <c r="G124" s="327">
        <f t="shared" si="31"/>
        <v>0</v>
      </c>
      <c r="H124" s="328" t="str">
        <f t="shared" si="41"/>
        <v>A</v>
      </c>
      <c r="I124" s="325" t="s">
        <v>3311</v>
      </c>
      <c r="J124" s="329" t="str">
        <f>IF(B124&lt;&gt;"",+VLOOKUP(I124,Recursos!C:F,2,FALSE),"")</f>
        <v>OPER. EQUIPO</v>
      </c>
      <c r="K124" s="330" t="str">
        <f>IF(B124&lt;&gt;"",+VLOOKUP(I124,Recursos!C:F,3,FALSE),"")</f>
        <v>hh</v>
      </c>
      <c r="L124" s="327">
        <f>IF(B124&lt;&gt;"",+VLOOKUP(I124,Recursos!C:F,4,FALSE),"")</f>
        <v>581.06120476836554</v>
      </c>
      <c r="M124" s="331">
        <v>10</v>
      </c>
      <c r="N124" s="331">
        <v>0</v>
      </c>
      <c r="O124" s="332">
        <f t="shared" si="57"/>
        <v>0</v>
      </c>
      <c r="P124" s="333">
        <f t="shared" si="42"/>
        <v>0</v>
      </c>
      <c r="Q124" s="327">
        <f t="shared" si="43"/>
        <v>0</v>
      </c>
      <c r="R124" s="334">
        <f t="shared" si="44"/>
        <v>0</v>
      </c>
      <c r="S124" s="358">
        <f t="shared" si="32"/>
        <v>101.32074643523649</v>
      </c>
      <c r="T124" s="358">
        <f t="shared" si="33"/>
        <v>228.8832612121212</v>
      </c>
      <c r="U124" s="359">
        <f t="shared" si="34"/>
        <v>0</v>
      </c>
      <c r="V124" s="359">
        <f t="shared" si="35"/>
        <v>0</v>
      </c>
      <c r="W124" s="359">
        <f t="shared" si="36"/>
        <v>0</v>
      </c>
      <c r="X124" s="359">
        <f t="shared" si="37"/>
        <v>760.32147249758168</v>
      </c>
      <c r="Y124" s="320"/>
      <c r="Z124" s="321" t="str">
        <f t="shared" si="45"/>
        <v>X-EDOSMORA</v>
      </c>
      <c r="AA124" s="321" t="str">
        <f t="shared" si="46"/>
        <v>X-EDOSMORE</v>
      </c>
      <c r="AB124" s="321" t="str">
        <f t="shared" si="47"/>
        <v>X-EDOSMORM</v>
      </c>
      <c r="AC124" s="321" t="str">
        <f t="shared" si="48"/>
        <v>X-EDOSMORT</v>
      </c>
      <c r="AD124" s="321" t="str">
        <f t="shared" si="49"/>
        <v>X-EDOSMORS</v>
      </c>
      <c r="AE124" s="321" t="str">
        <f t="shared" si="50"/>
        <v>X-EDOSMORX</v>
      </c>
      <c r="AF124" s="321" t="str">
        <f t="shared" si="51"/>
        <v>X-EDOSMORA</v>
      </c>
      <c r="AG124" s="321">
        <f t="shared" si="38"/>
        <v>13</v>
      </c>
      <c r="AH124" s="321">
        <f>IF(B124&lt;&gt;"",IF(H124="x",VLOOKUP(I124,'AUX-NIV3'!B:AG,32,FALSE),0),"")</f>
        <v>0</v>
      </c>
      <c r="AI124" s="321" t="str">
        <f t="shared" si="52"/>
        <v>X-EDOSMOR</v>
      </c>
      <c r="AJ124" s="320"/>
      <c r="AK124" s="322">
        <f t="shared" si="39"/>
        <v>122</v>
      </c>
      <c r="AL124" s="323">
        <f t="shared" si="53"/>
        <v>134</v>
      </c>
      <c r="AM124" s="322">
        <f t="shared" si="54"/>
        <v>3</v>
      </c>
      <c r="AN124" s="380">
        <f>IF(AND(AH124&gt;0,B124&lt;&gt;""),VLOOKUP(I124,'AUX-NIV3'!$B:$AO,39,FALSE)*O124,0)</f>
        <v>0</v>
      </c>
      <c r="AO124" s="380">
        <f t="shared" si="40"/>
        <v>0.36787999999999998</v>
      </c>
      <c r="AP124" s="380"/>
    </row>
    <row r="125" spans="2:42" ht="14.4" hidden="1" thickTop="1" thickBot="1">
      <c r="B125" s="324" t="s">
        <v>1267</v>
      </c>
      <c r="C125" s="325" t="s">
        <v>16</v>
      </c>
      <c r="D125" s="326" t="s">
        <v>1160</v>
      </c>
      <c r="E125" s="327">
        <f>IF(B125&lt;&gt;"",SUMIF('AUX-NIV1'!I:I,'AUX-NIV2'!B125,'AUX-NIV1'!Q:Q),"")</f>
        <v>0</v>
      </c>
      <c r="F125" s="327">
        <f t="shared" si="30"/>
        <v>1090.5254801449394</v>
      </c>
      <c r="G125" s="327">
        <f t="shared" si="31"/>
        <v>0</v>
      </c>
      <c r="H125" s="328" t="str">
        <f t="shared" si="41"/>
        <v>A</v>
      </c>
      <c r="I125" s="325" t="s">
        <v>1745</v>
      </c>
      <c r="J125" s="329" t="str">
        <f>IF(B125&lt;&gt;"",+VLOOKUP(I125,Recursos!C:F,2,FALSE),"")</f>
        <v>AYUDANTE</v>
      </c>
      <c r="K125" s="330" t="str">
        <f>IF(B125&lt;&gt;"",+VLOOKUP(I125,Recursos!C:F,3,FALSE),"")</f>
        <v>hh</v>
      </c>
      <c r="L125" s="327">
        <f>IF(B125&lt;&gt;"",+VLOOKUP(I125,Recursos!C:F,4,FALSE),"")</f>
        <v>422.48042769667234</v>
      </c>
      <c r="M125" s="331">
        <v>18</v>
      </c>
      <c r="N125" s="331">
        <v>2.5</v>
      </c>
      <c r="O125" s="332">
        <f t="shared" si="57"/>
        <v>0.1388888888888889</v>
      </c>
      <c r="P125" s="333">
        <f t="shared" si="42"/>
        <v>58.677837180093384</v>
      </c>
      <c r="Q125" s="327">
        <f t="shared" si="43"/>
        <v>0</v>
      </c>
      <c r="R125" s="334">
        <f t="shared" si="44"/>
        <v>0</v>
      </c>
      <c r="S125" s="358">
        <f t="shared" si="32"/>
        <v>101.32074643523649</v>
      </c>
      <c r="T125" s="358">
        <f t="shared" si="33"/>
        <v>228.8832612121212</v>
      </c>
      <c r="U125" s="359">
        <f t="shared" si="34"/>
        <v>0</v>
      </c>
      <c r="V125" s="359">
        <f t="shared" si="35"/>
        <v>0</v>
      </c>
      <c r="W125" s="359">
        <f t="shared" si="36"/>
        <v>0</v>
      </c>
      <c r="X125" s="359">
        <f t="shared" si="37"/>
        <v>760.32147249758168</v>
      </c>
      <c r="Y125" s="320"/>
      <c r="Z125" s="321" t="str">
        <f t="shared" si="45"/>
        <v>X-EDOSMORA</v>
      </c>
      <c r="AA125" s="321" t="str">
        <f t="shared" si="46"/>
        <v>X-EDOSMORE</v>
      </c>
      <c r="AB125" s="321" t="str">
        <f t="shared" si="47"/>
        <v>X-EDOSMORM</v>
      </c>
      <c r="AC125" s="321" t="str">
        <f t="shared" si="48"/>
        <v>X-EDOSMORT</v>
      </c>
      <c r="AD125" s="321" t="str">
        <f t="shared" si="49"/>
        <v>X-EDOSMORS</v>
      </c>
      <c r="AE125" s="321" t="str">
        <f t="shared" si="50"/>
        <v>X-EDOSMORX</v>
      </c>
      <c r="AF125" s="321" t="str">
        <f t="shared" si="51"/>
        <v>X-EDOSMORA</v>
      </c>
      <c r="AG125" s="321">
        <f t="shared" si="38"/>
        <v>13</v>
      </c>
      <c r="AH125" s="321">
        <f>IF(B125&lt;&gt;"",IF(H125="x",VLOOKUP(I125,'AUX-NIV3'!B:AG,32,FALSE),0),"")</f>
        <v>0</v>
      </c>
      <c r="AI125" s="321" t="str">
        <f t="shared" si="52"/>
        <v>X-EDOSMOR</v>
      </c>
      <c r="AJ125" s="320"/>
      <c r="AK125" s="322">
        <f t="shared" si="39"/>
        <v>122</v>
      </c>
      <c r="AL125" s="323">
        <f t="shared" si="53"/>
        <v>134</v>
      </c>
      <c r="AM125" s="322">
        <f t="shared" si="54"/>
        <v>4</v>
      </c>
      <c r="AN125" s="380">
        <f>IF(AND(AH125&gt;0,B125&lt;&gt;""),VLOOKUP(I125,'AUX-NIV3'!$B:$AO,39,FALSE)*O125,0)</f>
        <v>0</v>
      </c>
      <c r="AO125" s="380">
        <f t="shared" si="40"/>
        <v>0.36787999999999998</v>
      </c>
      <c r="AP125" s="380"/>
    </row>
    <row r="126" spans="2:42" ht="14.4" hidden="1" thickTop="1" thickBot="1">
      <c r="B126" s="324" t="s">
        <v>1267</v>
      </c>
      <c r="C126" s="325" t="s">
        <v>16</v>
      </c>
      <c r="D126" s="326" t="s">
        <v>1160</v>
      </c>
      <c r="E126" s="327">
        <f>IF(B126&lt;&gt;"",SUMIF('AUX-NIV1'!I:I,'AUX-NIV2'!B126,'AUX-NIV1'!Q:Q),"")</f>
        <v>0</v>
      </c>
      <c r="F126" s="327">
        <f t="shared" si="30"/>
        <v>1090.5254801449394</v>
      </c>
      <c r="G126" s="327">
        <f t="shared" si="31"/>
        <v>0</v>
      </c>
      <c r="H126" s="328" t="str">
        <f t="shared" si="41"/>
        <v>E</v>
      </c>
      <c r="I126" s="325" t="s">
        <v>1555</v>
      </c>
      <c r="J126" s="329" t="str">
        <f>IF(B126&lt;&gt;"",+VLOOKUP(I126,Recursos!C:F,2,FALSE),"")</f>
        <v>CAMION VOLCADOR 6x4 CAP. 24 T=15 m3</v>
      </c>
      <c r="K126" s="330" t="str">
        <f>IF(B126&lt;&gt;"",+VLOOKUP(I126,Recursos!C:F,3,FALSE),"")</f>
        <v>HR</v>
      </c>
      <c r="L126" s="327">
        <f>IF(B126&lt;&gt;"",+VLOOKUP(I126,Recursos!C:F,4,FALSE),"")</f>
        <v>3333.261</v>
      </c>
      <c r="M126" s="331">
        <v>18</v>
      </c>
      <c r="N126" s="331">
        <v>1</v>
      </c>
      <c r="O126" s="332">
        <f t="shared" si="57"/>
        <v>5.5555555555555552E-2</v>
      </c>
      <c r="P126" s="333">
        <f t="shared" si="42"/>
        <v>185.18116666666666</v>
      </c>
      <c r="Q126" s="327">
        <f t="shared" si="43"/>
        <v>0</v>
      </c>
      <c r="R126" s="334">
        <f t="shared" si="44"/>
        <v>0</v>
      </c>
      <c r="S126" s="358">
        <f t="shared" si="32"/>
        <v>101.32074643523649</v>
      </c>
      <c r="T126" s="358">
        <f t="shared" si="33"/>
        <v>228.8832612121212</v>
      </c>
      <c r="U126" s="359">
        <f t="shared" si="34"/>
        <v>0</v>
      </c>
      <c r="V126" s="359">
        <f t="shared" si="35"/>
        <v>0</v>
      </c>
      <c r="W126" s="359">
        <f t="shared" si="36"/>
        <v>0</v>
      </c>
      <c r="X126" s="359">
        <f t="shared" si="37"/>
        <v>760.32147249758168</v>
      </c>
      <c r="Y126" s="320"/>
      <c r="Z126" s="321" t="str">
        <f t="shared" si="45"/>
        <v>X-EDOSMORA</v>
      </c>
      <c r="AA126" s="321" t="str">
        <f t="shared" si="46"/>
        <v>X-EDOSMORE</v>
      </c>
      <c r="AB126" s="321" t="str">
        <f t="shared" si="47"/>
        <v>X-EDOSMORM</v>
      </c>
      <c r="AC126" s="321" t="str">
        <f t="shared" si="48"/>
        <v>X-EDOSMORT</v>
      </c>
      <c r="AD126" s="321" t="str">
        <f t="shared" si="49"/>
        <v>X-EDOSMORS</v>
      </c>
      <c r="AE126" s="321" t="str">
        <f t="shared" si="50"/>
        <v>X-EDOSMORX</v>
      </c>
      <c r="AF126" s="321" t="str">
        <f t="shared" si="51"/>
        <v>X-EDOSMORE</v>
      </c>
      <c r="AG126" s="321">
        <f t="shared" si="38"/>
        <v>13</v>
      </c>
      <c r="AH126" s="321">
        <f>IF(B126&lt;&gt;"",IF(H126="x",VLOOKUP(I126,'AUX-NIV3'!B:AG,32,FALSE),0),"")</f>
        <v>0</v>
      </c>
      <c r="AI126" s="321" t="str">
        <f t="shared" si="52"/>
        <v>X-EDOSMOR</v>
      </c>
      <c r="AJ126" s="320"/>
      <c r="AK126" s="322">
        <f t="shared" si="39"/>
        <v>122</v>
      </c>
      <c r="AL126" s="323">
        <f t="shared" si="53"/>
        <v>134</v>
      </c>
      <c r="AM126" s="322">
        <f t="shared" si="54"/>
        <v>5</v>
      </c>
      <c r="AN126" s="380">
        <f>IF(AND(AH126&gt;0,B126&lt;&gt;""),VLOOKUP(I126,'AUX-NIV3'!$B:$AO,39,FALSE)*O126,0)</f>
        <v>0</v>
      </c>
      <c r="AO126" s="380">
        <f t="shared" si="40"/>
        <v>0.36787999999999998</v>
      </c>
      <c r="AP126" s="380"/>
    </row>
    <row r="127" spans="2:42" ht="14.4" hidden="1" thickTop="1" thickBot="1">
      <c r="B127" s="324" t="s">
        <v>1267</v>
      </c>
      <c r="C127" s="325" t="s">
        <v>16</v>
      </c>
      <c r="D127" s="326" t="s">
        <v>1160</v>
      </c>
      <c r="E127" s="327">
        <f>IF(B127&lt;&gt;"",SUMIF('AUX-NIV1'!I:I,'AUX-NIV2'!B127,'AUX-NIV1'!Q:Q),"")</f>
        <v>0</v>
      </c>
      <c r="F127" s="327">
        <f t="shared" si="30"/>
        <v>1090.5254801449394</v>
      </c>
      <c r="G127" s="327">
        <f t="shared" si="31"/>
        <v>0</v>
      </c>
      <c r="H127" s="328" t="str">
        <f t="shared" si="41"/>
        <v>E</v>
      </c>
      <c r="I127" s="325" t="s">
        <v>1579</v>
      </c>
      <c r="J127" s="329" t="str">
        <f>IF(B127&lt;&gt;"",+VLOOKUP(I127,Recursos!C:F,2,FALSE),"")</f>
        <v>TRACTOR PANTANERO 8 CUBIERTAS</v>
      </c>
      <c r="K127" s="330" t="str">
        <f>IF(B127&lt;&gt;"",+VLOOKUP(I127,Recursos!C:F,3,FALSE),"")</f>
        <v>HR</v>
      </c>
      <c r="L127" s="327">
        <f>IF(B127&lt;&gt;"",+VLOOKUP(I127,Recursos!C:F,4,FALSE),"")</f>
        <v>3411.4653333333331</v>
      </c>
      <c r="M127" s="331">
        <v>10</v>
      </c>
      <c r="N127" s="331">
        <v>0</v>
      </c>
      <c r="O127" s="332">
        <f t="shared" si="57"/>
        <v>0</v>
      </c>
      <c r="P127" s="333">
        <f t="shared" si="42"/>
        <v>0</v>
      </c>
      <c r="Q127" s="327">
        <f t="shared" si="43"/>
        <v>0</v>
      </c>
      <c r="R127" s="334">
        <f t="shared" si="44"/>
        <v>0</v>
      </c>
      <c r="S127" s="358">
        <f t="shared" si="32"/>
        <v>101.32074643523649</v>
      </c>
      <c r="T127" s="358">
        <f t="shared" si="33"/>
        <v>228.8832612121212</v>
      </c>
      <c r="U127" s="359">
        <f t="shared" si="34"/>
        <v>0</v>
      </c>
      <c r="V127" s="359">
        <f t="shared" si="35"/>
        <v>0</v>
      </c>
      <c r="W127" s="359">
        <f t="shared" si="36"/>
        <v>0</v>
      </c>
      <c r="X127" s="359">
        <f t="shared" si="37"/>
        <v>760.32147249758168</v>
      </c>
      <c r="Y127" s="320"/>
      <c r="Z127" s="321" t="str">
        <f t="shared" si="45"/>
        <v>X-EDOSMORA</v>
      </c>
      <c r="AA127" s="321" t="str">
        <f t="shared" si="46"/>
        <v>X-EDOSMORE</v>
      </c>
      <c r="AB127" s="321" t="str">
        <f t="shared" si="47"/>
        <v>X-EDOSMORM</v>
      </c>
      <c r="AC127" s="321" t="str">
        <f t="shared" si="48"/>
        <v>X-EDOSMORT</v>
      </c>
      <c r="AD127" s="321" t="str">
        <f t="shared" si="49"/>
        <v>X-EDOSMORS</v>
      </c>
      <c r="AE127" s="321" t="str">
        <f t="shared" si="50"/>
        <v>X-EDOSMORX</v>
      </c>
      <c r="AF127" s="321" t="str">
        <f t="shared" si="51"/>
        <v>X-EDOSMORE</v>
      </c>
      <c r="AG127" s="321">
        <f t="shared" si="38"/>
        <v>13</v>
      </c>
      <c r="AH127" s="321">
        <f>IF(B127&lt;&gt;"",IF(H127="x",VLOOKUP(I127,'AUX-NIV3'!B:AG,32,FALSE),0),"")</f>
        <v>0</v>
      </c>
      <c r="AI127" s="321" t="str">
        <f t="shared" si="52"/>
        <v>X-EDOSMOR</v>
      </c>
      <c r="AJ127" s="320"/>
      <c r="AK127" s="322">
        <f t="shared" si="39"/>
        <v>122</v>
      </c>
      <c r="AL127" s="323">
        <f t="shared" si="53"/>
        <v>134</v>
      </c>
      <c r="AM127" s="322">
        <f t="shared" si="54"/>
        <v>6</v>
      </c>
      <c r="AN127" s="380">
        <f>IF(AND(AH127&gt;0,B127&lt;&gt;""),VLOOKUP(I127,'AUX-NIV3'!$B:$AO,39,FALSE)*O127,0)</f>
        <v>0</v>
      </c>
      <c r="AO127" s="380">
        <f t="shared" si="40"/>
        <v>0.36787999999999998</v>
      </c>
      <c r="AP127" s="380"/>
    </row>
    <row r="128" spans="2:42" ht="14.4" hidden="1" thickTop="1" thickBot="1">
      <c r="B128" s="324" t="s">
        <v>1267</v>
      </c>
      <c r="C128" s="325" t="s">
        <v>16</v>
      </c>
      <c r="D128" s="326" t="s">
        <v>1160</v>
      </c>
      <c r="E128" s="327">
        <f>IF(B128&lt;&gt;"",SUMIF('AUX-NIV1'!I:I,'AUX-NIV2'!B128,'AUX-NIV1'!Q:Q),"")</f>
        <v>0</v>
      </c>
      <c r="F128" s="327">
        <f t="shared" si="30"/>
        <v>1090.5254801449394</v>
      </c>
      <c r="G128" s="327">
        <f t="shared" si="31"/>
        <v>0</v>
      </c>
      <c r="H128" s="328" t="str">
        <f t="shared" si="41"/>
        <v>E</v>
      </c>
      <c r="I128" s="325" t="s">
        <v>1564</v>
      </c>
      <c r="J128" s="329" t="str">
        <f>IF(B128&lt;&gt;"",+VLOOKUP(I128,Recursos!C:F,2,FALSE),"")</f>
        <v>ACOPLADO O TANQUE CAP. 10 m3</v>
      </c>
      <c r="K128" s="330" t="str">
        <f>IF(B128&lt;&gt;"",+VLOOKUP(I128,Recursos!C:F,3,FALSE),"")</f>
        <v>HR</v>
      </c>
      <c r="L128" s="327">
        <f>IF(B128&lt;&gt;"",+VLOOKUP(I128,Recursos!C:F,4,FALSE),"")</f>
        <v>200.018</v>
      </c>
      <c r="M128" s="331">
        <v>10</v>
      </c>
      <c r="N128" s="331">
        <v>0</v>
      </c>
      <c r="O128" s="332">
        <f t="shared" si="57"/>
        <v>0</v>
      </c>
      <c r="P128" s="333">
        <f t="shared" si="42"/>
        <v>0</v>
      </c>
      <c r="Q128" s="327">
        <f t="shared" si="43"/>
        <v>0</v>
      </c>
      <c r="R128" s="334">
        <f t="shared" si="44"/>
        <v>0</v>
      </c>
      <c r="S128" s="358">
        <f t="shared" si="32"/>
        <v>101.32074643523649</v>
      </c>
      <c r="T128" s="358">
        <f t="shared" si="33"/>
        <v>228.8832612121212</v>
      </c>
      <c r="U128" s="359">
        <f t="shared" si="34"/>
        <v>0</v>
      </c>
      <c r="V128" s="359">
        <f t="shared" si="35"/>
        <v>0</v>
      </c>
      <c r="W128" s="359">
        <f t="shared" si="36"/>
        <v>0</v>
      </c>
      <c r="X128" s="359">
        <f t="shared" si="37"/>
        <v>760.32147249758168</v>
      </c>
      <c r="Y128" s="320"/>
      <c r="Z128" s="321" t="str">
        <f t="shared" si="45"/>
        <v>X-EDOSMORA</v>
      </c>
      <c r="AA128" s="321" t="str">
        <f t="shared" si="46"/>
        <v>X-EDOSMORE</v>
      </c>
      <c r="AB128" s="321" t="str">
        <f t="shared" si="47"/>
        <v>X-EDOSMORM</v>
      </c>
      <c r="AC128" s="321" t="str">
        <f t="shared" si="48"/>
        <v>X-EDOSMORT</v>
      </c>
      <c r="AD128" s="321" t="str">
        <f t="shared" si="49"/>
        <v>X-EDOSMORS</v>
      </c>
      <c r="AE128" s="321" t="str">
        <f t="shared" si="50"/>
        <v>X-EDOSMORX</v>
      </c>
      <c r="AF128" s="321" t="str">
        <f t="shared" si="51"/>
        <v>X-EDOSMORE</v>
      </c>
      <c r="AG128" s="321">
        <f t="shared" si="38"/>
        <v>13</v>
      </c>
      <c r="AH128" s="321">
        <f>IF(B128&lt;&gt;"",IF(H128="x",VLOOKUP(I128,'AUX-NIV3'!B:AG,32,FALSE),0),"")</f>
        <v>0</v>
      </c>
      <c r="AI128" s="321" t="str">
        <f t="shared" si="52"/>
        <v>X-EDOSMOR</v>
      </c>
      <c r="AJ128" s="320"/>
      <c r="AK128" s="322">
        <f t="shared" si="39"/>
        <v>122</v>
      </c>
      <c r="AL128" s="323">
        <f t="shared" si="53"/>
        <v>134</v>
      </c>
      <c r="AM128" s="322">
        <f t="shared" si="54"/>
        <v>7</v>
      </c>
      <c r="AN128" s="380">
        <f>IF(AND(AH128&gt;0,B128&lt;&gt;""),VLOOKUP(I128,'AUX-NIV3'!$B:$AO,39,FALSE)*O128,0)</f>
        <v>0</v>
      </c>
      <c r="AO128" s="380">
        <f t="shared" si="40"/>
        <v>0.36787999999999998</v>
      </c>
      <c r="AP128" s="380"/>
    </row>
    <row r="129" spans="2:42" ht="14.4" hidden="1" thickTop="1" thickBot="1">
      <c r="B129" s="324" t="s">
        <v>1267</v>
      </c>
      <c r="C129" s="325" t="s">
        <v>16</v>
      </c>
      <c r="D129" s="326" t="s">
        <v>1160</v>
      </c>
      <c r="E129" s="327">
        <f>IF(B129&lt;&gt;"",SUMIF('AUX-NIV1'!I:I,'AUX-NIV2'!B129,'AUX-NIV1'!Q:Q),"")</f>
        <v>0</v>
      </c>
      <c r="F129" s="327">
        <f t="shared" si="30"/>
        <v>1090.5254801449394</v>
      </c>
      <c r="G129" s="327">
        <f t="shared" si="31"/>
        <v>0</v>
      </c>
      <c r="H129" s="328" t="str">
        <f t="shared" si="41"/>
        <v>E</v>
      </c>
      <c r="I129" s="325" t="s">
        <v>1543</v>
      </c>
      <c r="J129" s="329" t="str">
        <f>IF(B129&lt;&gt;"",+VLOOKUP(I129,Recursos!C:F,2,FALSE),"")</f>
        <v>CARGADOR FRONTAL S/NEUM. (3,00 M3)</v>
      </c>
      <c r="K129" s="330" t="str">
        <f>IF(B129&lt;&gt;"",+VLOOKUP(I129,Recursos!C:F,3,FALSE),"")</f>
        <v>HR</v>
      </c>
      <c r="L129" s="327">
        <f>IF(B129&lt;&gt;"",+VLOOKUP(I129,Recursos!C:F,4,FALSE),"")</f>
        <v>4370.2094545454547</v>
      </c>
      <c r="M129" s="331">
        <v>100</v>
      </c>
      <c r="N129" s="331">
        <v>1</v>
      </c>
      <c r="O129" s="332">
        <f t="shared" si="57"/>
        <v>0.01</v>
      </c>
      <c r="P129" s="333">
        <f t="shared" si="42"/>
        <v>43.70209454545455</v>
      </c>
      <c r="Q129" s="327">
        <f t="shared" si="43"/>
        <v>0</v>
      </c>
      <c r="R129" s="334">
        <f t="shared" si="44"/>
        <v>0</v>
      </c>
      <c r="S129" s="358">
        <f t="shared" si="32"/>
        <v>101.32074643523649</v>
      </c>
      <c r="T129" s="358">
        <f t="shared" si="33"/>
        <v>228.8832612121212</v>
      </c>
      <c r="U129" s="359">
        <f t="shared" si="34"/>
        <v>0</v>
      </c>
      <c r="V129" s="359">
        <f t="shared" si="35"/>
        <v>0</v>
      </c>
      <c r="W129" s="359">
        <f t="shared" si="36"/>
        <v>0</v>
      </c>
      <c r="X129" s="359">
        <f t="shared" si="37"/>
        <v>760.32147249758168</v>
      </c>
      <c r="Y129" s="320"/>
      <c r="Z129" s="321" t="str">
        <f t="shared" si="45"/>
        <v>X-EDOSMORA</v>
      </c>
      <c r="AA129" s="321" t="str">
        <f t="shared" si="46"/>
        <v>X-EDOSMORE</v>
      </c>
      <c r="AB129" s="321" t="str">
        <f t="shared" si="47"/>
        <v>X-EDOSMORM</v>
      </c>
      <c r="AC129" s="321" t="str">
        <f t="shared" si="48"/>
        <v>X-EDOSMORT</v>
      </c>
      <c r="AD129" s="321" t="str">
        <f t="shared" si="49"/>
        <v>X-EDOSMORS</v>
      </c>
      <c r="AE129" s="321" t="str">
        <f t="shared" si="50"/>
        <v>X-EDOSMORX</v>
      </c>
      <c r="AF129" s="321" t="str">
        <f t="shared" si="51"/>
        <v>X-EDOSMORE</v>
      </c>
      <c r="AG129" s="321">
        <f t="shared" si="38"/>
        <v>13</v>
      </c>
      <c r="AH129" s="321">
        <f>IF(B129&lt;&gt;"",IF(H129="x",VLOOKUP(I129,'AUX-NIV3'!B:AG,32,FALSE),0),"")</f>
        <v>0</v>
      </c>
      <c r="AI129" s="321" t="str">
        <f t="shared" si="52"/>
        <v>X-EDOSMOR</v>
      </c>
      <c r="AJ129" s="320"/>
      <c r="AK129" s="322">
        <f t="shared" si="39"/>
        <v>122</v>
      </c>
      <c r="AL129" s="323">
        <f t="shared" si="53"/>
        <v>134</v>
      </c>
      <c r="AM129" s="322">
        <f t="shared" si="54"/>
        <v>8</v>
      </c>
      <c r="AN129" s="380">
        <f>IF(AND(AH129&gt;0,B129&lt;&gt;""),VLOOKUP(I129,'AUX-NIV3'!$B:$AO,39,FALSE)*O129,0)</f>
        <v>0</v>
      </c>
      <c r="AO129" s="380">
        <f t="shared" si="40"/>
        <v>0.36787999999999998</v>
      </c>
      <c r="AP129" s="380"/>
    </row>
    <row r="130" spans="2:42" ht="14.4" hidden="1" thickTop="1" thickBot="1">
      <c r="B130" s="324" t="s">
        <v>1267</v>
      </c>
      <c r="C130" s="325" t="s">
        <v>16</v>
      </c>
      <c r="D130" s="326" t="s">
        <v>1160</v>
      </c>
      <c r="E130" s="327">
        <f>IF(B130&lt;&gt;"",SUMIF('AUX-NIV1'!I:I,'AUX-NIV2'!B130,'AUX-NIV1'!Q:Q),"")</f>
        <v>0</v>
      </c>
      <c r="F130" s="327">
        <f t="shared" si="30"/>
        <v>1090.5254801449394</v>
      </c>
      <c r="G130" s="327">
        <f t="shared" si="31"/>
        <v>0</v>
      </c>
      <c r="H130" s="328" t="str">
        <f t="shared" si="41"/>
        <v>M</v>
      </c>
      <c r="I130" s="325" t="s">
        <v>493</v>
      </c>
      <c r="J130" s="329" t="str">
        <f>IF(B130&lt;&gt;"",+VLOOKUP(I130,Recursos!C:F,2,FALSE),"")</f>
        <v>CEMENTO (en obra-bolsa)</v>
      </c>
      <c r="K130" s="330" t="str">
        <f>IF(B130&lt;&gt;"",+VLOOKUP(I130,Recursos!C:F,3,FALSE),"")</f>
        <v>bolsa</v>
      </c>
      <c r="L130" s="327">
        <f>IF(B130&lt;&gt;"",+VLOOKUP(I130,Recursos!C:F,4,FALSE),"")</f>
        <v>21</v>
      </c>
      <c r="M130" s="331">
        <v>350</v>
      </c>
      <c r="N130" s="331">
        <v>0</v>
      </c>
      <c r="O130" s="332">
        <f>+M130/50*N130</f>
        <v>0</v>
      </c>
      <c r="P130" s="333">
        <f t="shared" si="42"/>
        <v>0</v>
      </c>
      <c r="Q130" s="327">
        <f t="shared" si="43"/>
        <v>0</v>
      </c>
      <c r="R130" s="334">
        <f t="shared" si="44"/>
        <v>0</v>
      </c>
      <c r="S130" s="358">
        <f t="shared" si="32"/>
        <v>101.32074643523649</v>
      </c>
      <c r="T130" s="358">
        <f t="shared" si="33"/>
        <v>228.8832612121212</v>
      </c>
      <c r="U130" s="359">
        <f t="shared" si="34"/>
        <v>0</v>
      </c>
      <c r="V130" s="359">
        <f t="shared" si="35"/>
        <v>0</v>
      </c>
      <c r="W130" s="359">
        <f t="shared" si="36"/>
        <v>0</v>
      </c>
      <c r="X130" s="359">
        <f t="shared" si="37"/>
        <v>760.32147249758168</v>
      </c>
      <c r="Y130" s="320"/>
      <c r="Z130" s="321" t="str">
        <f t="shared" si="45"/>
        <v>X-EDOSMORA</v>
      </c>
      <c r="AA130" s="321" t="str">
        <f t="shared" si="46"/>
        <v>X-EDOSMORE</v>
      </c>
      <c r="AB130" s="321" t="str">
        <f t="shared" si="47"/>
        <v>X-EDOSMORM</v>
      </c>
      <c r="AC130" s="321" t="str">
        <f t="shared" si="48"/>
        <v>X-EDOSMORT</v>
      </c>
      <c r="AD130" s="321" t="str">
        <f t="shared" si="49"/>
        <v>X-EDOSMORS</v>
      </c>
      <c r="AE130" s="321" t="str">
        <f t="shared" si="50"/>
        <v>X-EDOSMORX</v>
      </c>
      <c r="AF130" s="321" t="str">
        <f t="shared" si="51"/>
        <v>X-EDOSMORM</v>
      </c>
      <c r="AG130" s="321">
        <f t="shared" si="38"/>
        <v>13</v>
      </c>
      <c r="AH130" s="321">
        <f>IF(B130&lt;&gt;"",IF(H130="x",VLOOKUP(I130,'AUX-NIV3'!B:AG,32,FALSE),0),"")</f>
        <v>0</v>
      </c>
      <c r="AI130" s="321" t="str">
        <f t="shared" si="52"/>
        <v>X-EDOSMOR</v>
      </c>
      <c r="AJ130" s="320"/>
      <c r="AK130" s="322">
        <f t="shared" si="39"/>
        <v>122</v>
      </c>
      <c r="AL130" s="323">
        <f t="shared" si="53"/>
        <v>134</v>
      </c>
      <c r="AM130" s="322">
        <f t="shared" si="54"/>
        <v>9</v>
      </c>
      <c r="AN130" s="380">
        <f>IF(AND(AH130&gt;0,B130&lt;&gt;""),VLOOKUP(I130,'AUX-NIV3'!$B:$AO,39,FALSE)*O130,0)</f>
        <v>0</v>
      </c>
      <c r="AO130" s="380">
        <f t="shared" si="40"/>
        <v>0.36787999999999998</v>
      </c>
      <c r="AP130" s="380"/>
    </row>
    <row r="131" spans="2:42" ht="14.4" hidden="1" thickTop="1" thickBot="1">
      <c r="B131" s="324" t="s">
        <v>1267</v>
      </c>
      <c r="C131" s="325" t="s">
        <v>16</v>
      </c>
      <c r="D131" s="326" t="s">
        <v>1160</v>
      </c>
      <c r="E131" s="327">
        <f>IF(B131&lt;&gt;"",SUMIF('AUX-NIV1'!I:I,'AUX-NIV2'!B131,'AUX-NIV1'!Q:Q),"")</f>
        <v>0</v>
      </c>
      <c r="F131" s="327">
        <f t="shared" si="30"/>
        <v>1090.5254801449394</v>
      </c>
      <c r="G131" s="327">
        <f t="shared" si="31"/>
        <v>0</v>
      </c>
      <c r="H131" s="328" t="str">
        <f t="shared" si="41"/>
        <v>M</v>
      </c>
      <c r="I131" s="325" t="s">
        <v>466</v>
      </c>
      <c r="J131" s="329" t="str">
        <f>IF(B131&lt;&gt;"",+VLOOKUP(I131,Recursos!C:F,2,FALSE),"")</f>
        <v>CAL</v>
      </c>
      <c r="K131" s="330" t="str">
        <f>IF(B131&lt;&gt;"",+VLOOKUP(I131,Recursos!C:F,3,FALSE),"")</f>
        <v>bolsa</v>
      </c>
      <c r="L131" s="327">
        <f>IF(B131&lt;&gt;"",+VLOOKUP(I131,Recursos!C:F,4,FALSE),"")</f>
        <v>6</v>
      </c>
      <c r="M131" s="331">
        <v>0</v>
      </c>
      <c r="N131" s="331">
        <v>0</v>
      </c>
      <c r="O131" s="332">
        <f t="shared" ref="O131:O138" si="58">+M131*N131</f>
        <v>0</v>
      </c>
      <c r="P131" s="333">
        <f t="shared" si="42"/>
        <v>0</v>
      </c>
      <c r="Q131" s="327">
        <f t="shared" si="43"/>
        <v>0</v>
      </c>
      <c r="R131" s="334">
        <f t="shared" si="44"/>
        <v>0</v>
      </c>
      <c r="S131" s="358">
        <f t="shared" si="32"/>
        <v>101.32074643523649</v>
      </c>
      <c r="T131" s="358">
        <f t="shared" si="33"/>
        <v>228.8832612121212</v>
      </c>
      <c r="U131" s="359">
        <f t="shared" si="34"/>
        <v>0</v>
      </c>
      <c r="V131" s="359">
        <f t="shared" si="35"/>
        <v>0</v>
      </c>
      <c r="W131" s="359">
        <f t="shared" si="36"/>
        <v>0</v>
      </c>
      <c r="X131" s="359">
        <f t="shared" si="37"/>
        <v>760.32147249758168</v>
      </c>
      <c r="Y131" s="320"/>
      <c r="Z131" s="321" t="str">
        <f t="shared" si="45"/>
        <v>X-EDOSMORA</v>
      </c>
      <c r="AA131" s="321" t="str">
        <f t="shared" si="46"/>
        <v>X-EDOSMORE</v>
      </c>
      <c r="AB131" s="321" t="str">
        <f t="shared" si="47"/>
        <v>X-EDOSMORM</v>
      </c>
      <c r="AC131" s="321" t="str">
        <f t="shared" si="48"/>
        <v>X-EDOSMORT</v>
      </c>
      <c r="AD131" s="321" t="str">
        <f t="shared" si="49"/>
        <v>X-EDOSMORS</v>
      </c>
      <c r="AE131" s="321" t="str">
        <f t="shared" si="50"/>
        <v>X-EDOSMORX</v>
      </c>
      <c r="AF131" s="321" t="str">
        <f t="shared" si="51"/>
        <v>X-EDOSMORM</v>
      </c>
      <c r="AG131" s="321">
        <f t="shared" si="38"/>
        <v>13</v>
      </c>
      <c r="AH131" s="321">
        <f>IF(B131&lt;&gt;"",IF(H131="x",VLOOKUP(I131,'AUX-NIV3'!B:AG,32,FALSE),0),"")</f>
        <v>0</v>
      </c>
      <c r="AI131" s="321" t="str">
        <f t="shared" si="52"/>
        <v>X-EDOSMOR</v>
      </c>
      <c r="AJ131" s="320"/>
      <c r="AK131" s="322">
        <f t="shared" si="39"/>
        <v>122</v>
      </c>
      <c r="AL131" s="323">
        <f t="shared" si="53"/>
        <v>134</v>
      </c>
      <c r="AM131" s="322">
        <f t="shared" si="54"/>
        <v>10</v>
      </c>
      <c r="AN131" s="380">
        <f>IF(AND(AH131&gt;0,B131&lt;&gt;""),VLOOKUP(I131,'AUX-NIV3'!$B:$AO,39,FALSE)*O131,0)</f>
        <v>0</v>
      </c>
      <c r="AO131" s="380">
        <f t="shared" si="40"/>
        <v>0.36787999999999998</v>
      </c>
      <c r="AP131" s="380"/>
    </row>
    <row r="132" spans="2:42" ht="14.4" hidden="1" thickTop="1" thickBot="1">
      <c r="B132" s="324" t="s">
        <v>1267</v>
      </c>
      <c r="C132" s="325" t="s">
        <v>16</v>
      </c>
      <c r="D132" s="326" t="s">
        <v>1160</v>
      </c>
      <c r="E132" s="327">
        <f>IF(B132&lt;&gt;"",SUMIF('AUX-NIV1'!I:I,'AUX-NIV2'!B132,'AUX-NIV1'!Q:Q),"")</f>
        <v>0</v>
      </c>
      <c r="F132" s="327">
        <f t="shared" si="30"/>
        <v>1090.5254801449394</v>
      </c>
      <c r="G132" s="327">
        <f t="shared" si="31"/>
        <v>0</v>
      </c>
      <c r="H132" s="328" t="str">
        <f t="shared" si="41"/>
        <v>X</v>
      </c>
      <c r="I132" s="325" t="s">
        <v>1207</v>
      </c>
      <c r="J132" s="329" t="str">
        <f>IF(B132&lt;&gt;"",+VLOOKUP(I132,Recursos!C:F,2,FALSE),"")</f>
        <v>Planta de Aridos - Trituración y Clasificación</v>
      </c>
      <c r="K132" s="330" t="str">
        <f>IF(B132&lt;&gt;"",+VLOOKUP(I132,Recursos!C:F,3,FALSE),"")</f>
        <v>M3</v>
      </c>
      <c r="L132" s="327">
        <f>IF(B132&lt;&gt;"",+VLOOKUP(I132,Recursos!C:F,4,FALSE),"")</f>
        <v>633.60122708131803</v>
      </c>
      <c r="M132" s="331">
        <v>0.7</v>
      </c>
      <c r="N132" s="331">
        <v>1</v>
      </c>
      <c r="O132" s="332">
        <f t="shared" si="58"/>
        <v>0.7</v>
      </c>
      <c r="P132" s="333">
        <f t="shared" si="42"/>
        <v>443.52085895692261</v>
      </c>
      <c r="Q132" s="327">
        <f t="shared" si="43"/>
        <v>0</v>
      </c>
      <c r="R132" s="334">
        <f t="shared" si="44"/>
        <v>0</v>
      </c>
      <c r="S132" s="358">
        <f t="shared" si="32"/>
        <v>101.32074643523649</v>
      </c>
      <c r="T132" s="358">
        <f t="shared" si="33"/>
        <v>228.8832612121212</v>
      </c>
      <c r="U132" s="359">
        <f t="shared" si="34"/>
        <v>0</v>
      </c>
      <c r="V132" s="359">
        <f t="shared" si="35"/>
        <v>0</v>
      </c>
      <c r="W132" s="359">
        <f t="shared" si="36"/>
        <v>0</v>
      </c>
      <c r="X132" s="359">
        <f t="shared" si="37"/>
        <v>760.32147249758168</v>
      </c>
      <c r="Y132" s="320"/>
      <c r="Z132" s="321" t="str">
        <f t="shared" si="45"/>
        <v>X-EDOSMORA</v>
      </c>
      <c r="AA132" s="321" t="str">
        <f t="shared" si="46"/>
        <v>X-EDOSMORE</v>
      </c>
      <c r="AB132" s="321" t="str">
        <f t="shared" si="47"/>
        <v>X-EDOSMORM</v>
      </c>
      <c r="AC132" s="321" t="str">
        <f t="shared" si="48"/>
        <v>X-EDOSMORT</v>
      </c>
      <c r="AD132" s="321" t="str">
        <f t="shared" si="49"/>
        <v>X-EDOSMORS</v>
      </c>
      <c r="AE132" s="321" t="str">
        <f t="shared" si="50"/>
        <v>X-EDOSMORX</v>
      </c>
      <c r="AF132" s="321" t="str">
        <f t="shared" si="51"/>
        <v>X-EDOSMORX</v>
      </c>
      <c r="AG132" s="321">
        <f t="shared" si="38"/>
        <v>13</v>
      </c>
      <c r="AH132" s="321">
        <f>IF(B132&lt;&gt;"",IF(H132="x",VLOOKUP(I132,'AUX-NIV3'!B:AG,32,FALSE),0),"")</f>
        <v>21</v>
      </c>
      <c r="AI132" s="321" t="str">
        <f t="shared" si="52"/>
        <v>X-EDOSMOR</v>
      </c>
      <c r="AJ132" s="320"/>
      <c r="AK132" s="322">
        <f t="shared" si="39"/>
        <v>122</v>
      </c>
      <c r="AL132" s="323">
        <f t="shared" si="53"/>
        <v>134</v>
      </c>
      <c r="AM132" s="322">
        <f t="shared" si="54"/>
        <v>11</v>
      </c>
      <c r="AN132" s="380">
        <f>IF(AND(AH132&gt;0,B132&lt;&gt;""),VLOOKUP(I132,'AUX-NIV3'!$B:$AO,39,FALSE)*O132,0)</f>
        <v>8.4902222222222212E-2</v>
      </c>
      <c r="AO132" s="380">
        <f t="shared" si="40"/>
        <v>0.36787999999999998</v>
      </c>
      <c r="AP132" s="380"/>
    </row>
    <row r="133" spans="2:42" ht="14.4" hidden="1" thickTop="1" thickBot="1">
      <c r="B133" s="324" t="s">
        <v>1267</v>
      </c>
      <c r="C133" s="325" t="s">
        <v>16</v>
      </c>
      <c r="D133" s="326" t="s">
        <v>1160</v>
      </c>
      <c r="E133" s="327">
        <f>IF(B133&lt;&gt;"",SUMIF('AUX-NIV1'!I:I,'AUX-NIV2'!B133,'AUX-NIV1'!Q:Q),"")</f>
        <v>0</v>
      </c>
      <c r="F133" s="327">
        <f t="shared" si="30"/>
        <v>1090.5254801449394</v>
      </c>
      <c r="G133" s="327">
        <f t="shared" si="31"/>
        <v>0</v>
      </c>
      <c r="H133" s="328" t="str">
        <f t="shared" si="41"/>
        <v>X</v>
      </c>
      <c r="I133" s="325" t="s">
        <v>1207</v>
      </c>
      <c r="J133" s="329" t="str">
        <f>IF(B133&lt;&gt;"",+VLOOKUP(I133,Recursos!C:F,2,FALSE),"")</f>
        <v>Planta de Aridos - Trituración y Clasificación</v>
      </c>
      <c r="K133" s="330" t="str">
        <f>IF(B133&lt;&gt;"",+VLOOKUP(I133,Recursos!C:F,3,FALSE),"")</f>
        <v>M3</v>
      </c>
      <c r="L133" s="327">
        <f>IF(B133&lt;&gt;"",+VLOOKUP(I133,Recursos!C:F,4,FALSE),"")</f>
        <v>633.60122708131803</v>
      </c>
      <c r="M133" s="331">
        <v>0.5</v>
      </c>
      <c r="N133" s="331">
        <v>1</v>
      </c>
      <c r="O133" s="332">
        <f t="shared" si="58"/>
        <v>0.5</v>
      </c>
      <c r="P133" s="333">
        <f t="shared" si="42"/>
        <v>316.80061354065901</v>
      </c>
      <c r="Q133" s="327">
        <f t="shared" si="43"/>
        <v>0</v>
      </c>
      <c r="R133" s="334">
        <f t="shared" si="44"/>
        <v>0</v>
      </c>
      <c r="S133" s="358">
        <f t="shared" si="32"/>
        <v>101.32074643523649</v>
      </c>
      <c r="T133" s="358">
        <f t="shared" si="33"/>
        <v>228.8832612121212</v>
      </c>
      <c r="U133" s="359">
        <f t="shared" si="34"/>
        <v>0</v>
      </c>
      <c r="V133" s="359">
        <f t="shared" si="35"/>
        <v>0</v>
      </c>
      <c r="W133" s="359">
        <f t="shared" si="36"/>
        <v>0</v>
      </c>
      <c r="X133" s="359">
        <f t="shared" si="37"/>
        <v>760.32147249758168</v>
      </c>
      <c r="Y133" s="320"/>
      <c r="Z133" s="321" t="str">
        <f t="shared" si="45"/>
        <v>X-EDOSMORA</v>
      </c>
      <c r="AA133" s="321" t="str">
        <f t="shared" si="46"/>
        <v>X-EDOSMORE</v>
      </c>
      <c r="AB133" s="321" t="str">
        <f t="shared" si="47"/>
        <v>X-EDOSMORM</v>
      </c>
      <c r="AC133" s="321" t="str">
        <f t="shared" si="48"/>
        <v>X-EDOSMORT</v>
      </c>
      <c r="AD133" s="321" t="str">
        <f t="shared" si="49"/>
        <v>X-EDOSMORS</v>
      </c>
      <c r="AE133" s="321" t="str">
        <f t="shared" si="50"/>
        <v>X-EDOSMORX</v>
      </c>
      <c r="AF133" s="321" t="str">
        <f t="shared" si="51"/>
        <v>X-EDOSMORX</v>
      </c>
      <c r="AG133" s="321">
        <f t="shared" si="38"/>
        <v>13</v>
      </c>
      <c r="AH133" s="321">
        <f>IF(B133&lt;&gt;"",IF(H133="x",VLOOKUP(I133,'AUX-NIV3'!B:AG,32,FALSE),0),"")</f>
        <v>21</v>
      </c>
      <c r="AI133" s="321" t="str">
        <f t="shared" si="52"/>
        <v>X-EDOSMOR</v>
      </c>
      <c r="AJ133" s="320"/>
      <c r="AK133" s="322">
        <f t="shared" si="39"/>
        <v>122</v>
      </c>
      <c r="AL133" s="323">
        <f t="shared" si="53"/>
        <v>134</v>
      </c>
      <c r="AM133" s="322">
        <f t="shared" si="54"/>
        <v>12</v>
      </c>
      <c r="AN133" s="380">
        <f>IF(AND(AH133&gt;0,B133&lt;&gt;""),VLOOKUP(I133,'AUX-NIV3'!$B:$AO,39,FALSE)*O133,0)</f>
        <v>6.0644444444444445E-2</v>
      </c>
      <c r="AO133" s="380">
        <f t="shared" si="40"/>
        <v>0.36787999999999998</v>
      </c>
      <c r="AP133" s="380"/>
    </row>
    <row r="134" spans="2:42" ht="14.4" hidden="1" thickTop="1" thickBot="1">
      <c r="B134" s="324" t="s">
        <v>1267</v>
      </c>
      <c r="C134" s="325" t="s">
        <v>16</v>
      </c>
      <c r="D134" s="326" t="s">
        <v>1160</v>
      </c>
      <c r="E134" s="327">
        <f>IF(B134&lt;&gt;"",SUMIF('AUX-NIV1'!I:I,'AUX-NIV2'!B134,'AUX-NIV1'!Q:Q),"")</f>
        <v>0</v>
      </c>
      <c r="F134" s="327">
        <f t="shared" si="30"/>
        <v>1090.5254801449394</v>
      </c>
      <c r="G134" s="327">
        <f t="shared" si="31"/>
        <v>0</v>
      </c>
      <c r="H134" s="328" t="str">
        <f t="shared" si="41"/>
        <v>T</v>
      </c>
      <c r="I134" s="325" t="s">
        <v>752</v>
      </c>
      <c r="J134" s="329" t="str">
        <f>IF(B134&lt;&gt;"",+VLOOKUP(I134,Recursos!C:F,2,FALSE),"")</f>
        <v>TRANSP.AGREGADO (Tpte largo cotizado x 10 Km)</v>
      </c>
      <c r="K134" s="330" t="str">
        <f>IF(B134&lt;&gt;"",+VLOOKUP(I134,Recursos!C:F,3,FALSE),"")</f>
        <v>Tn.Km</v>
      </c>
      <c r="L134" s="327">
        <f>IF(B134&lt;&gt;"",+VLOOKUP(I134,Recursos!C:F,4,FALSE),"")</f>
        <v>0.1</v>
      </c>
      <c r="M134" s="331">
        <v>1.2E-2</v>
      </c>
      <c r="N134" s="331">
        <v>0</v>
      </c>
      <c r="O134" s="332">
        <f t="shared" si="58"/>
        <v>0</v>
      </c>
      <c r="P134" s="333">
        <f t="shared" si="42"/>
        <v>0</v>
      </c>
      <c r="Q134" s="327">
        <f t="shared" si="43"/>
        <v>0</v>
      </c>
      <c r="R134" s="334">
        <f t="shared" si="44"/>
        <v>0</v>
      </c>
      <c r="S134" s="358">
        <f t="shared" si="32"/>
        <v>101.32074643523649</v>
      </c>
      <c r="T134" s="358">
        <f t="shared" si="33"/>
        <v>228.8832612121212</v>
      </c>
      <c r="U134" s="359">
        <f t="shared" si="34"/>
        <v>0</v>
      </c>
      <c r="V134" s="359">
        <f t="shared" si="35"/>
        <v>0</v>
      </c>
      <c r="W134" s="359">
        <f t="shared" si="36"/>
        <v>0</v>
      </c>
      <c r="X134" s="359">
        <f t="shared" si="37"/>
        <v>760.32147249758168</v>
      </c>
      <c r="Y134" s="320"/>
      <c r="Z134" s="321" t="str">
        <f t="shared" si="45"/>
        <v>X-EDOSMORA</v>
      </c>
      <c r="AA134" s="321" t="str">
        <f t="shared" si="46"/>
        <v>X-EDOSMORE</v>
      </c>
      <c r="AB134" s="321" t="str">
        <f t="shared" si="47"/>
        <v>X-EDOSMORM</v>
      </c>
      <c r="AC134" s="321" t="str">
        <f t="shared" si="48"/>
        <v>X-EDOSMORT</v>
      </c>
      <c r="AD134" s="321" t="str">
        <f t="shared" si="49"/>
        <v>X-EDOSMORS</v>
      </c>
      <c r="AE134" s="321" t="str">
        <f t="shared" si="50"/>
        <v>X-EDOSMORX</v>
      </c>
      <c r="AF134" s="321" t="str">
        <f t="shared" si="51"/>
        <v>X-EDOSMORT</v>
      </c>
      <c r="AG134" s="321">
        <f t="shared" si="38"/>
        <v>13</v>
      </c>
      <c r="AH134" s="321">
        <f>IF(B134&lt;&gt;"",IF(H134="x",VLOOKUP(I134,'AUX-NIV3'!B:AG,32,FALSE),0),"")</f>
        <v>0</v>
      </c>
      <c r="AI134" s="321" t="str">
        <f t="shared" si="52"/>
        <v>X-EDOSMOR</v>
      </c>
      <c r="AJ134" s="320"/>
      <c r="AK134" s="322">
        <f t="shared" si="39"/>
        <v>122</v>
      </c>
      <c r="AL134" s="323">
        <f t="shared" si="53"/>
        <v>134</v>
      </c>
      <c r="AM134" s="322">
        <f t="shared" si="54"/>
        <v>13</v>
      </c>
      <c r="AN134" s="380">
        <f>IF(AND(AH134&gt;0,B134&lt;&gt;""),VLOOKUP(I134,'AUX-NIV3'!$B:$AO,39,FALSE)*O134,0)</f>
        <v>0</v>
      </c>
      <c r="AO134" s="380">
        <f t="shared" si="40"/>
        <v>0.36787999999999998</v>
      </c>
      <c r="AP134" s="380"/>
    </row>
    <row r="135" spans="2:42" ht="14.4" hidden="1" thickTop="1" thickBot="1">
      <c r="B135" s="324" t="s">
        <v>1268</v>
      </c>
      <c r="C135" s="325" t="s">
        <v>17</v>
      </c>
      <c r="D135" s="326" t="s">
        <v>501</v>
      </c>
      <c r="E135" s="327">
        <f>IF(B135&lt;&gt;"",SUMIF('AUX-NIV1'!I:I,'AUX-NIV2'!B135,'AUX-NIV1'!Q:Q),"")</f>
        <v>0</v>
      </c>
      <c r="F135" s="327">
        <f t="shared" ref="F135:F198" si="59">IF(B135&lt;&gt;"",+SUMIF(B:B,B135,P:P),"")</f>
        <v>931.92217141099604</v>
      </c>
      <c r="G135" s="327">
        <f t="shared" ref="G135:G198" si="60">IF(B135&lt;&gt;"",+SUMIF(B:B,B135,R:R),"")</f>
        <v>0</v>
      </c>
      <c r="H135" s="328" t="str">
        <f t="shared" si="41"/>
        <v>A</v>
      </c>
      <c r="I135" s="325" t="s">
        <v>1745</v>
      </c>
      <c r="J135" s="329" t="str">
        <f>IF(B135&lt;&gt;"",+VLOOKUP(I135,Recursos!C:F,2,FALSE),"")</f>
        <v>AYUDANTE</v>
      </c>
      <c r="K135" s="330" t="str">
        <f>IF(B135&lt;&gt;"",+VLOOKUP(I135,Recursos!C:F,3,FALSE),"")</f>
        <v>hh</v>
      </c>
      <c r="L135" s="327">
        <f>IF(B135&lt;&gt;"",+VLOOKUP(I135,Recursos!C:F,4,FALSE),"")</f>
        <v>422.48042769667234</v>
      </c>
      <c r="M135" s="331">
        <v>2</v>
      </c>
      <c r="N135" s="331">
        <v>0.7</v>
      </c>
      <c r="O135" s="332">
        <f t="shared" si="58"/>
        <v>1.4</v>
      </c>
      <c r="P135" s="333">
        <f t="shared" si="42"/>
        <v>591.47259877534123</v>
      </c>
      <c r="Q135" s="327">
        <f t="shared" si="43"/>
        <v>0</v>
      </c>
      <c r="R135" s="334">
        <f t="shared" si="44"/>
        <v>0</v>
      </c>
      <c r="S135" s="358">
        <f t="shared" ref="S135:S198" si="61">IF(B135&lt;&gt;"",+SUMIF($AF:$AF,Z135,$P:$P),"")</f>
        <v>889.62217141099609</v>
      </c>
      <c r="T135" s="358">
        <f t="shared" ref="T135:T198" si="62">IF(B135&lt;&gt;"",+SUMIF($AF:$AF,AA135,$P:$P),"")</f>
        <v>0</v>
      </c>
      <c r="U135" s="359">
        <f t="shared" ref="U135:U198" si="63">IF(B135&lt;&gt;"",+SUMIF($AF:$AF,AB135,$P:$P),"")</f>
        <v>42.300000000000004</v>
      </c>
      <c r="V135" s="359">
        <f t="shared" ref="V135:V198" si="64">IF(B135&lt;&gt;"",+SUMIF($AF:$AF,AC135,$P:$P),"")</f>
        <v>0</v>
      </c>
      <c r="W135" s="359">
        <f t="shared" ref="W135:W198" si="65">IF(B135&lt;&gt;"",+SUMIF($AF:$AF,AD135,$P:$P),"")</f>
        <v>0</v>
      </c>
      <c r="X135" s="359">
        <f t="shared" ref="X135:X198" si="66">IF(B135&lt;&gt;"",+SUMIF($AF:$AF,AE135,$P:$P),"")</f>
        <v>0</v>
      </c>
      <c r="Y135" s="320"/>
      <c r="Z135" s="321" t="str">
        <f t="shared" si="45"/>
        <v>X-COLOCALADRA</v>
      </c>
      <c r="AA135" s="321" t="str">
        <f t="shared" si="46"/>
        <v>X-COLOCALADRE</v>
      </c>
      <c r="AB135" s="321" t="str">
        <f t="shared" si="47"/>
        <v>X-COLOCALADRM</v>
      </c>
      <c r="AC135" s="321" t="str">
        <f t="shared" si="48"/>
        <v>X-COLOCALADRT</v>
      </c>
      <c r="AD135" s="321" t="str">
        <f t="shared" si="49"/>
        <v>X-COLOCALADRS</v>
      </c>
      <c r="AE135" s="321" t="str">
        <f t="shared" si="50"/>
        <v>X-COLOCALADRX</v>
      </c>
      <c r="AF135" s="321" t="str">
        <f t="shared" si="51"/>
        <v>X-COLOCALADRA</v>
      </c>
      <c r="AG135" s="321">
        <f t="shared" ref="AG135:AG198" si="67">IF(B135&lt;&gt;"",+COUNTIF(B:B,B135),"")</f>
        <v>4</v>
      </c>
      <c r="AH135" s="321">
        <f>IF(B135&lt;&gt;"",IF(H135="x",VLOOKUP(I135,'AUX-NIV3'!B:AG,32,FALSE),0),"")</f>
        <v>0</v>
      </c>
      <c r="AI135" s="321" t="str">
        <f t="shared" si="52"/>
        <v>X-COLOCALADR</v>
      </c>
      <c r="AJ135" s="320"/>
      <c r="AK135" s="322">
        <f t="shared" ref="AK135:AK198" si="68">IF(B135&lt;&gt;"",+MATCH(B135,B:B,0),"")</f>
        <v>135</v>
      </c>
      <c r="AL135" s="323">
        <f t="shared" si="53"/>
        <v>138</v>
      </c>
      <c r="AM135" s="322">
        <f t="shared" si="54"/>
        <v>1</v>
      </c>
      <c r="AN135" s="380">
        <f>IF(AND(AH135&gt;0,B135&lt;&gt;""),VLOOKUP(I135,'AUX-NIV3'!$B:$AO,39,FALSE)*O135,0)</f>
        <v>0</v>
      </c>
      <c r="AO135" s="380">
        <f t="shared" ref="AO135:AO198" si="69">+IF(B135&lt;&gt;"",SUMIF(AF:AF,Z135,O:O)+SUMIF(Z:Z,Z135,AN:AN),0)</f>
        <v>2</v>
      </c>
      <c r="AP135" s="380"/>
    </row>
    <row r="136" spans="2:42" ht="14.4" hidden="1" thickTop="1" thickBot="1">
      <c r="B136" s="324" t="s">
        <v>1268</v>
      </c>
      <c r="C136" s="325" t="s">
        <v>17</v>
      </c>
      <c r="D136" s="326" t="s">
        <v>501</v>
      </c>
      <c r="E136" s="327">
        <f>IF(B136&lt;&gt;"",SUMIF('AUX-NIV1'!I:I,'AUX-NIV2'!B136,'AUX-NIV1'!Q:Q),"")</f>
        <v>0</v>
      </c>
      <c r="F136" s="327">
        <f t="shared" si="59"/>
        <v>931.92217141099604</v>
      </c>
      <c r="G136" s="327">
        <f t="shared" si="60"/>
        <v>0</v>
      </c>
      <c r="H136" s="328" t="str">
        <f t="shared" ref="H136:H199" si="70">IF(B136&lt;&gt;"",+LEFT(I136,1),"")</f>
        <v>A</v>
      </c>
      <c r="I136" s="325" t="s">
        <v>1746</v>
      </c>
      <c r="J136" s="329" t="str">
        <f>IF(B136&lt;&gt;"",+VLOOKUP(I136,Recursos!C:F,2,FALSE),"")</f>
        <v>OFICIAL</v>
      </c>
      <c r="K136" s="330" t="str">
        <f>IF(B136&lt;&gt;"",+VLOOKUP(I136,Recursos!C:F,3,FALSE),"")</f>
        <v>hh</v>
      </c>
      <c r="L136" s="327">
        <f>IF(B136&lt;&gt;"",+VLOOKUP(I136,Recursos!C:F,4,FALSE),"")</f>
        <v>496.91595439275824</v>
      </c>
      <c r="M136" s="331">
        <v>2</v>
      </c>
      <c r="N136" s="331">
        <v>0.3</v>
      </c>
      <c r="O136" s="332">
        <f t="shared" si="58"/>
        <v>0.6</v>
      </c>
      <c r="P136" s="333">
        <f t="shared" ref="P136:P199" si="71">IF(B136&lt;&gt;"",O136*L136,"")</f>
        <v>298.14957263565492</v>
      </c>
      <c r="Q136" s="327">
        <f t="shared" ref="Q136:Q199" si="72">IF(B136&lt;&gt;"",+O136*E136,"")</f>
        <v>0</v>
      </c>
      <c r="R136" s="334">
        <f t="shared" ref="R136:R199" si="73">IF(B136&lt;&gt;"",Q136*L136,"")</f>
        <v>0</v>
      </c>
      <c r="S136" s="358">
        <f t="shared" si="61"/>
        <v>889.62217141099609</v>
      </c>
      <c r="T136" s="358">
        <f t="shared" si="62"/>
        <v>0</v>
      </c>
      <c r="U136" s="359">
        <f t="shared" si="63"/>
        <v>42.300000000000004</v>
      </c>
      <c r="V136" s="359">
        <f t="shared" si="64"/>
        <v>0</v>
      </c>
      <c r="W136" s="359">
        <f t="shared" si="65"/>
        <v>0</v>
      </c>
      <c r="X136" s="359">
        <f t="shared" si="66"/>
        <v>0</v>
      </c>
      <c r="Y136" s="320"/>
      <c r="Z136" s="321" t="str">
        <f t="shared" ref="Z136:Z199" si="74">IF(B136&lt;&gt;"",+$B136&amp;"A","")</f>
        <v>X-COLOCALADRA</v>
      </c>
      <c r="AA136" s="321" t="str">
        <f t="shared" ref="AA136:AA199" si="75">IF(B136&lt;&gt;"",+$B136&amp;"E","")</f>
        <v>X-COLOCALADRE</v>
      </c>
      <c r="AB136" s="321" t="str">
        <f t="shared" ref="AB136:AB199" si="76">IF(B136&lt;&gt;"",++$B136&amp;"M","")</f>
        <v>X-COLOCALADRM</v>
      </c>
      <c r="AC136" s="321" t="str">
        <f t="shared" ref="AC136:AC199" si="77">IF(B136&lt;&gt;"",+$B136&amp;"T","")</f>
        <v>X-COLOCALADRT</v>
      </c>
      <c r="AD136" s="321" t="str">
        <f t="shared" ref="AD136:AD199" si="78">IF(B136&lt;&gt;"",+$B136&amp;"S","")</f>
        <v>X-COLOCALADRS</v>
      </c>
      <c r="AE136" s="321" t="str">
        <f t="shared" ref="AE136:AE199" si="79">IF(B136&lt;&gt;"",+$B136&amp;"X","")</f>
        <v>X-COLOCALADRX</v>
      </c>
      <c r="AF136" s="321" t="str">
        <f t="shared" ref="AF136:AF199" si="80">IF(B136&lt;&gt;"",+B136&amp;H136,"")</f>
        <v>X-COLOCALADRA</v>
      </c>
      <c r="AG136" s="321">
        <f t="shared" si="67"/>
        <v>4</v>
      </c>
      <c r="AH136" s="321">
        <f>IF(B136&lt;&gt;"",IF(H136="x",VLOOKUP(I136,'AUX-NIV3'!B:AG,32,FALSE),0),"")</f>
        <v>0</v>
      </c>
      <c r="AI136" s="321" t="str">
        <f t="shared" ref="AI136:AI199" si="81">IF(B136&lt;&gt;"",+B136,"")</f>
        <v>X-COLOCALADR</v>
      </c>
      <c r="AJ136" s="320"/>
      <c r="AK136" s="322">
        <f t="shared" si="68"/>
        <v>135</v>
      </c>
      <c r="AL136" s="323">
        <f t="shared" ref="AL136:AL199" si="82">IF(B136&lt;&gt;"",+AK136+AG136-1,"")</f>
        <v>138</v>
      </c>
      <c r="AM136" s="322">
        <f t="shared" ref="AM136:AM199" si="83">IF(B136&lt;&gt;"",IF(B136=B135,1+AM135,1),"")</f>
        <v>2</v>
      </c>
      <c r="AN136" s="380">
        <f>IF(AND(AH136&gt;0,B136&lt;&gt;""),VLOOKUP(I136,'AUX-NIV3'!$B:$AO,39,FALSE)*O136,0)</f>
        <v>0</v>
      </c>
      <c r="AO136" s="380">
        <f t="shared" si="69"/>
        <v>2</v>
      </c>
      <c r="AP136" s="380"/>
    </row>
    <row r="137" spans="2:42" ht="14.4" hidden="1" thickTop="1" thickBot="1">
      <c r="B137" s="324" t="s">
        <v>1268</v>
      </c>
      <c r="C137" s="325" t="s">
        <v>17</v>
      </c>
      <c r="D137" s="326" t="s">
        <v>501</v>
      </c>
      <c r="E137" s="327">
        <f>IF(B137&lt;&gt;"",SUMIF('AUX-NIV1'!I:I,'AUX-NIV2'!B137,'AUX-NIV1'!Q:Q),"")</f>
        <v>0</v>
      </c>
      <c r="F137" s="327">
        <f t="shared" si="59"/>
        <v>931.92217141099604</v>
      </c>
      <c r="G137" s="327">
        <f t="shared" si="60"/>
        <v>0</v>
      </c>
      <c r="H137" s="328" t="str">
        <f t="shared" si="70"/>
        <v>M</v>
      </c>
      <c r="I137" s="325" t="s">
        <v>621</v>
      </c>
      <c r="J137" s="329" t="str">
        <f>IF(B137&lt;&gt;"",+VLOOKUP(I137,Recursos!C:F,2,FALSE),"")</f>
        <v>MATERIALES VARIOS</v>
      </c>
      <c r="K137" s="330" t="str">
        <f>IF(B137&lt;&gt;"",+VLOOKUP(I137,Recursos!C:F,3,FALSE),"")</f>
        <v>GL</v>
      </c>
      <c r="L137" s="327">
        <f>IF(B137&lt;&gt;"",+VLOOKUP(I137,Recursos!C:F,4,FALSE),"")</f>
        <v>0.5</v>
      </c>
      <c r="M137" s="331">
        <v>3</v>
      </c>
      <c r="N137" s="331">
        <v>1</v>
      </c>
      <c r="O137" s="332">
        <f t="shared" si="58"/>
        <v>3</v>
      </c>
      <c r="P137" s="333">
        <f t="shared" si="71"/>
        <v>1.5</v>
      </c>
      <c r="Q137" s="327">
        <f t="shared" si="72"/>
        <v>0</v>
      </c>
      <c r="R137" s="334">
        <f t="shared" si="73"/>
        <v>0</v>
      </c>
      <c r="S137" s="358">
        <f t="shared" si="61"/>
        <v>889.62217141099609</v>
      </c>
      <c r="T137" s="358">
        <f t="shared" si="62"/>
        <v>0</v>
      </c>
      <c r="U137" s="359">
        <f t="shared" si="63"/>
        <v>42.300000000000004</v>
      </c>
      <c r="V137" s="359">
        <f t="shared" si="64"/>
        <v>0</v>
      </c>
      <c r="W137" s="359">
        <f t="shared" si="65"/>
        <v>0</v>
      </c>
      <c r="X137" s="359">
        <f t="shared" si="66"/>
        <v>0</v>
      </c>
      <c r="Y137" s="320"/>
      <c r="Z137" s="321" t="str">
        <f t="shared" si="74"/>
        <v>X-COLOCALADRA</v>
      </c>
      <c r="AA137" s="321" t="str">
        <f t="shared" si="75"/>
        <v>X-COLOCALADRE</v>
      </c>
      <c r="AB137" s="321" t="str">
        <f t="shared" si="76"/>
        <v>X-COLOCALADRM</v>
      </c>
      <c r="AC137" s="321" t="str">
        <f t="shared" si="77"/>
        <v>X-COLOCALADRT</v>
      </c>
      <c r="AD137" s="321" t="str">
        <f t="shared" si="78"/>
        <v>X-COLOCALADRS</v>
      </c>
      <c r="AE137" s="321" t="str">
        <f t="shared" si="79"/>
        <v>X-COLOCALADRX</v>
      </c>
      <c r="AF137" s="321" t="str">
        <f t="shared" si="80"/>
        <v>X-COLOCALADRM</v>
      </c>
      <c r="AG137" s="321">
        <f t="shared" si="67"/>
        <v>4</v>
      </c>
      <c r="AH137" s="321">
        <f>IF(B137&lt;&gt;"",IF(H137="x",VLOOKUP(I137,'AUX-NIV3'!B:AG,32,FALSE),0),"")</f>
        <v>0</v>
      </c>
      <c r="AI137" s="321" t="str">
        <f t="shared" si="81"/>
        <v>X-COLOCALADR</v>
      </c>
      <c r="AJ137" s="320"/>
      <c r="AK137" s="322">
        <f t="shared" si="68"/>
        <v>135</v>
      </c>
      <c r="AL137" s="323">
        <f t="shared" si="82"/>
        <v>138</v>
      </c>
      <c r="AM137" s="322">
        <f t="shared" si="83"/>
        <v>3</v>
      </c>
      <c r="AN137" s="380">
        <f>IF(AND(AH137&gt;0,B137&lt;&gt;""),VLOOKUP(I137,'AUX-NIV3'!$B:$AO,39,FALSE)*O137,0)</f>
        <v>0</v>
      </c>
      <c r="AO137" s="380">
        <f t="shared" si="69"/>
        <v>2</v>
      </c>
      <c r="AP137" s="380"/>
    </row>
    <row r="138" spans="2:42" ht="14.4" hidden="1" thickTop="1" thickBot="1">
      <c r="B138" s="324" t="s">
        <v>1268</v>
      </c>
      <c r="C138" s="325" t="s">
        <v>17</v>
      </c>
      <c r="D138" s="326" t="s">
        <v>501</v>
      </c>
      <c r="E138" s="327">
        <f>IF(B138&lt;&gt;"",SUMIF('AUX-NIV1'!I:I,'AUX-NIV2'!B138,'AUX-NIV1'!Q:Q),"")</f>
        <v>0</v>
      </c>
      <c r="F138" s="327">
        <f t="shared" si="59"/>
        <v>931.92217141099604</v>
      </c>
      <c r="G138" s="327">
        <f t="shared" si="60"/>
        <v>0</v>
      </c>
      <c r="H138" s="328" t="str">
        <f t="shared" si="70"/>
        <v>M</v>
      </c>
      <c r="I138" s="325" t="s">
        <v>592</v>
      </c>
      <c r="J138" s="329" t="str">
        <f>IF(B138&lt;&gt;"",+VLOOKUP(I138,Recursos!C:F,2,FALSE),"")</f>
        <v>LADRILLOS CERÁMICOS</v>
      </c>
      <c r="K138" s="330" t="str">
        <f>IF(B138&lt;&gt;"",+VLOOKUP(I138,Recursos!C:F,3,FALSE),"")</f>
        <v>UN</v>
      </c>
      <c r="L138" s="327">
        <f>IF(B138&lt;&gt;"",+VLOOKUP(I138,Recursos!C:F,4,FALSE),"")</f>
        <v>0.8</v>
      </c>
      <c r="M138" s="331">
        <v>51</v>
      </c>
      <c r="N138" s="331">
        <v>1</v>
      </c>
      <c r="O138" s="332">
        <f t="shared" si="58"/>
        <v>51</v>
      </c>
      <c r="P138" s="333">
        <f t="shared" si="71"/>
        <v>40.800000000000004</v>
      </c>
      <c r="Q138" s="327">
        <f t="shared" si="72"/>
        <v>0</v>
      </c>
      <c r="R138" s="334">
        <f t="shared" si="73"/>
        <v>0</v>
      </c>
      <c r="S138" s="358">
        <f t="shared" si="61"/>
        <v>889.62217141099609</v>
      </c>
      <c r="T138" s="358">
        <f t="shared" si="62"/>
        <v>0</v>
      </c>
      <c r="U138" s="359">
        <f t="shared" si="63"/>
        <v>42.300000000000004</v>
      </c>
      <c r="V138" s="359">
        <f t="shared" si="64"/>
        <v>0</v>
      </c>
      <c r="W138" s="359">
        <f t="shared" si="65"/>
        <v>0</v>
      </c>
      <c r="X138" s="359">
        <f t="shared" si="66"/>
        <v>0</v>
      </c>
      <c r="Y138" s="320"/>
      <c r="Z138" s="321" t="str">
        <f t="shared" si="74"/>
        <v>X-COLOCALADRA</v>
      </c>
      <c r="AA138" s="321" t="str">
        <f t="shared" si="75"/>
        <v>X-COLOCALADRE</v>
      </c>
      <c r="AB138" s="321" t="str">
        <f t="shared" si="76"/>
        <v>X-COLOCALADRM</v>
      </c>
      <c r="AC138" s="321" t="str">
        <f t="shared" si="77"/>
        <v>X-COLOCALADRT</v>
      </c>
      <c r="AD138" s="321" t="str">
        <f t="shared" si="78"/>
        <v>X-COLOCALADRS</v>
      </c>
      <c r="AE138" s="321" t="str">
        <f t="shared" si="79"/>
        <v>X-COLOCALADRX</v>
      </c>
      <c r="AF138" s="321" t="str">
        <f t="shared" si="80"/>
        <v>X-COLOCALADRM</v>
      </c>
      <c r="AG138" s="321">
        <f t="shared" si="67"/>
        <v>4</v>
      </c>
      <c r="AH138" s="321">
        <f>IF(B138&lt;&gt;"",IF(H138="x",VLOOKUP(I138,'AUX-NIV3'!B:AG,32,FALSE),0),"")</f>
        <v>0</v>
      </c>
      <c r="AI138" s="321" t="str">
        <f t="shared" si="81"/>
        <v>X-COLOCALADR</v>
      </c>
      <c r="AJ138" s="320"/>
      <c r="AK138" s="322">
        <f t="shared" si="68"/>
        <v>135</v>
      </c>
      <c r="AL138" s="323">
        <f t="shared" si="82"/>
        <v>138</v>
      </c>
      <c r="AM138" s="322">
        <f t="shared" si="83"/>
        <v>4</v>
      </c>
      <c r="AN138" s="380">
        <f>IF(AND(AH138&gt;0,B138&lt;&gt;""),VLOOKUP(I138,'AUX-NIV3'!$B:$AO,39,FALSE)*O138,0)</f>
        <v>0</v>
      </c>
      <c r="AO138" s="380">
        <f t="shared" si="69"/>
        <v>2</v>
      </c>
      <c r="AP138" s="380"/>
    </row>
    <row r="139" spans="2:42" ht="14.4" hidden="1" thickTop="1" thickBot="1">
      <c r="B139" s="324" t="s">
        <v>1269</v>
      </c>
      <c r="C139" s="325" t="s">
        <v>18</v>
      </c>
      <c r="D139" s="326" t="s">
        <v>1160</v>
      </c>
      <c r="E139" s="327">
        <f>IF(B139&lt;&gt;"",SUMIF('AUX-NIV1'!I:I,'AUX-NIV2'!B139,'AUX-NIV1'!Q:Q),"")</f>
        <v>0</v>
      </c>
      <c r="F139" s="327">
        <f t="shared" si="59"/>
        <v>1090.5254801449394</v>
      </c>
      <c r="G139" s="327">
        <f t="shared" si="60"/>
        <v>0</v>
      </c>
      <c r="H139" s="328" t="str">
        <f t="shared" si="70"/>
        <v>A</v>
      </c>
      <c r="I139" s="325" t="s">
        <v>3312</v>
      </c>
      <c r="J139" s="329" t="str">
        <f>IF(B139&lt;&gt;"",+VLOOKUP(I139,Recursos!C:F,2,FALSE),"")</f>
        <v>CHOFER</v>
      </c>
      <c r="K139" s="330" t="str">
        <f>IF(B139&lt;&gt;"",+VLOOKUP(I139,Recursos!C:F,3,FALSE),"")</f>
        <v>hh</v>
      </c>
      <c r="L139" s="327">
        <f>IF(B139&lt;&gt;"",+VLOOKUP(I139,Recursos!C:F,4,FALSE),"")</f>
        <v>496.91595439275824</v>
      </c>
      <c r="M139" s="331">
        <v>18</v>
      </c>
      <c r="N139" s="331">
        <v>1.25</v>
      </c>
      <c r="O139" s="332">
        <f t="shared" ref="O139:O146" si="84">1/M139*N139</f>
        <v>6.9444444444444448E-2</v>
      </c>
      <c r="P139" s="333">
        <f t="shared" si="71"/>
        <v>34.508052388385991</v>
      </c>
      <c r="Q139" s="327">
        <f t="shared" si="72"/>
        <v>0</v>
      </c>
      <c r="R139" s="334">
        <f t="shared" si="73"/>
        <v>0</v>
      </c>
      <c r="S139" s="358">
        <f t="shared" si="61"/>
        <v>101.32074643523649</v>
      </c>
      <c r="T139" s="358">
        <f t="shared" si="62"/>
        <v>228.8832612121212</v>
      </c>
      <c r="U139" s="359">
        <f t="shared" si="63"/>
        <v>0</v>
      </c>
      <c r="V139" s="359">
        <f t="shared" si="64"/>
        <v>0</v>
      </c>
      <c r="W139" s="359">
        <f t="shared" si="65"/>
        <v>0</v>
      </c>
      <c r="X139" s="359">
        <f t="shared" si="66"/>
        <v>760.32147249758168</v>
      </c>
      <c r="Y139" s="320"/>
      <c r="Z139" s="321" t="str">
        <f t="shared" si="74"/>
        <v>X-EDOSREVA</v>
      </c>
      <c r="AA139" s="321" t="str">
        <f t="shared" si="75"/>
        <v>X-EDOSREVE</v>
      </c>
      <c r="AB139" s="321" t="str">
        <f t="shared" si="76"/>
        <v>X-EDOSREVM</v>
      </c>
      <c r="AC139" s="321" t="str">
        <f t="shared" si="77"/>
        <v>X-EDOSREVT</v>
      </c>
      <c r="AD139" s="321" t="str">
        <f t="shared" si="78"/>
        <v>X-EDOSREVS</v>
      </c>
      <c r="AE139" s="321" t="str">
        <f t="shared" si="79"/>
        <v>X-EDOSREVX</v>
      </c>
      <c r="AF139" s="321" t="str">
        <f t="shared" si="80"/>
        <v>X-EDOSREVA</v>
      </c>
      <c r="AG139" s="321">
        <f t="shared" si="67"/>
        <v>14</v>
      </c>
      <c r="AH139" s="321">
        <f>IF(B139&lt;&gt;"",IF(H139="x",VLOOKUP(I139,'AUX-NIV3'!B:AG,32,FALSE),0),"")</f>
        <v>0</v>
      </c>
      <c r="AI139" s="321" t="str">
        <f t="shared" si="81"/>
        <v>X-EDOSREV</v>
      </c>
      <c r="AJ139" s="320"/>
      <c r="AK139" s="322">
        <f t="shared" si="68"/>
        <v>139</v>
      </c>
      <c r="AL139" s="323">
        <f t="shared" si="82"/>
        <v>152</v>
      </c>
      <c r="AM139" s="322">
        <f t="shared" si="83"/>
        <v>1</v>
      </c>
      <c r="AN139" s="380">
        <f>IF(AND(AH139&gt;0,B139&lt;&gt;""),VLOOKUP(I139,'AUX-NIV3'!$B:$AO,39,FALSE)*O139,0)</f>
        <v>0</v>
      </c>
      <c r="AO139" s="380">
        <f t="shared" si="69"/>
        <v>0.36787999999999998</v>
      </c>
      <c r="AP139" s="380"/>
    </row>
    <row r="140" spans="2:42" ht="14.4" hidden="1" thickTop="1" thickBot="1">
      <c r="B140" s="324" t="s">
        <v>1269</v>
      </c>
      <c r="C140" s="325" t="s">
        <v>18</v>
      </c>
      <c r="D140" s="326" t="s">
        <v>1160</v>
      </c>
      <c r="E140" s="327">
        <f>IF(B140&lt;&gt;"",SUMIF('AUX-NIV1'!I:I,'AUX-NIV2'!B140,'AUX-NIV1'!Q:Q),"")</f>
        <v>0</v>
      </c>
      <c r="F140" s="327">
        <f t="shared" si="59"/>
        <v>1090.5254801449394</v>
      </c>
      <c r="G140" s="327">
        <f t="shared" si="60"/>
        <v>0</v>
      </c>
      <c r="H140" s="328" t="str">
        <f t="shared" si="70"/>
        <v>A</v>
      </c>
      <c r="I140" s="325" t="s">
        <v>3311</v>
      </c>
      <c r="J140" s="329" t="str">
        <f>IF(B140&lt;&gt;"",+VLOOKUP(I140,Recursos!C:F,2,FALSE),"")</f>
        <v>OPER. EQUIPO</v>
      </c>
      <c r="K140" s="330" t="str">
        <f>IF(B140&lt;&gt;"",+VLOOKUP(I140,Recursos!C:F,3,FALSE),"")</f>
        <v>hh</v>
      </c>
      <c r="L140" s="327">
        <f>IF(B140&lt;&gt;"",+VLOOKUP(I140,Recursos!C:F,4,FALSE),"")</f>
        <v>581.06120476836554</v>
      </c>
      <c r="M140" s="331">
        <v>100</v>
      </c>
      <c r="N140" s="331">
        <v>1.4</v>
      </c>
      <c r="O140" s="332">
        <f t="shared" si="84"/>
        <v>1.3999999999999999E-2</v>
      </c>
      <c r="P140" s="333">
        <f t="shared" si="71"/>
        <v>8.1348568667571168</v>
      </c>
      <c r="Q140" s="327">
        <f t="shared" si="72"/>
        <v>0</v>
      </c>
      <c r="R140" s="334">
        <f t="shared" si="73"/>
        <v>0</v>
      </c>
      <c r="S140" s="358">
        <f t="shared" si="61"/>
        <v>101.32074643523649</v>
      </c>
      <c r="T140" s="358">
        <f t="shared" si="62"/>
        <v>228.8832612121212</v>
      </c>
      <c r="U140" s="359">
        <f t="shared" si="63"/>
        <v>0</v>
      </c>
      <c r="V140" s="359">
        <f t="shared" si="64"/>
        <v>0</v>
      </c>
      <c r="W140" s="359">
        <f t="shared" si="65"/>
        <v>0</v>
      </c>
      <c r="X140" s="359">
        <f t="shared" si="66"/>
        <v>760.32147249758168</v>
      </c>
      <c r="Y140" s="320"/>
      <c r="Z140" s="321" t="str">
        <f t="shared" si="74"/>
        <v>X-EDOSREVA</v>
      </c>
      <c r="AA140" s="321" t="str">
        <f t="shared" si="75"/>
        <v>X-EDOSREVE</v>
      </c>
      <c r="AB140" s="321" t="str">
        <f t="shared" si="76"/>
        <v>X-EDOSREVM</v>
      </c>
      <c r="AC140" s="321" t="str">
        <f t="shared" si="77"/>
        <v>X-EDOSREVT</v>
      </c>
      <c r="AD140" s="321" t="str">
        <f t="shared" si="78"/>
        <v>X-EDOSREVS</v>
      </c>
      <c r="AE140" s="321" t="str">
        <f t="shared" si="79"/>
        <v>X-EDOSREVX</v>
      </c>
      <c r="AF140" s="321" t="str">
        <f t="shared" si="80"/>
        <v>X-EDOSREVA</v>
      </c>
      <c r="AG140" s="321">
        <f t="shared" si="67"/>
        <v>14</v>
      </c>
      <c r="AH140" s="321">
        <f>IF(B140&lt;&gt;"",IF(H140="x",VLOOKUP(I140,'AUX-NIV3'!B:AG,32,FALSE),0),"")</f>
        <v>0</v>
      </c>
      <c r="AI140" s="321" t="str">
        <f t="shared" si="81"/>
        <v>X-EDOSREV</v>
      </c>
      <c r="AJ140" s="320"/>
      <c r="AK140" s="322">
        <f t="shared" si="68"/>
        <v>139</v>
      </c>
      <c r="AL140" s="323">
        <f t="shared" si="82"/>
        <v>152</v>
      </c>
      <c r="AM140" s="322">
        <f t="shared" si="83"/>
        <v>2</v>
      </c>
      <c r="AN140" s="380">
        <f>IF(AND(AH140&gt;0,B140&lt;&gt;""),VLOOKUP(I140,'AUX-NIV3'!$B:$AO,39,FALSE)*O140,0)</f>
        <v>0</v>
      </c>
      <c r="AO140" s="380">
        <f t="shared" si="69"/>
        <v>0.36787999999999998</v>
      </c>
      <c r="AP140" s="380"/>
    </row>
    <row r="141" spans="2:42" ht="14.4" hidden="1" thickTop="1" thickBot="1">
      <c r="B141" s="324" t="s">
        <v>1269</v>
      </c>
      <c r="C141" s="325" t="s">
        <v>18</v>
      </c>
      <c r="D141" s="326" t="s">
        <v>1160</v>
      </c>
      <c r="E141" s="327">
        <f>IF(B141&lt;&gt;"",SUMIF('AUX-NIV1'!I:I,'AUX-NIV2'!B141,'AUX-NIV1'!Q:Q),"")</f>
        <v>0</v>
      </c>
      <c r="F141" s="327">
        <f t="shared" si="59"/>
        <v>1090.5254801449394</v>
      </c>
      <c r="G141" s="327">
        <f t="shared" si="60"/>
        <v>0</v>
      </c>
      <c r="H141" s="328" t="str">
        <f t="shared" si="70"/>
        <v>A</v>
      </c>
      <c r="I141" s="325" t="s">
        <v>3311</v>
      </c>
      <c r="J141" s="329" t="str">
        <f>IF(B141&lt;&gt;"",+VLOOKUP(I141,Recursos!C:F,2,FALSE),"")</f>
        <v>OPER. EQUIPO</v>
      </c>
      <c r="K141" s="330" t="str">
        <f>IF(B141&lt;&gt;"",+VLOOKUP(I141,Recursos!C:F,3,FALSE),"")</f>
        <v>hh</v>
      </c>
      <c r="L141" s="327">
        <f>IF(B141&lt;&gt;"",+VLOOKUP(I141,Recursos!C:F,4,FALSE),"")</f>
        <v>581.06120476836554</v>
      </c>
      <c r="M141" s="331">
        <v>10</v>
      </c>
      <c r="N141" s="331">
        <v>0</v>
      </c>
      <c r="O141" s="332">
        <f t="shared" si="84"/>
        <v>0</v>
      </c>
      <c r="P141" s="333">
        <f t="shared" si="71"/>
        <v>0</v>
      </c>
      <c r="Q141" s="327">
        <f t="shared" si="72"/>
        <v>0</v>
      </c>
      <c r="R141" s="334">
        <f t="shared" si="73"/>
        <v>0</v>
      </c>
      <c r="S141" s="358">
        <f t="shared" si="61"/>
        <v>101.32074643523649</v>
      </c>
      <c r="T141" s="358">
        <f t="shared" si="62"/>
        <v>228.8832612121212</v>
      </c>
      <c r="U141" s="359">
        <f t="shared" si="63"/>
        <v>0</v>
      </c>
      <c r="V141" s="359">
        <f t="shared" si="64"/>
        <v>0</v>
      </c>
      <c r="W141" s="359">
        <f t="shared" si="65"/>
        <v>0</v>
      </c>
      <c r="X141" s="359">
        <f t="shared" si="66"/>
        <v>760.32147249758168</v>
      </c>
      <c r="Y141" s="320"/>
      <c r="Z141" s="321" t="str">
        <f t="shared" si="74"/>
        <v>X-EDOSREVA</v>
      </c>
      <c r="AA141" s="321" t="str">
        <f t="shared" si="75"/>
        <v>X-EDOSREVE</v>
      </c>
      <c r="AB141" s="321" t="str">
        <f t="shared" si="76"/>
        <v>X-EDOSREVM</v>
      </c>
      <c r="AC141" s="321" t="str">
        <f t="shared" si="77"/>
        <v>X-EDOSREVT</v>
      </c>
      <c r="AD141" s="321" t="str">
        <f t="shared" si="78"/>
        <v>X-EDOSREVS</v>
      </c>
      <c r="AE141" s="321" t="str">
        <f t="shared" si="79"/>
        <v>X-EDOSREVX</v>
      </c>
      <c r="AF141" s="321" t="str">
        <f t="shared" si="80"/>
        <v>X-EDOSREVA</v>
      </c>
      <c r="AG141" s="321">
        <f t="shared" si="67"/>
        <v>14</v>
      </c>
      <c r="AH141" s="321">
        <f>IF(B141&lt;&gt;"",IF(H141="x",VLOOKUP(I141,'AUX-NIV3'!B:AG,32,FALSE),0),"")</f>
        <v>0</v>
      </c>
      <c r="AI141" s="321" t="str">
        <f t="shared" si="81"/>
        <v>X-EDOSREV</v>
      </c>
      <c r="AJ141" s="320"/>
      <c r="AK141" s="322">
        <f t="shared" si="68"/>
        <v>139</v>
      </c>
      <c r="AL141" s="323">
        <f t="shared" si="82"/>
        <v>152</v>
      </c>
      <c r="AM141" s="322">
        <f t="shared" si="83"/>
        <v>3</v>
      </c>
      <c r="AN141" s="380">
        <f>IF(AND(AH141&gt;0,B141&lt;&gt;""),VLOOKUP(I141,'AUX-NIV3'!$B:$AO,39,FALSE)*O141,0)</f>
        <v>0</v>
      </c>
      <c r="AO141" s="380">
        <f t="shared" si="69"/>
        <v>0.36787999999999998</v>
      </c>
      <c r="AP141" s="380"/>
    </row>
    <row r="142" spans="2:42" ht="14.4" hidden="1" thickTop="1" thickBot="1">
      <c r="B142" s="324" t="s">
        <v>1269</v>
      </c>
      <c r="C142" s="325" t="s">
        <v>18</v>
      </c>
      <c r="D142" s="326" t="s">
        <v>1160</v>
      </c>
      <c r="E142" s="327">
        <f>IF(B142&lt;&gt;"",SUMIF('AUX-NIV1'!I:I,'AUX-NIV2'!B142,'AUX-NIV1'!Q:Q),"")</f>
        <v>0</v>
      </c>
      <c r="F142" s="327">
        <f t="shared" si="59"/>
        <v>1090.5254801449394</v>
      </c>
      <c r="G142" s="327">
        <f t="shared" si="60"/>
        <v>0</v>
      </c>
      <c r="H142" s="328" t="str">
        <f t="shared" si="70"/>
        <v>A</v>
      </c>
      <c r="I142" s="325" t="s">
        <v>1745</v>
      </c>
      <c r="J142" s="329" t="str">
        <f>IF(B142&lt;&gt;"",+VLOOKUP(I142,Recursos!C:F,2,FALSE),"")</f>
        <v>AYUDANTE</v>
      </c>
      <c r="K142" s="330" t="str">
        <f>IF(B142&lt;&gt;"",+VLOOKUP(I142,Recursos!C:F,3,FALSE),"")</f>
        <v>hh</v>
      </c>
      <c r="L142" s="327">
        <f>IF(B142&lt;&gt;"",+VLOOKUP(I142,Recursos!C:F,4,FALSE),"")</f>
        <v>422.48042769667234</v>
      </c>
      <c r="M142" s="331">
        <v>18</v>
      </c>
      <c r="N142" s="331">
        <v>2.5</v>
      </c>
      <c r="O142" s="332">
        <f t="shared" si="84"/>
        <v>0.1388888888888889</v>
      </c>
      <c r="P142" s="333">
        <f t="shared" si="71"/>
        <v>58.677837180093384</v>
      </c>
      <c r="Q142" s="327">
        <f t="shared" si="72"/>
        <v>0</v>
      </c>
      <c r="R142" s="334">
        <f t="shared" si="73"/>
        <v>0</v>
      </c>
      <c r="S142" s="358">
        <f t="shared" si="61"/>
        <v>101.32074643523649</v>
      </c>
      <c r="T142" s="358">
        <f t="shared" si="62"/>
        <v>228.8832612121212</v>
      </c>
      <c r="U142" s="359">
        <f t="shared" si="63"/>
        <v>0</v>
      </c>
      <c r="V142" s="359">
        <f t="shared" si="64"/>
        <v>0</v>
      </c>
      <c r="W142" s="359">
        <f t="shared" si="65"/>
        <v>0</v>
      </c>
      <c r="X142" s="359">
        <f t="shared" si="66"/>
        <v>760.32147249758168</v>
      </c>
      <c r="Y142" s="320"/>
      <c r="Z142" s="321" t="str">
        <f t="shared" si="74"/>
        <v>X-EDOSREVA</v>
      </c>
      <c r="AA142" s="321" t="str">
        <f t="shared" si="75"/>
        <v>X-EDOSREVE</v>
      </c>
      <c r="AB142" s="321" t="str">
        <f t="shared" si="76"/>
        <v>X-EDOSREVM</v>
      </c>
      <c r="AC142" s="321" t="str">
        <f t="shared" si="77"/>
        <v>X-EDOSREVT</v>
      </c>
      <c r="AD142" s="321" t="str">
        <f t="shared" si="78"/>
        <v>X-EDOSREVS</v>
      </c>
      <c r="AE142" s="321" t="str">
        <f t="shared" si="79"/>
        <v>X-EDOSREVX</v>
      </c>
      <c r="AF142" s="321" t="str">
        <f t="shared" si="80"/>
        <v>X-EDOSREVA</v>
      </c>
      <c r="AG142" s="321">
        <f t="shared" si="67"/>
        <v>14</v>
      </c>
      <c r="AH142" s="321">
        <f>IF(B142&lt;&gt;"",IF(H142="x",VLOOKUP(I142,'AUX-NIV3'!B:AG,32,FALSE),0),"")</f>
        <v>0</v>
      </c>
      <c r="AI142" s="321" t="str">
        <f t="shared" si="81"/>
        <v>X-EDOSREV</v>
      </c>
      <c r="AJ142" s="320"/>
      <c r="AK142" s="322">
        <f t="shared" si="68"/>
        <v>139</v>
      </c>
      <c r="AL142" s="323">
        <f t="shared" si="82"/>
        <v>152</v>
      </c>
      <c r="AM142" s="322">
        <f t="shared" si="83"/>
        <v>4</v>
      </c>
      <c r="AN142" s="380">
        <f>IF(AND(AH142&gt;0,B142&lt;&gt;""),VLOOKUP(I142,'AUX-NIV3'!$B:$AO,39,FALSE)*O142,0)</f>
        <v>0</v>
      </c>
      <c r="AO142" s="380">
        <f t="shared" si="69"/>
        <v>0.36787999999999998</v>
      </c>
      <c r="AP142" s="380"/>
    </row>
    <row r="143" spans="2:42" ht="14.4" hidden="1" thickTop="1" thickBot="1">
      <c r="B143" s="324" t="s">
        <v>1269</v>
      </c>
      <c r="C143" s="325" t="s">
        <v>18</v>
      </c>
      <c r="D143" s="326" t="s">
        <v>1160</v>
      </c>
      <c r="E143" s="327">
        <f>IF(B143&lt;&gt;"",SUMIF('AUX-NIV1'!I:I,'AUX-NIV2'!B143,'AUX-NIV1'!Q:Q),"")</f>
        <v>0</v>
      </c>
      <c r="F143" s="327">
        <f t="shared" si="59"/>
        <v>1090.5254801449394</v>
      </c>
      <c r="G143" s="327">
        <f t="shared" si="60"/>
        <v>0</v>
      </c>
      <c r="H143" s="328" t="str">
        <f t="shared" si="70"/>
        <v>E</v>
      </c>
      <c r="I143" s="325" t="s">
        <v>1555</v>
      </c>
      <c r="J143" s="329" t="str">
        <f>IF(B143&lt;&gt;"",+VLOOKUP(I143,Recursos!C:F,2,FALSE),"")</f>
        <v>CAMION VOLCADOR 6x4 CAP. 24 T=15 m3</v>
      </c>
      <c r="K143" s="330" t="str">
        <f>IF(B143&lt;&gt;"",+VLOOKUP(I143,Recursos!C:F,3,FALSE),"")</f>
        <v>HR</v>
      </c>
      <c r="L143" s="327">
        <f>IF(B143&lt;&gt;"",+VLOOKUP(I143,Recursos!C:F,4,FALSE),"")</f>
        <v>3333.261</v>
      </c>
      <c r="M143" s="331">
        <v>18</v>
      </c>
      <c r="N143" s="331">
        <v>1</v>
      </c>
      <c r="O143" s="332">
        <f t="shared" si="84"/>
        <v>5.5555555555555552E-2</v>
      </c>
      <c r="P143" s="333">
        <f t="shared" si="71"/>
        <v>185.18116666666666</v>
      </c>
      <c r="Q143" s="327">
        <f t="shared" si="72"/>
        <v>0</v>
      </c>
      <c r="R143" s="334">
        <f t="shared" si="73"/>
        <v>0</v>
      </c>
      <c r="S143" s="358">
        <f t="shared" si="61"/>
        <v>101.32074643523649</v>
      </c>
      <c r="T143" s="358">
        <f t="shared" si="62"/>
        <v>228.8832612121212</v>
      </c>
      <c r="U143" s="359">
        <f t="shared" si="63"/>
        <v>0</v>
      </c>
      <c r="V143" s="359">
        <f t="shared" si="64"/>
        <v>0</v>
      </c>
      <c r="W143" s="359">
        <f t="shared" si="65"/>
        <v>0</v>
      </c>
      <c r="X143" s="359">
        <f t="shared" si="66"/>
        <v>760.32147249758168</v>
      </c>
      <c r="Y143" s="320"/>
      <c r="Z143" s="321" t="str">
        <f t="shared" si="74"/>
        <v>X-EDOSREVA</v>
      </c>
      <c r="AA143" s="321" t="str">
        <f t="shared" si="75"/>
        <v>X-EDOSREVE</v>
      </c>
      <c r="AB143" s="321" t="str">
        <f t="shared" si="76"/>
        <v>X-EDOSREVM</v>
      </c>
      <c r="AC143" s="321" t="str">
        <f t="shared" si="77"/>
        <v>X-EDOSREVT</v>
      </c>
      <c r="AD143" s="321" t="str">
        <f t="shared" si="78"/>
        <v>X-EDOSREVS</v>
      </c>
      <c r="AE143" s="321" t="str">
        <f t="shared" si="79"/>
        <v>X-EDOSREVX</v>
      </c>
      <c r="AF143" s="321" t="str">
        <f t="shared" si="80"/>
        <v>X-EDOSREVE</v>
      </c>
      <c r="AG143" s="321">
        <f t="shared" si="67"/>
        <v>14</v>
      </c>
      <c r="AH143" s="321">
        <f>IF(B143&lt;&gt;"",IF(H143="x",VLOOKUP(I143,'AUX-NIV3'!B:AG,32,FALSE),0),"")</f>
        <v>0</v>
      </c>
      <c r="AI143" s="321" t="str">
        <f t="shared" si="81"/>
        <v>X-EDOSREV</v>
      </c>
      <c r="AJ143" s="320"/>
      <c r="AK143" s="322">
        <f t="shared" si="68"/>
        <v>139</v>
      </c>
      <c r="AL143" s="323">
        <f t="shared" si="82"/>
        <v>152</v>
      </c>
      <c r="AM143" s="322">
        <f t="shared" si="83"/>
        <v>5</v>
      </c>
      <c r="AN143" s="380">
        <f>IF(AND(AH143&gt;0,B143&lt;&gt;""),VLOOKUP(I143,'AUX-NIV3'!$B:$AO,39,FALSE)*O143,0)</f>
        <v>0</v>
      </c>
      <c r="AO143" s="380">
        <f t="shared" si="69"/>
        <v>0.36787999999999998</v>
      </c>
      <c r="AP143" s="380"/>
    </row>
    <row r="144" spans="2:42" ht="14.4" hidden="1" thickTop="1" thickBot="1">
      <c r="B144" s="324" t="s">
        <v>1269</v>
      </c>
      <c r="C144" s="325" t="s">
        <v>18</v>
      </c>
      <c r="D144" s="326" t="s">
        <v>1160</v>
      </c>
      <c r="E144" s="327">
        <f>IF(B144&lt;&gt;"",SUMIF('AUX-NIV1'!I:I,'AUX-NIV2'!B144,'AUX-NIV1'!Q:Q),"")</f>
        <v>0</v>
      </c>
      <c r="F144" s="327">
        <f t="shared" si="59"/>
        <v>1090.5254801449394</v>
      </c>
      <c r="G144" s="327">
        <f t="shared" si="60"/>
        <v>0</v>
      </c>
      <c r="H144" s="328" t="str">
        <f t="shared" si="70"/>
        <v>E</v>
      </c>
      <c r="I144" s="325" t="s">
        <v>1579</v>
      </c>
      <c r="J144" s="329" t="str">
        <f>IF(B144&lt;&gt;"",+VLOOKUP(I144,Recursos!C:F,2,FALSE),"")</f>
        <v>TRACTOR PANTANERO 8 CUBIERTAS</v>
      </c>
      <c r="K144" s="330" t="str">
        <f>IF(B144&lt;&gt;"",+VLOOKUP(I144,Recursos!C:F,3,FALSE),"")</f>
        <v>HR</v>
      </c>
      <c r="L144" s="327">
        <f>IF(B144&lt;&gt;"",+VLOOKUP(I144,Recursos!C:F,4,FALSE),"")</f>
        <v>3411.4653333333331</v>
      </c>
      <c r="M144" s="331">
        <v>10</v>
      </c>
      <c r="N144" s="331">
        <v>0</v>
      </c>
      <c r="O144" s="332">
        <f t="shared" si="84"/>
        <v>0</v>
      </c>
      <c r="P144" s="333">
        <f t="shared" si="71"/>
        <v>0</v>
      </c>
      <c r="Q144" s="327">
        <f t="shared" si="72"/>
        <v>0</v>
      </c>
      <c r="R144" s="334">
        <f t="shared" si="73"/>
        <v>0</v>
      </c>
      <c r="S144" s="358">
        <f t="shared" si="61"/>
        <v>101.32074643523649</v>
      </c>
      <c r="T144" s="358">
        <f t="shared" si="62"/>
        <v>228.8832612121212</v>
      </c>
      <c r="U144" s="359">
        <f t="shared" si="63"/>
        <v>0</v>
      </c>
      <c r="V144" s="359">
        <f t="shared" si="64"/>
        <v>0</v>
      </c>
      <c r="W144" s="359">
        <f t="shared" si="65"/>
        <v>0</v>
      </c>
      <c r="X144" s="359">
        <f t="shared" si="66"/>
        <v>760.32147249758168</v>
      </c>
      <c r="Y144" s="320"/>
      <c r="Z144" s="321" t="str">
        <f t="shared" si="74"/>
        <v>X-EDOSREVA</v>
      </c>
      <c r="AA144" s="321" t="str">
        <f t="shared" si="75"/>
        <v>X-EDOSREVE</v>
      </c>
      <c r="AB144" s="321" t="str">
        <f t="shared" si="76"/>
        <v>X-EDOSREVM</v>
      </c>
      <c r="AC144" s="321" t="str">
        <f t="shared" si="77"/>
        <v>X-EDOSREVT</v>
      </c>
      <c r="AD144" s="321" t="str">
        <f t="shared" si="78"/>
        <v>X-EDOSREVS</v>
      </c>
      <c r="AE144" s="321" t="str">
        <f t="shared" si="79"/>
        <v>X-EDOSREVX</v>
      </c>
      <c r="AF144" s="321" t="str">
        <f t="shared" si="80"/>
        <v>X-EDOSREVE</v>
      </c>
      <c r="AG144" s="321">
        <f t="shared" si="67"/>
        <v>14</v>
      </c>
      <c r="AH144" s="321">
        <f>IF(B144&lt;&gt;"",IF(H144="x",VLOOKUP(I144,'AUX-NIV3'!B:AG,32,FALSE),0),"")</f>
        <v>0</v>
      </c>
      <c r="AI144" s="321" t="str">
        <f t="shared" si="81"/>
        <v>X-EDOSREV</v>
      </c>
      <c r="AJ144" s="320"/>
      <c r="AK144" s="322">
        <f t="shared" si="68"/>
        <v>139</v>
      </c>
      <c r="AL144" s="323">
        <f t="shared" si="82"/>
        <v>152</v>
      </c>
      <c r="AM144" s="322">
        <f t="shared" si="83"/>
        <v>6</v>
      </c>
      <c r="AN144" s="380">
        <f>IF(AND(AH144&gt;0,B144&lt;&gt;""),VLOOKUP(I144,'AUX-NIV3'!$B:$AO,39,FALSE)*O144,0)</f>
        <v>0</v>
      </c>
      <c r="AO144" s="380">
        <f t="shared" si="69"/>
        <v>0.36787999999999998</v>
      </c>
      <c r="AP144" s="380"/>
    </row>
    <row r="145" spans="2:42" ht="14.4" hidden="1" thickTop="1" thickBot="1">
      <c r="B145" s="324" t="s">
        <v>1269</v>
      </c>
      <c r="C145" s="325" t="s">
        <v>18</v>
      </c>
      <c r="D145" s="326" t="s">
        <v>1160</v>
      </c>
      <c r="E145" s="327">
        <f>IF(B145&lt;&gt;"",SUMIF('AUX-NIV1'!I:I,'AUX-NIV2'!B145,'AUX-NIV1'!Q:Q),"")</f>
        <v>0</v>
      </c>
      <c r="F145" s="327">
        <f t="shared" si="59"/>
        <v>1090.5254801449394</v>
      </c>
      <c r="G145" s="327">
        <f t="shared" si="60"/>
        <v>0</v>
      </c>
      <c r="H145" s="328" t="str">
        <f t="shared" si="70"/>
        <v>E</v>
      </c>
      <c r="I145" s="325" t="s">
        <v>1564</v>
      </c>
      <c r="J145" s="329" t="str">
        <f>IF(B145&lt;&gt;"",+VLOOKUP(I145,Recursos!C:F,2,FALSE),"")</f>
        <v>ACOPLADO O TANQUE CAP. 10 m3</v>
      </c>
      <c r="K145" s="330" t="str">
        <f>IF(B145&lt;&gt;"",+VLOOKUP(I145,Recursos!C:F,3,FALSE),"")</f>
        <v>HR</v>
      </c>
      <c r="L145" s="327">
        <f>IF(B145&lt;&gt;"",+VLOOKUP(I145,Recursos!C:F,4,FALSE),"")</f>
        <v>200.018</v>
      </c>
      <c r="M145" s="331">
        <v>10</v>
      </c>
      <c r="N145" s="331">
        <v>0</v>
      </c>
      <c r="O145" s="332">
        <f t="shared" si="84"/>
        <v>0</v>
      </c>
      <c r="P145" s="333">
        <f t="shared" si="71"/>
        <v>0</v>
      </c>
      <c r="Q145" s="327">
        <f t="shared" si="72"/>
        <v>0</v>
      </c>
      <c r="R145" s="334">
        <f t="shared" si="73"/>
        <v>0</v>
      </c>
      <c r="S145" s="358">
        <f t="shared" si="61"/>
        <v>101.32074643523649</v>
      </c>
      <c r="T145" s="358">
        <f t="shared" si="62"/>
        <v>228.8832612121212</v>
      </c>
      <c r="U145" s="359">
        <f t="shared" si="63"/>
        <v>0</v>
      </c>
      <c r="V145" s="359">
        <f t="shared" si="64"/>
        <v>0</v>
      </c>
      <c r="W145" s="359">
        <f t="shared" si="65"/>
        <v>0</v>
      </c>
      <c r="X145" s="359">
        <f t="shared" si="66"/>
        <v>760.32147249758168</v>
      </c>
      <c r="Y145" s="320"/>
      <c r="Z145" s="321" t="str">
        <f t="shared" si="74"/>
        <v>X-EDOSREVA</v>
      </c>
      <c r="AA145" s="321" t="str">
        <f t="shared" si="75"/>
        <v>X-EDOSREVE</v>
      </c>
      <c r="AB145" s="321" t="str">
        <f t="shared" si="76"/>
        <v>X-EDOSREVM</v>
      </c>
      <c r="AC145" s="321" t="str">
        <f t="shared" si="77"/>
        <v>X-EDOSREVT</v>
      </c>
      <c r="AD145" s="321" t="str">
        <f t="shared" si="78"/>
        <v>X-EDOSREVS</v>
      </c>
      <c r="AE145" s="321" t="str">
        <f t="shared" si="79"/>
        <v>X-EDOSREVX</v>
      </c>
      <c r="AF145" s="321" t="str">
        <f t="shared" si="80"/>
        <v>X-EDOSREVE</v>
      </c>
      <c r="AG145" s="321">
        <f t="shared" si="67"/>
        <v>14</v>
      </c>
      <c r="AH145" s="321">
        <f>IF(B145&lt;&gt;"",IF(H145="x",VLOOKUP(I145,'AUX-NIV3'!B:AG,32,FALSE),0),"")</f>
        <v>0</v>
      </c>
      <c r="AI145" s="321" t="str">
        <f t="shared" si="81"/>
        <v>X-EDOSREV</v>
      </c>
      <c r="AJ145" s="320"/>
      <c r="AK145" s="322">
        <f t="shared" si="68"/>
        <v>139</v>
      </c>
      <c r="AL145" s="323">
        <f t="shared" si="82"/>
        <v>152</v>
      </c>
      <c r="AM145" s="322">
        <f t="shared" si="83"/>
        <v>7</v>
      </c>
      <c r="AN145" s="380">
        <f>IF(AND(AH145&gt;0,B145&lt;&gt;""),VLOOKUP(I145,'AUX-NIV3'!$B:$AO,39,FALSE)*O145,0)</f>
        <v>0</v>
      </c>
      <c r="AO145" s="380">
        <f t="shared" si="69"/>
        <v>0.36787999999999998</v>
      </c>
      <c r="AP145" s="380"/>
    </row>
    <row r="146" spans="2:42" ht="14.4" hidden="1" thickTop="1" thickBot="1">
      <c r="B146" s="324" t="s">
        <v>1269</v>
      </c>
      <c r="C146" s="325" t="s">
        <v>18</v>
      </c>
      <c r="D146" s="326" t="s">
        <v>1160</v>
      </c>
      <c r="E146" s="327">
        <f>IF(B146&lt;&gt;"",SUMIF('AUX-NIV1'!I:I,'AUX-NIV2'!B146,'AUX-NIV1'!Q:Q),"")</f>
        <v>0</v>
      </c>
      <c r="F146" s="327">
        <f t="shared" si="59"/>
        <v>1090.5254801449394</v>
      </c>
      <c r="G146" s="327">
        <f t="shared" si="60"/>
        <v>0</v>
      </c>
      <c r="H146" s="328" t="str">
        <f t="shared" si="70"/>
        <v>E</v>
      </c>
      <c r="I146" s="325" t="s">
        <v>1543</v>
      </c>
      <c r="J146" s="329" t="str">
        <f>IF(B146&lt;&gt;"",+VLOOKUP(I146,Recursos!C:F,2,FALSE),"")</f>
        <v>CARGADOR FRONTAL S/NEUM. (3,00 M3)</v>
      </c>
      <c r="K146" s="330" t="str">
        <f>IF(B146&lt;&gt;"",+VLOOKUP(I146,Recursos!C:F,3,FALSE),"")</f>
        <v>HR</v>
      </c>
      <c r="L146" s="327">
        <f>IF(B146&lt;&gt;"",+VLOOKUP(I146,Recursos!C:F,4,FALSE),"")</f>
        <v>4370.2094545454547</v>
      </c>
      <c r="M146" s="331">
        <v>100</v>
      </c>
      <c r="N146" s="331">
        <v>1</v>
      </c>
      <c r="O146" s="332">
        <f t="shared" si="84"/>
        <v>0.01</v>
      </c>
      <c r="P146" s="333">
        <f t="shared" si="71"/>
        <v>43.70209454545455</v>
      </c>
      <c r="Q146" s="327">
        <f t="shared" si="72"/>
        <v>0</v>
      </c>
      <c r="R146" s="334">
        <f t="shared" si="73"/>
        <v>0</v>
      </c>
      <c r="S146" s="358">
        <f t="shared" si="61"/>
        <v>101.32074643523649</v>
      </c>
      <c r="T146" s="358">
        <f t="shared" si="62"/>
        <v>228.8832612121212</v>
      </c>
      <c r="U146" s="359">
        <f t="shared" si="63"/>
        <v>0</v>
      </c>
      <c r="V146" s="359">
        <f t="shared" si="64"/>
        <v>0</v>
      </c>
      <c r="W146" s="359">
        <f t="shared" si="65"/>
        <v>0</v>
      </c>
      <c r="X146" s="359">
        <f t="shared" si="66"/>
        <v>760.32147249758168</v>
      </c>
      <c r="Y146" s="320"/>
      <c r="Z146" s="321" t="str">
        <f t="shared" si="74"/>
        <v>X-EDOSREVA</v>
      </c>
      <c r="AA146" s="321" t="str">
        <f t="shared" si="75"/>
        <v>X-EDOSREVE</v>
      </c>
      <c r="AB146" s="321" t="str">
        <f t="shared" si="76"/>
        <v>X-EDOSREVM</v>
      </c>
      <c r="AC146" s="321" t="str">
        <f t="shared" si="77"/>
        <v>X-EDOSREVT</v>
      </c>
      <c r="AD146" s="321" t="str">
        <f t="shared" si="78"/>
        <v>X-EDOSREVS</v>
      </c>
      <c r="AE146" s="321" t="str">
        <f t="shared" si="79"/>
        <v>X-EDOSREVX</v>
      </c>
      <c r="AF146" s="321" t="str">
        <f t="shared" si="80"/>
        <v>X-EDOSREVE</v>
      </c>
      <c r="AG146" s="321">
        <f t="shared" si="67"/>
        <v>14</v>
      </c>
      <c r="AH146" s="321">
        <f>IF(B146&lt;&gt;"",IF(H146="x",VLOOKUP(I146,'AUX-NIV3'!B:AG,32,FALSE),0),"")</f>
        <v>0</v>
      </c>
      <c r="AI146" s="321" t="str">
        <f t="shared" si="81"/>
        <v>X-EDOSREV</v>
      </c>
      <c r="AJ146" s="320"/>
      <c r="AK146" s="322">
        <f t="shared" si="68"/>
        <v>139</v>
      </c>
      <c r="AL146" s="323">
        <f t="shared" si="82"/>
        <v>152</v>
      </c>
      <c r="AM146" s="322">
        <f t="shared" si="83"/>
        <v>8</v>
      </c>
      <c r="AN146" s="380">
        <f>IF(AND(AH146&gt;0,B146&lt;&gt;""),VLOOKUP(I146,'AUX-NIV3'!$B:$AO,39,FALSE)*O146,0)</f>
        <v>0</v>
      </c>
      <c r="AO146" s="380">
        <f t="shared" si="69"/>
        <v>0.36787999999999998</v>
      </c>
      <c r="AP146" s="380"/>
    </row>
    <row r="147" spans="2:42" ht="14.4" hidden="1" thickTop="1" thickBot="1">
      <c r="B147" s="324" t="s">
        <v>1269</v>
      </c>
      <c r="C147" s="325" t="s">
        <v>18</v>
      </c>
      <c r="D147" s="326" t="s">
        <v>1160</v>
      </c>
      <c r="E147" s="327">
        <f>IF(B147&lt;&gt;"",SUMIF('AUX-NIV1'!I:I,'AUX-NIV2'!B147,'AUX-NIV1'!Q:Q),"")</f>
        <v>0</v>
      </c>
      <c r="F147" s="327">
        <f t="shared" si="59"/>
        <v>1090.5254801449394</v>
      </c>
      <c r="G147" s="327">
        <f t="shared" si="60"/>
        <v>0</v>
      </c>
      <c r="H147" s="328" t="str">
        <f t="shared" si="70"/>
        <v>M</v>
      </c>
      <c r="I147" s="325" t="s">
        <v>493</v>
      </c>
      <c r="J147" s="329" t="str">
        <f>IF(B147&lt;&gt;"",+VLOOKUP(I147,Recursos!C:F,2,FALSE),"")</f>
        <v>CEMENTO (en obra-bolsa)</v>
      </c>
      <c r="K147" s="330" t="str">
        <f>IF(B147&lt;&gt;"",+VLOOKUP(I147,Recursos!C:F,3,FALSE),"")</f>
        <v>bolsa</v>
      </c>
      <c r="L147" s="327">
        <f>IF(B147&lt;&gt;"",+VLOOKUP(I147,Recursos!C:F,4,FALSE),"")</f>
        <v>21</v>
      </c>
      <c r="M147" s="331">
        <v>225</v>
      </c>
      <c r="N147" s="331">
        <v>0</v>
      </c>
      <c r="O147" s="332">
        <f>+M147/50*N147</f>
        <v>0</v>
      </c>
      <c r="P147" s="333">
        <f t="shared" si="71"/>
        <v>0</v>
      </c>
      <c r="Q147" s="327">
        <f t="shared" si="72"/>
        <v>0</v>
      </c>
      <c r="R147" s="334">
        <f t="shared" si="73"/>
        <v>0</v>
      </c>
      <c r="S147" s="358">
        <f t="shared" si="61"/>
        <v>101.32074643523649</v>
      </c>
      <c r="T147" s="358">
        <f t="shared" si="62"/>
        <v>228.8832612121212</v>
      </c>
      <c r="U147" s="359">
        <f t="shared" si="63"/>
        <v>0</v>
      </c>
      <c r="V147" s="359">
        <f t="shared" si="64"/>
        <v>0</v>
      </c>
      <c r="W147" s="359">
        <f t="shared" si="65"/>
        <v>0</v>
      </c>
      <c r="X147" s="359">
        <f t="shared" si="66"/>
        <v>760.32147249758168</v>
      </c>
      <c r="Y147" s="320"/>
      <c r="Z147" s="321" t="str">
        <f t="shared" si="74"/>
        <v>X-EDOSREVA</v>
      </c>
      <c r="AA147" s="321" t="str">
        <f t="shared" si="75"/>
        <v>X-EDOSREVE</v>
      </c>
      <c r="AB147" s="321" t="str">
        <f t="shared" si="76"/>
        <v>X-EDOSREVM</v>
      </c>
      <c r="AC147" s="321" t="str">
        <f t="shared" si="77"/>
        <v>X-EDOSREVT</v>
      </c>
      <c r="AD147" s="321" t="str">
        <f t="shared" si="78"/>
        <v>X-EDOSREVS</v>
      </c>
      <c r="AE147" s="321" t="str">
        <f t="shared" si="79"/>
        <v>X-EDOSREVX</v>
      </c>
      <c r="AF147" s="321" t="str">
        <f t="shared" si="80"/>
        <v>X-EDOSREVM</v>
      </c>
      <c r="AG147" s="321">
        <f t="shared" si="67"/>
        <v>14</v>
      </c>
      <c r="AH147" s="321">
        <f>IF(B147&lt;&gt;"",IF(H147="x",VLOOKUP(I147,'AUX-NIV3'!B:AG,32,FALSE),0),"")</f>
        <v>0</v>
      </c>
      <c r="AI147" s="321" t="str">
        <f t="shared" si="81"/>
        <v>X-EDOSREV</v>
      </c>
      <c r="AJ147" s="320"/>
      <c r="AK147" s="322">
        <f t="shared" si="68"/>
        <v>139</v>
      </c>
      <c r="AL147" s="323">
        <f t="shared" si="82"/>
        <v>152</v>
      </c>
      <c r="AM147" s="322">
        <f t="shared" si="83"/>
        <v>9</v>
      </c>
      <c r="AN147" s="380">
        <f>IF(AND(AH147&gt;0,B147&lt;&gt;""),VLOOKUP(I147,'AUX-NIV3'!$B:$AO,39,FALSE)*O147,0)</f>
        <v>0</v>
      </c>
      <c r="AO147" s="380">
        <f t="shared" si="69"/>
        <v>0.36787999999999998</v>
      </c>
      <c r="AP147" s="380"/>
    </row>
    <row r="148" spans="2:42" ht="14.4" hidden="1" thickTop="1" thickBot="1">
      <c r="B148" s="324" t="s">
        <v>1269</v>
      </c>
      <c r="C148" s="325" t="s">
        <v>18</v>
      </c>
      <c r="D148" s="326" t="s">
        <v>1160</v>
      </c>
      <c r="E148" s="327">
        <f>IF(B148&lt;&gt;"",SUMIF('AUX-NIV1'!I:I,'AUX-NIV2'!B148,'AUX-NIV1'!Q:Q),"")</f>
        <v>0</v>
      </c>
      <c r="F148" s="327">
        <f t="shared" si="59"/>
        <v>1090.5254801449394</v>
      </c>
      <c r="G148" s="327">
        <f t="shared" si="60"/>
        <v>0</v>
      </c>
      <c r="H148" s="328" t="str">
        <f t="shared" si="70"/>
        <v>M</v>
      </c>
      <c r="I148" s="325" t="s">
        <v>466</v>
      </c>
      <c r="J148" s="329" t="str">
        <f>IF(B148&lt;&gt;"",+VLOOKUP(I148,Recursos!C:F,2,FALSE),"")</f>
        <v>CAL</v>
      </c>
      <c r="K148" s="330" t="str">
        <f>IF(B148&lt;&gt;"",+VLOOKUP(I148,Recursos!C:F,3,FALSE),"")</f>
        <v>bolsa</v>
      </c>
      <c r="L148" s="327">
        <f>IF(B148&lt;&gt;"",+VLOOKUP(I148,Recursos!C:F,4,FALSE),"")</f>
        <v>6</v>
      </c>
      <c r="M148" s="331">
        <v>225</v>
      </c>
      <c r="N148" s="331">
        <v>0</v>
      </c>
      <c r="O148" s="332">
        <f>+M148/25*N148</f>
        <v>0</v>
      </c>
      <c r="P148" s="333">
        <f t="shared" si="71"/>
        <v>0</v>
      </c>
      <c r="Q148" s="327">
        <f t="shared" si="72"/>
        <v>0</v>
      </c>
      <c r="R148" s="334">
        <f t="shared" si="73"/>
        <v>0</v>
      </c>
      <c r="S148" s="358">
        <f t="shared" si="61"/>
        <v>101.32074643523649</v>
      </c>
      <c r="T148" s="358">
        <f t="shared" si="62"/>
        <v>228.8832612121212</v>
      </c>
      <c r="U148" s="359">
        <f t="shared" si="63"/>
        <v>0</v>
      </c>
      <c r="V148" s="359">
        <f t="shared" si="64"/>
        <v>0</v>
      </c>
      <c r="W148" s="359">
        <f t="shared" si="65"/>
        <v>0</v>
      </c>
      <c r="X148" s="359">
        <f t="shared" si="66"/>
        <v>760.32147249758168</v>
      </c>
      <c r="Y148" s="320"/>
      <c r="Z148" s="321" t="str">
        <f t="shared" si="74"/>
        <v>X-EDOSREVA</v>
      </c>
      <c r="AA148" s="321" t="str">
        <f t="shared" si="75"/>
        <v>X-EDOSREVE</v>
      </c>
      <c r="AB148" s="321" t="str">
        <f t="shared" si="76"/>
        <v>X-EDOSREVM</v>
      </c>
      <c r="AC148" s="321" t="str">
        <f t="shared" si="77"/>
        <v>X-EDOSREVT</v>
      </c>
      <c r="AD148" s="321" t="str">
        <f t="shared" si="78"/>
        <v>X-EDOSREVS</v>
      </c>
      <c r="AE148" s="321" t="str">
        <f t="shared" si="79"/>
        <v>X-EDOSREVX</v>
      </c>
      <c r="AF148" s="321" t="str">
        <f t="shared" si="80"/>
        <v>X-EDOSREVM</v>
      </c>
      <c r="AG148" s="321">
        <f t="shared" si="67"/>
        <v>14</v>
      </c>
      <c r="AH148" s="321">
        <f>IF(B148&lt;&gt;"",IF(H148="x",VLOOKUP(I148,'AUX-NIV3'!B:AG,32,FALSE),0),"")</f>
        <v>0</v>
      </c>
      <c r="AI148" s="321" t="str">
        <f t="shared" si="81"/>
        <v>X-EDOSREV</v>
      </c>
      <c r="AJ148" s="320"/>
      <c r="AK148" s="322">
        <f t="shared" si="68"/>
        <v>139</v>
      </c>
      <c r="AL148" s="323">
        <f t="shared" si="82"/>
        <v>152</v>
      </c>
      <c r="AM148" s="322">
        <f t="shared" si="83"/>
        <v>10</v>
      </c>
      <c r="AN148" s="380">
        <f>IF(AND(AH148&gt;0,B148&lt;&gt;""),VLOOKUP(I148,'AUX-NIV3'!$B:$AO,39,FALSE)*O148,0)</f>
        <v>0</v>
      </c>
      <c r="AO148" s="380">
        <f t="shared" si="69"/>
        <v>0.36787999999999998</v>
      </c>
      <c r="AP148" s="380"/>
    </row>
    <row r="149" spans="2:42" ht="14.4" hidden="1" thickTop="1" thickBot="1">
      <c r="B149" s="324" t="s">
        <v>1269</v>
      </c>
      <c r="C149" s="325" t="s">
        <v>18</v>
      </c>
      <c r="D149" s="326" t="s">
        <v>1160</v>
      </c>
      <c r="E149" s="327">
        <f>IF(B149&lt;&gt;"",SUMIF('AUX-NIV1'!I:I,'AUX-NIV2'!B149,'AUX-NIV1'!Q:Q),"")</f>
        <v>0</v>
      </c>
      <c r="F149" s="327">
        <f t="shared" si="59"/>
        <v>1090.5254801449394</v>
      </c>
      <c r="G149" s="327">
        <f t="shared" si="60"/>
        <v>0</v>
      </c>
      <c r="H149" s="328" t="str">
        <f t="shared" si="70"/>
        <v>M</v>
      </c>
      <c r="I149" s="325" t="s">
        <v>587</v>
      </c>
      <c r="J149" s="329" t="str">
        <f>IF(B149&lt;&gt;"",+VLOOKUP(I149,Recursos!C:F,2,FALSE),"")</f>
        <v>HIDROFUGOS</v>
      </c>
      <c r="K149" s="330" t="str">
        <f>IF(B149&lt;&gt;"",+VLOOKUP(I149,Recursos!C:F,3,FALSE),"")</f>
        <v>LTS</v>
      </c>
      <c r="L149" s="327">
        <f>IF(B149&lt;&gt;"",+VLOOKUP(I149,Recursos!C:F,4,FALSE),"")</f>
        <v>0.6</v>
      </c>
      <c r="M149" s="331">
        <v>0.3</v>
      </c>
      <c r="N149" s="331">
        <v>0</v>
      </c>
      <c r="O149" s="332">
        <f t="shared" ref="O149:O162" si="85">+M149*N149</f>
        <v>0</v>
      </c>
      <c r="P149" s="333">
        <f t="shared" si="71"/>
        <v>0</v>
      </c>
      <c r="Q149" s="327">
        <f t="shared" si="72"/>
        <v>0</v>
      </c>
      <c r="R149" s="334">
        <f t="shared" si="73"/>
        <v>0</v>
      </c>
      <c r="S149" s="358">
        <f t="shared" si="61"/>
        <v>101.32074643523649</v>
      </c>
      <c r="T149" s="358">
        <f t="shared" si="62"/>
        <v>228.8832612121212</v>
      </c>
      <c r="U149" s="359">
        <f t="shared" si="63"/>
        <v>0</v>
      </c>
      <c r="V149" s="359">
        <f t="shared" si="64"/>
        <v>0</v>
      </c>
      <c r="W149" s="359">
        <f t="shared" si="65"/>
        <v>0</v>
      </c>
      <c r="X149" s="359">
        <f t="shared" si="66"/>
        <v>760.32147249758168</v>
      </c>
      <c r="Y149" s="320"/>
      <c r="Z149" s="321" t="str">
        <f t="shared" si="74"/>
        <v>X-EDOSREVA</v>
      </c>
      <c r="AA149" s="321" t="str">
        <f t="shared" si="75"/>
        <v>X-EDOSREVE</v>
      </c>
      <c r="AB149" s="321" t="str">
        <f t="shared" si="76"/>
        <v>X-EDOSREVM</v>
      </c>
      <c r="AC149" s="321" t="str">
        <f t="shared" si="77"/>
        <v>X-EDOSREVT</v>
      </c>
      <c r="AD149" s="321" t="str">
        <f t="shared" si="78"/>
        <v>X-EDOSREVS</v>
      </c>
      <c r="AE149" s="321" t="str">
        <f t="shared" si="79"/>
        <v>X-EDOSREVX</v>
      </c>
      <c r="AF149" s="321" t="str">
        <f t="shared" si="80"/>
        <v>X-EDOSREVM</v>
      </c>
      <c r="AG149" s="321">
        <f t="shared" si="67"/>
        <v>14</v>
      </c>
      <c r="AH149" s="321">
        <f>IF(B149&lt;&gt;"",IF(H149="x",VLOOKUP(I149,'AUX-NIV3'!B:AG,32,FALSE),0),"")</f>
        <v>0</v>
      </c>
      <c r="AI149" s="321" t="str">
        <f t="shared" si="81"/>
        <v>X-EDOSREV</v>
      </c>
      <c r="AJ149" s="320"/>
      <c r="AK149" s="322">
        <f t="shared" si="68"/>
        <v>139</v>
      </c>
      <c r="AL149" s="323">
        <f t="shared" si="82"/>
        <v>152</v>
      </c>
      <c r="AM149" s="322">
        <f t="shared" si="83"/>
        <v>11</v>
      </c>
      <c r="AN149" s="380">
        <f>IF(AND(AH149&gt;0,B149&lt;&gt;""),VLOOKUP(I149,'AUX-NIV3'!$B:$AO,39,FALSE)*O149,0)</f>
        <v>0</v>
      </c>
      <c r="AO149" s="380">
        <f t="shared" si="69"/>
        <v>0.36787999999999998</v>
      </c>
      <c r="AP149" s="380"/>
    </row>
    <row r="150" spans="2:42" ht="14.4" hidden="1" thickTop="1" thickBot="1">
      <c r="B150" s="324" t="s">
        <v>1269</v>
      </c>
      <c r="C150" s="325" t="s">
        <v>18</v>
      </c>
      <c r="D150" s="326" t="s">
        <v>1160</v>
      </c>
      <c r="E150" s="327">
        <f>IF(B150&lt;&gt;"",SUMIF('AUX-NIV1'!I:I,'AUX-NIV2'!B150,'AUX-NIV1'!Q:Q),"")</f>
        <v>0</v>
      </c>
      <c r="F150" s="327">
        <f t="shared" si="59"/>
        <v>1090.5254801449394</v>
      </c>
      <c r="G150" s="327">
        <f t="shared" si="60"/>
        <v>0</v>
      </c>
      <c r="H150" s="328" t="str">
        <f t="shared" si="70"/>
        <v>X</v>
      </c>
      <c r="I150" s="325" t="s">
        <v>1207</v>
      </c>
      <c r="J150" s="329" t="str">
        <f>IF(B150&lt;&gt;"",+VLOOKUP(I150,Recursos!C:F,2,FALSE),"")</f>
        <v>Planta de Aridos - Trituración y Clasificación</v>
      </c>
      <c r="K150" s="330" t="str">
        <f>IF(B150&lt;&gt;"",+VLOOKUP(I150,Recursos!C:F,3,FALSE),"")</f>
        <v>M3</v>
      </c>
      <c r="L150" s="327">
        <f>IF(B150&lt;&gt;"",+VLOOKUP(I150,Recursos!C:F,4,FALSE),"")</f>
        <v>633.60122708131803</v>
      </c>
      <c r="M150" s="331">
        <v>0.7</v>
      </c>
      <c r="N150" s="331">
        <v>1</v>
      </c>
      <c r="O150" s="332">
        <f t="shared" si="85"/>
        <v>0.7</v>
      </c>
      <c r="P150" s="333">
        <f t="shared" si="71"/>
        <v>443.52085895692261</v>
      </c>
      <c r="Q150" s="327">
        <f t="shared" si="72"/>
        <v>0</v>
      </c>
      <c r="R150" s="334">
        <f t="shared" si="73"/>
        <v>0</v>
      </c>
      <c r="S150" s="358">
        <f t="shared" si="61"/>
        <v>101.32074643523649</v>
      </c>
      <c r="T150" s="358">
        <f t="shared" si="62"/>
        <v>228.8832612121212</v>
      </c>
      <c r="U150" s="359">
        <f t="shared" si="63"/>
        <v>0</v>
      </c>
      <c r="V150" s="359">
        <f t="shared" si="64"/>
        <v>0</v>
      </c>
      <c r="W150" s="359">
        <f t="shared" si="65"/>
        <v>0</v>
      </c>
      <c r="X150" s="359">
        <f t="shared" si="66"/>
        <v>760.32147249758168</v>
      </c>
      <c r="Y150" s="320"/>
      <c r="Z150" s="321" t="str">
        <f t="shared" si="74"/>
        <v>X-EDOSREVA</v>
      </c>
      <c r="AA150" s="321" t="str">
        <f t="shared" si="75"/>
        <v>X-EDOSREVE</v>
      </c>
      <c r="AB150" s="321" t="str">
        <f t="shared" si="76"/>
        <v>X-EDOSREVM</v>
      </c>
      <c r="AC150" s="321" t="str">
        <f t="shared" si="77"/>
        <v>X-EDOSREVT</v>
      </c>
      <c r="AD150" s="321" t="str">
        <f t="shared" si="78"/>
        <v>X-EDOSREVS</v>
      </c>
      <c r="AE150" s="321" t="str">
        <f t="shared" si="79"/>
        <v>X-EDOSREVX</v>
      </c>
      <c r="AF150" s="321" t="str">
        <f t="shared" si="80"/>
        <v>X-EDOSREVX</v>
      </c>
      <c r="AG150" s="321">
        <f t="shared" si="67"/>
        <v>14</v>
      </c>
      <c r="AH150" s="321">
        <f>IF(B150&lt;&gt;"",IF(H150="x",VLOOKUP(I150,'AUX-NIV3'!B:AG,32,FALSE),0),"")</f>
        <v>21</v>
      </c>
      <c r="AI150" s="321" t="str">
        <f t="shared" si="81"/>
        <v>X-EDOSREV</v>
      </c>
      <c r="AJ150" s="320"/>
      <c r="AK150" s="322">
        <f t="shared" si="68"/>
        <v>139</v>
      </c>
      <c r="AL150" s="323">
        <f t="shared" si="82"/>
        <v>152</v>
      </c>
      <c r="AM150" s="322">
        <f t="shared" si="83"/>
        <v>12</v>
      </c>
      <c r="AN150" s="380">
        <f>IF(AND(AH150&gt;0,B150&lt;&gt;""),VLOOKUP(I150,'AUX-NIV3'!$B:$AO,39,FALSE)*O150,0)</f>
        <v>8.4902222222222212E-2</v>
      </c>
      <c r="AO150" s="380">
        <f t="shared" si="69"/>
        <v>0.36787999999999998</v>
      </c>
      <c r="AP150" s="380"/>
    </row>
    <row r="151" spans="2:42" ht="14.4" hidden="1" thickTop="1" thickBot="1">
      <c r="B151" s="324" t="s">
        <v>1269</v>
      </c>
      <c r="C151" s="325" t="s">
        <v>18</v>
      </c>
      <c r="D151" s="326" t="s">
        <v>1160</v>
      </c>
      <c r="E151" s="327">
        <f>IF(B151&lt;&gt;"",SUMIF('AUX-NIV1'!I:I,'AUX-NIV2'!B151,'AUX-NIV1'!Q:Q),"")</f>
        <v>0</v>
      </c>
      <c r="F151" s="327">
        <f t="shared" si="59"/>
        <v>1090.5254801449394</v>
      </c>
      <c r="G151" s="327">
        <f t="shared" si="60"/>
        <v>0</v>
      </c>
      <c r="H151" s="328" t="str">
        <f t="shared" si="70"/>
        <v>X</v>
      </c>
      <c r="I151" s="325" t="s">
        <v>1207</v>
      </c>
      <c r="J151" s="329" t="str">
        <f>IF(B151&lt;&gt;"",+VLOOKUP(I151,Recursos!C:F,2,FALSE),"")</f>
        <v>Planta de Aridos - Trituración y Clasificación</v>
      </c>
      <c r="K151" s="330" t="str">
        <f>IF(B151&lt;&gt;"",+VLOOKUP(I151,Recursos!C:F,3,FALSE),"")</f>
        <v>M3</v>
      </c>
      <c r="L151" s="327">
        <f>IF(B151&lt;&gt;"",+VLOOKUP(I151,Recursos!C:F,4,FALSE),"")</f>
        <v>633.60122708131803</v>
      </c>
      <c r="M151" s="331">
        <v>0.5</v>
      </c>
      <c r="N151" s="331">
        <v>1</v>
      </c>
      <c r="O151" s="332">
        <f t="shared" si="85"/>
        <v>0.5</v>
      </c>
      <c r="P151" s="333">
        <f t="shared" si="71"/>
        <v>316.80061354065901</v>
      </c>
      <c r="Q151" s="327">
        <f t="shared" si="72"/>
        <v>0</v>
      </c>
      <c r="R151" s="334">
        <f t="shared" si="73"/>
        <v>0</v>
      </c>
      <c r="S151" s="358">
        <f t="shared" si="61"/>
        <v>101.32074643523649</v>
      </c>
      <c r="T151" s="358">
        <f t="shared" si="62"/>
        <v>228.8832612121212</v>
      </c>
      <c r="U151" s="359">
        <f t="shared" si="63"/>
        <v>0</v>
      </c>
      <c r="V151" s="359">
        <f t="shared" si="64"/>
        <v>0</v>
      </c>
      <c r="W151" s="359">
        <f t="shared" si="65"/>
        <v>0</v>
      </c>
      <c r="X151" s="359">
        <f t="shared" si="66"/>
        <v>760.32147249758168</v>
      </c>
      <c r="Y151" s="320"/>
      <c r="Z151" s="321" t="str">
        <f t="shared" si="74"/>
        <v>X-EDOSREVA</v>
      </c>
      <c r="AA151" s="321" t="str">
        <f t="shared" si="75"/>
        <v>X-EDOSREVE</v>
      </c>
      <c r="AB151" s="321" t="str">
        <f t="shared" si="76"/>
        <v>X-EDOSREVM</v>
      </c>
      <c r="AC151" s="321" t="str">
        <f t="shared" si="77"/>
        <v>X-EDOSREVT</v>
      </c>
      <c r="AD151" s="321" t="str">
        <f t="shared" si="78"/>
        <v>X-EDOSREVS</v>
      </c>
      <c r="AE151" s="321" t="str">
        <f t="shared" si="79"/>
        <v>X-EDOSREVX</v>
      </c>
      <c r="AF151" s="321" t="str">
        <f t="shared" si="80"/>
        <v>X-EDOSREVX</v>
      </c>
      <c r="AG151" s="321">
        <f t="shared" si="67"/>
        <v>14</v>
      </c>
      <c r="AH151" s="321">
        <f>IF(B151&lt;&gt;"",IF(H151="x",VLOOKUP(I151,'AUX-NIV3'!B:AG,32,FALSE),0),"")</f>
        <v>21</v>
      </c>
      <c r="AI151" s="321" t="str">
        <f t="shared" si="81"/>
        <v>X-EDOSREV</v>
      </c>
      <c r="AJ151" s="320"/>
      <c r="AK151" s="322">
        <f t="shared" si="68"/>
        <v>139</v>
      </c>
      <c r="AL151" s="323">
        <f t="shared" si="82"/>
        <v>152</v>
      </c>
      <c r="AM151" s="322">
        <f t="shared" si="83"/>
        <v>13</v>
      </c>
      <c r="AN151" s="380">
        <f>IF(AND(AH151&gt;0,B151&lt;&gt;""),VLOOKUP(I151,'AUX-NIV3'!$B:$AO,39,FALSE)*O151,0)</f>
        <v>6.0644444444444445E-2</v>
      </c>
      <c r="AO151" s="380">
        <f t="shared" si="69"/>
        <v>0.36787999999999998</v>
      </c>
      <c r="AP151" s="380"/>
    </row>
    <row r="152" spans="2:42" ht="14.4" hidden="1" thickTop="1" thickBot="1">
      <c r="B152" s="324" t="s">
        <v>1269</v>
      </c>
      <c r="C152" s="325" t="s">
        <v>18</v>
      </c>
      <c r="D152" s="326" t="s">
        <v>1160</v>
      </c>
      <c r="E152" s="327">
        <f>IF(B152&lt;&gt;"",SUMIF('AUX-NIV1'!I:I,'AUX-NIV2'!B152,'AUX-NIV1'!Q:Q),"")</f>
        <v>0</v>
      </c>
      <c r="F152" s="327">
        <f t="shared" si="59"/>
        <v>1090.5254801449394</v>
      </c>
      <c r="G152" s="327">
        <f t="shared" si="60"/>
        <v>0</v>
      </c>
      <c r="H152" s="328" t="str">
        <f t="shared" si="70"/>
        <v>T</v>
      </c>
      <c r="I152" s="325" t="s">
        <v>752</v>
      </c>
      <c r="J152" s="329" t="str">
        <f>IF(B152&lt;&gt;"",+VLOOKUP(I152,Recursos!C:F,2,FALSE),"")</f>
        <v>TRANSP.AGREGADO (Tpte largo cotizado x 10 Km)</v>
      </c>
      <c r="K152" s="330" t="str">
        <f>IF(B152&lt;&gt;"",+VLOOKUP(I152,Recursos!C:F,3,FALSE),"")</f>
        <v>Tn.Km</v>
      </c>
      <c r="L152" s="327">
        <f>IF(B152&lt;&gt;"",+VLOOKUP(I152,Recursos!C:F,4,FALSE),"")</f>
        <v>0.1</v>
      </c>
      <c r="M152" s="331">
        <v>1.2E-2</v>
      </c>
      <c r="N152" s="331">
        <v>0</v>
      </c>
      <c r="O152" s="332">
        <f t="shared" si="85"/>
        <v>0</v>
      </c>
      <c r="P152" s="333">
        <f t="shared" si="71"/>
        <v>0</v>
      </c>
      <c r="Q152" s="327">
        <f t="shared" si="72"/>
        <v>0</v>
      </c>
      <c r="R152" s="334">
        <f t="shared" si="73"/>
        <v>0</v>
      </c>
      <c r="S152" s="358">
        <f t="shared" si="61"/>
        <v>101.32074643523649</v>
      </c>
      <c r="T152" s="358">
        <f t="shared" si="62"/>
        <v>228.8832612121212</v>
      </c>
      <c r="U152" s="359">
        <f t="shared" si="63"/>
        <v>0</v>
      </c>
      <c r="V152" s="359">
        <f t="shared" si="64"/>
        <v>0</v>
      </c>
      <c r="W152" s="359">
        <f t="shared" si="65"/>
        <v>0</v>
      </c>
      <c r="X152" s="359">
        <f t="shared" si="66"/>
        <v>760.32147249758168</v>
      </c>
      <c r="Y152" s="320"/>
      <c r="Z152" s="321" t="str">
        <f t="shared" si="74"/>
        <v>X-EDOSREVA</v>
      </c>
      <c r="AA152" s="321" t="str">
        <f t="shared" si="75"/>
        <v>X-EDOSREVE</v>
      </c>
      <c r="AB152" s="321" t="str">
        <f t="shared" si="76"/>
        <v>X-EDOSREVM</v>
      </c>
      <c r="AC152" s="321" t="str">
        <f t="shared" si="77"/>
        <v>X-EDOSREVT</v>
      </c>
      <c r="AD152" s="321" t="str">
        <f t="shared" si="78"/>
        <v>X-EDOSREVS</v>
      </c>
      <c r="AE152" s="321" t="str">
        <f t="shared" si="79"/>
        <v>X-EDOSREVX</v>
      </c>
      <c r="AF152" s="321" t="str">
        <f t="shared" si="80"/>
        <v>X-EDOSREVT</v>
      </c>
      <c r="AG152" s="321">
        <f t="shared" si="67"/>
        <v>14</v>
      </c>
      <c r="AH152" s="321">
        <f>IF(B152&lt;&gt;"",IF(H152="x",VLOOKUP(I152,'AUX-NIV3'!B:AG,32,FALSE),0),"")</f>
        <v>0</v>
      </c>
      <c r="AI152" s="321" t="str">
        <f t="shared" si="81"/>
        <v>X-EDOSREV</v>
      </c>
      <c r="AJ152" s="320"/>
      <c r="AK152" s="322">
        <f t="shared" si="68"/>
        <v>139</v>
      </c>
      <c r="AL152" s="323">
        <f t="shared" si="82"/>
        <v>152</v>
      </c>
      <c r="AM152" s="322">
        <f t="shared" si="83"/>
        <v>14</v>
      </c>
      <c r="AN152" s="380">
        <f>IF(AND(AH152&gt;0,B152&lt;&gt;""),VLOOKUP(I152,'AUX-NIV3'!$B:$AO,39,FALSE)*O152,0)</f>
        <v>0</v>
      </c>
      <c r="AO152" s="380">
        <f t="shared" si="69"/>
        <v>0.36787999999999998</v>
      </c>
      <c r="AP152" s="380"/>
    </row>
    <row r="153" spans="2:42" ht="14.4" hidden="1" thickTop="1" thickBot="1">
      <c r="B153" s="324" t="s">
        <v>1270</v>
      </c>
      <c r="C153" s="325" t="s">
        <v>19</v>
      </c>
      <c r="D153" s="326" t="s">
        <v>501</v>
      </c>
      <c r="E153" s="327">
        <f>IF(B153&lt;&gt;"",SUMIF('AUX-NIV1'!I:I,'AUX-NIV2'!B153,'AUX-NIV1'!Q:Q),"")</f>
        <v>0</v>
      </c>
      <c r="F153" s="327">
        <f t="shared" si="59"/>
        <v>222.90554285274902</v>
      </c>
      <c r="G153" s="327">
        <f t="shared" si="60"/>
        <v>0</v>
      </c>
      <c r="H153" s="328" t="str">
        <f t="shared" si="70"/>
        <v>A</v>
      </c>
      <c r="I153" s="325" t="s">
        <v>1745</v>
      </c>
      <c r="J153" s="329" t="str">
        <f>IF(B153&lt;&gt;"",+VLOOKUP(I153,Recursos!C:F,2,FALSE),"")</f>
        <v>AYUDANTE</v>
      </c>
      <c r="K153" s="330" t="str">
        <f>IF(B153&lt;&gt;"",+VLOOKUP(I153,Recursos!C:F,3,FALSE),"")</f>
        <v>hh</v>
      </c>
      <c r="L153" s="327">
        <f>IF(B153&lt;&gt;"",+VLOOKUP(I153,Recursos!C:F,4,FALSE),"")</f>
        <v>422.48042769667234</v>
      </c>
      <c r="M153" s="331">
        <v>0.5</v>
      </c>
      <c r="N153" s="331">
        <v>0.7</v>
      </c>
      <c r="O153" s="332">
        <f t="shared" si="85"/>
        <v>0.35</v>
      </c>
      <c r="P153" s="333">
        <f t="shared" si="71"/>
        <v>147.86814969383531</v>
      </c>
      <c r="Q153" s="327">
        <f t="shared" si="72"/>
        <v>0</v>
      </c>
      <c r="R153" s="334">
        <f t="shared" si="73"/>
        <v>0</v>
      </c>
      <c r="S153" s="358">
        <f t="shared" si="61"/>
        <v>222.40554285274902</v>
      </c>
      <c r="T153" s="358">
        <f t="shared" si="62"/>
        <v>0</v>
      </c>
      <c r="U153" s="359">
        <f t="shared" si="63"/>
        <v>0.5</v>
      </c>
      <c r="V153" s="359">
        <f t="shared" si="64"/>
        <v>0</v>
      </c>
      <c r="W153" s="359">
        <f t="shared" si="65"/>
        <v>0</v>
      </c>
      <c r="X153" s="359">
        <f t="shared" si="66"/>
        <v>0</v>
      </c>
      <c r="Y153" s="320"/>
      <c r="Z153" s="321" t="str">
        <f t="shared" si="74"/>
        <v>X-COLOCArevA</v>
      </c>
      <c r="AA153" s="321" t="str">
        <f t="shared" si="75"/>
        <v>X-COLOCArevE</v>
      </c>
      <c r="AB153" s="321" t="str">
        <f t="shared" si="76"/>
        <v>X-COLOCArevM</v>
      </c>
      <c r="AC153" s="321" t="str">
        <f t="shared" si="77"/>
        <v>X-COLOCArevT</v>
      </c>
      <c r="AD153" s="321" t="str">
        <f t="shared" si="78"/>
        <v>X-COLOCArevS</v>
      </c>
      <c r="AE153" s="321" t="str">
        <f t="shared" si="79"/>
        <v>X-COLOCArevX</v>
      </c>
      <c r="AF153" s="321" t="str">
        <f t="shared" si="80"/>
        <v>X-COLOCArevA</v>
      </c>
      <c r="AG153" s="321">
        <f t="shared" si="67"/>
        <v>3</v>
      </c>
      <c r="AH153" s="321">
        <f>IF(B153&lt;&gt;"",IF(H153="x",VLOOKUP(I153,'AUX-NIV3'!B:AG,32,FALSE),0),"")</f>
        <v>0</v>
      </c>
      <c r="AI153" s="321" t="str">
        <f t="shared" si="81"/>
        <v>X-COLOCArev</v>
      </c>
      <c r="AJ153" s="320"/>
      <c r="AK153" s="322">
        <f t="shared" si="68"/>
        <v>153</v>
      </c>
      <c r="AL153" s="323">
        <f t="shared" si="82"/>
        <v>155</v>
      </c>
      <c r="AM153" s="322">
        <f t="shared" si="83"/>
        <v>1</v>
      </c>
      <c r="AN153" s="380">
        <f>IF(AND(AH153&gt;0,B153&lt;&gt;""),VLOOKUP(I153,'AUX-NIV3'!$B:$AO,39,FALSE)*O153,0)</f>
        <v>0</v>
      </c>
      <c r="AO153" s="380">
        <f t="shared" si="69"/>
        <v>0.5</v>
      </c>
      <c r="AP153" s="380"/>
    </row>
    <row r="154" spans="2:42" ht="14.4" hidden="1" thickTop="1" thickBot="1">
      <c r="B154" s="324" t="s">
        <v>1270</v>
      </c>
      <c r="C154" s="325" t="s">
        <v>19</v>
      </c>
      <c r="D154" s="326" t="s">
        <v>501</v>
      </c>
      <c r="E154" s="327">
        <f>IF(B154&lt;&gt;"",SUMIF('AUX-NIV1'!I:I,'AUX-NIV2'!B154,'AUX-NIV1'!Q:Q),"")</f>
        <v>0</v>
      </c>
      <c r="F154" s="327">
        <f t="shared" si="59"/>
        <v>222.90554285274902</v>
      </c>
      <c r="G154" s="327">
        <f t="shared" si="60"/>
        <v>0</v>
      </c>
      <c r="H154" s="328" t="str">
        <f t="shared" si="70"/>
        <v>A</v>
      </c>
      <c r="I154" s="325" t="s">
        <v>1746</v>
      </c>
      <c r="J154" s="329" t="str">
        <f>IF(B154&lt;&gt;"",+VLOOKUP(I154,Recursos!C:F,2,FALSE),"")</f>
        <v>OFICIAL</v>
      </c>
      <c r="K154" s="330" t="str">
        <f>IF(B154&lt;&gt;"",+VLOOKUP(I154,Recursos!C:F,3,FALSE),"")</f>
        <v>hh</v>
      </c>
      <c r="L154" s="327">
        <f>IF(B154&lt;&gt;"",+VLOOKUP(I154,Recursos!C:F,4,FALSE),"")</f>
        <v>496.91595439275824</v>
      </c>
      <c r="M154" s="331">
        <v>0.5</v>
      </c>
      <c r="N154" s="331">
        <v>0.3</v>
      </c>
      <c r="O154" s="332">
        <f t="shared" si="85"/>
        <v>0.15</v>
      </c>
      <c r="P154" s="333">
        <f t="shared" si="71"/>
        <v>74.53739315891373</v>
      </c>
      <c r="Q154" s="327">
        <f t="shared" si="72"/>
        <v>0</v>
      </c>
      <c r="R154" s="334">
        <f t="shared" si="73"/>
        <v>0</v>
      </c>
      <c r="S154" s="358">
        <f t="shared" si="61"/>
        <v>222.40554285274902</v>
      </c>
      <c r="T154" s="358">
        <f t="shared" si="62"/>
        <v>0</v>
      </c>
      <c r="U154" s="359">
        <f t="shared" si="63"/>
        <v>0.5</v>
      </c>
      <c r="V154" s="359">
        <f t="shared" si="64"/>
        <v>0</v>
      </c>
      <c r="W154" s="359">
        <f t="shared" si="65"/>
        <v>0</v>
      </c>
      <c r="X154" s="359">
        <f t="shared" si="66"/>
        <v>0</v>
      </c>
      <c r="Y154" s="320"/>
      <c r="Z154" s="321" t="str">
        <f t="shared" si="74"/>
        <v>X-COLOCArevA</v>
      </c>
      <c r="AA154" s="321" t="str">
        <f t="shared" si="75"/>
        <v>X-COLOCArevE</v>
      </c>
      <c r="AB154" s="321" t="str">
        <f t="shared" si="76"/>
        <v>X-COLOCArevM</v>
      </c>
      <c r="AC154" s="321" t="str">
        <f t="shared" si="77"/>
        <v>X-COLOCArevT</v>
      </c>
      <c r="AD154" s="321" t="str">
        <f t="shared" si="78"/>
        <v>X-COLOCArevS</v>
      </c>
      <c r="AE154" s="321" t="str">
        <f t="shared" si="79"/>
        <v>X-COLOCArevX</v>
      </c>
      <c r="AF154" s="321" t="str">
        <f t="shared" si="80"/>
        <v>X-COLOCArevA</v>
      </c>
      <c r="AG154" s="321">
        <f t="shared" si="67"/>
        <v>3</v>
      </c>
      <c r="AH154" s="321">
        <f>IF(B154&lt;&gt;"",IF(H154="x",VLOOKUP(I154,'AUX-NIV3'!B:AG,32,FALSE),0),"")</f>
        <v>0</v>
      </c>
      <c r="AI154" s="321" t="str">
        <f t="shared" si="81"/>
        <v>X-COLOCArev</v>
      </c>
      <c r="AJ154" s="320"/>
      <c r="AK154" s="322">
        <f t="shared" si="68"/>
        <v>153</v>
      </c>
      <c r="AL154" s="323">
        <f t="shared" si="82"/>
        <v>155</v>
      </c>
      <c r="AM154" s="322">
        <f t="shared" si="83"/>
        <v>2</v>
      </c>
      <c r="AN154" s="380">
        <f>IF(AND(AH154&gt;0,B154&lt;&gt;""),VLOOKUP(I154,'AUX-NIV3'!$B:$AO,39,FALSE)*O154,0)</f>
        <v>0</v>
      </c>
      <c r="AO154" s="380">
        <f t="shared" si="69"/>
        <v>0.5</v>
      </c>
      <c r="AP154" s="380"/>
    </row>
    <row r="155" spans="2:42" ht="14.4" hidden="1" thickTop="1" thickBot="1">
      <c r="B155" s="324" t="s">
        <v>1270</v>
      </c>
      <c r="C155" s="325" t="s">
        <v>19</v>
      </c>
      <c r="D155" s="326" t="s">
        <v>501</v>
      </c>
      <c r="E155" s="327">
        <f>IF(B155&lt;&gt;"",SUMIF('AUX-NIV1'!I:I,'AUX-NIV2'!B155,'AUX-NIV1'!Q:Q),"")</f>
        <v>0</v>
      </c>
      <c r="F155" s="327">
        <f t="shared" si="59"/>
        <v>222.90554285274902</v>
      </c>
      <c r="G155" s="327">
        <f t="shared" si="60"/>
        <v>0</v>
      </c>
      <c r="H155" s="328" t="str">
        <f t="shared" si="70"/>
        <v>M</v>
      </c>
      <c r="I155" s="325" t="s">
        <v>621</v>
      </c>
      <c r="J155" s="329" t="str">
        <f>IF(B155&lt;&gt;"",+VLOOKUP(I155,Recursos!C:F,2,FALSE),"")</f>
        <v>MATERIALES VARIOS</v>
      </c>
      <c r="K155" s="330" t="str">
        <f>IF(B155&lt;&gt;"",+VLOOKUP(I155,Recursos!C:F,3,FALSE),"")</f>
        <v>GL</v>
      </c>
      <c r="L155" s="327">
        <f>IF(B155&lt;&gt;"",+VLOOKUP(I155,Recursos!C:F,4,FALSE),"")</f>
        <v>0.5</v>
      </c>
      <c r="M155" s="331">
        <v>1</v>
      </c>
      <c r="N155" s="331">
        <v>1</v>
      </c>
      <c r="O155" s="332">
        <f t="shared" si="85"/>
        <v>1</v>
      </c>
      <c r="P155" s="333">
        <f t="shared" si="71"/>
        <v>0.5</v>
      </c>
      <c r="Q155" s="327">
        <f t="shared" si="72"/>
        <v>0</v>
      </c>
      <c r="R155" s="334">
        <f t="shared" si="73"/>
        <v>0</v>
      </c>
      <c r="S155" s="358">
        <f t="shared" si="61"/>
        <v>222.40554285274902</v>
      </c>
      <c r="T155" s="358">
        <f t="shared" si="62"/>
        <v>0</v>
      </c>
      <c r="U155" s="359">
        <f t="shared" si="63"/>
        <v>0.5</v>
      </c>
      <c r="V155" s="359">
        <f t="shared" si="64"/>
        <v>0</v>
      </c>
      <c r="W155" s="359">
        <f t="shared" si="65"/>
        <v>0</v>
      </c>
      <c r="X155" s="359">
        <f t="shared" si="66"/>
        <v>0</v>
      </c>
      <c r="Y155" s="320"/>
      <c r="Z155" s="321" t="str">
        <f t="shared" si="74"/>
        <v>X-COLOCArevA</v>
      </c>
      <c r="AA155" s="321" t="str">
        <f t="shared" si="75"/>
        <v>X-COLOCArevE</v>
      </c>
      <c r="AB155" s="321" t="str">
        <f t="shared" si="76"/>
        <v>X-COLOCArevM</v>
      </c>
      <c r="AC155" s="321" t="str">
        <f t="shared" si="77"/>
        <v>X-COLOCArevT</v>
      </c>
      <c r="AD155" s="321" t="str">
        <f t="shared" si="78"/>
        <v>X-COLOCArevS</v>
      </c>
      <c r="AE155" s="321" t="str">
        <f t="shared" si="79"/>
        <v>X-COLOCArevX</v>
      </c>
      <c r="AF155" s="321" t="str">
        <f t="shared" si="80"/>
        <v>X-COLOCArevM</v>
      </c>
      <c r="AG155" s="321">
        <f t="shared" si="67"/>
        <v>3</v>
      </c>
      <c r="AH155" s="321">
        <f>IF(B155&lt;&gt;"",IF(H155="x",VLOOKUP(I155,'AUX-NIV3'!B:AG,32,FALSE),0),"")</f>
        <v>0</v>
      </c>
      <c r="AI155" s="321" t="str">
        <f t="shared" si="81"/>
        <v>X-COLOCArev</v>
      </c>
      <c r="AJ155" s="320"/>
      <c r="AK155" s="322">
        <f t="shared" si="68"/>
        <v>153</v>
      </c>
      <c r="AL155" s="323">
        <f t="shared" si="82"/>
        <v>155</v>
      </c>
      <c r="AM155" s="322">
        <f t="shared" si="83"/>
        <v>3</v>
      </c>
      <c r="AN155" s="380">
        <f>IF(AND(AH155&gt;0,B155&lt;&gt;""),VLOOKUP(I155,'AUX-NIV3'!$B:$AO,39,FALSE)*O155,0)</f>
        <v>0</v>
      </c>
      <c r="AO155" s="380">
        <f t="shared" si="69"/>
        <v>0.5</v>
      </c>
      <c r="AP155" s="380"/>
    </row>
    <row r="156" spans="2:42" ht="14.4" hidden="1" thickTop="1" thickBot="1">
      <c r="B156" s="324" t="s">
        <v>1271</v>
      </c>
      <c r="C156" s="325" t="s">
        <v>20</v>
      </c>
      <c r="D156" s="326" t="s">
        <v>501</v>
      </c>
      <c r="E156" s="327">
        <f>IF(B156&lt;&gt;"",SUMIF('AUX-NIV1'!I:I,'AUX-NIV2'!B156,'AUX-NIV1'!Q:Q),"")</f>
        <v>0</v>
      </c>
      <c r="F156" s="327">
        <f t="shared" si="59"/>
        <v>8099.6748205158301</v>
      </c>
      <c r="G156" s="327">
        <f t="shared" si="60"/>
        <v>0</v>
      </c>
      <c r="H156" s="328" t="str">
        <f t="shared" si="70"/>
        <v>A</v>
      </c>
      <c r="I156" s="325" t="s">
        <v>1745</v>
      </c>
      <c r="J156" s="329" t="str">
        <f>IF(B156&lt;&gt;"",+VLOOKUP(I156,Recursos!C:F,2,FALSE),"")</f>
        <v>AYUDANTE</v>
      </c>
      <c r="K156" s="330" t="str">
        <f>IF(B156&lt;&gt;"",+VLOOKUP(I156,Recursos!C:F,3,FALSE),"")</f>
        <v>hh</v>
      </c>
      <c r="L156" s="327">
        <f>IF(B156&lt;&gt;"",+VLOOKUP(I156,Recursos!C:F,4,FALSE),"")</f>
        <v>422.48042769667234</v>
      </c>
      <c r="M156" s="331">
        <v>1.6</v>
      </c>
      <c r="N156" s="331">
        <v>2</v>
      </c>
      <c r="O156" s="332">
        <v>3.2</v>
      </c>
      <c r="P156" s="333">
        <f t="shared" si="71"/>
        <v>1351.9373686293516</v>
      </c>
      <c r="Q156" s="327">
        <f t="shared" si="72"/>
        <v>0</v>
      </c>
      <c r="R156" s="334">
        <f t="shared" si="73"/>
        <v>0</v>
      </c>
      <c r="S156" s="358">
        <f t="shared" si="61"/>
        <v>2653.4201085828649</v>
      </c>
      <c r="T156" s="358">
        <f t="shared" si="62"/>
        <v>475.61445000000003</v>
      </c>
      <c r="U156" s="359">
        <f t="shared" si="63"/>
        <v>4970.6402619329656</v>
      </c>
      <c r="V156" s="359">
        <f t="shared" si="64"/>
        <v>0</v>
      </c>
      <c r="W156" s="359">
        <f t="shared" si="65"/>
        <v>0</v>
      </c>
      <c r="X156" s="359">
        <f t="shared" si="66"/>
        <v>0</v>
      </c>
      <c r="Y156" s="320"/>
      <c r="Z156" s="321" t="str">
        <f t="shared" si="74"/>
        <v>X-ENCOFRADOaA</v>
      </c>
      <c r="AA156" s="321" t="str">
        <f t="shared" si="75"/>
        <v>X-ENCOFRADOaE</v>
      </c>
      <c r="AB156" s="321" t="str">
        <f t="shared" si="76"/>
        <v>X-ENCOFRADOaM</v>
      </c>
      <c r="AC156" s="321" t="str">
        <f t="shared" si="77"/>
        <v>X-ENCOFRADOaT</v>
      </c>
      <c r="AD156" s="321" t="str">
        <f t="shared" si="78"/>
        <v>X-ENCOFRADOaS</v>
      </c>
      <c r="AE156" s="321" t="str">
        <f t="shared" si="79"/>
        <v>X-ENCOFRADOaX</v>
      </c>
      <c r="AF156" s="321" t="str">
        <f t="shared" si="80"/>
        <v>X-ENCOFRADOaA</v>
      </c>
      <c r="AG156" s="321">
        <f t="shared" si="67"/>
        <v>12</v>
      </c>
      <c r="AH156" s="321">
        <f>IF(B156&lt;&gt;"",IF(H156="x",VLOOKUP(I156,'AUX-NIV3'!B:AG,32,FALSE),0),"")</f>
        <v>0</v>
      </c>
      <c r="AI156" s="321" t="str">
        <f t="shared" si="81"/>
        <v>X-ENCOFRADOa</v>
      </c>
      <c r="AJ156" s="320"/>
      <c r="AK156" s="322">
        <f t="shared" si="68"/>
        <v>156</v>
      </c>
      <c r="AL156" s="323">
        <f t="shared" si="82"/>
        <v>167</v>
      </c>
      <c r="AM156" s="322">
        <f t="shared" si="83"/>
        <v>1</v>
      </c>
      <c r="AN156" s="380">
        <f>IF(AND(AH156&gt;0,B156&lt;&gt;""),VLOOKUP(I156,'AUX-NIV3'!$B:$AO,39,FALSE)*O156,0)</f>
        <v>0</v>
      </c>
      <c r="AO156" s="380">
        <f t="shared" si="69"/>
        <v>5.8800000000000008</v>
      </c>
      <c r="AP156" s="380"/>
    </row>
    <row r="157" spans="2:42" ht="14.4" hidden="1" thickTop="1" thickBot="1">
      <c r="B157" s="324" t="s">
        <v>1271</v>
      </c>
      <c r="C157" s="325" t="s">
        <v>20</v>
      </c>
      <c r="D157" s="326" t="s">
        <v>501</v>
      </c>
      <c r="E157" s="327">
        <f>IF(B157&lt;&gt;"",SUMIF('AUX-NIV1'!I:I,'AUX-NIV2'!B157,'AUX-NIV1'!Q:Q),"")</f>
        <v>0</v>
      </c>
      <c r="F157" s="327">
        <f t="shared" si="59"/>
        <v>8099.6748205158301</v>
      </c>
      <c r="G157" s="327">
        <f t="shared" si="60"/>
        <v>0</v>
      </c>
      <c r="H157" s="328" t="str">
        <f t="shared" si="70"/>
        <v>A</v>
      </c>
      <c r="I157" s="325" t="s">
        <v>1746</v>
      </c>
      <c r="J157" s="329" t="str">
        <f>IF(B157&lt;&gt;"",+VLOOKUP(I157,Recursos!C:F,2,FALSE),"")</f>
        <v>OFICIAL</v>
      </c>
      <c r="K157" s="330" t="str">
        <f>IF(B157&lt;&gt;"",+VLOOKUP(I157,Recursos!C:F,3,FALSE),"")</f>
        <v>hh</v>
      </c>
      <c r="L157" s="327">
        <f>IF(B157&lt;&gt;"",+VLOOKUP(I157,Recursos!C:F,4,FALSE),"")</f>
        <v>496.91595439275824</v>
      </c>
      <c r="M157" s="331">
        <v>1.6</v>
      </c>
      <c r="N157" s="331">
        <v>1</v>
      </c>
      <c r="O157" s="332">
        <f t="shared" si="85"/>
        <v>1.6</v>
      </c>
      <c r="P157" s="333">
        <f t="shared" si="71"/>
        <v>795.06552702841327</v>
      </c>
      <c r="Q157" s="327">
        <f t="shared" si="72"/>
        <v>0</v>
      </c>
      <c r="R157" s="334">
        <f t="shared" si="73"/>
        <v>0</v>
      </c>
      <c r="S157" s="358">
        <f t="shared" si="61"/>
        <v>2653.4201085828649</v>
      </c>
      <c r="T157" s="358">
        <f t="shared" si="62"/>
        <v>475.61445000000003</v>
      </c>
      <c r="U157" s="359">
        <f t="shared" si="63"/>
        <v>4970.6402619329656</v>
      </c>
      <c r="V157" s="359">
        <f t="shared" si="64"/>
        <v>0</v>
      </c>
      <c r="W157" s="359">
        <f t="shared" si="65"/>
        <v>0</v>
      </c>
      <c r="X157" s="359">
        <f t="shared" si="66"/>
        <v>0</v>
      </c>
      <c r="Y157" s="320"/>
      <c r="Z157" s="321" t="str">
        <f t="shared" si="74"/>
        <v>X-ENCOFRADOaA</v>
      </c>
      <c r="AA157" s="321" t="str">
        <f t="shared" si="75"/>
        <v>X-ENCOFRADOaE</v>
      </c>
      <c r="AB157" s="321" t="str">
        <f t="shared" si="76"/>
        <v>X-ENCOFRADOaM</v>
      </c>
      <c r="AC157" s="321" t="str">
        <f t="shared" si="77"/>
        <v>X-ENCOFRADOaT</v>
      </c>
      <c r="AD157" s="321" t="str">
        <f t="shared" si="78"/>
        <v>X-ENCOFRADOaS</v>
      </c>
      <c r="AE157" s="321" t="str">
        <f t="shared" si="79"/>
        <v>X-ENCOFRADOaX</v>
      </c>
      <c r="AF157" s="321" t="str">
        <f t="shared" si="80"/>
        <v>X-ENCOFRADOaA</v>
      </c>
      <c r="AG157" s="321">
        <f t="shared" si="67"/>
        <v>12</v>
      </c>
      <c r="AH157" s="321">
        <f>IF(B157&lt;&gt;"",IF(H157="x",VLOOKUP(I157,'AUX-NIV3'!B:AG,32,FALSE),0),"")</f>
        <v>0</v>
      </c>
      <c r="AI157" s="321" t="str">
        <f t="shared" si="81"/>
        <v>X-ENCOFRADOa</v>
      </c>
      <c r="AJ157" s="320"/>
      <c r="AK157" s="322">
        <f t="shared" si="68"/>
        <v>156</v>
      </c>
      <c r="AL157" s="323">
        <f t="shared" si="82"/>
        <v>167</v>
      </c>
      <c r="AM157" s="322">
        <f t="shared" si="83"/>
        <v>2</v>
      </c>
      <c r="AN157" s="380">
        <f>IF(AND(AH157&gt;0,B157&lt;&gt;""),VLOOKUP(I157,'AUX-NIV3'!$B:$AO,39,FALSE)*O157,0)</f>
        <v>0</v>
      </c>
      <c r="AO157" s="380">
        <f t="shared" si="69"/>
        <v>5.8800000000000008</v>
      </c>
      <c r="AP157" s="380"/>
    </row>
    <row r="158" spans="2:42" ht="14.4" hidden="1" thickTop="1" thickBot="1">
      <c r="B158" s="324" t="s">
        <v>1271</v>
      </c>
      <c r="C158" s="325" t="s">
        <v>20</v>
      </c>
      <c r="D158" s="326" t="s">
        <v>501</v>
      </c>
      <c r="E158" s="327">
        <f>IF(B158&lt;&gt;"",SUMIF('AUX-NIV1'!I:I,'AUX-NIV2'!B158,'AUX-NIV1'!Q:Q),"")</f>
        <v>0</v>
      </c>
      <c r="F158" s="327">
        <f t="shared" si="59"/>
        <v>8099.6748205158301</v>
      </c>
      <c r="G158" s="327">
        <f t="shared" si="60"/>
        <v>0</v>
      </c>
      <c r="H158" s="328" t="str">
        <f t="shared" si="70"/>
        <v>A</v>
      </c>
      <c r="I158" s="325" t="s">
        <v>3309</v>
      </c>
      <c r="J158" s="329" t="str">
        <f>IF(B158&lt;&gt;"",+VLOOKUP(I158,Recursos!C:F,2,FALSE),"")</f>
        <v>MEDIO OFICIAL</v>
      </c>
      <c r="K158" s="330" t="str">
        <f>IF(B158&lt;&gt;"",+VLOOKUP(I158,Recursos!C:F,3,FALSE),"")</f>
        <v>hh</v>
      </c>
      <c r="L158" s="327">
        <f>IF(B158&lt;&gt;"",+VLOOKUP(I158,Recursos!C:F,4,FALSE),"")</f>
        <v>459.10093211890984</v>
      </c>
      <c r="M158" s="331">
        <v>0.8</v>
      </c>
      <c r="N158" s="331">
        <v>1</v>
      </c>
      <c r="O158" s="332">
        <f t="shared" si="85"/>
        <v>0.8</v>
      </c>
      <c r="P158" s="333">
        <f t="shared" si="71"/>
        <v>367.28074569512791</v>
      </c>
      <c r="Q158" s="327">
        <f t="shared" si="72"/>
        <v>0</v>
      </c>
      <c r="R158" s="334">
        <f t="shared" si="73"/>
        <v>0</v>
      </c>
      <c r="S158" s="358">
        <f t="shared" si="61"/>
        <v>2653.4201085828649</v>
      </c>
      <c r="T158" s="358">
        <f t="shared" si="62"/>
        <v>475.61445000000003</v>
      </c>
      <c r="U158" s="359">
        <f t="shared" si="63"/>
        <v>4970.6402619329656</v>
      </c>
      <c r="V158" s="359">
        <f t="shared" si="64"/>
        <v>0</v>
      </c>
      <c r="W158" s="359">
        <f t="shared" si="65"/>
        <v>0</v>
      </c>
      <c r="X158" s="359">
        <f t="shared" si="66"/>
        <v>0</v>
      </c>
      <c r="Y158" s="320"/>
      <c r="Z158" s="321" t="str">
        <f t="shared" si="74"/>
        <v>X-ENCOFRADOaA</v>
      </c>
      <c r="AA158" s="321" t="str">
        <f t="shared" si="75"/>
        <v>X-ENCOFRADOaE</v>
      </c>
      <c r="AB158" s="321" t="str">
        <f t="shared" si="76"/>
        <v>X-ENCOFRADOaM</v>
      </c>
      <c r="AC158" s="321" t="str">
        <f t="shared" si="77"/>
        <v>X-ENCOFRADOaT</v>
      </c>
      <c r="AD158" s="321" t="str">
        <f t="shared" si="78"/>
        <v>X-ENCOFRADOaS</v>
      </c>
      <c r="AE158" s="321" t="str">
        <f t="shared" si="79"/>
        <v>X-ENCOFRADOaX</v>
      </c>
      <c r="AF158" s="321" t="str">
        <f t="shared" si="80"/>
        <v>X-ENCOFRADOaA</v>
      </c>
      <c r="AG158" s="321">
        <f t="shared" si="67"/>
        <v>12</v>
      </c>
      <c r="AH158" s="321">
        <f>IF(B158&lt;&gt;"",IF(H158="x",VLOOKUP(I158,'AUX-NIV3'!B:AG,32,FALSE),0),"")</f>
        <v>0</v>
      </c>
      <c r="AI158" s="321" t="str">
        <f t="shared" si="81"/>
        <v>X-ENCOFRADOa</v>
      </c>
      <c r="AJ158" s="320"/>
      <c r="AK158" s="322">
        <f t="shared" si="68"/>
        <v>156</v>
      </c>
      <c r="AL158" s="323">
        <f t="shared" si="82"/>
        <v>167</v>
      </c>
      <c r="AM158" s="322">
        <f t="shared" si="83"/>
        <v>3</v>
      </c>
      <c r="AN158" s="380">
        <f>IF(AND(AH158&gt;0,B158&lt;&gt;""),VLOOKUP(I158,'AUX-NIV3'!$B:$AO,39,FALSE)*O158,0)</f>
        <v>0</v>
      </c>
      <c r="AO158" s="380">
        <f t="shared" si="69"/>
        <v>5.8800000000000008</v>
      </c>
      <c r="AP158" s="380"/>
    </row>
    <row r="159" spans="2:42" ht="14.4" hidden="1" thickTop="1" thickBot="1">
      <c r="B159" s="324" t="s">
        <v>1271</v>
      </c>
      <c r="C159" s="325" t="s">
        <v>20</v>
      </c>
      <c r="D159" s="326" t="s">
        <v>501</v>
      </c>
      <c r="E159" s="327">
        <f>IF(B159&lt;&gt;"",SUMIF('AUX-NIV1'!I:I,'AUX-NIV2'!B159,'AUX-NIV1'!Q:Q),"")</f>
        <v>0</v>
      </c>
      <c r="F159" s="327">
        <f t="shared" si="59"/>
        <v>8099.6748205158301</v>
      </c>
      <c r="G159" s="327">
        <f t="shared" si="60"/>
        <v>0</v>
      </c>
      <c r="H159" s="328" t="str">
        <f t="shared" si="70"/>
        <v>A</v>
      </c>
      <c r="I159" s="325" t="s">
        <v>3312</v>
      </c>
      <c r="J159" s="329" t="str">
        <f>IF(B159&lt;&gt;"",+VLOOKUP(I159,Recursos!C:F,2,FALSE),"")</f>
        <v>CHOFER</v>
      </c>
      <c r="K159" s="330" t="str">
        <f>IF(B159&lt;&gt;"",+VLOOKUP(I159,Recursos!C:F,3,FALSE),"")</f>
        <v>hh</v>
      </c>
      <c r="L159" s="327">
        <f>IF(B159&lt;&gt;"",+VLOOKUP(I159,Recursos!C:F,4,FALSE),"")</f>
        <v>496.91595439275824</v>
      </c>
      <c r="M159" s="331">
        <v>0.2</v>
      </c>
      <c r="N159" s="331">
        <v>1.4</v>
      </c>
      <c r="O159" s="332">
        <f t="shared" si="85"/>
        <v>0.27999999999999997</v>
      </c>
      <c r="P159" s="333">
        <f t="shared" si="71"/>
        <v>139.13646722997228</v>
      </c>
      <c r="Q159" s="327">
        <f t="shared" si="72"/>
        <v>0</v>
      </c>
      <c r="R159" s="334">
        <f t="shared" si="73"/>
        <v>0</v>
      </c>
      <c r="S159" s="358">
        <f t="shared" si="61"/>
        <v>2653.4201085828649</v>
      </c>
      <c r="T159" s="358">
        <f t="shared" si="62"/>
        <v>475.61445000000003</v>
      </c>
      <c r="U159" s="359">
        <f t="shared" si="63"/>
        <v>4970.6402619329656</v>
      </c>
      <c r="V159" s="359">
        <f t="shared" si="64"/>
        <v>0</v>
      </c>
      <c r="W159" s="359">
        <f t="shared" si="65"/>
        <v>0</v>
      </c>
      <c r="X159" s="359">
        <f t="shared" si="66"/>
        <v>0</v>
      </c>
      <c r="Y159" s="320"/>
      <c r="Z159" s="321" t="str">
        <f t="shared" si="74"/>
        <v>X-ENCOFRADOaA</v>
      </c>
      <c r="AA159" s="321" t="str">
        <f t="shared" si="75"/>
        <v>X-ENCOFRADOaE</v>
      </c>
      <c r="AB159" s="321" t="str">
        <f t="shared" si="76"/>
        <v>X-ENCOFRADOaM</v>
      </c>
      <c r="AC159" s="321" t="str">
        <f t="shared" si="77"/>
        <v>X-ENCOFRADOaT</v>
      </c>
      <c r="AD159" s="321" t="str">
        <f t="shared" si="78"/>
        <v>X-ENCOFRADOaS</v>
      </c>
      <c r="AE159" s="321" t="str">
        <f t="shared" si="79"/>
        <v>X-ENCOFRADOaX</v>
      </c>
      <c r="AF159" s="321" t="str">
        <f t="shared" si="80"/>
        <v>X-ENCOFRADOaA</v>
      </c>
      <c r="AG159" s="321">
        <f t="shared" si="67"/>
        <v>12</v>
      </c>
      <c r="AH159" s="321">
        <f>IF(B159&lt;&gt;"",IF(H159="x",VLOOKUP(I159,'AUX-NIV3'!B:AG,32,FALSE),0),"")</f>
        <v>0</v>
      </c>
      <c r="AI159" s="321" t="str">
        <f t="shared" si="81"/>
        <v>X-ENCOFRADOa</v>
      </c>
      <c r="AJ159" s="320"/>
      <c r="AK159" s="322">
        <f t="shared" si="68"/>
        <v>156</v>
      </c>
      <c r="AL159" s="323">
        <f t="shared" si="82"/>
        <v>167</v>
      </c>
      <c r="AM159" s="322">
        <f t="shared" si="83"/>
        <v>4</v>
      </c>
      <c r="AN159" s="380">
        <f>IF(AND(AH159&gt;0,B159&lt;&gt;""),VLOOKUP(I159,'AUX-NIV3'!$B:$AO,39,FALSE)*O159,0)</f>
        <v>0</v>
      </c>
      <c r="AO159" s="380">
        <f t="shared" si="69"/>
        <v>5.8800000000000008</v>
      </c>
      <c r="AP159" s="380"/>
    </row>
    <row r="160" spans="2:42" ht="14.4" hidden="1" thickTop="1" thickBot="1">
      <c r="B160" s="324" t="s">
        <v>1271</v>
      </c>
      <c r="C160" s="325" t="s">
        <v>20</v>
      </c>
      <c r="D160" s="326" t="s">
        <v>501</v>
      </c>
      <c r="E160" s="327">
        <f>IF(B160&lt;&gt;"",SUMIF('AUX-NIV1'!I:I,'AUX-NIV2'!B160,'AUX-NIV1'!Q:Q),"")</f>
        <v>0</v>
      </c>
      <c r="F160" s="327">
        <f t="shared" si="59"/>
        <v>8099.6748205158301</v>
      </c>
      <c r="G160" s="327">
        <f t="shared" si="60"/>
        <v>0</v>
      </c>
      <c r="H160" s="328" t="str">
        <f t="shared" si="70"/>
        <v>E</v>
      </c>
      <c r="I160" s="325" t="s">
        <v>1597</v>
      </c>
      <c r="J160" s="329" t="str">
        <f>IF(B160&lt;&gt;"",+VLOOKUP(I160,Recursos!C:F,2,FALSE),"")</f>
        <v>HIDROGRUA MONTADA S/CAMION (6 T)</v>
      </c>
      <c r="K160" s="330" t="str">
        <f>IF(B160&lt;&gt;"",+VLOOKUP(I160,Recursos!C:F,3,FALSE),"")</f>
        <v>HR</v>
      </c>
      <c r="L160" s="327">
        <f>IF(B160&lt;&gt;"",+VLOOKUP(I160,Recursos!C:F,4,FALSE),"")</f>
        <v>2378.0722500000002</v>
      </c>
      <c r="M160" s="331">
        <v>0.2</v>
      </c>
      <c r="N160" s="331">
        <v>1</v>
      </c>
      <c r="O160" s="332">
        <f t="shared" si="85"/>
        <v>0.2</v>
      </c>
      <c r="P160" s="333">
        <f t="shared" si="71"/>
        <v>475.61445000000003</v>
      </c>
      <c r="Q160" s="327">
        <f t="shared" si="72"/>
        <v>0</v>
      </c>
      <c r="R160" s="334">
        <f t="shared" si="73"/>
        <v>0</v>
      </c>
      <c r="S160" s="358">
        <f t="shared" si="61"/>
        <v>2653.4201085828649</v>
      </c>
      <c r="T160" s="358">
        <f t="shared" si="62"/>
        <v>475.61445000000003</v>
      </c>
      <c r="U160" s="359">
        <f t="shared" si="63"/>
        <v>4970.6402619329656</v>
      </c>
      <c r="V160" s="359">
        <f t="shared" si="64"/>
        <v>0</v>
      </c>
      <c r="W160" s="359">
        <f t="shared" si="65"/>
        <v>0</v>
      </c>
      <c r="X160" s="359">
        <f t="shared" si="66"/>
        <v>0</v>
      </c>
      <c r="Y160" s="320"/>
      <c r="Z160" s="321" t="str">
        <f t="shared" si="74"/>
        <v>X-ENCOFRADOaA</v>
      </c>
      <c r="AA160" s="321" t="str">
        <f t="shared" si="75"/>
        <v>X-ENCOFRADOaE</v>
      </c>
      <c r="AB160" s="321" t="str">
        <f t="shared" si="76"/>
        <v>X-ENCOFRADOaM</v>
      </c>
      <c r="AC160" s="321" t="str">
        <f t="shared" si="77"/>
        <v>X-ENCOFRADOaT</v>
      </c>
      <c r="AD160" s="321" t="str">
        <f t="shared" si="78"/>
        <v>X-ENCOFRADOaS</v>
      </c>
      <c r="AE160" s="321" t="str">
        <f t="shared" si="79"/>
        <v>X-ENCOFRADOaX</v>
      </c>
      <c r="AF160" s="321" t="str">
        <f t="shared" si="80"/>
        <v>X-ENCOFRADOaE</v>
      </c>
      <c r="AG160" s="321">
        <f t="shared" si="67"/>
        <v>12</v>
      </c>
      <c r="AH160" s="321">
        <f>IF(B160&lt;&gt;"",IF(H160="x",VLOOKUP(I160,'AUX-NIV3'!B:AG,32,FALSE),0),"")</f>
        <v>0</v>
      </c>
      <c r="AI160" s="321" t="str">
        <f t="shared" si="81"/>
        <v>X-ENCOFRADOa</v>
      </c>
      <c r="AJ160" s="320"/>
      <c r="AK160" s="322">
        <f t="shared" si="68"/>
        <v>156</v>
      </c>
      <c r="AL160" s="323">
        <f t="shared" si="82"/>
        <v>167</v>
      </c>
      <c r="AM160" s="322">
        <f t="shared" si="83"/>
        <v>5</v>
      </c>
      <c r="AN160" s="380">
        <f>IF(AND(AH160&gt;0,B160&lt;&gt;""),VLOOKUP(I160,'AUX-NIV3'!$B:$AO,39,FALSE)*O160,0)</f>
        <v>0</v>
      </c>
      <c r="AO160" s="380">
        <f t="shared" si="69"/>
        <v>5.8800000000000008</v>
      </c>
      <c r="AP160" s="380"/>
    </row>
    <row r="161" spans="2:42" ht="14.4" hidden="1" thickTop="1" thickBot="1">
      <c r="B161" s="324" t="s">
        <v>1271</v>
      </c>
      <c r="C161" s="325" t="s">
        <v>20</v>
      </c>
      <c r="D161" s="326" t="s">
        <v>501</v>
      </c>
      <c r="E161" s="327">
        <f>IF(B161&lt;&gt;"",SUMIF('AUX-NIV1'!I:I,'AUX-NIV2'!B161,'AUX-NIV1'!Q:Q),"")</f>
        <v>0</v>
      </c>
      <c r="F161" s="327">
        <f t="shared" si="59"/>
        <v>8099.6748205158301</v>
      </c>
      <c r="G161" s="327">
        <f t="shared" si="60"/>
        <v>0</v>
      </c>
      <c r="H161" s="328" t="str">
        <f t="shared" si="70"/>
        <v>M</v>
      </c>
      <c r="I161" s="325" t="s">
        <v>621</v>
      </c>
      <c r="J161" s="329" t="str">
        <f>IF(B161&lt;&gt;"",+VLOOKUP(I161,Recursos!C:F,2,FALSE),"")</f>
        <v>MATERIALES VARIOS</v>
      </c>
      <c r="K161" s="330" t="str">
        <f>IF(B161&lt;&gt;"",+VLOOKUP(I161,Recursos!C:F,3,FALSE),"")</f>
        <v>GL</v>
      </c>
      <c r="L161" s="327">
        <f>IF(B161&lt;&gt;"",+VLOOKUP(I161,Recursos!C:F,4,FALSE),"")</f>
        <v>0.5</v>
      </c>
      <c r="M161" s="331">
        <v>1.8464099999999999</v>
      </c>
      <c r="N161" s="331">
        <v>1</v>
      </c>
      <c r="O161" s="332">
        <f t="shared" si="85"/>
        <v>1.8464099999999999</v>
      </c>
      <c r="P161" s="333">
        <f t="shared" si="71"/>
        <v>0.92320499999999994</v>
      </c>
      <c r="Q161" s="327">
        <f t="shared" si="72"/>
        <v>0</v>
      </c>
      <c r="R161" s="334">
        <f t="shared" si="73"/>
        <v>0</v>
      </c>
      <c r="S161" s="358">
        <f t="shared" si="61"/>
        <v>2653.4201085828649</v>
      </c>
      <c r="T161" s="358">
        <f t="shared" si="62"/>
        <v>475.61445000000003</v>
      </c>
      <c r="U161" s="359">
        <f t="shared" si="63"/>
        <v>4970.6402619329656</v>
      </c>
      <c r="V161" s="359">
        <f t="shared" si="64"/>
        <v>0</v>
      </c>
      <c r="W161" s="359">
        <f t="shared" si="65"/>
        <v>0</v>
      </c>
      <c r="X161" s="359">
        <f t="shared" si="66"/>
        <v>0</v>
      </c>
      <c r="Y161" s="320"/>
      <c r="Z161" s="321" t="str">
        <f t="shared" si="74"/>
        <v>X-ENCOFRADOaA</v>
      </c>
      <c r="AA161" s="321" t="str">
        <f t="shared" si="75"/>
        <v>X-ENCOFRADOaE</v>
      </c>
      <c r="AB161" s="321" t="str">
        <f t="shared" si="76"/>
        <v>X-ENCOFRADOaM</v>
      </c>
      <c r="AC161" s="321" t="str">
        <f t="shared" si="77"/>
        <v>X-ENCOFRADOaT</v>
      </c>
      <c r="AD161" s="321" t="str">
        <f t="shared" si="78"/>
        <v>X-ENCOFRADOaS</v>
      </c>
      <c r="AE161" s="321" t="str">
        <f t="shared" si="79"/>
        <v>X-ENCOFRADOaX</v>
      </c>
      <c r="AF161" s="321" t="str">
        <f t="shared" si="80"/>
        <v>X-ENCOFRADOaM</v>
      </c>
      <c r="AG161" s="321">
        <f t="shared" si="67"/>
        <v>12</v>
      </c>
      <c r="AH161" s="321">
        <f>IF(B161&lt;&gt;"",IF(H161="x",VLOOKUP(I161,'AUX-NIV3'!B:AG,32,FALSE),0),"")</f>
        <v>0</v>
      </c>
      <c r="AI161" s="321" t="str">
        <f t="shared" si="81"/>
        <v>X-ENCOFRADOa</v>
      </c>
      <c r="AJ161" s="320"/>
      <c r="AK161" s="322">
        <f t="shared" si="68"/>
        <v>156</v>
      </c>
      <c r="AL161" s="323">
        <f t="shared" si="82"/>
        <v>167</v>
      </c>
      <c r="AM161" s="322">
        <f t="shared" si="83"/>
        <v>6</v>
      </c>
      <c r="AN161" s="380">
        <f>IF(AND(AH161&gt;0,B161&lt;&gt;""),VLOOKUP(I161,'AUX-NIV3'!$B:$AO,39,FALSE)*O161,0)</f>
        <v>0</v>
      </c>
      <c r="AO161" s="380">
        <f t="shared" si="69"/>
        <v>5.8800000000000008</v>
      </c>
      <c r="AP161" s="380"/>
    </row>
    <row r="162" spans="2:42" ht="14.4" hidden="1" thickTop="1" thickBot="1">
      <c r="B162" s="324" t="s">
        <v>1271</v>
      </c>
      <c r="C162" s="325" t="s">
        <v>20</v>
      </c>
      <c r="D162" s="326" t="s">
        <v>501</v>
      </c>
      <c r="E162" s="327">
        <f>IF(B162&lt;&gt;"",SUMIF('AUX-NIV1'!I:I,'AUX-NIV2'!B162,'AUX-NIV1'!Q:Q),"")</f>
        <v>0</v>
      </c>
      <c r="F162" s="327">
        <f t="shared" si="59"/>
        <v>8099.6748205158301</v>
      </c>
      <c r="G162" s="327">
        <f t="shared" si="60"/>
        <v>0</v>
      </c>
      <c r="H162" s="328" t="str">
        <f t="shared" si="70"/>
        <v>M</v>
      </c>
      <c r="I162" s="325" t="s">
        <v>580</v>
      </c>
      <c r="J162" s="329" t="str">
        <f>IF(B162&lt;&gt;"",+VLOOKUP(I162,Recursos!C:F,2,FALSE),"")</f>
        <v>DESMOLDANTE</v>
      </c>
      <c r="K162" s="330" t="str">
        <f>IF(B162&lt;&gt;"",+VLOOKUP(I162,Recursos!C:F,3,FALSE),"")</f>
        <v>Kg</v>
      </c>
      <c r="L162" s="327">
        <f>IF(B162&lt;&gt;"",+VLOOKUP(I162,Recursos!C:F,4,FALSE),"")</f>
        <v>0</v>
      </c>
      <c r="M162" s="331">
        <v>0.1</v>
      </c>
      <c r="N162" s="331">
        <v>1</v>
      </c>
      <c r="O162" s="332">
        <f t="shared" si="85"/>
        <v>0.1</v>
      </c>
      <c r="P162" s="333">
        <f t="shared" si="71"/>
        <v>0</v>
      </c>
      <c r="Q162" s="327">
        <f t="shared" si="72"/>
        <v>0</v>
      </c>
      <c r="R162" s="334">
        <f t="shared" si="73"/>
        <v>0</v>
      </c>
      <c r="S162" s="358">
        <f t="shared" si="61"/>
        <v>2653.4201085828649</v>
      </c>
      <c r="T162" s="358">
        <f t="shared" si="62"/>
        <v>475.61445000000003</v>
      </c>
      <c r="U162" s="359">
        <f t="shared" si="63"/>
        <v>4970.6402619329656</v>
      </c>
      <c r="V162" s="359">
        <f t="shared" si="64"/>
        <v>0</v>
      </c>
      <c r="W162" s="359">
        <f t="shared" si="65"/>
        <v>0</v>
      </c>
      <c r="X162" s="359">
        <f t="shared" si="66"/>
        <v>0</v>
      </c>
      <c r="Y162" s="320"/>
      <c r="Z162" s="321" t="str">
        <f t="shared" si="74"/>
        <v>X-ENCOFRADOaA</v>
      </c>
      <c r="AA162" s="321" t="str">
        <f t="shared" si="75"/>
        <v>X-ENCOFRADOaE</v>
      </c>
      <c r="AB162" s="321" t="str">
        <f t="shared" si="76"/>
        <v>X-ENCOFRADOaM</v>
      </c>
      <c r="AC162" s="321" t="str">
        <f t="shared" si="77"/>
        <v>X-ENCOFRADOaT</v>
      </c>
      <c r="AD162" s="321" t="str">
        <f t="shared" si="78"/>
        <v>X-ENCOFRADOaS</v>
      </c>
      <c r="AE162" s="321" t="str">
        <f t="shared" si="79"/>
        <v>X-ENCOFRADOaX</v>
      </c>
      <c r="AF162" s="321" t="str">
        <f t="shared" si="80"/>
        <v>X-ENCOFRADOaM</v>
      </c>
      <c r="AG162" s="321">
        <f t="shared" si="67"/>
        <v>12</v>
      </c>
      <c r="AH162" s="321">
        <f>IF(B162&lt;&gt;"",IF(H162="x",VLOOKUP(I162,'AUX-NIV3'!B:AG,32,FALSE),0),"")</f>
        <v>0</v>
      </c>
      <c r="AI162" s="321" t="str">
        <f t="shared" si="81"/>
        <v>X-ENCOFRADOa</v>
      </c>
      <c r="AJ162" s="320"/>
      <c r="AK162" s="322">
        <f t="shared" si="68"/>
        <v>156</v>
      </c>
      <c r="AL162" s="323">
        <f t="shared" si="82"/>
        <v>167</v>
      </c>
      <c r="AM162" s="322">
        <f t="shared" si="83"/>
        <v>7</v>
      </c>
      <c r="AN162" s="380">
        <f>IF(AND(AH162&gt;0,B162&lt;&gt;""),VLOOKUP(I162,'AUX-NIV3'!$B:$AO,39,FALSE)*O162,0)</f>
        <v>0</v>
      </c>
      <c r="AO162" s="380">
        <f t="shared" si="69"/>
        <v>5.8800000000000008</v>
      </c>
      <c r="AP162" s="380"/>
    </row>
    <row r="163" spans="2:42" ht="14.4" hidden="1" thickTop="1" thickBot="1">
      <c r="B163" s="324" t="s">
        <v>1271</v>
      </c>
      <c r="C163" s="325" t="s">
        <v>20</v>
      </c>
      <c r="D163" s="326" t="s">
        <v>501</v>
      </c>
      <c r="E163" s="327">
        <f>IF(B163&lt;&gt;"",SUMIF('AUX-NIV1'!I:I,'AUX-NIV2'!B163,'AUX-NIV1'!Q:Q),"")</f>
        <v>0</v>
      </c>
      <c r="F163" s="327">
        <f t="shared" si="59"/>
        <v>8099.6748205158301</v>
      </c>
      <c r="G163" s="327">
        <f t="shared" si="60"/>
        <v>0</v>
      </c>
      <c r="H163" s="328" t="str">
        <f t="shared" si="70"/>
        <v>M</v>
      </c>
      <c r="I163" s="325" t="s">
        <v>594</v>
      </c>
      <c r="J163" s="329" t="str">
        <f>IF(B163&lt;&gt;"",+VLOOKUP(I163,Recursos!C:F,2,FALSE),"")</f>
        <v>LISTON TIPO PARA ENCOFRADO</v>
      </c>
      <c r="K163" s="330" t="str">
        <f>IF(B163&lt;&gt;"",+VLOOKUP(I163,Recursos!C:F,3,FALSE),"")</f>
        <v>m2</v>
      </c>
      <c r="L163" s="327">
        <f>IF(B163&lt;&gt;"",+VLOOKUP(I163,Recursos!C:F,4,FALSE),"")</f>
        <v>2375</v>
      </c>
      <c r="M163" s="331">
        <v>4</v>
      </c>
      <c r="N163" s="331">
        <v>7.5</v>
      </c>
      <c r="O163" s="332">
        <f>+N163/M163</f>
        <v>1.875</v>
      </c>
      <c r="P163" s="333">
        <f t="shared" si="71"/>
        <v>4453.125</v>
      </c>
      <c r="Q163" s="327">
        <f t="shared" si="72"/>
        <v>0</v>
      </c>
      <c r="R163" s="334">
        <f t="shared" si="73"/>
        <v>0</v>
      </c>
      <c r="S163" s="358">
        <f t="shared" si="61"/>
        <v>2653.4201085828649</v>
      </c>
      <c r="T163" s="358">
        <f t="shared" si="62"/>
        <v>475.61445000000003</v>
      </c>
      <c r="U163" s="359">
        <f t="shared" si="63"/>
        <v>4970.6402619329656</v>
      </c>
      <c r="V163" s="359">
        <f t="shared" si="64"/>
        <v>0</v>
      </c>
      <c r="W163" s="359">
        <f t="shared" si="65"/>
        <v>0</v>
      </c>
      <c r="X163" s="359">
        <f t="shared" si="66"/>
        <v>0</v>
      </c>
      <c r="Y163" s="320"/>
      <c r="Z163" s="321" t="str">
        <f t="shared" si="74"/>
        <v>X-ENCOFRADOaA</v>
      </c>
      <c r="AA163" s="321" t="str">
        <f t="shared" si="75"/>
        <v>X-ENCOFRADOaE</v>
      </c>
      <c r="AB163" s="321" t="str">
        <f t="shared" si="76"/>
        <v>X-ENCOFRADOaM</v>
      </c>
      <c r="AC163" s="321" t="str">
        <f t="shared" si="77"/>
        <v>X-ENCOFRADOaT</v>
      </c>
      <c r="AD163" s="321" t="str">
        <f t="shared" si="78"/>
        <v>X-ENCOFRADOaS</v>
      </c>
      <c r="AE163" s="321" t="str">
        <f t="shared" si="79"/>
        <v>X-ENCOFRADOaX</v>
      </c>
      <c r="AF163" s="321" t="str">
        <f t="shared" si="80"/>
        <v>X-ENCOFRADOaM</v>
      </c>
      <c r="AG163" s="321">
        <f t="shared" si="67"/>
        <v>12</v>
      </c>
      <c r="AH163" s="321">
        <f>IF(B163&lt;&gt;"",IF(H163="x",VLOOKUP(I163,'AUX-NIV3'!B:AG,32,FALSE),0),"")</f>
        <v>0</v>
      </c>
      <c r="AI163" s="321" t="str">
        <f t="shared" si="81"/>
        <v>X-ENCOFRADOa</v>
      </c>
      <c r="AJ163" s="320"/>
      <c r="AK163" s="322">
        <f t="shared" si="68"/>
        <v>156</v>
      </c>
      <c r="AL163" s="323">
        <f t="shared" si="82"/>
        <v>167</v>
      </c>
      <c r="AM163" s="322">
        <f t="shared" si="83"/>
        <v>8</v>
      </c>
      <c r="AN163" s="380">
        <f>IF(AND(AH163&gt;0,B163&lt;&gt;""),VLOOKUP(I163,'AUX-NIV3'!$B:$AO,39,FALSE)*O163,0)</f>
        <v>0</v>
      </c>
      <c r="AO163" s="380">
        <f t="shared" si="69"/>
        <v>5.8800000000000008</v>
      </c>
      <c r="AP163" s="380"/>
    </row>
    <row r="164" spans="2:42" ht="14.4" hidden="1" thickTop="1" thickBot="1">
      <c r="B164" s="324" t="s">
        <v>1271</v>
      </c>
      <c r="C164" s="325" t="s">
        <v>20</v>
      </c>
      <c r="D164" s="326" t="s">
        <v>501</v>
      </c>
      <c r="E164" s="327">
        <f>IF(B164&lt;&gt;"",SUMIF('AUX-NIV1'!I:I,'AUX-NIV2'!B164,'AUX-NIV1'!Q:Q),"")</f>
        <v>0</v>
      </c>
      <c r="F164" s="327">
        <f t="shared" si="59"/>
        <v>8099.6748205158301</v>
      </c>
      <c r="G164" s="327">
        <f t="shared" si="60"/>
        <v>0</v>
      </c>
      <c r="H164" s="328" t="str">
        <f t="shared" si="70"/>
        <v>M</v>
      </c>
      <c r="I164" s="325" t="s">
        <v>584</v>
      </c>
      <c r="J164" s="329" t="str">
        <f>IF(B164&lt;&gt;"",+VLOOKUP(I164,Recursos!C:F,2,FALSE),"")</f>
        <v>FENOLICO PARA ENCOFRADO</v>
      </c>
      <c r="K164" s="330" t="str">
        <f>IF(B164&lt;&gt;"",+VLOOKUP(I164,Recursos!C:F,3,FALSE),"")</f>
        <v>M2</v>
      </c>
      <c r="L164" s="327">
        <f>IF(B164&lt;&gt;"",+VLOOKUP(I164,Recursos!C:F,4,FALSE),"")</f>
        <v>901.05601469237831</v>
      </c>
      <c r="M164" s="331">
        <v>4</v>
      </c>
      <c r="N164" s="331">
        <v>1.1000000000000001</v>
      </c>
      <c r="O164" s="332">
        <f>+N164/M164</f>
        <v>0.27500000000000002</v>
      </c>
      <c r="P164" s="333">
        <f t="shared" si="71"/>
        <v>247.79040404040407</v>
      </c>
      <c r="Q164" s="327">
        <f t="shared" si="72"/>
        <v>0</v>
      </c>
      <c r="R164" s="334">
        <f t="shared" si="73"/>
        <v>0</v>
      </c>
      <c r="S164" s="358">
        <f t="shared" si="61"/>
        <v>2653.4201085828649</v>
      </c>
      <c r="T164" s="358">
        <f t="shared" si="62"/>
        <v>475.61445000000003</v>
      </c>
      <c r="U164" s="359">
        <f t="shared" si="63"/>
        <v>4970.6402619329656</v>
      </c>
      <c r="V164" s="359">
        <f t="shared" si="64"/>
        <v>0</v>
      </c>
      <c r="W164" s="359">
        <f t="shared" si="65"/>
        <v>0</v>
      </c>
      <c r="X164" s="359">
        <f t="shared" si="66"/>
        <v>0</v>
      </c>
      <c r="Y164" s="320"/>
      <c r="Z164" s="321" t="str">
        <f t="shared" si="74"/>
        <v>X-ENCOFRADOaA</v>
      </c>
      <c r="AA164" s="321" t="str">
        <f t="shared" si="75"/>
        <v>X-ENCOFRADOaE</v>
      </c>
      <c r="AB164" s="321" t="str">
        <f t="shared" si="76"/>
        <v>X-ENCOFRADOaM</v>
      </c>
      <c r="AC164" s="321" t="str">
        <f t="shared" si="77"/>
        <v>X-ENCOFRADOaT</v>
      </c>
      <c r="AD164" s="321" t="str">
        <f t="shared" si="78"/>
        <v>X-ENCOFRADOaS</v>
      </c>
      <c r="AE164" s="321" t="str">
        <f t="shared" si="79"/>
        <v>X-ENCOFRADOaX</v>
      </c>
      <c r="AF164" s="321" t="str">
        <f t="shared" si="80"/>
        <v>X-ENCOFRADOaM</v>
      </c>
      <c r="AG164" s="321">
        <f t="shared" si="67"/>
        <v>12</v>
      </c>
      <c r="AH164" s="321">
        <f>IF(B164&lt;&gt;"",IF(H164="x",VLOOKUP(I164,'AUX-NIV3'!B:AG,32,FALSE),0),"")</f>
        <v>0</v>
      </c>
      <c r="AI164" s="321" t="str">
        <f t="shared" si="81"/>
        <v>X-ENCOFRADOa</v>
      </c>
      <c r="AJ164" s="320"/>
      <c r="AK164" s="322">
        <f t="shared" si="68"/>
        <v>156</v>
      </c>
      <c r="AL164" s="323">
        <f t="shared" si="82"/>
        <v>167</v>
      </c>
      <c r="AM164" s="322">
        <f t="shared" si="83"/>
        <v>9</v>
      </c>
      <c r="AN164" s="380">
        <f>IF(AND(AH164&gt;0,B164&lt;&gt;""),VLOOKUP(I164,'AUX-NIV3'!$B:$AO,39,FALSE)*O164,0)</f>
        <v>0</v>
      </c>
      <c r="AO164" s="380">
        <f t="shared" si="69"/>
        <v>5.8800000000000008</v>
      </c>
      <c r="AP164" s="380"/>
    </row>
    <row r="165" spans="2:42" ht="14.4" hidden="1" thickTop="1" thickBot="1">
      <c r="B165" s="324" t="s">
        <v>1271</v>
      </c>
      <c r="C165" s="325" t="s">
        <v>20</v>
      </c>
      <c r="D165" s="326" t="s">
        <v>501</v>
      </c>
      <c r="E165" s="327">
        <f>IF(B165&lt;&gt;"",SUMIF('AUX-NIV1'!I:I,'AUX-NIV2'!B165,'AUX-NIV1'!Q:Q),"")</f>
        <v>0</v>
      </c>
      <c r="F165" s="327">
        <f t="shared" si="59"/>
        <v>8099.6748205158301</v>
      </c>
      <c r="G165" s="327">
        <f t="shared" si="60"/>
        <v>0</v>
      </c>
      <c r="H165" s="328" t="str">
        <f t="shared" si="70"/>
        <v>M</v>
      </c>
      <c r="I165" s="325" t="s">
        <v>608</v>
      </c>
      <c r="J165" s="329" t="str">
        <f>IF(B165&lt;&gt;"",+VLOOKUP(I165,Recursos!C:F,2,FALSE),"")</f>
        <v>PUNTAL PARA ENCOFRADO</v>
      </c>
      <c r="K165" s="330" t="str">
        <f>IF(B165&lt;&gt;"",+VLOOKUP(I165,Recursos!C:F,3,FALSE),"")</f>
        <v>M</v>
      </c>
      <c r="L165" s="327">
        <f>IF(B165&lt;&gt;"",+VLOOKUP(I165,Recursos!C:F,4,FALSE),"")</f>
        <v>200</v>
      </c>
      <c r="M165" s="331">
        <v>4</v>
      </c>
      <c r="N165" s="331">
        <v>0</v>
      </c>
      <c r="O165" s="332">
        <f>+N165/M165</f>
        <v>0</v>
      </c>
      <c r="P165" s="333">
        <f t="shared" si="71"/>
        <v>0</v>
      </c>
      <c r="Q165" s="327">
        <f t="shared" si="72"/>
        <v>0</v>
      </c>
      <c r="R165" s="334">
        <f t="shared" si="73"/>
        <v>0</v>
      </c>
      <c r="S165" s="358">
        <f t="shared" si="61"/>
        <v>2653.4201085828649</v>
      </c>
      <c r="T165" s="358">
        <f t="shared" si="62"/>
        <v>475.61445000000003</v>
      </c>
      <c r="U165" s="359">
        <f t="shared" si="63"/>
        <v>4970.6402619329656</v>
      </c>
      <c r="V165" s="359">
        <f t="shared" si="64"/>
        <v>0</v>
      </c>
      <c r="W165" s="359">
        <f t="shared" si="65"/>
        <v>0</v>
      </c>
      <c r="X165" s="359">
        <f t="shared" si="66"/>
        <v>0</v>
      </c>
      <c r="Y165" s="320"/>
      <c r="Z165" s="321" t="str">
        <f t="shared" si="74"/>
        <v>X-ENCOFRADOaA</v>
      </c>
      <c r="AA165" s="321" t="str">
        <f t="shared" si="75"/>
        <v>X-ENCOFRADOaE</v>
      </c>
      <c r="AB165" s="321" t="str">
        <f t="shared" si="76"/>
        <v>X-ENCOFRADOaM</v>
      </c>
      <c r="AC165" s="321" t="str">
        <f t="shared" si="77"/>
        <v>X-ENCOFRADOaT</v>
      </c>
      <c r="AD165" s="321" t="str">
        <f t="shared" si="78"/>
        <v>X-ENCOFRADOaS</v>
      </c>
      <c r="AE165" s="321" t="str">
        <f t="shared" si="79"/>
        <v>X-ENCOFRADOaX</v>
      </c>
      <c r="AF165" s="321" t="str">
        <f t="shared" si="80"/>
        <v>X-ENCOFRADOaM</v>
      </c>
      <c r="AG165" s="321">
        <f t="shared" si="67"/>
        <v>12</v>
      </c>
      <c r="AH165" s="321">
        <f>IF(B165&lt;&gt;"",IF(H165="x",VLOOKUP(I165,'AUX-NIV3'!B:AG,32,FALSE),0),"")</f>
        <v>0</v>
      </c>
      <c r="AI165" s="321" t="str">
        <f t="shared" si="81"/>
        <v>X-ENCOFRADOa</v>
      </c>
      <c r="AJ165" s="320"/>
      <c r="AK165" s="322">
        <f t="shared" si="68"/>
        <v>156</v>
      </c>
      <c r="AL165" s="323">
        <f t="shared" si="82"/>
        <v>167</v>
      </c>
      <c r="AM165" s="322">
        <f t="shared" si="83"/>
        <v>10</v>
      </c>
      <c r="AN165" s="380">
        <f>IF(AND(AH165&gt;0,B165&lt;&gt;""),VLOOKUP(I165,'AUX-NIV3'!$B:$AO,39,FALSE)*O165,0)</f>
        <v>0</v>
      </c>
      <c r="AO165" s="380">
        <f t="shared" si="69"/>
        <v>5.8800000000000008</v>
      </c>
      <c r="AP165" s="380"/>
    </row>
    <row r="166" spans="2:42" ht="14.4" hidden="1" thickTop="1" thickBot="1">
      <c r="B166" s="324" t="s">
        <v>1271</v>
      </c>
      <c r="C166" s="325" t="s">
        <v>20</v>
      </c>
      <c r="D166" s="326" t="s">
        <v>501</v>
      </c>
      <c r="E166" s="327">
        <f>IF(B166&lt;&gt;"",SUMIF('AUX-NIV1'!I:I,'AUX-NIV2'!B166,'AUX-NIV1'!Q:Q),"")</f>
        <v>0</v>
      </c>
      <c r="F166" s="327">
        <f t="shared" si="59"/>
        <v>8099.6748205158301</v>
      </c>
      <c r="G166" s="327">
        <f t="shared" si="60"/>
        <v>0</v>
      </c>
      <c r="H166" s="328" t="str">
        <f t="shared" si="70"/>
        <v>M</v>
      </c>
      <c r="I166" s="325" t="s">
        <v>448</v>
      </c>
      <c r="J166" s="329" t="str">
        <f>IF(B166&lt;&gt;"",+VLOOKUP(I166,Recursos!C:F,2,FALSE),"")</f>
        <v>ALAMBRE RECOCIDO #14</v>
      </c>
      <c r="K166" s="330" t="str">
        <f>IF(B166&lt;&gt;"",+VLOOKUP(I166,Recursos!C:F,3,FALSE),"")</f>
        <v>Kg</v>
      </c>
      <c r="L166" s="327">
        <f>IF(B166&lt;&gt;"",+VLOOKUP(I166,Recursos!C:F,4,FALSE),"")</f>
        <v>735.53719008264466</v>
      </c>
      <c r="M166" s="331">
        <v>0.25</v>
      </c>
      <c r="N166" s="331">
        <v>1</v>
      </c>
      <c r="O166" s="332">
        <f>+M166*N166</f>
        <v>0.25</v>
      </c>
      <c r="P166" s="333">
        <f t="shared" si="71"/>
        <v>183.88429752066116</v>
      </c>
      <c r="Q166" s="327">
        <f t="shared" si="72"/>
        <v>0</v>
      </c>
      <c r="R166" s="334">
        <f t="shared" si="73"/>
        <v>0</v>
      </c>
      <c r="S166" s="358">
        <f t="shared" si="61"/>
        <v>2653.4201085828649</v>
      </c>
      <c r="T166" s="358">
        <f t="shared" si="62"/>
        <v>475.61445000000003</v>
      </c>
      <c r="U166" s="359">
        <f t="shared" si="63"/>
        <v>4970.6402619329656</v>
      </c>
      <c r="V166" s="359">
        <f t="shared" si="64"/>
        <v>0</v>
      </c>
      <c r="W166" s="359">
        <f t="shared" si="65"/>
        <v>0</v>
      </c>
      <c r="X166" s="359">
        <f t="shared" si="66"/>
        <v>0</v>
      </c>
      <c r="Y166" s="320"/>
      <c r="Z166" s="321" t="str">
        <f t="shared" si="74"/>
        <v>X-ENCOFRADOaA</v>
      </c>
      <c r="AA166" s="321" t="str">
        <f t="shared" si="75"/>
        <v>X-ENCOFRADOaE</v>
      </c>
      <c r="AB166" s="321" t="str">
        <f t="shared" si="76"/>
        <v>X-ENCOFRADOaM</v>
      </c>
      <c r="AC166" s="321" t="str">
        <f t="shared" si="77"/>
        <v>X-ENCOFRADOaT</v>
      </c>
      <c r="AD166" s="321" t="str">
        <f t="shared" si="78"/>
        <v>X-ENCOFRADOaS</v>
      </c>
      <c r="AE166" s="321" t="str">
        <f t="shared" si="79"/>
        <v>X-ENCOFRADOaX</v>
      </c>
      <c r="AF166" s="321" t="str">
        <f t="shared" si="80"/>
        <v>X-ENCOFRADOaM</v>
      </c>
      <c r="AG166" s="321">
        <f t="shared" si="67"/>
        <v>12</v>
      </c>
      <c r="AH166" s="321">
        <f>IF(B166&lt;&gt;"",IF(H166="x",VLOOKUP(I166,'AUX-NIV3'!B:AG,32,FALSE),0),"")</f>
        <v>0</v>
      </c>
      <c r="AI166" s="321" t="str">
        <f t="shared" si="81"/>
        <v>X-ENCOFRADOa</v>
      </c>
      <c r="AJ166" s="320"/>
      <c r="AK166" s="322">
        <f t="shared" si="68"/>
        <v>156</v>
      </c>
      <c r="AL166" s="323">
        <f t="shared" si="82"/>
        <v>167</v>
      </c>
      <c r="AM166" s="322">
        <f t="shared" si="83"/>
        <v>11</v>
      </c>
      <c r="AN166" s="380">
        <f>IF(AND(AH166&gt;0,B166&lt;&gt;""),VLOOKUP(I166,'AUX-NIV3'!$B:$AO,39,FALSE)*O166,0)</f>
        <v>0</v>
      </c>
      <c r="AO166" s="380">
        <f t="shared" si="69"/>
        <v>5.8800000000000008</v>
      </c>
      <c r="AP166" s="380"/>
    </row>
    <row r="167" spans="2:42" ht="14.4" hidden="1" thickTop="1" thickBot="1">
      <c r="B167" s="324" t="s">
        <v>1271</v>
      </c>
      <c r="C167" s="325" t="s">
        <v>20</v>
      </c>
      <c r="D167" s="326" t="s">
        <v>501</v>
      </c>
      <c r="E167" s="327">
        <f>IF(B167&lt;&gt;"",SUMIF('AUX-NIV1'!I:I,'AUX-NIV2'!B167,'AUX-NIV1'!Q:Q),"")</f>
        <v>0</v>
      </c>
      <c r="F167" s="327">
        <f t="shared" si="59"/>
        <v>8099.6748205158301</v>
      </c>
      <c r="G167" s="327">
        <f t="shared" si="60"/>
        <v>0</v>
      </c>
      <c r="H167" s="328" t="str">
        <f t="shared" si="70"/>
        <v>M</v>
      </c>
      <c r="I167" s="325" t="s">
        <v>504</v>
      </c>
      <c r="J167" s="329" t="str">
        <f>IF(B167&lt;&gt;"",+VLOOKUP(I167,Recursos!C:F,2,FALSE),"")</f>
        <v>CLAVO DE 2 A 4"</v>
      </c>
      <c r="K167" s="330" t="str">
        <f>IF(B167&lt;&gt;"",+VLOOKUP(I167,Recursos!C:F,3,FALSE),"")</f>
        <v>Kg</v>
      </c>
      <c r="L167" s="327">
        <f>IF(B167&lt;&gt;"",+VLOOKUP(I167,Recursos!C:F,4,FALSE),"")</f>
        <v>566.11570247933889</v>
      </c>
      <c r="M167" s="331">
        <v>0.15</v>
      </c>
      <c r="N167" s="331">
        <v>1</v>
      </c>
      <c r="O167" s="332">
        <f>+M167*N167</f>
        <v>0.15</v>
      </c>
      <c r="P167" s="333">
        <f t="shared" si="71"/>
        <v>84.917355371900825</v>
      </c>
      <c r="Q167" s="327">
        <f t="shared" si="72"/>
        <v>0</v>
      </c>
      <c r="R167" s="334">
        <f t="shared" si="73"/>
        <v>0</v>
      </c>
      <c r="S167" s="358">
        <f t="shared" si="61"/>
        <v>2653.4201085828649</v>
      </c>
      <c r="T167" s="358">
        <f t="shared" si="62"/>
        <v>475.61445000000003</v>
      </c>
      <c r="U167" s="359">
        <f t="shared" si="63"/>
        <v>4970.6402619329656</v>
      </c>
      <c r="V167" s="359">
        <f t="shared" si="64"/>
        <v>0</v>
      </c>
      <c r="W167" s="359">
        <f t="shared" si="65"/>
        <v>0</v>
      </c>
      <c r="X167" s="359">
        <f t="shared" si="66"/>
        <v>0</v>
      </c>
      <c r="Y167" s="320"/>
      <c r="Z167" s="321" t="str">
        <f t="shared" si="74"/>
        <v>X-ENCOFRADOaA</v>
      </c>
      <c r="AA167" s="321" t="str">
        <f t="shared" si="75"/>
        <v>X-ENCOFRADOaE</v>
      </c>
      <c r="AB167" s="321" t="str">
        <f t="shared" si="76"/>
        <v>X-ENCOFRADOaM</v>
      </c>
      <c r="AC167" s="321" t="str">
        <f t="shared" si="77"/>
        <v>X-ENCOFRADOaT</v>
      </c>
      <c r="AD167" s="321" t="str">
        <f t="shared" si="78"/>
        <v>X-ENCOFRADOaS</v>
      </c>
      <c r="AE167" s="321" t="str">
        <f t="shared" si="79"/>
        <v>X-ENCOFRADOaX</v>
      </c>
      <c r="AF167" s="321" t="str">
        <f t="shared" si="80"/>
        <v>X-ENCOFRADOaM</v>
      </c>
      <c r="AG167" s="321">
        <f t="shared" si="67"/>
        <v>12</v>
      </c>
      <c r="AH167" s="321">
        <f>IF(B167&lt;&gt;"",IF(H167="x",VLOOKUP(I167,'AUX-NIV3'!B:AG,32,FALSE),0),"")</f>
        <v>0</v>
      </c>
      <c r="AI167" s="321" t="str">
        <f t="shared" si="81"/>
        <v>X-ENCOFRADOa</v>
      </c>
      <c r="AJ167" s="320"/>
      <c r="AK167" s="322">
        <f t="shared" si="68"/>
        <v>156</v>
      </c>
      <c r="AL167" s="323">
        <f t="shared" si="82"/>
        <v>167</v>
      </c>
      <c r="AM167" s="322">
        <f t="shared" si="83"/>
        <v>12</v>
      </c>
      <c r="AN167" s="380">
        <f>IF(AND(AH167&gt;0,B167&lt;&gt;""),VLOOKUP(I167,'AUX-NIV3'!$B:$AO,39,FALSE)*O167,0)</f>
        <v>0</v>
      </c>
      <c r="AO167" s="380">
        <f t="shared" si="69"/>
        <v>5.8800000000000008</v>
      </c>
      <c r="AP167" s="380"/>
    </row>
    <row r="168" spans="2:42" ht="14.4" hidden="1" thickTop="1" thickBot="1">
      <c r="B168" s="324" t="s">
        <v>1272</v>
      </c>
      <c r="C168" s="325" t="s">
        <v>21</v>
      </c>
      <c r="D168" s="326" t="s">
        <v>1160</v>
      </c>
      <c r="E168" s="327">
        <f>IF(B168&lt;&gt;"",SUMIF('AUX-NIV1'!I:I,'AUX-NIV2'!B168,'AUX-NIV1'!Q:Q),"")</f>
        <v>0</v>
      </c>
      <c r="F168" s="327">
        <f t="shared" si="59"/>
        <v>228.08238748864056</v>
      </c>
      <c r="G168" s="327">
        <f t="shared" si="60"/>
        <v>0</v>
      </c>
      <c r="H168" s="328" t="str">
        <f t="shared" si="70"/>
        <v>A</v>
      </c>
      <c r="I168" s="325" t="s">
        <v>1745</v>
      </c>
      <c r="J168" s="329" t="str">
        <f>IF(B168&lt;&gt;"",+VLOOKUP(I168,Recursos!C:F,2,FALSE),"")</f>
        <v>AYUDANTE</v>
      </c>
      <c r="K168" s="330" t="str">
        <f>IF(B168&lt;&gt;"",+VLOOKUP(I168,Recursos!C:F,3,FALSE),"")</f>
        <v>hh</v>
      </c>
      <c r="L168" s="327">
        <f>IF(B168&lt;&gt;"",+VLOOKUP(I168,Recursos!C:F,4,FALSE),"")</f>
        <v>422.48042769667234</v>
      </c>
      <c r="M168" s="331">
        <v>24</v>
      </c>
      <c r="N168" s="331">
        <v>1.4</v>
      </c>
      <c r="O168" s="332">
        <f>1/M168*N168</f>
        <v>5.8333333333333327E-2</v>
      </c>
      <c r="P168" s="333">
        <f t="shared" si="71"/>
        <v>24.644691615639218</v>
      </c>
      <c r="Q168" s="327">
        <f t="shared" si="72"/>
        <v>0</v>
      </c>
      <c r="R168" s="334">
        <f t="shared" si="73"/>
        <v>0</v>
      </c>
      <c r="S168" s="358">
        <f t="shared" si="61"/>
        <v>61.766312488640565</v>
      </c>
      <c r="T168" s="358">
        <f t="shared" si="62"/>
        <v>166.31607500000001</v>
      </c>
      <c r="U168" s="359">
        <f t="shared" si="63"/>
        <v>0</v>
      </c>
      <c r="V168" s="359">
        <f t="shared" si="64"/>
        <v>0</v>
      </c>
      <c r="W168" s="359">
        <f t="shared" si="65"/>
        <v>0</v>
      </c>
      <c r="X168" s="359">
        <f t="shared" si="66"/>
        <v>0</v>
      </c>
      <c r="Y168" s="320"/>
      <c r="Z168" s="321" t="str">
        <f t="shared" si="74"/>
        <v>X-ExcavPC200A</v>
      </c>
      <c r="AA168" s="321" t="str">
        <f t="shared" si="75"/>
        <v>X-ExcavPC200E</v>
      </c>
      <c r="AB168" s="321" t="str">
        <f t="shared" si="76"/>
        <v>X-ExcavPC200M</v>
      </c>
      <c r="AC168" s="321" t="str">
        <f t="shared" si="77"/>
        <v>X-ExcavPC200T</v>
      </c>
      <c r="AD168" s="321" t="str">
        <f t="shared" si="78"/>
        <v>X-ExcavPC200S</v>
      </c>
      <c r="AE168" s="321" t="str">
        <f t="shared" si="79"/>
        <v>X-ExcavPC200X</v>
      </c>
      <c r="AF168" s="321" t="str">
        <f t="shared" si="80"/>
        <v>X-ExcavPC200A</v>
      </c>
      <c r="AG168" s="321">
        <f t="shared" si="67"/>
        <v>6</v>
      </c>
      <c r="AH168" s="321">
        <f>IF(B168&lt;&gt;"",IF(H168="x",VLOOKUP(I168,'AUX-NIV3'!B:AG,32,FALSE),0),"")</f>
        <v>0</v>
      </c>
      <c r="AI168" s="321" t="str">
        <f t="shared" si="81"/>
        <v>X-ExcavPC200</v>
      </c>
      <c r="AJ168" s="320"/>
      <c r="AK168" s="322">
        <f t="shared" si="68"/>
        <v>168</v>
      </c>
      <c r="AL168" s="323">
        <f t="shared" si="82"/>
        <v>173</v>
      </c>
      <c r="AM168" s="322">
        <f t="shared" si="83"/>
        <v>1</v>
      </c>
      <c r="AN168" s="380">
        <f>IF(AND(AH168&gt;0,B168&lt;&gt;""),VLOOKUP(I168,'AUX-NIV3'!$B:$AO,39,FALSE)*O168,0)</f>
        <v>0</v>
      </c>
      <c r="AO168" s="380">
        <f t="shared" si="69"/>
        <v>0.13066666666666665</v>
      </c>
      <c r="AP168" s="380"/>
    </row>
    <row r="169" spans="2:42" ht="14.4" hidden="1" thickTop="1" thickBot="1">
      <c r="B169" s="324" t="s">
        <v>1272</v>
      </c>
      <c r="C169" s="325" t="s">
        <v>21</v>
      </c>
      <c r="D169" s="326" t="s">
        <v>1160</v>
      </c>
      <c r="E169" s="327">
        <f>IF(B169&lt;&gt;"",SUMIF('AUX-NIV1'!I:I,'AUX-NIV2'!B169,'AUX-NIV1'!Q:Q),"")</f>
        <v>0</v>
      </c>
      <c r="F169" s="327">
        <f t="shared" si="59"/>
        <v>228.08238748864056</v>
      </c>
      <c r="G169" s="327">
        <f t="shared" si="60"/>
        <v>0</v>
      </c>
      <c r="H169" s="328" t="str">
        <f t="shared" si="70"/>
        <v>A</v>
      </c>
      <c r="I169" s="325" t="s">
        <v>3311</v>
      </c>
      <c r="J169" s="329" t="str">
        <f>IF(B169&lt;&gt;"",+VLOOKUP(I169,Recursos!C:F,2,FALSE),"")</f>
        <v>OPER. EQUIPO</v>
      </c>
      <c r="K169" s="330" t="str">
        <f>IF(B169&lt;&gt;"",+VLOOKUP(I169,Recursos!C:F,3,FALSE),"")</f>
        <v>hh</v>
      </c>
      <c r="L169" s="327">
        <f>IF(B169&lt;&gt;"",+VLOOKUP(I169,Recursos!C:F,4,FALSE),"")</f>
        <v>581.06120476836554</v>
      </c>
      <c r="M169" s="331">
        <v>100</v>
      </c>
      <c r="N169" s="331">
        <v>1.4</v>
      </c>
      <c r="O169" s="332">
        <f>1/M169*N169</f>
        <v>1.3999999999999999E-2</v>
      </c>
      <c r="P169" s="333">
        <f t="shared" si="71"/>
        <v>8.1348568667571168</v>
      </c>
      <c r="Q169" s="327">
        <f t="shared" si="72"/>
        <v>0</v>
      </c>
      <c r="R169" s="334">
        <f t="shared" si="73"/>
        <v>0</v>
      </c>
      <c r="S169" s="358">
        <f t="shared" si="61"/>
        <v>61.766312488640565</v>
      </c>
      <c r="T169" s="358">
        <f t="shared" si="62"/>
        <v>166.31607500000001</v>
      </c>
      <c r="U169" s="359">
        <f t="shared" si="63"/>
        <v>0</v>
      </c>
      <c r="V169" s="359">
        <f t="shared" si="64"/>
        <v>0</v>
      </c>
      <c r="W169" s="359">
        <f t="shared" si="65"/>
        <v>0</v>
      </c>
      <c r="X169" s="359">
        <f t="shared" si="66"/>
        <v>0</v>
      </c>
      <c r="Y169" s="320"/>
      <c r="Z169" s="321" t="str">
        <f t="shared" si="74"/>
        <v>X-ExcavPC200A</v>
      </c>
      <c r="AA169" s="321" t="str">
        <f t="shared" si="75"/>
        <v>X-ExcavPC200E</v>
      </c>
      <c r="AB169" s="321" t="str">
        <f t="shared" si="76"/>
        <v>X-ExcavPC200M</v>
      </c>
      <c r="AC169" s="321" t="str">
        <f t="shared" si="77"/>
        <v>X-ExcavPC200T</v>
      </c>
      <c r="AD169" s="321" t="str">
        <f t="shared" si="78"/>
        <v>X-ExcavPC200S</v>
      </c>
      <c r="AE169" s="321" t="str">
        <f t="shared" si="79"/>
        <v>X-ExcavPC200X</v>
      </c>
      <c r="AF169" s="321" t="str">
        <f t="shared" si="80"/>
        <v>X-ExcavPC200A</v>
      </c>
      <c r="AG169" s="321">
        <f t="shared" si="67"/>
        <v>6</v>
      </c>
      <c r="AH169" s="321">
        <f>IF(B169&lt;&gt;"",IF(H169="x",VLOOKUP(I169,'AUX-NIV3'!B:AG,32,FALSE),0),"")</f>
        <v>0</v>
      </c>
      <c r="AI169" s="321" t="str">
        <f t="shared" si="81"/>
        <v>X-ExcavPC200</v>
      </c>
      <c r="AJ169" s="320"/>
      <c r="AK169" s="322">
        <f t="shared" si="68"/>
        <v>168</v>
      </c>
      <c r="AL169" s="323">
        <f t="shared" si="82"/>
        <v>173</v>
      </c>
      <c r="AM169" s="322">
        <f t="shared" si="83"/>
        <v>2</v>
      </c>
      <c r="AN169" s="380">
        <f>IF(AND(AH169&gt;0,B169&lt;&gt;""),VLOOKUP(I169,'AUX-NIV3'!$B:$AO,39,FALSE)*O169,0)</f>
        <v>0</v>
      </c>
      <c r="AO169" s="380">
        <f t="shared" si="69"/>
        <v>0.13066666666666665</v>
      </c>
      <c r="AP169" s="380"/>
    </row>
    <row r="170" spans="2:42" ht="14.4" hidden="1" thickTop="1" thickBot="1">
      <c r="B170" s="324" t="s">
        <v>1272</v>
      </c>
      <c r="C170" s="325" t="s">
        <v>21</v>
      </c>
      <c r="D170" s="326" t="s">
        <v>1160</v>
      </c>
      <c r="E170" s="327">
        <f>IF(B170&lt;&gt;"",SUMIF('AUX-NIV1'!I:I,'AUX-NIV2'!B170,'AUX-NIV1'!Q:Q),"")</f>
        <v>0</v>
      </c>
      <c r="F170" s="327">
        <f t="shared" si="59"/>
        <v>228.08238748864056</v>
      </c>
      <c r="G170" s="327">
        <f t="shared" si="60"/>
        <v>0</v>
      </c>
      <c r="H170" s="328" t="str">
        <f t="shared" si="70"/>
        <v>A</v>
      </c>
      <c r="I170" s="325" t="s">
        <v>3312</v>
      </c>
      <c r="J170" s="329" t="str">
        <f>IF(B170&lt;&gt;"",+VLOOKUP(I170,Recursos!C:F,2,FALSE),"")</f>
        <v>CHOFER</v>
      </c>
      <c r="K170" s="330" t="str">
        <f>IF(B170&lt;&gt;"",+VLOOKUP(I170,Recursos!C:F,3,FALSE),"")</f>
        <v>hh</v>
      </c>
      <c r="L170" s="327">
        <f>IF(B170&lt;&gt;"",+VLOOKUP(I170,Recursos!C:F,4,FALSE),"")</f>
        <v>496.91595439275824</v>
      </c>
      <c r="M170" s="331">
        <v>24</v>
      </c>
      <c r="N170" s="331">
        <v>1.4</v>
      </c>
      <c r="O170" s="332">
        <f>1/M170*N170</f>
        <v>5.8333333333333327E-2</v>
      </c>
      <c r="P170" s="333">
        <f t="shared" si="71"/>
        <v>28.986764006244229</v>
      </c>
      <c r="Q170" s="327">
        <f t="shared" si="72"/>
        <v>0</v>
      </c>
      <c r="R170" s="334">
        <f t="shared" si="73"/>
        <v>0</v>
      </c>
      <c r="S170" s="358">
        <f t="shared" si="61"/>
        <v>61.766312488640565</v>
      </c>
      <c r="T170" s="358">
        <f t="shared" si="62"/>
        <v>166.31607500000001</v>
      </c>
      <c r="U170" s="359">
        <f t="shared" si="63"/>
        <v>0</v>
      </c>
      <c r="V170" s="359">
        <f t="shared" si="64"/>
        <v>0</v>
      </c>
      <c r="W170" s="359">
        <f t="shared" si="65"/>
        <v>0</v>
      </c>
      <c r="X170" s="359">
        <f t="shared" si="66"/>
        <v>0</v>
      </c>
      <c r="Y170" s="320"/>
      <c r="Z170" s="321" t="str">
        <f t="shared" si="74"/>
        <v>X-ExcavPC200A</v>
      </c>
      <c r="AA170" s="321" t="str">
        <f t="shared" si="75"/>
        <v>X-ExcavPC200E</v>
      </c>
      <c r="AB170" s="321" t="str">
        <f t="shared" si="76"/>
        <v>X-ExcavPC200M</v>
      </c>
      <c r="AC170" s="321" t="str">
        <f t="shared" si="77"/>
        <v>X-ExcavPC200T</v>
      </c>
      <c r="AD170" s="321" t="str">
        <f t="shared" si="78"/>
        <v>X-ExcavPC200S</v>
      </c>
      <c r="AE170" s="321" t="str">
        <f t="shared" si="79"/>
        <v>X-ExcavPC200X</v>
      </c>
      <c r="AF170" s="321" t="str">
        <f t="shared" si="80"/>
        <v>X-ExcavPC200A</v>
      </c>
      <c r="AG170" s="321">
        <f t="shared" si="67"/>
        <v>6</v>
      </c>
      <c r="AH170" s="321">
        <f>IF(B170&lt;&gt;"",IF(H170="x",VLOOKUP(I170,'AUX-NIV3'!B:AG,32,FALSE),0),"")</f>
        <v>0</v>
      </c>
      <c r="AI170" s="321" t="str">
        <f t="shared" si="81"/>
        <v>X-ExcavPC200</v>
      </c>
      <c r="AJ170" s="320"/>
      <c r="AK170" s="322">
        <f t="shared" si="68"/>
        <v>168</v>
      </c>
      <c r="AL170" s="323">
        <f t="shared" si="82"/>
        <v>173</v>
      </c>
      <c r="AM170" s="322">
        <f t="shared" si="83"/>
        <v>3</v>
      </c>
      <c r="AN170" s="380">
        <f>IF(AND(AH170&gt;0,B170&lt;&gt;""),VLOOKUP(I170,'AUX-NIV3'!$B:$AO,39,FALSE)*O170,0)</f>
        <v>0</v>
      </c>
      <c r="AO170" s="380">
        <f t="shared" si="69"/>
        <v>0.13066666666666665</v>
      </c>
      <c r="AP170" s="380"/>
    </row>
    <row r="171" spans="2:42" ht="14.4" hidden="1" thickTop="1" thickBot="1">
      <c r="B171" s="324" t="s">
        <v>1272</v>
      </c>
      <c r="C171" s="325" t="s">
        <v>21</v>
      </c>
      <c r="D171" s="326" t="s">
        <v>1160</v>
      </c>
      <c r="E171" s="327">
        <f>IF(B171&lt;&gt;"",SUMIF('AUX-NIV1'!I:I,'AUX-NIV2'!B171,'AUX-NIV1'!Q:Q),"")</f>
        <v>0</v>
      </c>
      <c r="F171" s="327">
        <f t="shared" si="59"/>
        <v>228.08238748864056</v>
      </c>
      <c r="G171" s="327">
        <f t="shared" si="60"/>
        <v>0</v>
      </c>
      <c r="H171" s="328" t="str">
        <f t="shared" si="70"/>
        <v>E</v>
      </c>
      <c r="I171" s="325" t="s">
        <v>1552</v>
      </c>
      <c r="J171" s="329" t="str">
        <f>IF(B171&lt;&gt;"",+VLOOKUP(I171,Recursos!C:F,2,FALSE),"")</f>
        <v>RETROEXCAVADORA S/CARRILES  0,9 M2</v>
      </c>
      <c r="K171" s="330" t="str">
        <f>IF(B171&lt;&gt;"",+VLOOKUP(I171,Recursos!C:F,3,FALSE),"")</f>
        <v>HR</v>
      </c>
      <c r="L171" s="327">
        <f>IF(B171&lt;&gt;"",+VLOOKUP(I171,Recursos!C:F,4,FALSE),"")</f>
        <v>2743.02</v>
      </c>
      <c r="M171" s="331">
        <v>100</v>
      </c>
      <c r="N171" s="331">
        <v>1</v>
      </c>
      <c r="O171" s="332">
        <f>1/M171*N171</f>
        <v>0.01</v>
      </c>
      <c r="P171" s="333">
        <f t="shared" si="71"/>
        <v>27.430199999999999</v>
      </c>
      <c r="Q171" s="327">
        <f t="shared" si="72"/>
        <v>0</v>
      </c>
      <c r="R171" s="334">
        <f t="shared" si="73"/>
        <v>0</v>
      </c>
      <c r="S171" s="358">
        <f t="shared" si="61"/>
        <v>61.766312488640565</v>
      </c>
      <c r="T171" s="358">
        <f t="shared" si="62"/>
        <v>166.31607500000001</v>
      </c>
      <c r="U171" s="359">
        <f t="shared" si="63"/>
        <v>0</v>
      </c>
      <c r="V171" s="359">
        <f t="shared" si="64"/>
        <v>0</v>
      </c>
      <c r="W171" s="359">
        <f t="shared" si="65"/>
        <v>0</v>
      </c>
      <c r="X171" s="359">
        <f t="shared" si="66"/>
        <v>0</v>
      </c>
      <c r="Y171" s="320"/>
      <c r="Z171" s="321" t="str">
        <f t="shared" si="74"/>
        <v>X-ExcavPC200A</v>
      </c>
      <c r="AA171" s="321" t="str">
        <f t="shared" si="75"/>
        <v>X-ExcavPC200E</v>
      </c>
      <c r="AB171" s="321" t="str">
        <f t="shared" si="76"/>
        <v>X-ExcavPC200M</v>
      </c>
      <c r="AC171" s="321" t="str">
        <f t="shared" si="77"/>
        <v>X-ExcavPC200T</v>
      </c>
      <c r="AD171" s="321" t="str">
        <f t="shared" si="78"/>
        <v>X-ExcavPC200S</v>
      </c>
      <c r="AE171" s="321" t="str">
        <f t="shared" si="79"/>
        <v>X-ExcavPC200X</v>
      </c>
      <c r="AF171" s="321" t="str">
        <f t="shared" si="80"/>
        <v>X-ExcavPC200E</v>
      </c>
      <c r="AG171" s="321">
        <f t="shared" si="67"/>
        <v>6</v>
      </c>
      <c r="AH171" s="321">
        <f>IF(B171&lt;&gt;"",IF(H171="x",VLOOKUP(I171,'AUX-NIV3'!B:AG,32,FALSE),0),"")</f>
        <v>0</v>
      </c>
      <c r="AI171" s="321" t="str">
        <f t="shared" si="81"/>
        <v>X-ExcavPC200</v>
      </c>
      <c r="AJ171" s="320"/>
      <c r="AK171" s="322">
        <f t="shared" si="68"/>
        <v>168</v>
      </c>
      <c r="AL171" s="323">
        <f t="shared" si="82"/>
        <v>173</v>
      </c>
      <c r="AM171" s="322">
        <f t="shared" si="83"/>
        <v>4</v>
      </c>
      <c r="AN171" s="380">
        <f>IF(AND(AH171&gt;0,B171&lt;&gt;""),VLOOKUP(I171,'AUX-NIV3'!$B:$AO,39,FALSE)*O171,0)</f>
        <v>0</v>
      </c>
      <c r="AO171" s="380">
        <f t="shared" si="69"/>
        <v>0.13066666666666665</v>
      </c>
      <c r="AP171" s="380"/>
    </row>
    <row r="172" spans="2:42" ht="14.4" hidden="1" thickTop="1" thickBot="1">
      <c r="B172" s="324" t="s">
        <v>1272</v>
      </c>
      <c r="C172" s="325" t="s">
        <v>21</v>
      </c>
      <c r="D172" s="326" t="s">
        <v>1160</v>
      </c>
      <c r="E172" s="327">
        <f>IF(B172&lt;&gt;"",SUMIF('AUX-NIV1'!I:I,'AUX-NIV2'!B172,'AUX-NIV1'!Q:Q),"")</f>
        <v>0</v>
      </c>
      <c r="F172" s="327">
        <f t="shared" si="59"/>
        <v>228.08238748864056</v>
      </c>
      <c r="G172" s="327">
        <f t="shared" si="60"/>
        <v>0</v>
      </c>
      <c r="H172" s="328" t="str">
        <f t="shared" si="70"/>
        <v>E</v>
      </c>
      <c r="I172" s="325" t="s">
        <v>1555</v>
      </c>
      <c r="J172" s="329" t="str">
        <f>IF(B172&lt;&gt;"",+VLOOKUP(I172,Recursos!C:F,2,FALSE),"")</f>
        <v>CAMION VOLCADOR 6x4 CAP. 24 T=15 m3</v>
      </c>
      <c r="K172" s="330" t="str">
        <f>IF(B172&lt;&gt;"",+VLOOKUP(I172,Recursos!C:F,3,FALSE),"")</f>
        <v>HR</v>
      </c>
      <c r="L172" s="327">
        <f>IF(B172&lt;&gt;"",+VLOOKUP(I172,Recursos!C:F,4,FALSE),"")</f>
        <v>3333.261</v>
      </c>
      <c r="M172" s="331">
        <v>24</v>
      </c>
      <c r="N172" s="331">
        <v>1</v>
      </c>
      <c r="O172" s="332">
        <f>1/M172*N172</f>
        <v>4.1666666666666664E-2</v>
      </c>
      <c r="P172" s="333">
        <f t="shared" si="71"/>
        <v>138.885875</v>
      </c>
      <c r="Q172" s="327">
        <f t="shared" si="72"/>
        <v>0</v>
      </c>
      <c r="R172" s="334">
        <f t="shared" si="73"/>
        <v>0</v>
      </c>
      <c r="S172" s="358">
        <f t="shared" si="61"/>
        <v>61.766312488640565</v>
      </c>
      <c r="T172" s="358">
        <f t="shared" si="62"/>
        <v>166.31607500000001</v>
      </c>
      <c r="U172" s="359">
        <f t="shared" si="63"/>
        <v>0</v>
      </c>
      <c r="V172" s="359">
        <f t="shared" si="64"/>
        <v>0</v>
      </c>
      <c r="W172" s="359">
        <f t="shared" si="65"/>
        <v>0</v>
      </c>
      <c r="X172" s="359">
        <f t="shared" si="66"/>
        <v>0</v>
      </c>
      <c r="Y172" s="320"/>
      <c r="Z172" s="321" t="str">
        <f t="shared" si="74"/>
        <v>X-ExcavPC200A</v>
      </c>
      <c r="AA172" s="321" t="str">
        <f t="shared" si="75"/>
        <v>X-ExcavPC200E</v>
      </c>
      <c r="AB172" s="321" t="str">
        <f t="shared" si="76"/>
        <v>X-ExcavPC200M</v>
      </c>
      <c r="AC172" s="321" t="str">
        <f t="shared" si="77"/>
        <v>X-ExcavPC200T</v>
      </c>
      <c r="AD172" s="321" t="str">
        <f t="shared" si="78"/>
        <v>X-ExcavPC200S</v>
      </c>
      <c r="AE172" s="321" t="str">
        <f t="shared" si="79"/>
        <v>X-ExcavPC200X</v>
      </c>
      <c r="AF172" s="321" t="str">
        <f t="shared" si="80"/>
        <v>X-ExcavPC200E</v>
      </c>
      <c r="AG172" s="321">
        <f t="shared" si="67"/>
        <v>6</v>
      </c>
      <c r="AH172" s="321">
        <f>IF(B172&lt;&gt;"",IF(H172="x",VLOOKUP(I172,'AUX-NIV3'!B:AG,32,FALSE),0),"")</f>
        <v>0</v>
      </c>
      <c r="AI172" s="321" t="str">
        <f t="shared" si="81"/>
        <v>X-ExcavPC200</v>
      </c>
      <c r="AJ172" s="320"/>
      <c r="AK172" s="322">
        <f t="shared" si="68"/>
        <v>168</v>
      </c>
      <c r="AL172" s="323">
        <f t="shared" si="82"/>
        <v>173</v>
      </c>
      <c r="AM172" s="322">
        <f t="shared" si="83"/>
        <v>5</v>
      </c>
      <c r="AN172" s="380">
        <f>IF(AND(AH172&gt;0,B172&lt;&gt;""),VLOOKUP(I172,'AUX-NIV3'!$B:$AO,39,FALSE)*O172,0)</f>
        <v>0</v>
      </c>
      <c r="AO172" s="380">
        <f t="shared" si="69"/>
        <v>0.13066666666666665</v>
      </c>
      <c r="AP172" s="380"/>
    </row>
    <row r="173" spans="2:42" ht="14.4" hidden="1" thickTop="1" thickBot="1">
      <c r="B173" s="324" t="s">
        <v>1272</v>
      </c>
      <c r="C173" s="325" t="s">
        <v>21</v>
      </c>
      <c r="D173" s="326" t="s">
        <v>1160</v>
      </c>
      <c r="E173" s="327">
        <f>IF(B173&lt;&gt;"",SUMIF('AUX-NIV1'!I:I,'AUX-NIV2'!B173,'AUX-NIV1'!Q:Q),"")</f>
        <v>0</v>
      </c>
      <c r="F173" s="327">
        <f t="shared" si="59"/>
        <v>228.08238748864056</v>
      </c>
      <c r="G173" s="327">
        <f t="shared" si="60"/>
        <v>0</v>
      </c>
      <c r="H173" s="328" t="str">
        <f t="shared" si="70"/>
        <v>M</v>
      </c>
      <c r="I173" s="325" t="s">
        <v>621</v>
      </c>
      <c r="J173" s="329" t="str">
        <f>IF(B173&lt;&gt;"",+VLOOKUP(I173,Recursos!C:F,2,FALSE),"")</f>
        <v>MATERIALES VARIOS</v>
      </c>
      <c r="K173" s="330" t="str">
        <f>IF(B173&lt;&gt;"",+VLOOKUP(I173,Recursos!C:F,3,FALSE),"")</f>
        <v>GL</v>
      </c>
      <c r="L173" s="327">
        <f>IF(B173&lt;&gt;"",+VLOOKUP(I173,Recursos!C:F,4,FALSE),"")</f>
        <v>0.5</v>
      </c>
      <c r="M173" s="331">
        <v>5.3609999999999998E-2</v>
      </c>
      <c r="N173" s="331">
        <v>0</v>
      </c>
      <c r="O173" s="332">
        <f>+M173*N173</f>
        <v>0</v>
      </c>
      <c r="P173" s="333">
        <f t="shared" si="71"/>
        <v>0</v>
      </c>
      <c r="Q173" s="327">
        <f t="shared" si="72"/>
        <v>0</v>
      </c>
      <c r="R173" s="334">
        <f t="shared" si="73"/>
        <v>0</v>
      </c>
      <c r="S173" s="358">
        <f t="shared" si="61"/>
        <v>61.766312488640565</v>
      </c>
      <c r="T173" s="358">
        <f t="shared" si="62"/>
        <v>166.31607500000001</v>
      </c>
      <c r="U173" s="359">
        <f t="shared" si="63"/>
        <v>0</v>
      </c>
      <c r="V173" s="359">
        <f t="shared" si="64"/>
        <v>0</v>
      </c>
      <c r="W173" s="359">
        <f t="shared" si="65"/>
        <v>0</v>
      </c>
      <c r="X173" s="359">
        <f t="shared" si="66"/>
        <v>0</v>
      </c>
      <c r="Y173" s="320"/>
      <c r="Z173" s="321" t="str">
        <f t="shared" si="74"/>
        <v>X-ExcavPC200A</v>
      </c>
      <c r="AA173" s="321" t="str">
        <f t="shared" si="75"/>
        <v>X-ExcavPC200E</v>
      </c>
      <c r="AB173" s="321" t="str">
        <f t="shared" si="76"/>
        <v>X-ExcavPC200M</v>
      </c>
      <c r="AC173" s="321" t="str">
        <f t="shared" si="77"/>
        <v>X-ExcavPC200T</v>
      </c>
      <c r="AD173" s="321" t="str">
        <f t="shared" si="78"/>
        <v>X-ExcavPC200S</v>
      </c>
      <c r="AE173" s="321" t="str">
        <f t="shared" si="79"/>
        <v>X-ExcavPC200X</v>
      </c>
      <c r="AF173" s="321" t="str">
        <f t="shared" si="80"/>
        <v>X-ExcavPC200M</v>
      </c>
      <c r="AG173" s="321">
        <f t="shared" si="67"/>
        <v>6</v>
      </c>
      <c r="AH173" s="321">
        <f>IF(B173&lt;&gt;"",IF(H173="x",VLOOKUP(I173,'AUX-NIV3'!B:AG,32,FALSE),0),"")</f>
        <v>0</v>
      </c>
      <c r="AI173" s="321" t="str">
        <f t="shared" si="81"/>
        <v>X-ExcavPC200</v>
      </c>
      <c r="AJ173" s="320"/>
      <c r="AK173" s="322">
        <f t="shared" si="68"/>
        <v>168</v>
      </c>
      <c r="AL173" s="323">
        <f t="shared" si="82"/>
        <v>173</v>
      </c>
      <c r="AM173" s="322">
        <f t="shared" si="83"/>
        <v>6</v>
      </c>
      <c r="AN173" s="380">
        <f>IF(AND(AH173&gt;0,B173&lt;&gt;""),VLOOKUP(I173,'AUX-NIV3'!$B:$AO,39,FALSE)*O173,0)</f>
        <v>0</v>
      </c>
      <c r="AO173" s="380">
        <f t="shared" si="69"/>
        <v>0.13066666666666665</v>
      </c>
      <c r="AP173" s="380"/>
    </row>
    <row r="174" spans="2:42" ht="14.4" hidden="1" thickTop="1" thickBot="1">
      <c r="B174" s="324" t="s">
        <v>1273</v>
      </c>
      <c r="C174" s="325" t="s">
        <v>22</v>
      </c>
      <c r="D174" s="326" t="s">
        <v>1160</v>
      </c>
      <c r="E174" s="327">
        <f>IF(B174&lt;&gt;"",SUMIF('AUX-NIV1'!I:I,'AUX-NIV2'!B174,'AUX-NIV1'!Q:Q),"")</f>
        <v>0</v>
      </c>
      <c r="F174" s="327">
        <f t="shared" si="59"/>
        <v>12.228290546263128</v>
      </c>
      <c r="G174" s="327">
        <f t="shared" si="60"/>
        <v>0</v>
      </c>
      <c r="H174" s="328" t="str">
        <f t="shared" si="70"/>
        <v>A</v>
      </c>
      <c r="I174" s="325" t="s">
        <v>1745</v>
      </c>
      <c r="J174" s="329" t="str">
        <f>IF(B174&lt;&gt;"",+VLOOKUP(I174,Recursos!C:F,2,FALSE),"")</f>
        <v>AYUDANTE</v>
      </c>
      <c r="K174" s="330" t="str">
        <f>IF(B174&lt;&gt;"",+VLOOKUP(I174,Recursos!C:F,3,FALSE),"")</f>
        <v>hh</v>
      </c>
      <c r="L174" s="327">
        <f>IF(B174&lt;&gt;"",+VLOOKUP(I174,Recursos!C:F,4,FALSE),"")</f>
        <v>422.48042769667234</v>
      </c>
      <c r="M174" s="331">
        <v>90</v>
      </c>
      <c r="N174" s="331">
        <v>1</v>
      </c>
      <c r="O174" s="332">
        <f>1/M174*N174</f>
        <v>1.1111111111111112E-2</v>
      </c>
      <c r="P174" s="333">
        <f t="shared" si="71"/>
        <v>4.6942269744074707</v>
      </c>
      <c r="Q174" s="327">
        <f t="shared" si="72"/>
        <v>0</v>
      </c>
      <c r="R174" s="334">
        <f t="shared" si="73"/>
        <v>0</v>
      </c>
      <c r="S174" s="358">
        <f t="shared" si="61"/>
        <v>8.6821338795964618</v>
      </c>
      <c r="T174" s="358">
        <f t="shared" si="62"/>
        <v>3.5445366666666667</v>
      </c>
      <c r="U174" s="359">
        <f t="shared" si="63"/>
        <v>1.6199999999999999E-3</v>
      </c>
      <c r="V174" s="359">
        <f t="shared" si="64"/>
        <v>0</v>
      </c>
      <c r="W174" s="359">
        <f t="shared" si="65"/>
        <v>0</v>
      </c>
      <c r="X174" s="359">
        <f t="shared" si="66"/>
        <v>0</v>
      </c>
      <c r="Y174" s="320"/>
      <c r="Z174" s="321" t="str">
        <f t="shared" si="74"/>
        <v>X-DepreNapaA</v>
      </c>
      <c r="AA174" s="321" t="str">
        <f t="shared" si="75"/>
        <v>X-DepreNapaE</v>
      </c>
      <c r="AB174" s="321" t="str">
        <f t="shared" si="76"/>
        <v>X-DepreNapaM</v>
      </c>
      <c r="AC174" s="321" t="str">
        <f t="shared" si="77"/>
        <v>X-DepreNapaT</v>
      </c>
      <c r="AD174" s="321" t="str">
        <f t="shared" si="78"/>
        <v>X-DepreNapaS</v>
      </c>
      <c r="AE174" s="321" t="str">
        <f t="shared" si="79"/>
        <v>X-DepreNapaX</v>
      </c>
      <c r="AF174" s="321" t="str">
        <f t="shared" si="80"/>
        <v>X-DepreNapaA</v>
      </c>
      <c r="AG174" s="321">
        <f t="shared" si="67"/>
        <v>5</v>
      </c>
      <c r="AH174" s="321">
        <f>IF(B174&lt;&gt;"",IF(H174="x",VLOOKUP(I174,'AUX-NIV3'!B:AG,32,FALSE),0),"")</f>
        <v>0</v>
      </c>
      <c r="AI174" s="321" t="str">
        <f t="shared" si="81"/>
        <v>X-DepreNapa</v>
      </c>
      <c r="AJ174" s="320"/>
      <c r="AK174" s="322">
        <f t="shared" si="68"/>
        <v>174</v>
      </c>
      <c r="AL174" s="323">
        <f t="shared" si="82"/>
        <v>178</v>
      </c>
      <c r="AM174" s="322">
        <f t="shared" si="83"/>
        <v>1</v>
      </c>
      <c r="AN174" s="380">
        <f>IF(AND(AH174&gt;0,B174&lt;&gt;""),VLOOKUP(I174,'AUX-NIV3'!$B:$AO,39,FALSE)*O174,0)</f>
        <v>0</v>
      </c>
      <c r="AO174" s="380">
        <f t="shared" si="69"/>
        <v>2.2222222222222223E-2</v>
      </c>
      <c r="AP174" s="380"/>
    </row>
    <row r="175" spans="2:42" ht="14.4" hidden="1" thickTop="1" thickBot="1">
      <c r="B175" s="324" t="s">
        <v>1273</v>
      </c>
      <c r="C175" s="325" t="s">
        <v>22</v>
      </c>
      <c r="D175" s="326" t="s">
        <v>1160</v>
      </c>
      <c r="E175" s="327">
        <f>IF(B175&lt;&gt;"",SUMIF('AUX-NIV1'!I:I,'AUX-NIV2'!B175,'AUX-NIV1'!Q:Q),"")</f>
        <v>0</v>
      </c>
      <c r="F175" s="327">
        <f t="shared" si="59"/>
        <v>12.228290546263128</v>
      </c>
      <c r="G175" s="327">
        <f t="shared" si="60"/>
        <v>0</v>
      </c>
      <c r="H175" s="328" t="str">
        <f t="shared" si="70"/>
        <v>A</v>
      </c>
      <c r="I175" s="325" t="s">
        <v>434</v>
      </c>
      <c r="J175" s="329" t="str">
        <f>IF(B175&lt;&gt;"",+VLOOKUP(I175,Recursos!C:F,2,FALSE),"")</f>
        <v>Dibujantes</v>
      </c>
      <c r="K175" s="330" t="str">
        <f>IF(B175&lt;&gt;"",+VLOOKUP(I175,Recursos!C:F,3,FALSE),"")</f>
        <v>hh</v>
      </c>
      <c r="L175" s="327">
        <f>IF(B175&lt;&gt;"",+VLOOKUP(I175,Recursos!C:F,4,FALSE),"")</f>
        <v>358.91162146700918</v>
      </c>
      <c r="M175" s="331">
        <v>90</v>
      </c>
      <c r="N175" s="331">
        <v>1</v>
      </c>
      <c r="O175" s="332">
        <f>1/M175*N175</f>
        <v>1.1111111111111112E-2</v>
      </c>
      <c r="P175" s="333">
        <f t="shared" si="71"/>
        <v>3.987906905188991</v>
      </c>
      <c r="Q175" s="327">
        <f t="shared" si="72"/>
        <v>0</v>
      </c>
      <c r="R175" s="334">
        <f t="shared" si="73"/>
        <v>0</v>
      </c>
      <c r="S175" s="358">
        <f t="shared" si="61"/>
        <v>8.6821338795964618</v>
      </c>
      <c r="T175" s="358">
        <f t="shared" si="62"/>
        <v>3.5445366666666667</v>
      </c>
      <c r="U175" s="359">
        <f t="shared" si="63"/>
        <v>1.6199999999999999E-3</v>
      </c>
      <c r="V175" s="359">
        <f t="shared" si="64"/>
        <v>0</v>
      </c>
      <c r="W175" s="359">
        <f t="shared" si="65"/>
        <v>0</v>
      </c>
      <c r="X175" s="359">
        <f t="shared" si="66"/>
        <v>0</v>
      </c>
      <c r="Y175" s="320"/>
      <c r="Z175" s="321" t="str">
        <f t="shared" si="74"/>
        <v>X-DepreNapaA</v>
      </c>
      <c r="AA175" s="321" t="str">
        <f t="shared" si="75"/>
        <v>X-DepreNapaE</v>
      </c>
      <c r="AB175" s="321" t="str">
        <f t="shared" si="76"/>
        <v>X-DepreNapaM</v>
      </c>
      <c r="AC175" s="321" t="str">
        <f t="shared" si="77"/>
        <v>X-DepreNapaT</v>
      </c>
      <c r="AD175" s="321" t="str">
        <f t="shared" si="78"/>
        <v>X-DepreNapaS</v>
      </c>
      <c r="AE175" s="321" t="str">
        <f t="shared" si="79"/>
        <v>X-DepreNapaX</v>
      </c>
      <c r="AF175" s="321" t="str">
        <f t="shared" si="80"/>
        <v>X-DepreNapaA</v>
      </c>
      <c r="AG175" s="321">
        <f t="shared" si="67"/>
        <v>5</v>
      </c>
      <c r="AH175" s="321">
        <f>IF(B175&lt;&gt;"",IF(H175="x",VLOOKUP(I175,'AUX-NIV3'!B:AG,32,FALSE),0),"")</f>
        <v>0</v>
      </c>
      <c r="AI175" s="321" t="str">
        <f t="shared" si="81"/>
        <v>X-DepreNapa</v>
      </c>
      <c r="AJ175" s="320"/>
      <c r="AK175" s="322">
        <f t="shared" si="68"/>
        <v>174</v>
      </c>
      <c r="AL175" s="323">
        <f t="shared" si="82"/>
        <v>178</v>
      </c>
      <c r="AM175" s="322">
        <f t="shared" si="83"/>
        <v>2</v>
      </c>
      <c r="AN175" s="380">
        <f>IF(AND(AH175&gt;0,B175&lt;&gt;""),VLOOKUP(I175,'AUX-NIV3'!$B:$AO,39,FALSE)*O175,0)</f>
        <v>0</v>
      </c>
      <c r="AO175" s="380">
        <f t="shared" si="69"/>
        <v>2.2222222222222223E-2</v>
      </c>
      <c r="AP175" s="380"/>
    </row>
    <row r="176" spans="2:42" ht="14.4" hidden="1" thickTop="1" thickBot="1">
      <c r="B176" s="324" t="s">
        <v>1273</v>
      </c>
      <c r="C176" s="325" t="s">
        <v>22</v>
      </c>
      <c r="D176" s="326" t="s">
        <v>1160</v>
      </c>
      <c r="E176" s="327">
        <f>IF(B176&lt;&gt;"",SUMIF('AUX-NIV1'!I:I,'AUX-NIV2'!B176,'AUX-NIV1'!Q:Q),"")</f>
        <v>0</v>
      </c>
      <c r="F176" s="327">
        <f t="shared" si="59"/>
        <v>12.228290546263128</v>
      </c>
      <c r="G176" s="327">
        <f t="shared" si="60"/>
        <v>0</v>
      </c>
      <c r="H176" s="328" t="str">
        <f t="shared" si="70"/>
        <v>E</v>
      </c>
      <c r="I176" s="325" t="s">
        <v>1545</v>
      </c>
      <c r="J176" s="329" t="str">
        <f>IF(B176&lt;&gt;"",+VLOOKUP(I176,Recursos!C:F,2,FALSE),"")</f>
        <v>TORRE DE ILUMINACION</v>
      </c>
      <c r="K176" s="330" t="str">
        <f>IF(B176&lt;&gt;"",+VLOOKUP(I176,Recursos!C:F,3,FALSE),"")</f>
        <v>HR</v>
      </c>
      <c r="L176" s="327">
        <f>IF(B176&lt;&gt;"",+VLOOKUP(I176,Recursos!C:F,4,FALSE),"")</f>
        <v>323.2944</v>
      </c>
      <c r="M176" s="331">
        <v>90</v>
      </c>
      <c r="N176" s="331">
        <v>0.75</v>
      </c>
      <c r="O176" s="332">
        <f>1/M176*N176</f>
        <v>8.3333333333333332E-3</v>
      </c>
      <c r="P176" s="333">
        <f t="shared" si="71"/>
        <v>2.6941199999999998</v>
      </c>
      <c r="Q176" s="327">
        <f t="shared" si="72"/>
        <v>0</v>
      </c>
      <c r="R176" s="334">
        <f t="shared" si="73"/>
        <v>0</v>
      </c>
      <c r="S176" s="358">
        <f t="shared" si="61"/>
        <v>8.6821338795964618</v>
      </c>
      <c r="T176" s="358">
        <f t="shared" si="62"/>
        <v>3.5445366666666667</v>
      </c>
      <c r="U176" s="359">
        <f t="shared" si="63"/>
        <v>1.6199999999999999E-3</v>
      </c>
      <c r="V176" s="359">
        <f t="shared" si="64"/>
        <v>0</v>
      </c>
      <c r="W176" s="359">
        <f t="shared" si="65"/>
        <v>0</v>
      </c>
      <c r="X176" s="359">
        <f t="shared" si="66"/>
        <v>0</v>
      </c>
      <c r="Y176" s="320"/>
      <c r="Z176" s="321" t="str">
        <f t="shared" si="74"/>
        <v>X-DepreNapaA</v>
      </c>
      <c r="AA176" s="321" t="str">
        <f t="shared" si="75"/>
        <v>X-DepreNapaE</v>
      </c>
      <c r="AB176" s="321" t="str">
        <f t="shared" si="76"/>
        <v>X-DepreNapaM</v>
      </c>
      <c r="AC176" s="321" t="str">
        <f t="shared" si="77"/>
        <v>X-DepreNapaT</v>
      </c>
      <c r="AD176" s="321" t="str">
        <f t="shared" si="78"/>
        <v>X-DepreNapaS</v>
      </c>
      <c r="AE176" s="321" t="str">
        <f t="shared" si="79"/>
        <v>X-DepreNapaX</v>
      </c>
      <c r="AF176" s="321" t="str">
        <f t="shared" si="80"/>
        <v>X-DepreNapaE</v>
      </c>
      <c r="AG176" s="321">
        <f t="shared" si="67"/>
        <v>5</v>
      </c>
      <c r="AH176" s="321">
        <f>IF(B176&lt;&gt;"",IF(H176="x",VLOOKUP(I176,'AUX-NIV3'!B:AG,32,FALSE),0),"")</f>
        <v>0</v>
      </c>
      <c r="AI176" s="321" t="str">
        <f t="shared" si="81"/>
        <v>X-DepreNapa</v>
      </c>
      <c r="AJ176" s="320"/>
      <c r="AK176" s="322">
        <f t="shared" si="68"/>
        <v>174</v>
      </c>
      <c r="AL176" s="323">
        <f t="shared" si="82"/>
        <v>178</v>
      </c>
      <c r="AM176" s="322">
        <f t="shared" si="83"/>
        <v>3</v>
      </c>
      <c r="AN176" s="380">
        <f>IF(AND(AH176&gt;0,B176&lt;&gt;""),VLOOKUP(I176,'AUX-NIV3'!$B:$AO,39,FALSE)*O176,0)</f>
        <v>0</v>
      </c>
      <c r="AO176" s="380">
        <f t="shared" si="69"/>
        <v>2.2222222222222223E-2</v>
      </c>
      <c r="AP176" s="380"/>
    </row>
    <row r="177" spans="2:42" ht="14.4" hidden="1" thickTop="1" thickBot="1">
      <c r="B177" s="324" t="s">
        <v>1273</v>
      </c>
      <c r="C177" s="325" t="s">
        <v>22</v>
      </c>
      <c r="D177" s="326" t="s">
        <v>1160</v>
      </c>
      <c r="E177" s="327">
        <f>IF(B177&lt;&gt;"",SUMIF('AUX-NIV1'!I:I,'AUX-NIV2'!B177,'AUX-NIV1'!Q:Q),"")</f>
        <v>0</v>
      </c>
      <c r="F177" s="327">
        <f t="shared" si="59"/>
        <v>12.228290546263128</v>
      </c>
      <c r="G177" s="327">
        <f t="shared" si="60"/>
        <v>0</v>
      </c>
      <c r="H177" s="328" t="str">
        <f t="shared" si="70"/>
        <v>E</v>
      </c>
      <c r="I177" s="325" t="s">
        <v>1604</v>
      </c>
      <c r="J177" s="329" t="str">
        <f>IF(B177&lt;&gt;"",+VLOOKUP(I177,Recursos!C:F,2,FALSE),"")</f>
        <v>BOMBA SUMERGIBLE (H=10M 33 L/SEG)</v>
      </c>
      <c r="K177" s="330" t="str">
        <f>IF(B177&lt;&gt;"",+VLOOKUP(I177,Recursos!C:F,3,FALSE),"")</f>
        <v>HR</v>
      </c>
      <c r="L177" s="327">
        <f>IF(B177&lt;&gt;"",+VLOOKUP(I177,Recursos!C:F,4,FALSE),"")</f>
        <v>76.537499999999994</v>
      </c>
      <c r="M177" s="331">
        <v>90</v>
      </c>
      <c r="N177" s="331">
        <v>1</v>
      </c>
      <c r="O177" s="332">
        <f>1/M177*N177</f>
        <v>1.1111111111111112E-2</v>
      </c>
      <c r="P177" s="333">
        <f t="shared" si="71"/>
        <v>0.8504166666666666</v>
      </c>
      <c r="Q177" s="327">
        <f t="shared" si="72"/>
        <v>0</v>
      </c>
      <c r="R177" s="334">
        <f t="shared" si="73"/>
        <v>0</v>
      </c>
      <c r="S177" s="358">
        <f t="shared" si="61"/>
        <v>8.6821338795964618</v>
      </c>
      <c r="T177" s="358">
        <f t="shared" si="62"/>
        <v>3.5445366666666667</v>
      </c>
      <c r="U177" s="359">
        <f t="shared" si="63"/>
        <v>1.6199999999999999E-3</v>
      </c>
      <c r="V177" s="359">
        <f t="shared" si="64"/>
        <v>0</v>
      </c>
      <c r="W177" s="359">
        <f t="shared" si="65"/>
        <v>0</v>
      </c>
      <c r="X177" s="359">
        <f t="shared" si="66"/>
        <v>0</v>
      </c>
      <c r="Y177" s="320"/>
      <c r="Z177" s="321" t="str">
        <f t="shared" si="74"/>
        <v>X-DepreNapaA</v>
      </c>
      <c r="AA177" s="321" t="str">
        <f t="shared" si="75"/>
        <v>X-DepreNapaE</v>
      </c>
      <c r="AB177" s="321" t="str">
        <f t="shared" si="76"/>
        <v>X-DepreNapaM</v>
      </c>
      <c r="AC177" s="321" t="str">
        <f t="shared" si="77"/>
        <v>X-DepreNapaT</v>
      </c>
      <c r="AD177" s="321" t="str">
        <f t="shared" si="78"/>
        <v>X-DepreNapaS</v>
      </c>
      <c r="AE177" s="321" t="str">
        <f t="shared" si="79"/>
        <v>X-DepreNapaX</v>
      </c>
      <c r="AF177" s="321" t="str">
        <f t="shared" si="80"/>
        <v>X-DepreNapaE</v>
      </c>
      <c r="AG177" s="321">
        <f t="shared" si="67"/>
        <v>5</v>
      </c>
      <c r="AH177" s="321">
        <f>IF(B177&lt;&gt;"",IF(H177="x",VLOOKUP(I177,'AUX-NIV3'!B:AG,32,FALSE),0),"")</f>
        <v>0</v>
      </c>
      <c r="AI177" s="321" t="str">
        <f t="shared" si="81"/>
        <v>X-DepreNapa</v>
      </c>
      <c r="AJ177" s="320"/>
      <c r="AK177" s="322">
        <f t="shared" si="68"/>
        <v>174</v>
      </c>
      <c r="AL177" s="323">
        <f t="shared" si="82"/>
        <v>178</v>
      </c>
      <c r="AM177" s="322">
        <f t="shared" si="83"/>
        <v>4</v>
      </c>
      <c r="AN177" s="380">
        <f>IF(AND(AH177&gt;0,B177&lt;&gt;""),VLOOKUP(I177,'AUX-NIV3'!$B:$AO,39,FALSE)*O177,0)</f>
        <v>0</v>
      </c>
      <c r="AO177" s="380">
        <f t="shared" si="69"/>
        <v>2.2222222222222223E-2</v>
      </c>
      <c r="AP177" s="380"/>
    </row>
    <row r="178" spans="2:42" ht="14.4" hidden="1" thickTop="1" thickBot="1">
      <c r="B178" s="324" t="s">
        <v>1273</v>
      </c>
      <c r="C178" s="325" t="s">
        <v>22</v>
      </c>
      <c r="D178" s="326" t="s">
        <v>1160</v>
      </c>
      <c r="E178" s="327">
        <f>IF(B178&lt;&gt;"",SUMIF('AUX-NIV1'!I:I,'AUX-NIV2'!B178,'AUX-NIV1'!Q:Q),"")</f>
        <v>0</v>
      </c>
      <c r="F178" s="327">
        <f t="shared" si="59"/>
        <v>12.228290546263128</v>
      </c>
      <c r="G178" s="327">
        <f t="shared" si="60"/>
        <v>0</v>
      </c>
      <c r="H178" s="328" t="str">
        <f t="shared" si="70"/>
        <v>M</v>
      </c>
      <c r="I178" s="325" t="s">
        <v>621</v>
      </c>
      <c r="J178" s="329" t="str">
        <f>IF(B178&lt;&gt;"",+VLOOKUP(I178,Recursos!C:F,2,FALSE),"")</f>
        <v>MATERIALES VARIOS</v>
      </c>
      <c r="K178" s="330" t="str">
        <f>IF(B178&lt;&gt;"",+VLOOKUP(I178,Recursos!C:F,3,FALSE),"")</f>
        <v>GL</v>
      </c>
      <c r="L178" s="327">
        <f>IF(B178&lt;&gt;"",+VLOOKUP(I178,Recursos!C:F,4,FALSE),"")</f>
        <v>0.5</v>
      </c>
      <c r="M178" s="331">
        <v>3.2399999999999998E-3</v>
      </c>
      <c r="N178" s="331">
        <v>1</v>
      </c>
      <c r="O178" s="332">
        <f>+M178*N178</f>
        <v>3.2399999999999998E-3</v>
      </c>
      <c r="P178" s="333">
        <f t="shared" si="71"/>
        <v>1.6199999999999999E-3</v>
      </c>
      <c r="Q178" s="327">
        <f t="shared" si="72"/>
        <v>0</v>
      </c>
      <c r="R178" s="334">
        <f t="shared" si="73"/>
        <v>0</v>
      </c>
      <c r="S178" s="358">
        <f t="shared" si="61"/>
        <v>8.6821338795964618</v>
      </c>
      <c r="T178" s="358">
        <f t="shared" si="62"/>
        <v>3.5445366666666667</v>
      </c>
      <c r="U178" s="359">
        <f t="shared" si="63"/>
        <v>1.6199999999999999E-3</v>
      </c>
      <c r="V178" s="359">
        <f t="shared" si="64"/>
        <v>0</v>
      </c>
      <c r="W178" s="359">
        <f t="shared" si="65"/>
        <v>0</v>
      </c>
      <c r="X178" s="359">
        <f t="shared" si="66"/>
        <v>0</v>
      </c>
      <c r="Y178" s="320"/>
      <c r="Z178" s="321" t="str">
        <f t="shared" si="74"/>
        <v>X-DepreNapaA</v>
      </c>
      <c r="AA178" s="321" t="str">
        <f t="shared" si="75"/>
        <v>X-DepreNapaE</v>
      </c>
      <c r="AB178" s="321" t="str">
        <f t="shared" si="76"/>
        <v>X-DepreNapaM</v>
      </c>
      <c r="AC178" s="321" t="str">
        <f t="shared" si="77"/>
        <v>X-DepreNapaT</v>
      </c>
      <c r="AD178" s="321" t="str">
        <f t="shared" si="78"/>
        <v>X-DepreNapaS</v>
      </c>
      <c r="AE178" s="321" t="str">
        <f t="shared" si="79"/>
        <v>X-DepreNapaX</v>
      </c>
      <c r="AF178" s="321" t="str">
        <f t="shared" si="80"/>
        <v>X-DepreNapaM</v>
      </c>
      <c r="AG178" s="321">
        <f t="shared" si="67"/>
        <v>5</v>
      </c>
      <c r="AH178" s="321">
        <f>IF(B178&lt;&gt;"",IF(H178="x",VLOOKUP(I178,'AUX-NIV3'!B:AG,32,FALSE),0),"")</f>
        <v>0</v>
      </c>
      <c r="AI178" s="321" t="str">
        <f t="shared" si="81"/>
        <v>X-DepreNapa</v>
      </c>
      <c r="AJ178" s="320"/>
      <c r="AK178" s="322">
        <f t="shared" si="68"/>
        <v>174</v>
      </c>
      <c r="AL178" s="323">
        <f t="shared" si="82"/>
        <v>178</v>
      </c>
      <c r="AM178" s="322">
        <f t="shared" si="83"/>
        <v>5</v>
      </c>
      <c r="AN178" s="380">
        <f>IF(AND(AH178&gt;0,B178&lt;&gt;""),VLOOKUP(I178,'AUX-NIV3'!$B:$AO,39,FALSE)*O178,0)</f>
        <v>0</v>
      </c>
      <c r="AO178" s="380">
        <f t="shared" si="69"/>
        <v>2.2222222222222223E-2</v>
      </c>
      <c r="AP178" s="380"/>
    </row>
    <row r="179" spans="2:42" ht="14.4" hidden="1" thickTop="1" thickBot="1">
      <c r="B179" s="324" t="s">
        <v>1274</v>
      </c>
      <c r="C179" s="325" t="s">
        <v>25</v>
      </c>
      <c r="D179" s="326" t="s">
        <v>1160</v>
      </c>
      <c r="E179" s="327">
        <f>IF(B179&lt;&gt;"",SUMIF('AUX-NIV1'!I:I,'AUX-NIV2'!B179,'AUX-NIV1'!Q:Q),"")</f>
        <v>0</v>
      </c>
      <c r="F179" s="327">
        <f t="shared" si="59"/>
        <v>641.04677092632528</v>
      </c>
      <c r="G179" s="327">
        <f t="shared" si="60"/>
        <v>0</v>
      </c>
      <c r="H179" s="328" t="str">
        <f t="shared" si="70"/>
        <v>A</v>
      </c>
      <c r="I179" s="325" t="s">
        <v>1745</v>
      </c>
      <c r="J179" s="329" t="str">
        <f>IF(B179&lt;&gt;"",+VLOOKUP(I179,Recursos!C:F,2,FALSE),"")</f>
        <v>AYUDANTE</v>
      </c>
      <c r="K179" s="330" t="str">
        <f>IF(B179&lt;&gt;"",+VLOOKUP(I179,Recursos!C:F,3,FALSE),"")</f>
        <v>hh</v>
      </c>
      <c r="L179" s="327">
        <f>IF(B179&lt;&gt;"",+VLOOKUP(I179,Recursos!C:F,4,FALSE),"")</f>
        <v>422.48042769667234</v>
      </c>
      <c r="M179" s="331">
        <v>10</v>
      </c>
      <c r="N179" s="331">
        <v>1.4</v>
      </c>
      <c r="O179" s="332">
        <f>1/M179*N179</f>
        <v>0.13999999999999999</v>
      </c>
      <c r="P179" s="333">
        <f t="shared" si="71"/>
        <v>59.147259877534118</v>
      </c>
      <c r="Q179" s="327">
        <f t="shared" si="72"/>
        <v>0</v>
      </c>
      <c r="R179" s="334">
        <f t="shared" si="73"/>
        <v>0</v>
      </c>
      <c r="S179" s="358">
        <f t="shared" si="61"/>
        <v>210.06406216009145</v>
      </c>
      <c r="T179" s="358">
        <f t="shared" si="62"/>
        <v>430.88495376623382</v>
      </c>
      <c r="U179" s="359">
        <f t="shared" si="63"/>
        <v>9.7754999999999995E-2</v>
      </c>
      <c r="V179" s="359">
        <f t="shared" si="64"/>
        <v>0</v>
      </c>
      <c r="W179" s="359">
        <f t="shared" si="65"/>
        <v>0</v>
      </c>
      <c r="X179" s="359">
        <f t="shared" si="66"/>
        <v>0</v>
      </c>
      <c r="Y179" s="320"/>
      <c r="Z179" s="321" t="str">
        <f t="shared" si="74"/>
        <v>X-Excav416A</v>
      </c>
      <c r="AA179" s="321" t="str">
        <f t="shared" si="75"/>
        <v>X-Excav416E</v>
      </c>
      <c r="AB179" s="321" t="str">
        <f t="shared" si="76"/>
        <v>X-Excav416M</v>
      </c>
      <c r="AC179" s="321" t="str">
        <f t="shared" si="77"/>
        <v>X-Excav416T</v>
      </c>
      <c r="AD179" s="321" t="str">
        <f t="shared" si="78"/>
        <v>X-Excav416S</v>
      </c>
      <c r="AE179" s="321" t="str">
        <f t="shared" si="79"/>
        <v>X-Excav416X</v>
      </c>
      <c r="AF179" s="321" t="str">
        <f t="shared" si="80"/>
        <v>X-Excav416A</v>
      </c>
      <c r="AG179" s="321">
        <f t="shared" si="67"/>
        <v>6</v>
      </c>
      <c r="AH179" s="321">
        <f>IF(B179&lt;&gt;"",IF(H179="x",VLOOKUP(I179,'AUX-NIV3'!B:AG,32,FALSE),0),"")</f>
        <v>0</v>
      </c>
      <c r="AI179" s="321" t="str">
        <f t="shared" si="81"/>
        <v>X-Excav416</v>
      </c>
      <c r="AJ179" s="320"/>
      <c r="AK179" s="322">
        <f t="shared" si="68"/>
        <v>179</v>
      </c>
      <c r="AL179" s="323">
        <f t="shared" si="82"/>
        <v>184</v>
      </c>
      <c r="AM179" s="322">
        <f t="shared" si="83"/>
        <v>1</v>
      </c>
      <c r="AN179" s="380">
        <f>IF(AND(AH179&gt;0,B179&lt;&gt;""),VLOOKUP(I179,'AUX-NIV3'!$B:$AO,39,FALSE)*O179,0)</f>
        <v>0</v>
      </c>
      <c r="AO179" s="380">
        <f t="shared" si="69"/>
        <v>0.42000000000000004</v>
      </c>
      <c r="AP179" s="380"/>
    </row>
    <row r="180" spans="2:42" ht="14.4" hidden="1" thickTop="1" thickBot="1">
      <c r="B180" s="324" t="s">
        <v>1274</v>
      </c>
      <c r="C180" s="325" t="s">
        <v>25</v>
      </c>
      <c r="D180" s="326" t="s">
        <v>1160</v>
      </c>
      <c r="E180" s="327">
        <f>IF(B180&lt;&gt;"",SUMIF('AUX-NIV1'!I:I,'AUX-NIV2'!B180,'AUX-NIV1'!Q:Q),"")</f>
        <v>0</v>
      </c>
      <c r="F180" s="327">
        <f t="shared" si="59"/>
        <v>641.04677092632528</v>
      </c>
      <c r="G180" s="327">
        <f t="shared" si="60"/>
        <v>0</v>
      </c>
      <c r="H180" s="328" t="str">
        <f t="shared" si="70"/>
        <v>A</v>
      </c>
      <c r="I180" s="325" t="s">
        <v>3310</v>
      </c>
      <c r="J180" s="329" t="str">
        <f>IF(B180&lt;&gt;"",+VLOOKUP(I180,Recursos!C:F,2,FALSE),"")</f>
        <v>OFICIAL ESPECIALIZADO</v>
      </c>
      <c r="K180" s="330" t="str">
        <f>IF(B180&lt;&gt;"",+VLOOKUP(I180,Recursos!C:F,3,FALSE),"")</f>
        <v>hh</v>
      </c>
      <c r="L180" s="327">
        <f>IF(B180&lt;&gt;"",+VLOOKUP(I180,Recursos!C:F,4,FALSE),"")</f>
        <v>581.06120476836554</v>
      </c>
      <c r="M180" s="331">
        <v>0.14000000000000001</v>
      </c>
      <c r="N180" s="331">
        <v>1</v>
      </c>
      <c r="O180" s="332">
        <v>0.14000000000000001</v>
      </c>
      <c r="P180" s="333">
        <f t="shared" si="71"/>
        <v>81.348568667571186</v>
      </c>
      <c r="Q180" s="327">
        <f t="shared" si="72"/>
        <v>0</v>
      </c>
      <c r="R180" s="334">
        <f t="shared" si="73"/>
        <v>0</v>
      </c>
      <c r="S180" s="358">
        <f t="shared" si="61"/>
        <v>210.06406216009145</v>
      </c>
      <c r="T180" s="358">
        <f t="shared" si="62"/>
        <v>430.88495376623382</v>
      </c>
      <c r="U180" s="359">
        <f t="shared" si="63"/>
        <v>9.7754999999999995E-2</v>
      </c>
      <c r="V180" s="359">
        <f t="shared" si="64"/>
        <v>0</v>
      </c>
      <c r="W180" s="359">
        <f t="shared" si="65"/>
        <v>0</v>
      </c>
      <c r="X180" s="359">
        <f t="shared" si="66"/>
        <v>0</v>
      </c>
      <c r="Y180" s="320"/>
      <c r="Z180" s="321" t="str">
        <f t="shared" si="74"/>
        <v>X-Excav416A</v>
      </c>
      <c r="AA180" s="321" t="str">
        <f t="shared" si="75"/>
        <v>X-Excav416E</v>
      </c>
      <c r="AB180" s="321" t="str">
        <f t="shared" si="76"/>
        <v>X-Excav416M</v>
      </c>
      <c r="AC180" s="321" t="str">
        <f t="shared" si="77"/>
        <v>X-Excav416T</v>
      </c>
      <c r="AD180" s="321" t="str">
        <f t="shared" si="78"/>
        <v>X-Excav416S</v>
      </c>
      <c r="AE180" s="321" t="str">
        <f t="shared" si="79"/>
        <v>X-Excav416X</v>
      </c>
      <c r="AF180" s="321" t="str">
        <f t="shared" si="80"/>
        <v>X-Excav416A</v>
      </c>
      <c r="AG180" s="321">
        <f t="shared" si="67"/>
        <v>6</v>
      </c>
      <c r="AH180" s="321">
        <f>IF(B180&lt;&gt;"",IF(H180="x",VLOOKUP(I180,'AUX-NIV3'!B:AG,32,FALSE),0),"")</f>
        <v>0</v>
      </c>
      <c r="AI180" s="321" t="str">
        <f t="shared" si="81"/>
        <v>X-Excav416</v>
      </c>
      <c r="AJ180" s="320"/>
      <c r="AK180" s="322">
        <f t="shared" si="68"/>
        <v>179</v>
      </c>
      <c r="AL180" s="323">
        <f t="shared" si="82"/>
        <v>184</v>
      </c>
      <c r="AM180" s="322">
        <f t="shared" si="83"/>
        <v>2</v>
      </c>
      <c r="AN180" s="380">
        <f>IF(AND(AH180&gt;0,B180&lt;&gt;""),VLOOKUP(I180,'AUX-NIV3'!$B:$AO,39,FALSE)*O180,0)</f>
        <v>0</v>
      </c>
      <c r="AO180" s="380">
        <f t="shared" si="69"/>
        <v>0.42000000000000004</v>
      </c>
      <c r="AP180" s="380"/>
    </row>
    <row r="181" spans="2:42" ht="14.4" hidden="1" thickTop="1" thickBot="1">
      <c r="B181" s="324" t="s">
        <v>1274</v>
      </c>
      <c r="C181" s="325" t="s">
        <v>25</v>
      </c>
      <c r="D181" s="326" t="s">
        <v>1160</v>
      </c>
      <c r="E181" s="327">
        <f>IF(B181&lt;&gt;"",SUMIF('AUX-NIV1'!I:I,'AUX-NIV2'!B181,'AUX-NIV1'!Q:Q),"")</f>
        <v>0</v>
      </c>
      <c r="F181" s="327">
        <f t="shared" si="59"/>
        <v>641.04677092632528</v>
      </c>
      <c r="G181" s="327">
        <f t="shared" si="60"/>
        <v>0</v>
      </c>
      <c r="H181" s="328" t="str">
        <f t="shared" si="70"/>
        <v>A</v>
      </c>
      <c r="I181" s="325" t="s">
        <v>3312</v>
      </c>
      <c r="J181" s="329" t="str">
        <f>IF(B181&lt;&gt;"",+VLOOKUP(I181,Recursos!C:F,2,FALSE),"")</f>
        <v>CHOFER</v>
      </c>
      <c r="K181" s="330" t="str">
        <f>IF(B181&lt;&gt;"",+VLOOKUP(I181,Recursos!C:F,3,FALSE),"")</f>
        <v>hh</v>
      </c>
      <c r="L181" s="327">
        <f>IF(B181&lt;&gt;"",+VLOOKUP(I181,Recursos!C:F,4,FALSE),"")</f>
        <v>496.91595439275824</v>
      </c>
      <c r="M181" s="331">
        <v>0.14000000000000001</v>
      </c>
      <c r="N181" s="331">
        <v>1</v>
      </c>
      <c r="O181" s="332">
        <v>0.14000000000000001</v>
      </c>
      <c r="P181" s="333">
        <f t="shared" si="71"/>
        <v>69.568233614986156</v>
      </c>
      <c r="Q181" s="327">
        <f t="shared" si="72"/>
        <v>0</v>
      </c>
      <c r="R181" s="334">
        <f t="shared" si="73"/>
        <v>0</v>
      </c>
      <c r="S181" s="358">
        <f t="shared" si="61"/>
        <v>210.06406216009145</v>
      </c>
      <c r="T181" s="358">
        <f t="shared" si="62"/>
        <v>430.88495376623382</v>
      </c>
      <c r="U181" s="359">
        <f t="shared" si="63"/>
        <v>9.7754999999999995E-2</v>
      </c>
      <c r="V181" s="359">
        <f t="shared" si="64"/>
        <v>0</v>
      </c>
      <c r="W181" s="359">
        <f t="shared" si="65"/>
        <v>0</v>
      </c>
      <c r="X181" s="359">
        <f t="shared" si="66"/>
        <v>0</v>
      </c>
      <c r="Y181" s="320"/>
      <c r="Z181" s="321" t="str">
        <f t="shared" si="74"/>
        <v>X-Excav416A</v>
      </c>
      <c r="AA181" s="321" t="str">
        <f t="shared" si="75"/>
        <v>X-Excav416E</v>
      </c>
      <c r="AB181" s="321" t="str">
        <f t="shared" si="76"/>
        <v>X-Excav416M</v>
      </c>
      <c r="AC181" s="321" t="str">
        <f t="shared" si="77"/>
        <v>X-Excav416T</v>
      </c>
      <c r="AD181" s="321" t="str">
        <f t="shared" si="78"/>
        <v>X-Excav416S</v>
      </c>
      <c r="AE181" s="321" t="str">
        <f t="shared" si="79"/>
        <v>X-Excav416X</v>
      </c>
      <c r="AF181" s="321" t="str">
        <f t="shared" si="80"/>
        <v>X-Excav416A</v>
      </c>
      <c r="AG181" s="321">
        <f t="shared" si="67"/>
        <v>6</v>
      </c>
      <c r="AH181" s="321">
        <f>IF(B181&lt;&gt;"",IF(H181="x",VLOOKUP(I181,'AUX-NIV3'!B:AG,32,FALSE),0),"")</f>
        <v>0</v>
      </c>
      <c r="AI181" s="321" t="str">
        <f t="shared" si="81"/>
        <v>X-Excav416</v>
      </c>
      <c r="AJ181" s="320"/>
      <c r="AK181" s="322">
        <f t="shared" si="68"/>
        <v>179</v>
      </c>
      <c r="AL181" s="323">
        <f t="shared" si="82"/>
        <v>184</v>
      </c>
      <c r="AM181" s="322">
        <f t="shared" si="83"/>
        <v>3</v>
      </c>
      <c r="AN181" s="380">
        <f>IF(AND(AH181&gt;0,B181&lt;&gt;""),VLOOKUP(I181,'AUX-NIV3'!$B:$AO,39,FALSE)*O181,0)</f>
        <v>0</v>
      </c>
      <c r="AO181" s="380">
        <f t="shared" si="69"/>
        <v>0.42000000000000004</v>
      </c>
      <c r="AP181" s="380"/>
    </row>
    <row r="182" spans="2:42" ht="14.4" hidden="1" thickTop="1" thickBot="1">
      <c r="B182" s="324" t="s">
        <v>1274</v>
      </c>
      <c r="C182" s="325" t="s">
        <v>25</v>
      </c>
      <c r="D182" s="326" t="s">
        <v>1160</v>
      </c>
      <c r="E182" s="327">
        <f>IF(B182&lt;&gt;"",SUMIF('AUX-NIV1'!I:I,'AUX-NIV2'!B182,'AUX-NIV1'!Q:Q),"")</f>
        <v>0</v>
      </c>
      <c r="F182" s="327">
        <f t="shared" si="59"/>
        <v>641.04677092632528</v>
      </c>
      <c r="G182" s="327">
        <f t="shared" si="60"/>
        <v>0</v>
      </c>
      <c r="H182" s="328" t="str">
        <f t="shared" si="70"/>
        <v>E</v>
      </c>
      <c r="I182" s="325" t="s">
        <v>1549</v>
      </c>
      <c r="J182" s="329" t="str">
        <f>IF(B182&lt;&gt;"",+VLOOKUP(I182,Recursos!C:F,2,FALSE),"")</f>
        <v>RETROEXC. CARG. S/ROD.NEUM. 0.24 M3</v>
      </c>
      <c r="K182" s="330" t="str">
        <f>IF(B182&lt;&gt;"",+VLOOKUP(I182,Recursos!C:F,3,FALSE),"")</f>
        <v>HR</v>
      </c>
      <c r="L182" s="327">
        <f>IF(B182&lt;&gt;"",+VLOOKUP(I182,Recursos!C:F,4,FALSE),"")</f>
        <v>1761.0672000000002</v>
      </c>
      <c r="M182" s="331">
        <v>10</v>
      </c>
      <c r="N182" s="331">
        <v>1</v>
      </c>
      <c r="O182" s="332">
        <f>1/M182*N182</f>
        <v>0.1</v>
      </c>
      <c r="P182" s="333">
        <f t="shared" si="71"/>
        <v>176.10672000000002</v>
      </c>
      <c r="Q182" s="327">
        <f t="shared" si="72"/>
        <v>0</v>
      </c>
      <c r="R182" s="334">
        <f t="shared" si="73"/>
        <v>0</v>
      </c>
      <c r="S182" s="358">
        <f t="shared" si="61"/>
        <v>210.06406216009145</v>
      </c>
      <c r="T182" s="358">
        <f t="shared" si="62"/>
        <v>430.88495376623382</v>
      </c>
      <c r="U182" s="359">
        <f t="shared" si="63"/>
        <v>9.7754999999999995E-2</v>
      </c>
      <c r="V182" s="359">
        <f t="shared" si="64"/>
        <v>0</v>
      </c>
      <c r="W182" s="359">
        <f t="shared" si="65"/>
        <v>0</v>
      </c>
      <c r="X182" s="359">
        <f t="shared" si="66"/>
        <v>0</v>
      </c>
      <c r="Y182" s="320"/>
      <c r="Z182" s="321" t="str">
        <f t="shared" si="74"/>
        <v>X-Excav416A</v>
      </c>
      <c r="AA182" s="321" t="str">
        <f t="shared" si="75"/>
        <v>X-Excav416E</v>
      </c>
      <c r="AB182" s="321" t="str">
        <f t="shared" si="76"/>
        <v>X-Excav416M</v>
      </c>
      <c r="AC182" s="321" t="str">
        <f t="shared" si="77"/>
        <v>X-Excav416T</v>
      </c>
      <c r="AD182" s="321" t="str">
        <f t="shared" si="78"/>
        <v>X-Excav416S</v>
      </c>
      <c r="AE182" s="321" t="str">
        <f t="shared" si="79"/>
        <v>X-Excav416X</v>
      </c>
      <c r="AF182" s="321" t="str">
        <f t="shared" si="80"/>
        <v>X-Excav416E</v>
      </c>
      <c r="AG182" s="321">
        <f t="shared" si="67"/>
        <v>6</v>
      </c>
      <c r="AH182" s="321">
        <f>IF(B182&lt;&gt;"",IF(H182="x",VLOOKUP(I182,'AUX-NIV3'!B:AG,32,FALSE),0),"")</f>
        <v>0</v>
      </c>
      <c r="AI182" s="321" t="str">
        <f t="shared" si="81"/>
        <v>X-Excav416</v>
      </c>
      <c r="AJ182" s="320"/>
      <c r="AK182" s="322">
        <f t="shared" si="68"/>
        <v>179</v>
      </c>
      <c r="AL182" s="323">
        <f t="shared" si="82"/>
        <v>184</v>
      </c>
      <c r="AM182" s="322">
        <f t="shared" si="83"/>
        <v>4</v>
      </c>
      <c r="AN182" s="380">
        <f>IF(AND(AH182&gt;0,B182&lt;&gt;""),VLOOKUP(I182,'AUX-NIV3'!$B:$AO,39,FALSE)*O182,0)</f>
        <v>0</v>
      </c>
      <c r="AO182" s="380">
        <f t="shared" si="69"/>
        <v>0.42000000000000004</v>
      </c>
      <c r="AP182" s="380"/>
    </row>
    <row r="183" spans="2:42" ht="14.4" hidden="1" thickTop="1" thickBot="1">
      <c r="B183" s="324" t="s">
        <v>1274</v>
      </c>
      <c r="C183" s="325" t="s">
        <v>25</v>
      </c>
      <c r="D183" s="326" t="s">
        <v>1160</v>
      </c>
      <c r="E183" s="327">
        <f>IF(B183&lt;&gt;"",SUMIF('AUX-NIV1'!I:I,'AUX-NIV2'!B183,'AUX-NIV1'!Q:Q),"")</f>
        <v>0</v>
      </c>
      <c r="F183" s="327">
        <f t="shared" si="59"/>
        <v>641.04677092632528</v>
      </c>
      <c r="G183" s="327">
        <f t="shared" si="60"/>
        <v>0</v>
      </c>
      <c r="H183" s="328" t="str">
        <f t="shared" si="70"/>
        <v>E</v>
      </c>
      <c r="I183" s="325" t="s">
        <v>1556</v>
      </c>
      <c r="J183" s="329" t="str">
        <f>IF(B183&lt;&gt;"",+VLOOKUP(I183,Recursos!C:F,2,FALSE),"")</f>
        <v>CAMION VOLCADOR CAP. 15 T=9 m3</v>
      </c>
      <c r="K183" s="330" t="str">
        <f>IF(B183&lt;&gt;"",+VLOOKUP(I183,Recursos!C:F,3,FALSE),"")</f>
        <v>HR</v>
      </c>
      <c r="L183" s="327">
        <f>IF(B183&lt;&gt;"",+VLOOKUP(I183,Recursos!C:F,4,FALSE),"")</f>
        <v>2547.7823376623378</v>
      </c>
      <c r="M183" s="331">
        <v>0.1</v>
      </c>
      <c r="N183" s="331">
        <v>1</v>
      </c>
      <c r="O183" s="332">
        <v>0.1</v>
      </c>
      <c r="P183" s="333">
        <f t="shared" si="71"/>
        <v>254.7782337662338</v>
      </c>
      <c r="Q183" s="327">
        <f t="shared" si="72"/>
        <v>0</v>
      </c>
      <c r="R183" s="334">
        <f t="shared" si="73"/>
        <v>0</v>
      </c>
      <c r="S183" s="358">
        <f t="shared" si="61"/>
        <v>210.06406216009145</v>
      </c>
      <c r="T183" s="358">
        <f t="shared" si="62"/>
        <v>430.88495376623382</v>
      </c>
      <c r="U183" s="359">
        <f t="shared" si="63"/>
        <v>9.7754999999999995E-2</v>
      </c>
      <c r="V183" s="359">
        <f t="shared" si="64"/>
        <v>0</v>
      </c>
      <c r="W183" s="359">
        <f t="shared" si="65"/>
        <v>0</v>
      </c>
      <c r="X183" s="359">
        <f t="shared" si="66"/>
        <v>0</v>
      </c>
      <c r="Y183" s="320"/>
      <c r="Z183" s="321" t="str">
        <f t="shared" si="74"/>
        <v>X-Excav416A</v>
      </c>
      <c r="AA183" s="321" t="str">
        <f t="shared" si="75"/>
        <v>X-Excav416E</v>
      </c>
      <c r="AB183" s="321" t="str">
        <f t="shared" si="76"/>
        <v>X-Excav416M</v>
      </c>
      <c r="AC183" s="321" t="str">
        <f t="shared" si="77"/>
        <v>X-Excav416T</v>
      </c>
      <c r="AD183" s="321" t="str">
        <f t="shared" si="78"/>
        <v>X-Excav416S</v>
      </c>
      <c r="AE183" s="321" t="str">
        <f t="shared" si="79"/>
        <v>X-Excav416X</v>
      </c>
      <c r="AF183" s="321" t="str">
        <f t="shared" si="80"/>
        <v>X-Excav416E</v>
      </c>
      <c r="AG183" s="321">
        <f t="shared" si="67"/>
        <v>6</v>
      </c>
      <c r="AH183" s="321">
        <f>IF(B183&lt;&gt;"",IF(H183="x",VLOOKUP(I183,'AUX-NIV3'!B:AG,32,FALSE),0),"")</f>
        <v>0</v>
      </c>
      <c r="AI183" s="321" t="str">
        <f t="shared" si="81"/>
        <v>X-Excav416</v>
      </c>
      <c r="AJ183" s="320"/>
      <c r="AK183" s="322">
        <f t="shared" si="68"/>
        <v>179</v>
      </c>
      <c r="AL183" s="323">
        <f t="shared" si="82"/>
        <v>184</v>
      </c>
      <c r="AM183" s="322">
        <f t="shared" si="83"/>
        <v>5</v>
      </c>
      <c r="AN183" s="380">
        <f>IF(AND(AH183&gt;0,B183&lt;&gt;""),VLOOKUP(I183,'AUX-NIV3'!$B:$AO,39,FALSE)*O183,0)</f>
        <v>0</v>
      </c>
      <c r="AO183" s="380">
        <f t="shared" si="69"/>
        <v>0.42000000000000004</v>
      </c>
      <c r="AP183" s="380"/>
    </row>
    <row r="184" spans="2:42" ht="14.4" hidden="1" thickTop="1" thickBot="1">
      <c r="B184" s="324" t="s">
        <v>1274</v>
      </c>
      <c r="C184" s="325" t="s">
        <v>25</v>
      </c>
      <c r="D184" s="326" t="s">
        <v>1160</v>
      </c>
      <c r="E184" s="327">
        <f>IF(B184&lt;&gt;"",SUMIF('AUX-NIV1'!I:I,'AUX-NIV2'!B184,'AUX-NIV1'!Q:Q),"")</f>
        <v>0</v>
      </c>
      <c r="F184" s="327">
        <f t="shared" si="59"/>
        <v>641.04677092632528</v>
      </c>
      <c r="G184" s="327">
        <f t="shared" si="60"/>
        <v>0</v>
      </c>
      <c r="H184" s="328" t="str">
        <f t="shared" si="70"/>
        <v>M</v>
      </c>
      <c r="I184" s="325" t="s">
        <v>621</v>
      </c>
      <c r="J184" s="329" t="str">
        <f>IF(B184&lt;&gt;"",+VLOOKUP(I184,Recursos!C:F,2,FALSE),"")</f>
        <v>MATERIALES VARIOS</v>
      </c>
      <c r="K184" s="330" t="str">
        <f>IF(B184&lt;&gt;"",+VLOOKUP(I184,Recursos!C:F,3,FALSE),"")</f>
        <v>GL</v>
      </c>
      <c r="L184" s="327">
        <f>IF(B184&lt;&gt;"",+VLOOKUP(I184,Recursos!C:F,4,FALSE),"")</f>
        <v>0.5</v>
      </c>
      <c r="M184" s="331">
        <v>0.19550999999999999</v>
      </c>
      <c r="N184" s="331">
        <v>1</v>
      </c>
      <c r="O184" s="332">
        <f>+M184*N184</f>
        <v>0.19550999999999999</v>
      </c>
      <c r="P184" s="333">
        <f t="shared" si="71"/>
        <v>9.7754999999999995E-2</v>
      </c>
      <c r="Q184" s="327">
        <f t="shared" si="72"/>
        <v>0</v>
      </c>
      <c r="R184" s="334">
        <f t="shared" si="73"/>
        <v>0</v>
      </c>
      <c r="S184" s="358">
        <f t="shared" si="61"/>
        <v>210.06406216009145</v>
      </c>
      <c r="T184" s="358">
        <f t="shared" si="62"/>
        <v>430.88495376623382</v>
      </c>
      <c r="U184" s="359">
        <f t="shared" si="63"/>
        <v>9.7754999999999995E-2</v>
      </c>
      <c r="V184" s="359">
        <f t="shared" si="64"/>
        <v>0</v>
      </c>
      <c r="W184" s="359">
        <f t="shared" si="65"/>
        <v>0</v>
      </c>
      <c r="X184" s="359">
        <f t="shared" si="66"/>
        <v>0</v>
      </c>
      <c r="Y184" s="320"/>
      <c r="Z184" s="321" t="str">
        <f t="shared" si="74"/>
        <v>X-Excav416A</v>
      </c>
      <c r="AA184" s="321" t="str">
        <f t="shared" si="75"/>
        <v>X-Excav416E</v>
      </c>
      <c r="AB184" s="321" t="str">
        <f t="shared" si="76"/>
        <v>X-Excav416M</v>
      </c>
      <c r="AC184" s="321" t="str">
        <f t="shared" si="77"/>
        <v>X-Excav416T</v>
      </c>
      <c r="AD184" s="321" t="str">
        <f t="shared" si="78"/>
        <v>X-Excav416S</v>
      </c>
      <c r="AE184" s="321" t="str">
        <f t="shared" si="79"/>
        <v>X-Excav416X</v>
      </c>
      <c r="AF184" s="321" t="str">
        <f t="shared" si="80"/>
        <v>X-Excav416M</v>
      </c>
      <c r="AG184" s="321">
        <f t="shared" si="67"/>
        <v>6</v>
      </c>
      <c r="AH184" s="321">
        <f>IF(B184&lt;&gt;"",IF(H184="x",VLOOKUP(I184,'AUX-NIV3'!B:AG,32,FALSE),0),"")</f>
        <v>0</v>
      </c>
      <c r="AI184" s="321" t="str">
        <f t="shared" si="81"/>
        <v>X-Excav416</v>
      </c>
      <c r="AJ184" s="320"/>
      <c r="AK184" s="322">
        <f t="shared" si="68"/>
        <v>179</v>
      </c>
      <c r="AL184" s="323">
        <f t="shared" si="82"/>
        <v>184</v>
      </c>
      <c r="AM184" s="322">
        <f t="shared" si="83"/>
        <v>6</v>
      </c>
      <c r="AN184" s="380">
        <f>IF(AND(AH184&gt;0,B184&lt;&gt;""),VLOOKUP(I184,'AUX-NIV3'!$B:$AO,39,FALSE)*O184,0)</f>
        <v>0</v>
      </c>
      <c r="AO184" s="380">
        <f t="shared" si="69"/>
        <v>0.42000000000000004</v>
      </c>
      <c r="AP184" s="380"/>
    </row>
    <row r="185" spans="2:42" ht="14.4" hidden="1" thickTop="1" thickBot="1">
      <c r="B185" s="324" t="s">
        <v>1275</v>
      </c>
      <c r="C185" s="325" t="s">
        <v>26</v>
      </c>
      <c r="D185" s="326" t="s">
        <v>1160</v>
      </c>
      <c r="E185" s="327">
        <f>IF(B185&lt;&gt;"",SUMIF('AUX-NIV1'!I:I,'AUX-NIV2'!B185,'AUX-NIV1'!Q:Q),"")</f>
        <v>0</v>
      </c>
      <c r="F185" s="327">
        <f t="shared" si="59"/>
        <v>138.30187804135289</v>
      </c>
      <c r="G185" s="327">
        <f t="shared" si="60"/>
        <v>0</v>
      </c>
      <c r="H185" s="328" t="str">
        <f t="shared" si="70"/>
        <v>A</v>
      </c>
      <c r="I185" s="325" t="s">
        <v>1745</v>
      </c>
      <c r="J185" s="329" t="str">
        <f>IF(B185&lt;&gt;"",+VLOOKUP(I185,Recursos!C:F,2,FALSE),"")</f>
        <v>AYUDANTE</v>
      </c>
      <c r="K185" s="330" t="str">
        <f>IF(B185&lt;&gt;"",+VLOOKUP(I185,Recursos!C:F,3,FALSE),"")</f>
        <v>hh</v>
      </c>
      <c r="L185" s="327">
        <f>IF(B185&lt;&gt;"",+VLOOKUP(I185,Recursos!C:F,4,FALSE),"")</f>
        <v>422.48042769667234</v>
      </c>
      <c r="M185" s="331">
        <v>50</v>
      </c>
      <c r="N185" s="331">
        <v>1.4</v>
      </c>
      <c r="O185" s="332">
        <f>1/M185*N185</f>
        <v>2.7999999999999997E-2</v>
      </c>
      <c r="P185" s="333">
        <f t="shared" si="71"/>
        <v>11.829451975506824</v>
      </c>
      <c r="Q185" s="327">
        <f t="shared" si="72"/>
        <v>0</v>
      </c>
      <c r="R185" s="334">
        <f t="shared" si="73"/>
        <v>0</v>
      </c>
      <c r="S185" s="358">
        <f t="shared" si="61"/>
        <v>35.362430768625629</v>
      </c>
      <c r="T185" s="358">
        <f t="shared" si="62"/>
        <v>102.43944727272728</v>
      </c>
      <c r="U185" s="359">
        <f t="shared" si="63"/>
        <v>0.5</v>
      </c>
      <c r="V185" s="359">
        <f t="shared" si="64"/>
        <v>0</v>
      </c>
      <c r="W185" s="359">
        <f t="shared" si="65"/>
        <v>0</v>
      </c>
      <c r="X185" s="359">
        <f t="shared" si="66"/>
        <v>0</v>
      </c>
      <c r="Y185" s="320"/>
      <c r="Z185" s="321" t="str">
        <f t="shared" si="74"/>
        <v>X-RELLENOmoA</v>
      </c>
      <c r="AA185" s="321" t="str">
        <f t="shared" si="75"/>
        <v>X-RELLENOmoE</v>
      </c>
      <c r="AB185" s="321" t="str">
        <f t="shared" si="76"/>
        <v>X-RELLENOmoM</v>
      </c>
      <c r="AC185" s="321" t="str">
        <f t="shared" si="77"/>
        <v>X-RELLENOmoT</v>
      </c>
      <c r="AD185" s="321" t="str">
        <f t="shared" si="78"/>
        <v>X-RELLENOmoS</v>
      </c>
      <c r="AE185" s="321" t="str">
        <f t="shared" si="79"/>
        <v>X-RELLENOmoX</v>
      </c>
      <c r="AF185" s="321" t="str">
        <f t="shared" si="80"/>
        <v>X-RELLENOmoA</v>
      </c>
      <c r="AG185" s="321">
        <f t="shared" si="67"/>
        <v>7</v>
      </c>
      <c r="AH185" s="321">
        <f>IF(B185&lt;&gt;"",IF(H185="x",VLOOKUP(I185,'AUX-NIV3'!B:AG,32,FALSE),0),"")</f>
        <v>0</v>
      </c>
      <c r="AI185" s="321" t="str">
        <f t="shared" si="81"/>
        <v>X-RELLENOmo</v>
      </c>
      <c r="AJ185" s="320"/>
      <c r="AK185" s="322">
        <f t="shared" si="68"/>
        <v>185</v>
      </c>
      <c r="AL185" s="323">
        <f t="shared" si="82"/>
        <v>191</v>
      </c>
      <c r="AM185" s="322">
        <f t="shared" si="83"/>
        <v>1</v>
      </c>
      <c r="AN185" s="380">
        <f>IF(AND(AH185&gt;0,B185&lt;&gt;""),VLOOKUP(I185,'AUX-NIV3'!$B:$AO,39,FALSE)*O185,0)</f>
        <v>0</v>
      </c>
      <c r="AO185" s="380">
        <f t="shared" si="69"/>
        <v>6.8499999999999991E-2</v>
      </c>
      <c r="AP185" s="380"/>
    </row>
    <row r="186" spans="2:42" ht="14.4" hidden="1" thickTop="1" thickBot="1">
      <c r="B186" s="324" t="s">
        <v>1275</v>
      </c>
      <c r="C186" s="325" t="s">
        <v>26</v>
      </c>
      <c r="D186" s="326" t="s">
        <v>1160</v>
      </c>
      <c r="E186" s="327">
        <f>IF(B186&lt;&gt;"",SUMIF('AUX-NIV1'!I:I,'AUX-NIV2'!B186,'AUX-NIV1'!Q:Q),"")</f>
        <v>0</v>
      </c>
      <c r="F186" s="327">
        <f t="shared" si="59"/>
        <v>138.30187804135289</v>
      </c>
      <c r="G186" s="327">
        <f t="shared" si="60"/>
        <v>0</v>
      </c>
      <c r="H186" s="328" t="str">
        <f t="shared" si="70"/>
        <v>A</v>
      </c>
      <c r="I186" s="325" t="s">
        <v>3310</v>
      </c>
      <c r="J186" s="329" t="str">
        <f>IF(B186&lt;&gt;"",+VLOOKUP(I186,Recursos!C:F,2,FALSE),"")</f>
        <v>OFICIAL ESPECIALIZADO</v>
      </c>
      <c r="K186" s="330" t="str">
        <f>IF(B186&lt;&gt;"",+VLOOKUP(I186,Recursos!C:F,3,FALSE),"")</f>
        <v>hh</v>
      </c>
      <c r="L186" s="327">
        <f>IF(B186&lt;&gt;"",+VLOOKUP(I186,Recursos!C:F,4,FALSE),"")</f>
        <v>581.06120476836554</v>
      </c>
      <c r="M186" s="331">
        <v>50</v>
      </c>
      <c r="N186" s="331">
        <v>1.4</v>
      </c>
      <c r="O186" s="332">
        <f>1/M186*N186</f>
        <v>2.7999999999999997E-2</v>
      </c>
      <c r="P186" s="333">
        <f t="shared" si="71"/>
        <v>16.269713733514234</v>
      </c>
      <c r="Q186" s="327">
        <f t="shared" si="72"/>
        <v>0</v>
      </c>
      <c r="R186" s="334">
        <f t="shared" si="73"/>
        <v>0</v>
      </c>
      <c r="S186" s="358">
        <f t="shared" si="61"/>
        <v>35.362430768625629</v>
      </c>
      <c r="T186" s="358">
        <f t="shared" si="62"/>
        <v>102.43944727272728</v>
      </c>
      <c r="U186" s="359">
        <f t="shared" si="63"/>
        <v>0.5</v>
      </c>
      <c r="V186" s="359">
        <f t="shared" si="64"/>
        <v>0</v>
      </c>
      <c r="W186" s="359">
        <f t="shared" si="65"/>
        <v>0</v>
      </c>
      <c r="X186" s="359">
        <f t="shared" si="66"/>
        <v>0</v>
      </c>
      <c r="Y186" s="320"/>
      <c r="Z186" s="321" t="str">
        <f t="shared" si="74"/>
        <v>X-RELLENOmoA</v>
      </c>
      <c r="AA186" s="321" t="str">
        <f t="shared" si="75"/>
        <v>X-RELLENOmoE</v>
      </c>
      <c r="AB186" s="321" t="str">
        <f t="shared" si="76"/>
        <v>X-RELLENOmoM</v>
      </c>
      <c r="AC186" s="321" t="str">
        <f t="shared" si="77"/>
        <v>X-RELLENOmoT</v>
      </c>
      <c r="AD186" s="321" t="str">
        <f t="shared" si="78"/>
        <v>X-RELLENOmoS</v>
      </c>
      <c r="AE186" s="321" t="str">
        <f t="shared" si="79"/>
        <v>X-RELLENOmoX</v>
      </c>
      <c r="AF186" s="321" t="str">
        <f t="shared" si="80"/>
        <v>X-RELLENOmoA</v>
      </c>
      <c r="AG186" s="321">
        <f t="shared" si="67"/>
        <v>7</v>
      </c>
      <c r="AH186" s="321">
        <f>IF(B186&lt;&gt;"",IF(H186="x",VLOOKUP(I186,'AUX-NIV3'!B:AG,32,FALSE),0),"")</f>
        <v>0</v>
      </c>
      <c r="AI186" s="321" t="str">
        <f t="shared" si="81"/>
        <v>X-RELLENOmo</v>
      </c>
      <c r="AJ186" s="320"/>
      <c r="AK186" s="322">
        <f t="shared" si="68"/>
        <v>185</v>
      </c>
      <c r="AL186" s="323">
        <f t="shared" si="82"/>
        <v>191</v>
      </c>
      <c r="AM186" s="322">
        <f t="shared" si="83"/>
        <v>2</v>
      </c>
      <c r="AN186" s="380">
        <f>IF(AND(AH186&gt;0,B186&lt;&gt;""),VLOOKUP(I186,'AUX-NIV3'!$B:$AO,39,FALSE)*O186,0)</f>
        <v>0</v>
      </c>
      <c r="AO186" s="380">
        <f t="shared" si="69"/>
        <v>6.8499999999999991E-2</v>
      </c>
      <c r="AP186" s="380"/>
    </row>
    <row r="187" spans="2:42" ht="14.4" hidden="1" thickTop="1" thickBot="1">
      <c r="B187" s="324" t="s">
        <v>1275</v>
      </c>
      <c r="C187" s="325" t="s">
        <v>26</v>
      </c>
      <c r="D187" s="326" t="s">
        <v>1160</v>
      </c>
      <c r="E187" s="327">
        <f>IF(B187&lt;&gt;"",SUMIF('AUX-NIV1'!I:I,'AUX-NIV2'!B187,'AUX-NIV1'!Q:Q),"")</f>
        <v>0</v>
      </c>
      <c r="F187" s="327">
        <f t="shared" si="59"/>
        <v>138.30187804135289</v>
      </c>
      <c r="G187" s="327">
        <f t="shared" si="60"/>
        <v>0</v>
      </c>
      <c r="H187" s="328" t="str">
        <f t="shared" si="70"/>
        <v>A</v>
      </c>
      <c r="I187" s="325" t="s">
        <v>3311</v>
      </c>
      <c r="J187" s="329" t="str">
        <f>IF(B187&lt;&gt;"",+VLOOKUP(I187,Recursos!C:F,2,FALSE),"")</f>
        <v>OPER. EQUIPO</v>
      </c>
      <c r="K187" s="330" t="str">
        <f>IF(B187&lt;&gt;"",+VLOOKUP(I187,Recursos!C:F,3,FALSE),"")</f>
        <v>hh</v>
      </c>
      <c r="L187" s="327">
        <f>IF(B187&lt;&gt;"",+VLOOKUP(I187,Recursos!C:F,4,FALSE),"")</f>
        <v>581.06120476836554</v>
      </c>
      <c r="M187" s="331">
        <v>25</v>
      </c>
      <c r="N187" s="331">
        <v>0.3125</v>
      </c>
      <c r="O187" s="332">
        <f>1/M187*N187</f>
        <v>1.2500000000000001E-2</v>
      </c>
      <c r="P187" s="333">
        <f t="shared" si="71"/>
        <v>7.2632650596045698</v>
      </c>
      <c r="Q187" s="327">
        <f t="shared" si="72"/>
        <v>0</v>
      </c>
      <c r="R187" s="334">
        <f t="shared" si="73"/>
        <v>0</v>
      </c>
      <c r="S187" s="358">
        <f t="shared" si="61"/>
        <v>35.362430768625629</v>
      </c>
      <c r="T187" s="358">
        <f t="shared" si="62"/>
        <v>102.43944727272728</v>
      </c>
      <c r="U187" s="359">
        <f t="shared" si="63"/>
        <v>0.5</v>
      </c>
      <c r="V187" s="359">
        <f t="shared" si="64"/>
        <v>0</v>
      </c>
      <c r="W187" s="359">
        <f t="shared" si="65"/>
        <v>0</v>
      </c>
      <c r="X187" s="359">
        <f t="shared" si="66"/>
        <v>0</v>
      </c>
      <c r="Y187" s="320"/>
      <c r="Z187" s="321" t="str">
        <f t="shared" si="74"/>
        <v>X-RELLENOmoA</v>
      </c>
      <c r="AA187" s="321" t="str">
        <f t="shared" si="75"/>
        <v>X-RELLENOmoE</v>
      </c>
      <c r="AB187" s="321" t="str">
        <f t="shared" si="76"/>
        <v>X-RELLENOmoM</v>
      </c>
      <c r="AC187" s="321" t="str">
        <f t="shared" si="77"/>
        <v>X-RELLENOmoT</v>
      </c>
      <c r="AD187" s="321" t="str">
        <f t="shared" si="78"/>
        <v>X-RELLENOmoS</v>
      </c>
      <c r="AE187" s="321" t="str">
        <f t="shared" si="79"/>
        <v>X-RELLENOmoX</v>
      </c>
      <c r="AF187" s="321" t="str">
        <f t="shared" si="80"/>
        <v>X-RELLENOmoA</v>
      </c>
      <c r="AG187" s="321">
        <f t="shared" si="67"/>
        <v>7</v>
      </c>
      <c r="AH187" s="321">
        <f>IF(B187&lt;&gt;"",IF(H187="x",VLOOKUP(I187,'AUX-NIV3'!B:AG,32,FALSE),0),"")</f>
        <v>0</v>
      </c>
      <c r="AI187" s="321" t="str">
        <f t="shared" si="81"/>
        <v>X-RELLENOmo</v>
      </c>
      <c r="AJ187" s="320"/>
      <c r="AK187" s="322">
        <f t="shared" si="68"/>
        <v>185</v>
      </c>
      <c r="AL187" s="323">
        <f t="shared" si="82"/>
        <v>191</v>
      </c>
      <c r="AM187" s="322">
        <f t="shared" si="83"/>
        <v>3</v>
      </c>
      <c r="AN187" s="380">
        <f>IF(AND(AH187&gt;0,B187&lt;&gt;""),VLOOKUP(I187,'AUX-NIV3'!$B:$AO,39,FALSE)*O187,0)</f>
        <v>0</v>
      </c>
      <c r="AO187" s="380">
        <f t="shared" si="69"/>
        <v>6.8499999999999991E-2</v>
      </c>
      <c r="AP187" s="380"/>
    </row>
    <row r="188" spans="2:42" ht="14.4" hidden="1" thickTop="1" thickBot="1">
      <c r="B188" s="324" t="s">
        <v>1275</v>
      </c>
      <c r="C188" s="325" t="s">
        <v>26</v>
      </c>
      <c r="D188" s="326" t="s">
        <v>1160</v>
      </c>
      <c r="E188" s="327">
        <f>IF(B188&lt;&gt;"",SUMIF('AUX-NIV1'!I:I,'AUX-NIV2'!B188,'AUX-NIV1'!Q:Q),"")</f>
        <v>0</v>
      </c>
      <c r="F188" s="327">
        <f t="shared" si="59"/>
        <v>138.30187804135289</v>
      </c>
      <c r="G188" s="327">
        <f t="shared" si="60"/>
        <v>0</v>
      </c>
      <c r="H188" s="328" t="str">
        <f t="shared" si="70"/>
        <v>E</v>
      </c>
      <c r="I188" s="325" t="s">
        <v>1552</v>
      </c>
      <c r="J188" s="329" t="str">
        <f>IF(B188&lt;&gt;"",+VLOOKUP(I188,Recursos!C:F,2,FALSE),"")</f>
        <v>RETROEXCAVADORA S/CARRILES  0,9 M2</v>
      </c>
      <c r="K188" s="330" t="str">
        <f>IF(B188&lt;&gt;"",+VLOOKUP(I188,Recursos!C:F,3,FALSE),"")</f>
        <v>HR</v>
      </c>
      <c r="L188" s="327">
        <f>IF(B188&lt;&gt;"",+VLOOKUP(I188,Recursos!C:F,4,FALSE),"")</f>
        <v>2743.02</v>
      </c>
      <c r="M188" s="331">
        <v>25</v>
      </c>
      <c r="N188" s="331">
        <v>0.25</v>
      </c>
      <c r="O188" s="332">
        <f>1/M188*N188</f>
        <v>0.01</v>
      </c>
      <c r="P188" s="333">
        <f t="shared" si="71"/>
        <v>27.430199999999999</v>
      </c>
      <c r="Q188" s="327">
        <f t="shared" si="72"/>
        <v>0</v>
      </c>
      <c r="R188" s="334">
        <f t="shared" si="73"/>
        <v>0</v>
      </c>
      <c r="S188" s="358">
        <f t="shared" si="61"/>
        <v>35.362430768625629</v>
      </c>
      <c r="T188" s="358">
        <f t="shared" si="62"/>
        <v>102.43944727272728</v>
      </c>
      <c r="U188" s="359">
        <f t="shared" si="63"/>
        <v>0.5</v>
      </c>
      <c r="V188" s="359">
        <f t="shared" si="64"/>
        <v>0</v>
      </c>
      <c r="W188" s="359">
        <f t="shared" si="65"/>
        <v>0</v>
      </c>
      <c r="X188" s="359">
        <f t="shared" si="66"/>
        <v>0</v>
      </c>
      <c r="Y188" s="320"/>
      <c r="Z188" s="321" t="str">
        <f t="shared" si="74"/>
        <v>X-RELLENOmoA</v>
      </c>
      <c r="AA188" s="321" t="str">
        <f t="shared" si="75"/>
        <v>X-RELLENOmoE</v>
      </c>
      <c r="AB188" s="321" t="str">
        <f t="shared" si="76"/>
        <v>X-RELLENOmoM</v>
      </c>
      <c r="AC188" s="321" t="str">
        <f t="shared" si="77"/>
        <v>X-RELLENOmoT</v>
      </c>
      <c r="AD188" s="321" t="str">
        <f t="shared" si="78"/>
        <v>X-RELLENOmoS</v>
      </c>
      <c r="AE188" s="321" t="str">
        <f t="shared" si="79"/>
        <v>X-RELLENOmoX</v>
      </c>
      <c r="AF188" s="321" t="str">
        <f t="shared" si="80"/>
        <v>X-RELLENOmoE</v>
      </c>
      <c r="AG188" s="321">
        <f t="shared" si="67"/>
        <v>7</v>
      </c>
      <c r="AH188" s="321">
        <f>IF(B188&lt;&gt;"",IF(H188="x",VLOOKUP(I188,'AUX-NIV3'!B:AG,32,FALSE),0),"")</f>
        <v>0</v>
      </c>
      <c r="AI188" s="321" t="str">
        <f t="shared" si="81"/>
        <v>X-RELLENOmo</v>
      </c>
      <c r="AJ188" s="320"/>
      <c r="AK188" s="322">
        <f t="shared" si="68"/>
        <v>185</v>
      </c>
      <c r="AL188" s="323">
        <f t="shared" si="82"/>
        <v>191</v>
      </c>
      <c r="AM188" s="322">
        <f t="shared" si="83"/>
        <v>4</v>
      </c>
      <c r="AN188" s="380">
        <f>IF(AND(AH188&gt;0,B188&lt;&gt;""),VLOOKUP(I188,'AUX-NIV3'!$B:$AO,39,FALSE)*O188,0)</f>
        <v>0</v>
      </c>
      <c r="AO188" s="380">
        <f t="shared" si="69"/>
        <v>6.8499999999999991E-2</v>
      </c>
      <c r="AP188" s="380"/>
    </row>
    <row r="189" spans="2:42" ht="14.4" hidden="1" thickTop="1" thickBot="1">
      <c r="B189" s="324" t="s">
        <v>1275</v>
      </c>
      <c r="C189" s="325" t="s">
        <v>26</v>
      </c>
      <c r="D189" s="326" t="s">
        <v>1160</v>
      </c>
      <c r="E189" s="327">
        <f>IF(B189&lt;&gt;"",SUMIF('AUX-NIV1'!I:I,'AUX-NIV2'!B189,'AUX-NIV1'!Q:Q),"")</f>
        <v>0</v>
      </c>
      <c r="F189" s="327">
        <f t="shared" si="59"/>
        <v>138.30187804135289</v>
      </c>
      <c r="G189" s="327">
        <f t="shared" si="60"/>
        <v>0</v>
      </c>
      <c r="H189" s="328" t="str">
        <f t="shared" si="70"/>
        <v>E</v>
      </c>
      <c r="I189" s="325" t="s">
        <v>1546</v>
      </c>
      <c r="J189" s="329" t="str">
        <f>IF(B189&lt;&gt;"",+VLOOKUP(I189,Recursos!C:F,2,FALSE),"")</f>
        <v>MOTONIVELADORA 12" (15 T)</v>
      </c>
      <c r="K189" s="330" t="str">
        <f>IF(B189&lt;&gt;"",+VLOOKUP(I189,Recursos!C:F,3,FALSE),"")</f>
        <v>HR</v>
      </c>
      <c r="L189" s="327">
        <f>IF(B189&lt;&gt;"",+VLOOKUP(I189,Recursos!C:F,4,FALSE),"")</f>
        <v>3750.4623636363635</v>
      </c>
      <c r="M189" s="331">
        <v>50</v>
      </c>
      <c r="N189" s="331">
        <v>1</v>
      </c>
      <c r="O189" s="332">
        <f>1/M189*N189</f>
        <v>0.02</v>
      </c>
      <c r="P189" s="333">
        <f t="shared" si="71"/>
        <v>75.009247272727279</v>
      </c>
      <c r="Q189" s="327">
        <f t="shared" si="72"/>
        <v>0</v>
      </c>
      <c r="R189" s="334">
        <f t="shared" si="73"/>
        <v>0</v>
      </c>
      <c r="S189" s="358">
        <f t="shared" si="61"/>
        <v>35.362430768625629</v>
      </c>
      <c r="T189" s="358">
        <f t="shared" si="62"/>
        <v>102.43944727272728</v>
      </c>
      <c r="U189" s="359">
        <f t="shared" si="63"/>
        <v>0.5</v>
      </c>
      <c r="V189" s="359">
        <f t="shared" si="64"/>
        <v>0</v>
      </c>
      <c r="W189" s="359">
        <f t="shared" si="65"/>
        <v>0</v>
      </c>
      <c r="X189" s="359">
        <f t="shared" si="66"/>
        <v>0</v>
      </c>
      <c r="Y189" s="320"/>
      <c r="Z189" s="321" t="str">
        <f t="shared" si="74"/>
        <v>X-RELLENOmoA</v>
      </c>
      <c r="AA189" s="321" t="str">
        <f t="shared" si="75"/>
        <v>X-RELLENOmoE</v>
      </c>
      <c r="AB189" s="321" t="str">
        <f t="shared" si="76"/>
        <v>X-RELLENOmoM</v>
      </c>
      <c r="AC189" s="321" t="str">
        <f t="shared" si="77"/>
        <v>X-RELLENOmoT</v>
      </c>
      <c r="AD189" s="321" t="str">
        <f t="shared" si="78"/>
        <v>X-RELLENOmoS</v>
      </c>
      <c r="AE189" s="321" t="str">
        <f t="shared" si="79"/>
        <v>X-RELLENOmoX</v>
      </c>
      <c r="AF189" s="321" t="str">
        <f t="shared" si="80"/>
        <v>X-RELLENOmoE</v>
      </c>
      <c r="AG189" s="321">
        <f t="shared" si="67"/>
        <v>7</v>
      </c>
      <c r="AH189" s="321">
        <f>IF(B189&lt;&gt;"",IF(H189="x",VLOOKUP(I189,'AUX-NIV3'!B:AG,32,FALSE),0),"")</f>
        <v>0</v>
      </c>
      <c r="AI189" s="321" t="str">
        <f t="shared" si="81"/>
        <v>X-RELLENOmo</v>
      </c>
      <c r="AJ189" s="320"/>
      <c r="AK189" s="322">
        <f t="shared" si="68"/>
        <v>185</v>
      </c>
      <c r="AL189" s="323">
        <f t="shared" si="82"/>
        <v>191</v>
      </c>
      <c r="AM189" s="322">
        <f t="shared" si="83"/>
        <v>5</v>
      </c>
      <c r="AN189" s="380">
        <f>IF(AND(AH189&gt;0,B189&lt;&gt;""),VLOOKUP(I189,'AUX-NIV3'!$B:$AO,39,FALSE)*O189,0)</f>
        <v>0</v>
      </c>
      <c r="AO189" s="380">
        <f t="shared" si="69"/>
        <v>6.8499999999999991E-2</v>
      </c>
      <c r="AP189" s="380"/>
    </row>
    <row r="190" spans="2:42" ht="14.4" hidden="1" thickTop="1" thickBot="1">
      <c r="B190" s="324" t="s">
        <v>1275</v>
      </c>
      <c r="C190" s="325" t="s">
        <v>26</v>
      </c>
      <c r="D190" s="326" t="s">
        <v>1160</v>
      </c>
      <c r="E190" s="327">
        <f>IF(B190&lt;&gt;"",SUMIF('AUX-NIV1'!I:I,'AUX-NIV2'!B190,'AUX-NIV1'!Q:Q),"")</f>
        <v>0</v>
      </c>
      <c r="F190" s="327">
        <f t="shared" si="59"/>
        <v>138.30187804135289</v>
      </c>
      <c r="G190" s="327">
        <f t="shared" si="60"/>
        <v>0</v>
      </c>
      <c r="H190" s="328" t="str">
        <f t="shared" si="70"/>
        <v>M</v>
      </c>
      <c r="I190" s="325" t="s">
        <v>621</v>
      </c>
      <c r="J190" s="329" t="str">
        <f>IF(B190&lt;&gt;"",+VLOOKUP(I190,Recursos!C:F,2,FALSE),"")</f>
        <v>MATERIALES VARIOS</v>
      </c>
      <c r="K190" s="330" t="str">
        <f>IF(B190&lt;&gt;"",+VLOOKUP(I190,Recursos!C:F,3,FALSE),"")</f>
        <v>GL</v>
      </c>
      <c r="L190" s="327">
        <f>IF(B190&lt;&gt;"",+VLOOKUP(I190,Recursos!C:F,4,FALSE),"")</f>
        <v>0.5</v>
      </c>
      <c r="M190" s="331">
        <v>1</v>
      </c>
      <c r="N190" s="331">
        <v>1</v>
      </c>
      <c r="O190" s="332">
        <f>+M190*N190</f>
        <v>1</v>
      </c>
      <c r="P190" s="333">
        <f t="shared" si="71"/>
        <v>0.5</v>
      </c>
      <c r="Q190" s="327">
        <f t="shared" si="72"/>
        <v>0</v>
      </c>
      <c r="R190" s="334">
        <f t="shared" si="73"/>
        <v>0</v>
      </c>
      <c r="S190" s="358">
        <f t="shared" si="61"/>
        <v>35.362430768625629</v>
      </c>
      <c r="T190" s="358">
        <f t="shared" si="62"/>
        <v>102.43944727272728</v>
      </c>
      <c r="U190" s="359">
        <f t="shared" si="63"/>
        <v>0.5</v>
      </c>
      <c r="V190" s="359">
        <f t="shared" si="64"/>
        <v>0</v>
      </c>
      <c r="W190" s="359">
        <f t="shared" si="65"/>
        <v>0</v>
      </c>
      <c r="X190" s="359">
        <f t="shared" si="66"/>
        <v>0</v>
      </c>
      <c r="Y190" s="320"/>
      <c r="Z190" s="321" t="str">
        <f t="shared" si="74"/>
        <v>X-RELLENOmoA</v>
      </c>
      <c r="AA190" s="321" t="str">
        <f t="shared" si="75"/>
        <v>X-RELLENOmoE</v>
      </c>
      <c r="AB190" s="321" t="str">
        <f t="shared" si="76"/>
        <v>X-RELLENOmoM</v>
      </c>
      <c r="AC190" s="321" t="str">
        <f t="shared" si="77"/>
        <v>X-RELLENOmoT</v>
      </c>
      <c r="AD190" s="321" t="str">
        <f t="shared" si="78"/>
        <v>X-RELLENOmoS</v>
      </c>
      <c r="AE190" s="321" t="str">
        <f t="shared" si="79"/>
        <v>X-RELLENOmoX</v>
      </c>
      <c r="AF190" s="321" t="str">
        <f t="shared" si="80"/>
        <v>X-RELLENOmoM</v>
      </c>
      <c r="AG190" s="321">
        <f t="shared" si="67"/>
        <v>7</v>
      </c>
      <c r="AH190" s="321">
        <f>IF(B190&lt;&gt;"",IF(H190="x",VLOOKUP(I190,'AUX-NIV3'!B:AG,32,FALSE),0),"")</f>
        <v>0</v>
      </c>
      <c r="AI190" s="321" t="str">
        <f t="shared" si="81"/>
        <v>X-RELLENOmo</v>
      </c>
      <c r="AJ190" s="320"/>
      <c r="AK190" s="322">
        <f t="shared" si="68"/>
        <v>185</v>
      </c>
      <c r="AL190" s="323">
        <f t="shared" si="82"/>
        <v>191</v>
      </c>
      <c r="AM190" s="322">
        <f t="shared" si="83"/>
        <v>6</v>
      </c>
      <c r="AN190" s="380">
        <f>IF(AND(AH190&gt;0,B190&lt;&gt;""),VLOOKUP(I190,'AUX-NIV3'!$B:$AO,39,FALSE)*O190,0)</f>
        <v>0</v>
      </c>
      <c r="AO190" s="380">
        <f t="shared" si="69"/>
        <v>6.8499999999999991E-2</v>
      </c>
      <c r="AP190" s="380"/>
    </row>
    <row r="191" spans="2:42" ht="14.4" hidden="1" thickTop="1" thickBot="1">
      <c r="B191" s="324" t="s">
        <v>1275</v>
      </c>
      <c r="C191" s="325" t="s">
        <v>26</v>
      </c>
      <c r="D191" s="326" t="s">
        <v>1160</v>
      </c>
      <c r="E191" s="327">
        <f>IF(B191&lt;&gt;"",SUMIF('AUX-NIV1'!I:I,'AUX-NIV2'!B191,'AUX-NIV1'!Q:Q),"")</f>
        <v>0</v>
      </c>
      <c r="F191" s="327">
        <f t="shared" si="59"/>
        <v>138.30187804135289</v>
      </c>
      <c r="G191" s="327">
        <f t="shared" si="60"/>
        <v>0</v>
      </c>
      <c r="H191" s="328" t="str">
        <f t="shared" si="70"/>
        <v>M</v>
      </c>
      <c r="I191" s="325" t="s">
        <v>445</v>
      </c>
      <c r="J191" s="329" t="str">
        <f>IF(B191&lt;&gt;"",+VLOOKUP(I191,Recursos!C:F,2,FALSE),"")</f>
        <v>AGREGADOS PETREOS - RIPIOS</v>
      </c>
      <c r="K191" s="330" t="str">
        <f>IF(B191&lt;&gt;"",+VLOOKUP(I191,Recursos!C:F,3,FALSE),"")</f>
        <v>M3</v>
      </c>
      <c r="L191" s="327">
        <f>IF(B191&lt;&gt;"",+VLOOKUP(I191,Recursos!C:F,4,FALSE),"")</f>
        <v>12</v>
      </c>
      <c r="M191" s="331">
        <v>1</v>
      </c>
      <c r="N191" s="331">
        <v>0</v>
      </c>
      <c r="O191" s="332">
        <f>+M191*N191</f>
        <v>0</v>
      </c>
      <c r="P191" s="333">
        <f t="shared" si="71"/>
        <v>0</v>
      </c>
      <c r="Q191" s="327">
        <f t="shared" si="72"/>
        <v>0</v>
      </c>
      <c r="R191" s="334">
        <f t="shared" si="73"/>
        <v>0</v>
      </c>
      <c r="S191" s="358">
        <f t="shared" si="61"/>
        <v>35.362430768625629</v>
      </c>
      <c r="T191" s="358">
        <f t="shared" si="62"/>
        <v>102.43944727272728</v>
      </c>
      <c r="U191" s="359">
        <f t="shared" si="63"/>
        <v>0.5</v>
      </c>
      <c r="V191" s="359">
        <f t="shared" si="64"/>
        <v>0</v>
      </c>
      <c r="W191" s="359">
        <f t="shared" si="65"/>
        <v>0</v>
      </c>
      <c r="X191" s="359">
        <f t="shared" si="66"/>
        <v>0</v>
      </c>
      <c r="Y191" s="320"/>
      <c r="Z191" s="321" t="str">
        <f t="shared" si="74"/>
        <v>X-RELLENOmoA</v>
      </c>
      <c r="AA191" s="321" t="str">
        <f t="shared" si="75"/>
        <v>X-RELLENOmoE</v>
      </c>
      <c r="AB191" s="321" t="str">
        <f t="shared" si="76"/>
        <v>X-RELLENOmoM</v>
      </c>
      <c r="AC191" s="321" t="str">
        <f t="shared" si="77"/>
        <v>X-RELLENOmoT</v>
      </c>
      <c r="AD191" s="321" t="str">
        <f t="shared" si="78"/>
        <v>X-RELLENOmoS</v>
      </c>
      <c r="AE191" s="321" t="str">
        <f t="shared" si="79"/>
        <v>X-RELLENOmoX</v>
      </c>
      <c r="AF191" s="321" t="str">
        <f t="shared" si="80"/>
        <v>X-RELLENOmoM</v>
      </c>
      <c r="AG191" s="321">
        <f t="shared" si="67"/>
        <v>7</v>
      </c>
      <c r="AH191" s="321">
        <f>IF(B191&lt;&gt;"",IF(H191="x",VLOOKUP(I191,'AUX-NIV3'!B:AG,32,FALSE),0),"")</f>
        <v>0</v>
      </c>
      <c r="AI191" s="321" t="str">
        <f t="shared" si="81"/>
        <v>X-RELLENOmo</v>
      </c>
      <c r="AJ191" s="320"/>
      <c r="AK191" s="322">
        <f t="shared" si="68"/>
        <v>185</v>
      </c>
      <c r="AL191" s="323">
        <f t="shared" si="82"/>
        <v>191</v>
      </c>
      <c r="AM191" s="322">
        <f t="shared" si="83"/>
        <v>7</v>
      </c>
      <c r="AN191" s="380">
        <f>IF(AND(AH191&gt;0,B191&lt;&gt;""),VLOOKUP(I191,'AUX-NIV3'!$B:$AO,39,FALSE)*O191,0)</f>
        <v>0</v>
      </c>
      <c r="AO191" s="380">
        <f t="shared" si="69"/>
        <v>6.8499999999999991E-2</v>
      </c>
      <c r="AP191" s="380"/>
    </row>
    <row r="192" spans="2:42" ht="14.4" hidden="1" thickTop="1" thickBot="1">
      <c r="B192" s="324" t="s">
        <v>1276</v>
      </c>
      <c r="C192" s="325" t="s">
        <v>27</v>
      </c>
      <c r="D192" s="326" t="s">
        <v>501</v>
      </c>
      <c r="E192" s="327">
        <f>IF(B192&lt;&gt;"",SUMIF('AUX-NIV1'!I:I,'AUX-NIV2'!B192,'AUX-NIV1'!Q:Q),"")</f>
        <v>0</v>
      </c>
      <c r="F192" s="327">
        <f t="shared" si="59"/>
        <v>86.775057999157838</v>
      </c>
      <c r="G192" s="327">
        <f t="shared" si="60"/>
        <v>0</v>
      </c>
      <c r="H192" s="328" t="str">
        <f t="shared" si="70"/>
        <v>A</v>
      </c>
      <c r="I192" s="325" t="s">
        <v>1745</v>
      </c>
      <c r="J192" s="329" t="str">
        <f>IF(B192&lt;&gt;"",+VLOOKUP(I192,Recursos!C:F,2,FALSE),"")</f>
        <v>AYUDANTE</v>
      </c>
      <c r="K192" s="330" t="str">
        <f>IF(B192&lt;&gt;"",+VLOOKUP(I192,Recursos!C:F,3,FALSE),"")</f>
        <v>hh</v>
      </c>
      <c r="L192" s="327">
        <f>IF(B192&lt;&gt;"",+VLOOKUP(I192,Recursos!C:F,4,FALSE),"")</f>
        <v>422.48042769667234</v>
      </c>
      <c r="M192" s="331">
        <v>500</v>
      </c>
      <c r="N192" s="331">
        <v>1.4</v>
      </c>
      <c r="O192" s="332">
        <f t="shared" ref="O192:O198" si="86">+N192/M192</f>
        <v>2.8E-3</v>
      </c>
      <c r="P192" s="333">
        <f t="shared" si="71"/>
        <v>1.1829451975506826</v>
      </c>
      <c r="Q192" s="327">
        <f t="shared" si="72"/>
        <v>0</v>
      </c>
      <c r="R192" s="334">
        <f t="shared" si="73"/>
        <v>0</v>
      </c>
      <c r="S192" s="358">
        <f t="shared" si="61"/>
        <v>17.901596799157836</v>
      </c>
      <c r="T192" s="358">
        <f t="shared" si="62"/>
        <v>68.723461200000003</v>
      </c>
      <c r="U192" s="359">
        <f t="shared" si="63"/>
        <v>0.15</v>
      </c>
      <c r="V192" s="359">
        <f t="shared" si="64"/>
        <v>0</v>
      </c>
      <c r="W192" s="359">
        <f t="shared" si="65"/>
        <v>0</v>
      </c>
      <c r="X192" s="359">
        <f t="shared" si="66"/>
        <v>0</v>
      </c>
      <c r="Y192" s="320"/>
      <c r="Z192" s="321" t="str">
        <f t="shared" si="74"/>
        <v>X-ESCARPEA</v>
      </c>
      <c r="AA192" s="321" t="str">
        <f t="shared" si="75"/>
        <v>X-ESCARPEE</v>
      </c>
      <c r="AB192" s="321" t="str">
        <f t="shared" si="76"/>
        <v>X-ESCARPEM</v>
      </c>
      <c r="AC192" s="321" t="str">
        <f t="shared" si="77"/>
        <v>X-ESCARPET</v>
      </c>
      <c r="AD192" s="321" t="str">
        <f t="shared" si="78"/>
        <v>X-ESCARPES</v>
      </c>
      <c r="AE192" s="321" t="str">
        <f t="shared" si="79"/>
        <v>X-ESCARPEX</v>
      </c>
      <c r="AF192" s="321" t="str">
        <f t="shared" si="80"/>
        <v>X-ESCARPEA</v>
      </c>
      <c r="AG192" s="321">
        <f t="shared" si="67"/>
        <v>8</v>
      </c>
      <c r="AH192" s="321">
        <f>IF(B192&lt;&gt;"",IF(H192="x",VLOOKUP(I192,'AUX-NIV3'!B:AG,32,FALSE),0),"")</f>
        <v>0</v>
      </c>
      <c r="AI192" s="321" t="str">
        <f t="shared" si="81"/>
        <v>X-ESCARPE</v>
      </c>
      <c r="AJ192" s="320"/>
      <c r="AK192" s="322">
        <f t="shared" si="68"/>
        <v>192</v>
      </c>
      <c r="AL192" s="323">
        <f t="shared" si="82"/>
        <v>199</v>
      </c>
      <c r="AM192" s="322">
        <f t="shared" si="83"/>
        <v>1</v>
      </c>
      <c r="AN192" s="380">
        <f>IF(AND(AH192&gt;0,B192&lt;&gt;""),VLOOKUP(I192,'AUX-NIV3'!$B:$AO,39,FALSE)*O192,0)</f>
        <v>0</v>
      </c>
      <c r="AO192" s="380">
        <f t="shared" si="69"/>
        <v>3.3599999999999998E-2</v>
      </c>
      <c r="AP192" s="380"/>
    </row>
    <row r="193" spans="2:42" ht="14.4" hidden="1" thickTop="1" thickBot="1">
      <c r="B193" s="324" t="s">
        <v>1276</v>
      </c>
      <c r="C193" s="325" t="s">
        <v>27</v>
      </c>
      <c r="D193" s="326" t="s">
        <v>501</v>
      </c>
      <c r="E193" s="327">
        <f>IF(B193&lt;&gt;"",SUMIF('AUX-NIV1'!I:I,'AUX-NIV2'!B193,'AUX-NIV1'!Q:Q),"")</f>
        <v>0</v>
      </c>
      <c r="F193" s="327">
        <f t="shared" si="59"/>
        <v>86.775057999157838</v>
      </c>
      <c r="G193" s="327">
        <f t="shared" si="60"/>
        <v>0</v>
      </c>
      <c r="H193" s="328" t="str">
        <f t="shared" si="70"/>
        <v>A</v>
      </c>
      <c r="I193" s="325" t="s">
        <v>3311</v>
      </c>
      <c r="J193" s="329" t="str">
        <f>IF(B193&lt;&gt;"",+VLOOKUP(I193,Recursos!C:F,2,FALSE),"")</f>
        <v>OPER. EQUIPO</v>
      </c>
      <c r="K193" s="330" t="str">
        <f>IF(B193&lt;&gt;"",+VLOOKUP(I193,Recursos!C:F,3,FALSE),"")</f>
        <v>hh</v>
      </c>
      <c r="L193" s="327">
        <f>IF(B193&lt;&gt;"",+VLOOKUP(I193,Recursos!C:F,4,FALSE),"")</f>
        <v>581.06120476836554</v>
      </c>
      <c r="M193" s="331">
        <v>500</v>
      </c>
      <c r="N193" s="331">
        <v>1.4</v>
      </c>
      <c r="O193" s="332">
        <f t="shared" si="86"/>
        <v>2.8E-3</v>
      </c>
      <c r="P193" s="333">
        <f t="shared" si="71"/>
        <v>1.6269713733514235</v>
      </c>
      <c r="Q193" s="327">
        <f t="shared" si="72"/>
        <v>0</v>
      </c>
      <c r="R193" s="334">
        <f t="shared" si="73"/>
        <v>0</v>
      </c>
      <c r="S193" s="358">
        <f t="shared" si="61"/>
        <v>17.901596799157836</v>
      </c>
      <c r="T193" s="358">
        <f t="shared" si="62"/>
        <v>68.723461200000003</v>
      </c>
      <c r="U193" s="359">
        <f t="shared" si="63"/>
        <v>0.15</v>
      </c>
      <c r="V193" s="359">
        <f t="shared" si="64"/>
        <v>0</v>
      </c>
      <c r="W193" s="359">
        <f t="shared" si="65"/>
        <v>0</v>
      </c>
      <c r="X193" s="359">
        <f t="shared" si="66"/>
        <v>0</v>
      </c>
      <c r="Y193" s="320"/>
      <c r="Z193" s="321" t="str">
        <f t="shared" si="74"/>
        <v>X-ESCARPEA</v>
      </c>
      <c r="AA193" s="321" t="str">
        <f t="shared" si="75"/>
        <v>X-ESCARPEE</v>
      </c>
      <c r="AB193" s="321" t="str">
        <f t="shared" si="76"/>
        <v>X-ESCARPEM</v>
      </c>
      <c r="AC193" s="321" t="str">
        <f t="shared" si="77"/>
        <v>X-ESCARPET</v>
      </c>
      <c r="AD193" s="321" t="str">
        <f t="shared" si="78"/>
        <v>X-ESCARPES</v>
      </c>
      <c r="AE193" s="321" t="str">
        <f t="shared" si="79"/>
        <v>X-ESCARPEX</v>
      </c>
      <c r="AF193" s="321" t="str">
        <f t="shared" si="80"/>
        <v>X-ESCARPEA</v>
      </c>
      <c r="AG193" s="321">
        <f t="shared" si="67"/>
        <v>8</v>
      </c>
      <c r="AH193" s="321">
        <f>IF(B193&lt;&gt;"",IF(H193="x",VLOOKUP(I193,'AUX-NIV3'!B:AG,32,FALSE),0),"")</f>
        <v>0</v>
      </c>
      <c r="AI193" s="321" t="str">
        <f t="shared" si="81"/>
        <v>X-ESCARPE</v>
      </c>
      <c r="AJ193" s="320"/>
      <c r="AK193" s="322">
        <f t="shared" si="68"/>
        <v>192</v>
      </c>
      <c r="AL193" s="323">
        <f t="shared" si="82"/>
        <v>199</v>
      </c>
      <c r="AM193" s="322">
        <f t="shared" si="83"/>
        <v>2</v>
      </c>
      <c r="AN193" s="380">
        <f>IF(AND(AH193&gt;0,B193&lt;&gt;""),VLOOKUP(I193,'AUX-NIV3'!$B:$AO,39,FALSE)*O193,0)</f>
        <v>0</v>
      </c>
      <c r="AO193" s="380">
        <f t="shared" si="69"/>
        <v>3.3599999999999998E-2</v>
      </c>
      <c r="AP193" s="380"/>
    </row>
    <row r="194" spans="2:42" ht="14.4" hidden="1" thickTop="1" thickBot="1">
      <c r="B194" s="324" t="s">
        <v>1276</v>
      </c>
      <c r="C194" s="325" t="s">
        <v>27</v>
      </c>
      <c r="D194" s="326" t="s">
        <v>501</v>
      </c>
      <c r="E194" s="327">
        <f>IF(B194&lt;&gt;"",SUMIF('AUX-NIV1'!I:I,'AUX-NIV2'!B194,'AUX-NIV1'!Q:Q),"")</f>
        <v>0</v>
      </c>
      <c r="F194" s="327">
        <f t="shared" si="59"/>
        <v>86.775057999157838</v>
      </c>
      <c r="G194" s="327">
        <f t="shared" si="60"/>
        <v>0</v>
      </c>
      <c r="H194" s="328" t="str">
        <f t="shared" si="70"/>
        <v>A</v>
      </c>
      <c r="I194" s="325" t="s">
        <v>3312</v>
      </c>
      <c r="J194" s="329" t="str">
        <f>IF(B194&lt;&gt;"",+VLOOKUP(I194,Recursos!C:F,2,FALSE),"")</f>
        <v>CHOFER</v>
      </c>
      <c r="K194" s="330" t="str">
        <f>IF(B194&lt;&gt;"",+VLOOKUP(I194,Recursos!C:F,3,FALSE),"")</f>
        <v>hh</v>
      </c>
      <c r="L194" s="327">
        <f>IF(B194&lt;&gt;"",+VLOOKUP(I194,Recursos!C:F,4,FALSE),"")</f>
        <v>496.91595439275824</v>
      </c>
      <c r="M194" s="331">
        <v>100</v>
      </c>
      <c r="N194" s="331">
        <v>1.4</v>
      </c>
      <c r="O194" s="332">
        <f t="shared" si="86"/>
        <v>1.3999999999999999E-2</v>
      </c>
      <c r="P194" s="333">
        <f t="shared" si="71"/>
        <v>6.956823361498615</v>
      </c>
      <c r="Q194" s="327">
        <f t="shared" si="72"/>
        <v>0</v>
      </c>
      <c r="R194" s="334">
        <f t="shared" si="73"/>
        <v>0</v>
      </c>
      <c r="S194" s="358">
        <f t="shared" si="61"/>
        <v>17.901596799157836</v>
      </c>
      <c r="T194" s="358">
        <f t="shared" si="62"/>
        <v>68.723461200000003</v>
      </c>
      <c r="U194" s="359">
        <f t="shared" si="63"/>
        <v>0.15</v>
      </c>
      <c r="V194" s="359">
        <f t="shared" si="64"/>
        <v>0</v>
      </c>
      <c r="W194" s="359">
        <f t="shared" si="65"/>
        <v>0</v>
      </c>
      <c r="X194" s="359">
        <f t="shared" si="66"/>
        <v>0</v>
      </c>
      <c r="Y194" s="320"/>
      <c r="Z194" s="321" t="str">
        <f t="shared" si="74"/>
        <v>X-ESCARPEA</v>
      </c>
      <c r="AA194" s="321" t="str">
        <f t="shared" si="75"/>
        <v>X-ESCARPEE</v>
      </c>
      <c r="AB194" s="321" t="str">
        <f t="shared" si="76"/>
        <v>X-ESCARPEM</v>
      </c>
      <c r="AC194" s="321" t="str">
        <f t="shared" si="77"/>
        <v>X-ESCARPET</v>
      </c>
      <c r="AD194" s="321" t="str">
        <f t="shared" si="78"/>
        <v>X-ESCARPES</v>
      </c>
      <c r="AE194" s="321" t="str">
        <f t="shared" si="79"/>
        <v>X-ESCARPEX</v>
      </c>
      <c r="AF194" s="321" t="str">
        <f t="shared" si="80"/>
        <v>X-ESCARPEA</v>
      </c>
      <c r="AG194" s="321">
        <f t="shared" si="67"/>
        <v>8</v>
      </c>
      <c r="AH194" s="321">
        <f>IF(B194&lt;&gt;"",IF(H194="x",VLOOKUP(I194,'AUX-NIV3'!B:AG,32,FALSE),0),"")</f>
        <v>0</v>
      </c>
      <c r="AI194" s="321" t="str">
        <f t="shared" si="81"/>
        <v>X-ESCARPE</v>
      </c>
      <c r="AJ194" s="320"/>
      <c r="AK194" s="322">
        <f t="shared" si="68"/>
        <v>192</v>
      </c>
      <c r="AL194" s="323">
        <f t="shared" si="82"/>
        <v>199</v>
      </c>
      <c r="AM194" s="322">
        <f t="shared" si="83"/>
        <v>3</v>
      </c>
      <c r="AN194" s="380">
        <f>IF(AND(AH194&gt;0,B194&lt;&gt;""),VLOOKUP(I194,'AUX-NIV3'!$B:$AO,39,FALSE)*O194,0)</f>
        <v>0</v>
      </c>
      <c r="AO194" s="380">
        <f t="shared" si="69"/>
        <v>3.3599999999999998E-2</v>
      </c>
      <c r="AP194" s="380"/>
    </row>
    <row r="195" spans="2:42" ht="14.4" hidden="1" thickTop="1" thickBot="1">
      <c r="B195" s="324" t="s">
        <v>1276</v>
      </c>
      <c r="C195" s="325" t="s">
        <v>27</v>
      </c>
      <c r="D195" s="326" t="s">
        <v>501</v>
      </c>
      <c r="E195" s="327">
        <f>IF(B195&lt;&gt;"",SUMIF('AUX-NIV1'!I:I,'AUX-NIV2'!B195,'AUX-NIV1'!Q:Q),"")</f>
        <v>0</v>
      </c>
      <c r="F195" s="327">
        <f t="shared" si="59"/>
        <v>86.775057999157838</v>
      </c>
      <c r="G195" s="327">
        <f t="shared" si="60"/>
        <v>0</v>
      </c>
      <c r="H195" s="328" t="str">
        <f t="shared" si="70"/>
        <v>A</v>
      </c>
      <c r="I195" s="325" t="s">
        <v>3311</v>
      </c>
      <c r="J195" s="329" t="str">
        <f>IF(B195&lt;&gt;"",+VLOOKUP(I195,Recursos!C:F,2,FALSE),"")</f>
        <v>OPER. EQUIPO</v>
      </c>
      <c r="K195" s="330" t="str">
        <f>IF(B195&lt;&gt;"",+VLOOKUP(I195,Recursos!C:F,3,FALSE),"")</f>
        <v>hh</v>
      </c>
      <c r="L195" s="327">
        <f>IF(B195&lt;&gt;"",+VLOOKUP(I195,Recursos!C:F,4,FALSE),"")</f>
        <v>581.06120476836554</v>
      </c>
      <c r="M195" s="331">
        <v>100</v>
      </c>
      <c r="N195" s="331">
        <v>1.4</v>
      </c>
      <c r="O195" s="332">
        <f t="shared" si="86"/>
        <v>1.3999999999999999E-2</v>
      </c>
      <c r="P195" s="333">
        <f t="shared" si="71"/>
        <v>8.1348568667571168</v>
      </c>
      <c r="Q195" s="327">
        <f t="shared" si="72"/>
        <v>0</v>
      </c>
      <c r="R195" s="334">
        <f t="shared" si="73"/>
        <v>0</v>
      </c>
      <c r="S195" s="358">
        <f t="shared" si="61"/>
        <v>17.901596799157836</v>
      </c>
      <c r="T195" s="358">
        <f t="shared" si="62"/>
        <v>68.723461200000003</v>
      </c>
      <c r="U195" s="359">
        <f t="shared" si="63"/>
        <v>0.15</v>
      </c>
      <c r="V195" s="359">
        <f t="shared" si="64"/>
        <v>0</v>
      </c>
      <c r="W195" s="359">
        <f t="shared" si="65"/>
        <v>0</v>
      </c>
      <c r="X195" s="359">
        <f t="shared" si="66"/>
        <v>0</v>
      </c>
      <c r="Y195" s="320"/>
      <c r="Z195" s="321" t="str">
        <f t="shared" si="74"/>
        <v>X-ESCARPEA</v>
      </c>
      <c r="AA195" s="321" t="str">
        <f t="shared" si="75"/>
        <v>X-ESCARPEE</v>
      </c>
      <c r="AB195" s="321" t="str">
        <f t="shared" si="76"/>
        <v>X-ESCARPEM</v>
      </c>
      <c r="AC195" s="321" t="str">
        <f t="shared" si="77"/>
        <v>X-ESCARPET</v>
      </c>
      <c r="AD195" s="321" t="str">
        <f t="shared" si="78"/>
        <v>X-ESCARPES</v>
      </c>
      <c r="AE195" s="321" t="str">
        <f t="shared" si="79"/>
        <v>X-ESCARPEX</v>
      </c>
      <c r="AF195" s="321" t="str">
        <f t="shared" si="80"/>
        <v>X-ESCARPEA</v>
      </c>
      <c r="AG195" s="321">
        <f t="shared" si="67"/>
        <v>8</v>
      </c>
      <c r="AH195" s="321">
        <f>IF(B195&lt;&gt;"",IF(H195="x",VLOOKUP(I195,'AUX-NIV3'!B:AG,32,FALSE),0),"")</f>
        <v>0</v>
      </c>
      <c r="AI195" s="321" t="str">
        <f t="shared" si="81"/>
        <v>X-ESCARPE</v>
      </c>
      <c r="AJ195" s="320"/>
      <c r="AK195" s="322">
        <f t="shared" si="68"/>
        <v>192</v>
      </c>
      <c r="AL195" s="323">
        <f t="shared" si="82"/>
        <v>199</v>
      </c>
      <c r="AM195" s="322">
        <f t="shared" si="83"/>
        <v>4</v>
      </c>
      <c r="AN195" s="380">
        <f>IF(AND(AH195&gt;0,B195&lt;&gt;""),VLOOKUP(I195,'AUX-NIV3'!$B:$AO,39,FALSE)*O195,0)</f>
        <v>0</v>
      </c>
      <c r="AO195" s="380">
        <f t="shared" si="69"/>
        <v>3.3599999999999998E-2</v>
      </c>
      <c r="AP195" s="380"/>
    </row>
    <row r="196" spans="2:42" ht="14.4" hidden="1" thickTop="1" thickBot="1">
      <c r="B196" s="324" t="s">
        <v>1276</v>
      </c>
      <c r="C196" s="325" t="s">
        <v>27</v>
      </c>
      <c r="D196" s="326" t="s">
        <v>501</v>
      </c>
      <c r="E196" s="327">
        <f>IF(B196&lt;&gt;"",SUMIF('AUX-NIV1'!I:I,'AUX-NIV2'!B196,'AUX-NIV1'!Q:Q),"")</f>
        <v>0</v>
      </c>
      <c r="F196" s="327">
        <f t="shared" si="59"/>
        <v>86.775057999157838</v>
      </c>
      <c r="G196" s="327">
        <f t="shared" si="60"/>
        <v>0</v>
      </c>
      <c r="H196" s="328" t="str">
        <f t="shared" si="70"/>
        <v>E</v>
      </c>
      <c r="I196" s="325" t="s">
        <v>1536</v>
      </c>
      <c r="J196" s="329" t="str">
        <f>IF(B196&lt;&gt;"",+VLOOKUP(I196,Recursos!C:F,2,FALSE),"")</f>
        <v>TOPADORA SIN ESC.(15 T)</v>
      </c>
      <c r="K196" s="330" t="str">
        <f>IF(B196&lt;&gt;"",+VLOOKUP(I196,Recursos!C:F,3,FALSE),"")</f>
        <v>HR</v>
      </c>
      <c r="L196" s="327">
        <f>IF(B196&lt;&gt;"",+VLOOKUP(I196,Recursos!C:F,4,FALSE),"")</f>
        <v>3980.3256000000001</v>
      </c>
      <c r="M196" s="331">
        <v>500</v>
      </c>
      <c r="N196" s="331">
        <v>1</v>
      </c>
      <c r="O196" s="332">
        <f t="shared" si="86"/>
        <v>2E-3</v>
      </c>
      <c r="P196" s="333">
        <f t="shared" si="71"/>
        <v>7.9606512</v>
      </c>
      <c r="Q196" s="327">
        <f t="shared" si="72"/>
        <v>0</v>
      </c>
      <c r="R196" s="334">
        <f t="shared" si="73"/>
        <v>0</v>
      </c>
      <c r="S196" s="358">
        <f t="shared" si="61"/>
        <v>17.901596799157836</v>
      </c>
      <c r="T196" s="358">
        <f t="shared" si="62"/>
        <v>68.723461200000003</v>
      </c>
      <c r="U196" s="359">
        <f t="shared" si="63"/>
        <v>0.15</v>
      </c>
      <c r="V196" s="359">
        <f t="shared" si="64"/>
        <v>0</v>
      </c>
      <c r="W196" s="359">
        <f t="shared" si="65"/>
        <v>0</v>
      </c>
      <c r="X196" s="359">
        <f t="shared" si="66"/>
        <v>0</v>
      </c>
      <c r="Y196" s="320"/>
      <c r="Z196" s="321" t="str">
        <f t="shared" si="74"/>
        <v>X-ESCARPEA</v>
      </c>
      <c r="AA196" s="321" t="str">
        <f t="shared" si="75"/>
        <v>X-ESCARPEE</v>
      </c>
      <c r="AB196" s="321" t="str">
        <f t="shared" si="76"/>
        <v>X-ESCARPEM</v>
      </c>
      <c r="AC196" s="321" t="str">
        <f t="shared" si="77"/>
        <v>X-ESCARPET</v>
      </c>
      <c r="AD196" s="321" t="str">
        <f t="shared" si="78"/>
        <v>X-ESCARPES</v>
      </c>
      <c r="AE196" s="321" t="str">
        <f t="shared" si="79"/>
        <v>X-ESCARPEX</v>
      </c>
      <c r="AF196" s="321" t="str">
        <f t="shared" si="80"/>
        <v>X-ESCARPEE</v>
      </c>
      <c r="AG196" s="321">
        <f t="shared" si="67"/>
        <v>8</v>
      </c>
      <c r="AH196" s="321">
        <f>IF(B196&lt;&gt;"",IF(H196="x",VLOOKUP(I196,'AUX-NIV3'!B:AG,32,FALSE),0),"")</f>
        <v>0</v>
      </c>
      <c r="AI196" s="321" t="str">
        <f t="shared" si="81"/>
        <v>X-ESCARPE</v>
      </c>
      <c r="AJ196" s="320"/>
      <c r="AK196" s="322">
        <f t="shared" si="68"/>
        <v>192</v>
      </c>
      <c r="AL196" s="323">
        <f t="shared" si="82"/>
        <v>199</v>
      </c>
      <c r="AM196" s="322">
        <f t="shared" si="83"/>
        <v>5</v>
      </c>
      <c r="AN196" s="380">
        <f>IF(AND(AH196&gt;0,B196&lt;&gt;""),VLOOKUP(I196,'AUX-NIV3'!$B:$AO,39,FALSE)*O196,0)</f>
        <v>0</v>
      </c>
      <c r="AO196" s="380">
        <f t="shared" si="69"/>
        <v>3.3599999999999998E-2</v>
      </c>
      <c r="AP196" s="380"/>
    </row>
    <row r="197" spans="2:42" ht="14.4" hidden="1" thickTop="1" thickBot="1">
      <c r="B197" s="324" t="s">
        <v>1276</v>
      </c>
      <c r="C197" s="325" t="s">
        <v>27</v>
      </c>
      <c r="D197" s="326" t="s">
        <v>501</v>
      </c>
      <c r="E197" s="327">
        <f>IF(B197&lt;&gt;"",SUMIF('AUX-NIV1'!I:I,'AUX-NIV2'!B197,'AUX-NIV1'!Q:Q),"")</f>
        <v>0</v>
      </c>
      <c r="F197" s="327">
        <f t="shared" si="59"/>
        <v>86.775057999157838</v>
      </c>
      <c r="G197" s="327">
        <f t="shared" si="60"/>
        <v>0</v>
      </c>
      <c r="H197" s="328" t="str">
        <f t="shared" si="70"/>
        <v>E</v>
      </c>
      <c r="I197" s="325" t="s">
        <v>1555</v>
      </c>
      <c r="J197" s="329" t="str">
        <f>IF(B197&lt;&gt;"",+VLOOKUP(I197,Recursos!C:F,2,FALSE),"")</f>
        <v>CAMION VOLCADOR 6x4 CAP. 24 T=15 m3</v>
      </c>
      <c r="K197" s="330" t="str">
        <f>IF(B197&lt;&gt;"",+VLOOKUP(I197,Recursos!C:F,3,FALSE),"")</f>
        <v>HR</v>
      </c>
      <c r="L197" s="327">
        <f>IF(B197&lt;&gt;"",+VLOOKUP(I197,Recursos!C:F,4,FALSE),"")</f>
        <v>3333.261</v>
      </c>
      <c r="M197" s="331">
        <v>100</v>
      </c>
      <c r="N197" s="331">
        <v>1</v>
      </c>
      <c r="O197" s="332">
        <f t="shared" si="86"/>
        <v>0.01</v>
      </c>
      <c r="P197" s="333">
        <f t="shared" si="71"/>
        <v>33.332610000000003</v>
      </c>
      <c r="Q197" s="327">
        <f t="shared" si="72"/>
        <v>0</v>
      </c>
      <c r="R197" s="334">
        <f t="shared" si="73"/>
        <v>0</v>
      </c>
      <c r="S197" s="358">
        <f t="shared" si="61"/>
        <v>17.901596799157836</v>
      </c>
      <c r="T197" s="358">
        <f t="shared" si="62"/>
        <v>68.723461200000003</v>
      </c>
      <c r="U197" s="359">
        <f t="shared" si="63"/>
        <v>0.15</v>
      </c>
      <c r="V197" s="359">
        <f t="shared" si="64"/>
        <v>0</v>
      </c>
      <c r="W197" s="359">
        <f t="shared" si="65"/>
        <v>0</v>
      </c>
      <c r="X197" s="359">
        <f t="shared" si="66"/>
        <v>0</v>
      </c>
      <c r="Y197" s="320"/>
      <c r="Z197" s="321" t="str">
        <f t="shared" si="74"/>
        <v>X-ESCARPEA</v>
      </c>
      <c r="AA197" s="321" t="str">
        <f t="shared" si="75"/>
        <v>X-ESCARPEE</v>
      </c>
      <c r="AB197" s="321" t="str">
        <f t="shared" si="76"/>
        <v>X-ESCARPEM</v>
      </c>
      <c r="AC197" s="321" t="str">
        <f t="shared" si="77"/>
        <v>X-ESCARPET</v>
      </c>
      <c r="AD197" s="321" t="str">
        <f t="shared" si="78"/>
        <v>X-ESCARPES</v>
      </c>
      <c r="AE197" s="321" t="str">
        <f t="shared" si="79"/>
        <v>X-ESCARPEX</v>
      </c>
      <c r="AF197" s="321" t="str">
        <f t="shared" si="80"/>
        <v>X-ESCARPEE</v>
      </c>
      <c r="AG197" s="321">
        <f t="shared" si="67"/>
        <v>8</v>
      </c>
      <c r="AH197" s="321">
        <f>IF(B197&lt;&gt;"",IF(H197="x",VLOOKUP(I197,'AUX-NIV3'!B:AG,32,FALSE),0),"")</f>
        <v>0</v>
      </c>
      <c r="AI197" s="321" t="str">
        <f t="shared" si="81"/>
        <v>X-ESCARPE</v>
      </c>
      <c r="AJ197" s="320"/>
      <c r="AK197" s="322">
        <f t="shared" si="68"/>
        <v>192</v>
      </c>
      <c r="AL197" s="323">
        <f t="shared" si="82"/>
        <v>199</v>
      </c>
      <c r="AM197" s="322">
        <f t="shared" si="83"/>
        <v>6</v>
      </c>
      <c r="AN197" s="380">
        <f>IF(AND(AH197&gt;0,B197&lt;&gt;""),VLOOKUP(I197,'AUX-NIV3'!$B:$AO,39,FALSE)*O197,0)</f>
        <v>0</v>
      </c>
      <c r="AO197" s="380">
        <f t="shared" si="69"/>
        <v>3.3599999999999998E-2</v>
      </c>
      <c r="AP197" s="380"/>
    </row>
    <row r="198" spans="2:42" ht="14.4" hidden="1" thickTop="1" thickBot="1">
      <c r="B198" s="324" t="s">
        <v>1276</v>
      </c>
      <c r="C198" s="325" t="s">
        <v>27</v>
      </c>
      <c r="D198" s="326" t="s">
        <v>501</v>
      </c>
      <c r="E198" s="327">
        <f>IF(B198&lt;&gt;"",SUMIF('AUX-NIV1'!I:I,'AUX-NIV2'!B198,'AUX-NIV1'!Q:Q),"")</f>
        <v>0</v>
      </c>
      <c r="F198" s="327">
        <f t="shared" si="59"/>
        <v>86.775057999157838</v>
      </c>
      <c r="G198" s="327">
        <f t="shared" si="60"/>
        <v>0</v>
      </c>
      <c r="H198" s="328" t="str">
        <f t="shared" si="70"/>
        <v>E</v>
      </c>
      <c r="I198" s="325" t="s">
        <v>1552</v>
      </c>
      <c r="J198" s="329" t="str">
        <f>IF(B198&lt;&gt;"",+VLOOKUP(I198,Recursos!C:F,2,FALSE),"")</f>
        <v>RETROEXCAVADORA S/CARRILES  0,9 M2</v>
      </c>
      <c r="K198" s="330" t="str">
        <f>IF(B198&lt;&gt;"",+VLOOKUP(I198,Recursos!C:F,3,FALSE),"")</f>
        <v>HR</v>
      </c>
      <c r="L198" s="327">
        <f>IF(B198&lt;&gt;"",+VLOOKUP(I198,Recursos!C:F,4,FALSE),"")</f>
        <v>2743.02</v>
      </c>
      <c r="M198" s="331">
        <v>100</v>
      </c>
      <c r="N198" s="331">
        <v>1</v>
      </c>
      <c r="O198" s="332">
        <f t="shared" si="86"/>
        <v>0.01</v>
      </c>
      <c r="P198" s="333">
        <f t="shared" si="71"/>
        <v>27.430199999999999</v>
      </c>
      <c r="Q198" s="327">
        <f t="shared" si="72"/>
        <v>0</v>
      </c>
      <c r="R198" s="334">
        <f t="shared" si="73"/>
        <v>0</v>
      </c>
      <c r="S198" s="358">
        <f t="shared" si="61"/>
        <v>17.901596799157836</v>
      </c>
      <c r="T198" s="358">
        <f t="shared" si="62"/>
        <v>68.723461200000003</v>
      </c>
      <c r="U198" s="359">
        <f t="shared" si="63"/>
        <v>0.15</v>
      </c>
      <c r="V198" s="359">
        <f t="shared" si="64"/>
        <v>0</v>
      </c>
      <c r="W198" s="359">
        <f t="shared" si="65"/>
        <v>0</v>
      </c>
      <c r="X198" s="359">
        <f t="shared" si="66"/>
        <v>0</v>
      </c>
      <c r="Y198" s="320"/>
      <c r="Z198" s="321" t="str">
        <f t="shared" si="74"/>
        <v>X-ESCARPEA</v>
      </c>
      <c r="AA198" s="321" t="str">
        <f t="shared" si="75"/>
        <v>X-ESCARPEE</v>
      </c>
      <c r="AB198" s="321" t="str">
        <f t="shared" si="76"/>
        <v>X-ESCARPEM</v>
      </c>
      <c r="AC198" s="321" t="str">
        <f t="shared" si="77"/>
        <v>X-ESCARPET</v>
      </c>
      <c r="AD198" s="321" t="str">
        <f t="shared" si="78"/>
        <v>X-ESCARPES</v>
      </c>
      <c r="AE198" s="321" t="str">
        <f t="shared" si="79"/>
        <v>X-ESCARPEX</v>
      </c>
      <c r="AF198" s="321" t="str">
        <f t="shared" si="80"/>
        <v>X-ESCARPEE</v>
      </c>
      <c r="AG198" s="321">
        <f t="shared" si="67"/>
        <v>8</v>
      </c>
      <c r="AH198" s="321">
        <f>IF(B198&lt;&gt;"",IF(H198="x",VLOOKUP(I198,'AUX-NIV3'!B:AG,32,FALSE),0),"")</f>
        <v>0</v>
      </c>
      <c r="AI198" s="321" t="str">
        <f t="shared" si="81"/>
        <v>X-ESCARPE</v>
      </c>
      <c r="AJ198" s="320"/>
      <c r="AK198" s="322">
        <f t="shared" si="68"/>
        <v>192</v>
      </c>
      <c r="AL198" s="323">
        <f t="shared" si="82"/>
        <v>199</v>
      </c>
      <c r="AM198" s="322">
        <f t="shared" si="83"/>
        <v>7</v>
      </c>
      <c r="AN198" s="380">
        <f>IF(AND(AH198&gt;0,B198&lt;&gt;""),VLOOKUP(I198,'AUX-NIV3'!$B:$AO,39,FALSE)*O198,0)</f>
        <v>0</v>
      </c>
      <c r="AO198" s="380">
        <f t="shared" si="69"/>
        <v>3.3599999999999998E-2</v>
      </c>
      <c r="AP198" s="380"/>
    </row>
    <row r="199" spans="2:42" ht="14.4" hidden="1" thickTop="1" thickBot="1">
      <c r="B199" s="324" t="s">
        <v>1276</v>
      </c>
      <c r="C199" s="325" t="s">
        <v>27</v>
      </c>
      <c r="D199" s="326" t="s">
        <v>501</v>
      </c>
      <c r="E199" s="327">
        <f>IF(B199&lt;&gt;"",SUMIF('AUX-NIV1'!I:I,'AUX-NIV2'!B199,'AUX-NIV1'!Q:Q),"")</f>
        <v>0</v>
      </c>
      <c r="F199" s="327">
        <f t="shared" ref="F199:F262" si="87">IF(B199&lt;&gt;"",+SUMIF(B:B,B199,P:P),"")</f>
        <v>86.775057999157838</v>
      </c>
      <c r="G199" s="327">
        <f t="shared" ref="G199:G262" si="88">IF(B199&lt;&gt;"",+SUMIF(B:B,B199,R:R),"")</f>
        <v>0</v>
      </c>
      <c r="H199" s="328" t="str">
        <f t="shared" si="70"/>
        <v>M</v>
      </c>
      <c r="I199" s="325" t="s">
        <v>621</v>
      </c>
      <c r="J199" s="329" t="str">
        <f>IF(B199&lt;&gt;"",+VLOOKUP(I199,Recursos!C:F,2,FALSE),"")</f>
        <v>MATERIALES VARIOS</v>
      </c>
      <c r="K199" s="330" t="str">
        <f>IF(B199&lt;&gt;"",+VLOOKUP(I199,Recursos!C:F,3,FALSE),"")</f>
        <v>GL</v>
      </c>
      <c r="L199" s="327">
        <f>IF(B199&lt;&gt;"",+VLOOKUP(I199,Recursos!C:F,4,FALSE),"")</f>
        <v>0.5</v>
      </c>
      <c r="M199" s="331">
        <v>0.3</v>
      </c>
      <c r="N199" s="331">
        <v>1</v>
      </c>
      <c r="O199" s="332">
        <f>+M199*N199</f>
        <v>0.3</v>
      </c>
      <c r="P199" s="333">
        <f t="shared" si="71"/>
        <v>0.15</v>
      </c>
      <c r="Q199" s="327">
        <f t="shared" si="72"/>
        <v>0</v>
      </c>
      <c r="R199" s="334">
        <f t="shared" si="73"/>
        <v>0</v>
      </c>
      <c r="S199" s="358">
        <f t="shared" ref="S199:S262" si="89">IF(B199&lt;&gt;"",+SUMIF($AF:$AF,Z199,$P:$P),"")</f>
        <v>17.901596799157836</v>
      </c>
      <c r="T199" s="358">
        <f t="shared" ref="T199:T262" si="90">IF(B199&lt;&gt;"",+SUMIF($AF:$AF,AA199,$P:$P),"")</f>
        <v>68.723461200000003</v>
      </c>
      <c r="U199" s="359">
        <f t="shared" ref="U199:U262" si="91">IF(B199&lt;&gt;"",+SUMIF($AF:$AF,AB199,$P:$P),"")</f>
        <v>0.15</v>
      </c>
      <c r="V199" s="359">
        <f t="shared" ref="V199:V262" si="92">IF(B199&lt;&gt;"",+SUMIF($AF:$AF,AC199,$P:$P),"")</f>
        <v>0</v>
      </c>
      <c r="W199" s="359">
        <f t="shared" ref="W199:W262" si="93">IF(B199&lt;&gt;"",+SUMIF($AF:$AF,AD199,$P:$P),"")</f>
        <v>0</v>
      </c>
      <c r="X199" s="359">
        <f t="shared" ref="X199:X262" si="94">IF(B199&lt;&gt;"",+SUMIF($AF:$AF,AE199,$P:$P),"")</f>
        <v>0</v>
      </c>
      <c r="Y199" s="320"/>
      <c r="Z199" s="321" t="str">
        <f t="shared" si="74"/>
        <v>X-ESCARPEA</v>
      </c>
      <c r="AA199" s="321" t="str">
        <f t="shared" si="75"/>
        <v>X-ESCARPEE</v>
      </c>
      <c r="AB199" s="321" t="str">
        <f t="shared" si="76"/>
        <v>X-ESCARPEM</v>
      </c>
      <c r="AC199" s="321" t="str">
        <f t="shared" si="77"/>
        <v>X-ESCARPET</v>
      </c>
      <c r="AD199" s="321" t="str">
        <f t="shared" si="78"/>
        <v>X-ESCARPES</v>
      </c>
      <c r="AE199" s="321" t="str">
        <f t="shared" si="79"/>
        <v>X-ESCARPEX</v>
      </c>
      <c r="AF199" s="321" t="str">
        <f t="shared" si="80"/>
        <v>X-ESCARPEM</v>
      </c>
      <c r="AG199" s="321">
        <f t="shared" ref="AG199:AG262" si="95">IF(B199&lt;&gt;"",+COUNTIF(B:B,B199),"")</f>
        <v>8</v>
      </c>
      <c r="AH199" s="321">
        <f>IF(B199&lt;&gt;"",IF(H199="x",VLOOKUP(I199,'AUX-NIV3'!B:AG,32,FALSE),0),"")</f>
        <v>0</v>
      </c>
      <c r="AI199" s="321" t="str">
        <f t="shared" si="81"/>
        <v>X-ESCARPE</v>
      </c>
      <c r="AJ199" s="320"/>
      <c r="AK199" s="322">
        <f t="shared" ref="AK199:AK262" si="96">IF(B199&lt;&gt;"",+MATCH(B199,B:B,0),"")</f>
        <v>192</v>
      </c>
      <c r="AL199" s="323">
        <f t="shared" si="82"/>
        <v>199</v>
      </c>
      <c r="AM199" s="322">
        <f t="shared" si="83"/>
        <v>8</v>
      </c>
      <c r="AN199" s="380">
        <f>IF(AND(AH199&gt;0,B199&lt;&gt;""),VLOOKUP(I199,'AUX-NIV3'!$B:$AO,39,FALSE)*O199,0)</f>
        <v>0</v>
      </c>
      <c r="AO199" s="380">
        <f t="shared" ref="AO199:AO262" si="97">+IF(B199&lt;&gt;"",SUMIF(AF:AF,Z199,O:O)+SUMIF(Z:Z,Z199,AN:AN),0)</f>
        <v>3.3599999999999998E-2</v>
      </c>
      <c r="AP199" s="380"/>
    </row>
    <row r="200" spans="2:42" ht="14.4" hidden="1" thickTop="1" thickBot="1">
      <c r="B200" s="501" t="s">
        <v>1277</v>
      </c>
      <c r="C200" s="951" t="s">
        <v>28</v>
      </c>
      <c r="D200" s="326" t="s">
        <v>1160</v>
      </c>
      <c r="E200" s="327">
        <f>IF(B200&lt;&gt;"",SUMIF('AUX-NIV1'!I:I,'AUX-NIV2'!B200,'AUX-NIV1'!Q:Q),"")</f>
        <v>0</v>
      </c>
      <c r="F200" s="327">
        <f t="shared" si="87"/>
        <v>126.4460542641684</v>
      </c>
      <c r="G200" s="327">
        <f t="shared" si="88"/>
        <v>0</v>
      </c>
      <c r="H200" s="328" t="str">
        <f t="shared" ref="H200:H264" si="98">IF(B200&lt;&gt;"",+LEFT(I200,1),"")</f>
        <v>A</v>
      </c>
      <c r="I200" s="325" t="s">
        <v>1745</v>
      </c>
      <c r="J200" s="329" t="str">
        <f>IF(B200&lt;&gt;"",+VLOOKUP(I200,Recursos!C:F,2,FALSE),"")</f>
        <v>AYUDANTE</v>
      </c>
      <c r="K200" s="330" t="str">
        <f>IF(B200&lt;&gt;"",+VLOOKUP(I200,Recursos!C:F,3,FALSE),"")</f>
        <v>hh</v>
      </c>
      <c r="L200" s="327">
        <f>IF(B200&lt;&gt;"",+VLOOKUP(I200,Recursos!C:F,4,FALSE),"")</f>
        <v>422.48042769667234</v>
      </c>
      <c r="M200" s="331"/>
      <c r="N200" s="331">
        <v>1.25</v>
      </c>
      <c r="O200" s="332">
        <f>N200/M203</f>
        <v>2.5000000000000001E-2</v>
      </c>
      <c r="P200" s="333">
        <f t="shared" ref="P200:P264" si="99">IF(B200&lt;&gt;"",O200*L200,"")</f>
        <v>10.562010692416809</v>
      </c>
      <c r="Q200" s="327">
        <f t="shared" ref="Q200:Q264" si="100">IF(B200&lt;&gt;"",+O200*E200,"")</f>
        <v>0</v>
      </c>
      <c r="R200" s="334">
        <f t="shared" ref="R200:R264" si="101">IF(B200&lt;&gt;"",Q200*L200,"")</f>
        <v>0</v>
      </c>
      <c r="S200" s="358">
        <f t="shared" si="89"/>
        <v>39.615070930835088</v>
      </c>
      <c r="T200" s="358">
        <f t="shared" si="90"/>
        <v>86.830983333333322</v>
      </c>
      <c r="U200" s="359">
        <f t="shared" si="91"/>
        <v>0</v>
      </c>
      <c r="V200" s="359">
        <f t="shared" si="92"/>
        <v>0</v>
      </c>
      <c r="W200" s="359">
        <f t="shared" si="93"/>
        <v>0</v>
      </c>
      <c r="X200" s="359">
        <f t="shared" si="94"/>
        <v>0</v>
      </c>
      <c r="Y200" s="320"/>
      <c r="Z200" s="321" t="str">
        <f t="shared" ref="Z200:Z263" si="102">IF(B200&lt;&gt;"",+$B200&amp;"A","")</f>
        <v>X-DISTYCOMPA</v>
      </c>
      <c r="AA200" s="321" t="str">
        <f t="shared" ref="AA200:AA263" si="103">IF(B200&lt;&gt;"",+$B200&amp;"E","")</f>
        <v>X-DISTYCOMPE</v>
      </c>
      <c r="AB200" s="321" t="str">
        <f t="shared" ref="AB200:AB263" si="104">IF(B200&lt;&gt;"",++$B200&amp;"M","")</f>
        <v>X-DISTYCOMPM</v>
      </c>
      <c r="AC200" s="321" t="str">
        <f t="shared" ref="AC200:AC263" si="105">IF(B200&lt;&gt;"",+$B200&amp;"T","")</f>
        <v>X-DISTYCOMPT</v>
      </c>
      <c r="AD200" s="321" t="str">
        <f t="shared" ref="AD200:AD263" si="106">IF(B200&lt;&gt;"",+$B200&amp;"S","")</f>
        <v>X-DISTYCOMPS</v>
      </c>
      <c r="AE200" s="321" t="str">
        <f t="shared" ref="AE200:AE263" si="107">IF(B200&lt;&gt;"",+$B200&amp;"X","")</f>
        <v>X-DISTYCOMPX</v>
      </c>
      <c r="AF200" s="321" t="str">
        <f t="shared" ref="AF200:AF263" si="108">IF(B200&lt;&gt;"",+B200&amp;H200,"")</f>
        <v>X-DISTYCOMPA</v>
      </c>
      <c r="AG200" s="321">
        <f t="shared" si="95"/>
        <v>6</v>
      </c>
      <c r="AH200" s="321">
        <f>IF(B200&lt;&gt;"",IF(H200="x",VLOOKUP(I200,'AUX-NIV3'!B:AG,32,FALSE),0),"")</f>
        <v>0</v>
      </c>
      <c r="AI200" s="321" t="str">
        <f t="shared" ref="AI200:AI263" si="109">IF(B200&lt;&gt;"",+B200,"")</f>
        <v>X-DISTYCOMP</v>
      </c>
      <c r="AJ200" s="320"/>
      <c r="AK200" s="322">
        <f t="shared" si="96"/>
        <v>200</v>
      </c>
      <c r="AL200" s="323">
        <f t="shared" ref="AL200:AL263" si="110">IF(B200&lt;&gt;"",+AK200+AG200-1,"")</f>
        <v>205</v>
      </c>
      <c r="AM200" s="322">
        <f t="shared" ref="AM200:AM263" si="111">IF(B200&lt;&gt;"",IF(B200=B199,1+AM199,1),"")</f>
        <v>1</v>
      </c>
      <c r="AN200" s="380">
        <f>IF(AND(AH200&gt;0,B200&lt;&gt;""),VLOOKUP(I200,'AUX-NIV3'!$B:$AO,39,FALSE)*O200,0)</f>
        <v>0</v>
      </c>
      <c r="AO200" s="380">
        <f t="shared" si="97"/>
        <v>7.5000000000000011E-2</v>
      </c>
      <c r="AP200" s="380"/>
    </row>
    <row r="201" spans="2:42" ht="14.4" hidden="1" thickTop="1" thickBot="1">
      <c r="B201" s="501" t="s">
        <v>1277</v>
      </c>
      <c r="C201" s="951" t="s">
        <v>28</v>
      </c>
      <c r="D201" s="326" t="s">
        <v>1160</v>
      </c>
      <c r="E201" s="327">
        <f>IF(B201&lt;&gt;"",SUMIF('AUX-NIV1'!I:I,'AUX-NIV2'!B201,'AUX-NIV1'!Q:Q),"")</f>
        <v>0</v>
      </c>
      <c r="F201" s="327">
        <f t="shared" si="87"/>
        <v>126.4460542641684</v>
      </c>
      <c r="G201" s="327">
        <f t="shared" si="88"/>
        <v>0</v>
      </c>
      <c r="H201" s="328" t="str">
        <f t="shared" si="98"/>
        <v>A</v>
      </c>
      <c r="I201" s="325" t="s">
        <v>3310</v>
      </c>
      <c r="J201" s="329" t="str">
        <f>IF(B201&lt;&gt;"",+VLOOKUP(I201,Recursos!C:F,2,FALSE),"")</f>
        <v>OFICIAL ESPECIALIZADO</v>
      </c>
      <c r="K201" s="330" t="str">
        <f>IF(B201&lt;&gt;"",+VLOOKUP(I201,Recursos!C:F,3,FALSE),"")</f>
        <v>hh</v>
      </c>
      <c r="L201" s="327">
        <f>IF(B201&lt;&gt;"",+VLOOKUP(I201,Recursos!C:F,4,FALSE),"")</f>
        <v>581.06120476836554</v>
      </c>
      <c r="M201" s="331"/>
      <c r="N201" s="331"/>
      <c r="O201" s="332">
        <f>N200/M203</f>
        <v>2.5000000000000001E-2</v>
      </c>
      <c r="P201" s="333">
        <f t="shared" si="99"/>
        <v>14.52653011920914</v>
      </c>
      <c r="Q201" s="327">
        <f t="shared" si="100"/>
        <v>0</v>
      </c>
      <c r="R201" s="334">
        <f t="shared" si="101"/>
        <v>0</v>
      </c>
      <c r="S201" s="358">
        <f t="shared" si="89"/>
        <v>39.615070930835088</v>
      </c>
      <c r="T201" s="358">
        <f t="shared" si="90"/>
        <v>86.830983333333322</v>
      </c>
      <c r="U201" s="359">
        <f t="shared" si="91"/>
        <v>0</v>
      </c>
      <c r="V201" s="359">
        <f t="shared" si="92"/>
        <v>0</v>
      </c>
      <c r="W201" s="359">
        <f t="shared" si="93"/>
        <v>0</v>
      </c>
      <c r="X201" s="359">
        <f t="shared" si="94"/>
        <v>0</v>
      </c>
      <c r="Y201" s="320"/>
      <c r="Z201" s="321" t="str">
        <f t="shared" si="102"/>
        <v>X-DISTYCOMPA</v>
      </c>
      <c r="AA201" s="321" t="str">
        <f t="shared" si="103"/>
        <v>X-DISTYCOMPE</v>
      </c>
      <c r="AB201" s="321" t="str">
        <f t="shared" si="104"/>
        <v>X-DISTYCOMPM</v>
      </c>
      <c r="AC201" s="321" t="str">
        <f t="shared" si="105"/>
        <v>X-DISTYCOMPT</v>
      </c>
      <c r="AD201" s="321" t="str">
        <f t="shared" si="106"/>
        <v>X-DISTYCOMPS</v>
      </c>
      <c r="AE201" s="321" t="str">
        <f t="shared" si="107"/>
        <v>X-DISTYCOMPX</v>
      </c>
      <c r="AF201" s="321" t="str">
        <f t="shared" si="108"/>
        <v>X-DISTYCOMPA</v>
      </c>
      <c r="AG201" s="321">
        <f t="shared" si="95"/>
        <v>6</v>
      </c>
      <c r="AH201" s="321">
        <f>IF(B201&lt;&gt;"",IF(H201="x",VLOOKUP(I201,'AUX-NIV3'!B:AG,32,FALSE),0),"")</f>
        <v>0</v>
      </c>
      <c r="AI201" s="321" t="str">
        <f t="shared" si="109"/>
        <v>X-DISTYCOMP</v>
      </c>
      <c r="AJ201" s="320"/>
      <c r="AK201" s="322">
        <f t="shared" si="96"/>
        <v>200</v>
      </c>
      <c r="AL201" s="323">
        <f t="shared" si="110"/>
        <v>205</v>
      </c>
      <c r="AM201" s="322">
        <f t="shared" si="111"/>
        <v>2</v>
      </c>
      <c r="AN201" s="380">
        <f>IF(AND(AH201&gt;0,B201&lt;&gt;""),VLOOKUP(I201,'AUX-NIV3'!$B:$AO,39,FALSE)*O201,0)</f>
        <v>0</v>
      </c>
      <c r="AO201" s="380">
        <f t="shared" si="97"/>
        <v>7.5000000000000011E-2</v>
      </c>
      <c r="AP201" s="380"/>
    </row>
    <row r="202" spans="2:42" ht="14.4" hidden="1" thickTop="1" thickBot="1">
      <c r="B202" s="501" t="s">
        <v>1277</v>
      </c>
      <c r="C202" s="951" t="s">
        <v>28</v>
      </c>
      <c r="D202" s="326" t="s">
        <v>1160</v>
      </c>
      <c r="E202" s="327">
        <f>IF(B202&lt;&gt;"",SUMIF('AUX-NIV1'!I:I,'AUX-NIV2'!B202,'AUX-NIV1'!Q:Q),"")</f>
        <v>0</v>
      </c>
      <c r="F202" s="327">
        <f t="shared" si="87"/>
        <v>126.4460542641684</v>
      </c>
      <c r="G202" s="327">
        <f t="shared" si="88"/>
        <v>0</v>
      </c>
      <c r="H202" s="328" t="str">
        <f t="shared" si="98"/>
        <v>A</v>
      </c>
      <c r="I202" s="325" t="s">
        <v>3310</v>
      </c>
      <c r="J202" s="329" t="str">
        <f>IF(B202&lt;&gt;"",+VLOOKUP(I202,Recursos!C:F,2,FALSE),"")</f>
        <v>OFICIAL ESPECIALIZADO</v>
      </c>
      <c r="K202" s="330" t="str">
        <f>IF(B202&lt;&gt;"",+VLOOKUP(I202,Recursos!C:F,3,FALSE),"")</f>
        <v>hh</v>
      </c>
      <c r="L202" s="327">
        <f>IF(B202&lt;&gt;"",+VLOOKUP(I202,Recursos!C:F,4,FALSE),"")</f>
        <v>581.06120476836554</v>
      </c>
      <c r="M202" s="331"/>
      <c r="N202" s="331"/>
      <c r="O202" s="332">
        <f>N200/M203</f>
        <v>2.5000000000000001E-2</v>
      </c>
      <c r="P202" s="333">
        <f t="shared" si="99"/>
        <v>14.52653011920914</v>
      </c>
      <c r="Q202" s="327">
        <f t="shared" si="100"/>
        <v>0</v>
      </c>
      <c r="R202" s="334">
        <f t="shared" si="101"/>
        <v>0</v>
      </c>
      <c r="S202" s="358">
        <f t="shared" si="89"/>
        <v>39.615070930835088</v>
      </c>
      <c r="T202" s="358">
        <f t="shared" si="90"/>
        <v>86.830983333333322</v>
      </c>
      <c r="U202" s="359">
        <f t="shared" si="91"/>
        <v>0</v>
      </c>
      <c r="V202" s="359">
        <f t="shared" si="92"/>
        <v>0</v>
      </c>
      <c r="W202" s="359">
        <f t="shared" si="93"/>
        <v>0</v>
      </c>
      <c r="X202" s="359">
        <f t="shared" si="94"/>
        <v>0</v>
      </c>
      <c r="Y202" s="320"/>
      <c r="Z202" s="321" t="str">
        <f t="shared" si="102"/>
        <v>X-DISTYCOMPA</v>
      </c>
      <c r="AA202" s="321" t="str">
        <f t="shared" si="103"/>
        <v>X-DISTYCOMPE</v>
      </c>
      <c r="AB202" s="321" t="str">
        <f t="shared" si="104"/>
        <v>X-DISTYCOMPM</v>
      </c>
      <c r="AC202" s="321" t="str">
        <f t="shared" si="105"/>
        <v>X-DISTYCOMPT</v>
      </c>
      <c r="AD202" s="321" t="str">
        <f t="shared" si="106"/>
        <v>X-DISTYCOMPS</v>
      </c>
      <c r="AE202" s="321" t="str">
        <f t="shared" si="107"/>
        <v>X-DISTYCOMPX</v>
      </c>
      <c r="AF202" s="321" t="str">
        <f t="shared" si="108"/>
        <v>X-DISTYCOMPA</v>
      </c>
      <c r="AG202" s="321">
        <f t="shared" si="95"/>
        <v>6</v>
      </c>
      <c r="AH202" s="321">
        <f>IF(B202&lt;&gt;"",IF(H202="x",VLOOKUP(I202,'AUX-NIV3'!B:AG,32,FALSE),0),"")</f>
        <v>0</v>
      </c>
      <c r="AI202" s="321" t="str">
        <f t="shared" si="109"/>
        <v>X-DISTYCOMP</v>
      </c>
      <c r="AJ202" s="320"/>
      <c r="AK202" s="322">
        <f t="shared" si="96"/>
        <v>200</v>
      </c>
      <c r="AL202" s="323">
        <f t="shared" si="110"/>
        <v>205</v>
      </c>
      <c r="AM202" s="322">
        <f t="shared" si="111"/>
        <v>3</v>
      </c>
      <c r="AN202" s="380">
        <f>IF(AND(AH202&gt;0,B202&lt;&gt;""),VLOOKUP(I202,'AUX-NIV3'!$B:$AO,39,FALSE)*O202,0)</f>
        <v>0</v>
      </c>
      <c r="AO202" s="380">
        <f t="shared" si="97"/>
        <v>7.5000000000000011E-2</v>
      </c>
      <c r="AP202" s="380"/>
    </row>
    <row r="203" spans="2:42" ht="14.4" hidden="1" thickTop="1" thickBot="1">
      <c r="B203" s="501" t="s">
        <v>1277</v>
      </c>
      <c r="C203" s="951" t="s">
        <v>28</v>
      </c>
      <c r="D203" s="326" t="s">
        <v>1160</v>
      </c>
      <c r="E203" s="327">
        <f>IF(B203&lt;&gt;"",SUMIF('AUX-NIV1'!I:I,'AUX-NIV2'!B203,'AUX-NIV1'!Q:Q),"")</f>
        <v>0</v>
      </c>
      <c r="F203" s="327">
        <f t="shared" si="87"/>
        <v>126.4460542641684</v>
      </c>
      <c r="G203" s="327">
        <f t="shared" si="88"/>
        <v>0</v>
      </c>
      <c r="H203" s="328" t="str">
        <f t="shared" si="98"/>
        <v>E</v>
      </c>
      <c r="I203" s="325" t="s">
        <v>1541</v>
      </c>
      <c r="J203" s="329" t="str">
        <f>IF(B203&lt;&gt;"",+VLOOKUP(I203,Recursos!C:F,2,FALSE),"")</f>
        <v>CARGADOR FRONTAL S/NEUM. (1,60 M3)</v>
      </c>
      <c r="K203" s="330" t="str">
        <f>IF(B203&lt;&gt;"",+VLOOKUP(I203,Recursos!C:F,3,FALSE),"")</f>
        <v>HR</v>
      </c>
      <c r="L203" s="327">
        <f>IF(B203&lt;&gt;"",+VLOOKUP(I203,Recursos!C:F,4,FALSE),"")</f>
        <v>2143.5611666666664</v>
      </c>
      <c r="M203" s="331">
        <v>50</v>
      </c>
      <c r="N203" s="331"/>
      <c r="O203" s="332">
        <f>1/M203</f>
        <v>0.02</v>
      </c>
      <c r="P203" s="333">
        <f t="shared" si="99"/>
        <v>42.871223333333326</v>
      </c>
      <c r="Q203" s="327">
        <f t="shared" si="100"/>
        <v>0</v>
      </c>
      <c r="R203" s="334">
        <f t="shared" si="101"/>
        <v>0</v>
      </c>
      <c r="S203" s="358">
        <f t="shared" si="89"/>
        <v>39.615070930835088</v>
      </c>
      <c r="T203" s="358">
        <f t="shared" si="90"/>
        <v>86.830983333333322</v>
      </c>
      <c r="U203" s="359">
        <f t="shared" si="91"/>
        <v>0</v>
      </c>
      <c r="V203" s="359">
        <f t="shared" si="92"/>
        <v>0</v>
      </c>
      <c r="W203" s="359">
        <f t="shared" si="93"/>
        <v>0</v>
      </c>
      <c r="X203" s="359">
        <f t="shared" si="94"/>
        <v>0</v>
      </c>
      <c r="Y203" s="320"/>
      <c r="Z203" s="321" t="str">
        <f t="shared" si="102"/>
        <v>X-DISTYCOMPA</v>
      </c>
      <c r="AA203" s="321" t="str">
        <f t="shared" si="103"/>
        <v>X-DISTYCOMPE</v>
      </c>
      <c r="AB203" s="321" t="str">
        <f t="shared" si="104"/>
        <v>X-DISTYCOMPM</v>
      </c>
      <c r="AC203" s="321" t="str">
        <f t="shared" si="105"/>
        <v>X-DISTYCOMPT</v>
      </c>
      <c r="AD203" s="321" t="str">
        <f t="shared" si="106"/>
        <v>X-DISTYCOMPS</v>
      </c>
      <c r="AE203" s="321" t="str">
        <f t="shared" si="107"/>
        <v>X-DISTYCOMPX</v>
      </c>
      <c r="AF203" s="321" t="str">
        <f t="shared" si="108"/>
        <v>X-DISTYCOMPE</v>
      </c>
      <c r="AG203" s="321">
        <f t="shared" si="95"/>
        <v>6</v>
      </c>
      <c r="AH203" s="321">
        <f>IF(B203&lt;&gt;"",IF(H203="x",VLOOKUP(I203,'AUX-NIV3'!B:AG,32,FALSE),0),"")</f>
        <v>0</v>
      </c>
      <c r="AI203" s="321" t="str">
        <f t="shared" si="109"/>
        <v>X-DISTYCOMP</v>
      </c>
      <c r="AJ203" s="320"/>
      <c r="AK203" s="322">
        <f t="shared" si="96"/>
        <v>200</v>
      </c>
      <c r="AL203" s="323">
        <f t="shared" si="110"/>
        <v>205</v>
      </c>
      <c r="AM203" s="322">
        <f t="shared" si="111"/>
        <v>4</v>
      </c>
      <c r="AN203" s="380">
        <f>IF(AND(AH203&gt;0,B203&lt;&gt;""),VLOOKUP(I203,'AUX-NIV3'!$B:$AO,39,FALSE)*O203,0)</f>
        <v>0</v>
      </c>
      <c r="AO203" s="380">
        <f t="shared" si="97"/>
        <v>7.5000000000000011E-2</v>
      </c>
      <c r="AP203" s="380"/>
    </row>
    <row r="204" spans="2:42" ht="14.4" hidden="1" thickTop="1" thickBot="1">
      <c r="B204" s="501" t="s">
        <v>1277</v>
      </c>
      <c r="C204" s="951" t="s">
        <v>28</v>
      </c>
      <c r="D204" s="326" t="s">
        <v>1160</v>
      </c>
      <c r="E204" s="327">
        <f>IF(B204&lt;&gt;"",SUMIF('AUX-NIV1'!I:I,'AUX-NIV2'!B204,'AUX-NIV1'!Q:Q),"")</f>
        <v>0</v>
      </c>
      <c r="F204" s="327">
        <f t="shared" si="87"/>
        <v>126.4460542641684</v>
      </c>
      <c r="G204" s="327">
        <f t="shared" si="88"/>
        <v>0</v>
      </c>
      <c r="H204" s="328" t="str">
        <f t="shared" si="98"/>
        <v>E</v>
      </c>
      <c r="I204" s="325" t="s">
        <v>1567</v>
      </c>
      <c r="J204" s="329" t="str">
        <f>IF(B204&lt;&gt;"",+VLOOKUP(I204,Recursos!C:F,2,FALSE),"")</f>
        <v>COMPACT.LISO VIBR.AUTOPROP.(11 T)</v>
      </c>
      <c r="K204" s="330" t="str">
        <f>IF(B204&lt;&gt;"",+VLOOKUP(I204,Recursos!C:F,3,FALSE),"")</f>
        <v>HR</v>
      </c>
      <c r="L204" s="327">
        <f>IF(B204&lt;&gt;"",+VLOOKUP(I204,Recursos!C:F,4,FALSE),"")</f>
        <v>2197.9879999999998</v>
      </c>
      <c r="M204" s="331"/>
      <c r="N204" s="331"/>
      <c r="O204" s="332">
        <f>1/M203</f>
        <v>0.02</v>
      </c>
      <c r="P204" s="333">
        <f t="shared" si="99"/>
        <v>43.959759999999996</v>
      </c>
      <c r="Q204" s="327">
        <f t="shared" si="100"/>
        <v>0</v>
      </c>
      <c r="R204" s="334">
        <f t="shared" si="101"/>
        <v>0</v>
      </c>
      <c r="S204" s="358">
        <f t="shared" si="89"/>
        <v>39.615070930835088</v>
      </c>
      <c r="T204" s="358">
        <f t="shared" si="90"/>
        <v>86.830983333333322</v>
      </c>
      <c r="U204" s="359">
        <f t="shared" si="91"/>
        <v>0</v>
      </c>
      <c r="V204" s="359">
        <f t="shared" si="92"/>
        <v>0</v>
      </c>
      <c r="W204" s="359">
        <f t="shared" si="93"/>
        <v>0</v>
      </c>
      <c r="X204" s="359">
        <f t="shared" si="94"/>
        <v>0</v>
      </c>
      <c r="Y204" s="320"/>
      <c r="Z204" s="321" t="str">
        <f t="shared" si="102"/>
        <v>X-DISTYCOMPA</v>
      </c>
      <c r="AA204" s="321" t="str">
        <f t="shared" si="103"/>
        <v>X-DISTYCOMPE</v>
      </c>
      <c r="AB204" s="321" t="str">
        <f t="shared" si="104"/>
        <v>X-DISTYCOMPM</v>
      </c>
      <c r="AC204" s="321" t="str">
        <f t="shared" si="105"/>
        <v>X-DISTYCOMPT</v>
      </c>
      <c r="AD204" s="321" t="str">
        <f t="shared" si="106"/>
        <v>X-DISTYCOMPS</v>
      </c>
      <c r="AE204" s="321" t="str">
        <f t="shared" si="107"/>
        <v>X-DISTYCOMPX</v>
      </c>
      <c r="AF204" s="321" t="str">
        <f t="shared" si="108"/>
        <v>X-DISTYCOMPE</v>
      </c>
      <c r="AG204" s="321">
        <f t="shared" si="95"/>
        <v>6</v>
      </c>
      <c r="AH204" s="321">
        <f>IF(B204&lt;&gt;"",IF(H204="x",VLOOKUP(I204,'AUX-NIV3'!B:AG,32,FALSE),0),"")</f>
        <v>0</v>
      </c>
      <c r="AI204" s="321" t="str">
        <f t="shared" si="109"/>
        <v>X-DISTYCOMP</v>
      </c>
      <c r="AJ204" s="320"/>
      <c r="AK204" s="322">
        <f t="shared" si="96"/>
        <v>200</v>
      </c>
      <c r="AL204" s="323">
        <f t="shared" si="110"/>
        <v>205</v>
      </c>
      <c r="AM204" s="322">
        <f t="shared" si="111"/>
        <v>5</v>
      </c>
      <c r="AN204" s="380">
        <f>IF(AND(AH204&gt;0,B204&lt;&gt;""),VLOOKUP(I204,'AUX-NIV3'!$B:$AO,39,FALSE)*O204,0)</f>
        <v>0</v>
      </c>
      <c r="AO204" s="380">
        <f t="shared" si="97"/>
        <v>7.5000000000000011E-2</v>
      </c>
      <c r="AP204" s="380"/>
    </row>
    <row r="205" spans="2:42" ht="14.4" hidden="1" thickTop="1" thickBot="1">
      <c r="B205" s="501" t="s">
        <v>1277</v>
      </c>
      <c r="C205" s="951" t="s">
        <v>28</v>
      </c>
      <c r="D205" s="326" t="s">
        <v>1160</v>
      </c>
      <c r="E205" s="327">
        <f>IF(B205&lt;&gt;"",SUMIF('AUX-NIV1'!I:I,'AUX-NIV2'!B205,'AUX-NIV1'!Q:Q),"")</f>
        <v>0</v>
      </c>
      <c r="F205" s="327">
        <f t="shared" si="87"/>
        <v>126.4460542641684</v>
      </c>
      <c r="G205" s="327">
        <f t="shared" si="88"/>
        <v>0</v>
      </c>
      <c r="H205" s="328" t="str">
        <f t="shared" si="98"/>
        <v>M</v>
      </c>
      <c r="I205" s="325" t="s">
        <v>621</v>
      </c>
      <c r="J205" s="329" t="str">
        <f>IF(B205&lt;&gt;"",+VLOOKUP(I205,Recursos!C:F,2,FALSE),"")</f>
        <v>MATERIALES VARIOS</v>
      </c>
      <c r="K205" s="330" t="str">
        <f>IF(B205&lt;&gt;"",+VLOOKUP(I205,Recursos!C:F,3,FALSE),"")</f>
        <v>GL</v>
      </c>
      <c r="L205" s="327">
        <f>IF(B205&lt;&gt;"",+VLOOKUP(I205,Recursos!C:F,4,FALSE),"")</f>
        <v>0.5</v>
      </c>
      <c r="M205" s="331">
        <v>0.3</v>
      </c>
      <c r="N205" s="331">
        <v>0</v>
      </c>
      <c r="O205" s="332">
        <f>N205*M205</f>
        <v>0</v>
      </c>
      <c r="P205" s="333">
        <f t="shared" si="99"/>
        <v>0</v>
      </c>
      <c r="Q205" s="327">
        <f t="shared" si="100"/>
        <v>0</v>
      </c>
      <c r="R205" s="334">
        <f t="shared" si="101"/>
        <v>0</v>
      </c>
      <c r="S205" s="358">
        <f t="shared" si="89"/>
        <v>39.615070930835088</v>
      </c>
      <c r="T205" s="358">
        <f t="shared" si="90"/>
        <v>86.830983333333322</v>
      </c>
      <c r="U205" s="359">
        <f t="shared" si="91"/>
        <v>0</v>
      </c>
      <c r="V205" s="359">
        <f t="shared" si="92"/>
        <v>0</v>
      </c>
      <c r="W205" s="359">
        <f t="shared" si="93"/>
        <v>0</v>
      </c>
      <c r="X205" s="359">
        <f t="shared" si="94"/>
        <v>0</v>
      </c>
      <c r="Y205" s="320"/>
      <c r="Z205" s="321" t="str">
        <f t="shared" si="102"/>
        <v>X-DISTYCOMPA</v>
      </c>
      <c r="AA205" s="321" t="str">
        <f t="shared" si="103"/>
        <v>X-DISTYCOMPE</v>
      </c>
      <c r="AB205" s="321" t="str">
        <f t="shared" si="104"/>
        <v>X-DISTYCOMPM</v>
      </c>
      <c r="AC205" s="321" t="str">
        <f t="shared" si="105"/>
        <v>X-DISTYCOMPT</v>
      </c>
      <c r="AD205" s="321" t="str">
        <f t="shared" si="106"/>
        <v>X-DISTYCOMPS</v>
      </c>
      <c r="AE205" s="321" t="str">
        <f t="shared" si="107"/>
        <v>X-DISTYCOMPX</v>
      </c>
      <c r="AF205" s="321" t="str">
        <f t="shared" si="108"/>
        <v>X-DISTYCOMPM</v>
      </c>
      <c r="AG205" s="321">
        <f t="shared" si="95"/>
        <v>6</v>
      </c>
      <c r="AH205" s="321">
        <f>IF(B205&lt;&gt;"",IF(H205="x",VLOOKUP(I205,'AUX-NIV3'!B:AG,32,FALSE),0),"")</f>
        <v>0</v>
      </c>
      <c r="AI205" s="321" t="str">
        <f t="shared" si="109"/>
        <v>X-DISTYCOMP</v>
      </c>
      <c r="AJ205" s="320"/>
      <c r="AK205" s="322">
        <f t="shared" si="96"/>
        <v>200</v>
      </c>
      <c r="AL205" s="323">
        <f t="shared" si="110"/>
        <v>205</v>
      </c>
      <c r="AM205" s="322">
        <f t="shared" si="111"/>
        <v>6</v>
      </c>
      <c r="AN205" s="380">
        <f>IF(AND(AH205&gt;0,B205&lt;&gt;""),VLOOKUP(I205,'AUX-NIV3'!$B:$AO,39,FALSE)*O205,0)</f>
        <v>0</v>
      </c>
      <c r="AO205" s="380">
        <f t="shared" si="97"/>
        <v>7.5000000000000011E-2</v>
      </c>
      <c r="AP205" s="380"/>
    </row>
    <row r="206" spans="2:42" ht="14.4" hidden="1" thickTop="1" thickBot="1">
      <c r="B206" s="324" t="s">
        <v>1278</v>
      </c>
      <c r="C206" s="325" t="s">
        <v>29</v>
      </c>
      <c r="D206" s="326" t="s">
        <v>501</v>
      </c>
      <c r="E206" s="327">
        <f>IF(B206&lt;&gt;"",SUMIF('AUX-NIV1'!I:I,'AUX-NIV2'!B206,'AUX-NIV1'!Q:Q),"")</f>
        <v>0</v>
      </c>
      <c r="F206" s="327">
        <f t="shared" si="87"/>
        <v>314.36775999384861</v>
      </c>
      <c r="G206" s="327">
        <f t="shared" si="88"/>
        <v>0</v>
      </c>
      <c r="H206" s="328" t="str">
        <f t="shared" si="98"/>
        <v>A</v>
      </c>
      <c r="I206" s="325" t="s">
        <v>1745</v>
      </c>
      <c r="J206" s="329" t="str">
        <f>IF(B206&lt;&gt;"",+VLOOKUP(I206,Recursos!C:F,2,FALSE),"")</f>
        <v>AYUDANTE</v>
      </c>
      <c r="K206" s="330" t="str">
        <f>IF(B206&lt;&gt;"",+VLOOKUP(I206,Recursos!C:F,3,FALSE),"")</f>
        <v>hh</v>
      </c>
      <c r="L206" s="327">
        <f>IF(B206&lt;&gt;"",+VLOOKUP(I206,Recursos!C:F,4,FALSE),"")</f>
        <v>422.48042769667234</v>
      </c>
      <c r="M206" s="331">
        <v>0.7</v>
      </c>
      <c r="N206" s="331">
        <v>0.7</v>
      </c>
      <c r="O206" s="332">
        <f>+M206*N206</f>
        <v>0.48999999999999994</v>
      </c>
      <c r="P206" s="333">
        <f t="shared" si="99"/>
        <v>207.01540957136942</v>
      </c>
      <c r="Q206" s="327">
        <f t="shared" si="100"/>
        <v>0</v>
      </c>
      <c r="R206" s="334">
        <f t="shared" si="101"/>
        <v>0</v>
      </c>
      <c r="S206" s="358">
        <f t="shared" si="89"/>
        <v>311.36775999384861</v>
      </c>
      <c r="T206" s="358">
        <f t="shared" si="90"/>
        <v>0</v>
      </c>
      <c r="U206" s="359">
        <f t="shared" si="91"/>
        <v>3</v>
      </c>
      <c r="V206" s="359">
        <f t="shared" si="92"/>
        <v>0</v>
      </c>
      <c r="W206" s="359">
        <f t="shared" si="93"/>
        <v>0</v>
      </c>
      <c r="X206" s="359">
        <f t="shared" si="94"/>
        <v>0</v>
      </c>
      <c r="Y206" s="320"/>
      <c r="Z206" s="321" t="str">
        <f t="shared" si="102"/>
        <v>X-COLOCAPINTA</v>
      </c>
      <c r="AA206" s="321" t="str">
        <f t="shared" si="103"/>
        <v>X-COLOCAPINTE</v>
      </c>
      <c r="AB206" s="321" t="str">
        <f t="shared" si="104"/>
        <v>X-COLOCAPINTM</v>
      </c>
      <c r="AC206" s="321" t="str">
        <f t="shared" si="105"/>
        <v>X-COLOCAPINTT</v>
      </c>
      <c r="AD206" s="321" t="str">
        <f t="shared" si="106"/>
        <v>X-COLOCAPINTS</v>
      </c>
      <c r="AE206" s="321" t="str">
        <f t="shared" si="107"/>
        <v>X-COLOCAPINTX</v>
      </c>
      <c r="AF206" s="321" t="str">
        <f t="shared" si="108"/>
        <v>X-COLOCAPINTA</v>
      </c>
      <c r="AG206" s="321">
        <f t="shared" si="95"/>
        <v>4</v>
      </c>
      <c r="AH206" s="321">
        <f>IF(B206&lt;&gt;"",IF(H206="x",VLOOKUP(I206,'AUX-NIV3'!B:AG,32,FALSE),0),"")</f>
        <v>0</v>
      </c>
      <c r="AI206" s="321" t="str">
        <f t="shared" si="109"/>
        <v>X-COLOCAPINT</v>
      </c>
      <c r="AJ206" s="320"/>
      <c r="AK206" s="322">
        <f t="shared" si="96"/>
        <v>206</v>
      </c>
      <c r="AL206" s="323">
        <f t="shared" si="110"/>
        <v>209</v>
      </c>
      <c r="AM206" s="322">
        <f t="shared" si="111"/>
        <v>1</v>
      </c>
      <c r="AN206" s="380">
        <f>IF(AND(AH206&gt;0,B206&lt;&gt;""),VLOOKUP(I206,'AUX-NIV3'!$B:$AO,39,FALSE)*O206,0)</f>
        <v>0</v>
      </c>
      <c r="AO206" s="380">
        <f t="shared" si="97"/>
        <v>0.7</v>
      </c>
      <c r="AP206" s="380"/>
    </row>
    <row r="207" spans="2:42" ht="14.4" hidden="1" thickTop="1" thickBot="1">
      <c r="B207" s="324" t="s">
        <v>1278</v>
      </c>
      <c r="C207" s="325" t="s">
        <v>29</v>
      </c>
      <c r="D207" s="326" t="s">
        <v>501</v>
      </c>
      <c r="E207" s="327">
        <f>IF(B207&lt;&gt;"",SUMIF('AUX-NIV1'!I:I,'AUX-NIV2'!B207,'AUX-NIV1'!Q:Q),"")</f>
        <v>0</v>
      </c>
      <c r="F207" s="327">
        <f t="shared" si="87"/>
        <v>314.36775999384861</v>
      </c>
      <c r="G207" s="327">
        <f t="shared" si="88"/>
        <v>0</v>
      </c>
      <c r="H207" s="328" t="str">
        <f t="shared" si="98"/>
        <v>A</v>
      </c>
      <c r="I207" s="325" t="s">
        <v>1746</v>
      </c>
      <c r="J207" s="329" t="str">
        <f>IF(B207&lt;&gt;"",+VLOOKUP(I207,Recursos!C:F,2,FALSE),"")</f>
        <v>OFICIAL</v>
      </c>
      <c r="K207" s="330" t="str">
        <f>IF(B207&lt;&gt;"",+VLOOKUP(I207,Recursos!C:F,3,FALSE),"")</f>
        <v>hh</v>
      </c>
      <c r="L207" s="327">
        <f>IF(B207&lt;&gt;"",+VLOOKUP(I207,Recursos!C:F,4,FALSE),"")</f>
        <v>496.91595439275824</v>
      </c>
      <c r="M207" s="331">
        <v>0.7</v>
      </c>
      <c r="N207" s="331">
        <v>0.3</v>
      </c>
      <c r="O207" s="332">
        <f>+M207*N207</f>
        <v>0.21</v>
      </c>
      <c r="P207" s="333">
        <f t="shared" si="99"/>
        <v>104.35235042247922</v>
      </c>
      <c r="Q207" s="327">
        <f t="shared" si="100"/>
        <v>0</v>
      </c>
      <c r="R207" s="334">
        <f t="shared" si="101"/>
        <v>0</v>
      </c>
      <c r="S207" s="358">
        <f t="shared" si="89"/>
        <v>311.36775999384861</v>
      </c>
      <c r="T207" s="358">
        <f t="shared" si="90"/>
        <v>0</v>
      </c>
      <c r="U207" s="359">
        <f t="shared" si="91"/>
        <v>3</v>
      </c>
      <c r="V207" s="359">
        <f t="shared" si="92"/>
        <v>0</v>
      </c>
      <c r="W207" s="359">
        <f t="shared" si="93"/>
        <v>0</v>
      </c>
      <c r="X207" s="359">
        <f t="shared" si="94"/>
        <v>0</v>
      </c>
      <c r="Y207" s="320"/>
      <c r="Z207" s="321" t="str">
        <f t="shared" si="102"/>
        <v>X-COLOCAPINTA</v>
      </c>
      <c r="AA207" s="321" t="str">
        <f t="shared" si="103"/>
        <v>X-COLOCAPINTE</v>
      </c>
      <c r="AB207" s="321" t="str">
        <f t="shared" si="104"/>
        <v>X-COLOCAPINTM</v>
      </c>
      <c r="AC207" s="321" t="str">
        <f t="shared" si="105"/>
        <v>X-COLOCAPINTT</v>
      </c>
      <c r="AD207" s="321" t="str">
        <f t="shared" si="106"/>
        <v>X-COLOCAPINTS</v>
      </c>
      <c r="AE207" s="321" t="str">
        <f t="shared" si="107"/>
        <v>X-COLOCAPINTX</v>
      </c>
      <c r="AF207" s="321" t="str">
        <f t="shared" si="108"/>
        <v>X-COLOCAPINTA</v>
      </c>
      <c r="AG207" s="321">
        <f t="shared" si="95"/>
        <v>4</v>
      </c>
      <c r="AH207" s="321">
        <f>IF(B207&lt;&gt;"",IF(H207="x",VLOOKUP(I207,'AUX-NIV3'!B:AG,32,FALSE),0),"")</f>
        <v>0</v>
      </c>
      <c r="AI207" s="321" t="str">
        <f t="shared" si="109"/>
        <v>X-COLOCAPINT</v>
      </c>
      <c r="AJ207" s="320"/>
      <c r="AK207" s="322">
        <f t="shared" si="96"/>
        <v>206</v>
      </c>
      <c r="AL207" s="323">
        <f t="shared" si="110"/>
        <v>209</v>
      </c>
      <c r="AM207" s="322">
        <f t="shared" si="111"/>
        <v>2</v>
      </c>
      <c r="AN207" s="380">
        <f>IF(AND(AH207&gt;0,B207&lt;&gt;""),VLOOKUP(I207,'AUX-NIV3'!$B:$AO,39,FALSE)*O207,0)</f>
        <v>0</v>
      </c>
      <c r="AO207" s="380">
        <f t="shared" si="97"/>
        <v>0.7</v>
      </c>
      <c r="AP207" s="380"/>
    </row>
    <row r="208" spans="2:42" ht="14.4" hidden="1" thickTop="1" thickBot="1">
      <c r="B208" s="324" t="s">
        <v>1278</v>
      </c>
      <c r="C208" s="325" t="s">
        <v>29</v>
      </c>
      <c r="D208" s="326" t="s">
        <v>501</v>
      </c>
      <c r="E208" s="327">
        <f>IF(B208&lt;&gt;"",SUMIF('AUX-NIV1'!I:I,'AUX-NIV2'!B208,'AUX-NIV1'!Q:Q),"")</f>
        <v>0</v>
      </c>
      <c r="F208" s="327">
        <f t="shared" si="87"/>
        <v>314.36775999384861</v>
      </c>
      <c r="G208" s="327">
        <f t="shared" si="88"/>
        <v>0</v>
      </c>
      <c r="H208" s="328" t="str">
        <f t="shared" si="98"/>
        <v>M</v>
      </c>
      <c r="I208" s="325" t="s">
        <v>621</v>
      </c>
      <c r="J208" s="329" t="str">
        <f>IF(B208&lt;&gt;"",+VLOOKUP(I208,Recursos!C:F,2,FALSE),"")</f>
        <v>MATERIALES VARIOS</v>
      </c>
      <c r="K208" s="330" t="str">
        <f>IF(B208&lt;&gt;"",+VLOOKUP(I208,Recursos!C:F,3,FALSE),"")</f>
        <v>GL</v>
      </c>
      <c r="L208" s="327">
        <f>IF(B208&lt;&gt;"",+VLOOKUP(I208,Recursos!C:F,4,FALSE),"")</f>
        <v>0.5</v>
      </c>
      <c r="M208" s="331">
        <v>1</v>
      </c>
      <c r="N208" s="331">
        <v>1</v>
      </c>
      <c r="O208" s="332">
        <f>+M208*N208</f>
        <v>1</v>
      </c>
      <c r="P208" s="333">
        <f t="shared" si="99"/>
        <v>0.5</v>
      </c>
      <c r="Q208" s="327">
        <f t="shared" si="100"/>
        <v>0</v>
      </c>
      <c r="R208" s="334">
        <f t="shared" si="101"/>
        <v>0</v>
      </c>
      <c r="S208" s="358">
        <f t="shared" si="89"/>
        <v>311.36775999384861</v>
      </c>
      <c r="T208" s="358">
        <f t="shared" si="90"/>
        <v>0</v>
      </c>
      <c r="U208" s="359">
        <f t="shared" si="91"/>
        <v>3</v>
      </c>
      <c r="V208" s="359">
        <f t="shared" si="92"/>
        <v>0</v>
      </c>
      <c r="W208" s="359">
        <f t="shared" si="93"/>
        <v>0</v>
      </c>
      <c r="X208" s="359">
        <f t="shared" si="94"/>
        <v>0</v>
      </c>
      <c r="Y208" s="320"/>
      <c r="Z208" s="321" t="str">
        <f t="shared" si="102"/>
        <v>X-COLOCAPINTA</v>
      </c>
      <c r="AA208" s="321" t="str">
        <f t="shared" si="103"/>
        <v>X-COLOCAPINTE</v>
      </c>
      <c r="AB208" s="321" t="str">
        <f t="shared" si="104"/>
        <v>X-COLOCAPINTM</v>
      </c>
      <c r="AC208" s="321" t="str">
        <f t="shared" si="105"/>
        <v>X-COLOCAPINTT</v>
      </c>
      <c r="AD208" s="321" t="str">
        <f t="shared" si="106"/>
        <v>X-COLOCAPINTS</v>
      </c>
      <c r="AE208" s="321" t="str">
        <f t="shared" si="107"/>
        <v>X-COLOCAPINTX</v>
      </c>
      <c r="AF208" s="321" t="str">
        <f t="shared" si="108"/>
        <v>X-COLOCAPINTM</v>
      </c>
      <c r="AG208" s="321">
        <f t="shared" si="95"/>
        <v>4</v>
      </c>
      <c r="AH208" s="321">
        <f>IF(B208&lt;&gt;"",IF(H208="x",VLOOKUP(I208,'AUX-NIV3'!B:AG,32,FALSE),0),"")</f>
        <v>0</v>
      </c>
      <c r="AI208" s="321" t="str">
        <f t="shared" si="109"/>
        <v>X-COLOCAPINT</v>
      </c>
      <c r="AJ208" s="320"/>
      <c r="AK208" s="322">
        <f t="shared" si="96"/>
        <v>206</v>
      </c>
      <c r="AL208" s="323">
        <f t="shared" si="110"/>
        <v>209</v>
      </c>
      <c r="AM208" s="322">
        <f t="shared" si="111"/>
        <v>3</v>
      </c>
      <c r="AN208" s="380">
        <f>IF(AND(AH208&gt;0,B208&lt;&gt;""),VLOOKUP(I208,'AUX-NIV3'!$B:$AO,39,FALSE)*O208,0)</f>
        <v>0</v>
      </c>
      <c r="AO208" s="380">
        <f t="shared" si="97"/>
        <v>0.7</v>
      </c>
      <c r="AP208" s="380"/>
    </row>
    <row r="209" spans="2:42" ht="14.4" hidden="1" thickTop="1" thickBot="1">
      <c r="B209" s="324" t="s">
        <v>1278</v>
      </c>
      <c r="C209" s="325" t="s">
        <v>29</v>
      </c>
      <c r="D209" s="326" t="s">
        <v>501</v>
      </c>
      <c r="E209" s="327">
        <f>IF(B209&lt;&gt;"",SUMIF('AUX-NIV1'!I:I,'AUX-NIV2'!B209,'AUX-NIV1'!Q:Q),"")</f>
        <v>0</v>
      </c>
      <c r="F209" s="327">
        <f t="shared" si="87"/>
        <v>314.36775999384861</v>
      </c>
      <c r="G209" s="327">
        <f t="shared" si="88"/>
        <v>0</v>
      </c>
      <c r="H209" s="328" t="str">
        <f t="shared" si="98"/>
        <v>M</v>
      </c>
      <c r="I209" s="325" t="s">
        <v>48</v>
      </c>
      <c r="J209" s="329" t="str">
        <f>IF(B209&lt;&gt;"",+VLOOKUP(I209,Recursos!C:F,2,FALSE),"")</f>
        <v>PINTURA TERMINACION MURETES</v>
      </c>
      <c r="K209" s="330" t="str">
        <f>IF(B209&lt;&gt;"",+VLOOKUP(I209,Recursos!C:F,3,FALSE),"")</f>
        <v>LTS</v>
      </c>
      <c r="L209" s="327">
        <f>IF(B209&lt;&gt;"",+VLOOKUP(I209,Recursos!C:F,4,FALSE),"")</f>
        <v>5</v>
      </c>
      <c r="M209" s="331">
        <v>0.5</v>
      </c>
      <c r="N209" s="331">
        <v>1</v>
      </c>
      <c r="O209" s="332">
        <f>+M209*N209</f>
        <v>0.5</v>
      </c>
      <c r="P209" s="333">
        <f t="shared" si="99"/>
        <v>2.5</v>
      </c>
      <c r="Q209" s="327">
        <f t="shared" si="100"/>
        <v>0</v>
      </c>
      <c r="R209" s="334">
        <f t="shared" si="101"/>
        <v>0</v>
      </c>
      <c r="S209" s="358">
        <f t="shared" si="89"/>
        <v>311.36775999384861</v>
      </c>
      <c r="T209" s="358">
        <f t="shared" si="90"/>
        <v>0</v>
      </c>
      <c r="U209" s="359">
        <f t="shared" si="91"/>
        <v>3</v>
      </c>
      <c r="V209" s="359">
        <f t="shared" si="92"/>
        <v>0</v>
      </c>
      <c r="W209" s="359">
        <f t="shared" si="93"/>
        <v>0</v>
      </c>
      <c r="X209" s="359">
        <f t="shared" si="94"/>
        <v>0</v>
      </c>
      <c r="Y209" s="320"/>
      <c r="Z209" s="321" t="str">
        <f t="shared" si="102"/>
        <v>X-COLOCAPINTA</v>
      </c>
      <c r="AA209" s="321" t="str">
        <f t="shared" si="103"/>
        <v>X-COLOCAPINTE</v>
      </c>
      <c r="AB209" s="321" t="str">
        <f t="shared" si="104"/>
        <v>X-COLOCAPINTM</v>
      </c>
      <c r="AC209" s="321" t="str">
        <f t="shared" si="105"/>
        <v>X-COLOCAPINTT</v>
      </c>
      <c r="AD209" s="321" t="str">
        <f t="shared" si="106"/>
        <v>X-COLOCAPINTS</v>
      </c>
      <c r="AE209" s="321" t="str">
        <f t="shared" si="107"/>
        <v>X-COLOCAPINTX</v>
      </c>
      <c r="AF209" s="321" t="str">
        <f t="shared" si="108"/>
        <v>X-COLOCAPINTM</v>
      </c>
      <c r="AG209" s="321">
        <f t="shared" si="95"/>
        <v>4</v>
      </c>
      <c r="AH209" s="321">
        <f>IF(B209&lt;&gt;"",IF(H209="x",VLOOKUP(I209,'AUX-NIV3'!B:AG,32,FALSE),0),"")</f>
        <v>0</v>
      </c>
      <c r="AI209" s="321" t="str">
        <f t="shared" si="109"/>
        <v>X-COLOCAPINT</v>
      </c>
      <c r="AJ209" s="320"/>
      <c r="AK209" s="322">
        <f t="shared" si="96"/>
        <v>206</v>
      </c>
      <c r="AL209" s="323">
        <f t="shared" si="110"/>
        <v>209</v>
      </c>
      <c r="AM209" s="322">
        <f t="shared" si="111"/>
        <v>4</v>
      </c>
      <c r="AN209" s="380">
        <f>IF(AND(AH209&gt;0,B209&lt;&gt;""),VLOOKUP(I209,'AUX-NIV3'!$B:$AO,39,FALSE)*O209,0)</f>
        <v>0</v>
      </c>
      <c r="AO209" s="380">
        <f t="shared" si="97"/>
        <v>0.7</v>
      </c>
      <c r="AP209" s="380"/>
    </row>
    <row r="210" spans="2:42" ht="14.4" hidden="1" thickTop="1" thickBot="1">
      <c r="B210" s="324" t="s">
        <v>1279</v>
      </c>
      <c r="C210" s="325" t="s">
        <v>27</v>
      </c>
      <c r="D210" s="326" t="s">
        <v>501</v>
      </c>
      <c r="E210" s="327">
        <f>IF(B210&lt;&gt;"",SUMIF('AUX-NIV1'!I:I,'AUX-NIV2'!B210,'AUX-NIV1'!Q:Q),"")</f>
        <v>0</v>
      </c>
      <c r="F210" s="327">
        <f t="shared" si="87"/>
        <v>13.463209713627634</v>
      </c>
      <c r="G210" s="327">
        <f t="shared" si="88"/>
        <v>0</v>
      </c>
      <c r="H210" s="328" t="str">
        <f t="shared" si="98"/>
        <v>A</v>
      </c>
      <c r="I210" s="325" t="s">
        <v>1745</v>
      </c>
      <c r="J210" s="329" t="str">
        <f>IF(B210&lt;&gt;"",+VLOOKUP(I210,Recursos!C:F,2,FALSE),"")</f>
        <v>AYUDANTE</v>
      </c>
      <c r="K210" s="330" t="str">
        <f>IF(B210&lt;&gt;"",+VLOOKUP(I210,Recursos!C:F,3,FALSE),"")</f>
        <v>hh</v>
      </c>
      <c r="L210" s="327">
        <f>IF(B210&lt;&gt;"",+VLOOKUP(I210,Recursos!C:F,4,FALSE),"")</f>
        <v>422.48042769667234</v>
      </c>
      <c r="M210" s="331">
        <v>400</v>
      </c>
      <c r="N210" s="331">
        <v>1.4</v>
      </c>
      <c r="O210" s="332">
        <f t="shared" ref="O210:O216" si="112">+N210/M210</f>
        <v>3.4999999999999996E-3</v>
      </c>
      <c r="P210" s="333">
        <f t="shared" si="99"/>
        <v>1.478681496938353</v>
      </c>
      <c r="Q210" s="327">
        <f t="shared" si="100"/>
        <v>0</v>
      </c>
      <c r="R210" s="334">
        <f t="shared" si="101"/>
        <v>0</v>
      </c>
      <c r="S210" s="358">
        <f t="shared" si="89"/>
        <v>3.5123957136276323</v>
      </c>
      <c r="T210" s="358">
        <f t="shared" si="90"/>
        <v>9.9508140000000012</v>
      </c>
      <c r="U210" s="359">
        <f t="shared" si="91"/>
        <v>0</v>
      </c>
      <c r="V210" s="359">
        <f t="shared" si="92"/>
        <v>0</v>
      </c>
      <c r="W210" s="359">
        <f t="shared" si="93"/>
        <v>0</v>
      </c>
      <c r="X210" s="359">
        <f t="shared" si="94"/>
        <v>0</v>
      </c>
      <c r="Y210" s="320"/>
      <c r="Z210" s="321" t="str">
        <f t="shared" si="102"/>
        <v>X-ESCARPE1A</v>
      </c>
      <c r="AA210" s="321" t="str">
        <f t="shared" si="103"/>
        <v>X-ESCARPE1E</v>
      </c>
      <c r="AB210" s="321" t="str">
        <f t="shared" si="104"/>
        <v>X-ESCARPE1M</v>
      </c>
      <c r="AC210" s="321" t="str">
        <f t="shared" si="105"/>
        <v>X-ESCARPE1T</v>
      </c>
      <c r="AD210" s="321" t="str">
        <f t="shared" si="106"/>
        <v>X-ESCARPE1S</v>
      </c>
      <c r="AE210" s="321" t="str">
        <f t="shared" si="107"/>
        <v>X-ESCARPE1X</v>
      </c>
      <c r="AF210" s="321" t="str">
        <f t="shared" si="108"/>
        <v>X-ESCARPE1A</v>
      </c>
      <c r="AG210" s="321">
        <f t="shared" si="95"/>
        <v>8</v>
      </c>
      <c r="AH210" s="321">
        <f>IF(B210&lt;&gt;"",IF(H210="x",VLOOKUP(I210,'AUX-NIV3'!B:AG,32,FALSE),0),"")</f>
        <v>0</v>
      </c>
      <c r="AI210" s="321" t="str">
        <f t="shared" si="109"/>
        <v>X-ESCARPE1</v>
      </c>
      <c r="AJ210" s="320"/>
      <c r="AK210" s="322">
        <f t="shared" si="96"/>
        <v>210</v>
      </c>
      <c r="AL210" s="323">
        <f t="shared" si="110"/>
        <v>217</v>
      </c>
      <c r="AM210" s="322">
        <f t="shared" si="111"/>
        <v>1</v>
      </c>
      <c r="AN210" s="380">
        <f>IF(AND(AH210&gt;0,B210&lt;&gt;""),VLOOKUP(I210,'AUX-NIV3'!$B:$AO,39,FALSE)*O210,0)</f>
        <v>0</v>
      </c>
      <c r="AO210" s="380">
        <f t="shared" si="97"/>
        <v>6.9999999999999993E-3</v>
      </c>
      <c r="AP210" s="380"/>
    </row>
    <row r="211" spans="2:42" ht="14.4" hidden="1" thickTop="1" thickBot="1">
      <c r="B211" s="324" t="s">
        <v>1279</v>
      </c>
      <c r="C211" s="325" t="s">
        <v>27</v>
      </c>
      <c r="D211" s="326" t="s">
        <v>501</v>
      </c>
      <c r="E211" s="327">
        <f>IF(B211&lt;&gt;"",SUMIF('AUX-NIV1'!I:I,'AUX-NIV2'!B211,'AUX-NIV1'!Q:Q),"")</f>
        <v>0</v>
      </c>
      <c r="F211" s="327">
        <f t="shared" si="87"/>
        <v>13.463209713627634</v>
      </c>
      <c r="G211" s="327">
        <f t="shared" si="88"/>
        <v>0</v>
      </c>
      <c r="H211" s="328" t="str">
        <f t="shared" si="98"/>
        <v>A</v>
      </c>
      <c r="I211" s="325" t="s">
        <v>3311</v>
      </c>
      <c r="J211" s="329" t="str">
        <f>IF(B211&lt;&gt;"",+VLOOKUP(I211,Recursos!C:F,2,FALSE),"")</f>
        <v>OPER. EQUIPO</v>
      </c>
      <c r="K211" s="330" t="str">
        <f>IF(B211&lt;&gt;"",+VLOOKUP(I211,Recursos!C:F,3,FALSE),"")</f>
        <v>hh</v>
      </c>
      <c r="L211" s="327">
        <f>IF(B211&lt;&gt;"",+VLOOKUP(I211,Recursos!C:F,4,FALSE),"")</f>
        <v>581.06120476836554</v>
      </c>
      <c r="M211" s="331">
        <v>400</v>
      </c>
      <c r="N211" s="331">
        <v>1.4</v>
      </c>
      <c r="O211" s="332">
        <f t="shared" si="112"/>
        <v>3.4999999999999996E-3</v>
      </c>
      <c r="P211" s="333">
        <f t="shared" si="99"/>
        <v>2.0337142166892792</v>
      </c>
      <c r="Q211" s="327">
        <f t="shared" si="100"/>
        <v>0</v>
      </c>
      <c r="R211" s="334">
        <f t="shared" si="101"/>
        <v>0</v>
      </c>
      <c r="S211" s="358">
        <f t="shared" si="89"/>
        <v>3.5123957136276323</v>
      </c>
      <c r="T211" s="358">
        <f t="shared" si="90"/>
        <v>9.9508140000000012</v>
      </c>
      <c r="U211" s="359">
        <f t="shared" si="91"/>
        <v>0</v>
      </c>
      <c r="V211" s="359">
        <f t="shared" si="92"/>
        <v>0</v>
      </c>
      <c r="W211" s="359">
        <f t="shared" si="93"/>
        <v>0</v>
      </c>
      <c r="X211" s="359">
        <f t="shared" si="94"/>
        <v>0</v>
      </c>
      <c r="Y211" s="320"/>
      <c r="Z211" s="321" t="str">
        <f t="shared" si="102"/>
        <v>X-ESCARPE1A</v>
      </c>
      <c r="AA211" s="321" t="str">
        <f t="shared" si="103"/>
        <v>X-ESCARPE1E</v>
      </c>
      <c r="AB211" s="321" t="str">
        <f t="shared" si="104"/>
        <v>X-ESCARPE1M</v>
      </c>
      <c r="AC211" s="321" t="str">
        <f t="shared" si="105"/>
        <v>X-ESCARPE1T</v>
      </c>
      <c r="AD211" s="321" t="str">
        <f t="shared" si="106"/>
        <v>X-ESCARPE1S</v>
      </c>
      <c r="AE211" s="321" t="str">
        <f t="shared" si="107"/>
        <v>X-ESCARPE1X</v>
      </c>
      <c r="AF211" s="321" t="str">
        <f t="shared" si="108"/>
        <v>X-ESCARPE1A</v>
      </c>
      <c r="AG211" s="321">
        <f t="shared" si="95"/>
        <v>8</v>
      </c>
      <c r="AH211" s="321">
        <f>IF(B211&lt;&gt;"",IF(H211="x",VLOOKUP(I211,'AUX-NIV3'!B:AG,32,FALSE),0),"")</f>
        <v>0</v>
      </c>
      <c r="AI211" s="321" t="str">
        <f t="shared" si="109"/>
        <v>X-ESCARPE1</v>
      </c>
      <c r="AJ211" s="320"/>
      <c r="AK211" s="322">
        <f t="shared" si="96"/>
        <v>210</v>
      </c>
      <c r="AL211" s="323">
        <f t="shared" si="110"/>
        <v>217</v>
      </c>
      <c r="AM211" s="322">
        <f t="shared" si="111"/>
        <v>2</v>
      </c>
      <c r="AN211" s="380">
        <f>IF(AND(AH211&gt;0,B211&lt;&gt;""),VLOOKUP(I211,'AUX-NIV3'!$B:$AO,39,FALSE)*O211,0)</f>
        <v>0</v>
      </c>
      <c r="AO211" s="380">
        <f t="shared" si="97"/>
        <v>6.9999999999999993E-3</v>
      </c>
      <c r="AP211" s="380"/>
    </row>
    <row r="212" spans="2:42" ht="14.4" hidden="1" thickTop="1" thickBot="1">
      <c r="B212" s="324" t="s">
        <v>1279</v>
      </c>
      <c r="C212" s="325" t="s">
        <v>27</v>
      </c>
      <c r="D212" s="326" t="s">
        <v>501</v>
      </c>
      <c r="E212" s="327">
        <f>IF(B212&lt;&gt;"",SUMIF('AUX-NIV1'!I:I,'AUX-NIV2'!B212,'AUX-NIV1'!Q:Q),"")</f>
        <v>0</v>
      </c>
      <c r="F212" s="327">
        <f t="shared" si="87"/>
        <v>13.463209713627634</v>
      </c>
      <c r="G212" s="327">
        <f t="shared" si="88"/>
        <v>0</v>
      </c>
      <c r="H212" s="328" t="str">
        <f t="shared" si="98"/>
        <v>A</v>
      </c>
      <c r="I212" s="325" t="s">
        <v>3312</v>
      </c>
      <c r="J212" s="329" t="str">
        <f>IF(B212&lt;&gt;"",+VLOOKUP(I212,Recursos!C:F,2,FALSE),"")</f>
        <v>CHOFER</v>
      </c>
      <c r="K212" s="330" t="str">
        <f>IF(B212&lt;&gt;"",+VLOOKUP(I212,Recursos!C:F,3,FALSE),"")</f>
        <v>hh</v>
      </c>
      <c r="L212" s="327">
        <f>IF(B212&lt;&gt;"",+VLOOKUP(I212,Recursos!C:F,4,FALSE),"")</f>
        <v>496.91595439275824</v>
      </c>
      <c r="M212" s="331">
        <v>160</v>
      </c>
      <c r="N212" s="331">
        <v>0</v>
      </c>
      <c r="O212" s="332">
        <f t="shared" si="112"/>
        <v>0</v>
      </c>
      <c r="P212" s="333">
        <f t="shared" si="99"/>
        <v>0</v>
      </c>
      <c r="Q212" s="327">
        <f t="shared" si="100"/>
        <v>0</v>
      </c>
      <c r="R212" s="334">
        <f t="shared" si="101"/>
        <v>0</v>
      </c>
      <c r="S212" s="358">
        <f t="shared" si="89"/>
        <v>3.5123957136276323</v>
      </c>
      <c r="T212" s="358">
        <f t="shared" si="90"/>
        <v>9.9508140000000012</v>
      </c>
      <c r="U212" s="359">
        <f t="shared" si="91"/>
        <v>0</v>
      </c>
      <c r="V212" s="359">
        <f t="shared" si="92"/>
        <v>0</v>
      </c>
      <c r="W212" s="359">
        <f t="shared" si="93"/>
        <v>0</v>
      </c>
      <c r="X212" s="359">
        <f t="shared" si="94"/>
        <v>0</v>
      </c>
      <c r="Y212" s="320"/>
      <c r="Z212" s="321" t="str">
        <f t="shared" si="102"/>
        <v>X-ESCARPE1A</v>
      </c>
      <c r="AA212" s="321" t="str">
        <f t="shared" si="103"/>
        <v>X-ESCARPE1E</v>
      </c>
      <c r="AB212" s="321" t="str">
        <f t="shared" si="104"/>
        <v>X-ESCARPE1M</v>
      </c>
      <c r="AC212" s="321" t="str">
        <f t="shared" si="105"/>
        <v>X-ESCARPE1T</v>
      </c>
      <c r="AD212" s="321" t="str">
        <f t="shared" si="106"/>
        <v>X-ESCARPE1S</v>
      </c>
      <c r="AE212" s="321" t="str">
        <f t="shared" si="107"/>
        <v>X-ESCARPE1X</v>
      </c>
      <c r="AF212" s="321" t="str">
        <f t="shared" si="108"/>
        <v>X-ESCARPE1A</v>
      </c>
      <c r="AG212" s="321">
        <f t="shared" si="95"/>
        <v>8</v>
      </c>
      <c r="AH212" s="321">
        <f>IF(B212&lt;&gt;"",IF(H212="x",VLOOKUP(I212,'AUX-NIV3'!B:AG,32,FALSE),0),"")</f>
        <v>0</v>
      </c>
      <c r="AI212" s="321" t="str">
        <f t="shared" si="109"/>
        <v>X-ESCARPE1</v>
      </c>
      <c r="AJ212" s="320"/>
      <c r="AK212" s="322">
        <f t="shared" si="96"/>
        <v>210</v>
      </c>
      <c r="AL212" s="323">
        <f t="shared" si="110"/>
        <v>217</v>
      </c>
      <c r="AM212" s="322">
        <f t="shared" si="111"/>
        <v>3</v>
      </c>
      <c r="AN212" s="380">
        <f>IF(AND(AH212&gt;0,B212&lt;&gt;""),VLOOKUP(I212,'AUX-NIV3'!$B:$AO,39,FALSE)*O212,0)</f>
        <v>0</v>
      </c>
      <c r="AO212" s="380">
        <f t="shared" si="97"/>
        <v>6.9999999999999993E-3</v>
      </c>
      <c r="AP212" s="380"/>
    </row>
    <row r="213" spans="2:42" ht="14.4" hidden="1" thickTop="1" thickBot="1">
      <c r="B213" s="324" t="s">
        <v>1279</v>
      </c>
      <c r="C213" s="325" t="s">
        <v>27</v>
      </c>
      <c r="D213" s="326" t="s">
        <v>501</v>
      </c>
      <c r="E213" s="327">
        <f>IF(B213&lt;&gt;"",SUMIF('AUX-NIV1'!I:I,'AUX-NIV2'!B213,'AUX-NIV1'!Q:Q),"")</f>
        <v>0</v>
      </c>
      <c r="F213" s="327">
        <f t="shared" si="87"/>
        <v>13.463209713627634</v>
      </c>
      <c r="G213" s="327">
        <f t="shared" si="88"/>
        <v>0</v>
      </c>
      <c r="H213" s="328" t="str">
        <f t="shared" si="98"/>
        <v>A</v>
      </c>
      <c r="I213" s="325" t="s">
        <v>3311</v>
      </c>
      <c r="J213" s="329" t="str">
        <f>IF(B213&lt;&gt;"",+VLOOKUP(I213,Recursos!C:F,2,FALSE),"")</f>
        <v>OPER. EQUIPO</v>
      </c>
      <c r="K213" s="330" t="str">
        <f>IF(B213&lt;&gt;"",+VLOOKUP(I213,Recursos!C:F,3,FALSE),"")</f>
        <v>hh</v>
      </c>
      <c r="L213" s="327">
        <f>IF(B213&lt;&gt;"",+VLOOKUP(I213,Recursos!C:F,4,FALSE),"")</f>
        <v>581.06120476836554</v>
      </c>
      <c r="M213" s="331">
        <v>160</v>
      </c>
      <c r="N213" s="331">
        <v>0</v>
      </c>
      <c r="O213" s="332">
        <f t="shared" si="112"/>
        <v>0</v>
      </c>
      <c r="P213" s="333">
        <f t="shared" si="99"/>
        <v>0</v>
      </c>
      <c r="Q213" s="327">
        <f t="shared" si="100"/>
        <v>0</v>
      </c>
      <c r="R213" s="334">
        <f t="shared" si="101"/>
        <v>0</v>
      </c>
      <c r="S213" s="358">
        <f t="shared" si="89"/>
        <v>3.5123957136276323</v>
      </c>
      <c r="T213" s="358">
        <f t="shared" si="90"/>
        <v>9.9508140000000012</v>
      </c>
      <c r="U213" s="359">
        <f t="shared" si="91"/>
        <v>0</v>
      </c>
      <c r="V213" s="359">
        <f t="shared" si="92"/>
        <v>0</v>
      </c>
      <c r="W213" s="359">
        <f t="shared" si="93"/>
        <v>0</v>
      </c>
      <c r="X213" s="359">
        <f t="shared" si="94"/>
        <v>0</v>
      </c>
      <c r="Y213" s="320"/>
      <c r="Z213" s="321" t="str">
        <f t="shared" si="102"/>
        <v>X-ESCARPE1A</v>
      </c>
      <c r="AA213" s="321" t="str">
        <f t="shared" si="103"/>
        <v>X-ESCARPE1E</v>
      </c>
      <c r="AB213" s="321" t="str">
        <f t="shared" si="104"/>
        <v>X-ESCARPE1M</v>
      </c>
      <c r="AC213" s="321" t="str">
        <f t="shared" si="105"/>
        <v>X-ESCARPE1T</v>
      </c>
      <c r="AD213" s="321" t="str">
        <f t="shared" si="106"/>
        <v>X-ESCARPE1S</v>
      </c>
      <c r="AE213" s="321" t="str">
        <f t="shared" si="107"/>
        <v>X-ESCARPE1X</v>
      </c>
      <c r="AF213" s="321" t="str">
        <f t="shared" si="108"/>
        <v>X-ESCARPE1A</v>
      </c>
      <c r="AG213" s="321">
        <f t="shared" si="95"/>
        <v>8</v>
      </c>
      <c r="AH213" s="321">
        <f>IF(B213&lt;&gt;"",IF(H213="x",VLOOKUP(I213,'AUX-NIV3'!B:AG,32,FALSE),0),"")</f>
        <v>0</v>
      </c>
      <c r="AI213" s="321" t="str">
        <f t="shared" si="109"/>
        <v>X-ESCARPE1</v>
      </c>
      <c r="AJ213" s="320"/>
      <c r="AK213" s="322">
        <f t="shared" si="96"/>
        <v>210</v>
      </c>
      <c r="AL213" s="323">
        <f t="shared" si="110"/>
        <v>217</v>
      </c>
      <c r="AM213" s="322">
        <f t="shared" si="111"/>
        <v>4</v>
      </c>
      <c r="AN213" s="380">
        <f>IF(AND(AH213&gt;0,B213&lt;&gt;""),VLOOKUP(I213,'AUX-NIV3'!$B:$AO,39,FALSE)*O213,0)</f>
        <v>0</v>
      </c>
      <c r="AO213" s="380">
        <f t="shared" si="97"/>
        <v>6.9999999999999993E-3</v>
      </c>
      <c r="AP213" s="380"/>
    </row>
    <row r="214" spans="2:42" ht="14.4" hidden="1" thickTop="1" thickBot="1">
      <c r="B214" s="324" t="s">
        <v>1279</v>
      </c>
      <c r="C214" s="325" t="s">
        <v>27</v>
      </c>
      <c r="D214" s="326" t="s">
        <v>501</v>
      </c>
      <c r="E214" s="327">
        <f>IF(B214&lt;&gt;"",SUMIF('AUX-NIV1'!I:I,'AUX-NIV2'!B214,'AUX-NIV1'!Q:Q),"")</f>
        <v>0</v>
      </c>
      <c r="F214" s="327">
        <f t="shared" si="87"/>
        <v>13.463209713627634</v>
      </c>
      <c r="G214" s="327">
        <f t="shared" si="88"/>
        <v>0</v>
      </c>
      <c r="H214" s="328" t="str">
        <f t="shared" si="98"/>
        <v>E</v>
      </c>
      <c r="I214" s="325" t="s">
        <v>1536</v>
      </c>
      <c r="J214" s="329" t="str">
        <f>IF(B214&lt;&gt;"",+VLOOKUP(I214,Recursos!C:F,2,FALSE),"")</f>
        <v>TOPADORA SIN ESC.(15 T)</v>
      </c>
      <c r="K214" s="330" t="str">
        <f>IF(B214&lt;&gt;"",+VLOOKUP(I214,Recursos!C:F,3,FALSE),"")</f>
        <v>HR</v>
      </c>
      <c r="L214" s="327">
        <f>IF(B214&lt;&gt;"",+VLOOKUP(I214,Recursos!C:F,4,FALSE),"")</f>
        <v>3980.3256000000001</v>
      </c>
      <c r="M214" s="331">
        <v>400</v>
      </c>
      <c r="N214" s="331">
        <v>1</v>
      </c>
      <c r="O214" s="332">
        <f t="shared" si="112"/>
        <v>2.5000000000000001E-3</v>
      </c>
      <c r="P214" s="333">
        <f t="shared" si="99"/>
        <v>9.9508140000000012</v>
      </c>
      <c r="Q214" s="327">
        <f t="shared" si="100"/>
        <v>0</v>
      </c>
      <c r="R214" s="334">
        <f t="shared" si="101"/>
        <v>0</v>
      </c>
      <c r="S214" s="358">
        <f t="shared" si="89"/>
        <v>3.5123957136276323</v>
      </c>
      <c r="T214" s="358">
        <f t="shared" si="90"/>
        <v>9.9508140000000012</v>
      </c>
      <c r="U214" s="359">
        <f t="shared" si="91"/>
        <v>0</v>
      </c>
      <c r="V214" s="359">
        <f t="shared" si="92"/>
        <v>0</v>
      </c>
      <c r="W214" s="359">
        <f t="shared" si="93"/>
        <v>0</v>
      </c>
      <c r="X214" s="359">
        <f t="shared" si="94"/>
        <v>0</v>
      </c>
      <c r="Y214" s="320"/>
      <c r="Z214" s="321" t="str">
        <f t="shared" si="102"/>
        <v>X-ESCARPE1A</v>
      </c>
      <c r="AA214" s="321" t="str">
        <f t="shared" si="103"/>
        <v>X-ESCARPE1E</v>
      </c>
      <c r="AB214" s="321" t="str">
        <f t="shared" si="104"/>
        <v>X-ESCARPE1M</v>
      </c>
      <c r="AC214" s="321" t="str">
        <f t="shared" si="105"/>
        <v>X-ESCARPE1T</v>
      </c>
      <c r="AD214" s="321" t="str">
        <f t="shared" si="106"/>
        <v>X-ESCARPE1S</v>
      </c>
      <c r="AE214" s="321" t="str">
        <f t="shared" si="107"/>
        <v>X-ESCARPE1X</v>
      </c>
      <c r="AF214" s="321" t="str">
        <f t="shared" si="108"/>
        <v>X-ESCARPE1E</v>
      </c>
      <c r="AG214" s="321">
        <f t="shared" si="95"/>
        <v>8</v>
      </c>
      <c r="AH214" s="321">
        <f>IF(B214&lt;&gt;"",IF(H214="x",VLOOKUP(I214,'AUX-NIV3'!B:AG,32,FALSE),0),"")</f>
        <v>0</v>
      </c>
      <c r="AI214" s="321" t="str">
        <f t="shared" si="109"/>
        <v>X-ESCARPE1</v>
      </c>
      <c r="AJ214" s="320"/>
      <c r="AK214" s="322">
        <f t="shared" si="96"/>
        <v>210</v>
      </c>
      <c r="AL214" s="323">
        <f t="shared" si="110"/>
        <v>217</v>
      </c>
      <c r="AM214" s="322">
        <f t="shared" si="111"/>
        <v>5</v>
      </c>
      <c r="AN214" s="380">
        <f>IF(AND(AH214&gt;0,B214&lt;&gt;""),VLOOKUP(I214,'AUX-NIV3'!$B:$AO,39,FALSE)*O214,0)</f>
        <v>0</v>
      </c>
      <c r="AO214" s="380">
        <f t="shared" si="97"/>
        <v>6.9999999999999993E-3</v>
      </c>
      <c r="AP214" s="380"/>
    </row>
    <row r="215" spans="2:42" ht="14.4" hidden="1" thickTop="1" thickBot="1">
      <c r="B215" s="324" t="s">
        <v>1279</v>
      </c>
      <c r="C215" s="325" t="s">
        <v>27</v>
      </c>
      <c r="D215" s="326" t="s">
        <v>501</v>
      </c>
      <c r="E215" s="327">
        <f>IF(B215&lt;&gt;"",SUMIF('AUX-NIV1'!I:I,'AUX-NIV2'!B215,'AUX-NIV1'!Q:Q),"")</f>
        <v>0</v>
      </c>
      <c r="F215" s="327">
        <f t="shared" si="87"/>
        <v>13.463209713627634</v>
      </c>
      <c r="G215" s="327">
        <f t="shared" si="88"/>
        <v>0</v>
      </c>
      <c r="H215" s="328" t="str">
        <f t="shared" si="98"/>
        <v>E</v>
      </c>
      <c r="I215" s="325" t="s">
        <v>1555</v>
      </c>
      <c r="J215" s="329" t="str">
        <f>IF(B215&lt;&gt;"",+VLOOKUP(I215,Recursos!C:F,2,FALSE),"")</f>
        <v>CAMION VOLCADOR 6x4 CAP. 24 T=15 m3</v>
      </c>
      <c r="K215" s="330" t="str">
        <f>IF(B215&lt;&gt;"",+VLOOKUP(I215,Recursos!C:F,3,FALSE),"")</f>
        <v>HR</v>
      </c>
      <c r="L215" s="327">
        <f>IF(B215&lt;&gt;"",+VLOOKUP(I215,Recursos!C:F,4,FALSE),"")</f>
        <v>3333.261</v>
      </c>
      <c r="M215" s="331">
        <v>160</v>
      </c>
      <c r="N215" s="331">
        <v>0</v>
      </c>
      <c r="O215" s="332">
        <f t="shared" si="112"/>
        <v>0</v>
      </c>
      <c r="P215" s="333">
        <f t="shared" si="99"/>
        <v>0</v>
      </c>
      <c r="Q215" s="327">
        <f t="shared" si="100"/>
        <v>0</v>
      </c>
      <c r="R215" s="334">
        <f t="shared" si="101"/>
        <v>0</v>
      </c>
      <c r="S215" s="358">
        <f t="shared" si="89"/>
        <v>3.5123957136276323</v>
      </c>
      <c r="T215" s="358">
        <f t="shared" si="90"/>
        <v>9.9508140000000012</v>
      </c>
      <c r="U215" s="359">
        <f t="shared" si="91"/>
        <v>0</v>
      </c>
      <c r="V215" s="359">
        <f t="shared" si="92"/>
        <v>0</v>
      </c>
      <c r="W215" s="359">
        <f t="shared" si="93"/>
        <v>0</v>
      </c>
      <c r="X215" s="359">
        <f t="shared" si="94"/>
        <v>0</v>
      </c>
      <c r="Y215" s="320"/>
      <c r="Z215" s="321" t="str">
        <f t="shared" si="102"/>
        <v>X-ESCARPE1A</v>
      </c>
      <c r="AA215" s="321" t="str">
        <f t="shared" si="103"/>
        <v>X-ESCARPE1E</v>
      </c>
      <c r="AB215" s="321" t="str">
        <f t="shared" si="104"/>
        <v>X-ESCARPE1M</v>
      </c>
      <c r="AC215" s="321" t="str">
        <f t="shared" si="105"/>
        <v>X-ESCARPE1T</v>
      </c>
      <c r="AD215" s="321" t="str">
        <f t="shared" si="106"/>
        <v>X-ESCARPE1S</v>
      </c>
      <c r="AE215" s="321" t="str">
        <f t="shared" si="107"/>
        <v>X-ESCARPE1X</v>
      </c>
      <c r="AF215" s="321" t="str">
        <f t="shared" si="108"/>
        <v>X-ESCARPE1E</v>
      </c>
      <c r="AG215" s="321">
        <f t="shared" si="95"/>
        <v>8</v>
      </c>
      <c r="AH215" s="321">
        <f>IF(B215&lt;&gt;"",IF(H215="x",VLOOKUP(I215,'AUX-NIV3'!B:AG,32,FALSE),0),"")</f>
        <v>0</v>
      </c>
      <c r="AI215" s="321" t="str">
        <f t="shared" si="109"/>
        <v>X-ESCARPE1</v>
      </c>
      <c r="AJ215" s="320"/>
      <c r="AK215" s="322">
        <f t="shared" si="96"/>
        <v>210</v>
      </c>
      <c r="AL215" s="323">
        <f t="shared" si="110"/>
        <v>217</v>
      </c>
      <c r="AM215" s="322">
        <f t="shared" si="111"/>
        <v>6</v>
      </c>
      <c r="AN215" s="380">
        <f>IF(AND(AH215&gt;0,B215&lt;&gt;""),VLOOKUP(I215,'AUX-NIV3'!$B:$AO,39,FALSE)*O215,0)</f>
        <v>0</v>
      </c>
      <c r="AO215" s="380">
        <f t="shared" si="97"/>
        <v>6.9999999999999993E-3</v>
      </c>
      <c r="AP215" s="380"/>
    </row>
    <row r="216" spans="2:42" ht="14.4" hidden="1" thickTop="1" thickBot="1">
      <c r="B216" s="324" t="s">
        <v>1279</v>
      </c>
      <c r="C216" s="325" t="s">
        <v>27</v>
      </c>
      <c r="D216" s="326" t="s">
        <v>501</v>
      </c>
      <c r="E216" s="327">
        <f>IF(B216&lt;&gt;"",SUMIF('AUX-NIV1'!I:I,'AUX-NIV2'!B216,'AUX-NIV1'!Q:Q),"")</f>
        <v>0</v>
      </c>
      <c r="F216" s="327">
        <f t="shared" si="87"/>
        <v>13.463209713627634</v>
      </c>
      <c r="G216" s="327">
        <f t="shared" si="88"/>
        <v>0</v>
      </c>
      <c r="H216" s="328" t="str">
        <f t="shared" si="98"/>
        <v>E</v>
      </c>
      <c r="I216" s="325" t="s">
        <v>1552</v>
      </c>
      <c r="J216" s="329" t="str">
        <f>IF(B216&lt;&gt;"",+VLOOKUP(I216,Recursos!C:F,2,FALSE),"")</f>
        <v>RETROEXCAVADORA S/CARRILES  0,9 M2</v>
      </c>
      <c r="K216" s="330" t="str">
        <f>IF(B216&lt;&gt;"",+VLOOKUP(I216,Recursos!C:F,3,FALSE),"")</f>
        <v>HR</v>
      </c>
      <c r="L216" s="327">
        <f>IF(B216&lt;&gt;"",+VLOOKUP(I216,Recursos!C:F,4,FALSE),"")</f>
        <v>2743.02</v>
      </c>
      <c r="M216" s="331">
        <v>160</v>
      </c>
      <c r="N216" s="331">
        <v>0</v>
      </c>
      <c r="O216" s="332">
        <f t="shared" si="112"/>
        <v>0</v>
      </c>
      <c r="P216" s="333">
        <f t="shared" si="99"/>
        <v>0</v>
      </c>
      <c r="Q216" s="327">
        <f t="shared" si="100"/>
        <v>0</v>
      </c>
      <c r="R216" s="334">
        <f t="shared" si="101"/>
        <v>0</v>
      </c>
      <c r="S216" s="358">
        <f t="shared" si="89"/>
        <v>3.5123957136276323</v>
      </c>
      <c r="T216" s="358">
        <f t="shared" si="90"/>
        <v>9.9508140000000012</v>
      </c>
      <c r="U216" s="359">
        <f t="shared" si="91"/>
        <v>0</v>
      </c>
      <c r="V216" s="359">
        <f t="shared" si="92"/>
        <v>0</v>
      </c>
      <c r="W216" s="359">
        <f t="shared" si="93"/>
        <v>0</v>
      </c>
      <c r="X216" s="359">
        <f t="shared" si="94"/>
        <v>0</v>
      </c>
      <c r="Y216" s="320"/>
      <c r="Z216" s="321" t="str">
        <f t="shared" si="102"/>
        <v>X-ESCARPE1A</v>
      </c>
      <c r="AA216" s="321" t="str">
        <f t="shared" si="103"/>
        <v>X-ESCARPE1E</v>
      </c>
      <c r="AB216" s="321" t="str">
        <f t="shared" si="104"/>
        <v>X-ESCARPE1M</v>
      </c>
      <c r="AC216" s="321" t="str">
        <f t="shared" si="105"/>
        <v>X-ESCARPE1T</v>
      </c>
      <c r="AD216" s="321" t="str">
        <f t="shared" si="106"/>
        <v>X-ESCARPE1S</v>
      </c>
      <c r="AE216" s="321" t="str">
        <f t="shared" si="107"/>
        <v>X-ESCARPE1X</v>
      </c>
      <c r="AF216" s="321" t="str">
        <f t="shared" si="108"/>
        <v>X-ESCARPE1E</v>
      </c>
      <c r="AG216" s="321">
        <f t="shared" si="95"/>
        <v>8</v>
      </c>
      <c r="AH216" s="321">
        <f>IF(B216&lt;&gt;"",IF(H216="x",VLOOKUP(I216,'AUX-NIV3'!B:AG,32,FALSE),0),"")</f>
        <v>0</v>
      </c>
      <c r="AI216" s="321" t="str">
        <f t="shared" si="109"/>
        <v>X-ESCARPE1</v>
      </c>
      <c r="AJ216" s="320"/>
      <c r="AK216" s="322">
        <f t="shared" si="96"/>
        <v>210</v>
      </c>
      <c r="AL216" s="323">
        <f t="shared" si="110"/>
        <v>217</v>
      </c>
      <c r="AM216" s="322">
        <f t="shared" si="111"/>
        <v>7</v>
      </c>
      <c r="AN216" s="380">
        <f>IF(AND(AH216&gt;0,B216&lt;&gt;""),VLOOKUP(I216,'AUX-NIV3'!$B:$AO,39,FALSE)*O216,0)</f>
        <v>0</v>
      </c>
      <c r="AO216" s="380">
        <f t="shared" si="97"/>
        <v>6.9999999999999993E-3</v>
      </c>
      <c r="AP216" s="380"/>
    </row>
    <row r="217" spans="2:42" ht="14.4" hidden="1" thickTop="1" thickBot="1">
      <c r="B217" s="324" t="s">
        <v>1279</v>
      </c>
      <c r="C217" s="325" t="s">
        <v>27</v>
      </c>
      <c r="D217" s="326" t="s">
        <v>501</v>
      </c>
      <c r="E217" s="327">
        <f>IF(B217&lt;&gt;"",SUMIF('AUX-NIV1'!I:I,'AUX-NIV2'!B217,'AUX-NIV1'!Q:Q),"")</f>
        <v>0</v>
      </c>
      <c r="F217" s="327">
        <f t="shared" si="87"/>
        <v>13.463209713627634</v>
      </c>
      <c r="G217" s="327">
        <f t="shared" si="88"/>
        <v>0</v>
      </c>
      <c r="H217" s="328" t="str">
        <f t="shared" si="98"/>
        <v>M</v>
      </c>
      <c r="I217" s="325" t="s">
        <v>621</v>
      </c>
      <c r="J217" s="329" t="str">
        <f>IF(B217&lt;&gt;"",+VLOOKUP(I217,Recursos!C:F,2,FALSE),"")</f>
        <v>MATERIALES VARIOS</v>
      </c>
      <c r="K217" s="330" t="str">
        <f>IF(B217&lt;&gt;"",+VLOOKUP(I217,Recursos!C:F,3,FALSE),"")</f>
        <v>GL</v>
      </c>
      <c r="L217" s="327">
        <f>IF(B217&lt;&gt;"",+VLOOKUP(I217,Recursos!C:F,4,FALSE),"")</f>
        <v>0.5</v>
      </c>
      <c r="M217" s="331">
        <v>0.3</v>
      </c>
      <c r="N217" s="331">
        <v>0</v>
      </c>
      <c r="O217" s="332">
        <f>+M217*N217</f>
        <v>0</v>
      </c>
      <c r="P217" s="333">
        <f t="shared" si="99"/>
        <v>0</v>
      </c>
      <c r="Q217" s="327">
        <f t="shared" si="100"/>
        <v>0</v>
      </c>
      <c r="R217" s="334">
        <f t="shared" si="101"/>
        <v>0</v>
      </c>
      <c r="S217" s="358">
        <f t="shared" si="89"/>
        <v>3.5123957136276323</v>
      </c>
      <c r="T217" s="358">
        <f t="shared" si="90"/>
        <v>9.9508140000000012</v>
      </c>
      <c r="U217" s="359">
        <f t="shared" si="91"/>
        <v>0</v>
      </c>
      <c r="V217" s="359">
        <f t="shared" si="92"/>
        <v>0</v>
      </c>
      <c r="W217" s="359">
        <f t="shared" si="93"/>
        <v>0</v>
      </c>
      <c r="X217" s="359">
        <f t="shared" si="94"/>
        <v>0</v>
      </c>
      <c r="Y217" s="320"/>
      <c r="Z217" s="321" t="str">
        <f t="shared" si="102"/>
        <v>X-ESCARPE1A</v>
      </c>
      <c r="AA217" s="321" t="str">
        <f t="shared" si="103"/>
        <v>X-ESCARPE1E</v>
      </c>
      <c r="AB217" s="321" t="str">
        <f t="shared" si="104"/>
        <v>X-ESCARPE1M</v>
      </c>
      <c r="AC217" s="321" t="str">
        <f t="shared" si="105"/>
        <v>X-ESCARPE1T</v>
      </c>
      <c r="AD217" s="321" t="str">
        <f t="shared" si="106"/>
        <v>X-ESCARPE1S</v>
      </c>
      <c r="AE217" s="321" t="str">
        <f t="shared" si="107"/>
        <v>X-ESCARPE1X</v>
      </c>
      <c r="AF217" s="321" t="str">
        <f t="shared" si="108"/>
        <v>X-ESCARPE1M</v>
      </c>
      <c r="AG217" s="321">
        <f t="shared" si="95"/>
        <v>8</v>
      </c>
      <c r="AH217" s="321">
        <f>IF(B217&lt;&gt;"",IF(H217="x",VLOOKUP(I217,'AUX-NIV3'!B:AG,32,FALSE),0),"")</f>
        <v>0</v>
      </c>
      <c r="AI217" s="321" t="str">
        <f t="shared" si="109"/>
        <v>X-ESCARPE1</v>
      </c>
      <c r="AJ217" s="320"/>
      <c r="AK217" s="322">
        <f t="shared" si="96"/>
        <v>210</v>
      </c>
      <c r="AL217" s="323">
        <f t="shared" si="110"/>
        <v>217</v>
      </c>
      <c r="AM217" s="322">
        <f t="shared" si="111"/>
        <v>8</v>
      </c>
      <c r="AN217" s="380">
        <f>IF(AND(AH217&gt;0,B217&lt;&gt;""),VLOOKUP(I217,'AUX-NIV3'!$B:$AO,39,FALSE)*O217,0)</f>
        <v>0</v>
      </c>
      <c r="AO217" s="380">
        <f t="shared" si="97"/>
        <v>6.9999999999999993E-3</v>
      </c>
      <c r="AP217" s="380"/>
    </row>
    <row r="218" spans="2:42" ht="14.4" hidden="1" thickTop="1" thickBot="1">
      <c r="B218" s="324" t="s">
        <v>1280</v>
      </c>
      <c r="C218" s="325" t="s">
        <v>30</v>
      </c>
      <c r="D218" s="326" t="s">
        <v>1160</v>
      </c>
      <c r="E218" s="327">
        <f>IF(B218&lt;&gt;"",SUMIF('AUX-NIV1'!I:I,'AUX-NIV2'!B218,'AUX-NIV1'!Q:Q),"")</f>
        <v>0</v>
      </c>
      <c r="F218" s="327">
        <f t="shared" si="87"/>
        <v>151.85969328137662</v>
      </c>
      <c r="G218" s="327">
        <f t="shared" si="88"/>
        <v>0</v>
      </c>
      <c r="H218" s="328" t="str">
        <f t="shared" si="98"/>
        <v>A</v>
      </c>
      <c r="I218" s="325" t="s">
        <v>1745</v>
      </c>
      <c r="J218" s="329" t="str">
        <f>IF(B218&lt;&gt;"",+VLOOKUP(I218,Recursos!C:F,2,FALSE),"")</f>
        <v>AYUDANTE</v>
      </c>
      <c r="K218" s="330" t="str">
        <f>IF(B218&lt;&gt;"",+VLOOKUP(I218,Recursos!C:F,3,FALSE),"")</f>
        <v>hh</v>
      </c>
      <c r="L218" s="327">
        <f>IF(B218&lt;&gt;"",+VLOOKUP(I218,Recursos!C:F,4,FALSE),"")</f>
        <v>422.48042769667234</v>
      </c>
      <c r="M218" s="331">
        <v>40</v>
      </c>
      <c r="N218" s="331">
        <v>3.36</v>
      </c>
      <c r="O218" s="332">
        <f>+N218/M218</f>
        <v>8.3999999999999991E-2</v>
      </c>
      <c r="P218" s="333">
        <f t="shared" si="99"/>
        <v>35.48835592652047</v>
      </c>
      <c r="Q218" s="327">
        <f t="shared" si="100"/>
        <v>0</v>
      </c>
      <c r="R218" s="334">
        <f t="shared" si="101"/>
        <v>0</v>
      </c>
      <c r="S218" s="358">
        <f t="shared" si="89"/>
        <v>66.10437595670129</v>
      </c>
      <c r="T218" s="358">
        <f t="shared" si="90"/>
        <v>85.605317324675326</v>
      </c>
      <c r="U218" s="359">
        <f t="shared" si="91"/>
        <v>0.15</v>
      </c>
      <c r="V218" s="359">
        <f t="shared" si="92"/>
        <v>0</v>
      </c>
      <c r="W218" s="359">
        <f t="shared" si="93"/>
        <v>0</v>
      </c>
      <c r="X218" s="359">
        <f t="shared" si="94"/>
        <v>0</v>
      </c>
      <c r="Y218" s="320"/>
      <c r="Z218" s="321" t="str">
        <f t="shared" si="102"/>
        <v>X-ESPYHUMA</v>
      </c>
      <c r="AA218" s="321" t="str">
        <f t="shared" si="103"/>
        <v>X-ESPYHUME</v>
      </c>
      <c r="AB218" s="321" t="str">
        <f t="shared" si="104"/>
        <v>X-ESPYHUMM</v>
      </c>
      <c r="AC218" s="321" t="str">
        <f t="shared" si="105"/>
        <v>X-ESPYHUMT</v>
      </c>
      <c r="AD218" s="321" t="str">
        <f t="shared" si="106"/>
        <v>X-ESPYHUMS</v>
      </c>
      <c r="AE218" s="321" t="str">
        <f t="shared" si="107"/>
        <v>X-ESPYHUMX</v>
      </c>
      <c r="AF218" s="321" t="str">
        <f t="shared" si="108"/>
        <v>X-ESPYHUMA</v>
      </c>
      <c r="AG218" s="321">
        <f t="shared" si="95"/>
        <v>6</v>
      </c>
      <c r="AH218" s="321">
        <f>IF(B218&lt;&gt;"",IF(H218="x",VLOOKUP(I218,'AUX-NIV3'!B:AG,32,FALSE),0),"")</f>
        <v>0</v>
      </c>
      <c r="AI218" s="321" t="str">
        <f t="shared" si="109"/>
        <v>X-ESPYHUM</v>
      </c>
      <c r="AJ218" s="320"/>
      <c r="AK218" s="322">
        <f t="shared" si="96"/>
        <v>218</v>
      </c>
      <c r="AL218" s="323">
        <f t="shared" si="110"/>
        <v>223</v>
      </c>
      <c r="AM218" s="322">
        <f t="shared" si="111"/>
        <v>1</v>
      </c>
      <c r="AN218" s="380">
        <f>IF(AND(AH218&gt;0,B218&lt;&gt;""),VLOOKUP(I218,'AUX-NIV3'!$B:$AO,39,FALSE)*O218,0)</f>
        <v>0</v>
      </c>
      <c r="AO218" s="380">
        <f t="shared" si="97"/>
        <v>0.13850000000000001</v>
      </c>
      <c r="AP218" s="380"/>
    </row>
    <row r="219" spans="2:42" ht="14.4" hidden="1" thickTop="1" thickBot="1">
      <c r="B219" s="324" t="s">
        <v>1280</v>
      </c>
      <c r="C219" s="325" t="s">
        <v>30</v>
      </c>
      <c r="D219" s="326" t="s">
        <v>1160</v>
      </c>
      <c r="E219" s="327">
        <f>IF(B219&lt;&gt;"",SUMIF('AUX-NIV1'!I:I,'AUX-NIV2'!B219,'AUX-NIV1'!Q:Q),"")</f>
        <v>0</v>
      </c>
      <c r="F219" s="327">
        <f t="shared" si="87"/>
        <v>151.85969328137662</v>
      </c>
      <c r="G219" s="327">
        <f t="shared" si="88"/>
        <v>0</v>
      </c>
      <c r="H219" s="328" t="str">
        <f t="shared" si="98"/>
        <v>A</v>
      </c>
      <c r="I219" s="325" t="s">
        <v>3311</v>
      </c>
      <c r="J219" s="329" t="str">
        <f>IF(B219&lt;&gt;"",+VLOOKUP(I219,Recursos!C:F,2,FALSE),"")</f>
        <v>OPER. EQUIPO</v>
      </c>
      <c r="K219" s="330" t="str">
        <f>IF(B219&lt;&gt;"",+VLOOKUP(I219,Recursos!C:F,3,FALSE),"")</f>
        <v>hh</v>
      </c>
      <c r="L219" s="327">
        <f>IF(B219&lt;&gt;"",+VLOOKUP(I219,Recursos!C:F,4,FALSE),"")</f>
        <v>581.06120476836554</v>
      </c>
      <c r="M219" s="331">
        <v>40</v>
      </c>
      <c r="N219" s="331">
        <v>1.68</v>
      </c>
      <c r="O219" s="332">
        <f>+N219/M219</f>
        <v>4.1999999999999996E-2</v>
      </c>
      <c r="P219" s="333">
        <f t="shared" si="99"/>
        <v>24.404570600271349</v>
      </c>
      <c r="Q219" s="327">
        <f t="shared" si="100"/>
        <v>0</v>
      </c>
      <c r="R219" s="334">
        <f t="shared" si="101"/>
        <v>0</v>
      </c>
      <c r="S219" s="358">
        <f t="shared" si="89"/>
        <v>66.10437595670129</v>
      </c>
      <c r="T219" s="358">
        <f t="shared" si="90"/>
        <v>85.605317324675326</v>
      </c>
      <c r="U219" s="359">
        <f t="shared" si="91"/>
        <v>0.15</v>
      </c>
      <c r="V219" s="359">
        <f t="shared" si="92"/>
        <v>0</v>
      </c>
      <c r="W219" s="359">
        <f t="shared" si="93"/>
        <v>0</v>
      </c>
      <c r="X219" s="359">
        <f t="shared" si="94"/>
        <v>0</v>
      </c>
      <c r="Y219" s="320"/>
      <c r="Z219" s="321" t="str">
        <f t="shared" si="102"/>
        <v>X-ESPYHUMA</v>
      </c>
      <c r="AA219" s="321" t="str">
        <f t="shared" si="103"/>
        <v>X-ESPYHUME</v>
      </c>
      <c r="AB219" s="321" t="str">
        <f t="shared" si="104"/>
        <v>X-ESPYHUMM</v>
      </c>
      <c r="AC219" s="321" t="str">
        <f t="shared" si="105"/>
        <v>X-ESPYHUMT</v>
      </c>
      <c r="AD219" s="321" t="str">
        <f t="shared" si="106"/>
        <v>X-ESPYHUMS</v>
      </c>
      <c r="AE219" s="321" t="str">
        <f t="shared" si="107"/>
        <v>X-ESPYHUMX</v>
      </c>
      <c r="AF219" s="321" t="str">
        <f t="shared" si="108"/>
        <v>X-ESPYHUMA</v>
      </c>
      <c r="AG219" s="321">
        <f t="shared" si="95"/>
        <v>6</v>
      </c>
      <c r="AH219" s="321">
        <f>IF(B219&lt;&gt;"",IF(H219="x",VLOOKUP(I219,'AUX-NIV3'!B:AG,32,FALSE),0),"")</f>
        <v>0</v>
      </c>
      <c r="AI219" s="321" t="str">
        <f t="shared" si="109"/>
        <v>X-ESPYHUM</v>
      </c>
      <c r="AJ219" s="320"/>
      <c r="AK219" s="322">
        <f t="shared" si="96"/>
        <v>218</v>
      </c>
      <c r="AL219" s="323">
        <f t="shared" si="110"/>
        <v>223</v>
      </c>
      <c r="AM219" s="322">
        <f t="shared" si="111"/>
        <v>2</v>
      </c>
      <c r="AN219" s="380">
        <f>IF(AND(AH219&gt;0,B219&lt;&gt;""),VLOOKUP(I219,'AUX-NIV3'!$B:$AO,39,FALSE)*O219,0)</f>
        <v>0</v>
      </c>
      <c r="AO219" s="380">
        <f t="shared" si="97"/>
        <v>0.13850000000000001</v>
      </c>
      <c r="AP219" s="380"/>
    </row>
    <row r="220" spans="2:42" ht="14.4" hidden="1" thickTop="1" thickBot="1">
      <c r="B220" s="324" t="s">
        <v>1280</v>
      </c>
      <c r="C220" s="325" t="s">
        <v>30</v>
      </c>
      <c r="D220" s="326" t="s">
        <v>1160</v>
      </c>
      <c r="E220" s="327">
        <f>IF(B220&lt;&gt;"",SUMIF('AUX-NIV1'!I:I,'AUX-NIV2'!B220,'AUX-NIV1'!Q:Q),"")</f>
        <v>0</v>
      </c>
      <c r="F220" s="327">
        <f t="shared" si="87"/>
        <v>151.85969328137662</v>
      </c>
      <c r="G220" s="327">
        <f t="shared" si="88"/>
        <v>0</v>
      </c>
      <c r="H220" s="328" t="str">
        <f t="shared" si="98"/>
        <v>A</v>
      </c>
      <c r="I220" s="325" t="s">
        <v>3312</v>
      </c>
      <c r="J220" s="329" t="str">
        <f>IF(B220&lt;&gt;"",+VLOOKUP(I220,Recursos!C:F,2,FALSE),"")</f>
        <v>CHOFER</v>
      </c>
      <c r="K220" s="330" t="str">
        <f>IF(B220&lt;&gt;"",+VLOOKUP(I220,Recursos!C:F,3,FALSE),"")</f>
        <v>hh</v>
      </c>
      <c r="L220" s="327">
        <f>IF(B220&lt;&gt;"",+VLOOKUP(I220,Recursos!C:F,4,FALSE),"")</f>
        <v>496.91595439275824</v>
      </c>
      <c r="M220" s="331">
        <v>40</v>
      </c>
      <c r="N220" s="331">
        <v>0.5</v>
      </c>
      <c r="O220" s="332">
        <f>+N220/M220</f>
        <v>1.2500000000000001E-2</v>
      </c>
      <c r="P220" s="333">
        <f t="shared" si="99"/>
        <v>6.2114494299094787</v>
      </c>
      <c r="Q220" s="327">
        <f t="shared" si="100"/>
        <v>0</v>
      </c>
      <c r="R220" s="334">
        <f t="shared" si="101"/>
        <v>0</v>
      </c>
      <c r="S220" s="358">
        <f t="shared" si="89"/>
        <v>66.10437595670129</v>
      </c>
      <c r="T220" s="358">
        <f t="shared" si="90"/>
        <v>85.605317324675326</v>
      </c>
      <c r="U220" s="359">
        <f t="shared" si="91"/>
        <v>0.15</v>
      </c>
      <c r="V220" s="359">
        <f t="shared" si="92"/>
        <v>0</v>
      </c>
      <c r="W220" s="359">
        <f t="shared" si="93"/>
        <v>0</v>
      </c>
      <c r="X220" s="359">
        <f t="shared" si="94"/>
        <v>0</v>
      </c>
      <c r="Y220" s="320"/>
      <c r="Z220" s="321" t="str">
        <f t="shared" si="102"/>
        <v>X-ESPYHUMA</v>
      </c>
      <c r="AA220" s="321" t="str">
        <f t="shared" si="103"/>
        <v>X-ESPYHUME</v>
      </c>
      <c r="AB220" s="321" t="str">
        <f t="shared" si="104"/>
        <v>X-ESPYHUMM</v>
      </c>
      <c r="AC220" s="321" t="str">
        <f t="shared" si="105"/>
        <v>X-ESPYHUMT</v>
      </c>
      <c r="AD220" s="321" t="str">
        <f t="shared" si="106"/>
        <v>X-ESPYHUMS</v>
      </c>
      <c r="AE220" s="321" t="str">
        <f t="shared" si="107"/>
        <v>X-ESPYHUMX</v>
      </c>
      <c r="AF220" s="321" t="str">
        <f t="shared" si="108"/>
        <v>X-ESPYHUMA</v>
      </c>
      <c r="AG220" s="321">
        <f t="shared" si="95"/>
        <v>6</v>
      </c>
      <c r="AH220" s="321">
        <f>IF(B220&lt;&gt;"",IF(H220="x",VLOOKUP(I220,'AUX-NIV3'!B:AG,32,FALSE),0),"")</f>
        <v>0</v>
      </c>
      <c r="AI220" s="321" t="str">
        <f t="shared" si="109"/>
        <v>X-ESPYHUM</v>
      </c>
      <c r="AJ220" s="320"/>
      <c r="AK220" s="322">
        <f t="shared" si="96"/>
        <v>218</v>
      </c>
      <c r="AL220" s="323">
        <f t="shared" si="110"/>
        <v>223</v>
      </c>
      <c r="AM220" s="322">
        <f t="shared" si="111"/>
        <v>3</v>
      </c>
      <c r="AN220" s="380">
        <f>IF(AND(AH220&gt;0,B220&lt;&gt;""),VLOOKUP(I220,'AUX-NIV3'!$B:$AO,39,FALSE)*O220,0)</f>
        <v>0</v>
      </c>
      <c r="AO220" s="380">
        <f t="shared" si="97"/>
        <v>0.13850000000000001</v>
      </c>
      <c r="AP220" s="380"/>
    </row>
    <row r="221" spans="2:42" ht="14.4" hidden="1" thickTop="1" thickBot="1">
      <c r="B221" s="324" t="s">
        <v>1280</v>
      </c>
      <c r="C221" s="325" t="s">
        <v>30</v>
      </c>
      <c r="D221" s="326" t="s">
        <v>1160</v>
      </c>
      <c r="E221" s="327">
        <f>IF(B221&lt;&gt;"",SUMIF('AUX-NIV1'!I:I,'AUX-NIV2'!B221,'AUX-NIV1'!Q:Q),"")</f>
        <v>0</v>
      </c>
      <c r="F221" s="327">
        <f t="shared" si="87"/>
        <v>151.85969328137662</v>
      </c>
      <c r="G221" s="327">
        <f t="shared" si="88"/>
        <v>0</v>
      </c>
      <c r="H221" s="328" t="str">
        <f t="shared" si="98"/>
        <v>E</v>
      </c>
      <c r="I221" s="325" t="s">
        <v>1546</v>
      </c>
      <c r="J221" s="329" t="str">
        <f>IF(B221&lt;&gt;"",+VLOOKUP(I221,Recursos!C:F,2,FALSE),"")</f>
        <v>MOTONIVELADORA 12" (15 T)</v>
      </c>
      <c r="K221" s="330" t="str">
        <f>IF(B221&lt;&gt;"",+VLOOKUP(I221,Recursos!C:F,3,FALSE),"")</f>
        <v>HR</v>
      </c>
      <c r="L221" s="327">
        <f>IF(B221&lt;&gt;"",+VLOOKUP(I221,Recursos!C:F,4,FALSE),"")</f>
        <v>3750.4623636363635</v>
      </c>
      <c r="M221" s="331">
        <v>1.7000000000000001E-2</v>
      </c>
      <c r="N221" s="331">
        <v>1</v>
      </c>
      <c r="O221" s="332">
        <v>1.7000000000000001E-2</v>
      </c>
      <c r="P221" s="333">
        <f t="shared" si="99"/>
        <v>63.757860181818188</v>
      </c>
      <c r="Q221" s="327">
        <f t="shared" si="100"/>
        <v>0</v>
      </c>
      <c r="R221" s="334">
        <f t="shared" si="101"/>
        <v>0</v>
      </c>
      <c r="S221" s="358">
        <f t="shared" si="89"/>
        <v>66.10437595670129</v>
      </c>
      <c r="T221" s="358">
        <f t="shared" si="90"/>
        <v>85.605317324675326</v>
      </c>
      <c r="U221" s="359">
        <f t="shared" si="91"/>
        <v>0.15</v>
      </c>
      <c r="V221" s="359">
        <f t="shared" si="92"/>
        <v>0</v>
      </c>
      <c r="W221" s="359">
        <f t="shared" si="93"/>
        <v>0</v>
      </c>
      <c r="X221" s="359">
        <f t="shared" si="94"/>
        <v>0</v>
      </c>
      <c r="Y221" s="320"/>
      <c r="Z221" s="321" t="str">
        <f t="shared" si="102"/>
        <v>X-ESPYHUMA</v>
      </c>
      <c r="AA221" s="321" t="str">
        <f t="shared" si="103"/>
        <v>X-ESPYHUME</v>
      </c>
      <c r="AB221" s="321" t="str">
        <f t="shared" si="104"/>
        <v>X-ESPYHUMM</v>
      </c>
      <c r="AC221" s="321" t="str">
        <f t="shared" si="105"/>
        <v>X-ESPYHUMT</v>
      </c>
      <c r="AD221" s="321" t="str">
        <f t="shared" si="106"/>
        <v>X-ESPYHUMS</v>
      </c>
      <c r="AE221" s="321" t="str">
        <f t="shared" si="107"/>
        <v>X-ESPYHUMX</v>
      </c>
      <c r="AF221" s="321" t="str">
        <f t="shared" si="108"/>
        <v>X-ESPYHUME</v>
      </c>
      <c r="AG221" s="321">
        <f t="shared" si="95"/>
        <v>6</v>
      </c>
      <c r="AH221" s="321">
        <f>IF(B221&lt;&gt;"",IF(H221="x",VLOOKUP(I221,'AUX-NIV3'!B:AG,32,FALSE),0),"")</f>
        <v>0</v>
      </c>
      <c r="AI221" s="321" t="str">
        <f t="shared" si="109"/>
        <v>X-ESPYHUM</v>
      </c>
      <c r="AJ221" s="320"/>
      <c r="AK221" s="322">
        <f t="shared" si="96"/>
        <v>218</v>
      </c>
      <c r="AL221" s="323">
        <f t="shared" si="110"/>
        <v>223</v>
      </c>
      <c r="AM221" s="322">
        <f t="shared" si="111"/>
        <v>4</v>
      </c>
      <c r="AN221" s="380">
        <f>IF(AND(AH221&gt;0,B221&lt;&gt;""),VLOOKUP(I221,'AUX-NIV3'!$B:$AO,39,FALSE)*O221,0)</f>
        <v>0</v>
      </c>
      <c r="AO221" s="380">
        <f t="shared" si="97"/>
        <v>0.13850000000000001</v>
      </c>
      <c r="AP221" s="380"/>
    </row>
    <row r="222" spans="2:42" ht="14.4" hidden="1" thickTop="1" thickBot="1">
      <c r="B222" s="324" t="s">
        <v>1280</v>
      </c>
      <c r="C222" s="325" t="s">
        <v>30</v>
      </c>
      <c r="D222" s="326" t="s">
        <v>1160</v>
      </c>
      <c r="E222" s="327">
        <f>IF(B222&lt;&gt;"",SUMIF('AUX-NIV1'!I:I,'AUX-NIV2'!B222,'AUX-NIV1'!Q:Q),"")</f>
        <v>0</v>
      </c>
      <c r="F222" s="327">
        <f t="shared" si="87"/>
        <v>151.85969328137662</v>
      </c>
      <c r="G222" s="327">
        <f t="shared" si="88"/>
        <v>0</v>
      </c>
      <c r="H222" s="328" t="str">
        <f t="shared" si="98"/>
        <v>E</v>
      </c>
      <c r="I222" s="325" t="s">
        <v>1562</v>
      </c>
      <c r="J222" s="329" t="str">
        <f>IF(B222&lt;&gt;"",+VLOOKUP(I222,Recursos!C:F,2,FALSE),"")</f>
        <v>CAMION REGADOR CAP. 7 m3</v>
      </c>
      <c r="K222" s="330" t="str">
        <f>IF(B222&lt;&gt;"",+VLOOKUP(I222,Recursos!C:F,3,FALSE),"")</f>
        <v>HR</v>
      </c>
      <c r="L222" s="327">
        <f>IF(B222&lt;&gt;"",+VLOOKUP(I222,Recursos!C:F,4,FALSE),"")</f>
        <v>1747.7965714285715</v>
      </c>
      <c r="M222" s="331">
        <v>40</v>
      </c>
      <c r="N222" s="331">
        <v>0.5</v>
      </c>
      <c r="O222" s="332">
        <f>+N222/M222</f>
        <v>1.2500000000000001E-2</v>
      </c>
      <c r="P222" s="333">
        <f t="shared" si="99"/>
        <v>21.847457142857145</v>
      </c>
      <c r="Q222" s="327">
        <f t="shared" si="100"/>
        <v>0</v>
      </c>
      <c r="R222" s="334">
        <f t="shared" si="101"/>
        <v>0</v>
      </c>
      <c r="S222" s="358">
        <f t="shared" si="89"/>
        <v>66.10437595670129</v>
      </c>
      <c r="T222" s="358">
        <f t="shared" si="90"/>
        <v>85.605317324675326</v>
      </c>
      <c r="U222" s="359">
        <f t="shared" si="91"/>
        <v>0.15</v>
      </c>
      <c r="V222" s="359">
        <f t="shared" si="92"/>
        <v>0</v>
      </c>
      <c r="W222" s="359">
        <f t="shared" si="93"/>
        <v>0</v>
      </c>
      <c r="X222" s="359">
        <f t="shared" si="94"/>
        <v>0</v>
      </c>
      <c r="Y222" s="320"/>
      <c r="Z222" s="321" t="str">
        <f t="shared" si="102"/>
        <v>X-ESPYHUMA</v>
      </c>
      <c r="AA222" s="321" t="str">
        <f t="shared" si="103"/>
        <v>X-ESPYHUME</v>
      </c>
      <c r="AB222" s="321" t="str">
        <f t="shared" si="104"/>
        <v>X-ESPYHUMM</v>
      </c>
      <c r="AC222" s="321" t="str">
        <f t="shared" si="105"/>
        <v>X-ESPYHUMT</v>
      </c>
      <c r="AD222" s="321" t="str">
        <f t="shared" si="106"/>
        <v>X-ESPYHUMS</v>
      </c>
      <c r="AE222" s="321" t="str">
        <f t="shared" si="107"/>
        <v>X-ESPYHUMX</v>
      </c>
      <c r="AF222" s="321" t="str">
        <f t="shared" si="108"/>
        <v>X-ESPYHUME</v>
      </c>
      <c r="AG222" s="321">
        <f t="shared" si="95"/>
        <v>6</v>
      </c>
      <c r="AH222" s="321">
        <f>IF(B222&lt;&gt;"",IF(H222="x",VLOOKUP(I222,'AUX-NIV3'!B:AG,32,FALSE),0),"")</f>
        <v>0</v>
      </c>
      <c r="AI222" s="321" t="str">
        <f t="shared" si="109"/>
        <v>X-ESPYHUM</v>
      </c>
      <c r="AJ222" s="320"/>
      <c r="AK222" s="322">
        <f t="shared" si="96"/>
        <v>218</v>
      </c>
      <c r="AL222" s="323">
        <f t="shared" si="110"/>
        <v>223</v>
      </c>
      <c r="AM222" s="322">
        <f t="shared" si="111"/>
        <v>5</v>
      </c>
      <c r="AN222" s="380">
        <f>IF(AND(AH222&gt;0,B222&lt;&gt;""),VLOOKUP(I222,'AUX-NIV3'!$B:$AO,39,FALSE)*O222,0)</f>
        <v>0</v>
      </c>
      <c r="AO222" s="380">
        <f t="shared" si="97"/>
        <v>0.13850000000000001</v>
      </c>
      <c r="AP222" s="380"/>
    </row>
    <row r="223" spans="2:42" ht="14.4" hidden="1" thickTop="1" thickBot="1">
      <c r="B223" s="324" t="s">
        <v>1280</v>
      </c>
      <c r="C223" s="325" t="s">
        <v>30</v>
      </c>
      <c r="D223" s="326" t="s">
        <v>1160</v>
      </c>
      <c r="E223" s="327">
        <f>IF(B223&lt;&gt;"",SUMIF('AUX-NIV1'!I:I,'AUX-NIV2'!B223,'AUX-NIV1'!Q:Q),"")</f>
        <v>0</v>
      </c>
      <c r="F223" s="327">
        <f t="shared" si="87"/>
        <v>151.85969328137662</v>
      </c>
      <c r="G223" s="327">
        <f t="shared" si="88"/>
        <v>0</v>
      </c>
      <c r="H223" s="328" t="str">
        <f t="shared" si="98"/>
        <v>M</v>
      </c>
      <c r="I223" s="325" t="s">
        <v>621</v>
      </c>
      <c r="J223" s="329" t="str">
        <f>IF(B223&lt;&gt;"",+VLOOKUP(I223,Recursos!C:F,2,FALSE),"")</f>
        <v>MATERIALES VARIOS</v>
      </c>
      <c r="K223" s="330" t="str">
        <f>IF(B223&lt;&gt;"",+VLOOKUP(I223,Recursos!C:F,3,FALSE),"")</f>
        <v>GL</v>
      </c>
      <c r="L223" s="327">
        <f>IF(B223&lt;&gt;"",+VLOOKUP(I223,Recursos!C:F,4,FALSE),"")</f>
        <v>0.5</v>
      </c>
      <c r="M223" s="331">
        <v>0.3</v>
      </c>
      <c r="N223" s="331">
        <v>1</v>
      </c>
      <c r="O223" s="332">
        <f>+M223*N223</f>
        <v>0.3</v>
      </c>
      <c r="P223" s="333">
        <f t="shared" si="99"/>
        <v>0.15</v>
      </c>
      <c r="Q223" s="327">
        <f t="shared" si="100"/>
        <v>0</v>
      </c>
      <c r="R223" s="334">
        <f t="shared" si="101"/>
        <v>0</v>
      </c>
      <c r="S223" s="358">
        <f t="shared" si="89"/>
        <v>66.10437595670129</v>
      </c>
      <c r="T223" s="358">
        <f t="shared" si="90"/>
        <v>85.605317324675326</v>
      </c>
      <c r="U223" s="359">
        <f t="shared" si="91"/>
        <v>0.15</v>
      </c>
      <c r="V223" s="359">
        <f t="shared" si="92"/>
        <v>0</v>
      </c>
      <c r="W223" s="359">
        <f t="shared" si="93"/>
        <v>0</v>
      </c>
      <c r="X223" s="359">
        <f t="shared" si="94"/>
        <v>0</v>
      </c>
      <c r="Y223" s="320"/>
      <c r="Z223" s="321" t="str">
        <f t="shared" si="102"/>
        <v>X-ESPYHUMA</v>
      </c>
      <c r="AA223" s="321" t="str">
        <f t="shared" si="103"/>
        <v>X-ESPYHUME</v>
      </c>
      <c r="AB223" s="321" t="str">
        <f t="shared" si="104"/>
        <v>X-ESPYHUMM</v>
      </c>
      <c r="AC223" s="321" t="str">
        <f t="shared" si="105"/>
        <v>X-ESPYHUMT</v>
      </c>
      <c r="AD223" s="321" t="str">
        <f t="shared" si="106"/>
        <v>X-ESPYHUMS</v>
      </c>
      <c r="AE223" s="321" t="str">
        <f t="shared" si="107"/>
        <v>X-ESPYHUMX</v>
      </c>
      <c r="AF223" s="321" t="str">
        <f t="shared" si="108"/>
        <v>X-ESPYHUMM</v>
      </c>
      <c r="AG223" s="321">
        <f t="shared" si="95"/>
        <v>6</v>
      </c>
      <c r="AH223" s="321">
        <f>IF(B223&lt;&gt;"",IF(H223="x",VLOOKUP(I223,'AUX-NIV3'!B:AG,32,FALSE),0),"")</f>
        <v>0</v>
      </c>
      <c r="AI223" s="321" t="str">
        <f t="shared" si="109"/>
        <v>X-ESPYHUM</v>
      </c>
      <c r="AJ223" s="320"/>
      <c r="AK223" s="322">
        <f t="shared" si="96"/>
        <v>218</v>
      </c>
      <c r="AL223" s="323">
        <f t="shared" si="110"/>
        <v>223</v>
      </c>
      <c r="AM223" s="322">
        <f t="shared" si="111"/>
        <v>6</v>
      </c>
      <c r="AN223" s="380">
        <f>IF(AND(AH223&gt;0,B223&lt;&gt;""),VLOOKUP(I223,'AUX-NIV3'!$B:$AO,39,FALSE)*O223,0)</f>
        <v>0</v>
      </c>
      <c r="AO223" s="380">
        <f t="shared" si="97"/>
        <v>0.13850000000000001</v>
      </c>
      <c r="AP223" s="380"/>
    </row>
    <row r="224" spans="2:42" ht="14.4" hidden="1" thickTop="1" thickBot="1">
      <c r="B224" s="324" t="s">
        <v>1281</v>
      </c>
      <c r="C224" s="325" t="s">
        <v>31</v>
      </c>
      <c r="D224" s="326" t="s">
        <v>1160</v>
      </c>
      <c r="E224" s="327">
        <f>IF(B224&lt;&gt;"",SUMIF('AUX-NIV1'!I:I,'AUX-NIV2'!B224,'AUX-NIV1'!Q:Q),"")</f>
        <v>0</v>
      </c>
      <c r="F224" s="327">
        <f t="shared" si="87"/>
        <v>314.91031268746093</v>
      </c>
      <c r="G224" s="327">
        <f t="shared" si="88"/>
        <v>0</v>
      </c>
      <c r="H224" s="328" t="str">
        <f t="shared" si="98"/>
        <v>A</v>
      </c>
      <c r="I224" s="325" t="s">
        <v>1745</v>
      </c>
      <c r="J224" s="329" t="str">
        <f>IF(B224&lt;&gt;"",+VLOOKUP(I224,Recursos!C:F,2,FALSE),"")</f>
        <v>AYUDANTE</v>
      </c>
      <c r="K224" s="330" t="str">
        <f>IF(B224&lt;&gt;"",+VLOOKUP(I224,Recursos!C:F,3,FALSE),"")</f>
        <v>hh</v>
      </c>
      <c r="L224" s="327">
        <f>IF(B224&lt;&gt;"",+VLOOKUP(I224,Recursos!C:F,4,FALSE),"")</f>
        <v>422.48042769667234</v>
      </c>
      <c r="M224" s="331">
        <v>30</v>
      </c>
      <c r="N224" s="331">
        <v>5.6</v>
      </c>
      <c r="O224" s="332">
        <f t="shared" ref="O224:O229" si="113">+N224/M224</f>
        <v>0.18666666666666665</v>
      </c>
      <c r="P224" s="333">
        <f t="shared" si="99"/>
        <v>78.863013170045491</v>
      </c>
      <c r="Q224" s="327">
        <f t="shared" si="100"/>
        <v>0</v>
      </c>
      <c r="R224" s="334">
        <f t="shared" si="101"/>
        <v>0</v>
      </c>
      <c r="S224" s="358">
        <f t="shared" si="89"/>
        <v>160.63995770910594</v>
      </c>
      <c r="T224" s="358">
        <f t="shared" si="90"/>
        <v>154.14535497835499</v>
      </c>
      <c r="U224" s="359">
        <f t="shared" si="91"/>
        <v>0.125</v>
      </c>
      <c r="V224" s="359">
        <f t="shared" si="92"/>
        <v>0</v>
      </c>
      <c r="W224" s="359">
        <f t="shared" si="93"/>
        <v>0</v>
      </c>
      <c r="X224" s="359">
        <f t="shared" si="94"/>
        <v>0</v>
      </c>
      <c r="Y224" s="320"/>
      <c r="Z224" s="321" t="str">
        <f t="shared" si="102"/>
        <v>X-MEZCLAA</v>
      </c>
      <c r="AA224" s="321" t="str">
        <f t="shared" si="103"/>
        <v>X-MEZCLAE</v>
      </c>
      <c r="AB224" s="321" t="str">
        <f t="shared" si="104"/>
        <v>X-MEZCLAM</v>
      </c>
      <c r="AC224" s="321" t="str">
        <f t="shared" si="105"/>
        <v>X-MEZCLAT</v>
      </c>
      <c r="AD224" s="321" t="str">
        <f t="shared" si="106"/>
        <v>X-MEZCLAS</v>
      </c>
      <c r="AE224" s="321" t="str">
        <f t="shared" si="107"/>
        <v>X-MEZCLAX</v>
      </c>
      <c r="AF224" s="321" t="str">
        <f t="shared" si="108"/>
        <v>X-MEZCLAA</v>
      </c>
      <c r="AG224" s="321">
        <f t="shared" si="95"/>
        <v>7</v>
      </c>
      <c r="AH224" s="321">
        <f>IF(B224&lt;&gt;"",IF(H224="x",VLOOKUP(I224,'AUX-NIV3'!B:AG,32,FALSE),0),"")</f>
        <v>0</v>
      </c>
      <c r="AI224" s="321" t="str">
        <f t="shared" si="109"/>
        <v>X-MEZCLA</v>
      </c>
      <c r="AJ224" s="320"/>
      <c r="AK224" s="322">
        <f t="shared" si="96"/>
        <v>224</v>
      </c>
      <c r="AL224" s="323">
        <f t="shared" si="110"/>
        <v>230</v>
      </c>
      <c r="AM224" s="322">
        <f t="shared" si="111"/>
        <v>1</v>
      </c>
      <c r="AN224" s="380">
        <f>IF(AND(AH224&gt;0,B224&lt;&gt;""),VLOOKUP(I224,'AUX-NIV3'!$B:$AO,39,FALSE)*O224,0)</f>
        <v>0</v>
      </c>
      <c r="AO224" s="380">
        <f t="shared" si="97"/>
        <v>0.34333333333333332</v>
      </c>
      <c r="AP224" s="380"/>
    </row>
    <row r="225" spans="2:42" ht="14.4" hidden="1" thickTop="1" thickBot="1">
      <c r="B225" s="324" t="s">
        <v>1281</v>
      </c>
      <c r="C225" s="325" t="s">
        <v>31</v>
      </c>
      <c r="D225" s="326" t="s">
        <v>1160</v>
      </c>
      <c r="E225" s="327">
        <f>IF(B225&lt;&gt;"",SUMIF('AUX-NIV1'!I:I,'AUX-NIV2'!B225,'AUX-NIV1'!Q:Q),"")</f>
        <v>0</v>
      </c>
      <c r="F225" s="327">
        <f t="shared" si="87"/>
        <v>314.91031268746093</v>
      </c>
      <c r="G225" s="327">
        <f t="shared" si="88"/>
        <v>0</v>
      </c>
      <c r="H225" s="328" t="str">
        <f t="shared" si="98"/>
        <v>A</v>
      </c>
      <c r="I225" s="325" t="s">
        <v>1746</v>
      </c>
      <c r="J225" s="329" t="str">
        <f>IF(B225&lt;&gt;"",+VLOOKUP(I225,Recursos!C:F,2,FALSE),"")</f>
        <v>OFICIAL</v>
      </c>
      <c r="K225" s="330" t="str">
        <f>IF(B225&lt;&gt;"",+VLOOKUP(I225,Recursos!C:F,3,FALSE),"")</f>
        <v>hh</v>
      </c>
      <c r="L225" s="327">
        <f>IF(B225&lt;&gt;"",+VLOOKUP(I225,Recursos!C:F,4,FALSE),"")</f>
        <v>496.91595439275824</v>
      </c>
      <c r="M225" s="331">
        <v>30</v>
      </c>
      <c r="N225" s="331">
        <v>2.8</v>
      </c>
      <c r="O225" s="332">
        <f t="shared" si="113"/>
        <v>9.3333333333333324E-2</v>
      </c>
      <c r="P225" s="333">
        <f t="shared" si="99"/>
        <v>46.378822409990761</v>
      </c>
      <c r="Q225" s="327">
        <f t="shared" si="100"/>
        <v>0</v>
      </c>
      <c r="R225" s="334">
        <f t="shared" si="101"/>
        <v>0</v>
      </c>
      <c r="S225" s="358">
        <f t="shared" si="89"/>
        <v>160.63995770910594</v>
      </c>
      <c r="T225" s="358">
        <f t="shared" si="90"/>
        <v>154.14535497835499</v>
      </c>
      <c r="U225" s="359">
        <f t="shared" si="91"/>
        <v>0.125</v>
      </c>
      <c r="V225" s="359">
        <f t="shared" si="92"/>
        <v>0</v>
      </c>
      <c r="W225" s="359">
        <f t="shared" si="93"/>
        <v>0</v>
      </c>
      <c r="X225" s="359">
        <f t="shared" si="94"/>
        <v>0</v>
      </c>
      <c r="Y225" s="320"/>
      <c r="Z225" s="321" t="str">
        <f t="shared" si="102"/>
        <v>X-MEZCLAA</v>
      </c>
      <c r="AA225" s="321" t="str">
        <f t="shared" si="103"/>
        <v>X-MEZCLAE</v>
      </c>
      <c r="AB225" s="321" t="str">
        <f t="shared" si="104"/>
        <v>X-MEZCLAM</v>
      </c>
      <c r="AC225" s="321" t="str">
        <f t="shared" si="105"/>
        <v>X-MEZCLAT</v>
      </c>
      <c r="AD225" s="321" t="str">
        <f t="shared" si="106"/>
        <v>X-MEZCLAS</v>
      </c>
      <c r="AE225" s="321" t="str">
        <f t="shared" si="107"/>
        <v>X-MEZCLAX</v>
      </c>
      <c r="AF225" s="321" t="str">
        <f t="shared" si="108"/>
        <v>X-MEZCLAA</v>
      </c>
      <c r="AG225" s="321">
        <f t="shared" si="95"/>
        <v>7</v>
      </c>
      <c r="AH225" s="321">
        <f>IF(B225&lt;&gt;"",IF(H225="x",VLOOKUP(I225,'AUX-NIV3'!B:AG,32,FALSE),0),"")</f>
        <v>0</v>
      </c>
      <c r="AI225" s="321" t="str">
        <f t="shared" si="109"/>
        <v>X-MEZCLA</v>
      </c>
      <c r="AJ225" s="320"/>
      <c r="AK225" s="322">
        <f t="shared" si="96"/>
        <v>224</v>
      </c>
      <c r="AL225" s="323">
        <f t="shared" si="110"/>
        <v>230</v>
      </c>
      <c r="AM225" s="322">
        <f t="shared" si="111"/>
        <v>2</v>
      </c>
      <c r="AN225" s="380">
        <f>IF(AND(AH225&gt;0,B225&lt;&gt;""),VLOOKUP(I225,'AUX-NIV3'!$B:$AO,39,FALSE)*O225,0)</f>
        <v>0</v>
      </c>
      <c r="AO225" s="380">
        <f t="shared" si="97"/>
        <v>0.34333333333333332</v>
      </c>
      <c r="AP225" s="380"/>
    </row>
    <row r="226" spans="2:42" ht="14.4" hidden="1" thickTop="1" thickBot="1">
      <c r="B226" s="324" t="s">
        <v>1281</v>
      </c>
      <c r="C226" s="325" t="s">
        <v>31</v>
      </c>
      <c r="D226" s="326" t="s">
        <v>1160</v>
      </c>
      <c r="E226" s="327">
        <f>IF(B226&lt;&gt;"",SUMIF('AUX-NIV1'!I:I,'AUX-NIV2'!B226,'AUX-NIV1'!Q:Q),"")</f>
        <v>0</v>
      </c>
      <c r="F226" s="327">
        <f t="shared" si="87"/>
        <v>314.91031268746093</v>
      </c>
      <c r="G226" s="327">
        <f t="shared" si="88"/>
        <v>0</v>
      </c>
      <c r="H226" s="328" t="str">
        <f t="shared" si="98"/>
        <v>A</v>
      </c>
      <c r="I226" s="325" t="s">
        <v>3311</v>
      </c>
      <c r="J226" s="329" t="str">
        <f>IF(B226&lt;&gt;"",+VLOOKUP(I226,Recursos!C:F,2,FALSE),"")</f>
        <v>OPER. EQUIPO</v>
      </c>
      <c r="K226" s="330" t="str">
        <f>IF(B226&lt;&gt;"",+VLOOKUP(I226,Recursos!C:F,3,FALSE),"")</f>
        <v>hh</v>
      </c>
      <c r="L226" s="327">
        <f>IF(B226&lt;&gt;"",+VLOOKUP(I226,Recursos!C:F,4,FALSE),"")</f>
        <v>581.06120476836554</v>
      </c>
      <c r="M226" s="331">
        <v>30</v>
      </c>
      <c r="N226" s="331">
        <v>1.4</v>
      </c>
      <c r="O226" s="332">
        <f t="shared" si="113"/>
        <v>4.6666666666666662E-2</v>
      </c>
      <c r="P226" s="333">
        <f t="shared" si="99"/>
        <v>27.116189555857055</v>
      </c>
      <c r="Q226" s="327">
        <f t="shared" si="100"/>
        <v>0</v>
      </c>
      <c r="R226" s="334">
        <f t="shared" si="101"/>
        <v>0</v>
      </c>
      <c r="S226" s="358">
        <f t="shared" si="89"/>
        <v>160.63995770910594</v>
      </c>
      <c r="T226" s="358">
        <f t="shared" si="90"/>
        <v>154.14535497835499</v>
      </c>
      <c r="U226" s="359">
        <f t="shared" si="91"/>
        <v>0.125</v>
      </c>
      <c r="V226" s="359">
        <f t="shared" si="92"/>
        <v>0</v>
      </c>
      <c r="W226" s="359">
        <f t="shared" si="93"/>
        <v>0</v>
      </c>
      <c r="X226" s="359">
        <f t="shared" si="94"/>
        <v>0</v>
      </c>
      <c r="Y226" s="320"/>
      <c r="Z226" s="321" t="str">
        <f t="shared" si="102"/>
        <v>X-MEZCLAA</v>
      </c>
      <c r="AA226" s="321" t="str">
        <f t="shared" si="103"/>
        <v>X-MEZCLAE</v>
      </c>
      <c r="AB226" s="321" t="str">
        <f t="shared" si="104"/>
        <v>X-MEZCLAM</v>
      </c>
      <c r="AC226" s="321" t="str">
        <f t="shared" si="105"/>
        <v>X-MEZCLAT</v>
      </c>
      <c r="AD226" s="321" t="str">
        <f t="shared" si="106"/>
        <v>X-MEZCLAS</v>
      </c>
      <c r="AE226" s="321" t="str">
        <f t="shared" si="107"/>
        <v>X-MEZCLAX</v>
      </c>
      <c r="AF226" s="321" t="str">
        <f t="shared" si="108"/>
        <v>X-MEZCLAA</v>
      </c>
      <c r="AG226" s="321">
        <f t="shared" si="95"/>
        <v>7</v>
      </c>
      <c r="AH226" s="321">
        <f>IF(B226&lt;&gt;"",IF(H226="x",VLOOKUP(I226,'AUX-NIV3'!B:AG,32,FALSE),0),"")</f>
        <v>0</v>
      </c>
      <c r="AI226" s="321" t="str">
        <f t="shared" si="109"/>
        <v>X-MEZCLA</v>
      </c>
      <c r="AJ226" s="320"/>
      <c r="AK226" s="322">
        <f t="shared" si="96"/>
        <v>224</v>
      </c>
      <c r="AL226" s="323">
        <f t="shared" si="110"/>
        <v>230</v>
      </c>
      <c r="AM226" s="322">
        <f t="shared" si="111"/>
        <v>3</v>
      </c>
      <c r="AN226" s="380">
        <f>IF(AND(AH226&gt;0,B226&lt;&gt;""),VLOOKUP(I226,'AUX-NIV3'!$B:$AO,39,FALSE)*O226,0)</f>
        <v>0</v>
      </c>
      <c r="AO226" s="380">
        <f t="shared" si="97"/>
        <v>0.34333333333333332</v>
      </c>
      <c r="AP226" s="380"/>
    </row>
    <row r="227" spans="2:42" ht="14.4" hidden="1" thickTop="1" thickBot="1">
      <c r="B227" s="324" t="s">
        <v>1281</v>
      </c>
      <c r="C227" s="325" t="s">
        <v>31</v>
      </c>
      <c r="D227" s="326" t="s">
        <v>1160</v>
      </c>
      <c r="E227" s="327">
        <f>IF(B227&lt;&gt;"",SUMIF('AUX-NIV1'!I:I,'AUX-NIV2'!B227,'AUX-NIV1'!Q:Q),"")</f>
        <v>0</v>
      </c>
      <c r="F227" s="327">
        <f t="shared" si="87"/>
        <v>314.91031268746093</v>
      </c>
      <c r="G227" s="327">
        <f t="shared" si="88"/>
        <v>0</v>
      </c>
      <c r="H227" s="328" t="str">
        <f t="shared" si="98"/>
        <v>A</v>
      </c>
      <c r="I227" s="325" t="s">
        <v>3312</v>
      </c>
      <c r="J227" s="329" t="str">
        <f>IF(B227&lt;&gt;"",+VLOOKUP(I227,Recursos!C:F,2,FALSE),"")</f>
        <v>CHOFER</v>
      </c>
      <c r="K227" s="330" t="str">
        <f>IF(B227&lt;&gt;"",+VLOOKUP(I227,Recursos!C:F,3,FALSE),"")</f>
        <v>hh</v>
      </c>
      <c r="L227" s="327">
        <f>IF(B227&lt;&gt;"",+VLOOKUP(I227,Recursos!C:F,4,FALSE),"")</f>
        <v>496.91595439275824</v>
      </c>
      <c r="M227" s="331">
        <v>30</v>
      </c>
      <c r="N227" s="331">
        <v>0.5</v>
      </c>
      <c r="O227" s="332">
        <f t="shared" si="113"/>
        <v>1.6666666666666666E-2</v>
      </c>
      <c r="P227" s="333">
        <f t="shared" si="99"/>
        <v>8.2819325732126376</v>
      </c>
      <c r="Q227" s="327">
        <f t="shared" si="100"/>
        <v>0</v>
      </c>
      <c r="R227" s="334">
        <f t="shared" si="101"/>
        <v>0</v>
      </c>
      <c r="S227" s="358">
        <f t="shared" si="89"/>
        <v>160.63995770910594</v>
      </c>
      <c r="T227" s="358">
        <f t="shared" si="90"/>
        <v>154.14535497835499</v>
      </c>
      <c r="U227" s="359">
        <f t="shared" si="91"/>
        <v>0.125</v>
      </c>
      <c r="V227" s="359">
        <f t="shared" si="92"/>
        <v>0</v>
      </c>
      <c r="W227" s="359">
        <f t="shared" si="93"/>
        <v>0</v>
      </c>
      <c r="X227" s="359">
        <f t="shared" si="94"/>
        <v>0</v>
      </c>
      <c r="Y227" s="320"/>
      <c r="Z227" s="321" t="str">
        <f t="shared" si="102"/>
        <v>X-MEZCLAA</v>
      </c>
      <c r="AA227" s="321" t="str">
        <f t="shared" si="103"/>
        <v>X-MEZCLAE</v>
      </c>
      <c r="AB227" s="321" t="str">
        <f t="shared" si="104"/>
        <v>X-MEZCLAM</v>
      </c>
      <c r="AC227" s="321" t="str">
        <f t="shared" si="105"/>
        <v>X-MEZCLAT</v>
      </c>
      <c r="AD227" s="321" t="str">
        <f t="shared" si="106"/>
        <v>X-MEZCLAS</v>
      </c>
      <c r="AE227" s="321" t="str">
        <f t="shared" si="107"/>
        <v>X-MEZCLAX</v>
      </c>
      <c r="AF227" s="321" t="str">
        <f t="shared" si="108"/>
        <v>X-MEZCLAA</v>
      </c>
      <c r="AG227" s="321">
        <f t="shared" si="95"/>
        <v>7</v>
      </c>
      <c r="AH227" s="321">
        <f>IF(B227&lt;&gt;"",IF(H227="x",VLOOKUP(I227,'AUX-NIV3'!B:AG,32,FALSE),0),"")</f>
        <v>0</v>
      </c>
      <c r="AI227" s="321" t="str">
        <f t="shared" si="109"/>
        <v>X-MEZCLA</v>
      </c>
      <c r="AJ227" s="320"/>
      <c r="AK227" s="322">
        <f t="shared" si="96"/>
        <v>224</v>
      </c>
      <c r="AL227" s="323">
        <f t="shared" si="110"/>
        <v>230</v>
      </c>
      <c r="AM227" s="322">
        <f t="shared" si="111"/>
        <v>4</v>
      </c>
      <c r="AN227" s="380">
        <f>IF(AND(AH227&gt;0,B227&lt;&gt;""),VLOOKUP(I227,'AUX-NIV3'!$B:$AO,39,FALSE)*O227,0)</f>
        <v>0</v>
      </c>
      <c r="AO227" s="380">
        <f t="shared" si="97"/>
        <v>0.34333333333333332</v>
      </c>
      <c r="AP227" s="380"/>
    </row>
    <row r="228" spans="2:42" ht="14.4" hidden="1" thickTop="1" thickBot="1">
      <c r="B228" s="324" t="s">
        <v>1281</v>
      </c>
      <c r="C228" s="325" t="s">
        <v>31</v>
      </c>
      <c r="D228" s="326" t="s">
        <v>1160</v>
      </c>
      <c r="E228" s="327">
        <f>IF(B228&lt;&gt;"",SUMIF('AUX-NIV1'!I:I,'AUX-NIV2'!B228,'AUX-NIV1'!Q:Q),"")</f>
        <v>0</v>
      </c>
      <c r="F228" s="327">
        <f t="shared" si="87"/>
        <v>314.91031268746093</v>
      </c>
      <c r="G228" s="327">
        <f t="shared" si="88"/>
        <v>0</v>
      </c>
      <c r="H228" s="328" t="str">
        <f t="shared" si="98"/>
        <v>E</v>
      </c>
      <c r="I228" s="325" t="s">
        <v>1546</v>
      </c>
      <c r="J228" s="329" t="str">
        <f>IF(B228&lt;&gt;"",+VLOOKUP(I228,Recursos!C:F,2,FALSE),"")</f>
        <v>MOTONIVELADORA 12" (15 T)</v>
      </c>
      <c r="K228" s="330" t="str">
        <f>IF(B228&lt;&gt;"",+VLOOKUP(I228,Recursos!C:F,3,FALSE),"")</f>
        <v>HR</v>
      </c>
      <c r="L228" s="327">
        <f>IF(B228&lt;&gt;"",+VLOOKUP(I228,Recursos!C:F,4,FALSE),"")</f>
        <v>3750.4623636363635</v>
      </c>
      <c r="M228" s="331">
        <v>30</v>
      </c>
      <c r="N228" s="331">
        <v>1</v>
      </c>
      <c r="O228" s="332">
        <f t="shared" si="113"/>
        <v>3.3333333333333333E-2</v>
      </c>
      <c r="P228" s="333">
        <f t="shared" si="99"/>
        <v>125.01541212121212</v>
      </c>
      <c r="Q228" s="327">
        <f t="shared" si="100"/>
        <v>0</v>
      </c>
      <c r="R228" s="334">
        <f t="shared" si="101"/>
        <v>0</v>
      </c>
      <c r="S228" s="358">
        <f t="shared" si="89"/>
        <v>160.63995770910594</v>
      </c>
      <c r="T228" s="358">
        <f t="shared" si="90"/>
        <v>154.14535497835499</v>
      </c>
      <c r="U228" s="359">
        <f t="shared" si="91"/>
        <v>0.125</v>
      </c>
      <c r="V228" s="359">
        <f t="shared" si="92"/>
        <v>0</v>
      </c>
      <c r="W228" s="359">
        <f t="shared" si="93"/>
        <v>0</v>
      </c>
      <c r="X228" s="359">
        <f t="shared" si="94"/>
        <v>0</v>
      </c>
      <c r="Y228" s="320"/>
      <c r="Z228" s="321" t="str">
        <f t="shared" si="102"/>
        <v>X-MEZCLAA</v>
      </c>
      <c r="AA228" s="321" t="str">
        <f t="shared" si="103"/>
        <v>X-MEZCLAE</v>
      </c>
      <c r="AB228" s="321" t="str">
        <f t="shared" si="104"/>
        <v>X-MEZCLAM</v>
      </c>
      <c r="AC228" s="321" t="str">
        <f t="shared" si="105"/>
        <v>X-MEZCLAT</v>
      </c>
      <c r="AD228" s="321" t="str">
        <f t="shared" si="106"/>
        <v>X-MEZCLAS</v>
      </c>
      <c r="AE228" s="321" t="str">
        <f t="shared" si="107"/>
        <v>X-MEZCLAX</v>
      </c>
      <c r="AF228" s="321" t="str">
        <f t="shared" si="108"/>
        <v>X-MEZCLAE</v>
      </c>
      <c r="AG228" s="321">
        <f t="shared" si="95"/>
        <v>7</v>
      </c>
      <c r="AH228" s="321">
        <f>IF(B228&lt;&gt;"",IF(H228="x",VLOOKUP(I228,'AUX-NIV3'!B:AG,32,FALSE),0),"")</f>
        <v>0</v>
      </c>
      <c r="AI228" s="321" t="str">
        <f t="shared" si="109"/>
        <v>X-MEZCLA</v>
      </c>
      <c r="AJ228" s="320"/>
      <c r="AK228" s="322">
        <f t="shared" si="96"/>
        <v>224</v>
      </c>
      <c r="AL228" s="323">
        <f t="shared" si="110"/>
        <v>230</v>
      </c>
      <c r="AM228" s="322">
        <f t="shared" si="111"/>
        <v>5</v>
      </c>
      <c r="AN228" s="380">
        <f>IF(AND(AH228&gt;0,B228&lt;&gt;""),VLOOKUP(I228,'AUX-NIV3'!$B:$AO,39,FALSE)*O228,0)</f>
        <v>0</v>
      </c>
      <c r="AO228" s="380">
        <f t="shared" si="97"/>
        <v>0.34333333333333332</v>
      </c>
      <c r="AP228" s="380"/>
    </row>
    <row r="229" spans="2:42" ht="14.4" hidden="1" thickTop="1" thickBot="1">
      <c r="B229" s="324" t="s">
        <v>1281</v>
      </c>
      <c r="C229" s="325" t="s">
        <v>31</v>
      </c>
      <c r="D229" s="326" t="s">
        <v>1160</v>
      </c>
      <c r="E229" s="327">
        <f>IF(B229&lt;&gt;"",SUMIF('AUX-NIV1'!I:I,'AUX-NIV2'!B229,'AUX-NIV1'!Q:Q),"")</f>
        <v>0</v>
      </c>
      <c r="F229" s="327">
        <f t="shared" si="87"/>
        <v>314.91031268746093</v>
      </c>
      <c r="G229" s="327">
        <f t="shared" si="88"/>
        <v>0</v>
      </c>
      <c r="H229" s="328" t="str">
        <f t="shared" si="98"/>
        <v>E</v>
      </c>
      <c r="I229" s="325" t="s">
        <v>1562</v>
      </c>
      <c r="J229" s="329" t="str">
        <f>IF(B229&lt;&gt;"",+VLOOKUP(I229,Recursos!C:F,2,FALSE),"")</f>
        <v>CAMION REGADOR CAP. 7 m3</v>
      </c>
      <c r="K229" s="330" t="str">
        <f>IF(B229&lt;&gt;"",+VLOOKUP(I229,Recursos!C:F,3,FALSE),"")</f>
        <v>HR</v>
      </c>
      <c r="L229" s="327">
        <f>IF(B229&lt;&gt;"",+VLOOKUP(I229,Recursos!C:F,4,FALSE),"")</f>
        <v>1747.7965714285715</v>
      </c>
      <c r="M229" s="331">
        <v>30</v>
      </c>
      <c r="N229" s="331">
        <v>0.5</v>
      </c>
      <c r="O229" s="332">
        <f t="shared" si="113"/>
        <v>1.6666666666666666E-2</v>
      </c>
      <c r="P229" s="333">
        <f t="shared" si="99"/>
        <v>29.129942857142858</v>
      </c>
      <c r="Q229" s="327">
        <f t="shared" si="100"/>
        <v>0</v>
      </c>
      <c r="R229" s="334">
        <f t="shared" si="101"/>
        <v>0</v>
      </c>
      <c r="S229" s="358">
        <f t="shared" si="89"/>
        <v>160.63995770910594</v>
      </c>
      <c r="T229" s="358">
        <f t="shared" si="90"/>
        <v>154.14535497835499</v>
      </c>
      <c r="U229" s="359">
        <f t="shared" si="91"/>
        <v>0.125</v>
      </c>
      <c r="V229" s="359">
        <f t="shared" si="92"/>
        <v>0</v>
      </c>
      <c r="W229" s="359">
        <f t="shared" si="93"/>
        <v>0</v>
      </c>
      <c r="X229" s="359">
        <f t="shared" si="94"/>
        <v>0</v>
      </c>
      <c r="Y229" s="320"/>
      <c r="Z229" s="321" t="str">
        <f t="shared" si="102"/>
        <v>X-MEZCLAA</v>
      </c>
      <c r="AA229" s="321" t="str">
        <f t="shared" si="103"/>
        <v>X-MEZCLAE</v>
      </c>
      <c r="AB229" s="321" t="str">
        <f t="shared" si="104"/>
        <v>X-MEZCLAM</v>
      </c>
      <c r="AC229" s="321" t="str">
        <f t="shared" si="105"/>
        <v>X-MEZCLAT</v>
      </c>
      <c r="AD229" s="321" t="str">
        <f t="shared" si="106"/>
        <v>X-MEZCLAS</v>
      </c>
      <c r="AE229" s="321" t="str">
        <f t="shared" si="107"/>
        <v>X-MEZCLAX</v>
      </c>
      <c r="AF229" s="321" t="str">
        <f t="shared" si="108"/>
        <v>X-MEZCLAE</v>
      </c>
      <c r="AG229" s="321">
        <f t="shared" si="95"/>
        <v>7</v>
      </c>
      <c r="AH229" s="321">
        <f>IF(B229&lt;&gt;"",IF(H229="x",VLOOKUP(I229,'AUX-NIV3'!B:AG,32,FALSE),0),"")</f>
        <v>0</v>
      </c>
      <c r="AI229" s="321" t="str">
        <f t="shared" si="109"/>
        <v>X-MEZCLA</v>
      </c>
      <c r="AJ229" s="320"/>
      <c r="AK229" s="322">
        <f t="shared" si="96"/>
        <v>224</v>
      </c>
      <c r="AL229" s="323">
        <f t="shared" si="110"/>
        <v>230</v>
      </c>
      <c r="AM229" s="322">
        <f t="shared" si="111"/>
        <v>6</v>
      </c>
      <c r="AN229" s="380">
        <f>IF(AND(AH229&gt;0,B229&lt;&gt;""),VLOOKUP(I229,'AUX-NIV3'!$B:$AO,39,FALSE)*O229,0)</f>
        <v>0</v>
      </c>
      <c r="AO229" s="380">
        <f t="shared" si="97"/>
        <v>0.34333333333333332</v>
      </c>
      <c r="AP229" s="380"/>
    </row>
    <row r="230" spans="2:42" ht="14.4" hidden="1" thickTop="1" thickBot="1">
      <c r="B230" s="324" t="s">
        <v>1281</v>
      </c>
      <c r="C230" s="325" t="s">
        <v>31</v>
      </c>
      <c r="D230" s="326" t="s">
        <v>1160</v>
      </c>
      <c r="E230" s="327">
        <f>IF(B230&lt;&gt;"",SUMIF('AUX-NIV1'!I:I,'AUX-NIV2'!B230,'AUX-NIV1'!Q:Q),"")</f>
        <v>0</v>
      </c>
      <c r="F230" s="327">
        <f t="shared" si="87"/>
        <v>314.91031268746093</v>
      </c>
      <c r="G230" s="327">
        <f t="shared" si="88"/>
        <v>0</v>
      </c>
      <c r="H230" s="328" t="str">
        <f t="shared" si="98"/>
        <v>M</v>
      </c>
      <c r="I230" s="325" t="s">
        <v>621</v>
      </c>
      <c r="J230" s="329" t="str">
        <f>IF(B230&lt;&gt;"",+VLOOKUP(I230,Recursos!C:F,2,FALSE),"")</f>
        <v>MATERIALES VARIOS</v>
      </c>
      <c r="K230" s="330" t="str">
        <f>IF(B230&lt;&gt;"",+VLOOKUP(I230,Recursos!C:F,3,FALSE),"")</f>
        <v>GL</v>
      </c>
      <c r="L230" s="327">
        <f>IF(B230&lt;&gt;"",+VLOOKUP(I230,Recursos!C:F,4,FALSE),"")</f>
        <v>0.5</v>
      </c>
      <c r="M230" s="331">
        <v>0.25</v>
      </c>
      <c r="N230" s="331">
        <v>1</v>
      </c>
      <c r="O230" s="332">
        <f>+M230*N230</f>
        <v>0.25</v>
      </c>
      <c r="P230" s="333">
        <f t="shared" si="99"/>
        <v>0.125</v>
      </c>
      <c r="Q230" s="327">
        <f t="shared" si="100"/>
        <v>0</v>
      </c>
      <c r="R230" s="334">
        <f t="shared" si="101"/>
        <v>0</v>
      </c>
      <c r="S230" s="358">
        <f t="shared" si="89"/>
        <v>160.63995770910594</v>
      </c>
      <c r="T230" s="358">
        <f t="shared" si="90"/>
        <v>154.14535497835499</v>
      </c>
      <c r="U230" s="359">
        <f t="shared" si="91"/>
        <v>0.125</v>
      </c>
      <c r="V230" s="359">
        <f t="shared" si="92"/>
        <v>0</v>
      </c>
      <c r="W230" s="359">
        <f t="shared" si="93"/>
        <v>0</v>
      </c>
      <c r="X230" s="359">
        <f t="shared" si="94"/>
        <v>0</v>
      </c>
      <c r="Y230" s="320"/>
      <c r="Z230" s="321" t="str">
        <f t="shared" si="102"/>
        <v>X-MEZCLAA</v>
      </c>
      <c r="AA230" s="321" t="str">
        <f t="shared" si="103"/>
        <v>X-MEZCLAE</v>
      </c>
      <c r="AB230" s="321" t="str">
        <f t="shared" si="104"/>
        <v>X-MEZCLAM</v>
      </c>
      <c r="AC230" s="321" t="str">
        <f t="shared" si="105"/>
        <v>X-MEZCLAT</v>
      </c>
      <c r="AD230" s="321" t="str">
        <f t="shared" si="106"/>
        <v>X-MEZCLAS</v>
      </c>
      <c r="AE230" s="321" t="str">
        <f t="shared" si="107"/>
        <v>X-MEZCLAX</v>
      </c>
      <c r="AF230" s="321" t="str">
        <f t="shared" si="108"/>
        <v>X-MEZCLAM</v>
      </c>
      <c r="AG230" s="321">
        <f t="shared" si="95"/>
        <v>7</v>
      </c>
      <c r="AH230" s="321">
        <f>IF(B230&lt;&gt;"",IF(H230="x",VLOOKUP(I230,'AUX-NIV3'!B:AG,32,FALSE),0),"")</f>
        <v>0</v>
      </c>
      <c r="AI230" s="321" t="str">
        <f t="shared" si="109"/>
        <v>X-MEZCLA</v>
      </c>
      <c r="AJ230" s="320"/>
      <c r="AK230" s="322">
        <f t="shared" si="96"/>
        <v>224</v>
      </c>
      <c r="AL230" s="323">
        <f t="shared" si="110"/>
        <v>230</v>
      </c>
      <c r="AM230" s="322">
        <f t="shared" si="111"/>
        <v>7</v>
      </c>
      <c r="AN230" s="380">
        <f>IF(AND(AH230&gt;0,B230&lt;&gt;""),VLOOKUP(I230,'AUX-NIV3'!$B:$AO,39,FALSE)*O230,0)</f>
        <v>0</v>
      </c>
      <c r="AO230" s="380">
        <f t="shared" si="97"/>
        <v>0.34333333333333332</v>
      </c>
      <c r="AP230" s="380"/>
    </row>
    <row r="231" spans="2:42" ht="14.4" hidden="1" thickTop="1" thickBot="1">
      <c r="B231" s="324" t="s">
        <v>1282</v>
      </c>
      <c r="C231" s="325" t="s">
        <v>32</v>
      </c>
      <c r="D231" s="326" t="s">
        <v>1160</v>
      </c>
      <c r="E231" s="327">
        <f>IF(B231&lt;&gt;"",SUMIF('AUX-NIV1'!I:I,'AUX-NIV2'!B231,'AUX-NIV1'!Q:Q),"")</f>
        <v>0</v>
      </c>
      <c r="F231" s="327">
        <f t="shared" si="87"/>
        <v>469.10105830219629</v>
      </c>
      <c r="G231" s="327">
        <f t="shared" si="88"/>
        <v>0</v>
      </c>
      <c r="H231" s="328" t="str">
        <f t="shared" si="98"/>
        <v>A</v>
      </c>
      <c r="I231" s="325" t="s">
        <v>1745</v>
      </c>
      <c r="J231" s="329" t="str">
        <f>IF(B231&lt;&gt;"",+VLOOKUP(I231,Recursos!C:F,2,FALSE),"")</f>
        <v>AYUDANTE</v>
      </c>
      <c r="K231" s="330" t="str">
        <f>IF(B231&lt;&gt;"",+VLOOKUP(I231,Recursos!C:F,3,FALSE),"")</f>
        <v>hh</v>
      </c>
      <c r="L231" s="327">
        <f>IF(B231&lt;&gt;"",+VLOOKUP(I231,Recursos!C:F,4,FALSE),"")</f>
        <v>422.48042769667234</v>
      </c>
      <c r="M231" s="331">
        <v>30</v>
      </c>
      <c r="N231" s="331">
        <v>2</v>
      </c>
      <c r="O231" s="332">
        <f t="shared" ref="O231:O237" si="114">+N231/M231</f>
        <v>6.6666666666666666E-2</v>
      </c>
      <c r="P231" s="333">
        <f t="shared" si="99"/>
        <v>28.165361846444821</v>
      </c>
      <c r="Q231" s="327">
        <f t="shared" si="100"/>
        <v>0</v>
      </c>
      <c r="R231" s="334">
        <f t="shared" si="101"/>
        <v>0</v>
      </c>
      <c r="S231" s="358">
        <f t="shared" si="89"/>
        <v>136.63012006987304</v>
      </c>
      <c r="T231" s="358">
        <f t="shared" si="90"/>
        <v>331.47093823232319</v>
      </c>
      <c r="U231" s="359">
        <f t="shared" si="91"/>
        <v>1</v>
      </c>
      <c r="V231" s="359">
        <f t="shared" si="92"/>
        <v>0</v>
      </c>
      <c r="W231" s="359">
        <f t="shared" si="93"/>
        <v>0</v>
      </c>
      <c r="X231" s="359">
        <f t="shared" si="94"/>
        <v>0</v>
      </c>
      <c r="Y231" s="320"/>
      <c r="Z231" s="321" t="str">
        <f t="shared" si="102"/>
        <v>X-DISTYCOMPcA</v>
      </c>
      <c r="AA231" s="321" t="str">
        <f t="shared" si="103"/>
        <v>X-DISTYCOMPcE</v>
      </c>
      <c r="AB231" s="321" t="str">
        <f t="shared" si="104"/>
        <v>X-DISTYCOMPcM</v>
      </c>
      <c r="AC231" s="321" t="str">
        <f t="shared" si="105"/>
        <v>X-DISTYCOMPcT</v>
      </c>
      <c r="AD231" s="321" t="str">
        <f t="shared" si="106"/>
        <v>X-DISTYCOMPcS</v>
      </c>
      <c r="AE231" s="321" t="str">
        <f t="shared" si="107"/>
        <v>X-DISTYCOMPcX</v>
      </c>
      <c r="AF231" s="321" t="str">
        <f t="shared" si="108"/>
        <v>X-DISTYCOMPcA</v>
      </c>
      <c r="AG231" s="321">
        <f t="shared" si="95"/>
        <v>8</v>
      </c>
      <c r="AH231" s="321">
        <f>IF(B231&lt;&gt;"",IF(H231="x",VLOOKUP(I231,'AUX-NIV3'!B:AG,32,FALSE),0),"")</f>
        <v>0</v>
      </c>
      <c r="AI231" s="321" t="str">
        <f t="shared" si="109"/>
        <v>X-DISTYCOMPc</v>
      </c>
      <c r="AJ231" s="320"/>
      <c r="AK231" s="322">
        <f t="shared" si="96"/>
        <v>231</v>
      </c>
      <c r="AL231" s="323">
        <f t="shared" si="110"/>
        <v>238</v>
      </c>
      <c r="AM231" s="322">
        <f t="shared" si="111"/>
        <v>1</v>
      </c>
      <c r="AN231" s="380">
        <f>IF(AND(AH231&gt;0,B231&lt;&gt;""),VLOOKUP(I231,'AUX-NIV3'!$B:$AO,39,FALSE)*O231,0)</f>
        <v>0</v>
      </c>
      <c r="AO231" s="380">
        <f t="shared" si="97"/>
        <v>0.25333333333333335</v>
      </c>
      <c r="AP231" s="380"/>
    </row>
    <row r="232" spans="2:42" ht="14.4" hidden="1" thickTop="1" thickBot="1">
      <c r="B232" s="324" t="s">
        <v>1282</v>
      </c>
      <c r="C232" s="325" t="s">
        <v>32</v>
      </c>
      <c r="D232" s="326" t="s">
        <v>1160</v>
      </c>
      <c r="E232" s="327">
        <f>IF(B232&lt;&gt;"",SUMIF('AUX-NIV1'!I:I,'AUX-NIV2'!B232,'AUX-NIV1'!Q:Q),"")</f>
        <v>0</v>
      </c>
      <c r="F232" s="327">
        <f t="shared" si="87"/>
        <v>469.10105830219629</v>
      </c>
      <c r="G232" s="327">
        <f t="shared" si="88"/>
        <v>0</v>
      </c>
      <c r="H232" s="328" t="str">
        <f t="shared" si="98"/>
        <v>A</v>
      </c>
      <c r="I232" s="325" t="s">
        <v>3311</v>
      </c>
      <c r="J232" s="329" t="str">
        <f>IF(B232&lt;&gt;"",+VLOOKUP(I232,Recursos!C:F,2,FALSE),"")</f>
        <v>OPER. EQUIPO</v>
      </c>
      <c r="K232" s="330" t="str">
        <f>IF(B232&lt;&gt;"",+VLOOKUP(I232,Recursos!C:F,3,FALSE),"")</f>
        <v>hh</v>
      </c>
      <c r="L232" s="327">
        <f>IF(B232&lt;&gt;"",+VLOOKUP(I232,Recursos!C:F,4,FALSE),"")</f>
        <v>581.06120476836554</v>
      </c>
      <c r="M232" s="331">
        <v>30</v>
      </c>
      <c r="N232" s="331">
        <v>1.4</v>
      </c>
      <c r="O232" s="332">
        <f t="shared" si="114"/>
        <v>4.6666666666666662E-2</v>
      </c>
      <c r="P232" s="333">
        <f t="shared" si="99"/>
        <v>27.116189555857055</v>
      </c>
      <c r="Q232" s="327">
        <f t="shared" si="100"/>
        <v>0</v>
      </c>
      <c r="R232" s="334">
        <f t="shared" si="101"/>
        <v>0</v>
      </c>
      <c r="S232" s="358">
        <f t="shared" si="89"/>
        <v>136.63012006987304</v>
      </c>
      <c r="T232" s="358">
        <f t="shared" si="90"/>
        <v>331.47093823232319</v>
      </c>
      <c r="U232" s="359">
        <f t="shared" si="91"/>
        <v>1</v>
      </c>
      <c r="V232" s="359">
        <f t="shared" si="92"/>
        <v>0</v>
      </c>
      <c r="W232" s="359">
        <f t="shared" si="93"/>
        <v>0</v>
      </c>
      <c r="X232" s="359">
        <f t="shared" si="94"/>
        <v>0</v>
      </c>
      <c r="Y232" s="320"/>
      <c r="Z232" s="321" t="str">
        <f t="shared" si="102"/>
        <v>X-DISTYCOMPcA</v>
      </c>
      <c r="AA232" s="321" t="str">
        <f t="shared" si="103"/>
        <v>X-DISTYCOMPcE</v>
      </c>
      <c r="AB232" s="321" t="str">
        <f t="shared" si="104"/>
        <v>X-DISTYCOMPcM</v>
      </c>
      <c r="AC232" s="321" t="str">
        <f t="shared" si="105"/>
        <v>X-DISTYCOMPcT</v>
      </c>
      <c r="AD232" s="321" t="str">
        <f t="shared" si="106"/>
        <v>X-DISTYCOMPcS</v>
      </c>
      <c r="AE232" s="321" t="str">
        <f t="shared" si="107"/>
        <v>X-DISTYCOMPcX</v>
      </c>
      <c r="AF232" s="321" t="str">
        <f t="shared" si="108"/>
        <v>X-DISTYCOMPcA</v>
      </c>
      <c r="AG232" s="321">
        <f t="shared" si="95"/>
        <v>8</v>
      </c>
      <c r="AH232" s="321">
        <f>IF(B232&lt;&gt;"",IF(H232="x",VLOOKUP(I232,'AUX-NIV3'!B:AG,32,FALSE),0),"")</f>
        <v>0</v>
      </c>
      <c r="AI232" s="321" t="str">
        <f t="shared" si="109"/>
        <v>X-DISTYCOMPc</v>
      </c>
      <c r="AJ232" s="320"/>
      <c r="AK232" s="322">
        <f t="shared" si="96"/>
        <v>231</v>
      </c>
      <c r="AL232" s="323">
        <f t="shared" si="110"/>
        <v>238</v>
      </c>
      <c r="AM232" s="322">
        <f t="shared" si="111"/>
        <v>2</v>
      </c>
      <c r="AN232" s="380">
        <f>IF(AND(AH232&gt;0,B232&lt;&gt;""),VLOOKUP(I232,'AUX-NIV3'!$B:$AO,39,FALSE)*O232,0)</f>
        <v>0</v>
      </c>
      <c r="AO232" s="380">
        <f t="shared" si="97"/>
        <v>0.25333333333333335</v>
      </c>
      <c r="AP232" s="380"/>
    </row>
    <row r="233" spans="2:42" ht="14.4" hidden="1" thickTop="1" thickBot="1">
      <c r="B233" s="324" t="s">
        <v>1282</v>
      </c>
      <c r="C233" s="325" t="s">
        <v>32</v>
      </c>
      <c r="D233" s="326" t="s">
        <v>1160</v>
      </c>
      <c r="E233" s="327">
        <f>IF(B233&lt;&gt;"",SUMIF('AUX-NIV1'!I:I,'AUX-NIV2'!B233,'AUX-NIV1'!Q:Q),"")</f>
        <v>0</v>
      </c>
      <c r="F233" s="327">
        <f t="shared" si="87"/>
        <v>469.10105830219629</v>
      </c>
      <c r="G233" s="327">
        <f t="shared" si="88"/>
        <v>0</v>
      </c>
      <c r="H233" s="328" t="str">
        <f t="shared" si="98"/>
        <v>A</v>
      </c>
      <c r="I233" s="325" t="s">
        <v>3311</v>
      </c>
      <c r="J233" s="329" t="str">
        <f>IF(B233&lt;&gt;"",+VLOOKUP(I233,Recursos!C:F,2,FALSE),"")</f>
        <v>OPER. EQUIPO</v>
      </c>
      <c r="K233" s="330" t="str">
        <f>IF(B233&lt;&gt;"",+VLOOKUP(I233,Recursos!C:F,3,FALSE),"")</f>
        <v>hh</v>
      </c>
      <c r="L233" s="327">
        <f>IF(B233&lt;&gt;"",+VLOOKUP(I233,Recursos!C:F,4,FALSE),"")</f>
        <v>581.06120476836554</v>
      </c>
      <c r="M233" s="331">
        <v>30</v>
      </c>
      <c r="N233" s="331">
        <v>4.2</v>
      </c>
      <c r="O233" s="332">
        <f t="shared" si="114"/>
        <v>0.14000000000000001</v>
      </c>
      <c r="P233" s="333">
        <f t="shared" si="99"/>
        <v>81.348568667571186</v>
      </c>
      <c r="Q233" s="327">
        <f t="shared" si="100"/>
        <v>0</v>
      </c>
      <c r="R233" s="334">
        <f t="shared" si="101"/>
        <v>0</v>
      </c>
      <c r="S233" s="358">
        <f t="shared" si="89"/>
        <v>136.63012006987304</v>
      </c>
      <c r="T233" s="358">
        <f t="shared" si="90"/>
        <v>331.47093823232319</v>
      </c>
      <c r="U233" s="359">
        <f t="shared" si="91"/>
        <v>1</v>
      </c>
      <c r="V233" s="359">
        <f t="shared" si="92"/>
        <v>0</v>
      </c>
      <c r="W233" s="359">
        <f t="shared" si="93"/>
        <v>0</v>
      </c>
      <c r="X233" s="359">
        <f t="shared" si="94"/>
        <v>0</v>
      </c>
      <c r="Y233" s="320"/>
      <c r="Z233" s="321" t="str">
        <f t="shared" si="102"/>
        <v>X-DISTYCOMPcA</v>
      </c>
      <c r="AA233" s="321" t="str">
        <f t="shared" si="103"/>
        <v>X-DISTYCOMPcE</v>
      </c>
      <c r="AB233" s="321" t="str">
        <f t="shared" si="104"/>
        <v>X-DISTYCOMPcM</v>
      </c>
      <c r="AC233" s="321" t="str">
        <f t="shared" si="105"/>
        <v>X-DISTYCOMPcT</v>
      </c>
      <c r="AD233" s="321" t="str">
        <f t="shared" si="106"/>
        <v>X-DISTYCOMPcS</v>
      </c>
      <c r="AE233" s="321" t="str">
        <f t="shared" si="107"/>
        <v>X-DISTYCOMPcX</v>
      </c>
      <c r="AF233" s="321" t="str">
        <f t="shared" si="108"/>
        <v>X-DISTYCOMPcA</v>
      </c>
      <c r="AG233" s="321">
        <f t="shared" si="95"/>
        <v>8</v>
      </c>
      <c r="AH233" s="321">
        <f>IF(B233&lt;&gt;"",IF(H233="x",VLOOKUP(I233,'AUX-NIV3'!B:AG,32,FALSE),0),"")</f>
        <v>0</v>
      </c>
      <c r="AI233" s="321" t="str">
        <f t="shared" si="109"/>
        <v>X-DISTYCOMPc</v>
      </c>
      <c r="AJ233" s="320"/>
      <c r="AK233" s="322">
        <f t="shared" si="96"/>
        <v>231</v>
      </c>
      <c r="AL233" s="323">
        <f t="shared" si="110"/>
        <v>238</v>
      </c>
      <c r="AM233" s="322">
        <f t="shared" si="111"/>
        <v>3</v>
      </c>
      <c r="AN233" s="380">
        <f>IF(AND(AH233&gt;0,B233&lt;&gt;""),VLOOKUP(I233,'AUX-NIV3'!$B:$AO,39,FALSE)*O233,0)</f>
        <v>0</v>
      </c>
      <c r="AO233" s="380">
        <f t="shared" si="97"/>
        <v>0.25333333333333335</v>
      </c>
      <c r="AP233" s="380"/>
    </row>
    <row r="234" spans="2:42" ht="14.4" hidden="1" thickTop="1" thickBot="1">
      <c r="B234" s="324" t="s">
        <v>1282</v>
      </c>
      <c r="C234" s="325" t="s">
        <v>32</v>
      </c>
      <c r="D234" s="326" t="s">
        <v>1160</v>
      </c>
      <c r="E234" s="327">
        <f>IF(B234&lt;&gt;"",SUMIF('AUX-NIV1'!I:I,'AUX-NIV2'!B234,'AUX-NIV1'!Q:Q),"")</f>
        <v>0</v>
      </c>
      <c r="F234" s="327">
        <f t="shared" si="87"/>
        <v>469.10105830219629</v>
      </c>
      <c r="G234" s="327">
        <f t="shared" si="88"/>
        <v>0</v>
      </c>
      <c r="H234" s="328" t="str">
        <f t="shared" si="98"/>
        <v>E</v>
      </c>
      <c r="I234" s="325" t="s">
        <v>1546</v>
      </c>
      <c r="J234" s="329" t="str">
        <f>IF(B234&lt;&gt;"",+VLOOKUP(I234,Recursos!C:F,2,FALSE),"")</f>
        <v>MOTONIVELADORA 12" (15 T)</v>
      </c>
      <c r="K234" s="330" t="str">
        <f>IF(B234&lt;&gt;"",+VLOOKUP(I234,Recursos!C:F,3,FALSE),"")</f>
        <v>HR</v>
      </c>
      <c r="L234" s="327">
        <f>IF(B234&lt;&gt;"",+VLOOKUP(I234,Recursos!C:F,4,FALSE),"")</f>
        <v>3750.4623636363635</v>
      </c>
      <c r="M234" s="331">
        <v>30</v>
      </c>
      <c r="N234" s="331">
        <v>1</v>
      </c>
      <c r="O234" s="332">
        <f t="shared" si="114"/>
        <v>3.3333333333333333E-2</v>
      </c>
      <c r="P234" s="333">
        <f t="shared" si="99"/>
        <v>125.01541212121212</v>
      </c>
      <c r="Q234" s="327">
        <f t="shared" si="100"/>
        <v>0</v>
      </c>
      <c r="R234" s="334">
        <f t="shared" si="101"/>
        <v>0</v>
      </c>
      <c r="S234" s="358">
        <f t="shared" si="89"/>
        <v>136.63012006987304</v>
      </c>
      <c r="T234" s="358">
        <f t="shared" si="90"/>
        <v>331.47093823232319</v>
      </c>
      <c r="U234" s="359">
        <f t="shared" si="91"/>
        <v>1</v>
      </c>
      <c r="V234" s="359">
        <f t="shared" si="92"/>
        <v>0</v>
      </c>
      <c r="W234" s="359">
        <f t="shared" si="93"/>
        <v>0</v>
      </c>
      <c r="X234" s="359">
        <f t="shared" si="94"/>
        <v>0</v>
      </c>
      <c r="Y234" s="320"/>
      <c r="Z234" s="321" t="str">
        <f t="shared" si="102"/>
        <v>X-DISTYCOMPcA</v>
      </c>
      <c r="AA234" s="321" t="str">
        <f t="shared" si="103"/>
        <v>X-DISTYCOMPcE</v>
      </c>
      <c r="AB234" s="321" t="str">
        <f t="shared" si="104"/>
        <v>X-DISTYCOMPcM</v>
      </c>
      <c r="AC234" s="321" t="str">
        <f t="shared" si="105"/>
        <v>X-DISTYCOMPcT</v>
      </c>
      <c r="AD234" s="321" t="str">
        <f t="shared" si="106"/>
        <v>X-DISTYCOMPcS</v>
      </c>
      <c r="AE234" s="321" t="str">
        <f t="shared" si="107"/>
        <v>X-DISTYCOMPcX</v>
      </c>
      <c r="AF234" s="321" t="str">
        <f t="shared" si="108"/>
        <v>X-DISTYCOMPcE</v>
      </c>
      <c r="AG234" s="321">
        <f t="shared" si="95"/>
        <v>8</v>
      </c>
      <c r="AH234" s="321">
        <f>IF(B234&lt;&gt;"",IF(H234="x",VLOOKUP(I234,'AUX-NIV3'!B:AG,32,FALSE),0),"")</f>
        <v>0</v>
      </c>
      <c r="AI234" s="321" t="str">
        <f t="shared" si="109"/>
        <v>X-DISTYCOMPc</v>
      </c>
      <c r="AJ234" s="320"/>
      <c r="AK234" s="322">
        <f t="shared" si="96"/>
        <v>231</v>
      </c>
      <c r="AL234" s="323">
        <f t="shared" si="110"/>
        <v>238</v>
      </c>
      <c r="AM234" s="322">
        <f t="shared" si="111"/>
        <v>4</v>
      </c>
      <c r="AN234" s="380">
        <f>IF(AND(AH234&gt;0,B234&lt;&gt;""),VLOOKUP(I234,'AUX-NIV3'!$B:$AO,39,FALSE)*O234,0)</f>
        <v>0</v>
      </c>
      <c r="AO234" s="380">
        <f t="shared" si="97"/>
        <v>0.25333333333333335</v>
      </c>
      <c r="AP234" s="380"/>
    </row>
    <row r="235" spans="2:42" ht="14.4" hidden="1" thickTop="1" thickBot="1">
      <c r="B235" s="324" t="s">
        <v>1282</v>
      </c>
      <c r="C235" s="325" t="s">
        <v>32</v>
      </c>
      <c r="D235" s="326" t="s">
        <v>1160</v>
      </c>
      <c r="E235" s="327">
        <f>IF(B235&lt;&gt;"",SUMIF('AUX-NIV1'!I:I,'AUX-NIV2'!B235,'AUX-NIV1'!Q:Q),"")</f>
        <v>0</v>
      </c>
      <c r="F235" s="327">
        <f t="shared" si="87"/>
        <v>469.10105830219629</v>
      </c>
      <c r="G235" s="327">
        <f t="shared" si="88"/>
        <v>0</v>
      </c>
      <c r="H235" s="328" t="str">
        <f t="shared" si="98"/>
        <v>E</v>
      </c>
      <c r="I235" s="325" t="s">
        <v>1567</v>
      </c>
      <c r="J235" s="329" t="str">
        <f>IF(B235&lt;&gt;"",+VLOOKUP(I235,Recursos!C:F,2,FALSE),"")</f>
        <v>COMPACT.LISO VIBR.AUTOPROP.(11 T)</v>
      </c>
      <c r="K235" s="330" t="str">
        <f>IF(B235&lt;&gt;"",+VLOOKUP(I235,Recursos!C:F,3,FALSE),"")</f>
        <v>HR</v>
      </c>
      <c r="L235" s="327">
        <f>IF(B235&lt;&gt;"",+VLOOKUP(I235,Recursos!C:F,4,FALSE),"")</f>
        <v>2197.9879999999998</v>
      </c>
      <c r="M235" s="331">
        <v>30</v>
      </c>
      <c r="N235" s="331">
        <v>1</v>
      </c>
      <c r="O235" s="332">
        <f t="shared" si="114"/>
        <v>3.3333333333333333E-2</v>
      </c>
      <c r="P235" s="333">
        <f t="shared" si="99"/>
        <v>73.266266666666667</v>
      </c>
      <c r="Q235" s="327">
        <f t="shared" si="100"/>
        <v>0</v>
      </c>
      <c r="R235" s="334">
        <f t="shared" si="101"/>
        <v>0</v>
      </c>
      <c r="S235" s="358">
        <f t="shared" si="89"/>
        <v>136.63012006987304</v>
      </c>
      <c r="T235" s="358">
        <f t="shared" si="90"/>
        <v>331.47093823232319</v>
      </c>
      <c r="U235" s="359">
        <f t="shared" si="91"/>
        <v>1</v>
      </c>
      <c r="V235" s="359">
        <f t="shared" si="92"/>
        <v>0</v>
      </c>
      <c r="W235" s="359">
        <f t="shared" si="93"/>
        <v>0</v>
      </c>
      <c r="X235" s="359">
        <f t="shared" si="94"/>
        <v>0</v>
      </c>
      <c r="Y235" s="320"/>
      <c r="Z235" s="321" t="str">
        <f t="shared" si="102"/>
        <v>X-DISTYCOMPcA</v>
      </c>
      <c r="AA235" s="321" t="str">
        <f t="shared" si="103"/>
        <v>X-DISTYCOMPcE</v>
      </c>
      <c r="AB235" s="321" t="str">
        <f t="shared" si="104"/>
        <v>X-DISTYCOMPcM</v>
      </c>
      <c r="AC235" s="321" t="str">
        <f t="shared" si="105"/>
        <v>X-DISTYCOMPcT</v>
      </c>
      <c r="AD235" s="321" t="str">
        <f t="shared" si="106"/>
        <v>X-DISTYCOMPcS</v>
      </c>
      <c r="AE235" s="321" t="str">
        <f t="shared" si="107"/>
        <v>X-DISTYCOMPcX</v>
      </c>
      <c r="AF235" s="321" t="str">
        <f t="shared" si="108"/>
        <v>X-DISTYCOMPcE</v>
      </c>
      <c r="AG235" s="321">
        <f t="shared" si="95"/>
        <v>8</v>
      </c>
      <c r="AH235" s="321">
        <f>IF(B235&lt;&gt;"",IF(H235="x",VLOOKUP(I235,'AUX-NIV3'!B:AG,32,FALSE),0),"")</f>
        <v>0</v>
      </c>
      <c r="AI235" s="321" t="str">
        <f t="shared" si="109"/>
        <v>X-DISTYCOMPc</v>
      </c>
      <c r="AJ235" s="320"/>
      <c r="AK235" s="322">
        <f t="shared" si="96"/>
        <v>231</v>
      </c>
      <c r="AL235" s="323">
        <f t="shared" si="110"/>
        <v>238</v>
      </c>
      <c r="AM235" s="322">
        <f t="shared" si="111"/>
        <v>5</v>
      </c>
      <c r="AN235" s="380">
        <f>IF(AND(AH235&gt;0,B235&lt;&gt;""),VLOOKUP(I235,'AUX-NIV3'!$B:$AO,39,FALSE)*O235,0)</f>
        <v>0</v>
      </c>
      <c r="AO235" s="380">
        <f t="shared" si="97"/>
        <v>0.25333333333333335</v>
      </c>
      <c r="AP235" s="380"/>
    </row>
    <row r="236" spans="2:42" ht="14.4" hidden="1" thickTop="1" thickBot="1">
      <c r="B236" s="324" t="s">
        <v>1282</v>
      </c>
      <c r="C236" s="325" t="s">
        <v>32</v>
      </c>
      <c r="D236" s="326" t="s">
        <v>1160</v>
      </c>
      <c r="E236" s="327">
        <f>IF(B236&lt;&gt;"",SUMIF('AUX-NIV1'!I:I,'AUX-NIV2'!B236,'AUX-NIV1'!Q:Q),"")</f>
        <v>0</v>
      </c>
      <c r="F236" s="327">
        <f t="shared" si="87"/>
        <v>469.10105830219629</v>
      </c>
      <c r="G236" s="327">
        <f t="shared" si="88"/>
        <v>0</v>
      </c>
      <c r="H236" s="328" t="str">
        <f t="shared" si="98"/>
        <v>E</v>
      </c>
      <c r="I236" s="325" t="s">
        <v>1569</v>
      </c>
      <c r="J236" s="329" t="str">
        <f>IF(B236&lt;&gt;"",+VLOOKUP(I236,Recursos!C:F,2,FALSE),"")</f>
        <v>COMPACTADOR NEUMAT.AUTOPROP.(22 T)</v>
      </c>
      <c r="K236" s="330" t="str">
        <f>IF(B236&lt;&gt;"",+VLOOKUP(I236,Recursos!C:F,3,FALSE),"")</f>
        <v>HR</v>
      </c>
      <c r="L236" s="327">
        <f>IF(B236&lt;&gt;"",+VLOOKUP(I236,Recursos!C:F,4,FALSE),"")</f>
        <v>1797.6897833333335</v>
      </c>
      <c r="M236" s="331">
        <v>30</v>
      </c>
      <c r="N236" s="331">
        <v>1</v>
      </c>
      <c r="O236" s="332">
        <f t="shared" si="114"/>
        <v>3.3333333333333333E-2</v>
      </c>
      <c r="P236" s="333">
        <f t="shared" si="99"/>
        <v>59.922992777777779</v>
      </c>
      <c r="Q236" s="327">
        <f t="shared" si="100"/>
        <v>0</v>
      </c>
      <c r="R236" s="334">
        <f t="shared" si="101"/>
        <v>0</v>
      </c>
      <c r="S236" s="358">
        <f t="shared" si="89"/>
        <v>136.63012006987304</v>
      </c>
      <c r="T236" s="358">
        <f t="shared" si="90"/>
        <v>331.47093823232319</v>
      </c>
      <c r="U236" s="359">
        <f t="shared" si="91"/>
        <v>1</v>
      </c>
      <c r="V236" s="359">
        <f t="shared" si="92"/>
        <v>0</v>
      </c>
      <c r="W236" s="359">
        <f t="shared" si="93"/>
        <v>0</v>
      </c>
      <c r="X236" s="359">
        <f t="shared" si="94"/>
        <v>0</v>
      </c>
      <c r="Y236" s="320"/>
      <c r="Z236" s="321" t="str">
        <f t="shared" si="102"/>
        <v>X-DISTYCOMPcA</v>
      </c>
      <c r="AA236" s="321" t="str">
        <f t="shared" si="103"/>
        <v>X-DISTYCOMPcE</v>
      </c>
      <c r="AB236" s="321" t="str">
        <f t="shared" si="104"/>
        <v>X-DISTYCOMPcM</v>
      </c>
      <c r="AC236" s="321" t="str">
        <f t="shared" si="105"/>
        <v>X-DISTYCOMPcT</v>
      </c>
      <c r="AD236" s="321" t="str">
        <f t="shared" si="106"/>
        <v>X-DISTYCOMPcS</v>
      </c>
      <c r="AE236" s="321" t="str">
        <f t="shared" si="107"/>
        <v>X-DISTYCOMPcX</v>
      </c>
      <c r="AF236" s="321" t="str">
        <f t="shared" si="108"/>
        <v>X-DISTYCOMPcE</v>
      </c>
      <c r="AG236" s="321">
        <f t="shared" si="95"/>
        <v>8</v>
      </c>
      <c r="AH236" s="321">
        <f>IF(B236&lt;&gt;"",IF(H236="x",VLOOKUP(I236,'AUX-NIV3'!B:AG,32,FALSE),0),"")</f>
        <v>0</v>
      </c>
      <c r="AI236" s="321" t="str">
        <f t="shared" si="109"/>
        <v>X-DISTYCOMPc</v>
      </c>
      <c r="AJ236" s="320"/>
      <c r="AK236" s="322">
        <f t="shared" si="96"/>
        <v>231</v>
      </c>
      <c r="AL236" s="323">
        <f t="shared" si="110"/>
        <v>238</v>
      </c>
      <c r="AM236" s="322">
        <f t="shared" si="111"/>
        <v>6</v>
      </c>
      <c r="AN236" s="380">
        <f>IF(AND(AH236&gt;0,B236&lt;&gt;""),VLOOKUP(I236,'AUX-NIV3'!$B:$AO,39,FALSE)*O236,0)</f>
        <v>0</v>
      </c>
      <c r="AO236" s="380">
        <f t="shared" si="97"/>
        <v>0.25333333333333335</v>
      </c>
      <c r="AP236" s="380"/>
    </row>
    <row r="237" spans="2:42" ht="14.4" hidden="1" thickTop="1" thickBot="1">
      <c r="B237" s="324" t="s">
        <v>1282</v>
      </c>
      <c r="C237" s="325" t="s">
        <v>32</v>
      </c>
      <c r="D237" s="326" t="s">
        <v>1160</v>
      </c>
      <c r="E237" s="327">
        <f>IF(B237&lt;&gt;"",SUMIF('AUX-NIV1'!I:I,'AUX-NIV2'!B237,'AUX-NIV1'!Q:Q),"")</f>
        <v>0</v>
      </c>
      <c r="F237" s="327">
        <f t="shared" si="87"/>
        <v>469.10105830219629</v>
      </c>
      <c r="G237" s="327">
        <f t="shared" si="88"/>
        <v>0</v>
      </c>
      <c r="H237" s="328" t="str">
        <f t="shared" si="98"/>
        <v>E</v>
      </c>
      <c r="I237" s="325" t="s">
        <v>1567</v>
      </c>
      <c r="J237" s="329" t="str">
        <f>IF(B237&lt;&gt;"",+VLOOKUP(I237,Recursos!C:F,2,FALSE),"")</f>
        <v>COMPACT.LISO VIBR.AUTOPROP.(11 T)</v>
      </c>
      <c r="K237" s="330" t="str">
        <f>IF(B237&lt;&gt;"",+VLOOKUP(I237,Recursos!C:F,3,FALSE),"")</f>
        <v>HR</v>
      </c>
      <c r="L237" s="327">
        <f>IF(B237&lt;&gt;"",+VLOOKUP(I237,Recursos!C:F,4,FALSE),"")</f>
        <v>2197.9879999999998</v>
      </c>
      <c r="M237" s="331">
        <v>30</v>
      </c>
      <c r="N237" s="331">
        <v>1</v>
      </c>
      <c r="O237" s="332">
        <f t="shared" si="114"/>
        <v>3.3333333333333333E-2</v>
      </c>
      <c r="P237" s="333">
        <f t="shared" si="99"/>
        <v>73.266266666666667</v>
      </c>
      <c r="Q237" s="327">
        <f t="shared" si="100"/>
        <v>0</v>
      </c>
      <c r="R237" s="334">
        <f t="shared" si="101"/>
        <v>0</v>
      </c>
      <c r="S237" s="358">
        <f t="shared" si="89"/>
        <v>136.63012006987304</v>
      </c>
      <c r="T237" s="358">
        <f t="shared" si="90"/>
        <v>331.47093823232319</v>
      </c>
      <c r="U237" s="359">
        <f t="shared" si="91"/>
        <v>1</v>
      </c>
      <c r="V237" s="359">
        <f t="shared" si="92"/>
        <v>0</v>
      </c>
      <c r="W237" s="359">
        <f t="shared" si="93"/>
        <v>0</v>
      </c>
      <c r="X237" s="359">
        <f t="shared" si="94"/>
        <v>0</v>
      </c>
      <c r="Y237" s="320"/>
      <c r="Z237" s="321" t="str">
        <f t="shared" si="102"/>
        <v>X-DISTYCOMPcA</v>
      </c>
      <c r="AA237" s="321" t="str">
        <f t="shared" si="103"/>
        <v>X-DISTYCOMPcE</v>
      </c>
      <c r="AB237" s="321" t="str">
        <f t="shared" si="104"/>
        <v>X-DISTYCOMPcM</v>
      </c>
      <c r="AC237" s="321" t="str">
        <f t="shared" si="105"/>
        <v>X-DISTYCOMPcT</v>
      </c>
      <c r="AD237" s="321" t="str">
        <f t="shared" si="106"/>
        <v>X-DISTYCOMPcS</v>
      </c>
      <c r="AE237" s="321" t="str">
        <f t="shared" si="107"/>
        <v>X-DISTYCOMPcX</v>
      </c>
      <c r="AF237" s="321" t="str">
        <f t="shared" si="108"/>
        <v>X-DISTYCOMPcE</v>
      </c>
      <c r="AG237" s="321">
        <f t="shared" si="95"/>
        <v>8</v>
      </c>
      <c r="AH237" s="321">
        <f>IF(B237&lt;&gt;"",IF(H237="x",VLOOKUP(I237,'AUX-NIV3'!B:AG,32,FALSE),0),"")</f>
        <v>0</v>
      </c>
      <c r="AI237" s="321" t="str">
        <f t="shared" si="109"/>
        <v>X-DISTYCOMPc</v>
      </c>
      <c r="AJ237" s="320"/>
      <c r="AK237" s="322">
        <f t="shared" si="96"/>
        <v>231</v>
      </c>
      <c r="AL237" s="323">
        <f t="shared" si="110"/>
        <v>238</v>
      </c>
      <c r="AM237" s="322">
        <f t="shared" si="111"/>
        <v>7</v>
      </c>
      <c r="AN237" s="380">
        <f>IF(AND(AH237&gt;0,B237&lt;&gt;""),VLOOKUP(I237,'AUX-NIV3'!$B:$AO,39,FALSE)*O237,0)</f>
        <v>0</v>
      </c>
      <c r="AO237" s="380">
        <f t="shared" si="97"/>
        <v>0.25333333333333335</v>
      </c>
      <c r="AP237" s="380"/>
    </row>
    <row r="238" spans="2:42" ht="14.4" hidden="1" thickTop="1" thickBot="1">
      <c r="B238" s="324" t="s">
        <v>1282</v>
      </c>
      <c r="C238" s="325" t="s">
        <v>32</v>
      </c>
      <c r="D238" s="326" t="s">
        <v>1160</v>
      </c>
      <c r="E238" s="327">
        <f>IF(B238&lt;&gt;"",SUMIF('AUX-NIV1'!I:I,'AUX-NIV2'!B238,'AUX-NIV1'!Q:Q),"")</f>
        <v>0</v>
      </c>
      <c r="F238" s="327">
        <f t="shared" si="87"/>
        <v>469.10105830219629</v>
      </c>
      <c r="G238" s="327">
        <f t="shared" si="88"/>
        <v>0</v>
      </c>
      <c r="H238" s="328" t="str">
        <f t="shared" si="98"/>
        <v>M</v>
      </c>
      <c r="I238" s="325" t="s">
        <v>621</v>
      </c>
      <c r="J238" s="329" t="str">
        <f>IF(B238&lt;&gt;"",+VLOOKUP(I238,Recursos!C:F,2,FALSE),"")</f>
        <v>MATERIALES VARIOS</v>
      </c>
      <c r="K238" s="330" t="str">
        <f>IF(B238&lt;&gt;"",+VLOOKUP(I238,Recursos!C:F,3,FALSE),"")</f>
        <v>GL</v>
      </c>
      <c r="L238" s="327">
        <f>IF(B238&lt;&gt;"",+VLOOKUP(I238,Recursos!C:F,4,FALSE),"")</f>
        <v>0.5</v>
      </c>
      <c r="M238" s="331">
        <v>2</v>
      </c>
      <c r="N238" s="331">
        <v>1</v>
      </c>
      <c r="O238" s="332">
        <f>+M238*N238</f>
        <v>2</v>
      </c>
      <c r="P238" s="333">
        <f t="shared" si="99"/>
        <v>1</v>
      </c>
      <c r="Q238" s="327">
        <f t="shared" si="100"/>
        <v>0</v>
      </c>
      <c r="R238" s="334">
        <f t="shared" si="101"/>
        <v>0</v>
      </c>
      <c r="S238" s="358">
        <f t="shared" si="89"/>
        <v>136.63012006987304</v>
      </c>
      <c r="T238" s="358">
        <f t="shared" si="90"/>
        <v>331.47093823232319</v>
      </c>
      <c r="U238" s="359">
        <f t="shared" si="91"/>
        <v>1</v>
      </c>
      <c r="V238" s="359">
        <f t="shared" si="92"/>
        <v>0</v>
      </c>
      <c r="W238" s="359">
        <f t="shared" si="93"/>
        <v>0</v>
      </c>
      <c r="X238" s="359">
        <f t="shared" si="94"/>
        <v>0</v>
      </c>
      <c r="Y238" s="320"/>
      <c r="Z238" s="321" t="str">
        <f t="shared" si="102"/>
        <v>X-DISTYCOMPcA</v>
      </c>
      <c r="AA238" s="321" t="str">
        <f t="shared" si="103"/>
        <v>X-DISTYCOMPcE</v>
      </c>
      <c r="AB238" s="321" t="str">
        <f t="shared" si="104"/>
        <v>X-DISTYCOMPcM</v>
      </c>
      <c r="AC238" s="321" t="str">
        <f t="shared" si="105"/>
        <v>X-DISTYCOMPcT</v>
      </c>
      <c r="AD238" s="321" t="str">
        <f t="shared" si="106"/>
        <v>X-DISTYCOMPcS</v>
      </c>
      <c r="AE238" s="321" t="str">
        <f t="shared" si="107"/>
        <v>X-DISTYCOMPcX</v>
      </c>
      <c r="AF238" s="321" t="str">
        <f t="shared" si="108"/>
        <v>X-DISTYCOMPcM</v>
      </c>
      <c r="AG238" s="321">
        <f t="shared" si="95"/>
        <v>8</v>
      </c>
      <c r="AH238" s="321">
        <f>IF(B238&lt;&gt;"",IF(H238="x",VLOOKUP(I238,'AUX-NIV3'!B:AG,32,FALSE),0),"")</f>
        <v>0</v>
      </c>
      <c r="AI238" s="321" t="str">
        <f t="shared" si="109"/>
        <v>X-DISTYCOMPc</v>
      </c>
      <c r="AJ238" s="320"/>
      <c r="AK238" s="322">
        <f t="shared" si="96"/>
        <v>231</v>
      </c>
      <c r="AL238" s="323">
        <f t="shared" si="110"/>
        <v>238</v>
      </c>
      <c r="AM238" s="322">
        <f t="shared" si="111"/>
        <v>8</v>
      </c>
      <c r="AN238" s="380">
        <f>IF(AND(AH238&gt;0,B238&lt;&gt;""),VLOOKUP(I238,'AUX-NIV3'!$B:$AO,39,FALSE)*O238,0)</f>
        <v>0</v>
      </c>
      <c r="AO238" s="380">
        <f t="shared" si="97"/>
        <v>0.25333333333333335</v>
      </c>
      <c r="AP238" s="380"/>
    </row>
    <row r="239" spans="2:42" ht="14.4" hidden="1" thickTop="1" thickBot="1">
      <c r="B239" s="324" t="s">
        <v>1283</v>
      </c>
      <c r="C239" s="325" t="s">
        <v>33</v>
      </c>
      <c r="D239" s="326" t="s">
        <v>1160</v>
      </c>
      <c r="E239" s="327">
        <f>IF(B239&lt;&gt;"",SUMIF('AUX-NIV1'!I:I,'AUX-NIV2'!B239,'AUX-NIV1'!Q:Q),"")</f>
        <v>0</v>
      </c>
      <c r="F239" s="327">
        <f t="shared" si="87"/>
        <v>125.70553823996164</v>
      </c>
      <c r="G239" s="327">
        <f t="shared" si="88"/>
        <v>0</v>
      </c>
      <c r="H239" s="328" t="str">
        <f t="shared" si="98"/>
        <v>A</v>
      </c>
      <c r="I239" s="325" t="s">
        <v>1745</v>
      </c>
      <c r="J239" s="329" t="str">
        <f>IF(B239&lt;&gt;"",+VLOOKUP(I239,Recursos!C:F,2,FALSE),"")</f>
        <v>AYUDANTE</v>
      </c>
      <c r="K239" s="330" t="str">
        <f>IF(B239&lt;&gt;"",+VLOOKUP(I239,Recursos!C:F,3,FALSE),"")</f>
        <v>hh</v>
      </c>
      <c r="L239" s="327">
        <f>IF(B239&lt;&gt;"",+VLOOKUP(I239,Recursos!C:F,4,FALSE),"")</f>
        <v>422.48042769667234</v>
      </c>
      <c r="M239" s="331">
        <v>50</v>
      </c>
      <c r="N239" s="331">
        <v>1.4</v>
      </c>
      <c r="O239" s="332">
        <f>+N239/M239</f>
        <v>2.7999999999999997E-2</v>
      </c>
      <c r="P239" s="333">
        <f t="shared" si="99"/>
        <v>11.829451975506824</v>
      </c>
      <c r="Q239" s="327">
        <f t="shared" si="100"/>
        <v>0</v>
      </c>
      <c r="R239" s="334">
        <f t="shared" si="101"/>
        <v>0</v>
      </c>
      <c r="S239" s="358">
        <f t="shared" si="89"/>
        <v>33.06832525294864</v>
      </c>
      <c r="T239" s="358">
        <f t="shared" si="90"/>
        <v>92.487212987012995</v>
      </c>
      <c r="U239" s="359">
        <f t="shared" si="91"/>
        <v>0.15</v>
      </c>
      <c r="V239" s="359">
        <f t="shared" si="92"/>
        <v>0</v>
      </c>
      <c r="W239" s="359">
        <f t="shared" si="93"/>
        <v>0</v>
      </c>
      <c r="X239" s="359">
        <f t="shared" si="94"/>
        <v>0</v>
      </c>
      <c r="Y239" s="320"/>
      <c r="Z239" s="321" t="str">
        <f t="shared" si="102"/>
        <v>X-TRATASRA</v>
      </c>
      <c r="AA239" s="321" t="str">
        <f t="shared" si="103"/>
        <v>X-TRATASRE</v>
      </c>
      <c r="AB239" s="321" t="str">
        <f t="shared" si="104"/>
        <v>X-TRATASRM</v>
      </c>
      <c r="AC239" s="321" t="str">
        <f t="shared" si="105"/>
        <v>X-TRATASRT</v>
      </c>
      <c r="AD239" s="321" t="str">
        <f t="shared" si="106"/>
        <v>X-TRATASRS</v>
      </c>
      <c r="AE239" s="321" t="str">
        <f t="shared" si="107"/>
        <v>X-TRATASRX</v>
      </c>
      <c r="AF239" s="321" t="str">
        <f t="shared" si="108"/>
        <v>X-TRATASRA</v>
      </c>
      <c r="AG239" s="321">
        <f t="shared" si="95"/>
        <v>6</v>
      </c>
      <c r="AH239" s="321">
        <f>IF(B239&lt;&gt;"",IF(H239="x",VLOOKUP(I239,'AUX-NIV3'!B:AG,32,FALSE),0),"")</f>
        <v>0</v>
      </c>
      <c r="AI239" s="321" t="str">
        <f t="shared" si="109"/>
        <v>X-TRATASR</v>
      </c>
      <c r="AJ239" s="320"/>
      <c r="AK239" s="322">
        <f t="shared" si="96"/>
        <v>239</v>
      </c>
      <c r="AL239" s="323">
        <f t="shared" si="110"/>
        <v>244</v>
      </c>
      <c r="AM239" s="322">
        <f t="shared" si="111"/>
        <v>1</v>
      </c>
      <c r="AN239" s="380">
        <f>IF(AND(AH239&gt;0,B239&lt;&gt;""),VLOOKUP(I239,'AUX-NIV3'!$B:$AO,39,FALSE)*O239,0)</f>
        <v>0</v>
      </c>
      <c r="AO239" s="380">
        <f t="shared" si="97"/>
        <v>6.5999999999999989E-2</v>
      </c>
      <c r="AP239" s="380"/>
    </row>
    <row r="240" spans="2:42" ht="14.4" hidden="1" thickTop="1" thickBot="1">
      <c r="B240" s="324" t="s">
        <v>1283</v>
      </c>
      <c r="C240" s="325" t="s">
        <v>33</v>
      </c>
      <c r="D240" s="326" t="s">
        <v>1160</v>
      </c>
      <c r="E240" s="327">
        <f>IF(B240&lt;&gt;"",SUMIF('AUX-NIV1'!I:I,'AUX-NIV2'!B240,'AUX-NIV1'!Q:Q),"")</f>
        <v>0</v>
      </c>
      <c r="F240" s="327">
        <f t="shared" si="87"/>
        <v>125.70553823996164</v>
      </c>
      <c r="G240" s="327">
        <f t="shared" si="88"/>
        <v>0</v>
      </c>
      <c r="H240" s="328" t="str">
        <f t="shared" si="98"/>
        <v>A</v>
      </c>
      <c r="I240" s="325" t="s">
        <v>3311</v>
      </c>
      <c r="J240" s="329" t="str">
        <f>IF(B240&lt;&gt;"",+VLOOKUP(I240,Recursos!C:F,2,FALSE),"")</f>
        <v>OPER. EQUIPO</v>
      </c>
      <c r="K240" s="330" t="str">
        <f>IF(B240&lt;&gt;"",+VLOOKUP(I240,Recursos!C:F,3,FALSE),"")</f>
        <v>hh</v>
      </c>
      <c r="L240" s="327">
        <f>IF(B240&lt;&gt;"",+VLOOKUP(I240,Recursos!C:F,4,FALSE),"")</f>
        <v>581.06120476836554</v>
      </c>
      <c r="M240" s="331">
        <v>50</v>
      </c>
      <c r="N240" s="331">
        <v>1.4</v>
      </c>
      <c r="O240" s="332">
        <f>+N240/M240</f>
        <v>2.7999999999999997E-2</v>
      </c>
      <c r="P240" s="333">
        <f t="shared" si="99"/>
        <v>16.269713733514234</v>
      </c>
      <c r="Q240" s="327">
        <f t="shared" si="100"/>
        <v>0</v>
      </c>
      <c r="R240" s="334">
        <f t="shared" si="101"/>
        <v>0</v>
      </c>
      <c r="S240" s="358">
        <f t="shared" si="89"/>
        <v>33.06832525294864</v>
      </c>
      <c r="T240" s="358">
        <f t="shared" si="90"/>
        <v>92.487212987012995</v>
      </c>
      <c r="U240" s="359">
        <f t="shared" si="91"/>
        <v>0.15</v>
      </c>
      <c r="V240" s="359">
        <f t="shared" si="92"/>
        <v>0</v>
      </c>
      <c r="W240" s="359">
        <f t="shared" si="93"/>
        <v>0</v>
      </c>
      <c r="X240" s="359">
        <f t="shared" si="94"/>
        <v>0</v>
      </c>
      <c r="Y240" s="320"/>
      <c r="Z240" s="321" t="str">
        <f t="shared" si="102"/>
        <v>X-TRATASRA</v>
      </c>
      <c r="AA240" s="321" t="str">
        <f t="shared" si="103"/>
        <v>X-TRATASRE</v>
      </c>
      <c r="AB240" s="321" t="str">
        <f t="shared" si="104"/>
        <v>X-TRATASRM</v>
      </c>
      <c r="AC240" s="321" t="str">
        <f t="shared" si="105"/>
        <v>X-TRATASRT</v>
      </c>
      <c r="AD240" s="321" t="str">
        <f t="shared" si="106"/>
        <v>X-TRATASRS</v>
      </c>
      <c r="AE240" s="321" t="str">
        <f t="shared" si="107"/>
        <v>X-TRATASRX</v>
      </c>
      <c r="AF240" s="321" t="str">
        <f t="shared" si="108"/>
        <v>X-TRATASRA</v>
      </c>
      <c r="AG240" s="321">
        <f t="shared" si="95"/>
        <v>6</v>
      </c>
      <c r="AH240" s="321">
        <f>IF(B240&lt;&gt;"",IF(H240="x",VLOOKUP(I240,'AUX-NIV3'!B:AG,32,FALSE),0),"")</f>
        <v>0</v>
      </c>
      <c r="AI240" s="321" t="str">
        <f t="shared" si="109"/>
        <v>X-TRATASR</v>
      </c>
      <c r="AJ240" s="320"/>
      <c r="AK240" s="322">
        <f t="shared" si="96"/>
        <v>239</v>
      </c>
      <c r="AL240" s="323">
        <f t="shared" si="110"/>
        <v>244</v>
      </c>
      <c r="AM240" s="322">
        <f t="shared" si="111"/>
        <v>2</v>
      </c>
      <c r="AN240" s="380">
        <f>IF(AND(AH240&gt;0,B240&lt;&gt;""),VLOOKUP(I240,'AUX-NIV3'!$B:$AO,39,FALSE)*O240,0)</f>
        <v>0</v>
      </c>
      <c r="AO240" s="380">
        <f t="shared" si="97"/>
        <v>6.5999999999999989E-2</v>
      </c>
      <c r="AP240" s="380"/>
    </row>
    <row r="241" spans="2:42" ht="14.4" hidden="1" thickTop="1" thickBot="1">
      <c r="B241" s="324" t="s">
        <v>1283</v>
      </c>
      <c r="C241" s="325" t="s">
        <v>33</v>
      </c>
      <c r="D241" s="326" t="s">
        <v>1160</v>
      </c>
      <c r="E241" s="327">
        <f>IF(B241&lt;&gt;"",SUMIF('AUX-NIV1'!I:I,'AUX-NIV2'!B241,'AUX-NIV1'!Q:Q),"")</f>
        <v>0</v>
      </c>
      <c r="F241" s="327">
        <f t="shared" si="87"/>
        <v>125.70553823996164</v>
      </c>
      <c r="G241" s="327">
        <f t="shared" si="88"/>
        <v>0</v>
      </c>
      <c r="H241" s="328" t="str">
        <f t="shared" si="98"/>
        <v>A</v>
      </c>
      <c r="I241" s="325" t="s">
        <v>3312</v>
      </c>
      <c r="J241" s="329" t="str">
        <f>IF(B241&lt;&gt;"",+VLOOKUP(I241,Recursos!C:F,2,FALSE),"")</f>
        <v>CHOFER</v>
      </c>
      <c r="K241" s="330" t="str">
        <f>IF(B241&lt;&gt;"",+VLOOKUP(I241,Recursos!C:F,3,FALSE),"")</f>
        <v>hh</v>
      </c>
      <c r="L241" s="327">
        <f>IF(B241&lt;&gt;"",+VLOOKUP(I241,Recursos!C:F,4,FALSE),"")</f>
        <v>496.91595439275824</v>
      </c>
      <c r="M241" s="331">
        <v>50</v>
      </c>
      <c r="N241" s="331">
        <v>0.5</v>
      </c>
      <c r="O241" s="332">
        <f>+N241/M241</f>
        <v>0.01</v>
      </c>
      <c r="P241" s="333">
        <f t="shared" si="99"/>
        <v>4.9691595439275824</v>
      </c>
      <c r="Q241" s="327">
        <f t="shared" si="100"/>
        <v>0</v>
      </c>
      <c r="R241" s="334">
        <f t="shared" si="101"/>
        <v>0</v>
      </c>
      <c r="S241" s="358">
        <f t="shared" si="89"/>
        <v>33.06832525294864</v>
      </c>
      <c r="T241" s="358">
        <f t="shared" si="90"/>
        <v>92.487212987012995</v>
      </c>
      <c r="U241" s="359">
        <f t="shared" si="91"/>
        <v>0.15</v>
      </c>
      <c r="V241" s="359">
        <f t="shared" si="92"/>
        <v>0</v>
      </c>
      <c r="W241" s="359">
        <f t="shared" si="93"/>
        <v>0</v>
      </c>
      <c r="X241" s="359">
        <f t="shared" si="94"/>
        <v>0</v>
      </c>
      <c r="Y241" s="320"/>
      <c r="Z241" s="321" t="str">
        <f t="shared" si="102"/>
        <v>X-TRATASRA</v>
      </c>
      <c r="AA241" s="321" t="str">
        <f t="shared" si="103"/>
        <v>X-TRATASRE</v>
      </c>
      <c r="AB241" s="321" t="str">
        <f t="shared" si="104"/>
        <v>X-TRATASRM</v>
      </c>
      <c r="AC241" s="321" t="str">
        <f t="shared" si="105"/>
        <v>X-TRATASRT</v>
      </c>
      <c r="AD241" s="321" t="str">
        <f t="shared" si="106"/>
        <v>X-TRATASRS</v>
      </c>
      <c r="AE241" s="321" t="str">
        <f t="shared" si="107"/>
        <v>X-TRATASRX</v>
      </c>
      <c r="AF241" s="321" t="str">
        <f t="shared" si="108"/>
        <v>X-TRATASRA</v>
      </c>
      <c r="AG241" s="321">
        <f t="shared" si="95"/>
        <v>6</v>
      </c>
      <c r="AH241" s="321">
        <f>IF(B241&lt;&gt;"",IF(H241="x",VLOOKUP(I241,'AUX-NIV3'!B:AG,32,FALSE),0),"")</f>
        <v>0</v>
      </c>
      <c r="AI241" s="321" t="str">
        <f t="shared" si="109"/>
        <v>X-TRATASR</v>
      </c>
      <c r="AJ241" s="320"/>
      <c r="AK241" s="322">
        <f t="shared" si="96"/>
        <v>239</v>
      </c>
      <c r="AL241" s="323">
        <f t="shared" si="110"/>
        <v>244</v>
      </c>
      <c r="AM241" s="322">
        <f t="shared" si="111"/>
        <v>3</v>
      </c>
      <c r="AN241" s="380">
        <f>IF(AND(AH241&gt;0,B241&lt;&gt;""),VLOOKUP(I241,'AUX-NIV3'!$B:$AO,39,FALSE)*O241,0)</f>
        <v>0</v>
      </c>
      <c r="AO241" s="380">
        <f t="shared" si="97"/>
        <v>6.5999999999999989E-2</v>
      </c>
      <c r="AP241" s="380"/>
    </row>
    <row r="242" spans="2:42" ht="14.4" hidden="1" thickTop="1" thickBot="1">
      <c r="B242" s="324" t="s">
        <v>1283</v>
      </c>
      <c r="C242" s="325" t="s">
        <v>33</v>
      </c>
      <c r="D242" s="326" t="s">
        <v>1160</v>
      </c>
      <c r="E242" s="327">
        <f>IF(B242&lt;&gt;"",SUMIF('AUX-NIV1'!I:I,'AUX-NIV2'!B242,'AUX-NIV1'!Q:Q),"")</f>
        <v>0</v>
      </c>
      <c r="F242" s="327">
        <f t="shared" si="87"/>
        <v>125.70553823996164</v>
      </c>
      <c r="G242" s="327">
        <f t="shared" si="88"/>
        <v>0</v>
      </c>
      <c r="H242" s="328" t="str">
        <f t="shared" si="98"/>
        <v>E</v>
      </c>
      <c r="I242" s="325" t="s">
        <v>1546</v>
      </c>
      <c r="J242" s="329" t="str">
        <f>IF(B242&lt;&gt;"",+VLOOKUP(I242,Recursos!C:F,2,FALSE),"")</f>
        <v>MOTONIVELADORA 12" (15 T)</v>
      </c>
      <c r="K242" s="330" t="str">
        <f>IF(B242&lt;&gt;"",+VLOOKUP(I242,Recursos!C:F,3,FALSE),"")</f>
        <v>HR</v>
      </c>
      <c r="L242" s="327">
        <f>IF(B242&lt;&gt;"",+VLOOKUP(I242,Recursos!C:F,4,FALSE),"")</f>
        <v>3750.4623636363635</v>
      </c>
      <c r="M242" s="331">
        <v>50</v>
      </c>
      <c r="N242" s="331">
        <v>1</v>
      </c>
      <c r="O242" s="332">
        <f>+N242/M242</f>
        <v>0.02</v>
      </c>
      <c r="P242" s="333">
        <f t="shared" si="99"/>
        <v>75.009247272727279</v>
      </c>
      <c r="Q242" s="327">
        <f t="shared" si="100"/>
        <v>0</v>
      </c>
      <c r="R242" s="334">
        <f t="shared" si="101"/>
        <v>0</v>
      </c>
      <c r="S242" s="358">
        <f t="shared" si="89"/>
        <v>33.06832525294864</v>
      </c>
      <c r="T242" s="358">
        <f t="shared" si="90"/>
        <v>92.487212987012995</v>
      </c>
      <c r="U242" s="359">
        <f t="shared" si="91"/>
        <v>0.15</v>
      </c>
      <c r="V242" s="359">
        <f t="shared" si="92"/>
        <v>0</v>
      </c>
      <c r="W242" s="359">
        <f t="shared" si="93"/>
        <v>0</v>
      </c>
      <c r="X242" s="359">
        <f t="shared" si="94"/>
        <v>0</v>
      </c>
      <c r="Y242" s="320"/>
      <c r="Z242" s="321" t="str">
        <f t="shared" si="102"/>
        <v>X-TRATASRA</v>
      </c>
      <c r="AA242" s="321" t="str">
        <f t="shared" si="103"/>
        <v>X-TRATASRE</v>
      </c>
      <c r="AB242" s="321" t="str">
        <f t="shared" si="104"/>
        <v>X-TRATASRM</v>
      </c>
      <c r="AC242" s="321" t="str">
        <f t="shared" si="105"/>
        <v>X-TRATASRT</v>
      </c>
      <c r="AD242" s="321" t="str">
        <f t="shared" si="106"/>
        <v>X-TRATASRS</v>
      </c>
      <c r="AE242" s="321" t="str">
        <f t="shared" si="107"/>
        <v>X-TRATASRX</v>
      </c>
      <c r="AF242" s="321" t="str">
        <f t="shared" si="108"/>
        <v>X-TRATASRE</v>
      </c>
      <c r="AG242" s="321">
        <f t="shared" si="95"/>
        <v>6</v>
      </c>
      <c r="AH242" s="321">
        <f>IF(B242&lt;&gt;"",IF(H242="x",VLOOKUP(I242,'AUX-NIV3'!B:AG,32,FALSE),0),"")</f>
        <v>0</v>
      </c>
      <c r="AI242" s="321" t="str">
        <f t="shared" si="109"/>
        <v>X-TRATASR</v>
      </c>
      <c r="AJ242" s="320"/>
      <c r="AK242" s="322">
        <f t="shared" si="96"/>
        <v>239</v>
      </c>
      <c r="AL242" s="323">
        <f t="shared" si="110"/>
        <v>244</v>
      </c>
      <c r="AM242" s="322">
        <f t="shared" si="111"/>
        <v>4</v>
      </c>
      <c r="AN242" s="380">
        <f>IF(AND(AH242&gt;0,B242&lt;&gt;""),VLOOKUP(I242,'AUX-NIV3'!$B:$AO,39,FALSE)*O242,0)</f>
        <v>0</v>
      </c>
      <c r="AO242" s="380">
        <f t="shared" si="97"/>
        <v>6.5999999999999989E-2</v>
      </c>
      <c r="AP242" s="380"/>
    </row>
    <row r="243" spans="2:42" ht="14.4" hidden="1" thickTop="1" thickBot="1">
      <c r="B243" s="324" t="s">
        <v>1283</v>
      </c>
      <c r="C243" s="325" t="s">
        <v>33</v>
      </c>
      <c r="D243" s="326" t="s">
        <v>1160</v>
      </c>
      <c r="E243" s="327">
        <f>IF(B243&lt;&gt;"",SUMIF('AUX-NIV1'!I:I,'AUX-NIV2'!B243,'AUX-NIV1'!Q:Q),"")</f>
        <v>0</v>
      </c>
      <c r="F243" s="327">
        <f t="shared" si="87"/>
        <v>125.70553823996164</v>
      </c>
      <c r="G243" s="327">
        <f t="shared" si="88"/>
        <v>0</v>
      </c>
      <c r="H243" s="328" t="str">
        <f t="shared" si="98"/>
        <v>E</v>
      </c>
      <c r="I243" s="325" t="s">
        <v>1562</v>
      </c>
      <c r="J243" s="329" t="str">
        <f>IF(B243&lt;&gt;"",+VLOOKUP(I243,Recursos!C:F,2,FALSE),"")</f>
        <v>CAMION REGADOR CAP. 7 m3</v>
      </c>
      <c r="K243" s="330" t="str">
        <f>IF(B243&lt;&gt;"",+VLOOKUP(I243,Recursos!C:F,3,FALSE),"")</f>
        <v>HR</v>
      </c>
      <c r="L243" s="327">
        <f>IF(B243&lt;&gt;"",+VLOOKUP(I243,Recursos!C:F,4,FALSE),"")</f>
        <v>1747.7965714285715</v>
      </c>
      <c r="M243" s="331">
        <v>50</v>
      </c>
      <c r="N243" s="331">
        <v>0.5</v>
      </c>
      <c r="O243" s="332">
        <f>+N243/M243</f>
        <v>0.01</v>
      </c>
      <c r="P243" s="333">
        <f t="shared" si="99"/>
        <v>17.477965714285716</v>
      </c>
      <c r="Q243" s="327">
        <f t="shared" si="100"/>
        <v>0</v>
      </c>
      <c r="R243" s="334">
        <f t="shared" si="101"/>
        <v>0</v>
      </c>
      <c r="S243" s="358">
        <f t="shared" si="89"/>
        <v>33.06832525294864</v>
      </c>
      <c r="T243" s="358">
        <f t="shared" si="90"/>
        <v>92.487212987012995</v>
      </c>
      <c r="U243" s="359">
        <f t="shared" si="91"/>
        <v>0.15</v>
      </c>
      <c r="V243" s="359">
        <f t="shared" si="92"/>
        <v>0</v>
      </c>
      <c r="W243" s="359">
        <f t="shared" si="93"/>
        <v>0</v>
      </c>
      <c r="X243" s="359">
        <f t="shared" si="94"/>
        <v>0</v>
      </c>
      <c r="Y243" s="320"/>
      <c r="Z243" s="321" t="str">
        <f t="shared" si="102"/>
        <v>X-TRATASRA</v>
      </c>
      <c r="AA243" s="321" t="str">
        <f t="shared" si="103"/>
        <v>X-TRATASRE</v>
      </c>
      <c r="AB243" s="321" t="str">
        <f t="shared" si="104"/>
        <v>X-TRATASRM</v>
      </c>
      <c r="AC243" s="321" t="str">
        <f t="shared" si="105"/>
        <v>X-TRATASRT</v>
      </c>
      <c r="AD243" s="321" t="str">
        <f t="shared" si="106"/>
        <v>X-TRATASRS</v>
      </c>
      <c r="AE243" s="321" t="str">
        <f t="shared" si="107"/>
        <v>X-TRATASRX</v>
      </c>
      <c r="AF243" s="321" t="str">
        <f t="shared" si="108"/>
        <v>X-TRATASRE</v>
      </c>
      <c r="AG243" s="321">
        <f t="shared" si="95"/>
        <v>6</v>
      </c>
      <c r="AH243" s="321">
        <f>IF(B243&lt;&gt;"",IF(H243="x",VLOOKUP(I243,'AUX-NIV3'!B:AG,32,FALSE),0),"")</f>
        <v>0</v>
      </c>
      <c r="AI243" s="321" t="str">
        <f t="shared" si="109"/>
        <v>X-TRATASR</v>
      </c>
      <c r="AJ243" s="320"/>
      <c r="AK243" s="322">
        <f t="shared" si="96"/>
        <v>239</v>
      </c>
      <c r="AL243" s="323">
        <f t="shared" si="110"/>
        <v>244</v>
      </c>
      <c r="AM243" s="322">
        <f t="shared" si="111"/>
        <v>5</v>
      </c>
      <c r="AN243" s="380">
        <f>IF(AND(AH243&gt;0,B243&lt;&gt;""),VLOOKUP(I243,'AUX-NIV3'!$B:$AO,39,FALSE)*O243,0)</f>
        <v>0</v>
      </c>
      <c r="AO243" s="380">
        <f t="shared" si="97"/>
        <v>6.5999999999999989E-2</v>
      </c>
      <c r="AP243" s="380"/>
    </row>
    <row r="244" spans="2:42" ht="14.4" hidden="1" thickTop="1" thickBot="1">
      <c r="B244" s="324" t="s">
        <v>1283</v>
      </c>
      <c r="C244" s="325" t="s">
        <v>33</v>
      </c>
      <c r="D244" s="326" t="s">
        <v>1160</v>
      </c>
      <c r="E244" s="327">
        <f>IF(B244&lt;&gt;"",SUMIF('AUX-NIV1'!I:I,'AUX-NIV2'!B244,'AUX-NIV1'!Q:Q),"")</f>
        <v>0</v>
      </c>
      <c r="F244" s="327">
        <f t="shared" si="87"/>
        <v>125.70553823996164</v>
      </c>
      <c r="G244" s="327">
        <f t="shared" si="88"/>
        <v>0</v>
      </c>
      <c r="H244" s="328" t="str">
        <f t="shared" si="98"/>
        <v>M</v>
      </c>
      <c r="I244" s="325" t="s">
        <v>621</v>
      </c>
      <c r="J244" s="329" t="str">
        <f>IF(B244&lt;&gt;"",+VLOOKUP(I244,Recursos!C:F,2,FALSE),"")</f>
        <v>MATERIALES VARIOS</v>
      </c>
      <c r="K244" s="330" t="str">
        <f>IF(B244&lt;&gt;"",+VLOOKUP(I244,Recursos!C:F,3,FALSE),"")</f>
        <v>GL</v>
      </c>
      <c r="L244" s="327">
        <f>IF(B244&lt;&gt;"",+VLOOKUP(I244,Recursos!C:F,4,FALSE),"")</f>
        <v>0.5</v>
      </c>
      <c r="M244" s="1062">
        <v>0.3</v>
      </c>
      <c r="N244" s="1062">
        <v>1</v>
      </c>
      <c r="O244" s="332">
        <f>+M244*N244</f>
        <v>0.3</v>
      </c>
      <c r="P244" s="333">
        <f t="shared" si="99"/>
        <v>0.15</v>
      </c>
      <c r="Q244" s="327">
        <f t="shared" si="100"/>
        <v>0</v>
      </c>
      <c r="R244" s="334">
        <f t="shared" si="101"/>
        <v>0</v>
      </c>
      <c r="S244" s="358">
        <f t="shared" si="89"/>
        <v>33.06832525294864</v>
      </c>
      <c r="T244" s="358">
        <f t="shared" si="90"/>
        <v>92.487212987012995</v>
      </c>
      <c r="U244" s="359">
        <f t="shared" si="91"/>
        <v>0.15</v>
      </c>
      <c r="V244" s="359">
        <f t="shared" si="92"/>
        <v>0</v>
      </c>
      <c r="W244" s="359">
        <f t="shared" si="93"/>
        <v>0</v>
      </c>
      <c r="X244" s="359">
        <f t="shared" si="94"/>
        <v>0</v>
      </c>
      <c r="Y244" s="320"/>
      <c r="Z244" s="321" t="str">
        <f t="shared" si="102"/>
        <v>X-TRATASRA</v>
      </c>
      <c r="AA244" s="321" t="str">
        <f t="shared" si="103"/>
        <v>X-TRATASRE</v>
      </c>
      <c r="AB244" s="321" t="str">
        <f t="shared" si="104"/>
        <v>X-TRATASRM</v>
      </c>
      <c r="AC244" s="321" t="str">
        <f t="shared" si="105"/>
        <v>X-TRATASRT</v>
      </c>
      <c r="AD244" s="321" t="str">
        <f t="shared" si="106"/>
        <v>X-TRATASRS</v>
      </c>
      <c r="AE244" s="321" t="str">
        <f t="shared" si="107"/>
        <v>X-TRATASRX</v>
      </c>
      <c r="AF244" s="321" t="str">
        <f t="shared" si="108"/>
        <v>X-TRATASRM</v>
      </c>
      <c r="AG244" s="321">
        <f t="shared" si="95"/>
        <v>6</v>
      </c>
      <c r="AH244" s="321">
        <f>IF(B244&lt;&gt;"",IF(H244="x",VLOOKUP(I244,'AUX-NIV3'!B:AG,32,FALSE),0),"")</f>
        <v>0</v>
      </c>
      <c r="AI244" s="321" t="str">
        <f t="shared" si="109"/>
        <v>X-TRATASR</v>
      </c>
      <c r="AJ244" s="320"/>
      <c r="AK244" s="322">
        <f t="shared" si="96"/>
        <v>239</v>
      </c>
      <c r="AL244" s="323">
        <f t="shared" si="110"/>
        <v>244</v>
      </c>
      <c r="AM244" s="322">
        <f t="shared" si="111"/>
        <v>6</v>
      </c>
      <c r="AN244" s="380">
        <f>IF(AND(AH244&gt;0,B244&lt;&gt;""),VLOOKUP(I244,'AUX-NIV3'!$B:$AO,39,FALSE)*O244,0)</f>
        <v>0</v>
      </c>
      <c r="AO244" s="380">
        <f t="shared" si="97"/>
        <v>6.5999999999999989E-2</v>
      </c>
      <c r="AP244" s="380"/>
    </row>
    <row r="245" spans="2:42" ht="14.4" hidden="1" thickTop="1" thickBot="1">
      <c r="B245" s="501" t="s">
        <v>1284</v>
      </c>
      <c r="C245" s="325" t="s">
        <v>34</v>
      </c>
      <c r="D245" s="326" t="s">
        <v>1160</v>
      </c>
      <c r="E245" s="327">
        <f>IF(B245&lt;&gt;"",SUMIF('AUX-NIV1'!I:I,'AUX-NIV2'!B245,'AUX-NIV1'!Q:Q),"")</f>
        <v>0</v>
      </c>
      <c r="F245" s="327">
        <f t="shared" si="87"/>
        <v>101.66101693166991</v>
      </c>
      <c r="G245" s="327">
        <f t="shared" si="88"/>
        <v>0</v>
      </c>
      <c r="H245" s="328" t="str">
        <f t="shared" si="98"/>
        <v>A</v>
      </c>
      <c r="I245" s="325" t="s">
        <v>1745</v>
      </c>
      <c r="J245" s="329" t="str">
        <f>IF(B245&lt;&gt;"",+VLOOKUP(I245,Recursos!C:F,2,FALSE),"")</f>
        <v>AYUDANTE</v>
      </c>
      <c r="K245" s="330" t="str">
        <f>IF(B245&lt;&gt;"",+VLOOKUP(I245,Recursos!C:F,3,FALSE),"")</f>
        <v>hh</v>
      </c>
      <c r="L245" s="1060">
        <f>IF(B245&lt;&gt;"",+VLOOKUP(I245,Recursos!C:F,4,FALSE),"")</f>
        <v>422.48042769667234</v>
      </c>
      <c r="M245" s="718"/>
      <c r="N245" s="706">
        <v>1</v>
      </c>
      <c r="O245" s="1061">
        <f>N245*N246/M248</f>
        <v>1.5625E-2</v>
      </c>
      <c r="P245" s="333">
        <f t="shared" si="99"/>
        <v>6.6012566827605053</v>
      </c>
      <c r="Q245" s="327">
        <f t="shared" si="100"/>
        <v>0</v>
      </c>
      <c r="R245" s="334">
        <f t="shared" si="101"/>
        <v>0</v>
      </c>
      <c r="S245" s="358">
        <f t="shared" si="89"/>
        <v>15.680338007266217</v>
      </c>
      <c r="T245" s="358">
        <f t="shared" si="90"/>
        <v>27.47485</v>
      </c>
      <c r="U245" s="359">
        <f t="shared" si="91"/>
        <v>0</v>
      </c>
      <c r="V245" s="359">
        <f t="shared" si="92"/>
        <v>0</v>
      </c>
      <c r="W245" s="359">
        <f t="shared" si="93"/>
        <v>0</v>
      </c>
      <c r="X245" s="359">
        <f t="shared" si="94"/>
        <v>58.505828924403687</v>
      </c>
      <c r="Y245" s="320"/>
      <c r="Z245" s="321" t="str">
        <f t="shared" si="102"/>
        <v>X-COMPACA</v>
      </c>
      <c r="AA245" s="321" t="str">
        <f t="shared" si="103"/>
        <v>X-COMPACE</v>
      </c>
      <c r="AB245" s="321" t="str">
        <f t="shared" si="104"/>
        <v>X-COMPACM</v>
      </c>
      <c r="AC245" s="321" t="str">
        <f t="shared" si="105"/>
        <v>X-COMPACT</v>
      </c>
      <c r="AD245" s="321" t="str">
        <f t="shared" si="106"/>
        <v>X-COMPACS</v>
      </c>
      <c r="AE245" s="321" t="str">
        <f t="shared" si="107"/>
        <v>X-COMPACX</v>
      </c>
      <c r="AF245" s="321" t="str">
        <f t="shared" si="108"/>
        <v>X-COMPACA</v>
      </c>
      <c r="AG245" s="321">
        <f t="shared" si="95"/>
        <v>7</v>
      </c>
      <c r="AH245" s="321">
        <f>IF(B245&lt;&gt;"",IF(H245="x",VLOOKUP(I245,'AUX-NIV3'!B:AG,32,FALSE),0),"")</f>
        <v>0</v>
      </c>
      <c r="AI245" s="321" t="str">
        <f t="shared" si="109"/>
        <v>X-COMPAC</v>
      </c>
      <c r="AJ245" s="320"/>
      <c r="AK245" s="322">
        <f t="shared" si="96"/>
        <v>245</v>
      </c>
      <c r="AL245" s="323">
        <f t="shared" si="110"/>
        <v>251</v>
      </c>
      <c r="AM245" s="322">
        <f t="shared" si="111"/>
        <v>1</v>
      </c>
      <c r="AN245" s="380">
        <f>IF(AND(AH245&gt;0,B245&lt;&gt;""),VLOOKUP(I245,'AUX-NIV3'!$B:$AO,39,FALSE)*O245,0)</f>
        <v>0</v>
      </c>
      <c r="AO245" s="380">
        <f t="shared" si="97"/>
        <v>5.9115079365079364E-2</v>
      </c>
      <c r="AP245" s="380"/>
    </row>
    <row r="246" spans="2:42" ht="14.4" hidden="1" thickTop="1" thickBot="1">
      <c r="B246" s="501" t="s">
        <v>1284</v>
      </c>
      <c r="C246" s="325" t="s">
        <v>34</v>
      </c>
      <c r="D246" s="326" t="s">
        <v>1160</v>
      </c>
      <c r="E246" s="327">
        <f>IF(B246&lt;&gt;"",SUMIF('AUX-NIV1'!I:I,'AUX-NIV2'!B246,'AUX-NIV1'!Q:Q),"")</f>
        <v>0</v>
      </c>
      <c r="F246" s="327">
        <f t="shared" si="87"/>
        <v>101.66101693166991</v>
      </c>
      <c r="G246" s="327">
        <f t="shared" si="88"/>
        <v>0</v>
      </c>
      <c r="H246" s="328" t="str">
        <f t="shared" si="98"/>
        <v>A</v>
      </c>
      <c r="I246" s="325" t="s">
        <v>3311</v>
      </c>
      <c r="J246" s="329" t="str">
        <f>IF(B246&lt;&gt;"",+VLOOKUP(I246,Recursos!C:F,2,FALSE),"")</f>
        <v>OPER. EQUIPO</v>
      </c>
      <c r="K246" s="330" t="str">
        <f>IF(B246&lt;&gt;"",+VLOOKUP(I246,Recursos!C:F,3,FALSE),"")</f>
        <v>hh</v>
      </c>
      <c r="L246" s="1060">
        <f>IF(B246&lt;&gt;"",+VLOOKUP(I246,Recursos!C:F,4,FALSE),"")</f>
        <v>581.06120476836554</v>
      </c>
      <c r="M246" s="1064"/>
      <c r="N246" s="1063">
        <v>1.25</v>
      </c>
      <c r="O246" s="1061">
        <f>(N248/M248+(1-N248)/M248)*N246</f>
        <v>1.5625E-2</v>
      </c>
      <c r="P246" s="333">
        <f t="shared" si="99"/>
        <v>9.0790813245057116</v>
      </c>
      <c r="Q246" s="327">
        <f t="shared" si="100"/>
        <v>0</v>
      </c>
      <c r="R246" s="334">
        <f t="shared" si="101"/>
        <v>0</v>
      </c>
      <c r="S246" s="358">
        <f t="shared" si="89"/>
        <v>15.680338007266217</v>
      </c>
      <c r="T246" s="358">
        <f t="shared" si="90"/>
        <v>27.47485</v>
      </c>
      <c r="U246" s="359">
        <f t="shared" si="91"/>
        <v>0</v>
      </c>
      <c r="V246" s="359">
        <f t="shared" si="92"/>
        <v>0</v>
      </c>
      <c r="W246" s="359">
        <f t="shared" si="93"/>
        <v>0</v>
      </c>
      <c r="X246" s="359">
        <f t="shared" si="94"/>
        <v>58.505828924403687</v>
      </c>
      <c r="Y246" s="320"/>
      <c r="Z246" s="321" t="str">
        <f t="shared" si="102"/>
        <v>X-COMPACA</v>
      </c>
      <c r="AA246" s="321" t="str">
        <f t="shared" si="103"/>
        <v>X-COMPACE</v>
      </c>
      <c r="AB246" s="321" t="str">
        <f t="shared" si="104"/>
        <v>X-COMPACM</v>
      </c>
      <c r="AC246" s="321" t="str">
        <f t="shared" si="105"/>
        <v>X-COMPACT</v>
      </c>
      <c r="AD246" s="321" t="str">
        <f t="shared" si="106"/>
        <v>X-COMPACS</v>
      </c>
      <c r="AE246" s="321" t="str">
        <f t="shared" si="107"/>
        <v>X-COMPACX</v>
      </c>
      <c r="AF246" s="321" t="str">
        <f t="shared" si="108"/>
        <v>X-COMPACA</v>
      </c>
      <c r="AG246" s="321">
        <f t="shared" si="95"/>
        <v>7</v>
      </c>
      <c r="AH246" s="321">
        <f>IF(B246&lt;&gt;"",IF(H246="x",VLOOKUP(I246,'AUX-NIV3'!B:AG,32,FALSE),0),"")</f>
        <v>0</v>
      </c>
      <c r="AI246" s="321" t="str">
        <f t="shared" si="109"/>
        <v>X-COMPAC</v>
      </c>
      <c r="AJ246" s="320"/>
      <c r="AK246" s="322">
        <f t="shared" si="96"/>
        <v>245</v>
      </c>
      <c r="AL246" s="323">
        <f t="shared" si="110"/>
        <v>251</v>
      </c>
      <c r="AM246" s="322">
        <f t="shared" si="111"/>
        <v>2</v>
      </c>
      <c r="AN246" s="380">
        <f>IF(AND(AH246&gt;0,B246&lt;&gt;""),VLOOKUP(I246,'AUX-NIV3'!$B:$AO,39,FALSE)*O246,0)</f>
        <v>0</v>
      </c>
      <c r="AO246" s="380">
        <f t="shared" si="97"/>
        <v>5.9115079365079364E-2</v>
      </c>
      <c r="AP246" s="380"/>
    </row>
    <row r="247" spans="2:42" ht="14.4" hidden="1" thickTop="1" thickBot="1">
      <c r="B247" s="501" t="s">
        <v>1284</v>
      </c>
      <c r="C247" s="325" t="s">
        <v>34</v>
      </c>
      <c r="D247" s="326" t="s">
        <v>1160</v>
      </c>
      <c r="E247" s="327">
        <f>IF(B247&lt;&gt;"",SUMIF('AUX-NIV1'!I:I,'AUX-NIV2'!B247,'AUX-NIV1'!Q:Q),"")</f>
        <v>0</v>
      </c>
      <c r="F247" s="327">
        <f t="shared" si="87"/>
        <v>101.66101693166991</v>
      </c>
      <c r="G247" s="327">
        <f t="shared" si="88"/>
        <v>0</v>
      </c>
      <c r="H247" s="328" t="str">
        <f t="shared" si="98"/>
        <v>E</v>
      </c>
      <c r="I247" s="325" t="s">
        <v>1648</v>
      </c>
      <c r="J247" s="329" t="str">
        <f>IF(B247&lt;&gt;"",+VLOOKUP(I247,Recursos!C:F,2,FALSE),"")</f>
        <v>Rodillo Pata de Cabra tipo CA-25</v>
      </c>
      <c r="K247" s="330" t="str">
        <f>IF(B247&lt;&gt;"",+VLOOKUP(I247,Recursos!C:F,3,FALSE),"")</f>
        <v>HR</v>
      </c>
      <c r="L247" s="1060">
        <f>IF(B247&lt;&gt;"",+VLOOKUP(I247,Recursos!C:F,4,FALSE),"")</f>
        <v>2505.5493333333334</v>
      </c>
      <c r="M247" s="1064"/>
      <c r="N247" s="1065"/>
      <c r="O247" s="1061">
        <f>(1-N248)/M248</f>
        <v>0</v>
      </c>
      <c r="P247" s="333">
        <f t="shared" si="99"/>
        <v>0</v>
      </c>
      <c r="Q247" s="327">
        <f t="shared" si="100"/>
        <v>0</v>
      </c>
      <c r="R247" s="334">
        <f t="shared" si="101"/>
        <v>0</v>
      </c>
      <c r="S247" s="358">
        <f t="shared" si="89"/>
        <v>15.680338007266217</v>
      </c>
      <c r="T247" s="358">
        <f t="shared" si="90"/>
        <v>27.47485</v>
      </c>
      <c r="U247" s="359">
        <f t="shared" si="91"/>
        <v>0</v>
      </c>
      <c r="V247" s="359">
        <f t="shared" si="92"/>
        <v>0</v>
      </c>
      <c r="W247" s="359">
        <f t="shared" si="93"/>
        <v>0</v>
      </c>
      <c r="X247" s="359">
        <f t="shared" si="94"/>
        <v>58.505828924403687</v>
      </c>
      <c r="Y247" s="320"/>
      <c r="Z247" s="321" t="str">
        <f t="shared" si="102"/>
        <v>X-COMPACA</v>
      </c>
      <c r="AA247" s="321" t="str">
        <f t="shared" si="103"/>
        <v>X-COMPACE</v>
      </c>
      <c r="AB247" s="321" t="str">
        <f t="shared" si="104"/>
        <v>X-COMPACM</v>
      </c>
      <c r="AC247" s="321" t="str">
        <f t="shared" si="105"/>
        <v>X-COMPACT</v>
      </c>
      <c r="AD247" s="321" t="str">
        <f t="shared" si="106"/>
        <v>X-COMPACS</v>
      </c>
      <c r="AE247" s="321" t="str">
        <f t="shared" si="107"/>
        <v>X-COMPACX</v>
      </c>
      <c r="AF247" s="321" t="str">
        <f t="shared" si="108"/>
        <v>X-COMPACE</v>
      </c>
      <c r="AG247" s="321">
        <f t="shared" si="95"/>
        <v>7</v>
      </c>
      <c r="AH247" s="321">
        <f>IF(B247&lt;&gt;"",IF(H247="x",VLOOKUP(I247,'AUX-NIV3'!B:AG,32,FALSE),0),"")</f>
        <v>0</v>
      </c>
      <c r="AI247" s="321" t="str">
        <f t="shared" si="109"/>
        <v>X-COMPAC</v>
      </c>
      <c r="AJ247" s="320"/>
      <c r="AK247" s="322">
        <f t="shared" si="96"/>
        <v>245</v>
      </c>
      <c r="AL247" s="323">
        <f t="shared" si="110"/>
        <v>251</v>
      </c>
      <c r="AM247" s="322">
        <f t="shared" si="111"/>
        <v>3</v>
      </c>
      <c r="AN247" s="380">
        <f>IF(AND(AH247&gt;0,B247&lt;&gt;""),VLOOKUP(I247,'AUX-NIV3'!$B:$AO,39,FALSE)*O247,0)</f>
        <v>0</v>
      </c>
      <c r="AO247" s="380">
        <f t="shared" si="97"/>
        <v>5.9115079365079364E-2</v>
      </c>
      <c r="AP247" s="380"/>
    </row>
    <row r="248" spans="2:42" ht="14.4" hidden="1" thickTop="1" thickBot="1">
      <c r="B248" s="501" t="s">
        <v>1284</v>
      </c>
      <c r="C248" s="325" t="s">
        <v>34</v>
      </c>
      <c r="D248" s="326" t="s">
        <v>1160</v>
      </c>
      <c r="E248" s="327">
        <f>IF(B248&lt;&gt;"",SUMIF('AUX-NIV1'!I:I,'AUX-NIV2'!B248,'AUX-NIV1'!Q:Q),"")</f>
        <v>0</v>
      </c>
      <c r="F248" s="327">
        <f t="shared" si="87"/>
        <v>101.66101693166991</v>
      </c>
      <c r="G248" s="327">
        <f t="shared" si="88"/>
        <v>0</v>
      </c>
      <c r="H248" s="328" t="str">
        <f t="shared" si="98"/>
        <v>E</v>
      </c>
      <c r="I248" s="325" t="s">
        <v>1567</v>
      </c>
      <c r="J248" s="329" t="str">
        <f>IF(B248&lt;&gt;"",+VLOOKUP(I248,Recursos!C:F,2,FALSE),"")</f>
        <v>COMPACT.LISO VIBR.AUTOPROP.(11 T)</v>
      </c>
      <c r="K248" s="330" t="str">
        <f>IF(B248&lt;&gt;"",+VLOOKUP(I248,Recursos!C:F,3,FALSE),"")</f>
        <v>HR</v>
      </c>
      <c r="L248" s="1060">
        <f>IF(B248&lt;&gt;"",+VLOOKUP(I248,Recursos!C:F,4,FALSE),"")</f>
        <v>2197.9879999999998</v>
      </c>
      <c r="M248" s="1066">
        <v>80</v>
      </c>
      <c r="N248" s="1067">
        <v>1</v>
      </c>
      <c r="O248" s="1061">
        <f>N248/M248</f>
        <v>1.2500000000000001E-2</v>
      </c>
      <c r="P248" s="333">
        <f t="shared" si="99"/>
        <v>27.47485</v>
      </c>
      <c r="Q248" s="327">
        <f t="shared" si="100"/>
        <v>0</v>
      </c>
      <c r="R248" s="334">
        <f t="shared" si="101"/>
        <v>0</v>
      </c>
      <c r="S248" s="358">
        <f t="shared" si="89"/>
        <v>15.680338007266217</v>
      </c>
      <c r="T248" s="358">
        <f t="shared" si="90"/>
        <v>27.47485</v>
      </c>
      <c r="U248" s="359">
        <f t="shared" si="91"/>
        <v>0</v>
      </c>
      <c r="V248" s="359">
        <f t="shared" si="92"/>
        <v>0</v>
      </c>
      <c r="W248" s="359">
        <f t="shared" si="93"/>
        <v>0</v>
      </c>
      <c r="X248" s="359">
        <f t="shared" si="94"/>
        <v>58.505828924403687</v>
      </c>
      <c r="Y248" s="320"/>
      <c r="Z248" s="321" t="str">
        <f t="shared" si="102"/>
        <v>X-COMPACA</v>
      </c>
      <c r="AA248" s="321" t="str">
        <f t="shared" si="103"/>
        <v>X-COMPACE</v>
      </c>
      <c r="AB248" s="321" t="str">
        <f t="shared" si="104"/>
        <v>X-COMPACM</v>
      </c>
      <c r="AC248" s="321" t="str">
        <f t="shared" si="105"/>
        <v>X-COMPACT</v>
      </c>
      <c r="AD248" s="321" t="str">
        <f t="shared" si="106"/>
        <v>X-COMPACS</v>
      </c>
      <c r="AE248" s="321" t="str">
        <f t="shared" si="107"/>
        <v>X-COMPACX</v>
      </c>
      <c r="AF248" s="321" t="str">
        <f t="shared" si="108"/>
        <v>X-COMPACE</v>
      </c>
      <c r="AG248" s="321">
        <f t="shared" si="95"/>
        <v>7</v>
      </c>
      <c r="AH248" s="321">
        <f>IF(B248&lt;&gt;"",IF(H248="x",VLOOKUP(I248,'AUX-NIV3'!B:AG,32,FALSE),0),"")</f>
        <v>0</v>
      </c>
      <c r="AI248" s="321" t="str">
        <f t="shared" si="109"/>
        <v>X-COMPAC</v>
      </c>
      <c r="AJ248" s="320"/>
      <c r="AK248" s="322">
        <f t="shared" si="96"/>
        <v>245</v>
      </c>
      <c r="AL248" s="323">
        <f t="shared" si="110"/>
        <v>251</v>
      </c>
      <c r="AM248" s="322">
        <f t="shared" si="111"/>
        <v>4</v>
      </c>
      <c r="AN248" s="380">
        <f>IF(AND(AH248&gt;0,B248&lt;&gt;""),VLOOKUP(I248,'AUX-NIV3'!$B:$AO,39,FALSE)*O248,0)</f>
        <v>0</v>
      </c>
      <c r="AO248" s="380">
        <f t="shared" si="97"/>
        <v>5.9115079365079364E-2</v>
      </c>
      <c r="AP248" s="380"/>
    </row>
    <row r="249" spans="2:42" ht="14.4" hidden="1" thickTop="1" thickBot="1">
      <c r="B249" s="1048" t="s">
        <v>1284</v>
      </c>
      <c r="C249" s="1049" t="s">
        <v>34</v>
      </c>
      <c r="D249" s="1050" t="s">
        <v>1160</v>
      </c>
      <c r="E249" s="1051">
        <f>IF(B249&lt;&gt;"",SUMIF('AUX-NIV1'!I:I,'AUX-NIV2'!B249,'AUX-NIV1'!Q:Q),"")</f>
        <v>0</v>
      </c>
      <c r="F249" s="1051">
        <f t="shared" si="87"/>
        <v>101.66101693166991</v>
      </c>
      <c r="G249" s="1051">
        <f t="shared" si="88"/>
        <v>0</v>
      </c>
      <c r="H249" s="1052" t="str">
        <f>IF(B249&lt;&gt;"",+LEFT(I249,1),"")</f>
        <v>X</v>
      </c>
      <c r="I249" s="1049" t="s">
        <v>2746</v>
      </c>
      <c r="J249" s="1053" t="str">
        <f>IF(B249&lt;&gt;"",+VLOOKUP(I249,Recursos!C:F,2,FALSE),"")</f>
        <v>Obtención de Agua para Riego</v>
      </c>
      <c r="K249" s="1054" t="str">
        <f>IF(B249&lt;&gt;"",+VLOOKUP(I249,Recursos!C:F,3,FALSE),"")</f>
        <v>m3</v>
      </c>
      <c r="L249" s="1060">
        <f>IF(B249&lt;&gt;"",+VLOOKUP(I249,Recursos!C:F,4,FALSE),"")</f>
        <v>148.35029836815718</v>
      </c>
      <c r="M249" s="1064"/>
      <c r="N249" s="1067">
        <v>0.08</v>
      </c>
      <c r="O249" s="1061">
        <f>N249</f>
        <v>0.08</v>
      </c>
      <c r="P249" s="1055">
        <f>IF(B249&lt;&gt;"",O249*L249,"")</f>
        <v>11.868023869452575</v>
      </c>
      <c r="Q249" s="1051">
        <f>IF(B249&lt;&gt;"",+O249*E249,"")</f>
        <v>0</v>
      </c>
      <c r="R249" s="1056">
        <f>IF(B249&lt;&gt;"",Q249*L249,"")</f>
        <v>0</v>
      </c>
      <c r="S249" s="1057">
        <f t="shared" si="89"/>
        <v>15.680338007266217</v>
      </c>
      <c r="T249" s="1057">
        <f t="shared" si="90"/>
        <v>27.47485</v>
      </c>
      <c r="U249" s="1058">
        <f t="shared" si="91"/>
        <v>0</v>
      </c>
      <c r="V249" s="1058">
        <f t="shared" si="92"/>
        <v>0</v>
      </c>
      <c r="W249" s="1058">
        <f t="shared" si="93"/>
        <v>0</v>
      </c>
      <c r="X249" s="1058">
        <f t="shared" si="94"/>
        <v>58.505828924403687</v>
      </c>
      <c r="Y249" s="320"/>
      <c r="Z249" s="1059" t="str">
        <f t="shared" si="102"/>
        <v>X-COMPACA</v>
      </c>
      <c r="AA249" s="1059" t="str">
        <f t="shared" si="103"/>
        <v>X-COMPACE</v>
      </c>
      <c r="AB249" s="1059" t="str">
        <f t="shared" si="104"/>
        <v>X-COMPACM</v>
      </c>
      <c r="AC249" s="1059" t="str">
        <f t="shared" si="105"/>
        <v>X-COMPACT</v>
      </c>
      <c r="AD249" s="1059" t="str">
        <f t="shared" si="106"/>
        <v>X-COMPACS</v>
      </c>
      <c r="AE249" s="1059" t="str">
        <f t="shared" si="107"/>
        <v>X-COMPACX</v>
      </c>
      <c r="AF249" s="1059" t="str">
        <f t="shared" si="108"/>
        <v>X-COMPACX</v>
      </c>
      <c r="AG249" s="1059">
        <f t="shared" si="95"/>
        <v>7</v>
      </c>
      <c r="AH249" s="1059">
        <f>IF(B249&lt;&gt;"",IF(H249="x",VLOOKUP(I249,'AUX-NIV3'!B:AG,32,FALSE),0),"")</f>
        <v>5</v>
      </c>
      <c r="AI249" s="1059" t="str">
        <f t="shared" si="109"/>
        <v>X-COMPAC</v>
      </c>
      <c r="AJ249" s="320"/>
      <c r="AK249" s="322">
        <f t="shared" si="96"/>
        <v>245</v>
      </c>
      <c r="AL249" s="323">
        <f t="shared" si="110"/>
        <v>251</v>
      </c>
      <c r="AM249" s="322">
        <f t="shared" si="111"/>
        <v>5</v>
      </c>
      <c r="AN249" s="380">
        <f>IF(AND(AH249&gt;0,B249&lt;&gt;""),VLOOKUP(I249,'AUX-NIV3'!$B:$AO,39,FALSE)*O249,0)</f>
        <v>2.6666666666666666E-3</v>
      </c>
      <c r="AO249" s="380">
        <f t="shared" si="97"/>
        <v>5.9115079365079364E-2</v>
      </c>
      <c r="AP249" s="380"/>
    </row>
    <row r="250" spans="2:42" ht="14.4" hidden="1" thickTop="1" thickBot="1">
      <c r="B250" s="1048" t="s">
        <v>1284</v>
      </c>
      <c r="C250" s="1049" t="s">
        <v>34</v>
      </c>
      <c r="D250" s="1050" t="s">
        <v>1160</v>
      </c>
      <c r="E250" s="1051">
        <f>IF(B250&lt;&gt;"",SUMIF('AUX-NIV1'!I:I,'AUX-NIV2'!B250,'AUX-NIV1'!Q:Q),"")</f>
        <v>0</v>
      </c>
      <c r="F250" s="1051">
        <f t="shared" si="87"/>
        <v>101.66101693166991</v>
      </c>
      <c r="G250" s="1051">
        <f t="shared" si="88"/>
        <v>0</v>
      </c>
      <c r="H250" s="1052" t="str">
        <f>IF(B250&lt;&gt;"",+LEFT(I250,1),"")</f>
        <v>X</v>
      </c>
      <c r="I250" s="1049" t="s">
        <v>2748</v>
      </c>
      <c r="J250" s="1053" t="str">
        <f>IF(B250&lt;&gt;"",+VLOOKUP(I250,Recursos!C:F,2,FALSE),"")</f>
        <v>Transporte de Agua para riego</v>
      </c>
      <c r="K250" s="1054" t="str">
        <f>IF(B250&lt;&gt;"",+VLOOKUP(I250,Recursos!C:F,3,FALSE),"")</f>
        <v>m3</v>
      </c>
      <c r="L250" s="1060">
        <f>IF(B250&lt;&gt;"",+VLOOKUP(I250,Recursos!C:F,4,FALSE),"")</f>
        <v>368.5637895861521</v>
      </c>
      <c r="M250" s="1064"/>
      <c r="N250" s="1069"/>
      <c r="O250" s="1061">
        <f>N249</f>
        <v>0.08</v>
      </c>
      <c r="P250" s="1055">
        <f>IF(B250&lt;&gt;"",O250*L250,"")</f>
        <v>29.48510316689217</v>
      </c>
      <c r="Q250" s="1051">
        <f>IF(B250&lt;&gt;"",+O250*E250,"")</f>
        <v>0</v>
      </c>
      <c r="R250" s="1056">
        <f>IF(B250&lt;&gt;"",Q250*L250,"")</f>
        <v>0</v>
      </c>
      <c r="S250" s="1057">
        <f t="shared" si="89"/>
        <v>15.680338007266217</v>
      </c>
      <c r="T250" s="1057">
        <f t="shared" si="90"/>
        <v>27.47485</v>
      </c>
      <c r="U250" s="1058">
        <f t="shared" si="91"/>
        <v>0</v>
      </c>
      <c r="V250" s="1058">
        <f t="shared" si="92"/>
        <v>0</v>
      </c>
      <c r="W250" s="1058">
        <f t="shared" si="93"/>
        <v>0</v>
      </c>
      <c r="X250" s="1058">
        <f t="shared" si="94"/>
        <v>58.505828924403687</v>
      </c>
      <c r="Y250" s="320"/>
      <c r="Z250" s="1059" t="str">
        <f t="shared" si="102"/>
        <v>X-COMPACA</v>
      </c>
      <c r="AA250" s="1059" t="str">
        <f t="shared" si="103"/>
        <v>X-COMPACE</v>
      </c>
      <c r="AB250" s="1059" t="str">
        <f t="shared" si="104"/>
        <v>X-COMPACM</v>
      </c>
      <c r="AC250" s="1059" t="str">
        <f t="shared" si="105"/>
        <v>X-COMPACT</v>
      </c>
      <c r="AD250" s="1059" t="str">
        <f t="shared" si="106"/>
        <v>X-COMPACS</v>
      </c>
      <c r="AE250" s="1059" t="str">
        <f t="shared" si="107"/>
        <v>X-COMPACX</v>
      </c>
      <c r="AF250" s="1059" t="str">
        <f t="shared" si="108"/>
        <v>X-COMPACX</v>
      </c>
      <c r="AG250" s="1059">
        <f t="shared" si="95"/>
        <v>7</v>
      </c>
      <c r="AH250" s="1059">
        <f>IF(B250&lt;&gt;"",IF(H250="x",VLOOKUP(I250,'AUX-NIV3'!B:AG,32,FALSE),0),"")</f>
        <v>2</v>
      </c>
      <c r="AI250" s="1059" t="str">
        <f t="shared" si="109"/>
        <v>X-COMPAC</v>
      </c>
      <c r="AJ250" s="320"/>
      <c r="AK250" s="322">
        <f t="shared" si="96"/>
        <v>245</v>
      </c>
      <c r="AL250" s="323">
        <f t="shared" si="110"/>
        <v>251</v>
      </c>
      <c r="AM250" s="322">
        <f t="shared" si="111"/>
        <v>6</v>
      </c>
      <c r="AN250" s="380">
        <f>IF(AND(AH250&gt;0,B250&lt;&gt;""),VLOOKUP(I250,'AUX-NIV3'!$B:$AO,39,FALSE)*O250,0)</f>
        <v>1.2698412698412698E-2</v>
      </c>
      <c r="AO250" s="380">
        <f t="shared" si="97"/>
        <v>5.9115079365079364E-2</v>
      </c>
      <c r="AP250" s="380"/>
    </row>
    <row r="251" spans="2:42" ht="14.4" hidden="1" thickTop="1" thickBot="1">
      <c r="B251" s="1048" t="s">
        <v>1284</v>
      </c>
      <c r="C251" s="1049" t="s">
        <v>34</v>
      </c>
      <c r="D251" s="1050" t="s">
        <v>1160</v>
      </c>
      <c r="E251" s="1051">
        <f>IF(B251&lt;&gt;"",SUMIF('AUX-NIV1'!I:I,'AUX-NIV2'!B251,'AUX-NIV1'!Q:Q),"")</f>
        <v>0</v>
      </c>
      <c r="F251" s="1051">
        <f t="shared" si="87"/>
        <v>101.66101693166991</v>
      </c>
      <c r="G251" s="1051">
        <f t="shared" si="88"/>
        <v>0</v>
      </c>
      <c r="H251" s="1052" t="str">
        <f>IF(B251&lt;&gt;"",+LEFT(I251,1),"")</f>
        <v>X</v>
      </c>
      <c r="I251" s="1049" t="s">
        <v>2750</v>
      </c>
      <c r="J251" s="1053" t="str">
        <f>IF(B251&lt;&gt;"",+VLOOKUP(I251,Recursos!C:F,2,FALSE),"")</f>
        <v>Riego para terraplen</v>
      </c>
      <c r="K251" s="1054" t="str">
        <f>IF(B251&lt;&gt;"",+VLOOKUP(I251,Recursos!C:F,3,FALSE),"")</f>
        <v>m3</v>
      </c>
      <c r="L251" s="1060">
        <f>IF(B251&lt;&gt;"",+VLOOKUP(I251,Recursos!C:F,4,FALSE),"")</f>
        <v>214.40877360073679</v>
      </c>
      <c r="M251" s="1068"/>
      <c r="N251" s="1070"/>
      <c r="O251" s="1061">
        <f>N249</f>
        <v>0.08</v>
      </c>
      <c r="P251" s="1055">
        <f>IF(B251&lt;&gt;"",O251*L251,"")</f>
        <v>17.152701888058942</v>
      </c>
      <c r="Q251" s="1051">
        <f>IF(B251&lt;&gt;"",+O251*E251,"")</f>
        <v>0</v>
      </c>
      <c r="R251" s="1056">
        <f>IF(B251&lt;&gt;"",Q251*L251,"")</f>
        <v>0</v>
      </c>
      <c r="S251" s="1057">
        <f t="shared" si="89"/>
        <v>15.680338007266217</v>
      </c>
      <c r="T251" s="1057">
        <f t="shared" si="90"/>
        <v>27.47485</v>
      </c>
      <c r="U251" s="1058">
        <f t="shared" si="91"/>
        <v>0</v>
      </c>
      <c r="V251" s="1058">
        <f t="shared" si="92"/>
        <v>0</v>
      </c>
      <c r="W251" s="1058">
        <f t="shared" si="93"/>
        <v>0</v>
      </c>
      <c r="X251" s="1058">
        <f t="shared" si="94"/>
        <v>58.505828924403687</v>
      </c>
      <c r="Y251" s="320"/>
      <c r="Z251" s="1059" t="str">
        <f t="shared" si="102"/>
        <v>X-COMPACA</v>
      </c>
      <c r="AA251" s="1059" t="str">
        <f t="shared" si="103"/>
        <v>X-COMPACE</v>
      </c>
      <c r="AB251" s="1059" t="str">
        <f t="shared" si="104"/>
        <v>X-COMPACM</v>
      </c>
      <c r="AC251" s="1059" t="str">
        <f t="shared" si="105"/>
        <v>X-COMPACT</v>
      </c>
      <c r="AD251" s="1059" t="str">
        <f t="shared" si="106"/>
        <v>X-COMPACS</v>
      </c>
      <c r="AE251" s="1059" t="str">
        <f t="shared" si="107"/>
        <v>X-COMPACX</v>
      </c>
      <c r="AF251" s="1059" t="str">
        <f t="shared" si="108"/>
        <v>X-COMPACX</v>
      </c>
      <c r="AG251" s="1059">
        <f t="shared" si="95"/>
        <v>7</v>
      </c>
      <c r="AH251" s="1059">
        <f>IF(B251&lt;&gt;"",IF(H251="x",VLOOKUP(I251,'AUX-NIV3'!B:AG,32,FALSE),0),"")</f>
        <v>3</v>
      </c>
      <c r="AI251" s="1059" t="str">
        <f t="shared" si="109"/>
        <v>X-COMPAC</v>
      </c>
      <c r="AJ251" s="320"/>
      <c r="AK251" s="322">
        <f t="shared" si="96"/>
        <v>245</v>
      </c>
      <c r="AL251" s="323">
        <f t="shared" si="110"/>
        <v>251</v>
      </c>
      <c r="AM251" s="322">
        <f t="shared" si="111"/>
        <v>7</v>
      </c>
      <c r="AN251" s="380">
        <f>IF(AND(AH251&gt;0,B251&lt;&gt;""),VLOOKUP(I251,'AUX-NIV3'!$B:$AO,39,FALSE)*O251,0)</f>
        <v>1.2500000000000001E-2</v>
      </c>
      <c r="AO251" s="380">
        <f t="shared" si="97"/>
        <v>5.9115079365079364E-2</v>
      </c>
      <c r="AP251" s="380"/>
    </row>
    <row r="252" spans="2:42" ht="14.4" hidden="1" thickTop="1" thickBot="1">
      <c r="B252" s="324" t="s">
        <v>1285</v>
      </c>
      <c r="C252" s="325" t="s">
        <v>35</v>
      </c>
      <c r="D252" s="326" t="s">
        <v>1160</v>
      </c>
      <c r="E252" s="327">
        <f>IF(B252&lt;&gt;"",SUMIF('AUX-NIV1'!I:I,'AUX-NIV2'!B252,'AUX-NIV1'!Q:Q),"")</f>
        <v>0</v>
      </c>
      <c r="F252" s="327">
        <f t="shared" si="87"/>
        <v>206.36682596349667</v>
      </c>
      <c r="G252" s="327">
        <f t="shared" si="88"/>
        <v>0</v>
      </c>
      <c r="H252" s="328" t="str">
        <f t="shared" si="98"/>
        <v>A</v>
      </c>
      <c r="I252" s="325" t="s">
        <v>1745</v>
      </c>
      <c r="J252" s="329" t="str">
        <f>IF(B252&lt;&gt;"",+VLOOKUP(I252,Recursos!C:F,2,FALSE),"")</f>
        <v>AYUDANTE</v>
      </c>
      <c r="K252" s="330" t="str">
        <f>IF(B252&lt;&gt;"",+VLOOKUP(I252,Recursos!C:F,3,FALSE),"")</f>
        <v>hh</v>
      </c>
      <c r="L252" s="327">
        <f>IF(B252&lt;&gt;"",+VLOOKUP(I252,Recursos!C:F,4,FALSE),"")</f>
        <v>422.48042769667234</v>
      </c>
      <c r="M252" s="717">
        <v>25</v>
      </c>
      <c r="N252" s="717">
        <v>1.4</v>
      </c>
      <c r="O252" s="332">
        <f>+N252/M252</f>
        <v>5.5999999999999994E-2</v>
      </c>
      <c r="P252" s="333">
        <f t="shared" si="99"/>
        <v>23.658903951013649</v>
      </c>
      <c r="Q252" s="327">
        <f t="shared" si="100"/>
        <v>0</v>
      </c>
      <c r="R252" s="334">
        <f t="shared" si="101"/>
        <v>0</v>
      </c>
      <c r="S252" s="358">
        <f t="shared" si="89"/>
        <v>56.198331418042116</v>
      </c>
      <c r="T252" s="358">
        <f t="shared" si="90"/>
        <v>150.01849454545456</v>
      </c>
      <c r="U252" s="359">
        <f t="shared" si="91"/>
        <v>0.15</v>
      </c>
      <c r="V252" s="359">
        <f t="shared" si="92"/>
        <v>0</v>
      </c>
      <c r="W252" s="359">
        <f t="shared" si="93"/>
        <v>0</v>
      </c>
      <c r="X252" s="359">
        <f t="shared" si="94"/>
        <v>0</v>
      </c>
      <c r="Y252" s="320"/>
      <c r="Z252" s="321" t="str">
        <f t="shared" si="102"/>
        <v>X-TerminaMOTOA</v>
      </c>
      <c r="AA252" s="321" t="str">
        <f t="shared" si="103"/>
        <v>X-TerminaMOTOE</v>
      </c>
      <c r="AB252" s="321" t="str">
        <f t="shared" si="104"/>
        <v>X-TerminaMOTOM</v>
      </c>
      <c r="AC252" s="321" t="str">
        <f t="shared" si="105"/>
        <v>X-TerminaMOTOT</v>
      </c>
      <c r="AD252" s="321" t="str">
        <f t="shared" si="106"/>
        <v>X-TerminaMOTOS</v>
      </c>
      <c r="AE252" s="321" t="str">
        <f t="shared" si="107"/>
        <v>X-TerminaMOTOX</v>
      </c>
      <c r="AF252" s="321" t="str">
        <f t="shared" si="108"/>
        <v>X-TerminaMOTOA</v>
      </c>
      <c r="AG252" s="321">
        <f t="shared" si="95"/>
        <v>4</v>
      </c>
      <c r="AH252" s="321">
        <f>IF(B252&lt;&gt;"",IF(H252="x",VLOOKUP(I252,'AUX-NIV3'!B:AG,32,FALSE),0),"")</f>
        <v>0</v>
      </c>
      <c r="AI252" s="321" t="str">
        <f t="shared" si="109"/>
        <v>X-TerminaMOTO</v>
      </c>
      <c r="AJ252" s="320"/>
      <c r="AK252" s="322">
        <f t="shared" si="96"/>
        <v>252</v>
      </c>
      <c r="AL252" s="323">
        <f t="shared" si="110"/>
        <v>255</v>
      </c>
      <c r="AM252" s="322">
        <f t="shared" si="111"/>
        <v>1</v>
      </c>
      <c r="AN252" s="380">
        <f>IF(AND(AH252&gt;0,B252&lt;&gt;""),VLOOKUP(I252,'AUX-NIV3'!$B:$AO,39,FALSE)*O252,0)</f>
        <v>0</v>
      </c>
      <c r="AO252" s="380">
        <f t="shared" si="97"/>
        <v>0.11199999999999999</v>
      </c>
      <c r="AP252" s="380"/>
    </row>
    <row r="253" spans="2:42" ht="14.4" hidden="1" thickTop="1" thickBot="1">
      <c r="B253" s="324" t="s">
        <v>1285</v>
      </c>
      <c r="C253" s="325" t="s">
        <v>35</v>
      </c>
      <c r="D253" s="326" t="s">
        <v>1160</v>
      </c>
      <c r="E253" s="327">
        <f>IF(B253&lt;&gt;"",SUMIF('AUX-NIV1'!I:I,'AUX-NIV2'!B253,'AUX-NIV1'!Q:Q),"")</f>
        <v>0</v>
      </c>
      <c r="F253" s="327">
        <f t="shared" si="87"/>
        <v>206.36682596349667</v>
      </c>
      <c r="G253" s="327">
        <f t="shared" si="88"/>
        <v>0</v>
      </c>
      <c r="H253" s="328" t="str">
        <f t="shared" si="98"/>
        <v>A</v>
      </c>
      <c r="I253" s="325" t="s">
        <v>3311</v>
      </c>
      <c r="J253" s="329" t="str">
        <f>IF(B253&lt;&gt;"",+VLOOKUP(I253,Recursos!C:F,2,FALSE),"")</f>
        <v>OPER. EQUIPO</v>
      </c>
      <c r="K253" s="330" t="str">
        <f>IF(B253&lt;&gt;"",+VLOOKUP(I253,Recursos!C:F,3,FALSE),"")</f>
        <v>hh</v>
      </c>
      <c r="L253" s="327">
        <f>IF(B253&lt;&gt;"",+VLOOKUP(I253,Recursos!C:F,4,FALSE),"")</f>
        <v>581.06120476836554</v>
      </c>
      <c r="M253" s="331">
        <v>25</v>
      </c>
      <c r="N253" s="331">
        <v>1.4</v>
      </c>
      <c r="O253" s="332">
        <f>+N253/M253</f>
        <v>5.5999999999999994E-2</v>
      </c>
      <c r="P253" s="333">
        <f t="shared" si="99"/>
        <v>32.539427467028467</v>
      </c>
      <c r="Q253" s="327">
        <f t="shared" si="100"/>
        <v>0</v>
      </c>
      <c r="R253" s="334">
        <f t="shared" si="101"/>
        <v>0</v>
      </c>
      <c r="S253" s="358">
        <f t="shared" si="89"/>
        <v>56.198331418042116</v>
      </c>
      <c r="T253" s="358">
        <f t="shared" si="90"/>
        <v>150.01849454545456</v>
      </c>
      <c r="U253" s="359">
        <f t="shared" si="91"/>
        <v>0.15</v>
      </c>
      <c r="V253" s="359">
        <f t="shared" si="92"/>
        <v>0</v>
      </c>
      <c r="W253" s="359">
        <f t="shared" si="93"/>
        <v>0</v>
      </c>
      <c r="X253" s="359">
        <f t="shared" si="94"/>
        <v>0</v>
      </c>
      <c r="Y253" s="320"/>
      <c r="Z253" s="321" t="str">
        <f t="shared" si="102"/>
        <v>X-TerminaMOTOA</v>
      </c>
      <c r="AA253" s="321" t="str">
        <f t="shared" si="103"/>
        <v>X-TerminaMOTOE</v>
      </c>
      <c r="AB253" s="321" t="str">
        <f t="shared" si="104"/>
        <v>X-TerminaMOTOM</v>
      </c>
      <c r="AC253" s="321" t="str">
        <f t="shared" si="105"/>
        <v>X-TerminaMOTOT</v>
      </c>
      <c r="AD253" s="321" t="str">
        <f t="shared" si="106"/>
        <v>X-TerminaMOTOS</v>
      </c>
      <c r="AE253" s="321" t="str">
        <f t="shared" si="107"/>
        <v>X-TerminaMOTOX</v>
      </c>
      <c r="AF253" s="321" t="str">
        <f t="shared" si="108"/>
        <v>X-TerminaMOTOA</v>
      </c>
      <c r="AG253" s="321">
        <f t="shared" si="95"/>
        <v>4</v>
      </c>
      <c r="AH253" s="321">
        <f>IF(B253&lt;&gt;"",IF(H253="x",VLOOKUP(I253,'AUX-NIV3'!B:AG,32,FALSE),0),"")</f>
        <v>0</v>
      </c>
      <c r="AI253" s="321" t="str">
        <f t="shared" si="109"/>
        <v>X-TerminaMOTO</v>
      </c>
      <c r="AJ253" s="320"/>
      <c r="AK253" s="322">
        <f t="shared" si="96"/>
        <v>252</v>
      </c>
      <c r="AL253" s="323">
        <f t="shared" si="110"/>
        <v>255</v>
      </c>
      <c r="AM253" s="322">
        <f t="shared" si="111"/>
        <v>2</v>
      </c>
      <c r="AN253" s="380">
        <f>IF(AND(AH253&gt;0,B253&lt;&gt;""),VLOOKUP(I253,'AUX-NIV3'!$B:$AO,39,FALSE)*O253,0)</f>
        <v>0</v>
      </c>
      <c r="AO253" s="380">
        <f t="shared" si="97"/>
        <v>0.11199999999999999</v>
      </c>
      <c r="AP253" s="380"/>
    </row>
    <row r="254" spans="2:42" ht="14.4" hidden="1" thickTop="1" thickBot="1">
      <c r="B254" s="324" t="s">
        <v>1285</v>
      </c>
      <c r="C254" s="325" t="s">
        <v>35</v>
      </c>
      <c r="D254" s="326" t="s">
        <v>1160</v>
      </c>
      <c r="E254" s="327">
        <f>IF(B254&lt;&gt;"",SUMIF('AUX-NIV1'!I:I,'AUX-NIV2'!B254,'AUX-NIV1'!Q:Q),"")</f>
        <v>0</v>
      </c>
      <c r="F254" s="327">
        <f t="shared" si="87"/>
        <v>206.36682596349667</v>
      </c>
      <c r="G254" s="327">
        <f t="shared" si="88"/>
        <v>0</v>
      </c>
      <c r="H254" s="328" t="str">
        <f t="shared" si="98"/>
        <v>E</v>
      </c>
      <c r="I254" s="325" t="s">
        <v>1546</v>
      </c>
      <c r="J254" s="329" t="str">
        <f>IF(B254&lt;&gt;"",+VLOOKUP(I254,Recursos!C:F,2,FALSE),"")</f>
        <v>MOTONIVELADORA 12" (15 T)</v>
      </c>
      <c r="K254" s="330" t="str">
        <f>IF(B254&lt;&gt;"",+VLOOKUP(I254,Recursos!C:F,3,FALSE),"")</f>
        <v>HR</v>
      </c>
      <c r="L254" s="327">
        <f>IF(B254&lt;&gt;"",+VLOOKUP(I254,Recursos!C:F,4,FALSE),"")</f>
        <v>3750.4623636363635</v>
      </c>
      <c r="M254" s="331">
        <v>25</v>
      </c>
      <c r="N254" s="331">
        <v>1</v>
      </c>
      <c r="O254" s="332">
        <f>+N254/M254</f>
        <v>0.04</v>
      </c>
      <c r="P254" s="333">
        <f t="shared" si="99"/>
        <v>150.01849454545456</v>
      </c>
      <c r="Q254" s="327">
        <f t="shared" si="100"/>
        <v>0</v>
      </c>
      <c r="R254" s="334">
        <f t="shared" si="101"/>
        <v>0</v>
      </c>
      <c r="S254" s="358">
        <f t="shared" si="89"/>
        <v>56.198331418042116</v>
      </c>
      <c r="T254" s="358">
        <f t="shared" si="90"/>
        <v>150.01849454545456</v>
      </c>
      <c r="U254" s="359">
        <f t="shared" si="91"/>
        <v>0.15</v>
      </c>
      <c r="V254" s="359">
        <f t="shared" si="92"/>
        <v>0</v>
      </c>
      <c r="W254" s="359">
        <f t="shared" si="93"/>
        <v>0</v>
      </c>
      <c r="X254" s="359">
        <f t="shared" si="94"/>
        <v>0</v>
      </c>
      <c r="Y254" s="320"/>
      <c r="Z254" s="321" t="str">
        <f t="shared" si="102"/>
        <v>X-TerminaMOTOA</v>
      </c>
      <c r="AA254" s="321" t="str">
        <f t="shared" si="103"/>
        <v>X-TerminaMOTOE</v>
      </c>
      <c r="AB254" s="321" t="str">
        <f t="shared" si="104"/>
        <v>X-TerminaMOTOM</v>
      </c>
      <c r="AC254" s="321" t="str">
        <f t="shared" si="105"/>
        <v>X-TerminaMOTOT</v>
      </c>
      <c r="AD254" s="321" t="str">
        <f t="shared" si="106"/>
        <v>X-TerminaMOTOS</v>
      </c>
      <c r="AE254" s="321" t="str">
        <f t="shared" si="107"/>
        <v>X-TerminaMOTOX</v>
      </c>
      <c r="AF254" s="321" t="str">
        <f t="shared" si="108"/>
        <v>X-TerminaMOTOE</v>
      </c>
      <c r="AG254" s="321">
        <f t="shared" si="95"/>
        <v>4</v>
      </c>
      <c r="AH254" s="321">
        <f>IF(B254&lt;&gt;"",IF(H254="x",VLOOKUP(I254,'AUX-NIV3'!B:AG,32,FALSE),0),"")</f>
        <v>0</v>
      </c>
      <c r="AI254" s="321" t="str">
        <f t="shared" si="109"/>
        <v>X-TerminaMOTO</v>
      </c>
      <c r="AJ254" s="320"/>
      <c r="AK254" s="322">
        <f t="shared" si="96"/>
        <v>252</v>
      </c>
      <c r="AL254" s="323">
        <f t="shared" si="110"/>
        <v>255</v>
      </c>
      <c r="AM254" s="322">
        <f t="shared" si="111"/>
        <v>3</v>
      </c>
      <c r="AN254" s="380">
        <f>IF(AND(AH254&gt;0,B254&lt;&gt;""),VLOOKUP(I254,'AUX-NIV3'!$B:$AO,39,FALSE)*O254,0)</f>
        <v>0</v>
      </c>
      <c r="AO254" s="380">
        <f t="shared" si="97"/>
        <v>0.11199999999999999</v>
      </c>
      <c r="AP254" s="380"/>
    </row>
    <row r="255" spans="2:42" ht="14.4" hidden="1" thickTop="1" thickBot="1">
      <c r="B255" s="324" t="s">
        <v>1285</v>
      </c>
      <c r="C255" s="325" t="s">
        <v>35</v>
      </c>
      <c r="D255" s="326" t="s">
        <v>1160</v>
      </c>
      <c r="E255" s="327">
        <f>IF(B255&lt;&gt;"",SUMIF('AUX-NIV1'!I:I,'AUX-NIV2'!B255,'AUX-NIV1'!Q:Q),"")</f>
        <v>0</v>
      </c>
      <c r="F255" s="327">
        <f t="shared" si="87"/>
        <v>206.36682596349667</v>
      </c>
      <c r="G255" s="327">
        <f t="shared" si="88"/>
        <v>0</v>
      </c>
      <c r="H255" s="328" t="str">
        <f t="shared" si="98"/>
        <v>M</v>
      </c>
      <c r="I255" s="325" t="s">
        <v>621</v>
      </c>
      <c r="J255" s="329" t="str">
        <f>IF(B255&lt;&gt;"",+VLOOKUP(I255,Recursos!C:F,2,FALSE),"")</f>
        <v>MATERIALES VARIOS</v>
      </c>
      <c r="K255" s="330" t="str">
        <f>IF(B255&lt;&gt;"",+VLOOKUP(I255,Recursos!C:F,3,FALSE),"")</f>
        <v>GL</v>
      </c>
      <c r="L255" s="327">
        <f>IF(B255&lt;&gt;"",+VLOOKUP(I255,Recursos!C:F,4,FALSE),"")</f>
        <v>0.5</v>
      </c>
      <c r="M255" s="331">
        <v>0.3</v>
      </c>
      <c r="N255" s="331">
        <v>1</v>
      </c>
      <c r="O255" s="332">
        <f>+M255*N255</f>
        <v>0.3</v>
      </c>
      <c r="P255" s="333">
        <f t="shared" si="99"/>
        <v>0.15</v>
      </c>
      <c r="Q255" s="327">
        <f t="shared" si="100"/>
        <v>0</v>
      </c>
      <c r="R255" s="334">
        <f t="shared" si="101"/>
        <v>0</v>
      </c>
      <c r="S255" s="358">
        <f t="shared" si="89"/>
        <v>56.198331418042116</v>
      </c>
      <c r="T255" s="358">
        <f t="shared" si="90"/>
        <v>150.01849454545456</v>
      </c>
      <c r="U255" s="359">
        <f t="shared" si="91"/>
        <v>0.15</v>
      </c>
      <c r="V255" s="359">
        <f t="shared" si="92"/>
        <v>0</v>
      </c>
      <c r="W255" s="359">
        <f t="shared" si="93"/>
        <v>0</v>
      </c>
      <c r="X255" s="359">
        <f t="shared" si="94"/>
        <v>0</v>
      </c>
      <c r="Y255" s="320"/>
      <c r="Z255" s="321" t="str">
        <f t="shared" si="102"/>
        <v>X-TerminaMOTOA</v>
      </c>
      <c r="AA255" s="321" t="str">
        <f t="shared" si="103"/>
        <v>X-TerminaMOTOE</v>
      </c>
      <c r="AB255" s="321" t="str">
        <f t="shared" si="104"/>
        <v>X-TerminaMOTOM</v>
      </c>
      <c r="AC255" s="321" t="str">
        <f t="shared" si="105"/>
        <v>X-TerminaMOTOT</v>
      </c>
      <c r="AD255" s="321" t="str">
        <f t="shared" si="106"/>
        <v>X-TerminaMOTOS</v>
      </c>
      <c r="AE255" s="321" t="str">
        <f t="shared" si="107"/>
        <v>X-TerminaMOTOX</v>
      </c>
      <c r="AF255" s="321" t="str">
        <f t="shared" si="108"/>
        <v>X-TerminaMOTOM</v>
      </c>
      <c r="AG255" s="321">
        <f t="shared" si="95"/>
        <v>4</v>
      </c>
      <c r="AH255" s="321">
        <f>IF(B255&lt;&gt;"",IF(H255="x",VLOOKUP(I255,'AUX-NIV3'!B:AG,32,FALSE),0),"")</f>
        <v>0</v>
      </c>
      <c r="AI255" s="321" t="str">
        <f t="shared" si="109"/>
        <v>X-TerminaMOTO</v>
      </c>
      <c r="AJ255" s="320"/>
      <c r="AK255" s="322">
        <f t="shared" si="96"/>
        <v>252</v>
      </c>
      <c r="AL255" s="323">
        <f t="shared" si="110"/>
        <v>255</v>
      </c>
      <c r="AM255" s="322">
        <f t="shared" si="111"/>
        <v>4</v>
      </c>
      <c r="AN255" s="380">
        <f>IF(AND(AH255&gt;0,B255&lt;&gt;""),VLOOKUP(I255,'AUX-NIV3'!$B:$AO,39,FALSE)*O255,0)</f>
        <v>0</v>
      </c>
      <c r="AO255" s="380">
        <f t="shared" si="97"/>
        <v>0.11199999999999999</v>
      </c>
      <c r="AP255" s="380"/>
    </row>
    <row r="256" spans="2:42" ht="14.4" hidden="1" thickTop="1" thickBot="1">
      <c r="B256" s="324" t="s">
        <v>1286</v>
      </c>
      <c r="C256" s="325" t="s">
        <v>36</v>
      </c>
      <c r="D256" s="326" t="s">
        <v>1160</v>
      </c>
      <c r="E256" s="327">
        <f>IF(B256&lt;&gt;"",SUMIF('AUX-NIV1'!I:I,'AUX-NIV2'!B256,'AUX-NIV1'!Q:Q),"")</f>
        <v>0</v>
      </c>
      <c r="F256" s="327">
        <f t="shared" si="87"/>
        <v>4802.3886495012812</v>
      </c>
      <c r="G256" s="327">
        <f t="shared" si="88"/>
        <v>0</v>
      </c>
      <c r="H256" s="328" t="str">
        <f t="shared" si="98"/>
        <v>A</v>
      </c>
      <c r="I256" s="325" t="s">
        <v>3312</v>
      </c>
      <c r="J256" s="329" t="str">
        <f>IF(B256&lt;&gt;"",+VLOOKUP(I256,Recursos!C:F,2,FALSE),"")</f>
        <v>CHOFER</v>
      </c>
      <c r="K256" s="330" t="str">
        <f>IF(B256&lt;&gt;"",+VLOOKUP(I256,Recursos!C:F,3,FALSE),"")</f>
        <v>hh</v>
      </c>
      <c r="L256" s="327">
        <f>IF(B256&lt;&gt;"",+VLOOKUP(I256,Recursos!C:F,4,FALSE),"")</f>
        <v>496.91595439275824</v>
      </c>
      <c r="M256" s="331">
        <v>18</v>
      </c>
      <c r="N256" s="331">
        <v>1.25</v>
      </c>
      <c r="O256" s="332">
        <f t="shared" ref="O256:O263" si="115">1/M256*N256</f>
        <v>6.9444444444444448E-2</v>
      </c>
      <c r="P256" s="333">
        <f t="shared" si="99"/>
        <v>34.508052388385991</v>
      </c>
      <c r="Q256" s="327">
        <f t="shared" si="100"/>
        <v>0</v>
      </c>
      <c r="R256" s="334">
        <f t="shared" si="101"/>
        <v>0</v>
      </c>
      <c r="S256" s="358">
        <f t="shared" si="89"/>
        <v>54.472361230649938</v>
      </c>
      <c r="T256" s="358">
        <f t="shared" si="90"/>
        <v>228.8832612121212</v>
      </c>
      <c r="U256" s="359">
        <f t="shared" si="91"/>
        <v>4050.6750000000002</v>
      </c>
      <c r="V256" s="359">
        <f t="shared" si="92"/>
        <v>0</v>
      </c>
      <c r="W256" s="359">
        <f t="shared" si="93"/>
        <v>0</v>
      </c>
      <c r="X256" s="359">
        <f t="shared" si="94"/>
        <v>468.35802705851029</v>
      </c>
      <c r="Y256" s="320"/>
      <c r="Z256" s="321" t="str">
        <f t="shared" si="102"/>
        <v>X-EDOSH25A</v>
      </c>
      <c r="AA256" s="321" t="str">
        <f t="shared" si="103"/>
        <v>X-EDOSH25E</v>
      </c>
      <c r="AB256" s="321" t="str">
        <f t="shared" si="104"/>
        <v>X-EDOSH25M</v>
      </c>
      <c r="AC256" s="321" t="str">
        <f t="shared" si="105"/>
        <v>X-EDOSH25T</v>
      </c>
      <c r="AD256" s="321" t="str">
        <f t="shared" si="106"/>
        <v>X-EDOSH25S</v>
      </c>
      <c r="AE256" s="321" t="str">
        <f t="shared" si="107"/>
        <v>X-EDOSH25X</v>
      </c>
      <c r="AF256" s="321" t="str">
        <f t="shared" si="108"/>
        <v>X-EDOSH25A</v>
      </c>
      <c r="AG256" s="321">
        <f t="shared" si="95"/>
        <v>13</v>
      </c>
      <c r="AH256" s="321">
        <f>IF(B256&lt;&gt;"",IF(H256="x",VLOOKUP(I256,'AUX-NIV3'!B:AG,32,FALSE),0),"")</f>
        <v>0</v>
      </c>
      <c r="AI256" s="321" t="str">
        <f t="shared" si="109"/>
        <v>X-EDOSH25</v>
      </c>
      <c r="AJ256" s="320"/>
      <c r="AK256" s="322">
        <f t="shared" si="96"/>
        <v>256</v>
      </c>
      <c r="AL256" s="323">
        <f t="shared" si="110"/>
        <v>268</v>
      </c>
      <c r="AM256" s="322">
        <f t="shared" si="111"/>
        <v>1</v>
      </c>
      <c r="AN256" s="380">
        <f>IF(AND(AH256&gt;0,B256&lt;&gt;""),VLOOKUP(I256,'AUX-NIV3'!$B:$AO,39,FALSE)*O256,0)</f>
        <v>0</v>
      </c>
      <c r="AO256" s="380">
        <f t="shared" si="97"/>
        <v>0.20110119111111111</v>
      </c>
      <c r="AP256" s="380"/>
    </row>
    <row r="257" spans="2:42" ht="14.4" hidden="1" thickTop="1" thickBot="1">
      <c r="B257" s="324" t="s">
        <v>1286</v>
      </c>
      <c r="C257" s="325" t="s">
        <v>36</v>
      </c>
      <c r="D257" s="326" t="s">
        <v>1160</v>
      </c>
      <c r="E257" s="327">
        <f>IF(B257&lt;&gt;"",SUMIF('AUX-NIV1'!I:I,'AUX-NIV2'!B257,'AUX-NIV1'!Q:Q),"")</f>
        <v>0</v>
      </c>
      <c r="F257" s="327">
        <f t="shared" si="87"/>
        <v>4802.3886495012812</v>
      </c>
      <c r="G257" s="327">
        <f t="shared" si="88"/>
        <v>0</v>
      </c>
      <c r="H257" s="328" t="str">
        <f t="shared" si="98"/>
        <v>A</v>
      </c>
      <c r="I257" s="325" t="s">
        <v>3311</v>
      </c>
      <c r="J257" s="329" t="str">
        <f>IF(B257&lt;&gt;"",+VLOOKUP(I257,Recursos!C:F,2,FALSE),"")</f>
        <v>OPER. EQUIPO</v>
      </c>
      <c r="K257" s="330" t="str">
        <f>IF(B257&lt;&gt;"",+VLOOKUP(I257,Recursos!C:F,3,FALSE),"")</f>
        <v>hh</v>
      </c>
      <c r="L257" s="327">
        <f>IF(B257&lt;&gt;"",+VLOOKUP(I257,Recursos!C:F,4,FALSE),"")</f>
        <v>581.06120476836554</v>
      </c>
      <c r="M257" s="331">
        <v>100</v>
      </c>
      <c r="N257" s="331">
        <v>1.4</v>
      </c>
      <c r="O257" s="332">
        <f t="shared" si="115"/>
        <v>1.3999999999999999E-2</v>
      </c>
      <c r="P257" s="333">
        <f t="shared" si="99"/>
        <v>8.1348568667571168</v>
      </c>
      <c r="Q257" s="327">
        <f t="shared" si="100"/>
        <v>0</v>
      </c>
      <c r="R257" s="334">
        <f t="shared" si="101"/>
        <v>0</v>
      </c>
      <c r="S257" s="358">
        <f t="shared" si="89"/>
        <v>54.472361230649938</v>
      </c>
      <c r="T257" s="358">
        <f t="shared" si="90"/>
        <v>228.8832612121212</v>
      </c>
      <c r="U257" s="359">
        <f t="shared" si="91"/>
        <v>4050.6750000000002</v>
      </c>
      <c r="V257" s="359">
        <f t="shared" si="92"/>
        <v>0</v>
      </c>
      <c r="W257" s="359">
        <f t="shared" si="93"/>
        <v>0</v>
      </c>
      <c r="X257" s="359">
        <f t="shared" si="94"/>
        <v>468.35802705851029</v>
      </c>
      <c r="Y257" s="320"/>
      <c r="Z257" s="321" t="str">
        <f t="shared" si="102"/>
        <v>X-EDOSH25A</v>
      </c>
      <c r="AA257" s="321" t="str">
        <f t="shared" si="103"/>
        <v>X-EDOSH25E</v>
      </c>
      <c r="AB257" s="321" t="str">
        <f t="shared" si="104"/>
        <v>X-EDOSH25M</v>
      </c>
      <c r="AC257" s="321" t="str">
        <f t="shared" si="105"/>
        <v>X-EDOSH25T</v>
      </c>
      <c r="AD257" s="321" t="str">
        <f t="shared" si="106"/>
        <v>X-EDOSH25S</v>
      </c>
      <c r="AE257" s="321" t="str">
        <f t="shared" si="107"/>
        <v>X-EDOSH25X</v>
      </c>
      <c r="AF257" s="321" t="str">
        <f t="shared" si="108"/>
        <v>X-EDOSH25A</v>
      </c>
      <c r="AG257" s="321">
        <f t="shared" si="95"/>
        <v>13</v>
      </c>
      <c r="AH257" s="321">
        <f>IF(B257&lt;&gt;"",IF(H257="x",VLOOKUP(I257,'AUX-NIV3'!B:AG,32,FALSE),0),"")</f>
        <v>0</v>
      </c>
      <c r="AI257" s="321" t="str">
        <f t="shared" si="109"/>
        <v>X-EDOSH25</v>
      </c>
      <c r="AJ257" s="320"/>
      <c r="AK257" s="322">
        <f t="shared" si="96"/>
        <v>256</v>
      </c>
      <c r="AL257" s="323">
        <f t="shared" si="110"/>
        <v>268</v>
      </c>
      <c r="AM257" s="322">
        <f t="shared" si="111"/>
        <v>2</v>
      </c>
      <c r="AN257" s="380">
        <f>IF(AND(AH257&gt;0,B257&lt;&gt;""),VLOOKUP(I257,'AUX-NIV3'!$B:$AO,39,FALSE)*O257,0)</f>
        <v>0</v>
      </c>
      <c r="AO257" s="380">
        <f t="shared" si="97"/>
        <v>0.20110119111111111</v>
      </c>
      <c r="AP257" s="380"/>
    </row>
    <row r="258" spans="2:42" ht="14.4" hidden="1" thickTop="1" thickBot="1">
      <c r="B258" s="324" t="s">
        <v>1286</v>
      </c>
      <c r="C258" s="325" t="s">
        <v>36</v>
      </c>
      <c r="D258" s="326" t="s">
        <v>1160</v>
      </c>
      <c r="E258" s="327">
        <f>IF(B258&lt;&gt;"",SUMIF('AUX-NIV1'!I:I,'AUX-NIV2'!B258,'AUX-NIV1'!Q:Q),"")</f>
        <v>0</v>
      </c>
      <c r="F258" s="327">
        <f t="shared" si="87"/>
        <v>4802.3886495012812</v>
      </c>
      <c r="G258" s="327">
        <f t="shared" si="88"/>
        <v>0</v>
      </c>
      <c r="H258" s="328" t="str">
        <f t="shared" si="98"/>
        <v>A</v>
      </c>
      <c r="I258" s="325" t="s">
        <v>3311</v>
      </c>
      <c r="J258" s="329" t="str">
        <f>IF(B258&lt;&gt;"",+VLOOKUP(I258,Recursos!C:F,2,FALSE),"")</f>
        <v>OPER. EQUIPO</v>
      </c>
      <c r="K258" s="330" t="str">
        <f>IF(B258&lt;&gt;"",+VLOOKUP(I258,Recursos!C:F,3,FALSE),"")</f>
        <v>hh</v>
      </c>
      <c r="L258" s="327">
        <f>IF(B258&lt;&gt;"",+VLOOKUP(I258,Recursos!C:F,4,FALSE),"")</f>
        <v>581.06120476836554</v>
      </c>
      <c r="M258" s="331">
        <v>18</v>
      </c>
      <c r="N258" s="331">
        <v>0</v>
      </c>
      <c r="O258" s="332">
        <f t="shared" si="115"/>
        <v>0</v>
      </c>
      <c r="P258" s="333">
        <f t="shared" si="99"/>
        <v>0</v>
      </c>
      <c r="Q258" s="327">
        <f t="shared" si="100"/>
        <v>0</v>
      </c>
      <c r="R258" s="334">
        <f t="shared" si="101"/>
        <v>0</v>
      </c>
      <c r="S258" s="358">
        <f t="shared" si="89"/>
        <v>54.472361230649938</v>
      </c>
      <c r="T258" s="358">
        <f t="shared" si="90"/>
        <v>228.8832612121212</v>
      </c>
      <c r="U258" s="359">
        <f t="shared" si="91"/>
        <v>4050.6750000000002</v>
      </c>
      <c r="V258" s="359">
        <f t="shared" si="92"/>
        <v>0</v>
      </c>
      <c r="W258" s="359">
        <f t="shared" si="93"/>
        <v>0</v>
      </c>
      <c r="X258" s="359">
        <f t="shared" si="94"/>
        <v>468.35802705851029</v>
      </c>
      <c r="Y258" s="320"/>
      <c r="Z258" s="321" t="str">
        <f t="shared" si="102"/>
        <v>X-EDOSH25A</v>
      </c>
      <c r="AA258" s="321" t="str">
        <f t="shared" si="103"/>
        <v>X-EDOSH25E</v>
      </c>
      <c r="AB258" s="321" t="str">
        <f t="shared" si="104"/>
        <v>X-EDOSH25M</v>
      </c>
      <c r="AC258" s="321" t="str">
        <f t="shared" si="105"/>
        <v>X-EDOSH25T</v>
      </c>
      <c r="AD258" s="321" t="str">
        <f t="shared" si="106"/>
        <v>X-EDOSH25S</v>
      </c>
      <c r="AE258" s="321" t="str">
        <f t="shared" si="107"/>
        <v>X-EDOSH25X</v>
      </c>
      <c r="AF258" s="321" t="str">
        <f t="shared" si="108"/>
        <v>X-EDOSH25A</v>
      </c>
      <c r="AG258" s="321">
        <f t="shared" si="95"/>
        <v>13</v>
      </c>
      <c r="AH258" s="321">
        <f>IF(B258&lt;&gt;"",IF(H258="x",VLOOKUP(I258,'AUX-NIV3'!B:AG,32,FALSE),0),"")</f>
        <v>0</v>
      </c>
      <c r="AI258" s="321" t="str">
        <f t="shared" si="109"/>
        <v>X-EDOSH25</v>
      </c>
      <c r="AJ258" s="320"/>
      <c r="AK258" s="322">
        <f t="shared" si="96"/>
        <v>256</v>
      </c>
      <c r="AL258" s="323">
        <f t="shared" si="110"/>
        <v>268</v>
      </c>
      <c r="AM258" s="322">
        <f t="shared" si="111"/>
        <v>3</v>
      </c>
      <c r="AN258" s="380">
        <f>IF(AND(AH258&gt;0,B258&lt;&gt;""),VLOOKUP(I258,'AUX-NIV3'!$B:$AO,39,FALSE)*O258,0)</f>
        <v>0</v>
      </c>
      <c r="AO258" s="380">
        <f t="shared" si="97"/>
        <v>0.20110119111111111</v>
      </c>
      <c r="AP258" s="380"/>
    </row>
    <row r="259" spans="2:42" ht="14.4" hidden="1" thickTop="1" thickBot="1">
      <c r="B259" s="324" t="s">
        <v>1286</v>
      </c>
      <c r="C259" s="325" t="s">
        <v>36</v>
      </c>
      <c r="D259" s="326" t="s">
        <v>1160</v>
      </c>
      <c r="E259" s="327">
        <f>IF(B259&lt;&gt;"",SUMIF('AUX-NIV1'!I:I,'AUX-NIV2'!B259,'AUX-NIV1'!Q:Q),"")</f>
        <v>0</v>
      </c>
      <c r="F259" s="327">
        <f t="shared" si="87"/>
        <v>4802.3886495012812</v>
      </c>
      <c r="G259" s="327">
        <f t="shared" si="88"/>
        <v>0</v>
      </c>
      <c r="H259" s="328" t="str">
        <f t="shared" si="98"/>
        <v>A</v>
      </c>
      <c r="I259" s="325" t="s">
        <v>1745</v>
      </c>
      <c r="J259" s="329" t="str">
        <f>IF(B259&lt;&gt;"",+VLOOKUP(I259,Recursos!C:F,2,FALSE),"")</f>
        <v>AYUDANTE</v>
      </c>
      <c r="K259" s="330" t="str">
        <f>IF(B259&lt;&gt;"",+VLOOKUP(I259,Recursos!C:F,3,FALSE),"")</f>
        <v>hh</v>
      </c>
      <c r="L259" s="327">
        <f>IF(B259&lt;&gt;"",+VLOOKUP(I259,Recursos!C:F,4,FALSE),"")</f>
        <v>422.48042769667234</v>
      </c>
      <c r="M259" s="331">
        <v>100</v>
      </c>
      <c r="N259" s="331">
        <v>2.8</v>
      </c>
      <c r="O259" s="332">
        <f t="shared" si="115"/>
        <v>2.7999999999999997E-2</v>
      </c>
      <c r="P259" s="333">
        <f t="shared" si="99"/>
        <v>11.829451975506824</v>
      </c>
      <c r="Q259" s="327">
        <f t="shared" si="100"/>
        <v>0</v>
      </c>
      <c r="R259" s="334">
        <f t="shared" si="101"/>
        <v>0</v>
      </c>
      <c r="S259" s="358">
        <f t="shared" si="89"/>
        <v>54.472361230649938</v>
      </c>
      <c r="T259" s="358">
        <f t="shared" si="90"/>
        <v>228.8832612121212</v>
      </c>
      <c r="U259" s="359">
        <f t="shared" si="91"/>
        <v>4050.6750000000002</v>
      </c>
      <c r="V259" s="359">
        <f t="shared" si="92"/>
        <v>0</v>
      </c>
      <c r="W259" s="359">
        <f t="shared" si="93"/>
        <v>0</v>
      </c>
      <c r="X259" s="359">
        <f t="shared" si="94"/>
        <v>468.35802705851029</v>
      </c>
      <c r="Y259" s="320"/>
      <c r="Z259" s="321" t="str">
        <f t="shared" si="102"/>
        <v>X-EDOSH25A</v>
      </c>
      <c r="AA259" s="321" t="str">
        <f t="shared" si="103"/>
        <v>X-EDOSH25E</v>
      </c>
      <c r="AB259" s="321" t="str">
        <f t="shared" si="104"/>
        <v>X-EDOSH25M</v>
      </c>
      <c r="AC259" s="321" t="str">
        <f t="shared" si="105"/>
        <v>X-EDOSH25T</v>
      </c>
      <c r="AD259" s="321" t="str">
        <f t="shared" si="106"/>
        <v>X-EDOSH25S</v>
      </c>
      <c r="AE259" s="321" t="str">
        <f t="shared" si="107"/>
        <v>X-EDOSH25X</v>
      </c>
      <c r="AF259" s="321" t="str">
        <f t="shared" si="108"/>
        <v>X-EDOSH25A</v>
      </c>
      <c r="AG259" s="321">
        <f t="shared" si="95"/>
        <v>13</v>
      </c>
      <c r="AH259" s="321">
        <f>IF(B259&lt;&gt;"",IF(H259="x",VLOOKUP(I259,'AUX-NIV3'!B:AG,32,FALSE),0),"")</f>
        <v>0</v>
      </c>
      <c r="AI259" s="321" t="str">
        <f t="shared" si="109"/>
        <v>X-EDOSH25</v>
      </c>
      <c r="AJ259" s="320"/>
      <c r="AK259" s="322">
        <f t="shared" si="96"/>
        <v>256</v>
      </c>
      <c r="AL259" s="323">
        <f t="shared" si="110"/>
        <v>268</v>
      </c>
      <c r="AM259" s="322">
        <f t="shared" si="111"/>
        <v>4</v>
      </c>
      <c r="AN259" s="380">
        <f>IF(AND(AH259&gt;0,B259&lt;&gt;""),VLOOKUP(I259,'AUX-NIV3'!$B:$AO,39,FALSE)*O259,0)</f>
        <v>0</v>
      </c>
      <c r="AO259" s="380">
        <f t="shared" si="97"/>
        <v>0.20110119111111111</v>
      </c>
      <c r="AP259" s="380"/>
    </row>
    <row r="260" spans="2:42" ht="14.4" hidden="1" thickTop="1" thickBot="1">
      <c r="B260" s="324" t="s">
        <v>1286</v>
      </c>
      <c r="C260" s="325" t="s">
        <v>36</v>
      </c>
      <c r="D260" s="326" t="s">
        <v>1160</v>
      </c>
      <c r="E260" s="327">
        <f>IF(B260&lt;&gt;"",SUMIF('AUX-NIV1'!I:I,'AUX-NIV2'!B260,'AUX-NIV1'!Q:Q),"")</f>
        <v>0</v>
      </c>
      <c r="F260" s="327">
        <f t="shared" si="87"/>
        <v>4802.3886495012812</v>
      </c>
      <c r="G260" s="327">
        <f t="shared" si="88"/>
        <v>0</v>
      </c>
      <c r="H260" s="328" t="str">
        <f t="shared" si="98"/>
        <v>E</v>
      </c>
      <c r="I260" s="325" t="s">
        <v>1555</v>
      </c>
      <c r="J260" s="329" t="str">
        <f>IF(B260&lt;&gt;"",+VLOOKUP(I260,Recursos!C:F,2,FALSE),"")</f>
        <v>CAMION VOLCADOR 6x4 CAP. 24 T=15 m3</v>
      </c>
      <c r="K260" s="330" t="str">
        <f>IF(B260&lt;&gt;"",+VLOOKUP(I260,Recursos!C:F,3,FALSE),"")</f>
        <v>HR</v>
      </c>
      <c r="L260" s="327">
        <f>IF(B260&lt;&gt;"",+VLOOKUP(I260,Recursos!C:F,4,FALSE),"")</f>
        <v>3333.261</v>
      </c>
      <c r="M260" s="331">
        <v>18</v>
      </c>
      <c r="N260" s="331">
        <v>1</v>
      </c>
      <c r="O260" s="332">
        <f t="shared" si="115"/>
        <v>5.5555555555555552E-2</v>
      </c>
      <c r="P260" s="333">
        <f t="shared" si="99"/>
        <v>185.18116666666666</v>
      </c>
      <c r="Q260" s="327">
        <f t="shared" si="100"/>
        <v>0</v>
      </c>
      <c r="R260" s="334">
        <f t="shared" si="101"/>
        <v>0</v>
      </c>
      <c r="S260" s="358">
        <f t="shared" si="89"/>
        <v>54.472361230649938</v>
      </c>
      <c r="T260" s="358">
        <f t="shared" si="90"/>
        <v>228.8832612121212</v>
      </c>
      <c r="U260" s="359">
        <f t="shared" si="91"/>
        <v>4050.6750000000002</v>
      </c>
      <c r="V260" s="359">
        <f t="shared" si="92"/>
        <v>0</v>
      </c>
      <c r="W260" s="359">
        <f t="shared" si="93"/>
        <v>0</v>
      </c>
      <c r="X260" s="359">
        <f t="shared" si="94"/>
        <v>468.35802705851029</v>
      </c>
      <c r="Y260" s="320"/>
      <c r="Z260" s="321" t="str">
        <f t="shared" si="102"/>
        <v>X-EDOSH25A</v>
      </c>
      <c r="AA260" s="321" t="str">
        <f t="shared" si="103"/>
        <v>X-EDOSH25E</v>
      </c>
      <c r="AB260" s="321" t="str">
        <f t="shared" si="104"/>
        <v>X-EDOSH25M</v>
      </c>
      <c r="AC260" s="321" t="str">
        <f t="shared" si="105"/>
        <v>X-EDOSH25T</v>
      </c>
      <c r="AD260" s="321" t="str">
        <f t="shared" si="106"/>
        <v>X-EDOSH25S</v>
      </c>
      <c r="AE260" s="321" t="str">
        <f t="shared" si="107"/>
        <v>X-EDOSH25X</v>
      </c>
      <c r="AF260" s="321" t="str">
        <f t="shared" si="108"/>
        <v>X-EDOSH25E</v>
      </c>
      <c r="AG260" s="321">
        <f t="shared" si="95"/>
        <v>13</v>
      </c>
      <c r="AH260" s="321">
        <f>IF(B260&lt;&gt;"",IF(H260="x",VLOOKUP(I260,'AUX-NIV3'!B:AG,32,FALSE),0),"")</f>
        <v>0</v>
      </c>
      <c r="AI260" s="321" t="str">
        <f t="shared" si="109"/>
        <v>X-EDOSH25</v>
      </c>
      <c r="AJ260" s="320"/>
      <c r="AK260" s="322">
        <f t="shared" si="96"/>
        <v>256</v>
      </c>
      <c r="AL260" s="323">
        <f t="shared" si="110"/>
        <v>268</v>
      </c>
      <c r="AM260" s="322">
        <f t="shared" si="111"/>
        <v>5</v>
      </c>
      <c r="AN260" s="380">
        <f>IF(AND(AH260&gt;0,B260&lt;&gt;""),VLOOKUP(I260,'AUX-NIV3'!$B:$AO,39,FALSE)*O260,0)</f>
        <v>0</v>
      </c>
      <c r="AO260" s="380">
        <f t="shared" si="97"/>
        <v>0.20110119111111111</v>
      </c>
      <c r="AP260" s="380"/>
    </row>
    <row r="261" spans="2:42" ht="14.4" hidden="1" thickTop="1" thickBot="1">
      <c r="B261" s="324" t="s">
        <v>1286</v>
      </c>
      <c r="C261" s="325" t="s">
        <v>36</v>
      </c>
      <c r="D261" s="326" t="s">
        <v>1160</v>
      </c>
      <c r="E261" s="327">
        <f>IF(B261&lt;&gt;"",SUMIF('AUX-NIV1'!I:I,'AUX-NIV2'!B261,'AUX-NIV1'!Q:Q),"")</f>
        <v>0</v>
      </c>
      <c r="F261" s="327">
        <f t="shared" si="87"/>
        <v>4802.3886495012812</v>
      </c>
      <c r="G261" s="327">
        <f t="shared" si="88"/>
        <v>0</v>
      </c>
      <c r="H261" s="328" t="str">
        <f t="shared" si="98"/>
        <v>E</v>
      </c>
      <c r="I261" s="325" t="s">
        <v>1579</v>
      </c>
      <c r="J261" s="329" t="str">
        <f>IF(B261&lt;&gt;"",+VLOOKUP(I261,Recursos!C:F,2,FALSE),"")</f>
        <v>TRACTOR PANTANERO 8 CUBIERTAS</v>
      </c>
      <c r="K261" s="330" t="str">
        <f>IF(B261&lt;&gt;"",+VLOOKUP(I261,Recursos!C:F,3,FALSE),"")</f>
        <v>HR</v>
      </c>
      <c r="L261" s="327">
        <f>IF(B261&lt;&gt;"",+VLOOKUP(I261,Recursos!C:F,4,FALSE),"")</f>
        <v>3411.4653333333331</v>
      </c>
      <c r="M261" s="331">
        <v>10</v>
      </c>
      <c r="N261" s="331">
        <v>0</v>
      </c>
      <c r="O261" s="332">
        <f t="shared" si="115"/>
        <v>0</v>
      </c>
      <c r="P261" s="333">
        <f t="shared" si="99"/>
        <v>0</v>
      </c>
      <c r="Q261" s="327">
        <f t="shared" si="100"/>
        <v>0</v>
      </c>
      <c r="R261" s="334">
        <f t="shared" si="101"/>
        <v>0</v>
      </c>
      <c r="S261" s="358">
        <f t="shared" si="89"/>
        <v>54.472361230649938</v>
      </c>
      <c r="T261" s="358">
        <f t="shared" si="90"/>
        <v>228.8832612121212</v>
      </c>
      <c r="U261" s="359">
        <f t="shared" si="91"/>
        <v>4050.6750000000002</v>
      </c>
      <c r="V261" s="359">
        <f t="shared" si="92"/>
        <v>0</v>
      </c>
      <c r="W261" s="359">
        <f t="shared" si="93"/>
        <v>0</v>
      </c>
      <c r="X261" s="359">
        <f t="shared" si="94"/>
        <v>468.35802705851029</v>
      </c>
      <c r="Y261" s="320"/>
      <c r="Z261" s="321" t="str">
        <f t="shared" si="102"/>
        <v>X-EDOSH25A</v>
      </c>
      <c r="AA261" s="321" t="str">
        <f t="shared" si="103"/>
        <v>X-EDOSH25E</v>
      </c>
      <c r="AB261" s="321" t="str">
        <f t="shared" si="104"/>
        <v>X-EDOSH25M</v>
      </c>
      <c r="AC261" s="321" t="str">
        <f t="shared" si="105"/>
        <v>X-EDOSH25T</v>
      </c>
      <c r="AD261" s="321" t="str">
        <f t="shared" si="106"/>
        <v>X-EDOSH25S</v>
      </c>
      <c r="AE261" s="321" t="str">
        <f t="shared" si="107"/>
        <v>X-EDOSH25X</v>
      </c>
      <c r="AF261" s="321" t="str">
        <f t="shared" si="108"/>
        <v>X-EDOSH25E</v>
      </c>
      <c r="AG261" s="321">
        <f t="shared" si="95"/>
        <v>13</v>
      </c>
      <c r="AH261" s="321">
        <f>IF(B261&lt;&gt;"",IF(H261="x",VLOOKUP(I261,'AUX-NIV3'!B:AG,32,FALSE),0),"")</f>
        <v>0</v>
      </c>
      <c r="AI261" s="321" t="str">
        <f t="shared" si="109"/>
        <v>X-EDOSH25</v>
      </c>
      <c r="AJ261" s="320"/>
      <c r="AK261" s="322">
        <f t="shared" si="96"/>
        <v>256</v>
      </c>
      <c r="AL261" s="323">
        <f t="shared" si="110"/>
        <v>268</v>
      </c>
      <c r="AM261" s="322">
        <f t="shared" si="111"/>
        <v>6</v>
      </c>
      <c r="AN261" s="380">
        <f>IF(AND(AH261&gt;0,B261&lt;&gt;""),VLOOKUP(I261,'AUX-NIV3'!$B:$AO,39,FALSE)*O261,0)</f>
        <v>0</v>
      </c>
      <c r="AO261" s="380">
        <f t="shared" si="97"/>
        <v>0.20110119111111111</v>
      </c>
      <c r="AP261" s="380"/>
    </row>
    <row r="262" spans="2:42" ht="14.4" hidden="1" thickTop="1" thickBot="1">
      <c r="B262" s="324" t="s">
        <v>1286</v>
      </c>
      <c r="C262" s="325" t="s">
        <v>36</v>
      </c>
      <c r="D262" s="326" t="s">
        <v>1160</v>
      </c>
      <c r="E262" s="327">
        <f>IF(B262&lt;&gt;"",SUMIF('AUX-NIV1'!I:I,'AUX-NIV2'!B262,'AUX-NIV1'!Q:Q),"")</f>
        <v>0</v>
      </c>
      <c r="F262" s="327">
        <f t="shared" si="87"/>
        <v>4802.3886495012812</v>
      </c>
      <c r="G262" s="327">
        <f t="shared" si="88"/>
        <v>0</v>
      </c>
      <c r="H262" s="328" t="str">
        <f t="shared" si="98"/>
        <v>E</v>
      </c>
      <c r="I262" s="325" t="s">
        <v>1564</v>
      </c>
      <c r="J262" s="329" t="str">
        <f>IF(B262&lt;&gt;"",+VLOOKUP(I262,Recursos!C:F,2,FALSE),"")</f>
        <v>ACOPLADO O TANQUE CAP. 10 m3</v>
      </c>
      <c r="K262" s="330" t="str">
        <f>IF(B262&lt;&gt;"",+VLOOKUP(I262,Recursos!C:F,3,FALSE),"")</f>
        <v>HR</v>
      </c>
      <c r="L262" s="327">
        <f>IF(B262&lt;&gt;"",+VLOOKUP(I262,Recursos!C:F,4,FALSE),"")</f>
        <v>200.018</v>
      </c>
      <c r="M262" s="331">
        <v>10</v>
      </c>
      <c r="N262" s="331">
        <v>0</v>
      </c>
      <c r="O262" s="332">
        <f t="shared" si="115"/>
        <v>0</v>
      </c>
      <c r="P262" s="333">
        <f t="shared" si="99"/>
        <v>0</v>
      </c>
      <c r="Q262" s="327">
        <f t="shared" si="100"/>
        <v>0</v>
      </c>
      <c r="R262" s="334">
        <f t="shared" si="101"/>
        <v>0</v>
      </c>
      <c r="S262" s="358">
        <f t="shared" si="89"/>
        <v>54.472361230649938</v>
      </c>
      <c r="T262" s="358">
        <f t="shared" si="90"/>
        <v>228.8832612121212</v>
      </c>
      <c r="U262" s="359">
        <f t="shared" si="91"/>
        <v>4050.6750000000002</v>
      </c>
      <c r="V262" s="359">
        <f t="shared" si="92"/>
        <v>0</v>
      </c>
      <c r="W262" s="359">
        <f t="shared" si="93"/>
        <v>0</v>
      </c>
      <c r="X262" s="359">
        <f t="shared" si="94"/>
        <v>468.35802705851029</v>
      </c>
      <c r="Y262" s="320"/>
      <c r="Z262" s="321" t="str">
        <f t="shared" si="102"/>
        <v>X-EDOSH25A</v>
      </c>
      <c r="AA262" s="321" t="str">
        <f t="shared" si="103"/>
        <v>X-EDOSH25E</v>
      </c>
      <c r="AB262" s="321" t="str">
        <f t="shared" si="104"/>
        <v>X-EDOSH25M</v>
      </c>
      <c r="AC262" s="321" t="str">
        <f t="shared" si="105"/>
        <v>X-EDOSH25T</v>
      </c>
      <c r="AD262" s="321" t="str">
        <f t="shared" si="106"/>
        <v>X-EDOSH25S</v>
      </c>
      <c r="AE262" s="321" t="str">
        <f t="shared" si="107"/>
        <v>X-EDOSH25X</v>
      </c>
      <c r="AF262" s="321" t="str">
        <f t="shared" si="108"/>
        <v>X-EDOSH25E</v>
      </c>
      <c r="AG262" s="321">
        <f t="shared" si="95"/>
        <v>13</v>
      </c>
      <c r="AH262" s="321">
        <f>IF(B262&lt;&gt;"",IF(H262="x",VLOOKUP(I262,'AUX-NIV3'!B:AG,32,FALSE),0),"")</f>
        <v>0</v>
      </c>
      <c r="AI262" s="321" t="str">
        <f t="shared" si="109"/>
        <v>X-EDOSH25</v>
      </c>
      <c r="AJ262" s="320"/>
      <c r="AK262" s="322">
        <f t="shared" si="96"/>
        <v>256</v>
      </c>
      <c r="AL262" s="323">
        <f t="shared" si="110"/>
        <v>268</v>
      </c>
      <c r="AM262" s="322">
        <f t="shared" si="111"/>
        <v>7</v>
      </c>
      <c r="AN262" s="380">
        <f>IF(AND(AH262&gt;0,B262&lt;&gt;""),VLOOKUP(I262,'AUX-NIV3'!$B:$AO,39,FALSE)*O262,0)</f>
        <v>0</v>
      </c>
      <c r="AO262" s="380">
        <f t="shared" si="97"/>
        <v>0.20110119111111111</v>
      </c>
      <c r="AP262" s="380"/>
    </row>
    <row r="263" spans="2:42" ht="14.4" hidden="1" thickTop="1" thickBot="1">
      <c r="B263" s="324" t="s">
        <v>1286</v>
      </c>
      <c r="C263" s="325" t="s">
        <v>36</v>
      </c>
      <c r="D263" s="326" t="s">
        <v>1160</v>
      </c>
      <c r="E263" s="327">
        <f>IF(B263&lt;&gt;"",SUMIF('AUX-NIV1'!I:I,'AUX-NIV2'!B263,'AUX-NIV1'!Q:Q),"")</f>
        <v>0</v>
      </c>
      <c r="F263" s="327">
        <f t="shared" ref="F263:F326" si="116">IF(B263&lt;&gt;"",+SUMIF(B:B,B263,P:P),"")</f>
        <v>4802.3886495012812</v>
      </c>
      <c r="G263" s="327">
        <f t="shared" ref="G263:G326" si="117">IF(B263&lt;&gt;"",+SUMIF(B:B,B263,R:R),"")</f>
        <v>0</v>
      </c>
      <c r="H263" s="328" t="str">
        <f t="shared" si="98"/>
        <v>E</v>
      </c>
      <c r="I263" s="325" t="s">
        <v>1543</v>
      </c>
      <c r="J263" s="329" t="str">
        <f>IF(B263&lt;&gt;"",+VLOOKUP(I263,Recursos!C:F,2,FALSE),"")</f>
        <v>CARGADOR FRONTAL S/NEUM. (3,00 M3)</v>
      </c>
      <c r="K263" s="330" t="str">
        <f>IF(B263&lt;&gt;"",+VLOOKUP(I263,Recursos!C:F,3,FALSE),"")</f>
        <v>HR</v>
      </c>
      <c r="L263" s="327">
        <f>IF(B263&lt;&gt;"",+VLOOKUP(I263,Recursos!C:F,4,FALSE),"")</f>
        <v>4370.2094545454547</v>
      </c>
      <c r="M263" s="331">
        <v>100</v>
      </c>
      <c r="N263" s="331">
        <v>1</v>
      </c>
      <c r="O263" s="332">
        <f t="shared" si="115"/>
        <v>0.01</v>
      </c>
      <c r="P263" s="333">
        <f t="shared" si="99"/>
        <v>43.70209454545455</v>
      </c>
      <c r="Q263" s="327">
        <f t="shared" si="100"/>
        <v>0</v>
      </c>
      <c r="R263" s="334">
        <f t="shared" si="101"/>
        <v>0</v>
      </c>
      <c r="S263" s="358">
        <f t="shared" ref="S263:S326" si="118">IF(B263&lt;&gt;"",+SUMIF($AF:$AF,Z263,$P:$P),"")</f>
        <v>54.472361230649938</v>
      </c>
      <c r="T263" s="358">
        <f t="shared" ref="T263:T326" si="119">IF(B263&lt;&gt;"",+SUMIF($AF:$AF,AA263,$P:$P),"")</f>
        <v>228.8832612121212</v>
      </c>
      <c r="U263" s="359">
        <f t="shared" ref="U263:U326" si="120">IF(B263&lt;&gt;"",+SUMIF($AF:$AF,AB263,$P:$P),"")</f>
        <v>4050.6750000000002</v>
      </c>
      <c r="V263" s="359">
        <f t="shared" ref="V263:V326" si="121">IF(B263&lt;&gt;"",+SUMIF($AF:$AF,AC263,$P:$P),"")</f>
        <v>0</v>
      </c>
      <c r="W263" s="359">
        <f t="shared" ref="W263:W326" si="122">IF(B263&lt;&gt;"",+SUMIF($AF:$AF,AD263,$P:$P),"")</f>
        <v>0</v>
      </c>
      <c r="X263" s="359">
        <f t="shared" ref="X263:X326" si="123">IF(B263&lt;&gt;"",+SUMIF($AF:$AF,AE263,$P:$P),"")</f>
        <v>468.35802705851029</v>
      </c>
      <c r="Y263" s="320"/>
      <c r="Z263" s="321" t="str">
        <f t="shared" si="102"/>
        <v>X-EDOSH25A</v>
      </c>
      <c r="AA263" s="321" t="str">
        <f t="shared" si="103"/>
        <v>X-EDOSH25E</v>
      </c>
      <c r="AB263" s="321" t="str">
        <f t="shared" si="104"/>
        <v>X-EDOSH25M</v>
      </c>
      <c r="AC263" s="321" t="str">
        <f t="shared" si="105"/>
        <v>X-EDOSH25T</v>
      </c>
      <c r="AD263" s="321" t="str">
        <f t="shared" si="106"/>
        <v>X-EDOSH25S</v>
      </c>
      <c r="AE263" s="321" t="str">
        <f t="shared" si="107"/>
        <v>X-EDOSH25X</v>
      </c>
      <c r="AF263" s="321" t="str">
        <f t="shared" si="108"/>
        <v>X-EDOSH25E</v>
      </c>
      <c r="AG263" s="321">
        <f t="shared" ref="AG263:AG326" si="124">IF(B263&lt;&gt;"",+COUNTIF(B:B,B263),"")</f>
        <v>13</v>
      </c>
      <c r="AH263" s="321">
        <f>IF(B263&lt;&gt;"",IF(H263="x",VLOOKUP(I263,'AUX-NIV3'!B:AG,32,FALSE),0),"")</f>
        <v>0</v>
      </c>
      <c r="AI263" s="321" t="str">
        <f t="shared" si="109"/>
        <v>X-EDOSH25</v>
      </c>
      <c r="AJ263" s="320"/>
      <c r="AK263" s="322">
        <f t="shared" ref="AK263:AK326" si="125">IF(B263&lt;&gt;"",+MATCH(B263,B:B,0),"")</f>
        <v>256</v>
      </c>
      <c r="AL263" s="323">
        <f t="shared" si="110"/>
        <v>268</v>
      </c>
      <c r="AM263" s="322">
        <f t="shared" si="111"/>
        <v>8</v>
      </c>
      <c r="AN263" s="380">
        <f>IF(AND(AH263&gt;0,B263&lt;&gt;""),VLOOKUP(I263,'AUX-NIV3'!$B:$AO,39,FALSE)*O263,0)</f>
        <v>0</v>
      </c>
      <c r="AO263" s="380">
        <f t="shared" ref="AO263:AO326" si="126">+IF(B263&lt;&gt;"",SUMIF(AF:AF,Z263,O:O)+SUMIF(Z:Z,Z263,AN:AN),0)</f>
        <v>0.20110119111111111</v>
      </c>
      <c r="AP263" s="380"/>
    </row>
    <row r="264" spans="2:42" ht="14.4" hidden="1" thickTop="1" thickBot="1">
      <c r="B264" s="324" t="s">
        <v>1286</v>
      </c>
      <c r="C264" s="325" t="s">
        <v>36</v>
      </c>
      <c r="D264" s="326" t="s">
        <v>1160</v>
      </c>
      <c r="E264" s="327">
        <f>IF(B264&lt;&gt;"",SUMIF('AUX-NIV1'!I:I,'AUX-NIV2'!B264,'AUX-NIV1'!Q:Q),"")</f>
        <v>0</v>
      </c>
      <c r="F264" s="327">
        <f t="shared" si="116"/>
        <v>4802.3886495012812</v>
      </c>
      <c r="G264" s="327">
        <f t="shared" si="117"/>
        <v>0</v>
      </c>
      <c r="H264" s="328" t="str">
        <f t="shared" si="98"/>
        <v>M</v>
      </c>
      <c r="I264" s="325" t="s">
        <v>457</v>
      </c>
      <c r="J264" s="329" t="str">
        <f>IF(B264&lt;&gt;"",+VLOOKUP(I264,Recursos!C:F,2,FALSE),"")</f>
        <v>CEMENTO A GRANEL (NORMAL)</v>
      </c>
      <c r="K264" s="330" t="str">
        <f>IF(B264&lt;&gt;"",+VLOOKUP(I264,Recursos!C:F,3,FALSE),"")</f>
        <v>TN</v>
      </c>
      <c r="L264" s="327">
        <f>IF(B264&lt;&gt;"",+VLOOKUP(I264,Recursos!C:F,4,FALSE),"")</f>
        <v>6989</v>
      </c>
      <c r="M264" s="331">
        <v>0.45</v>
      </c>
      <c r="N264" s="331">
        <v>1</v>
      </c>
      <c r="O264" s="332">
        <f>+M264*N264</f>
        <v>0.45</v>
      </c>
      <c r="P264" s="333">
        <f t="shared" si="99"/>
        <v>3145.05</v>
      </c>
      <c r="Q264" s="327">
        <f t="shared" si="100"/>
        <v>0</v>
      </c>
      <c r="R264" s="334">
        <f t="shared" si="101"/>
        <v>0</v>
      </c>
      <c r="S264" s="358">
        <f t="shared" si="118"/>
        <v>54.472361230649938</v>
      </c>
      <c r="T264" s="358">
        <f t="shared" si="119"/>
        <v>228.8832612121212</v>
      </c>
      <c r="U264" s="359">
        <f t="shared" si="120"/>
        <v>4050.6750000000002</v>
      </c>
      <c r="V264" s="359">
        <f t="shared" si="121"/>
        <v>0</v>
      </c>
      <c r="W264" s="359">
        <f t="shared" si="122"/>
        <v>0</v>
      </c>
      <c r="X264" s="359">
        <f t="shared" si="123"/>
        <v>468.35802705851029</v>
      </c>
      <c r="Y264" s="320"/>
      <c r="Z264" s="321" t="str">
        <f t="shared" ref="Z264:Z327" si="127">IF(B264&lt;&gt;"",+$B264&amp;"A","")</f>
        <v>X-EDOSH25A</v>
      </c>
      <c r="AA264" s="321" t="str">
        <f t="shared" ref="AA264:AA327" si="128">IF(B264&lt;&gt;"",+$B264&amp;"E","")</f>
        <v>X-EDOSH25E</v>
      </c>
      <c r="AB264" s="321" t="str">
        <f t="shared" ref="AB264:AB327" si="129">IF(B264&lt;&gt;"",++$B264&amp;"M","")</f>
        <v>X-EDOSH25M</v>
      </c>
      <c r="AC264" s="321" t="str">
        <f t="shared" ref="AC264:AC327" si="130">IF(B264&lt;&gt;"",+$B264&amp;"T","")</f>
        <v>X-EDOSH25T</v>
      </c>
      <c r="AD264" s="321" t="str">
        <f t="shared" ref="AD264:AD327" si="131">IF(B264&lt;&gt;"",+$B264&amp;"S","")</f>
        <v>X-EDOSH25S</v>
      </c>
      <c r="AE264" s="321" t="str">
        <f t="shared" ref="AE264:AE327" si="132">IF(B264&lt;&gt;"",+$B264&amp;"X","")</f>
        <v>X-EDOSH25X</v>
      </c>
      <c r="AF264" s="321" t="str">
        <f t="shared" ref="AF264:AF327" si="133">IF(B264&lt;&gt;"",+B264&amp;H264,"")</f>
        <v>X-EDOSH25M</v>
      </c>
      <c r="AG264" s="321">
        <f t="shared" si="124"/>
        <v>13</v>
      </c>
      <c r="AH264" s="321">
        <f>IF(B264&lt;&gt;"",IF(H264="x",VLOOKUP(I264,'AUX-NIV3'!B:AG,32,FALSE),0),"")</f>
        <v>0</v>
      </c>
      <c r="AI264" s="321" t="str">
        <f t="shared" ref="AI264:AI327" si="134">IF(B264&lt;&gt;"",+B264,"")</f>
        <v>X-EDOSH25</v>
      </c>
      <c r="AJ264" s="320"/>
      <c r="AK264" s="322">
        <f t="shared" si="125"/>
        <v>256</v>
      </c>
      <c r="AL264" s="323">
        <f t="shared" ref="AL264:AL327" si="135">IF(B264&lt;&gt;"",+AK264+AG264-1,"")</f>
        <v>268</v>
      </c>
      <c r="AM264" s="322">
        <f t="shared" ref="AM264:AM327" si="136">IF(B264&lt;&gt;"",IF(B264=B263,1+AM263,1),"")</f>
        <v>9</v>
      </c>
      <c r="AN264" s="380">
        <f>IF(AND(AH264&gt;0,B264&lt;&gt;""),VLOOKUP(I264,'AUX-NIV3'!$B:$AO,39,FALSE)*O264,0)</f>
        <v>0</v>
      </c>
      <c r="AO264" s="380">
        <f t="shared" si="126"/>
        <v>0.20110119111111111</v>
      </c>
      <c r="AP264" s="380"/>
    </row>
    <row r="265" spans="2:42" ht="14.4" hidden="1" thickTop="1" thickBot="1">
      <c r="B265" s="324" t="s">
        <v>1286</v>
      </c>
      <c r="C265" s="325" t="s">
        <v>36</v>
      </c>
      <c r="D265" s="326" t="s">
        <v>1160</v>
      </c>
      <c r="E265" s="327">
        <f>IF(B265&lt;&gt;"",SUMIF('AUX-NIV1'!I:I,'AUX-NIV2'!B265,'AUX-NIV1'!Q:Q),"")</f>
        <v>0</v>
      </c>
      <c r="F265" s="327">
        <f t="shared" si="116"/>
        <v>4802.3886495012812</v>
      </c>
      <c r="G265" s="327">
        <f t="shared" si="117"/>
        <v>0</v>
      </c>
      <c r="H265" s="328" t="str">
        <f t="shared" ref="H265:H328" si="137">IF(B265&lt;&gt;"",+LEFT(I265,1),"")</f>
        <v>M</v>
      </c>
      <c r="I265" s="325" t="s">
        <v>495</v>
      </c>
      <c r="J265" s="329" t="str">
        <f>IF(B265&lt;&gt;"",+VLOOKUP(I265,Recursos!C:F,2,FALSE),"")</f>
        <v>PLASTIFICANTE</v>
      </c>
      <c r="K265" s="330" t="str">
        <f>IF(B265&lt;&gt;"",+VLOOKUP(I265,Recursos!C:F,3,FALSE),"")</f>
        <v>Kg</v>
      </c>
      <c r="L265" s="327">
        <f>IF(B265&lt;&gt;"",+VLOOKUP(I265,Recursos!C:F,4,FALSE),"")</f>
        <v>40.25</v>
      </c>
      <c r="M265" s="331">
        <v>1</v>
      </c>
      <c r="N265" s="331">
        <v>0.05</v>
      </c>
      <c r="O265" s="332">
        <f>N265*M264*1000</f>
        <v>22.500000000000004</v>
      </c>
      <c r="P265" s="333">
        <f t="shared" ref="P265:P328" si="138">IF(B265&lt;&gt;"",O265*L265,"")</f>
        <v>905.62500000000011</v>
      </c>
      <c r="Q265" s="327">
        <f t="shared" ref="Q265:Q328" si="139">IF(B265&lt;&gt;"",+O265*E265,"")</f>
        <v>0</v>
      </c>
      <c r="R265" s="334">
        <f t="shared" ref="R265:R328" si="140">IF(B265&lt;&gt;"",Q265*L265,"")</f>
        <v>0</v>
      </c>
      <c r="S265" s="358">
        <f t="shared" si="118"/>
        <v>54.472361230649938</v>
      </c>
      <c r="T265" s="358">
        <f t="shared" si="119"/>
        <v>228.8832612121212</v>
      </c>
      <c r="U265" s="359">
        <f t="shared" si="120"/>
        <v>4050.6750000000002</v>
      </c>
      <c r="V265" s="359">
        <f t="shared" si="121"/>
        <v>0</v>
      </c>
      <c r="W265" s="359">
        <f t="shared" si="122"/>
        <v>0</v>
      </c>
      <c r="X265" s="359">
        <f t="shared" si="123"/>
        <v>468.35802705851029</v>
      </c>
      <c r="Y265" s="320"/>
      <c r="Z265" s="321" t="str">
        <f t="shared" si="127"/>
        <v>X-EDOSH25A</v>
      </c>
      <c r="AA265" s="321" t="str">
        <f t="shared" si="128"/>
        <v>X-EDOSH25E</v>
      </c>
      <c r="AB265" s="321" t="str">
        <f t="shared" si="129"/>
        <v>X-EDOSH25M</v>
      </c>
      <c r="AC265" s="321" t="str">
        <f t="shared" si="130"/>
        <v>X-EDOSH25T</v>
      </c>
      <c r="AD265" s="321" t="str">
        <f t="shared" si="131"/>
        <v>X-EDOSH25S</v>
      </c>
      <c r="AE265" s="321" t="str">
        <f t="shared" si="132"/>
        <v>X-EDOSH25X</v>
      </c>
      <c r="AF265" s="321" t="str">
        <f t="shared" si="133"/>
        <v>X-EDOSH25M</v>
      </c>
      <c r="AG265" s="321">
        <f t="shared" si="124"/>
        <v>13</v>
      </c>
      <c r="AH265" s="321">
        <f>IF(B265&lt;&gt;"",IF(H265="x",VLOOKUP(I265,'AUX-NIV3'!B:AG,32,FALSE),0),"")</f>
        <v>0</v>
      </c>
      <c r="AI265" s="321" t="str">
        <f t="shared" si="134"/>
        <v>X-EDOSH25</v>
      </c>
      <c r="AJ265" s="320"/>
      <c r="AK265" s="322">
        <f t="shared" si="125"/>
        <v>256</v>
      </c>
      <c r="AL265" s="323">
        <f t="shared" si="135"/>
        <v>268</v>
      </c>
      <c r="AM265" s="322">
        <f t="shared" si="136"/>
        <v>10</v>
      </c>
      <c r="AN265" s="380">
        <f>IF(AND(AH265&gt;0,B265&lt;&gt;""),VLOOKUP(I265,'AUX-NIV3'!$B:$AO,39,FALSE)*O265,0)</f>
        <v>0</v>
      </c>
      <c r="AO265" s="380">
        <f t="shared" si="126"/>
        <v>0.20110119111111111</v>
      </c>
      <c r="AP265" s="380"/>
    </row>
    <row r="266" spans="2:42" ht="14.4" hidden="1" thickTop="1" thickBot="1">
      <c r="B266" s="324" t="s">
        <v>1286</v>
      </c>
      <c r="C266" s="325" t="s">
        <v>36</v>
      </c>
      <c r="D266" s="326" t="s">
        <v>1160</v>
      </c>
      <c r="E266" s="327">
        <f>IF(B266&lt;&gt;"",SUMIF('AUX-NIV1'!I:I,'AUX-NIV2'!B266,'AUX-NIV1'!Q:Q),"")</f>
        <v>0</v>
      </c>
      <c r="F266" s="327">
        <f t="shared" si="116"/>
        <v>4802.3886495012812</v>
      </c>
      <c r="G266" s="327">
        <f t="shared" si="117"/>
        <v>0</v>
      </c>
      <c r="H266" s="328" t="str">
        <f t="shared" si="137"/>
        <v>X</v>
      </c>
      <c r="I266" s="325" t="s">
        <v>1207</v>
      </c>
      <c r="J266" s="329" t="str">
        <f>IF(B266&lt;&gt;"",+VLOOKUP(I266,Recursos!C:F,2,FALSE),"")</f>
        <v>Planta de Aridos - Trituración y Clasificación</v>
      </c>
      <c r="K266" s="330" t="str">
        <f>IF(B266&lt;&gt;"",+VLOOKUP(I266,Recursos!C:F,3,FALSE),"")</f>
        <v>M3</v>
      </c>
      <c r="L266" s="327">
        <f>IF(B266&lt;&gt;"",+VLOOKUP(I266,Recursos!C:F,4,FALSE),"")</f>
        <v>633.60122708131803</v>
      </c>
      <c r="M266" s="331">
        <v>0</v>
      </c>
      <c r="N266" s="331">
        <v>1.43</v>
      </c>
      <c r="O266" s="332">
        <v>0</v>
      </c>
      <c r="P266" s="333">
        <f t="shared" si="138"/>
        <v>0</v>
      </c>
      <c r="Q266" s="327">
        <f t="shared" si="139"/>
        <v>0</v>
      </c>
      <c r="R266" s="334">
        <f t="shared" si="140"/>
        <v>0</v>
      </c>
      <c r="S266" s="358">
        <f t="shared" si="118"/>
        <v>54.472361230649938</v>
      </c>
      <c r="T266" s="358">
        <f t="shared" si="119"/>
        <v>228.8832612121212</v>
      </c>
      <c r="U266" s="359">
        <f t="shared" si="120"/>
        <v>4050.6750000000002</v>
      </c>
      <c r="V266" s="359">
        <f t="shared" si="121"/>
        <v>0</v>
      </c>
      <c r="W266" s="359">
        <f t="shared" si="122"/>
        <v>0</v>
      </c>
      <c r="X266" s="359">
        <f t="shared" si="123"/>
        <v>468.35802705851029</v>
      </c>
      <c r="Y266" s="320"/>
      <c r="Z266" s="321" t="str">
        <f t="shared" si="127"/>
        <v>X-EDOSH25A</v>
      </c>
      <c r="AA266" s="321" t="str">
        <f t="shared" si="128"/>
        <v>X-EDOSH25E</v>
      </c>
      <c r="AB266" s="321" t="str">
        <f t="shared" si="129"/>
        <v>X-EDOSH25M</v>
      </c>
      <c r="AC266" s="321" t="str">
        <f t="shared" si="130"/>
        <v>X-EDOSH25T</v>
      </c>
      <c r="AD266" s="321" t="str">
        <f t="shared" si="131"/>
        <v>X-EDOSH25S</v>
      </c>
      <c r="AE266" s="321" t="str">
        <f t="shared" si="132"/>
        <v>X-EDOSH25X</v>
      </c>
      <c r="AF266" s="321" t="str">
        <f t="shared" si="133"/>
        <v>X-EDOSH25X</v>
      </c>
      <c r="AG266" s="321">
        <f t="shared" si="124"/>
        <v>13</v>
      </c>
      <c r="AH266" s="321">
        <f>IF(B266&lt;&gt;"",IF(H266="x",VLOOKUP(I266,'AUX-NIV3'!B:AG,32,FALSE),0),"")</f>
        <v>21</v>
      </c>
      <c r="AI266" s="321" t="str">
        <f t="shared" si="134"/>
        <v>X-EDOSH25</v>
      </c>
      <c r="AJ266" s="320"/>
      <c r="AK266" s="322">
        <f t="shared" si="125"/>
        <v>256</v>
      </c>
      <c r="AL266" s="323">
        <f t="shared" si="135"/>
        <v>268</v>
      </c>
      <c r="AM266" s="322">
        <f t="shared" si="136"/>
        <v>11</v>
      </c>
      <c r="AN266" s="380">
        <f>IF(AND(AH266&gt;0,B266&lt;&gt;""),VLOOKUP(I266,'AUX-NIV3'!$B:$AO,39,FALSE)*O266,0)</f>
        <v>0</v>
      </c>
      <c r="AO266" s="380">
        <f t="shared" si="126"/>
        <v>0.20110119111111111</v>
      </c>
      <c r="AP266" s="380"/>
    </row>
    <row r="267" spans="2:42" ht="14.4" hidden="1" thickTop="1" thickBot="1">
      <c r="B267" s="324" t="s">
        <v>1286</v>
      </c>
      <c r="C267" s="325" t="s">
        <v>36</v>
      </c>
      <c r="D267" s="326" t="s">
        <v>1160</v>
      </c>
      <c r="E267" s="327">
        <f>IF(B267&lt;&gt;"",SUMIF('AUX-NIV1'!I:I,'AUX-NIV2'!B267,'AUX-NIV1'!Q:Q),"")</f>
        <v>0</v>
      </c>
      <c r="F267" s="327">
        <f t="shared" si="116"/>
        <v>4802.3886495012812</v>
      </c>
      <c r="G267" s="327">
        <f t="shared" si="117"/>
        <v>0</v>
      </c>
      <c r="H267" s="328" t="str">
        <f t="shared" si="137"/>
        <v>X</v>
      </c>
      <c r="I267" s="325" t="s">
        <v>1207</v>
      </c>
      <c r="J267" s="329" t="str">
        <f>IF(B267&lt;&gt;"",+VLOOKUP(I267,Recursos!C:F,2,FALSE),"")</f>
        <v>Planta de Aridos - Trituración y Clasificación</v>
      </c>
      <c r="K267" s="330" t="str">
        <f>IF(B267&lt;&gt;"",+VLOOKUP(I267,Recursos!C:F,3,FALSE),"")</f>
        <v>M3</v>
      </c>
      <c r="L267" s="327">
        <f>IF(B267&lt;&gt;"",+VLOOKUP(I267,Recursos!C:F,4,FALSE),"")</f>
        <v>633.60122708131803</v>
      </c>
      <c r="M267" s="331">
        <v>0.70399999999999996</v>
      </c>
      <c r="N267" s="331">
        <v>1.05</v>
      </c>
      <c r="O267" s="433">
        <v>0.73919999999999997</v>
      </c>
      <c r="P267" s="333">
        <f t="shared" si="138"/>
        <v>468.35802705851029</v>
      </c>
      <c r="Q267" s="327">
        <f t="shared" si="139"/>
        <v>0</v>
      </c>
      <c r="R267" s="334">
        <f t="shared" si="140"/>
        <v>0</v>
      </c>
      <c r="S267" s="358">
        <f t="shared" si="118"/>
        <v>54.472361230649938</v>
      </c>
      <c r="T267" s="358">
        <f t="shared" si="119"/>
        <v>228.8832612121212</v>
      </c>
      <c r="U267" s="359">
        <f t="shared" si="120"/>
        <v>4050.6750000000002</v>
      </c>
      <c r="V267" s="359">
        <f t="shared" si="121"/>
        <v>0</v>
      </c>
      <c r="W267" s="359">
        <f t="shared" si="122"/>
        <v>0</v>
      </c>
      <c r="X267" s="359">
        <f t="shared" si="123"/>
        <v>468.35802705851029</v>
      </c>
      <c r="Y267" s="320"/>
      <c r="Z267" s="321" t="str">
        <f t="shared" si="127"/>
        <v>X-EDOSH25A</v>
      </c>
      <c r="AA267" s="321" t="str">
        <f t="shared" si="128"/>
        <v>X-EDOSH25E</v>
      </c>
      <c r="AB267" s="321" t="str">
        <f t="shared" si="129"/>
        <v>X-EDOSH25M</v>
      </c>
      <c r="AC267" s="321" t="str">
        <f t="shared" si="130"/>
        <v>X-EDOSH25T</v>
      </c>
      <c r="AD267" s="321" t="str">
        <f t="shared" si="131"/>
        <v>X-EDOSH25S</v>
      </c>
      <c r="AE267" s="321" t="str">
        <f t="shared" si="132"/>
        <v>X-EDOSH25X</v>
      </c>
      <c r="AF267" s="321" t="str">
        <f t="shared" si="133"/>
        <v>X-EDOSH25X</v>
      </c>
      <c r="AG267" s="321">
        <f t="shared" si="124"/>
        <v>13</v>
      </c>
      <c r="AH267" s="321">
        <f>IF(B267&lt;&gt;"",IF(H267="x",VLOOKUP(I267,'AUX-NIV3'!B:AG,32,FALSE),0),"")</f>
        <v>21</v>
      </c>
      <c r="AI267" s="321" t="str">
        <f t="shared" si="134"/>
        <v>X-EDOSH25</v>
      </c>
      <c r="AJ267" s="320"/>
      <c r="AK267" s="322">
        <f t="shared" si="125"/>
        <v>256</v>
      </c>
      <c r="AL267" s="323">
        <f t="shared" si="135"/>
        <v>268</v>
      </c>
      <c r="AM267" s="322">
        <f t="shared" si="136"/>
        <v>12</v>
      </c>
      <c r="AN267" s="380">
        <f>IF(AND(AH267&gt;0,B267&lt;&gt;""),VLOOKUP(I267,'AUX-NIV3'!$B:$AO,39,FALSE)*O267,0)</f>
        <v>8.9656746666666662E-2</v>
      </c>
      <c r="AO267" s="380">
        <f t="shared" si="126"/>
        <v>0.20110119111111111</v>
      </c>
      <c r="AP267" s="380"/>
    </row>
    <row r="268" spans="2:42" ht="14.4" hidden="1" thickTop="1" thickBot="1">
      <c r="B268" s="324" t="s">
        <v>1286</v>
      </c>
      <c r="C268" s="325" t="s">
        <v>36</v>
      </c>
      <c r="D268" s="326" t="s">
        <v>1160</v>
      </c>
      <c r="E268" s="327">
        <f>IF(B268&lt;&gt;"",SUMIF('AUX-NIV1'!I:I,'AUX-NIV2'!B268,'AUX-NIV1'!Q:Q),"")</f>
        <v>0</v>
      </c>
      <c r="F268" s="327">
        <f t="shared" si="116"/>
        <v>4802.3886495012812</v>
      </c>
      <c r="G268" s="327">
        <f t="shared" si="117"/>
        <v>0</v>
      </c>
      <c r="H268" s="328" t="str">
        <f t="shared" si="137"/>
        <v>T</v>
      </c>
      <c r="I268" s="325" t="s">
        <v>752</v>
      </c>
      <c r="J268" s="329" t="str">
        <f>IF(B268&lt;&gt;"",+VLOOKUP(I268,Recursos!C:F,2,FALSE),"")</f>
        <v>TRANSP.AGREGADO (Tpte largo cotizado x 10 Km)</v>
      </c>
      <c r="K268" s="330" t="str">
        <f>IF(B268&lt;&gt;"",+VLOOKUP(I268,Recursos!C:F,3,FALSE),"")</f>
        <v>Tn.Km</v>
      </c>
      <c r="L268" s="327">
        <f>IF(B268&lt;&gt;"",+VLOOKUP(I268,Recursos!C:F,4,FALSE),"")</f>
        <v>0.1</v>
      </c>
      <c r="M268" s="331">
        <v>1.2E-2</v>
      </c>
      <c r="N268" s="331">
        <v>0</v>
      </c>
      <c r="O268" s="332">
        <f>+M268*N268</f>
        <v>0</v>
      </c>
      <c r="P268" s="333">
        <f t="shared" si="138"/>
        <v>0</v>
      </c>
      <c r="Q268" s="327">
        <f t="shared" si="139"/>
        <v>0</v>
      </c>
      <c r="R268" s="334">
        <f t="shared" si="140"/>
        <v>0</v>
      </c>
      <c r="S268" s="358">
        <f t="shared" si="118"/>
        <v>54.472361230649938</v>
      </c>
      <c r="T268" s="358">
        <f t="shared" si="119"/>
        <v>228.8832612121212</v>
      </c>
      <c r="U268" s="359">
        <f t="shared" si="120"/>
        <v>4050.6750000000002</v>
      </c>
      <c r="V268" s="359">
        <f t="shared" si="121"/>
        <v>0</v>
      </c>
      <c r="W268" s="359">
        <f t="shared" si="122"/>
        <v>0</v>
      </c>
      <c r="X268" s="359">
        <f t="shared" si="123"/>
        <v>468.35802705851029</v>
      </c>
      <c r="Y268" s="320"/>
      <c r="Z268" s="321" t="str">
        <f t="shared" si="127"/>
        <v>X-EDOSH25A</v>
      </c>
      <c r="AA268" s="321" t="str">
        <f t="shared" si="128"/>
        <v>X-EDOSH25E</v>
      </c>
      <c r="AB268" s="321" t="str">
        <f t="shared" si="129"/>
        <v>X-EDOSH25M</v>
      </c>
      <c r="AC268" s="321" t="str">
        <f t="shared" si="130"/>
        <v>X-EDOSH25T</v>
      </c>
      <c r="AD268" s="321" t="str">
        <f t="shared" si="131"/>
        <v>X-EDOSH25S</v>
      </c>
      <c r="AE268" s="321" t="str">
        <f t="shared" si="132"/>
        <v>X-EDOSH25X</v>
      </c>
      <c r="AF268" s="321" t="str">
        <f t="shared" si="133"/>
        <v>X-EDOSH25T</v>
      </c>
      <c r="AG268" s="321">
        <f t="shared" si="124"/>
        <v>13</v>
      </c>
      <c r="AH268" s="321">
        <f>IF(B268&lt;&gt;"",IF(H268="x",VLOOKUP(I268,'AUX-NIV3'!B:AG,32,FALSE),0),"")</f>
        <v>0</v>
      </c>
      <c r="AI268" s="321" t="str">
        <f t="shared" si="134"/>
        <v>X-EDOSH25</v>
      </c>
      <c r="AJ268" s="320"/>
      <c r="AK268" s="322">
        <f t="shared" si="125"/>
        <v>256</v>
      </c>
      <c r="AL268" s="323">
        <f t="shared" si="135"/>
        <v>268</v>
      </c>
      <c r="AM268" s="322">
        <f t="shared" si="136"/>
        <v>13</v>
      </c>
      <c r="AN268" s="380">
        <f>IF(AND(AH268&gt;0,B268&lt;&gt;""),VLOOKUP(I268,'AUX-NIV3'!$B:$AO,39,FALSE)*O268,0)</f>
        <v>0</v>
      </c>
      <c r="AO268" s="380">
        <f t="shared" si="126"/>
        <v>0.20110119111111111</v>
      </c>
      <c r="AP268" s="380"/>
    </row>
    <row r="269" spans="2:42" ht="14.4" hidden="1" thickTop="1" thickBot="1">
      <c r="B269" s="324" t="s">
        <v>1287</v>
      </c>
      <c r="C269" s="325" t="s">
        <v>37</v>
      </c>
      <c r="D269" s="326" t="s">
        <v>1160</v>
      </c>
      <c r="E269" s="327">
        <f>IF(B269&lt;&gt;"",SUMIF('AUX-NIV1'!I:I,'AUX-NIV2'!B269,'AUX-NIV1'!Q:Q),"")</f>
        <v>0</v>
      </c>
      <c r="F269" s="327">
        <f t="shared" si="116"/>
        <v>419.65958991896258</v>
      </c>
      <c r="G269" s="327">
        <f t="shared" si="117"/>
        <v>0</v>
      </c>
      <c r="H269" s="328" t="str">
        <f t="shared" si="137"/>
        <v>A</v>
      </c>
      <c r="I269" s="325" t="s">
        <v>1745</v>
      </c>
      <c r="J269" s="329" t="str">
        <f>IF(B269&lt;&gt;"",+VLOOKUP(I269,Recursos!C:F,2,FALSE),"")</f>
        <v>AYUDANTE</v>
      </c>
      <c r="K269" s="330" t="str">
        <f>IF(B269&lt;&gt;"",+VLOOKUP(I269,Recursos!C:F,3,FALSE),"")</f>
        <v>hh</v>
      </c>
      <c r="L269" s="327">
        <f>IF(B269&lt;&gt;"",+VLOOKUP(I269,Recursos!C:F,4,FALSE),"")</f>
        <v>422.48042769667234</v>
      </c>
      <c r="M269" s="331">
        <v>35</v>
      </c>
      <c r="N269" s="331">
        <v>4</v>
      </c>
      <c r="O269" s="433">
        <f t="shared" ref="O269:O276" si="141">1/M269*N269</f>
        <v>0.11428571428571428</v>
      </c>
      <c r="P269" s="333">
        <f t="shared" si="138"/>
        <v>48.283477451048263</v>
      </c>
      <c r="Q269" s="327">
        <f t="shared" si="139"/>
        <v>0</v>
      </c>
      <c r="R269" s="334">
        <f t="shared" si="140"/>
        <v>0</v>
      </c>
      <c r="S269" s="358">
        <f t="shared" si="118"/>
        <v>151.5587686202613</v>
      </c>
      <c r="T269" s="358">
        <f t="shared" si="119"/>
        <v>267.60082129870131</v>
      </c>
      <c r="U269" s="359">
        <f t="shared" si="120"/>
        <v>0.5</v>
      </c>
      <c r="V269" s="359">
        <f t="shared" si="121"/>
        <v>0</v>
      </c>
      <c r="W269" s="359">
        <f t="shared" si="122"/>
        <v>0</v>
      </c>
      <c r="X269" s="359">
        <f t="shared" si="123"/>
        <v>0</v>
      </c>
      <c r="Y269" s="320"/>
      <c r="Z269" s="321" t="str">
        <f t="shared" si="127"/>
        <v>X-PRODHptaA</v>
      </c>
      <c r="AA269" s="321" t="str">
        <f t="shared" si="128"/>
        <v>X-PRODHptaE</v>
      </c>
      <c r="AB269" s="321" t="str">
        <f t="shared" si="129"/>
        <v>X-PRODHptaM</v>
      </c>
      <c r="AC269" s="321" t="str">
        <f t="shared" si="130"/>
        <v>X-PRODHptaT</v>
      </c>
      <c r="AD269" s="321" t="str">
        <f t="shared" si="131"/>
        <v>X-PRODHptaS</v>
      </c>
      <c r="AE269" s="321" t="str">
        <f t="shared" si="132"/>
        <v>X-PRODHptaX</v>
      </c>
      <c r="AF269" s="321" t="str">
        <f t="shared" si="133"/>
        <v>X-PRODHptaA</v>
      </c>
      <c r="AG269" s="321">
        <f t="shared" si="124"/>
        <v>9</v>
      </c>
      <c r="AH269" s="321">
        <f>IF(B269&lt;&gt;"",IF(H269="x",VLOOKUP(I269,'AUX-NIV3'!B:AG,32,FALSE),0),"")</f>
        <v>0</v>
      </c>
      <c r="AI269" s="321" t="str">
        <f t="shared" si="134"/>
        <v>X-PRODHpta</v>
      </c>
      <c r="AJ269" s="320"/>
      <c r="AK269" s="322">
        <f t="shared" si="125"/>
        <v>269</v>
      </c>
      <c r="AL269" s="323">
        <f t="shared" si="135"/>
        <v>277</v>
      </c>
      <c r="AM269" s="322">
        <f t="shared" si="136"/>
        <v>1</v>
      </c>
      <c r="AN269" s="380">
        <f>IF(AND(AH269&gt;0,B269&lt;&gt;""),VLOOKUP(I269,'AUX-NIV3'!$B:$AO,39,FALSE)*O269,0)</f>
        <v>0</v>
      </c>
      <c r="AO269" s="380">
        <f t="shared" si="126"/>
        <v>0.30857142857142855</v>
      </c>
      <c r="AP269" s="380"/>
    </row>
    <row r="270" spans="2:42" ht="14.4" hidden="1" thickTop="1" thickBot="1">
      <c r="B270" s="324" t="s">
        <v>1287</v>
      </c>
      <c r="C270" s="325" t="s">
        <v>37</v>
      </c>
      <c r="D270" s="326" t="s">
        <v>1160</v>
      </c>
      <c r="E270" s="327">
        <f>IF(B270&lt;&gt;"",SUMIF('AUX-NIV1'!I:I,'AUX-NIV2'!B270,'AUX-NIV1'!Q:Q),"")</f>
        <v>0</v>
      </c>
      <c r="F270" s="327">
        <f t="shared" si="116"/>
        <v>419.65958991896258</v>
      </c>
      <c r="G270" s="327">
        <f t="shared" si="117"/>
        <v>0</v>
      </c>
      <c r="H270" s="328" t="str">
        <f t="shared" si="137"/>
        <v>A</v>
      </c>
      <c r="I270" s="325" t="s">
        <v>1746</v>
      </c>
      <c r="J270" s="329" t="str">
        <f>IF(B270&lt;&gt;"",+VLOOKUP(I270,Recursos!C:F,2,FALSE),"")</f>
        <v>OFICIAL</v>
      </c>
      <c r="K270" s="330" t="str">
        <f>IF(B270&lt;&gt;"",+VLOOKUP(I270,Recursos!C:F,3,FALSE),"")</f>
        <v>hh</v>
      </c>
      <c r="L270" s="327">
        <f>IF(B270&lt;&gt;"",+VLOOKUP(I270,Recursos!C:F,4,FALSE),"")</f>
        <v>496.91595439275824</v>
      </c>
      <c r="M270" s="331">
        <v>35</v>
      </c>
      <c r="N270" s="331">
        <v>2</v>
      </c>
      <c r="O270" s="433">
        <f t="shared" si="141"/>
        <v>5.7142857142857141E-2</v>
      </c>
      <c r="P270" s="333">
        <f t="shared" si="138"/>
        <v>28.3951973938719</v>
      </c>
      <c r="Q270" s="327">
        <f t="shared" si="139"/>
        <v>0</v>
      </c>
      <c r="R270" s="334">
        <f t="shared" si="140"/>
        <v>0</v>
      </c>
      <c r="S270" s="358">
        <f t="shared" si="118"/>
        <v>151.5587686202613</v>
      </c>
      <c r="T270" s="358">
        <f t="shared" si="119"/>
        <v>267.60082129870131</v>
      </c>
      <c r="U270" s="359">
        <f t="shared" si="120"/>
        <v>0.5</v>
      </c>
      <c r="V270" s="359">
        <f t="shared" si="121"/>
        <v>0</v>
      </c>
      <c r="W270" s="359">
        <f t="shared" si="122"/>
        <v>0</v>
      </c>
      <c r="X270" s="359">
        <f t="shared" si="123"/>
        <v>0</v>
      </c>
      <c r="Y270" s="320"/>
      <c r="Z270" s="321" t="str">
        <f t="shared" si="127"/>
        <v>X-PRODHptaA</v>
      </c>
      <c r="AA270" s="321" t="str">
        <f t="shared" si="128"/>
        <v>X-PRODHptaE</v>
      </c>
      <c r="AB270" s="321" t="str">
        <f t="shared" si="129"/>
        <v>X-PRODHptaM</v>
      </c>
      <c r="AC270" s="321" t="str">
        <f t="shared" si="130"/>
        <v>X-PRODHptaT</v>
      </c>
      <c r="AD270" s="321" t="str">
        <f t="shared" si="131"/>
        <v>X-PRODHptaS</v>
      </c>
      <c r="AE270" s="321" t="str">
        <f t="shared" si="132"/>
        <v>X-PRODHptaX</v>
      </c>
      <c r="AF270" s="321" t="str">
        <f t="shared" si="133"/>
        <v>X-PRODHptaA</v>
      </c>
      <c r="AG270" s="321">
        <f t="shared" si="124"/>
        <v>9</v>
      </c>
      <c r="AH270" s="321">
        <f>IF(B270&lt;&gt;"",IF(H270="x",VLOOKUP(I270,'AUX-NIV3'!B:AG,32,FALSE),0),"")</f>
        <v>0</v>
      </c>
      <c r="AI270" s="321" t="str">
        <f t="shared" si="134"/>
        <v>X-PRODHpta</v>
      </c>
      <c r="AJ270" s="320"/>
      <c r="AK270" s="322">
        <f t="shared" si="125"/>
        <v>269</v>
      </c>
      <c r="AL270" s="323">
        <f t="shared" si="135"/>
        <v>277</v>
      </c>
      <c r="AM270" s="322">
        <f t="shared" si="136"/>
        <v>2</v>
      </c>
      <c r="AN270" s="380">
        <f>IF(AND(AH270&gt;0,B270&lt;&gt;""),VLOOKUP(I270,'AUX-NIV3'!$B:$AO,39,FALSE)*O270,0)</f>
        <v>0</v>
      </c>
      <c r="AO270" s="380">
        <f t="shared" si="126"/>
        <v>0.30857142857142855</v>
      </c>
      <c r="AP270" s="380"/>
    </row>
    <row r="271" spans="2:42" ht="14.4" hidden="1" thickTop="1" thickBot="1">
      <c r="B271" s="324" t="s">
        <v>1287</v>
      </c>
      <c r="C271" s="325" t="s">
        <v>37</v>
      </c>
      <c r="D271" s="326" t="s">
        <v>1160</v>
      </c>
      <c r="E271" s="327">
        <f>IF(B271&lt;&gt;"",SUMIF('AUX-NIV1'!I:I,'AUX-NIV2'!B271,'AUX-NIV1'!Q:Q),"")</f>
        <v>0</v>
      </c>
      <c r="F271" s="327">
        <f t="shared" si="116"/>
        <v>419.65958991896258</v>
      </c>
      <c r="G271" s="327">
        <f t="shared" si="117"/>
        <v>0</v>
      </c>
      <c r="H271" s="328" t="str">
        <f t="shared" si="137"/>
        <v>A</v>
      </c>
      <c r="I271" s="325" t="s">
        <v>1746</v>
      </c>
      <c r="J271" s="329" t="str">
        <f>IF(B271&lt;&gt;"",+VLOOKUP(I271,Recursos!C:F,2,FALSE),"")</f>
        <v>OFICIAL</v>
      </c>
      <c r="K271" s="330" t="str">
        <f>IF(B271&lt;&gt;"",+VLOOKUP(I271,Recursos!C:F,3,FALSE),"")</f>
        <v>hh</v>
      </c>
      <c r="L271" s="327">
        <f>IF(B271&lt;&gt;"",+VLOOKUP(I271,Recursos!C:F,4,FALSE),"")</f>
        <v>496.91595439275824</v>
      </c>
      <c r="M271" s="331">
        <v>35</v>
      </c>
      <c r="N271" s="331">
        <v>2</v>
      </c>
      <c r="O271" s="433">
        <f t="shared" si="141"/>
        <v>5.7142857142857141E-2</v>
      </c>
      <c r="P271" s="333">
        <f t="shared" si="138"/>
        <v>28.3951973938719</v>
      </c>
      <c r="Q271" s="327">
        <f t="shared" si="139"/>
        <v>0</v>
      </c>
      <c r="R271" s="334">
        <f t="shared" si="140"/>
        <v>0</v>
      </c>
      <c r="S271" s="358">
        <f t="shared" si="118"/>
        <v>151.5587686202613</v>
      </c>
      <c r="T271" s="358">
        <f t="shared" si="119"/>
        <v>267.60082129870131</v>
      </c>
      <c r="U271" s="359">
        <f t="shared" si="120"/>
        <v>0.5</v>
      </c>
      <c r="V271" s="359">
        <f t="shared" si="121"/>
        <v>0</v>
      </c>
      <c r="W271" s="359">
        <f t="shared" si="122"/>
        <v>0</v>
      </c>
      <c r="X271" s="359">
        <f t="shared" si="123"/>
        <v>0</v>
      </c>
      <c r="Y271" s="320"/>
      <c r="Z271" s="321" t="str">
        <f t="shared" si="127"/>
        <v>X-PRODHptaA</v>
      </c>
      <c r="AA271" s="321" t="str">
        <f t="shared" si="128"/>
        <v>X-PRODHptaE</v>
      </c>
      <c r="AB271" s="321" t="str">
        <f t="shared" si="129"/>
        <v>X-PRODHptaM</v>
      </c>
      <c r="AC271" s="321" t="str">
        <f t="shared" si="130"/>
        <v>X-PRODHptaT</v>
      </c>
      <c r="AD271" s="321" t="str">
        <f t="shared" si="131"/>
        <v>X-PRODHptaS</v>
      </c>
      <c r="AE271" s="321" t="str">
        <f t="shared" si="132"/>
        <v>X-PRODHptaX</v>
      </c>
      <c r="AF271" s="321" t="str">
        <f t="shared" si="133"/>
        <v>X-PRODHptaA</v>
      </c>
      <c r="AG271" s="321">
        <f t="shared" si="124"/>
        <v>9</v>
      </c>
      <c r="AH271" s="321">
        <f>IF(B271&lt;&gt;"",IF(H271="x",VLOOKUP(I271,'AUX-NIV3'!B:AG,32,FALSE),0),"")</f>
        <v>0</v>
      </c>
      <c r="AI271" s="321" t="str">
        <f t="shared" si="134"/>
        <v>X-PRODHpta</v>
      </c>
      <c r="AJ271" s="320"/>
      <c r="AK271" s="322">
        <f t="shared" si="125"/>
        <v>269</v>
      </c>
      <c r="AL271" s="323">
        <f t="shared" si="135"/>
        <v>277</v>
      </c>
      <c r="AM271" s="322">
        <f t="shared" si="136"/>
        <v>3</v>
      </c>
      <c r="AN271" s="380">
        <f>IF(AND(AH271&gt;0,B271&lt;&gt;""),VLOOKUP(I271,'AUX-NIV3'!$B:$AO,39,FALSE)*O271,0)</f>
        <v>0</v>
      </c>
      <c r="AO271" s="380">
        <f t="shared" si="126"/>
        <v>0.30857142857142855</v>
      </c>
      <c r="AP271" s="380"/>
    </row>
    <row r="272" spans="2:42" ht="14.4" hidden="1" thickTop="1" thickBot="1">
      <c r="B272" s="324" t="s">
        <v>1287</v>
      </c>
      <c r="C272" s="325" t="s">
        <v>37</v>
      </c>
      <c r="D272" s="326" t="s">
        <v>1160</v>
      </c>
      <c r="E272" s="327">
        <f>IF(B272&lt;&gt;"",SUMIF('AUX-NIV1'!I:I,'AUX-NIV2'!B272,'AUX-NIV1'!Q:Q),"")</f>
        <v>0</v>
      </c>
      <c r="F272" s="327">
        <f t="shared" si="116"/>
        <v>419.65958991896258</v>
      </c>
      <c r="G272" s="327">
        <f t="shared" si="117"/>
        <v>0</v>
      </c>
      <c r="H272" s="328" t="str">
        <f t="shared" si="137"/>
        <v>A</v>
      </c>
      <c r="I272" s="325" t="s">
        <v>3311</v>
      </c>
      <c r="J272" s="329" t="str">
        <f>IF(B272&lt;&gt;"",+VLOOKUP(I272,Recursos!C:F,2,FALSE),"")</f>
        <v>OPER. EQUIPO</v>
      </c>
      <c r="K272" s="330" t="str">
        <f>IF(B272&lt;&gt;"",+VLOOKUP(I272,Recursos!C:F,3,FALSE),"")</f>
        <v>hh</v>
      </c>
      <c r="L272" s="327">
        <f>IF(B272&lt;&gt;"",+VLOOKUP(I272,Recursos!C:F,4,FALSE),"")</f>
        <v>581.06120476836554</v>
      </c>
      <c r="M272" s="331">
        <f>M271</f>
        <v>35</v>
      </c>
      <c r="N272" s="331">
        <v>1.4</v>
      </c>
      <c r="O272" s="433">
        <f t="shared" si="141"/>
        <v>3.9999999999999994E-2</v>
      </c>
      <c r="P272" s="333">
        <f t="shared" si="138"/>
        <v>23.242448190734617</v>
      </c>
      <c r="Q272" s="327">
        <f t="shared" si="139"/>
        <v>0</v>
      </c>
      <c r="R272" s="334">
        <f t="shared" si="140"/>
        <v>0</v>
      </c>
      <c r="S272" s="358">
        <f t="shared" si="118"/>
        <v>151.5587686202613</v>
      </c>
      <c r="T272" s="358">
        <f t="shared" si="119"/>
        <v>267.60082129870131</v>
      </c>
      <c r="U272" s="359">
        <f t="shared" si="120"/>
        <v>0.5</v>
      </c>
      <c r="V272" s="359">
        <f t="shared" si="121"/>
        <v>0</v>
      </c>
      <c r="W272" s="359">
        <f t="shared" si="122"/>
        <v>0</v>
      </c>
      <c r="X272" s="359">
        <f t="shared" si="123"/>
        <v>0</v>
      </c>
      <c r="Y272" s="320"/>
      <c r="Z272" s="321" t="str">
        <f t="shared" si="127"/>
        <v>X-PRODHptaA</v>
      </c>
      <c r="AA272" s="321" t="str">
        <f t="shared" si="128"/>
        <v>X-PRODHptaE</v>
      </c>
      <c r="AB272" s="321" t="str">
        <f t="shared" si="129"/>
        <v>X-PRODHptaM</v>
      </c>
      <c r="AC272" s="321" t="str">
        <f t="shared" si="130"/>
        <v>X-PRODHptaT</v>
      </c>
      <c r="AD272" s="321" t="str">
        <f t="shared" si="131"/>
        <v>X-PRODHptaS</v>
      </c>
      <c r="AE272" s="321" t="str">
        <f t="shared" si="132"/>
        <v>X-PRODHptaX</v>
      </c>
      <c r="AF272" s="321" t="str">
        <f t="shared" si="133"/>
        <v>X-PRODHptaA</v>
      </c>
      <c r="AG272" s="321">
        <f t="shared" si="124"/>
        <v>9</v>
      </c>
      <c r="AH272" s="321">
        <f>IF(B272&lt;&gt;"",IF(H272="x",VLOOKUP(I272,'AUX-NIV3'!B:AG,32,FALSE),0),"")</f>
        <v>0</v>
      </c>
      <c r="AI272" s="321" t="str">
        <f t="shared" si="134"/>
        <v>X-PRODHpta</v>
      </c>
      <c r="AJ272" s="320"/>
      <c r="AK272" s="322">
        <f t="shared" si="125"/>
        <v>269</v>
      </c>
      <c r="AL272" s="323">
        <f t="shared" si="135"/>
        <v>277</v>
      </c>
      <c r="AM272" s="322">
        <f t="shared" si="136"/>
        <v>4</v>
      </c>
      <c r="AN272" s="380">
        <f>IF(AND(AH272&gt;0,B272&lt;&gt;""),VLOOKUP(I272,'AUX-NIV3'!$B:$AO,39,FALSE)*O272,0)</f>
        <v>0</v>
      </c>
      <c r="AO272" s="380">
        <f t="shared" si="126"/>
        <v>0.30857142857142855</v>
      </c>
      <c r="AP272" s="380"/>
    </row>
    <row r="273" spans="2:42" ht="14.4" hidden="1" thickTop="1" thickBot="1">
      <c r="B273" s="324" t="s">
        <v>1287</v>
      </c>
      <c r="C273" s="325" t="s">
        <v>37</v>
      </c>
      <c r="D273" s="326" t="s">
        <v>1160</v>
      </c>
      <c r="E273" s="327">
        <f>IF(B273&lt;&gt;"",SUMIF('AUX-NIV1'!I:I,'AUX-NIV2'!B273,'AUX-NIV1'!Q:Q),"")</f>
        <v>0</v>
      </c>
      <c r="F273" s="327">
        <f t="shared" si="116"/>
        <v>419.65958991896258</v>
      </c>
      <c r="G273" s="327">
        <f t="shared" si="117"/>
        <v>0</v>
      </c>
      <c r="H273" s="328" t="str">
        <f t="shared" si="137"/>
        <v>A</v>
      </c>
      <c r="I273" s="325" t="s">
        <v>3311</v>
      </c>
      <c r="J273" s="329" t="str">
        <f>IF(B273&lt;&gt;"",+VLOOKUP(I273,Recursos!C:F,2,FALSE),"")</f>
        <v>OPER. EQUIPO</v>
      </c>
      <c r="K273" s="330" t="str">
        <f>IF(B273&lt;&gt;"",+VLOOKUP(I273,Recursos!C:F,3,FALSE),"")</f>
        <v>hh</v>
      </c>
      <c r="L273" s="327">
        <f>IF(B273&lt;&gt;"",+VLOOKUP(I273,Recursos!C:F,4,FALSE),"")</f>
        <v>581.06120476836554</v>
      </c>
      <c r="M273" s="331">
        <v>35</v>
      </c>
      <c r="N273" s="331">
        <v>1.4</v>
      </c>
      <c r="O273" s="433">
        <f t="shared" si="141"/>
        <v>3.9999999999999994E-2</v>
      </c>
      <c r="P273" s="333">
        <f t="shared" si="138"/>
        <v>23.242448190734617</v>
      </c>
      <c r="Q273" s="327">
        <f t="shared" si="139"/>
        <v>0</v>
      </c>
      <c r="R273" s="334">
        <f t="shared" si="140"/>
        <v>0</v>
      </c>
      <c r="S273" s="358">
        <f t="shared" si="118"/>
        <v>151.5587686202613</v>
      </c>
      <c r="T273" s="358">
        <f t="shared" si="119"/>
        <v>267.60082129870131</v>
      </c>
      <c r="U273" s="359">
        <f t="shared" si="120"/>
        <v>0.5</v>
      </c>
      <c r="V273" s="359">
        <f t="shared" si="121"/>
        <v>0</v>
      </c>
      <c r="W273" s="359">
        <f t="shared" si="122"/>
        <v>0</v>
      </c>
      <c r="X273" s="359">
        <f t="shared" si="123"/>
        <v>0</v>
      </c>
      <c r="Y273" s="320"/>
      <c r="Z273" s="321" t="str">
        <f t="shared" si="127"/>
        <v>X-PRODHptaA</v>
      </c>
      <c r="AA273" s="321" t="str">
        <f t="shared" si="128"/>
        <v>X-PRODHptaE</v>
      </c>
      <c r="AB273" s="321" t="str">
        <f t="shared" si="129"/>
        <v>X-PRODHptaM</v>
      </c>
      <c r="AC273" s="321" t="str">
        <f t="shared" si="130"/>
        <v>X-PRODHptaT</v>
      </c>
      <c r="AD273" s="321" t="str">
        <f t="shared" si="131"/>
        <v>X-PRODHptaS</v>
      </c>
      <c r="AE273" s="321" t="str">
        <f t="shared" si="132"/>
        <v>X-PRODHptaX</v>
      </c>
      <c r="AF273" s="321" t="str">
        <f t="shared" si="133"/>
        <v>X-PRODHptaA</v>
      </c>
      <c r="AG273" s="321">
        <f t="shared" si="124"/>
        <v>9</v>
      </c>
      <c r="AH273" s="321">
        <f>IF(B273&lt;&gt;"",IF(H273="x",VLOOKUP(I273,'AUX-NIV3'!B:AG,32,FALSE),0),"")</f>
        <v>0</v>
      </c>
      <c r="AI273" s="321" t="str">
        <f t="shared" si="134"/>
        <v>X-PRODHpta</v>
      </c>
      <c r="AJ273" s="320"/>
      <c r="AK273" s="322">
        <f t="shared" si="125"/>
        <v>269</v>
      </c>
      <c r="AL273" s="323">
        <f t="shared" si="135"/>
        <v>277</v>
      </c>
      <c r="AM273" s="322">
        <f t="shared" si="136"/>
        <v>5</v>
      </c>
      <c r="AN273" s="380">
        <f>IF(AND(AH273&gt;0,B273&lt;&gt;""),VLOOKUP(I273,'AUX-NIV3'!$B:$AO,39,FALSE)*O273,0)</f>
        <v>0</v>
      </c>
      <c r="AO273" s="380">
        <f t="shared" si="126"/>
        <v>0.30857142857142855</v>
      </c>
      <c r="AP273" s="380"/>
    </row>
    <row r="274" spans="2:42" ht="14.4" hidden="1" thickTop="1" thickBot="1">
      <c r="B274" s="324" t="s">
        <v>1287</v>
      </c>
      <c r="C274" s="325" t="s">
        <v>37</v>
      </c>
      <c r="D274" s="326" t="s">
        <v>1160</v>
      </c>
      <c r="E274" s="327">
        <f>IF(B274&lt;&gt;"",SUMIF('AUX-NIV1'!I:I,'AUX-NIV2'!B274,'AUX-NIV1'!Q:Q),"")</f>
        <v>0</v>
      </c>
      <c r="F274" s="327">
        <f t="shared" si="116"/>
        <v>419.65958991896258</v>
      </c>
      <c r="G274" s="327">
        <f t="shared" si="117"/>
        <v>0</v>
      </c>
      <c r="H274" s="328" t="str">
        <f t="shared" si="137"/>
        <v>E</v>
      </c>
      <c r="I274" s="325" t="s">
        <v>1611</v>
      </c>
      <c r="J274" s="329" t="str">
        <f>IF(B274&lt;&gt;"",+VLOOKUP(I274,Recursos!C:F,2,FALSE),"")</f>
        <v>PLANTA ELAB. HORMIGON (30-50 M3/H)</v>
      </c>
      <c r="K274" s="330" t="str">
        <f>IF(B274&lt;&gt;"",+VLOOKUP(I274,Recursos!C:F,3,FALSE),"")</f>
        <v>HR</v>
      </c>
      <c r="L274" s="327">
        <f>IF(B274&lt;&gt;"",+VLOOKUP(I274,Recursos!C:F,4,FALSE),"")</f>
        <v>1836.8999999999999</v>
      </c>
      <c r="M274" s="331">
        <v>35</v>
      </c>
      <c r="N274" s="331">
        <v>1.05</v>
      </c>
      <c r="O274" s="433">
        <f t="shared" si="141"/>
        <v>0.03</v>
      </c>
      <c r="P274" s="333">
        <f t="shared" si="138"/>
        <v>55.106999999999992</v>
      </c>
      <c r="Q274" s="327">
        <f t="shared" si="139"/>
        <v>0</v>
      </c>
      <c r="R274" s="334">
        <f t="shared" si="140"/>
        <v>0</v>
      </c>
      <c r="S274" s="358">
        <f t="shared" si="118"/>
        <v>151.5587686202613</v>
      </c>
      <c r="T274" s="358">
        <f t="shared" si="119"/>
        <v>267.60082129870131</v>
      </c>
      <c r="U274" s="359">
        <f t="shared" si="120"/>
        <v>0.5</v>
      </c>
      <c r="V274" s="359">
        <f t="shared" si="121"/>
        <v>0</v>
      </c>
      <c r="W274" s="359">
        <f t="shared" si="122"/>
        <v>0</v>
      </c>
      <c r="X274" s="359">
        <f t="shared" si="123"/>
        <v>0</v>
      </c>
      <c r="Y274" s="320"/>
      <c r="Z274" s="321" t="str">
        <f t="shared" si="127"/>
        <v>X-PRODHptaA</v>
      </c>
      <c r="AA274" s="321" t="str">
        <f t="shared" si="128"/>
        <v>X-PRODHptaE</v>
      </c>
      <c r="AB274" s="321" t="str">
        <f t="shared" si="129"/>
        <v>X-PRODHptaM</v>
      </c>
      <c r="AC274" s="321" t="str">
        <f t="shared" si="130"/>
        <v>X-PRODHptaT</v>
      </c>
      <c r="AD274" s="321" t="str">
        <f t="shared" si="131"/>
        <v>X-PRODHptaS</v>
      </c>
      <c r="AE274" s="321" t="str">
        <f t="shared" si="132"/>
        <v>X-PRODHptaX</v>
      </c>
      <c r="AF274" s="321" t="str">
        <f t="shared" si="133"/>
        <v>X-PRODHptaE</v>
      </c>
      <c r="AG274" s="321">
        <f t="shared" si="124"/>
        <v>9</v>
      </c>
      <c r="AH274" s="321">
        <f>IF(B274&lt;&gt;"",IF(H274="x",VLOOKUP(I274,'AUX-NIV3'!B:AG,32,FALSE),0),"")</f>
        <v>0</v>
      </c>
      <c r="AI274" s="321" t="str">
        <f t="shared" si="134"/>
        <v>X-PRODHpta</v>
      </c>
      <c r="AJ274" s="320"/>
      <c r="AK274" s="322">
        <f t="shared" si="125"/>
        <v>269</v>
      </c>
      <c r="AL274" s="323">
        <f t="shared" si="135"/>
        <v>277</v>
      </c>
      <c r="AM274" s="322">
        <f t="shared" si="136"/>
        <v>6</v>
      </c>
      <c r="AN274" s="380">
        <f>IF(AND(AH274&gt;0,B274&lt;&gt;""),VLOOKUP(I274,'AUX-NIV3'!$B:$AO,39,FALSE)*O274,0)</f>
        <v>0</v>
      </c>
      <c r="AO274" s="380">
        <f t="shared" si="126"/>
        <v>0.30857142857142855</v>
      </c>
      <c r="AP274" s="380"/>
    </row>
    <row r="275" spans="2:42" ht="14.4" hidden="1" thickTop="1" thickBot="1">
      <c r="B275" s="324" t="s">
        <v>1287</v>
      </c>
      <c r="C275" s="325" t="s">
        <v>37</v>
      </c>
      <c r="D275" s="326" t="s">
        <v>1160</v>
      </c>
      <c r="E275" s="327">
        <f>IF(B275&lt;&gt;"",SUMIF('AUX-NIV1'!I:I,'AUX-NIV2'!B275,'AUX-NIV1'!Q:Q),"")</f>
        <v>0</v>
      </c>
      <c r="F275" s="327">
        <f t="shared" si="116"/>
        <v>419.65958991896258</v>
      </c>
      <c r="G275" s="327">
        <f t="shared" si="117"/>
        <v>0</v>
      </c>
      <c r="H275" s="328" t="str">
        <f t="shared" si="137"/>
        <v>E</v>
      </c>
      <c r="I275" s="325" t="s">
        <v>1543</v>
      </c>
      <c r="J275" s="329" t="str">
        <f>IF(B275&lt;&gt;"",+VLOOKUP(I275,Recursos!C:F,2,FALSE),"")</f>
        <v>CARGADOR FRONTAL S/NEUM. (3,00 M3)</v>
      </c>
      <c r="K275" s="330" t="str">
        <f>IF(B275&lt;&gt;"",+VLOOKUP(I275,Recursos!C:F,3,FALSE),"")</f>
        <v>HR</v>
      </c>
      <c r="L275" s="327">
        <f>IF(B275&lt;&gt;"",+VLOOKUP(I275,Recursos!C:F,4,FALSE),"")</f>
        <v>4370.2094545454547</v>
      </c>
      <c r="M275" s="331">
        <f>M274</f>
        <v>35</v>
      </c>
      <c r="N275" s="331">
        <v>1.05</v>
      </c>
      <c r="O275" s="433">
        <f t="shared" si="141"/>
        <v>0.03</v>
      </c>
      <c r="P275" s="333">
        <f t="shared" si="138"/>
        <v>131.10628363636363</v>
      </c>
      <c r="Q275" s="327">
        <f t="shared" si="139"/>
        <v>0</v>
      </c>
      <c r="R275" s="334">
        <f t="shared" si="140"/>
        <v>0</v>
      </c>
      <c r="S275" s="358">
        <f t="shared" si="118"/>
        <v>151.5587686202613</v>
      </c>
      <c r="T275" s="358">
        <f t="shared" si="119"/>
        <v>267.60082129870131</v>
      </c>
      <c r="U275" s="359">
        <f t="shared" si="120"/>
        <v>0.5</v>
      </c>
      <c r="V275" s="359">
        <f t="shared" si="121"/>
        <v>0</v>
      </c>
      <c r="W275" s="359">
        <f t="shared" si="122"/>
        <v>0</v>
      </c>
      <c r="X275" s="359">
        <f t="shared" si="123"/>
        <v>0</v>
      </c>
      <c r="Y275" s="320"/>
      <c r="Z275" s="321" t="str">
        <f t="shared" si="127"/>
        <v>X-PRODHptaA</v>
      </c>
      <c r="AA275" s="321" t="str">
        <f t="shared" si="128"/>
        <v>X-PRODHptaE</v>
      </c>
      <c r="AB275" s="321" t="str">
        <f t="shared" si="129"/>
        <v>X-PRODHptaM</v>
      </c>
      <c r="AC275" s="321" t="str">
        <f t="shared" si="130"/>
        <v>X-PRODHptaT</v>
      </c>
      <c r="AD275" s="321" t="str">
        <f t="shared" si="131"/>
        <v>X-PRODHptaS</v>
      </c>
      <c r="AE275" s="321" t="str">
        <f t="shared" si="132"/>
        <v>X-PRODHptaX</v>
      </c>
      <c r="AF275" s="321" t="str">
        <f t="shared" si="133"/>
        <v>X-PRODHptaE</v>
      </c>
      <c r="AG275" s="321">
        <f t="shared" si="124"/>
        <v>9</v>
      </c>
      <c r="AH275" s="321">
        <f>IF(B275&lt;&gt;"",IF(H275="x",VLOOKUP(I275,'AUX-NIV3'!B:AG,32,FALSE),0),"")</f>
        <v>0</v>
      </c>
      <c r="AI275" s="321" t="str">
        <f t="shared" si="134"/>
        <v>X-PRODHpta</v>
      </c>
      <c r="AJ275" s="320"/>
      <c r="AK275" s="322">
        <f t="shared" si="125"/>
        <v>269</v>
      </c>
      <c r="AL275" s="323">
        <f t="shared" si="135"/>
        <v>277</v>
      </c>
      <c r="AM275" s="322">
        <f t="shared" si="136"/>
        <v>7</v>
      </c>
      <c r="AN275" s="380">
        <f>IF(AND(AH275&gt;0,B275&lt;&gt;""),VLOOKUP(I275,'AUX-NIV3'!$B:$AO,39,FALSE)*O275,0)</f>
        <v>0</v>
      </c>
      <c r="AO275" s="380">
        <f t="shared" si="126"/>
        <v>0.30857142857142855</v>
      </c>
      <c r="AP275" s="380"/>
    </row>
    <row r="276" spans="2:42" ht="14.4" hidden="1" thickTop="1" thickBot="1">
      <c r="B276" s="324" t="s">
        <v>1287</v>
      </c>
      <c r="C276" s="325" t="s">
        <v>37</v>
      </c>
      <c r="D276" s="326" t="s">
        <v>1160</v>
      </c>
      <c r="E276" s="327">
        <f>IF(B276&lt;&gt;"",SUMIF('AUX-NIV1'!I:I,'AUX-NIV2'!B276,'AUX-NIV1'!Q:Q),"")</f>
        <v>0</v>
      </c>
      <c r="F276" s="327">
        <f t="shared" si="116"/>
        <v>419.65958991896258</v>
      </c>
      <c r="G276" s="327">
        <f t="shared" si="117"/>
        <v>0</v>
      </c>
      <c r="H276" s="328" t="str">
        <f t="shared" si="137"/>
        <v>E</v>
      </c>
      <c r="I276" s="325" t="s">
        <v>1586</v>
      </c>
      <c r="J276" s="329" t="str">
        <f>IF(B276&lt;&gt;"",+VLOOKUP(I276,Recursos!C:F,2,FALSE),"")</f>
        <v>GRUPO ELECTROGENO 244 KVA-195 KW</v>
      </c>
      <c r="K276" s="330" t="str">
        <f>IF(B276&lt;&gt;"",+VLOOKUP(I276,Recursos!C:F,3,FALSE),"")</f>
        <v>HR</v>
      </c>
      <c r="L276" s="327">
        <f>IF(B276&lt;&gt;"",+VLOOKUP(I276,Recursos!C:F,4,FALSE),"")</f>
        <v>2848.5638181818185</v>
      </c>
      <c r="M276" s="331">
        <v>35</v>
      </c>
      <c r="N276" s="331">
        <v>1</v>
      </c>
      <c r="O276" s="433">
        <f t="shared" si="141"/>
        <v>2.8571428571428571E-2</v>
      </c>
      <c r="P276" s="333">
        <f t="shared" si="138"/>
        <v>81.387537662337664</v>
      </c>
      <c r="Q276" s="327">
        <f t="shared" si="139"/>
        <v>0</v>
      </c>
      <c r="R276" s="334">
        <f t="shared" si="140"/>
        <v>0</v>
      </c>
      <c r="S276" s="358">
        <f t="shared" si="118"/>
        <v>151.5587686202613</v>
      </c>
      <c r="T276" s="358">
        <f t="shared" si="119"/>
        <v>267.60082129870131</v>
      </c>
      <c r="U276" s="359">
        <f t="shared" si="120"/>
        <v>0.5</v>
      </c>
      <c r="V276" s="359">
        <f t="shared" si="121"/>
        <v>0</v>
      </c>
      <c r="W276" s="359">
        <f t="shared" si="122"/>
        <v>0</v>
      </c>
      <c r="X276" s="359">
        <f t="shared" si="123"/>
        <v>0</v>
      </c>
      <c r="Y276" s="320"/>
      <c r="Z276" s="321" t="str">
        <f t="shared" si="127"/>
        <v>X-PRODHptaA</v>
      </c>
      <c r="AA276" s="321" t="str">
        <f t="shared" si="128"/>
        <v>X-PRODHptaE</v>
      </c>
      <c r="AB276" s="321" t="str">
        <f t="shared" si="129"/>
        <v>X-PRODHptaM</v>
      </c>
      <c r="AC276" s="321" t="str">
        <f t="shared" si="130"/>
        <v>X-PRODHptaT</v>
      </c>
      <c r="AD276" s="321" t="str">
        <f t="shared" si="131"/>
        <v>X-PRODHptaS</v>
      </c>
      <c r="AE276" s="321" t="str">
        <f t="shared" si="132"/>
        <v>X-PRODHptaX</v>
      </c>
      <c r="AF276" s="321" t="str">
        <f t="shared" si="133"/>
        <v>X-PRODHptaE</v>
      </c>
      <c r="AG276" s="321">
        <f t="shared" si="124"/>
        <v>9</v>
      </c>
      <c r="AH276" s="321">
        <f>IF(B276&lt;&gt;"",IF(H276="x",VLOOKUP(I276,'AUX-NIV3'!B:AG,32,FALSE),0),"")</f>
        <v>0</v>
      </c>
      <c r="AI276" s="321" t="str">
        <f t="shared" si="134"/>
        <v>X-PRODHpta</v>
      </c>
      <c r="AJ276" s="320"/>
      <c r="AK276" s="322">
        <f t="shared" si="125"/>
        <v>269</v>
      </c>
      <c r="AL276" s="323">
        <f t="shared" si="135"/>
        <v>277</v>
      </c>
      <c r="AM276" s="322">
        <f t="shared" si="136"/>
        <v>8</v>
      </c>
      <c r="AN276" s="380">
        <f>IF(AND(AH276&gt;0,B276&lt;&gt;""),VLOOKUP(I276,'AUX-NIV3'!$B:$AO,39,FALSE)*O276,0)</f>
        <v>0</v>
      </c>
      <c r="AO276" s="380">
        <f t="shared" si="126"/>
        <v>0.30857142857142855</v>
      </c>
      <c r="AP276" s="380"/>
    </row>
    <row r="277" spans="2:42" ht="14.4" hidden="1" thickTop="1" thickBot="1">
      <c r="B277" s="324" t="s">
        <v>1287</v>
      </c>
      <c r="C277" s="325" t="s">
        <v>37</v>
      </c>
      <c r="D277" s="326" t="s">
        <v>1160</v>
      </c>
      <c r="E277" s="327">
        <f>IF(B277&lt;&gt;"",SUMIF('AUX-NIV1'!I:I,'AUX-NIV2'!B277,'AUX-NIV1'!Q:Q),"")</f>
        <v>0</v>
      </c>
      <c r="F277" s="327">
        <f t="shared" si="116"/>
        <v>419.65958991896258</v>
      </c>
      <c r="G277" s="327">
        <f t="shared" si="117"/>
        <v>0</v>
      </c>
      <c r="H277" s="328" t="str">
        <f t="shared" si="137"/>
        <v>M</v>
      </c>
      <c r="I277" s="325" t="s">
        <v>621</v>
      </c>
      <c r="J277" s="329" t="str">
        <f>IF(B277&lt;&gt;"",+VLOOKUP(I277,Recursos!C:F,2,FALSE),"")</f>
        <v>MATERIALES VARIOS</v>
      </c>
      <c r="K277" s="330" t="str">
        <f>IF(B277&lt;&gt;"",+VLOOKUP(I277,Recursos!C:F,3,FALSE),"")</f>
        <v>GL</v>
      </c>
      <c r="L277" s="327">
        <f>IF(B277&lt;&gt;"",+VLOOKUP(I277,Recursos!C:F,4,FALSE),"")</f>
        <v>0.5</v>
      </c>
      <c r="M277" s="331">
        <v>1</v>
      </c>
      <c r="N277" s="331">
        <v>1</v>
      </c>
      <c r="O277" s="433">
        <f>+M277*N277</f>
        <v>1</v>
      </c>
      <c r="P277" s="333">
        <f t="shared" si="138"/>
        <v>0.5</v>
      </c>
      <c r="Q277" s="327">
        <f t="shared" si="139"/>
        <v>0</v>
      </c>
      <c r="R277" s="334">
        <f t="shared" si="140"/>
        <v>0</v>
      </c>
      <c r="S277" s="358">
        <f t="shared" si="118"/>
        <v>151.5587686202613</v>
      </c>
      <c r="T277" s="358">
        <f t="shared" si="119"/>
        <v>267.60082129870131</v>
      </c>
      <c r="U277" s="359">
        <f t="shared" si="120"/>
        <v>0.5</v>
      </c>
      <c r="V277" s="359">
        <f t="shared" si="121"/>
        <v>0</v>
      </c>
      <c r="W277" s="359">
        <f t="shared" si="122"/>
        <v>0</v>
      </c>
      <c r="X277" s="359">
        <f t="shared" si="123"/>
        <v>0</v>
      </c>
      <c r="Y277" s="320"/>
      <c r="Z277" s="321" t="str">
        <f t="shared" si="127"/>
        <v>X-PRODHptaA</v>
      </c>
      <c r="AA277" s="321" t="str">
        <f t="shared" si="128"/>
        <v>X-PRODHptaE</v>
      </c>
      <c r="AB277" s="321" t="str">
        <f t="shared" si="129"/>
        <v>X-PRODHptaM</v>
      </c>
      <c r="AC277" s="321" t="str">
        <f t="shared" si="130"/>
        <v>X-PRODHptaT</v>
      </c>
      <c r="AD277" s="321" t="str">
        <f t="shared" si="131"/>
        <v>X-PRODHptaS</v>
      </c>
      <c r="AE277" s="321" t="str">
        <f t="shared" si="132"/>
        <v>X-PRODHptaX</v>
      </c>
      <c r="AF277" s="321" t="str">
        <f t="shared" si="133"/>
        <v>X-PRODHptaM</v>
      </c>
      <c r="AG277" s="321">
        <f t="shared" si="124"/>
        <v>9</v>
      </c>
      <c r="AH277" s="321">
        <f>IF(B277&lt;&gt;"",IF(H277="x",VLOOKUP(I277,'AUX-NIV3'!B:AG,32,FALSE),0),"")</f>
        <v>0</v>
      </c>
      <c r="AI277" s="321" t="str">
        <f t="shared" si="134"/>
        <v>X-PRODHpta</v>
      </c>
      <c r="AJ277" s="320"/>
      <c r="AK277" s="322">
        <f t="shared" si="125"/>
        <v>269</v>
      </c>
      <c r="AL277" s="323">
        <f t="shared" si="135"/>
        <v>277</v>
      </c>
      <c r="AM277" s="322">
        <f t="shared" si="136"/>
        <v>9</v>
      </c>
      <c r="AN277" s="380">
        <f>IF(AND(AH277&gt;0,B277&lt;&gt;""),VLOOKUP(I277,'AUX-NIV3'!$B:$AO,39,FALSE)*O277,0)</f>
        <v>0</v>
      </c>
      <c r="AO277" s="380">
        <f t="shared" si="126"/>
        <v>0.30857142857142855</v>
      </c>
      <c r="AP277" s="380"/>
    </row>
    <row r="278" spans="2:42" ht="14.4" hidden="1" thickTop="1" thickBot="1">
      <c r="B278" s="324" t="s">
        <v>1288</v>
      </c>
      <c r="C278" s="325" t="s">
        <v>38</v>
      </c>
      <c r="D278" s="326" t="s">
        <v>1160</v>
      </c>
      <c r="E278" s="327">
        <f>IF(B278&lt;&gt;"",SUMIF('AUX-NIV1'!I:I,'AUX-NIV2'!B278,'AUX-NIV1'!Q:Q),"")</f>
        <v>0</v>
      </c>
      <c r="F278" s="327">
        <f t="shared" si="116"/>
        <v>318.88919874376688</v>
      </c>
      <c r="G278" s="327">
        <f t="shared" si="117"/>
        <v>0</v>
      </c>
      <c r="H278" s="328" t="str">
        <f t="shared" si="137"/>
        <v>A</v>
      </c>
      <c r="I278" s="325" t="s">
        <v>1745</v>
      </c>
      <c r="J278" s="329" t="str">
        <f>IF(B278&lt;&gt;"",+VLOOKUP(I278,Recursos!C:F,2,FALSE),"")</f>
        <v>AYUDANTE</v>
      </c>
      <c r="K278" s="330" t="str">
        <f>IF(B278&lt;&gt;"",+VLOOKUP(I278,Recursos!C:F,3,FALSE),"")</f>
        <v>hh</v>
      </c>
      <c r="L278" s="327">
        <f>IF(B278&lt;&gt;"",+VLOOKUP(I278,Recursos!C:F,4,FALSE),"")</f>
        <v>422.48042769667234</v>
      </c>
      <c r="M278" s="331">
        <v>12</v>
      </c>
      <c r="N278" s="331">
        <v>1.4</v>
      </c>
      <c r="O278" s="332">
        <f>1/M278*N278</f>
        <v>0.11666666666666665</v>
      </c>
      <c r="P278" s="333">
        <f t="shared" si="138"/>
        <v>49.289383231278435</v>
      </c>
      <c r="Q278" s="327">
        <f t="shared" si="139"/>
        <v>0</v>
      </c>
      <c r="R278" s="334">
        <f t="shared" si="140"/>
        <v>0</v>
      </c>
      <c r="S278" s="358">
        <f t="shared" si="118"/>
        <v>107.26291124376689</v>
      </c>
      <c r="T278" s="358">
        <f t="shared" si="119"/>
        <v>211.37628749999996</v>
      </c>
      <c r="U278" s="359">
        <f t="shared" si="120"/>
        <v>0.25</v>
      </c>
      <c r="V278" s="359">
        <f t="shared" si="121"/>
        <v>0</v>
      </c>
      <c r="W278" s="359">
        <f t="shared" si="122"/>
        <v>0</v>
      </c>
      <c r="X278" s="359">
        <f t="shared" si="123"/>
        <v>0</v>
      </c>
      <c r="Y278" s="320"/>
      <c r="Z278" s="321" t="str">
        <f t="shared" si="127"/>
        <v>X-TPTEPTAA</v>
      </c>
      <c r="AA278" s="321" t="str">
        <f t="shared" si="128"/>
        <v>X-TPTEPTAE</v>
      </c>
      <c r="AB278" s="321" t="str">
        <f t="shared" si="129"/>
        <v>X-TPTEPTAM</v>
      </c>
      <c r="AC278" s="321" t="str">
        <f t="shared" si="130"/>
        <v>X-TPTEPTAT</v>
      </c>
      <c r="AD278" s="321" t="str">
        <f t="shared" si="131"/>
        <v>X-TPTEPTAS</v>
      </c>
      <c r="AE278" s="321" t="str">
        <f t="shared" si="132"/>
        <v>X-TPTEPTAX</v>
      </c>
      <c r="AF278" s="321" t="str">
        <f t="shared" si="133"/>
        <v>X-TPTEPTAA</v>
      </c>
      <c r="AG278" s="321">
        <f t="shared" si="124"/>
        <v>4</v>
      </c>
      <c r="AH278" s="321">
        <f>IF(B278&lt;&gt;"",IF(H278="x",VLOOKUP(I278,'AUX-NIV3'!B:AG,32,FALSE),0),"")</f>
        <v>0</v>
      </c>
      <c r="AI278" s="321" t="str">
        <f t="shared" si="134"/>
        <v>X-TPTEPTA</v>
      </c>
      <c r="AJ278" s="320"/>
      <c r="AK278" s="322">
        <f t="shared" si="125"/>
        <v>278</v>
      </c>
      <c r="AL278" s="323">
        <f t="shared" si="135"/>
        <v>281</v>
      </c>
      <c r="AM278" s="322">
        <f t="shared" si="136"/>
        <v>1</v>
      </c>
      <c r="AN278" s="380">
        <f>IF(AND(AH278&gt;0,B278&lt;&gt;""),VLOOKUP(I278,'AUX-NIV3'!$B:$AO,39,FALSE)*O278,0)</f>
        <v>0</v>
      </c>
      <c r="AO278" s="380">
        <f t="shared" si="126"/>
        <v>0.23333333333333331</v>
      </c>
      <c r="AP278" s="380"/>
    </row>
    <row r="279" spans="2:42" ht="14.4" hidden="1" thickTop="1" thickBot="1">
      <c r="B279" s="324" t="s">
        <v>1288</v>
      </c>
      <c r="C279" s="325" t="s">
        <v>38</v>
      </c>
      <c r="D279" s="326" t="s">
        <v>1160</v>
      </c>
      <c r="E279" s="327">
        <f>IF(B279&lt;&gt;"",SUMIF('AUX-NIV1'!I:I,'AUX-NIV2'!B279,'AUX-NIV1'!Q:Q),"")</f>
        <v>0</v>
      </c>
      <c r="F279" s="327">
        <f t="shared" si="116"/>
        <v>318.88919874376688</v>
      </c>
      <c r="G279" s="327">
        <f t="shared" si="117"/>
        <v>0</v>
      </c>
      <c r="H279" s="328" t="str">
        <f t="shared" si="137"/>
        <v>A</v>
      </c>
      <c r="I279" s="325" t="s">
        <v>3312</v>
      </c>
      <c r="J279" s="329" t="str">
        <f>IF(B279&lt;&gt;"",+VLOOKUP(I279,Recursos!C:F,2,FALSE),"")</f>
        <v>CHOFER</v>
      </c>
      <c r="K279" s="330" t="str">
        <f>IF(B279&lt;&gt;"",+VLOOKUP(I279,Recursos!C:F,3,FALSE),"")</f>
        <v>hh</v>
      </c>
      <c r="L279" s="327">
        <f>IF(B279&lt;&gt;"",+VLOOKUP(I279,Recursos!C:F,4,FALSE),"")</f>
        <v>496.91595439275824</v>
      </c>
      <c r="M279" s="331">
        <v>12</v>
      </c>
      <c r="N279" s="331">
        <v>1.4</v>
      </c>
      <c r="O279" s="332">
        <f>1/M279*N279</f>
        <v>0.11666666666666665</v>
      </c>
      <c r="P279" s="333">
        <f t="shared" si="138"/>
        <v>57.973528012488458</v>
      </c>
      <c r="Q279" s="327">
        <f t="shared" si="139"/>
        <v>0</v>
      </c>
      <c r="R279" s="334">
        <f t="shared" si="140"/>
        <v>0</v>
      </c>
      <c r="S279" s="358">
        <f t="shared" si="118"/>
        <v>107.26291124376689</v>
      </c>
      <c r="T279" s="358">
        <f t="shared" si="119"/>
        <v>211.37628749999996</v>
      </c>
      <c r="U279" s="359">
        <f t="shared" si="120"/>
        <v>0.25</v>
      </c>
      <c r="V279" s="359">
        <f t="shared" si="121"/>
        <v>0</v>
      </c>
      <c r="W279" s="359">
        <f t="shared" si="122"/>
        <v>0</v>
      </c>
      <c r="X279" s="359">
        <f t="shared" si="123"/>
        <v>0</v>
      </c>
      <c r="Y279" s="320"/>
      <c r="Z279" s="321" t="str">
        <f t="shared" si="127"/>
        <v>X-TPTEPTAA</v>
      </c>
      <c r="AA279" s="321" t="str">
        <f t="shared" si="128"/>
        <v>X-TPTEPTAE</v>
      </c>
      <c r="AB279" s="321" t="str">
        <f t="shared" si="129"/>
        <v>X-TPTEPTAM</v>
      </c>
      <c r="AC279" s="321" t="str">
        <f t="shared" si="130"/>
        <v>X-TPTEPTAT</v>
      </c>
      <c r="AD279" s="321" t="str">
        <f t="shared" si="131"/>
        <v>X-TPTEPTAS</v>
      </c>
      <c r="AE279" s="321" t="str">
        <f t="shared" si="132"/>
        <v>X-TPTEPTAX</v>
      </c>
      <c r="AF279" s="321" t="str">
        <f t="shared" si="133"/>
        <v>X-TPTEPTAA</v>
      </c>
      <c r="AG279" s="321">
        <f t="shared" si="124"/>
        <v>4</v>
      </c>
      <c r="AH279" s="321">
        <f>IF(B279&lt;&gt;"",IF(H279="x",VLOOKUP(I279,'AUX-NIV3'!B:AG,32,FALSE),0),"")</f>
        <v>0</v>
      </c>
      <c r="AI279" s="321" t="str">
        <f t="shared" si="134"/>
        <v>X-TPTEPTA</v>
      </c>
      <c r="AJ279" s="320"/>
      <c r="AK279" s="322">
        <f t="shared" si="125"/>
        <v>278</v>
      </c>
      <c r="AL279" s="323">
        <f t="shared" si="135"/>
        <v>281</v>
      </c>
      <c r="AM279" s="322">
        <f t="shared" si="136"/>
        <v>2</v>
      </c>
      <c r="AN279" s="380">
        <f>IF(AND(AH279&gt;0,B279&lt;&gt;""),VLOOKUP(I279,'AUX-NIV3'!$B:$AO,39,FALSE)*O279,0)</f>
        <v>0</v>
      </c>
      <c r="AO279" s="380">
        <f t="shared" si="126"/>
        <v>0.23333333333333331</v>
      </c>
      <c r="AP279" s="380"/>
    </row>
    <row r="280" spans="2:42" ht="14.4" hidden="1" thickTop="1" thickBot="1">
      <c r="B280" s="324" t="s">
        <v>1288</v>
      </c>
      <c r="C280" s="325" t="s">
        <v>38</v>
      </c>
      <c r="D280" s="326" t="s">
        <v>1160</v>
      </c>
      <c r="E280" s="327">
        <f>IF(B280&lt;&gt;"",SUMIF('AUX-NIV1'!I:I,'AUX-NIV2'!B280,'AUX-NIV1'!Q:Q),"")</f>
        <v>0</v>
      </c>
      <c r="F280" s="327">
        <f t="shared" si="116"/>
        <v>318.88919874376688</v>
      </c>
      <c r="G280" s="327">
        <f t="shared" si="117"/>
        <v>0</v>
      </c>
      <c r="H280" s="328" t="str">
        <f t="shared" si="137"/>
        <v>E</v>
      </c>
      <c r="I280" s="325" t="s">
        <v>1615</v>
      </c>
      <c r="J280" s="329" t="str">
        <f>IF(B280&lt;&gt;"",+VLOOKUP(I280,Recursos!C:F,2,FALSE),"")</f>
        <v>CAMION MOTOHORMIGONERO CAP. 7 M3</v>
      </c>
      <c r="K280" s="330" t="str">
        <f>IF(B280&lt;&gt;"",+VLOOKUP(I280,Recursos!C:F,3,FALSE),"")</f>
        <v>HR</v>
      </c>
      <c r="L280" s="327">
        <f>IF(B280&lt;&gt;"",+VLOOKUP(I280,Recursos!C:F,4,FALSE),"")</f>
        <v>2415.7289999999998</v>
      </c>
      <c r="M280" s="331">
        <v>12</v>
      </c>
      <c r="N280" s="331">
        <v>1.05</v>
      </c>
      <c r="O280" s="332">
        <f>1/M280*N280</f>
        <v>8.7499999999999994E-2</v>
      </c>
      <c r="P280" s="333">
        <f t="shared" si="138"/>
        <v>211.37628749999996</v>
      </c>
      <c r="Q280" s="327">
        <f t="shared" si="139"/>
        <v>0</v>
      </c>
      <c r="R280" s="334">
        <f t="shared" si="140"/>
        <v>0</v>
      </c>
      <c r="S280" s="358">
        <f t="shared" si="118"/>
        <v>107.26291124376689</v>
      </c>
      <c r="T280" s="358">
        <f t="shared" si="119"/>
        <v>211.37628749999996</v>
      </c>
      <c r="U280" s="359">
        <f t="shared" si="120"/>
        <v>0.25</v>
      </c>
      <c r="V280" s="359">
        <f t="shared" si="121"/>
        <v>0</v>
      </c>
      <c r="W280" s="359">
        <f t="shared" si="122"/>
        <v>0</v>
      </c>
      <c r="X280" s="359">
        <f t="shared" si="123"/>
        <v>0</v>
      </c>
      <c r="Y280" s="320"/>
      <c r="Z280" s="321" t="str">
        <f t="shared" si="127"/>
        <v>X-TPTEPTAA</v>
      </c>
      <c r="AA280" s="321" t="str">
        <f t="shared" si="128"/>
        <v>X-TPTEPTAE</v>
      </c>
      <c r="AB280" s="321" t="str">
        <f t="shared" si="129"/>
        <v>X-TPTEPTAM</v>
      </c>
      <c r="AC280" s="321" t="str">
        <f t="shared" si="130"/>
        <v>X-TPTEPTAT</v>
      </c>
      <c r="AD280" s="321" t="str">
        <f t="shared" si="131"/>
        <v>X-TPTEPTAS</v>
      </c>
      <c r="AE280" s="321" t="str">
        <f t="shared" si="132"/>
        <v>X-TPTEPTAX</v>
      </c>
      <c r="AF280" s="321" t="str">
        <f t="shared" si="133"/>
        <v>X-TPTEPTAE</v>
      </c>
      <c r="AG280" s="321">
        <f t="shared" si="124"/>
        <v>4</v>
      </c>
      <c r="AH280" s="321">
        <f>IF(B280&lt;&gt;"",IF(H280="x",VLOOKUP(I280,'AUX-NIV3'!B:AG,32,FALSE),0),"")</f>
        <v>0</v>
      </c>
      <c r="AI280" s="321" t="str">
        <f t="shared" si="134"/>
        <v>X-TPTEPTA</v>
      </c>
      <c r="AJ280" s="320"/>
      <c r="AK280" s="322">
        <f t="shared" si="125"/>
        <v>278</v>
      </c>
      <c r="AL280" s="323">
        <f t="shared" si="135"/>
        <v>281</v>
      </c>
      <c r="AM280" s="322">
        <f t="shared" si="136"/>
        <v>3</v>
      </c>
      <c r="AN280" s="380">
        <f>IF(AND(AH280&gt;0,B280&lt;&gt;""),VLOOKUP(I280,'AUX-NIV3'!$B:$AO,39,FALSE)*O280,0)</f>
        <v>0</v>
      </c>
      <c r="AO280" s="380">
        <f t="shared" si="126"/>
        <v>0.23333333333333331</v>
      </c>
      <c r="AP280" s="380"/>
    </row>
    <row r="281" spans="2:42" ht="14.4" hidden="1" thickTop="1" thickBot="1">
      <c r="B281" s="324" t="s">
        <v>1288</v>
      </c>
      <c r="C281" s="325" t="s">
        <v>38</v>
      </c>
      <c r="D281" s="326" t="s">
        <v>1160</v>
      </c>
      <c r="E281" s="327">
        <f>IF(B281&lt;&gt;"",SUMIF('AUX-NIV1'!I:I,'AUX-NIV2'!B281,'AUX-NIV1'!Q:Q),"")</f>
        <v>0</v>
      </c>
      <c r="F281" s="327">
        <f t="shared" si="116"/>
        <v>318.88919874376688</v>
      </c>
      <c r="G281" s="327">
        <f t="shared" si="117"/>
        <v>0</v>
      </c>
      <c r="H281" s="328" t="str">
        <f t="shared" si="137"/>
        <v>M</v>
      </c>
      <c r="I281" s="325" t="s">
        <v>621</v>
      </c>
      <c r="J281" s="329" t="str">
        <f>IF(B281&lt;&gt;"",+VLOOKUP(I281,Recursos!C:F,2,FALSE),"")</f>
        <v>MATERIALES VARIOS</v>
      </c>
      <c r="K281" s="330" t="str">
        <f>IF(B281&lt;&gt;"",+VLOOKUP(I281,Recursos!C:F,3,FALSE),"")</f>
        <v>GL</v>
      </c>
      <c r="L281" s="327">
        <f>IF(B281&lt;&gt;"",+VLOOKUP(I281,Recursos!C:F,4,FALSE),"")</f>
        <v>0.5</v>
      </c>
      <c r="M281" s="331">
        <v>0.5</v>
      </c>
      <c r="N281" s="331">
        <v>1</v>
      </c>
      <c r="O281" s="332">
        <f t="shared" ref="O281:O288" si="142">+M281*N281</f>
        <v>0.5</v>
      </c>
      <c r="P281" s="333">
        <f t="shared" si="138"/>
        <v>0.25</v>
      </c>
      <c r="Q281" s="327">
        <f t="shared" si="139"/>
        <v>0</v>
      </c>
      <c r="R281" s="334">
        <f t="shared" si="140"/>
        <v>0</v>
      </c>
      <c r="S281" s="358">
        <f t="shared" si="118"/>
        <v>107.26291124376689</v>
      </c>
      <c r="T281" s="358">
        <f t="shared" si="119"/>
        <v>211.37628749999996</v>
      </c>
      <c r="U281" s="359">
        <f t="shared" si="120"/>
        <v>0.25</v>
      </c>
      <c r="V281" s="359">
        <f t="shared" si="121"/>
        <v>0</v>
      </c>
      <c r="W281" s="359">
        <f t="shared" si="122"/>
        <v>0</v>
      </c>
      <c r="X281" s="359">
        <f t="shared" si="123"/>
        <v>0</v>
      </c>
      <c r="Y281" s="320"/>
      <c r="Z281" s="321" t="str">
        <f t="shared" si="127"/>
        <v>X-TPTEPTAA</v>
      </c>
      <c r="AA281" s="321" t="str">
        <f t="shared" si="128"/>
        <v>X-TPTEPTAE</v>
      </c>
      <c r="AB281" s="321" t="str">
        <f t="shared" si="129"/>
        <v>X-TPTEPTAM</v>
      </c>
      <c r="AC281" s="321" t="str">
        <f t="shared" si="130"/>
        <v>X-TPTEPTAT</v>
      </c>
      <c r="AD281" s="321" t="str">
        <f t="shared" si="131"/>
        <v>X-TPTEPTAS</v>
      </c>
      <c r="AE281" s="321" t="str">
        <f t="shared" si="132"/>
        <v>X-TPTEPTAX</v>
      </c>
      <c r="AF281" s="321" t="str">
        <f t="shared" si="133"/>
        <v>X-TPTEPTAM</v>
      </c>
      <c r="AG281" s="321">
        <f t="shared" si="124"/>
        <v>4</v>
      </c>
      <c r="AH281" s="321">
        <f>IF(B281&lt;&gt;"",IF(H281="x",VLOOKUP(I281,'AUX-NIV3'!B:AG,32,FALSE),0),"")</f>
        <v>0</v>
      </c>
      <c r="AI281" s="321" t="str">
        <f t="shared" si="134"/>
        <v>X-TPTEPTA</v>
      </c>
      <c r="AJ281" s="320"/>
      <c r="AK281" s="322">
        <f t="shared" si="125"/>
        <v>278</v>
      </c>
      <c r="AL281" s="323">
        <f t="shared" si="135"/>
        <v>281</v>
      </c>
      <c r="AM281" s="322">
        <f t="shared" si="136"/>
        <v>4</v>
      </c>
      <c r="AN281" s="380">
        <f>IF(AND(AH281&gt;0,B281&lt;&gt;""),VLOOKUP(I281,'AUX-NIV3'!$B:$AO,39,FALSE)*O281,0)</f>
        <v>0</v>
      </c>
      <c r="AO281" s="380">
        <f t="shared" si="126"/>
        <v>0.23333333333333331</v>
      </c>
      <c r="AP281" s="380"/>
    </row>
    <row r="282" spans="2:42" ht="14.4" hidden="1" thickTop="1" thickBot="1">
      <c r="B282" s="324" t="s">
        <v>1289</v>
      </c>
      <c r="C282" s="325" t="s">
        <v>39</v>
      </c>
      <c r="D282" s="326" t="s">
        <v>501</v>
      </c>
      <c r="E282" s="327">
        <f>IF(B282&lt;&gt;"",SUMIF('AUX-NIV1'!I:I,'AUX-NIV2'!B282,'AUX-NIV1'!Q:Q),"")</f>
        <v>0</v>
      </c>
      <c r="F282" s="327">
        <f t="shared" si="116"/>
        <v>6407.5202864083949</v>
      </c>
      <c r="G282" s="327">
        <f t="shared" si="117"/>
        <v>0</v>
      </c>
      <c r="H282" s="328" t="str">
        <f t="shared" si="137"/>
        <v>A</v>
      </c>
      <c r="I282" s="325" t="s">
        <v>1745</v>
      </c>
      <c r="J282" s="329" t="str">
        <f>IF(B282&lt;&gt;"",+VLOOKUP(I282,Recursos!C:F,2,FALSE),"")</f>
        <v>AYUDANTE</v>
      </c>
      <c r="K282" s="330" t="str">
        <f>IF(B282&lt;&gt;"",+VLOOKUP(I282,Recursos!C:F,3,FALSE),"")</f>
        <v>hh</v>
      </c>
      <c r="L282" s="327">
        <f>IF(B282&lt;&gt;"",+VLOOKUP(I282,Recursos!C:F,4,FALSE),"")</f>
        <v>422.48042769667234</v>
      </c>
      <c r="M282" s="331">
        <v>1</v>
      </c>
      <c r="N282" s="331">
        <v>1</v>
      </c>
      <c r="O282" s="332">
        <f t="shared" si="142"/>
        <v>1</v>
      </c>
      <c r="P282" s="333">
        <f t="shared" si="138"/>
        <v>422.48042769667234</v>
      </c>
      <c r="Q282" s="327">
        <f t="shared" si="139"/>
        <v>0</v>
      </c>
      <c r="R282" s="334">
        <f t="shared" si="140"/>
        <v>0</v>
      </c>
      <c r="S282" s="358">
        <f t="shared" si="118"/>
        <v>1413.2814310158335</v>
      </c>
      <c r="T282" s="358">
        <f t="shared" si="119"/>
        <v>118.90361250000001</v>
      </c>
      <c r="U282" s="359">
        <f t="shared" si="120"/>
        <v>4875.3352428925618</v>
      </c>
      <c r="V282" s="359">
        <f t="shared" si="121"/>
        <v>0</v>
      </c>
      <c r="W282" s="359">
        <f t="shared" si="122"/>
        <v>0</v>
      </c>
      <c r="X282" s="359">
        <f t="shared" si="123"/>
        <v>0</v>
      </c>
      <c r="Y282" s="320"/>
      <c r="Z282" s="321" t="str">
        <f t="shared" si="127"/>
        <v>X-SOSTEXCA</v>
      </c>
      <c r="AA282" s="321" t="str">
        <f t="shared" si="128"/>
        <v>X-SOSTEXCE</v>
      </c>
      <c r="AB282" s="321" t="str">
        <f t="shared" si="129"/>
        <v>X-SOSTEXCM</v>
      </c>
      <c r="AC282" s="321" t="str">
        <f t="shared" si="130"/>
        <v>X-SOSTEXCT</v>
      </c>
      <c r="AD282" s="321" t="str">
        <f t="shared" si="131"/>
        <v>X-SOSTEXCS</v>
      </c>
      <c r="AE282" s="321" t="str">
        <f t="shared" si="132"/>
        <v>X-SOSTEXCX</v>
      </c>
      <c r="AF282" s="321" t="str">
        <f t="shared" si="133"/>
        <v>X-SOSTEXCA</v>
      </c>
      <c r="AG282" s="321">
        <f t="shared" si="124"/>
        <v>12</v>
      </c>
      <c r="AH282" s="321">
        <f>IF(B282&lt;&gt;"",IF(H282="x",VLOOKUP(I282,'AUX-NIV3'!B:AG,32,FALSE),0),"")</f>
        <v>0</v>
      </c>
      <c r="AI282" s="321" t="str">
        <f t="shared" si="134"/>
        <v>X-SOSTEXC</v>
      </c>
      <c r="AJ282" s="320"/>
      <c r="AK282" s="322">
        <f t="shared" si="125"/>
        <v>282</v>
      </c>
      <c r="AL282" s="323">
        <f t="shared" si="135"/>
        <v>293</v>
      </c>
      <c r="AM282" s="322">
        <f t="shared" si="136"/>
        <v>1</v>
      </c>
      <c r="AN282" s="380">
        <f>IF(AND(AH282&gt;0,B282&lt;&gt;""),VLOOKUP(I282,'AUX-NIV3'!$B:$AO,39,FALSE)*O282,0)</f>
        <v>0</v>
      </c>
      <c r="AO282" s="380">
        <f t="shared" si="126"/>
        <v>3.07</v>
      </c>
      <c r="AP282" s="380"/>
    </row>
    <row r="283" spans="2:42" ht="14.4" hidden="1" thickTop="1" thickBot="1">
      <c r="B283" s="324" t="s">
        <v>1289</v>
      </c>
      <c r="C283" s="325" t="s">
        <v>39</v>
      </c>
      <c r="D283" s="326" t="s">
        <v>501</v>
      </c>
      <c r="E283" s="327">
        <f>IF(B283&lt;&gt;"",SUMIF('AUX-NIV1'!I:I,'AUX-NIV2'!B283,'AUX-NIV1'!Q:Q),"")</f>
        <v>0</v>
      </c>
      <c r="F283" s="327">
        <f t="shared" si="116"/>
        <v>6407.5202864083949</v>
      </c>
      <c r="G283" s="327">
        <f t="shared" si="117"/>
        <v>0</v>
      </c>
      <c r="H283" s="328" t="str">
        <f t="shared" si="137"/>
        <v>A</v>
      </c>
      <c r="I283" s="325" t="s">
        <v>1746</v>
      </c>
      <c r="J283" s="329" t="str">
        <f>IF(B283&lt;&gt;"",+VLOOKUP(I283,Recursos!C:F,2,FALSE),"")</f>
        <v>OFICIAL</v>
      </c>
      <c r="K283" s="330" t="str">
        <f>IF(B283&lt;&gt;"",+VLOOKUP(I283,Recursos!C:F,3,FALSE),"")</f>
        <v>hh</v>
      </c>
      <c r="L283" s="327">
        <f>IF(B283&lt;&gt;"",+VLOOKUP(I283,Recursos!C:F,4,FALSE),"")</f>
        <v>496.91595439275824</v>
      </c>
      <c r="M283" s="331">
        <v>1</v>
      </c>
      <c r="N283" s="331">
        <v>1</v>
      </c>
      <c r="O283" s="332">
        <f t="shared" si="142"/>
        <v>1</v>
      </c>
      <c r="P283" s="333">
        <f t="shared" si="138"/>
        <v>496.91595439275824</v>
      </c>
      <c r="Q283" s="327">
        <f t="shared" si="139"/>
        <v>0</v>
      </c>
      <c r="R283" s="334">
        <f t="shared" si="140"/>
        <v>0</v>
      </c>
      <c r="S283" s="358">
        <f t="shared" si="118"/>
        <v>1413.2814310158335</v>
      </c>
      <c r="T283" s="358">
        <f t="shared" si="119"/>
        <v>118.90361250000001</v>
      </c>
      <c r="U283" s="359">
        <f t="shared" si="120"/>
        <v>4875.3352428925618</v>
      </c>
      <c r="V283" s="359">
        <f t="shared" si="121"/>
        <v>0</v>
      </c>
      <c r="W283" s="359">
        <f t="shared" si="122"/>
        <v>0</v>
      </c>
      <c r="X283" s="359">
        <f t="shared" si="123"/>
        <v>0</v>
      </c>
      <c r="Y283" s="320"/>
      <c r="Z283" s="321" t="str">
        <f t="shared" si="127"/>
        <v>X-SOSTEXCA</v>
      </c>
      <c r="AA283" s="321" t="str">
        <f t="shared" si="128"/>
        <v>X-SOSTEXCE</v>
      </c>
      <c r="AB283" s="321" t="str">
        <f t="shared" si="129"/>
        <v>X-SOSTEXCM</v>
      </c>
      <c r="AC283" s="321" t="str">
        <f t="shared" si="130"/>
        <v>X-SOSTEXCT</v>
      </c>
      <c r="AD283" s="321" t="str">
        <f t="shared" si="131"/>
        <v>X-SOSTEXCS</v>
      </c>
      <c r="AE283" s="321" t="str">
        <f t="shared" si="132"/>
        <v>X-SOSTEXCX</v>
      </c>
      <c r="AF283" s="321" t="str">
        <f t="shared" si="133"/>
        <v>X-SOSTEXCA</v>
      </c>
      <c r="AG283" s="321">
        <f t="shared" si="124"/>
        <v>12</v>
      </c>
      <c r="AH283" s="321">
        <f>IF(B283&lt;&gt;"",IF(H283="x",VLOOKUP(I283,'AUX-NIV3'!B:AG,32,FALSE),0),"")</f>
        <v>0</v>
      </c>
      <c r="AI283" s="321" t="str">
        <f t="shared" si="134"/>
        <v>X-SOSTEXC</v>
      </c>
      <c r="AJ283" s="320"/>
      <c r="AK283" s="322">
        <f t="shared" si="125"/>
        <v>282</v>
      </c>
      <c r="AL283" s="323">
        <f t="shared" si="135"/>
        <v>293</v>
      </c>
      <c r="AM283" s="322">
        <f t="shared" si="136"/>
        <v>2</v>
      </c>
      <c r="AN283" s="380">
        <f>IF(AND(AH283&gt;0,B283&lt;&gt;""),VLOOKUP(I283,'AUX-NIV3'!$B:$AO,39,FALSE)*O283,0)</f>
        <v>0</v>
      </c>
      <c r="AO283" s="380">
        <f t="shared" si="126"/>
        <v>3.07</v>
      </c>
      <c r="AP283" s="380"/>
    </row>
    <row r="284" spans="2:42" ht="14.4" hidden="1" thickTop="1" thickBot="1">
      <c r="B284" s="324" t="s">
        <v>1289</v>
      </c>
      <c r="C284" s="325" t="s">
        <v>39</v>
      </c>
      <c r="D284" s="326" t="s">
        <v>501</v>
      </c>
      <c r="E284" s="327">
        <f>IF(B284&lt;&gt;"",SUMIF('AUX-NIV1'!I:I,'AUX-NIV2'!B284,'AUX-NIV1'!Q:Q),"")</f>
        <v>0</v>
      </c>
      <c r="F284" s="327">
        <f t="shared" si="116"/>
        <v>6407.5202864083949</v>
      </c>
      <c r="G284" s="327">
        <f t="shared" si="117"/>
        <v>0</v>
      </c>
      <c r="H284" s="328" t="str">
        <f t="shared" si="137"/>
        <v>A</v>
      </c>
      <c r="I284" s="325" t="s">
        <v>3309</v>
      </c>
      <c r="J284" s="329" t="str">
        <f>IF(B284&lt;&gt;"",+VLOOKUP(I284,Recursos!C:F,2,FALSE),"")</f>
        <v>MEDIO OFICIAL</v>
      </c>
      <c r="K284" s="330" t="str">
        <f>IF(B284&lt;&gt;"",+VLOOKUP(I284,Recursos!C:F,3,FALSE),"")</f>
        <v>hh</v>
      </c>
      <c r="L284" s="327">
        <f>IF(B284&lt;&gt;"",+VLOOKUP(I284,Recursos!C:F,4,FALSE),"")</f>
        <v>459.10093211890984</v>
      </c>
      <c r="M284" s="331">
        <v>1</v>
      </c>
      <c r="N284" s="331">
        <v>1</v>
      </c>
      <c r="O284" s="332">
        <f t="shared" si="142"/>
        <v>1</v>
      </c>
      <c r="P284" s="333">
        <f t="shared" si="138"/>
        <v>459.10093211890984</v>
      </c>
      <c r="Q284" s="327">
        <f t="shared" si="139"/>
        <v>0</v>
      </c>
      <c r="R284" s="334">
        <f t="shared" si="140"/>
        <v>0</v>
      </c>
      <c r="S284" s="358">
        <f t="shared" si="118"/>
        <v>1413.2814310158335</v>
      </c>
      <c r="T284" s="358">
        <f t="shared" si="119"/>
        <v>118.90361250000001</v>
      </c>
      <c r="U284" s="359">
        <f t="shared" si="120"/>
        <v>4875.3352428925618</v>
      </c>
      <c r="V284" s="359">
        <f t="shared" si="121"/>
        <v>0</v>
      </c>
      <c r="W284" s="359">
        <f t="shared" si="122"/>
        <v>0</v>
      </c>
      <c r="X284" s="359">
        <f t="shared" si="123"/>
        <v>0</v>
      </c>
      <c r="Y284" s="320"/>
      <c r="Z284" s="321" t="str">
        <f t="shared" si="127"/>
        <v>X-SOSTEXCA</v>
      </c>
      <c r="AA284" s="321" t="str">
        <f t="shared" si="128"/>
        <v>X-SOSTEXCE</v>
      </c>
      <c r="AB284" s="321" t="str">
        <f t="shared" si="129"/>
        <v>X-SOSTEXCM</v>
      </c>
      <c r="AC284" s="321" t="str">
        <f t="shared" si="130"/>
        <v>X-SOSTEXCT</v>
      </c>
      <c r="AD284" s="321" t="str">
        <f t="shared" si="131"/>
        <v>X-SOSTEXCS</v>
      </c>
      <c r="AE284" s="321" t="str">
        <f t="shared" si="132"/>
        <v>X-SOSTEXCX</v>
      </c>
      <c r="AF284" s="321" t="str">
        <f t="shared" si="133"/>
        <v>X-SOSTEXCA</v>
      </c>
      <c r="AG284" s="321">
        <f t="shared" si="124"/>
        <v>12</v>
      </c>
      <c r="AH284" s="321">
        <f>IF(B284&lt;&gt;"",IF(H284="x",VLOOKUP(I284,'AUX-NIV3'!B:AG,32,FALSE),0),"")</f>
        <v>0</v>
      </c>
      <c r="AI284" s="321" t="str">
        <f t="shared" si="134"/>
        <v>X-SOSTEXC</v>
      </c>
      <c r="AJ284" s="320"/>
      <c r="AK284" s="322">
        <f t="shared" si="125"/>
        <v>282</v>
      </c>
      <c r="AL284" s="323">
        <f t="shared" si="135"/>
        <v>293</v>
      </c>
      <c r="AM284" s="322">
        <f t="shared" si="136"/>
        <v>3</v>
      </c>
      <c r="AN284" s="380">
        <f>IF(AND(AH284&gt;0,B284&lt;&gt;""),VLOOKUP(I284,'AUX-NIV3'!$B:$AO,39,FALSE)*O284,0)</f>
        <v>0</v>
      </c>
      <c r="AO284" s="380">
        <f t="shared" si="126"/>
        <v>3.07</v>
      </c>
      <c r="AP284" s="380"/>
    </row>
    <row r="285" spans="2:42" ht="14.4" hidden="1" thickTop="1" thickBot="1">
      <c r="B285" s="324" t="s">
        <v>1289</v>
      </c>
      <c r="C285" s="325" t="s">
        <v>39</v>
      </c>
      <c r="D285" s="326" t="s">
        <v>501</v>
      </c>
      <c r="E285" s="327">
        <f>IF(B285&lt;&gt;"",SUMIF('AUX-NIV1'!I:I,'AUX-NIV2'!B285,'AUX-NIV1'!Q:Q),"")</f>
        <v>0</v>
      </c>
      <c r="F285" s="327">
        <f t="shared" si="116"/>
        <v>6407.5202864083949</v>
      </c>
      <c r="G285" s="327">
        <f t="shared" si="117"/>
        <v>0</v>
      </c>
      <c r="H285" s="328" t="str">
        <f t="shared" si="137"/>
        <v>A</v>
      </c>
      <c r="I285" s="325" t="s">
        <v>3312</v>
      </c>
      <c r="J285" s="329" t="str">
        <f>IF(B285&lt;&gt;"",+VLOOKUP(I285,Recursos!C:F,2,FALSE),"")</f>
        <v>CHOFER</v>
      </c>
      <c r="K285" s="330" t="str">
        <f>IF(B285&lt;&gt;"",+VLOOKUP(I285,Recursos!C:F,3,FALSE),"")</f>
        <v>hh</v>
      </c>
      <c r="L285" s="327">
        <f>IF(B285&lt;&gt;"",+VLOOKUP(I285,Recursos!C:F,4,FALSE),"")</f>
        <v>496.91595439275824</v>
      </c>
      <c r="M285" s="331">
        <v>0.05</v>
      </c>
      <c r="N285" s="331">
        <v>1.4</v>
      </c>
      <c r="O285" s="332">
        <f t="shared" si="142"/>
        <v>6.9999999999999993E-2</v>
      </c>
      <c r="P285" s="333">
        <f t="shared" si="138"/>
        <v>34.784116807493071</v>
      </c>
      <c r="Q285" s="327">
        <f t="shared" si="139"/>
        <v>0</v>
      </c>
      <c r="R285" s="334">
        <f t="shared" si="140"/>
        <v>0</v>
      </c>
      <c r="S285" s="358">
        <f t="shared" si="118"/>
        <v>1413.2814310158335</v>
      </c>
      <c r="T285" s="358">
        <f t="shared" si="119"/>
        <v>118.90361250000001</v>
      </c>
      <c r="U285" s="359">
        <f t="shared" si="120"/>
        <v>4875.3352428925618</v>
      </c>
      <c r="V285" s="359">
        <f t="shared" si="121"/>
        <v>0</v>
      </c>
      <c r="W285" s="359">
        <f t="shared" si="122"/>
        <v>0</v>
      </c>
      <c r="X285" s="359">
        <f t="shared" si="123"/>
        <v>0</v>
      </c>
      <c r="Y285" s="320"/>
      <c r="Z285" s="321" t="str">
        <f t="shared" si="127"/>
        <v>X-SOSTEXCA</v>
      </c>
      <c r="AA285" s="321" t="str">
        <f t="shared" si="128"/>
        <v>X-SOSTEXCE</v>
      </c>
      <c r="AB285" s="321" t="str">
        <f t="shared" si="129"/>
        <v>X-SOSTEXCM</v>
      </c>
      <c r="AC285" s="321" t="str">
        <f t="shared" si="130"/>
        <v>X-SOSTEXCT</v>
      </c>
      <c r="AD285" s="321" t="str">
        <f t="shared" si="131"/>
        <v>X-SOSTEXCS</v>
      </c>
      <c r="AE285" s="321" t="str">
        <f t="shared" si="132"/>
        <v>X-SOSTEXCX</v>
      </c>
      <c r="AF285" s="321" t="str">
        <f t="shared" si="133"/>
        <v>X-SOSTEXCA</v>
      </c>
      <c r="AG285" s="321">
        <f t="shared" si="124"/>
        <v>12</v>
      </c>
      <c r="AH285" s="321">
        <f>IF(B285&lt;&gt;"",IF(H285="x",VLOOKUP(I285,'AUX-NIV3'!B:AG,32,FALSE),0),"")</f>
        <v>0</v>
      </c>
      <c r="AI285" s="321" t="str">
        <f t="shared" si="134"/>
        <v>X-SOSTEXC</v>
      </c>
      <c r="AJ285" s="320"/>
      <c r="AK285" s="322">
        <f t="shared" si="125"/>
        <v>282</v>
      </c>
      <c r="AL285" s="323">
        <f t="shared" si="135"/>
        <v>293</v>
      </c>
      <c r="AM285" s="322">
        <f t="shared" si="136"/>
        <v>4</v>
      </c>
      <c r="AN285" s="380">
        <f>IF(AND(AH285&gt;0,B285&lt;&gt;""),VLOOKUP(I285,'AUX-NIV3'!$B:$AO,39,FALSE)*O285,0)</f>
        <v>0</v>
      </c>
      <c r="AO285" s="380">
        <f t="shared" si="126"/>
        <v>3.07</v>
      </c>
      <c r="AP285" s="380"/>
    </row>
    <row r="286" spans="2:42" ht="14.4" hidden="1" thickTop="1" thickBot="1">
      <c r="B286" s="324" t="s">
        <v>1289</v>
      </c>
      <c r="C286" s="325" t="s">
        <v>39</v>
      </c>
      <c r="D286" s="326" t="s">
        <v>501</v>
      </c>
      <c r="E286" s="327">
        <f>IF(B286&lt;&gt;"",SUMIF('AUX-NIV1'!I:I,'AUX-NIV2'!B286,'AUX-NIV1'!Q:Q),"")</f>
        <v>0</v>
      </c>
      <c r="F286" s="327">
        <f t="shared" si="116"/>
        <v>6407.5202864083949</v>
      </c>
      <c r="G286" s="327">
        <f t="shared" si="117"/>
        <v>0</v>
      </c>
      <c r="H286" s="328" t="str">
        <f t="shared" si="137"/>
        <v>E</v>
      </c>
      <c r="I286" s="325" t="s">
        <v>1597</v>
      </c>
      <c r="J286" s="329" t="str">
        <f>IF(B286&lt;&gt;"",+VLOOKUP(I286,Recursos!C:F,2,FALSE),"")</f>
        <v>HIDROGRUA MONTADA S/CAMION (6 T)</v>
      </c>
      <c r="K286" s="330" t="str">
        <f>IF(B286&lt;&gt;"",+VLOOKUP(I286,Recursos!C:F,3,FALSE),"")</f>
        <v>HR</v>
      </c>
      <c r="L286" s="327">
        <f>IF(B286&lt;&gt;"",+VLOOKUP(I286,Recursos!C:F,4,FALSE),"")</f>
        <v>2378.0722500000002</v>
      </c>
      <c r="M286" s="331">
        <v>0.05</v>
      </c>
      <c r="N286" s="331">
        <v>1</v>
      </c>
      <c r="O286" s="332">
        <f t="shared" si="142"/>
        <v>0.05</v>
      </c>
      <c r="P286" s="333">
        <f t="shared" si="138"/>
        <v>118.90361250000001</v>
      </c>
      <c r="Q286" s="327">
        <f t="shared" si="139"/>
        <v>0</v>
      </c>
      <c r="R286" s="334">
        <f t="shared" si="140"/>
        <v>0</v>
      </c>
      <c r="S286" s="358">
        <f t="shared" si="118"/>
        <v>1413.2814310158335</v>
      </c>
      <c r="T286" s="358">
        <f t="shared" si="119"/>
        <v>118.90361250000001</v>
      </c>
      <c r="U286" s="359">
        <f t="shared" si="120"/>
        <v>4875.3352428925618</v>
      </c>
      <c r="V286" s="359">
        <f t="shared" si="121"/>
        <v>0</v>
      </c>
      <c r="W286" s="359">
        <f t="shared" si="122"/>
        <v>0</v>
      </c>
      <c r="X286" s="359">
        <f t="shared" si="123"/>
        <v>0</v>
      </c>
      <c r="Y286" s="320"/>
      <c r="Z286" s="321" t="str">
        <f t="shared" si="127"/>
        <v>X-SOSTEXCA</v>
      </c>
      <c r="AA286" s="321" t="str">
        <f t="shared" si="128"/>
        <v>X-SOSTEXCE</v>
      </c>
      <c r="AB286" s="321" t="str">
        <f t="shared" si="129"/>
        <v>X-SOSTEXCM</v>
      </c>
      <c r="AC286" s="321" t="str">
        <f t="shared" si="130"/>
        <v>X-SOSTEXCT</v>
      </c>
      <c r="AD286" s="321" t="str">
        <f t="shared" si="131"/>
        <v>X-SOSTEXCS</v>
      </c>
      <c r="AE286" s="321" t="str">
        <f t="shared" si="132"/>
        <v>X-SOSTEXCX</v>
      </c>
      <c r="AF286" s="321" t="str">
        <f t="shared" si="133"/>
        <v>X-SOSTEXCE</v>
      </c>
      <c r="AG286" s="321">
        <f t="shared" si="124"/>
        <v>12</v>
      </c>
      <c r="AH286" s="321">
        <f>IF(B286&lt;&gt;"",IF(H286="x",VLOOKUP(I286,'AUX-NIV3'!B:AG,32,FALSE),0),"")</f>
        <v>0</v>
      </c>
      <c r="AI286" s="321" t="str">
        <f t="shared" si="134"/>
        <v>X-SOSTEXC</v>
      </c>
      <c r="AJ286" s="320"/>
      <c r="AK286" s="322">
        <f t="shared" si="125"/>
        <v>282</v>
      </c>
      <c r="AL286" s="323">
        <f t="shared" si="135"/>
        <v>293</v>
      </c>
      <c r="AM286" s="322">
        <f t="shared" si="136"/>
        <v>5</v>
      </c>
      <c r="AN286" s="380">
        <f>IF(AND(AH286&gt;0,B286&lt;&gt;""),VLOOKUP(I286,'AUX-NIV3'!$B:$AO,39,FALSE)*O286,0)</f>
        <v>0</v>
      </c>
      <c r="AO286" s="380">
        <f t="shared" si="126"/>
        <v>3.07</v>
      </c>
      <c r="AP286" s="380"/>
    </row>
    <row r="287" spans="2:42" ht="14.4" hidden="1" thickTop="1" thickBot="1">
      <c r="B287" s="324" t="s">
        <v>1289</v>
      </c>
      <c r="C287" s="325" t="s">
        <v>39</v>
      </c>
      <c r="D287" s="326" t="s">
        <v>501</v>
      </c>
      <c r="E287" s="327">
        <f>IF(B287&lt;&gt;"",SUMIF('AUX-NIV1'!I:I,'AUX-NIV2'!B287,'AUX-NIV1'!Q:Q),"")</f>
        <v>0</v>
      </c>
      <c r="F287" s="327">
        <f t="shared" si="116"/>
        <v>6407.5202864083949</v>
      </c>
      <c r="G287" s="327">
        <f t="shared" si="117"/>
        <v>0</v>
      </c>
      <c r="H287" s="328" t="str">
        <f t="shared" si="137"/>
        <v>M</v>
      </c>
      <c r="I287" s="325" t="s">
        <v>621</v>
      </c>
      <c r="J287" s="329" t="str">
        <f>IF(B287&lt;&gt;"",+VLOOKUP(I287,Recursos!C:F,2,FALSE),"")</f>
        <v>MATERIALES VARIOS</v>
      </c>
      <c r="K287" s="330" t="str">
        <f>IF(B287&lt;&gt;"",+VLOOKUP(I287,Recursos!C:F,3,FALSE),"")</f>
        <v>GL</v>
      </c>
      <c r="L287" s="327">
        <f>IF(B287&lt;&gt;"",+VLOOKUP(I287,Recursos!C:F,4,FALSE),"")</f>
        <v>0.5</v>
      </c>
      <c r="M287" s="331">
        <v>1.31718</v>
      </c>
      <c r="N287" s="331">
        <v>1</v>
      </c>
      <c r="O287" s="332">
        <f t="shared" si="142"/>
        <v>1.31718</v>
      </c>
      <c r="P287" s="333">
        <f t="shared" si="138"/>
        <v>0.65859000000000001</v>
      </c>
      <c r="Q287" s="327">
        <f t="shared" si="139"/>
        <v>0</v>
      </c>
      <c r="R287" s="334">
        <f t="shared" si="140"/>
        <v>0</v>
      </c>
      <c r="S287" s="358">
        <f t="shared" si="118"/>
        <v>1413.2814310158335</v>
      </c>
      <c r="T287" s="358">
        <f t="shared" si="119"/>
        <v>118.90361250000001</v>
      </c>
      <c r="U287" s="359">
        <f t="shared" si="120"/>
        <v>4875.3352428925618</v>
      </c>
      <c r="V287" s="359">
        <f t="shared" si="121"/>
        <v>0</v>
      </c>
      <c r="W287" s="359">
        <f t="shared" si="122"/>
        <v>0</v>
      </c>
      <c r="X287" s="359">
        <f t="shared" si="123"/>
        <v>0</v>
      </c>
      <c r="Y287" s="320"/>
      <c r="Z287" s="321" t="str">
        <f t="shared" si="127"/>
        <v>X-SOSTEXCA</v>
      </c>
      <c r="AA287" s="321" t="str">
        <f t="shared" si="128"/>
        <v>X-SOSTEXCE</v>
      </c>
      <c r="AB287" s="321" t="str">
        <f t="shared" si="129"/>
        <v>X-SOSTEXCM</v>
      </c>
      <c r="AC287" s="321" t="str">
        <f t="shared" si="130"/>
        <v>X-SOSTEXCT</v>
      </c>
      <c r="AD287" s="321" t="str">
        <f t="shared" si="131"/>
        <v>X-SOSTEXCS</v>
      </c>
      <c r="AE287" s="321" t="str">
        <f t="shared" si="132"/>
        <v>X-SOSTEXCX</v>
      </c>
      <c r="AF287" s="321" t="str">
        <f t="shared" si="133"/>
        <v>X-SOSTEXCM</v>
      </c>
      <c r="AG287" s="321">
        <f t="shared" si="124"/>
        <v>12</v>
      </c>
      <c r="AH287" s="321">
        <f>IF(B287&lt;&gt;"",IF(H287="x",VLOOKUP(I287,'AUX-NIV3'!B:AG,32,FALSE),0),"")</f>
        <v>0</v>
      </c>
      <c r="AI287" s="321" t="str">
        <f t="shared" si="134"/>
        <v>X-SOSTEXC</v>
      </c>
      <c r="AJ287" s="320"/>
      <c r="AK287" s="322">
        <f t="shared" si="125"/>
        <v>282</v>
      </c>
      <c r="AL287" s="323">
        <f t="shared" si="135"/>
        <v>293</v>
      </c>
      <c r="AM287" s="322">
        <f t="shared" si="136"/>
        <v>6</v>
      </c>
      <c r="AN287" s="380">
        <f>IF(AND(AH287&gt;0,B287&lt;&gt;""),VLOOKUP(I287,'AUX-NIV3'!$B:$AO,39,FALSE)*O287,0)</f>
        <v>0</v>
      </c>
      <c r="AO287" s="380">
        <f t="shared" si="126"/>
        <v>3.07</v>
      </c>
      <c r="AP287" s="380"/>
    </row>
    <row r="288" spans="2:42" ht="14.4" hidden="1" thickTop="1" thickBot="1">
      <c r="B288" s="324" t="s">
        <v>1289</v>
      </c>
      <c r="C288" s="325" t="s">
        <v>39</v>
      </c>
      <c r="D288" s="326" t="s">
        <v>501</v>
      </c>
      <c r="E288" s="327">
        <f>IF(B288&lt;&gt;"",SUMIF('AUX-NIV1'!I:I,'AUX-NIV2'!B288,'AUX-NIV1'!Q:Q),"")</f>
        <v>0</v>
      </c>
      <c r="F288" s="327">
        <f t="shared" si="116"/>
        <v>6407.5202864083949</v>
      </c>
      <c r="G288" s="327">
        <f t="shared" si="117"/>
        <v>0</v>
      </c>
      <c r="H288" s="328" t="str">
        <f t="shared" si="137"/>
        <v>M</v>
      </c>
      <c r="I288" s="325" t="s">
        <v>580</v>
      </c>
      <c r="J288" s="329" t="str">
        <f>IF(B288&lt;&gt;"",+VLOOKUP(I288,Recursos!C:F,2,FALSE),"")</f>
        <v>DESMOLDANTE</v>
      </c>
      <c r="K288" s="330" t="str">
        <f>IF(B288&lt;&gt;"",+VLOOKUP(I288,Recursos!C:F,3,FALSE),"")</f>
        <v>Kg</v>
      </c>
      <c r="L288" s="327">
        <f>IF(B288&lt;&gt;"",+VLOOKUP(I288,Recursos!C:F,4,FALSE),"")</f>
        <v>0</v>
      </c>
      <c r="M288" s="331">
        <v>0.1</v>
      </c>
      <c r="N288" s="331">
        <v>1</v>
      </c>
      <c r="O288" s="332">
        <f t="shared" si="142"/>
        <v>0.1</v>
      </c>
      <c r="P288" s="333">
        <f t="shared" si="138"/>
        <v>0</v>
      </c>
      <c r="Q288" s="327">
        <f t="shared" si="139"/>
        <v>0</v>
      </c>
      <c r="R288" s="334">
        <f t="shared" si="140"/>
        <v>0</v>
      </c>
      <c r="S288" s="358">
        <f t="shared" si="118"/>
        <v>1413.2814310158335</v>
      </c>
      <c r="T288" s="358">
        <f t="shared" si="119"/>
        <v>118.90361250000001</v>
      </c>
      <c r="U288" s="359">
        <f t="shared" si="120"/>
        <v>4875.3352428925618</v>
      </c>
      <c r="V288" s="359">
        <f t="shared" si="121"/>
        <v>0</v>
      </c>
      <c r="W288" s="359">
        <f t="shared" si="122"/>
        <v>0</v>
      </c>
      <c r="X288" s="359">
        <f t="shared" si="123"/>
        <v>0</v>
      </c>
      <c r="Y288" s="320"/>
      <c r="Z288" s="321" t="str">
        <f t="shared" si="127"/>
        <v>X-SOSTEXCA</v>
      </c>
      <c r="AA288" s="321" t="str">
        <f t="shared" si="128"/>
        <v>X-SOSTEXCE</v>
      </c>
      <c r="AB288" s="321" t="str">
        <f t="shared" si="129"/>
        <v>X-SOSTEXCM</v>
      </c>
      <c r="AC288" s="321" t="str">
        <f t="shared" si="130"/>
        <v>X-SOSTEXCT</v>
      </c>
      <c r="AD288" s="321" t="str">
        <f t="shared" si="131"/>
        <v>X-SOSTEXCS</v>
      </c>
      <c r="AE288" s="321" t="str">
        <f t="shared" si="132"/>
        <v>X-SOSTEXCX</v>
      </c>
      <c r="AF288" s="321" t="str">
        <f t="shared" si="133"/>
        <v>X-SOSTEXCM</v>
      </c>
      <c r="AG288" s="321">
        <f t="shared" si="124"/>
        <v>12</v>
      </c>
      <c r="AH288" s="321">
        <f>IF(B288&lt;&gt;"",IF(H288="x",VLOOKUP(I288,'AUX-NIV3'!B:AG,32,FALSE),0),"")</f>
        <v>0</v>
      </c>
      <c r="AI288" s="321" t="str">
        <f t="shared" si="134"/>
        <v>X-SOSTEXC</v>
      </c>
      <c r="AJ288" s="320"/>
      <c r="AK288" s="322">
        <f t="shared" si="125"/>
        <v>282</v>
      </c>
      <c r="AL288" s="323">
        <f t="shared" si="135"/>
        <v>293</v>
      </c>
      <c r="AM288" s="322">
        <f t="shared" si="136"/>
        <v>7</v>
      </c>
      <c r="AN288" s="380">
        <f>IF(AND(AH288&gt;0,B288&lt;&gt;""),VLOOKUP(I288,'AUX-NIV3'!$B:$AO,39,FALSE)*O288,0)</f>
        <v>0</v>
      </c>
      <c r="AO288" s="380">
        <f t="shared" si="126"/>
        <v>3.07</v>
      </c>
      <c r="AP288" s="380"/>
    </row>
    <row r="289" spans="2:42" ht="14.4" hidden="1" thickTop="1" thickBot="1">
      <c r="B289" s="324" t="s">
        <v>1289</v>
      </c>
      <c r="C289" s="325" t="s">
        <v>39</v>
      </c>
      <c r="D289" s="326" t="s">
        <v>501</v>
      </c>
      <c r="E289" s="327">
        <f>IF(B289&lt;&gt;"",SUMIF('AUX-NIV1'!I:I,'AUX-NIV2'!B289,'AUX-NIV1'!Q:Q),"")</f>
        <v>0</v>
      </c>
      <c r="F289" s="327">
        <f t="shared" si="116"/>
        <v>6407.5202864083949</v>
      </c>
      <c r="G289" s="327">
        <f t="shared" si="117"/>
        <v>0</v>
      </c>
      <c r="H289" s="328" t="str">
        <f t="shared" si="137"/>
        <v>M</v>
      </c>
      <c r="I289" s="325" t="s">
        <v>594</v>
      </c>
      <c r="J289" s="329" t="str">
        <f>IF(B289&lt;&gt;"",+VLOOKUP(I289,Recursos!C:F,2,FALSE),"")</f>
        <v>LISTON TIPO PARA ENCOFRADO</v>
      </c>
      <c r="K289" s="330" t="str">
        <f>IF(B289&lt;&gt;"",+VLOOKUP(I289,Recursos!C:F,3,FALSE),"")</f>
        <v>m2</v>
      </c>
      <c r="L289" s="327">
        <f>IF(B289&lt;&gt;"",+VLOOKUP(I289,Recursos!C:F,4,FALSE),"")</f>
        <v>2375</v>
      </c>
      <c r="M289" s="331">
        <v>4</v>
      </c>
      <c r="N289" s="331">
        <v>7.5</v>
      </c>
      <c r="O289" s="332">
        <f>+N289/M289</f>
        <v>1.875</v>
      </c>
      <c r="P289" s="333">
        <f t="shared" si="138"/>
        <v>4453.125</v>
      </c>
      <c r="Q289" s="327">
        <f t="shared" si="139"/>
        <v>0</v>
      </c>
      <c r="R289" s="334">
        <f t="shared" si="140"/>
        <v>0</v>
      </c>
      <c r="S289" s="358">
        <f t="shared" si="118"/>
        <v>1413.2814310158335</v>
      </c>
      <c r="T289" s="358">
        <f t="shared" si="119"/>
        <v>118.90361250000001</v>
      </c>
      <c r="U289" s="359">
        <f t="shared" si="120"/>
        <v>4875.3352428925618</v>
      </c>
      <c r="V289" s="359">
        <f t="shared" si="121"/>
        <v>0</v>
      </c>
      <c r="W289" s="359">
        <f t="shared" si="122"/>
        <v>0</v>
      </c>
      <c r="X289" s="359">
        <f t="shared" si="123"/>
        <v>0</v>
      </c>
      <c r="Y289" s="320"/>
      <c r="Z289" s="321" t="str">
        <f t="shared" si="127"/>
        <v>X-SOSTEXCA</v>
      </c>
      <c r="AA289" s="321" t="str">
        <f t="shared" si="128"/>
        <v>X-SOSTEXCE</v>
      </c>
      <c r="AB289" s="321" t="str">
        <f t="shared" si="129"/>
        <v>X-SOSTEXCM</v>
      </c>
      <c r="AC289" s="321" t="str">
        <f t="shared" si="130"/>
        <v>X-SOSTEXCT</v>
      </c>
      <c r="AD289" s="321" t="str">
        <f t="shared" si="131"/>
        <v>X-SOSTEXCS</v>
      </c>
      <c r="AE289" s="321" t="str">
        <f t="shared" si="132"/>
        <v>X-SOSTEXCX</v>
      </c>
      <c r="AF289" s="321" t="str">
        <f t="shared" si="133"/>
        <v>X-SOSTEXCM</v>
      </c>
      <c r="AG289" s="321">
        <f t="shared" si="124"/>
        <v>12</v>
      </c>
      <c r="AH289" s="321">
        <f>IF(B289&lt;&gt;"",IF(H289="x",VLOOKUP(I289,'AUX-NIV3'!B:AG,32,FALSE),0),"")</f>
        <v>0</v>
      </c>
      <c r="AI289" s="321" t="str">
        <f t="shared" si="134"/>
        <v>X-SOSTEXC</v>
      </c>
      <c r="AJ289" s="320"/>
      <c r="AK289" s="322">
        <f t="shared" si="125"/>
        <v>282</v>
      </c>
      <c r="AL289" s="323">
        <f t="shared" si="135"/>
        <v>293</v>
      </c>
      <c r="AM289" s="322">
        <f t="shared" si="136"/>
        <v>8</v>
      </c>
      <c r="AN289" s="380">
        <f>IF(AND(AH289&gt;0,B289&lt;&gt;""),VLOOKUP(I289,'AUX-NIV3'!$B:$AO,39,FALSE)*O289,0)</f>
        <v>0</v>
      </c>
      <c r="AO289" s="380">
        <f t="shared" si="126"/>
        <v>3.07</v>
      </c>
      <c r="AP289" s="380"/>
    </row>
    <row r="290" spans="2:42" ht="14.4" hidden="1" thickTop="1" thickBot="1">
      <c r="B290" s="324" t="s">
        <v>1289</v>
      </c>
      <c r="C290" s="325" t="s">
        <v>39</v>
      </c>
      <c r="D290" s="326" t="s">
        <v>501</v>
      </c>
      <c r="E290" s="327">
        <f>IF(B290&lt;&gt;"",SUMIF('AUX-NIV1'!I:I,'AUX-NIV2'!B290,'AUX-NIV1'!Q:Q),"")</f>
        <v>0</v>
      </c>
      <c r="F290" s="327">
        <f t="shared" si="116"/>
        <v>6407.5202864083949</v>
      </c>
      <c r="G290" s="327">
        <f t="shared" si="117"/>
        <v>0</v>
      </c>
      <c r="H290" s="328" t="str">
        <f t="shared" si="137"/>
        <v>M</v>
      </c>
      <c r="I290" s="325" t="s">
        <v>582</v>
      </c>
      <c r="J290" s="329" t="str">
        <f>IF(B290&lt;&gt;"",+VLOOKUP(I290,Recursos!C:F,2,FALSE),"")</f>
        <v>MADERA PARA SOSTEN. DE EXCAVACIONES</v>
      </c>
      <c r="K290" s="330" t="str">
        <f>IF(B290&lt;&gt;"",+VLOOKUP(I290,Recursos!C:F,3,FALSE),"")</f>
        <v>m2</v>
      </c>
      <c r="L290" s="327">
        <f>IF(B290&lt;&gt;"",+VLOOKUP(I290,Recursos!C:F,4,FALSE),"")</f>
        <v>10</v>
      </c>
      <c r="M290" s="331">
        <v>4</v>
      </c>
      <c r="N290" s="331">
        <v>1.1000000000000001</v>
      </c>
      <c r="O290" s="332">
        <f>+N290/M290</f>
        <v>0.27500000000000002</v>
      </c>
      <c r="P290" s="333">
        <f t="shared" si="138"/>
        <v>2.75</v>
      </c>
      <c r="Q290" s="327">
        <f t="shared" si="139"/>
        <v>0</v>
      </c>
      <c r="R290" s="334">
        <f t="shared" si="140"/>
        <v>0</v>
      </c>
      <c r="S290" s="358">
        <f t="shared" si="118"/>
        <v>1413.2814310158335</v>
      </c>
      <c r="T290" s="358">
        <f t="shared" si="119"/>
        <v>118.90361250000001</v>
      </c>
      <c r="U290" s="359">
        <f t="shared" si="120"/>
        <v>4875.3352428925618</v>
      </c>
      <c r="V290" s="359">
        <f t="shared" si="121"/>
        <v>0</v>
      </c>
      <c r="W290" s="359">
        <f t="shared" si="122"/>
        <v>0</v>
      </c>
      <c r="X290" s="359">
        <f t="shared" si="123"/>
        <v>0</v>
      </c>
      <c r="Y290" s="320"/>
      <c r="Z290" s="321" t="str">
        <f t="shared" si="127"/>
        <v>X-SOSTEXCA</v>
      </c>
      <c r="AA290" s="321" t="str">
        <f t="shared" si="128"/>
        <v>X-SOSTEXCE</v>
      </c>
      <c r="AB290" s="321" t="str">
        <f t="shared" si="129"/>
        <v>X-SOSTEXCM</v>
      </c>
      <c r="AC290" s="321" t="str">
        <f t="shared" si="130"/>
        <v>X-SOSTEXCT</v>
      </c>
      <c r="AD290" s="321" t="str">
        <f t="shared" si="131"/>
        <v>X-SOSTEXCS</v>
      </c>
      <c r="AE290" s="321" t="str">
        <f t="shared" si="132"/>
        <v>X-SOSTEXCX</v>
      </c>
      <c r="AF290" s="321" t="str">
        <f t="shared" si="133"/>
        <v>X-SOSTEXCM</v>
      </c>
      <c r="AG290" s="321">
        <f t="shared" si="124"/>
        <v>12</v>
      </c>
      <c r="AH290" s="321">
        <f>IF(B290&lt;&gt;"",IF(H290="x",VLOOKUP(I290,'AUX-NIV3'!B:AG,32,FALSE),0),"")</f>
        <v>0</v>
      </c>
      <c r="AI290" s="321" t="str">
        <f t="shared" si="134"/>
        <v>X-SOSTEXC</v>
      </c>
      <c r="AJ290" s="320"/>
      <c r="AK290" s="322">
        <f t="shared" si="125"/>
        <v>282</v>
      </c>
      <c r="AL290" s="323">
        <f t="shared" si="135"/>
        <v>293</v>
      </c>
      <c r="AM290" s="322">
        <f t="shared" si="136"/>
        <v>9</v>
      </c>
      <c r="AN290" s="380">
        <f>IF(AND(AH290&gt;0,B290&lt;&gt;""),VLOOKUP(I290,'AUX-NIV3'!$B:$AO,39,FALSE)*O290,0)</f>
        <v>0</v>
      </c>
      <c r="AO290" s="380">
        <f t="shared" si="126"/>
        <v>3.07</v>
      </c>
      <c r="AP290" s="380"/>
    </row>
    <row r="291" spans="2:42" ht="14.4" hidden="1" thickTop="1" thickBot="1">
      <c r="B291" s="324" t="s">
        <v>1289</v>
      </c>
      <c r="C291" s="325" t="s">
        <v>39</v>
      </c>
      <c r="D291" s="326" t="s">
        <v>501</v>
      </c>
      <c r="E291" s="327">
        <f>IF(B291&lt;&gt;"",SUMIF('AUX-NIV1'!I:I,'AUX-NIV2'!B291,'AUX-NIV1'!Q:Q),"")</f>
        <v>0</v>
      </c>
      <c r="F291" s="327">
        <f t="shared" si="116"/>
        <v>6407.5202864083949</v>
      </c>
      <c r="G291" s="327">
        <f t="shared" si="117"/>
        <v>0</v>
      </c>
      <c r="H291" s="328" t="str">
        <f t="shared" si="137"/>
        <v>M</v>
      </c>
      <c r="I291" s="325" t="s">
        <v>608</v>
      </c>
      <c r="J291" s="329" t="str">
        <f>IF(B291&lt;&gt;"",+VLOOKUP(I291,Recursos!C:F,2,FALSE),"")</f>
        <v>PUNTAL PARA ENCOFRADO</v>
      </c>
      <c r="K291" s="330" t="str">
        <f>IF(B291&lt;&gt;"",+VLOOKUP(I291,Recursos!C:F,3,FALSE),"")</f>
        <v>M</v>
      </c>
      <c r="L291" s="327">
        <f>IF(B291&lt;&gt;"",+VLOOKUP(I291,Recursos!C:F,4,FALSE),"")</f>
        <v>200</v>
      </c>
      <c r="M291" s="331">
        <v>4</v>
      </c>
      <c r="N291" s="331">
        <v>3</v>
      </c>
      <c r="O291" s="332">
        <f>+N291/M291</f>
        <v>0.75</v>
      </c>
      <c r="P291" s="333">
        <f t="shared" si="138"/>
        <v>150</v>
      </c>
      <c r="Q291" s="327">
        <f t="shared" si="139"/>
        <v>0</v>
      </c>
      <c r="R291" s="334">
        <f t="shared" si="140"/>
        <v>0</v>
      </c>
      <c r="S291" s="358">
        <f t="shared" si="118"/>
        <v>1413.2814310158335</v>
      </c>
      <c r="T291" s="358">
        <f t="shared" si="119"/>
        <v>118.90361250000001</v>
      </c>
      <c r="U291" s="359">
        <f t="shared" si="120"/>
        <v>4875.3352428925618</v>
      </c>
      <c r="V291" s="359">
        <f t="shared" si="121"/>
        <v>0</v>
      </c>
      <c r="W291" s="359">
        <f t="shared" si="122"/>
        <v>0</v>
      </c>
      <c r="X291" s="359">
        <f t="shared" si="123"/>
        <v>0</v>
      </c>
      <c r="Y291" s="320"/>
      <c r="Z291" s="321" t="str">
        <f t="shared" si="127"/>
        <v>X-SOSTEXCA</v>
      </c>
      <c r="AA291" s="321" t="str">
        <f t="shared" si="128"/>
        <v>X-SOSTEXCE</v>
      </c>
      <c r="AB291" s="321" t="str">
        <f t="shared" si="129"/>
        <v>X-SOSTEXCM</v>
      </c>
      <c r="AC291" s="321" t="str">
        <f t="shared" si="130"/>
        <v>X-SOSTEXCT</v>
      </c>
      <c r="AD291" s="321" t="str">
        <f t="shared" si="131"/>
        <v>X-SOSTEXCS</v>
      </c>
      <c r="AE291" s="321" t="str">
        <f t="shared" si="132"/>
        <v>X-SOSTEXCX</v>
      </c>
      <c r="AF291" s="321" t="str">
        <f t="shared" si="133"/>
        <v>X-SOSTEXCM</v>
      </c>
      <c r="AG291" s="321">
        <f t="shared" si="124"/>
        <v>12</v>
      </c>
      <c r="AH291" s="321">
        <f>IF(B291&lt;&gt;"",IF(H291="x",VLOOKUP(I291,'AUX-NIV3'!B:AG,32,FALSE),0),"")</f>
        <v>0</v>
      </c>
      <c r="AI291" s="321" t="str">
        <f t="shared" si="134"/>
        <v>X-SOSTEXC</v>
      </c>
      <c r="AJ291" s="320"/>
      <c r="AK291" s="322">
        <f t="shared" si="125"/>
        <v>282</v>
      </c>
      <c r="AL291" s="323">
        <f t="shared" si="135"/>
        <v>293</v>
      </c>
      <c r="AM291" s="322">
        <f t="shared" si="136"/>
        <v>10</v>
      </c>
      <c r="AN291" s="380">
        <f>IF(AND(AH291&gt;0,B291&lt;&gt;""),VLOOKUP(I291,'AUX-NIV3'!$B:$AO,39,FALSE)*O291,0)</f>
        <v>0</v>
      </c>
      <c r="AO291" s="380">
        <f t="shared" si="126"/>
        <v>3.07</v>
      </c>
      <c r="AP291" s="380"/>
    </row>
    <row r="292" spans="2:42" ht="14.4" hidden="1" thickTop="1" thickBot="1">
      <c r="B292" s="324" t="s">
        <v>1289</v>
      </c>
      <c r="C292" s="325" t="s">
        <v>39</v>
      </c>
      <c r="D292" s="326" t="s">
        <v>501</v>
      </c>
      <c r="E292" s="327">
        <f>IF(B292&lt;&gt;"",SUMIF('AUX-NIV1'!I:I,'AUX-NIV2'!B292,'AUX-NIV1'!Q:Q),"")</f>
        <v>0</v>
      </c>
      <c r="F292" s="327">
        <f t="shared" si="116"/>
        <v>6407.5202864083949</v>
      </c>
      <c r="G292" s="327">
        <f t="shared" si="117"/>
        <v>0</v>
      </c>
      <c r="H292" s="328" t="str">
        <f t="shared" si="137"/>
        <v>M</v>
      </c>
      <c r="I292" s="325" t="s">
        <v>448</v>
      </c>
      <c r="J292" s="329" t="str">
        <f>IF(B292&lt;&gt;"",+VLOOKUP(I292,Recursos!C:F,2,FALSE),"")</f>
        <v>ALAMBRE RECOCIDO #14</v>
      </c>
      <c r="K292" s="330" t="str">
        <f>IF(B292&lt;&gt;"",+VLOOKUP(I292,Recursos!C:F,3,FALSE),"")</f>
        <v>Kg</v>
      </c>
      <c r="L292" s="327">
        <f>IF(B292&lt;&gt;"",+VLOOKUP(I292,Recursos!C:F,4,FALSE),"")</f>
        <v>735.53719008264466</v>
      </c>
      <c r="M292" s="331">
        <v>0.25</v>
      </c>
      <c r="N292" s="331">
        <v>1</v>
      </c>
      <c r="O292" s="332">
        <f>+M292*N292</f>
        <v>0.25</v>
      </c>
      <c r="P292" s="333">
        <f t="shared" si="138"/>
        <v>183.88429752066116</v>
      </c>
      <c r="Q292" s="327">
        <f t="shared" si="139"/>
        <v>0</v>
      </c>
      <c r="R292" s="334">
        <f t="shared" si="140"/>
        <v>0</v>
      </c>
      <c r="S292" s="358">
        <f t="shared" si="118"/>
        <v>1413.2814310158335</v>
      </c>
      <c r="T292" s="358">
        <f t="shared" si="119"/>
        <v>118.90361250000001</v>
      </c>
      <c r="U292" s="359">
        <f t="shared" si="120"/>
        <v>4875.3352428925618</v>
      </c>
      <c r="V292" s="359">
        <f t="shared" si="121"/>
        <v>0</v>
      </c>
      <c r="W292" s="359">
        <f t="shared" si="122"/>
        <v>0</v>
      </c>
      <c r="X292" s="359">
        <f t="shared" si="123"/>
        <v>0</v>
      </c>
      <c r="Y292" s="320"/>
      <c r="Z292" s="321" t="str">
        <f t="shared" si="127"/>
        <v>X-SOSTEXCA</v>
      </c>
      <c r="AA292" s="321" t="str">
        <f t="shared" si="128"/>
        <v>X-SOSTEXCE</v>
      </c>
      <c r="AB292" s="321" t="str">
        <f t="shared" si="129"/>
        <v>X-SOSTEXCM</v>
      </c>
      <c r="AC292" s="321" t="str">
        <f t="shared" si="130"/>
        <v>X-SOSTEXCT</v>
      </c>
      <c r="AD292" s="321" t="str">
        <f t="shared" si="131"/>
        <v>X-SOSTEXCS</v>
      </c>
      <c r="AE292" s="321" t="str">
        <f t="shared" si="132"/>
        <v>X-SOSTEXCX</v>
      </c>
      <c r="AF292" s="321" t="str">
        <f t="shared" si="133"/>
        <v>X-SOSTEXCM</v>
      </c>
      <c r="AG292" s="321">
        <f t="shared" si="124"/>
        <v>12</v>
      </c>
      <c r="AH292" s="321">
        <f>IF(B292&lt;&gt;"",IF(H292="x",VLOOKUP(I292,'AUX-NIV3'!B:AG,32,FALSE),0),"")</f>
        <v>0</v>
      </c>
      <c r="AI292" s="321" t="str">
        <f t="shared" si="134"/>
        <v>X-SOSTEXC</v>
      </c>
      <c r="AJ292" s="320"/>
      <c r="AK292" s="322">
        <f t="shared" si="125"/>
        <v>282</v>
      </c>
      <c r="AL292" s="323">
        <f t="shared" si="135"/>
        <v>293</v>
      </c>
      <c r="AM292" s="322">
        <f t="shared" si="136"/>
        <v>11</v>
      </c>
      <c r="AN292" s="380">
        <f>IF(AND(AH292&gt;0,B292&lt;&gt;""),VLOOKUP(I292,'AUX-NIV3'!$B:$AO,39,FALSE)*O292,0)</f>
        <v>0</v>
      </c>
      <c r="AO292" s="380">
        <f t="shared" si="126"/>
        <v>3.07</v>
      </c>
      <c r="AP292" s="380"/>
    </row>
    <row r="293" spans="2:42" ht="14.4" hidden="1" thickTop="1" thickBot="1">
      <c r="B293" s="324" t="s">
        <v>1289</v>
      </c>
      <c r="C293" s="325" t="s">
        <v>39</v>
      </c>
      <c r="D293" s="326" t="s">
        <v>501</v>
      </c>
      <c r="E293" s="327">
        <f>IF(B293&lt;&gt;"",SUMIF('AUX-NIV1'!I:I,'AUX-NIV2'!B293,'AUX-NIV1'!Q:Q),"")</f>
        <v>0</v>
      </c>
      <c r="F293" s="327">
        <f t="shared" si="116"/>
        <v>6407.5202864083949</v>
      </c>
      <c r="G293" s="327">
        <f t="shared" si="117"/>
        <v>0</v>
      </c>
      <c r="H293" s="328" t="str">
        <f t="shared" si="137"/>
        <v>M</v>
      </c>
      <c r="I293" s="325" t="s">
        <v>504</v>
      </c>
      <c r="J293" s="329" t="str">
        <f>IF(B293&lt;&gt;"",+VLOOKUP(I293,Recursos!C:F,2,FALSE),"")</f>
        <v>CLAVO DE 2 A 4"</v>
      </c>
      <c r="K293" s="330" t="str">
        <f>IF(B293&lt;&gt;"",+VLOOKUP(I293,Recursos!C:F,3,FALSE),"")</f>
        <v>Kg</v>
      </c>
      <c r="L293" s="327">
        <f>IF(B293&lt;&gt;"",+VLOOKUP(I293,Recursos!C:F,4,FALSE),"")</f>
        <v>566.11570247933889</v>
      </c>
      <c r="M293" s="331">
        <v>0.15</v>
      </c>
      <c r="N293" s="331">
        <v>1</v>
      </c>
      <c r="O293" s="332">
        <f>+M293*N293</f>
        <v>0.15</v>
      </c>
      <c r="P293" s="333">
        <f t="shared" si="138"/>
        <v>84.917355371900825</v>
      </c>
      <c r="Q293" s="327">
        <f t="shared" si="139"/>
        <v>0</v>
      </c>
      <c r="R293" s="334">
        <f t="shared" si="140"/>
        <v>0</v>
      </c>
      <c r="S293" s="358">
        <f t="shared" si="118"/>
        <v>1413.2814310158335</v>
      </c>
      <c r="T293" s="358">
        <f t="shared" si="119"/>
        <v>118.90361250000001</v>
      </c>
      <c r="U293" s="359">
        <f t="shared" si="120"/>
        <v>4875.3352428925618</v>
      </c>
      <c r="V293" s="359">
        <f t="shared" si="121"/>
        <v>0</v>
      </c>
      <c r="W293" s="359">
        <f t="shared" si="122"/>
        <v>0</v>
      </c>
      <c r="X293" s="359">
        <f t="shared" si="123"/>
        <v>0</v>
      </c>
      <c r="Y293" s="320"/>
      <c r="Z293" s="321" t="str">
        <f t="shared" si="127"/>
        <v>X-SOSTEXCA</v>
      </c>
      <c r="AA293" s="321" t="str">
        <f t="shared" si="128"/>
        <v>X-SOSTEXCE</v>
      </c>
      <c r="AB293" s="321" t="str">
        <f t="shared" si="129"/>
        <v>X-SOSTEXCM</v>
      </c>
      <c r="AC293" s="321" t="str">
        <f t="shared" si="130"/>
        <v>X-SOSTEXCT</v>
      </c>
      <c r="AD293" s="321" t="str">
        <f t="shared" si="131"/>
        <v>X-SOSTEXCS</v>
      </c>
      <c r="AE293" s="321" t="str">
        <f t="shared" si="132"/>
        <v>X-SOSTEXCX</v>
      </c>
      <c r="AF293" s="321" t="str">
        <f t="shared" si="133"/>
        <v>X-SOSTEXCM</v>
      </c>
      <c r="AG293" s="321">
        <f t="shared" si="124"/>
        <v>12</v>
      </c>
      <c r="AH293" s="321">
        <f>IF(B293&lt;&gt;"",IF(H293="x",VLOOKUP(I293,'AUX-NIV3'!B:AG,32,FALSE),0),"")</f>
        <v>0</v>
      </c>
      <c r="AI293" s="321" t="str">
        <f t="shared" si="134"/>
        <v>X-SOSTEXC</v>
      </c>
      <c r="AJ293" s="320"/>
      <c r="AK293" s="322">
        <f t="shared" si="125"/>
        <v>282</v>
      </c>
      <c r="AL293" s="323">
        <f t="shared" si="135"/>
        <v>293</v>
      </c>
      <c r="AM293" s="322">
        <f t="shared" si="136"/>
        <v>12</v>
      </c>
      <c r="AN293" s="380">
        <f>IF(AND(AH293&gt;0,B293&lt;&gt;""),VLOOKUP(I293,'AUX-NIV3'!$B:$AO,39,FALSE)*O293,0)</f>
        <v>0</v>
      </c>
      <c r="AO293" s="380">
        <f t="shared" si="126"/>
        <v>3.07</v>
      </c>
      <c r="AP293" s="380"/>
    </row>
    <row r="294" spans="2:42" ht="14.4" hidden="1" thickTop="1" thickBot="1">
      <c r="B294" s="324" t="s">
        <v>1290</v>
      </c>
      <c r="C294" s="325" t="s">
        <v>40</v>
      </c>
      <c r="D294" s="326" t="s">
        <v>1160</v>
      </c>
      <c r="E294" s="327">
        <f>IF(B294&lt;&gt;"",SUMIF('AUX-NIV1'!I:I,'AUX-NIV2'!B294,'AUX-NIV1'!Q:Q),"")</f>
        <v>0</v>
      </c>
      <c r="F294" s="327">
        <f t="shared" si="116"/>
        <v>417.77610810672763</v>
      </c>
      <c r="G294" s="327">
        <f t="shared" si="117"/>
        <v>0</v>
      </c>
      <c r="H294" s="328" t="str">
        <f t="shared" si="137"/>
        <v>A</v>
      </c>
      <c r="I294" s="325" t="s">
        <v>1746</v>
      </c>
      <c r="J294" s="329" t="str">
        <f>IF(B294&lt;&gt;"",+VLOOKUP(I294,Recursos!C:F,2,FALSE),"")</f>
        <v>OFICIAL</v>
      </c>
      <c r="K294" s="330" t="str">
        <f>IF(B294&lt;&gt;"",+VLOOKUP(I294,Recursos!C:F,3,FALSE),"")</f>
        <v>hh</v>
      </c>
      <c r="L294" s="327">
        <f>IF(B294&lt;&gt;"",+VLOOKUP(I294,Recursos!C:F,4,FALSE),"")</f>
        <v>496.91595439275824</v>
      </c>
      <c r="M294" s="331">
        <v>15</v>
      </c>
      <c r="N294" s="331">
        <v>1.4</v>
      </c>
      <c r="O294" s="332">
        <f t="shared" ref="O294:O308" si="143">1/M294*N294</f>
        <v>9.3333333333333324E-2</v>
      </c>
      <c r="P294" s="333">
        <f t="shared" si="138"/>
        <v>46.378822409990761</v>
      </c>
      <c r="Q294" s="327">
        <f t="shared" si="139"/>
        <v>0</v>
      </c>
      <c r="R294" s="334">
        <f t="shared" si="140"/>
        <v>0</v>
      </c>
      <c r="S294" s="358">
        <f t="shared" si="118"/>
        <v>140.04270810672762</v>
      </c>
      <c r="T294" s="358">
        <f t="shared" si="119"/>
        <v>277.73340000000002</v>
      </c>
      <c r="U294" s="359">
        <f t="shared" si="120"/>
        <v>0</v>
      </c>
      <c r="V294" s="359">
        <f t="shared" si="121"/>
        <v>0</v>
      </c>
      <c r="W294" s="359">
        <f t="shared" si="122"/>
        <v>0</v>
      </c>
      <c r="X294" s="359">
        <f t="shared" si="123"/>
        <v>0</v>
      </c>
      <c r="Y294" s="320"/>
      <c r="Z294" s="321" t="str">
        <f t="shared" si="127"/>
        <v>X-EXSC2aA</v>
      </c>
      <c r="AA294" s="321" t="str">
        <f t="shared" si="128"/>
        <v>X-EXSC2aE</v>
      </c>
      <c r="AB294" s="321" t="str">
        <f t="shared" si="129"/>
        <v>X-EXSC2aM</v>
      </c>
      <c r="AC294" s="321" t="str">
        <f t="shared" si="130"/>
        <v>X-EXSC2aT</v>
      </c>
      <c r="AD294" s="321" t="str">
        <f t="shared" si="131"/>
        <v>X-EXSC2aS</v>
      </c>
      <c r="AE294" s="321" t="str">
        <f t="shared" si="132"/>
        <v>X-EXSC2aX</v>
      </c>
      <c r="AF294" s="321" t="str">
        <f t="shared" si="133"/>
        <v>X-EXSC2aA</v>
      </c>
      <c r="AG294" s="321">
        <f t="shared" si="124"/>
        <v>5</v>
      </c>
      <c r="AH294" s="321">
        <f>IF(B294&lt;&gt;"",IF(H294="x",VLOOKUP(I294,'AUX-NIV3'!B:AG,32,FALSE),0),"")</f>
        <v>0</v>
      </c>
      <c r="AI294" s="321" t="str">
        <f t="shared" si="134"/>
        <v>X-EXSC2a</v>
      </c>
      <c r="AJ294" s="320"/>
      <c r="AK294" s="322">
        <f t="shared" si="125"/>
        <v>294</v>
      </c>
      <c r="AL294" s="323">
        <f t="shared" si="135"/>
        <v>298</v>
      </c>
      <c r="AM294" s="322">
        <f t="shared" si="136"/>
        <v>1</v>
      </c>
      <c r="AN294" s="380">
        <f>IF(AND(AH294&gt;0,B294&lt;&gt;""),VLOOKUP(I294,'AUX-NIV3'!$B:$AO,39,FALSE)*O294,0)</f>
        <v>0</v>
      </c>
      <c r="AO294" s="380">
        <f t="shared" si="126"/>
        <v>0.27999999999999997</v>
      </c>
      <c r="AP294" s="380"/>
    </row>
    <row r="295" spans="2:42" ht="14.4" hidden="1" thickTop="1" thickBot="1">
      <c r="B295" s="324" t="s">
        <v>1290</v>
      </c>
      <c r="C295" s="325" t="s">
        <v>40</v>
      </c>
      <c r="D295" s="326" t="s">
        <v>1160</v>
      </c>
      <c r="E295" s="327">
        <f>IF(B295&lt;&gt;"",SUMIF('AUX-NIV1'!I:I,'AUX-NIV2'!B295,'AUX-NIV1'!Q:Q),"")</f>
        <v>0</v>
      </c>
      <c r="F295" s="327">
        <f t="shared" si="116"/>
        <v>417.77610810672763</v>
      </c>
      <c r="G295" s="327">
        <f t="shared" si="117"/>
        <v>0</v>
      </c>
      <c r="H295" s="328" t="str">
        <f t="shared" si="137"/>
        <v>A</v>
      </c>
      <c r="I295" s="325" t="s">
        <v>1745</v>
      </c>
      <c r="J295" s="329" t="str">
        <f>IF(B295&lt;&gt;"",+VLOOKUP(I295,Recursos!C:F,2,FALSE),"")</f>
        <v>AYUDANTE</v>
      </c>
      <c r="K295" s="330" t="str">
        <f>IF(B295&lt;&gt;"",+VLOOKUP(I295,Recursos!C:F,3,FALSE),"")</f>
        <v>hh</v>
      </c>
      <c r="L295" s="327">
        <f>IF(B295&lt;&gt;"",+VLOOKUP(I295,Recursos!C:F,4,FALSE),"")</f>
        <v>422.48042769667234</v>
      </c>
      <c r="M295" s="331">
        <v>15</v>
      </c>
      <c r="N295" s="331">
        <v>1.4</v>
      </c>
      <c r="O295" s="332">
        <f t="shared" si="143"/>
        <v>9.3333333333333324E-2</v>
      </c>
      <c r="P295" s="333">
        <f t="shared" si="138"/>
        <v>39.431506585022746</v>
      </c>
      <c r="Q295" s="327">
        <f t="shared" si="139"/>
        <v>0</v>
      </c>
      <c r="R295" s="334">
        <f t="shared" si="140"/>
        <v>0</v>
      </c>
      <c r="S295" s="358">
        <f t="shared" si="118"/>
        <v>140.04270810672762</v>
      </c>
      <c r="T295" s="358">
        <f t="shared" si="119"/>
        <v>277.73340000000002</v>
      </c>
      <c r="U295" s="359">
        <f t="shared" si="120"/>
        <v>0</v>
      </c>
      <c r="V295" s="359">
        <f t="shared" si="121"/>
        <v>0</v>
      </c>
      <c r="W295" s="359">
        <f t="shared" si="122"/>
        <v>0</v>
      </c>
      <c r="X295" s="359">
        <f t="shared" si="123"/>
        <v>0</v>
      </c>
      <c r="Y295" s="320"/>
      <c r="Z295" s="321" t="str">
        <f t="shared" si="127"/>
        <v>X-EXSC2aA</v>
      </c>
      <c r="AA295" s="321" t="str">
        <f t="shared" si="128"/>
        <v>X-EXSC2aE</v>
      </c>
      <c r="AB295" s="321" t="str">
        <f t="shared" si="129"/>
        <v>X-EXSC2aM</v>
      </c>
      <c r="AC295" s="321" t="str">
        <f t="shared" si="130"/>
        <v>X-EXSC2aT</v>
      </c>
      <c r="AD295" s="321" t="str">
        <f t="shared" si="131"/>
        <v>X-EXSC2aS</v>
      </c>
      <c r="AE295" s="321" t="str">
        <f t="shared" si="132"/>
        <v>X-EXSC2aX</v>
      </c>
      <c r="AF295" s="321" t="str">
        <f t="shared" si="133"/>
        <v>X-EXSC2aA</v>
      </c>
      <c r="AG295" s="321">
        <f t="shared" si="124"/>
        <v>5</v>
      </c>
      <c r="AH295" s="321">
        <f>IF(B295&lt;&gt;"",IF(H295="x",VLOOKUP(I295,'AUX-NIV3'!B:AG,32,FALSE),0),"")</f>
        <v>0</v>
      </c>
      <c r="AI295" s="321" t="str">
        <f t="shared" si="134"/>
        <v>X-EXSC2a</v>
      </c>
      <c r="AJ295" s="320"/>
      <c r="AK295" s="322">
        <f t="shared" si="125"/>
        <v>294</v>
      </c>
      <c r="AL295" s="323">
        <f t="shared" si="135"/>
        <v>298</v>
      </c>
      <c r="AM295" s="322">
        <f t="shared" si="136"/>
        <v>2</v>
      </c>
      <c r="AN295" s="380">
        <f>IF(AND(AH295&gt;0,B295&lt;&gt;""),VLOOKUP(I295,'AUX-NIV3'!$B:$AO,39,FALSE)*O295,0)</f>
        <v>0</v>
      </c>
      <c r="AO295" s="380">
        <f t="shared" si="126"/>
        <v>0.27999999999999997</v>
      </c>
      <c r="AP295" s="380"/>
    </row>
    <row r="296" spans="2:42" ht="14.4" hidden="1" thickTop="1" thickBot="1">
      <c r="B296" s="324" t="s">
        <v>1290</v>
      </c>
      <c r="C296" s="325" t="s">
        <v>40</v>
      </c>
      <c r="D296" s="326" t="s">
        <v>1160</v>
      </c>
      <c r="E296" s="327">
        <f>IF(B296&lt;&gt;"",SUMIF('AUX-NIV1'!I:I,'AUX-NIV2'!B296,'AUX-NIV1'!Q:Q),"")</f>
        <v>0</v>
      </c>
      <c r="F296" s="327">
        <f t="shared" si="116"/>
        <v>417.77610810672763</v>
      </c>
      <c r="G296" s="327">
        <f t="shared" si="117"/>
        <v>0</v>
      </c>
      <c r="H296" s="328" t="str">
        <f t="shared" si="137"/>
        <v>A</v>
      </c>
      <c r="I296" s="325" t="s">
        <v>3311</v>
      </c>
      <c r="J296" s="329" t="str">
        <f>IF(B296&lt;&gt;"",+VLOOKUP(I296,Recursos!C:F,2,FALSE),"")</f>
        <v>OPER. EQUIPO</v>
      </c>
      <c r="K296" s="330" t="str">
        <f>IF(B296&lt;&gt;"",+VLOOKUP(I296,Recursos!C:F,3,FALSE),"")</f>
        <v>hh</v>
      </c>
      <c r="L296" s="327">
        <f>IF(B296&lt;&gt;"",+VLOOKUP(I296,Recursos!C:F,4,FALSE),"")</f>
        <v>581.06120476836554</v>
      </c>
      <c r="M296" s="331">
        <v>15</v>
      </c>
      <c r="N296" s="331">
        <v>1.4</v>
      </c>
      <c r="O296" s="332">
        <f t="shared" si="143"/>
        <v>9.3333333333333324E-2</v>
      </c>
      <c r="P296" s="333">
        <f t="shared" si="138"/>
        <v>54.23237911171411</v>
      </c>
      <c r="Q296" s="327">
        <f t="shared" si="139"/>
        <v>0</v>
      </c>
      <c r="R296" s="334">
        <f t="shared" si="140"/>
        <v>0</v>
      </c>
      <c r="S296" s="358">
        <f t="shared" si="118"/>
        <v>140.04270810672762</v>
      </c>
      <c r="T296" s="358">
        <f t="shared" si="119"/>
        <v>277.73340000000002</v>
      </c>
      <c r="U296" s="359">
        <f t="shared" si="120"/>
        <v>0</v>
      </c>
      <c r="V296" s="359">
        <f t="shared" si="121"/>
        <v>0</v>
      </c>
      <c r="W296" s="359">
        <f t="shared" si="122"/>
        <v>0</v>
      </c>
      <c r="X296" s="359">
        <f t="shared" si="123"/>
        <v>0</v>
      </c>
      <c r="Y296" s="320"/>
      <c r="Z296" s="321" t="str">
        <f t="shared" si="127"/>
        <v>X-EXSC2aA</v>
      </c>
      <c r="AA296" s="321" t="str">
        <f t="shared" si="128"/>
        <v>X-EXSC2aE</v>
      </c>
      <c r="AB296" s="321" t="str">
        <f t="shared" si="129"/>
        <v>X-EXSC2aM</v>
      </c>
      <c r="AC296" s="321" t="str">
        <f t="shared" si="130"/>
        <v>X-EXSC2aT</v>
      </c>
      <c r="AD296" s="321" t="str">
        <f t="shared" si="131"/>
        <v>X-EXSC2aS</v>
      </c>
      <c r="AE296" s="321" t="str">
        <f t="shared" si="132"/>
        <v>X-EXSC2aX</v>
      </c>
      <c r="AF296" s="321" t="str">
        <f t="shared" si="133"/>
        <v>X-EXSC2aA</v>
      </c>
      <c r="AG296" s="321">
        <f t="shared" si="124"/>
        <v>5</v>
      </c>
      <c r="AH296" s="321">
        <f>IF(B296&lt;&gt;"",IF(H296="x",VLOOKUP(I296,'AUX-NIV3'!B:AG,32,FALSE),0),"")</f>
        <v>0</v>
      </c>
      <c r="AI296" s="321" t="str">
        <f t="shared" si="134"/>
        <v>X-EXSC2a</v>
      </c>
      <c r="AJ296" s="320"/>
      <c r="AK296" s="322">
        <f t="shared" si="125"/>
        <v>294</v>
      </c>
      <c r="AL296" s="323">
        <f t="shared" si="135"/>
        <v>298</v>
      </c>
      <c r="AM296" s="322">
        <f t="shared" si="136"/>
        <v>3</v>
      </c>
      <c r="AN296" s="380">
        <f>IF(AND(AH296&gt;0,B296&lt;&gt;""),VLOOKUP(I296,'AUX-NIV3'!$B:$AO,39,FALSE)*O296,0)</f>
        <v>0</v>
      </c>
      <c r="AO296" s="380">
        <f t="shared" si="126"/>
        <v>0.27999999999999997</v>
      </c>
      <c r="AP296" s="380"/>
    </row>
    <row r="297" spans="2:42" ht="14.4" hidden="1" thickTop="1" thickBot="1">
      <c r="B297" s="324" t="s">
        <v>1290</v>
      </c>
      <c r="C297" s="325" t="s">
        <v>40</v>
      </c>
      <c r="D297" s="326" t="s">
        <v>1160</v>
      </c>
      <c r="E297" s="327">
        <f>IF(B297&lt;&gt;"",SUMIF('AUX-NIV1'!I:I,'AUX-NIV2'!B297,'AUX-NIV1'!Q:Q),"")</f>
        <v>0</v>
      </c>
      <c r="F297" s="327">
        <f t="shared" si="116"/>
        <v>417.77610810672763</v>
      </c>
      <c r="G297" s="327">
        <f t="shared" si="117"/>
        <v>0</v>
      </c>
      <c r="H297" s="328" t="str">
        <f t="shared" si="137"/>
        <v>E</v>
      </c>
      <c r="I297" s="325" t="s">
        <v>1552</v>
      </c>
      <c r="J297" s="329" t="str">
        <f>IF(B297&lt;&gt;"",+VLOOKUP(I297,Recursos!C:F,2,FALSE),"")</f>
        <v>RETROEXCAVADORA S/CARRILES  0,9 M2</v>
      </c>
      <c r="K297" s="330" t="str">
        <f>IF(B297&lt;&gt;"",+VLOOKUP(I297,Recursos!C:F,3,FALSE),"")</f>
        <v>HR</v>
      </c>
      <c r="L297" s="327">
        <f>IF(B297&lt;&gt;"",+VLOOKUP(I297,Recursos!C:F,4,FALSE),"")</f>
        <v>2743.02</v>
      </c>
      <c r="M297" s="331">
        <v>15</v>
      </c>
      <c r="N297" s="331">
        <v>1.05</v>
      </c>
      <c r="O297" s="332">
        <f t="shared" si="143"/>
        <v>7.0000000000000007E-2</v>
      </c>
      <c r="P297" s="333">
        <f t="shared" si="138"/>
        <v>192.01140000000001</v>
      </c>
      <c r="Q297" s="327">
        <f t="shared" si="139"/>
        <v>0</v>
      </c>
      <c r="R297" s="334">
        <f t="shared" si="140"/>
        <v>0</v>
      </c>
      <c r="S297" s="358">
        <f t="shared" si="118"/>
        <v>140.04270810672762</v>
      </c>
      <c r="T297" s="358">
        <f t="shared" si="119"/>
        <v>277.73340000000002</v>
      </c>
      <c r="U297" s="359">
        <f t="shared" si="120"/>
        <v>0</v>
      </c>
      <c r="V297" s="359">
        <f t="shared" si="121"/>
        <v>0</v>
      </c>
      <c r="W297" s="359">
        <f t="shared" si="122"/>
        <v>0</v>
      </c>
      <c r="X297" s="359">
        <f t="shared" si="123"/>
        <v>0</v>
      </c>
      <c r="Y297" s="320"/>
      <c r="Z297" s="321" t="str">
        <f t="shared" si="127"/>
        <v>X-EXSC2aA</v>
      </c>
      <c r="AA297" s="321" t="str">
        <f t="shared" si="128"/>
        <v>X-EXSC2aE</v>
      </c>
      <c r="AB297" s="321" t="str">
        <f t="shared" si="129"/>
        <v>X-EXSC2aM</v>
      </c>
      <c r="AC297" s="321" t="str">
        <f t="shared" si="130"/>
        <v>X-EXSC2aT</v>
      </c>
      <c r="AD297" s="321" t="str">
        <f t="shared" si="131"/>
        <v>X-EXSC2aS</v>
      </c>
      <c r="AE297" s="321" t="str">
        <f t="shared" si="132"/>
        <v>X-EXSC2aX</v>
      </c>
      <c r="AF297" s="321" t="str">
        <f t="shared" si="133"/>
        <v>X-EXSC2aE</v>
      </c>
      <c r="AG297" s="321">
        <f t="shared" si="124"/>
        <v>5</v>
      </c>
      <c r="AH297" s="321">
        <f>IF(B297&lt;&gt;"",IF(H297="x",VLOOKUP(I297,'AUX-NIV3'!B:AG,32,FALSE),0),"")</f>
        <v>0</v>
      </c>
      <c r="AI297" s="321" t="str">
        <f t="shared" si="134"/>
        <v>X-EXSC2a</v>
      </c>
      <c r="AJ297" s="320"/>
      <c r="AK297" s="322">
        <f t="shared" si="125"/>
        <v>294</v>
      </c>
      <c r="AL297" s="323">
        <f t="shared" si="135"/>
        <v>298</v>
      </c>
      <c r="AM297" s="322">
        <f t="shared" si="136"/>
        <v>4</v>
      </c>
      <c r="AN297" s="380">
        <f>IF(AND(AH297&gt;0,B297&lt;&gt;""),VLOOKUP(I297,'AUX-NIV3'!$B:$AO,39,FALSE)*O297,0)</f>
        <v>0</v>
      </c>
      <c r="AO297" s="380">
        <f t="shared" si="126"/>
        <v>0.27999999999999997</v>
      </c>
      <c r="AP297" s="380"/>
    </row>
    <row r="298" spans="2:42" ht="14.4" hidden="1" thickTop="1" thickBot="1">
      <c r="B298" s="324" t="s">
        <v>1290</v>
      </c>
      <c r="C298" s="325" t="s">
        <v>40</v>
      </c>
      <c r="D298" s="326" t="s">
        <v>1160</v>
      </c>
      <c r="E298" s="327">
        <f>IF(B298&lt;&gt;"",SUMIF('AUX-NIV1'!I:I,'AUX-NIV2'!B298,'AUX-NIV1'!Q:Q),"")</f>
        <v>0</v>
      </c>
      <c r="F298" s="327">
        <f t="shared" si="116"/>
        <v>417.77610810672763</v>
      </c>
      <c r="G298" s="327">
        <f t="shared" si="117"/>
        <v>0</v>
      </c>
      <c r="H298" s="328" t="str">
        <f t="shared" si="137"/>
        <v>E</v>
      </c>
      <c r="I298" s="325" t="s">
        <v>3300</v>
      </c>
      <c r="J298" s="329" t="str">
        <f>IF(B298&lt;&gt;"",+VLOOKUP(I298,Recursos!C:F,2,FALSE),"")</f>
        <v>PERFORADORA HIDRÁULICA ROTATIVA LO DRILL</v>
      </c>
      <c r="K298" s="330" t="str">
        <f>IF(B298&lt;&gt;"",+VLOOKUP(I298,Recursos!C:F,3,FALSE),"")</f>
        <v>HR</v>
      </c>
      <c r="L298" s="327">
        <f>IF(B298&lt;&gt;"",+VLOOKUP(I298,Recursos!C:F,4,FALSE),"")</f>
        <v>1224.5999999999999</v>
      </c>
      <c r="M298" s="331">
        <v>15</v>
      </c>
      <c r="N298" s="331">
        <v>1.05</v>
      </c>
      <c r="O298" s="332">
        <f t="shared" si="143"/>
        <v>7.0000000000000007E-2</v>
      </c>
      <c r="P298" s="333">
        <f t="shared" si="138"/>
        <v>85.722000000000008</v>
      </c>
      <c r="Q298" s="327">
        <f t="shared" si="139"/>
        <v>0</v>
      </c>
      <c r="R298" s="334">
        <f t="shared" si="140"/>
        <v>0</v>
      </c>
      <c r="S298" s="358">
        <f t="shared" si="118"/>
        <v>140.04270810672762</v>
      </c>
      <c r="T298" s="358">
        <f t="shared" si="119"/>
        <v>277.73340000000002</v>
      </c>
      <c r="U298" s="359">
        <f t="shared" si="120"/>
        <v>0</v>
      </c>
      <c r="V298" s="359">
        <f t="shared" si="121"/>
        <v>0</v>
      </c>
      <c r="W298" s="359">
        <f t="shared" si="122"/>
        <v>0</v>
      </c>
      <c r="X298" s="359">
        <f t="shared" si="123"/>
        <v>0</v>
      </c>
      <c r="Y298" s="320"/>
      <c r="Z298" s="321" t="str">
        <f t="shared" si="127"/>
        <v>X-EXSC2aA</v>
      </c>
      <c r="AA298" s="321" t="str">
        <f t="shared" si="128"/>
        <v>X-EXSC2aE</v>
      </c>
      <c r="AB298" s="321" t="str">
        <f t="shared" si="129"/>
        <v>X-EXSC2aM</v>
      </c>
      <c r="AC298" s="321" t="str">
        <f t="shared" si="130"/>
        <v>X-EXSC2aT</v>
      </c>
      <c r="AD298" s="321" t="str">
        <f t="shared" si="131"/>
        <v>X-EXSC2aS</v>
      </c>
      <c r="AE298" s="321" t="str">
        <f t="shared" si="132"/>
        <v>X-EXSC2aX</v>
      </c>
      <c r="AF298" s="321" t="str">
        <f t="shared" si="133"/>
        <v>X-EXSC2aE</v>
      </c>
      <c r="AG298" s="321">
        <f t="shared" si="124"/>
        <v>5</v>
      </c>
      <c r="AH298" s="321">
        <f>IF(B298&lt;&gt;"",IF(H298="x",VLOOKUP(I298,'AUX-NIV3'!B:AG,32,FALSE),0),"")</f>
        <v>0</v>
      </c>
      <c r="AI298" s="321" t="str">
        <f t="shared" si="134"/>
        <v>X-EXSC2a</v>
      </c>
      <c r="AJ298" s="320"/>
      <c r="AK298" s="322">
        <f t="shared" si="125"/>
        <v>294</v>
      </c>
      <c r="AL298" s="323">
        <f t="shared" si="135"/>
        <v>298</v>
      </c>
      <c r="AM298" s="322">
        <f t="shared" si="136"/>
        <v>5</v>
      </c>
      <c r="AN298" s="380">
        <f>IF(AND(AH298&gt;0,B298&lt;&gt;""),VLOOKUP(I298,'AUX-NIV3'!$B:$AO,39,FALSE)*O298,0)</f>
        <v>0</v>
      </c>
      <c r="AO298" s="380">
        <f t="shared" si="126"/>
        <v>0.27999999999999997</v>
      </c>
      <c r="AP298" s="380"/>
    </row>
    <row r="299" spans="2:42" ht="14.4" hidden="1" thickTop="1" thickBot="1">
      <c r="B299" s="324" t="s">
        <v>1291</v>
      </c>
      <c r="C299" s="325" t="s">
        <v>41</v>
      </c>
      <c r="D299" s="326" t="s">
        <v>1160</v>
      </c>
      <c r="E299" s="327">
        <f>IF(B299&lt;&gt;"",SUMIF('AUX-NIV1'!I:I,'AUX-NIV2'!B299,'AUX-NIV1'!Q:Q),"")</f>
        <v>0</v>
      </c>
      <c r="F299" s="327">
        <f t="shared" si="116"/>
        <v>134.33154331302296</v>
      </c>
      <c r="G299" s="327">
        <f t="shared" si="117"/>
        <v>0</v>
      </c>
      <c r="H299" s="328" t="str">
        <f t="shared" si="137"/>
        <v>A</v>
      </c>
      <c r="I299" s="325" t="s">
        <v>1746</v>
      </c>
      <c r="J299" s="329" t="str">
        <f>IF(B299&lt;&gt;"",+VLOOKUP(I299,Recursos!C:F,2,FALSE),"")</f>
        <v>OFICIAL</v>
      </c>
      <c r="K299" s="330" t="str">
        <f>IF(B299&lt;&gt;"",+VLOOKUP(I299,Recursos!C:F,3,FALSE),"")</f>
        <v>hh</v>
      </c>
      <c r="L299" s="327">
        <f>IF(B299&lt;&gt;"",+VLOOKUP(I299,Recursos!C:F,4,FALSE),"")</f>
        <v>496.91595439275824</v>
      </c>
      <c r="M299" s="331">
        <v>25</v>
      </c>
      <c r="N299" s="331">
        <v>1.4</v>
      </c>
      <c r="O299" s="332">
        <f t="shared" si="143"/>
        <v>5.5999999999999994E-2</v>
      </c>
      <c r="P299" s="333">
        <f t="shared" si="138"/>
        <v>27.82729344599446</v>
      </c>
      <c r="Q299" s="327">
        <f t="shared" si="139"/>
        <v>0</v>
      </c>
      <c r="R299" s="334">
        <f t="shared" si="140"/>
        <v>0</v>
      </c>
      <c r="S299" s="358">
        <f t="shared" si="118"/>
        <v>60.366720913022931</v>
      </c>
      <c r="T299" s="358">
        <f t="shared" si="119"/>
        <v>73.964822400000017</v>
      </c>
      <c r="U299" s="359">
        <f t="shared" si="120"/>
        <v>0</v>
      </c>
      <c r="V299" s="359">
        <f t="shared" si="121"/>
        <v>0</v>
      </c>
      <c r="W299" s="359">
        <f t="shared" si="122"/>
        <v>0</v>
      </c>
      <c r="X299" s="359">
        <f t="shared" si="123"/>
        <v>0</v>
      </c>
      <c r="Y299" s="320"/>
      <c r="Z299" s="321" t="str">
        <f t="shared" si="127"/>
        <v>X-EXSC2bA</v>
      </c>
      <c r="AA299" s="321" t="str">
        <f t="shared" si="128"/>
        <v>X-EXSC2bE</v>
      </c>
      <c r="AB299" s="321" t="str">
        <f t="shared" si="129"/>
        <v>X-EXSC2bM</v>
      </c>
      <c r="AC299" s="321" t="str">
        <f t="shared" si="130"/>
        <v>X-EXSC2bT</v>
      </c>
      <c r="AD299" s="321" t="str">
        <f t="shared" si="131"/>
        <v>X-EXSC2bS</v>
      </c>
      <c r="AE299" s="321" t="str">
        <f t="shared" si="132"/>
        <v>X-EXSC2bX</v>
      </c>
      <c r="AF299" s="321" t="str">
        <f t="shared" si="133"/>
        <v>X-EXSC2bA</v>
      </c>
      <c r="AG299" s="321">
        <f t="shared" si="124"/>
        <v>3</v>
      </c>
      <c r="AH299" s="321">
        <f>IF(B299&lt;&gt;"",IF(H299="x",VLOOKUP(I299,'AUX-NIV3'!B:AG,32,FALSE),0),"")</f>
        <v>0</v>
      </c>
      <c r="AI299" s="321" t="str">
        <f t="shared" si="134"/>
        <v>X-EXSC2b</v>
      </c>
      <c r="AJ299" s="320"/>
      <c r="AK299" s="322">
        <f t="shared" si="125"/>
        <v>299</v>
      </c>
      <c r="AL299" s="323">
        <f t="shared" si="135"/>
        <v>301</v>
      </c>
      <c r="AM299" s="322">
        <f t="shared" si="136"/>
        <v>1</v>
      </c>
      <c r="AN299" s="380">
        <f>IF(AND(AH299&gt;0,B299&lt;&gt;""),VLOOKUP(I299,'AUX-NIV3'!$B:$AO,39,FALSE)*O299,0)</f>
        <v>0</v>
      </c>
      <c r="AO299" s="380">
        <f t="shared" si="126"/>
        <v>0.11199999999999999</v>
      </c>
      <c r="AP299" s="380"/>
    </row>
    <row r="300" spans="2:42" ht="14.4" hidden="1" thickTop="1" thickBot="1">
      <c r="B300" s="324" t="s">
        <v>1291</v>
      </c>
      <c r="C300" s="325" t="s">
        <v>41</v>
      </c>
      <c r="D300" s="326" t="s">
        <v>1160</v>
      </c>
      <c r="E300" s="327">
        <f>IF(B300&lt;&gt;"",SUMIF('AUX-NIV1'!I:I,'AUX-NIV2'!B300,'AUX-NIV1'!Q:Q),"")</f>
        <v>0</v>
      </c>
      <c r="F300" s="327">
        <f t="shared" si="116"/>
        <v>134.33154331302296</v>
      </c>
      <c r="G300" s="327">
        <f t="shared" si="117"/>
        <v>0</v>
      </c>
      <c r="H300" s="328" t="str">
        <f t="shared" si="137"/>
        <v>A</v>
      </c>
      <c r="I300" s="325" t="s">
        <v>3311</v>
      </c>
      <c r="J300" s="329" t="str">
        <f>IF(B300&lt;&gt;"",+VLOOKUP(I300,Recursos!C:F,2,FALSE),"")</f>
        <v>OPER. EQUIPO</v>
      </c>
      <c r="K300" s="330" t="str">
        <f>IF(B300&lt;&gt;"",+VLOOKUP(I300,Recursos!C:F,3,FALSE),"")</f>
        <v>hh</v>
      </c>
      <c r="L300" s="327">
        <f>IF(B300&lt;&gt;"",+VLOOKUP(I300,Recursos!C:F,4,FALSE),"")</f>
        <v>581.06120476836554</v>
      </c>
      <c r="M300" s="331">
        <v>25</v>
      </c>
      <c r="N300" s="331">
        <v>1.4</v>
      </c>
      <c r="O300" s="332">
        <f t="shared" si="143"/>
        <v>5.5999999999999994E-2</v>
      </c>
      <c r="P300" s="333">
        <f t="shared" si="138"/>
        <v>32.539427467028467</v>
      </c>
      <c r="Q300" s="327">
        <f t="shared" si="139"/>
        <v>0</v>
      </c>
      <c r="R300" s="334">
        <f t="shared" si="140"/>
        <v>0</v>
      </c>
      <c r="S300" s="358">
        <f t="shared" si="118"/>
        <v>60.366720913022931</v>
      </c>
      <c r="T300" s="358">
        <f t="shared" si="119"/>
        <v>73.964822400000017</v>
      </c>
      <c r="U300" s="359">
        <f t="shared" si="120"/>
        <v>0</v>
      </c>
      <c r="V300" s="359">
        <f t="shared" si="121"/>
        <v>0</v>
      </c>
      <c r="W300" s="359">
        <f t="shared" si="122"/>
        <v>0</v>
      </c>
      <c r="X300" s="359">
        <f t="shared" si="123"/>
        <v>0</v>
      </c>
      <c r="Y300" s="320"/>
      <c r="Z300" s="321" t="str">
        <f t="shared" si="127"/>
        <v>X-EXSC2bA</v>
      </c>
      <c r="AA300" s="321" t="str">
        <f t="shared" si="128"/>
        <v>X-EXSC2bE</v>
      </c>
      <c r="AB300" s="321" t="str">
        <f t="shared" si="129"/>
        <v>X-EXSC2bM</v>
      </c>
      <c r="AC300" s="321" t="str">
        <f t="shared" si="130"/>
        <v>X-EXSC2bT</v>
      </c>
      <c r="AD300" s="321" t="str">
        <f t="shared" si="131"/>
        <v>X-EXSC2bS</v>
      </c>
      <c r="AE300" s="321" t="str">
        <f t="shared" si="132"/>
        <v>X-EXSC2bX</v>
      </c>
      <c r="AF300" s="321" t="str">
        <f t="shared" si="133"/>
        <v>X-EXSC2bA</v>
      </c>
      <c r="AG300" s="321">
        <f t="shared" si="124"/>
        <v>3</v>
      </c>
      <c r="AH300" s="321">
        <f>IF(B300&lt;&gt;"",IF(H300="x",VLOOKUP(I300,'AUX-NIV3'!B:AG,32,FALSE),0),"")</f>
        <v>0</v>
      </c>
      <c r="AI300" s="321" t="str">
        <f t="shared" si="134"/>
        <v>X-EXSC2b</v>
      </c>
      <c r="AJ300" s="320"/>
      <c r="AK300" s="322">
        <f t="shared" si="125"/>
        <v>299</v>
      </c>
      <c r="AL300" s="323">
        <f t="shared" si="135"/>
        <v>301</v>
      </c>
      <c r="AM300" s="322">
        <f t="shared" si="136"/>
        <v>2</v>
      </c>
      <c r="AN300" s="380">
        <f>IF(AND(AH300&gt;0,B300&lt;&gt;""),VLOOKUP(I300,'AUX-NIV3'!$B:$AO,39,FALSE)*O300,0)</f>
        <v>0</v>
      </c>
      <c r="AO300" s="380">
        <f t="shared" si="126"/>
        <v>0.11199999999999999</v>
      </c>
      <c r="AP300" s="380"/>
    </row>
    <row r="301" spans="2:42" ht="14.4" hidden="1" thickTop="1" thickBot="1">
      <c r="B301" s="324" t="s">
        <v>1291</v>
      </c>
      <c r="C301" s="325" t="s">
        <v>41</v>
      </c>
      <c r="D301" s="326" t="s">
        <v>1160</v>
      </c>
      <c r="E301" s="327">
        <f>IF(B301&lt;&gt;"",SUMIF('AUX-NIV1'!I:I,'AUX-NIV2'!B301,'AUX-NIV1'!Q:Q),"")</f>
        <v>0</v>
      </c>
      <c r="F301" s="327">
        <f t="shared" si="116"/>
        <v>134.33154331302296</v>
      </c>
      <c r="G301" s="327">
        <f t="shared" si="117"/>
        <v>0</v>
      </c>
      <c r="H301" s="328" t="str">
        <f t="shared" si="137"/>
        <v>E</v>
      </c>
      <c r="I301" s="325" t="s">
        <v>1549</v>
      </c>
      <c r="J301" s="329" t="str">
        <f>IF(B301&lt;&gt;"",+VLOOKUP(I301,Recursos!C:F,2,FALSE),"")</f>
        <v>RETROEXC. CARG. S/ROD.NEUM. 0.24 M3</v>
      </c>
      <c r="K301" s="330" t="str">
        <f>IF(B301&lt;&gt;"",+VLOOKUP(I301,Recursos!C:F,3,FALSE),"")</f>
        <v>HR</v>
      </c>
      <c r="L301" s="327">
        <f>IF(B301&lt;&gt;"",+VLOOKUP(I301,Recursos!C:F,4,FALSE),"")</f>
        <v>1761.0672000000002</v>
      </c>
      <c r="M301" s="331">
        <v>25</v>
      </c>
      <c r="N301" s="331">
        <v>1.05</v>
      </c>
      <c r="O301" s="332">
        <f t="shared" si="143"/>
        <v>4.2000000000000003E-2</v>
      </c>
      <c r="P301" s="333">
        <f t="shared" si="138"/>
        <v>73.964822400000017</v>
      </c>
      <c r="Q301" s="327">
        <f t="shared" si="139"/>
        <v>0</v>
      </c>
      <c r="R301" s="334">
        <f t="shared" si="140"/>
        <v>0</v>
      </c>
      <c r="S301" s="358">
        <f t="shared" si="118"/>
        <v>60.366720913022931</v>
      </c>
      <c r="T301" s="358">
        <f t="shared" si="119"/>
        <v>73.964822400000017</v>
      </c>
      <c r="U301" s="359">
        <f t="shared" si="120"/>
        <v>0</v>
      </c>
      <c r="V301" s="359">
        <f t="shared" si="121"/>
        <v>0</v>
      </c>
      <c r="W301" s="359">
        <f t="shared" si="122"/>
        <v>0</v>
      </c>
      <c r="X301" s="359">
        <f t="shared" si="123"/>
        <v>0</v>
      </c>
      <c r="Y301" s="320"/>
      <c r="Z301" s="321" t="str">
        <f t="shared" si="127"/>
        <v>X-EXSC2bA</v>
      </c>
      <c r="AA301" s="321" t="str">
        <f t="shared" si="128"/>
        <v>X-EXSC2bE</v>
      </c>
      <c r="AB301" s="321" t="str">
        <f t="shared" si="129"/>
        <v>X-EXSC2bM</v>
      </c>
      <c r="AC301" s="321" t="str">
        <f t="shared" si="130"/>
        <v>X-EXSC2bT</v>
      </c>
      <c r="AD301" s="321" t="str">
        <f t="shared" si="131"/>
        <v>X-EXSC2bS</v>
      </c>
      <c r="AE301" s="321" t="str">
        <f t="shared" si="132"/>
        <v>X-EXSC2bX</v>
      </c>
      <c r="AF301" s="321" t="str">
        <f t="shared" si="133"/>
        <v>X-EXSC2bE</v>
      </c>
      <c r="AG301" s="321">
        <f t="shared" si="124"/>
        <v>3</v>
      </c>
      <c r="AH301" s="321">
        <f>IF(B301&lt;&gt;"",IF(H301="x",VLOOKUP(I301,'AUX-NIV3'!B:AG,32,FALSE),0),"")</f>
        <v>0</v>
      </c>
      <c r="AI301" s="321" t="str">
        <f t="shared" si="134"/>
        <v>X-EXSC2b</v>
      </c>
      <c r="AJ301" s="320"/>
      <c r="AK301" s="322">
        <f t="shared" si="125"/>
        <v>299</v>
      </c>
      <c r="AL301" s="323">
        <f t="shared" si="135"/>
        <v>301</v>
      </c>
      <c r="AM301" s="322">
        <f t="shared" si="136"/>
        <v>3</v>
      </c>
      <c r="AN301" s="380">
        <f>IF(AND(AH301&gt;0,B301&lt;&gt;""),VLOOKUP(I301,'AUX-NIV3'!$B:$AO,39,FALSE)*O301,0)</f>
        <v>0</v>
      </c>
      <c r="AO301" s="380">
        <f t="shared" si="126"/>
        <v>0.11199999999999999</v>
      </c>
      <c r="AP301" s="380"/>
    </row>
    <row r="302" spans="2:42" ht="14.4" hidden="1" thickTop="1" thickBot="1">
      <c r="B302" s="324" t="s">
        <v>1292</v>
      </c>
      <c r="C302" s="325" t="s">
        <v>42</v>
      </c>
      <c r="D302" s="326" t="s">
        <v>1160</v>
      </c>
      <c r="E302" s="327">
        <f>IF(B302&lt;&gt;"",SUMIF('AUX-NIV1'!I:I,'AUX-NIV2'!B302,'AUX-NIV1'!Q:Q),"")</f>
        <v>0</v>
      </c>
      <c r="F302" s="327">
        <f t="shared" si="116"/>
        <v>192.68134784762265</v>
      </c>
      <c r="G302" s="327">
        <f t="shared" si="117"/>
        <v>0</v>
      </c>
      <c r="H302" s="328" t="str">
        <f t="shared" si="137"/>
        <v>A</v>
      </c>
      <c r="I302" s="325" t="s">
        <v>1745</v>
      </c>
      <c r="J302" s="329" t="str">
        <f>IF(B302&lt;&gt;"",+VLOOKUP(I302,Recursos!C:F,2,FALSE),"")</f>
        <v>AYUDANTE</v>
      </c>
      <c r="K302" s="330" t="str">
        <f>IF(B302&lt;&gt;"",+VLOOKUP(I302,Recursos!C:F,3,FALSE),"")</f>
        <v>hh</v>
      </c>
      <c r="L302" s="327">
        <f>IF(B302&lt;&gt;"",+VLOOKUP(I302,Recursos!C:F,4,FALSE),"")</f>
        <v>422.48042769667234</v>
      </c>
      <c r="M302" s="331">
        <v>50</v>
      </c>
      <c r="N302" s="331">
        <v>2</v>
      </c>
      <c r="O302" s="332">
        <f t="shared" si="143"/>
        <v>0.04</v>
      </c>
      <c r="P302" s="333">
        <f t="shared" si="138"/>
        <v>16.899217107866892</v>
      </c>
      <c r="Q302" s="327">
        <f t="shared" si="139"/>
        <v>0</v>
      </c>
      <c r="R302" s="334">
        <f t="shared" si="140"/>
        <v>0</v>
      </c>
      <c r="S302" s="358">
        <f t="shared" si="118"/>
        <v>49.438644574895363</v>
      </c>
      <c r="T302" s="358">
        <f t="shared" si="119"/>
        <v>142.24270327272728</v>
      </c>
      <c r="U302" s="359">
        <f t="shared" si="120"/>
        <v>1</v>
      </c>
      <c r="V302" s="359">
        <f t="shared" si="121"/>
        <v>0</v>
      </c>
      <c r="W302" s="359">
        <f t="shared" si="122"/>
        <v>0</v>
      </c>
      <c r="X302" s="359">
        <f t="shared" si="123"/>
        <v>0</v>
      </c>
      <c r="Y302" s="320"/>
      <c r="Z302" s="321" t="str">
        <f t="shared" si="127"/>
        <v>X-RELLENOaccA</v>
      </c>
      <c r="AA302" s="321" t="str">
        <f t="shared" si="128"/>
        <v>X-RELLENOaccE</v>
      </c>
      <c r="AB302" s="321" t="str">
        <f t="shared" si="129"/>
        <v>X-RELLENOaccM</v>
      </c>
      <c r="AC302" s="321" t="str">
        <f t="shared" si="130"/>
        <v>X-RELLENOaccT</v>
      </c>
      <c r="AD302" s="321" t="str">
        <f t="shared" si="131"/>
        <v>X-RELLENOaccS</v>
      </c>
      <c r="AE302" s="321" t="str">
        <f t="shared" si="132"/>
        <v>X-RELLENOaccX</v>
      </c>
      <c r="AF302" s="321" t="str">
        <f t="shared" si="133"/>
        <v>X-RELLENOaccA</v>
      </c>
      <c r="AG302" s="321">
        <f t="shared" si="124"/>
        <v>9</v>
      </c>
      <c r="AH302" s="321">
        <f>IF(B302&lt;&gt;"",IF(H302="x",VLOOKUP(I302,'AUX-NIV3'!B:AG,32,FALSE),0),"")</f>
        <v>0</v>
      </c>
      <c r="AI302" s="321" t="str">
        <f t="shared" si="134"/>
        <v>X-RELLENOacc</v>
      </c>
      <c r="AJ302" s="320"/>
      <c r="AK302" s="322">
        <f t="shared" si="125"/>
        <v>302</v>
      </c>
      <c r="AL302" s="323">
        <f t="shared" si="135"/>
        <v>310</v>
      </c>
      <c r="AM302" s="322">
        <f t="shared" si="136"/>
        <v>1</v>
      </c>
      <c r="AN302" s="380">
        <f>IF(AND(AH302&gt;0,B302&lt;&gt;""),VLOOKUP(I302,'AUX-NIV3'!$B:$AO,39,FALSE)*O302,0)</f>
        <v>0</v>
      </c>
      <c r="AO302" s="380">
        <f t="shared" si="126"/>
        <v>9.6000000000000002E-2</v>
      </c>
      <c r="AP302" s="380"/>
    </row>
    <row r="303" spans="2:42" ht="14.4" hidden="1" thickTop="1" thickBot="1">
      <c r="B303" s="324" t="s">
        <v>1292</v>
      </c>
      <c r="C303" s="325" t="s">
        <v>42</v>
      </c>
      <c r="D303" s="326" t="s">
        <v>1160</v>
      </c>
      <c r="E303" s="327">
        <f>IF(B303&lt;&gt;"",SUMIF('AUX-NIV1'!I:I,'AUX-NIV2'!B303,'AUX-NIV1'!Q:Q),"")</f>
        <v>0</v>
      </c>
      <c r="F303" s="327">
        <f t="shared" si="116"/>
        <v>192.68134784762265</v>
      </c>
      <c r="G303" s="327">
        <f t="shared" si="117"/>
        <v>0</v>
      </c>
      <c r="H303" s="328" t="str">
        <f t="shared" si="137"/>
        <v>A</v>
      </c>
      <c r="I303" s="325" t="s">
        <v>3310</v>
      </c>
      <c r="J303" s="329" t="str">
        <f>IF(B303&lt;&gt;"",+VLOOKUP(I303,Recursos!C:F,2,FALSE),"")</f>
        <v>OFICIAL ESPECIALIZADO</v>
      </c>
      <c r="K303" s="330" t="str">
        <f>IF(B303&lt;&gt;"",+VLOOKUP(I303,Recursos!C:F,3,FALSE),"")</f>
        <v>hh</v>
      </c>
      <c r="L303" s="327">
        <f>IF(B303&lt;&gt;"",+VLOOKUP(I303,Recursos!C:F,4,FALSE),"")</f>
        <v>581.06120476836554</v>
      </c>
      <c r="M303" s="331">
        <v>50</v>
      </c>
      <c r="N303" s="331">
        <v>1.4</v>
      </c>
      <c r="O303" s="332">
        <f t="shared" si="143"/>
        <v>2.7999999999999997E-2</v>
      </c>
      <c r="P303" s="333">
        <f t="shared" si="138"/>
        <v>16.269713733514234</v>
      </c>
      <c r="Q303" s="327">
        <f t="shared" si="139"/>
        <v>0</v>
      </c>
      <c r="R303" s="334">
        <f t="shared" si="140"/>
        <v>0</v>
      </c>
      <c r="S303" s="358">
        <f t="shared" si="118"/>
        <v>49.438644574895363</v>
      </c>
      <c r="T303" s="358">
        <f t="shared" si="119"/>
        <v>142.24270327272728</v>
      </c>
      <c r="U303" s="359">
        <f t="shared" si="120"/>
        <v>1</v>
      </c>
      <c r="V303" s="359">
        <f t="shared" si="121"/>
        <v>0</v>
      </c>
      <c r="W303" s="359">
        <f t="shared" si="122"/>
        <v>0</v>
      </c>
      <c r="X303" s="359">
        <f t="shared" si="123"/>
        <v>0</v>
      </c>
      <c r="Y303" s="320"/>
      <c r="Z303" s="321" t="str">
        <f t="shared" si="127"/>
        <v>X-RELLENOaccA</v>
      </c>
      <c r="AA303" s="321" t="str">
        <f t="shared" si="128"/>
        <v>X-RELLENOaccE</v>
      </c>
      <c r="AB303" s="321" t="str">
        <f t="shared" si="129"/>
        <v>X-RELLENOaccM</v>
      </c>
      <c r="AC303" s="321" t="str">
        <f t="shared" si="130"/>
        <v>X-RELLENOaccT</v>
      </c>
      <c r="AD303" s="321" t="str">
        <f t="shared" si="131"/>
        <v>X-RELLENOaccS</v>
      </c>
      <c r="AE303" s="321" t="str">
        <f t="shared" si="132"/>
        <v>X-RELLENOaccX</v>
      </c>
      <c r="AF303" s="321" t="str">
        <f t="shared" si="133"/>
        <v>X-RELLENOaccA</v>
      </c>
      <c r="AG303" s="321">
        <f t="shared" si="124"/>
        <v>9</v>
      </c>
      <c r="AH303" s="321">
        <f>IF(B303&lt;&gt;"",IF(H303="x",VLOOKUP(I303,'AUX-NIV3'!B:AG,32,FALSE),0),"")</f>
        <v>0</v>
      </c>
      <c r="AI303" s="321" t="str">
        <f t="shared" si="134"/>
        <v>X-RELLENOacc</v>
      </c>
      <c r="AJ303" s="320"/>
      <c r="AK303" s="322">
        <f t="shared" si="125"/>
        <v>302</v>
      </c>
      <c r="AL303" s="323">
        <f t="shared" si="135"/>
        <v>310</v>
      </c>
      <c r="AM303" s="322">
        <f t="shared" si="136"/>
        <v>2</v>
      </c>
      <c r="AN303" s="380">
        <f>IF(AND(AH303&gt;0,B303&lt;&gt;""),VLOOKUP(I303,'AUX-NIV3'!$B:$AO,39,FALSE)*O303,0)</f>
        <v>0</v>
      </c>
      <c r="AO303" s="380">
        <f t="shared" si="126"/>
        <v>9.6000000000000002E-2</v>
      </c>
      <c r="AP303" s="380"/>
    </row>
    <row r="304" spans="2:42" ht="14.4" hidden="1" thickTop="1" thickBot="1">
      <c r="B304" s="324" t="s">
        <v>1292</v>
      </c>
      <c r="C304" s="325" t="s">
        <v>42</v>
      </c>
      <c r="D304" s="326" t="s">
        <v>1160</v>
      </c>
      <c r="E304" s="327">
        <f>IF(B304&lt;&gt;"",SUMIF('AUX-NIV1'!I:I,'AUX-NIV2'!B304,'AUX-NIV1'!Q:Q),"")</f>
        <v>0</v>
      </c>
      <c r="F304" s="327">
        <f t="shared" si="116"/>
        <v>192.68134784762265</v>
      </c>
      <c r="G304" s="327">
        <f t="shared" si="117"/>
        <v>0</v>
      </c>
      <c r="H304" s="328" t="str">
        <f t="shared" si="137"/>
        <v>A</v>
      </c>
      <c r="I304" s="325" t="s">
        <v>3311</v>
      </c>
      <c r="J304" s="329" t="str">
        <f>IF(B304&lt;&gt;"",+VLOOKUP(I304,Recursos!C:F,2,FALSE),"")</f>
        <v>OPER. EQUIPO</v>
      </c>
      <c r="K304" s="330" t="str">
        <f>IF(B304&lt;&gt;"",+VLOOKUP(I304,Recursos!C:F,3,FALSE),"")</f>
        <v>hh</v>
      </c>
      <c r="L304" s="327">
        <f>IF(B304&lt;&gt;"",+VLOOKUP(I304,Recursos!C:F,4,FALSE),"")</f>
        <v>581.06120476836554</v>
      </c>
      <c r="M304" s="331">
        <v>50</v>
      </c>
      <c r="N304" s="331">
        <v>0.7</v>
      </c>
      <c r="O304" s="332">
        <f t="shared" si="143"/>
        <v>1.3999999999999999E-2</v>
      </c>
      <c r="P304" s="333">
        <f t="shared" si="138"/>
        <v>8.1348568667571168</v>
      </c>
      <c r="Q304" s="327">
        <f t="shared" si="139"/>
        <v>0</v>
      </c>
      <c r="R304" s="334">
        <f t="shared" si="140"/>
        <v>0</v>
      </c>
      <c r="S304" s="358">
        <f t="shared" si="118"/>
        <v>49.438644574895363</v>
      </c>
      <c r="T304" s="358">
        <f t="shared" si="119"/>
        <v>142.24270327272728</v>
      </c>
      <c r="U304" s="359">
        <f t="shared" si="120"/>
        <v>1</v>
      </c>
      <c r="V304" s="359">
        <f t="shared" si="121"/>
        <v>0</v>
      </c>
      <c r="W304" s="359">
        <f t="shared" si="122"/>
        <v>0</v>
      </c>
      <c r="X304" s="359">
        <f t="shared" si="123"/>
        <v>0</v>
      </c>
      <c r="Y304" s="320"/>
      <c r="Z304" s="321" t="str">
        <f t="shared" si="127"/>
        <v>X-RELLENOaccA</v>
      </c>
      <c r="AA304" s="321" t="str">
        <f t="shared" si="128"/>
        <v>X-RELLENOaccE</v>
      </c>
      <c r="AB304" s="321" t="str">
        <f t="shared" si="129"/>
        <v>X-RELLENOaccM</v>
      </c>
      <c r="AC304" s="321" t="str">
        <f t="shared" si="130"/>
        <v>X-RELLENOaccT</v>
      </c>
      <c r="AD304" s="321" t="str">
        <f t="shared" si="131"/>
        <v>X-RELLENOaccS</v>
      </c>
      <c r="AE304" s="321" t="str">
        <f t="shared" si="132"/>
        <v>X-RELLENOaccX</v>
      </c>
      <c r="AF304" s="321" t="str">
        <f t="shared" si="133"/>
        <v>X-RELLENOaccA</v>
      </c>
      <c r="AG304" s="321">
        <f t="shared" si="124"/>
        <v>9</v>
      </c>
      <c r="AH304" s="321">
        <f>IF(B304&lt;&gt;"",IF(H304="x",VLOOKUP(I304,'AUX-NIV3'!B:AG,32,FALSE),0),"")</f>
        <v>0</v>
      </c>
      <c r="AI304" s="321" t="str">
        <f t="shared" si="134"/>
        <v>X-RELLENOacc</v>
      </c>
      <c r="AJ304" s="320"/>
      <c r="AK304" s="322">
        <f t="shared" si="125"/>
        <v>302</v>
      </c>
      <c r="AL304" s="323">
        <f t="shared" si="135"/>
        <v>310</v>
      </c>
      <c r="AM304" s="322">
        <f t="shared" si="136"/>
        <v>3</v>
      </c>
      <c r="AN304" s="380">
        <f>IF(AND(AH304&gt;0,B304&lt;&gt;""),VLOOKUP(I304,'AUX-NIV3'!$B:$AO,39,FALSE)*O304,0)</f>
        <v>0</v>
      </c>
      <c r="AO304" s="380">
        <f t="shared" si="126"/>
        <v>9.6000000000000002E-2</v>
      </c>
      <c r="AP304" s="380"/>
    </row>
    <row r="305" spans="2:42" ht="14.4" hidden="1" thickTop="1" thickBot="1">
      <c r="B305" s="324" t="s">
        <v>1292</v>
      </c>
      <c r="C305" s="325" t="s">
        <v>42</v>
      </c>
      <c r="D305" s="326" t="s">
        <v>1160</v>
      </c>
      <c r="E305" s="327">
        <f>IF(B305&lt;&gt;"",SUMIF('AUX-NIV1'!I:I,'AUX-NIV2'!B305,'AUX-NIV1'!Q:Q),"")</f>
        <v>0</v>
      </c>
      <c r="F305" s="327">
        <f t="shared" si="116"/>
        <v>192.68134784762265</v>
      </c>
      <c r="G305" s="327">
        <f t="shared" si="117"/>
        <v>0</v>
      </c>
      <c r="H305" s="328" t="str">
        <f t="shared" si="137"/>
        <v>A</v>
      </c>
      <c r="I305" s="325" t="s">
        <v>3311</v>
      </c>
      <c r="J305" s="329" t="str">
        <f>IF(B305&lt;&gt;"",+VLOOKUP(I305,Recursos!C:F,2,FALSE),"")</f>
        <v>OPER. EQUIPO</v>
      </c>
      <c r="K305" s="330" t="str">
        <f>IF(B305&lt;&gt;"",+VLOOKUP(I305,Recursos!C:F,3,FALSE),"")</f>
        <v>hh</v>
      </c>
      <c r="L305" s="327">
        <f>IF(B305&lt;&gt;"",+VLOOKUP(I305,Recursos!C:F,4,FALSE),"")</f>
        <v>581.06120476836554</v>
      </c>
      <c r="M305" s="331">
        <v>50</v>
      </c>
      <c r="N305" s="331">
        <v>0.7</v>
      </c>
      <c r="O305" s="332">
        <f t="shared" si="143"/>
        <v>1.3999999999999999E-2</v>
      </c>
      <c r="P305" s="333">
        <f t="shared" si="138"/>
        <v>8.1348568667571168</v>
      </c>
      <c r="Q305" s="327">
        <f t="shared" si="139"/>
        <v>0</v>
      </c>
      <c r="R305" s="334">
        <f t="shared" si="140"/>
        <v>0</v>
      </c>
      <c r="S305" s="358">
        <f t="shared" si="118"/>
        <v>49.438644574895363</v>
      </c>
      <c r="T305" s="358">
        <f t="shared" si="119"/>
        <v>142.24270327272728</v>
      </c>
      <c r="U305" s="359">
        <f t="shared" si="120"/>
        <v>1</v>
      </c>
      <c r="V305" s="359">
        <f t="shared" si="121"/>
        <v>0</v>
      </c>
      <c r="W305" s="359">
        <f t="shared" si="122"/>
        <v>0</v>
      </c>
      <c r="X305" s="359">
        <f t="shared" si="123"/>
        <v>0</v>
      </c>
      <c r="Y305" s="320"/>
      <c r="Z305" s="321" t="str">
        <f t="shared" si="127"/>
        <v>X-RELLENOaccA</v>
      </c>
      <c r="AA305" s="321" t="str">
        <f t="shared" si="128"/>
        <v>X-RELLENOaccE</v>
      </c>
      <c r="AB305" s="321" t="str">
        <f t="shared" si="129"/>
        <v>X-RELLENOaccM</v>
      </c>
      <c r="AC305" s="321" t="str">
        <f t="shared" si="130"/>
        <v>X-RELLENOaccT</v>
      </c>
      <c r="AD305" s="321" t="str">
        <f t="shared" si="131"/>
        <v>X-RELLENOaccS</v>
      </c>
      <c r="AE305" s="321" t="str">
        <f t="shared" si="132"/>
        <v>X-RELLENOaccX</v>
      </c>
      <c r="AF305" s="321" t="str">
        <f t="shared" si="133"/>
        <v>X-RELLENOaccA</v>
      </c>
      <c r="AG305" s="321">
        <f t="shared" si="124"/>
        <v>9</v>
      </c>
      <c r="AH305" s="321">
        <f>IF(B305&lt;&gt;"",IF(H305="x",VLOOKUP(I305,'AUX-NIV3'!B:AG,32,FALSE),0),"")</f>
        <v>0</v>
      </c>
      <c r="AI305" s="321" t="str">
        <f t="shared" si="134"/>
        <v>X-RELLENOacc</v>
      </c>
      <c r="AJ305" s="320"/>
      <c r="AK305" s="322">
        <f t="shared" si="125"/>
        <v>302</v>
      </c>
      <c r="AL305" s="323">
        <f t="shared" si="135"/>
        <v>310</v>
      </c>
      <c r="AM305" s="322">
        <f t="shared" si="136"/>
        <v>4</v>
      </c>
      <c r="AN305" s="380">
        <f>IF(AND(AH305&gt;0,B305&lt;&gt;""),VLOOKUP(I305,'AUX-NIV3'!$B:$AO,39,FALSE)*O305,0)</f>
        <v>0</v>
      </c>
      <c r="AO305" s="380">
        <f t="shared" si="126"/>
        <v>9.6000000000000002E-2</v>
      </c>
      <c r="AP305" s="380"/>
    </row>
    <row r="306" spans="2:42" ht="14.4" hidden="1" thickTop="1" thickBot="1">
      <c r="B306" s="324" t="s">
        <v>1292</v>
      </c>
      <c r="C306" s="325" t="s">
        <v>42</v>
      </c>
      <c r="D306" s="326" t="s">
        <v>1160</v>
      </c>
      <c r="E306" s="327">
        <f>IF(B306&lt;&gt;"",SUMIF('AUX-NIV1'!I:I,'AUX-NIV2'!B306,'AUX-NIV1'!Q:Q),"")</f>
        <v>0</v>
      </c>
      <c r="F306" s="327">
        <f t="shared" si="116"/>
        <v>192.68134784762265</v>
      </c>
      <c r="G306" s="327">
        <f t="shared" si="117"/>
        <v>0</v>
      </c>
      <c r="H306" s="328" t="str">
        <f t="shared" si="137"/>
        <v>E</v>
      </c>
      <c r="I306" s="325" t="s">
        <v>1552</v>
      </c>
      <c r="J306" s="329" t="str">
        <f>IF(B306&lt;&gt;"",+VLOOKUP(I306,Recursos!C:F,2,FALSE),"")</f>
        <v>RETROEXCAVADORA S/CARRILES  0,9 M2</v>
      </c>
      <c r="K306" s="330" t="str">
        <f>IF(B306&lt;&gt;"",+VLOOKUP(I306,Recursos!C:F,3,FALSE),"")</f>
        <v>HR</v>
      </c>
      <c r="L306" s="327">
        <f>IF(B306&lt;&gt;"",+VLOOKUP(I306,Recursos!C:F,4,FALSE),"")</f>
        <v>2743.02</v>
      </c>
      <c r="M306" s="331">
        <v>50</v>
      </c>
      <c r="N306" s="331">
        <v>0.5</v>
      </c>
      <c r="O306" s="332">
        <f t="shared" si="143"/>
        <v>0.01</v>
      </c>
      <c r="P306" s="333">
        <f t="shared" si="138"/>
        <v>27.430199999999999</v>
      </c>
      <c r="Q306" s="327">
        <f t="shared" si="139"/>
        <v>0</v>
      </c>
      <c r="R306" s="334">
        <f t="shared" si="140"/>
        <v>0</v>
      </c>
      <c r="S306" s="358">
        <f t="shared" si="118"/>
        <v>49.438644574895363</v>
      </c>
      <c r="T306" s="358">
        <f t="shared" si="119"/>
        <v>142.24270327272728</v>
      </c>
      <c r="U306" s="359">
        <f t="shared" si="120"/>
        <v>1</v>
      </c>
      <c r="V306" s="359">
        <f t="shared" si="121"/>
        <v>0</v>
      </c>
      <c r="W306" s="359">
        <f t="shared" si="122"/>
        <v>0</v>
      </c>
      <c r="X306" s="359">
        <f t="shared" si="123"/>
        <v>0</v>
      </c>
      <c r="Y306" s="320"/>
      <c r="Z306" s="321" t="str">
        <f t="shared" si="127"/>
        <v>X-RELLENOaccA</v>
      </c>
      <c r="AA306" s="321" t="str">
        <f t="shared" si="128"/>
        <v>X-RELLENOaccE</v>
      </c>
      <c r="AB306" s="321" t="str">
        <f t="shared" si="129"/>
        <v>X-RELLENOaccM</v>
      </c>
      <c r="AC306" s="321" t="str">
        <f t="shared" si="130"/>
        <v>X-RELLENOaccT</v>
      </c>
      <c r="AD306" s="321" t="str">
        <f t="shared" si="131"/>
        <v>X-RELLENOaccS</v>
      </c>
      <c r="AE306" s="321" t="str">
        <f t="shared" si="132"/>
        <v>X-RELLENOaccX</v>
      </c>
      <c r="AF306" s="321" t="str">
        <f t="shared" si="133"/>
        <v>X-RELLENOaccE</v>
      </c>
      <c r="AG306" s="321">
        <f t="shared" si="124"/>
        <v>9</v>
      </c>
      <c r="AH306" s="321">
        <f>IF(B306&lt;&gt;"",IF(H306="x",VLOOKUP(I306,'AUX-NIV3'!B:AG,32,FALSE),0),"")</f>
        <v>0</v>
      </c>
      <c r="AI306" s="321" t="str">
        <f t="shared" si="134"/>
        <v>X-RELLENOacc</v>
      </c>
      <c r="AJ306" s="320"/>
      <c r="AK306" s="322">
        <f t="shared" si="125"/>
        <v>302</v>
      </c>
      <c r="AL306" s="323">
        <f t="shared" si="135"/>
        <v>310</v>
      </c>
      <c r="AM306" s="322">
        <f t="shared" si="136"/>
        <v>5</v>
      </c>
      <c r="AN306" s="380">
        <f>IF(AND(AH306&gt;0,B306&lt;&gt;""),VLOOKUP(I306,'AUX-NIV3'!$B:$AO,39,FALSE)*O306,0)</f>
        <v>0</v>
      </c>
      <c r="AO306" s="380">
        <f t="shared" si="126"/>
        <v>9.6000000000000002E-2</v>
      </c>
      <c r="AP306" s="380"/>
    </row>
    <row r="307" spans="2:42" ht="14.4" hidden="1" thickTop="1" thickBot="1">
      <c r="B307" s="324" t="s">
        <v>1292</v>
      </c>
      <c r="C307" s="325" t="s">
        <v>42</v>
      </c>
      <c r="D307" s="326" t="s">
        <v>1160</v>
      </c>
      <c r="E307" s="327">
        <f>IF(B307&lt;&gt;"",SUMIF('AUX-NIV1'!I:I,'AUX-NIV2'!B307,'AUX-NIV1'!Q:Q),"")</f>
        <v>0</v>
      </c>
      <c r="F307" s="327">
        <f t="shared" si="116"/>
        <v>192.68134784762265</v>
      </c>
      <c r="G307" s="327">
        <f t="shared" si="117"/>
        <v>0</v>
      </c>
      <c r="H307" s="328" t="str">
        <f t="shared" si="137"/>
        <v>E</v>
      </c>
      <c r="I307" s="325" t="s">
        <v>1536</v>
      </c>
      <c r="J307" s="329" t="str">
        <f>IF(B307&lt;&gt;"",+VLOOKUP(I307,Recursos!C:F,2,FALSE),"")</f>
        <v>TOPADORA SIN ESC.(15 T)</v>
      </c>
      <c r="K307" s="330" t="str">
        <f>IF(B307&lt;&gt;"",+VLOOKUP(I307,Recursos!C:F,3,FALSE),"")</f>
        <v>HR</v>
      </c>
      <c r="L307" s="327">
        <f>IF(B307&lt;&gt;"",+VLOOKUP(I307,Recursos!C:F,4,FALSE),"")</f>
        <v>3980.3256000000001</v>
      </c>
      <c r="M307" s="331">
        <v>50</v>
      </c>
      <c r="N307" s="331">
        <v>0.5</v>
      </c>
      <c r="O307" s="332">
        <f t="shared" si="143"/>
        <v>0.01</v>
      </c>
      <c r="P307" s="333">
        <f t="shared" si="138"/>
        <v>39.803256000000005</v>
      </c>
      <c r="Q307" s="327">
        <f t="shared" si="139"/>
        <v>0</v>
      </c>
      <c r="R307" s="334">
        <f t="shared" si="140"/>
        <v>0</v>
      </c>
      <c r="S307" s="358">
        <f t="shared" si="118"/>
        <v>49.438644574895363</v>
      </c>
      <c r="T307" s="358">
        <f t="shared" si="119"/>
        <v>142.24270327272728</v>
      </c>
      <c r="U307" s="359">
        <f t="shared" si="120"/>
        <v>1</v>
      </c>
      <c r="V307" s="359">
        <f t="shared" si="121"/>
        <v>0</v>
      </c>
      <c r="W307" s="359">
        <f t="shared" si="122"/>
        <v>0</v>
      </c>
      <c r="X307" s="359">
        <f t="shared" si="123"/>
        <v>0</v>
      </c>
      <c r="Y307" s="320"/>
      <c r="Z307" s="321" t="str">
        <f t="shared" si="127"/>
        <v>X-RELLENOaccA</v>
      </c>
      <c r="AA307" s="321" t="str">
        <f t="shared" si="128"/>
        <v>X-RELLENOaccE</v>
      </c>
      <c r="AB307" s="321" t="str">
        <f t="shared" si="129"/>
        <v>X-RELLENOaccM</v>
      </c>
      <c r="AC307" s="321" t="str">
        <f t="shared" si="130"/>
        <v>X-RELLENOaccT</v>
      </c>
      <c r="AD307" s="321" t="str">
        <f t="shared" si="131"/>
        <v>X-RELLENOaccS</v>
      </c>
      <c r="AE307" s="321" t="str">
        <f t="shared" si="132"/>
        <v>X-RELLENOaccX</v>
      </c>
      <c r="AF307" s="321" t="str">
        <f t="shared" si="133"/>
        <v>X-RELLENOaccE</v>
      </c>
      <c r="AG307" s="321">
        <f t="shared" si="124"/>
        <v>9</v>
      </c>
      <c r="AH307" s="321">
        <f>IF(B307&lt;&gt;"",IF(H307="x",VLOOKUP(I307,'AUX-NIV3'!B:AG,32,FALSE),0),"")</f>
        <v>0</v>
      </c>
      <c r="AI307" s="321" t="str">
        <f t="shared" si="134"/>
        <v>X-RELLENOacc</v>
      </c>
      <c r="AJ307" s="320"/>
      <c r="AK307" s="322">
        <f t="shared" si="125"/>
        <v>302</v>
      </c>
      <c r="AL307" s="323">
        <f t="shared" si="135"/>
        <v>310</v>
      </c>
      <c r="AM307" s="322">
        <f t="shared" si="136"/>
        <v>6</v>
      </c>
      <c r="AN307" s="380">
        <f>IF(AND(AH307&gt;0,B307&lt;&gt;""),VLOOKUP(I307,'AUX-NIV3'!$B:$AO,39,FALSE)*O307,0)</f>
        <v>0</v>
      </c>
      <c r="AO307" s="380">
        <f t="shared" si="126"/>
        <v>9.6000000000000002E-2</v>
      </c>
      <c r="AP307" s="380"/>
    </row>
    <row r="308" spans="2:42" ht="14.4" hidden="1" thickTop="1" thickBot="1">
      <c r="B308" s="324" t="s">
        <v>1292</v>
      </c>
      <c r="C308" s="325" t="s">
        <v>42</v>
      </c>
      <c r="D308" s="326" t="s">
        <v>1160</v>
      </c>
      <c r="E308" s="327">
        <f>IF(B308&lt;&gt;"",SUMIF('AUX-NIV1'!I:I,'AUX-NIV2'!B308,'AUX-NIV1'!Q:Q),"")</f>
        <v>0</v>
      </c>
      <c r="F308" s="327">
        <f t="shared" si="116"/>
        <v>192.68134784762265</v>
      </c>
      <c r="G308" s="327">
        <f t="shared" si="117"/>
        <v>0</v>
      </c>
      <c r="H308" s="328" t="str">
        <f t="shared" si="137"/>
        <v>E</v>
      </c>
      <c r="I308" s="325" t="s">
        <v>1546</v>
      </c>
      <c r="J308" s="329" t="str">
        <f>IF(B308&lt;&gt;"",+VLOOKUP(I308,Recursos!C:F,2,FALSE),"")</f>
        <v>MOTONIVELADORA 12" (15 T)</v>
      </c>
      <c r="K308" s="330" t="str">
        <f>IF(B308&lt;&gt;"",+VLOOKUP(I308,Recursos!C:F,3,FALSE),"")</f>
        <v>HR</v>
      </c>
      <c r="L308" s="327">
        <f>IF(B308&lt;&gt;"",+VLOOKUP(I308,Recursos!C:F,4,FALSE),"")</f>
        <v>3750.4623636363635</v>
      </c>
      <c r="M308" s="331">
        <v>50</v>
      </c>
      <c r="N308" s="331">
        <v>1</v>
      </c>
      <c r="O308" s="332">
        <f t="shared" si="143"/>
        <v>0.02</v>
      </c>
      <c r="P308" s="333">
        <f t="shared" si="138"/>
        <v>75.009247272727279</v>
      </c>
      <c r="Q308" s="327">
        <f t="shared" si="139"/>
        <v>0</v>
      </c>
      <c r="R308" s="334">
        <f t="shared" si="140"/>
        <v>0</v>
      </c>
      <c r="S308" s="358">
        <f t="shared" si="118"/>
        <v>49.438644574895363</v>
      </c>
      <c r="T308" s="358">
        <f t="shared" si="119"/>
        <v>142.24270327272728</v>
      </c>
      <c r="U308" s="359">
        <f t="shared" si="120"/>
        <v>1</v>
      </c>
      <c r="V308" s="359">
        <f t="shared" si="121"/>
        <v>0</v>
      </c>
      <c r="W308" s="359">
        <f t="shared" si="122"/>
        <v>0</v>
      </c>
      <c r="X308" s="359">
        <f t="shared" si="123"/>
        <v>0</v>
      </c>
      <c r="Y308" s="320"/>
      <c r="Z308" s="321" t="str">
        <f t="shared" si="127"/>
        <v>X-RELLENOaccA</v>
      </c>
      <c r="AA308" s="321" t="str">
        <f t="shared" si="128"/>
        <v>X-RELLENOaccE</v>
      </c>
      <c r="AB308" s="321" t="str">
        <f t="shared" si="129"/>
        <v>X-RELLENOaccM</v>
      </c>
      <c r="AC308" s="321" t="str">
        <f t="shared" si="130"/>
        <v>X-RELLENOaccT</v>
      </c>
      <c r="AD308" s="321" t="str">
        <f t="shared" si="131"/>
        <v>X-RELLENOaccS</v>
      </c>
      <c r="AE308" s="321" t="str">
        <f t="shared" si="132"/>
        <v>X-RELLENOaccX</v>
      </c>
      <c r="AF308" s="321" t="str">
        <f t="shared" si="133"/>
        <v>X-RELLENOaccE</v>
      </c>
      <c r="AG308" s="321">
        <f t="shared" si="124"/>
        <v>9</v>
      </c>
      <c r="AH308" s="321">
        <f>IF(B308&lt;&gt;"",IF(H308="x",VLOOKUP(I308,'AUX-NIV3'!B:AG,32,FALSE),0),"")</f>
        <v>0</v>
      </c>
      <c r="AI308" s="321" t="str">
        <f t="shared" si="134"/>
        <v>X-RELLENOacc</v>
      </c>
      <c r="AJ308" s="320"/>
      <c r="AK308" s="322">
        <f t="shared" si="125"/>
        <v>302</v>
      </c>
      <c r="AL308" s="323">
        <f t="shared" si="135"/>
        <v>310</v>
      </c>
      <c r="AM308" s="322">
        <f t="shared" si="136"/>
        <v>7</v>
      </c>
      <c r="AN308" s="380">
        <f>IF(AND(AH308&gt;0,B308&lt;&gt;""),VLOOKUP(I308,'AUX-NIV3'!$B:$AO,39,FALSE)*O308,0)</f>
        <v>0</v>
      </c>
      <c r="AO308" s="380">
        <f t="shared" si="126"/>
        <v>9.6000000000000002E-2</v>
      </c>
      <c r="AP308" s="380"/>
    </row>
    <row r="309" spans="2:42" ht="14.4" hidden="1" thickTop="1" thickBot="1">
      <c r="B309" s="324" t="s">
        <v>1292</v>
      </c>
      <c r="C309" s="325" t="s">
        <v>42</v>
      </c>
      <c r="D309" s="326" t="s">
        <v>1160</v>
      </c>
      <c r="E309" s="327">
        <f>IF(B309&lt;&gt;"",SUMIF('AUX-NIV1'!I:I,'AUX-NIV2'!B309,'AUX-NIV1'!Q:Q),"")</f>
        <v>0</v>
      </c>
      <c r="F309" s="327">
        <f t="shared" si="116"/>
        <v>192.68134784762265</v>
      </c>
      <c r="G309" s="327">
        <f t="shared" si="117"/>
        <v>0</v>
      </c>
      <c r="H309" s="328" t="str">
        <f t="shared" si="137"/>
        <v>M</v>
      </c>
      <c r="I309" s="325" t="s">
        <v>621</v>
      </c>
      <c r="J309" s="329" t="str">
        <f>IF(B309&lt;&gt;"",+VLOOKUP(I309,Recursos!C:F,2,FALSE),"")</f>
        <v>MATERIALES VARIOS</v>
      </c>
      <c r="K309" s="330" t="str">
        <f>IF(B309&lt;&gt;"",+VLOOKUP(I309,Recursos!C:F,3,FALSE),"")</f>
        <v>GL</v>
      </c>
      <c r="L309" s="327">
        <f>IF(B309&lt;&gt;"",+VLOOKUP(I309,Recursos!C:F,4,FALSE),"")</f>
        <v>0.5</v>
      </c>
      <c r="M309" s="331">
        <v>2</v>
      </c>
      <c r="N309" s="331">
        <v>1</v>
      </c>
      <c r="O309" s="332">
        <f>+M309*N309</f>
        <v>2</v>
      </c>
      <c r="P309" s="333">
        <f t="shared" si="138"/>
        <v>1</v>
      </c>
      <c r="Q309" s="327">
        <f t="shared" si="139"/>
        <v>0</v>
      </c>
      <c r="R309" s="334">
        <f t="shared" si="140"/>
        <v>0</v>
      </c>
      <c r="S309" s="358">
        <f t="shared" si="118"/>
        <v>49.438644574895363</v>
      </c>
      <c r="T309" s="358">
        <f t="shared" si="119"/>
        <v>142.24270327272728</v>
      </c>
      <c r="U309" s="359">
        <f t="shared" si="120"/>
        <v>1</v>
      </c>
      <c r="V309" s="359">
        <f t="shared" si="121"/>
        <v>0</v>
      </c>
      <c r="W309" s="359">
        <f t="shared" si="122"/>
        <v>0</v>
      </c>
      <c r="X309" s="359">
        <f t="shared" si="123"/>
        <v>0</v>
      </c>
      <c r="Y309" s="320"/>
      <c r="Z309" s="321" t="str">
        <f t="shared" si="127"/>
        <v>X-RELLENOaccA</v>
      </c>
      <c r="AA309" s="321" t="str">
        <f t="shared" si="128"/>
        <v>X-RELLENOaccE</v>
      </c>
      <c r="AB309" s="321" t="str">
        <f t="shared" si="129"/>
        <v>X-RELLENOaccM</v>
      </c>
      <c r="AC309" s="321" t="str">
        <f t="shared" si="130"/>
        <v>X-RELLENOaccT</v>
      </c>
      <c r="AD309" s="321" t="str">
        <f t="shared" si="131"/>
        <v>X-RELLENOaccS</v>
      </c>
      <c r="AE309" s="321" t="str">
        <f t="shared" si="132"/>
        <v>X-RELLENOaccX</v>
      </c>
      <c r="AF309" s="321" t="str">
        <f t="shared" si="133"/>
        <v>X-RELLENOaccM</v>
      </c>
      <c r="AG309" s="321">
        <f t="shared" si="124"/>
        <v>9</v>
      </c>
      <c r="AH309" s="321">
        <f>IF(B309&lt;&gt;"",IF(H309="x",VLOOKUP(I309,'AUX-NIV3'!B:AG,32,FALSE),0),"")</f>
        <v>0</v>
      </c>
      <c r="AI309" s="321" t="str">
        <f t="shared" si="134"/>
        <v>X-RELLENOacc</v>
      </c>
      <c r="AJ309" s="320"/>
      <c r="AK309" s="322">
        <f t="shared" si="125"/>
        <v>302</v>
      </c>
      <c r="AL309" s="323">
        <f t="shared" si="135"/>
        <v>310</v>
      </c>
      <c r="AM309" s="322">
        <f t="shared" si="136"/>
        <v>8</v>
      </c>
      <c r="AN309" s="380">
        <f>IF(AND(AH309&gt;0,B309&lt;&gt;""),VLOOKUP(I309,'AUX-NIV3'!$B:$AO,39,FALSE)*O309,0)</f>
        <v>0</v>
      </c>
      <c r="AO309" s="380">
        <f t="shared" si="126"/>
        <v>9.6000000000000002E-2</v>
      </c>
      <c r="AP309" s="380"/>
    </row>
    <row r="310" spans="2:42" ht="14.4" hidden="1" thickTop="1" thickBot="1">
      <c r="B310" s="324" t="s">
        <v>1292</v>
      </c>
      <c r="C310" s="325" t="s">
        <v>42</v>
      </c>
      <c r="D310" s="326" t="s">
        <v>1160</v>
      </c>
      <c r="E310" s="327">
        <f>IF(B310&lt;&gt;"",SUMIF('AUX-NIV1'!I:I,'AUX-NIV2'!B310,'AUX-NIV1'!Q:Q),"")</f>
        <v>0</v>
      </c>
      <c r="F310" s="327">
        <f t="shared" si="116"/>
        <v>192.68134784762265</v>
      </c>
      <c r="G310" s="327">
        <f t="shared" si="117"/>
        <v>0</v>
      </c>
      <c r="H310" s="328" t="str">
        <f t="shared" si="137"/>
        <v>M</v>
      </c>
      <c r="I310" s="325" t="s">
        <v>445</v>
      </c>
      <c r="J310" s="329" t="str">
        <f>IF(B310&lt;&gt;"",+VLOOKUP(I310,Recursos!C:F,2,FALSE),"")</f>
        <v>AGREGADOS PETREOS - RIPIOS</v>
      </c>
      <c r="K310" s="330" t="str">
        <f>IF(B310&lt;&gt;"",+VLOOKUP(I310,Recursos!C:F,3,FALSE),"")</f>
        <v>M3</v>
      </c>
      <c r="L310" s="327">
        <f>IF(B310&lt;&gt;"",+VLOOKUP(I310,Recursos!C:F,4,FALSE),"")</f>
        <v>12</v>
      </c>
      <c r="M310" s="331">
        <v>1</v>
      </c>
      <c r="N310" s="331">
        <v>0</v>
      </c>
      <c r="O310" s="332">
        <f>+M310*N310</f>
        <v>0</v>
      </c>
      <c r="P310" s="333">
        <f t="shared" si="138"/>
        <v>0</v>
      </c>
      <c r="Q310" s="327">
        <f t="shared" si="139"/>
        <v>0</v>
      </c>
      <c r="R310" s="334">
        <f t="shared" si="140"/>
        <v>0</v>
      </c>
      <c r="S310" s="358">
        <f t="shared" si="118"/>
        <v>49.438644574895363</v>
      </c>
      <c r="T310" s="358">
        <f t="shared" si="119"/>
        <v>142.24270327272728</v>
      </c>
      <c r="U310" s="359">
        <f t="shared" si="120"/>
        <v>1</v>
      </c>
      <c r="V310" s="359">
        <f t="shared" si="121"/>
        <v>0</v>
      </c>
      <c r="W310" s="359">
        <f t="shared" si="122"/>
        <v>0</v>
      </c>
      <c r="X310" s="359">
        <f t="shared" si="123"/>
        <v>0</v>
      </c>
      <c r="Y310" s="320"/>
      <c r="Z310" s="321" t="str">
        <f t="shared" si="127"/>
        <v>X-RELLENOaccA</v>
      </c>
      <c r="AA310" s="321" t="str">
        <f t="shared" si="128"/>
        <v>X-RELLENOaccE</v>
      </c>
      <c r="AB310" s="321" t="str">
        <f t="shared" si="129"/>
        <v>X-RELLENOaccM</v>
      </c>
      <c r="AC310" s="321" t="str">
        <f t="shared" si="130"/>
        <v>X-RELLENOaccT</v>
      </c>
      <c r="AD310" s="321" t="str">
        <f t="shared" si="131"/>
        <v>X-RELLENOaccS</v>
      </c>
      <c r="AE310" s="321" t="str">
        <f t="shared" si="132"/>
        <v>X-RELLENOaccX</v>
      </c>
      <c r="AF310" s="321" t="str">
        <f t="shared" si="133"/>
        <v>X-RELLENOaccM</v>
      </c>
      <c r="AG310" s="321">
        <f t="shared" si="124"/>
        <v>9</v>
      </c>
      <c r="AH310" s="321">
        <f>IF(B310&lt;&gt;"",IF(H310="x",VLOOKUP(I310,'AUX-NIV3'!B:AG,32,FALSE),0),"")</f>
        <v>0</v>
      </c>
      <c r="AI310" s="321" t="str">
        <f t="shared" si="134"/>
        <v>X-RELLENOacc</v>
      </c>
      <c r="AJ310" s="320"/>
      <c r="AK310" s="322">
        <f t="shared" si="125"/>
        <v>302</v>
      </c>
      <c r="AL310" s="323">
        <f t="shared" si="135"/>
        <v>310</v>
      </c>
      <c r="AM310" s="322">
        <f t="shared" si="136"/>
        <v>9</v>
      </c>
      <c r="AN310" s="380">
        <f>IF(AND(AH310&gt;0,B310&lt;&gt;""),VLOOKUP(I310,'AUX-NIV3'!$B:$AO,39,FALSE)*O310,0)</f>
        <v>0</v>
      </c>
      <c r="AO310" s="380">
        <f t="shared" si="126"/>
        <v>9.6000000000000002E-2</v>
      </c>
      <c r="AP310" s="380"/>
    </row>
    <row r="311" spans="2:42" ht="14.4" hidden="1" thickTop="1" thickBot="1">
      <c r="B311" s="324" t="s">
        <v>1293</v>
      </c>
      <c r="C311" s="325" t="s">
        <v>43</v>
      </c>
      <c r="D311" s="326" t="s">
        <v>1160</v>
      </c>
      <c r="E311" s="327">
        <f>IF(B311&lt;&gt;"",SUMIF('AUX-NIV1'!I:I,'AUX-NIV2'!B311,'AUX-NIV1'!Q:Q),"")</f>
        <v>0</v>
      </c>
      <c r="F311" s="327">
        <f t="shared" si="116"/>
        <v>2816.3656007845702</v>
      </c>
      <c r="G311" s="327">
        <f t="shared" si="117"/>
        <v>0</v>
      </c>
      <c r="H311" s="328" t="str">
        <f t="shared" si="137"/>
        <v>A</v>
      </c>
      <c r="I311" s="325" t="s">
        <v>1745</v>
      </c>
      <c r="J311" s="329" t="str">
        <f>IF(B311&lt;&gt;"",+VLOOKUP(I311,Recursos!C:F,2,FALSE),"")</f>
        <v>AYUDANTE</v>
      </c>
      <c r="K311" s="330" t="str">
        <f>IF(B311&lt;&gt;"",+VLOOKUP(I311,Recursos!C:F,3,FALSE),"")</f>
        <v>hh</v>
      </c>
      <c r="L311" s="327">
        <f>IF(B311&lt;&gt;"",+VLOOKUP(I311,Recursos!C:F,4,FALSE),"")</f>
        <v>422.48042769667234</v>
      </c>
      <c r="M311" s="331">
        <v>6</v>
      </c>
      <c r="N311" s="331">
        <v>4</v>
      </c>
      <c r="O311" s="433">
        <f t="shared" ref="O311:O317" si="144">1/M311*N311</f>
        <v>0.66666666666666663</v>
      </c>
      <c r="P311" s="333">
        <f t="shared" si="138"/>
        <v>281.65361846444819</v>
      </c>
      <c r="Q311" s="327">
        <f t="shared" si="139"/>
        <v>0</v>
      </c>
      <c r="R311" s="334">
        <f t="shared" si="140"/>
        <v>0</v>
      </c>
      <c r="S311" s="358">
        <f t="shared" si="118"/>
        <v>697.16944809639836</v>
      </c>
      <c r="T311" s="358">
        <f t="shared" si="119"/>
        <v>2118.1961526881714</v>
      </c>
      <c r="U311" s="359">
        <f t="shared" si="120"/>
        <v>1</v>
      </c>
      <c r="V311" s="359">
        <f t="shared" si="121"/>
        <v>0</v>
      </c>
      <c r="W311" s="359">
        <f t="shared" si="122"/>
        <v>0</v>
      </c>
      <c r="X311" s="359">
        <f t="shared" si="123"/>
        <v>0</v>
      </c>
      <c r="Y311" s="320"/>
      <c r="Z311" s="321" t="str">
        <f t="shared" si="127"/>
        <v>X-COLSHOTA</v>
      </c>
      <c r="AA311" s="321" t="str">
        <f t="shared" si="128"/>
        <v>X-COLSHOTE</v>
      </c>
      <c r="AB311" s="321" t="str">
        <f t="shared" si="129"/>
        <v>X-COLSHOTM</v>
      </c>
      <c r="AC311" s="321" t="str">
        <f t="shared" si="130"/>
        <v>X-COLSHOTT</v>
      </c>
      <c r="AD311" s="321" t="str">
        <f t="shared" si="131"/>
        <v>X-COLSHOTS</v>
      </c>
      <c r="AE311" s="321" t="str">
        <f t="shared" si="132"/>
        <v>X-COLSHOTX</v>
      </c>
      <c r="AF311" s="321" t="str">
        <f t="shared" si="133"/>
        <v>X-COLSHOTA</v>
      </c>
      <c r="AG311" s="321">
        <f t="shared" si="124"/>
        <v>8</v>
      </c>
      <c r="AH311" s="321">
        <f>IF(B311&lt;&gt;"",IF(H311="x",VLOOKUP(I311,'AUX-NIV3'!B:AG,32,FALSE),0),"")</f>
        <v>0</v>
      </c>
      <c r="AI311" s="321" t="str">
        <f t="shared" si="134"/>
        <v>X-COLSHOT</v>
      </c>
      <c r="AJ311" s="320"/>
      <c r="AK311" s="322">
        <f t="shared" si="125"/>
        <v>311</v>
      </c>
      <c r="AL311" s="323">
        <f t="shared" si="135"/>
        <v>318</v>
      </c>
      <c r="AM311" s="322">
        <f t="shared" si="136"/>
        <v>1</v>
      </c>
      <c r="AN311" s="380">
        <f>IF(AND(AH311&gt;0,B311&lt;&gt;""),VLOOKUP(I311,'AUX-NIV3'!$B:$AO,39,FALSE)*O311,0)</f>
        <v>0</v>
      </c>
      <c r="AO311" s="380">
        <f t="shared" si="126"/>
        <v>1.5</v>
      </c>
      <c r="AP311" s="380"/>
    </row>
    <row r="312" spans="2:42" ht="14.4" hidden="1" thickTop="1" thickBot="1">
      <c r="B312" s="324" t="s">
        <v>1293</v>
      </c>
      <c r="C312" s="325" t="s">
        <v>43</v>
      </c>
      <c r="D312" s="326" t="s">
        <v>1160</v>
      </c>
      <c r="E312" s="327">
        <f>IF(B312&lt;&gt;"",SUMIF('AUX-NIV1'!I:I,'AUX-NIV2'!B312,'AUX-NIV1'!Q:Q),"")</f>
        <v>0</v>
      </c>
      <c r="F312" s="327">
        <f t="shared" si="116"/>
        <v>2816.3656007845702</v>
      </c>
      <c r="G312" s="327">
        <f t="shared" si="117"/>
        <v>0</v>
      </c>
      <c r="H312" s="328" t="str">
        <f t="shared" si="137"/>
        <v>A</v>
      </c>
      <c r="I312" s="325" t="s">
        <v>1746</v>
      </c>
      <c r="J312" s="329" t="str">
        <f>IF(B312&lt;&gt;"",+VLOOKUP(I312,Recursos!C:F,2,FALSE),"")</f>
        <v>OFICIAL</v>
      </c>
      <c r="K312" s="330" t="str">
        <f>IF(B312&lt;&gt;"",+VLOOKUP(I312,Recursos!C:F,3,FALSE),"")</f>
        <v>hh</v>
      </c>
      <c r="L312" s="327">
        <f>IF(B312&lt;&gt;"",+VLOOKUP(I312,Recursos!C:F,4,FALSE),"")</f>
        <v>496.91595439275824</v>
      </c>
      <c r="M312" s="331">
        <v>6</v>
      </c>
      <c r="N312" s="331">
        <v>2</v>
      </c>
      <c r="O312" s="433">
        <f t="shared" si="144"/>
        <v>0.33333333333333331</v>
      </c>
      <c r="P312" s="333">
        <f t="shared" si="138"/>
        <v>165.63865146425275</v>
      </c>
      <c r="Q312" s="327">
        <f t="shared" si="139"/>
        <v>0</v>
      </c>
      <c r="R312" s="334">
        <f t="shared" si="140"/>
        <v>0</v>
      </c>
      <c r="S312" s="358">
        <f t="shared" si="118"/>
        <v>697.16944809639836</v>
      </c>
      <c r="T312" s="358">
        <f t="shared" si="119"/>
        <v>2118.1961526881714</v>
      </c>
      <c r="U312" s="359">
        <f t="shared" si="120"/>
        <v>1</v>
      </c>
      <c r="V312" s="359">
        <f t="shared" si="121"/>
        <v>0</v>
      </c>
      <c r="W312" s="359">
        <f t="shared" si="122"/>
        <v>0</v>
      </c>
      <c r="X312" s="359">
        <f t="shared" si="123"/>
        <v>0</v>
      </c>
      <c r="Y312" s="320"/>
      <c r="Z312" s="321" t="str">
        <f t="shared" si="127"/>
        <v>X-COLSHOTA</v>
      </c>
      <c r="AA312" s="321" t="str">
        <f t="shared" si="128"/>
        <v>X-COLSHOTE</v>
      </c>
      <c r="AB312" s="321" t="str">
        <f t="shared" si="129"/>
        <v>X-COLSHOTM</v>
      </c>
      <c r="AC312" s="321" t="str">
        <f t="shared" si="130"/>
        <v>X-COLSHOTT</v>
      </c>
      <c r="AD312" s="321" t="str">
        <f t="shared" si="131"/>
        <v>X-COLSHOTS</v>
      </c>
      <c r="AE312" s="321" t="str">
        <f t="shared" si="132"/>
        <v>X-COLSHOTX</v>
      </c>
      <c r="AF312" s="321" t="str">
        <f t="shared" si="133"/>
        <v>X-COLSHOTA</v>
      </c>
      <c r="AG312" s="321">
        <f t="shared" si="124"/>
        <v>8</v>
      </c>
      <c r="AH312" s="321">
        <f>IF(B312&lt;&gt;"",IF(H312="x",VLOOKUP(I312,'AUX-NIV3'!B:AG,32,FALSE),0),"")</f>
        <v>0</v>
      </c>
      <c r="AI312" s="321" t="str">
        <f t="shared" si="134"/>
        <v>X-COLSHOT</v>
      </c>
      <c r="AJ312" s="320"/>
      <c r="AK312" s="322">
        <f t="shared" si="125"/>
        <v>311</v>
      </c>
      <c r="AL312" s="323">
        <f t="shared" si="135"/>
        <v>318</v>
      </c>
      <c r="AM312" s="322">
        <f t="shared" si="136"/>
        <v>2</v>
      </c>
      <c r="AN312" s="380">
        <f>IF(AND(AH312&gt;0,B312&lt;&gt;""),VLOOKUP(I312,'AUX-NIV3'!$B:$AO,39,FALSE)*O312,0)</f>
        <v>0</v>
      </c>
      <c r="AO312" s="380">
        <f t="shared" si="126"/>
        <v>1.5</v>
      </c>
      <c r="AP312" s="380"/>
    </row>
    <row r="313" spans="2:42" ht="14.4" hidden="1" thickTop="1" thickBot="1">
      <c r="B313" s="324" t="s">
        <v>1293</v>
      </c>
      <c r="C313" s="325" t="s">
        <v>43</v>
      </c>
      <c r="D313" s="326" t="s">
        <v>1160</v>
      </c>
      <c r="E313" s="327">
        <f>IF(B313&lt;&gt;"",SUMIF('AUX-NIV1'!I:I,'AUX-NIV2'!B313,'AUX-NIV1'!Q:Q),"")</f>
        <v>0</v>
      </c>
      <c r="F313" s="327">
        <f t="shared" si="116"/>
        <v>2816.3656007845702</v>
      </c>
      <c r="G313" s="327">
        <f t="shared" si="117"/>
        <v>0</v>
      </c>
      <c r="H313" s="328" t="str">
        <f t="shared" si="137"/>
        <v>A</v>
      </c>
      <c r="I313" s="325" t="s">
        <v>3310</v>
      </c>
      <c r="J313" s="329" t="str">
        <f>IF(B313&lt;&gt;"",+VLOOKUP(I313,Recursos!C:F,2,FALSE),"")</f>
        <v>OFICIAL ESPECIALIZADO</v>
      </c>
      <c r="K313" s="330" t="str">
        <f>IF(B313&lt;&gt;"",+VLOOKUP(I313,Recursos!C:F,3,FALSE),"")</f>
        <v>hh</v>
      </c>
      <c r="L313" s="327">
        <f>IF(B313&lt;&gt;"",+VLOOKUP(I313,Recursos!C:F,4,FALSE),"")</f>
        <v>581.06120476836554</v>
      </c>
      <c r="M313" s="331">
        <v>6</v>
      </c>
      <c r="N313" s="331">
        <v>1</v>
      </c>
      <c r="O313" s="433">
        <f t="shared" si="144"/>
        <v>0.16666666666666666</v>
      </c>
      <c r="P313" s="333">
        <f t="shared" si="138"/>
        <v>96.843534128060924</v>
      </c>
      <c r="Q313" s="327">
        <f t="shared" si="139"/>
        <v>0</v>
      </c>
      <c r="R313" s="334">
        <f t="shared" si="140"/>
        <v>0</v>
      </c>
      <c r="S313" s="358">
        <f t="shared" si="118"/>
        <v>697.16944809639836</v>
      </c>
      <c r="T313" s="358">
        <f t="shared" si="119"/>
        <v>2118.1961526881714</v>
      </c>
      <c r="U313" s="359">
        <f t="shared" si="120"/>
        <v>1</v>
      </c>
      <c r="V313" s="359">
        <f t="shared" si="121"/>
        <v>0</v>
      </c>
      <c r="W313" s="359">
        <f t="shared" si="122"/>
        <v>0</v>
      </c>
      <c r="X313" s="359">
        <f t="shared" si="123"/>
        <v>0</v>
      </c>
      <c r="Y313" s="320"/>
      <c r="Z313" s="321" t="str">
        <f t="shared" si="127"/>
        <v>X-COLSHOTA</v>
      </c>
      <c r="AA313" s="321" t="str">
        <f t="shared" si="128"/>
        <v>X-COLSHOTE</v>
      </c>
      <c r="AB313" s="321" t="str">
        <f t="shared" si="129"/>
        <v>X-COLSHOTM</v>
      </c>
      <c r="AC313" s="321" t="str">
        <f t="shared" si="130"/>
        <v>X-COLSHOTT</v>
      </c>
      <c r="AD313" s="321" t="str">
        <f t="shared" si="131"/>
        <v>X-COLSHOTS</v>
      </c>
      <c r="AE313" s="321" t="str">
        <f t="shared" si="132"/>
        <v>X-COLSHOTX</v>
      </c>
      <c r="AF313" s="321" t="str">
        <f t="shared" si="133"/>
        <v>X-COLSHOTA</v>
      </c>
      <c r="AG313" s="321">
        <f t="shared" si="124"/>
        <v>8</v>
      </c>
      <c r="AH313" s="321">
        <f>IF(B313&lt;&gt;"",IF(H313="x",VLOOKUP(I313,'AUX-NIV3'!B:AG,32,FALSE),0),"")</f>
        <v>0</v>
      </c>
      <c r="AI313" s="321" t="str">
        <f t="shared" si="134"/>
        <v>X-COLSHOT</v>
      </c>
      <c r="AJ313" s="320"/>
      <c r="AK313" s="322">
        <f t="shared" si="125"/>
        <v>311</v>
      </c>
      <c r="AL313" s="323">
        <f t="shared" si="135"/>
        <v>318</v>
      </c>
      <c r="AM313" s="322">
        <f t="shared" si="136"/>
        <v>3</v>
      </c>
      <c r="AN313" s="380">
        <f>IF(AND(AH313&gt;0,B313&lt;&gt;""),VLOOKUP(I313,'AUX-NIV3'!$B:$AO,39,FALSE)*O313,0)</f>
        <v>0</v>
      </c>
      <c r="AO313" s="380">
        <f t="shared" si="126"/>
        <v>1.5</v>
      </c>
      <c r="AP313" s="380"/>
    </row>
    <row r="314" spans="2:42" ht="14.4" hidden="1" thickTop="1" thickBot="1">
      <c r="B314" s="324" t="s">
        <v>1293</v>
      </c>
      <c r="C314" s="325" t="s">
        <v>43</v>
      </c>
      <c r="D314" s="326" t="s">
        <v>1160</v>
      </c>
      <c r="E314" s="327">
        <f>IF(B314&lt;&gt;"",SUMIF('AUX-NIV1'!I:I,'AUX-NIV2'!B314,'AUX-NIV1'!Q:Q),"")</f>
        <v>0</v>
      </c>
      <c r="F314" s="327">
        <f t="shared" si="116"/>
        <v>2816.3656007845702</v>
      </c>
      <c r="G314" s="327">
        <f t="shared" si="117"/>
        <v>0</v>
      </c>
      <c r="H314" s="328" t="str">
        <f t="shared" si="137"/>
        <v>A</v>
      </c>
      <c r="I314" s="325" t="s">
        <v>3309</v>
      </c>
      <c r="J314" s="329" t="str">
        <f>IF(B314&lt;&gt;"",+VLOOKUP(I314,Recursos!C:F,2,FALSE),"")</f>
        <v>MEDIO OFICIAL</v>
      </c>
      <c r="K314" s="330" t="str">
        <f>IF(B314&lt;&gt;"",+VLOOKUP(I314,Recursos!C:F,3,FALSE),"")</f>
        <v>hh</v>
      </c>
      <c r="L314" s="327">
        <f>IF(B314&lt;&gt;"",+VLOOKUP(I314,Recursos!C:F,4,FALSE),"")</f>
        <v>459.10093211890984</v>
      </c>
      <c r="M314" s="331">
        <v>6</v>
      </c>
      <c r="N314" s="331">
        <v>2</v>
      </c>
      <c r="O314" s="433">
        <f t="shared" si="144"/>
        <v>0.33333333333333331</v>
      </c>
      <c r="P314" s="333">
        <f t="shared" si="138"/>
        <v>153.03364403963661</v>
      </c>
      <c r="Q314" s="327">
        <f t="shared" si="139"/>
        <v>0</v>
      </c>
      <c r="R314" s="334">
        <f t="shared" si="140"/>
        <v>0</v>
      </c>
      <c r="S314" s="358">
        <f t="shared" si="118"/>
        <v>697.16944809639836</v>
      </c>
      <c r="T314" s="358">
        <f t="shared" si="119"/>
        <v>2118.1961526881714</v>
      </c>
      <c r="U314" s="359">
        <f t="shared" si="120"/>
        <v>1</v>
      </c>
      <c r="V314" s="359">
        <f t="shared" si="121"/>
        <v>0</v>
      </c>
      <c r="W314" s="359">
        <f t="shared" si="122"/>
        <v>0</v>
      </c>
      <c r="X314" s="359">
        <f t="shared" si="123"/>
        <v>0</v>
      </c>
      <c r="Y314" s="320"/>
      <c r="Z314" s="321" t="str">
        <f t="shared" si="127"/>
        <v>X-COLSHOTA</v>
      </c>
      <c r="AA314" s="321" t="str">
        <f t="shared" si="128"/>
        <v>X-COLSHOTE</v>
      </c>
      <c r="AB314" s="321" t="str">
        <f t="shared" si="129"/>
        <v>X-COLSHOTM</v>
      </c>
      <c r="AC314" s="321" t="str">
        <f t="shared" si="130"/>
        <v>X-COLSHOTT</v>
      </c>
      <c r="AD314" s="321" t="str">
        <f t="shared" si="131"/>
        <v>X-COLSHOTS</v>
      </c>
      <c r="AE314" s="321" t="str">
        <f t="shared" si="132"/>
        <v>X-COLSHOTX</v>
      </c>
      <c r="AF314" s="321" t="str">
        <f t="shared" si="133"/>
        <v>X-COLSHOTA</v>
      </c>
      <c r="AG314" s="321">
        <f t="shared" si="124"/>
        <v>8</v>
      </c>
      <c r="AH314" s="321">
        <f>IF(B314&lt;&gt;"",IF(H314="x",VLOOKUP(I314,'AUX-NIV3'!B:AG,32,FALSE),0),"")</f>
        <v>0</v>
      </c>
      <c r="AI314" s="321" t="str">
        <f t="shared" si="134"/>
        <v>X-COLSHOT</v>
      </c>
      <c r="AJ314" s="320"/>
      <c r="AK314" s="322">
        <f t="shared" si="125"/>
        <v>311</v>
      </c>
      <c r="AL314" s="323">
        <f t="shared" si="135"/>
        <v>318</v>
      </c>
      <c r="AM314" s="322">
        <f t="shared" si="136"/>
        <v>4</v>
      </c>
      <c r="AN314" s="380">
        <f>IF(AND(AH314&gt;0,B314&lt;&gt;""),VLOOKUP(I314,'AUX-NIV3'!$B:$AO,39,FALSE)*O314,0)</f>
        <v>0</v>
      </c>
      <c r="AO314" s="380">
        <f t="shared" si="126"/>
        <v>1.5</v>
      </c>
      <c r="AP314" s="380"/>
    </row>
    <row r="315" spans="2:42" ht="14.4" hidden="1" thickTop="1" thickBot="1">
      <c r="B315" s="324" t="s">
        <v>1293</v>
      </c>
      <c r="C315" s="325" t="s">
        <v>43</v>
      </c>
      <c r="D315" s="326" t="s">
        <v>1160</v>
      </c>
      <c r="E315" s="327">
        <f>IF(B315&lt;&gt;"",SUMIF('AUX-NIV1'!I:I,'AUX-NIV2'!B315,'AUX-NIV1'!Q:Q),"")</f>
        <v>0</v>
      </c>
      <c r="F315" s="327">
        <f t="shared" si="116"/>
        <v>2816.3656007845702</v>
      </c>
      <c r="G315" s="327">
        <f t="shared" si="117"/>
        <v>0</v>
      </c>
      <c r="H315" s="328" t="str">
        <f t="shared" si="137"/>
        <v>E</v>
      </c>
      <c r="I315" s="325" t="s">
        <v>1583</v>
      </c>
      <c r="J315" s="329" t="str">
        <f>IF(B315&lt;&gt;"",+VLOOKUP(I315,Recursos!C:F,2,FALSE),"")</f>
        <v>MOTOCOMPRESOR 21 M3/MIN-750 CFM</v>
      </c>
      <c r="K315" s="330" t="str">
        <f>IF(B315&lt;&gt;"",+VLOOKUP(I315,Recursos!C:F,3,FALSE),"")</f>
        <v>HR</v>
      </c>
      <c r="L315" s="327">
        <f>IF(B315&lt;&gt;"",+VLOOKUP(I315,Recursos!C:F,4,FALSE),"")</f>
        <v>3148.9333999999999</v>
      </c>
      <c r="M315" s="331">
        <v>6</v>
      </c>
      <c r="N315" s="331">
        <v>1</v>
      </c>
      <c r="O315" s="433">
        <f t="shared" si="144"/>
        <v>0.16666666666666666</v>
      </c>
      <c r="P315" s="333">
        <f t="shared" si="138"/>
        <v>524.82223333333332</v>
      </c>
      <c r="Q315" s="327">
        <f t="shared" si="139"/>
        <v>0</v>
      </c>
      <c r="R315" s="334">
        <f t="shared" si="140"/>
        <v>0</v>
      </c>
      <c r="S315" s="358">
        <f t="shared" si="118"/>
        <v>697.16944809639836</v>
      </c>
      <c r="T315" s="358">
        <f t="shared" si="119"/>
        <v>2118.1961526881714</v>
      </c>
      <c r="U315" s="359">
        <f t="shared" si="120"/>
        <v>1</v>
      </c>
      <c r="V315" s="359">
        <f t="shared" si="121"/>
        <v>0</v>
      </c>
      <c r="W315" s="359">
        <f t="shared" si="122"/>
        <v>0</v>
      </c>
      <c r="X315" s="359">
        <f t="shared" si="123"/>
        <v>0</v>
      </c>
      <c r="Y315" s="320"/>
      <c r="Z315" s="321" t="str">
        <f t="shared" si="127"/>
        <v>X-COLSHOTA</v>
      </c>
      <c r="AA315" s="321" t="str">
        <f t="shared" si="128"/>
        <v>X-COLSHOTE</v>
      </c>
      <c r="AB315" s="321" t="str">
        <f t="shared" si="129"/>
        <v>X-COLSHOTM</v>
      </c>
      <c r="AC315" s="321" t="str">
        <f t="shared" si="130"/>
        <v>X-COLSHOTT</v>
      </c>
      <c r="AD315" s="321" t="str">
        <f t="shared" si="131"/>
        <v>X-COLSHOTS</v>
      </c>
      <c r="AE315" s="321" t="str">
        <f t="shared" si="132"/>
        <v>X-COLSHOTX</v>
      </c>
      <c r="AF315" s="321" t="str">
        <f t="shared" si="133"/>
        <v>X-COLSHOTE</v>
      </c>
      <c r="AG315" s="321">
        <f t="shared" si="124"/>
        <v>8</v>
      </c>
      <c r="AH315" s="321">
        <f>IF(B315&lt;&gt;"",IF(H315="x",VLOOKUP(I315,'AUX-NIV3'!B:AG,32,FALSE),0),"")</f>
        <v>0</v>
      </c>
      <c r="AI315" s="321" t="str">
        <f t="shared" si="134"/>
        <v>X-COLSHOT</v>
      </c>
      <c r="AJ315" s="320"/>
      <c r="AK315" s="322">
        <f t="shared" si="125"/>
        <v>311</v>
      </c>
      <c r="AL315" s="323">
        <f t="shared" si="135"/>
        <v>318</v>
      </c>
      <c r="AM315" s="322">
        <f t="shared" si="136"/>
        <v>5</v>
      </c>
      <c r="AN315" s="380">
        <f>IF(AND(AH315&gt;0,B315&lt;&gt;""),VLOOKUP(I315,'AUX-NIV3'!$B:$AO,39,FALSE)*O315,0)</f>
        <v>0</v>
      </c>
      <c r="AO315" s="380">
        <f t="shared" si="126"/>
        <v>1.5</v>
      </c>
      <c r="AP315" s="380"/>
    </row>
    <row r="316" spans="2:42" ht="14.4" hidden="1" thickTop="1" thickBot="1">
      <c r="B316" s="324" t="s">
        <v>1293</v>
      </c>
      <c r="C316" s="325" t="s">
        <v>43</v>
      </c>
      <c r="D316" s="326" t="s">
        <v>1160</v>
      </c>
      <c r="E316" s="327">
        <f>IF(B316&lt;&gt;"",SUMIF('AUX-NIV1'!I:I,'AUX-NIV2'!B316,'AUX-NIV1'!Q:Q),"")</f>
        <v>0</v>
      </c>
      <c r="F316" s="327">
        <f t="shared" si="116"/>
        <v>2816.3656007845702</v>
      </c>
      <c r="G316" s="327">
        <f t="shared" si="117"/>
        <v>0</v>
      </c>
      <c r="H316" s="328" t="str">
        <f t="shared" si="137"/>
        <v>E</v>
      </c>
      <c r="I316" s="325" t="s">
        <v>1587</v>
      </c>
      <c r="J316" s="329" t="str">
        <f>IF(B316&lt;&gt;"",+VLOOKUP(I316,Recursos!C:F,2,FALSE),"")</f>
        <v>GRUPO ELECTROGENO 21 KVA-17 KW</v>
      </c>
      <c r="K316" s="330" t="str">
        <f>IF(B316&lt;&gt;"",+VLOOKUP(I316,Recursos!C:F,3,FALSE),"")</f>
        <v>HR</v>
      </c>
      <c r="L316" s="327">
        <f>IF(B316&lt;&gt;"",+VLOOKUP(I316,Recursos!C:F,4,FALSE),"")</f>
        <v>489.22799999999995</v>
      </c>
      <c r="M316" s="331">
        <v>6</v>
      </c>
      <c r="N316" s="331">
        <v>0</v>
      </c>
      <c r="O316" s="433">
        <f t="shared" si="144"/>
        <v>0</v>
      </c>
      <c r="P316" s="333">
        <f t="shared" si="138"/>
        <v>0</v>
      </c>
      <c r="Q316" s="327">
        <f t="shared" si="139"/>
        <v>0</v>
      </c>
      <c r="R316" s="334">
        <f t="shared" si="140"/>
        <v>0</v>
      </c>
      <c r="S316" s="358">
        <f t="shared" si="118"/>
        <v>697.16944809639836</v>
      </c>
      <c r="T316" s="358">
        <f t="shared" si="119"/>
        <v>2118.1961526881714</v>
      </c>
      <c r="U316" s="359">
        <f t="shared" si="120"/>
        <v>1</v>
      </c>
      <c r="V316" s="359">
        <f t="shared" si="121"/>
        <v>0</v>
      </c>
      <c r="W316" s="359">
        <f t="shared" si="122"/>
        <v>0</v>
      </c>
      <c r="X316" s="359">
        <f t="shared" si="123"/>
        <v>0</v>
      </c>
      <c r="Y316" s="320"/>
      <c r="Z316" s="321" t="str">
        <f t="shared" si="127"/>
        <v>X-COLSHOTA</v>
      </c>
      <c r="AA316" s="321" t="str">
        <f t="shared" si="128"/>
        <v>X-COLSHOTE</v>
      </c>
      <c r="AB316" s="321" t="str">
        <f t="shared" si="129"/>
        <v>X-COLSHOTM</v>
      </c>
      <c r="AC316" s="321" t="str">
        <f t="shared" si="130"/>
        <v>X-COLSHOTT</v>
      </c>
      <c r="AD316" s="321" t="str">
        <f t="shared" si="131"/>
        <v>X-COLSHOTS</v>
      </c>
      <c r="AE316" s="321" t="str">
        <f t="shared" si="132"/>
        <v>X-COLSHOTX</v>
      </c>
      <c r="AF316" s="321" t="str">
        <f t="shared" si="133"/>
        <v>X-COLSHOTE</v>
      </c>
      <c r="AG316" s="321">
        <f t="shared" si="124"/>
        <v>8</v>
      </c>
      <c r="AH316" s="321">
        <f>IF(B316&lt;&gt;"",IF(H316="x",VLOOKUP(I316,'AUX-NIV3'!B:AG,32,FALSE),0),"")</f>
        <v>0</v>
      </c>
      <c r="AI316" s="321" t="str">
        <f t="shared" si="134"/>
        <v>X-COLSHOT</v>
      </c>
      <c r="AJ316" s="320"/>
      <c r="AK316" s="322">
        <f t="shared" si="125"/>
        <v>311</v>
      </c>
      <c r="AL316" s="323">
        <f t="shared" si="135"/>
        <v>318</v>
      </c>
      <c r="AM316" s="322">
        <f t="shared" si="136"/>
        <v>6</v>
      </c>
      <c r="AN316" s="380">
        <f>IF(AND(AH316&gt;0,B316&lt;&gt;""),VLOOKUP(I316,'AUX-NIV3'!$B:$AO,39,FALSE)*O316,0)</f>
        <v>0</v>
      </c>
      <c r="AO316" s="380">
        <f t="shared" si="126"/>
        <v>1.5</v>
      </c>
      <c r="AP316" s="380"/>
    </row>
    <row r="317" spans="2:42" ht="14.4" hidden="1" thickTop="1" thickBot="1">
      <c r="B317" s="324" t="s">
        <v>1293</v>
      </c>
      <c r="C317" s="325" t="s">
        <v>43</v>
      </c>
      <c r="D317" s="326" t="s">
        <v>1160</v>
      </c>
      <c r="E317" s="327">
        <f>IF(B317&lt;&gt;"",SUMIF('AUX-NIV1'!I:I,'AUX-NIV2'!B317,'AUX-NIV1'!Q:Q),"")</f>
        <v>0</v>
      </c>
      <c r="F317" s="327">
        <f t="shared" si="116"/>
        <v>2816.3656007845702</v>
      </c>
      <c r="G317" s="327">
        <f t="shared" si="117"/>
        <v>0</v>
      </c>
      <c r="H317" s="328" t="str">
        <f t="shared" si="137"/>
        <v>E</v>
      </c>
      <c r="I317" s="325" t="s">
        <v>3302</v>
      </c>
      <c r="J317" s="329" t="str">
        <f>IF(B317&lt;&gt;"",+VLOOKUP(I317,Recursos!C:F,2,FALSE),"")</f>
        <v>SHOTCRETERA VIA HUMEDA</v>
      </c>
      <c r="K317" s="330" t="str">
        <f>IF(B317&lt;&gt;"",+VLOOKUP(I317,Recursos!C:F,3,FALSE),"")</f>
        <v>HR</v>
      </c>
      <c r="L317" s="327">
        <f>IF(B317&lt;&gt;"",+VLOOKUP(I317,Recursos!C:F,4,FALSE),"")</f>
        <v>9560.2435161290305</v>
      </c>
      <c r="M317" s="331">
        <v>6</v>
      </c>
      <c r="N317" s="331">
        <v>1</v>
      </c>
      <c r="O317" s="433">
        <f t="shared" si="144"/>
        <v>0.16666666666666666</v>
      </c>
      <c r="P317" s="333">
        <f t="shared" si="138"/>
        <v>1593.3739193548383</v>
      </c>
      <c r="Q317" s="327">
        <f t="shared" si="139"/>
        <v>0</v>
      </c>
      <c r="R317" s="334">
        <f t="shared" si="140"/>
        <v>0</v>
      </c>
      <c r="S317" s="358">
        <f t="shared" si="118"/>
        <v>697.16944809639836</v>
      </c>
      <c r="T317" s="358">
        <f t="shared" si="119"/>
        <v>2118.1961526881714</v>
      </c>
      <c r="U317" s="359">
        <f t="shared" si="120"/>
        <v>1</v>
      </c>
      <c r="V317" s="359">
        <f t="shared" si="121"/>
        <v>0</v>
      </c>
      <c r="W317" s="359">
        <f t="shared" si="122"/>
        <v>0</v>
      </c>
      <c r="X317" s="359">
        <f t="shared" si="123"/>
        <v>0</v>
      </c>
      <c r="Y317" s="320"/>
      <c r="Z317" s="321" t="str">
        <f t="shared" si="127"/>
        <v>X-COLSHOTA</v>
      </c>
      <c r="AA317" s="321" t="str">
        <f t="shared" si="128"/>
        <v>X-COLSHOTE</v>
      </c>
      <c r="AB317" s="321" t="str">
        <f t="shared" si="129"/>
        <v>X-COLSHOTM</v>
      </c>
      <c r="AC317" s="321" t="str">
        <f t="shared" si="130"/>
        <v>X-COLSHOTT</v>
      </c>
      <c r="AD317" s="321" t="str">
        <f t="shared" si="131"/>
        <v>X-COLSHOTS</v>
      </c>
      <c r="AE317" s="321" t="str">
        <f t="shared" si="132"/>
        <v>X-COLSHOTX</v>
      </c>
      <c r="AF317" s="321" t="str">
        <f t="shared" si="133"/>
        <v>X-COLSHOTE</v>
      </c>
      <c r="AG317" s="321">
        <f t="shared" si="124"/>
        <v>8</v>
      </c>
      <c r="AH317" s="321">
        <f>IF(B317&lt;&gt;"",IF(H317="x",VLOOKUP(I317,'AUX-NIV3'!B:AG,32,FALSE),0),"")</f>
        <v>0</v>
      </c>
      <c r="AI317" s="321" t="str">
        <f t="shared" si="134"/>
        <v>X-COLSHOT</v>
      </c>
      <c r="AJ317" s="320"/>
      <c r="AK317" s="322">
        <f t="shared" si="125"/>
        <v>311</v>
      </c>
      <c r="AL317" s="323">
        <f t="shared" si="135"/>
        <v>318</v>
      </c>
      <c r="AM317" s="322">
        <f t="shared" si="136"/>
        <v>7</v>
      </c>
      <c r="AN317" s="380">
        <f>IF(AND(AH317&gt;0,B317&lt;&gt;""),VLOOKUP(I317,'AUX-NIV3'!$B:$AO,39,FALSE)*O317,0)</f>
        <v>0</v>
      </c>
      <c r="AO317" s="380">
        <f t="shared" si="126"/>
        <v>1.5</v>
      </c>
      <c r="AP317" s="380"/>
    </row>
    <row r="318" spans="2:42" ht="14.4" hidden="1" thickTop="1" thickBot="1">
      <c r="B318" s="324" t="s">
        <v>1293</v>
      </c>
      <c r="C318" s="325" t="s">
        <v>43</v>
      </c>
      <c r="D318" s="326" t="s">
        <v>1160</v>
      </c>
      <c r="E318" s="327">
        <f>IF(B318&lt;&gt;"",SUMIF('AUX-NIV1'!I:I,'AUX-NIV2'!B318,'AUX-NIV1'!Q:Q),"")</f>
        <v>0</v>
      </c>
      <c r="F318" s="327">
        <f t="shared" si="116"/>
        <v>2816.3656007845702</v>
      </c>
      <c r="G318" s="327">
        <f t="shared" si="117"/>
        <v>0</v>
      </c>
      <c r="H318" s="328" t="str">
        <f t="shared" si="137"/>
        <v>M</v>
      </c>
      <c r="I318" s="325" t="s">
        <v>621</v>
      </c>
      <c r="J318" s="329" t="str">
        <f>IF(B318&lt;&gt;"",+VLOOKUP(I318,Recursos!C:F,2,FALSE),"")</f>
        <v>MATERIALES VARIOS</v>
      </c>
      <c r="K318" s="330" t="str">
        <f>IF(B318&lt;&gt;"",+VLOOKUP(I318,Recursos!C:F,3,FALSE),"")</f>
        <v>GL</v>
      </c>
      <c r="L318" s="327">
        <f>IF(B318&lt;&gt;"",+VLOOKUP(I318,Recursos!C:F,4,FALSE),"")</f>
        <v>0.5</v>
      </c>
      <c r="M318" s="331">
        <v>2</v>
      </c>
      <c r="N318" s="331">
        <v>1</v>
      </c>
      <c r="O318" s="433">
        <f>+M318*N318</f>
        <v>2</v>
      </c>
      <c r="P318" s="333">
        <f t="shared" si="138"/>
        <v>1</v>
      </c>
      <c r="Q318" s="327">
        <f t="shared" si="139"/>
        <v>0</v>
      </c>
      <c r="R318" s="334">
        <f t="shared" si="140"/>
        <v>0</v>
      </c>
      <c r="S318" s="358">
        <f t="shared" si="118"/>
        <v>697.16944809639836</v>
      </c>
      <c r="T318" s="358">
        <f t="shared" si="119"/>
        <v>2118.1961526881714</v>
      </c>
      <c r="U318" s="359">
        <f t="shared" si="120"/>
        <v>1</v>
      </c>
      <c r="V318" s="359">
        <f t="shared" si="121"/>
        <v>0</v>
      </c>
      <c r="W318" s="359">
        <f t="shared" si="122"/>
        <v>0</v>
      </c>
      <c r="X318" s="359">
        <f t="shared" si="123"/>
        <v>0</v>
      </c>
      <c r="Y318" s="320"/>
      <c r="Z318" s="321" t="str">
        <f t="shared" si="127"/>
        <v>X-COLSHOTA</v>
      </c>
      <c r="AA318" s="321" t="str">
        <f t="shared" si="128"/>
        <v>X-COLSHOTE</v>
      </c>
      <c r="AB318" s="321" t="str">
        <f t="shared" si="129"/>
        <v>X-COLSHOTM</v>
      </c>
      <c r="AC318" s="321" t="str">
        <f t="shared" si="130"/>
        <v>X-COLSHOTT</v>
      </c>
      <c r="AD318" s="321" t="str">
        <f t="shared" si="131"/>
        <v>X-COLSHOTS</v>
      </c>
      <c r="AE318" s="321" t="str">
        <f t="shared" si="132"/>
        <v>X-COLSHOTX</v>
      </c>
      <c r="AF318" s="321" t="str">
        <f t="shared" si="133"/>
        <v>X-COLSHOTM</v>
      </c>
      <c r="AG318" s="321">
        <f t="shared" si="124"/>
        <v>8</v>
      </c>
      <c r="AH318" s="321">
        <f>IF(B318&lt;&gt;"",IF(H318="x",VLOOKUP(I318,'AUX-NIV3'!B:AG,32,FALSE),0),"")</f>
        <v>0</v>
      </c>
      <c r="AI318" s="321" t="str">
        <f t="shared" si="134"/>
        <v>X-COLSHOT</v>
      </c>
      <c r="AJ318" s="320"/>
      <c r="AK318" s="322">
        <f t="shared" si="125"/>
        <v>311</v>
      </c>
      <c r="AL318" s="323">
        <f t="shared" si="135"/>
        <v>318</v>
      </c>
      <c r="AM318" s="322">
        <f t="shared" si="136"/>
        <v>8</v>
      </c>
      <c r="AN318" s="380">
        <f>IF(AND(AH318&gt;0,B318&lt;&gt;""),VLOOKUP(I318,'AUX-NIV3'!$B:$AO,39,FALSE)*O318,0)</f>
        <v>0</v>
      </c>
      <c r="AO318" s="380">
        <f t="shared" si="126"/>
        <v>1.5</v>
      </c>
      <c r="AP318" s="380"/>
    </row>
    <row r="319" spans="2:42" ht="14.4" hidden="1" thickTop="1" thickBot="1">
      <c r="B319" s="324" t="s">
        <v>1294</v>
      </c>
      <c r="C319" s="325" t="s">
        <v>44</v>
      </c>
      <c r="D319" s="326" t="s">
        <v>1160</v>
      </c>
      <c r="E319" s="327">
        <f>IF(B319&lt;&gt;"",SUMIF('AUX-NIV1'!I:I,'AUX-NIV2'!B319,'AUX-NIV1'!Q:Q),"")</f>
        <v>0</v>
      </c>
      <c r="F319" s="327">
        <f t="shared" si="116"/>
        <v>272.07313983093479</v>
      </c>
      <c r="G319" s="327">
        <f t="shared" si="117"/>
        <v>0</v>
      </c>
      <c r="H319" s="328" t="str">
        <f t="shared" si="137"/>
        <v>A</v>
      </c>
      <c r="I319" s="325" t="s">
        <v>1745</v>
      </c>
      <c r="J319" s="329" t="str">
        <f>IF(B319&lt;&gt;"",+VLOOKUP(I319,Recursos!C:F,2,FALSE),"")</f>
        <v>AYUDANTE</v>
      </c>
      <c r="K319" s="330" t="str">
        <f>IF(B319&lt;&gt;"",+VLOOKUP(I319,Recursos!C:F,3,FALSE),"")</f>
        <v>hh</v>
      </c>
      <c r="L319" s="327">
        <f>IF(B319&lt;&gt;"",+VLOOKUP(I319,Recursos!C:F,4,FALSE),"")</f>
        <v>422.48042769667234</v>
      </c>
      <c r="M319" s="331">
        <v>0.01</v>
      </c>
      <c r="N319" s="331">
        <v>4.8</v>
      </c>
      <c r="O319" s="332">
        <v>4.8000000000000001E-2</v>
      </c>
      <c r="P319" s="333">
        <f t="shared" si="138"/>
        <v>20.279060529440272</v>
      </c>
      <c r="Q319" s="327">
        <f t="shared" si="139"/>
        <v>0</v>
      </c>
      <c r="R319" s="334">
        <f t="shared" si="140"/>
        <v>0</v>
      </c>
      <c r="S319" s="358">
        <f t="shared" si="118"/>
        <v>73.983778554975174</v>
      </c>
      <c r="T319" s="358">
        <f t="shared" si="119"/>
        <v>197.58936127595962</v>
      </c>
      <c r="U319" s="359">
        <f t="shared" si="120"/>
        <v>0.5</v>
      </c>
      <c r="V319" s="359">
        <f t="shared" si="121"/>
        <v>0</v>
      </c>
      <c r="W319" s="359">
        <f t="shared" si="122"/>
        <v>0</v>
      </c>
      <c r="X319" s="359">
        <f t="shared" si="123"/>
        <v>0</v>
      </c>
      <c r="Y319" s="320"/>
      <c r="Z319" s="321" t="str">
        <f t="shared" si="127"/>
        <v>X-PRODHpta1A</v>
      </c>
      <c r="AA319" s="321" t="str">
        <f t="shared" si="128"/>
        <v>X-PRODHpta1E</v>
      </c>
      <c r="AB319" s="321" t="str">
        <f t="shared" si="129"/>
        <v>X-PRODHpta1M</v>
      </c>
      <c r="AC319" s="321" t="str">
        <f t="shared" si="130"/>
        <v>X-PRODHpta1T</v>
      </c>
      <c r="AD319" s="321" t="str">
        <f t="shared" si="131"/>
        <v>X-PRODHpta1S</v>
      </c>
      <c r="AE319" s="321" t="str">
        <f t="shared" si="132"/>
        <v>X-PRODHpta1X</v>
      </c>
      <c r="AF319" s="321" t="str">
        <f t="shared" si="133"/>
        <v>X-PRODHpta1A</v>
      </c>
      <c r="AG319" s="321">
        <f t="shared" si="124"/>
        <v>12</v>
      </c>
      <c r="AH319" s="321">
        <f>IF(B319&lt;&gt;"",IF(H319="x",VLOOKUP(I319,'AUX-NIV3'!B:AG,32,FALSE),0),"")</f>
        <v>0</v>
      </c>
      <c r="AI319" s="321" t="str">
        <f t="shared" si="134"/>
        <v>X-PRODHpta1</v>
      </c>
      <c r="AJ319" s="320"/>
      <c r="AK319" s="322">
        <f t="shared" si="125"/>
        <v>319</v>
      </c>
      <c r="AL319" s="323">
        <f t="shared" si="135"/>
        <v>330</v>
      </c>
      <c r="AM319" s="322">
        <f t="shared" si="136"/>
        <v>1</v>
      </c>
      <c r="AN319" s="380">
        <f>IF(AND(AH319&gt;0,B319&lt;&gt;""),VLOOKUP(I319,'AUX-NIV3'!$B:$AO,39,FALSE)*O319,0)</f>
        <v>0</v>
      </c>
      <c r="AO319" s="380">
        <f t="shared" si="126"/>
        <v>0.14448000000000003</v>
      </c>
      <c r="AP319" s="380"/>
    </row>
    <row r="320" spans="2:42" ht="14.4" hidden="1" thickTop="1" thickBot="1">
      <c r="B320" s="324" t="s">
        <v>1294</v>
      </c>
      <c r="C320" s="325" t="s">
        <v>44</v>
      </c>
      <c r="D320" s="326" t="s">
        <v>1160</v>
      </c>
      <c r="E320" s="327">
        <f>IF(B320&lt;&gt;"",SUMIF('AUX-NIV1'!I:I,'AUX-NIV2'!B320,'AUX-NIV1'!Q:Q),"")</f>
        <v>0</v>
      </c>
      <c r="F320" s="327">
        <f t="shared" si="116"/>
        <v>272.07313983093479</v>
      </c>
      <c r="G320" s="327">
        <f t="shared" si="117"/>
        <v>0</v>
      </c>
      <c r="H320" s="328" t="str">
        <f t="shared" si="137"/>
        <v>A</v>
      </c>
      <c r="I320" s="325" t="s">
        <v>1746</v>
      </c>
      <c r="J320" s="329" t="str">
        <f>IF(B320&lt;&gt;"",+VLOOKUP(I320,Recursos!C:F,2,FALSE),"")</f>
        <v>OFICIAL</v>
      </c>
      <c r="K320" s="330" t="str">
        <f>IF(B320&lt;&gt;"",+VLOOKUP(I320,Recursos!C:F,3,FALSE),"")</f>
        <v>hh</v>
      </c>
      <c r="L320" s="327">
        <f>IF(B320&lt;&gt;"",+VLOOKUP(I320,Recursos!C:F,4,FALSE),"")</f>
        <v>496.91595439275824</v>
      </c>
      <c r="M320" s="331">
        <v>0.01</v>
      </c>
      <c r="N320" s="331">
        <v>2.8</v>
      </c>
      <c r="O320" s="332">
        <v>2.8000000000000001E-2</v>
      </c>
      <c r="P320" s="333">
        <f t="shared" si="138"/>
        <v>13.913646722997232</v>
      </c>
      <c r="Q320" s="327">
        <f t="shared" si="139"/>
        <v>0</v>
      </c>
      <c r="R320" s="334">
        <f t="shared" si="140"/>
        <v>0</v>
      </c>
      <c r="S320" s="358">
        <f t="shared" si="118"/>
        <v>73.983778554975174</v>
      </c>
      <c r="T320" s="358">
        <f t="shared" si="119"/>
        <v>197.58936127595962</v>
      </c>
      <c r="U320" s="359">
        <f t="shared" si="120"/>
        <v>0.5</v>
      </c>
      <c r="V320" s="359">
        <f t="shared" si="121"/>
        <v>0</v>
      </c>
      <c r="W320" s="359">
        <f t="shared" si="122"/>
        <v>0</v>
      </c>
      <c r="X320" s="359">
        <f t="shared" si="123"/>
        <v>0</v>
      </c>
      <c r="Y320" s="320"/>
      <c r="Z320" s="321" t="str">
        <f t="shared" si="127"/>
        <v>X-PRODHpta1A</v>
      </c>
      <c r="AA320" s="321" t="str">
        <f t="shared" si="128"/>
        <v>X-PRODHpta1E</v>
      </c>
      <c r="AB320" s="321" t="str">
        <f t="shared" si="129"/>
        <v>X-PRODHpta1M</v>
      </c>
      <c r="AC320" s="321" t="str">
        <f t="shared" si="130"/>
        <v>X-PRODHpta1T</v>
      </c>
      <c r="AD320" s="321" t="str">
        <f t="shared" si="131"/>
        <v>X-PRODHpta1S</v>
      </c>
      <c r="AE320" s="321" t="str">
        <f t="shared" si="132"/>
        <v>X-PRODHpta1X</v>
      </c>
      <c r="AF320" s="321" t="str">
        <f t="shared" si="133"/>
        <v>X-PRODHpta1A</v>
      </c>
      <c r="AG320" s="321">
        <f t="shared" si="124"/>
        <v>12</v>
      </c>
      <c r="AH320" s="321">
        <f>IF(B320&lt;&gt;"",IF(H320="x",VLOOKUP(I320,'AUX-NIV3'!B:AG,32,FALSE),0),"")</f>
        <v>0</v>
      </c>
      <c r="AI320" s="321" t="str">
        <f t="shared" si="134"/>
        <v>X-PRODHpta1</v>
      </c>
      <c r="AJ320" s="320"/>
      <c r="AK320" s="322">
        <f t="shared" si="125"/>
        <v>319</v>
      </c>
      <c r="AL320" s="323">
        <f t="shared" si="135"/>
        <v>330</v>
      </c>
      <c r="AM320" s="322">
        <f t="shared" si="136"/>
        <v>2</v>
      </c>
      <c r="AN320" s="380">
        <f>IF(AND(AH320&gt;0,B320&lt;&gt;""),VLOOKUP(I320,'AUX-NIV3'!$B:$AO,39,FALSE)*O320,0)</f>
        <v>0</v>
      </c>
      <c r="AO320" s="380">
        <f t="shared" si="126"/>
        <v>0.14448000000000003</v>
      </c>
      <c r="AP320" s="380"/>
    </row>
    <row r="321" spans="2:42" ht="14.4" hidden="1" thickTop="1" thickBot="1">
      <c r="B321" s="324" t="s">
        <v>1294</v>
      </c>
      <c r="C321" s="325" t="s">
        <v>44</v>
      </c>
      <c r="D321" s="326" t="s">
        <v>1160</v>
      </c>
      <c r="E321" s="327">
        <f>IF(B321&lt;&gt;"",SUMIF('AUX-NIV1'!I:I,'AUX-NIV2'!B321,'AUX-NIV1'!Q:Q),"")</f>
        <v>0</v>
      </c>
      <c r="F321" s="327">
        <f t="shared" si="116"/>
        <v>272.07313983093479</v>
      </c>
      <c r="G321" s="327">
        <f t="shared" si="117"/>
        <v>0</v>
      </c>
      <c r="H321" s="328" t="str">
        <f t="shared" si="137"/>
        <v>A</v>
      </c>
      <c r="I321" s="325" t="s">
        <v>3310</v>
      </c>
      <c r="J321" s="329" t="str">
        <f>IF(B321&lt;&gt;"",+VLOOKUP(I321,Recursos!C:F,2,FALSE),"")</f>
        <v>OFICIAL ESPECIALIZADO</v>
      </c>
      <c r="K321" s="330" t="str">
        <f>IF(B321&lt;&gt;"",+VLOOKUP(I321,Recursos!C:F,3,FALSE),"")</f>
        <v>hh</v>
      </c>
      <c r="L321" s="327">
        <f>IF(B321&lt;&gt;"",+VLOOKUP(I321,Recursos!C:F,4,FALSE),"")</f>
        <v>581.06120476836554</v>
      </c>
      <c r="M321" s="331">
        <v>3.2000000000000001E-2</v>
      </c>
      <c r="N321" s="331">
        <v>1.2</v>
      </c>
      <c r="O321" s="332">
        <v>3.8399999999999997E-2</v>
      </c>
      <c r="P321" s="333">
        <f t="shared" si="138"/>
        <v>22.312750263105237</v>
      </c>
      <c r="Q321" s="327">
        <f t="shared" si="139"/>
        <v>0</v>
      </c>
      <c r="R321" s="334">
        <f t="shared" si="140"/>
        <v>0</v>
      </c>
      <c r="S321" s="358">
        <f t="shared" si="118"/>
        <v>73.983778554975174</v>
      </c>
      <c r="T321" s="358">
        <f t="shared" si="119"/>
        <v>197.58936127595962</v>
      </c>
      <c r="U321" s="359">
        <f t="shared" si="120"/>
        <v>0.5</v>
      </c>
      <c r="V321" s="359">
        <f t="shared" si="121"/>
        <v>0</v>
      </c>
      <c r="W321" s="359">
        <f t="shared" si="122"/>
        <v>0</v>
      </c>
      <c r="X321" s="359">
        <f t="shared" si="123"/>
        <v>0</v>
      </c>
      <c r="Y321" s="320"/>
      <c r="Z321" s="321" t="str">
        <f t="shared" si="127"/>
        <v>X-PRODHpta1A</v>
      </c>
      <c r="AA321" s="321" t="str">
        <f t="shared" si="128"/>
        <v>X-PRODHpta1E</v>
      </c>
      <c r="AB321" s="321" t="str">
        <f t="shared" si="129"/>
        <v>X-PRODHpta1M</v>
      </c>
      <c r="AC321" s="321" t="str">
        <f t="shared" si="130"/>
        <v>X-PRODHpta1T</v>
      </c>
      <c r="AD321" s="321" t="str">
        <f t="shared" si="131"/>
        <v>X-PRODHpta1S</v>
      </c>
      <c r="AE321" s="321" t="str">
        <f t="shared" si="132"/>
        <v>X-PRODHpta1X</v>
      </c>
      <c r="AF321" s="321" t="str">
        <f t="shared" si="133"/>
        <v>X-PRODHpta1A</v>
      </c>
      <c r="AG321" s="321">
        <f t="shared" si="124"/>
        <v>12</v>
      </c>
      <c r="AH321" s="321">
        <f>IF(B321&lt;&gt;"",IF(H321="x",VLOOKUP(I321,'AUX-NIV3'!B:AG,32,FALSE),0),"")</f>
        <v>0</v>
      </c>
      <c r="AI321" s="321" t="str">
        <f t="shared" si="134"/>
        <v>X-PRODHpta1</v>
      </c>
      <c r="AJ321" s="320"/>
      <c r="AK321" s="322">
        <f t="shared" si="125"/>
        <v>319</v>
      </c>
      <c r="AL321" s="323">
        <f t="shared" si="135"/>
        <v>330</v>
      </c>
      <c r="AM321" s="322">
        <f t="shared" si="136"/>
        <v>3</v>
      </c>
      <c r="AN321" s="380">
        <f>IF(AND(AH321&gt;0,B321&lt;&gt;""),VLOOKUP(I321,'AUX-NIV3'!$B:$AO,39,FALSE)*O321,0)</f>
        <v>0</v>
      </c>
      <c r="AO321" s="380">
        <f t="shared" si="126"/>
        <v>0.14448000000000003</v>
      </c>
      <c r="AP321" s="380"/>
    </row>
    <row r="322" spans="2:42" ht="14.4" hidden="1" thickTop="1" thickBot="1">
      <c r="B322" s="324" t="s">
        <v>1294</v>
      </c>
      <c r="C322" s="325" t="s">
        <v>44</v>
      </c>
      <c r="D322" s="326" t="s">
        <v>1160</v>
      </c>
      <c r="E322" s="327">
        <f>IF(B322&lt;&gt;"",SUMIF('AUX-NIV1'!I:I,'AUX-NIV2'!B322,'AUX-NIV1'!Q:Q),"")</f>
        <v>0</v>
      </c>
      <c r="F322" s="327">
        <f t="shared" si="116"/>
        <v>272.07313983093479</v>
      </c>
      <c r="G322" s="327">
        <f t="shared" si="117"/>
        <v>0</v>
      </c>
      <c r="H322" s="328" t="str">
        <f t="shared" si="137"/>
        <v>A</v>
      </c>
      <c r="I322" s="325" t="s">
        <v>3311</v>
      </c>
      <c r="J322" s="329" t="str">
        <f>IF(B322&lt;&gt;"",+VLOOKUP(I322,Recursos!C:F,2,FALSE),"")</f>
        <v>OPER. EQUIPO</v>
      </c>
      <c r="K322" s="330" t="str">
        <f>IF(B322&lt;&gt;"",+VLOOKUP(I322,Recursos!C:F,3,FALSE),"")</f>
        <v>hh</v>
      </c>
      <c r="L322" s="327">
        <f>IF(B322&lt;&gt;"",+VLOOKUP(I322,Recursos!C:F,4,FALSE),"")</f>
        <v>581.06120476836554</v>
      </c>
      <c r="M322" s="331">
        <v>6.7000000000000002E-3</v>
      </c>
      <c r="N322" s="331">
        <v>2.4</v>
      </c>
      <c r="O322" s="332">
        <v>1.6080000000000001E-2</v>
      </c>
      <c r="P322" s="333">
        <f t="shared" si="138"/>
        <v>9.3434641726753185</v>
      </c>
      <c r="Q322" s="327">
        <f t="shared" si="139"/>
        <v>0</v>
      </c>
      <c r="R322" s="334">
        <f t="shared" si="140"/>
        <v>0</v>
      </c>
      <c r="S322" s="358">
        <f t="shared" si="118"/>
        <v>73.983778554975174</v>
      </c>
      <c r="T322" s="358">
        <f t="shared" si="119"/>
        <v>197.58936127595962</v>
      </c>
      <c r="U322" s="359">
        <f t="shared" si="120"/>
        <v>0.5</v>
      </c>
      <c r="V322" s="359">
        <f t="shared" si="121"/>
        <v>0</v>
      </c>
      <c r="W322" s="359">
        <f t="shared" si="122"/>
        <v>0</v>
      </c>
      <c r="X322" s="359">
        <f t="shared" si="123"/>
        <v>0</v>
      </c>
      <c r="Y322" s="320"/>
      <c r="Z322" s="321" t="str">
        <f t="shared" si="127"/>
        <v>X-PRODHpta1A</v>
      </c>
      <c r="AA322" s="321" t="str">
        <f t="shared" si="128"/>
        <v>X-PRODHpta1E</v>
      </c>
      <c r="AB322" s="321" t="str">
        <f t="shared" si="129"/>
        <v>X-PRODHpta1M</v>
      </c>
      <c r="AC322" s="321" t="str">
        <f t="shared" si="130"/>
        <v>X-PRODHpta1T</v>
      </c>
      <c r="AD322" s="321" t="str">
        <f t="shared" si="131"/>
        <v>X-PRODHpta1S</v>
      </c>
      <c r="AE322" s="321" t="str">
        <f t="shared" si="132"/>
        <v>X-PRODHpta1X</v>
      </c>
      <c r="AF322" s="321" t="str">
        <f t="shared" si="133"/>
        <v>X-PRODHpta1A</v>
      </c>
      <c r="AG322" s="321">
        <f t="shared" si="124"/>
        <v>12</v>
      </c>
      <c r="AH322" s="321">
        <f>IF(B322&lt;&gt;"",IF(H322="x",VLOOKUP(I322,'AUX-NIV3'!B:AG,32,FALSE),0),"")</f>
        <v>0</v>
      </c>
      <c r="AI322" s="321" t="str">
        <f t="shared" si="134"/>
        <v>X-PRODHpta1</v>
      </c>
      <c r="AJ322" s="320"/>
      <c r="AK322" s="322">
        <f t="shared" si="125"/>
        <v>319</v>
      </c>
      <c r="AL322" s="323">
        <f t="shared" si="135"/>
        <v>330</v>
      </c>
      <c r="AM322" s="322">
        <f t="shared" si="136"/>
        <v>4</v>
      </c>
      <c r="AN322" s="380">
        <f>IF(AND(AH322&gt;0,B322&lt;&gt;""),VLOOKUP(I322,'AUX-NIV3'!$B:$AO,39,FALSE)*O322,0)</f>
        <v>0</v>
      </c>
      <c r="AO322" s="380">
        <f t="shared" si="126"/>
        <v>0.14448000000000003</v>
      </c>
      <c r="AP322" s="380"/>
    </row>
    <row r="323" spans="2:42" ht="14.4" hidden="1" thickTop="1" thickBot="1">
      <c r="B323" s="324" t="s">
        <v>1294</v>
      </c>
      <c r="C323" s="325" t="s">
        <v>44</v>
      </c>
      <c r="D323" s="326" t="s">
        <v>1160</v>
      </c>
      <c r="E323" s="327">
        <f>IF(B323&lt;&gt;"",SUMIF('AUX-NIV1'!I:I,'AUX-NIV2'!B323,'AUX-NIV1'!Q:Q),"")</f>
        <v>0</v>
      </c>
      <c r="F323" s="327">
        <f t="shared" si="116"/>
        <v>272.07313983093479</v>
      </c>
      <c r="G323" s="327">
        <f t="shared" si="117"/>
        <v>0</v>
      </c>
      <c r="H323" s="328" t="str">
        <f t="shared" si="137"/>
        <v>A</v>
      </c>
      <c r="I323" s="325" t="s">
        <v>3311</v>
      </c>
      <c r="J323" s="329" t="str">
        <f>IF(B323&lt;&gt;"",+VLOOKUP(I323,Recursos!C:F,2,FALSE),"")</f>
        <v>OPER. EQUIPO</v>
      </c>
      <c r="K323" s="330" t="str">
        <f>IF(B323&lt;&gt;"",+VLOOKUP(I323,Recursos!C:F,3,FALSE),"")</f>
        <v>hh</v>
      </c>
      <c r="L323" s="327">
        <f>IF(B323&lt;&gt;"",+VLOOKUP(I323,Recursos!C:F,4,FALSE),"")</f>
        <v>581.06120476836554</v>
      </c>
      <c r="M323" s="331">
        <v>0.01</v>
      </c>
      <c r="N323" s="331">
        <v>1.4</v>
      </c>
      <c r="O323" s="332">
        <v>1.4E-2</v>
      </c>
      <c r="P323" s="333">
        <f t="shared" si="138"/>
        <v>8.1348568667571186</v>
      </c>
      <c r="Q323" s="327">
        <f t="shared" si="139"/>
        <v>0</v>
      </c>
      <c r="R323" s="334">
        <f t="shared" si="140"/>
        <v>0</v>
      </c>
      <c r="S323" s="358">
        <f t="shared" si="118"/>
        <v>73.983778554975174</v>
      </c>
      <c r="T323" s="358">
        <f t="shared" si="119"/>
        <v>197.58936127595962</v>
      </c>
      <c r="U323" s="359">
        <f t="shared" si="120"/>
        <v>0.5</v>
      </c>
      <c r="V323" s="359">
        <f t="shared" si="121"/>
        <v>0</v>
      </c>
      <c r="W323" s="359">
        <f t="shared" si="122"/>
        <v>0</v>
      </c>
      <c r="X323" s="359">
        <f t="shared" si="123"/>
        <v>0</v>
      </c>
      <c r="Y323" s="320"/>
      <c r="Z323" s="321" t="str">
        <f t="shared" si="127"/>
        <v>X-PRODHpta1A</v>
      </c>
      <c r="AA323" s="321" t="str">
        <f t="shared" si="128"/>
        <v>X-PRODHpta1E</v>
      </c>
      <c r="AB323" s="321" t="str">
        <f t="shared" si="129"/>
        <v>X-PRODHpta1M</v>
      </c>
      <c r="AC323" s="321" t="str">
        <f t="shared" si="130"/>
        <v>X-PRODHpta1T</v>
      </c>
      <c r="AD323" s="321" t="str">
        <f t="shared" si="131"/>
        <v>X-PRODHpta1S</v>
      </c>
      <c r="AE323" s="321" t="str">
        <f t="shared" si="132"/>
        <v>X-PRODHpta1X</v>
      </c>
      <c r="AF323" s="321" t="str">
        <f t="shared" si="133"/>
        <v>X-PRODHpta1A</v>
      </c>
      <c r="AG323" s="321">
        <f t="shared" si="124"/>
        <v>12</v>
      </c>
      <c r="AH323" s="321">
        <f>IF(B323&lt;&gt;"",IF(H323="x",VLOOKUP(I323,'AUX-NIV3'!B:AG,32,FALSE),0),"")</f>
        <v>0</v>
      </c>
      <c r="AI323" s="321" t="str">
        <f t="shared" si="134"/>
        <v>X-PRODHpta1</v>
      </c>
      <c r="AJ323" s="320"/>
      <c r="AK323" s="322">
        <f t="shared" si="125"/>
        <v>319</v>
      </c>
      <c r="AL323" s="323">
        <f t="shared" si="135"/>
        <v>330</v>
      </c>
      <c r="AM323" s="322">
        <f t="shared" si="136"/>
        <v>5</v>
      </c>
      <c r="AN323" s="380">
        <f>IF(AND(AH323&gt;0,B323&lt;&gt;""),VLOOKUP(I323,'AUX-NIV3'!$B:$AO,39,FALSE)*O323,0)</f>
        <v>0</v>
      </c>
      <c r="AO323" s="380">
        <f t="shared" si="126"/>
        <v>0.14448000000000003</v>
      </c>
      <c r="AP323" s="380"/>
    </row>
    <row r="324" spans="2:42" ht="14.4" hidden="1" thickTop="1" thickBot="1">
      <c r="B324" s="324" t="s">
        <v>1294</v>
      </c>
      <c r="C324" s="325" t="s">
        <v>44</v>
      </c>
      <c r="D324" s="326" t="s">
        <v>1160</v>
      </c>
      <c r="E324" s="327">
        <f>IF(B324&lt;&gt;"",SUMIF('AUX-NIV1'!I:I,'AUX-NIV2'!B324,'AUX-NIV1'!Q:Q),"")</f>
        <v>0</v>
      </c>
      <c r="F324" s="327">
        <f t="shared" si="116"/>
        <v>272.07313983093479</v>
      </c>
      <c r="G324" s="327">
        <f t="shared" si="117"/>
        <v>0</v>
      </c>
      <c r="H324" s="328" t="str">
        <f t="shared" si="137"/>
        <v>E</v>
      </c>
      <c r="I324" s="325" t="s">
        <v>1630</v>
      </c>
      <c r="J324" s="329" t="str">
        <f>IF(B324&lt;&gt;"",+VLOOKUP(I324,Recursos!C:F,2,FALSE),"")</f>
        <v>PLANTA ELAB. HORMIGON (90-120 M3/H)</v>
      </c>
      <c r="K324" s="330" t="str">
        <f>IF(B324&lt;&gt;"",+VLOOKUP(I324,Recursos!C:F,3,FALSE),"")</f>
        <v>HR</v>
      </c>
      <c r="L324" s="327">
        <f>IF(B324&lt;&gt;"",+VLOOKUP(I324,Recursos!C:F,4,FALSE),"")</f>
        <v>3918.7200000000003</v>
      </c>
      <c r="M324" s="331">
        <v>0.01</v>
      </c>
      <c r="N324" s="331">
        <v>1</v>
      </c>
      <c r="O324" s="332">
        <v>0.01</v>
      </c>
      <c r="P324" s="333">
        <f t="shared" si="138"/>
        <v>39.187200000000004</v>
      </c>
      <c r="Q324" s="327">
        <f t="shared" si="139"/>
        <v>0</v>
      </c>
      <c r="R324" s="334">
        <f t="shared" si="140"/>
        <v>0</v>
      </c>
      <c r="S324" s="358">
        <f t="shared" si="118"/>
        <v>73.983778554975174</v>
      </c>
      <c r="T324" s="358">
        <f t="shared" si="119"/>
        <v>197.58936127595962</v>
      </c>
      <c r="U324" s="359">
        <f t="shared" si="120"/>
        <v>0.5</v>
      </c>
      <c r="V324" s="359">
        <f t="shared" si="121"/>
        <v>0</v>
      </c>
      <c r="W324" s="359">
        <f t="shared" si="122"/>
        <v>0</v>
      </c>
      <c r="X324" s="359">
        <f t="shared" si="123"/>
        <v>0</v>
      </c>
      <c r="Y324" s="320"/>
      <c r="Z324" s="321" t="str">
        <f t="shared" si="127"/>
        <v>X-PRODHpta1A</v>
      </c>
      <c r="AA324" s="321" t="str">
        <f t="shared" si="128"/>
        <v>X-PRODHpta1E</v>
      </c>
      <c r="AB324" s="321" t="str">
        <f t="shared" si="129"/>
        <v>X-PRODHpta1M</v>
      </c>
      <c r="AC324" s="321" t="str">
        <f t="shared" si="130"/>
        <v>X-PRODHpta1T</v>
      </c>
      <c r="AD324" s="321" t="str">
        <f t="shared" si="131"/>
        <v>X-PRODHpta1S</v>
      </c>
      <c r="AE324" s="321" t="str">
        <f t="shared" si="132"/>
        <v>X-PRODHpta1X</v>
      </c>
      <c r="AF324" s="321" t="str">
        <f t="shared" si="133"/>
        <v>X-PRODHpta1E</v>
      </c>
      <c r="AG324" s="321">
        <f t="shared" si="124"/>
        <v>12</v>
      </c>
      <c r="AH324" s="321">
        <f>IF(B324&lt;&gt;"",IF(H324="x",VLOOKUP(I324,'AUX-NIV3'!B:AG,32,FALSE),0),"")</f>
        <v>0</v>
      </c>
      <c r="AI324" s="321" t="str">
        <f t="shared" si="134"/>
        <v>X-PRODHpta1</v>
      </c>
      <c r="AJ324" s="320"/>
      <c r="AK324" s="322">
        <f t="shared" si="125"/>
        <v>319</v>
      </c>
      <c r="AL324" s="323">
        <f t="shared" si="135"/>
        <v>330</v>
      </c>
      <c r="AM324" s="322">
        <f t="shared" si="136"/>
        <v>6</v>
      </c>
      <c r="AN324" s="380">
        <f>IF(AND(AH324&gt;0,B324&lt;&gt;""),VLOOKUP(I324,'AUX-NIV3'!$B:$AO,39,FALSE)*O324,0)</f>
        <v>0</v>
      </c>
      <c r="AO324" s="380">
        <f t="shared" si="126"/>
        <v>0.14448000000000003</v>
      </c>
      <c r="AP324" s="380"/>
    </row>
    <row r="325" spans="2:42" ht="14.4" hidden="1" thickTop="1" thickBot="1">
      <c r="B325" s="324" t="s">
        <v>1294</v>
      </c>
      <c r="C325" s="325" t="s">
        <v>44</v>
      </c>
      <c r="D325" s="326" t="s">
        <v>1160</v>
      </c>
      <c r="E325" s="327">
        <f>IF(B325&lt;&gt;"",SUMIF('AUX-NIV1'!I:I,'AUX-NIV2'!B325,'AUX-NIV1'!Q:Q),"")</f>
        <v>0</v>
      </c>
      <c r="F325" s="327">
        <f t="shared" si="116"/>
        <v>272.07313983093479</v>
      </c>
      <c r="G325" s="327">
        <f t="shared" si="117"/>
        <v>0</v>
      </c>
      <c r="H325" s="328" t="str">
        <f t="shared" si="137"/>
        <v>E</v>
      </c>
      <c r="I325" s="325" t="s">
        <v>1631</v>
      </c>
      <c r="J325" s="329" t="str">
        <f>IF(B325&lt;&gt;"",+VLOOKUP(I325,Recursos!C:F,2,FALSE),"")</f>
        <v>PLANTA DE HIELO CAP. 15 Tn/h</v>
      </c>
      <c r="K325" s="330" t="str">
        <f>IF(B325&lt;&gt;"",+VLOOKUP(I325,Recursos!C:F,3,FALSE),"")</f>
        <v>HR</v>
      </c>
      <c r="L325" s="327">
        <f>IF(B325&lt;&gt;"",+VLOOKUP(I325,Recursos!C:F,4,FALSE),"")</f>
        <v>9184.5</v>
      </c>
      <c r="M325" s="331">
        <v>9.2999999999999992E-3</v>
      </c>
      <c r="N325" s="331">
        <v>0</v>
      </c>
      <c r="O325" s="332">
        <v>0</v>
      </c>
      <c r="P325" s="333">
        <f t="shared" si="138"/>
        <v>0</v>
      </c>
      <c r="Q325" s="327">
        <f t="shared" si="139"/>
        <v>0</v>
      </c>
      <c r="R325" s="334">
        <f t="shared" si="140"/>
        <v>0</v>
      </c>
      <c r="S325" s="358">
        <f t="shared" si="118"/>
        <v>73.983778554975174</v>
      </c>
      <c r="T325" s="358">
        <f t="shared" si="119"/>
        <v>197.58936127595962</v>
      </c>
      <c r="U325" s="359">
        <f t="shared" si="120"/>
        <v>0.5</v>
      </c>
      <c r="V325" s="359">
        <f t="shared" si="121"/>
        <v>0</v>
      </c>
      <c r="W325" s="359">
        <f t="shared" si="122"/>
        <v>0</v>
      </c>
      <c r="X325" s="359">
        <f t="shared" si="123"/>
        <v>0</v>
      </c>
      <c r="Y325" s="320"/>
      <c r="Z325" s="321" t="str">
        <f t="shared" si="127"/>
        <v>X-PRODHpta1A</v>
      </c>
      <c r="AA325" s="321" t="str">
        <f t="shared" si="128"/>
        <v>X-PRODHpta1E</v>
      </c>
      <c r="AB325" s="321" t="str">
        <f t="shared" si="129"/>
        <v>X-PRODHpta1M</v>
      </c>
      <c r="AC325" s="321" t="str">
        <f t="shared" si="130"/>
        <v>X-PRODHpta1T</v>
      </c>
      <c r="AD325" s="321" t="str">
        <f t="shared" si="131"/>
        <v>X-PRODHpta1S</v>
      </c>
      <c r="AE325" s="321" t="str">
        <f t="shared" si="132"/>
        <v>X-PRODHpta1X</v>
      </c>
      <c r="AF325" s="321" t="str">
        <f t="shared" si="133"/>
        <v>X-PRODHpta1E</v>
      </c>
      <c r="AG325" s="321">
        <f t="shared" si="124"/>
        <v>12</v>
      </c>
      <c r="AH325" s="321">
        <f>IF(B325&lt;&gt;"",IF(H325="x",VLOOKUP(I325,'AUX-NIV3'!B:AG,32,FALSE),0),"")</f>
        <v>0</v>
      </c>
      <c r="AI325" s="321" t="str">
        <f t="shared" si="134"/>
        <v>X-PRODHpta1</v>
      </c>
      <c r="AJ325" s="320"/>
      <c r="AK325" s="322">
        <f t="shared" si="125"/>
        <v>319</v>
      </c>
      <c r="AL325" s="323">
        <f t="shared" si="135"/>
        <v>330</v>
      </c>
      <c r="AM325" s="322">
        <f t="shared" si="136"/>
        <v>7</v>
      </c>
      <c r="AN325" s="380">
        <f>IF(AND(AH325&gt;0,B325&lt;&gt;""),VLOOKUP(I325,'AUX-NIV3'!$B:$AO,39,FALSE)*O325,0)</f>
        <v>0</v>
      </c>
      <c r="AO325" s="380">
        <f t="shared" si="126"/>
        <v>0.14448000000000003</v>
      </c>
      <c r="AP325" s="380"/>
    </row>
    <row r="326" spans="2:42" ht="14.4" hidden="1" thickTop="1" thickBot="1">
      <c r="B326" s="324" t="s">
        <v>1294</v>
      </c>
      <c r="C326" s="325" t="s">
        <v>44</v>
      </c>
      <c r="D326" s="326" t="s">
        <v>1160</v>
      </c>
      <c r="E326" s="327">
        <f>IF(B326&lt;&gt;"",SUMIF('AUX-NIV1'!I:I,'AUX-NIV2'!B326,'AUX-NIV1'!Q:Q),"")</f>
        <v>0</v>
      </c>
      <c r="F326" s="327">
        <f t="shared" si="116"/>
        <v>272.07313983093479</v>
      </c>
      <c r="G326" s="327">
        <f t="shared" si="117"/>
        <v>0</v>
      </c>
      <c r="H326" s="328" t="str">
        <f t="shared" si="137"/>
        <v>E</v>
      </c>
      <c r="I326" s="325" t="s">
        <v>1632</v>
      </c>
      <c r="J326" s="329" t="str">
        <f>IF(B326&lt;&gt;"",+VLOOKUP(I326,Recursos!C:F,2,FALSE),"")</f>
        <v>CARGADOR FRONTAL S/NEUM. (5,00 M3)</v>
      </c>
      <c r="K326" s="330" t="str">
        <f>IF(B326&lt;&gt;"",+VLOOKUP(I326,Recursos!C:F,3,FALSE),"")</f>
        <v>HR</v>
      </c>
      <c r="L326" s="327">
        <f>IF(B326&lt;&gt;"",+VLOOKUP(I326,Recursos!C:F,4,FALSE),"")</f>
        <v>5816.7703999999994</v>
      </c>
      <c r="M326" s="331">
        <v>6.7000000000000002E-3</v>
      </c>
      <c r="N326" s="331">
        <v>1</v>
      </c>
      <c r="O326" s="332">
        <v>6.7000000000000002E-3</v>
      </c>
      <c r="P326" s="333">
        <f t="shared" si="138"/>
        <v>38.972361679999999</v>
      </c>
      <c r="Q326" s="327">
        <f t="shared" si="139"/>
        <v>0</v>
      </c>
      <c r="R326" s="334">
        <f t="shared" si="140"/>
        <v>0</v>
      </c>
      <c r="S326" s="358">
        <f t="shared" si="118"/>
        <v>73.983778554975174</v>
      </c>
      <c r="T326" s="358">
        <f t="shared" si="119"/>
        <v>197.58936127595962</v>
      </c>
      <c r="U326" s="359">
        <f t="shared" si="120"/>
        <v>0.5</v>
      </c>
      <c r="V326" s="359">
        <f t="shared" si="121"/>
        <v>0</v>
      </c>
      <c r="W326" s="359">
        <f t="shared" si="122"/>
        <v>0</v>
      </c>
      <c r="X326" s="359">
        <f t="shared" si="123"/>
        <v>0</v>
      </c>
      <c r="Y326" s="320"/>
      <c r="Z326" s="321" t="str">
        <f t="shared" si="127"/>
        <v>X-PRODHpta1A</v>
      </c>
      <c r="AA326" s="321" t="str">
        <f t="shared" si="128"/>
        <v>X-PRODHpta1E</v>
      </c>
      <c r="AB326" s="321" t="str">
        <f t="shared" si="129"/>
        <v>X-PRODHpta1M</v>
      </c>
      <c r="AC326" s="321" t="str">
        <f t="shared" si="130"/>
        <v>X-PRODHpta1T</v>
      </c>
      <c r="AD326" s="321" t="str">
        <f t="shared" si="131"/>
        <v>X-PRODHpta1S</v>
      </c>
      <c r="AE326" s="321" t="str">
        <f t="shared" si="132"/>
        <v>X-PRODHpta1X</v>
      </c>
      <c r="AF326" s="321" t="str">
        <f t="shared" si="133"/>
        <v>X-PRODHpta1E</v>
      </c>
      <c r="AG326" s="321">
        <f t="shared" si="124"/>
        <v>12</v>
      </c>
      <c r="AH326" s="321">
        <f>IF(B326&lt;&gt;"",IF(H326="x",VLOOKUP(I326,'AUX-NIV3'!B:AG,32,FALSE),0),"")</f>
        <v>0</v>
      </c>
      <c r="AI326" s="321" t="str">
        <f t="shared" si="134"/>
        <v>X-PRODHpta1</v>
      </c>
      <c r="AJ326" s="320"/>
      <c r="AK326" s="322">
        <f t="shared" si="125"/>
        <v>319</v>
      </c>
      <c r="AL326" s="323">
        <f t="shared" si="135"/>
        <v>330</v>
      </c>
      <c r="AM326" s="322">
        <f t="shared" si="136"/>
        <v>8</v>
      </c>
      <c r="AN326" s="380">
        <f>IF(AND(AH326&gt;0,B326&lt;&gt;""),VLOOKUP(I326,'AUX-NIV3'!$B:$AO,39,FALSE)*O326,0)</f>
        <v>0</v>
      </c>
      <c r="AO326" s="380">
        <f t="shared" si="126"/>
        <v>0.14448000000000003</v>
      </c>
      <c r="AP326" s="380"/>
    </row>
    <row r="327" spans="2:42" ht="14.4" hidden="1" thickTop="1" thickBot="1">
      <c r="B327" s="324" t="s">
        <v>1294</v>
      </c>
      <c r="C327" s="325" t="s">
        <v>44</v>
      </c>
      <c r="D327" s="326" t="s">
        <v>1160</v>
      </c>
      <c r="E327" s="327">
        <f>IF(B327&lt;&gt;"",SUMIF('AUX-NIV1'!I:I,'AUX-NIV2'!B327,'AUX-NIV1'!Q:Q),"")</f>
        <v>0</v>
      </c>
      <c r="F327" s="327">
        <f t="shared" ref="F327:F390" si="145">IF(B327&lt;&gt;"",+SUMIF(B:B,B327,P:P),"")</f>
        <v>272.07313983093479</v>
      </c>
      <c r="G327" s="327">
        <f t="shared" ref="G327:G390" si="146">IF(B327&lt;&gt;"",+SUMIF(B:B,B327,R:R),"")</f>
        <v>0</v>
      </c>
      <c r="H327" s="328" t="str">
        <f t="shared" si="137"/>
        <v>E</v>
      </c>
      <c r="I327" s="325" t="s">
        <v>1555</v>
      </c>
      <c r="J327" s="329" t="str">
        <f>IF(B327&lt;&gt;"",+VLOOKUP(I327,Recursos!C:F,2,FALSE),"")</f>
        <v>CAMION VOLCADOR 6x4 CAP. 24 T=15 m3</v>
      </c>
      <c r="K327" s="330" t="str">
        <f>IF(B327&lt;&gt;"",+VLOOKUP(I327,Recursos!C:F,3,FALSE),"")</f>
        <v>HR</v>
      </c>
      <c r="L327" s="327">
        <f>IF(B327&lt;&gt;"",+VLOOKUP(I327,Recursos!C:F,4,FALSE),"")</f>
        <v>3333.261</v>
      </c>
      <c r="M327" s="331">
        <v>0.02</v>
      </c>
      <c r="N327" s="331">
        <v>1</v>
      </c>
      <c r="O327" s="332">
        <v>0.02</v>
      </c>
      <c r="P327" s="333">
        <f t="shared" si="138"/>
        <v>66.665220000000005</v>
      </c>
      <c r="Q327" s="327">
        <f t="shared" si="139"/>
        <v>0</v>
      </c>
      <c r="R327" s="334">
        <f t="shared" si="140"/>
        <v>0</v>
      </c>
      <c r="S327" s="358">
        <f t="shared" ref="S327:S390" si="147">IF(B327&lt;&gt;"",+SUMIF($AF:$AF,Z327,$P:$P),"")</f>
        <v>73.983778554975174</v>
      </c>
      <c r="T327" s="358">
        <f t="shared" ref="T327:T390" si="148">IF(B327&lt;&gt;"",+SUMIF($AF:$AF,AA327,$P:$P),"")</f>
        <v>197.58936127595962</v>
      </c>
      <c r="U327" s="359">
        <f t="shared" ref="U327:U390" si="149">IF(B327&lt;&gt;"",+SUMIF($AF:$AF,AB327,$P:$P),"")</f>
        <v>0.5</v>
      </c>
      <c r="V327" s="359">
        <f t="shared" ref="V327:V390" si="150">IF(B327&lt;&gt;"",+SUMIF($AF:$AF,AC327,$P:$P),"")</f>
        <v>0</v>
      </c>
      <c r="W327" s="359">
        <f t="shared" ref="W327:W390" si="151">IF(B327&lt;&gt;"",+SUMIF($AF:$AF,AD327,$P:$P),"")</f>
        <v>0</v>
      </c>
      <c r="X327" s="359">
        <f t="shared" ref="X327:X390" si="152">IF(B327&lt;&gt;"",+SUMIF($AF:$AF,AE327,$P:$P),"")</f>
        <v>0</v>
      </c>
      <c r="Y327" s="320"/>
      <c r="Z327" s="321" t="str">
        <f t="shared" si="127"/>
        <v>X-PRODHpta1A</v>
      </c>
      <c r="AA327" s="321" t="str">
        <f t="shared" si="128"/>
        <v>X-PRODHpta1E</v>
      </c>
      <c r="AB327" s="321" t="str">
        <f t="shared" si="129"/>
        <v>X-PRODHpta1M</v>
      </c>
      <c r="AC327" s="321" t="str">
        <f t="shared" si="130"/>
        <v>X-PRODHpta1T</v>
      </c>
      <c r="AD327" s="321" t="str">
        <f t="shared" si="131"/>
        <v>X-PRODHpta1S</v>
      </c>
      <c r="AE327" s="321" t="str">
        <f t="shared" si="132"/>
        <v>X-PRODHpta1X</v>
      </c>
      <c r="AF327" s="321" t="str">
        <f t="shared" si="133"/>
        <v>X-PRODHpta1E</v>
      </c>
      <c r="AG327" s="321">
        <f t="shared" ref="AG327:AG390" si="153">IF(B327&lt;&gt;"",+COUNTIF(B:B,B327),"")</f>
        <v>12</v>
      </c>
      <c r="AH327" s="321">
        <f>IF(B327&lt;&gt;"",IF(H327="x",VLOOKUP(I327,'AUX-NIV3'!B:AG,32,FALSE),0),"")</f>
        <v>0</v>
      </c>
      <c r="AI327" s="321" t="str">
        <f t="shared" si="134"/>
        <v>X-PRODHpta1</v>
      </c>
      <c r="AJ327" s="320"/>
      <c r="AK327" s="322">
        <f t="shared" ref="AK327:AK390" si="154">IF(B327&lt;&gt;"",+MATCH(B327,B:B,0),"")</f>
        <v>319</v>
      </c>
      <c r="AL327" s="323">
        <f t="shared" si="135"/>
        <v>330</v>
      </c>
      <c r="AM327" s="322">
        <f t="shared" si="136"/>
        <v>9</v>
      </c>
      <c r="AN327" s="380">
        <f>IF(AND(AH327&gt;0,B327&lt;&gt;""),VLOOKUP(I327,'AUX-NIV3'!$B:$AO,39,FALSE)*O327,0)</f>
        <v>0</v>
      </c>
      <c r="AO327" s="380">
        <f t="shared" ref="AO327:AO390" si="155">+IF(B327&lt;&gt;"",SUMIF(AF:AF,Z327,O:O)+SUMIF(Z:Z,Z327,AN:AN),0)</f>
        <v>0.14448000000000003</v>
      </c>
      <c r="AP327" s="380"/>
    </row>
    <row r="328" spans="2:42" ht="14.4" hidden="1" thickTop="1" thickBot="1">
      <c r="B328" s="324" t="s">
        <v>1294</v>
      </c>
      <c r="C328" s="325" t="s">
        <v>44</v>
      </c>
      <c r="D328" s="326" t="s">
        <v>1160</v>
      </c>
      <c r="E328" s="327">
        <f>IF(B328&lt;&gt;"",SUMIF('AUX-NIV1'!I:I,'AUX-NIV2'!B328,'AUX-NIV1'!Q:Q),"")</f>
        <v>0</v>
      </c>
      <c r="F328" s="327">
        <f t="shared" si="145"/>
        <v>272.07313983093479</v>
      </c>
      <c r="G328" s="327">
        <f t="shared" si="146"/>
        <v>0</v>
      </c>
      <c r="H328" s="328" t="str">
        <f t="shared" si="137"/>
        <v>E</v>
      </c>
      <c r="I328" s="325" t="s">
        <v>1543</v>
      </c>
      <c r="J328" s="329" t="str">
        <f>IF(B328&lt;&gt;"",+VLOOKUP(I328,Recursos!C:F,2,FALSE),"")</f>
        <v>CARGADOR FRONTAL S/NEUM. (3,00 M3)</v>
      </c>
      <c r="K328" s="330" t="str">
        <f>IF(B328&lt;&gt;"",+VLOOKUP(I328,Recursos!C:F,3,FALSE),"")</f>
        <v>HR</v>
      </c>
      <c r="L328" s="327">
        <f>IF(B328&lt;&gt;"",+VLOOKUP(I328,Recursos!C:F,4,FALSE),"")</f>
        <v>4370.2094545454547</v>
      </c>
      <c r="M328" s="331">
        <v>180</v>
      </c>
      <c r="N328" s="331">
        <v>1</v>
      </c>
      <c r="O328" s="332">
        <f>1/M328*N328</f>
        <v>5.5555555555555558E-3</v>
      </c>
      <c r="P328" s="333">
        <f t="shared" si="138"/>
        <v>24.278941414141418</v>
      </c>
      <c r="Q328" s="327">
        <f t="shared" si="139"/>
        <v>0</v>
      </c>
      <c r="R328" s="334">
        <f t="shared" si="140"/>
        <v>0</v>
      </c>
      <c r="S328" s="358">
        <f t="shared" si="147"/>
        <v>73.983778554975174</v>
      </c>
      <c r="T328" s="358">
        <f t="shared" si="148"/>
        <v>197.58936127595962</v>
      </c>
      <c r="U328" s="359">
        <f t="shared" si="149"/>
        <v>0.5</v>
      </c>
      <c r="V328" s="359">
        <f t="shared" si="150"/>
        <v>0</v>
      </c>
      <c r="W328" s="359">
        <f t="shared" si="151"/>
        <v>0</v>
      </c>
      <c r="X328" s="359">
        <f t="shared" si="152"/>
        <v>0</v>
      </c>
      <c r="Y328" s="320"/>
      <c r="Z328" s="321" t="str">
        <f t="shared" ref="Z328:Z391" si="156">IF(B328&lt;&gt;"",+$B328&amp;"A","")</f>
        <v>X-PRODHpta1A</v>
      </c>
      <c r="AA328" s="321" t="str">
        <f t="shared" ref="AA328:AA391" si="157">IF(B328&lt;&gt;"",+$B328&amp;"E","")</f>
        <v>X-PRODHpta1E</v>
      </c>
      <c r="AB328" s="321" t="str">
        <f t="shared" ref="AB328:AB391" si="158">IF(B328&lt;&gt;"",++$B328&amp;"M","")</f>
        <v>X-PRODHpta1M</v>
      </c>
      <c r="AC328" s="321" t="str">
        <f t="shared" ref="AC328:AC391" si="159">IF(B328&lt;&gt;"",+$B328&amp;"T","")</f>
        <v>X-PRODHpta1T</v>
      </c>
      <c r="AD328" s="321" t="str">
        <f t="shared" ref="AD328:AD391" si="160">IF(B328&lt;&gt;"",+$B328&amp;"S","")</f>
        <v>X-PRODHpta1S</v>
      </c>
      <c r="AE328" s="321" t="str">
        <f t="shared" ref="AE328:AE391" si="161">IF(B328&lt;&gt;"",+$B328&amp;"X","")</f>
        <v>X-PRODHpta1X</v>
      </c>
      <c r="AF328" s="321" t="str">
        <f t="shared" ref="AF328:AF391" si="162">IF(B328&lt;&gt;"",+B328&amp;H328,"")</f>
        <v>X-PRODHpta1E</v>
      </c>
      <c r="AG328" s="321">
        <f t="shared" si="153"/>
        <v>12</v>
      </c>
      <c r="AH328" s="321">
        <f>IF(B328&lt;&gt;"",IF(H328="x",VLOOKUP(I328,'AUX-NIV3'!B:AG,32,FALSE),0),"")</f>
        <v>0</v>
      </c>
      <c r="AI328" s="321" t="str">
        <f t="shared" ref="AI328:AI391" si="163">IF(B328&lt;&gt;"",+B328,"")</f>
        <v>X-PRODHpta1</v>
      </c>
      <c r="AJ328" s="320"/>
      <c r="AK328" s="322">
        <f t="shared" si="154"/>
        <v>319</v>
      </c>
      <c r="AL328" s="323">
        <f t="shared" ref="AL328:AL391" si="164">IF(B328&lt;&gt;"",+AK328+AG328-1,"")</f>
        <v>330</v>
      </c>
      <c r="AM328" s="322">
        <f t="shared" ref="AM328:AM391" si="165">IF(B328&lt;&gt;"",IF(B328=B327,1+AM327,1),"")</f>
        <v>10</v>
      </c>
      <c r="AN328" s="380">
        <f>IF(AND(AH328&gt;0,B328&lt;&gt;""),VLOOKUP(I328,'AUX-NIV3'!$B:$AO,39,FALSE)*O328,0)</f>
        <v>0</v>
      </c>
      <c r="AO328" s="380">
        <f t="shared" si="155"/>
        <v>0.14448000000000003</v>
      </c>
      <c r="AP328" s="380"/>
    </row>
    <row r="329" spans="2:42" ht="14.4" hidden="1" thickTop="1" thickBot="1">
      <c r="B329" s="324" t="s">
        <v>1294</v>
      </c>
      <c r="C329" s="325" t="s">
        <v>44</v>
      </c>
      <c r="D329" s="326" t="s">
        <v>1160</v>
      </c>
      <c r="E329" s="327">
        <f>IF(B329&lt;&gt;"",SUMIF('AUX-NIV1'!I:I,'AUX-NIV2'!B329,'AUX-NIV1'!Q:Q),"")</f>
        <v>0</v>
      </c>
      <c r="F329" s="327">
        <f t="shared" si="145"/>
        <v>272.07313983093479</v>
      </c>
      <c r="G329" s="327">
        <f t="shared" si="146"/>
        <v>0</v>
      </c>
      <c r="H329" s="328" t="str">
        <f t="shared" ref="H329:H384" si="166">IF(B329&lt;&gt;"",+LEFT(I329,1),"")</f>
        <v>E</v>
      </c>
      <c r="I329" s="325" t="s">
        <v>1586</v>
      </c>
      <c r="J329" s="329" t="str">
        <f>IF(B329&lt;&gt;"",+VLOOKUP(I329,Recursos!C:F,2,FALSE),"")</f>
        <v>GRUPO ELECTROGENO 244 KVA-195 KW</v>
      </c>
      <c r="K329" s="330" t="str">
        <f>IF(B329&lt;&gt;"",+VLOOKUP(I329,Recursos!C:F,3,FALSE),"")</f>
        <v>HR</v>
      </c>
      <c r="L329" s="327">
        <f>IF(B329&lt;&gt;"",+VLOOKUP(I329,Recursos!C:F,4,FALSE),"")</f>
        <v>2848.5638181818185</v>
      </c>
      <c r="M329" s="331">
        <v>0.01</v>
      </c>
      <c r="N329" s="331">
        <v>1</v>
      </c>
      <c r="O329" s="332">
        <v>0.01</v>
      </c>
      <c r="P329" s="333">
        <f t="shared" ref="P329:P392" si="167">IF(B329&lt;&gt;"",O329*L329,"")</f>
        <v>28.485638181818185</v>
      </c>
      <c r="Q329" s="327">
        <f t="shared" ref="Q329:Q392" si="168">IF(B329&lt;&gt;"",+O329*E329,"")</f>
        <v>0</v>
      </c>
      <c r="R329" s="334">
        <f t="shared" ref="R329:R392" si="169">IF(B329&lt;&gt;"",Q329*L329,"")</f>
        <v>0</v>
      </c>
      <c r="S329" s="358">
        <f t="shared" si="147"/>
        <v>73.983778554975174</v>
      </c>
      <c r="T329" s="358">
        <f t="shared" si="148"/>
        <v>197.58936127595962</v>
      </c>
      <c r="U329" s="359">
        <f t="shared" si="149"/>
        <v>0.5</v>
      </c>
      <c r="V329" s="359">
        <f t="shared" si="150"/>
        <v>0</v>
      </c>
      <c r="W329" s="359">
        <f t="shared" si="151"/>
        <v>0</v>
      </c>
      <c r="X329" s="359">
        <f t="shared" si="152"/>
        <v>0</v>
      </c>
      <c r="Y329" s="320"/>
      <c r="Z329" s="321" t="str">
        <f t="shared" si="156"/>
        <v>X-PRODHpta1A</v>
      </c>
      <c r="AA329" s="321" t="str">
        <f t="shared" si="157"/>
        <v>X-PRODHpta1E</v>
      </c>
      <c r="AB329" s="321" t="str">
        <f t="shared" si="158"/>
        <v>X-PRODHpta1M</v>
      </c>
      <c r="AC329" s="321" t="str">
        <f t="shared" si="159"/>
        <v>X-PRODHpta1T</v>
      </c>
      <c r="AD329" s="321" t="str">
        <f t="shared" si="160"/>
        <v>X-PRODHpta1S</v>
      </c>
      <c r="AE329" s="321" t="str">
        <f t="shared" si="161"/>
        <v>X-PRODHpta1X</v>
      </c>
      <c r="AF329" s="321" t="str">
        <f t="shared" si="162"/>
        <v>X-PRODHpta1E</v>
      </c>
      <c r="AG329" s="321">
        <f t="shared" si="153"/>
        <v>12</v>
      </c>
      <c r="AH329" s="321">
        <f>IF(B329&lt;&gt;"",IF(H329="x",VLOOKUP(I329,'AUX-NIV3'!B:AG,32,FALSE),0),"")</f>
        <v>0</v>
      </c>
      <c r="AI329" s="321" t="str">
        <f t="shared" si="163"/>
        <v>X-PRODHpta1</v>
      </c>
      <c r="AJ329" s="320"/>
      <c r="AK329" s="322">
        <f t="shared" si="154"/>
        <v>319</v>
      </c>
      <c r="AL329" s="323">
        <f t="shared" si="164"/>
        <v>330</v>
      </c>
      <c r="AM329" s="322">
        <f t="shared" si="165"/>
        <v>11</v>
      </c>
      <c r="AN329" s="380">
        <f>IF(AND(AH329&gt;0,B329&lt;&gt;""),VLOOKUP(I329,'AUX-NIV3'!$B:$AO,39,FALSE)*O329,0)</f>
        <v>0</v>
      </c>
      <c r="AO329" s="380">
        <f t="shared" si="155"/>
        <v>0.14448000000000003</v>
      </c>
      <c r="AP329" s="380"/>
    </row>
    <row r="330" spans="2:42" ht="14.4" hidden="1" thickTop="1" thickBot="1">
      <c r="B330" s="324" t="s">
        <v>1294</v>
      </c>
      <c r="C330" s="325" t="s">
        <v>44</v>
      </c>
      <c r="D330" s="326" t="s">
        <v>1160</v>
      </c>
      <c r="E330" s="327">
        <f>IF(B330&lt;&gt;"",SUMIF('AUX-NIV1'!I:I,'AUX-NIV2'!B330,'AUX-NIV1'!Q:Q),"")</f>
        <v>0</v>
      </c>
      <c r="F330" s="327">
        <f t="shared" si="145"/>
        <v>272.07313983093479</v>
      </c>
      <c r="G330" s="327">
        <f t="shared" si="146"/>
        <v>0</v>
      </c>
      <c r="H330" s="328" t="str">
        <f t="shared" si="166"/>
        <v>M</v>
      </c>
      <c r="I330" s="325" t="s">
        <v>621</v>
      </c>
      <c r="J330" s="329" t="str">
        <f>IF(B330&lt;&gt;"",+VLOOKUP(I330,Recursos!C:F,2,FALSE),"")</f>
        <v>MATERIALES VARIOS</v>
      </c>
      <c r="K330" s="330" t="str">
        <f>IF(B330&lt;&gt;"",+VLOOKUP(I330,Recursos!C:F,3,FALSE),"")</f>
        <v>GL</v>
      </c>
      <c r="L330" s="327">
        <f>IF(B330&lt;&gt;"",+VLOOKUP(I330,Recursos!C:F,4,FALSE),"")</f>
        <v>0.5</v>
      </c>
      <c r="M330" s="331">
        <v>1</v>
      </c>
      <c r="N330" s="331">
        <v>1</v>
      </c>
      <c r="O330" s="332">
        <f>+M330*N330</f>
        <v>1</v>
      </c>
      <c r="P330" s="333">
        <f t="shared" si="167"/>
        <v>0.5</v>
      </c>
      <c r="Q330" s="327">
        <f t="shared" si="168"/>
        <v>0</v>
      </c>
      <c r="R330" s="334">
        <f t="shared" si="169"/>
        <v>0</v>
      </c>
      <c r="S330" s="358">
        <f t="shared" si="147"/>
        <v>73.983778554975174</v>
      </c>
      <c r="T330" s="358">
        <f t="shared" si="148"/>
        <v>197.58936127595962</v>
      </c>
      <c r="U330" s="359">
        <f t="shared" si="149"/>
        <v>0.5</v>
      </c>
      <c r="V330" s="359">
        <f t="shared" si="150"/>
        <v>0</v>
      </c>
      <c r="W330" s="359">
        <f t="shared" si="151"/>
        <v>0</v>
      </c>
      <c r="X330" s="359">
        <f t="shared" si="152"/>
        <v>0</v>
      </c>
      <c r="Y330" s="320"/>
      <c r="Z330" s="321" t="str">
        <f t="shared" si="156"/>
        <v>X-PRODHpta1A</v>
      </c>
      <c r="AA330" s="321" t="str">
        <f t="shared" si="157"/>
        <v>X-PRODHpta1E</v>
      </c>
      <c r="AB330" s="321" t="str">
        <f t="shared" si="158"/>
        <v>X-PRODHpta1M</v>
      </c>
      <c r="AC330" s="321" t="str">
        <f t="shared" si="159"/>
        <v>X-PRODHpta1T</v>
      </c>
      <c r="AD330" s="321" t="str">
        <f t="shared" si="160"/>
        <v>X-PRODHpta1S</v>
      </c>
      <c r="AE330" s="321" t="str">
        <f t="shared" si="161"/>
        <v>X-PRODHpta1X</v>
      </c>
      <c r="AF330" s="321" t="str">
        <f t="shared" si="162"/>
        <v>X-PRODHpta1M</v>
      </c>
      <c r="AG330" s="321">
        <f t="shared" si="153"/>
        <v>12</v>
      </c>
      <c r="AH330" s="321">
        <f>IF(B330&lt;&gt;"",IF(H330="x",VLOOKUP(I330,'AUX-NIV3'!B:AG,32,FALSE),0),"")</f>
        <v>0</v>
      </c>
      <c r="AI330" s="321" t="str">
        <f t="shared" si="163"/>
        <v>X-PRODHpta1</v>
      </c>
      <c r="AJ330" s="320"/>
      <c r="AK330" s="322">
        <f t="shared" si="154"/>
        <v>319</v>
      </c>
      <c r="AL330" s="323">
        <f t="shared" si="164"/>
        <v>330</v>
      </c>
      <c r="AM330" s="322">
        <f t="shared" si="165"/>
        <v>12</v>
      </c>
      <c r="AN330" s="380">
        <f>IF(AND(AH330&gt;0,B330&lt;&gt;""),VLOOKUP(I330,'AUX-NIV3'!$B:$AO,39,FALSE)*O330,0)</f>
        <v>0</v>
      </c>
      <c r="AO330" s="380">
        <f t="shared" si="155"/>
        <v>0.14448000000000003</v>
      </c>
      <c r="AP330" s="380"/>
    </row>
    <row r="331" spans="2:42" ht="14.4" hidden="1" thickTop="1" thickBot="1">
      <c r="B331" s="324" t="s">
        <v>1295</v>
      </c>
      <c r="C331" s="325" t="s">
        <v>45</v>
      </c>
      <c r="D331" s="326" t="s">
        <v>1160</v>
      </c>
      <c r="E331" s="327">
        <f>IF(B331&lt;&gt;"",SUMIF('AUX-NIV1'!I:I,'AUX-NIV2'!B331,'AUX-NIV1'!Q:Q),"")</f>
        <v>0</v>
      </c>
      <c r="F331" s="327">
        <f t="shared" si="145"/>
        <v>879.7126542864878</v>
      </c>
      <c r="G331" s="327">
        <f t="shared" si="146"/>
        <v>0</v>
      </c>
      <c r="H331" s="328" t="str">
        <f t="shared" si="166"/>
        <v>A</v>
      </c>
      <c r="I331" s="325" t="s">
        <v>1745</v>
      </c>
      <c r="J331" s="329" t="str">
        <f>IF(B331&lt;&gt;"",+VLOOKUP(I331,Recursos!C:F,2,FALSE),"")</f>
        <v>AYUDANTE</v>
      </c>
      <c r="K331" s="330" t="str">
        <f>IF(B331&lt;&gt;"",+VLOOKUP(I331,Recursos!C:F,3,FALSE),"")</f>
        <v>hh</v>
      </c>
      <c r="L331" s="327">
        <f>IF(B331&lt;&gt;"",+VLOOKUP(I331,Recursos!C:F,4,FALSE),"")</f>
        <v>422.48042769667234</v>
      </c>
      <c r="M331" s="331">
        <v>9</v>
      </c>
      <c r="N331" s="331">
        <v>4</v>
      </c>
      <c r="O331" s="332">
        <f t="shared" ref="O331:O337" si="170">1/M331*N331</f>
        <v>0.44444444444444442</v>
      </c>
      <c r="P331" s="333">
        <f t="shared" si="167"/>
        <v>187.7690789762988</v>
      </c>
      <c r="Q331" s="327">
        <f t="shared" si="168"/>
        <v>0</v>
      </c>
      <c r="R331" s="334">
        <f t="shared" si="169"/>
        <v>0</v>
      </c>
      <c r="S331" s="358">
        <f t="shared" si="147"/>
        <v>464.77963206426563</v>
      </c>
      <c r="T331" s="358">
        <f t="shared" si="148"/>
        <v>413.93302222222223</v>
      </c>
      <c r="U331" s="359">
        <f t="shared" si="149"/>
        <v>1</v>
      </c>
      <c r="V331" s="359">
        <f t="shared" si="150"/>
        <v>0</v>
      </c>
      <c r="W331" s="359">
        <f t="shared" si="151"/>
        <v>0</v>
      </c>
      <c r="X331" s="359">
        <f t="shared" si="152"/>
        <v>0</v>
      </c>
      <c r="Y331" s="320"/>
      <c r="Z331" s="321" t="str">
        <f t="shared" si="156"/>
        <v>X-COLHgmA</v>
      </c>
      <c r="AA331" s="321" t="str">
        <f t="shared" si="157"/>
        <v>X-COLHgmE</v>
      </c>
      <c r="AB331" s="321" t="str">
        <f t="shared" si="158"/>
        <v>X-COLHgmM</v>
      </c>
      <c r="AC331" s="321" t="str">
        <f t="shared" si="159"/>
        <v>X-COLHgmT</v>
      </c>
      <c r="AD331" s="321" t="str">
        <f t="shared" si="160"/>
        <v>X-COLHgmS</v>
      </c>
      <c r="AE331" s="321" t="str">
        <f t="shared" si="161"/>
        <v>X-COLHgmX</v>
      </c>
      <c r="AF331" s="321" t="str">
        <f t="shared" si="162"/>
        <v>X-COLHgmA</v>
      </c>
      <c r="AG331" s="321">
        <f t="shared" si="153"/>
        <v>8</v>
      </c>
      <c r="AH331" s="321">
        <f>IF(B331&lt;&gt;"",IF(H331="x",VLOOKUP(I331,'AUX-NIV3'!B:AG,32,FALSE),0),"")</f>
        <v>0</v>
      </c>
      <c r="AI331" s="321" t="str">
        <f t="shared" si="163"/>
        <v>X-COLHgm</v>
      </c>
      <c r="AJ331" s="320"/>
      <c r="AK331" s="322">
        <f t="shared" si="154"/>
        <v>331</v>
      </c>
      <c r="AL331" s="323">
        <f t="shared" si="164"/>
        <v>338</v>
      </c>
      <c r="AM331" s="322">
        <f t="shared" si="165"/>
        <v>1</v>
      </c>
      <c r="AN331" s="380">
        <f>IF(AND(AH331&gt;0,B331&lt;&gt;""),VLOOKUP(I331,'AUX-NIV3'!$B:$AO,39,FALSE)*O331,0)</f>
        <v>0</v>
      </c>
      <c r="AO331" s="380">
        <f t="shared" si="155"/>
        <v>0.99999999999999989</v>
      </c>
      <c r="AP331" s="380"/>
    </row>
    <row r="332" spans="2:42" ht="14.4" hidden="1" thickTop="1" thickBot="1">
      <c r="B332" s="324" t="s">
        <v>1295</v>
      </c>
      <c r="C332" s="325" t="s">
        <v>45</v>
      </c>
      <c r="D332" s="326" t="s">
        <v>1160</v>
      </c>
      <c r="E332" s="327">
        <f>IF(B332&lt;&gt;"",SUMIF('AUX-NIV1'!I:I,'AUX-NIV2'!B332,'AUX-NIV1'!Q:Q),"")</f>
        <v>0</v>
      </c>
      <c r="F332" s="327">
        <f t="shared" si="145"/>
        <v>879.7126542864878</v>
      </c>
      <c r="G332" s="327">
        <f t="shared" si="146"/>
        <v>0</v>
      </c>
      <c r="H332" s="328" t="str">
        <f t="shared" si="166"/>
        <v>A</v>
      </c>
      <c r="I332" s="325" t="s">
        <v>1746</v>
      </c>
      <c r="J332" s="329" t="str">
        <f>IF(B332&lt;&gt;"",+VLOOKUP(I332,Recursos!C:F,2,FALSE),"")</f>
        <v>OFICIAL</v>
      </c>
      <c r="K332" s="330" t="str">
        <f>IF(B332&lt;&gt;"",+VLOOKUP(I332,Recursos!C:F,3,FALSE),"")</f>
        <v>hh</v>
      </c>
      <c r="L332" s="327">
        <f>IF(B332&lt;&gt;"",+VLOOKUP(I332,Recursos!C:F,4,FALSE),"")</f>
        <v>496.91595439275824</v>
      </c>
      <c r="M332" s="331">
        <v>9</v>
      </c>
      <c r="N332" s="331">
        <v>2</v>
      </c>
      <c r="O332" s="332">
        <f t="shared" si="170"/>
        <v>0.22222222222222221</v>
      </c>
      <c r="P332" s="333">
        <f t="shared" si="167"/>
        <v>110.42576764283515</v>
      </c>
      <c r="Q332" s="327">
        <f t="shared" si="168"/>
        <v>0</v>
      </c>
      <c r="R332" s="334">
        <f t="shared" si="169"/>
        <v>0</v>
      </c>
      <c r="S332" s="358">
        <f t="shared" si="147"/>
        <v>464.77963206426563</v>
      </c>
      <c r="T332" s="358">
        <f t="shared" si="148"/>
        <v>413.93302222222223</v>
      </c>
      <c r="U332" s="359">
        <f t="shared" si="149"/>
        <v>1</v>
      </c>
      <c r="V332" s="359">
        <f t="shared" si="150"/>
        <v>0</v>
      </c>
      <c r="W332" s="359">
        <f t="shared" si="151"/>
        <v>0</v>
      </c>
      <c r="X332" s="359">
        <f t="shared" si="152"/>
        <v>0</v>
      </c>
      <c r="Y332" s="320"/>
      <c r="Z332" s="321" t="str">
        <f t="shared" si="156"/>
        <v>X-COLHgmA</v>
      </c>
      <c r="AA332" s="321" t="str">
        <f t="shared" si="157"/>
        <v>X-COLHgmE</v>
      </c>
      <c r="AB332" s="321" t="str">
        <f t="shared" si="158"/>
        <v>X-COLHgmM</v>
      </c>
      <c r="AC332" s="321" t="str">
        <f t="shared" si="159"/>
        <v>X-COLHgmT</v>
      </c>
      <c r="AD332" s="321" t="str">
        <f t="shared" si="160"/>
        <v>X-COLHgmS</v>
      </c>
      <c r="AE332" s="321" t="str">
        <f t="shared" si="161"/>
        <v>X-COLHgmX</v>
      </c>
      <c r="AF332" s="321" t="str">
        <f t="shared" si="162"/>
        <v>X-COLHgmA</v>
      </c>
      <c r="AG332" s="321">
        <f t="shared" si="153"/>
        <v>8</v>
      </c>
      <c r="AH332" s="321">
        <f>IF(B332&lt;&gt;"",IF(H332="x",VLOOKUP(I332,'AUX-NIV3'!B:AG,32,FALSE),0),"")</f>
        <v>0</v>
      </c>
      <c r="AI332" s="321" t="str">
        <f t="shared" si="163"/>
        <v>X-COLHgm</v>
      </c>
      <c r="AJ332" s="320"/>
      <c r="AK332" s="322">
        <f t="shared" si="154"/>
        <v>331</v>
      </c>
      <c r="AL332" s="323">
        <f t="shared" si="164"/>
        <v>338</v>
      </c>
      <c r="AM332" s="322">
        <f t="shared" si="165"/>
        <v>2</v>
      </c>
      <c r="AN332" s="380">
        <f>IF(AND(AH332&gt;0,B332&lt;&gt;""),VLOOKUP(I332,'AUX-NIV3'!$B:$AO,39,FALSE)*O332,0)</f>
        <v>0</v>
      </c>
      <c r="AO332" s="380">
        <f t="shared" si="155"/>
        <v>0.99999999999999989</v>
      </c>
      <c r="AP332" s="380"/>
    </row>
    <row r="333" spans="2:42" ht="14.4" hidden="1" thickTop="1" thickBot="1">
      <c r="B333" s="324" t="s">
        <v>1295</v>
      </c>
      <c r="C333" s="325" t="s">
        <v>45</v>
      </c>
      <c r="D333" s="326" t="s">
        <v>1160</v>
      </c>
      <c r="E333" s="327">
        <f>IF(B333&lt;&gt;"",SUMIF('AUX-NIV1'!I:I,'AUX-NIV2'!B333,'AUX-NIV1'!Q:Q),"")</f>
        <v>0</v>
      </c>
      <c r="F333" s="327">
        <f t="shared" si="145"/>
        <v>879.7126542864878</v>
      </c>
      <c r="G333" s="327">
        <f t="shared" si="146"/>
        <v>0</v>
      </c>
      <c r="H333" s="328" t="str">
        <f t="shared" si="166"/>
        <v>A</v>
      </c>
      <c r="I333" s="325" t="s">
        <v>3310</v>
      </c>
      <c r="J333" s="329" t="str">
        <f>IF(B333&lt;&gt;"",+VLOOKUP(I333,Recursos!C:F,2,FALSE),"")</f>
        <v>OFICIAL ESPECIALIZADO</v>
      </c>
      <c r="K333" s="330" t="str">
        <f>IF(B333&lt;&gt;"",+VLOOKUP(I333,Recursos!C:F,3,FALSE),"")</f>
        <v>hh</v>
      </c>
      <c r="L333" s="327">
        <f>IF(B333&lt;&gt;"",+VLOOKUP(I333,Recursos!C:F,4,FALSE),"")</f>
        <v>581.06120476836554</v>
      </c>
      <c r="M333" s="331">
        <v>9</v>
      </c>
      <c r="N333" s="331">
        <v>1</v>
      </c>
      <c r="O333" s="332">
        <f t="shared" si="170"/>
        <v>0.1111111111111111</v>
      </c>
      <c r="P333" s="333">
        <f t="shared" si="167"/>
        <v>64.562356085373949</v>
      </c>
      <c r="Q333" s="327">
        <f t="shared" si="168"/>
        <v>0</v>
      </c>
      <c r="R333" s="334">
        <f t="shared" si="169"/>
        <v>0</v>
      </c>
      <c r="S333" s="358">
        <f t="shared" si="147"/>
        <v>464.77963206426563</v>
      </c>
      <c r="T333" s="358">
        <f t="shared" si="148"/>
        <v>413.93302222222223</v>
      </c>
      <c r="U333" s="359">
        <f t="shared" si="149"/>
        <v>1</v>
      </c>
      <c r="V333" s="359">
        <f t="shared" si="150"/>
        <v>0</v>
      </c>
      <c r="W333" s="359">
        <f t="shared" si="151"/>
        <v>0</v>
      </c>
      <c r="X333" s="359">
        <f t="shared" si="152"/>
        <v>0</v>
      </c>
      <c r="Y333" s="320"/>
      <c r="Z333" s="321" t="str">
        <f t="shared" si="156"/>
        <v>X-COLHgmA</v>
      </c>
      <c r="AA333" s="321" t="str">
        <f t="shared" si="157"/>
        <v>X-COLHgmE</v>
      </c>
      <c r="AB333" s="321" t="str">
        <f t="shared" si="158"/>
        <v>X-COLHgmM</v>
      </c>
      <c r="AC333" s="321" t="str">
        <f t="shared" si="159"/>
        <v>X-COLHgmT</v>
      </c>
      <c r="AD333" s="321" t="str">
        <f t="shared" si="160"/>
        <v>X-COLHgmS</v>
      </c>
      <c r="AE333" s="321" t="str">
        <f t="shared" si="161"/>
        <v>X-COLHgmX</v>
      </c>
      <c r="AF333" s="321" t="str">
        <f t="shared" si="162"/>
        <v>X-COLHgmA</v>
      </c>
      <c r="AG333" s="321">
        <f t="shared" si="153"/>
        <v>8</v>
      </c>
      <c r="AH333" s="321">
        <f>IF(B333&lt;&gt;"",IF(H333="x",VLOOKUP(I333,'AUX-NIV3'!B:AG,32,FALSE),0),"")</f>
        <v>0</v>
      </c>
      <c r="AI333" s="321" t="str">
        <f t="shared" si="163"/>
        <v>X-COLHgm</v>
      </c>
      <c r="AJ333" s="320"/>
      <c r="AK333" s="322">
        <f t="shared" si="154"/>
        <v>331</v>
      </c>
      <c r="AL333" s="323">
        <f t="shared" si="164"/>
        <v>338</v>
      </c>
      <c r="AM333" s="322">
        <f t="shared" si="165"/>
        <v>3</v>
      </c>
      <c r="AN333" s="380">
        <f>IF(AND(AH333&gt;0,B333&lt;&gt;""),VLOOKUP(I333,'AUX-NIV3'!$B:$AO,39,FALSE)*O333,0)</f>
        <v>0</v>
      </c>
      <c r="AO333" s="380">
        <f t="shared" si="155"/>
        <v>0.99999999999999989</v>
      </c>
      <c r="AP333" s="380"/>
    </row>
    <row r="334" spans="2:42" ht="14.4" hidden="1" thickTop="1" thickBot="1">
      <c r="B334" s="324" t="s">
        <v>1295</v>
      </c>
      <c r="C334" s="325" t="s">
        <v>45</v>
      </c>
      <c r="D334" s="326" t="s">
        <v>1160</v>
      </c>
      <c r="E334" s="327">
        <f>IF(B334&lt;&gt;"",SUMIF('AUX-NIV1'!I:I,'AUX-NIV2'!B334,'AUX-NIV1'!Q:Q),"")</f>
        <v>0</v>
      </c>
      <c r="F334" s="327">
        <f t="shared" si="145"/>
        <v>879.7126542864878</v>
      </c>
      <c r="G334" s="327">
        <f t="shared" si="146"/>
        <v>0</v>
      </c>
      <c r="H334" s="328" t="str">
        <f t="shared" si="166"/>
        <v>A</v>
      </c>
      <c r="I334" s="325" t="s">
        <v>3309</v>
      </c>
      <c r="J334" s="329" t="str">
        <f>IF(B334&lt;&gt;"",+VLOOKUP(I334,Recursos!C:F,2,FALSE),"")</f>
        <v>MEDIO OFICIAL</v>
      </c>
      <c r="K334" s="330" t="str">
        <f>IF(B334&lt;&gt;"",+VLOOKUP(I334,Recursos!C:F,3,FALSE),"")</f>
        <v>hh</v>
      </c>
      <c r="L334" s="327">
        <f>IF(B334&lt;&gt;"",+VLOOKUP(I334,Recursos!C:F,4,FALSE),"")</f>
        <v>459.10093211890984</v>
      </c>
      <c r="M334" s="331">
        <v>9</v>
      </c>
      <c r="N334" s="331">
        <v>2</v>
      </c>
      <c r="O334" s="332">
        <f t="shared" si="170"/>
        <v>0.22222222222222221</v>
      </c>
      <c r="P334" s="333">
        <f t="shared" si="167"/>
        <v>102.02242935975774</v>
      </c>
      <c r="Q334" s="327">
        <f t="shared" si="168"/>
        <v>0</v>
      </c>
      <c r="R334" s="334">
        <f t="shared" si="169"/>
        <v>0</v>
      </c>
      <c r="S334" s="358">
        <f t="shared" si="147"/>
        <v>464.77963206426563</v>
      </c>
      <c r="T334" s="358">
        <f t="shared" si="148"/>
        <v>413.93302222222223</v>
      </c>
      <c r="U334" s="359">
        <f t="shared" si="149"/>
        <v>1</v>
      </c>
      <c r="V334" s="359">
        <f t="shared" si="150"/>
        <v>0</v>
      </c>
      <c r="W334" s="359">
        <f t="shared" si="151"/>
        <v>0</v>
      </c>
      <c r="X334" s="359">
        <f t="shared" si="152"/>
        <v>0</v>
      </c>
      <c r="Y334" s="320"/>
      <c r="Z334" s="321" t="str">
        <f t="shared" si="156"/>
        <v>X-COLHgmA</v>
      </c>
      <c r="AA334" s="321" t="str">
        <f t="shared" si="157"/>
        <v>X-COLHgmE</v>
      </c>
      <c r="AB334" s="321" t="str">
        <f t="shared" si="158"/>
        <v>X-COLHgmM</v>
      </c>
      <c r="AC334" s="321" t="str">
        <f t="shared" si="159"/>
        <v>X-COLHgmT</v>
      </c>
      <c r="AD334" s="321" t="str">
        <f t="shared" si="160"/>
        <v>X-COLHgmS</v>
      </c>
      <c r="AE334" s="321" t="str">
        <f t="shared" si="161"/>
        <v>X-COLHgmX</v>
      </c>
      <c r="AF334" s="321" t="str">
        <f t="shared" si="162"/>
        <v>X-COLHgmA</v>
      </c>
      <c r="AG334" s="321">
        <f t="shared" si="153"/>
        <v>8</v>
      </c>
      <c r="AH334" s="321">
        <f>IF(B334&lt;&gt;"",IF(H334="x",VLOOKUP(I334,'AUX-NIV3'!B:AG,32,FALSE),0),"")</f>
        <v>0</v>
      </c>
      <c r="AI334" s="321" t="str">
        <f t="shared" si="163"/>
        <v>X-COLHgm</v>
      </c>
      <c r="AJ334" s="320"/>
      <c r="AK334" s="322">
        <f t="shared" si="154"/>
        <v>331</v>
      </c>
      <c r="AL334" s="323">
        <f t="shared" si="164"/>
        <v>338</v>
      </c>
      <c r="AM334" s="322">
        <f t="shared" si="165"/>
        <v>4</v>
      </c>
      <c r="AN334" s="380">
        <f>IF(AND(AH334&gt;0,B334&lt;&gt;""),VLOOKUP(I334,'AUX-NIV3'!$B:$AO,39,FALSE)*O334,0)</f>
        <v>0</v>
      </c>
      <c r="AO334" s="380">
        <f t="shared" si="155"/>
        <v>0.99999999999999989</v>
      </c>
      <c r="AP334" s="380"/>
    </row>
    <row r="335" spans="2:42" ht="14.4" hidden="1" thickTop="1" thickBot="1">
      <c r="B335" s="324" t="s">
        <v>1295</v>
      </c>
      <c r="C335" s="325" t="s">
        <v>45</v>
      </c>
      <c r="D335" s="326" t="s">
        <v>1160</v>
      </c>
      <c r="E335" s="327">
        <f>IF(B335&lt;&gt;"",SUMIF('AUX-NIV1'!I:I,'AUX-NIV2'!B335,'AUX-NIV1'!Q:Q),"")</f>
        <v>0</v>
      </c>
      <c r="F335" s="327">
        <f t="shared" si="145"/>
        <v>879.7126542864878</v>
      </c>
      <c r="G335" s="327">
        <f t="shared" si="146"/>
        <v>0</v>
      </c>
      <c r="H335" s="328" t="str">
        <f t="shared" si="166"/>
        <v>E</v>
      </c>
      <c r="I335" s="325" t="s">
        <v>1589</v>
      </c>
      <c r="J335" s="329" t="str">
        <f>IF(B335&lt;&gt;"",+VLOOKUP(I335,Recursos!C:F,2,FALSE),"")</f>
        <v>GRUA MOVIL TODO TERRENO 18 T</v>
      </c>
      <c r="K335" s="330" t="str">
        <f>IF(B335&lt;&gt;"",+VLOOKUP(I335,Recursos!C:F,3,FALSE),"")</f>
        <v>HR</v>
      </c>
      <c r="L335" s="327">
        <f>IF(B335&lt;&gt;"",+VLOOKUP(I335,Recursos!C:F,4,FALSE),"")</f>
        <v>3407.0012000000002</v>
      </c>
      <c r="M335" s="331">
        <v>9</v>
      </c>
      <c r="N335" s="331">
        <v>1</v>
      </c>
      <c r="O335" s="332">
        <f t="shared" si="170"/>
        <v>0.1111111111111111</v>
      </c>
      <c r="P335" s="333">
        <f t="shared" si="167"/>
        <v>378.55568888888888</v>
      </c>
      <c r="Q335" s="327">
        <f t="shared" si="168"/>
        <v>0</v>
      </c>
      <c r="R335" s="334">
        <f t="shared" si="169"/>
        <v>0</v>
      </c>
      <c r="S335" s="358">
        <f t="shared" si="147"/>
        <v>464.77963206426563</v>
      </c>
      <c r="T335" s="358">
        <f t="shared" si="148"/>
        <v>413.93302222222223</v>
      </c>
      <c r="U335" s="359">
        <f t="shared" si="149"/>
        <v>1</v>
      </c>
      <c r="V335" s="359">
        <f t="shared" si="150"/>
        <v>0</v>
      </c>
      <c r="W335" s="359">
        <f t="shared" si="151"/>
        <v>0</v>
      </c>
      <c r="X335" s="359">
        <f t="shared" si="152"/>
        <v>0</v>
      </c>
      <c r="Y335" s="320"/>
      <c r="Z335" s="321" t="str">
        <f t="shared" si="156"/>
        <v>X-COLHgmA</v>
      </c>
      <c r="AA335" s="321" t="str">
        <f t="shared" si="157"/>
        <v>X-COLHgmE</v>
      </c>
      <c r="AB335" s="321" t="str">
        <f t="shared" si="158"/>
        <v>X-COLHgmM</v>
      </c>
      <c r="AC335" s="321" t="str">
        <f t="shared" si="159"/>
        <v>X-COLHgmT</v>
      </c>
      <c r="AD335" s="321" t="str">
        <f t="shared" si="160"/>
        <v>X-COLHgmS</v>
      </c>
      <c r="AE335" s="321" t="str">
        <f t="shared" si="161"/>
        <v>X-COLHgmX</v>
      </c>
      <c r="AF335" s="321" t="str">
        <f t="shared" si="162"/>
        <v>X-COLHgmE</v>
      </c>
      <c r="AG335" s="321">
        <f t="shared" si="153"/>
        <v>8</v>
      </c>
      <c r="AH335" s="321">
        <f>IF(B335&lt;&gt;"",IF(H335="x",VLOOKUP(I335,'AUX-NIV3'!B:AG,32,FALSE),0),"")</f>
        <v>0</v>
      </c>
      <c r="AI335" s="321" t="str">
        <f t="shared" si="163"/>
        <v>X-COLHgm</v>
      </c>
      <c r="AJ335" s="320"/>
      <c r="AK335" s="322">
        <f t="shared" si="154"/>
        <v>331</v>
      </c>
      <c r="AL335" s="323">
        <f t="shared" si="164"/>
        <v>338</v>
      </c>
      <c r="AM335" s="322">
        <f t="shared" si="165"/>
        <v>5</v>
      </c>
      <c r="AN335" s="380">
        <f>IF(AND(AH335&gt;0,B335&lt;&gt;""),VLOOKUP(I335,'AUX-NIV3'!$B:$AO,39,FALSE)*O335,0)</f>
        <v>0</v>
      </c>
      <c r="AO335" s="380">
        <f t="shared" si="155"/>
        <v>0.99999999999999989</v>
      </c>
      <c r="AP335" s="380"/>
    </row>
    <row r="336" spans="2:42" ht="14.4" hidden="1" thickTop="1" thickBot="1">
      <c r="B336" s="324" t="s">
        <v>1295</v>
      </c>
      <c r="C336" s="325" t="s">
        <v>45</v>
      </c>
      <c r="D336" s="326" t="s">
        <v>1160</v>
      </c>
      <c r="E336" s="327">
        <f>IF(B336&lt;&gt;"",SUMIF('AUX-NIV1'!I:I,'AUX-NIV2'!B336,'AUX-NIV1'!Q:Q),"")</f>
        <v>0</v>
      </c>
      <c r="F336" s="327">
        <f t="shared" si="145"/>
        <v>879.7126542864878</v>
      </c>
      <c r="G336" s="327">
        <f t="shared" si="146"/>
        <v>0</v>
      </c>
      <c r="H336" s="328" t="str">
        <f t="shared" si="166"/>
        <v>E</v>
      </c>
      <c r="I336" s="325" t="s">
        <v>1586</v>
      </c>
      <c r="J336" s="329" t="str">
        <f>IF(B336&lt;&gt;"",+VLOOKUP(I336,Recursos!C:F,2,FALSE),"")</f>
        <v>GRUPO ELECTROGENO 244 KVA-195 KW</v>
      </c>
      <c r="K336" s="330" t="str">
        <f>IF(B336&lt;&gt;"",+VLOOKUP(I336,Recursos!C:F,3,FALSE),"")</f>
        <v>HR</v>
      </c>
      <c r="L336" s="327">
        <f>IF(B336&lt;&gt;"",+VLOOKUP(I336,Recursos!C:F,4,FALSE),"")</f>
        <v>2848.5638181818185</v>
      </c>
      <c r="M336" s="331">
        <v>9</v>
      </c>
      <c r="N336" s="331">
        <v>0</v>
      </c>
      <c r="O336" s="332">
        <f t="shared" si="170"/>
        <v>0</v>
      </c>
      <c r="P336" s="333">
        <f t="shared" si="167"/>
        <v>0</v>
      </c>
      <c r="Q336" s="327">
        <f t="shared" si="168"/>
        <v>0</v>
      </c>
      <c r="R336" s="334">
        <f t="shared" si="169"/>
        <v>0</v>
      </c>
      <c r="S336" s="358">
        <f t="shared" si="147"/>
        <v>464.77963206426563</v>
      </c>
      <c r="T336" s="358">
        <f t="shared" si="148"/>
        <v>413.93302222222223</v>
      </c>
      <c r="U336" s="359">
        <f t="shared" si="149"/>
        <v>1</v>
      </c>
      <c r="V336" s="359">
        <f t="shared" si="150"/>
        <v>0</v>
      </c>
      <c r="W336" s="359">
        <f t="shared" si="151"/>
        <v>0</v>
      </c>
      <c r="X336" s="359">
        <f t="shared" si="152"/>
        <v>0</v>
      </c>
      <c r="Y336" s="320"/>
      <c r="Z336" s="321" t="str">
        <f t="shared" si="156"/>
        <v>X-COLHgmA</v>
      </c>
      <c r="AA336" s="321" t="str">
        <f t="shared" si="157"/>
        <v>X-COLHgmE</v>
      </c>
      <c r="AB336" s="321" t="str">
        <f t="shared" si="158"/>
        <v>X-COLHgmM</v>
      </c>
      <c r="AC336" s="321" t="str">
        <f t="shared" si="159"/>
        <v>X-COLHgmT</v>
      </c>
      <c r="AD336" s="321" t="str">
        <f t="shared" si="160"/>
        <v>X-COLHgmS</v>
      </c>
      <c r="AE336" s="321" t="str">
        <f t="shared" si="161"/>
        <v>X-COLHgmX</v>
      </c>
      <c r="AF336" s="321" t="str">
        <f t="shared" si="162"/>
        <v>X-COLHgmE</v>
      </c>
      <c r="AG336" s="321">
        <f t="shared" si="153"/>
        <v>8</v>
      </c>
      <c r="AH336" s="321">
        <f>IF(B336&lt;&gt;"",IF(H336="x",VLOOKUP(I336,'AUX-NIV3'!B:AG,32,FALSE),0),"")</f>
        <v>0</v>
      </c>
      <c r="AI336" s="321" t="str">
        <f t="shared" si="163"/>
        <v>X-COLHgm</v>
      </c>
      <c r="AJ336" s="320"/>
      <c r="AK336" s="322">
        <f t="shared" si="154"/>
        <v>331</v>
      </c>
      <c r="AL336" s="323">
        <f t="shared" si="164"/>
        <v>338</v>
      </c>
      <c r="AM336" s="322">
        <f t="shared" si="165"/>
        <v>6</v>
      </c>
      <c r="AN336" s="380">
        <f>IF(AND(AH336&gt;0,B336&lt;&gt;""),VLOOKUP(I336,'AUX-NIV3'!$B:$AO,39,FALSE)*O336,0)</f>
        <v>0</v>
      </c>
      <c r="AO336" s="380">
        <f t="shared" si="155"/>
        <v>0.99999999999999989</v>
      </c>
      <c r="AP336" s="380"/>
    </row>
    <row r="337" spans="2:42" ht="14.4" hidden="1" thickTop="1" thickBot="1">
      <c r="B337" s="324" t="s">
        <v>1295</v>
      </c>
      <c r="C337" s="325" t="s">
        <v>45</v>
      </c>
      <c r="D337" s="326" t="s">
        <v>1160</v>
      </c>
      <c r="E337" s="327">
        <f>IF(B337&lt;&gt;"",SUMIF('AUX-NIV1'!I:I,'AUX-NIV2'!B337,'AUX-NIV1'!Q:Q),"")</f>
        <v>0</v>
      </c>
      <c r="F337" s="327">
        <f t="shared" si="145"/>
        <v>879.7126542864878</v>
      </c>
      <c r="G337" s="327">
        <f t="shared" si="146"/>
        <v>0</v>
      </c>
      <c r="H337" s="328" t="str">
        <f t="shared" si="166"/>
        <v>E</v>
      </c>
      <c r="I337" s="325" t="s">
        <v>1625</v>
      </c>
      <c r="J337" s="329" t="str">
        <f>IF(B337&lt;&gt;"",+VLOOKUP(I337,Recursos!C:F,2,FALSE),"")</f>
        <v>VIBRADOR DE INMERSION d=57 mm (NE)</v>
      </c>
      <c r="K337" s="330" t="str">
        <f>IF(B337&lt;&gt;"",+VLOOKUP(I337,Recursos!C:F,3,FALSE),"")</f>
        <v>HR</v>
      </c>
      <c r="L337" s="327">
        <f>IF(B337&lt;&gt;"",+VLOOKUP(I337,Recursos!C:F,4,FALSE),"")</f>
        <v>79.599000000000004</v>
      </c>
      <c r="M337" s="331">
        <v>9</v>
      </c>
      <c r="N337" s="331">
        <v>4</v>
      </c>
      <c r="O337" s="332">
        <f t="shared" si="170"/>
        <v>0.44444444444444442</v>
      </c>
      <c r="P337" s="333">
        <f t="shared" si="167"/>
        <v>35.377333333333333</v>
      </c>
      <c r="Q337" s="327">
        <f t="shared" si="168"/>
        <v>0</v>
      </c>
      <c r="R337" s="334">
        <f t="shared" si="169"/>
        <v>0</v>
      </c>
      <c r="S337" s="358">
        <f t="shared" si="147"/>
        <v>464.77963206426563</v>
      </c>
      <c r="T337" s="358">
        <f t="shared" si="148"/>
        <v>413.93302222222223</v>
      </c>
      <c r="U337" s="359">
        <f t="shared" si="149"/>
        <v>1</v>
      </c>
      <c r="V337" s="359">
        <f t="shared" si="150"/>
        <v>0</v>
      </c>
      <c r="W337" s="359">
        <f t="shared" si="151"/>
        <v>0</v>
      </c>
      <c r="X337" s="359">
        <f t="shared" si="152"/>
        <v>0</v>
      </c>
      <c r="Y337" s="320"/>
      <c r="Z337" s="321" t="str">
        <f t="shared" si="156"/>
        <v>X-COLHgmA</v>
      </c>
      <c r="AA337" s="321" t="str">
        <f t="shared" si="157"/>
        <v>X-COLHgmE</v>
      </c>
      <c r="AB337" s="321" t="str">
        <f t="shared" si="158"/>
        <v>X-COLHgmM</v>
      </c>
      <c r="AC337" s="321" t="str">
        <f t="shared" si="159"/>
        <v>X-COLHgmT</v>
      </c>
      <c r="AD337" s="321" t="str">
        <f t="shared" si="160"/>
        <v>X-COLHgmS</v>
      </c>
      <c r="AE337" s="321" t="str">
        <f t="shared" si="161"/>
        <v>X-COLHgmX</v>
      </c>
      <c r="AF337" s="321" t="str">
        <f t="shared" si="162"/>
        <v>X-COLHgmE</v>
      </c>
      <c r="AG337" s="321">
        <f t="shared" si="153"/>
        <v>8</v>
      </c>
      <c r="AH337" s="321">
        <f>IF(B337&lt;&gt;"",IF(H337="x",VLOOKUP(I337,'AUX-NIV3'!B:AG,32,FALSE),0),"")</f>
        <v>0</v>
      </c>
      <c r="AI337" s="321" t="str">
        <f t="shared" si="163"/>
        <v>X-COLHgm</v>
      </c>
      <c r="AJ337" s="320"/>
      <c r="AK337" s="322">
        <f t="shared" si="154"/>
        <v>331</v>
      </c>
      <c r="AL337" s="323">
        <f t="shared" si="164"/>
        <v>338</v>
      </c>
      <c r="AM337" s="322">
        <f t="shared" si="165"/>
        <v>7</v>
      </c>
      <c r="AN337" s="380">
        <f>IF(AND(AH337&gt;0,B337&lt;&gt;""),VLOOKUP(I337,'AUX-NIV3'!$B:$AO,39,FALSE)*O337,0)</f>
        <v>0</v>
      </c>
      <c r="AO337" s="380">
        <f t="shared" si="155"/>
        <v>0.99999999999999989</v>
      </c>
      <c r="AP337" s="380"/>
    </row>
    <row r="338" spans="2:42" ht="14.4" hidden="1" thickTop="1" thickBot="1">
      <c r="B338" s="324" t="s">
        <v>1295</v>
      </c>
      <c r="C338" s="325" t="s">
        <v>45</v>
      </c>
      <c r="D338" s="326" t="s">
        <v>1160</v>
      </c>
      <c r="E338" s="327">
        <f>IF(B338&lt;&gt;"",SUMIF('AUX-NIV1'!I:I,'AUX-NIV2'!B338,'AUX-NIV1'!Q:Q),"")</f>
        <v>0</v>
      </c>
      <c r="F338" s="327">
        <f t="shared" si="145"/>
        <v>879.7126542864878</v>
      </c>
      <c r="G338" s="327">
        <f t="shared" si="146"/>
        <v>0</v>
      </c>
      <c r="H338" s="328" t="str">
        <f t="shared" si="166"/>
        <v>M</v>
      </c>
      <c r="I338" s="325" t="s">
        <v>621</v>
      </c>
      <c r="J338" s="329" t="str">
        <f>IF(B338&lt;&gt;"",+VLOOKUP(I338,Recursos!C:F,2,FALSE),"")</f>
        <v>MATERIALES VARIOS</v>
      </c>
      <c r="K338" s="330" t="str">
        <f>IF(B338&lt;&gt;"",+VLOOKUP(I338,Recursos!C:F,3,FALSE),"")</f>
        <v>GL</v>
      </c>
      <c r="L338" s="327">
        <f>IF(B338&lt;&gt;"",+VLOOKUP(I338,Recursos!C:F,4,FALSE),"")</f>
        <v>0.5</v>
      </c>
      <c r="M338" s="331">
        <v>2</v>
      </c>
      <c r="N338" s="331">
        <v>1</v>
      </c>
      <c r="O338" s="332">
        <f>+M338*N338</f>
        <v>2</v>
      </c>
      <c r="P338" s="333">
        <f t="shared" si="167"/>
        <v>1</v>
      </c>
      <c r="Q338" s="327">
        <f t="shared" si="168"/>
        <v>0</v>
      </c>
      <c r="R338" s="334">
        <f t="shared" si="169"/>
        <v>0</v>
      </c>
      <c r="S338" s="358">
        <f t="shared" si="147"/>
        <v>464.77963206426563</v>
      </c>
      <c r="T338" s="358">
        <f t="shared" si="148"/>
        <v>413.93302222222223</v>
      </c>
      <c r="U338" s="359">
        <f t="shared" si="149"/>
        <v>1</v>
      </c>
      <c r="V338" s="359">
        <f t="shared" si="150"/>
        <v>0</v>
      </c>
      <c r="W338" s="359">
        <f t="shared" si="151"/>
        <v>0</v>
      </c>
      <c r="X338" s="359">
        <f t="shared" si="152"/>
        <v>0</v>
      </c>
      <c r="Y338" s="320"/>
      <c r="Z338" s="321" t="str">
        <f t="shared" si="156"/>
        <v>X-COLHgmA</v>
      </c>
      <c r="AA338" s="321" t="str">
        <f t="shared" si="157"/>
        <v>X-COLHgmE</v>
      </c>
      <c r="AB338" s="321" t="str">
        <f t="shared" si="158"/>
        <v>X-COLHgmM</v>
      </c>
      <c r="AC338" s="321" t="str">
        <f t="shared" si="159"/>
        <v>X-COLHgmT</v>
      </c>
      <c r="AD338" s="321" t="str">
        <f t="shared" si="160"/>
        <v>X-COLHgmS</v>
      </c>
      <c r="AE338" s="321" t="str">
        <f t="shared" si="161"/>
        <v>X-COLHgmX</v>
      </c>
      <c r="AF338" s="321" t="str">
        <f t="shared" si="162"/>
        <v>X-COLHgmM</v>
      </c>
      <c r="AG338" s="321">
        <f t="shared" si="153"/>
        <v>8</v>
      </c>
      <c r="AH338" s="321">
        <f>IF(B338&lt;&gt;"",IF(H338="x",VLOOKUP(I338,'AUX-NIV3'!B:AG,32,FALSE),0),"")</f>
        <v>0</v>
      </c>
      <c r="AI338" s="321" t="str">
        <f t="shared" si="163"/>
        <v>X-COLHgm</v>
      </c>
      <c r="AJ338" s="320"/>
      <c r="AK338" s="322">
        <f t="shared" si="154"/>
        <v>331</v>
      </c>
      <c r="AL338" s="323">
        <f t="shared" si="164"/>
        <v>338</v>
      </c>
      <c r="AM338" s="322">
        <f t="shared" si="165"/>
        <v>8</v>
      </c>
      <c r="AN338" s="380">
        <f>IF(AND(AH338&gt;0,B338&lt;&gt;""),VLOOKUP(I338,'AUX-NIV3'!$B:$AO,39,FALSE)*O338,0)</f>
        <v>0</v>
      </c>
      <c r="AO338" s="380">
        <f t="shared" si="155"/>
        <v>0.99999999999999989</v>
      </c>
      <c r="AP338" s="380"/>
    </row>
    <row r="339" spans="2:42" ht="14.4" hidden="1" thickTop="1" thickBot="1">
      <c r="B339" s="324" t="s">
        <v>1296</v>
      </c>
      <c r="C339" s="325" t="s">
        <v>46</v>
      </c>
      <c r="D339" s="326" t="s">
        <v>1160</v>
      </c>
      <c r="E339" s="327">
        <f>IF(B339&lt;&gt;"",SUMIF('AUX-NIV1'!I:I,'AUX-NIV2'!B339,'AUX-NIV1'!Q:Q),"")</f>
        <v>0</v>
      </c>
      <c r="F339" s="327">
        <f t="shared" si="145"/>
        <v>513.77665766080293</v>
      </c>
      <c r="G339" s="327">
        <f t="shared" si="146"/>
        <v>0</v>
      </c>
      <c r="H339" s="328" t="str">
        <f t="shared" si="166"/>
        <v>A</v>
      </c>
      <c r="I339" s="325" t="s">
        <v>1745</v>
      </c>
      <c r="J339" s="329" t="str">
        <f>IF(B339&lt;&gt;"",+VLOOKUP(I339,Recursos!C:F,2,FALSE),"")</f>
        <v>AYUDANTE</v>
      </c>
      <c r="K339" s="330" t="str">
        <f>IF(B339&lt;&gt;"",+VLOOKUP(I339,Recursos!C:F,3,FALSE),"")</f>
        <v>hh</v>
      </c>
      <c r="L339" s="327">
        <f>IF(B339&lt;&gt;"",+VLOOKUP(I339,Recursos!C:F,4,FALSE),"")</f>
        <v>422.48042769667234</v>
      </c>
      <c r="M339" s="331">
        <v>18</v>
      </c>
      <c r="N339" s="331">
        <v>4</v>
      </c>
      <c r="O339" s="332">
        <f t="shared" ref="O339:O345" si="171">1/M339*N339</f>
        <v>0.22222222222222221</v>
      </c>
      <c r="P339" s="333">
        <f t="shared" si="167"/>
        <v>93.8845394881494</v>
      </c>
      <c r="Q339" s="327">
        <f t="shared" si="168"/>
        <v>0</v>
      </c>
      <c r="R339" s="334">
        <f t="shared" si="169"/>
        <v>0</v>
      </c>
      <c r="S339" s="358">
        <f t="shared" si="147"/>
        <v>268.87266321635849</v>
      </c>
      <c r="T339" s="358">
        <f t="shared" si="148"/>
        <v>244.46644444444445</v>
      </c>
      <c r="U339" s="359">
        <f t="shared" si="149"/>
        <v>0.43754999999999999</v>
      </c>
      <c r="V339" s="359">
        <f t="shared" si="150"/>
        <v>0</v>
      </c>
      <c r="W339" s="359">
        <f t="shared" si="151"/>
        <v>0</v>
      </c>
      <c r="X339" s="359">
        <f t="shared" si="152"/>
        <v>0</v>
      </c>
      <c r="Y339" s="320"/>
      <c r="Z339" s="321" t="str">
        <f t="shared" si="156"/>
        <v>X-COLHgtA</v>
      </c>
      <c r="AA339" s="321" t="str">
        <f t="shared" si="157"/>
        <v>X-COLHgtE</v>
      </c>
      <c r="AB339" s="321" t="str">
        <f t="shared" si="158"/>
        <v>X-COLHgtM</v>
      </c>
      <c r="AC339" s="321" t="str">
        <f t="shared" si="159"/>
        <v>X-COLHgtT</v>
      </c>
      <c r="AD339" s="321" t="str">
        <f t="shared" si="160"/>
        <v>X-COLHgtS</v>
      </c>
      <c r="AE339" s="321" t="str">
        <f t="shared" si="161"/>
        <v>X-COLHgtX</v>
      </c>
      <c r="AF339" s="321" t="str">
        <f t="shared" si="162"/>
        <v>X-COLHgtA</v>
      </c>
      <c r="AG339" s="321">
        <f t="shared" si="153"/>
        <v>8</v>
      </c>
      <c r="AH339" s="321">
        <f>IF(B339&lt;&gt;"",IF(H339="x",VLOOKUP(I339,'AUX-NIV3'!B:AG,32,FALSE),0),"")</f>
        <v>0</v>
      </c>
      <c r="AI339" s="321" t="str">
        <f t="shared" si="163"/>
        <v>X-COLHgt</v>
      </c>
      <c r="AJ339" s="320"/>
      <c r="AK339" s="322">
        <f t="shared" si="154"/>
        <v>339</v>
      </c>
      <c r="AL339" s="323">
        <f t="shared" si="164"/>
        <v>346</v>
      </c>
      <c r="AM339" s="322">
        <f t="shared" si="165"/>
        <v>1</v>
      </c>
      <c r="AN339" s="380">
        <f>IF(AND(AH339&gt;0,B339&lt;&gt;""),VLOOKUP(I339,'AUX-NIV3'!$B:$AO,39,FALSE)*O339,0)</f>
        <v>0</v>
      </c>
      <c r="AO339" s="380">
        <f t="shared" si="155"/>
        <v>0.55555555555555558</v>
      </c>
      <c r="AP339" s="380"/>
    </row>
    <row r="340" spans="2:42" ht="14.4" hidden="1" thickTop="1" thickBot="1">
      <c r="B340" s="324" t="s">
        <v>1296</v>
      </c>
      <c r="C340" s="325" t="s">
        <v>46</v>
      </c>
      <c r="D340" s="326" t="s">
        <v>1160</v>
      </c>
      <c r="E340" s="327">
        <f>IF(B340&lt;&gt;"",SUMIF('AUX-NIV1'!I:I,'AUX-NIV2'!B340,'AUX-NIV1'!Q:Q),"")</f>
        <v>0</v>
      </c>
      <c r="F340" s="327">
        <f t="shared" si="145"/>
        <v>513.77665766080293</v>
      </c>
      <c r="G340" s="327">
        <f t="shared" si="146"/>
        <v>0</v>
      </c>
      <c r="H340" s="328" t="str">
        <f t="shared" si="166"/>
        <v>A</v>
      </c>
      <c r="I340" s="325" t="s">
        <v>1746</v>
      </c>
      <c r="J340" s="329" t="str">
        <f>IF(B340&lt;&gt;"",+VLOOKUP(I340,Recursos!C:F,2,FALSE),"")</f>
        <v>OFICIAL</v>
      </c>
      <c r="K340" s="330" t="str">
        <f>IF(B340&lt;&gt;"",+VLOOKUP(I340,Recursos!C:F,3,FALSE),"")</f>
        <v>hh</v>
      </c>
      <c r="L340" s="327">
        <f>IF(B340&lt;&gt;"",+VLOOKUP(I340,Recursos!C:F,4,FALSE),"")</f>
        <v>496.91595439275824</v>
      </c>
      <c r="M340" s="331">
        <v>18</v>
      </c>
      <c r="N340" s="331">
        <v>4</v>
      </c>
      <c r="O340" s="332">
        <f t="shared" si="171"/>
        <v>0.22222222222222221</v>
      </c>
      <c r="P340" s="333">
        <f t="shared" si="167"/>
        <v>110.42576764283515</v>
      </c>
      <c r="Q340" s="327">
        <f t="shared" si="168"/>
        <v>0</v>
      </c>
      <c r="R340" s="334">
        <f t="shared" si="169"/>
        <v>0</v>
      </c>
      <c r="S340" s="358">
        <f t="shared" si="147"/>
        <v>268.87266321635849</v>
      </c>
      <c r="T340" s="358">
        <f t="shared" si="148"/>
        <v>244.46644444444445</v>
      </c>
      <c r="U340" s="359">
        <f t="shared" si="149"/>
        <v>0.43754999999999999</v>
      </c>
      <c r="V340" s="359">
        <f t="shared" si="150"/>
        <v>0</v>
      </c>
      <c r="W340" s="359">
        <f t="shared" si="151"/>
        <v>0</v>
      </c>
      <c r="X340" s="359">
        <f t="shared" si="152"/>
        <v>0</v>
      </c>
      <c r="Y340" s="320"/>
      <c r="Z340" s="321" t="str">
        <f t="shared" si="156"/>
        <v>X-COLHgtA</v>
      </c>
      <c r="AA340" s="321" t="str">
        <f t="shared" si="157"/>
        <v>X-COLHgtE</v>
      </c>
      <c r="AB340" s="321" t="str">
        <f t="shared" si="158"/>
        <v>X-COLHgtM</v>
      </c>
      <c r="AC340" s="321" t="str">
        <f t="shared" si="159"/>
        <v>X-COLHgtT</v>
      </c>
      <c r="AD340" s="321" t="str">
        <f t="shared" si="160"/>
        <v>X-COLHgtS</v>
      </c>
      <c r="AE340" s="321" t="str">
        <f t="shared" si="161"/>
        <v>X-COLHgtX</v>
      </c>
      <c r="AF340" s="321" t="str">
        <f t="shared" si="162"/>
        <v>X-COLHgtA</v>
      </c>
      <c r="AG340" s="321">
        <f t="shared" si="153"/>
        <v>8</v>
      </c>
      <c r="AH340" s="321">
        <f>IF(B340&lt;&gt;"",IF(H340="x",VLOOKUP(I340,'AUX-NIV3'!B:AG,32,FALSE),0),"")</f>
        <v>0</v>
      </c>
      <c r="AI340" s="321" t="str">
        <f t="shared" si="163"/>
        <v>X-COLHgt</v>
      </c>
      <c r="AJ340" s="320"/>
      <c r="AK340" s="322">
        <f t="shared" si="154"/>
        <v>339</v>
      </c>
      <c r="AL340" s="323">
        <f t="shared" si="164"/>
        <v>346</v>
      </c>
      <c r="AM340" s="322">
        <f t="shared" si="165"/>
        <v>2</v>
      </c>
      <c r="AN340" s="380">
        <f>IF(AND(AH340&gt;0,B340&lt;&gt;""),VLOOKUP(I340,'AUX-NIV3'!$B:$AO,39,FALSE)*O340,0)</f>
        <v>0</v>
      </c>
      <c r="AO340" s="380">
        <f t="shared" si="155"/>
        <v>0.55555555555555558</v>
      </c>
      <c r="AP340" s="380"/>
    </row>
    <row r="341" spans="2:42" ht="14.4" hidden="1" thickTop="1" thickBot="1">
      <c r="B341" s="324" t="s">
        <v>1296</v>
      </c>
      <c r="C341" s="325" t="s">
        <v>46</v>
      </c>
      <c r="D341" s="326" t="s">
        <v>1160</v>
      </c>
      <c r="E341" s="327">
        <f>IF(B341&lt;&gt;"",SUMIF('AUX-NIV1'!I:I,'AUX-NIV2'!B341,'AUX-NIV1'!Q:Q),"")</f>
        <v>0</v>
      </c>
      <c r="F341" s="327">
        <f t="shared" si="145"/>
        <v>513.77665766080293</v>
      </c>
      <c r="G341" s="327">
        <f t="shared" si="146"/>
        <v>0</v>
      </c>
      <c r="H341" s="328" t="str">
        <f t="shared" si="166"/>
        <v>A</v>
      </c>
      <c r="I341" s="325" t="s">
        <v>3310</v>
      </c>
      <c r="J341" s="329" t="str">
        <f>IF(B341&lt;&gt;"",+VLOOKUP(I341,Recursos!C:F,2,FALSE),"")</f>
        <v>OFICIAL ESPECIALIZADO</v>
      </c>
      <c r="K341" s="330" t="str">
        <f>IF(B341&lt;&gt;"",+VLOOKUP(I341,Recursos!C:F,3,FALSE),"")</f>
        <v>hh</v>
      </c>
      <c r="L341" s="327">
        <f>IF(B341&lt;&gt;"",+VLOOKUP(I341,Recursos!C:F,4,FALSE),"")</f>
        <v>581.06120476836554</v>
      </c>
      <c r="M341" s="331">
        <v>18</v>
      </c>
      <c r="N341" s="331">
        <v>1</v>
      </c>
      <c r="O341" s="332">
        <f t="shared" si="171"/>
        <v>5.5555555555555552E-2</v>
      </c>
      <c r="P341" s="333">
        <f t="shared" si="167"/>
        <v>32.281178042686975</v>
      </c>
      <c r="Q341" s="327">
        <f t="shared" si="168"/>
        <v>0</v>
      </c>
      <c r="R341" s="334">
        <f t="shared" si="169"/>
        <v>0</v>
      </c>
      <c r="S341" s="358">
        <f t="shared" si="147"/>
        <v>268.87266321635849</v>
      </c>
      <c r="T341" s="358">
        <f t="shared" si="148"/>
        <v>244.46644444444445</v>
      </c>
      <c r="U341" s="359">
        <f t="shared" si="149"/>
        <v>0.43754999999999999</v>
      </c>
      <c r="V341" s="359">
        <f t="shared" si="150"/>
        <v>0</v>
      </c>
      <c r="W341" s="359">
        <f t="shared" si="151"/>
        <v>0</v>
      </c>
      <c r="X341" s="359">
        <f t="shared" si="152"/>
        <v>0</v>
      </c>
      <c r="Y341" s="320"/>
      <c r="Z341" s="321" t="str">
        <f t="shared" si="156"/>
        <v>X-COLHgtA</v>
      </c>
      <c r="AA341" s="321" t="str">
        <f t="shared" si="157"/>
        <v>X-COLHgtE</v>
      </c>
      <c r="AB341" s="321" t="str">
        <f t="shared" si="158"/>
        <v>X-COLHgtM</v>
      </c>
      <c r="AC341" s="321" t="str">
        <f t="shared" si="159"/>
        <v>X-COLHgtT</v>
      </c>
      <c r="AD341" s="321" t="str">
        <f t="shared" si="160"/>
        <v>X-COLHgtS</v>
      </c>
      <c r="AE341" s="321" t="str">
        <f t="shared" si="161"/>
        <v>X-COLHgtX</v>
      </c>
      <c r="AF341" s="321" t="str">
        <f t="shared" si="162"/>
        <v>X-COLHgtA</v>
      </c>
      <c r="AG341" s="321">
        <f t="shared" si="153"/>
        <v>8</v>
      </c>
      <c r="AH341" s="321">
        <f>IF(B341&lt;&gt;"",IF(H341="x",VLOOKUP(I341,'AUX-NIV3'!B:AG,32,FALSE),0),"")</f>
        <v>0</v>
      </c>
      <c r="AI341" s="321" t="str">
        <f t="shared" si="163"/>
        <v>X-COLHgt</v>
      </c>
      <c r="AJ341" s="320"/>
      <c r="AK341" s="322">
        <f t="shared" si="154"/>
        <v>339</v>
      </c>
      <c r="AL341" s="323">
        <f t="shared" si="164"/>
        <v>346</v>
      </c>
      <c r="AM341" s="322">
        <f t="shared" si="165"/>
        <v>3</v>
      </c>
      <c r="AN341" s="380">
        <f>IF(AND(AH341&gt;0,B341&lt;&gt;""),VLOOKUP(I341,'AUX-NIV3'!$B:$AO,39,FALSE)*O341,0)</f>
        <v>0</v>
      </c>
      <c r="AO341" s="380">
        <f t="shared" si="155"/>
        <v>0.55555555555555558</v>
      </c>
      <c r="AP341" s="380"/>
    </row>
    <row r="342" spans="2:42" ht="14.4" hidden="1" thickTop="1" thickBot="1">
      <c r="B342" s="324" t="s">
        <v>1296</v>
      </c>
      <c r="C342" s="325" t="s">
        <v>46</v>
      </c>
      <c r="D342" s="326" t="s">
        <v>1160</v>
      </c>
      <c r="E342" s="327">
        <f>IF(B342&lt;&gt;"",SUMIF('AUX-NIV1'!I:I,'AUX-NIV2'!B342,'AUX-NIV1'!Q:Q),"")</f>
        <v>0</v>
      </c>
      <c r="F342" s="327">
        <f t="shared" si="145"/>
        <v>513.77665766080293</v>
      </c>
      <c r="G342" s="327">
        <f t="shared" si="146"/>
        <v>0</v>
      </c>
      <c r="H342" s="328" t="str">
        <f t="shared" si="166"/>
        <v>A</v>
      </c>
      <c r="I342" s="325" t="s">
        <v>3311</v>
      </c>
      <c r="J342" s="329" t="str">
        <f>IF(B342&lt;&gt;"",+VLOOKUP(I342,Recursos!C:F,2,FALSE),"")</f>
        <v>OPER. EQUIPO</v>
      </c>
      <c r="K342" s="330" t="str">
        <f>IF(B342&lt;&gt;"",+VLOOKUP(I342,Recursos!C:F,3,FALSE),"")</f>
        <v>hh</v>
      </c>
      <c r="L342" s="327">
        <f>IF(B342&lt;&gt;"",+VLOOKUP(I342,Recursos!C:F,4,FALSE),"")</f>
        <v>581.06120476836554</v>
      </c>
      <c r="M342" s="331">
        <v>18</v>
      </c>
      <c r="N342" s="331">
        <v>1</v>
      </c>
      <c r="O342" s="332">
        <f t="shared" si="171"/>
        <v>5.5555555555555552E-2</v>
      </c>
      <c r="P342" s="333">
        <f t="shared" si="167"/>
        <v>32.281178042686975</v>
      </c>
      <c r="Q342" s="327">
        <f t="shared" si="168"/>
        <v>0</v>
      </c>
      <c r="R342" s="334">
        <f t="shared" si="169"/>
        <v>0</v>
      </c>
      <c r="S342" s="358">
        <f t="shared" si="147"/>
        <v>268.87266321635849</v>
      </c>
      <c r="T342" s="358">
        <f t="shared" si="148"/>
        <v>244.46644444444445</v>
      </c>
      <c r="U342" s="359">
        <f t="shared" si="149"/>
        <v>0.43754999999999999</v>
      </c>
      <c r="V342" s="359">
        <f t="shared" si="150"/>
        <v>0</v>
      </c>
      <c r="W342" s="359">
        <f t="shared" si="151"/>
        <v>0</v>
      </c>
      <c r="X342" s="359">
        <f t="shared" si="152"/>
        <v>0</v>
      </c>
      <c r="Y342" s="320"/>
      <c r="Z342" s="321" t="str">
        <f t="shared" si="156"/>
        <v>X-COLHgtA</v>
      </c>
      <c r="AA342" s="321" t="str">
        <f t="shared" si="157"/>
        <v>X-COLHgtE</v>
      </c>
      <c r="AB342" s="321" t="str">
        <f t="shared" si="158"/>
        <v>X-COLHgtM</v>
      </c>
      <c r="AC342" s="321" t="str">
        <f t="shared" si="159"/>
        <v>X-COLHgtT</v>
      </c>
      <c r="AD342" s="321" t="str">
        <f t="shared" si="160"/>
        <v>X-COLHgtS</v>
      </c>
      <c r="AE342" s="321" t="str">
        <f t="shared" si="161"/>
        <v>X-COLHgtX</v>
      </c>
      <c r="AF342" s="321" t="str">
        <f t="shared" si="162"/>
        <v>X-COLHgtA</v>
      </c>
      <c r="AG342" s="321">
        <f t="shared" si="153"/>
        <v>8</v>
      </c>
      <c r="AH342" s="321">
        <f>IF(B342&lt;&gt;"",IF(H342="x",VLOOKUP(I342,'AUX-NIV3'!B:AG,32,FALSE),0),"")</f>
        <v>0</v>
      </c>
      <c r="AI342" s="321" t="str">
        <f t="shared" si="163"/>
        <v>X-COLHgt</v>
      </c>
      <c r="AJ342" s="320"/>
      <c r="AK342" s="322">
        <f t="shared" si="154"/>
        <v>339</v>
      </c>
      <c r="AL342" s="323">
        <f t="shared" si="164"/>
        <v>346</v>
      </c>
      <c r="AM342" s="322">
        <f t="shared" si="165"/>
        <v>4</v>
      </c>
      <c r="AN342" s="380">
        <f>IF(AND(AH342&gt;0,B342&lt;&gt;""),VLOOKUP(I342,'AUX-NIV3'!$B:$AO,39,FALSE)*O342,0)</f>
        <v>0</v>
      </c>
      <c r="AO342" s="380">
        <f t="shared" si="155"/>
        <v>0.55555555555555558</v>
      </c>
      <c r="AP342" s="380"/>
    </row>
    <row r="343" spans="2:42" ht="14.4" hidden="1" thickTop="1" thickBot="1">
      <c r="B343" s="324" t="s">
        <v>1296</v>
      </c>
      <c r="C343" s="325" t="s">
        <v>46</v>
      </c>
      <c r="D343" s="326" t="s">
        <v>1160</v>
      </c>
      <c r="E343" s="327">
        <f>IF(B343&lt;&gt;"",SUMIF('AUX-NIV1'!I:I,'AUX-NIV2'!B343,'AUX-NIV1'!Q:Q),"")</f>
        <v>0</v>
      </c>
      <c r="F343" s="327">
        <f t="shared" si="145"/>
        <v>513.77665766080293</v>
      </c>
      <c r="G343" s="327">
        <f t="shared" si="146"/>
        <v>0</v>
      </c>
      <c r="H343" s="328" t="str">
        <f t="shared" si="166"/>
        <v>E</v>
      </c>
      <c r="I343" s="325" t="s">
        <v>1595</v>
      </c>
      <c r="J343" s="329" t="str">
        <f>IF(B343&lt;&gt;"",+VLOOKUP(I343,Recursos!C:F,2,FALSE),"")</f>
        <v>GRUA TORRE S/RIELES (300 TM)</v>
      </c>
      <c r="K343" s="330" t="str">
        <f>IF(B343&lt;&gt;"",+VLOOKUP(I343,Recursos!C:F,3,FALSE),"")</f>
        <v>HR</v>
      </c>
      <c r="L343" s="327">
        <f>IF(B343&lt;&gt;"",+VLOOKUP(I343,Recursos!C:F,4,FALSE),"")</f>
        <v>4082</v>
      </c>
      <c r="M343" s="331">
        <v>18</v>
      </c>
      <c r="N343" s="331">
        <v>1</v>
      </c>
      <c r="O343" s="332">
        <f t="shared" si="171"/>
        <v>5.5555555555555552E-2</v>
      </c>
      <c r="P343" s="333">
        <f t="shared" si="167"/>
        <v>226.77777777777777</v>
      </c>
      <c r="Q343" s="327">
        <f t="shared" si="168"/>
        <v>0</v>
      </c>
      <c r="R343" s="334">
        <f t="shared" si="169"/>
        <v>0</v>
      </c>
      <c r="S343" s="358">
        <f t="shared" si="147"/>
        <v>268.87266321635849</v>
      </c>
      <c r="T343" s="358">
        <f t="shared" si="148"/>
        <v>244.46644444444445</v>
      </c>
      <c r="U343" s="359">
        <f t="shared" si="149"/>
        <v>0.43754999999999999</v>
      </c>
      <c r="V343" s="359">
        <f t="shared" si="150"/>
        <v>0</v>
      </c>
      <c r="W343" s="359">
        <f t="shared" si="151"/>
        <v>0</v>
      </c>
      <c r="X343" s="359">
        <f t="shared" si="152"/>
        <v>0</v>
      </c>
      <c r="Y343" s="320"/>
      <c r="Z343" s="321" t="str">
        <f t="shared" si="156"/>
        <v>X-COLHgtA</v>
      </c>
      <c r="AA343" s="321" t="str">
        <f t="shared" si="157"/>
        <v>X-COLHgtE</v>
      </c>
      <c r="AB343" s="321" t="str">
        <f t="shared" si="158"/>
        <v>X-COLHgtM</v>
      </c>
      <c r="AC343" s="321" t="str">
        <f t="shared" si="159"/>
        <v>X-COLHgtT</v>
      </c>
      <c r="AD343" s="321" t="str">
        <f t="shared" si="160"/>
        <v>X-COLHgtS</v>
      </c>
      <c r="AE343" s="321" t="str">
        <f t="shared" si="161"/>
        <v>X-COLHgtX</v>
      </c>
      <c r="AF343" s="321" t="str">
        <f t="shared" si="162"/>
        <v>X-COLHgtE</v>
      </c>
      <c r="AG343" s="321">
        <f t="shared" si="153"/>
        <v>8</v>
      </c>
      <c r="AH343" s="321">
        <f>IF(B343&lt;&gt;"",IF(H343="x",VLOOKUP(I343,'AUX-NIV3'!B:AG,32,FALSE),0),"")</f>
        <v>0</v>
      </c>
      <c r="AI343" s="321" t="str">
        <f t="shared" si="163"/>
        <v>X-COLHgt</v>
      </c>
      <c r="AJ343" s="320"/>
      <c r="AK343" s="322">
        <f t="shared" si="154"/>
        <v>339</v>
      </c>
      <c r="AL343" s="323">
        <f t="shared" si="164"/>
        <v>346</v>
      </c>
      <c r="AM343" s="322">
        <f t="shared" si="165"/>
        <v>5</v>
      </c>
      <c r="AN343" s="380">
        <f>IF(AND(AH343&gt;0,B343&lt;&gt;""),VLOOKUP(I343,'AUX-NIV3'!$B:$AO,39,FALSE)*O343,0)</f>
        <v>0</v>
      </c>
      <c r="AO343" s="380">
        <f t="shared" si="155"/>
        <v>0.55555555555555558</v>
      </c>
      <c r="AP343" s="380"/>
    </row>
    <row r="344" spans="2:42" ht="14.4" hidden="1" thickTop="1" thickBot="1">
      <c r="B344" s="324" t="s">
        <v>1296</v>
      </c>
      <c r="C344" s="325" t="s">
        <v>46</v>
      </c>
      <c r="D344" s="326" t="s">
        <v>1160</v>
      </c>
      <c r="E344" s="327">
        <f>IF(B344&lt;&gt;"",SUMIF('AUX-NIV1'!I:I,'AUX-NIV2'!B344,'AUX-NIV1'!Q:Q),"")</f>
        <v>0</v>
      </c>
      <c r="F344" s="327">
        <f t="shared" si="145"/>
        <v>513.77665766080293</v>
      </c>
      <c r="G344" s="327">
        <f t="shared" si="146"/>
        <v>0</v>
      </c>
      <c r="H344" s="328" t="str">
        <f t="shared" si="166"/>
        <v>E</v>
      </c>
      <c r="I344" s="325" t="s">
        <v>1586</v>
      </c>
      <c r="J344" s="329" t="str">
        <f>IF(B344&lt;&gt;"",+VLOOKUP(I344,Recursos!C:F,2,FALSE),"")</f>
        <v>GRUPO ELECTROGENO 244 KVA-195 KW</v>
      </c>
      <c r="K344" s="330" t="str">
        <f>IF(B344&lt;&gt;"",+VLOOKUP(I344,Recursos!C:F,3,FALSE),"")</f>
        <v>HR</v>
      </c>
      <c r="L344" s="327">
        <f>IF(B344&lt;&gt;"",+VLOOKUP(I344,Recursos!C:F,4,FALSE),"")</f>
        <v>2848.5638181818185</v>
      </c>
      <c r="M344" s="331">
        <v>18</v>
      </c>
      <c r="N344" s="331">
        <v>0</v>
      </c>
      <c r="O344" s="332">
        <f t="shared" si="171"/>
        <v>0</v>
      </c>
      <c r="P344" s="333">
        <f t="shared" si="167"/>
        <v>0</v>
      </c>
      <c r="Q344" s="327">
        <f t="shared" si="168"/>
        <v>0</v>
      </c>
      <c r="R344" s="334">
        <f t="shared" si="169"/>
        <v>0</v>
      </c>
      <c r="S344" s="358">
        <f t="shared" si="147"/>
        <v>268.87266321635849</v>
      </c>
      <c r="T344" s="358">
        <f t="shared" si="148"/>
        <v>244.46644444444445</v>
      </c>
      <c r="U344" s="359">
        <f t="shared" si="149"/>
        <v>0.43754999999999999</v>
      </c>
      <c r="V344" s="359">
        <f t="shared" si="150"/>
        <v>0</v>
      </c>
      <c r="W344" s="359">
        <f t="shared" si="151"/>
        <v>0</v>
      </c>
      <c r="X344" s="359">
        <f t="shared" si="152"/>
        <v>0</v>
      </c>
      <c r="Y344" s="320"/>
      <c r="Z344" s="321" t="str">
        <f t="shared" si="156"/>
        <v>X-COLHgtA</v>
      </c>
      <c r="AA344" s="321" t="str">
        <f t="shared" si="157"/>
        <v>X-COLHgtE</v>
      </c>
      <c r="AB344" s="321" t="str">
        <f t="shared" si="158"/>
        <v>X-COLHgtM</v>
      </c>
      <c r="AC344" s="321" t="str">
        <f t="shared" si="159"/>
        <v>X-COLHgtT</v>
      </c>
      <c r="AD344" s="321" t="str">
        <f t="shared" si="160"/>
        <v>X-COLHgtS</v>
      </c>
      <c r="AE344" s="321" t="str">
        <f t="shared" si="161"/>
        <v>X-COLHgtX</v>
      </c>
      <c r="AF344" s="321" t="str">
        <f t="shared" si="162"/>
        <v>X-COLHgtE</v>
      </c>
      <c r="AG344" s="321">
        <f t="shared" si="153"/>
        <v>8</v>
      </c>
      <c r="AH344" s="321">
        <f>IF(B344&lt;&gt;"",IF(H344="x",VLOOKUP(I344,'AUX-NIV3'!B:AG,32,FALSE),0),"")</f>
        <v>0</v>
      </c>
      <c r="AI344" s="321" t="str">
        <f t="shared" si="163"/>
        <v>X-COLHgt</v>
      </c>
      <c r="AJ344" s="320"/>
      <c r="AK344" s="322">
        <f t="shared" si="154"/>
        <v>339</v>
      </c>
      <c r="AL344" s="323">
        <f t="shared" si="164"/>
        <v>346</v>
      </c>
      <c r="AM344" s="322">
        <f t="shared" si="165"/>
        <v>6</v>
      </c>
      <c r="AN344" s="380">
        <f>IF(AND(AH344&gt;0,B344&lt;&gt;""),VLOOKUP(I344,'AUX-NIV3'!$B:$AO,39,FALSE)*O344,0)</f>
        <v>0</v>
      </c>
      <c r="AO344" s="380">
        <f t="shared" si="155"/>
        <v>0.55555555555555558</v>
      </c>
      <c r="AP344" s="380"/>
    </row>
    <row r="345" spans="2:42" ht="14.4" hidden="1" thickTop="1" thickBot="1">
      <c r="B345" s="324" t="s">
        <v>1296</v>
      </c>
      <c r="C345" s="325" t="s">
        <v>46</v>
      </c>
      <c r="D345" s="326" t="s">
        <v>1160</v>
      </c>
      <c r="E345" s="327">
        <f>IF(B345&lt;&gt;"",SUMIF('AUX-NIV1'!I:I,'AUX-NIV2'!B345,'AUX-NIV1'!Q:Q),"")</f>
        <v>0</v>
      </c>
      <c r="F345" s="327">
        <f t="shared" si="145"/>
        <v>513.77665766080293</v>
      </c>
      <c r="G345" s="327">
        <f t="shared" si="146"/>
        <v>0</v>
      </c>
      <c r="H345" s="328" t="str">
        <f t="shared" si="166"/>
        <v>E</v>
      </c>
      <c r="I345" s="325" t="s">
        <v>1625</v>
      </c>
      <c r="J345" s="329" t="str">
        <f>IF(B345&lt;&gt;"",+VLOOKUP(I345,Recursos!C:F,2,FALSE),"")</f>
        <v>VIBRADOR DE INMERSION d=57 mm (NE)</v>
      </c>
      <c r="K345" s="330" t="str">
        <f>IF(B345&lt;&gt;"",+VLOOKUP(I345,Recursos!C:F,3,FALSE),"")</f>
        <v>HR</v>
      </c>
      <c r="L345" s="327">
        <f>IF(B345&lt;&gt;"",+VLOOKUP(I345,Recursos!C:F,4,FALSE),"")</f>
        <v>79.599000000000004</v>
      </c>
      <c r="M345" s="331">
        <v>18</v>
      </c>
      <c r="N345" s="331">
        <v>4</v>
      </c>
      <c r="O345" s="332">
        <f t="shared" si="171"/>
        <v>0.22222222222222221</v>
      </c>
      <c r="P345" s="333">
        <f t="shared" si="167"/>
        <v>17.688666666666666</v>
      </c>
      <c r="Q345" s="327">
        <f t="shared" si="168"/>
        <v>0</v>
      </c>
      <c r="R345" s="334">
        <f t="shared" si="169"/>
        <v>0</v>
      </c>
      <c r="S345" s="358">
        <f t="shared" si="147"/>
        <v>268.87266321635849</v>
      </c>
      <c r="T345" s="358">
        <f t="shared" si="148"/>
        <v>244.46644444444445</v>
      </c>
      <c r="U345" s="359">
        <f t="shared" si="149"/>
        <v>0.43754999999999999</v>
      </c>
      <c r="V345" s="359">
        <f t="shared" si="150"/>
        <v>0</v>
      </c>
      <c r="W345" s="359">
        <f t="shared" si="151"/>
        <v>0</v>
      </c>
      <c r="X345" s="359">
        <f t="shared" si="152"/>
        <v>0</v>
      </c>
      <c r="Y345" s="320"/>
      <c r="Z345" s="321" t="str">
        <f t="shared" si="156"/>
        <v>X-COLHgtA</v>
      </c>
      <c r="AA345" s="321" t="str">
        <f t="shared" si="157"/>
        <v>X-COLHgtE</v>
      </c>
      <c r="AB345" s="321" t="str">
        <f t="shared" si="158"/>
        <v>X-COLHgtM</v>
      </c>
      <c r="AC345" s="321" t="str">
        <f t="shared" si="159"/>
        <v>X-COLHgtT</v>
      </c>
      <c r="AD345" s="321" t="str">
        <f t="shared" si="160"/>
        <v>X-COLHgtS</v>
      </c>
      <c r="AE345" s="321" t="str">
        <f t="shared" si="161"/>
        <v>X-COLHgtX</v>
      </c>
      <c r="AF345" s="321" t="str">
        <f t="shared" si="162"/>
        <v>X-COLHgtE</v>
      </c>
      <c r="AG345" s="321">
        <f t="shared" si="153"/>
        <v>8</v>
      </c>
      <c r="AH345" s="321">
        <f>IF(B345&lt;&gt;"",IF(H345="x",VLOOKUP(I345,'AUX-NIV3'!B:AG,32,FALSE),0),"")</f>
        <v>0</v>
      </c>
      <c r="AI345" s="321" t="str">
        <f t="shared" si="163"/>
        <v>X-COLHgt</v>
      </c>
      <c r="AJ345" s="320"/>
      <c r="AK345" s="322">
        <f t="shared" si="154"/>
        <v>339</v>
      </c>
      <c r="AL345" s="323">
        <f t="shared" si="164"/>
        <v>346</v>
      </c>
      <c r="AM345" s="322">
        <f t="shared" si="165"/>
        <v>7</v>
      </c>
      <c r="AN345" s="380">
        <f>IF(AND(AH345&gt;0,B345&lt;&gt;""),VLOOKUP(I345,'AUX-NIV3'!$B:$AO,39,FALSE)*O345,0)</f>
        <v>0</v>
      </c>
      <c r="AO345" s="380">
        <f t="shared" si="155"/>
        <v>0.55555555555555558</v>
      </c>
      <c r="AP345" s="380"/>
    </row>
    <row r="346" spans="2:42" ht="14.4" hidden="1" thickTop="1" thickBot="1">
      <c r="B346" s="324" t="s">
        <v>1296</v>
      </c>
      <c r="C346" s="325" t="s">
        <v>46</v>
      </c>
      <c r="D346" s="326" t="s">
        <v>1160</v>
      </c>
      <c r="E346" s="327">
        <f>IF(B346&lt;&gt;"",SUMIF('AUX-NIV1'!I:I,'AUX-NIV2'!B346,'AUX-NIV1'!Q:Q),"")</f>
        <v>0</v>
      </c>
      <c r="F346" s="327">
        <f t="shared" si="145"/>
        <v>513.77665766080293</v>
      </c>
      <c r="G346" s="327">
        <f t="shared" si="146"/>
        <v>0</v>
      </c>
      <c r="H346" s="328" t="str">
        <f t="shared" si="166"/>
        <v>M</v>
      </c>
      <c r="I346" s="325" t="s">
        <v>621</v>
      </c>
      <c r="J346" s="329" t="str">
        <f>IF(B346&lt;&gt;"",+VLOOKUP(I346,Recursos!C:F,2,FALSE),"")</f>
        <v>MATERIALES VARIOS</v>
      </c>
      <c r="K346" s="330" t="str">
        <f>IF(B346&lt;&gt;"",+VLOOKUP(I346,Recursos!C:F,3,FALSE),"")</f>
        <v>GL</v>
      </c>
      <c r="L346" s="327">
        <f>IF(B346&lt;&gt;"",+VLOOKUP(I346,Recursos!C:F,4,FALSE),"")</f>
        <v>0.5</v>
      </c>
      <c r="M346" s="331">
        <v>0.87509999999999999</v>
      </c>
      <c r="N346" s="331">
        <v>1</v>
      </c>
      <c r="O346" s="332">
        <f>+M346*N346</f>
        <v>0.87509999999999999</v>
      </c>
      <c r="P346" s="333">
        <f t="shared" si="167"/>
        <v>0.43754999999999999</v>
      </c>
      <c r="Q346" s="327">
        <f t="shared" si="168"/>
        <v>0</v>
      </c>
      <c r="R346" s="334">
        <f t="shared" si="169"/>
        <v>0</v>
      </c>
      <c r="S346" s="358">
        <f t="shared" si="147"/>
        <v>268.87266321635849</v>
      </c>
      <c r="T346" s="358">
        <f t="shared" si="148"/>
        <v>244.46644444444445</v>
      </c>
      <c r="U346" s="359">
        <f t="shared" si="149"/>
        <v>0.43754999999999999</v>
      </c>
      <c r="V346" s="359">
        <f t="shared" si="150"/>
        <v>0</v>
      </c>
      <c r="W346" s="359">
        <f t="shared" si="151"/>
        <v>0</v>
      </c>
      <c r="X346" s="359">
        <f t="shared" si="152"/>
        <v>0</v>
      </c>
      <c r="Y346" s="320"/>
      <c r="Z346" s="321" t="str">
        <f t="shared" si="156"/>
        <v>X-COLHgtA</v>
      </c>
      <c r="AA346" s="321" t="str">
        <f t="shared" si="157"/>
        <v>X-COLHgtE</v>
      </c>
      <c r="AB346" s="321" t="str">
        <f t="shared" si="158"/>
        <v>X-COLHgtM</v>
      </c>
      <c r="AC346" s="321" t="str">
        <f t="shared" si="159"/>
        <v>X-COLHgtT</v>
      </c>
      <c r="AD346" s="321" t="str">
        <f t="shared" si="160"/>
        <v>X-COLHgtS</v>
      </c>
      <c r="AE346" s="321" t="str">
        <f t="shared" si="161"/>
        <v>X-COLHgtX</v>
      </c>
      <c r="AF346" s="321" t="str">
        <f t="shared" si="162"/>
        <v>X-COLHgtM</v>
      </c>
      <c r="AG346" s="321">
        <f t="shared" si="153"/>
        <v>8</v>
      </c>
      <c r="AH346" s="321">
        <f>IF(B346&lt;&gt;"",IF(H346="x",VLOOKUP(I346,'AUX-NIV3'!B:AG,32,FALSE),0),"")</f>
        <v>0</v>
      </c>
      <c r="AI346" s="321" t="str">
        <f t="shared" si="163"/>
        <v>X-COLHgt</v>
      </c>
      <c r="AJ346" s="320"/>
      <c r="AK346" s="322">
        <f t="shared" si="154"/>
        <v>339</v>
      </c>
      <c r="AL346" s="323">
        <f t="shared" si="164"/>
        <v>346</v>
      </c>
      <c r="AM346" s="322">
        <f t="shared" si="165"/>
        <v>8</v>
      </c>
      <c r="AN346" s="380">
        <f>IF(AND(AH346&gt;0,B346&lt;&gt;""),VLOOKUP(I346,'AUX-NIV3'!$B:$AO,39,FALSE)*O346,0)</f>
        <v>0</v>
      </c>
      <c r="AO346" s="380">
        <f t="shared" si="155"/>
        <v>0.55555555555555558</v>
      </c>
      <c r="AP346" s="380"/>
    </row>
    <row r="347" spans="2:42" ht="14.4" hidden="1" thickTop="1" thickBot="1">
      <c r="B347" s="324" t="s">
        <v>1297</v>
      </c>
      <c r="C347" s="325" t="s">
        <v>47</v>
      </c>
      <c r="D347" s="326" t="s">
        <v>1160</v>
      </c>
      <c r="E347" s="327">
        <f>IF(B347&lt;&gt;"",SUMIF('AUX-NIV1'!I:I,'AUX-NIV2'!B347,'AUX-NIV1'!Q:Q),"")</f>
        <v>0</v>
      </c>
      <c r="F347" s="327">
        <f t="shared" si="145"/>
        <v>1043.6770949403528</v>
      </c>
      <c r="G347" s="327">
        <f t="shared" si="146"/>
        <v>0</v>
      </c>
      <c r="H347" s="328" t="str">
        <f t="shared" si="166"/>
        <v>A</v>
      </c>
      <c r="I347" s="325" t="s">
        <v>3312</v>
      </c>
      <c r="J347" s="329" t="str">
        <f>IF(B347&lt;&gt;"",+VLOOKUP(I347,Recursos!C:F,2,FALSE),"")</f>
        <v>CHOFER</v>
      </c>
      <c r="K347" s="330" t="str">
        <f>IF(B347&lt;&gt;"",+VLOOKUP(I347,Recursos!C:F,3,FALSE),"")</f>
        <v>hh</v>
      </c>
      <c r="L347" s="327">
        <f>IF(B347&lt;&gt;"",+VLOOKUP(I347,Recursos!C:F,4,FALSE),"")</f>
        <v>496.91595439275824</v>
      </c>
      <c r="M347" s="331">
        <v>18</v>
      </c>
      <c r="N347" s="331">
        <v>1.25</v>
      </c>
      <c r="O347" s="332">
        <f t="shared" ref="O347:O354" si="172">1/M347*N347</f>
        <v>6.9444444444444448E-2</v>
      </c>
      <c r="P347" s="333">
        <f t="shared" si="167"/>
        <v>34.508052388385991</v>
      </c>
      <c r="Q347" s="327">
        <f t="shared" si="168"/>
        <v>0</v>
      </c>
      <c r="R347" s="334">
        <f t="shared" si="169"/>
        <v>0</v>
      </c>
      <c r="S347" s="358">
        <f t="shared" si="147"/>
        <v>54.472361230649938</v>
      </c>
      <c r="T347" s="358">
        <f t="shared" si="148"/>
        <v>228.8832612121212</v>
      </c>
      <c r="U347" s="359">
        <f t="shared" si="149"/>
        <v>0</v>
      </c>
      <c r="V347" s="359">
        <f t="shared" si="150"/>
        <v>0</v>
      </c>
      <c r="W347" s="359">
        <f t="shared" si="151"/>
        <v>0</v>
      </c>
      <c r="X347" s="359">
        <f t="shared" si="152"/>
        <v>760.32147249758168</v>
      </c>
      <c r="Y347" s="320"/>
      <c r="Z347" s="321" t="str">
        <f t="shared" si="156"/>
        <v>X-EDOSH30A</v>
      </c>
      <c r="AA347" s="321" t="str">
        <f t="shared" si="157"/>
        <v>X-EDOSH30E</v>
      </c>
      <c r="AB347" s="321" t="str">
        <f t="shared" si="158"/>
        <v>X-EDOSH30M</v>
      </c>
      <c r="AC347" s="321" t="str">
        <f t="shared" si="159"/>
        <v>X-EDOSH30T</v>
      </c>
      <c r="AD347" s="321" t="str">
        <f t="shared" si="160"/>
        <v>X-EDOSH30S</v>
      </c>
      <c r="AE347" s="321" t="str">
        <f t="shared" si="161"/>
        <v>X-EDOSH30X</v>
      </c>
      <c r="AF347" s="321" t="str">
        <f t="shared" si="162"/>
        <v>X-EDOSH30A</v>
      </c>
      <c r="AG347" s="321">
        <f t="shared" si="153"/>
        <v>13</v>
      </c>
      <c r="AH347" s="321">
        <f>IF(B347&lt;&gt;"",IF(H347="x",VLOOKUP(I347,'AUX-NIV3'!B:AG,32,FALSE),0),"")</f>
        <v>0</v>
      </c>
      <c r="AI347" s="321" t="str">
        <f t="shared" si="163"/>
        <v>X-EDOSH30</v>
      </c>
      <c r="AJ347" s="320"/>
      <c r="AK347" s="322">
        <f t="shared" si="154"/>
        <v>347</v>
      </c>
      <c r="AL347" s="323">
        <f t="shared" si="164"/>
        <v>359</v>
      </c>
      <c r="AM347" s="322">
        <f t="shared" si="165"/>
        <v>1</v>
      </c>
      <c r="AN347" s="380">
        <f>IF(AND(AH347&gt;0,B347&lt;&gt;""),VLOOKUP(I347,'AUX-NIV3'!$B:$AO,39,FALSE)*O347,0)</f>
        <v>0</v>
      </c>
      <c r="AO347" s="380">
        <f t="shared" si="155"/>
        <v>0.25699111111111111</v>
      </c>
      <c r="AP347" s="380"/>
    </row>
    <row r="348" spans="2:42" ht="14.4" hidden="1" thickTop="1" thickBot="1">
      <c r="B348" s="324" t="s">
        <v>1297</v>
      </c>
      <c r="C348" s="325" t="s">
        <v>47</v>
      </c>
      <c r="D348" s="326" t="s">
        <v>1160</v>
      </c>
      <c r="E348" s="327">
        <f>IF(B348&lt;&gt;"",SUMIF('AUX-NIV1'!I:I,'AUX-NIV2'!B348,'AUX-NIV1'!Q:Q),"")</f>
        <v>0</v>
      </c>
      <c r="F348" s="327">
        <f t="shared" si="145"/>
        <v>1043.6770949403528</v>
      </c>
      <c r="G348" s="327">
        <f t="shared" si="146"/>
        <v>0</v>
      </c>
      <c r="H348" s="328" t="str">
        <f t="shared" si="166"/>
        <v>A</v>
      </c>
      <c r="I348" s="325" t="s">
        <v>3311</v>
      </c>
      <c r="J348" s="329" t="str">
        <f>IF(B348&lt;&gt;"",+VLOOKUP(I348,Recursos!C:F,2,FALSE),"")</f>
        <v>OPER. EQUIPO</v>
      </c>
      <c r="K348" s="330" t="str">
        <f>IF(B348&lt;&gt;"",+VLOOKUP(I348,Recursos!C:F,3,FALSE),"")</f>
        <v>hh</v>
      </c>
      <c r="L348" s="327">
        <f>IF(B348&lt;&gt;"",+VLOOKUP(I348,Recursos!C:F,4,FALSE),"")</f>
        <v>581.06120476836554</v>
      </c>
      <c r="M348" s="331">
        <v>100</v>
      </c>
      <c r="N348" s="331">
        <v>1.4</v>
      </c>
      <c r="O348" s="332">
        <f t="shared" si="172"/>
        <v>1.3999999999999999E-2</v>
      </c>
      <c r="P348" s="333">
        <f t="shared" si="167"/>
        <v>8.1348568667571168</v>
      </c>
      <c r="Q348" s="327">
        <f t="shared" si="168"/>
        <v>0</v>
      </c>
      <c r="R348" s="334">
        <f t="shared" si="169"/>
        <v>0</v>
      </c>
      <c r="S348" s="358">
        <f t="shared" si="147"/>
        <v>54.472361230649938</v>
      </c>
      <c r="T348" s="358">
        <f t="shared" si="148"/>
        <v>228.8832612121212</v>
      </c>
      <c r="U348" s="359">
        <f t="shared" si="149"/>
        <v>0</v>
      </c>
      <c r="V348" s="359">
        <f t="shared" si="150"/>
        <v>0</v>
      </c>
      <c r="W348" s="359">
        <f t="shared" si="151"/>
        <v>0</v>
      </c>
      <c r="X348" s="359">
        <f t="shared" si="152"/>
        <v>760.32147249758168</v>
      </c>
      <c r="Y348" s="320"/>
      <c r="Z348" s="321" t="str">
        <f t="shared" si="156"/>
        <v>X-EDOSH30A</v>
      </c>
      <c r="AA348" s="321" t="str">
        <f t="shared" si="157"/>
        <v>X-EDOSH30E</v>
      </c>
      <c r="AB348" s="321" t="str">
        <f t="shared" si="158"/>
        <v>X-EDOSH30M</v>
      </c>
      <c r="AC348" s="321" t="str">
        <f t="shared" si="159"/>
        <v>X-EDOSH30T</v>
      </c>
      <c r="AD348" s="321" t="str">
        <f t="shared" si="160"/>
        <v>X-EDOSH30S</v>
      </c>
      <c r="AE348" s="321" t="str">
        <f t="shared" si="161"/>
        <v>X-EDOSH30X</v>
      </c>
      <c r="AF348" s="321" t="str">
        <f t="shared" si="162"/>
        <v>X-EDOSH30A</v>
      </c>
      <c r="AG348" s="321">
        <f t="shared" si="153"/>
        <v>13</v>
      </c>
      <c r="AH348" s="321">
        <f>IF(B348&lt;&gt;"",IF(H348="x",VLOOKUP(I348,'AUX-NIV3'!B:AG,32,FALSE),0),"")</f>
        <v>0</v>
      </c>
      <c r="AI348" s="321" t="str">
        <f t="shared" si="163"/>
        <v>X-EDOSH30</v>
      </c>
      <c r="AJ348" s="320"/>
      <c r="AK348" s="322">
        <f t="shared" si="154"/>
        <v>347</v>
      </c>
      <c r="AL348" s="323">
        <f t="shared" si="164"/>
        <v>359</v>
      </c>
      <c r="AM348" s="322">
        <f t="shared" si="165"/>
        <v>2</v>
      </c>
      <c r="AN348" s="380">
        <f>IF(AND(AH348&gt;0,B348&lt;&gt;""),VLOOKUP(I348,'AUX-NIV3'!$B:$AO,39,FALSE)*O348,0)</f>
        <v>0</v>
      </c>
      <c r="AO348" s="380">
        <f t="shared" si="155"/>
        <v>0.25699111111111111</v>
      </c>
      <c r="AP348" s="380"/>
    </row>
    <row r="349" spans="2:42" ht="14.4" hidden="1" thickTop="1" thickBot="1">
      <c r="B349" s="324" t="s">
        <v>1297</v>
      </c>
      <c r="C349" s="325" t="s">
        <v>47</v>
      </c>
      <c r="D349" s="326" t="s">
        <v>1160</v>
      </c>
      <c r="E349" s="327">
        <f>IF(B349&lt;&gt;"",SUMIF('AUX-NIV1'!I:I,'AUX-NIV2'!B349,'AUX-NIV1'!Q:Q),"")</f>
        <v>0</v>
      </c>
      <c r="F349" s="327">
        <f t="shared" si="145"/>
        <v>1043.6770949403528</v>
      </c>
      <c r="G349" s="327">
        <f t="shared" si="146"/>
        <v>0</v>
      </c>
      <c r="H349" s="328" t="str">
        <f t="shared" si="166"/>
        <v>A</v>
      </c>
      <c r="I349" s="325" t="s">
        <v>3311</v>
      </c>
      <c r="J349" s="329" t="str">
        <f>IF(B349&lt;&gt;"",+VLOOKUP(I349,Recursos!C:F,2,FALSE),"")</f>
        <v>OPER. EQUIPO</v>
      </c>
      <c r="K349" s="330" t="str">
        <f>IF(B349&lt;&gt;"",+VLOOKUP(I349,Recursos!C:F,3,FALSE),"")</f>
        <v>hh</v>
      </c>
      <c r="L349" s="327">
        <f>IF(B349&lt;&gt;"",+VLOOKUP(I349,Recursos!C:F,4,FALSE),"")</f>
        <v>581.06120476836554</v>
      </c>
      <c r="M349" s="331">
        <v>18</v>
      </c>
      <c r="N349" s="331">
        <v>0</v>
      </c>
      <c r="O349" s="332">
        <f t="shared" si="172"/>
        <v>0</v>
      </c>
      <c r="P349" s="333">
        <f t="shared" si="167"/>
        <v>0</v>
      </c>
      <c r="Q349" s="327">
        <f t="shared" si="168"/>
        <v>0</v>
      </c>
      <c r="R349" s="334">
        <f t="shared" si="169"/>
        <v>0</v>
      </c>
      <c r="S349" s="358">
        <f t="shared" si="147"/>
        <v>54.472361230649938</v>
      </c>
      <c r="T349" s="358">
        <f t="shared" si="148"/>
        <v>228.8832612121212</v>
      </c>
      <c r="U349" s="359">
        <f t="shared" si="149"/>
        <v>0</v>
      </c>
      <c r="V349" s="359">
        <f t="shared" si="150"/>
        <v>0</v>
      </c>
      <c r="W349" s="359">
        <f t="shared" si="151"/>
        <v>0</v>
      </c>
      <c r="X349" s="359">
        <f t="shared" si="152"/>
        <v>760.32147249758168</v>
      </c>
      <c r="Y349" s="320"/>
      <c r="Z349" s="321" t="str">
        <f t="shared" si="156"/>
        <v>X-EDOSH30A</v>
      </c>
      <c r="AA349" s="321" t="str">
        <f t="shared" si="157"/>
        <v>X-EDOSH30E</v>
      </c>
      <c r="AB349" s="321" t="str">
        <f t="shared" si="158"/>
        <v>X-EDOSH30M</v>
      </c>
      <c r="AC349" s="321" t="str">
        <f t="shared" si="159"/>
        <v>X-EDOSH30T</v>
      </c>
      <c r="AD349" s="321" t="str">
        <f t="shared" si="160"/>
        <v>X-EDOSH30S</v>
      </c>
      <c r="AE349" s="321" t="str">
        <f t="shared" si="161"/>
        <v>X-EDOSH30X</v>
      </c>
      <c r="AF349" s="321" t="str">
        <f t="shared" si="162"/>
        <v>X-EDOSH30A</v>
      </c>
      <c r="AG349" s="321">
        <f t="shared" si="153"/>
        <v>13</v>
      </c>
      <c r="AH349" s="321">
        <f>IF(B349&lt;&gt;"",IF(H349="x",VLOOKUP(I349,'AUX-NIV3'!B:AG,32,FALSE),0),"")</f>
        <v>0</v>
      </c>
      <c r="AI349" s="321" t="str">
        <f t="shared" si="163"/>
        <v>X-EDOSH30</v>
      </c>
      <c r="AJ349" s="320"/>
      <c r="AK349" s="322">
        <f t="shared" si="154"/>
        <v>347</v>
      </c>
      <c r="AL349" s="323">
        <f t="shared" si="164"/>
        <v>359</v>
      </c>
      <c r="AM349" s="322">
        <f t="shared" si="165"/>
        <v>3</v>
      </c>
      <c r="AN349" s="380">
        <f>IF(AND(AH349&gt;0,B349&lt;&gt;""),VLOOKUP(I349,'AUX-NIV3'!$B:$AO,39,FALSE)*O349,0)</f>
        <v>0</v>
      </c>
      <c r="AO349" s="380">
        <f t="shared" si="155"/>
        <v>0.25699111111111111</v>
      </c>
      <c r="AP349" s="380"/>
    </row>
    <row r="350" spans="2:42" ht="14.4" hidden="1" thickTop="1" thickBot="1">
      <c r="B350" s="324" t="s">
        <v>1297</v>
      </c>
      <c r="C350" s="325" t="s">
        <v>47</v>
      </c>
      <c r="D350" s="326" t="s">
        <v>1160</v>
      </c>
      <c r="E350" s="327">
        <f>IF(B350&lt;&gt;"",SUMIF('AUX-NIV1'!I:I,'AUX-NIV2'!B350,'AUX-NIV1'!Q:Q),"")</f>
        <v>0</v>
      </c>
      <c r="F350" s="327">
        <f t="shared" si="145"/>
        <v>1043.6770949403528</v>
      </c>
      <c r="G350" s="327">
        <f t="shared" si="146"/>
        <v>0</v>
      </c>
      <c r="H350" s="328" t="str">
        <f t="shared" si="166"/>
        <v>A</v>
      </c>
      <c r="I350" s="325" t="s">
        <v>1745</v>
      </c>
      <c r="J350" s="329" t="str">
        <f>IF(B350&lt;&gt;"",+VLOOKUP(I350,Recursos!C:F,2,FALSE),"")</f>
        <v>AYUDANTE</v>
      </c>
      <c r="K350" s="330" t="str">
        <f>IF(B350&lt;&gt;"",+VLOOKUP(I350,Recursos!C:F,3,FALSE),"")</f>
        <v>hh</v>
      </c>
      <c r="L350" s="327">
        <f>IF(B350&lt;&gt;"",+VLOOKUP(I350,Recursos!C:F,4,FALSE),"")</f>
        <v>422.48042769667234</v>
      </c>
      <c r="M350" s="331">
        <v>100</v>
      </c>
      <c r="N350" s="331">
        <v>2.8</v>
      </c>
      <c r="O350" s="332">
        <f t="shared" si="172"/>
        <v>2.7999999999999997E-2</v>
      </c>
      <c r="P350" s="333">
        <f t="shared" si="167"/>
        <v>11.829451975506824</v>
      </c>
      <c r="Q350" s="327">
        <f t="shared" si="168"/>
        <v>0</v>
      </c>
      <c r="R350" s="334">
        <f t="shared" si="169"/>
        <v>0</v>
      </c>
      <c r="S350" s="358">
        <f t="shared" si="147"/>
        <v>54.472361230649938</v>
      </c>
      <c r="T350" s="358">
        <f t="shared" si="148"/>
        <v>228.8832612121212</v>
      </c>
      <c r="U350" s="359">
        <f t="shared" si="149"/>
        <v>0</v>
      </c>
      <c r="V350" s="359">
        <f t="shared" si="150"/>
        <v>0</v>
      </c>
      <c r="W350" s="359">
        <f t="shared" si="151"/>
        <v>0</v>
      </c>
      <c r="X350" s="359">
        <f t="shared" si="152"/>
        <v>760.32147249758168</v>
      </c>
      <c r="Y350" s="320"/>
      <c r="Z350" s="321" t="str">
        <f t="shared" si="156"/>
        <v>X-EDOSH30A</v>
      </c>
      <c r="AA350" s="321" t="str">
        <f t="shared" si="157"/>
        <v>X-EDOSH30E</v>
      </c>
      <c r="AB350" s="321" t="str">
        <f t="shared" si="158"/>
        <v>X-EDOSH30M</v>
      </c>
      <c r="AC350" s="321" t="str">
        <f t="shared" si="159"/>
        <v>X-EDOSH30T</v>
      </c>
      <c r="AD350" s="321" t="str">
        <f t="shared" si="160"/>
        <v>X-EDOSH30S</v>
      </c>
      <c r="AE350" s="321" t="str">
        <f t="shared" si="161"/>
        <v>X-EDOSH30X</v>
      </c>
      <c r="AF350" s="321" t="str">
        <f t="shared" si="162"/>
        <v>X-EDOSH30A</v>
      </c>
      <c r="AG350" s="321">
        <f t="shared" si="153"/>
        <v>13</v>
      </c>
      <c r="AH350" s="321">
        <f>IF(B350&lt;&gt;"",IF(H350="x",VLOOKUP(I350,'AUX-NIV3'!B:AG,32,FALSE),0),"")</f>
        <v>0</v>
      </c>
      <c r="AI350" s="321" t="str">
        <f t="shared" si="163"/>
        <v>X-EDOSH30</v>
      </c>
      <c r="AJ350" s="320"/>
      <c r="AK350" s="322">
        <f t="shared" si="154"/>
        <v>347</v>
      </c>
      <c r="AL350" s="323">
        <f t="shared" si="164"/>
        <v>359</v>
      </c>
      <c r="AM350" s="322">
        <f t="shared" si="165"/>
        <v>4</v>
      </c>
      <c r="AN350" s="380">
        <f>IF(AND(AH350&gt;0,B350&lt;&gt;""),VLOOKUP(I350,'AUX-NIV3'!$B:$AO,39,FALSE)*O350,0)</f>
        <v>0</v>
      </c>
      <c r="AO350" s="380">
        <f t="shared" si="155"/>
        <v>0.25699111111111111</v>
      </c>
      <c r="AP350" s="380"/>
    </row>
    <row r="351" spans="2:42" ht="14.4" hidden="1" thickTop="1" thickBot="1">
      <c r="B351" s="324" t="s">
        <v>1297</v>
      </c>
      <c r="C351" s="325" t="s">
        <v>47</v>
      </c>
      <c r="D351" s="326" t="s">
        <v>1160</v>
      </c>
      <c r="E351" s="327">
        <f>IF(B351&lt;&gt;"",SUMIF('AUX-NIV1'!I:I,'AUX-NIV2'!B351,'AUX-NIV1'!Q:Q),"")</f>
        <v>0</v>
      </c>
      <c r="F351" s="327">
        <f t="shared" si="145"/>
        <v>1043.6770949403528</v>
      </c>
      <c r="G351" s="327">
        <f t="shared" si="146"/>
        <v>0</v>
      </c>
      <c r="H351" s="328" t="str">
        <f t="shared" si="166"/>
        <v>E</v>
      </c>
      <c r="I351" s="325" t="s">
        <v>1555</v>
      </c>
      <c r="J351" s="329" t="str">
        <f>IF(B351&lt;&gt;"",+VLOOKUP(I351,Recursos!C:F,2,FALSE),"")</f>
        <v>CAMION VOLCADOR 6x4 CAP. 24 T=15 m3</v>
      </c>
      <c r="K351" s="330" t="str">
        <f>IF(B351&lt;&gt;"",+VLOOKUP(I351,Recursos!C:F,3,FALSE),"")</f>
        <v>HR</v>
      </c>
      <c r="L351" s="327">
        <f>IF(B351&lt;&gt;"",+VLOOKUP(I351,Recursos!C:F,4,FALSE),"")</f>
        <v>3333.261</v>
      </c>
      <c r="M351" s="331">
        <v>18</v>
      </c>
      <c r="N351" s="331">
        <v>1</v>
      </c>
      <c r="O351" s="332">
        <f t="shared" si="172"/>
        <v>5.5555555555555552E-2</v>
      </c>
      <c r="P351" s="333">
        <f t="shared" si="167"/>
        <v>185.18116666666666</v>
      </c>
      <c r="Q351" s="327">
        <f t="shared" si="168"/>
        <v>0</v>
      </c>
      <c r="R351" s="334">
        <f t="shared" si="169"/>
        <v>0</v>
      </c>
      <c r="S351" s="358">
        <f t="shared" si="147"/>
        <v>54.472361230649938</v>
      </c>
      <c r="T351" s="358">
        <f t="shared" si="148"/>
        <v>228.8832612121212</v>
      </c>
      <c r="U351" s="359">
        <f t="shared" si="149"/>
        <v>0</v>
      </c>
      <c r="V351" s="359">
        <f t="shared" si="150"/>
        <v>0</v>
      </c>
      <c r="W351" s="359">
        <f t="shared" si="151"/>
        <v>0</v>
      </c>
      <c r="X351" s="359">
        <f t="shared" si="152"/>
        <v>760.32147249758168</v>
      </c>
      <c r="Y351" s="320"/>
      <c r="Z351" s="321" t="str">
        <f t="shared" si="156"/>
        <v>X-EDOSH30A</v>
      </c>
      <c r="AA351" s="321" t="str">
        <f t="shared" si="157"/>
        <v>X-EDOSH30E</v>
      </c>
      <c r="AB351" s="321" t="str">
        <f t="shared" si="158"/>
        <v>X-EDOSH30M</v>
      </c>
      <c r="AC351" s="321" t="str">
        <f t="shared" si="159"/>
        <v>X-EDOSH30T</v>
      </c>
      <c r="AD351" s="321" t="str">
        <f t="shared" si="160"/>
        <v>X-EDOSH30S</v>
      </c>
      <c r="AE351" s="321" t="str">
        <f t="shared" si="161"/>
        <v>X-EDOSH30X</v>
      </c>
      <c r="AF351" s="321" t="str">
        <f t="shared" si="162"/>
        <v>X-EDOSH30E</v>
      </c>
      <c r="AG351" s="321">
        <f t="shared" si="153"/>
        <v>13</v>
      </c>
      <c r="AH351" s="321">
        <f>IF(B351&lt;&gt;"",IF(H351="x",VLOOKUP(I351,'AUX-NIV3'!B:AG,32,FALSE),0),"")</f>
        <v>0</v>
      </c>
      <c r="AI351" s="321" t="str">
        <f t="shared" si="163"/>
        <v>X-EDOSH30</v>
      </c>
      <c r="AJ351" s="320"/>
      <c r="AK351" s="322">
        <f t="shared" si="154"/>
        <v>347</v>
      </c>
      <c r="AL351" s="323">
        <f t="shared" si="164"/>
        <v>359</v>
      </c>
      <c r="AM351" s="322">
        <f t="shared" si="165"/>
        <v>5</v>
      </c>
      <c r="AN351" s="380">
        <f>IF(AND(AH351&gt;0,B351&lt;&gt;""),VLOOKUP(I351,'AUX-NIV3'!$B:$AO,39,FALSE)*O351,0)</f>
        <v>0</v>
      </c>
      <c r="AO351" s="380">
        <f t="shared" si="155"/>
        <v>0.25699111111111111</v>
      </c>
      <c r="AP351" s="380"/>
    </row>
    <row r="352" spans="2:42" ht="14.4" hidden="1" thickTop="1" thickBot="1">
      <c r="B352" s="324" t="s">
        <v>1297</v>
      </c>
      <c r="C352" s="325" t="s">
        <v>47</v>
      </c>
      <c r="D352" s="326" t="s">
        <v>1160</v>
      </c>
      <c r="E352" s="327">
        <f>IF(B352&lt;&gt;"",SUMIF('AUX-NIV1'!I:I,'AUX-NIV2'!B352,'AUX-NIV1'!Q:Q),"")</f>
        <v>0</v>
      </c>
      <c r="F352" s="327">
        <f t="shared" si="145"/>
        <v>1043.6770949403528</v>
      </c>
      <c r="G352" s="327">
        <f t="shared" si="146"/>
        <v>0</v>
      </c>
      <c r="H352" s="328" t="str">
        <f t="shared" si="166"/>
        <v>E</v>
      </c>
      <c r="I352" s="325" t="s">
        <v>1579</v>
      </c>
      <c r="J352" s="329" t="str">
        <f>IF(B352&lt;&gt;"",+VLOOKUP(I352,Recursos!C:F,2,FALSE),"")</f>
        <v>TRACTOR PANTANERO 8 CUBIERTAS</v>
      </c>
      <c r="K352" s="330" t="str">
        <f>IF(B352&lt;&gt;"",+VLOOKUP(I352,Recursos!C:F,3,FALSE),"")</f>
        <v>HR</v>
      </c>
      <c r="L352" s="327">
        <f>IF(B352&lt;&gt;"",+VLOOKUP(I352,Recursos!C:F,4,FALSE),"")</f>
        <v>3411.4653333333331</v>
      </c>
      <c r="M352" s="331">
        <v>10</v>
      </c>
      <c r="N352" s="331">
        <v>0</v>
      </c>
      <c r="O352" s="332">
        <f t="shared" si="172"/>
        <v>0</v>
      </c>
      <c r="P352" s="333">
        <f t="shared" si="167"/>
        <v>0</v>
      </c>
      <c r="Q352" s="327">
        <f t="shared" si="168"/>
        <v>0</v>
      </c>
      <c r="R352" s="334">
        <f t="shared" si="169"/>
        <v>0</v>
      </c>
      <c r="S352" s="358">
        <f t="shared" si="147"/>
        <v>54.472361230649938</v>
      </c>
      <c r="T352" s="358">
        <f t="shared" si="148"/>
        <v>228.8832612121212</v>
      </c>
      <c r="U352" s="359">
        <f t="shared" si="149"/>
        <v>0</v>
      </c>
      <c r="V352" s="359">
        <f t="shared" si="150"/>
        <v>0</v>
      </c>
      <c r="W352" s="359">
        <f t="shared" si="151"/>
        <v>0</v>
      </c>
      <c r="X352" s="359">
        <f t="shared" si="152"/>
        <v>760.32147249758168</v>
      </c>
      <c r="Y352" s="320"/>
      <c r="Z352" s="321" t="str">
        <f t="shared" si="156"/>
        <v>X-EDOSH30A</v>
      </c>
      <c r="AA352" s="321" t="str">
        <f t="shared" si="157"/>
        <v>X-EDOSH30E</v>
      </c>
      <c r="AB352" s="321" t="str">
        <f t="shared" si="158"/>
        <v>X-EDOSH30M</v>
      </c>
      <c r="AC352" s="321" t="str">
        <f t="shared" si="159"/>
        <v>X-EDOSH30T</v>
      </c>
      <c r="AD352" s="321" t="str">
        <f t="shared" si="160"/>
        <v>X-EDOSH30S</v>
      </c>
      <c r="AE352" s="321" t="str">
        <f t="shared" si="161"/>
        <v>X-EDOSH30X</v>
      </c>
      <c r="AF352" s="321" t="str">
        <f t="shared" si="162"/>
        <v>X-EDOSH30E</v>
      </c>
      <c r="AG352" s="321">
        <f t="shared" si="153"/>
        <v>13</v>
      </c>
      <c r="AH352" s="321">
        <f>IF(B352&lt;&gt;"",IF(H352="x",VLOOKUP(I352,'AUX-NIV3'!B:AG,32,FALSE),0),"")</f>
        <v>0</v>
      </c>
      <c r="AI352" s="321" t="str">
        <f t="shared" si="163"/>
        <v>X-EDOSH30</v>
      </c>
      <c r="AJ352" s="320"/>
      <c r="AK352" s="322">
        <f t="shared" si="154"/>
        <v>347</v>
      </c>
      <c r="AL352" s="323">
        <f t="shared" si="164"/>
        <v>359</v>
      </c>
      <c r="AM352" s="322">
        <f t="shared" si="165"/>
        <v>6</v>
      </c>
      <c r="AN352" s="380">
        <f>IF(AND(AH352&gt;0,B352&lt;&gt;""),VLOOKUP(I352,'AUX-NIV3'!$B:$AO,39,FALSE)*O352,0)</f>
        <v>0</v>
      </c>
      <c r="AO352" s="380">
        <f t="shared" si="155"/>
        <v>0.25699111111111111</v>
      </c>
      <c r="AP352" s="380"/>
    </row>
    <row r="353" spans="2:42" ht="14.4" hidden="1" thickTop="1" thickBot="1">
      <c r="B353" s="324" t="s">
        <v>1297</v>
      </c>
      <c r="C353" s="325" t="s">
        <v>47</v>
      </c>
      <c r="D353" s="326" t="s">
        <v>1160</v>
      </c>
      <c r="E353" s="327">
        <f>IF(B353&lt;&gt;"",SUMIF('AUX-NIV1'!I:I,'AUX-NIV2'!B353,'AUX-NIV1'!Q:Q),"")</f>
        <v>0</v>
      </c>
      <c r="F353" s="327">
        <f t="shared" si="145"/>
        <v>1043.6770949403528</v>
      </c>
      <c r="G353" s="327">
        <f t="shared" si="146"/>
        <v>0</v>
      </c>
      <c r="H353" s="328" t="str">
        <f t="shared" si="166"/>
        <v>E</v>
      </c>
      <c r="I353" s="325" t="s">
        <v>1564</v>
      </c>
      <c r="J353" s="329" t="str">
        <f>IF(B353&lt;&gt;"",+VLOOKUP(I353,Recursos!C:F,2,FALSE),"")</f>
        <v>ACOPLADO O TANQUE CAP. 10 m3</v>
      </c>
      <c r="K353" s="330" t="str">
        <f>IF(B353&lt;&gt;"",+VLOOKUP(I353,Recursos!C:F,3,FALSE),"")</f>
        <v>HR</v>
      </c>
      <c r="L353" s="327">
        <f>IF(B353&lt;&gt;"",+VLOOKUP(I353,Recursos!C:F,4,FALSE),"")</f>
        <v>200.018</v>
      </c>
      <c r="M353" s="331">
        <v>10</v>
      </c>
      <c r="N353" s="331">
        <v>0</v>
      </c>
      <c r="O353" s="332">
        <f t="shared" si="172"/>
        <v>0</v>
      </c>
      <c r="P353" s="333">
        <f t="shared" si="167"/>
        <v>0</v>
      </c>
      <c r="Q353" s="327">
        <f t="shared" si="168"/>
        <v>0</v>
      </c>
      <c r="R353" s="334">
        <f t="shared" si="169"/>
        <v>0</v>
      </c>
      <c r="S353" s="358">
        <f t="shared" si="147"/>
        <v>54.472361230649938</v>
      </c>
      <c r="T353" s="358">
        <f t="shared" si="148"/>
        <v>228.8832612121212</v>
      </c>
      <c r="U353" s="359">
        <f t="shared" si="149"/>
        <v>0</v>
      </c>
      <c r="V353" s="359">
        <f t="shared" si="150"/>
        <v>0</v>
      </c>
      <c r="W353" s="359">
        <f t="shared" si="151"/>
        <v>0</v>
      </c>
      <c r="X353" s="359">
        <f t="shared" si="152"/>
        <v>760.32147249758168</v>
      </c>
      <c r="Y353" s="320"/>
      <c r="Z353" s="321" t="str">
        <f t="shared" si="156"/>
        <v>X-EDOSH30A</v>
      </c>
      <c r="AA353" s="321" t="str">
        <f t="shared" si="157"/>
        <v>X-EDOSH30E</v>
      </c>
      <c r="AB353" s="321" t="str">
        <f t="shared" si="158"/>
        <v>X-EDOSH30M</v>
      </c>
      <c r="AC353" s="321" t="str">
        <f t="shared" si="159"/>
        <v>X-EDOSH30T</v>
      </c>
      <c r="AD353" s="321" t="str">
        <f t="shared" si="160"/>
        <v>X-EDOSH30S</v>
      </c>
      <c r="AE353" s="321" t="str">
        <f t="shared" si="161"/>
        <v>X-EDOSH30X</v>
      </c>
      <c r="AF353" s="321" t="str">
        <f t="shared" si="162"/>
        <v>X-EDOSH30E</v>
      </c>
      <c r="AG353" s="321">
        <f t="shared" si="153"/>
        <v>13</v>
      </c>
      <c r="AH353" s="321">
        <f>IF(B353&lt;&gt;"",IF(H353="x",VLOOKUP(I353,'AUX-NIV3'!B:AG,32,FALSE),0),"")</f>
        <v>0</v>
      </c>
      <c r="AI353" s="321" t="str">
        <f t="shared" si="163"/>
        <v>X-EDOSH30</v>
      </c>
      <c r="AJ353" s="320"/>
      <c r="AK353" s="322">
        <f t="shared" si="154"/>
        <v>347</v>
      </c>
      <c r="AL353" s="323">
        <f t="shared" si="164"/>
        <v>359</v>
      </c>
      <c r="AM353" s="322">
        <f t="shared" si="165"/>
        <v>7</v>
      </c>
      <c r="AN353" s="380">
        <f>IF(AND(AH353&gt;0,B353&lt;&gt;""),VLOOKUP(I353,'AUX-NIV3'!$B:$AO,39,FALSE)*O353,0)</f>
        <v>0</v>
      </c>
      <c r="AO353" s="380">
        <f t="shared" si="155"/>
        <v>0.25699111111111111</v>
      </c>
      <c r="AP353" s="380"/>
    </row>
    <row r="354" spans="2:42" ht="14.4" hidden="1" thickTop="1" thickBot="1">
      <c r="B354" s="324" t="s">
        <v>1297</v>
      </c>
      <c r="C354" s="325" t="s">
        <v>47</v>
      </c>
      <c r="D354" s="326" t="s">
        <v>1160</v>
      </c>
      <c r="E354" s="327">
        <f>IF(B354&lt;&gt;"",SUMIF('AUX-NIV1'!I:I,'AUX-NIV2'!B354,'AUX-NIV1'!Q:Q),"")</f>
        <v>0</v>
      </c>
      <c r="F354" s="327">
        <f t="shared" si="145"/>
        <v>1043.6770949403528</v>
      </c>
      <c r="G354" s="327">
        <f t="shared" si="146"/>
        <v>0</v>
      </c>
      <c r="H354" s="328" t="str">
        <f t="shared" si="166"/>
        <v>E</v>
      </c>
      <c r="I354" s="325" t="s">
        <v>1543</v>
      </c>
      <c r="J354" s="329" t="str">
        <f>IF(B354&lt;&gt;"",+VLOOKUP(I354,Recursos!C:F,2,FALSE),"")</f>
        <v>CARGADOR FRONTAL S/NEUM. (3,00 M3)</v>
      </c>
      <c r="K354" s="330" t="str">
        <f>IF(B354&lt;&gt;"",+VLOOKUP(I354,Recursos!C:F,3,FALSE),"")</f>
        <v>HR</v>
      </c>
      <c r="L354" s="327">
        <f>IF(B354&lt;&gt;"",+VLOOKUP(I354,Recursos!C:F,4,FALSE),"")</f>
        <v>4370.2094545454547</v>
      </c>
      <c r="M354" s="331">
        <v>100</v>
      </c>
      <c r="N354" s="331">
        <v>1</v>
      </c>
      <c r="O354" s="332">
        <f t="shared" si="172"/>
        <v>0.01</v>
      </c>
      <c r="P354" s="333">
        <f t="shared" si="167"/>
        <v>43.70209454545455</v>
      </c>
      <c r="Q354" s="327">
        <f t="shared" si="168"/>
        <v>0</v>
      </c>
      <c r="R354" s="334">
        <f t="shared" si="169"/>
        <v>0</v>
      </c>
      <c r="S354" s="358">
        <f t="shared" si="147"/>
        <v>54.472361230649938</v>
      </c>
      <c r="T354" s="358">
        <f t="shared" si="148"/>
        <v>228.8832612121212</v>
      </c>
      <c r="U354" s="359">
        <f t="shared" si="149"/>
        <v>0</v>
      </c>
      <c r="V354" s="359">
        <f t="shared" si="150"/>
        <v>0</v>
      </c>
      <c r="W354" s="359">
        <f t="shared" si="151"/>
        <v>0</v>
      </c>
      <c r="X354" s="359">
        <f t="shared" si="152"/>
        <v>760.32147249758168</v>
      </c>
      <c r="Y354" s="320"/>
      <c r="Z354" s="321" t="str">
        <f t="shared" si="156"/>
        <v>X-EDOSH30A</v>
      </c>
      <c r="AA354" s="321" t="str">
        <f t="shared" si="157"/>
        <v>X-EDOSH30E</v>
      </c>
      <c r="AB354" s="321" t="str">
        <f t="shared" si="158"/>
        <v>X-EDOSH30M</v>
      </c>
      <c r="AC354" s="321" t="str">
        <f t="shared" si="159"/>
        <v>X-EDOSH30T</v>
      </c>
      <c r="AD354" s="321" t="str">
        <f t="shared" si="160"/>
        <v>X-EDOSH30S</v>
      </c>
      <c r="AE354" s="321" t="str">
        <f t="shared" si="161"/>
        <v>X-EDOSH30X</v>
      </c>
      <c r="AF354" s="321" t="str">
        <f t="shared" si="162"/>
        <v>X-EDOSH30E</v>
      </c>
      <c r="AG354" s="321">
        <f t="shared" si="153"/>
        <v>13</v>
      </c>
      <c r="AH354" s="321">
        <f>IF(B354&lt;&gt;"",IF(H354="x",VLOOKUP(I354,'AUX-NIV3'!B:AG,32,FALSE),0),"")</f>
        <v>0</v>
      </c>
      <c r="AI354" s="321" t="str">
        <f t="shared" si="163"/>
        <v>X-EDOSH30</v>
      </c>
      <c r="AJ354" s="320"/>
      <c r="AK354" s="322">
        <f t="shared" si="154"/>
        <v>347</v>
      </c>
      <c r="AL354" s="323">
        <f t="shared" si="164"/>
        <v>359</v>
      </c>
      <c r="AM354" s="322">
        <f t="shared" si="165"/>
        <v>8</v>
      </c>
      <c r="AN354" s="380">
        <f>IF(AND(AH354&gt;0,B354&lt;&gt;""),VLOOKUP(I354,'AUX-NIV3'!$B:$AO,39,FALSE)*O354,0)</f>
        <v>0</v>
      </c>
      <c r="AO354" s="380">
        <f t="shared" si="155"/>
        <v>0.25699111111111111</v>
      </c>
      <c r="AP354" s="380"/>
    </row>
    <row r="355" spans="2:42" ht="14.4" hidden="1" thickTop="1" thickBot="1">
      <c r="B355" s="324" t="s">
        <v>1297</v>
      </c>
      <c r="C355" s="325" t="s">
        <v>47</v>
      </c>
      <c r="D355" s="326" t="s">
        <v>1160</v>
      </c>
      <c r="E355" s="327">
        <f>IF(B355&lt;&gt;"",SUMIF('AUX-NIV1'!I:I,'AUX-NIV2'!B355,'AUX-NIV1'!Q:Q),"")</f>
        <v>0</v>
      </c>
      <c r="F355" s="327">
        <f t="shared" si="145"/>
        <v>1043.6770949403528</v>
      </c>
      <c r="G355" s="327">
        <f t="shared" si="146"/>
        <v>0</v>
      </c>
      <c r="H355" s="328" t="str">
        <f t="shared" si="166"/>
        <v>M</v>
      </c>
      <c r="I355" s="325" t="s">
        <v>493</v>
      </c>
      <c r="J355" s="329" t="str">
        <f>IF(B355&lt;&gt;"",+VLOOKUP(I355,Recursos!C:F,2,FALSE),"")</f>
        <v>CEMENTO (en obra-bolsa)</v>
      </c>
      <c r="K355" s="330" t="str">
        <f>IF(B355&lt;&gt;"",+VLOOKUP(I355,Recursos!C:F,3,FALSE),"")</f>
        <v>bolsa</v>
      </c>
      <c r="L355" s="327">
        <f>IF(B355&lt;&gt;"",+VLOOKUP(I355,Recursos!C:F,4,FALSE),"")</f>
        <v>21</v>
      </c>
      <c r="M355" s="331">
        <v>250</v>
      </c>
      <c r="N355" s="331">
        <v>0</v>
      </c>
      <c r="O355" s="332">
        <f>+M355/50*N355</f>
        <v>0</v>
      </c>
      <c r="P355" s="333">
        <f t="shared" si="167"/>
        <v>0</v>
      </c>
      <c r="Q355" s="327">
        <f t="shared" si="168"/>
        <v>0</v>
      </c>
      <c r="R355" s="334">
        <f t="shared" si="169"/>
        <v>0</v>
      </c>
      <c r="S355" s="358">
        <f t="shared" si="147"/>
        <v>54.472361230649938</v>
      </c>
      <c r="T355" s="358">
        <f t="shared" si="148"/>
        <v>228.8832612121212</v>
      </c>
      <c r="U355" s="359">
        <f t="shared" si="149"/>
        <v>0</v>
      </c>
      <c r="V355" s="359">
        <f t="shared" si="150"/>
        <v>0</v>
      </c>
      <c r="W355" s="359">
        <f t="shared" si="151"/>
        <v>0</v>
      </c>
      <c r="X355" s="359">
        <f t="shared" si="152"/>
        <v>760.32147249758168</v>
      </c>
      <c r="Y355" s="320"/>
      <c r="Z355" s="321" t="str">
        <f t="shared" si="156"/>
        <v>X-EDOSH30A</v>
      </c>
      <c r="AA355" s="321" t="str">
        <f t="shared" si="157"/>
        <v>X-EDOSH30E</v>
      </c>
      <c r="AB355" s="321" t="str">
        <f t="shared" si="158"/>
        <v>X-EDOSH30M</v>
      </c>
      <c r="AC355" s="321" t="str">
        <f t="shared" si="159"/>
        <v>X-EDOSH30T</v>
      </c>
      <c r="AD355" s="321" t="str">
        <f t="shared" si="160"/>
        <v>X-EDOSH30S</v>
      </c>
      <c r="AE355" s="321" t="str">
        <f t="shared" si="161"/>
        <v>X-EDOSH30X</v>
      </c>
      <c r="AF355" s="321" t="str">
        <f t="shared" si="162"/>
        <v>X-EDOSH30M</v>
      </c>
      <c r="AG355" s="321">
        <f t="shared" si="153"/>
        <v>13</v>
      </c>
      <c r="AH355" s="321">
        <f>IF(B355&lt;&gt;"",IF(H355="x",VLOOKUP(I355,'AUX-NIV3'!B:AG,32,FALSE),0),"")</f>
        <v>0</v>
      </c>
      <c r="AI355" s="321" t="str">
        <f t="shared" si="163"/>
        <v>X-EDOSH30</v>
      </c>
      <c r="AJ355" s="320"/>
      <c r="AK355" s="322">
        <f t="shared" si="154"/>
        <v>347</v>
      </c>
      <c r="AL355" s="323">
        <f t="shared" si="164"/>
        <v>359</v>
      </c>
      <c r="AM355" s="322">
        <f t="shared" si="165"/>
        <v>9</v>
      </c>
      <c r="AN355" s="380">
        <f>IF(AND(AH355&gt;0,B355&lt;&gt;""),VLOOKUP(I355,'AUX-NIV3'!$B:$AO,39,FALSE)*O355,0)</f>
        <v>0</v>
      </c>
      <c r="AO355" s="380">
        <f t="shared" si="155"/>
        <v>0.25699111111111111</v>
      </c>
      <c r="AP355" s="380"/>
    </row>
    <row r="356" spans="2:42" ht="14.4" hidden="1" thickTop="1" thickBot="1">
      <c r="B356" s="324" t="s">
        <v>1297</v>
      </c>
      <c r="C356" s="325" t="s">
        <v>47</v>
      </c>
      <c r="D356" s="326" t="s">
        <v>1160</v>
      </c>
      <c r="E356" s="327">
        <f>IF(B356&lt;&gt;"",SUMIF('AUX-NIV1'!I:I,'AUX-NIV2'!B356,'AUX-NIV1'!Q:Q),"")</f>
        <v>0</v>
      </c>
      <c r="F356" s="327">
        <f t="shared" si="145"/>
        <v>1043.6770949403528</v>
      </c>
      <c r="G356" s="327">
        <f t="shared" si="146"/>
        <v>0</v>
      </c>
      <c r="H356" s="328" t="str">
        <f t="shared" si="166"/>
        <v>M</v>
      </c>
      <c r="I356" s="325" t="s">
        <v>495</v>
      </c>
      <c r="J356" s="329" t="str">
        <f>IF(B356&lt;&gt;"",+VLOOKUP(I356,Recursos!C:F,2,FALSE),"")</f>
        <v>PLASTIFICANTE</v>
      </c>
      <c r="K356" s="330" t="str">
        <f>IF(B356&lt;&gt;"",+VLOOKUP(I356,Recursos!C:F,3,FALSE),"")</f>
        <v>Kg</v>
      </c>
      <c r="L356" s="327">
        <f>IF(B356&lt;&gt;"",+VLOOKUP(I356,Recursos!C:F,4,FALSE),"")</f>
        <v>40.25</v>
      </c>
      <c r="M356" s="331">
        <v>2</v>
      </c>
      <c r="N356" s="331">
        <v>0</v>
      </c>
      <c r="O356" s="332">
        <f>+M356*N356</f>
        <v>0</v>
      </c>
      <c r="P356" s="333">
        <f t="shared" si="167"/>
        <v>0</v>
      </c>
      <c r="Q356" s="327">
        <f t="shared" si="168"/>
        <v>0</v>
      </c>
      <c r="R356" s="334">
        <f t="shared" si="169"/>
        <v>0</v>
      </c>
      <c r="S356" s="358">
        <f t="shared" si="147"/>
        <v>54.472361230649938</v>
      </c>
      <c r="T356" s="358">
        <f t="shared" si="148"/>
        <v>228.8832612121212</v>
      </c>
      <c r="U356" s="359">
        <f t="shared" si="149"/>
        <v>0</v>
      </c>
      <c r="V356" s="359">
        <f t="shared" si="150"/>
        <v>0</v>
      </c>
      <c r="W356" s="359">
        <f t="shared" si="151"/>
        <v>0</v>
      </c>
      <c r="X356" s="359">
        <f t="shared" si="152"/>
        <v>760.32147249758168</v>
      </c>
      <c r="Y356" s="320"/>
      <c r="Z356" s="321" t="str">
        <f t="shared" si="156"/>
        <v>X-EDOSH30A</v>
      </c>
      <c r="AA356" s="321" t="str">
        <f t="shared" si="157"/>
        <v>X-EDOSH30E</v>
      </c>
      <c r="AB356" s="321" t="str">
        <f t="shared" si="158"/>
        <v>X-EDOSH30M</v>
      </c>
      <c r="AC356" s="321" t="str">
        <f t="shared" si="159"/>
        <v>X-EDOSH30T</v>
      </c>
      <c r="AD356" s="321" t="str">
        <f t="shared" si="160"/>
        <v>X-EDOSH30S</v>
      </c>
      <c r="AE356" s="321" t="str">
        <f t="shared" si="161"/>
        <v>X-EDOSH30X</v>
      </c>
      <c r="AF356" s="321" t="str">
        <f t="shared" si="162"/>
        <v>X-EDOSH30M</v>
      </c>
      <c r="AG356" s="321">
        <f t="shared" si="153"/>
        <v>13</v>
      </c>
      <c r="AH356" s="321">
        <f>IF(B356&lt;&gt;"",IF(H356="x",VLOOKUP(I356,'AUX-NIV3'!B:AG,32,FALSE),0),"")</f>
        <v>0</v>
      </c>
      <c r="AI356" s="321" t="str">
        <f t="shared" si="163"/>
        <v>X-EDOSH30</v>
      </c>
      <c r="AJ356" s="320"/>
      <c r="AK356" s="322">
        <f t="shared" si="154"/>
        <v>347</v>
      </c>
      <c r="AL356" s="323">
        <f t="shared" si="164"/>
        <v>359</v>
      </c>
      <c r="AM356" s="322">
        <f t="shared" si="165"/>
        <v>10</v>
      </c>
      <c r="AN356" s="380">
        <f>IF(AND(AH356&gt;0,B356&lt;&gt;""),VLOOKUP(I356,'AUX-NIV3'!$B:$AO,39,FALSE)*O356,0)</f>
        <v>0</v>
      </c>
      <c r="AO356" s="380">
        <f t="shared" si="155"/>
        <v>0.25699111111111111</v>
      </c>
      <c r="AP356" s="380"/>
    </row>
    <row r="357" spans="2:42" ht="14.4" hidden="1" thickTop="1" thickBot="1">
      <c r="B357" s="324" t="s">
        <v>1297</v>
      </c>
      <c r="C357" s="325" t="s">
        <v>47</v>
      </c>
      <c r="D357" s="326" t="s">
        <v>1160</v>
      </c>
      <c r="E357" s="327">
        <f>IF(B357&lt;&gt;"",SUMIF('AUX-NIV1'!I:I,'AUX-NIV2'!B357,'AUX-NIV1'!Q:Q),"")</f>
        <v>0</v>
      </c>
      <c r="F357" s="327">
        <f t="shared" si="145"/>
        <v>1043.6770949403528</v>
      </c>
      <c r="G357" s="327">
        <f t="shared" si="146"/>
        <v>0</v>
      </c>
      <c r="H357" s="328" t="str">
        <f t="shared" si="166"/>
        <v>X</v>
      </c>
      <c r="I357" s="325" t="s">
        <v>1207</v>
      </c>
      <c r="J357" s="329" t="str">
        <f>IF(B357&lt;&gt;"",+VLOOKUP(I357,Recursos!C:F,2,FALSE),"")</f>
        <v>Planta de Aridos - Trituración y Clasificación</v>
      </c>
      <c r="K357" s="330" t="str">
        <f>IF(B357&lt;&gt;"",+VLOOKUP(I357,Recursos!C:F,3,FALSE),"")</f>
        <v>M3</v>
      </c>
      <c r="L357" s="327">
        <f>IF(B357&lt;&gt;"",+VLOOKUP(I357,Recursos!C:F,4,FALSE),"")</f>
        <v>633.60122708131803</v>
      </c>
      <c r="M357" s="331">
        <v>0.7</v>
      </c>
      <c r="N357" s="331">
        <v>1</v>
      </c>
      <c r="O357" s="332">
        <f>+M357*N357</f>
        <v>0.7</v>
      </c>
      <c r="P357" s="333">
        <f t="shared" si="167"/>
        <v>443.52085895692261</v>
      </c>
      <c r="Q357" s="327">
        <f t="shared" si="168"/>
        <v>0</v>
      </c>
      <c r="R357" s="334">
        <f t="shared" si="169"/>
        <v>0</v>
      </c>
      <c r="S357" s="358">
        <f t="shared" si="147"/>
        <v>54.472361230649938</v>
      </c>
      <c r="T357" s="358">
        <f t="shared" si="148"/>
        <v>228.8832612121212</v>
      </c>
      <c r="U357" s="359">
        <f t="shared" si="149"/>
        <v>0</v>
      </c>
      <c r="V357" s="359">
        <f t="shared" si="150"/>
        <v>0</v>
      </c>
      <c r="W357" s="359">
        <f t="shared" si="151"/>
        <v>0</v>
      </c>
      <c r="X357" s="359">
        <f t="shared" si="152"/>
        <v>760.32147249758168</v>
      </c>
      <c r="Y357" s="320"/>
      <c r="Z357" s="321" t="str">
        <f t="shared" si="156"/>
        <v>X-EDOSH30A</v>
      </c>
      <c r="AA357" s="321" t="str">
        <f t="shared" si="157"/>
        <v>X-EDOSH30E</v>
      </c>
      <c r="AB357" s="321" t="str">
        <f t="shared" si="158"/>
        <v>X-EDOSH30M</v>
      </c>
      <c r="AC357" s="321" t="str">
        <f t="shared" si="159"/>
        <v>X-EDOSH30T</v>
      </c>
      <c r="AD357" s="321" t="str">
        <f t="shared" si="160"/>
        <v>X-EDOSH30S</v>
      </c>
      <c r="AE357" s="321" t="str">
        <f t="shared" si="161"/>
        <v>X-EDOSH30X</v>
      </c>
      <c r="AF357" s="321" t="str">
        <f t="shared" si="162"/>
        <v>X-EDOSH30X</v>
      </c>
      <c r="AG357" s="321">
        <f t="shared" si="153"/>
        <v>13</v>
      </c>
      <c r="AH357" s="321">
        <f>IF(B357&lt;&gt;"",IF(H357="x",VLOOKUP(I357,'AUX-NIV3'!B:AG,32,FALSE),0),"")</f>
        <v>21</v>
      </c>
      <c r="AI357" s="321" t="str">
        <f t="shared" si="163"/>
        <v>X-EDOSH30</v>
      </c>
      <c r="AJ357" s="320"/>
      <c r="AK357" s="322">
        <f t="shared" si="154"/>
        <v>347</v>
      </c>
      <c r="AL357" s="323">
        <f t="shared" si="164"/>
        <v>359</v>
      </c>
      <c r="AM357" s="322">
        <f t="shared" si="165"/>
        <v>11</v>
      </c>
      <c r="AN357" s="380">
        <f>IF(AND(AH357&gt;0,B357&lt;&gt;""),VLOOKUP(I357,'AUX-NIV3'!$B:$AO,39,FALSE)*O357,0)</f>
        <v>8.4902222222222212E-2</v>
      </c>
      <c r="AO357" s="380">
        <f t="shared" si="155"/>
        <v>0.25699111111111111</v>
      </c>
      <c r="AP357" s="380"/>
    </row>
    <row r="358" spans="2:42" ht="14.4" hidden="1" thickTop="1" thickBot="1">
      <c r="B358" s="324" t="s">
        <v>1297</v>
      </c>
      <c r="C358" s="325" t="s">
        <v>47</v>
      </c>
      <c r="D358" s="326" t="s">
        <v>1160</v>
      </c>
      <c r="E358" s="327">
        <f>IF(B358&lt;&gt;"",SUMIF('AUX-NIV1'!I:I,'AUX-NIV2'!B358,'AUX-NIV1'!Q:Q),"")</f>
        <v>0</v>
      </c>
      <c r="F358" s="327">
        <f t="shared" si="145"/>
        <v>1043.6770949403528</v>
      </c>
      <c r="G358" s="327">
        <f t="shared" si="146"/>
        <v>0</v>
      </c>
      <c r="H358" s="328" t="str">
        <f t="shared" si="166"/>
        <v>X</v>
      </c>
      <c r="I358" s="325" t="s">
        <v>1207</v>
      </c>
      <c r="J358" s="329" t="str">
        <f>IF(B358&lt;&gt;"",+VLOOKUP(I358,Recursos!C:F,2,FALSE),"")</f>
        <v>Planta de Aridos - Trituración y Clasificación</v>
      </c>
      <c r="K358" s="330" t="str">
        <f>IF(B358&lt;&gt;"",+VLOOKUP(I358,Recursos!C:F,3,FALSE),"")</f>
        <v>M3</v>
      </c>
      <c r="L358" s="327">
        <f>IF(B358&lt;&gt;"",+VLOOKUP(I358,Recursos!C:F,4,FALSE),"")</f>
        <v>633.60122708131803</v>
      </c>
      <c r="M358" s="331">
        <v>0.5</v>
      </c>
      <c r="N358" s="331">
        <v>1</v>
      </c>
      <c r="O358" s="332">
        <f>+M358*N358</f>
        <v>0.5</v>
      </c>
      <c r="P358" s="333">
        <f t="shared" si="167"/>
        <v>316.80061354065901</v>
      </c>
      <c r="Q358" s="327">
        <f t="shared" si="168"/>
        <v>0</v>
      </c>
      <c r="R358" s="334">
        <f t="shared" si="169"/>
        <v>0</v>
      </c>
      <c r="S358" s="358">
        <f t="shared" si="147"/>
        <v>54.472361230649938</v>
      </c>
      <c r="T358" s="358">
        <f t="shared" si="148"/>
        <v>228.8832612121212</v>
      </c>
      <c r="U358" s="359">
        <f t="shared" si="149"/>
        <v>0</v>
      </c>
      <c r="V358" s="359">
        <f t="shared" si="150"/>
        <v>0</v>
      </c>
      <c r="W358" s="359">
        <f t="shared" si="151"/>
        <v>0</v>
      </c>
      <c r="X358" s="359">
        <f t="shared" si="152"/>
        <v>760.32147249758168</v>
      </c>
      <c r="Y358" s="320"/>
      <c r="Z358" s="321" t="str">
        <f t="shared" si="156"/>
        <v>X-EDOSH30A</v>
      </c>
      <c r="AA358" s="321" t="str">
        <f t="shared" si="157"/>
        <v>X-EDOSH30E</v>
      </c>
      <c r="AB358" s="321" t="str">
        <f t="shared" si="158"/>
        <v>X-EDOSH30M</v>
      </c>
      <c r="AC358" s="321" t="str">
        <f t="shared" si="159"/>
        <v>X-EDOSH30T</v>
      </c>
      <c r="AD358" s="321" t="str">
        <f t="shared" si="160"/>
        <v>X-EDOSH30S</v>
      </c>
      <c r="AE358" s="321" t="str">
        <f t="shared" si="161"/>
        <v>X-EDOSH30X</v>
      </c>
      <c r="AF358" s="321" t="str">
        <f t="shared" si="162"/>
        <v>X-EDOSH30X</v>
      </c>
      <c r="AG358" s="321">
        <f t="shared" si="153"/>
        <v>13</v>
      </c>
      <c r="AH358" s="321">
        <f>IF(B358&lt;&gt;"",IF(H358="x",VLOOKUP(I358,'AUX-NIV3'!B:AG,32,FALSE),0),"")</f>
        <v>21</v>
      </c>
      <c r="AI358" s="321" t="str">
        <f t="shared" si="163"/>
        <v>X-EDOSH30</v>
      </c>
      <c r="AJ358" s="320"/>
      <c r="AK358" s="322">
        <f t="shared" si="154"/>
        <v>347</v>
      </c>
      <c r="AL358" s="323">
        <f t="shared" si="164"/>
        <v>359</v>
      </c>
      <c r="AM358" s="322">
        <f t="shared" si="165"/>
        <v>12</v>
      </c>
      <c r="AN358" s="380">
        <f>IF(AND(AH358&gt;0,B358&lt;&gt;""),VLOOKUP(I358,'AUX-NIV3'!$B:$AO,39,FALSE)*O358,0)</f>
        <v>6.0644444444444445E-2</v>
      </c>
      <c r="AO358" s="380">
        <f t="shared" si="155"/>
        <v>0.25699111111111111</v>
      </c>
      <c r="AP358" s="380"/>
    </row>
    <row r="359" spans="2:42" ht="14.4" hidden="1" thickTop="1" thickBot="1">
      <c r="B359" s="324" t="s">
        <v>1297</v>
      </c>
      <c r="C359" s="325" t="s">
        <v>47</v>
      </c>
      <c r="D359" s="326" t="s">
        <v>1160</v>
      </c>
      <c r="E359" s="327">
        <f>IF(B359&lt;&gt;"",SUMIF('AUX-NIV1'!I:I,'AUX-NIV2'!B359,'AUX-NIV1'!Q:Q),"")</f>
        <v>0</v>
      </c>
      <c r="F359" s="327">
        <f t="shared" si="145"/>
        <v>1043.6770949403528</v>
      </c>
      <c r="G359" s="327">
        <f t="shared" si="146"/>
        <v>0</v>
      </c>
      <c r="H359" s="328" t="str">
        <f t="shared" si="166"/>
        <v>T</v>
      </c>
      <c r="I359" s="325" t="s">
        <v>752</v>
      </c>
      <c r="J359" s="329" t="str">
        <f>IF(B359&lt;&gt;"",+VLOOKUP(I359,Recursos!C:F,2,FALSE),"")</f>
        <v>TRANSP.AGREGADO (Tpte largo cotizado x 10 Km)</v>
      </c>
      <c r="K359" s="330" t="str">
        <f>IF(B359&lt;&gt;"",+VLOOKUP(I359,Recursos!C:F,3,FALSE),"")</f>
        <v>Tn.Km</v>
      </c>
      <c r="L359" s="327">
        <f>IF(B359&lt;&gt;"",+VLOOKUP(I359,Recursos!C:F,4,FALSE),"")</f>
        <v>0.1</v>
      </c>
      <c r="M359" s="331">
        <v>1.2E-2</v>
      </c>
      <c r="N359" s="331">
        <v>0</v>
      </c>
      <c r="O359" s="332">
        <f>+M359*N359</f>
        <v>0</v>
      </c>
      <c r="P359" s="333">
        <f t="shared" si="167"/>
        <v>0</v>
      </c>
      <c r="Q359" s="327">
        <f t="shared" si="168"/>
        <v>0</v>
      </c>
      <c r="R359" s="334">
        <f t="shared" si="169"/>
        <v>0</v>
      </c>
      <c r="S359" s="358">
        <f t="shared" si="147"/>
        <v>54.472361230649938</v>
      </c>
      <c r="T359" s="358">
        <f t="shared" si="148"/>
        <v>228.8832612121212</v>
      </c>
      <c r="U359" s="359">
        <f t="shared" si="149"/>
        <v>0</v>
      </c>
      <c r="V359" s="359">
        <f t="shared" si="150"/>
        <v>0</v>
      </c>
      <c r="W359" s="359">
        <f t="shared" si="151"/>
        <v>0</v>
      </c>
      <c r="X359" s="359">
        <f t="shared" si="152"/>
        <v>760.32147249758168</v>
      </c>
      <c r="Y359" s="320"/>
      <c r="Z359" s="321" t="str">
        <f t="shared" si="156"/>
        <v>X-EDOSH30A</v>
      </c>
      <c r="AA359" s="321" t="str">
        <f t="shared" si="157"/>
        <v>X-EDOSH30E</v>
      </c>
      <c r="AB359" s="321" t="str">
        <f t="shared" si="158"/>
        <v>X-EDOSH30M</v>
      </c>
      <c r="AC359" s="321" t="str">
        <f t="shared" si="159"/>
        <v>X-EDOSH30T</v>
      </c>
      <c r="AD359" s="321" t="str">
        <f t="shared" si="160"/>
        <v>X-EDOSH30S</v>
      </c>
      <c r="AE359" s="321" t="str">
        <f t="shared" si="161"/>
        <v>X-EDOSH30X</v>
      </c>
      <c r="AF359" s="321" t="str">
        <f t="shared" si="162"/>
        <v>X-EDOSH30T</v>
      </c>
      <c r="AG359" s="321">
        <f t="shared" si="153"/>
        <v>13</v>
      </c>
      <c r="AH359" s="321">
        <f>IF(B359&lt;&gt;"",IF(H359="x",VLOOKUP(I359,'AUX-NIV3'!B:AG,32,FALSE),0),"")</f>
        <v>0</v>
      </c>
      <c r="AI359" s="321" t="str">
        <f t="shared" si="163"/>
        <v>X-EDOSH30</v>
      </c>
      <c r="AJ359" s="320"/>
      <c r="AK359" s="322">
        <f t="shared" si="154"/>
        <v>347</v>
      </c>
      <c r="AL359" s="323">
        <f t="shared" si="164"/>
        <v>359</v>
      </c>
      <c r="AM359" s="322">
        <f t="shared" si="165"/>
        <v>13</v>
      </c>
      <c r="AN359" s="380">
        <f>IF(AND(AH359&gt;0,B359&lt;&gt;""),VLOOKUP(I359,'AUX-NIV3'!$B:$AO,39,FALSE)*O359,0)</f>
        <v>0</v>
      </c>
      <c r="AO359" s="380">
        <f t="shared" si="155"/>
        <v>0.25699111111111111</v>
      </c>
      <c r="AP359" s="380"/>
    </row>
    <row r="360" spans="2:42" ht="14.4" hidden="1" thickTop="1" thickBot="1">
      <c r="B360" s="324" t="s">
        <v>840</v>
      </c>
      <c r="C360" s="325" t="s">
        <v>842</v>
      </c>
      <c r="D360" s="326" t="s">
        <v>1160</v>
      </c>
      <c r="E360" s="327">
        <f>IF(B360&lt;&gt;"",SUMIF('AUX-NIV1'!I:I,'AUX-NIV2'!B360,'AUX-NIV1'!Q:Q),"")</f>
        <v>0</v>
      </c>
      <c r="F360" s="327">
        <f t="shared" si="145"/>
        <v>77.09911141492276</v>
      </c>
      <c r="G360" s="327">
        <f t="shared" si="146"/>
        <v>0</v>
      </c>
      <c r="H360" s="328" t="str">
        <f t="shared" si="166"/>
        <v>A</v>
      </c>
      <c r="I360" s="325" t="s">
        <v>3312</v>
      </c>
      <c r="J360" s="329" t="str">
        <f>IF(B360&lt;&gt;"",+VLOOKUP(I360,Recursos!C:F,2,FALSE),"")</f>
        <v>CHOFER</v>
      </c>
      <c r="K360" s="330" t="str">
        <f>IF(B360&lt;&gt;"",+VLOOKUP(I360,Recursos!C:F,3,FALSE),"")</f>
        <v>hh</v>
      </c>
      <c r="L360" s="327">
        <f>IF(B360&lt;&gt;"",+VLOOKUP(I360,Recursos!C:F,4,FALSE),"")</f>
        <v>496.91595439275824</v>
      </c>
      <c r="M360" s="331">
        <v>1.72E-2</v>
      </c>
      <c r="N360" s="331">
        <v>1.25</v>
      </c>
      <c r="O360" s="332">
        <v>2.1499999999999998E-2</v>
      </c>
      <c r="P360" s="333">
        <f t="shared" si="167"/>
        <v>10.683693019444302</v>
      </c>
      <c r="Q360" s="327">
        <f t="shared" si="168"/>
        <v>0</v>
      </c>
      <c r="R360" s="334">
        <f t="shared" si="169"/>
        <v>0</v>
      </c>
      <c r="S360" s="335">
        <f t="shared" si="147"/>
        <v>19.767022214922754</v>
      </c>
      <c r="T360" s="335">
        <f t="shared" si="148"/>
        <v>57.332089199999999</v>
      </c>
      <c r="U360" s="336">
        <f t="shared" si="149"/>
        <v>0</v>
      </c>
      <c r="V360" s="336">
        <f t="shared" si="150"/>
        <v>0</v>
      </c>
      <c r="W360" s="336">
        <f t="shared" si="151"/>
        <v>0</v>
      </c>
      <c r="X360" s="336">
        <f t="shared" si="152"/>
        <v>0</v>
      </c>
      <c r="Y360" s="320"/>
      <c r="Z360" s="321" t="str">
        <f t="shared" si="156"/>
        <v>X-TRANSPA</v>
      </c>
      <c r="AA360" s="321" t="str">
        <f t="shared" si="157"/>
        <v>X-TRANSPE</v>
      </c>
      <c r="AB360" s="321" t="str">
        <f t="shared" si="158"/>
        <v>X-TRANSPM</v>
      </c>
      <c r="AC360" s="321" t="str">
        <f t="shared" si="159"/>
        <v>X-TRANSPT</v>
      </c>
      <c r="AD360" s="321" t="str">
        <f t="shared" si="160"/>
        <v>X-TRANSPS</v>
      </c>
      <c r="AE360" s="321" t="str">
        <f t="shared" si="161"/>
        <v>X-TRANSPX</v>
      </c>
      <c r="AF360" s="321" t="str">
        <f t="shared" si="162"/>
        <v>X-TRANSPA</v>
      </c>
      <c r="AG360" s="321">
        <f t="shared" si="153"/>
        <v>3</v>
      </c>
      <c r="AH360" s="321">
        <f>IF(B360&lt;&gt;"",IF(H360="x",VLOOKUP(I360,'AUX-NIV3'!B:AG,32,FALSE),0),"")</f>
        <v>0</v>
      </c>
      <c r="AI360" s="321" t="str">
        <f t="shared" si="163"/>
        <v>X-TRANSP</v>
      </c>
      <c r="AJ360" s="320"/>
      <c r="AK360" s="322">
        <f t="shared" si="154"/>
        <v>360</v>
      </c>
      <c r="AL360" s="323">
        <f t="shared" si="164"/>
        <v>362</v>
      </c>
      <c r="AM360" s="322">
        <f t="shared" si="165"/>
        <v>1</v>
      </c>
      <c r="AN360" s="380">
        <f>IF(AND(AH360&gt;0,B360&lt;&gt;""),VLOOKUP(I360,'AUX-NIV3'!$B:$AO,39,FALSE)*O360,0)</f>
        <v>0</v>
      </c>
      <c r="AO360" s="380">
        <f t="shared" si="155"/>
        <v>4.2999999999999997E-2</v>
      </c>
      <c r="AP360" s="380"/>
    </row>
    <row r="361" spans="2:42" ht="14.4" hidden="1" thickTop="1" thickBot="1">
      <c r="B361" s="324" t="s">
        <v>840</v>
      </c>
      <c r="C361" s="325" t="s">
        <v>842</v>
      </c>
      <c r="D361" s="326" t="s">
        <v>1160</v>
      </c>
      <c r="E361" s="327">
        <f>IF(B361&lt;&gt;"",SUMIF('AUX-NIV1'!I:I,'AUX-NIV2'!B361,'AUX-NIV1'!Q:Q),"")</f>
        <v>0</v>
      </c>
      <c r="F361" s="327">
        <f t="shared" si="145"/>
        <v>77.09911141492276</v>
      </c>
      <c r="G361" s="327">
        <f t="shared" si="146"/>
        <v>0</v>
      </c>
      <c r="H361" s="328" t="str">
        <f t="shared" si="166"/>
        <v>A</v>
      </c>
      <c r="I361" s="325" t="s">
        <v>1745</v>
      </c>
      <c r="J361" s="329" t="str">
        <f>IF(B361&lt;&gt;"",+VLOOKUP(I361,Recursos!C:F,2,FALSE),"")</f>
        <v>AYUDANTE</v>
      </c>
      <c r="K361" s="330" t="str">
        <f>IF(B361&lt;&gt;"",+VLOOKUP(I361,Recursos!C:F,3,FALSE),"")</f>
        <v>hh</v>
      </c>
      <c r="L361" s="327">
        <f>IF(B361&lt;&gt;"",+VLOOKUP(I361,Recursos!C:F,4,FALSE),"")</f>
        <v>422.48042769667234</v>
      </c>
      <c r="M361" s="331">
        <v>1.72E-2</v>
      </c>
      <c r="N361" s="331">
        <v>1.25</v>
      </c>
      <c r="O361" s="332">
        <v>2.1499999999999998E-2</v>
      </c>
      <c r="P361" s="333">
        <f t="shared" si="167"/>
        <v>9.0833291954784539</v>
      </c>
      <c r="Q361" s="327">
        <f t="shared" si="168"/>
        <v>0</v>
      </c>
      <c r="R361" s="334">
        <f t="shared" si="169"/>
        <v>0</v>
      </c>
      <c r="S361" s="335">
        <f t="shared" si="147"/>
        <v>19.767022214922754</v>
      </c>
      <c r="T361" s="335">
        <f t="shared" si="148"/>
        <v>57.332089199999999</v>
      </c>
      <c r="U361" s="336">
        <f t="shared" si="149"/>
        <v>0</v>
      </c>
      <c r="V361" s="336">
        <f t="shared" si="150"/>
        <v>0</v>
      </c>
      <c r="W361" s="336">
        <f t="shared" si="151"/>
        <v>0</v>
      </c>
      <c r="X361" s="336">
        <f t="shared" si="152"/>
        <v>0</v>
      </c>
      <c r="Y361" s="320"/>
      <c r="Z361" s="321" t="str">
        <f t="shared" si="156"/>
        <v>X-TRANSPA</v>
      </c>
      <c r="AA361" s="321" t="str">
        <f t="shared" si="157"/>
        <v>X-TRANSPE</v>
      </c>
      <c r="AB361" s="321" t="str">
        <f t="shared" si="158"/>
        <v>X-TRANSPM</v>
      </c>
      <c r="AC361" s="321" t="str">
        <f t="shared" si="159"/>
        <v>X-TRANSPT</v>
      </c>
      <c r="AD361" s="321" t="str">
        <f t="shared" si="160"/>
        <v>X-TRANSPS</v>
      </c>
      <c r="AE361" s="321" t="str">
        <f t="shared" si="161"/>
        <v>X-TRANSPX</v>
      </c>
      <c r="AF361" s="321" t="str">
        <f t="shared" si="162"/>
        <v>X-TRANSPA</v>
      </c>
      <c r="AG361" s="321">
        <f t="shared" si="153"/>
        <v>3</v>
      </c>
      <c r="AH361" s="321">
        <f>IF(B361&lt;&gt;"",IF(H361="x",VLOOKUP(I361,'AUX-NIV3'!B:AG,32,FALSE),0),"")</f>
        <v>0</v>
      </c>
      <c r="AI361" s="321" t="str">
        <f t="shared" si="163"/>
        <v>X-TRANSP</v>
      </c>
      <c r="AJ361" s="320"/>
      <c r="AK361" s="322">
        <f t="shared" si="154"/>
        <v>360</v>
      </c>
      <c r="AL361" s="323">
        <f t="shared" si="164"/>
        <v>362</v>
      </c>
      <c r="AM361" s="322">
        <f t="shared" si="165"/>
        <v>2</v>
      </c>
      <c r="AN361" s="380">
        <f>IF(AND(AH361&gt;0,B361&lt;&gt;""),VLOOKUP(I361,'AUX-NIV3'!$B:$AO,39,FALSE)*O361,0)</f>
        <v>0</v>
      </c>
      <c r="AO361" s="380">
        <f t="shared" si="155"/>
        <v>4.2999999999999997E-2</v>
      </c>
      <c r="AP361" s="380"/>
    </row>
    <row r="362" spans="2:42" ht="14.4" hidden="1" thickTop="1" thickBot="1">
      <c r="B362" s="324" t="s">
        <v>840</v>
      </c>
      <c r="C362" s="325" t="s">
        <v>842</v>
      </c>
      <c r="D362" s="326" t="s">
        <v>1160</v>
      </c>
      <c r="E362" s="327">
        <f>IF(B362&lt;&gt;"",SUMIF('AUX-NIV1'!I:I,'AUX-NIV2'!B362,'AUX-NIV1'!Q:Q),"")</f>
        <v>0</v>
      </c>
      <c r="F362" s="327">
        <f t="shared" si="145"/>
        <v>77.09911141492276</v>
      </c>
      <c r="G362" s="327">
        <f t="shared" si="146"/>
        <v>0</v>
      </c>
      <c r="H362" s="328" t="str">
        <f t="shared" si="166"/>
        <v>E</v>
      </c>
      <c r="I362" s="325" t="s">
        <v>1555</v>
      </c>
      <c r="J362" s="329" t="str">
        <f>IF(B362&lt;&gt;"",+VLOOKUP(I362,Recursos!C:F,2,FALSE),"")</f>
        <v>CAMION VOLCADOR 6x4 CAP. 24 T=15 m3</v>
      </c>
      <c r="K362" s="330" t="str">
        <f>IF(B362&lt;&gt;"",+VLOOKUP(I362,Recursos!C:F,3,FALSE),"")</f>
        <v>HR</v>
      </c>
      <c r="L362" s="327">
        <f>IF(B362&lt;&gt;"",+VLOOKUP(I362,Recursos!C:F,4,FALSE),"")</f>
        <v>3333.261</v>
      </c>
      <c r="M362" s="331">
        <v>1</v>
      </c>
      <c r="N362" s="331">
        <v>1</v>
      </c>
      <c r="O362" s="332">
        <v>1.72E-2</v>
      </c>
      <c r="P362" s="333">
        <f t="shared" si="167"/>
        <v>57.332089199999999</v>
      </c>
      <c r="Q362" s="327">
        <f t="shared" si="168"/>
        <v>0</v>
      </c>
      <c r="R362" s="334">
        <f t="shared" si="169"/>
        <v>0</v>
      </c>
      <c r="S362" s="335">
        <f t="shared" si="147"/>
        <v>19.767022214922754</v>
      </c>
      <c r="T362" s="335">
        <f t="shared" si="148"/>
        <v>57.332089199999999</v>
      </c>
      <c r="U362" s="336">
        <f t="shared" si="149"/>
        <v>0</v>
      </c>
      <c r="V362" s="336">
        <f t="shared" si="150"/>
        <v>0</v>
      </c>
      <c r="W362" s="336">
        <f t="shared" si="151"/>
        <v>0</v>
      </c>
      <c r="X362" s="336">
        <f t="shared" si="152"/>
        <v>0</v>
      </c>
      <c r="Y362" s="320"/>
      <c r="Z362" s="321" t="str">
        <f t="shared" si="156"/>
        <v>X-TRANSPA</v>
      </c>
      <c r="AA362" s="321" t="str">
        <f t="shared" si="157"/>
        <v>X-TRANSPE</v>
      </c>
      <c r="AB362" s="321" t="str">
        <f t="shared" si="158"/>
        <v>X-TRANSPM</v>
      </c>
      <c r="AC362" s="321" t="str">
        <f t="shared" si="159"/>
        <v>X-TRANSPT</v>
      </c>
      <c r="AD362" s="321" t="str">
        <f t="shared" si="160"/>
        <v>X-TRANSPS</v>
      </c>
      <c r="AE362" s="321" t="str">
        <f t="shared" si="161"/>
        <v>X-TRANSPX</v>
      </c>
      <c r="AF362" s="321" t="str">
        <f t="shared" si="162"/>
        <v>X-TRANSPE</v>
      </c>
      <c r="AG362" s="321">
        <f t="shared" si="153"/>
        <v>3</v>
      </c>
      <c r="AH362" s="321">
        <f>IF(B362&lt;&gt;"",IF(H362="x",VLOOKUP(I362,'AUX-NIV3'!B:AG,32,FALSE),0),"")</f>
        <v>0</v>
      </c>
      <c r="AI362" s="321" t="str">
        <f t="shared" si="163"/>
        <v>X-TRANSP</v>
      </c>
      <c r="AJ362" s="320"/>
      <c r="AK362" s="322">
        <f t="shared" si="154"/>
        <v>360</v>
      </c>
      <c r="AL362" s="323">
        <f t="shared" si="164"/>
        <v>362</v>
      </c>
      <c r="AM362" s="322">
        <f t="shared" si="165"/>
        <v>3</v>
      </c>
      <c r="AN362" s="380">
        <f>IF(AND(AH362&gt;0,B362&lt;&gt;""),VLOOKUP(I362,'AUX-NIV3'!$B:$AO,39,FALSE)*O362,0)</f>
        <v>0</v>
      </c>
      <c r="AO362" s="380">
        <f t="shared" si="155"/>
        <v>4.2999999999999997E-2</v>
      </c>
      <c r="AP362" s="380"/>
    </row>
    <row r="363" spans="2:42" ht="14.4" hidden="1" thickTop="1" thickBot="1">
      <c r="B363" s="324" t="s">
        <v>845</v>
      </c>
      <c r="C363" s="325" t="s">
        <v>847</v>
      </c>
      <c r="D363" s="326" t="s">
        <v>1160</v>
      </c>
      <c r="E363" s="327">
        <f>IF(B363&lt;&gt;"",SUMIF('AUX-NIV1'!I:I,'AUX-NIV2'!B363,'AUX-NIV1'!Q:Q),"")</f>
        <v>0</v>
      </c>
      <c r="F363" s="327">
        <f t="shared" si="145"/>
        <v>74.566791548670125</v>
      </c>
      <c r="G363" s="327">
        <f t="shared" si="146"/>
        <v>0</v>
      </c>
      <c r="H363" s="328" t="str">
        <f t="shared" si="166"/>
        <v>A</v>
      </c>
      <c r="I363" s="325" t="s">
        <v>1745</v>
      </c>
      <c r="J363" s="329" t="str">
        <f>IF(B363&lt;&gt;"",+VLOOKUP(I363,Recursos!C:F,2,FALSE),"")</f>
        <v>AYUDANTE</v>
      </c>
      <c r="K363" s="330" t="str">
        <f>IF(B363&lt;&gt;"",+VLOOKUP(I363,Recursos!C:F,3,FALSE),"")</f>
        <v>hh</v>
      </c>
      <c r="L363" s="327">
        <f>IF(B363&lt;&gt;"",+VLOOKUP(I363,Recursos!C:F,4,FALSE),"")</f>
        <v>422.48042769667234</v>
      </c>
      <c r="M363" s="331">
        <v>1</v>
      </c>
      <c r="N363" s="331">
        <v>1.25</v>
      </c>
      <c r="O363" s="332">
        <v>1.2500000000000001E-2</v>
      </c>
      <c r="P363" s="333">
        <f t="shared" si="167"/>
        <v>5.2810053462084046</v>
      </c>
      <c r="Q363" s="327">
        <f t="shared" si="168"/>
        <v>0</v>
      </c>
      <c r="R363" s="334">
        <f t="shared" si="169"/>
        <v>0</v>
      </c>
      <c r="S363" s="335">
        <f t="shared" si="147"/>
        <v>12.544270405812973</v>
      </c>
      <c r="T363" s="335">
        <f t="shared" si="148"/>
        <v>62.022521142857144</v>
      </c>
      <c r="U363" s="336">
        <f t="shared" si="149"/>
        <v>0</v>
      </c>
      <c r="V363" s="336">
        <f t="shared" si="150"/>
        <v>0</v>
      </c>
      <c r="W363" s="336">
        <f t="shared" si="151"/>
        <v>0</v>
      </c>
      <c r="X363" s="336">
        <f t="shared" si="152"/>
        <v>0</v>
      </c>
      <c r="Y363" s="320"/>
      <c r="Z363" s="321" t="str">
        <f t="shared" si="156"/>
        <v>X-TRANFRA</v>
      </c>
      <c r="AA363" s="321" t="str">
        <f t="shared" si="157"/>
        <v>X-TRANFRE</v>
      </c>
      <c r="AB363" s="321" t="str">
        <f t="shared" si="158"/>
        <v>X-TRANFRM</v>
      </c>
      <c r="AC363" s="321" t="str">
        <f t="shared" si="159"/>
        <v>X-TRANFRT</v>
      </c>
      <c r="AD363" s="321" t="str">
        <f t="shared" si="160"/>
        <v>X-TRANFRS</v>
      </c>
      <c r="AE363" s="321" t="str">
        <f t="shared" si="161"/>
        <v>X-TRANFRX</v>
      </c>
      <c r="AF363" s="321" t="str">
        <f t="shared" si="162"/>
        <v>X-TRANFRA</v>
      </c>
      <c r="AG363" s="321">
        <f t="shared" si="153"/>
        <v>3</v>
      </c>
      <c r="AH363" s="321">
        <f>IF(B363&lt;&gt;"",IF(H363="x",VLOOKUP(I363,'AUX-NIV3'!B:AG,32,FALSE),0),"")</f>
        <v>0</v>
      </c>
      <c r="AI363" s="321" t="str">
        <f t="shared" si="163"/>
        <v>X-TRANFR</v>
      </c>
      <c r="AJ363" s="320"/>
      <c r="AK363" s="322">
        <f t="shared" si="154"/>
        <v>363</v>
      </c>
      <c r="AL363" s="323">
        <f t="shared" si="164"/>
        <v>365</v>
      </c>
      <c r="AM363" s="322">
        <f t="shared" si="165"/>
        <v>1</v>
      </c>
      <c r="AN363" s="380">
        <f>IF(AND(AH363&gt;0,B363&lt;&gt;""),VLOOKUP(I363,'AUX-NIV3'!$B:$AO,39,FALSE)*O363,0)</f>
        <v>0</v>
      </c>
      <c r="AO363" s="380">
        <f t="shared" si="155"/>
        <v>2.5000000000000001E-2</v>
      </c>
      <c r="AP363" s="380"/>
    </row>
    <row r="364" spans="2:42" ht="14.4" hidden="1" thickTop="1" thickBot="1">
      <c r="B364" s="324" t="s">
        <v>845</v>
      </c>
      <c r="C364" s="325" t="s">
        <v>847</v>
      </c>
      <c r="D364" s="326" t="s">
        <v>1160</v>
      </c>
      <c r="E364" s="327">
        <f>IF(B364&lt;&gt;"",SUMIF('AUX-NIV1'!I:I,'AUX-NIV2'!B364,'AUX-NIV1'!Q:Q),"")</f>
        <v>0</v>
      </c>
      <c r="F364" s="327">
        <f t="shared" si="145"/>
        <v>74.566791548670125</v>
      </c>
      <c r="G364" s="327">
        <f t="shared" si="146"/>
        <v>0</v>
      </c>
      <c r="H364" s="328" t="str">
        <f t="shared" si="166"/>
        <v>A</v>
      </c>
      <c r="I364" s="325" t="s">
        <v>3311</v>
      </c>
      <c r="J364" s="329" t="str">
        <f>IF(B364&lt;&gt;"",+VLOOKUP(I364,Recursos!C:F,2,FALSE),"")</f>
        <v>OPER. EQUIPO</v>
      </c>
      <c r="K364" s="330" t="str">
        <f>IF(B364&lt;&gt;"",+VLOOKUP(I364,Recursos!C:F,3,FALSE),"")</f>
        <v>hh</v>
      </c>
      <c r="L364" s="327">
        <f>IF(B364&lt;&gt;"",+VLOOKUP(I364,Recursos!C:F,4,FALSE),"")</f>
        <v>581.06120476836554</v>
      </c>
      <c r="M364" s="331">
        <v>1</v>
      </c>
      <c r="N364" s="331">
        <v>1.25</v>
      </c>
      <c r="O364" s="332">
        <v>1.2500000000000001E-2</v>
      </c>
      <c r="P364" s="333">
        <f t="shared" si="167"/>
        <v>7.2632650596045698</v>
      </c>
      <c r="Q364" s="327">
        <f t="shared" si="168"/>
        <v>0</v>
      </c>
      <c r="R364" s="334">
        <f t="shared" si="169"/>
        <v>0</v>
      </c>
      <c r="S364" s="335">
        <f t="shared" si="147"/>
        <v>12.544270405812973</v>
      </c>
      <c r="T364" s="335">
        <f t="shared" si="148"/>
        <v>62.022521142857144</v>
      </c>
      <c r="U364" s="336">
        <f t="shared" si="149"/>
        <v>0</v>
      </c>
      <c r="V364" s="336">
        <f t="shared" si="150"/>
        <v>0</v>
      </c>
      <c r="W364" s="336">
        <f t="shared" si="151"/>
        <v>0</v>
      </c>
      <c r="X364" s="336">
        <f t="shared" si="152"/>
        <v>0</v>
      </c>
      <c r="Y364" s="320"/>
      <c r="Z364" s="321" t="str">
        <f t="shared" si="156"/>
        <v>X-TRANFRA</v>
      </c>
      <c r="AA364" s="321" t="str">
        <f t="shared" si="157"/>
        <v>X-TRANFRE</v>
      </c>
      <c r="AB364" s="321" t="str">
        <f t="shared" si="158"/>
        <v>X-TRANFRM</v>
      </c>
      <c r="AC364" s="321" t="str">
        <f t="shared" si="159"/>
        <v>X-TRANFRT</v>
      </c>
      <c r="AD364" s="321" t="str">
        <f t="shared" si="160"/>
        <v>X-TRANFRS</v>
      </c>
      <c r="AE364" s="321" t="str">
        <f t="shared" si="161"/>
        <v>X-TRANFRX</v>
      </c>
      <c r="AF364" s="321" t="str">
        <f t="shared" si="162"/>
        <v>X-TRANFRA</v>
      </c>
      <c r="AG364" s="321">
        <f t="shared" si="153"/>
        <v>3</v>
      </c>
      <c r="AH364" s="321">
        <f>IF(B364&lt;&gt;"",IF(H364="x",VLOOKUP(I364,'AUX-NIV3'!B:AG,32,FALSE),0),"")</f>
        <v>0</v>
      </c>
      <c r="AI364" s="321" t="str">
        <f t="shared" si="163"/>
        <v>X-TRANFR</v>
      </c>
      <c r="AJ364" s="320"/>
      <c r="AK364" s="322">
        <f t="shared" si="154"/>
        <v>363</v>
      </c>
      <c r="AL364" s="323">
        <f t="shared" si="164"/>
        <v>365</v>
      </c>
      <c r="AM364" s="322">
        <f t="shared" si="165"/>
        <v>2</v>
      </c>
      <c r="AN364" s="380">
        <f>IF(AND(AH364&gt;0,B364&lt;&gt;""),VLOOKUP(I364,'AUX-NIV3'!$B:$AO,39,FALSE)*O364,0)</f>
        <v>0</v>
      </c>
      <c r="AO364" s="380">
        <f t="shared" si="155"/>
        <v>2.5000000000000001E-2</v>
      </c>
      <c r="AP364" s="380"/>
    </row>
    <row r="365" spans="2:42" ht="14.4" hidden="1" thickTop="1" thickBot="1">
      <c r="B365" s="324" t="s">
        <v>845</v>
      </c>
      <c r="C365" s="325" t="s">
        <v>847</v>
      </c>
      <c r="D365" s="326" t="s">
        <v>1160</v>
      </c>
      <c r="E365" s="327">
        <f>IF(B365&lt;&gt;"",SUMIF('AUX-NIV1'!I:I,'AUX-NIV2'!B365,'AUX-NIV1'!Q:Q),"")</f>
        <v>0</v>
      </c>
      <c r="F365" s="327">
        <f t="shared" si="145"/>
        <v>74.566791548670125</v>
      </c>
      <c r="G365" s="327">
        <f t="shared" si="146"/>
        <v>0</v>
      </c>
      <c r="H365" s="328" t="str">
        <f t="shared" si="166"/>
        <v>E</v>
      </c>
      <c r="I365" s="325" t="s">
        <v>1565</v>
      </c>
      <c r="J365" s="329" t="str">
        <f>IF(B365&lt;&gt;"",+VLOOKUP(I365,Recursos!C:F,2,FALSE),"")</f>
        <v>CAMION FUERA DE RUTA 36 T-21 M3</v>
      </c>
      <c r="K365" s="330" t="str">
        <f>IF(B365&lt;&gt;"",+VLOOKUP(I365,Recursos!C:F,3,FALSE),"")</f>
        <v>HR</v>
      </c>
      <c r="L365" s="327">
        <f>IF(B365&lt;&gt;"",+VLOOKUP(I365,Recursos!C:F,4,FALSE),"")</f>
        <v>6202.252114285714</v>
      </c>
      <c r="M365" s="331">
        <v>0.01</v>
      </c>
      <c r="N365" s="331">
        <v>1</v>
      </c>
      <c r="O365" s="332">
        <v>0.01</v>
      </c>
      <c r="P365" s="333">
        <f t="shared" si="167"/>
        <v>62.022521142857144</v>
      </c>
      <c r="Q365" s="327">
        <f t="shared" si="168"/>
        <v>0</v>
      </c>
      <c r="R365" s="334">
        <f t="shared" si="169"/>
        <v>0</v>
      </c>
      <c r="S365" s="335">
        <f t="shared" si="147"/>
        <v>12.544270405812973</v>
      </c>
      <c r="T365" s="335">
        <f t="shared" si="148"/>
        <v>62.022521142857144</v>
      </c>
      <c r="U365" s="336">
        <f t="shared" si="149"/>
        <v>0</v>
      </c>
      <c r="V365" s="336">
        <f t="shared" si="150"/>
        <v>0</v>
      </c>
      <c r="W365" s="336">
        <f t="shared" si="151"/>
        <v>0</v>
      </c>
      <c r="X365" s="336">
        <f t="shared" si="152"/>
        <v>0</v>
      </c>
      <c r="Y365" s="320"/>
      <c r="Z365" s="321" t="str">
        <f t="shared" si="156"/>
        <v>X-TRANFRA</v>
      </c>
      <c r="AA365" s="321" t="str">
        <f t="shared" si="157"/>
        <v>X-TRANFRE</v>
      </c>
      <c r="AB365" s="321" t="str">
        <f t="shared" si="158"/>
        <v>X-TRANFRM</v>
      </c>
      <c r="AC365" s="321" t="str">
        <f t="shared" si="159"/>
        <v>X-TRANFRT</v>
      </c>
      <c r="AD365" s="321" t="str">
        <f t="shared" si="160"/>
        <v>X-TRANFRS</v>
      </c>
      <c r="AE365" s="321" t="str">
        <f t="shared" si="161"/>
        <v>X-TRANFRX</v>
      </c>
      <c r="AF365" s="321" t="str">
        <f t="shared" si="162"/>
        <v>X-TRANFRE</v>
      </c>
      <c r="AG365" s="321">
        <f t="shared" si="153"/>
        <v>3</v>
      </c>
      <c r="AH365" s="321">
        <f>IF(B365&lt;&gt;"",IF(H365="x",VLOOKUP(I365,'AUX-NIV3'!B:AG,32,FALSE),0),"")</f>
        <v>0</v>
      </c>
      <c r="AI365" s="321" t="str">
        <f t="shared" si="163"/>
        <v>X-TRANFR</v>
      </c>
      <c r="AJ365" s="320"/>
      <c r="AK365" s="322">
        <f t="shared" si="154"/>
        <v>363</v>
      </c>
      <c r="AL365" s="323">
        <f t="shared" si="164"/>
        <v>365</v>
      </c>
      <c r="AM365" s="322">
        <f t="shared" si="165"/>
        <v>3</v>
      </c>
      <c r="AN365" s="380">
        <f>IF(AND(AH365&gt;0,B365&lt;&gt;""),VLOOKUP(I365,'AUX-NIV3'!$B:$AO,39,FALSE)*O365,0)</f>
        <v>0</v>
      </c>
      <c r="AO365" s="380">
        <f t="shared" si="155"/>
        <v>2.5000000000000001E-2</v>
      </c>
      <c r="AP365" s="380"/>
    </row>
    <row r="366" spans="2:42" ht="14.4" hidden="1" thickTop="1" thickBot="1">
      <c r="B366" s="324" t="s">
        <v>783</v>
      </c>
      <c r="C366" s="325" t="s">
        <v>786</v>
      </c>
      <c r="D366" s="326" t="s">
        <v>1160</v>
      </c>
      <c r="E366" s="327">
        <f>IF(B366&lt;&gt;"",SUMIF('AUX-NIV1'!I:I,'AUX-NIV2'!B366,'AUX-NIV1'!Q:Q),"")</f>
        <v>0</v>
      </c>
      <c r="F366" s="327">
        <f t="shared" si="145"/>
        <v>25.141870487134625</v>
      </c>
      <c r="G366" s="327">
        <f t="shared" si="146"/>
        <v>0</v>
      </c>
      <c r="H366" s="328" t="str">
        <f t="shared" si="166"/>
        <v>A</v>
      </c>
      <c r="I366" s="325" t="s">
        <v>1745</v>
      </c>
      <c r="J366" s="329" t="str">
        <f>IF(B366&lt;&gt;"",+VLOOKUP(I366,Recursos!C:F,2,FALSE),"")</f>
        <v>AYUDANTE</v>
      </c>
      <c r="K366" s="330" t="str">
        <f>IF(B366&lt;&gt;"",+VLOOKUP(I366,Recursos!C:F,3,FALSE),"")</f>
        <v>hh</v>
      </c>
      <c r="L366" s="327">
        <f>IF(B366&lt;&gt;"",+VLOOKUP(I366,Recursos!C:F,4,FALSE),"")</f>
        <v>422.48042769667234</v>
      </c>
      <c r="M366" s="331">
        <v>1</v>
      </c>
      <c r="N366" s="331">
        <v>1.25</v>
      </c>
      <c r="O366" s="332">
        <v>3.3E-3</v>
      </c>
      <c r="P366" s="333">
        <f t="shared" si="167"/>
        <v>1.3941854113990186</v>
      </c>
      <c r="Q366" s="327">
        <f t="shared" si="168"/>
        <v>0</v>
      </c>
      <c r="R366" s="334">
        <f t="shared" si="169"/>
        <v>0</v>
      </c>
      <c r="S366" s="335">
        <f t="shared" si="147"/>
        <v>3.3116873871346248</v>
      </c>
      <c r="T366" s="335">
        <f t="shared" si="148"/>
        <v>21.830183099999999</v>
      </c>
      <c r="U366" s="336">
        <f t="shared" si="149"/>
        <v>0</v>
      </c>
      <c r="V366" s="336">
        <f t="shared" si="150"/>
        <v>0</v>
      </c>
      <c r="W366" s="336">
        <f t="shared" si="151"/>
        <v>0</v>
      </c>
      <c r="X366" s="336">
        <f t="shared" si="152"/>
        <v>0</v>
      </c>
      <c r="Y366" s="320"/>
      <c r="Z366" s="321" t="str">
        <f t="shared" si="156"/>
        <v>X-DestapeA</v>
      </c>
      <c r="AA366" s="321" t="str">
        <f t="shared" si="157"/>
        <v>X-DestapeE</v>
      </c>
      <c r="AB366" s="321" t="str">
        <f t="shared" si="158"/>
        <v>X-DestapeM</v>
      </c>
      <c r="AC366" s="321" t="str">
        <f t="shared" si="159"/>
        <v>X-DestapeT</v>
      </c>
      <c r="AD366" s="321" t="str">
        <f t="shared" si="160"/>
        <v>X-DestapeS</v>
      </c>
      <c r="AE366" s="321" t="str">
        <f t="shared" si="161"/>
        <v>X-DestapeX</v>
      </c>
      <c r="AF366" s="321" t="str">
        <f t="shared" si="162"/>
        <v>X-DestapeA</v>
      </c>
      <c r="AG366" s="321">
        <f t="shared" si="153"/>
        <v>3</v>
      </c>
      <c r="AH366" s="321">
        <f>IF(B366&lt;&gt;"",IF(H366="x",VLOOKUP(I366,'AUX-NIV3'!B:AG,32,FALSE),0),"")</f>
        <v>0</v>
      </c>
      <c r="AI366" s="321" t="str">
        <f t="shared" si="163"/>
        <v>X-Destape</v>
      </c>
      <c r="AJ366" s="320"/>
      <c r="AK366" s="322">
        <f t="shared" si="154"/>
        <v>366</v>
      </c>
      <c r="AL366" s="323">
        <f t="shared" si="164"/>
        <v>368</v>
      </c>
      <c r="AM366" s="322">
        <f t="shared" si="165"/>
        <v>1</v>
      </c>
      <c r="AN366" s="380">
        <f>IF(AND(AH366&gt;0,B366&lt;&gt;""),VLOOKUP(I366,'AUX-NIV3'!$B:$AO,39,FALSE)*O366,0)</f>
        <v>0</v>
      </c>
      <c r="AO366" s="380">
        <f t="shared" si="155"/>
        <v>6.6E-3</v>
      </c>
      <c r="AP366" s="380"/>
    </row>
    <row r="367" spans="2:42" ht="14.4" hidden="1" thickTop="1" thickBot="1">
      <c r="B367" s="324" t="s">
        <v>783</v>
      </c>
      <c r="C367" s="325" t="s">
        <v>786</v>
      </c>
      <c r="D367" s="326" t="s">
        <v>1160</v>
      </c>
      <c r="E367" s="327">
        <f>IF(B367&lt;&gt;"",SUMIF('AUX-NIV1'!I:I,'AUX-NIV2'!B367,'AUX-NIV1'!Q:Q),"")</f>
        <v>0</v>
      </c>
      <c r="F367" s="327">
        <f t="shared" si="145"/>
        <v>25.141870487134625</v>
      </c>
      <c r="G367" s="327">
        <f t="shared" si="146"/>
        <v>0</v>
      </c>
      <c r="H367" s="328" t="str">
        <f t="shared" si="166"/>
        <v>A</v>
      </c>
      <c r="I367" s="325" t="s">
        <v>3311</v>
      </c>
      <c r="J367" s="329" t="str">
        <f>IF(B367&lt;&gt;"",+VLOOKUP(I367,Recursos!C:F,2,FALSE),"")</f>
        <v>OPER. EQUIPO</v>
      </c>
      <c r="K367" s="330" t="str">
        <f>IF(B367&lt;&gt;"",+VLOOKUP(I367,Recursos!C:F,3,FALSE),"")</f>
        <v>hh</v>
      </c>
      <c r="L367" s="327">
        <f>IF(B367&lt;&gt;"",+VLOOKUP(I367,Recursos!C:F,4,FALSE),"")</f>
        <v>581.06120476836554</v>
      </c>
      <c r="M367" s="331">
        <v>1</v>
      </c>
      <c r="N367" s="331">
        <v>1.25</v>
      </c>
      <c r="O367" s="332">
        <v>3.3E-3</v>
      </c>
      <c r="P367" s="333">
        <f t="shared" si="167"/>
        <v>1.9175019757356062</v>
      </c>
      <c r="Q367" s="327">
        <f t="shared" si="168"/>
        <v>0</v>
      </c>
      <c r="R367" s="334">
        <f t="shared" si="169"/>
        <v>0</v>
      </c>
      <c r="S367" s="335">
        <f t="shared" si="147"/>
        <v>3.3116873871346248</v>
      </c>
      <c r="T367" s="335">
        <f t="shared" si="148"/>
        <v>21.830183099999999</v>
      </c>
      <c r="U367" s="336">
        <f t="shared" si="149"/>
        <v>0</v>
      </c>
      <c r="V367" s="336">
        <f t="shared" si="150"/>
        <v>0</v>
      </c>
      <c r="W367" s="336">
        <f t="shared" si="151"/>
        <v>0</v>
      </c>
      <c r="X367" s="336">
        <f t="shared" si="152"/>
        <v>0</v>
      </c>
      <c r="Y367" s="320"/>
      <c r="Z367" s="321" t="str">
        <f t="shared" si="156"/>
        <v>X-DestapeA</v>
      </c>
      <c r="AA367" s="321" t="str">
        <f t="shared" si="157"/>
        <v>X-DestapeE</v>
      </c>
      <c r="AB367" s="321" t="str">
        <f t="shared" si="158"/>
        <v>X-DestapeM</v>
      </c>
      <c r="AC367" s="321" t="str">
        <f t="shared" si="159"/>
        <v>X-DestapeT</v>
      </c>
      <c r="AD367" s="321" t="str">
        <f t="shared" si="160"/>
        <v>X-DestapeS</v>
      </c>
      <c r="AE367" s="321" t="str">
        <f t="shared" si="161"/>
        <v>X-DestapeX</v>
      </c>
      <c r="AF367" s="321" t="str">
        <f t="shared" si="162"/>
        <v>X-DestapeA</v>
      </c>
      <c r="AG367" s="321">
        <f t="shared" si="153"/>
        <v>3</v>
      </c>
      <c r="AH367" s="321">
        <f>IF(B367&lt;&gt;"",IF(H367="x",VLOOKUP(I367,'AUX-NIV3'!B:AG,32,FALSE),0),"")</f>
        <v>0</v>
      </c>
      <c r="AI367" s="321" t="str">
        <f t="shared" si="163"/>
        <v>X-Destape</v>
      </c>
      <c r="AJ367" s="320"/>
      <c r="AK367" s="322">
        <f t="shared" si="154"/>
        <v>366</v>
      </c>
      <c r="AL367" s="323">
        <f t="shared" si="164"/>
        <v>368</v>
      </c>
      <c r="AM367" s="322">
        <f t="shared" si="165"/>
        <v>2</v>
      </c>
      <c r="AN367" s="380">
        <f>IF(AND(AH367&gt;0,B367&lt;&gt;""),VLOOKUP(I367,'AUX-NIV3'!$B:$AO,39,FALSE)*O367,0)</f>
        <v>0</v>
      </c>
      <c r="AO367" s="380">
        <f t="shared" si="155"/>
        <v>6.6E-3</v>
      </c>
      <c r="AP367" s="380"/>
    </row>
    <row r="368" spans="2:42" ht="14.4" hidden="1" thickTop="1" thickBot="1">
      <c r="B368" s="324" t="s">
        <v>783</v>
      </c>
      <c r="C368" s="325" t="s">
        <v>786</v>
      </c>
      <c r="D368" s="326" t="s">
        <v>1160</v>
      </c>
      <c r="E368" s="327">
        <f>IF(B368&lt;&gt;"",SUMIF('AUX-NIV1'!I:I,'AUX-NIV2'!B368,'AUX-NIV1'!Q:Q),"")</f>
        <v>0</v>
      </c>
      <c r="F368" s="327">
        <f t="shared" si="145"/>
        <v>25.141870487134625</v>
      </c>
      <c r="G368" s="327">
        <f t="shared" si="146"/>
        <v>0</v>
      </c>
      <c r="H368" s="328" t="str">
        <f t="shared" si="166"/>
        <v>E</v>
      </c>
      <c r="I368" s="325" t="s">
        <v>1537</v>
      </c>
      <c r="J368" s="329" t="str">
        <f>IF(B368&lt;&gt;"",+VLOOKUP(I368,Recursos!C:F,2,FALSE),"")</f>
        <v xml:space="preserve">TOPADORA SIN ESC.(34 T) </v>
      </c>
      <c r="K368" s="330" t="str">
        <f>IF(B368&lt;&gt;"",+VLOOKUP(I368,Recursos!C:F,3,FALSE),"")</f>
        <v>HR</v>
      </c>
      <c r="L368" s="327">
        <f>IF(B368&lt;&gt;"",+VLOOKUP(I368,Recursos!C:F,4,FALSE),"")</f>
        <v>6615.2070000000003</v>
      </c>
      <c r="M368" s="331">
        <v>1</v>
      </c>
      <c r="N368" s="331">
        <v>1</v>
      </c>
      <c r="O368" s="332">
        <v>3.3E-3</v>
      </c>
      <c r="P368" s="333">
        <f t="shared" si="167"/>
        <v>21.830183099999999</v>
      </c>
      <c r="Q368" s="327">
        <f t="shared" si="168"/>
        <v>0</v>
      </c>
      <c r="R368" s="334">
        <f t="shared" si="169"/>
        <v>0</v>
      </c>
      <c r="S368" s="335">
        <f t="shared" si="147"/>
        <v>3.3116873871346248</v>
      </c>
      <c r="T368" s="335">
        <f t="shared" si="148"/>
        <v>21.830183099999999</v>
      </c>
      <c r="U368" s="336">
        <f t="shared" si="149"/>
        <v>0</v>
      </c>
      <c r="V368" s="336">
        <f t="shared" si="150"/>
        <v>0</v>
      </c>
      <c r="W368" s="336">
        <f t="shared" si="151"/>
        <v>0</v>
      </c>
      <c r="X368" s="336">
        <f t="shared" si="152"/>
        <v>0</v>
      </c>
      <c r="Y368" s="320"/>
      <c r="Z368" s="321" t="str">
        <f t="shared" si="156"/>
        <v>X-DestapeA</v>
      </c>
      <c r="AA368" s="321" t="str">
        <f t="shared" si="157"/>
        <v>X-DestapeE</v>
      </c>
      <c r="AB368" s="321" t="str">
        <f t="shared" si="158"/>
        <v>X-DestapeM</v>
      </c>
      <c r="AC368" s="321" t="str">
        <f t="shared" si="159"/>
        <v>X-DestapeT</v>
      </c>
      <c r="AD368" s="321" t="str">
        <f t="shared" si="160"/>
        <v>X-DestapeS</v>
      </c>
      <c r="AE368" s="321" t="str">
        <f t="shared" si="161"/>
        <v>X-DestapeX</v>
      </c>
      <c r="AF368" s="321" t="str">
        <f t="shared" si="162"/>
        <v>X-DestapeE</v>
      </c>
      <c r="AG368" s="321">
        <f t="shared" si="153"/>
        <v>3</v>
      </c>
      <c r="AH368" s="321">
        <f>IF(B368&lt;&gt;"",IF(H368="x",VLOOKUP(I368,'AUX-NIV3'!B:AG,32,FALSE),0),"")</f>
        <v>0</v>
      </c>
      <c r="AI368" s="321" t="str">
        <f t="shared" si="163"/>
        <v>X-Destape</v>
      </c>
      <c r="AJ368" s="320"/>
      <c r="AK368" s="322">
        <f t="shared" si="154"/>
        <v>366</v>
      </c>
      <c r="AL368" s="323">
        <f t="shared" si="164"/>
        <v>368</v>
      </c>
      <c r="AM368" s="322">
        <f t="shared" si="165"/>
        <v>3</v>
      </c>
      <c r="AN368" s="380">
        <f>IF(AND(AH368&gt;0,B368&lt;&gt;""),VLOOKUP(I368,'AUX-NIV3'!$B:$AO,39,FALSE)*O368,0)</f>
        <v>0</v>
      </c>
      <c r="AO368" s="380">
        <f t="shared" si="155"/>
        <v>6.6E-3</v>
      </c>
      <c r="AP368" s="380"/>
    </row>
    <row r="369" spans="2:42" ht="14.4" hidden="1" thickTop="1" thickBot="1">
      <c r="B369" s="324" t="s">
        <v>787</v>
      </c>
      <c r="C369" s="325" t="s">
        <v>789</v>
      </c>
      <c r="D369" s="326" t="s">
        <v>477</v>
      </c>
      <c r="E369" s="327">
        <f>IF(B369&lt;&gt;"",SUMIF('AUX-NIV1'!I:I,'AUX-NIV2'!B369,'AUX-NIV1'!Q:Q),"")</f>
        <v>0</v>
      </c>
      <c r="F369" s="327" t="e">
        <f t="shared" si="145"/>
        <v>#N/A</v>
      </c>
      <c r="G369" s="327" t="e">
        <f t="shared" si="146"/>
        <v>#N/A</v>
      </c>
      <c r="H369" s="328" t="str">
        <f t="shared" si="166"/>
        <v>E</v>
      </c>
      <c r="I369" s="325" t="s">
        <v>1573</v>
      </c>
      <c r="J369" s="329" t="str">
        <f>IF(B369&lt;&gt;"",+VLOOKUP(I369,Recursos!C:F,2,FALSE),"")</f>
        <v>TRACK DRILL HIDRAULICO (15-25 M/H)</v>
      </c>
      <c r="K369" s="330" t="str">
        <f>IF(B369&lt;&gt;"",+VLOOKUP(I369,Recursos!C:F,3,FALSE),"")</f>
        <v>HR</v>
      </c>
      <c r="L369" s="327">
        <f>IF(B369&lt;&gt;"",+VLOOKUP(I369,Recursos!C:F,4,FALSE),"")</f>
        <v>4532.7802909090915</v>
      </c>
      <c r="M369" s="331">
        <v>1</v>
      </c>
      <c r="N369" s="331">
        <v>1</v>
      </c>
      <c r="O369" s="332">
        <v>0.05</v>
      </c>
      <c r="P369" s="333">
        <f t="shared" si="167"/>
        <v>226.63901454545459</v>
      </c>
      <c r="Q369" s="327">
        <f t="shared" si="168"/>
        <v>0</v>
      </c>
      <c r="R369" s="334">
        <f t="shared" si="169"/>
        <v>0</v>
      </c>
      <c r="S369" s="335" t="e">
        <f t="shared" si="147"/>
        <v>#N/A</v>
      </c>
      <c r="T369" s="335">
        <f t="shared" si="148"/>
        <v>226.63901454545459</v>
      </c>
      <c r="U369" s="336">
        <f t="shared" si="149"/>
        <v>0</v>
      </c>
      <c r="V369" s="336">
        <f t="shared" si="150"/>
        <v>0</v>
      </c>
      <c r="W369" s="336">
        <f t="shared" si="151"/>
        <v>0</v>
      </c>
      <c r="X369" s="336">
        <f t="shared" si="152"/>
        <v>4.0424499999999997</v>
      </c>
      <c r="Y369" s="320"/>
      <c r="Z369" s="321" t="str">
        <f t="shared" si="156"/>
        <v>X-Perf642A</v>
      </c>
      <c r="AA369" s="321" t="str">
        <f t="shared" si="157"/>
        <v>X-Perf642E</v>
      </c>
      <c r="AB369" s="321" t="str">
        <f t="shared" si="158"/>
        <v>X-Perf642M</v>
      </c>
      <c r="AC369" s="321" t="str">
        <f t="shared" si="159"/>
        <v>X-Perf642T</v>
      </c>
      <c r="AD369" s="321" t="str">
        <f t="shared" si="160"/>
        <v>X-Perf642S</v>
      </c>
      <c r="AE369" s="321" t="str">
        <f t="shared" si="161"/>
        <v>X-Perf642X</v>
      </c>
      <c r="AF369" s="321" t="str">
        <f t="shared" si="162"/>
        <v>X-Perf642E</v>
      </c>
      <c r="AG369" s="321">
        <f t="shared" si="153"/>
        <v>4</v>
      </c>
      <c r="AH369" s="321">
        <f>IF(B369&lt;&gt;"",IF(H369="x",VLOOKUP(I369,'AUX-NIV3'!B:AG,32,FALSE),0),"")</f>
        <v>0</v>
      </c>
      <c r="AI369" s="321" t="str">
        <f t="shared" si="163"/>
        <v>X-Perf642</v>
      </c>
      <c r="AJ369" s="320"/>
      <c r="AK369" s="322">
        <f t="shared" si="154"/>
        <v>369</v>
      </c>
      <c r="AL369" s="323">
        <f t="shared" si="164"/>
        <v>372</v>
      </c>
      <c r="AM369" s="322">
        <f t="shared" si="165"/>
        <v>1</v>
      </c>
      <c r="AN369" s="380">
        <f>IF(AND(AH369&gt;0,B369&lt;&gt;""),VLOOKUP(I369,'AUX-NIV3'!$B:$AO,39,FALSE)*O369,0)</f>
        <v>0</v>
      </c>
      <c r="AO369" s="380">
        <f t="shared" si="155"/>
        <v>0.1</v>
      </c>
      <c r="AP369" s="380"/>
    </row>
    <row r="370" spans="2:42" ht="14.4" hidden="1" thickTop="1" thickBot="1">
      <c r="B370" s="324" t="s">
        <v>787</v>
      </c>
      <c r="C370" s="325" t="s">
        <v>789</v>
      </c>
      <c r="D370" s="326" t="s">
        <v>477</v>
      </c>
      <c r="E370" s="327">
        <f>IF(B370&lt;&gt;"",SUMIF('AUX-NIV1'!I:I,'AUX-NIV2'!B370,'AUX-NIV1'!Q:Q),"")</f>
        <v>0</v>
      </c>
      <c r="F370" s="327" t="e">
        <f t="shared" si="145"/>
        <v>#N/A</v>
      </c>
      <c r="G370" s="327" t="e">
        <f t="shared" si="146"/>
        <v>#N/A</v>
      </c>
      <c r="H370" s="328" t="str">
        <f t="shared" si="166"/>
        <v>A</v>
      </c>
      <c r="I370" s="325" t="s">
        <v>3314</v>
      </c>
      <c r="J370" s="329" t="e">
        <f>IF(B370&lt;&gt;"",+VLOOKUP(I370,Recursos!C:F,2,FALSE),"")</f>
        <v>#N/A</v>
      </c>
      <c r="K370" s="330" t="e">
        <f>IF(B370&lt;&gt;"",+VLOOKUP(I370,Recursos!C:F,3,FALSE),"")</f>
        <v>#N/A</v>
      </c>
      <c r="L370" s="327" t="e">
        <f>IF(B370&lt;&gt;"",+VLOOKUP(I370,Recursos!C:F,4,FALSE),"")</f>
        <v>#N/A</v>
      </c>
      <c r="M370" s="331">
        <v>1</v>
      </c>
      <c r="N370" s="331">
        <v>1.4</v>
      </c>
      <c r="O370" s="332">
        <v>0.05</v>
      </c>
      <c r="P370" s="333" t="e">
        <f t="shared" si="167"/>
        <v>#N/A</v>
      </c>
      <c r="Q370" s="327">
        <f t="shared" si="168"/>
        <v>0</v>
      </c>
      <c r="R370" s="334" t="e">
        <f t="shared" si="169"/>
        <v>#N/A</v>
      </c>
      <c r="S370" s="335" t="e">
        <f t="shared" si="147"/>
        <v>#N/A</v>
      </c>
      <c r="T370" s="335">
        <f t="shared" si="148"/>
        <v>226.63901454545459</v>
      </c>
      <c r="U370" s="336">
        <f t="shared" si="149"/>
        <v>0</v>
      </c>
      <c r="V370" s="336">
        <f t="shared" si="150"/>
        <v>0</v>
      </c>
      <c r="W370" s="336">
        <f t="shared" si="151"/>
        <v>0</v>
      </c>
      <c r="X370" s="336">
        <f t="shared" si="152"/>
        <v>4.0424499999999997</v>
      </c>
      <c r="Y370" s="320"/>
      <c r="Z370" s="321" t="str">
        <f t="shared" si="156"/>
        <v>X-Perf642A</v>
      </c>
      <c r="AA370" s="321" t="str">
        <f t="shared" si="157"/>
        <v>X-Perf642E</v>
      </c>
      <c r="AB370" s="321" t="str">
        <f t="shared" si="158"/>
        <v>X-Perf642M</v>
      </c>
      <c r="AC370" s="321" t="str">
        <f t="shared" si="159"/>
        <v>X-Perf642T</v>
      </c>
      <c r="AD370" s="321" t="str">
        <f t="shared" si="160"/>
        <v>X-Perf642S</v>
      </c>
      <c r="AE370" s="321" t="str">
        <f t="shared" si="161"/>
        <v>X-Perf642X</v>
      </c>
      <c r="AF370" s="321" t="str">
        <f t="shared" si="162"/>
        <v>X-Perf642A</v>
      </c>
      <c r="AG370" s="321">
        <f t="shared" si="153"/>
        <v>4</v>
      </c>
      <c r="AH370" s="321">
        <f>IF(B370&lt;&gt;"",IF(H370="x",VLOOKUP(I370,'AUX-NIV3'!B:AG,32,FALSE),0),"")</f>
        <v>0</v>
      </c>
      <c r="AI370" s="321" t="str">
        <f t="shared" si="163"/>
        <v>X-Perf642</v>
      </c>
      <c r="AJ370" s="320"/>
      <c r="AK370" s="322">
        <f t="shared" si="154"/>
        <v>369</v>
      </c>
      <c r="AL370" s="323">
        <f t="shared" si="164"/>
        <v>372</v>
      </c>
      <c r="AM370" s="322">
        <f t="shared" si="165"/>
        <v>2</v>
      </c>
      <c r="AN370" s="380">
        <f>IF(AND(AH370&gt;0,B370&lt;&gt;""),VLOOKUP(I370,'AUX-NIV3'!$B:$AO,39,FALSE)*O370,0)</f>
        <v>0</v>
      </c>
      <c r="AO370" s="380">
        <f t="shared" si="155"/>
        <v>0.1</v>
      </c>
      <c r="AP370" s="380"/>
    </row>
    <row r="371" spans="2:42" ht="14.4" hidden="1" thickTop="1" thickBot="1">
      <c r="B371" s="324" t="s">
        <v>787</v>
      </c>
      <c r="C371" s="325" t="s">
        <v>789</v>
      </c>
      <c r="D371" s="326" t="s">
        <v>477</v>
      </c>
      <c r="E371" s="327">
        <f>IF(B371&lt;&gt;"",SUMIF('AUX-NIV1'!I:I,'AUX-NIV2'!B371,'AUX-NIV1'!Q:Q),"")</f>
        <v>0</v>
      </c>
      <c r="F371" s="327" t="e">
        <f t="shared" si="145"/>
        <v>#N/A</v>
      </c>
      <c r="G371" s="327" t="e">
        <f t="shared" si="146"/>
        <v>#N/A</v>
      </c>
      <c r="H371" s="328" t="str">
        <f t="shared" si="166"/>
        <v>A</v>
      </c>
      <c r="I371" s="325" t="s">
        <v>3311</v>
      </c>
      <c r="J371" s="329" t="str">
        <f>IF(B371&lt;&gt;"",+VLOOKUP(I371,Recursos!C:F,2,FALSE),"")</f>
        <v>OPER. EQUIPO</v>
      </c>
      <c r="K371" s="330" t="str">
        <f>IF(B371&lt;&gt;"",+VLOOKUP(I371,Recursos!C:F,3,FALSE),"")</f>
        <v>hh</v>
      </c>
      <c r="L371" s="327">
        <f>IF(B371&lt;&gt;"",+VLOOKUP(I371,Recursos!C:F,4,FALSE),"")</f>
        <v>581.06120476836554</v>
      </c>
      <c r="M371" s="331">
        <v>1</v>
      </c>
      <c r="N371" s="331">
        <v>1.4</v>
      </c>
      <c r="O371" s="332">
        <v>0.05</v>
      </c>
      <c r="P371" s="333">
        <f t="shared" si="167"/>
        <v>29.053060238418279</v>
      </c>
      <c r="Q371" s="327">
        <f t="shared" si="168"/>
        <v>0</v>
      </c>
      <c r="R371" s="334">
        <f t="shared" si="169"/>
        <v>0</v>
      </c>
      <c r="S371" s="335" t="e">
        <f t="shared" si="147"/>
        <v>#N/A</v>
      </c>
      <c r="T371" s="335">
        <f t="shared" si="148"/>
        <v>226.63901454545459</v>
      </c>
      <c r="U371" s="336">
        <f t="shared" si="149"/>
        <v>0</v>
      </c>
      <c r="V371" s="336">
        <f t="shared" si="150"/>
        <v>0</v>
      </c>
      <c r="W371" s="336">
        <f t="shared" si="151"/>
        <v>0</v>
      </c>
      <c r="X371" s="336">
        <f t="shared" si="152"/>
        <v>4.0424499999999997</v>
      </c>
      <c r="Y371" s="320"/>
      <c r="Z371" s="321" t="str">
        <f t="shared" si="156"/>
        <v>X-Perf642A</v>
      </c>
      <c r="AA371" s="321" t="str">
        <f t="shared" si="157"/>
        <v>X-Perf642E</v>
      </c>
      <c r="AB371" s="321" t="str">
        <f t="shared" si="158"/>
        <v>X-Perf642M</v>
      </c>
      <c r="AC371" s="321" t="str">
        <f t="shared" si="159"/>
        <v>X-Perf642T</v>
      </c>
      <c r="AD371" s="321" t="str">
        <f t="shared" si="160"/>
        <v>X-Perf642S</v>
      </c>
      <c r="AE371" s="321" t="str">
        <f t="shared" si="161"/>
        <v>X-Perf642X</v>
      </c>
      <c r="AF371" s="321" t="str">
        <f t="shared" si="162"/>
        <v>X-Perf642A</v>
      </c>
      <c r="AG371" s="321">
        <f t="shared" si="153"/>
        <v>4</v>
      </c>
      <c r="AH371" s="321">
        <f>IF(B371&lt;&gt;"",IF(H371="x",VLOOKUP(I371,'AUX-NIV3'!B:AG,32,FALSE),0),"")</f>
        <v>0</v>
      </c>
      <c r="AI371" s="321" t="str">
        <f t="shared" si="163"/>
        <v>X-Perf642</v>
      </c>
      <c r="AJ371" s="320"/>
      <c r="AK371" s="322">
        <f t="shared" si="154"/>
        <v>369</v>
      </c>
      <c r="AL371" s="323">
        <f t="shared" si="164"/>
        <v>372</v>
      </c>
      <c r="AM371" s="322">
        <f t="shared" si="165"/>
        <v>3</v>
      </c>
      <c r="AN371" s="380">
        <f>IF(AND(AH371&gt;0,B371&lt;&gt;""),VLOOKUP(I371,'AUX-NIV3'!$B:$AO,39,FALSE)*O371,0)</f>
        <v>0</v>
      </c>
      <c r="AO371" s="380">
        <f t="shared" si="155"/>
        <v>0.1</v>
      </c>
      <c r="AP371" s="380"/>
    </row>
    <row r="372" spans="2:42" ht="14.4" hidden="1" thickTop="1" thickBot="1">
      <c r="B372" s="324" t="s">
        <v>787</v>
      </c>
      <c r="C372" s="325" t="s">
        <v>789</v>
      </c>
      <c r="D372" s="326" t="s">
        <v>477</v>
      </c>
      <c r="E372" s="327">
        <f>IF(B372&lt;&gt;"",SUMIF('AUX-NIV1'!I:I,'AUX-NIV2'!B372,'AUX-NIV1'!Q:Q),"")</f>
        <v>0</v>
      </c>
      <c r="F372" s="327" t="e">
        <f t="shared" si="145"/>
        <v>#N/A</v>
      </c>
      <c r="G372" s="327" t="e">
        <f t="shared" si="146"/>
        <v>#N/A</v>
      </c>
      <c r="H372" s="328" t="str">
        <f t="shared" si="166"/>
        <v>X</v>
      </c>
      <c r="I372" s="325" t="s">
        <v>2921</v>
      </c>
      <c r="J372" s="329" t="str">
        <f>IF(B372&lt;&gt;"",+VLOOKUP(I372,Recursos!C:F,2,FALSE),"")</f>
        <v>Consumibles de perforacion</v>
      </c>
      <c r="K372" s="330" t="str">
        <f>IF(B372&lt;&gt;"",+VLOOKUP(I372,Recursos!C:F,3,FALSE),"")</f>
        <v>m</v>
      </c>
      <c r="L372" s="327">
        <f>IF(B372&lt;&gt;"",+VLOOKUP(I372,Recursos!C:F,4,FALSE),"")</f>
        <v>0.80848999999999993</v>
      </c>
      <c r="M372" s="331">
        <v>1</v>
      </c>
      <c r="N372" s="331">
        <v>1</v>
      </c>
      <c r="O372" s="332">
        <v>5</v>
      </c>
      <c r="P372" s="333">
        <f t="shared" si="167"/>
        <v>4.0424499999999997</v>
      </c>
      <c r="Q372" s="327">
        <f t="shared" si="168"/>
        <v>0</v>
      </c>
      <c r="R372" s="334">
        <f t="shared" si="169"/>
        <v>0</v>
      </c>
      <c r="S372" s="335" t="e">
        <f t="shared" si="147"/>
        <v>#N/A</v>
      </c>
      <c r="T372" s="335">
        <f t="shared" si="148"/>
        <v>226.63901454545459</v>
      </c>
      <c r="U372" s="336">
        <f t="shared" si="149"/>
        <v>0</v>
      </c>
      <c r="V372" s="336">
        <f t="shared" si="150"/>
        <v>0</v>
      </c>
      <c r="W372" s="336">
        <f t="shared" si="151"/>
        <v>0</v>
      </c>
      <c r="X372" s="336">
        <f t="shared" si="152"/>
        <v>4.0424499999999997</v>
      </c>
      <c r="Y372" s="320"/>
      <c r="Z372" s="321" t="str">
        <f t="shared" si="156"/>
        <v>X-Perf642A</v>
      </c>
      <c r="AA372" s="321" t="str">
        <f t="shared" si="157"/>
        <v>X-Perf642E</v>
      </c>
      <c r="AB372" s="321" t="str">
        <f t="shared" si="158"/>
        <v>X-Perf642M</v>
      </c>
      <c r="AC372" s="321" t="str">
        <f t="shared" si="159"/>
        <v>X-Perf642T</v>
      </c>
      <c r="AD372" s="321" t="str">
        <f t="shared" si="160"/>
        <v>X-Perf642S</v>
      </c>
      <c r="AE372" s="321" t="str">
        <f t="shared" si="161"/>
        <v>X-Perf642X</v>
      </c>
      <c r="AF372" s="321" t="str">
        <f t="shared" si="162"/>
        <v>X-Perf642X</v>
      </c>
      <c r="AG372" s="321">
        <f t="shared" si="153"/>
        <v>4</v>
      </c>
      <c r="AH372" s="321">
        <f>IF(B372&lt;&gt;"",IF(H372="x",VLOOKUP(I372,'AUX-NIV3'!B:AG,32,FALSE),0),"")</f>
        <v>5</v>
      </c>
      <c r="AI372" s="321" t="str">
        <f t="shared" si="163"/>
        <v>X-Perf642</v>
      </c>
      <c r="AJ372" s="320"/>
      <c r="AK372" s="322">
        <f t="shared" si="154"/>
        <v>369</v>
      </c>
      <c r="AL372" s="323">
        <f t="shared" si="164"/>
        <v>372</v>
      </c>
      <c r="AM372" s="322">
        <f t="shared" si="165"/>
        <v>4</v>
      </c>
      <c r="AN372" s="380">
        <f>IF(AND(AH372&gt;0,B372&lt;&gt;""),VLOOKUP(I372,'AUX-NIV3'!$B:$AO,39,FALSE)*O372,0)</f>
        <v>0</v>
      </c>
      <c r="AO372" s="380">
        <f t="shared" si="155"/>
        <v>0.1</v>
      </c>
      <c r="AP372" s="380"/>
    </row>
    <row r="373" spans="2:42" ht="14.4" hidden="1" thickTop="1" thickBot="1">
      <c r="B373" s="324" t="s">
        <v>790</v>
      </c>
      <c r="C373" s="325" t="s">
        <v>791</v>
      </c>
      <c r="D373" s="326" t="s">
        <v>392</v>
      </c>
      <c r="E373" s="327">
        <f>IF(B373&lt;&gt;"",SUMIF('AUX-NIV1'!I:I,'AUX-NIV2'!B373,'AUX-NIV1'!Q:Q),"")</f>
        <v>0</v>
      </c>
      <c r="F373" s="327" t="e">
        <f t="shared" si="145"/>
        <v>#N/A</v>
      </c>
      <c r="G373" s="327" t="e">
        <f t="shared" si="146"/>
        <v>#N/A</v>
      </c>
      <c r="H373" s="328" t="str">
        <f t="shared" si="166"/>
        <v>A</v>
      </c>
      <c r="I373" s="325" t="s">
        <v>3310</v>
      </c>
      <c r="J373" s="329" t="str">
        <f>IF(B373&lt;&gt;"",+VLOOKUP(I373,Recursos!C:F,2,FALSE),"")</f>
        <v>OFICIAL ESPECIALIZADO</v>
      </c>
      <c r="K373" s="330" t="str">
        <f>IF(B373&lt;&gt;"",+VLOOKUP(I373,Recursos!C:F,3,FALSE),"")</f>
        <v>hh</v>
      </c>
      <c r="L373" s="327">
        <f>IF(B373&lt;&gt;"",+VLOOKUP(I373,Recursos!C:F,4,FALSE),"")</f>
        <v>581.06120476836554</v>
      </c>
      <c r="M373" s="331">
        <v>1</v>
      </c>
      <c r="N373" s="331">
        <v>1</v>
      </c>
      <c r="O373" s="332">
        <v>2</v>
      </c>
      <c r="P373" s="333">
        <f t="shared" si="167"/>
        <v>1162.1224095367311</v>
      </c>
      <c r="Q373" s="327">
        <f t="shared" si="168"/>
        <v>0</v>
      </c>
      <c r="R373" s="334">
        <f t="shared" si="169"/>
        <v>0</v>
      </c>
      <c r="S373" s="335" t="e">
        <f t="shared" si="147"/>
        <v>#N/A</v>
      </c>
      <c r="T373" s="335">
        <f t="shared" si="148"/>
        <v>0</v>
      </c>
      <c r="U373" s="336">
        <f t="shared" si="149"/>
        <v>0</v>
      </c>
      <c r="V373" s="336">
        <f t="shared" si="150"/>
        <v>0</v>
      </c>
      <c r="W373" s="336">
        <f t="shared" si="151"/>
        <v>0</v>
      </c>
      <c r="X373" s="336">
        <f t="shared" si="152"/>
        <v>0</v>
      </c>
      <c r="Y373" s="320"/>
      <c r="Z373" s="321" t="str">
        <f t="shared" si="156"/>
        <v>X-CARGAA</v>
      </c>
      <c r="AA373" s="321" t="str">
        <f t="shared" si="157"/>
        <v>X-CARGAE</v>
      </c>
      <c r="AB373" s="321" t="str">
        <f t="shared" si="158"/>
        <v>X-CARGAM</v>
      </c>
      <c r="AC373" s="321" t="str">
        <f t="shared" si="159"/>
        <v>X-CARGAT</v>
      </c>
      <c r="AD373" s="321" t="str">
        <f t="shared" si="160"/>
        <v>X-CARGAS</v>
      </c>
      <c r="AE373" s="321" t="str">
        <f t="shared" si="161"/>
        <v>X-CARGAX</v>
      </c>
      <c r="AF373" s="321" t="str">
        <f t="shared" si="162"/>
        <v>X-CARGAA</v>
      </c>
      <c r="AG373" s="321">
        <f t="shared" si="153"/>
        <v>3</v>
      </c>
      <c r="AH373" s="321">
        <f>IF(B373&lt;&gt;"",IF(H373="x",VLOOKUP(I373,'AUX-NIV3'!B:AG,32,FALSE),0),"")</f>
        <v>0</v>
      </c>
      <c r="AI373" s="321" t="str">
        <f t="shared" si="163"/>
        <v>X-CARGA</v>
      </c>
      <c r="AJ373" s="320"/>
      <c r="AK373" s="322">
        <f t="shared" si="154"/>
        <v>373</v>
      </c>
      <c r="AL373" s="323">
        <f t="shared" si="164"/>
        <v>375</v>
      </c>
      <c r="AM373" s="322">
        <f t="shared" si="165"/>
        <v>1</v>
      </c>
      <c r="AN373" s="380">
        <f>IF(AND(AH373&gt;0,B373&lt;&gt;""),VLOOKUP(I373,'AUX-NIV3'!$B:$AO,39,FALSE)*O373,0)</f>
        <v>0</v>
      </c>
      <c r="AO373" s="380">
        <f t="shared" si="155"/>
        <v>8</v>
      </c>
      <c r="AP373" s="380"/>
    </row>
    <row r="374" spans="2:42" ht="14.4" hidden="1" thickTop="1" thickBot="1">
      <c r="B374" s="324" t="s">
        <v>790</v>
      </c>
      <c r="C374" s="325" t="s">
        <v>791</v>
      </c>
      <c r="D374" s="326" t="s">
        <v>392</v>
      </c>
      <c r="E374" s="327">
        <f>IF(B374&lt;&gt;"",SUMIF('AUX-NIV1'!I:I,'AUX-NIV2'!B374,'AUX-NIV1'!Q:Q),"")</f>
        <v>0</v>
      </c>
      <c r="F374" s="327" t="e">
        <f t="shared" si="145"/>
        <v>#N/A</v>
      </c>
      <c r="G374" s="327" t="e">
        <f t="shared" si="146"/>
        <v>#N/A</v>
      </c>
      <c r="H374" s="328" t="str">
        <f t="shared" si="166"/>
        <v>A</v>
      </c>
      <c r="I374" s="325" t="s">
        <v>1746</v>
      </c>
      <c r="J374" s="329" t="str">
        <f>IF(B374&lt;&gt;"",+VLOOKUP(I374,Recursos!C:F,2,FALSE),"")</f>
        <v>OFICIAL</v>
      </c>
      <c r="K374" s="330" t="str">
        <f>IF(B374&lt;&gt;"",+VLOOKUP(I374,Recursos!C:F,3,FALSE),"")</f>
        <v>hh</v>
      </c>
      <c r="L374" s="327">
        <f>IF(B374&lt;&gt;"",+VLOOKUP(I374,Recursos!C:F,4,FALSE),"")</f>
        <v>496.91595439275824</v>
      </c>
      <c r="M374" s="331">
        <v>1</v>
      </c>
      <c r="N374" s="331">
        <v>1</v>
      </c>
      <c r="O374" s="332">
        <v>2</v>
      </c>
      <c r="P374" s="333">
        <f t="shared" si="167"/>
        <v>993.83190878551648</v>
      </c>
      <c r="Q374" s="327">
        <f t="shared" si="168"/>
        <v>0</v>
      </c>
      <c r="R374" s="334">
        <f t="shared" si="169"/>
        <v>0</v>
      </c>
      <c r="S374" s="335" t="e">
        <f t="shared" si="147"/>
        <v>#N/A</v>
      </c>
      <c r="T374" s="335">
        <f t="shared" si="148"/>
        <v>0</v>
      </c>
      <c r="U374" s="336">
        <f t="shared" si="149"/>
        <v>0</v>
      </c>
      <c r="V374" s="336">
        <f t="shared" si="150"/>
        <v>0</v>
      </c>
      <c r="W374" s="336">
        <f t="shared" si="151"/>
        <v>0</v>
      </c>
      <c r="X374" s="336">
        <f t="shared" si="152"/>
        <v>0</v>
      </c>
      <c r="Y374" s="320"/>
      <c r="Z374" s="321" t="str">
        <f t="shared" si="156"/>
        <v>X-CARGAA</v>
      </c>
      <c r="AA374" s="321" t="str">
        <f t="shared" si="157"/>
        <v>X-CARGAE</v>
      </c>
      <c r="AB374" s="321" t="str">
        <f t="shared" si="158"/>
        <v>X-CARGAM</v>
      </c>
      <c r="AC374" s="321" t="str">
        <f t="shared" si="159"/>
        <v>X-CARGAT</v>
      </c>
      <c r="AD374" s="321" t="str">
        <f t="shared" si="160"/>
        <v>X-CARGAS</v>
      </c>
      <c r="AE374" s="321" t="str">
        <f t="shared" si="161"/>
        <v>X-CARGAX</v>
      </c>
      <c r="AF374" s="321" t="str">
        <f t="shared" si="162"/>
        <v>X-CARGAA</v>
      </c>
      <c r="AG374" s="321">
        <f t="shared" si="153"/>
        <v>3</v>
      </c>
      <c r="AH374" s="321">
        <f>IF(B374&lt;&gt;"",IF(H374="x",VLOOKUP(I374,'AUX-NIV3'!B:AG,32,FALSE),0),"")</f>
        <v>0</v>
      </c>
      <c r="AI374" s="321" t="str">
        <f t="shared" si="163"/>
        <v>X-CARGA</v>
      </c>
      <c r="AJ374" s="320"/>
      <c r="AK374" s="322">
        <f t="shared" si="154"/>
        <v>373</v>
      </c>
      <c r="AL374" s="323">
        <f t="shared" si="164"/>
        <v>375</v>
      </c>
      <c r="AM374" s="322">
        <f t="shared" si="165"/>
        <v>2</v>
      </c>
      <c r="AN374" s="380">
        <f>IF(AND(AH374&gt;0,B374&lt;&gt;""),VLOOKUP(I374,'AUX-NIV3'!$B:$AO,39,FALSE)*O374,0)</f>
        <v>0</v>
      </c>
      <c r="AO374" s="380">
        <f t="shared" si="155"/>
        <v>8</v>
      </c>
      <c r="AP374" s="380"/>
    </row>
    <row r="375" spans="2:42" ht="14.4" hidden="1" thickTop="1" thickBot="1">
      <c r="B375" s="324" t="s">
        <v>790</v>
      </c>
      <c r="C375" s="325" t="s">
        <v>791</v>
      </c>
      <c r="D375" s="326" t="s">
        <v>392</v>
      </c>
      <c r="E375" s="327">
        <f>IF(B375&lt;&gt;"",SUMIF('AUX-NIV1'!I:I,'AUX-NIV2'!B375,'AUX-NIV1'!Q:Q),"")</f>
        <v>0</v>
      </c>
      <c r="F375" s="327" t="e">
        <f t="shared" si="145"/>
        <v>#N/A</v>
      </c>
      <c r="G375" s="327" t="e">
        <f t="shared" si="146"/>
        <v>#N/A</v>
      </c>
      <c r="H375" s="328" t="str">
        <f t="shared" si="166"/>
        <v>A</v>
      </c>
      <c r="I375" s="325" t="s">
        <v>3314</v>
      </c>
      <c r="J375" s="329" t="e">
        <f>IF(B375&lt;&gt;"",+VLOOKUP(I375,Recursos!C:F,2,FALSE),"")</f>
        <v>#N/A</v>
      </c>
      <c r="K375" s="330" t="e">
        <f>IF(B375&lt;&gt;"",+VLOOKUP(I375,Recursos!C:F,3,FALSE),"")</f>
        <v>#N/A</v>
      </c>
      <c r="L375" s="327" t="e">
        <f>IF(B375&lt;&gt;"",+VLOOKUP(I375,Recursos!C:F,4,FALSE),"")</f>
        <v>#N/A</v>
      </c>
      <c r="M375" s="331">
        <v>1</v>
      </c>
      <c r="N375" s="331">
        <v>1</v>
      </c>
      <c r="O375" s="332">
        <v>4</v>
      </c>
      <c r="P375" s="333" t="e">
        <f t="shared" si="167"/>
        <v>#N/A</v>
      </c>
      <c r="Q375" s="327">
        <f t="shared" si="168"/>
        <v>0</v>
      </c>
      <c r="R375" s="334" t="e">
        <f t="shared" si="169"/>
        <v>#N/A</v>
      </c>
      <c r="S375" s="335" t="e">
        <f t="shared" si="147"/>
        <v>#N/A</v>
      </c>
      <c r="T375" s="335">
        <f t="shared" si="148"/>
        <v>0</v>
      </c>
      <c r="U375" s="336">
        <f t="shared" si="149"/>
        <v>0</v>
      </c>
      <c r="V375" s="336">
        <f t="shared" si="150"/>
        <v>0</v>
      </c>
      <c r="W375" s="336">
        <f t="shared" si="151"/>
        <v>0</v>
      </c>
      <c r="X375" s="336">
        <f t="shared" si="152"/>
        <v>0</v>
      </c>
      <c r="Y375" s="320"/>
      <c r="Z375" s="321" t="str">
        <f t="shared" si="156"/>
        <v>X-CARGAA</v>
      </c>
      <c r="AA375" s="321" t="str">
        <f t="shared" si="157"/>
        <v>X-CARGAE</v>
      </c>
      <c r="AB375" s="321" t="str">
        <f t="shared" si="158"/>
        <v>X-CARGAM</v>
      </c>
      <c r="AC375" s="321" t="str">
        <f t="shared" si="159"/>
        <v>X-CARGAT</v>
      </c>
      <c r="AD375" s="321" t="str">
        <f t="shared" si="160"/>
        <v>X-CARGAS</v>
      </c>
      <c r="AE375" s="321" t="str">
        <f t="shared" si="161"/>
        <v>X-CARGAX</v>
      </c>
      <c r="AF375" s="321" t="str">
        <f t="shared" si="162"/>
        <v>X-CARGAA</v>
      </c>
      <c r="AG375" s="321">
        <f t="shared" si="153"/>
        <v>3</v>
      </c>
      <c r="AH375" s="321">
        <f>IF(B375&lt;&gt;"",IF(H375="x",VLOOKUP(I375,'AUX-NIV3'!B:AG,32,FALSE),0),"")</f>
        <v>0</v>
      </c>
      <c r="AI375" s="321" t="str">
        <f t="shared" si="163"/>
        <v>X-CARGA</v>
      </c>
      <c r="AJ375" s="320"/>
      <c r="AK375" s="322">
        <f t="shared" si="154"/>
        <v>373</v>
      </c>
      <c r="AL375" s="323">
        <f t="shared" si="164"/>
        <v>375</v>
      </c>
      <c r="AM375" s="322">
        <f t="shared" si="165"/>
        <v>3</v>
      </c>
      <c r="AN375" s="380">
        <f>IF(AND(AH375&gt;0,B375&lt;&gt;""),VLOOKUP(I375,'AUX-NIV3'!$B:$AO,39,FALSE)*O375,0)</f>
        <v>0</v>
      </c>
      <c r="AO375" s="380">
        <f t="shared" si="155"/>
        <v>8</v>
      </c>
      <c r="AP375" s="380"/>
    </row>
    <row r="376" spans="2:42" ht="14.4" hidden="1" thickTop="1" thickBot="1">
      <c r="B376" s="324" t="s">
        <v>211</v>
      </c>
      <c r="C376" s="325" t="s">
        <v>794</v>
      </c>
      <c r="D376" s="326" t="s">
        <v>1160</v>
      </c>
      <c r="E376" s="327">
        <f>IF(B376&lt;&gt;"",SUMIF('AUX-NIV1'!I:I,'AUX-NIV2'!B376,'AUX-NIV1'!Q:Q),"")</f>
        <v>0</v>
      </c>
      <c r="F376" s="327">
        <f t="shared" si="145"/>
        <v>70.190433007266222</v>
      </c>
      <c r="G376" s="327">
        <f t="shared" si="146"/>
        <v>0</v>
      </c>
      <c r="H376" s="328" t="str">
        <f t="shared" si="166"/>
        <v>A</v>
      </c>
      <c r="I376" s="325" t="s">
        <v>1745</v>
      </c>
      <c r="J376" s="329" t="str">
        <f>IF(B376&lt;&gt;"",+VLOOKUP(I376,Recursos!C:F,2,FALSE),"")</f>
        <v>AYUDANTE</v>
      </c>
      <c r="K376" s="330" t="str">
        <f>IF(B376&lt;&gt;"",+VLOOKUP(I376,Recursos!C:F,3,FALSE),"")</f>
        <v>hh</v>
      </c>
      <c r="L376" s="327">
        <f>IF(B376&lt;&gt;"",+VLOOKUP(I376,Recursos!C:F,4,FALSE),"")</f>
        <v>422.48042769667234</v>
      </c>
      <c r="M376" s="331">
        <v>1.2500000000000001E-2</v>
      </c>
      <c r="N376" s="331">
        <v>1.25</v>
      </c>
      <c r="O376" s="332">
        <v>1.5625E-2</v>
      </c>
      <c r="P376" s="333">
        <f t="shared" si="167"/>
        <v>6.6012566827605053</v>
      </c>
      <c r="Q376" s="327">
        <f t="shared" si="168"/>
        <v>0</v>
      </c>
      <c r="R376" s="334">
        <f t="shared" si="169"/>
        <v>0</v>
      </c>
      <c r="S376" s="335">
        <f t="shared" si="147"/>
        <v>15.680338007266217</v>
      </c>
      <c r="T376" s="335">
        <f t="shared" si="148"/>
        <v>54.510095000000007</v>
      </c>
      <c r="U376" s="336">
        <f t="shared" si="149"/>
        <v>0</v>
      </c>
      <c r="V376" s="336">
        <f t="shared" si="150"/>
        <v>0</v>
      </c>
      <c r="W376" s="336">
        <f t="shared" si="151"/>
        <v>0</v>
      </c>
      <c r="X376" s="336">
        <f t="shared" si="152"/>
        <v>0</v>
      </c>
      <c r="Y376" s="320"/>
      <c r="Z376" s="321" t="str">
        <f t="shared" si="156"/>
        <v>X-CargaPC300A</v>
      </c>
      <c r="AA376" s="321" t="str">
        <f t="shared" si="157"/>
        <v>X-CargaPC300E</v>
      </c>
      <c r="AB376" s="321" t="str">
        <f t="shared" si="158"/>
        <v>X-CargaPC300M</v>
      </c>
      <c r="AC376" s="321" t="str">
        <f t="shared" si="159"/>
        <v>X-CargaPC300T</v>
      </c>
      <c r="AD376" s="321" t="str">
        <f t="shared" si="160"/>
        <v>X-CargaPC300S</v>
      </c>
      <c r="AE376" s="321" t="str">
        <f t="shared" si="161"/>
        <v>X-CargaPC300X</v>
      </c>
      <c r="AF376" s="321" t="str">
        <f t="shared" si="162"/>
        <v>X-CargaPC300A</v>
      </c>
      <c r="AG376" s="321">
        <f t="shared" si="153"/>
        <v>3</v>
      </c>
      <c r="AH376" s="321">
        <f>IF(B376&lt;&gt;"",IF(H376="x",VLOOKUP(I376,'AUX-NIV3'!B:AG,32,FALSE),0),"")</f>
        <v>0</v>
      </c>
      <c r="AI376" s="321" t="str">
        <f t="shared" si="163"/>
        <v>X-CargaPC300</v>
      </c>
      <c r="AJ376" s="320"/>
      <c r="AK376" s="322">
        <f t="shared" si="154"/>
        <v>376</v>
      </c>
      <c r="AL376" s="323">
        <f t="shared" si="164"/>
        <v>378</v>
      </c>
      <c r="AM376" s="322">
        <f t="shared" si="165"/>
        <v>1</v>
      </c>
      <c r="AN376" s="380">
        <f>IF(AND(AH376&gt;0,B376&lt;&gt;""),VLOOKUP(I376,'AUX-NIV3'!$B:$AO,39,FALSE)*O376,0)</f>
        <v>0</v>
      </c>
      <c r="AO376" s="380">
        <f t="shared" si="155"/>
        <v>3.125E-2</v>
      </c>
      <c r="AP376" s="380"/>
    </row>
    <row r="377" spans="2:42" ht="14.4" hidden="1" thickTop="1" thickBot="1">
      <c r="B377" s="324" t="s">
        <v>211</v>
      </c>
      <c r="C377" s="325" t="s">
        <v>794</v>
      </c>
      <c r="D377" s="326" t="s">
        <v>1160</v>
      </c>
      <c r="E377" s="327">
        <f>IF(B377&lt;&gt;"",SUMIF('AUX-NIV1'!I:I,'AUX-NIV2'!B377,'AUX-NIV1'!Q:Q),"")</f>
        <v>0</v>
      </c>
      <c r="F377" s="327">
        <f t="shared" si="145"/>
        <v>70.190433007266222</v>
      </c>
      <c r="G377" s="327">
        <f t="shared" si="146"/>
        <v>0</v>
      </c>
      <c r="H377" s="328" t="str">
        <f t="shared" si="166"/>
        <v>A</v>
      </c>
      <c r="I377" s="325" t="s">
        <v>3311</v>
      </c>
      <c r="J377" s="329" t="str">
        <f>IF(B377&lt;&gt;"",+VLOOKUP(I377,Recursos!C:F,2,FALSE),"")</f>
        <v>OPER. EQUIPO</v>
      </c>
      <c r="K377" s="330" t="str">
        <f>IF(B377&lt;&gt;"",+VLOOKUP(I377,Recursos!C:F,3,FALSE),"")</f>
        <v>hh</v>
      </c>
      <c r="L377" s="327">
        <f>IF(B377&lt;&gt;"",+VLOOKUP(I377,Recursos!C:F,4,FALSE),"")</f>
        <v>581.06120476836554</v>
      </c>
      <c r="M377" s="331">
        <v>1.2500000000000001E-2</v>
      </c>
      <c r="N377" s="331">
        <v>1.25</v>
      </c>
      <c r="O377" s="332">
        <v>1.5625E-2</v>
      </c>
      <c r="P377" s="333">
        <f t="shared" si="167"/>
        <v>9.0790813245057116</v>
      </c>
      <c r="Q377" s="327">
        <f t="shared" si="168"/>
        <v>0</v>
      </c>
      <c r="R377" s="334">
        <f t="shared" si="169"/>
        <v>0</v>
      </c>
      <c r="S377" s="335">
        <f t="shared" si="147"/>
        <v>15.680338007266217</v>
      </c>
      <c r="T377" s="335">
        <f t="shared" si="148"/>
        <v>54.510095000000007</v>
      </c>
      <c r="U377" s="336">
        <f t="shared" si="149"/>
        <v>0</v>
      </c>
      <c r="V377" s="336">
        <f t="shared" si="150"/>
        <v>0</v>
      </c>
      <c r="W377" s="336">
        <f t="shared" si="151"/>
        <v>0</v>
      </c>
      <c r="X377" s="336">
        <f t="shared" si="152"/>
        <v>0</v>
      </c>
      <c r="Y377" s="320"/>
      <c r="Z377" s="321" t="str">
        <f t="shared" si="156"/>
        <v>X-CargaPC300A</v>
      </c>
      <c r="AA377" s="321" t="str">
        <f t="shared" si="157"/>
        <v>X-CargaPC300E</v>
      </c>
      <c r="AB377" s="321" t="str">
        <f t="shared" si="158"/>
        <v>X-CargaPC300M</v>
      </c>
      <c r="AC377" s="321" t="str">
        <f t="shared" si="159"/>
        <v>X-CargaPC300T</v>
      </c>
      <c r="AD377" s="321" t="str">
        <f t="shared" si="160"/>
        <v>X-CargaPC300S</v>
      </c>
      <c r="AE377" s="321" t="str">
        <f t="shared" si="161"/>
        <v>X-CargaPC300X</v>
      </c>
      <c r="AF377" s="321" t="str">
        <f t="shared" si="162"/>
        <v>X-CargaPC300A</v>
      </c>
      <c r="AG377" s="321">
        <f t="shared" si="153"/>
        <v>3</v>
      </c>
      <c r="AH377" s="321">
        <f>IF(B377&lt;&gt;"",IF(H377="x",VLOOKUP(I377,'AUX-NIV3'!B:AG,32,FALSE),0),"")</f>
        <v>0</v>
      </c>
      <c r="AI377" s="321" t="str">
        <f t="shared" si="163"/>
        <v>X-CargaPC300</v>
      </c>
      <c r="AJ377" s="320"/>
      <c r="AK377" s="322">
        <f t="shared" si="154"/>
        <v>376</v>
      </c>
      <c r="AL377" s="323">
        <f t="shared" si="164"/>
        <v>378</v>
      </c>
      <c r="AM377" s="322">
        <f t="shared" si="165"/>
        <v>2</v>
      </c>
      <c r="AN377" s="380">
        <f>IF(AND(AH377&gt;0,B377&lt;&gt;""),VLOOKUP(I377,'AUX-NIV3'!$B:$AO,39,FALSE)*O377,0)</f>
        <v>0</v>
      </c>
      <c r="AO377" s="380">
        <f t="shared" si="155"/>
        <v>3.125E-2</v>
      </c>
      <c r="AP377" s="380"/>
    </row>
    <row r="378" spans="2:42" ht="14.4" hidden="1" thickTop="1" thickBot="1">
      <c r="B378" s="324" t="s">
        <v>211</v>
      </c>
      <c r="C378" s="325" t="s">
        <v>794</v>
      </c>
      <c r="D378" s="326" t="s">
        <v>1160</v>
      </c>
      <c r="E378" s="327">
        <f>IF(B378&lt;&gt;"",SUMIF('AUX-NIV1'!I:I,'AUX-NIV2'!B378,'AUX-NIV1'!Q:Q),"")</f>
        <v>0</v>
      </c>
      <c r="F378" s="327">
        <f t="shared" si="145"/>
        <v>70.190433007266222</v>
      </c>
      <c r="G378" s="327">
        <f t="shared" si="146"/>
        <v>0</v>
      </c>
      <c r="H378" s="328" t="str">
        <f t="shared" si="166"/>
        <v>E</v>
      </c>
      <c r="I378" s="325" t="s">
        <v>1554</v>
      </c>
      <c r="J378" s="329" t="str">
        <f>IF(B378&lt;&gt;"",+VLOOKUP(I378,Recursos!C:F,2,FALSE),"")</f>
        <v>RETROEXCAVADORA S/CARRILES  1,6 M3</v>
      </c>
      <c r="K378" s="330" t="str">
        <f>IF(B378&lt;&gt;"",+VLOOKUP(I378,Recursos!C:F,3,FALSE),"")</f>
        <v>HR</v>
      </c>
      <c r="L378" s="327">
        <f>IF(B378&lt;&gt;"",+VLOOKUP(I378,Recursos!C:F,4,FALSE),"")</f>
        <v>4360.8076000000001</v>
      </c>
      <c r="M378" s="503">
        <v>1.2500000000000001E-2</v>
      </c>
      <c r="N378" s="503">
        <v>1</v>
      </c>
      <c r="O378" s="332">
        <v>1.2500000000000001E-2</v>
      </c>
      <c r="P378" s="333">
        <f t="shared" si="167"/>
        <v>54.510095000000007</v>
      </c>
      <c r="Q378" s="327">
        <f t="shared" si="168"/>
        <v>0</v>
      </c>
      <c r="R378" s="334">
        <f t="shared" si="169"/>
        <v>0</v>
      </c>
      <c r="S378" s="335">
        <f t="shared" si="147"/>
        <v>15.680338007266217</v>
      </c>
      <c r="T378" s="335">
        <f t="shared" si="148"/>
        <v>54.510095000000007</v>
      </c>
      <c r="U378" s="336">
        <f t="shared" si="149"/>
        <v>0</v>
      </c>
      <c r="V378" s="336">
        <f t="shared" si="150"/>
        <v>0</v>
      </c>
      <c r="W378" s="336">
        <f t="shared" si="151"/>
        <v>0</v>
      </c>
      <c r="X378" s="336">
        <f t="shared" si="152"/>
        <v>0</v>
      </c>
      <c r="Y378" s="320"/>
      <c r="Z378" s="321" t="str">
        <f t="shared" si="156"/>
        <v>X-CargaPC300A</v>
      </c>
      <c r="AA378" s="321" t="str">
        <f t="shared" si="157"/>
        <v>X-CargaPC300E</v>
      </c>
      <c r="AB378" s="321" t="str">
        <f t="shared" si="158"/>
        <v>X-CargaPC300M</v>
      </c>
      <c r="AC378" s="321" t="str">
        <f t="shared" si="159"/>
        <v>X-CargaPC300T</v>
      </c>
      <c r="AD378" s="321" t="str">
        <f t="shared" si="160"/>
        <v>X-CargaPC300S</v>
      </c>
      <c r="AE378" s="321" t="str">
        <f t="shared" si="161"/>
        <v>X-CargaPC300X</v>
      </c>
      <c r="AF378" s="321" t="str">
        <f t="shared" si="162"/>
        <v>X-CargaPC300E</v>
      </c>
      <c r="AG378" s="321">
        <f t="shared" si="153"/>
        <v>3</v>
      </c>
      <c r="AH378" s="321">
        <f>IF(B378&lt;&gt;"",IF(H378="x",VLOOKUP(I378,'AUX-NIV3'!B:AG,32,FALSE),0),"")</f>
        <v>0</v>
      </c>
      <c r="AI378" s="321" t="str">
        <f t="shared" si="163"/>
        <v>X-CargaPC300</v>
      </c>
      <c r="AJ378" s="320"/>
      <c r="AK378" s="322">
        <f t="shared" si="154"/>
        <v>376</v>
      </c>
      <c r="AL378" s="323">
        <f t="shared" si="164"/>
        <v>378</v>
      </c>
      <c r="AM378" s="322">
        <f t="shared" si="165"/>
        <v>3</v>
      </c>
      <c r="AN378" s="380">
        <f>IF(AND(AH378&gt;0,B378&lt;&gt;""),VLOOKUP(I378,'AUX-NIV3'!$B:$AO,39,FALSE)*O378,0)</f>
        <v>0</v>
      </c>
      <c r="AO378" s="380">
        <f t="shared" si="155"/>
        <v>3.125E-2</v>
      </c>
      <c r="AP378" s="380"/>
    </row>
    <row r="379" spans="2:42" ht="14.4" hidden="1" thickTop="1" thickBot="1">
      <c r="B379" s="501" t="s">
        <v>212</v>
      </c>
      <c r="C379" s="951" t="s">
        <v>214</v>
      </c>
      <c r="D379" s="326" t="s">
        <v>1160</v>
      </c>
      <c r="E379" s="327">
        <f>IF(B379&lt;&gt;"",SUMIF('AUX-NIV1'!I:I,'AUX-NIV2'!B379,'AUX-NIV1'!Q:Q),"")</f>
        <v>0</v>
      </c>
      <c r="F379" s="327">
        <f t="shared" si="145"/>
        <v>159.89788162325189</v>
      </c>
      <c r="G379" s="327">
        <f t="shared" si="146"/>
        <v>0</v>
      </c>
      <c r="H379" s="328" t="str">
        <f t="shared" si="166"/>
        <v>A</v>
      </c>
      <c r="I379" s="325" t="s">
        <v>1745</v>
      </c>
      <c r="J379" s="329" t="str">
        <f>IF(B379&lt;&gt;"",+VLOOKUP(I379,Recursos!C:F,2,FALSE),"")</f>
        <v>AYUDANTE</v>
      </c>
      <c r="K379" s="330" t="str">
        <f>IF(B379&lt;&gt;"",+VLOOKUP(I379,Recursos!C:F,3,FALSE),"")</f>
        <v>hh</v>
      </c>
      <c r="L379" s="924">
        <f>IF(B379&lt;&gt;"",+VLOOKUP(I379,Recursos!C:F,4,FALSE),"")</f>
        <v>422.48042769667234</v>
      </c>
      <c r="M379" s="718"/>
      <c r="N379" s="736"/>
      <c r="O379" s="925">
        <f>N380/M381</f>
        <v>0.05</v>
      </c>
      <c r="P379" s="333">
        <f t="shared" si="167"/>
        <v>21.124021384833618</v>
      </c>
      <c r="Q379" s="327">
        <f t="shared" si="168"/>
        <v>0</v>
      </c>
      <c r="R379" s="334">
        <f t="shared" si="169"/>
        <v>0</v>
      </c>
      <c r="S379" s="335">
        <f t="shared" si="147"/>
        <v>50.177081623251894</v>
      </c>
      <c r="T379" s="335">
        <f t="shared" si="148"/>
        <v>109.7208</v>
      </c>
      <c r="U379" s="336">
        <f t="shared" si="149"/>
        <v>0</v>
      </c>
      <c r="V379" s="336">
        <f t="shared" si="150"/>
        <v>0</v>
      </c>
      <c r="W379" s="336">
        <f t="shared" si="151"/>
        <v>0</v>
      </c>
      <c r="X379" s="336">
        <f t="shared" si="152"/>
        <v>0</v>
      </c>
      <c r="Y379" s="320"/>
      <c r="Z379" s="321" t="str">
        <f t="shared" si="156"/>
        <v>X-EXCPC200A</v>
      </c>
      <c r="AA379" s="321" t="str">
        <f t="shared" si="157"/>
        <v>X-EXCPC200E</v>
      </c>
      <c r="AB379" s="321" t="str">
        <f t="shared" si="158"/>
        <v>X-EXCPC200M</v>
      </c>
      <c r="AC379" s="321" t="str">
        <f t="shared" si="159"/>
        <v>X-EXCPC200T</v>
      </c>
      <c r="AD379" s="321" t="str">
        <f t="shared" si="160"/>
        <v>X-EXCPC200S</v>
      </c>
      <c r="AE379" s="321" t="str">
        <f t="shared" si="161"/>
        <v>X-EXCPC200X</v>
      </c>
      <c r="AF379" s="321" t="str">
        <f t="shared" si="162"/>
        <v>X-EXCPC200A</v>
      </c>
      <c r="AG379" s="321">
        <f t="shared" si="153"/>
        <v>3</v>
      </c>
      <c r="AH379" s="321">
        <f>IF(B379&lt;&gt;"",IF(H379="x",VLOOKUP(I379,'AUX-NIV3'!B:AG,32,FALSE),0),"")</f>
        <v>0</v>
      </c>
      <c r="AI379" s="321" t="str">
        <f t="shared" si="163"/>
        <v>X-EXCPC200</v>
      </c>
      <c r="AJ379" s="320"/>
      <c r="AK379" s="322">
        <f t="shared" si="154"/>
        <v>379</v>
      </c>
      <c r="AL379" s="323">
        <f t="shared" si="164"/>
        <v>381</v>
      </c>
      <c r="AM379" s="322">
        <f t="shared" si="165"/>
        <v>1</v>
      </c>
      <c r="AN379" s="380">
        <f>IF(AND(AH379&gt;0,B379&lt;&gt;""),VLOOKUP(I379,'AUX-NIV3'!$B:$AO,39,FALSE)*O379,0)</f>
        <v>0</v>
      </c>
      <c r="AO379" s="380">
        <f t="shared" si="155"/>
        <v>0.1</v>
      </c>
      <c r="AP379" s="380"/>
    </row>
    <row r="380" spans="2:42" ht="14.4" hidden="1" thickTop="1" thickBot="1">
      <c r="B380" s="501" t="s">
        <v>212</v>
      </c>
      <c r="C380" s="951" t="s">
        <v>214</v>
      </c>
      <c r="D380" s="326" t="s">
        <v>1160</v>
      </c>
      <c r="E380" s="327">
        <f>IF(B380&lt;&gt;"",SUMIF('AUX-NIV1'!I:I,'AUX-NIV2'!B380,'AUX-NIV1'!Q:Q),"")</f>
        <v>0</v>
      </c>
      <c r="F380" s="327">
        <f t="shared" si="145"/>
        <v>159.89788162325189</v>
      </c>
      <c r="G380" s="327">
        <f t="shared" si="146"/>
        <v>0</v>
      </c>
      <c r="H380" s="328" t="str">
        <f t="shared" si="166"/>
        <v>A</v>
      </c>
      <c r="I380" s="325" t="s">
        <v>3310</v>
      </c>
      <c r="J380" s="329" t="str">
        <f>IF(B380&lt;&gt;"",+VLOOKUP(I380,Recursos!C:F,2,FALSE),"")</f>
        <v>OFICIAL ESPECIALIZADO</v>
      </c>
      <c r="K380" s="330" t="str">
        <f>IF(B380&lt;&gt;"",+VLOOKUP(I380,Recursos!C:F,3,FALSE),"")</f>
        <v>hh</v>
      </c>
      <c r="L380" s="924">
        <f>IF(B380&lt;&gt;"",+VLOOKUP(I380,Recursos!C:F,4,FALSE),"")</f>
        <v>581.06120476836554</v>
      </c>
      <c r="M380" s="926"/>
      <c r="N380" s="734">
        <v>1.25</v>
      </c>
      <c r="O380" s="925">
        <f>N380/M381</f>
        <v>0.05</v>
      </c>
      <c r="P380" s="333">
        <f t="shared" si="167"/>
        <v>29.053060238418279</v>
      </c>
      <c r="Q380" s="327">
        <f t="shared" si="168"/>
        <v>0</v>
      </c>
      <c r="R380" s="334">
        <f t="shared" si="169"/>
        <v>0</v>
      </c>
      <c r="S380" s="335">
        <f t="shared" si="147"/>
        <v>50.177081623251894</v>
      </c>
      <c r="T380" s="335">
        <f t="shared" si="148"/>
        <v>109.7208</v>
      </c>
      <c r="U380" s="336">
        <f t="shared" si="149"/>
        <v>0</v>
      </c>
      <c r="V380" s="336">
        <f t="shared" si="150"/>
        <v>0</v>
      </c>
      <c r="W380" s="336">
        <f t="shared" si="151"/>
        <v>0</v>
      </c>
      <c r="X380" s="336">
        <f t="shared" si="152"/>
        <v>0</v>
      </c>
      <c r="Y380" s="320"/>
      <c r="Z380" s="321" t="str">
        <f t="shared" si="156"/>
        <v>X-EXCPC200A</v>
      </c>
      <c r="AA380" s="321" t="str">
        <f t="shared" si="157"/>
        <v>X-EXCPC200E</v>
      </c>
      <c r="AB380" s="321" t="str">
        <f t="shared" si="158"/>
        <v>X-EXCPC200M</v>
      </c>
      <c r="AC380" s="321" t="str">
        <f t="shared" si="159"/>
        <v>X-EXCPC200T</v>
      </c>
      <c r="AD380" s="321" t="str">
        <f t="shared" si="160"/>
        <v>X-EXCPC200S</v>
      </c>
      <c r="AE380" s="321" t="str">
        <f t="shared" si="161"/>
        <v>X-EXCPC200X</v>
      </c>
      <c r="AF380" s="321" t="str">
        <f t="shared" si="162"/>
        <v>X-EXCPC200A</v>
      </c>
      <c r="AG380" s="321">
        <f t="shared" si="153"/>
        <v>3</v>
      </c>
      <c r="AH380" s="321">
        <f>IF(B380&lt;&gt;"",IF(H380="x",VLOOKUP(I380,'AUX-NIV3'!B:AG,32,FALSE),0),"")</f>
        <v>0</v>
      </c>
      <c r="AI380" s="321" t="str">
        <f t="shared" si="163"/>
        <v>X-EXCPC200</v>
      </c>
      <c r="AJ380" s="320"/>
      <c r="AK380" s="322">
        <f t="shared" si="154"/>
        <v>379</v>
      </c>
      <c r="AL380" s="323">
        <f t="shared" si="164"/>
        <v>381</v>
      </c>
      <c r="AM380" s="322">
        <f t="shared" si="165"/>
        <v>2</v>
      </c>
      <c r="AN380" s="380">
        <f>IF(AND(AH380&gt;0,B380&lt;&gt;""),VLOOKUP(I380,'AUX-NIV3'!$B:$AO,39,FALSE)*O380,0)</f>
        <v>0</v>
      </c>
      <c r="AO380" s="380">
        <f t="shared" si="155"/>
        <v>0.1</v>
      </c>
      <c r="AP380" s="380"/>
    </row>
    <row r="381" spans="2:42" ht="14.4" hidden="1" thickTop="1" thickBot="1">
      <c r="B381" s="501" t="s">
        <v>212</v>
      </c>
      <c r="C381" s="951" t="s">
        <v>214</v>
      </c>
      <c r="D381" s="326" t="s">
        <v>1160</v>
      </c>
      <c r="E381" s="327">
        <f>IF(B381&lt;&gt;"",SUMIF('AUX-NIV1'!I:I,'AUX-NIV2'!B381,'AUX-NIV1'!Q:Q),"")</f>
        <v>0</v>
      </c>
      <c r="F381" s="327">
        <f t="shared" si="145"/>
        <v>159.89788162325189</v>
      </c>
      <c r="G381" s="327">
        <f t="shared" si="146"/>
        <v>0</v>
      </c>
      <c r="H381" s="328" t="str">
        <f t="shared" si="166"/>
        <v>E</v>
      </c>
      <c r="I381" s="325" t="s">
        <v>1552</v>
      </c>
      <c r="J381" s="329" t="str">
        <f>IF(B381&lt;&gt;"",+VLOOKUP(I381,Recursos!C:F,2,FALSE),"")</f>
        <v>RETROEXCAVADORA S/CARRILES  0,9 M2</v>
      </c>
      <c r="K381" s="330" t="str">
        <f>IF(B381&lt;&gt;"",+VLOOKUP(I381,Recursos!C:F,3,FALSE),"")</f>
        <v>HR</v>
      </c>
      <c r="L381" s="924">
        <f>IF(B381&lt;&gt;"",+VLOOKUP(I381,Recursos!C:F,4,FALSE),"")</f>
        <v>2743.02</v>
      </c>
      <c r="M381" s="735">
        <v>25</v>
      </c>
      <c r="N381" s="927"/>
      <c r="O381" s="925">
        <f>1/M381</f>
        <v>0.04</v>
      </c>
      <c r="P381" s="333">
        <f t="shared" si="167"/>
        <v>109.7208</v>
      </c>
      <c r="Q381" s="327">
        <f t="shared" si="168"/>
        <v>0</v>
      </c>
      <c r="R381" s="334">
        <f t="shared" si="169"/>
        <v>0</v>
      </c>
      <c r="S381" s="335">
        <f t="shared" si="147"/>
        <v>50.177081623251894</v>
      </c>
      <c r="T381" s="335">
        <f t="shared" si="148"/>
        <v>109.7208</v>
      </c>
      <c r="U381" s="336">
        <f t="shared" si="149"/>
        <v>0</v>
      </c>
      <c r="V381" s="336">
        <f t="shared" si="150"/>
        <v>0</v>
      </c>
      <c r="W381" s="336">
        <f t="shared" si="151"/>
        <v>0</v>
      </c>
      <c r="X381" s="336">
        <f t="shared" si="152"/>
        <v>0</v>
      </c>
      <c r="Y381" s="320"/>
      <c r="Z381" s="321" t="str">
        <f t="shared" si="156"/>
        <v>X-EXCPC200A</v>
      </c>
      <c r="AA381" s="321" t="str">
        <f t="shared" si="157"/>
        <v>X-EXCPC200E</v>
      </c>
      <c r="AB381" s="321" t="str">
        <f t="shared" si="158"/>
        <v>X-EXCPC200M</v>
      </c>
      <c r="AC381" s="321" t="str">
        <f t="shared" si="159"/>
        <v>X-EXCPC200T</v>
      </c>
      <c r="AD381" s="321" t="str">
        <f t="shared" si="160"/>
        <v>X-EXCPC200S</v>
      </c>
      <c r="AE381" s="321" t="str">
        <f t="shared" si="161"/>
        <v>X-EXCPC200X</v>
      </c>
      <c r="AF381" s="321" t="str">
        <f t="shared" si="162"/>
        <v>X-EXCPC200E</v>
      </c>
      <c r="AG381" s="321">
        <f t="shared" si="153"/>
        <v>3</v>
      </c>
      <c r="AH381" s="321">
        <f>IF(B381&lt;&gt;"",IF(H381="x",VLOOKUP(I381,'AUX-NIV3'!B:AG,32,FALSE),0),"")</f>
        <v>0</v>
      </c>
      <c r="AI381" s="321" t="str">
        <f t="shared" si="163"/>
        <v>X-EXCPC200</v>
      </c>
      <c r="AJ381" s="320"/>
      <c r="AK381" s="322">
        <f t="shared" si="154"/>
        <v>379</v>
      </c>
      <c r="AL381" s="323">
        <f t="shared" si="164"/>
        <v>381</v>
      </c>
      <c r="AM381" s="322">
        <f t="shared" si="165"/>
        <v>3</v>
      </c>
      <c r="AN381" s="380">
        <f>IF(AND(AH381&gt;0,B381&lt;&gt;""),VLOOKUP(I381,'AUX-NIV3'!$B:$AO,39,FALSE)*O381,0)</f>
        <v>0</v>
      </c>
      <c r="AO381" s="380">
        <f t="shared" si="155"/>
        <v>0.1</v>
      </c>
      <c r="AP381" s="380"/>
    </row>
    <row r="382" spans="2:42" ht="14.4" hidden="1" thickTop="1" thickBot="1">
      <c r="B382" s="324" t="s">
        <v>215</v>
      </c>
      <c r="C382" s="325" t="s">
        <v>223</v>
      </c>
      <c r="D382" s="326" t="s">
        <v>1160</v>
      </c>
      <c r="E382" s="327">
        <f>IF(B382&lt;&gt;"",SUMIF('AUX-NIV1'!I:I,'AUX-NIV2'!B382,'AUX-NIV1'!Q:Q),"")</f>
        <v>0</v>
      </c>
      <c r="F382" s="327">
        <f t="shared" si="145"/>
        <v>105.11793415473907</v>
      </c>
      <c r="G382" s="327">
        <f t="shared" si="146"/>
        <v>0</v>
      </c>
      <c r="H382" s="328" t="str">
        <f t="shared" si="166"/>
        <v>A</v>
      </c>
      <c r="I382" s="325" t="s">
        <v>3312</v>
      </c>
      <c r="J382" s="329" t="str">
        <f>IF(B382&lt;&gt;"",+VLOOKUP(I382,Recursos!C:F,2,FALSE),"")</f>
        <v>CHOFER</v>
      </c>
      <c r="K382" s="330" t="str">
        <f>IF(B382&lt;&gt;"",+VLOOKUP(I382,Recursos!C:F,3,FALSE),"")</f>
        <v>hh</v>
      </c>
      <c r="L382" s="327">
        <f>IF(B382&lt;&gt;"",+VLOOKUP(I382,Recursos!C:F,4,FALSE),"")</f>
        <v>496.91595439275824</v>
      </c>
      <c r="M382" s="717">
        <v>1</v>
      </c>
      <c r="N382" s="717">
        <v>1</v>
      </c>
      <c r="O382" s="332">
        <v>2.8500000000000001E-2</v>
      </c>
      <c r="P382" s="333">
        <f t="shared" si="167"/>
        <v>14.162104700193611</v>
      </c>
      <c r="Q382" s="327">
        <f t="shared" si="168"/>
        <v>0</v>
      </c>
      <c r="R382" s="334">
        <f t="shared" si="169"/>
        <v>0</v>
      </c>
      <c r="S382" s="335">
        <f t="shared" si="147"/>
        <v>14.162104700193611</v>
      </c>
      <c r="T382" s="335">
        <f t="shared" si="148"/>
        <v>90.955829454545466</v>
      </c>
      <c r="U382" s="336">
        <f t="shared" si="149"/>
        <v>0</v>
      </c>
      <c r="V382" s="336">
        <f t="shared" si="150"/>
        <v>0</v>
      </c>
      <c r="W382" s="336">
        <f t="shared" si="151"/>
        <v>0</v>
      </c>
      <c r="X382" s="336">
        <f t="shared" si="152"/>
        <v>0</v>
      </c>
      <c r="Y382" s="320"/>
      <c r="Z382" s="321" t="str">
        <f t="shared" si="156"/>
        <v>X-TRANP9A</v>
      </c>
      <c r="AA382" s="321" t="str">
        <f t="shared" si="157"/>
        <v>X-TRANP9E</v>
      </c>
      <c r="AB382" s="321" t="str">
        <f t="shared" si="158"/>
        <v>X-TRANP9M</v>
      </c>
      <c r="AC382" s="321" t="str">
        <f t="shared" si="159"/>
        <v>X-TRANP9T</v>
      </c>
      <c r="AD382" s="321" t="str">
        <f t="shared" si="160"/>
        <v>X-TRANP9S</v>
      </c>
      <c r="AE382" s="321" t="str">
        <f t="shared" si="161"/>
        <v>X-TRANP9X</v>
      </c>
      <c r="AF382" s="321" t="str">
        <f t="shared" si="162"/>
        <v>X-TRANP9A</v>
      </c>
      <c r="AG382" s="321">
        <f t="shared" si="153"/>
        <v>2</v>
      </c>
      <c r="AH382" s="321">
        <f>IF(B382&lt;&gt;"",IF(H382="x",VLOOKUP(I382,'AUX-NIV3'!B:AG,32,FALSE),0),"")</f>
        <v>0</v>
      </c>
      <c r="AI382" s="321" t="str">
        <f t="shared" si="163"/>
        <v>X-TRANP9</v>
      </c>
      <c r="AJ382" s="320"/>
      <c r="AK382" s="322">
        <f t="shared" si="154"/>
        <v>382</v>
      </c>
      <c r="AL382" s="323">
        <f t="shared" si="164"/>
        <v>383</v>
      </c>
      <c r="AM382" s="322">
        <f t="shared" si="165"/>
        <v>1</v>
      </c>
      <c r="AN382" s="380">
        <f>IF(AND(AH382&gt;0,B382&lt;&gt;""),VLOOKUP(I382,'AUX-NIV3'!$B:$AO,39,FALSE)*O382,0)</f>
        <v>0</v>
      </c>
      <c r="AO382" s="380">
        <f t="shared" si="155"/>
        <v>2.8500000000000001E-2</v>
      </c>
      <c r="AP382" s="380"/>
    </row>
    <row r="383" spans="2:42" ht="14.4" hidden="1" thickTop="1" thickBot="1">
      <c r="B383" s="324" t="s">
        <v>215</v>
      </c>
      <c r="C383" s="325" t="s">
        <v>223</v>
      </c>
      <c r="D383" s="326" t="s">
        <v>1160</v>
      </c>
      <c r="E383" s="327">
        <f>IF(B383&lt;&gt;"",SUMIF('AUX-NIV1'!I:I,'AUX-NIV2'!B383,'AUX-NIV1'!Q:Q),"")</f>
        <v>0</v>
      </c>
      <c r="F383" s="327">
        <f t="shared" si="145"/>
        <v>105.11793415473907</v>
      </c>
      <c r="G383" s="327">
        <f t="shared" si="146"/>
        <v>0</v>
      </c>
      <c r="H383" s="328" t="str">
        <f t="shared" si="166"/>
        <v>E</v>
      </c>
      <c r="I383" s="325" t="s">
        <v>1556</v>
      </c>
      <c r="J383" s="329" t="str">
        <f>IF(B383&lt;&gt;"",+VLOOKUP(I383,Recursos!C:F,2,FALSE),"")</f>
        <v>CAMION VOLCADOR CAP. 15 T=9 m3</v>
      </c>
      <c r="K383" s="330" t="str">
        <f>IF(B383&lt;&gt;"",+VLOOKUP(I383,Recursos!C:F,3,FALSE),"")</f>
        <v>HR</v>
      </c>
      <c r="L383" s="327">
        <f>IF(B383&lt;&gt;"",+VLOOKUP(I383,Recursos!C:F,4,FALSE),"")</f>
        <v>2547.7823376623378</v>
      </c>
      <c r="M383" s="331">
        <v>3.5700000000000003E-2</v>
      </c>
      <c r="N383" s="331">
        <v>1</v>
      </c>
      <c r="O383" s="332">
        <v>3.5700000000000003E-2</v>
      </c>
      <c r="P383" s="333">
        <f t="shared" si="167"/>
        <v>90.955829454545466</v>
      </c>
      <c r="Q383" s="327">
        <f t="shared" si="168"/>
        <v>0</v>
      </c>
      <c r="R383" s="334">
        <f t="shared" si="169"/>
        <v>0</v>
      </c>
      <c r="S383" s="335">
        <f t="shared" si="147"/>
        <v>14.162104700193611</v>
      </c>
      <c r="T383" s="335">
        <f t="shared" si="148"/>
        <v>90.955829454545466</v>
      </c>
      <c r="U383" s="336">
        <f t="shared" si="149"/>
        <v>0</v>
      </c>
      <c r="V383" s="336">
        <f t="shared" si="150"/>
        <v>0</v>
      </c>
      <c r="W383" s="336">
        <f t="shared" si="151"/>
        <v>0</v>
      </c>
      <c r="X383" s="336">
        <f t="shared" si="152"/>
        <v>0</v>
      </c>
      <c r="Y383" s="320"/>
      <c r="Z383" s="321" t="str">
        <f t="shared" si="156"/>
        <v>X-TRANP9A</v>
      </c>
      <c r="AA383" s="321" t="str">
        <f t="shared" si="157"/>
        <v>X-TRANP9E</v>
      </c>
      <c r="AB383" s="321" t="str">
        <f t="shared" si="158"/>
        <v>X-TRANP9M</v>
      </c>
      <c r="AC383" s="321" t="str">
        <f t="shared" si="159"/>
        <v>X-TRANP9T</v>
      </c>
      <c r="AD383" s="321" t="str">
        <f t="shared" si="160"/>
        <v>X-TRANP9S</v>
      </c>
      <c r="AE383" s="321" t="str">
        <f t="shared" si="161"/>
        <v>X-TRANP9X</v>
      </c>
      <c r="AF383" s="321" t="str">
        <f t="shared" si="162"/>
        <v>X-TRANP9E</v>
      </c>
      <c r="AG383" s="321">
        <f t="shared" si="153"/>
        <v>2</v>
      </c>
      <c r="AH383" s="321">
        <f>IF(B383&lt;&gt;"",IF(H383="x",VLOOKUP(I383,'AUX-NIV3'!B:AG,32,FALSE),0),"")</f>
        <v>0</v>
      </c>
      <c r="AI383" s="321" t="str">
        <f t="shared" si="163"/>
        <v>X-TRANP9</v>
      </c>
      <c r="AJ383" s="320"/>
      <c r="AK383" s="322">
        <f t="shared" si="154"/>
        <v>382</v>
      </c>
      <c r="AL383" s="323">
        <f t="shared" si="164"/>
        <v>383</v>
      </c>
      <c r="AM383" s="322">
        <f t="shared" si="165"/>
        <v>2</v>
      </c>
      <c r="AN383" s="380">
        <f>IF(AND(AH383&gt;0,B383&lt;&gt;""),VLOOKUP(I383,'AUX-NIV3'!$B:$AO,39,FALSE)*O383,0)</f>
        <v>0</v>
      </c>
      <c r="AO383" s="380">
        <f t="shared" si="155"/>
        <v>2.8500000000000001E-2</v>
      </c>
      <c r="AP383" s="380"/>
    </row>
    <row r="384" spans="2:42" ht="14.4" hidden="1" thickTop="1" thickBot="1">
      <c r="B384" s="324" t="s">
        <v>131</v>
      </c>
      <c r="C384" s="325" t="s">
        <v>132</v>
      </c>
      <c r="D384" s="326" t="s">
        <v>477</v>
      </c>
      <c r="E384" s="327">
        <f>IF(B384&lt;&gt;"",SUMIF('AUX-NIV1'!I:I,'AUX-NIV2'!B384,'AUX-NIV1'!Q:Q),"")</f>
        <v>0</v>
      </c>
      <c r="F384" s="327">
        <f t="shared" si="145"/>
        <v>1300.89646496404</v>
      </c>
      <c r="G384" s="327">
        <f t="shared" si="146"/>
        <v>0</v>
      </c>
      <c r="H384" s="328" t="str">
        <f t="shared" si="166"/>
        <v>A</v>
      </c>
      <c r="I384" s="325" t="s">
        <v>3310</v>
      </c>
      <c r="J384" s="329" t="str">
        <f>IF(B384&lt;&gt;"",+VLOOKUP(I384,Recursos!C:F,2,FALSE),"")</f>
        <v>OFICIAL ESPECIALIZADO</v>
      </c>
      <c r="K384" s="330" t="str">
        <f>IF(B384&lt;&gt;"",+VLOOKUP(I384,Recursos!C:F,3,FALSE),"")</f>
        <v>hh</v>
      </c>
      <c r="L384" s="327">
        <f>IF(B384&lt;&gt;"",+VLOOKUP(I384,Recursos!C:F,4,FALSE),"")</f>
        <v>581.06120476836554</v>
      </c>
      <c r="M384" s="331">
        <v>7</v>
      </c>
      <c r="N384" s="331">
        <v>1</v>
      </c>
      <c r="O384" s="332">
        <f>+N384/M384</f>
        <v>0.14285714285714285</v>
      </c>
      <c r="P384" s="333">
        <f t="shared" si="167"/>
        <v>83.008743538337924</v>
      </c>
      <c r="Q384" s="327">
        <f t="shared" si="168"/>
        <v>0</v>
      </c>
      <c r="R384" s="334">
        <f t="shared" si="169"/>
        <v>0</v>
      </c>
      <c r="S384" s="335">
        <f t="shared" si="147"/>
        <v>695.23124551959552</v>
      </c>
      <c r="T384" s="335">
        <f t="shared" si="148"/>
        <v>598.96521944444453</v>
      </c>
      <c r="U384" s="336">
        <f t="shared" si="149"/>
        <v>6.7</v>
      </c>
      <c r="V384" s="336">
        <f t="shared" si="150"/>
        <v>0</v>
      </c>
      <c r="W384" s="336">
        <f t="shared" si="151"/>
        <v>0</v>
      </c>
      <c r="X384" s="336">
        <f t="shared" si="152"/>
        <v>0</v>
      </c>
      <c r="Y384" s="320"/>
      <c r="Z384" s="321" t="str">
        <f t="shared" si="156"/>
        <v>X-INYECCA</v>
      </c>
      <c r="AA384" s="321" t="str">
        <f t="shared" si="157"/>
        <v>X-INYECCE</v>
      </c>
      <c r="AB384" s="321" t="str">
        <f t="shared" si="158"/>
        <v>X-INYECCM</v>
      </c>
      <c r="AC384" s="321" t="str">
        <f t="shared" si="159"/>
        <v>X-INYECCT</v>
      </c>
      <c r="AD384" s="321" t="str">
        <f t="shared" si="160"/>
        <v>X-INYECCS</v>
      </c>
      <c r="AE384" s="321" t="str">
        <f t="shared" si="161"/>
        <v>X-INYECCX</v>
      </c>
      <c r="AF384" s="321" t="str">
        <f t="shared" si="162"/>
        <v>X-INYECCA</v>
      </c>
      <c r="AG384" s="321">
        <f t="shared" si="153"/>
        <v>23</v>
      </c>
      <c r="AH384" s="321">
        <f>IF(B384&lt;&gt;"",IF(H384="x",VLOOKUP(I384,'AUX-NIV3'!B:AG,32,FALSE),0),"")</f>
        <v>0</v>
      </c>
      <c r="AI384" s="321" t="str">
        <f t="shared" si="163"/>
        <v>X-INYECC</v>
      </c>
      <c r="AJ384" s="320"/>
      <c r="AK384" s="322">
        <f t="shared" si="154"/>
        <v>384</v>
      </c>
      <c r="AL384" s="323">
        <f t="shared" si="164"/>
        <v>406</v>
      </c>
      <c r="AM384" s="322">
        <f t="shared" si="165"/>
        <v>1</v>
      </c>
      <c r="AN384" s="380">
        <f>IF(AND(AH384&gt;0,B384&lt;&gt;""),VLOOKUP(I384,'AUX-NIV3'!$B:$AO,39,FALSE)*O384,0)</f>
        <v>0</v>
      </c>
      <c r="AO384" s="380">
        <f t="shared" si="155"/>
        <v>1.4285714285714284</v>
      </c>
      <c r="AP384" s="380"/>
    </row>
    <row r="385" spans="2:42" ht="14.4" hidden="1" thickTop="1" thickBot="1">
      <c r="B385" s="324" t="s">
        <v>131</v>
      </c>
      <c r="C385" s="325" t="s">
        <v>132</v>
      </c>
      <c r="D385" s="326" t="s">
        <v>477</v>
      </c>
      <c r="E385" s="327">
        <f>IF(B385&lt;&gt;"",SUMIF('AUX-NIV1'!I:I,'AUX-NIV2'!B385,'AUX-NIV1'!Q:Q),"")</f>
        <v>0</v>
      </c>
      <c r="F385" s="327">
        <f t="shared" si="145"/>
        <v>1300.89646496404</v>
      </c>
      <c r="G385" s="327">
        <f t="shared" si="146"/>
        <v>0</v>
      </c>
      <c r="H385" s="328" t="str">
        <f t="shared" ref="H385:H406" si="173">IF(B385&lt;&gt;"",+LEFT(I385,1),"")</f>
        <v>A</v>
      </c>
      <c r="I385" s="325" t="s">
        <v>1746</v>
      </c>
      <c r="J385" s="329" t="str">
        <f>IF(B385&lt;&gt;"",+VLOOKUP(I385,Recursos!C:F,2,FALSE),"")</f>
        <v>OFICIAL</v>
      </c>
      <c r="K385" s="330" t="str">
        <f>IF(B385&lt;&gt;"",+VLOOKUP(I385,Recursos!C:F,3,FALSE),"")</f>
        <v>hh</v>
      </c>
      <c r="L385" s="327">
        <f>IF(B385&lt;&gt;"",+VLOOKUP(I385,Recursos!C:F,4,FALSE),"")</f>
        <v>496.91595439275824</v>
      </c>
      <c r="M385" s="331">
        <v>7</v>
      </c>
      <c r="N385" s="331">
        <v>1</v>
      </c>
      <c r="O385" s="332">
        <f t="shared" ref="O385:O405" si="174">+N385/M385</f>
        <v>0.14285714285714285</v>
      </c>
      <c r="P385" s="333">
        <f t="shared" si="167"/>
        <v>70.987993484679748</v>
      </c>
      <c r="Q385" s="327">
        <f t="shared" si="168"/>
        <v>0</v>
      </c>
      <c r="R385" s="334">
        <f t="shared" si="169"/>
        <v>0</v>
      </c>
      <c r="S385" s="335">
        <f t="shared" si="147"/>
        <v>695.23124551959552</v>
      </c>
      <c r="T385" s="335">
        <f t="shared" si="148"/>
        <v>598.96521944444453</v>
      </c>
      <c r="U385" s="336">
        <f t="shared" si="149"/>
        <v>6.7</v>
      </c>
      <c r="V385" s="336">
        <f t="shared" si="150"/>
        <v>0</v>
      </c>
      <c r="W385" s="336">
        <f t="shared" si="151"/>
        <v>0</v>
      </c>
      <c r="X385" s="336">
        <f t="shared" si="152"/>
        <v>0</v>
      </c>
      <c r="Y385" s="320"/>
      <c r="Z385" s="321" t="str">
        <f t="shared" si="156"/>
        <v>X-INYECCA</v>
      </c>
      <c r="AA385" s="321" t="str">
        <f t="shared" si="157"/>
        <v>X-INYECCE</v>
      </c>
      <c r="AB385" s="321" t="str">
        <f t="shared" si="158"/>
        <v>X-INYECCM</v>
      </c>
      <c r="AC385" s="321" t="str">
        <f t="shared" si="159"/>
        <v>X-INYECCT</v>
      </c>
      <c r="AD385" s="321" t="str">
        <f t="shared" si="160"/>
        <v>X-INYECCS</v>
      </c>
      <c r="AE385" s="321" t="str">
        <f t="shared" si="161"/>
        <v>X-INYECCX</v>
      </c>
      <c r="AF385" s="321" t="str">
        <f t="shared" si="162"/>
        <v>X-INYECCA</v>
      </c>
      <c r="AG385" s="321">
        <f t="shared" si="153"/>
        <v>23</v>
      </c>
      <c r="AH385" s="321">
        <f>IF(B385&lt;&gt;"",IF(H385="x",VLOOKUP(I385,'AUX-NIV3'!B:AG,32,FALSE),0),"")</f>
        <v>0</v>
      </c>
      <c r="AI385" s="321" t="str">
        <f t="shared" si="163"/>
        <v>X-INYECC</v>
      </c>
      <c r="AJ385" s="320"/>
      <c r="AK385" s="322">
        <f t="shared" si="154"/>
        <v>384</v>
      </c>
      <c r="AL385" s="323">
        <f t="shared" si="164"/>
        <v>406</v>
      </c>
      <c r="AM385" s="322">
        <f t="shared" si="165"/>
        <v>2</v>
      </c>
      <c r="AN385" s="380">
        <f>IF(AND(AH385&gt;0,B385&lt;&gt;""),VLOOKUP(I385,'AUX-NIV3'!$B:$AO,39,FALSE)*O385,0)</f>
        <v>0</v>
      </c>
      <c r="AO385" s="380">
        <f t="shared" si="155"/>
        <v>1.4285714285714284</v>
      </c>
      <c r="AP385" s="380"/>
    </row>
    <row r="386" spans="2:42" ht="14.4" hidden="1" thickTop="1" thickBot="1">
      <c r="B386" s="324" t="s">
        <v>131</v>
      </c>
      <c r="C386" s="325" t="s">
        <v>132</v>
      </c>
      <c r="D386" s="326" t="s">
        <v>477</v>
      </c>
      <c r="E386" s="327">
        <f>IF(B386&lt;&gt;"",SUMIF('AUX-NIV1'!I:I,'AUX-NIV2'!B386,'AUX-NIV1'!Q:Q),"")</f>
        <v>0</v>
      </c>
      <c r="F386" s="327">
        <f t="shared" si="145"/>
        <v>1300.89646496404</v>
      </c>
      <c r="G386" s="327">
        <f t="shared" si="146"/>
        <v>0</v>
      </c>
      <c r="H386" s="328" t="str">
        <f t="shared" si="173"/>
        <v>A</v>
      </c>
      <c r="I386" s="325" t="s">
        <v>3309</v>
      </c>
      <c r="J386" s="329" t="str">
        <f>IF(B386&lt;&gt;"",+VLOOKUP(I386,Recursos!C:F,2,FALSE),"")</f>
        <v>MEDIO OFICIAL</v>
      </c>
      <c r="K386" s="330" t="str">
        <f>IF(B386&lt;&gt;"",+VLOOKUP(I386,Recursos!C:F,3,FALSE),"")</f>
        <v>hh</v>
      </c>
      <c r="L386" s="327">
        <f>IF(B386&lt;&gt;"",+VLOOKUP(I386,Recursos!C:F,4,FALSE),"")</f>
        <v>459.10093211890984</v>
      </c>
      <c r="M386" s="331">
        <v>7</v>
      </c>
      <c r="N386" s="331">
        <v>1</v>
      </c>
      <c r="O386" s="332">
        <f t="shared" si="174"/>
        <v>0.14285714285714285</v>
      </c>
      <c r="P386" s="333">
        <f t="shared" si="167"/>
        <v>65.585847445558542</v>
      </c>
      <c r="Q386" s="327">
        <f t="shared" si="168"/>
        <v>0</v>
      </c>
      <c r="R386" s="334">
        <f t="shared" si="169"/>
        <v>0</v>
      </c>
      <c r="S386" s="335">
        <f t="shared" si="147"/>
        <v>695.23124551959552</v>
      </c>
      <c r="T386" s="335">
        <f t="shared" si="148"/>
        <v>598.96521944444453</v>
      </c>
      <c r="U386" s="336">
        <f t="shared" si="149"/>
        <v>6.7</v>
      </c>
      <c r="V386" s="336">
        <f t="shared" si="150"/>
        <v>0</v>
      </c>
      <c r="W386" s="336">
        <f t="shared" si="151"/>
        <v>0</v>
      </c>
      <c r="X386" s="336">
        <f t="shared" si="152"/>
        <v>0</v>
      </c>
      <c r="Y386" s="320"/>
      <c r="Z386" s="321" t="str">
        <f t="shared" si="156"/>
        <v>X-INYECCA</v>
      </c>
      <c r="AA386" s="321" t="str">
        <f t="shared" si="157"/>
        <v>X-INYECCE</v>
      </c>
      <c r="AB386" s="321" t="str">
        <f t="shared" si="158"/>
        <v>X-INYECCM</v>
      </c>
      <c r="AC386" s="321" t="str">
        <f t="shared" si="159"/>
        <v>X-INYECCT</v>
      </c>
      <c r="AD386" s="321" t="str">
        <f t="shared" si="160"/>
        <v>X-INYECCS</v>
      </c>
      <c r="AE386" s="321" t="str">
        <f t="shared" si="161"/>
        <v>X-INYECCX</v>
      </c>
      <c r="AF386" s="321" t="str">
        <f t="shared" si="162"/>
        <v>X-INYECCA</v>
      </c>
      <c r="AG386" s="321">
        <f t="shared" si="153"/>
        <v>23</v>
      </c>
      <c r="AH386" s="321">
        <f>IF(B386&lt;&gt;"",IF(H386="x",VLOOKUP(I386,'AUX-NIV3'!B:AG,32,FALSE),0),"")</f>
        <v>0</v>
      </c>
      <c r="AI386" s="321" t="str">
        <f t="shared" si="163"/>
        <v>X-INYECC</v>
      </c>
      <c r="AJ386" s="320"/>
      <c r="AK386" s="322">
        <f t="shared" si="154"/>
        <v>384</v>
      </c>
      <c r="AL386" s="323">
        <f t="shared" si="164"/>
        <v>406</v>
      </c>
      <c r="AM386" s="322">
        <f t="shared" si="165"/>
        <v>3</v>
      </c>
      <c r="AN386" s="380">
        <f>IF(AND(AH386&gt;0,B386&lt;&gt;""),VLOOKUP(I386,'AUX-NIV3'!$B:$AO,39,FALSE)*O386,0)</f>
        <v>0</v>
      </c>
      <c r="AO386" s="380">
        <f t="shared" si="155"/>
        <v>1.4285714285714284</v>
      </c>
      <c r="AP386" s="380"/>
    </row>
    <row r="387" spans="2:42" ht="14.4" hidden="1" thickTop="1" thickBot="1">
      <c r="B387" s="324" t="s">
        <v>131</v>
      </c>
      <c r="C387" s="325" t="s">
        <v>132</v>
      </c>
      <c r="D387" s="326" t="s">
        <v>477</v>
      </c>
      <c r="E387" s="327">
        <f>IF(B387&lt;&gt;"",SUMIF('AUX-NIV1'!I:I,'AUX-NIV2'!B387,'AUX-NIV1'!Q:Q),"")</f>
        <v>0</v>
      </c>
      <c r="F387" s="327">
        <f t="shared" si="145"/>
        <v>1300.89646496404</v>
      </c>
      <c r="G387" s="327">
        <f t="shared" si="146"/>
        <v>0</v>
      </c>
      <c r="H387" s="328" t="str">
        <f t="shared" si="173"/>
        <v>A</v>
      </c>
      <c r="I387" s="325" t="s">
        <v>1745</v>
      </c>
      <c r="J387" s="329" t="str">
        <f>IF(B387&lt;&gt;"",+VLOOKUP(I387,Recursos!C:F,2,FALSE),"")</f>
        <v>AYUDANTE</v>
      </c>
      <c r="K387" s="330" t="str">
        <f>IF(B387&lt;&gt;"",+VLOOKUP(I387,Recursos!C:F,3,FALSE),"")</f>
        <v>hh</v>
      </c>
      <c r="L387" s="327">
        <f>IF(B387&lt;&gt;"",+VLOOKUP(I387,Recursos!C:F,4,FALSE),"")</f>
        <v>422.48042769667234</v>
      </c>
      <c r="M387" s="331">
        <v>7</v>
      </c>
      <c r="N387" s="331">
        <v>1</v>
      </c>
      <c r="O387" s="332">
        <f t="shared" si="174"/>
        <v>0.14285714285714285</v>
      </c>
      <c r="P387" s="333">
        <f t="shared" si="167"/>
        <v>60.354346813810331</v>
      </c>
      <c r="Q387" s="327">
        <f t="shared" si="168"/>
        <v>0</v>
      </c>
      <c r="R387" s="334">
        <f t="shared" si="169"/>
        <v>0</v>
      </c>
      <c r="S387" s="335">
        <f t="shared" si="147"/>
        <v>695.23124551959552</v>
      </c>
      <c r="T387" s="335">
        <f t="shared" si="148"/>
        <v>598.96521944444453</v>
      </c>
      <c r="U387" s="336">
        <f t="shared" si="149"/>
        <v>6.7</v>
      </c>
      <c r="V387" s="336">
        <f t="shared" si="150"/>
        <v>0</v>
      </c>
      <c r="W387" s="336">
        <f t="shared" si="151"/>
        <v>0</v>
      </c>
      <c r="X387" s="336">
        <f t="shared" si="152"/>
        <v>0</v>
      </c>
      <c r="Y387" s="320"/>
      <c r="Z387" s="321" t="str">
        <f t="shared" si="156"/>
        <v>X-INYECCA</v>
      </c>
      <c r="AA387" s="321" t="str">
        <f t="shared" si="157"/>
        <v>X-INYECCE</v>
      </c>
      <c r="AB387" s="321" t="str">
        <f t="shared" si="158"/>
        <v>X-INYECCM</v>
      </c>
      <c r="AC387" s="321" t="str">
        <f t="shared" si="159"/>
        <v>X-INYECCT</v>
      </c>
      <c r="AD387" s="321" t="str">
        <f t="shared" si="160"/>
        <v>X-INYECCS</v>
      </c>
      <c r="AE387" s="321" t="str">
        <f t="shared" si="161"/>
        <v>X-INYECCX</v>
      </c>
      <c r="AF387" s="321" t="str">
        <f t="shared" si="162"/>
        <v>X-INYECCA</v>
      </c>
      <c r="AG387" s="321">
        <f t="shared" si="153"/>
        <v>23</v>
      </c>
      <c r="AH387" s="321">
        <f>IF(B387&lt;&gt;"",IF(H387="x",VLOOKUP(I387,'AUX-NIV3'!B:AG,32,FALSE),0),"")</f>
        <v>0</v>
      </c>
      <c r="AI387" s="321" t="str">
        <f t="shared" si="163"/>
        <v>X-INYECC</v>
      </c>
      <c r="AJ387" s="320"/>
      <c r="AK387" s="322">
        <f t="shared" si="154"/>
        <v>384</v>
      </c>
      <c r="AL387" s="323">
        <f t="shared" si="164"/>
        <v>406</v>
      </c>
      <c r="AM387" s="322">
        <f t="shared" si="165"/>
        <v>4</v>
      </c>
      <c r="AN387" s="380">
        <f>IF(AND(AH387&gt;0,B387&lt;&gt;""),VLOOKUP(I387,'AUX-NIV3'!$B:$AO,39,FALSE)*O387,0)</f>
        <v>0</v>
      </c>
      <c r="AO387" s="380">
        <f t="shared" si="155"/>
        <v>1.4285714285714284</v>
      </c>
      <c r="AP387" s="380"/>
    </row>
    <row r="388" spans="2:42" ht="14.4" hidden="1" thickTop="1" thickBot="1">
      <c r="B388" s="324" t="s">
        <v>131</v>
      </c>
      <c r="C388" s="325" t="s">
        <v>132</v>
      </c>
      <c r="D388" s="326" t="s">
        <v>477</v>
      </c>
      <c r="E388" s="327">
        <f>IF(B388&lt;&gt;"",SUMIF('AUX-NIV1'!I:I,'AUX-NIV2'!B388,'AUX-NIV1'!Q:Q),"")</f>
        <v>0</v>
      </c>
      <c r="F388" s="327">
        <f t="shared" si="145"/>
        <v>1300.89646496404</v>
      </c>
      <c r="G388" s="327">
        <f t="shared" si="146"/>
        <v>0</v>
      </c>
      <c r="H388" s="328" t="str">
        <f t="shared" si="173"/>
        <v>A</v>
      </c>
      <c r="I388" s="325" t="s">
        <v>1746</v>
      </c>
      <c r="J388" s="329" t="str">
        <f>IF(B388&lt;&gt;"",+VLOOKUP(I388,Recursos!C:F,2,FALSE),"")</f>
        <v>OFICIAL</v>
      </c>
      <c r="K388" s="330" t="str">
        <f>IF(B388&lt;&gt;"",+VLOOKUP(I388,Recursos!C:F,3,FALSE),"")</f>
        <v>hh</v>
      </c>
      <c r="L388" s="327">
        <f>IF(B388&lt;&gt;"",+VLOOKUP(I388,Recursos!C:F,4,FALSE),"")</f>
        <v>496.91595439275824</v>
      </c>
      <c r="M388" s="331">
        <v>7</v>
      </c>
      <c r="N388" s="331">
        <v>1</v>
      </c>
      <c r="O388" s="332">
        <f t="shared" si="174"/>
        <v>0.14285714285714285</v>
      </c>
      <c r="P388" s="333">
        <f t="shared" si="167"/>
        <v>70.987993484679748</v>
      </c>
      <c r="Q388" s="327">
        <f t="shared" si="168"/>
        <v>0</v>
      </c>
      <c r="R388" s="334">
        <f t="shared" si="169"/>
        <v>0</v>
      </c>
      <c r="S388" s="335">
        <f t="shared" si="147"/>
        <v>695.23124551959552</v>
      </c>
      <c r="T388" s="335">
        <f t="shared" si="148"/>
        <v>598.96521944444453</v>
      </c>
      <c r="U388" s="336">
        <f t="shared" si="149"/>
        <v>6.7</v>
      </c>
      <c r="V388" s="336">
        <f t="shared" si="150"/>
        <v>0</v>
      </c>
      <c r="W388" s="336">
        <f t="shared" si="151"/>
        <v>0</v>
      </c>
      <c r="X388" s="336">
        <f t="shared" si="152"/>
        <v>0</v>
      </c>
      <c r="Y388" s="320"/>
      <c r="Z388" s="321" t="str">
        <f t="shared" si="156"/>
        <v>X-INYECCA</v>
      </c>
      <c r="AA388" s="321" t="str">
        <f t="shared" si="157"/>
        <v>X-INYECCE</v>
      </c>
      <c r="AB388" s="321" t="str">
        <f t="shared" si="158"/>
        <v>X-INYECCM</v>
      </c>
      <c r="AC388" s="321" t="str">
        <f t="shared" si="159"/>
        <v>X-INYECCT</v>
      </c>
      <c r="AD388" s="321" t="str">
        <f t="shared" si="160"/>
        <v>X-INYECCS</v>
      </c>
      <c r="AE388" s="321" t="str">
        <f t="shared" si="161"/>
        <v>X-INYECCX</v>
      </c>
      <c r="AF388" s="321" t="str">
        <f t="shared" si="162"/>
        <v>X-INYECCA</v>
      </c>
      <c r="AG388" s="321">
        <f t="shared" si="153"/>
        <v>23</v>
      </c>
      <c r="AH388" s="321">
        <f>IF(B388&lt;&gt;"",IF(H388="x",VLOOKUP(I388,'AUX-NIV3'!B:AG,32,FALSE),0),"")</f>
        <v>0</v>
      </c>
      <c r="AI388" s="321" t="str">
        <f t="shared" si="163"/>
        <v>X-INYECC</v>
      </c>
      <c r="AJ388" s="320"/>
      <c r="AK388" s="322">
        <f t="shared" si="154"/>
        <v>384</v>
      </c>
      <c r="AL388" s="323">
        <f t="shared" si="164"/>
        <v>406</v>
      </c>
      <c r="AM388" s="322">
        <f t="shared" si="165"/>
        <v>5</v>
      </c>
      <c r="AN388" s="380">
        <f>IF(AND(AH388&gt;0,B388&lt;&gt;""),VLOOKUP(I388,'AUX-NIV3'!$B:$AO,39,FALSE)*O388,0)</f>
        <v>0</v>
      </c>
      <c r="AO388" s="380">
        <f t="shared" si="155"/>
        <v>1.4285714285714284</v>
      </c>
      <c r="AP388" s="380"/>
    </row>
    <row r="389" spans="2:42" ht="14.4" hidden="1" thickTop="1" thickBot="1">
      <c r="B389" s="324" t="s">
        <v>131</v>
      </c>
      <c r="C389" s="325" t="s">
        <v>132</v>
      </c>
      <c r="D389" s="326" t="s">
        <v>477</v>
      </c>
      <c r="E389" s="327">
        <f>IF(B389&lt;&gt;"",SUMIF('AUX-NIV1'!I:I,'AUX-NIV2'!B389,'AUX-NIV1'!Q:Q),"")</f>
        <v>0</v>
      </c>
      <c r="F389" s="327">
        <f t="shared" si="145"/>
        <v>1300.89646496404</v>
      </c>
      <c r="G389" s="327">
        <f t="shared" si="146"/>
        <v>0</v>
      </c>
      <c r="H389" s="328" t="str">
        <f t="shared" si="173"/>
        <v>A</v>
      </c>
      <c r="I389" s="325" t="s">
        <v>1746</v>
      </c>
      <c r="J389" s="329" t="str">
        <f>IF(B389&lt;&gt;"",+VLOOKUP(I389,Recursos!C:F,2,FALSE),"")</f>
        <v>OFICIAL</v>
      </c>
      <c r="K389" s="330" t="str">
        <f>IF(B389&lt;&gt;"",+VLOOKUP(I389,Recursos!C:F,3,FALSE),"")</f>
        <v>hh</v>
      </c>
      <c r="L389" s="327">
        <f>IF(B389&lt;&gt;"",+VLOOKUP(I389,Recursos!C:F,4,FALSE),"")</f>
        <v>496.91595439275824</v>
      </c>
      <c r="M389" s="331">
        <v>7</v>
      </c>
      <c r="N389" s="331">
        <v>3</v>
      </c>
      <c r="O389" s="332">
        <f t="shared" si="174"/>
        <v>0.42857142857142855</v>
      </c>
      <c r="P389" s="333">
        <f t="shared" si="167"/>
        <v>212.96398045403924</v>
      </c>
      <c r="Q389" s="327">
        <f t="shared" si="168"/>
        <v>0</v>
      </c>
      <c r="R389" s="334">
        <f t="shared" si="169"/>
        <v>0</v>
      </c>
      <c r="S389" s="335">
        <f t="shared" si="147"/>
        <v>695.23124551959552</v>
      </c>
      <c r="T389" s="335">
        <f t="shared" si="148"/>
        <v>598.96521944444453</v>
      </c>
      <c r="U389" s="336">
        <f t="shared" si="149"/>
        <v>6.7</v>
      </c>
      <c r="V389" s="336">
        <f t="shared" si="150"/>
        <v>0</v>
      </c>
      <c r="W389" s="336">
        <f t="shared" si="151"/>
        <v>0</v>
      </c>
      <c r="X389" s="336">
        <f t="shared" si="152"/>
        <v>0</v>
      </c>
      <c r="Y389" s="320"/>
      <c r="Z389" s="321" t="str">
        <f t="shared" si="156"/>
        <v>X-INYECCA</v>
      </c>
      <c r="AA389" s="321" t="str">
        <f t="shared" si="157"/>
        <v>X-INYECCE</v>
      </c>
      <c r="AB389" s="321" t="str">
        <f t="shared" si="158"/>
        <v>X-INYECCM</v>
      </c>
      <c r="AC389" s="321" t="str">
        <f t="shared" si="159"/>
        <v>X-INYECCT</v>
      </c>
      <c r="AD389" s="321" t="str">
        <f t="shared" si="160"/>
        <v>X-INYECCS</v>
      </c>
      <c r="AE389" s="321" t="str">
        <f t="shared" si="161"/>
        <v>X-INYECCX</v>
      </c>
      <c r="AF389" s="321" t="str">
        <f t="shared" si="162"/>
        <v>X-INYECCA</v>
      </c>
      <c r="AG389" s="321">
        <f t="shared" si="153"/>
        <v>23</v>
      </c>
      <c r="AH389" s="321">
        <f>IF(B389&lt;&gt;"",IF(H389="x",VLOOKUP(I389,'AUX-NIV3'!B:AG,32,FALSE),0),"")</f>
        <v>0</v>
      </c>
      <c r="AI389" s="321" t="str">
        <f t="shared" si="163"/>
        <v>X-INYECC</v>
      </c>
      <c r="AJ389" s="320"/>
      <c r="AK389" s="322">
        <f t="shared" si="154"/>
        <v>384</v>
      </c>
      <c r="AL389" s="323">
        <f t="shared" si="164"/>
        <v>406</v>
      </c>
      <c r="AM389" s="322">
        <f t="shared" si="165"/>
        <v>6</v>
      </c>
      <c r="AN389" s="380">
        <f>IF(AND(AH389&gt;0,B389&lt;&gt;""),VLOOKUP(I389,'AUX-NIV3'!$B:$AO,39,FALSE)*O389,0)</f>
        <v>0</v>
      </c>
      <c r="AO389" s="380">
        <f t="shared" si="155"/>
        <v>1.4285714285714284</v>
      </c>
      <c r="AP389" s="380"/>
    </row>
    <row r="390" spans="2:42" ht="14.4" hidden="1" thickTop="1" thickBot="1">
      <c r="B390" s="324" t="s">
        <v>131</v>
      </c>
      <c r="C390" s="325" t="s">
        <v>132</v>
      </c>
      <c r="D390" s="326" t="s">
        <v>477</v>
      </c>
      <c r="E390" s="327">
        <f>IF(B390&lt;&gt;"",SUMIF('AUX-NIV1'!I:I,'AUX-NIV2'!B390,'AUX-NIV1'!Q:Q),"")</f>
        <v>0</v>
      </c>
      <c r="F390" s="327">
        <f t="shared" si="145"/>
        <v>1300.89646496404</v>
      </c>
      <c r="G390" s="327">
        <f t="shared" si="146"/>
        <v>0</v>
      </c>
      <c r="H390" s="328" t="str">
        <f t="shared" si="173"/>
        <v>A</v>
      </c>
      <c r="I390" s="325" t="s">
        <v>1746</v>
      </c>
      <c r="J390" s="329" t="str">
        <f>IF(B390&lt;&gt;"",+VLOOKUP(I390,Recursos!C:F,2,FALSE),"")</f>
        <v>OFICIAL</v>
      </c>
      <c r="K390" s="330" t="str">
        <f>IF(B390&lt;&gt;"",+VLOOKUP(I390,Recursos!C:F,3,FALSE),"")</f>
        <v>hh</v>
      </c>
      <c r="L390" s="327">
        <f>IF(B390&lt;&gt;"",+VLOOKUP(I390,Recursos!C:F,4,FALSE),"")</f>
        <v>496.91595439275824</v>
      </c>
      <c r="M390" s="331">
        <v>7</v>
      </c>
      <c r="N390" s="331">
        <v>1</v>
      </c>
      <c r="O390" s="332">
        <f t="shared" si="174"/>
        <v>0.14285714285714285</v>
      </c>
      <c r="P390" s="333">
        <f t="shared" si="167"/>
        <v>70.987993484679748</v>
      </c>
      <c r="Q390" s="327">
        <f t="shared" si="168"/>
        <v>0</v>
      </c>
      <c r="R390" s="334">
        <f t="shared" si="169"/>
        <v>0</v>
      </c>
      <c r="S390" s="335">
        <f t="shared" si="147"/>
        <v>695.23124551959552</v>
      </c>
      <c r="T390" s="335">
        <f t="shared" si="148"/>
        <v>598.96521944444453</v>
      </c>
      <c r="U390" s="336">
        <f t="shared" si="149"/>
        <v>6.7</v>
      </c>
      <c r="V390" s="336">
        <f t="shared" si="150"/>
        <v>0</v>
      </c>
      <c r="W390" s="336">
        <f t="shared" si="151"/>
        <v>0</v>
      </c>
      <c r="X390" s="336">
        <f t="shared" si="152"/>
        <v>0</v>
      </c>
      <c r="Y390" s="320"/>
      <c r="Z390" s="321" t="str">
        <f t="shared" si="156"/>
        <v>X-INYECCA</v>
      </c>
      <c r="AA390" s="321" t="str">
        <f t="shared" si="157"/>
        <v>X-INYECCE</v>
      </c>
      <c r="AB390" s="321" t="str">
        <f t="shared" si="158"/>
        <v>X-INYECCM</v>
      </c>
      <c r="AC390" s="321" t="str">
        <f t="shared" si="159"/>
        <v>X-INYECCT</v>
      </c>
      <c r="AD390" s="321" t="str">
        <f t="shared" si="160"/>
        <v>X-INYECCS</v>
      </c>
      <c r="AE390" s="321" t="str">
        <f t="shared" si="161"/>
        <v>X-INYECCX</v>
      </c>
      <c r="AF390" s="321" t="str">
        <f t="shared" si="162"/>
        <v>X-INYECCA</v>
      </c>
      <c r="AG390" s="321">
        <f t="shared" si="153"/>
        <v>23</v>
      </c>
      <c r="AH390" s="321">
        <f>IF(B390&lt;&gt;"",IF(H390="x",VLOOKUP(I390,'AUX-NIV3'!B:AG,32,FALSE),0),"")</f>
        <v>0</v>
      </c>
      <c r="AI390" s="321" t="str">
        <f t="shared" si="163"/>
        <v>X-INYECC</v>
      </c>
      <c r="AJ390" s="320"/>
      <c r="AK390" s="322">
        <f t="shared" si="154"/>
        <v>384</v>
      </c>
      <c r="AL390" s="323">
        <f t="shared" si="164"/>
        <v>406</v>
      </c>
      <c r="AM390" s="322">
        <f t="shared" si="165"/>
        <v>7</v>
      </c>
      <c r="AN390" s="380">
        <f>IF(AND(AH390&gt;0,B390&lt;&gt;""),VLOOKUP(I390,'AUX-NIV3'!$B:$AO,39,FALSE)*O390,0)</f>
        <v>0</v>
      </c>
      <c r="AO390" s="380">
        <f t="shared" si="155"/>
        <v>1.4285714285714284</v>
      </c>
      <c r="AP390" s="380"/>
    </row>
    <row r="391" spans="2:42" ht="14.4" hidden="1" thickTop="1" thickBot="1">
      <c r="B391" s="324" t="s">
        <v>131</v>
      </c>
      <c r="C391" s="325" t="s">
        <v>132</v>
      </c>
      <c r="D391" s="326" t="s">
        <v>477</v>
      </c>
      <c r="E391" s="327">
        <f>IF(B391&lt;&gt;"",SUMIF('AUX-NIV1'!I:I,'AUX-NIV2'!B391,'AUX-NIV1'!Q:Q),"")</f>
        <v>0</v>
      </c>
      <c r="F391" s="327">
        <f t="shared" ref="F391:F454" si="175">IF(B391&lt;&gt;"",+SUMIF(B:B,B391,P:P),"")</f>
        <v>1300.89646496404</v>
      </c>
      <c r="G391" s="327">
        <f t="shared" ref="G391:G454" si="176">IF(B391&lt;&gt;"",+SUMIF(B:B,B391,R:R),"")</f>
        <v>0</v>
      </c>
      <c r="H391" s="328" t="str">
        <f t="shared" si="173"/>
        <v>A</v>
      </c>
      <c r="I391" s="325" t="s">
        <v>1745</v>
      </c>
      <c r="J391" s="329" t="str">
        <f>IF(B391&lt;&gt;"",+VLOOKUP(I391,Recursos!C:F,2,FALSE),"")</f>
        <v>AYUDANTE</v>
      </c>
      <c r="K391" s="330" t="str">
        <f>IF(B391&lt;&gt;"",+VLOOKUP(I391,Recursos!C:F,3,FALSE),"")</f>
        <v>hh</v>
      </c>
      <c r="L391" s="327">
        <f>IF(B391&lt;&gt;"",+VLOOKUP(I391,Recursos!C:F,4,FALSE),"")</f>
        <v>422.48042769667234</v>
      </c>
      <c r="M391" s="331">
        <v>7</v>
      </c>
      <c r="N391" s="331">
        <v>1</v>
      </c>
      <c r="O391" s="332">
        <f t="shared" si="174"/>
        <v>0.14285714285714285</v>
      </c>
      <c r="P391" s="333">
        <f t="shared" si="167"/>
        <v>60.354346813810331</v>
      </c>
      <c r="Q391" s="327">
        <f t="shared" si="168"/>
        <v>0</v>
      </c>
      <c r="R391" s="334">
        <f t="shared" si="169"/>
        <v>0</v>
      </c>
      <c r="S391" s="335">
        <f t="shared" ref="S391:S454" si="177">IF(B391&lt;&gt;"",+SUMIF($AF:$AF,Z391,$P:$P),"")</f>
        <v>695.23124551959552</v>
      </c>
      <c r="T391" s="335">
        <f t="shared" ref="T391:T454" si="178">IF(B391&lt;&gt;"",+SUMIF($AF:$AF,AA391,$P:$P),"")</f>
        <v>598.96521944444453</v>
      </c>
      <c r="U391" s="336">
        <f t="shared" ref="U391:U454" si="179">IF(B391&lt;&gt;"",+SUMIF($AF:$AF,AB391,$P:$P),"")</f>
        <v>6.7</v>
      </c>
      <c r="V391" s="336">
        <f t="shared" ref="V391:V454" si="180">IF(B391&lt;&gt;"",+SUMIF($AF:$AF,AC391,$P:$P),"")</f>
        <v>0</v>
      </c>
      <c r="W391" s="336">
        <f t="shared" ref="W391:W454" si="181">IF(B391&lt;&gt;"",+SUMIF($AF:$AF,AD391,$P:$P),"")</f>
        <v>0</v>
      </c>
      <c r="X391" s="336">
        <f t="shared" ref="X391:X454" si="182">IF(B391&lt;&gt;"",+SUMIF($AF:$AF,AE391,$P:$P),"")</f>
        <v>0</v>
      </c>
      <c r="Y391" s="320"/>
      <c r="Z391" s="321" t="str">
        <f t="shared" si="156"/>
        <v>X-INYECCA</v>
      </c>
      <c r="AA391" s="321" t="str">
        <f t="shared" si="157"/>
        <v>X-INYECCE</v>
      </c>
      <c r="AB391" s="321" t="str">
        <f t="shared" si="158"/>
        <v>X-INYECCM</v>
      </c>
      <c r="AC391" s="321" t="str">
        <f t="shared" si="159"/>
        <v>X-INYECCT</v>
      </c>
      <c r="AD391" s="321" t="str">
        <f t="shared" si="160"/>
        <v>X-INYECCS</v>
      </c>
      <c r="AE391" s="321" t="str">
        <f t="shared" si="161"/>
        <v>X-INYECCX</v>
      </c>
      <c r="AF391" s="321" t="str">
        <f t="shared" si="162"/>
        <v>X-INYECCA</v>
      </c>
      <c r="AG391" s="321">
        <f t="shared" ref="AG391:AG454" si="183">IF(B391&lt;&gt;"",+COUNTIF(B:B,B391),"")</f>
        <v>23</v>
      </c>
      <c r="AH391" s="321">
        <f>IF(B391&lt;&gt;"",IF(H391="x",VLOOKUP(I391,'AUX-NIV3'!B:AG,32,FALSE),0),"")</f>
        <v>0</v>
      </c>
      <c r="AI391" s="321" t="str">
        <f t="shared" si="163"/>
        <v>X-INYECC</v>
      </c>
      <c r="AJ391" s="320"/>
      <c r="AK391" s="322">
        <f t="shared" ref="AK391:AK454" si="184">IF(B391&lt;&gt;"",+MATCH(B391,B:B,0),"")</f>
        <v>384</v>
      </c>
      <c r="AL391" s="323">
        <f t="shared" si="164"/>
        <v>406</v>
      </c>
      <c r="AM391" s="322">
        <f t="shared" si="165"/>
        <v>8</v>
      </c>
      <c r="AN391" s="380">
        <f>IF(AND(AH391&gt;0,B391&lt;&gt;""),VLOOKUP(I391,'AUX-NIV3'!$B:$AO,39,FALSE)*O391,0)</f>
        <v>0</v>
      </c>
      <c r="AO391" s="380">
        <f t="shared" ref="AO391:AO454" si="185">+IF(B391&lt;&gt;"",SUMIF(AF:AF,Z391,O:O)+SUMIF(Z:Z,Z391,AN:AN),0)</f>
        <v>1.4285714285714284</v>
      </c>
      <c r="AP391" s="380"/>
    </row>
    <row r="392" spans="2:42" ht="14.4" hidden="1" thickTop="1" thickBot="1">
      <c r="B392" s="324" t="s">
        <v>131</v>
      </c>
      <c r="C392" s="325" t="s">
        <v>132</v>
      </c>
      <c r="D392" s="326" t="s">
        <v>477</v>
      </c>
      <c r="E392" s="327">
        <f>IF(B392&lt;&gt;"",SUMIF('AUX-NIV1'!I:I,'AUX-NIV2'!B392,'AUX-NIV1'!Q:Q),"")</f>
        <v>0</v>
      </c>
      <c r="F392" s="327">
        <f t="shared" si="175"/>
        <v>1300.89646496404</v>
      </c>
      <c r="G392" s="327">
        <f t="shared" si="176"/>
        <v>0</v>
      </c>
      <c r="H392" s="328" t="str">
        <f t="shared" si="173"/>
        <v>E</v>
      </c>
      <c r="I392" s="325" t="s">
        <v>1633</v>
      </c>
      <c r="J392" s="329" t="str">
        <f>IF(B392&lt;&gt;"",+VLOOKUP(I392,Recursos!C:F,2,FALSE),"")</f>
        <v>PERFORADORA SOILMEC</v>
      </c>
      <c r="K392" s="330" t="str">
        <f>IF(B392&lt;&gt;"",+VLOOKUP(I392,Recursos!C:F,3,FALSE),"")</f>
        <v>HR</v>
      </c>
      <c r="L392" s="327">
        <f>IF(B392&lt;&gt;"",+VLOOKUP(I392,Recursos!C:F,4,FALSE),"")</f>
        <v>5550.84</v>
      </c>
      <c r="M392" s="331">
        <v>20</v>
      </c>
      <c r="N392" s="331">
        <v>1</v>
      </c>
      <c r="O392" s="332">
        <f t="shared" si="174"/>
        <v>0.05</v>
      </c>
      <c r="P392" s="333">
        <f t="shared" si="167"/>
        <v>277.54200000000003</v>
      </c>
      <c r="Q392" s="327">
        <f t="shared" si="168"/>
        <v>0</v>
      </c>
      <c r="R392" s="334">
        <f t="shared" si="169"/>
        <v>0</v>
      </c>
      <c r="S392" s="335">
        <f t="shared" si="177"/>
        <v>695.23124551959552</v>
      </c>
      <c r="T392" s="335">
        <f t="shared" si="178"/>
        <v>598.96521944444453</v>
      </c>
      <c r="U392" s="336">
        <f t="shared" si="179"/>
        <v>6.7</v>
      </c>
      <c r="V392" s="336">
        <f t="shared" si="180"/>
        <v>0</v>
      </c>
      <c r="W392" s="336">
        <f t="shared" si="181"/>
        <v>0</v>
      </c>
      <c r="X392" s="336">
        <f t="shared" si="182"/>
        <v>0</v>
      </c>
      <c r="Y392" s="320"/>
      <c r="Z392" s="321" t="str">
        <f t="shared" ref="Z392:Z455" si="186">IF(B392&lt;&gt;"",+$B392&amp;"A","")</f>
        <v>X-INYECCA</v>
      </c>
      <c r="AA392" s="321" t="str">
        <f t="shared" ref="AA392:AA455" si="187">IF(B392&lt;&gt;"",+$B392&amp;"E","")</f>
        <v>X-INYECCE</v>
      </c>
      <c r="AB392" s="321" t="str">
        <f t="shared" ref="AB392:AB455" si="188">IF(B392&lt;&gt;"",++$B392&amp;"M","")</f>
        <v>X-INYECCM</v>
      </c>
      <c r="AC392" s="321" t="str">
        <f t="shared" ref="AC392:AC455" si="189">IF(B392&lt;&gt;"",+$B392&amp;"T","")</f>
        <v>X-INYECCT</v>
      </c>
      <c r="AD392" s="321" t="str">
        <f t="shared" ref="AD392:AD455" si="190">IF(B392&lt;&gt;"",+$B392&amp;"S","")</f>
        <v>X-INYECCS</v>
      </c>
      <c r="AE392" s="321" t="str">
        <f t="shared" ref="AE392:AE455" si="191">IF(B392&lt;&gt;"",+$B392&amp;"X","")</f>
        <v>X-INYECCX</v>
      </c>
      <c r="AF392" s="321" t="str">
        <f t="shared" ref="AF392:AF455" si="192">IF(B392&lt;&gt;"",+B392&amp;H392,"")</f>
        <v>X-INYECCE</v>
      </c>
      <c r="AG392" s="321">
        <f t="shared" si="183"/>
        <v>23</v>
      </c>
      <c r="AH392" s="321">
        <f>IF(B392&lt;&gt;"",IF(H392="x",VLOOKUP(I392,'AUX-NIV3'!B:AG,32,FALSE),0),"")</f>
        <v>0</v>
      </c>
      <c r="AI392" s="321" t="str">
        <f t="shared" ref="AI392:AI455" si="193">IF(B392&lt;&gt;"",+B392,"")</f>
        <v>X-INYECC</v>
      </c>
      <c r="AJ392" s="320"/>
      <c r="AK392" s="322">
        <f t="shared" si="184"/>
        <v>384</v>
      </c>
      <c r="AL392" s="323">
        <f t="shared" ref="AL392:AL455" si="194">IF(B392&lt;&gt;"",+AK392+AG392-1,"")</f>
        <v>406</v>
      </c>
      <c r="AM392" s="322">
        <f t="shared" ref="AM392:AM455" si="195">IF(B392&lt;&gt;"",IF(B392=B391,1+AM391,1),"")</f>
        <v>9</v>
      </c>
      <c r="AN392" s="380">
        <f>IF(AND(AH392&gt;0,B392&lt;&gt;""),VLOOKUP(I392,'AUX-NIV3'!$B:$AO,39,FALSE)*O392,0)</f>
        <v>0</v>
      </c>
      <c r="AO392" s="380">
        <f t="shared" si="185"/>
        <v>1.4285714285714284</v>
      </c>
      <c r="AP392" s="380"/>
    </row>
    <row r="393" spans="2:42" ht="14.4" hidden="1" thickTop="1" thickBot="1">
      <c r="B393" s="324" t="s">
        <v>131</v>
      </c>
      <c r="C393" s="325" t="s">
        <v>132</v>
      </c>
      <c r="D393" s="326" t="s">
        <v>477</v>
      </c>
      <c r="E393" s="327">
        <f>IF(B393&lt;&gt;"",SUMIF('AUX-NIV1'!I:I,'AUX-NIV2'!B393,'AUX-NIV1'!Q:Q),"")</f>
        <v>0</v>
      </c>
      <c r="F393" s="327">
        <f t="shared" si="175"/>
        <v>1300.89646496404</v>
      </c>
      <c r="G393" s="327">
        <f t="shared" si="176"/>
        <v>0</v>
      </c>
      <c r="H393" s="328" t="str">
        <f t="shared" si="173"/>
        <v>E</v>
      </c>
      <c r="I393" s="325" t="s">
        <v>1634</v>
      </c>
      <c r="J393" s="329" t="str">
        <f>IF(B393&lt;&gt;"",+VLOOKUP(I393,Recursos!C:F,2,FALSE),"")</f>
        <v>MARTILLO KRUPP</v>
      </c>
      <c r="K393" s="330" t="str">
        <f>IF(B393&lt;&gt;"",+VLOOKUP(I393,Recursos!C:F,3,FALSE),"")</f>
        <v>HR</v>
      </c>
      <c r="L393" s="327">
        <f>IF(B393&lt;&gt;"",+VLOOKUP(I393,Recursos!C:F,4,FALSE),"")</f>
        <v>440.85599999999999</v>
      </c>
      <c r="M393" s="331">
        <v>20</v>
      </c>
      <c r="N393" s="331">
        <v>1</v>
      </c>
      <c r="O393" s="332">
        <f t="shared" si="174"/>
        <v>0.05</v>
      </c>
      <c r="P393" s="333">
        <f t="shared" ref="P393:P434" si="196">IF(B393&lt;&gt;"",O393*L393,"")</f>
        <v>22.0428</v>
      </c>
      <c r="Q393" s="327">
        <f t="shared" ref="Q393:Q434" si="197">IF(B393&lt;&gt;"",+O393*E393,"")</f>
        <v>0</v>
      </c>
      <c r="R393" s="334">
        <f t="shared" ref="R393:R434" si="198">IF(B393&lt;&gt;"",Q393*L393,"")</f>
        <v>0</v>
      </c>
      <c r="S393" s="335">
        <f t="shared" si="177"/>
        <v>695.23124551959552</v>
      </c>
      <c r="T393" s="335">
        <f t="shared" si="178"/>
        <v>598.96521944444453</v>
      </c>
      <c r="U393" s="336">
        <f t="shared" si="179"/>
        <v>6.7</v>
      </c>
      <c r="V393" s="336">
        <f t="shared" si="180"/>
        <v>0</v>
      </c>
      <c r="W393" s="336">
        <f t="shared" si="181"/>
        <v>0</v>
      </c>
      <c r="X393" s="336">
        <f t="shared" si="182"/>
        <v>0</v>
      </c>
      <c r="Y393" s="320"/>
      <c r="Z393" s="321" t="str">
        <f t="shared" si="186"/>
        <v>X-INYECCA</v>
      </c>
      <c r="AA393" s="321" t="str">
        <f t="shared" si="187"/>
        <v>X-INYECCE</v>
      </c>
      <c r="AB393" s="321" t="str">
        <f t="shared" si="188"/>
        <v>X-INYECCM</v>
      </c>
      <c r="AC393" s="321" t="str">
        <f t="shared" si="189"/>
        <v>X-INYECCT</v>
      </c>
      <c r="AD393" s="321" t="str">
        <f t="shared" si="190"/>
        <v>X-INYECCS</v>
      </c>
      <c r="AE393" s="321" t="str">
        <f t="shared" si="191"/>
        <v>X-INYECCX</v>
      </c>
      <c r="AF393" s="321" t="str">
        <f t="shared" si="192"/>
        <v>X-INYECCE</v>
      </c>
      <c r="AG393" s="321">
        <f t="shared" si="183"/>
        <v>23</v>
      </c>
      <c r="AH393" s="321">
        <f>IF(B393&lt;&gt;"",IF(H393="x",VLOOKUP(I393,'AUX-NIV3'!B:AG,32,FALSE),0),"")</f>
        <v>0</v>
      </c>
      <c r="AI393" s="321" t="str">
        <f t="shared" si="193"/>
        <v>X-INYECC</v>
      </c>
      <c r="AJ393" s="320"/>
      <c r="AK393" s="322">
        <f t="shared" si="184"/>
        <v>384</v>
      </c>
      <c r="AL393" s="323">
        <f t="shared" si="194"/>
        <v>406</v>
      </c>
      <c r="AM393" s="322">
        <f t="shared" si="195"/>
        <v>10</v>
      </c>
      <c r="AN393" s="380">
        <f>IF(AND(AH393&gt;0,B393&lt;&gt;""),VLOOKUP(I393,'AUX-NIV3'!$B:$AO,39,FALSE)*O393,0)</f>
        <v>0</v>
      </c>
      <c r="AO393" s="380">
        <f t="shared" si="185"/>
        <v>1.4285714285714284</v>
      </c>
      <c r="AP393" s="380"/>
    </row>
    <row r="394" spans="2:42" ht="14.4" hidden="1" thickTop="1" thickBot="1">
      <c r="B394" s="324" t="s">
        <v>131</v>
      </c>
      <c r="C394" s="325" t="s">
        <v>132</v>
      </c>
      <c r="D394" s="326" t="s">
        <v>477</v>
      </c>
      <c r="E394" s="327">
        <f>IF(B394&lt;&gt;"",SUMIF('AUX-NIV1'!I:I,'AUX-NIV2'!B394,'AUX-NIV1'!Q:Q),"")</f>
        <v>0</v>
      </c>
      <c r="F394" s="327">
        <f t="shared" si="175"/>
        <v>1300.89646496404</v>
      </c>
      <c r="G394" s="327">
        <f t="shared" si="176"/>
        <v>0</v>
      </c>
      <c r="H394" s="328" t="str">
        <f t="shared" si="173"/>
        <v>E</v>
      </c>
      <c r="I394" s="325" t="s">
        <v>1635</v>
      </c>
      <c r="J394" s="329" t="str">
        <f>IF(B394&lt;&gt;"",+VLOOKUP(I394,Recursos!C:F,2,FALSE),"")</f>
        <v>BOMBA INYECTORA</v>
      </c>
      <c r="K394" s="330" t="str">
        <f>IF(B394&lt;&gt;"",+VLOOKUP(I394,Recursos!C:F,3,FALSE),"")</f>
        <v>HR</v>
      </c>
      <c r="L394" s="327">
        <f>IF(B394&lt;&gt;"",+VLOOKUP(I394,Recursos!C:F,4,FALSE),"")</f>
        <v>195.93599999999998</v>
      </c>
      <c r="M394" s="331">
        <v>7</v>
      </c>
      <c r="N394" s="331">
        <v>0.5</v>
      </c>
      <c r="O394" s="332">
        <f t="shared" si="174"/>
        <v>7.1428571428571425E-2</v>
      </c>
      <c r="P394" s="333">
        <f t="shared" si="196"/>
        <v>13.995428571428569</v>
      </c>
      <c r="Q394" s="327">
        <f t="shared" si="197"/>
        <v>0</v>
      </c>
      <c r="R394" s="334">
        <f t="shared" si="198"/>
        <v>0</v>
      </c>
      <c r="S394" s="335">
        <f t="shared" si="177"/>
        <v>695.23124551959552</v>
      </c>
      <c r="T394" s="335">
        <f t="shared" si="178"/>
        <v>598.96521944444453</v>
      </c>
      <c r="U394" s="336">
        <f t="shared" si="179"/>
        <v>6.7</v>
      </c>
      <c r="V394" s="336">
        <f t="shared" si="180"/>
        <v>0</v>
      </c>
      <c r="W394" s="336">
        <f t="shared" si="181"/>
        <v>0</v>
      </c>
      <c r="X394" s="336">
        <f t="shared" si="182"/>
        <v>0</v>
      </c>
      <c r="Y394" s="320"/>
      <c r="Z394" s="321" t="str">
        <f t="shared" si="186"/>
        <v>X-INYECCA</v>
      </c>
      <c r="AA394" s="321" t="str">
        <f t="shared" si="187"/>
        <v>X-INYECCE</v>
      </c>
      <c r="AB394" s="321" t="str">
        <f t="shared" si="188"/>
        <v>X-INYECCM</v>
      </c>
      <c r="AC394" s="321" t="str">
        <f t="shared" si="189"/>
        <v>X-INYECCT</v>
      </c>
      <c r="AD394" s="321" t="str">
        <f t="shared" si="190"/>
        <v>X-INYECCS</v>
      </c>
      <c r="AE394" s="321" t="str">
        <f t="shared" si="191"/>
        <v>X-INYECCX</v>
      </c>
      <c r="AF394" s="321" t="str">
        <f t="shared" si="192"/>
        <v>X-INYECCE</v>
      </c>
      <c r="AG394" s="321">
        <f t="shared" si="183"/>
        <v>23</v>
      </c>
      <c r="AH394" s="321">
        <f>IF(B394&lt;&gt;"",IF(H394="x",VLOOKUP(I394,'AUX-NIV3'!B:AG,32,FALSE),0),"")</f>
        <v>0</v>
      </c>
      <c r="AI394" s="321" t="str">
        <f t="shared" si="193"/>
        <v>X-INYECC</v>
      </c>
      <c r="AJ394" s="320"/>
      <c r="AK394" s="322">
        <f t="shared" si="184"/>
        <v>384</v>
      </c>
      <c r="AL394" s="323">
        <f t="shared" si="194"/>
        <v>406</v>
      </c>
      <c r="AM394" s="322">
        <f t="shared" si="195"/>
        <v>11</v>
      </c>
      <c r="AN394" s="380">
        <f>IF(AND(AH394&gt;0,B394&lt;&gt;""),VLOOKUP(I394,'AUX-NIV3'!$B:$AO,39,FALSE)*O394,0)</f>
        <v>0</v>
      </c>
      <c r="AO394" s="380">
        <f t="shared" si="185"/>
        <v>1.4285714285714284</v>
      </c>
      <c r="AP394" s="380"/>
    </row>
    <row r="395" spans="2:42" ht="14.4" hidden="1" thickTop="1" thickBot="1">
      <c r="B395" s="324" t="s">
        <v>131</v>
      </c>
      <c r="C395" s="325" t="s">
        <v>132</v>
      </c>
      <c r="D395" s="326" t="s">
        <v>477</v>
      </c>
      <c r="E395" s="327">
        <f>IF(B395&lt;&gt;"",SUMIF('AUX-NIV1'!I:I,'AUX-NIV2'!B395,'AUX-NIV1'!Q:Q),"")</f>
        <v>0</v>
      </c>
      <c r="F395" s="327">
        <f t="shared" si="175"/>
        <v>1300.89646496404</v>
      </c>
      <c r="G395" s="327">
        <f t="shared" si="176"/>
        <v>0</v>
      </c>
      <c r="H395" s="328" t="str">
        <f t="shared" si="173"/>
        <v>E</v>
      </c>
      <c r="I395" s="325" t="s">
        <v>1636</v>
      </c>
      <c r="J395" s="329" t="str">
        <f>IF(B395&lt;&gt;"",+VLOOKUP(I395,Recursos!C:F,2,FALSE),"")</f>
        <v>MEZCLADORA DE 300 LTS</v>
      </c>
      <c r="K395" s="330" t="str">
        <f>IF(B395&lt;&gt;"",+VLOOKUP(I395,Recursos!C:F,3,FALSE),"")</f>
        <v>HR</v>
      </c>
      <c r="L395" s="327">
        <f>IF(B395&lt;&gt;"",+VLOOKUP(I395,Recursos!C:F,4,FALSE),"")</f>
        <v>85.722000000000008</v>
      </c>
      <c r="M395" s="331">
        <v>7</v>
      </c>
      <c r="N395" s="331">
        <v>0.5</v>
      </c>
      <c r="O395" s="332">
        <f t="shared" si="174"/>
        <v>7.1428571428571425E-2</v>
      </c>
      <c r="P395" s="333">
        <f t="shared" si="196"/>
        <v>6.1230000000000002</v>
      </c>
      <c r="Q395" s="327">
        <f t="shared" si="197"/>
        <v>0</v>
      </c>
      <c r="R395" s="334">
        <f t="shared" si="198"/>
        <v>0</v>
      </c>
      <c r="S395" s="335">
        <f t="shared" si="177"/>
        <v>695.23124551959552</v>
      </c>
      <c r="T395" s="335">
        <f t="shared" si="178"/>
        <v>598.96521944444453</v>
      </c>
      <c r="U395" s="336">
        <f t="shared" si="179"/>
        <v>6.7</v>
      </c>
      <c r="V395" s="336">
        <f t="shared" si="180"/>
        <v>0</v>
      </c>
      <c r="W395" s="336">
        <f t="shared" si="181"/>
        <v>0</v>
      </c>
      <c r="X395" s="336">
        <f t="shared" si="182"/>
        <v>0</v>
      </c>
      <c r="Y395" s="320"/>
      <c r="Z395" s="321" t="str">
        <f t="shared" si="186"/>
        <v>X-INYECCA</v>
      </c>
      <c r="AA395" s="321" t="str">
        <f t="shared" si="187"/>
        <v>X-INYECCE</v>
      </c>
      <c r="AB395" s="321" t="str">
        <f t="shared" si="188"/>
        <v>X-INYECCM</v>
      </c>
      <c r="AC395" s="321" t="str">
        <f t="shared" si="189"/>
        <v>X-INYECCT</v>
      </c>
      <c r="AD395" s="321" t="str">
        <f t="shared" si="190"/>
        <v>X-INYECCS</v>
      </c>
      <c r="AE395" s="321" t="str">
        <f t="shared" si="191"/>
        <v>X-INYECCX</v>
      </c>
      <c r="AF395" s="321" t="str">
        <f t="shared" si="192"/>
        <v>X-INYECCE</v>
      </c>
      <c r="AG395" s="321">
        <f t="shared" si="183"/>
        <v>23</v>
      </c>
      <c r="AH395" s="321">
        <f>IF(B395&lt;&gt;"",IF(H395="x",VLOOKUP(I395,'AUX-NIV3'!B:AG,32,FALSE),0),"")</f>
        <v>0</v>
      </c>
      <c r="AI395" s="321" t="str">
        <f t="shared" si="193"/>
        <v>X-INYECC</v>
      </c>
      <c r="AJ395" s="320"/>
      <c r="AK395" s="322">
        <f t="shared" si="184"/>
        <v>384</v>
      </c>
      <c r="AL395" s="323">
        <f t="shared" si="194"/>
        <v>406</v>
      </c>
      <c r="AM395" s="322">
        <f t="shared" si="195"/>
        <v>12</v>
      </c>
      <c r="AN395" s="380">
        <f>IF(AND(AH395&gt;0,B395&lt;&gt;""),VLOOKUP(I395,'AUX-NIV3'!$B:$AO,39,FALSE)*O395,0)</f>
        <v>0</v>
      </c>
      <c r="AO395" s="380">
        <f t="shared" si="185"/>
        <v>1.4285714285714284</v>
      </c>
      <c r="AP395" s="380"/>
    </row>
    <row r="396" spans="2:42" ht="14.4" hidden="1" thickTop="1" thickBot="1">
      <c r="B396" s="324" t="s">
        <v>131</v>
      </c>
      <c r="C396" s="325" t="s">
        <v>132</v>
      </c>
      <c r="D396" s="326" t="s">
        <v>477</v>
      </c>
      <c r="E396" s="327">
        <f>IF(B396&lt;&gt;"",SUMIF('AUX-NIV1'!I:I,'AUX-NIV2'!B396,'AUX-NIV1'!Q:Q),"")</f>
        <v>0</v>
      </c>
      <c r="F396" s="327">
        <f t="shared" si="175"/>
        <v>1300.89646496404</v>
      </c>
      <c r="G396" s="327">
        <f t="shared" si="176"/>
        <v>0</v>
      </c>
      <c r="H396" s="328" t="str">
        <f t="shared" si="173"/>
        <v>E</v>
      </c>
      <c r="I396" s="325" t="s">
        <v>1637</v>
      </c>
      <c r="J396" s="329" t="str">
        <f>IF(B396&lt;&gt;"",+VLOOKUP(I396,Recursos!C:F,2,FALSE),"")</f>
        <v>ELECTROBOMBA INYECTORA PARA AGUA</v>
      </c>
      <c r="K396" s="330" t="str">
        <f>IF(B396&lt;&gt;"",+VLOOKUP(I396,Recursos!C:F,3,FALSE),"")</f>
        <v>HR</v>
      </c>
      <c r="L396" s="327">
        <f>IF(B396&lt;&gt;"",+VLOOKUP(I396,Recursos!C:F,4,FALSE),"")</f>
        <v>85.722000000000008</v>
      </c>
      <c r="M396" s="331">
        <v>7</v>
      </c>
      <c r="N396" s="331">
        <v>0.5</v>
      </c>
      <c r="O396" s="332">
        <f t="shared" si="174"/>
        <v>7.1428571428571425E-2</v>
      </c>
      <c r="P396" s="333">
        <f t="shared" si="196"/>
        <v>6.1230000000000002</v>
      </c>
      <c r="Q396" s="327">
        <f t="shared" si="197"/>
        <v>0</v>
      </c>
      <c r="R396" s="334">
        <f t="shared" si="198"/>
        <v>0</v>
      </c>
      <c r="S396" s="335">
        <f t="shared" si="177"/>
        <v>695.23124551959552</v>
      </c>
      <c r="T396" s="335">
        <f t="shared" si="178"/>
        <v>598.96521944444453</v>
      </c>
      <c r="U396" s="336">
        <f t="shared" si="179"/>
        <v>6.7</v>
      </c>
      <c r="V396" s="336">
        <f t="shared" si="180"/>
        <v>0</v>
      </c>
      <c r="W396" s="336">
        <f t="shared" si="181"/>
        <v>0</v>
      </c>
      <c r="X396" s="336">
        <f t="shared" si="182"/>
        <v>0</v>
      </c>
      <c r="Y396" s="320"/>
      <c r="Z396" s="321" t="str">
        <f t="shared" si="186"/>
        <v>X-INYECCA</v>
      </c>
      <c r="AA396" s="321" t="str">
        <f t="shared" si="187"/>
        <v>X-INYECCE</v>
      </c>
      <c r="AB396" s="321" t="str">
        <f t="shared" si="188"/>
        <v>X-INYECCM</v>
      </c>
      <c r="AC396" s="321" t="str">
        <f t="shared" si="189"/>
        <v>X-INYECCT</v>
      </c>
      <c r="AD396" s="321" t="str">
        <f t="shared" si="190"/>
        <v>X-INYECCS</v>
      </c>
      <c r="AE396" s="321" t="str">
        <f t="shared" si="191"/>
        <v>X-INYECCX</v>
      </c>
      <c r="AF396" s="321" t="str">
        <f t="shared" si="192"/>
        <v>X-INYECCE</v>
      </c>
      <c r="AG396" s="321">
        <f t="shared" si="183"/>
        <v>23</v>
      </c>
      <c r="AH396" s="321">
        <f>IF(B396&lt;&gt;"",IF(H396="x",VLOOKUP(I396,'AUX-NIV3'!B:AG,32,FALSE),0),"")</f>
        <v>0</v>
      </c>
      <c r="AI396" s="321" t="str">
        <f t="shared" si="193"/>
        <v>X-INYECC</v>
      </c>
      <c r="AJ396" s="320"/>
      <c r="AK396" s="322">
        <f t="shared" si="184"/>
        <v>384</v>
      </c>
      <c r="AL396" s="323">
        <f t="shared" si="194"/>
        <v>406</v>
      </c>
      <c r="AM396" s="322">
        <f t="shared" si="195"/>
        <v>13</v>
      </c>
      <c r="AN396" s="380">
        <f>IF(AND(AH396&gt;0,B396&lt;&gt;""),VLOOKUP(I396,'AUX-NIV3'!$B:$AO,39,FALSE)*O396,0)</f>
        <v>0</v>
      </c>
      <c r="AO396" s="380">
        <f t="shared" si="185"/>
        <v>1.4285714285714284</v>
      </c>
      <c r="AP396" s="380"/>
    </row>
    <row r="397" spans="2:42" ht="14.4" hidden="1" thickTop="1" thickBot="1">
      <c r="B397" s="324" t="s">
        <v>131</v>
      </c>
      <c r="C397" s="325" t="s">
        <v>132</v>
      </c>
      <c r="D397" s="326" t="s">
        <v>477</v>
      </c>
      <c r="E397" s="327">
        <f>IF(B397&lt;&gt;"",SUMIF('AUX-NIV1'!I:I,'AUX-NIV2'!B397,'AUX-NIV1'!Q:Q),"")</f>
        <v>0</v>
      </c>
      <c r="F397" s="327">
        <f t="shared" si="175"/>
        <v>1300.89646496404</v>
      </c>
      <c r="G397" s="327">
        <f t="shared" si="176"/>
        <v>0</v>
      </c>
      <c r="H397" s="328" t="str">
        <f t="shared" si="173"/>
        <v>E</v>
      </c>
      <c r="I397" s="325" t="s">
        <v>1638</v>
      </c>
      <c r="J397" s="329" t="str">
        <f>IF(B397&lt;&gt;"",+VLOOKUP(I397,Recursos!C:F,2,FALSE),"")</f>
        <v>AGITADOR DE LECHADA</v>
      </c>
      <c r="K397" s="330" t="str">
        <f>IF(B397&lt;&gt;"",+VLOOKUP(I397,Recursos!C:F,3,FALSE),"")</f>
        <v>HR</v>
      </c>
      <c r="L397" s="327">
        <f>IF(B397&lt;&gt;"",+VLOOKUP(I397,Recursos!C:F,4,FALSE),"")</f>
        <v>68.577600000000004</v>
      </c>
      <c r="M397" s="331">
        <v>7</v>
      </c>
      <c r="N397" s="331">
        <v>0.5</v>
      </c>
      <c r="O397" s="332">
        <f t="shared" si="174"/>
        <v>7.1428571428571425E-2</v>
      </c>
      <c r="P397" s="333">
        <f t="shared" si="196"/>
        <v>4.8983999999999996</v>
      </c>
      <c r="Q397" s="327">
        <f t="shared" si="197"/>
        <v>0</v>
      </c>
      <c r="R397" s="334">
        <f t="shared" si="198"/>
        <v>0</v>
      </c>
      <c r="S397" s="335">
        <f t="shared" si="177"/>
        <v>695.23124551959552</v>
      </c>
      <c r="T397" s="335">
        <f t="shared" si="178"/>
        <v>598.96521944444453</v>
      </c>
      <c r="U397" s="336">
        <f t="shared" si="179"/>
        <v>6.7</v>
      </c>
      <c r="V397" s="336">
        <f t="shared" si="180"/>
        <v>0</v>
      </c>
      <c r="W397" s="336">
        <f t="shared" si="181"/>
        <v>0</v>
      </c>
      <c r="X397" s="336">
        <f t="shared" si="182"/>
        <v>0</v>
      </c>
      <c r="Y397" s="320"/>
      <c r="Z397" s="321" t="str">
        <f t="shared" si="186"/>
        <v>X-INYECCA</v>
      </c>
      <c r="AA397" s="321" t="str">
        <f t="shared" si="187"/>
        <v>X-INYECCE</v>
      </c>
      <c r="AB397" s="321" t="str">
        <f t="shared" si="188"/>
        <v>X-INYECCM</v>
      </c>
      <c r="AC397" s="321" t="str">
        <f t="shared" si="189"/>
        <v>X-INYECCT</v>
      </c>
      <c r="AD397" s="321" t="str">
        <f t="shared" si="190"/>
        <v>X-INYECCS</v>
      </c>
      <c r="AE397" s="321" t="str">
        <f t="shared" si="191"/>
        <v>X-INYECCX</v>
      </c>
      <c r="AF397" s="321" t="str">
        <f t="shared" si="192"/>
        <v>X-INYECCE</v>
      </c>
      <c r="AG397" s="321">
        <f t="shared" si="183"/>
        <v>23</v>
      </c>
      <c r="AH397" s="321">
        <f>IF(B397&lt;&gt;"",IF(H397="x",VLOOKUP(I397,'AUX-NIV3'!B:AG,32,FALSE),0),"")</f>
        <v>0</v>
      </c>
      <c r="AI397" s="321" t="str">
        <f t="shared" si="193"/>
        <v>X-INYECC</v>
      </c>
      <c r="AJ397" s="320"/>
      <c r="AK397" s="322">
        <f t="shared" si="184"/>
        <v>384</v>
      </c>
      <c r="AL397" s="323">
        <f t="shared" si="194"/>
        <v>406</v>
      </c>
      <c r="AM397" s="322">
        <f t="shared" si="195"/>
        <v>14</v>
      </c>
      <c r="AN397" s="380">
        <f>IF(AND(AH397&gt;0,B397&lt;&gt;""),VLOOKUP(I397,'AUX-NIV3'!$B:$AO,39,FALSE)*O397,0)</f>
        <v>0</v>
      </c>
      <c r="AO397" s="380">
        <f t="shared" si="185"/>
        <v>1.4285714285714284</v>
      </c>
      <c r="AP397" s="380"/>
    </row>
    <row r="398" spans="2:42" ht="14.4" hidden="1" thickTop="1" thickBot="1">
      <c r="B398" s="324" t="s">
        <v>131</v>
      </c>
      <c r="C398" s="325" t="s">
        <v>132</v>
      </c>
      <c r="D398" s="326" t="s">
        <v>477</v>
      </c>
      <c r="E398" s="327">
        <f>IF(B398&lt;&gt;"",SUMIF('AUX-NIV1'!I:I,'AUX-NIV2'!B398,'AUX-NIV1'!Q:Q),"")</f>
        <v>0</v>
      </c>
      <c r="F398" s="327">
        <f t="shared" si="175"/>
        <v>1300.89646496404</v>
      </c>
      <c r="G398" s="327">
        <f t="shared" si="176"/>
        <v>0</v>
      </c>
      <c r="H398" s="328" t="str">
        <f t="shared" si="173"/>
        <v>E</v>
      </c>
      <c r="I398" s="325" t="s">
        <v>1588</v>
      </c>
      <c r="J398" s="329" t="str">
        <f>IF(B398&lt;&gt;"",+VLOOKUP(I398,Recursos!C:F,2,FALSE),"")</f>
        <v>GRUPO ELECTROGENO 64 KVA-50 KW</v>
      </c>
      <c r="K398" s="330" t="str">
        <f>IF(B398&lt;&gt;"",+VLOOKUP(I398,Recursos!C:F,3,FALSE),"")</f>
        <v>HR</v>
      </c>
      <c r="L398" s="327">
        <f>IF(B398&lt;&gt;"",+VLOOKUP(I398,Recursos!C:F,4,FALSE),"")</f>
        <v>1214.3448000000001</v>
      </c>
      <c r="M398" s="331">
        <v>7</v>
      </c>
      <c r="N398" s="331">
        <v>0.5</v>
      </c>
      <c r="O398" s="332">
        <f t="shared" si="174"/>
        <v>7.1428571428571425E-2</v>
      </c>
      <c r="P398" s="333">
        <f t="shared" si="196"/>
        <v>86.738914285714287</v>
      </c>
      <c r="Q398" s="327">
        <f t="shared" si="197"/>
        <v>0</v>
      </c>
      <c r="R398" s="334">
        <f t="shared" si="198"/>
        <v>0</v>
      </c>
      <c r="S398" s="335">
        <f t="shared" si="177"/>
        <v>695.23124551959552</v>
      </c>
      <c r="T398" s="335">
        <f t="shared" si="178"/>
        <v>598.96521944444453</v>
      </c>
      <c r="U398" s="336">
        <f t="shared" si="179"/>
        <v>6.7</v>
      </c>
      <c r="V398" s="336">
        <f t="shared" si="180"/>
        <v>0</v>
      </c>
      <c r="W398" s="336">
        <f t="shared" si="181"/>
        <v>0</v>
      </c>
      <c r="X398" s="336">
        <f t="shared" si="182"/>
        <v>0</v>
      </c>
      <c r="Y398" s="320"/>
      <c r="Z398" s="321" t="str">
        <f t="shared" si="186"/>
        <v>X-INYECCA</v>
      </c>
      <c r="AA398" s="321" t="str">
        <f t="shared" si="187"/>
        <v>X-INYECCE</v>
      </c>
      <c r="AB398" s="321" t="str">
        <f t="shared" si="188"/>
        <v>X-INYECCM</v>
      </c>
      <c r="AC398" s="321" t="str">
        <f t="shared" si="189"/>
        <v>X-INYECCT</v>
      </c>
      <c r="AD398" s="321" t="str">
        <f t="shared" si="190"/>
        <v>X-INYECCS</v>
      </c>
      <c r="AE398" s="321" t="str">
        <f t="shared" si="191"/>
        <v>X-INYECCX</v>
      </c>
      <c r="AF398" s="321" t="str">
        <f t="shared" si="192"/>
        <v>X-INYECCE</v>
      </c>
      <c r="AG398" s="321">
        <f t="shared" si="183"/>
        <v>23</v>
      </c>
      <c r="AH398" s="321">
        <f>IF(B398&lt;&gt;"",IF(H398="x",VLOOKUP(I398,'AUX-NIV3'!B:AG,32,FALSE),0),"")</f>
        <v>0</v>
      </c>
      <c r="AI398" s="321" t="str">
        <f t="shared" si="193"/>
        <v>X-INYECC</v>
      </c>
      <c r="AJ398" s="320"/>
      <c r="AK398" s="322">
        <f t="shared" si="184"/>
        <v>384</v>
      </c>
      <c r="AL398" s="323">
        <f t="shared" si="194"/>
        <v>406</v>
      </c>
      <c r="AM398" s="322">
        <f t="shared" si="195"/>
        <v>15</v>
      </c>
      <c r="AN398" s="380">
        <f>IF(AND(AH398&gt;0,B398&lt;&gt;""),VLOOKUP(I398,'AUX-NIV3'!$B:$AO,39,FALSE)*O398,0)</f>
        <v>0</v>
      </c>
      <c r="AO398" s="380">
        <f t="shared" si="185"/>
        <v>1.4285714285714284</v>
      </c>
      <c r="AP398" s="380"/>
    </row>
    <row r="399" spans="2:42" ht="14.4" hidden="1" thickTop="1" thickBot="1">
      <c r="B399" s="324" t="s">
        <v>131</v>
      </c>
      <c r="C399" s="325" t="s">
        <v>132</v>
      </c>
      <c r="D399" s="326" t="s">
        <v>477</v>
      </c>
      <c r="E399" s="327">
        <f>IF(B399&lt;&gt;"",SUMIF('AUX-NIV1'!I:I,'AUX-NIV2'!B399,'AUX-NIV1'!Q:Q),"")</f>
        <v>0</v>
      </c>
      <c r="F399" s="327">
        <f t="shared" si="175"/>
        <v>1300.89646496404</v>
      </c>
      <c r="G399" s="327">
        <f t="shared" si="176"/>
        <v>0</v>
      </c>
      <c r="H399" s="328" t="str">
        <f t="shared" si="173"/>
        <v>E</v>
      </c>
      <c r="I399" s="325" t="s">
        <v>1581</v>
      </c>
      <c r="J399" s="329" t="str">
        <f>IF(B399&lt;&gt;"",+VLOOKUP(I399,Recursos!C:F,2,FALSE),"")</f>
        <v>MOTOCOMPRESOR 5 M3/MIN-175 CFM</v>
      </c>
      <c r="K399" s="330" t="str">
        <f>IF(B399&lt;&gt;"",+VLOOKUP(I399,Recursos!C:F,3,FALSE),"")</f>
        <v>HR</v>
      </c>
      <c r="L399" s="327">
        <f>IF(B399&lt;&gt;"",+VLOOKUP(I399,Recursos!C:F,4,FALSE),"")</f>
        <v>1186.33205</v>
      </c>
      <c r="M399" s="331">
        <v>7</v>
      </c>
      <c r="N399" s="331">
        <v>0.5</v>
      </c>
      <c r="O399" s="332">
        <f t="shared" si="174"/>
        <v>7.1428571428571425E-2</v>
      </c>
      <c r="P399" s="333">
        <f t="shared" si="196"/>
        <v>84.738003571428564</v>
      </c>
      <c r="Q399" s="327">
        <f t="shared" si="197"/>
        <v>0</v>
      </c>
      <c r="R399" s="334">
        <f t="shared" si="198"/>
        <v>0</v>
      </c>
      <c r="S399" s="335">
        <f t="shared" si="177"/>
        <v>695.23124551959552</v>
      </c>
      <c r="T399" s="335">
        <f t="shared" si="178"/>
        <v>598.96521944444453</v>
      </c>
      <c r="U399" s="336">
        <f t="shared" si="179"/>
        <v>6.7</v>
      </c>
      <c r="V399" s="336">
        <f t="shared" si="180"/>
        <v>0</v>
      </c>
      <c r="W399" s="336">
        <f t="shared" si="181"/>
        <v>0</v>
      </c>
      <c r="X399" s="336">
        <f t="shared" si="182"/>
        <v>0</v>
      </c>
      <c r="Y399" s="320"/>
      <c r="Z399" s="321" t="str">
        <f t="shared" si="186"/>
        <v>X-INYECCA</v>
      </c>
      <c r="AA399" s="321" t="str">
        <f t="shared" si="187"/>
        <v>X-INYECCE</v>
      </c>
      <c r="AB399" s="321" t="str">
        <f t="shared" si="188"/>
        <v>X-INYECCM</v>
      </c>
      <c r="AC399" s="321" t="str">
        <f t="shared" si="189"/>
        <v>X-INYECCT</v>
      </c>
      <c r="AD399" s="321" t="str">
        <f t="shared" si="190"/>
        <v>X-INYECCS</v>
      </c>
      <c r="AE399" s="321" t="str">
        <f t="shared" si="191"/>
        <v>X-INYECCX</v>
      </c>
      <c r="AF399" s="321" t="str">
        <f t="shared" si="192"/>
        <v>X-INYECCE</v>
      </c>
      <c r="AG399" s="321">
        <f t="shared" si="183"/>
        <v>23</v>
      </c>
      <c r="AH399" s="321">
        <f>IF(B399&lt;&gt;"",IF(H399="x",VLOOKUP(I399,'AUX-NIV3'!B:AG,32,FALSE),0),"")</f>
        <v>0</v>
      </c>
      <c r="AI399" s="321" t="str">
        <f t="shared" si="193"/>
        <v>X-INYECC</v>
      </c>
      <c r="AJ399" s="320"/>
      <c r="AK399" s="322">
        <f t="shared" si="184"/>
        <v>384</v>
      </c>
      <c r="AL399" s="323">
        <f t="shared" si="194"/>
        <v>406</v>
      </c>
      <c r="AM399" s="322">
        <f t="shared" si="195"/>
        <v>16</v>
      </c>
      <c r="AN399" s="380">
        <f>IF(AND(AH399&gt;0,B399&lt;&gt;""),VLOOKUP(I399,'AUX-NIV3'!$B:$AO,39,FALSE)*O399,0)</f>
        <v>0</v>
      </c>
      <c r="AO399" s="380">
        <f t="shared" si="185"/>
        <v>1.4285714285714284</v>
      </c>
      <c r="AP399" s="380"/>
    </row>
    <row r="400" spans="2:42" ht="14.4" hidden="1" thickTop="1" thickBot="1">
      <c r="B400" s="324" t="s">
        <v>131</v>
      </c>
      <c r="C400" s="325" t="s">
        <v>132</v>
      </c>
      <c r="D400" s="326" t="s">
        <v>477</v>
      </c>
      <c r="E400" s="327">
        <f>IF(B400&lt;&gt;"",SUMIF('AUX-NIV1'!I:I,'AUX-NIV2'!B400,'AUX-NIV1'!Q:Q),"")</f>
        <v>0</v>
      </c>
      <c r="F400" s="327">
        <f t="shared" si="175"/>
        <v>1300.89646496404</v>
      </c>
      <c r="G400" s="327">
        <f t="shared" si="176"/>
        <v>0</v>
      </c>
      <c r="H400" s="328" t="str">
        <f t="shared" si="173"/>
        <v>E</v>
      </c>
      <c r="I400" s="325" t="s">
        <v>1579</v>
      </c>
      <c r="J400" s="329" t="str">
        <f>IF(B400&lt;&gt;"",+VLOOKUP(I400,Recursos!C:F,2,FALSE),"")</f>
        <v>TRACTOR PANTANERO 8 CUBIERTAS</v>
      </c>
      <c r="K400" s="330" t="str">
        <f>IF(B400&lt;&gt;"",+VLOOKUP(I400,Recursos!C:F,3,FALSE),"")</f>
        <v>HR</v>
      </c>
      <c r="L400" s="327">
        <f>IF(B400&lt;&gt;"",+VLOOKUP(I400,Recursos!C:F,4,FALSE),"")</f>
        <v>3411.4653333333331</v>
      </c>
      <c r="M400" s="331">
        <v>7</v>
      </c>
      <c r="N400" s="331">
        <v>0</v>
      </c>
      <c r="O400" s="332">
        <f t="shared" si="174"/>
        <v>0</v>
      </c>
      <c r="P400" s="333">
        <f t="shared" si="196"/>
        <v>0</v>
      </c>
      <c r="Q400" s="327">
        <f t="shared" si="197"/>
        <v>0</v>
      </c>
      <c r="R400" s="334">
        <f t="shared" si="198"/>
        <v>0</v>
      </c>
      <c r="S400" s="335">
        <f t="shared" si="177"/>
        <v>695.23124551959552</v>
      </c>
      <c r="T400" s="335">
        <f t="shared" si="178"/>
        <v>598.96521944444453</v>
      </c>
      <c r="U400" s="336">
        <f t="shared" si="179"/>
        <v>6.7</v>
      </c>
      <c r="V400" s="336">
        <f t="shared" si="180"/>
        <v>0</v>
      </c>
      <c r="W400" s="336">
        <f t="shared" si="181"/>
        <v>0</v>
      </c>
      <c r="X400" s="336">
        <f t="shared" si="182"/>
        <v>0</v>
      </c>
      <c r="Y400" s="320"/>
      <c r="Z400" s="321" t="str">
        <f t="shared" si="186"/>
        <v>X-INYECCA</v>
      </c>
      <c r="AA400" s="321" t="str">
        <f t="shared" si="187"/>
        <v>X-INYECCE</v>
      </c>
      <c r="AB400" s="321" t="str">
        <f t="shared" si="188"/>
        <v>X-INYECCM</v>
      </c>
      <c r="AC400" s="321" t="str">
        <f t="shared" si="189"/>
        <v>X-INYECCT</v>
      </c>
      <c r="AD400" s="321" t="str">
        <f t="shared" si="190"/>
        <v>X-INYECCS</v>
      </c>
      <c r="AE400" s="321" t="str">
        <f t="shared" si="191"/>
        <v>X-INYECCX</v>
      </c>
      <c r="AF400" s="321" t="str">
        <f t="shared" si="192"/>
        <v>X-INYECCE</v>
      </c>
      <c r="AG400" s="321">
        <f t="shared" si="183"/>
        <v>23</v>
      </c>
      <c r="AH400" s="321">
        <f>IF(B400&lt;&gt;"",IF(H400="x",VLOOKUP(I400,'AUX-NIV3'!B:AG,32,FALSE),0),"")</f>
        <v>0</v>
      </c>
      <c r="AI400" s="321" t="str">
        <f t="shared" si="193"/>
        <v>X-INYECC</v>
      </c>
      <c r="AJ400" s="320"/>
      <c r="AK400" s="322">
        <f t="shared" si="184"/>
        <v>384</v>
      </c>
      <c r="AL400" s="323">
        <f t="shared" si="194"/>
        <v>406</v>
      </c>
      <c r="AM400" s="322">
        <f t="shared" si="195"/>
        <v>17</v>
      </c>
      <c r="AN400" s="380">
        <f>IF(AND(AH400&gt;0,B400&lt;&gt;""),VLOOKUP(I400,'AUX-NIV3'!$B:$AO,39,FALSE)*O400,0)</f>
        <v>0</v>
      </c>
      <c r="AO400" s="380">
        <f t="shared" si="185"/>
        <v>1.4285714285714284</v>
      </c>
      <c r="AP400" s="380"/>
    </row>
    <row r="401" spans="2:42" ht="14.4" hidden="1" thickTop="1" thickBot="1">
      <c r="B401" s="324" t="s">
        <v>131</v>
      </c>
      <c r="C401" s="325" t="s">
        <v>132</v>
      </c>
      <c r="D401" s="326" t="s">
        <v>477</v>
      </c>
      <c r="E401" s="327">
        <f>IF(B401&lt;&gt;"",SUMIF('AUX-NIV1'!I:I,'AUX-NIV2'!B401,'AUX-NIV1'!Q:Q),"")</f>
        <v>0</v>
      </c>
      <c r="F401" s="327">
        <f t="shared" si="175"/>
        <v>1300.89646496404</v>
      </c>
      <c r="G401" s="327">
        <f t="shared" si="176"/>
        <v>0</v>
      </c>
      <c r="H401" s="328" t="str">
        <f t="shared" si="173"/>
        <v>E</v>
      </c>
      <c r="I401" s="325" t="s">
        <v>1564</v>
      </c>
      <c r="J401" s="329" t="str">
        <f>IF(B401&lt;&gt;"",+VLOOKUP(I401,Recursos!C:F,2,FALSE),"")</f>
        <v>ACOPLADO O TANQUE CAP. 10 m3</v>
      </c>
      <c r="K401" s="330" t="str">
        <f>IF(B401&lt;&gt;"",+VLOOKUP(I401,Recursos!C:F,3,FALSE),"")</f>
        <v>HR</v>
      </c>
      <c r="L401" s="327">
        <f>IF(B401&lt;&gt;"",+VLOOKUP(I401,Recursos!C:F,4,FALSE),"")</f>
        <v>200.018</v>
      </c>
      <c r="M401" s="331">
        <v>7</v>
      </c>
      <c r="N401" s="331">
        <v>1</v>
      </c>
      <c r="O401" s="332">
        <f t="shared" si="174"/>
        <v>0.14285714285714285</v>
      </c>
      <c r="P401" s="333">
        <f t="shared" si="196"/>
        <v>28.573999999999998</v>
      </c>
      <c r="Q401" s="327">
        <f t="shared" si="197"/>
        <v>0</v>
      </c>
      <c r="R401" s="334">
        <f t="shared" si="198"/>
        <v>0</v>
      </c>
      <c r="S401" s="335">
        <f t="shared" si="177"/>
        <v>695.23124551959552</v>
      </c>
      <c r="T401" s="335">
        <f t="shared" si="178"/>
        <v>598.96521944444453</v>
      </c>
      <c r="U401" s="336">
        <f t="shared" si="179"/>
        <v>6.7</v>
      </c>
      <c r="V401" s="336">
        <f t="shared" si="180"/>
        <v>0</v>
      </c>
      <c r="W401" s="336">
        <f t="shared" si="181"/>
        <v>0</v>
      </c>
      <c r="X401" s="336">
        <f t="shared" si="182"/>
        <v>0</v>
      </c>
      <c r="Y401" s="320"/>
      <c r="Z401" s="321" t="str">
        <f t="shared" si="186"/>
        <v>X-INYECCA</v>
      </c>
      <c r="AA401" s="321" t="str">
        <f t="shared" si="187"/>
        <v>X-INYECCE</v>
      </c>
      <c r="AB401" s="321" t="str">
        <f t="shared" si="188"/>
        <v>X-INYECCM</v>
      </c>
      <c r="AC401" s="321" t="str">
        <f t="shared" si="189"/>
        <v>X-INYECCT</v>
      </c>
      <c r="AD401" s="321" t="str">
        <f t="shared" si="190"/>
        <v>X-INYECCS</v>
      </c>
      <c r="AE401" s="321" t="str">
        <f t="shared" si="191"/>
        <v>X-INYECCX</v>
      </c>
      <c r="AF401" s="321" t="str">
        <f t="shared" si="192"/>
        <v>X-INYECCE</v>
      </c>
      <c r="AG401" s="321">
        <f t="shared" si="183"/>
        <v>23</v>
      </c>
      <c r="AH401" s="321">
        <f>IF(B401&lt;&gt;"",IF(H401="x",VLOOKUP(I401,'AUX-NIV3'!B:AG,32,FALSE),0),"")</f>
        <v>0</v>
      </c>
      <c r="AI401" s="321" t="str">
        <f t="shared" si="193"/>
        <v>X-INYECC</v>
      </c>
      <c r="AJ401" s="320"/>
      <c r="AK401" s="322">
        <f t="shared" si="184"/>
        <v>384</v>
      </c>
      <c r="AL401" s="323">
        <f t="shared" si="194"/>
        <v>406</v>
      </c>
      <c r="AM401" s="322">
        <f t="shared" si="195"/>
        <v>18</v>
      </c>
      <c r="AN401" s="380">
        <f>IF(AND(AH401&gt;0,B401&lt;&gt;""),VLOOKUP(I401,'AUX-NIV3'!$B:$AO,39,FALSE)*O401,0)</f>
        <v>0</v>
      </c>
      <c r="AO401" s="380">
        <f t="shared" si="185"/>
        <v>1.4285714285714284</v>
      </c>
      <c r="AP401" s="380"/>
    </row>
    <row r="402" spans="2:42" ht="14.4" hidden="1" thickTop="1" thickBot="1">
      <c r="B402" s="324" t="s">
        <v>131</v>
      </c>
      <c r="C402" s="325" t="s">
        <v>132</v>
      </c>
      <c r="D402" s="326" t="s">
        <v>477</v>
      </c>
      <c r="E402" s="327">
        <f>IF(B402&lt;&gt;"",SUMIF('AUX-NIV1'!I:I,'AUX-NIV2'!B402,'AUX-NIV1'!Q:Q),"")</f>
        <v>0</v>
      </c>
      <c r="F402" s="327">
        <f t="shared" si="175"/>
        <v>1300.89646496404</v>
      </c>
      <c r="G402" s="327">
        <f t="shared" si="176"/>
        <v>0</v>
      </c>
      <c r="H402" s="328" t="str">
        <f t="shared" si="173"/>
        <v>E</v>
      </c>
      <c r="I402" s="325" t="s">
        <v>1557</v>
      </c>
      <c r="J402" s="329" t="str">
        <f>IF(B402&lt;&gt;"",+VLOOKUP(I402,Recursos!C:F,2,FALSE),"")</f>
        <v>CAMION SEMIRREMOLQUE CAP. 30 T 6x4</v>
      </c>
      <c r="K402" s="330" t="str">
        <f>IF(B402&lt;&gt;"",+VLOOKUP(I402,Recursos!C:F,3,FALSE),"")</f>
        <v>HR</v>
      </c>
      <c r="L402" s="327">
        <f>IF(B402&lt;&gt;"",+VLOOKUP(I402,Recursos!C:F,4,FALSE),"")</f>
        <v>3156.8051111111108</v>
      </c>
      <c r="M402" s="331">
        <v>7</v>
      </c>
      <c r="N402" s="331">
        <v>0.1</v>
      </c>
      <c r="O402" s="332">
        <f t="shared" si="174"/>
        <v>1.4285714285714287E-2</v>
      </c>
      <c r="P402" s="333">
        <f t="shared" si="196"/>
        <v>45.09721587301587</v>
      </c>
      <c r="Q402" s="327">
        <f t="shared" si="197"/>
        <v>0</v>
      </c>
      <c r="R402" s="334">
        <f t="shared" si="198"/>
        <v>0</v>
      </c>
      <c r="S402" s="335">
        <f t="shared" si="177"/>
        <v>695.23124551959552</v>
      </c>
      <c r="T402" s="335">
        <f t="shared" si="178"/>
        <v>598.96521944444453</v>
      </c>
      <c r="U402" s="336">
        <f t="shared" si="179"/>
        <v>6.7</v>
      </c>
      <c r="V402" s="336">
        <f t="shared" si="180"/>
        <v>0</v>
      </c>
      <c r="W402" s="336">
        <f t="shared" si="181"/>
        <v>0</v>
      </c>
      <c r="X402" s="336">
        <f t="shared" si="182"/>
        <v>0</v>
      </c>
      <c r="Y402" s="320"/>
      <c r="Z402" s="321" t="str">
        <f t="shared" si="186"/>
        <v>X-INYECCA</v>
      </c>
      <c r="AA402" s="321" t="str">
        <f t="shared" si="187"/>
        <v>X-INYECCE</v>
      </c>
      <c r="AB402" s="321" t="str">
        <f t="shared" si="188"/>
        <v>X-INYECCM</v>
      </c>
      <c r="AC402" s="321" t="str">
        <f t="shared" si="189"/>
        <v>X-INYECCT</v>
      </c>
      <c r="AD402" s="321" t="str">
        <f t="shared" si="190"/>
        <v>X-INYECCS</v>
      </c>
      <c r="AE402" s="321" t="str">
        <f t="shared" si="191"/>
        <v>X-INYECCX</v>
      </c>
      <c r="AF402" s="321" t="str">
        <f t="shared" si="192"/>
        <v>X-INYECCE</v>
      </c>
      <c r="AG402" s="321">
        <f t="shared" si="183"/>
        <v>23</v>
      </c>
      <c r="AH402" s="321">
        <f>IF(B402&lt;&gt;"",IF(H402="x",VLOOKUP(I402,'AUX-NIV3'!B:AG,32,FALSE),0),"")</f>
        <v>0</v>
      </c>
      <c r="AI402" s="321" t="str">
        <f t="shared" si="193"/>
        <v>X-INYECC</v>
      </c>
      <c r="AJ402" s="320"/>
      <c r="AK402" s="322">
        <f t="shared" si="184"/>
        <v>384</v>
      </c>
      <c r="AL402" s="323">
        <f t="shared" si="194"/>
        <v>406</v>
      </c>
      <c r="AM402" s="322">
        <f t="shared" si="195"/>
        <v>19</v>
      </c>
      <c r="AN402" s="380">
        <f>IF(AND(AH402&gt;0,B402&lt;&gt;""),VLOOKUP(I402,'AUX-NIV3'!$B:$AO,39,FALSE)*O402,0)</f>
        <v>0</v>
      </c>
      <c r="AO402" s="380">
        <f t="shared" si="185"/>
        <v>1.4285714285714284</v>
      </c>
      <c r="AP402" s="380"/>
    </row>
    <row r="403" spans="2:42" ht="14.4" hidden="1" thickTop="1" thickBot="1">
      <c r="B403" s="324" t="s">
        <v>131</v>
      </c>
      <c r="C403" s="325" t="s">
        <v>132</v>
      </c>
      <c r="D403" s="326" t="s">
        <v>477</v>
      </c>
      <c r="E403" s="327">
        <f>IF(B403&lt;&gt;"",SUMIF('AUX-NIV1'!I:I,'AUX-NIV2'!B403,'AUX-NIV1'!Q:Q),"")</f>
        <v>0</v>
      </c>
      <c r="F403" s="327">
        <f t="shared" si="175"/>
        <v>1300.89646496404</v>
      </c>
      <c r="G403" s="327">
        <f t="shared" si="176"/>
        <v>0</v>
      </c>
      <c r="H403" s="328" t="str">
        <f t="shared" si="173"/>
        <v>E</v>
      </c>
      <c r="I403" s="325" t="s">
        <v>1545</v>
      </c>
      <c r="J403" s="329" t="str">
        <f>IF(B403&lt;&gt;"",+VLOOKUP(I403,Recursos!C:F,2,FALSE),"")</f>
        <v>TORRE DE ILUMINACION</v>
      </c>
      <c r="K403" s="330" t="str">
        <f>IF(B403&lt;&gt;"",+VLOOKUP(I403,Recursos!C:F,3,FALSE),"")</f>
        <v>HR</v>
      </c>
      <c r="L403" s="327">
        <f>IF(B403&lt;&gt;"",+VLOOKUP(I403,Recursos!C:F,4,FALSE),"")</f>
        <v>323.2944</v>
      </c>
      <c r="M403" s="331">
        <v>7</v>
      </c>
      <c r="N403" s="331">
        <v>0.5</v>
      </c>
      <c r="O403" s="332">
        <f t="shared" si="174"/>
        <v>7.1428571428571425E-2</v>
      </c>
      <c r="P403" s="333">
        <f t="shared" si="196"/>
        <v>23.092457142857143</v>
      </c>
      <c r="Q403" s="327">
        <f t="shared" si="197"/>
        <v>0</v>
      </c>
      <c r="R403" s="334">
        <f t="shared" si="198"/>
        <v>0</v>
      </c>
      <c r="S403" s="335">
        <f t="shared" si="177"/>
        <v>695.23124551959552</v>
      </c>
      <c r="T403" s="335">
        <f t="shared" si="178"/>
        <v>598.96521944444453</v>
      </c>
      <c r="U403" s="336">
        <f t="shared" si="179"/>
        <v>6.7</v>
      </c>
      <c r="V403" s="336">
        <f t="shared" si="180"/>
        <v>0</v>
      </c>
      <c r="W403" s="336">
        <f t="shared" si="181"/>
        <v>0</v>
      </c>
      <c r="X403" s="336">
        <f t="shared" si="182"/>
        <v>0</v>
      </c>
      <c r="Y403" s="320"/>
      <c r="Z403" s="321" t="str">
        <f t="shared" si="186"/>
        <v>X-INYECCA</v>
      </c>
      <c r="AA403" s="321" t="str">
        <f t="shared" si="187"/>
        <v>X-INYECCE</v>
      </c>
      <c r="AB403" s="321" t="str">
        <f t="shared" si="188"/>
        <v>X-INYECCM</v>
      </c>
      <c r="AC403" s="321" t="str">
        <f t="shared" si="189"/>
        <v>X-INYECCT</v>
      </c>
      <c r="AD403" s="321" t="str">
        <f t="shared" si="190"/>
        <v>X-INYECCS</v>
      </c>
      <c r="AE403" s="321" t="str">
        <f t="shared" si="191"/>
        <v>X-INYECCX</v>
      </c>
      <c r="AF403" s="321" t="str">
        <f t="shared" si="192"/>
        <v>X-INYECCE</v>
      </c>
      <c r="AG403" s="321">
        <f t="shared" si="183"/>
        <v>23</v>
      </c>
      <c r="AH403" s="321">
        <f>IF(B403&lt;&gt;"",IF(H403="x",VLOOKUP(I403,'AUX-NIV3'!B:AG,32,FALSE),0),"")</f>
        <v>0</v>
      </c>
      <c r="AI403" s="321" t="str">
        <f t="shared" si="193"/>
        <v>X-INYECC</v>
      </c>
      <c r="AJ403" s="320"/>
      <c r="AK403" s="322">
        <f t="shared" si="184"/>
        <v>384</v>
      </c>
      <c r="AL403" s="323">
        <f t="shared" si="194"/>
        <v>406</v>
      </c>
      <c r="AM403" s="322">
        <f t="shared" si="195"/>
        <v>20</v>
      </c>
      <c r="AN403" s="380">
        <f>IF(AND(AH403&gt;0,B403&lt;&gt;""),VLOOKUP(I403,'AUX-NIV3'!$B:$AO,39,FALSE)*O403,0)</f>
        <v>0</v>
      </c>
      <c r="AO403" s="380">
        <f t="shared" si="185"/>
        <v>1.4285714285714284</v>
      </c>
      <c r="AP403" s="380"/>
    </row>
    <row r="404" spans="2:42" ht="14.4" hidden="1" thickTop="1" thickBot="1">
      <c r="B404" s="324" t="s">
        <v>131</v>
      </c>
      <c r="C404" s="325" t="s">
        <v>132</v>
      </c>
      <c r="D404" s="326" t="s">
        <v>477</v>
      </c>
      <c r="E404" s="327">
        <f>IF(B404&lt;&gt;"",SUMIF('AUX-NIV1'!I:I,'AUX-NIV2'!B404,'AUX-NIV1'!Q:Q),"")</f>
        <v>0</v>
      </c>
      <c r="F404" s="327">
        <f t="shared" si="175"/>
        <v>1300.89646496404</v>
      </c>
      <c r="G404" s="327">
        <f t="shared" si="176"/>
        <v>0</v>
      </c>
      <c r="H404" s="328" t="str">
        <f t="shared" si="173"/>
        <v>M</v>
      </c>
      <c r="I404" s="325" t="s">
        <v>621</v>
      </c>
      <c r="J404" s="329" t="str">
        <f>IF(B404&lt;&gt;"",+VLOOKUP(I404,Recursos!C:F,2,FALSE),"")</f>
        <v>MATERIALES VARIOS</v>
      </c>
      <c r="K404" s="330" t="str">
        <f>IF(B404&lt;&gt;"",+VLOOKUP(I404,Recursos!C:F,3,FALSE),"")</f>
        <v>GL</v>
      </c>
      <c r="L404" s="327">
        <f>IF(B404&lt;&gt;"",+VLOOKUP(I404,Recursos!C:F,4,FALSE),"")</f>
        <v>0.5</v>
      </c>
      <c r="M404" s="331">
        <v>1</v>
      </c>
      <c r="N404" s="331">
        <v>1</v>
      </c>
      <c r="O404" s="332">
        <f t="shared" si="174"/>
        <v>1</v>
      </c>
      <c r="P404" s="333">
        <f t="shared" si="196"/>
        <v>0.5</v>
      </c>
      <c r="Q404" s="327">
        <f t="shared" si="197"/>
        <v>0</v>
      </c>
      <c r="R404" s="334">
        <f t="shared" si="198"/>
        <v>0</v>
      </c>
      <c r="S404" s="335">
        <f t="shared" si="177"/>
        <v>695.23124551959552</v>
      </c>
      <c r="T404" s="335">
        <f t="shared" si="178"/>
        <v>598.96521944444453</v>
      </c>
      <c r="U404" s="336">
        <f t="shared" si="179"/>
        <v>6.7</v>
      </c>
      <c r="V404" s="336">
        <f t="shared" si="180"/>
        <v>0</v>
      </c>
      <c r="W404" s="336">
        <f t="shared" si="181"/>
        <v>0</v>
      </c>
      <c r="X404" s="336">
        <f t="shared" si="182"/>
        <v>0</v>
      </c>
      <c r="Y404" s="320"/>
      <c r="Z404" s="321" t="str">
        <f t="shared" si="186"/>
        <v>X-INYECCA</v>
      </c>
      <c r="AA404" s="321" t="str">
        <f t="shared" si="187"/>
        <v>X-INYECCE</v>
      </c>
      <c r="AB404" s="321" t="str">
        <f t="shared" si="188"/>
        <v>X-INYECCM</v>
      </c>
      <c r="AC404" s="321" t="str">
        <f t="shared" si="189"/>
        <v>X-INYECCT</v>
      </c>
      <c r="AD404" s="321" t="str">
        <f t="shared" si="190"/>
        <v>X-INYECCS</v>
      </c>
      <c r="AE404" s="321" t="str">
        <f t="shared" si="191"/>
        <v>X-INYECCX</v>
      </c>
      <c r="AF404" s="321" t="str">
        <f t="shared" si="192"/>
        <v>X-INYECCM</v>
      </c>
      <c r="AG404" s="321">
        <f t="shared" si="183"/>
        <v>23</v>
      </c>
      <c r="AH404" s="321">
        <f>IF(B404&lt;&gt;"",IF(H404="x",VLOOKUP(I404,'AUX-NIV3'!B:AG,32,FALSE),0),"")</f>
        <v>0</v>
      </c>
      <c r="AI404" s="321" t="str">
        <f t="shared" si="193"/>
        <v>X-INYECC</v>
      </c>
      <c r="AJ404" s="320"/>
      <c r="AK404" s="322">
        <f t="shared" si="184"/>
        <v>384</v>
      </c>
      <c r="AL404" s="323">
        <f t="shared" si="194"/>
        <v>406</v>
      </c>
      <c r="AM404" s="322">
        <f t="shared" si="195"/>
        <v>21</v>
      </c>
      <c r="AN404" s="380">
        <f>IF(AND(AH404&gt;0,B404&lt;&gt;""),VLOOKUP(I404,'AUX-NIV3'!$B:$AO,39,FALSE)*O404,0)</f>
        <v>0</v>
      </c>
      <c r="AO404" s="380">
        <f t="shared" si="185"/>
        <v>1.4285714285714284</v>
      </c>
      <c r="AP404" s="380"/>
    </row>
    <row r="405" spans="2:42" ht="14.4" hidden="1" thickTop="1" thickBot="1">
      <c r="B405" s="324" t="s">
        <v>131</v>
      </c>
      <c r="C405" s="325" t="s">
        <v>132</v>
      </c>
      <c r="D405" s="326" t="s">
        <v>477</v>
      </c>
      <c r="E405" s="327">
        <f>IF(B405&lt;&gt;"",SUMIF('AUX-NIV1'!I:I,'AUX-NIV2'!B405,'AUX-NIV1'!Q:Q),"")</f>
        <v>0</v>
      </c>
      <c r="F405" s="327">
        <f t="shared" si="175"/>
        <v>1300.89646496404</v>
      </c>
      <c r="G405" s="327">
        <f t="shared" si="176"/>
        <v>0</v>
      </c>
      <c r="H405" s="328" t="str">
        <f t="shared" si="173"/>
        <v>M</v>
      </c>
      <c r="I405" s="325" t="s">
        <v>493</v>
      </c>
      <c r="J405" s="329" t="str">
        <f>IF(B405&lt;&gt;"",+VLOOKUP(I405,Recursos!C:F,2,FALSE),"")</f>
        <v>CEMENTO (en obra-bolsa)</v>
      </c>
      <c r="K405" s="330" t="str">
        <f>IF(B405&lt;&gt;"",+VLOOKUP(I405,Recursos!C:F,3,FALSE),"")</f>
        <v>bolsa</v>
      </c>
      <c r="L405" s="327">
        <f>IF(B405&lt;&gt;"",+VLOOKUP(I405,Recursos!C:F,4,FALSE),"")</f>
        <v>21</v>
      </c>
      <c r="M405" s="331">
        <v>1</v>
      </c>
      <c r="N405" s="331">
        <v>0.2</v>
      </c>
      <c r="O405" s="332">
        <f t="shared" si="174"/>
        <v>0.2</v>
      </c>
      <c r="P405" s="333">
        <f t="shared" si="196"/>
        <v>4.2</v>
      </c>
      <c r="Q405" s="327">
        <f t="shared" si="197"/>
        <v>0</v>
      </c>
      <c r="R405" s="334">
        <f t="shared" si="198"/>
        <v>0</v>
      </c>
      <c r="S405" s="335">
        <f t="shared" si="177"/>
        <v>695.23124551959552</v>
      </c>
      <c r="T405" s="335">
        <f t="shared" si="178"/>
        <v>598.96521944444453</v>
      </c>
      <c r="U405" s="336">
        <f t="shared" si="179"/>
        <v>6.7</v>
      </c>
      <c r="V405" s="336">
        <f t="shared" si="180"/>
        <v>0</v>
      </c>
      <c r="W405" s="336">
        <f t="shared" si="181"/>
        <v>0</v>
      </c>
      <c r="X405" s="336">
        <f t="shared" si="182"/>
        <v>0</v>
      </c>
      <c r="Y405" s="320"/>
      <c r="Z405" s="321" t="str">
        <f t="shared" si="186"/>
        <v>X-INYECCA</v>
      </c>
      <c r="AA405" s="321" t="str">
        <f t="shared" si="187"/>
        <v>X-INYECCE</v>
      </c>
      <c r="AB405" s="321" t="str">
        <f t="shared" si="188"/>
        <v>X-INYECCM</v>
      </c>
      <c r="AC405" s="321" t="str">
        <f t="shared" si="189"/>
        <v>X-INYECCT</v>
      </c>
      <c r="AD405" s="321" t="str">
        <f t="shared" si="190"/>
        <v>X-INYECCS</v>
      </c>
      <c r="AE405" s="321" t="str">
        <f t="shared" si="191"/>
        <v>X-INYECCX</v>
      </c>
      <c r="AF405" s="321" t="str">
        <f t="shared" si="192"/>
        <v>X-INYECCM</v>
      </c>
      <c r="AG405" s="321">
        <f t="shared" si="183"/>
        <v>23</v>
      </c>
      <c r="AH405" s="321">
        <f>IF(B405&lt;&gt;"",IF(H405="x",VLOOKUP(I405,'AUX-NIV3'!B:AG,32,FALSE),0),"")</f>
        <v>0</v>
      </c>
      <c r="AI405" s="321" t="str">
        <f t="shared" si="193"/>
        <v>X-INYECC</v>
      </c>
      <c r="AJ405" s="320"/>
      <c r="AK405" s="322">
        <f t="shared" si="184"/>
        <v>384</v>
      </c>
      <c r="AL405" s="323">
        <f t="shared" si="194"/>
        <v>406</v>
      </c>
      <c r="AM405" s="322">
        <f t="shared" si="195"/>
        <v>22</v>
      </c>
      <c r="AN405" s="380">
        <f>IF(AND(AH405&gt;0,B405&lt;&gt;""),VLOOKUP(I405,'AUX-NIV3'!$B:$AO,39,FALSE)*O405,0)</f>
        <v>0</v>
      </c>
      <c r="AO405" s="380">
        <f t="shared" si="185"/>
        <v>1.4285714285714284</v>
      </c>
      <c r="AP405" s="380"/>
    </row>
    <row r="406" spans="2:42" ht="14.4" hidden="1" thickTop="1" thickBot="1">
      <c r="B406" s="324" t="s">
        <v>131</v>
      </c>
      <c r="C406" s="325" t="s">
        <v>132</v>
      </c>
      <c r="D406" s="326" t="s">
        <v>477</v>
      </c>
      <c r="E406" s="327">
        <f>IF(B406&lt;&gt;"",SUMIF('AUX-NIV1'!I:I,'AUX-NIV2'!B406,'AUX-NIV1'!Q:Q),"")</f>
        <v>0</v>
      </c>
      <c r="F406" s="327">
        <f t="shared" si="175"/>
        <v>1300.89646496404</v>
      </c>
      <c r="G406" s="327">
        <f t="shared" si="176"/>
        <v>0</v>
      </c>
      <c r="H406" s="328" t="str">
        <f t="shared" si="173"/>
        <v>M</v>
      </c>
      <c r="I406" s="325" t="s">
        <v>621</v>
      </c>
      <c r="J406" s="329" t="str">
        <f>IF(B406&lt;&gt;"",+VLOOKUP(I406,Recursos!C:F,2,FALSE),"")</f>
        <v>MATERIALES VARIOS</v>
      </c>
      <c r="K406" s="330" t="str">
        <f>IF(B406&lt;&gt;"",+VLOOKUP(I406,Recursos!C:F,3,FALSE),"")</f>
        <v>GL</v>
      </c>
      <c r="L406" s="327">
        <f>IF(B406&lt;&gt;"",+VLOOKUP(I406,Recursos!C:F,4,FALSE),"")</f>
        <v>0.5</v>
      </c>
      <c r="M406" s="331">
        <v>4</v>
      </c>
      <c r="N406" s="331">
        <v>1</v>
      </c>
      <c r="O406" s="332">
        <v>4</v>
      </c>
      <c r="P406" s="333">
        <f t="shared" si="196"/>
        <v>2</v>
      </c>
      <c r="Q406" s="327">
        <f t="shared" si="197"/>
        <v>0</v>
      </c>
      <c r="R406" s="334">
        <f t="shared" si="198"/>
        <v>0</v>
      </c>
      <c r="S406" s="335">
        <f t="shared" si="177"/>
        <v>695.23124551959552</v>
      </c>
      <c r="T406" s="335">
        <f t="shared" si="178"/>
        <v>598.96521944444453</v>
      </c>
      <c r="U406" s="336">
        <f t="shared" si="179"/>
        <v>6.7</v>
      </c>
      <c r="V406" s="336">
        <f t="shared" si="180"/>
        <v>0</v>
      </c>
      <c r="W406" s="336">
        <f t="shared" si="181"/>
        <v>0</v>
      </c>
      <c r="X406" s="336">
        <f t="shared" si="182"/>
        <v>0</v>
      </c>
      <c r="Y406" s="320"/>
      <c r="Z406" s="321" t="str">
        <f t="shared" si="186"/>
        <v>X-INYECCA</v>
      </c>
      <c r="AA406" s="321" t="str">
        <f t="shared" si="187"/>
        <v>X-INYECCE</v>
      </c>
      <c r="AB406" s="321" t="str">
        <f t="shared" si="188"/>
        <v>X-INYECCM</v>
      </c>
      <c r="AC406" s="321" t="str">
        <f t="shared" si="189"/>
        <v>X-INYECCT</v>
      </c>
      <c r="AD406" s="321" t="str">
        <f t="shared" si="190"/>
        <v>X-INYECCS</v>
      </c>
      <c r="AE406" s="321" t="str">
        <f t="shared" si="191"/>
        <v>X-INYECCX</v>
      </c>
      <c r="AF406" s="321" t="str">
        <f t="shared" si="192"/>
        <v>X-INYECCM</v>
      </c>
      <c r="AG406" s="321">
        <f t="shared" si="183"/>
        <v>23</v>
      </c>
      <c r="AH406" s="321">
        <f>IF(B406&lt;&gt;"",IF(H406="x",VLOOKUP(I406,'AUX-NIV3'!B:AG,32,FALSE),0),"")</f>
        <v>0</v>
      </c>
      <c r="AI406" s="321" t="str">
        <f t="shared" si="193"/>
        <v>X-INYECC</v>
      </c>
      <c r="AJ406" s="320"/>
      <c r="AK406" s="322">
        <f t="shared" si="184"/>
        <v>384</v>
      </c>
      <c r="AL406" s="323">
        <f t="shared" si="194"/>
        <v>406</v>
      </c>
      <c r="AM406" s="322">
        <f t="shared" si="195"/>
        <v>23</v>
      </c>
      <c r="AN406" s="380">
        <f>IF(AND(AH406&gt;0,B406&lt;&gt;""),VLOOKUP(I406,'AUX-NIV3'!$B:$AO,39,FALSE)*O406,0)</f>
        <v>0</v>
      </c>
      <c r="AO406" s="380">
        <f t="shared" si="185"/>
        <v>1.4285714285714284</v>
      </c>
      <c r="AP406" s="380"/>
    </row>
    <row r="407" spans="2:42" ht="14.4" hidden="1" thickTop="1" thickBot="1">
      <c r="B407" s="324" t="s">
        <v>1306</v>
      </c>
      <c r="C407" s="325" t="s">
        <v>1307</v>
      </c>
      <c r="D407" s="326" t="s">
        <v>501</v>
      </c>
      <c r="E407" s="327">
        <f>IF(B407&lt;&gt;"",SUMIF('AUX-NIV1'!I:I,'AUX-NIV2'!B407,'AUX-NIV1'!Q:Q),"")</f>
        <v>0</v>
      </c>
      <c r="F407" s="327">
        <f t="shared" si="175"/>
        <v>230.34909552235763</v>
      </c>
      <c r="G407" s="327">
        <f t="shared" si="176"/>
        <v>0</v>
      </c>
      <c r="H407" s="328" t="str">
        <f t="shared" ref="H407:H434" si="199">IF(B407&lt;&gt;"",+LEFT(I407,1),"")</f>
        <v>A</v>
      </c>
      <c r="I407" s="325" t="s">
        <v>1745</v>
      </c>
      <c r="J407" s="329" t="str">
        <f>IF(B407&lt;&gt;"",+VLOOKUP(I407,Recursos!C:F,2,FALSE),"")</f>
        <v>AYUDANTE</v>
      </c>
      <c r="K407" s="330" t="str">
        <f>IF(B407&lt;&gt;"",+VLOOKUP(I407,Recursos!C:F,3,FALSE),"")</f>
        <v>hh</v>
      </c>
      <c r="L407" s="327">
        <f>IF(B407&lt;&gt;"",+VLOOKUP(I407,Recursos!C:F,4,FALSE),"")</f>
        <v>422.48042769667234</v>
      </c>
      <c r="M407" s="331">
        <v>1</v>
      </c>
      <c r="N407" s="331">
        <v>2</v>
      </c>
      <c r="O407" s="332">
        <v>0.25</v>
      </c>
      <c r="P407" s="333">
        <f t="shared" si="196"/>
        <v>105.62010692416808</v>
      </c>
      <c r="Q407" s="327">
        <f t="shared" si="197"/>
        <v>0</v>
      </c>
      <c r="R407" s="334">
        <f t="shared" si="198"/>
        <v>0</v>
      </c>
      <c r="S407" s="335">
        <f t="shared" si="177"/>
        <v>229.84909552235763</v>
      </c>
      <c r="T407" s="335">
        <f t="shared" si="178"/>
        <v>0</v>
      </c>
      <c r="U407" s="336">
        <f t="shared" si="179"/>
        <v>0.5</v>
      </c>
      <c r="V407" s="336">
        <f t="shared" si="180"/>
        <v>0</v>
      </c>
      <c r="W407" s="336">
        <f t="shared" si="181"/>
        <v>0</v>
      </c>
      <c r="X407" s="336">
        <f t="shared" si="182"/>
        <v>0</v>
      </c>
      <c r="Y407" s="320"/>
      <c r="Z407" s="321" t="str">
        <f t="shared" si="186"/>
        <v>X-TERMHAGA</v>
      </c>
      <c r="AA407" s="321" t="str">
        <f t="shared" si="187"/>
        <v>X-TERMHAGE</v>
      </c>
      <c r="AB407" s="321" t="str">
        <f t="shared" si="188"/>
        <v>X-TERMHAGM</v>
      </c>
      <c r="AC407" s="321" t="str">
        <f t="shared" si="189"/>
        <v>X-TERMHAGT</v>
      </c>
      <c r="AD407" s="321" t="str">
        <f t="shared" si="190"/>
        <v>X-TERMHAGS</v>
      </c>
      <c r="AE407" s="321" t="str">
        <f t="shared" si="191"/>
        <v>X-TERMHAGX</v>
      </c>
      <c r="AF407" s="321" t="str">
        <f t="shared" si="192"/>
        <v>X-TERMHAGA</v>
      </c>
      <c r="AG407" s="321">
        <f t="shared" si="183"/>
        <v>3</v>
      </c>
      <c r="AH407" s="321">
        <f>IF(B407&lt;&gt;"",IF(H407="x",VLOOKUP(I407,'AUX-NIV3'!B:AG,32,FALSE),0),"")</f>
        <v>0</v>
      </c>
      <c r="AI407" s="321" t="str">
        <f t="shared" si="193"/>
        <v>X-TERMHAG</v>
      </c>
      <c r="AJ407" s="320"/>
      <c r="AK407" s="322">
        <f t="shared" si="184"/>
        <v>407</v>
      </c>
      <c r="AL407" s="323">
        <f t="shared" si="194"/>
        <v>409</v>
      </c>
      <c r="AM407" s="322">
        <f t="shared" si="195"/>
        <v>1</v>
      </c>
      <c r="AN407" s="380">
        <f>IF(AND(AH407&gt;0,B407&lt;&gt;""),VLOOKUP(I407,'AUX-NIV3'!$B:$AO,39,FALSE)*O407,0)</f>
        <v>0</v>
      </c>
      <c r="AO407" s="380">
        <f t="shared" si="185"/>
        <v>0.5</v>
      </c>
      <c r="AP407" s="380"/>
    </row>
    <row r="408" spans="2:42" ht="14.4" hidden="1" thickTop="1" thickBot="1">
      <c r="B408" s="324" t="s">
        <v>1306</v>
      </c>
      <c r="C408" s="325" t="s">
        <v>1307</v>
      </c>
      <c r="D408" s="326" t="s">
        <v>501</v>
      </c>
      <c r="E408" s="327">
        <f>IF(B408&lt;&gt;"",SUMIF('AUX-NIV1'!I:I,'AUX-NIV2'!B408,'AUX-NIV1'!Q:Q),"")</f>
        <v>0</v>
      </c>
      <c r="F408" s="327">
        <f t="shared" si="175"/>
        <v>230.34909552235763</v>
      </c>
      <c r="G408" s="327">
        <f t="shared" si="176"/>
        <v>0</v>
      </c>
      <c r="H408" s="328" t="str">
        <f t="shared" si="199"/>
        <v>A</v>
      </c>
      <c r="I408" s="325" t="s">
        <v>1746</v>
      </c>
      <c r="J408" s="329" t="str">
        <f>IF(B408&lt;&gt;"",+VLOOKUP(I408,Recursos!C:F,2,FALSE),"")</f>
        <v>OFICIAL</v>
      </c>
      <c r="K408" s="330" t="str">
        <f>IF(B408&lt;&gt;"",+VLOOKUP(I408,Recursos!C:F,3,FALSE),"")</f>
        <v>hh</v>
      </c>
      <c r="L408" s="327">
        <f>IF(B408&lt;&gt;"",+VLOOKUP(I408,Recursos!C:F,4,FALSE),"")</f>
        <v>496.91595439275824</v>
      </c>
      <c r="M408" s="331">
        <v>1</v>
      </c>
      <c r="N408" s="331">
        <v>1</v>
      </c>
      <c r="O408" s="332">
        <v>0.25</v>
      </c>
      <c r="P408" s="333">
        <f t="shared" si="196"/>
        <v>124.22898859818956</v>
      </c>
      <c r="Q408" s="327">
        <f t="shared" si="197"/>
        <v>0</v>
      </c>
      <c r="R408" s="334">
        <f t="shared" si="198"/>
        <v>0</v>
      </c>
      <c r="S408" s="335">
        <f t="shared" si="177"/>
        <v>229.84909552235763</v>
      </c>
      <c r="T408" s="335">
        <f t="shared" si="178"/>
        <v>0</v>
      </c>
      <c r="U408" s="336">
        <f t="shared" si="179"/>
        <v>0.5</v>
      </c>
      <c r="V408" s="336">
        <f t="shared" si="180"/>
        <v>0</v>
      </c>
      <c r="W408" s="336">
        <f t="shared" si="181"/>
        <v>0</v>
      </c>
      <c r="X408" s="336">
        <f t="shared" si="182"/>
        <v>0</v>
      </c>
      <c r="Y408" s="320"/>
      <c r="Z408" s="321" t="str">
        <f t="shared" si="186"/>
        <v>X-TERMHAGA</v>
      </c>
      <c r="AA408" s="321" t="str">
        <f t="shared" si="187"/>
        <v>X-TERMHAGE</v>
      </c>
      <c r="AB408" s="321" t="str">
        <f t="shared" si="188"/>
        <v>X-TERMHAGM</v>
      </c>
      <c r="AC408" s="321" t="str">
        <f t="shared" si="189"/>
        <v>X-TERMHAGT</v>
      </c>
      <c r="AD408" s="321" t="str">
        <f t="shared" si="190"/>
        <v>X-TERMHAGS</v>
      </c>
      <c r="AE408" s="321" t="str">
        <f t="shared" si="191"/>
        <v>X-TERMHAGX</v>
      </c>
      <c r="AF408" s="321" t="str">
        <f t="shared" si="192"/>
        <v>X-TERMHAGA</v>
      </c>
      <c r="AG408" s="321">
        <f t="shared" si="183"/>
        <v>3</v>
      </c>
      <c r="AH408" s="321">
        <f>IF(B408&lt;&gt;"",IF(H408="x",VLOOKUP(I408,'AUX-NIV3'!B:AG,32,FALSE),0),"")</f>
        <v>0</v>
      </c>
      <c r="AI408" s="321" t="str">
        <f t="shared" si="193"/>
        <v>X-TERMHAG</v>
      </c>
      <c r="AJ408" s="320"/>
      <c r="AK408" s="322">
        <f t="shared" si="184"/>
        <v>407</v>
      </c>
      <c r="AL408" s="323">
        <f t="shared" si="194"/>
        <v>409</v>
      </c>
      <c r="AM408" s="322">
        <f t="shared" si="195"/>
        <v>2</v>
      </c>
      <c r="AN408" s="380">
        <f>IF(AND(AH408&gt;0,B408&lt;&gt;""),VLOOKUP(I408,'AUX-NIV3'!$B:$AO,39,FALSE)*O408,0)</f>
        <v>0</v>
      </c>
      <c r="AO408" s="380">
        <f t="shared" si="185"/>
        <v>0.5</v>
      </c>
      <c r="AP408" s="380"/>
    </row>
    <row r="409" spans="2:42" ht="14.4" hidden="1" thickTop="1" thickBot="1">
      <c r="B409" s="324" t="s">
        <v>1306</v>
      </c>
      <c r="C409" s="325" t="s">
        <v>1307</v>
      </c>
      <c r="D409" s="326" t="s">
        <v>501</v>
      </c>
      <c r="E409" s="327">
        <f>IF(B409&lt;&gt;"",SUMIF('AUX-NIV1'!I:I,'AUX-NIV2'!B409,'AUX-NIV1'!Q:Q),"")</f>
        <v>0</v>
      </c>
      <c r="F409" s="327">
        <f t="shared" si="175"/>
        <v>230.34909552235763</v>
      </c>
      <c r="G409" s="327">
        <f t="shared" si="176"/>
        <v>0</v>
      </c>
      <c r="H409" s="328" t="str">
        <f t="shared" si="199"/>
        <v>M</v>
      </c>
      <c r="I409" s="325" t="s">
        <v>621</v>
      </c>
      <c r="J409" s="329" t="str">
        <f>IF(B409&lt;&gt;"",+VLOOKUP(I409,Recursos!C:F,2,FALSE),"")</f>
        <v>MATERIALES VARIOS</v>
      </c>
      <c r="K409" s="330" t="str">
        <f>IF(B409&lt;&gt;"",+VLOOKUP(I409,Recursos!C:F,3,FALSE),"")</f>
        <v>GL</v>
      </c>
      <c r="L409" s="327">
        <f>IF(B409&lt;&gt;"",+VLOOKUP(I409,Recursos!C:F,4,FALSE),"")</f>
        <v>0.5</v>
      </c>
      <c r="M409" s="331">
        <v>1</v>
      </c>
      <c r="N409" s="331">
        <v>1</v>
      </c>
      <c r="O409" s="332">
        <v>1</v>
      </c>
      <c r="P409" s="333">
        <f t="shared" si="196"/>
        <v>0.5</v>
      </c>
      <c r="Q409" s="327">
        <f t="shared" si="197"/>
        <v>0</v>
      </c>
      <c r="R409" s="334">
        <f t="shared" si="198"/>
        <v>0</v>
      </c>
      <c r="S409" s="335">
        <f t="shared" si="177"/>
        <v>229.84909552235763</v>
      </c>
      <c r="T409" s="335">
        <f t="shared" si="178"/>
        <v>0</v>
      </c>
      <c r="U409" s="336">
        <f t="shared" si="179"/>
        <v>0.5</v>
      </c>
      <c r="V409" s="336">
        <f t="shared" si="180"/>
        <v>0</v>
      </c>
      <c r="W409" s="336">
        <f t="shared" si="181"/>
        <v>0</v>
      </c>
      <c r="X409" s="336">
        <f t="shared" si="182"/>
        <v>0</v>
      </c>
      <c r="Y409" s="320"/>
      <c r="Z409" s="321" t="str">
        <f t="shared" si="186"/>
        <v>X-TERMHAGA</v>
      </c>
      <c r="AA409" s="321" t="str">
        <f t="shared" si="187"/>
        <v>X-TERMHAGE</v>
      </c>
      <c r="AB409" s="321" t="str">
        <f t="shared" si="188"/>
        <v>X-TERMHAGM</v>
      </c>
      <c r="AC409" s="321" t="str">
        <f t="shared" si="189"/>
        <v>X-TERMHAGT</v>
      </c>
      <c r="AD409" s="321" t="str">
        <f t="shared" si="190"/>
        <v>X-TERMHAGS</v>
      </c>
      <c r="AE409" s="321" t="str">
        <f t="shared" si="191"/>
        <v>X-TERMHAGX</v>
      </c>
      <c r="AF409" s="321" t="str">
        <f t="shared" si="192"/>
        <v>X-TERMHAGM</v>
      </c>
      <c r="AG409" s="321">
        <f t="shared" si="183"/>
        <v>3</v>
      </c>
      <c r="AH409" s="321">
        <f>IF(B409&lt;&gt;"",IF(H409="x",VLOOKUP(I409,'AUX-NIV3'!B:AG,32,FALSE),0),"")</f>
        <v>0</v>
      </c>
      <c r="AI409" s="321" t="str">
        <f t="shared" si="193"/>
        <v>X-TERMHAG</v>
      </c>
      <c r="AJ409" s="320"/>
      <c r="AK409" s="322">
        <f t="shared" si="184"/>
        <v>407</v>
      </c>
      <c r="AL409" s="323">
        <f t="shared" si="194"/>
        <v>409</v>
      </c>
      <c r="AM409" s="322">
        <f t="shared" si="195"/>
        <v>3</v>
      </c>
      <c r="AN409" s="380">
        <f>IF(AND(AH409&gt;0,B409&lt;&gt;""),VLOOKUP(I409,'AUX-NIV3'!$B:$AO,39,FALSE)*O409,0)</f>
        <v>0</v>
      </c>
      <c r="AO409" s="380">
        <f t="shared" si="185"/>
        <v>0.5</v>
      </c>
      <c r="AP409" s="380"/>
    </row>
    <row r="410" spans="2:42" ht="14.4" hidden="1" thickTop="1" thickBot="1">
      <c r="B410" s="324" t="s">
        <v>1311</v>
      </c>
      <c r="C410" s="325" t="s">
        <v>1313</v>
      </c>
      <c r="D410" s="326" t="s">
        <v>501</v>
      </c>
      <c r="E410" s="327">
        <f>IF(B410&lt;&gt;"",SUMIF('AUX-NIV1'!I:I,'AUX-NIV2'!B410,'AUX-NIV1'!Q:Q),"")</f>
        <v>0</v>
      </c>
      <c r="F410" s="327">
        <f t="shared" si="175"/>
        <v>7994.388765289179</v>
      </c>
      <c r="G410" s="327">
        <f t="shared" si="176"/>
        <v>0</v>
      </c>
      <c r="H410" s="328" t="str">
        <f t="shared" si="199"/>
        <v>A</v>
      </c>
      <c r="I410" s="325" t="s">
        <v>1745</v>
      </c>
      <c r="J410" s="329" t="str">
        <f>IF(B410&lt;&gt;"",+VLOOKUP(I410,Recursos!C:F,2,FALSE),"")</f>
        <v>AYUDANTE</v>
      </c>
      <c r="K410" s="330" t="str">
        <f>IF(B410&lt;&gt;"",+VLOOKUP(I410,Recursos!C:F,3,FALSE),"")</f>
        <v>hh</v>
      </c>
      <c r="L410" s="327">
        <f>IF(B410&lt;&gt;"",+VLOOKUP(I410,Recursos!C:F,4,FALSE),"")</f>
        <v>422.48042769667234</v>
      </c>
      <c r="M410" s="331">
        <v>2</v>
      </c>
      <c r="N410" s="331">
        <v>2</v>
      </c>
      <c r="O410" s="332">
        <f>+M410*N410</f>
        <v>4</v>
      </c>
      <c r="P410" s="333">
        <f t="shared" si="196"/>
        <v>1689.9217107866893</v>
      </c>
      <c r="Q410" s="327">
        <f t="shared" si="197"/>
        <v>0</v>
      </c>
      <c r="R410" s="334">
        <f t="shared" si="198"/>
        <v>0</v>
      </c>
      <c r="S410" s="358">
        <f t="shared" si="177"/>
        <v>4645.478988034818</v>
      </c>
      <c r="T410" s="358">
        <f t="shared" si="178"/>
        <v>44.026680000000006</v>
      </c>
      <c r="U410" s="359">
        <f t="shared" si="179"/>
        <v>3304.8830972543619</v>
      </c>
      <c r="V410" s="359">
        <f t="shared" si="180"/>
        <v>0</v>
      </c>
      <c r="W410" s="359">
        <f t="shared" si="181"/>
        <v>0</v>
      </c>
      <c r="X410" s="359">
        <f t="shared" si="182"/>
        <v>0</v>
      </c>
      <c r="Y410" s="320"/>
      <c r="Z410" s="321" t="str">
        <f t="shared" si="186"/>
        <v>X-ENCOFespA</v>
      </c>
      <c r="AA410" s="321" t="str">
        <f t="shared" si="187"/>
        <v>X-ENCOFespE</v>
      </c>
      <c r="AB410" s="321" t="str">
        <f t="shared" si="188"/>
        <v>X-ENCOFespM</v>
      </c>
      <c r="AC410" s="321" t="str">
        <f t="shared" si="189"/>
        <v>X-ENCOFespT</v>
      </c>
      <c r="AD410" s="321" t="str">
        <f t="shared" si="190"/>
        <v>X-ENCOFespS</v>
      </c>
      <c r="AE410" s="321" t="str">
        <f t="shared" si="191"/>
        <v>X-ENCOFespX</v>
      </c>
      <c r="AF410" s="321" t="str">
        <f t="shared" si="192"/>
        <v>X-ENCOFespA</v>
      </c>
      <c r="AG410" s="321">
        <f t="shared" si="183"/>
        <v>13</v>
      </c>
      <c r="AH410" s="321">
        <f>IF(B410&lt;&gt;"",IF(H410="x",VLOOKUP(I410,'AUX-NIV3'!B:AG,32,FALSE),0),"")</f>
        <v>0</v>
      </c>
      <c r="AI410" s="321" t="str">
        <f t="shared" si="193"/>
        <v>X-ENCOFesp</v>
      </c>
      <c r="AJ410" s="320"/>
      <c r="AK410" s="322">
        <f t="shared" si="184"/>
        <v>410</v>
      </c>
      <c r="AL410" s="323">
        <f t="shared" si="194"/>
        <v>422</v>
      </c>
      <c r="AM410" s="322">
        <f t="shared" si="195"/>
        <v>1</v>
      </c>
      <c r="AN410" s="380">
        <f>IF(AND(AH410&gt;0,B410&lt;&gt;""),VLOOKUP(I410,'AUX-NIV3'!$B:$AO,39,FALSE)*O410,0)</f>
        <v>0</v>
      </c>
      <c r="AO410" s="380">
        <f t="shared" si="185"/>
        <v>10.1</v>
      </c>
      <c r="AP410" s="380"/>
    </row>
    <row r="411" spans="2:42" ht="14.4" hidden="1" thickTop="1" thickBot="1">
      <c r="B411" s="324" t="s">
        <v>1311</v>
      </c>
      <c r="C411" s="325" t="s">
        <v>1313</v>
      </c>
      <c r="D411" s="326" t="s">
        <v>501</v>
      </c>
      <c r="E411" s="327">
        <f>IF(B411&lt;&gt;"",SUMIF('AUX-NIV1'!I:I,'AUX-NIV2'!B411,'AUX-NIV1'!Q:Q),"")</f>
        <v>0</v>
      </c>
      <c r="F411" s="327">
        <f t="shared" si="175"/>
        <v>7994.388765289179</v>
      </c>
      <c r="G411" s="327">
        <f t="shared" si="176"/>
        <v>0</v>
      </c>
      <c r="H411" s="328" t="str">
        <f t="shared" si="199"/>
        <v>A</v>
      </c>
      <c r="I411" s="325" t="s">
        <v>1746</v>
      </c>
      <c r="J411" s="329" t="str">
        <f>IF(B411&lt;&gt;"",+VLOOKUP(I411,Recursos!C:F,2,FALSE),"")</f>
        <v>OFICIAL</v>
      </c>
      <c r="K411" s="330" t="str">
        <f>IF(B411&lt;&gt;"",+VLOOKUP(I411,Recursos!C:F,3,FALSE),"")</f>
        <v>hh</v>
      </c>
      <c r="L411" s="327">
        <f>IF(B411&lt;&gt;"",+VLOOKUP(I411,Recursos!C:F,4,FALSE),"")</f>
        <v>496.91595439275824</v>
      </c>
      <c r="M411" s="331">
        <v>2</v>
      </c>
      <c r="N411" s="331">
        <v>2</v>
      </c>
      <c r="O411" s="332">
        <f>+M411*N411</f>
        <v>4</v>
      </c>
      <c r="P411" s="333">
        <f t="shared" si="196"/>
        <v>1987.663817571033</v>
      </c>
      <c r="Q411" s="327">
        <f t="shared" si="197"/>
        <v>0</v>
      </c>
      <c r="R411" s="334">
        <f t="shared" si="198"/>
        <v>0</v>
      </c>
      <c r="S411" s="358">
        <f t="shared" si="177"/>
        <v>4645.478988034818</v>
      </c>
      <c r="T411" s="358">
        <f t="shared" si="178"/>
        <v>44.026680000000006</v>
      </c>
      <c r="U411" s="359">
        <f t="shared" si="179"/>
        <v>3304.8830972543619</v>
      </c>
      <c r="V411" s="359">
        <f t="shared" si="180"/>
        <v>0</v>
      </c>
      <c r="W411" s="359">
        <f t="shared" si="181"/>
        <v>0</v>
      </c>
      <c r="X411" s="359">
        <f t="shared" si="182"/>
        <v>0</v>
      </c>
      <c r="Y411" s="320"/>
      <c r="Z411" s="321" t="str">
        <f t="shared" si="186"/>
        <v>X-ENCOFespA</v>
      </c>
      <c r="AA411" s="321" t="str">
        <f t="shared" si="187"/>
        <v>X-ENCOFespE</v>
      </c>
      <c r="AB411" s="321" t="str">
        <f t="shared" si="188"/>
        <v>X-ENCOFespM</v>
      </c>
      <c r="AC411" s="321" t="str">
        <f t="shared" si="189"/>
        <v>X-ENCOFespT</v>
      </c>
      <c r="AD411" s="321" t="str">
        <f t="shared" si="190"/>
        <v>X-ENCOFespS</v>
      </c>
      <c r="AE411" s="321" t="str">
        <f t="shared" si="191"/>
        <v>X-ENCOFespX</v>
      </c>
      <c r="AF411" s="321" t="str">
        <f t="shared" si="192"/>
        <v>X-ENCOFespA</v>
      </c>
      <c r="AG411" s="321">
        <f t="shared" si="183"/>
        <v>13</v>
      </c>
      <c r="AH411" s="321">
        <f>IF(B411&lt;&gt;"",IF(H411="x",VLOOKUP(I411,'AUX-NIV3'!B:AG,32,FALSE),0),"")</f>
        <v>0</v>
      </c>
      <c r="AI411" s="321" t="str">
        <f t="shared" si="193"/>
        <v>X-ENCOFesp</v>
      </c>
      <c r="AJ411" s="320"/>
      <c r="AK411" s="322">
        <f t="shared" si="184"/>
        <v>410</v>
      </c>
      <c r="AL411" s="323">
        <f t="shared" si="194"/>
        <v>422</v>
      </c>
      <c r="AM411" s="322">
        <f t="shared" si="195"/>
        <v>2</v>
      </c>
      <c r="AN411" s="380">
        <f>IF(AND(AH411&gt;0,B411&lt;&gt;""),VLOOKUP(I411,'AUX-NIV3'!$B:$AO,39,FALSE)*O411,0)</f>
        <v>0</v>
      </c>
      <c r="AO411" s="380">
        <f t="shared" si="185"/>
        <v>10.1</v>
      </c>
      <c r="AP411" s="380"/>
    </row>
    <row r="412" spans="2:42" ht="14.4" hidden="1" thickTop="1" thickBot="1">
      <c r="B412" s="324" t="s">
        <v>1311</v>
      </c>
      <c r="C412" s="325" t="s">
        <v>1313</v>
      </c>
      <c r="D412" s="326" t="s">
        <v>501</v>
      </c>
      <c r="E412" s="327">
        <f>IF(B412&lt;&gt;"",SUMIF('AUX-NIV1'!I:I,'AUX-NIV2'!B412,'AUX-NIV1'!Q:Q),"")</f>
        <v>0</v>
      </c>
      <c r="F412" s="327">
        <f t="shared" si="175"/>
        <v>7994.388765289179</v>
      </c>
      <c r="G412" s="327">
        <f t="shared" si="176"/>
        <v>0</v>
      </c>
      <c r="H412" s="328" t="str">
        <f t="shared" si="199"/>
        <v>A</v>
      </c>
      <c r="I412" s="325" t="s">
        <v>3309</v>
      </c>
      <c r="J412" s="329" t="str">
        <f>IF(B412&lt;&gt;"",+VLOOKUP(I412,Recursos!C:F,2,FALSE),"")</f>
        <v>MEDIO OFICIAL</v>
      </c>
      <c r="K412" s="330" t="str">
        <f>IF(B412&lt;&gt;"",+VLOOKUP(I412,Recursos!C:F,3,FALSE),"")</f>
        <v>hh</v>
      </c>
      <c r="L412" s="327">
        <f>IF(B412&lt;&gt;"",+VLOOKUP(I412,Recursos!C:F,4,FALSE),"")</f>
        <v>459.10093211890984</v>
      </c>
      <c r="M412" s="331">
        <v>1</v>
      </c>
      <c r="N412" s="331">
        <v>2</v>
      </c>
      <c r="O412" s="332">
        <f>+M412*N412</f>
        <v>2</v>
      </c>
      <c r="P412" s="333">
        <f t="shared" si="196"/>
        <v>918.20186423781968</v>
      </c>
      <c r="Q412" s="327">
        <f t="shared" si="197"/>
        <v>0</v>
      </c>
      <c r="R412" s="334">
        <f t="shared" si="198"/>
        <v>0</v>
      </c>
      <c r="S412" s="358">
        <f t="shared" si="177"/>
        <v>4645.478988034818</v>
      </c>
      <c r="T412" s="358">
        <f t="shared" si="178"/>
        <v>44.026680000000006</v>
      </c>
      <c r="U412" s="359">
        <f t="shared" si="179"/>
        <v>3304.8830972543619</v>
      </c>
      <c r="V412" s="359">
        <f t="shared" si="180"/>
        <v>0</v>
      </c>
      <c r="W412" s="359">
        <f t="shared" si="181"/>
        <v>0</v>
      </c>
      <c r="X412" s="359">
        <f t="shared" si="182"/>
        <v>0</v>
      </c>
      <c r="Y412" s="320"/>
      <c r="Z412" s="321" t="str">
        <f t="shared" si="186"/>
        <v>X-ENCOFespA</v>
      </c>
      <c r="AA412" s="321" t="str">
        <f t="shared" si="187"/>
        <v>X-ENCOFespE</v>
      </c>
      <c r="AB412" s="321" t="str">
        <f t="shared" si="188"/>
        <v>X-ENCOFespM</v>
      </c>
      <c r="AC412" s="321" t="str">
        <f t="shared" si="189"/>
        <v>X-ENCOFespT</v>
      </c>
      <c r="AD412" s="321" t="str">
        <f t="shared" si="190"/>
        <v>X-ENCOFespS</v>
      </c>
      <c r="AE412" s="321" t="str">
        <f t="shared" si="191"/>
        <v>X-ENCOFespX</v>
      </c>
      <c r="AF412" s="321" t="str">
        <f t="shared" si="192"/>
        <v>X-ENCOFespA</v>
      </c>
      <c r="AG412" s="321">
        <f t="shared" si="183"/>
        <v>13</v>
      </c>
      <c r="AH412" s="321">
        <f>IF(B412&lt;&gt;"",IF(H412="x",VLOOKUP(I412,'AUX-NIV3'!B:AG,32,FALSE),0),"")</f>
        <v>0</v>
      </c>
      <c r="AI412" s="321" t="str">
        <f t="shared" si="193"/>
        <v>X-ENCOFesp</v>
      </c>
      <c r="AJ412" s="320"/>
      <c r="AK412" s="322">
        <f t="shared" si="184"/>
        <v>410</v>
      </c>
      <c r="AL412" s="323">
        <f t="shared" si="194"/>
        <v>422</v>
      </c>
      <c r="AM412" s="322">
        <f t="shared" si="195"/>
        <v>3</v>
      </c>
      <c r="AN412" s="380">
        <f>IF(AND(AH412&gt;0,B412&lt;&gt;""),VLOOKUP(I412,'AUX-NIV3'!$B:$AO,39,FALSE)*O412,0)</f>
        <v>0</v>
      </c>
      <c r="AO412" s="380">
        <f t="shared" si="185"/>
        <v>10.1</v>
      </c>
      <c r="AP412" s="380"/>
    </row>
    <row r="413" spans="2:42" ht="14.4" hidden="1" thickTop="1" thickBot="1">
      <c r="B413" s="324" t="s">
        <v>1311</v>
      </c>
      <c r="C413" s="325" t="s">
        <v>1313</v>
      </c>
      <c r="D413" s="326" t="s">
        <v>501</v>
      </c>
      <c r="E413" s="327">
        <f>IF(B413&lt;&gt;"",SUMIF('AUX-NIV1'!I:I,'AUX-NIV2'!B413,'AUX-NIV1'!Q:Q),"")</f>
        <v>0</v>
      </c>
      <c r="F413" s="327">
        <f t="shared" si="175"/>
        <v>7994.388765289179</v>
      </c>
      <c r="G413" s="327">
        <f t="shared" si="176"/>
        <v>0</v>
      </c>
      <c r="H413" s="328" t="str">
        <f t="shared" si="199"/>
        <v>A</v>
      </c>
      <c r="I413" s="325" t="s">
        <v>3312</v>
      </c>
      <c r="J413" s="329" t="str">
        <f>IF(B413&lt;&gt;"",+VLOOKUP(I413,Recursos!C:F,2,FALSE),"")</f>
        <v>CHOFER</v>
      </c>
      <c r="K413" s="330" t="str">
        <f>IF(B413&lt;&gt;"",+VLOOKUP(I413,Recursos!C:F,3,FALSE),"")</f>
        <v>hh</v>
      </c>
      <c r="L413" s="327">
        <f>IF(B413&lt;&gt;"",+VLOOKUP(I413,Recursos!C:F,4,FALSE),"")</f>
        <v>496.91595439275824</v>
      </c>
      <c r="M413" s="331">
        <v>0.05</v>
      </c>
      <c r="N413" s="331">
        <v>2</v>
      </c>
      <c r="O413" s="332">
        <f>+M413*N413</f>
        <v>0.1</v>
      </c>
      <c r="P413" s="333">
        <f t="shared" si="196"/>
        <v>49.691595439275829</v>
      </c>
      <c r="Q413" s="327">
        <f t="shared" si="197"/>
        <v>0</v>
      </c>
      <c r="R413" s="334">
        <f t="shared" si="198"/>
        <v>0</v>
      </c>
      <c r="S413" s="358">
        <f t="shared" si="177"/>
        <v>4645.478988034818</v>
      </c>
      <c r="T413" s="358">
        <f t="shared" si="178"/>
        <v>44.026680000000006</v>
      </c>
      <c r="U413" s="359">
        <f t="shared" si="179"/>
        <v>3304.8830972543619</v>
      </c>
      <c r="V413" s="359">
        <f t="shared" si="180"/>
        <v>0</v>
      </c>
      <c r="W413" s="359">
        <f t="shared" si="181"/>
        <v>0</v>
      </c>
      <c r="X413" s="359">
        <f t="shared" si="182"/>
        <v>0</v>
      </c>
      <c r="Y413" s="320"/>
      <c r="Z413" s="321" t="str">
        <f t="shared" si="186"/>
        <v>X-ENCOFespA</v>
      </c>
      <c r="AA413" s="321" t="str">
        <f t="shared" si="187"/>
        <v>X-ENCOFespE</v>
      </c>
      <c r="AB413" s="321" t="str">
        <f t="shared" si="188"/>
        <v>X-ENCOFespM</v>
      </c>
      <c r="AC413" s="321" t="str">
        <f t="shared" si="189"/>
        <v>X-ENCOFespT</v>
      </c>
      <c r="AD413" s="321" t="str">
        <f t="shared" si="190"/>
        <v>X-ENCOFespS</v>
      </c>
      <c r="AE413" s="321" t="str">
        <f t="shared" si="191"/>
        <v>X-ENCOFespX</v>
      </c>
      <c r="AF413" s="321" t="str">
        <f t="shared" si="192"/>
        <v>X-ENCOFespA</v>
      </c>
      <c r="AG413" s="321">
        <f t="shared" si="183"/>
        <v>13</v>
      </c>
      <c r="AH413" s="321">
        <f>IF(B413&lt;&gt;"",IF(H413="x",VLOOKUP(I413,'AUX-NIV3'!B:AG,32,FALSE),0),"")</f>
        <v>0</v>
      </c>
      <c r="AI413" s="321" t="str">
        <f t="shared" si="193"/>
        <v>X-ENCOFesp</v>
      </c>
      <c r="AJ413" s="320"/>
      <c r="AK413" s="322">
        <f t="shared" si="184"/>
        <v>410</v>
      </c>
      <c r="AL413" s="323">
        <f t="shared" si="194"/>
        <v>422</v>
      </c>
      <c r="AM413" s="322">
        <f t="shared" si="195"/>
        <v>4</v>
      </c>
      <c r="AN413" s="380">
        <f>IF(AND(AH413&gt;0,B413&lt;&gt;""),VLOOKUP(I413,'AUX-NIV3'!$B:$AO,39,FALSE)*O413,0)</f>
        <v>0</v>
      </c>
      <c r="AO413" s="380">
        <f t="shared" si="185"/>
        <v>10.1</v>
      </c>
      <c r="AP413" s="380"/>
    </row>
    <row r="414" spans="2:42" ht="14.4" hidden="1" thickTop="1" thickBot="1">
      <c r="B414" s="324" t="s">
        <v>1311</v>
      </c>
      <c r="C414" s="325" t="s">
        <v>1313</v>
      </c>
      <c r="D414" s="326" t="s">
        <v>501</v>
      </c>
      <c r="E414" s="327">
        <f>IF(B414&lt;&gt;"",SUMIF('AUX-NIV1'!I:I,'AUX-NIV2'!B414,'AUX-NIV1'!Q:Q),"")</f>
        <v>0</v>
      </c>
      <c r="F414" s="327">
        <f t="shared" si="175"/>
        <v>7994.388765289179</v>
      </c>
      <c r="G414" s="327">
        <f t="shared" si="176"/>
        <v>0</v>
      </c>
      <c r="H414" s="328" t="str">
        <f t="shared" si="199"/>
        <v>E</v>
      </c>
      <c r="I414" s="325" t="s">
        <v>1549</v>
      </c>
      <c r="J414" s="329" t="str">
        <f>IF(B414&lt;&gt;"",+VLOOKUP(I414,Recursos!C:F,2,FALSE),"")</f>
        <v>RETROEXC. CARG. S/ROD.NEUM. 0.24 M3</v>
      </c>
      <c r="K414" s="330" t="str">
        <f>IF(B414&lt;&gt;"",+VLOOKUP(I414,Recursos!C:F,3,FALSE),"")</f>
        <v>HR</v>
      </c>
      <c r="L414" s="327">
        <f>IF(B414&lt;&gt;"",+VLOOKUP(I414,Recursos!C:F,4,FALSE),"")</f>
        <v>1761.0672000000002</v>
      </c>
      <c r="M414" s="331">
        <v>2.5000000000000001E-2</v>
      </c>
      <c r="N414" s="331">
        <v>2</v>
      </c>
      <c r="O414" s="332">
        <v>2.5000000000000001E-2</v>
      </c>
      <c r="P414" s="333">
        <f t="shared" si="196"/>
        <v>44.026680000000006</v>
      </c>
      <c r="Q414" s="327">
        <f t="shared" si="197"/>
        <v>0</v>
      </c>
      <c r="R414" s="334">
        <f t="shared" si="198"/>
        <v>0</v>
      </c>
      <c r="S414" s="358">
        <f t="shared" si="177"/>
        <v>4645.478988034818</v>
      </c>
      <c r="T414" s="358">
        <f t="shared" si="178"/>
        <v>44.026680000000006</v>
      </c>
      <c r="U414" s="359">
        <f t="shared" si="179"/>
        <v>3304.8830972543619</v>
      </c>
      <c r="V414" s="359">
        <f t="shared" si="180"/>
        <v>0</v>
      </c>
      <c r="W414" s="359">
        <f t="shared" si="181"/>
        <v>0</v>
      </c>
      <c r="X414" s="359">
        <f t="shared" si="182"/>
        <v>0</v>
      </c>
      <c r="Y414" s="320"/>
      <c r="Z414" s="321" t="str">
        <f t="shared" si="186"/>
        <v>X-ENCOFespA</v>
      </c>
      <c r="AA414" s="321" t="str">
        <f t="shared" si="187"/>
        <v>X-ENCOFespE</v>
      </c>
      <c r="AB414" s="321" t="str">
        <f t="shared" si="188"/>
        <v>X-ENCOFespM</v>
      </c>
      <c r="AC414" s="321" t="str">
        <f t="shared" si="189"/>
        <v>X-ENCOFespT</v>
      </c>
      <c r="AD414" s="321" t="str">
        <f t="shared" si="190"/>
        <v>X-ENCOFespS</v>
      </c>
      <c r="AE414" s="321" t="str">
        <f t="shared" si="191"/>
        <v>X-ENCOFespX</v>
      </c>
      <c r="AF414" s="321" t="str">
        <f t="shared" si="192"/>
        <v>X-ENCOFespE</v>
      </c>
      <c r="AG414" s="321">
        <f t="shared" si="183"/>
        <v>13</v>
      </c>
      <c r="AH414" s="321">
        <f>IF(B414&lt;&gt;"",IF(H414="x",VLOOKUP(I414,'AUX-NIV3'!B:AG,32,FALSE),0),"")</f>
        <v>0</v>
      </c>
      <c r="AI414" s="321" t="str">
        <f t="shared" si="193"/>
        <v>X-ENCOFesp</v>
      </c>
      <c r="AJ414" s="320"/>
      <c r="AK414" s="322">
        <f t="shared" si="184"/>
        <v>410</v>
      </c>
      <c r="AL414" s="323">
        <f t="shared" si="194"/>
        <v>422</v>
      </c>
      <c r="AM414" s="322">
        <f t="shared" si="195"/>
        <v>5</v>
      </c>
      <c r="AN414" s="380">
        <f>IF(AND(AH414&gt;0,B414&lt;&gt;""),VLOOKUP(I414,'AUX-NIV3'!$B:$AO,39,FALSE)*O414,0)</f>
        <v>0</v>
      </c>
      <c r="AO414" s="380">
        <f t="shared" si="185"/>
        <v>10.1</v>
      </c>
      <c r="AP414" s="380"/>
    </row>
    <row r="415" spans="2:42" ht="14.4" hidden="1" thickTop="1" thickBot="1">
      <c r="B415" s="324" t="s">
        <v>1311</v>
      </c>
      <c r="C415" s="325" t="s">
        <v>1313</v>
      </c>
      <c r="D415" s="326" t="s">
        <v>501</v>
      </c>
      <c r="E415" s="327">
        <f>IF(B415&lt;&gt;"",SUMIF('AUX-NIV1'!I:I,'AUX-NIV2'!B415,'AUX-NIV1'!Q:Q),"")</f>
        <v>0</v>
      </c>
      <c r="F415" s="327">
        <f t="shared" si="175"/>
        <v>7994.388765289179</v>
      </c>
      <c r="G415" s="327">
        <f t="shared" si="176"/>
        <v>0</v>
      </c>
      <c r="H415" s="328" t="str">
        <f t="shared" si="199"/>
        <v>E</v>
      </c>
      <c r="I415" s="325" t="s">
        <v>1595</v>
      </c>
      <c r="J415" s="329" t="str">
        <f>IF(B415&lt;&gt;"",+VLOOKUP(I415,Recursos!C:F,2,FALSE),"")</f>
        <v>GRUA TORRE S/RIELES (300 TM)</v>
      </c>
      <c r="K415" s="330" t="str">
        <f>IF(B415&lt;&gt;"",+VLOOKUP(I415,Recursos!C:F,3,FALSE),"")</f>
        <v>HR</v>
      </c>
      <c r="L415" s="327">
        <f>IF(B415&lt;&gt;"",+VLOOKUP(I415,Recursos!C:F,4,FALSE),"")</f>
        <v>4082</v>
      </c>
      <c r="M415" s="331">
        <v>1</v>
      </c>
      <c r="N415" s="331">
        <v>0</v>
      </c>
      <c r="O415" s="332">
        <v>0</v>
      </c>
      <c r="P415" s="333">
        <f t="shared" si="196"/>
        <v>0</v>
      </c>
      <c r="Q415" s="327">
        <f t="shared" si="197"/>
        <v>0</v>
      </c>
      <c r="R415" s="334">
        <f t="shared" si="198"/>
        <v>0</v>
      </c>
      <c r="S415" s="358">
        <f t="shared" si="177"/>
        <v>4645.478988034818</v>
      </c>
      <c r="T415" s="358">
        <f t="shared" si="178"/>
        <v>44.026680000000006</v>
      </c>
      <c r="U415" s="359">
        <f t="shared" si="179"/>
        <v>3304.8830972543619</v>
      </c>
      <c r="V415" s="359">
        <f t="shared" si="180"/>
        <v>0</v>
      </c>
      <c r="W415" s="359">
        <f t="shared" si="181"/>
        <v>0</v>
      </c>
      <c r="X415" s="359">
        <f t="shared" si="182"/>
        <v>0</v>
      </c>
      <c r="Y415" s="320"/>
      <c r="Z415" s="321" t="str">
        <f t="shared" si="186"/>
        <v>X-ENCOFespA</v>
      </c>
      <c r="AA415" s="321" t="str">
        <f t="shared" si="187"/>
        <v>X-ENCOFespE</v>
      </c>
      <c r="AB415" s="321" t="str">
        <f t="shared" si="188"/>
        <v>X-ENCOFespM</v>
      </c>
      <c r="AC415" s="321" t="str">
        <f t="shared" si="189"/>
        <v>X-ENCOFespT</v>
      </c>
      <c r="AD415" s="321" t="str">
        <f t="shared" si="190"/>
        <v>X-ENCOFespS</v>
      </c>
      <c r="AE415" s="321" t="str">
        <f t="shared" si="191"/>
        <v>X-ENCOFespX</v>
      </c>
      <c r="AF415" s="321" t="str">
        <f t="shared" si="192"/>
        <v>X-ENCOFespE</v>
      </c>
      <c r="AG415" s="321">
        <f t="shared" si="183"/>
        <v>13</v>
      </c>
      <c r="AH415" s="321">
        <f>IF(B415&lt;&gt;"",IF(H415="x",VLOOKUP(I415,'AUX-NIV3'!B:AG,32,FALSE),0),"")</f>
        <v>0</v>
      </c>
      <c r="AI415" s="321" t="str">
        <f t="shared" si="193"/>
        <v>X-ENCOFesp</v>
      </c>
      <c r="AJ415" s="320"/>
      <c r="AK415" s="322">
        <f t="shared" si="184"/>
        <v>410</v>
      </c>
      <c r="AL415" s="323">
        <f t="shared" si="194"/>
        <v>422</v>
      </c>
      <c r="AM415" s="322">
        <f t="shared" si="195"/>
        <v>6</v>
      </c>
      <c r="AN415" s="380">
        <f>IF(AND(AH415&gt;0,B415&lt;&gt;""),VLOOKUP(I415,'AUX-NIV3'!$B:$AO,39,FALSE)*O415,0)</f>
        <v>0</v>
      </c>
      <c r="AO415" s="380">
        <f t="shared" si="185"/>
        <v>10.1</v>
      </c>
      <c r="AP415" s="380"/>
    </row>
    <row r="416" spans="2:42" ht="14.4" hidden="1" thickTop="1" thickBot="1">
      <c r="B416" s="324" t="s">
        <v>1311</v>
      </c>
      <c r="C416" s="325" t="s">
        <v>1313</v>
      </c>
      <c r="D416" s="326" t="s">
        <v>501</v>
      </c>
      <c r="E416" s="327">
        <f>IF(B416&lt;&gt;"",SUMIF('AUX-NIV1'!I:I,'AUX-NIV2'!B416,'AUX-NIV1'!Q:Q),"")</f>
        <v>0</v>
      </c>
      <c r="F416" s="327">
        <f t="shared" si="175"/>
        <v>7994.388765289179</v>
      </c>
      <c r="G416" s="327">
        <f t="shared" si="176"/>
        <v>0</v>
      </c>
      <c r="H416" s="328" t="str">
        <f t="shared" si="199"/>
        <v>M</v>
      </c>
      <c r="I416" s="325" t="s">
        <v>621</v>
      </c>
      <c r="J416" s="329" t="str">
        <f>IF(B416&lt;&gt;"",+VLOOKUP(I416,Recursos!C:F,2,FALSE),"")</f>
        <v>MATERIALES VARIOS</v>
      </c>
      <c r="K416" s="330" t="str">
        <f>IF(B416&lt;&gt;"",+VLOOKUP(I416,Recursos!C:F,3,FALSE),"")</f>
        <v>GL</v>
      </c>
      <c r="L416" s="327">
        <f>IF(B416&lt;&gt;"",+VLOOKUP(I416,Recursos!C:F,4,FALSE),"")</f>
        <v>0.5</v>
      </c>
      <c r="M416" s="331">
        <v>2.1741899999999998</v>
      </c>
      <c r="N416" s="331">
        <v>2</v>
      </c>
      <c r="O416" s="332">
        <f>+M416*N416</f>
        <v>4.3483799999999997</v>
      </c>
      <c r="P416" s="333">
        <f t="shared" si="196"/>
        <v>2.1741899999999998</v>
      </c>
      <c r="Q416" s="327">
        <f t="shared" si="197"/>
        <v>0</v>
      </c>
      <c r="R416" s="334">
        <f t="shared" si="198"/>
        <v>0</v>
      </c>
      <c r="S416" s="358">
        <f t="shared" si="177"/>
        <v>4645.478988034818</v>
      </c>
      <c r="T416" s="358">
        <f t="shared" si="178"/>
        <v>44.026680000000006</v>
      </c>
      <c r="U416" s="359">
        <f t="shared" si="179"/>
        <v>3304.8830972543619</v>
      </c>
      <c r="V416" s="359">
        <f t="shared" si="180"/>
        <v>0</v>
      </c>
      <c r="W416" s="359">
        <f t="shared" si="181"/>
        <v>0</v>
      </c>
      <c r="X416" s="359">
        <f t="shared" si="182"/>
        <v>0</v>
      </c>
      <c r="Y416" s="320"/>
      <c r="Z416" s="321" t="str">
        <f t="shared" si="186"/>
        <v>X-ENCOFespA</v>
      </c>
      <c r="AA416" s="321" t="str">
        <f t="shared" si="187"/>
        <v>X-ENCOFespE</v>
      </c>
      <c r="AB416" s="321" t="str">
        <f t="shared" si="188"/>
        <v>X-ENCOFespM</v>
      </c>
      <c r="AC416" s="321" t="str">
        <f t="shared" si="189"/>
        <v>X-ENCOFespT</v>
      </c>
      <c r="AD416" s="321" t="str">
        <f t="shared" si="190"/>
        <v>X-ENCOFespS</v>
      </c>
      <c r="AE416" s="321" t="str">
        <f t="shared" si="191"/>
        <v>X-ENCOFespX</v>
      </c>
      <c r="AF416" s="321" t="str">
        <f t="shared" si="192"/>
        <v>X-ENCOFespM</v>
      </c>
      <c r="AG416" s="321">
        <f t="shared" si="183"/>
        <v>13</v>
      </c>
      <c r="AH416" s="321">
        <f>IF(B416&lt;&gt;"",IF(H416="x",VLOOKUP(I416,'AUX-NIV3'!B:AG,32,FALSE),0),"")</f>
        <v>0</v>
      </c>
      <c r="AI416" s="321" t="str">
        <f t="shared" si="193"/>
        <v>X-ENCOFesp</v>
      </c>
      <c r="AJ416" s="320"/>
      <c r="AK416" s="322">
        <f t="shared" si="184"/>
        <v>410</v>
      </c>
      <c r="AL416" s="323">
        <f t="shared" si="194"/>
        <v>422</v>
      </c>
      <c r="AM416" s="322">
        <f t="shared" si="195"/>
        <v>7</v>
      </c>
      <c r="AN416" s="380">
        <f>IF(AND(AH416&gt;0,B416&lt;&gt;""),VLOOKUP(I416,'AUX-NIV3'!$B:$AO,39,FALSE)*O416,0)</f>
        <v>0</v>
      </c>
      <c r="AO416" s="380">
        <f t="shared" si="185"/>
        <v>10.1</v>
      </c>
      <c r="AP416" s="380"/>
    </row>
    <row r="417" spans="2:42" ht="14.4" hidden="1" thickTop="1" thickBot="1">
      <c r="B417" s="324" t="s">
        <v>1311</v>
      </c>
      <c r="C417" s="325" t="s">
        <v>1313</v>
      </c>
      <c r="D417" s="326" t="s">
        <v>501</v>
      </c>
      <c r="E417" s="327">
        <f>IF(B417&lt;&gt;"",SUMIF('AUX-NIV1'!I:I,'AUX-NIV2'!B417,'AUX-NIV1'!Q:Q),"")</f>
        <v>0</v>
      </c>
      <c r="F417" s="327">
        <f t="shared" si="175"/>
        <v>7994.388765289179</v>
      </c>
      <c r="G417" s="327">
        <f t="shared" si="176"/>
        <v>0</v>
      </c>
      <c r="H417" s="328" t="str">
        <f t="shared" si="199"/>
        <v>M</v>
      </c>
      <c r="I417" s="325" t="s">
        <v>580</v>
      </c>
      <c r="J417" s="329" t="str">
        <f>IF(B417&lt;&gt;"",+VLOOKUP(I417,Recursos!C:F,2,FALSE),"")</f>
        <v>DESMOLDANTE</v>
      </c>
      <c r="K417" s="330" t="str">
        <f>IF(B417&lt;&gt;"",+VLOOKUP(I417,Recursos!C:F,3,FALSE),"")</f>
        <v>Kg</v>
      </c>
      <c r="L417" s="327">
        <f>IF(B417&lt;&gt;"",+VLOOKUP(I417,Recursos!C:F,4,FALSE),"")</f>
        <v>0</v>
      </c>
      <c r="M417" s="331">
        <v>0.1</v>
      </c>
      <c r="N417" s="331">
        <v>2</v>
      </c>
      <c r="O417" s="332">
        <f>+M417*N417</f>
        <v>0.2</v>
      </c>
      <c r="P417" s="333">
        <f t="shared" si="196"/>
        <v>0</v>
      </c>
      <c r="Q417" s="327">
        <f t="shared" si="197"/>
        <v>0</v>
      </c>
      <c r="R417" s="334">
        <f t="shared" si="198"/>
        <v>0</v>
      </c>
      <c r="S417" s="358">
        <f t="shared" si="177"/>
        <v>4645.478988034818</v>
      </c>
      <c r="T417" s="358">
        <f t="shared" si="178"/>
        <v>44.026680000000006</v>
      </c>
      <c r="U417" s="359">
        <f t="shared" si="179"/>
        <v>3304.8830972543619</v>
      </c>
      <c r="V417" s="359">
        <f t="shared" si="180"/>
        <v>0</v>
      </c>
      <c r="W417" s="359">
        <f t="shared" si="181"/>
        <v>0</v>
      </c>
      <c r="X417" s="359">
        <f t="shared" si="182"/>
        <v>0</v>
      </c>
      <c r="Y417" s="320"/>
      <c r="Z417" s="321" t="str">
        <f t="shared" si="186"/>
        <v>X-ENCOFespA</v>
      </c>
      <c r="AA417" s="321" t="str">
        <f t="shared" si="187"/>
        <v>X-ENCOFespE</v>
      </c>
      <c r="AB417" s="321" t="str">
        <f t="shared" si="188"/>
        <v>X-ENCOFespM</v>
      </c>
      <c r="AC417" s="321" t="str">
        <f t="shared" si="189"/>
        <v>X-ENCOFespT</v>
      </c>
      <c r="AD417" s="321" t="str">
        <f t="shared" si="190"/>
        <v>X-ENCOFespS</v>
      </c>
      <c r="AE417" s="321" t="str">
        <f t="shared" si="191"/>
        <v>X-ENCOFespX</v>
      </c>
      <c r="AF417" s="321" t="str">
        <f t="shared" si="192"/>
        <v>X-ENCOFespM</v>
      </c>
      <c r="AG417" s="321">
        <f t="shared" si="183"/>
        <v>13</v>
      </c>
      <c r="AH417" s="321">
        <f>IF(B417&lt;&gt;"",IF(H417="x",VLOOKUP(I417,'AUX-NIV3'!B:AG,32,FALSE),0),"")</f>
        <v>0</v>
      </c>
      <c r="AI417" s="321" t="str">
        <f t="shared" si="193"/>
        <v>X-ENCOFesp</v>
      </c>
      <c r="AJ417" s="320"/>
      <c r="AK417" s="322">
        <f t="shared" si="184"/>
        <v>410</v>
      </c>
      <c r="AL417" s="323">
        <f t="shared" si="194"/>
        <v>422</v>
      </c>
      <c r="AM417" s="322">
        <f t="shared" si="195"/>
        <v>8</v>
      </c>
      <c r="AN417" s="380">
        <f>IF(AND(AH417&gt;0,B417&lt;&gt;""),VLOOKUP(I417,'AUX-NIV3'!$B:$AO,39,FALSE)*O417,0)</f>
        <v>0</v>
      </c>
      <c r="AO417" s="380">
        <f t="shared" si="185"/>
        <v>10.1</v>
      </c>
      <c r="AP417" s="380"/>
    </row>
    <row r="418" spans="2:42" ht="14.4" hidden="1" thickTop="1" thickBot="1">
      <c r="B418" s="324" t="s">
        <v>1311</v>
      </c>
      <c r="C418" s="325" t="s">
        <v>1313</v>
      </c>
      <c r="D418" s="326" t="s">
        <v>501</v>
      </c>
      <c r="E418" s="327">
        <f>IF(B418&lt;&gt;"",SUMIF('AUX-NIV1'!I:I,'AUX-NIV2'!B418,'AUX-NIV1'!Q:Q),"")</f>
        <v>0</v>
      </c>
      <c r="F418" s="327">
        <f t="shared" si="175"/>
        <v>7994.388765289179</v>
      </c>
      <c r="G418" s="327">
        <f t="shared" si="176"/>
        <v>0</v>
      </c>
      <c r="H418" s="328" t="str">
        <f t="shared" si="199"/>
        <v>M</v>
      </c>
      <c r="I418" s="325" t="s">
        <v>594</v>
      </c>
      <c r="J418" s="329" t="str">
        <f>IF(B418&lt;&gt;"",+VLOOKUP(I418,Recursos!C:F,2,FALSE),"")</f>
        <v>LISTON TIPO PARA ENCOFRADO</v>
      </c>
      <c r="K418" s="330" t="str">
        <f>IF(B418&lt;&gt;"",+VLOOKUP(I418,Recursos!C:F,3,FALSE),"")</f>
        <v>m2</v>
      </c>
      <c r="L418" s="327">
        <f>IF(B418&lt;&gt;"",+VLOOKUP(I418,Recursos!C:F,4,FALSE),"")</f>
        <v>2375</v>
      </c>
      <c r="M418" s="331">
        <v>1</v>
      </c>
      <c r="N418" s="331">
        <v>2</v>
      </c>
      <c r="O418" s="332">
        <v>1</v>
      </c>
      <c r="P418" s="333">
        <f t="shared" si="196"/>
        <v>2375</v>
      </c>
      <c r="Q418" s="327">
        <f t="shared" si="197"/>
        <v>0</v>
      </c>
      <c r="R418" s="334">
        <f t="shared" si="198"/>
        <v>0</v>
      </c>
      <c r="S418" s="358">
        <f t="shared" si="177"/>
        <v>4645.478988034818</v>
      </c>
      <c r="T418" s="358">
        <f t="shared" si="178"/>
        <v>44.026680000000006</v>
      </c>
      <c r="U418" s="359">
        <f t="shared" si="179"/>
        <v>3304.8830972543619</v>
      </c>
      <c r="V418" s="359">
        <f t="shared" si="180"/>
        <v>0</v>
      </c>
      <c r="W418" s="359">
        <f t="shared" si="181"/>
        <v>0</v>
      </c>
      <c r="X418" s="359">
        <f t="shared" si="182"/>
        <v>0</v>
      </c>
      <c r="Y418" s="320"/>
      <c r="Z418" s="321" t="str">
        <f t="shared" si="186"/>
        <v>X-ENCOFespA</v>
      </c>
      <c r="AA418" s="321" t="str">
        <f t="shared" si="187"/>
        <v>X-ENCOFespE</v>
      </c>
      <c r="AB418" s="321" t="str">
        <f t="shared" si="188"/>
        <v>X-ENCOFespM</v>
      </c>
      <c r="AC418" s="321" t="str">
        <f t="shared" si="189"/>
        <v>X-ENCOFespT</v>
      </c>
      <c r="AD418" s="321" t="str">
        <f t="shared" si="190"/>
        <v>X-ENCOFespS</v>
      </c>
      <c r="AE418" s="321" t="str">
        <f t="shared" si="191"/>
        <v>X-ENCOFespX</v>
      </c>
      <c r="AF418" s="321" t="str">
        <f t="shared" si="192"/>
        <v>X-ENCOFespM</v>
      </c>
      <c r="AG418" s="321">
        <f t="shared" si="183"/>
        <v>13</v>
      </c>
      <c r="AH418" s="321">
        <f>IF(B418&lt;&gt;"",IF(H418="x",VLOOKUP(I418,'AUX-NIV3'!B:AG,32,FALSE),0),"")</f>
        <v>0</v>
      </c>
      <c r="AI418" s="321" t="str">
        <f t="shared" si="193"/>
        <v>X-ENCOFesp</v>
      </c>
      <c r="AJ418" s="320"/>
      <c r="AK418" s="322">
        <f t="shared" si="184"/>
        <v>410</v>
      </c>
      <c r="AL418" s="323">
        <f t="shared" si="194"/>
        <v>422</v>
      </c>
      <c r="AM418" s="322">
        <f t="shared" si="195"/>
        <v>9</v>
      </c>
      <c r="AN418" s="380">
        <f>IF(AND(AH418&gt;0,B418&lt;&gt;""),VLOOKUP(I418,'AUX-NIV3'!$B:$AO,39,FALSE)*O418,0)</f>
        <v>0</v>
      </c>
      <c r="AO418" s="380">
        <f t="shared" si="185"/>
        <v>10.1</v>
      </c>
      <c r="AP418" s="380"/>
    </row>
    <row r="419" spans="2:42" ht="14.4" hidden="1" thickTop="1" thickBot="1">
      <c r="B419" s="324" t="s">
        <v>1311</v>
      </c>
      <c r="C419" s="325" t="s">
        <v>1313</v>
      </c>
      <c r="D419" s="326" t="s">
        <v>501</v>
      </c>
      <c r="E419" s="327">
        <f>IF(B419&lt;&gt;"",SUMIF('AUX-NIV1'!I:I,'AUX-NIV2'!B419,'AUX-NIV1'!Q:Q),"")</f>
        <v>0</v>
      </c>
      <c r="F419" s="327">
        <f t="shared" si="175"/>
        <v>7994.388765289179</v>
      </c>
      <c r="G419" s="327">
        <f t="shared" si="176"/>
        <v>0</v>
      </c>
      <c r="H419" s="328" t="str">
        <f t="shared" si="199"/>
        <v>M</v>
      </c>
      <c r="I419" s="325" t="s">
        <v>584</v>
      </c>
      <c r="J419" s="329" t="str">
        <f>IF(B419&lt;&gt;"",+VLOOKUP(I419,Recursos!C:F,2,FALSE),"")</f>
        <v>FENOLICO PARA ENCOFRADO</v>
      </c>
      <c r="K419" s="330" t="str">
        <f>IF(B419&lt;&gt;"",+VLOOKUP(I419,Recursos!C:F,3,FALSE),"")</f>
        <v>M2</v>
      </c>
      <c r="L419" s="327">
        <f>IF(B419&lt;&gt;"",+VLOOKUP(I419,Recursos!C:F,4,FALSE),"")</f>
        <v>901.05601469237831</v>
      </c>
      <c r="M419" s="331">
        <v>0.1</v>
      </c>
      <c r="N419" s="331">
        <v>2</v>
      </c>
      <c r="O419" s="332">
        <v>0.1</v>
      </c>
      <c r="P419" s="333">
        <f t="shared" si="196"/>
        <v>90.10560146923784</v>
      </c>
      <c r="Q419" s="327">
        <f t="shared" si="197"/>
        <v>0</v>
      </c>
      <c r="R419" s="334">
        <f t="shared" si="198"/>
        <v>0</v>
      </c>
      <c r="S419" s="358">
        <f t="shared" si="177"/>
        <v>4645.478988034818</v>
      </c>
      <c r="T419" s="358">
        <f t="shared" si="178"/>
        <v>44.026680000000006</v>
      </c>
      <c r="U419" s="359">
        <f t="shared" si="179"/>
        <v>3304.8830972543619</v>
      </c>
      <c r="V419" s="359">
        <f t="shared" si="180"/>
        <v>0</v>
      </c>
      <c r="W419" s="359">
        <f t="shared" si="181"/>
        <v>0</v>
      </c>
      <c r="X419" s="359">
        <f t="shared" si="182"/>
        <v>0</v>
      </c>
      <c r="Y419" s="320"/>
      <c r="Z419" s="321" t="str">
        <f t="shared" si="186"/>
        <v>X-ENCOFespA</v>
      </c>
      <c r="AA419" s="321" t="str">
        <f t="shared" si="187"/>
        <v>X-ENCOFespE</v>
      </c>
      <c r="AB419" s="321" t="str">
        <f t="shared" si="188"/>
        <v>X-ENCOFespM</v>
      </c>
      <c r="AC419" s="321" t="str">
        <f t="shared" si="189"/>
        <v>X-ENCOFespT</v>
      </c>
      <c r="AD419" s="321" t="str">
        <f t="shared" si="190"/>
        <v>X-ENCOFespS</v>
      </c>
      <c r="AE419" s="321" t="str">
        <f t="shared" si="191"/>
        <v>X-ENCOFespX</v>
      </c>
      <c r="AF419" s="321" t="str">
        <f t="shared" si="192"/>
        <v>X-ENCOFespM</v>
      </c>
      <c r="AG419" s="321">
        <f t="shared" si="183"/>
        <v>13</v>
      </c>
      <c r="AH419" s="321">
        <f>IF(B419&lt;&gt;"",IF(H419="x",VLOOKUP(I419,'AUX-NIV3'!B:AG,32,FALSE),0),"")</f>
        <v>0</v>
      </c>
      <c r="AI419" s="321" t="str">
        <f t="shared" si="193"/>
        <v>X-ENCOFesp</v>
      </c>
      <c r="AJ419" s="320"/>
      <c r="AK419" s="322">
        <f t="shared" si="184"/>
        <v>410</v>
      </c>
      <c r="AL419" s="323">
        <f t="shared" si="194"/>
        <v>422</v>
      </c>
      <c r="AM419" s="322">
        <f t="shared" si="195"/>
        <v>10</v>
      </c>
      <c r="AN419" s="380">
        <f>IF(AND(AH419&gt;0,B419&lt;&gt;""),VLOOKUP(I419,'AUX-NIV3'!$B:$AO,39,FALSE)*O419,0)</f>
        <v>0</v>
      </c>
      <c r="AO419" s="380">
        <f t="shared" si="185"/>
        <v>10.1</v>
      </c>
      <c r="AP419" s="380"/>
    </row>
    <row r="420" spans="2:42" ht="14.4" hidden="1" thickTop="1" thickBot="1">
      <c r="B420" s="324" t="s">
        <v>1311</v>
      </c>
      <c r="C420" s="325" t="s">
        <v>1313</v>
      </c>
      <c r="D420" s="326" t="s">
        <v>501</v>
      </c>
      <c r="E420" s="327">
        <f>IF(B420&lt;&gt;"",SUMIF('AUX-NIV1'!I:I,'AUX-NIV2'!B420,'AUX-NIV1'!Q:Q),"")</f>
        <v>0</v>
      </c>
      <c r="F420" s="327">
        <f t="shared" si="175"/>
        <v>7994.388765289179</v>
      </c>
      <c r="G420" s="327">
        <f t="shared" si="176"/>
        <v>0</v>
      </c>
      <c r="H420" s="328" t="str">
        <f t="shared" si="199"/>
        <v>M</v>
      </c>
      <c r="I420" s="325" t="s">
        <v>608</v>
      </c>
      <c r="J420" s="329" t="str">
        <f>IF(B420&lt;&gt;"",+VLOOKUP(I420,Recursos!C:F,2,FALSE),"")</f>
        <v>PUNTAL PARA ENCOFRADO</v>
      </c>
      <c r="K420" s="330" t="str">
        <f>IF(B420&lt;&gt;"",+VLOOKUP(I420,Recursos!C:F,3,FALSE),"")</f>
        <v>M</v>
      </c>
      <c r="L420" s="327">
        <f>IF(B420&lt;&gt;"",+VLOOKUP(I420,Recursos!C:F,4,FALSE),"")</f>
        <v>200</v>
      </c>
      <c r="M420" s="331">
        <v>4</v>
      </c>
      <c r="N420" s="331">
        <v>6</v>
      </c>
      <c r="O420" s="332">
        <f>+N420/M420</f>
        <v>1.5</v>
      </c>
      <c r="P420" s="333">
        <f t="shared" si="196"/>
        <v>300</v>
      </c>
      <c r="Q420" s="327">
        <f t="shared" si="197"/>
        <v>0</v>
      </c>
      <c r="R420" s="334">
        <f t="shared" si="198"/>
        <v>0</v>
      </c>
      <c r="S420" s="358">
        <f t="shared" si="177"/>
        <v>4645.478988034818</v>
      </c>
      <c r="T420" s="358">
        <f t="shared" si="178"/>
        <v>44.026680000000006</v>
      </c>
      <c r="U420" s="359">
        <f t="shared" si="179"/>
        <v>3304.8830972543619</v>
      </c>
      <c r="V420" s="359">
        <f t="shared" si="180"/>
        <v>0</v>
      </c>
      <c r="W420" s="359">
        <f t="shared" si="181"/>
        <v>0</v>
      </c>
      <c r="X420" s="359">
        <f t="shared" si="182"/>
        <v>0</v>
      </c>
      <c r="Y420" s="320"/>
      <c r="Z420" s="321" t="str">
        <f t="shared" si="186"/>
        <v>X-ENCOFespA</v>
      </c>
      <c r="AA420" s="321" t="str">
        <f t="shared" si="187"/>
        <v>X-ENCOFespE</v>
      </c>
      <c r="AB420" s="321" t="str">
        <f t="shared" si="188"/>
        <v>X-ENCOFespM</v>
      </c>
      <c r="AC420" s="321" t="str">
        <f t="shared" si="189"/>
        <v>X-ENCOFespT</v>
      </c>
      <c r="AD420" s="321" t="str">
        <f t="shared" si="190"/>
        <v>X-ENCOFespS</v>
      </c>
      <c r="AE420" s="321" t="str">
        <f t="shared" si="191"/>
        <v>X-ENCOFespX</v>
      </c>
      <c r="AF420" s="321" t="str">
        <f t="shared" si="192"/>
        <v>X-ENCOFespM</v>
      </c>
      <c r="AG420" s="321">
        <f t="shared" si="183"/>
        <v>13</v>
      </c>
      <c r="AH420" s="321">
        <f>IF(B420&lt;&gt;"",IF(H420="x",VLOOKUP(I420,'AUX-NIV3'!B:AG,32,FALSE),0),"")</f>
        <v>0</v>
      </c>
      <c r="AI420" s="321" t="str">
        <f t="shared" si="193"/>
        <v>X-ENCOFesp</v>
      </c>
      <c r="AJ420" s="320"/>
      <c r="AK420" s="322">
        <f t="shared" si="184"/>
        <v>410</v>
      </c>
      <c r="AL420" s="323">
        <f t="shared" si="194"/>
        <v>422</v>
      </c>
      <c r="AM420" s="322">
        <f t="shared" si="195"/>
        <v>11</v>
      </c>
      <c r="AN420" s="380">
        <f>IF(AND(AH420&gt;0,B420&lt;&gt;""),VLOOKUP(I420,'AUX-NIV3'!$B:$AO,39,FALSE)*O420,0)</f>
        <v>0</v>
      </c>
      <c r="AO420" s="380">
        <f t="shared" si="185"/>
        <v>10.1</v>
      </c>
      <c r="AP420" s="380"/>
    </row>
    <row r="421" spans="2:42" ht="14.4" hidden="1" thickTop="1" thickBot="1">
      <c r="B421" s="324" t="s">
        <v>1311</v>
      </c>
      <c r="C421" s="325" t="s">
        <v>1313</v>
      </c>
      <c r="D421" s="326" t="s">
        <v>501</v>
      </c>
      <c r="E421" s="327">
        <f>IF(B421&lt;&gt;"",SUMIF('AUX-NIV1'!I:I,'AUX-NIV2'!B421,'AUX-NIV1'!Q:Q),"")</f>
        <v>0</v>
      </c>
      <c r="F421" s="327">
        <f t="shared" si="175"/>
        <v>7994.388765289179</v>
      </c>
      <c r="G421" s="327">
        <f t="shared" si="176"/>
        <v>0</v>
      </c>
      <c r="H421" s="328" t="str">
        <f t="shared" si="199"/>
        <v>M</v>
      </c>
      <c r="I421" s="325" t="s">
        <v>448</v>
      </c>
      <c r="J421" s="329" t="str">
        <f>IF(B421&lt;&gt;"",+VLOOKUP(I421,Recursos!C:F,2,FALSE),"")</f>
        <v>ALAMBRE RECOCIDO #14</v>
      </c>
      <c r="K421" s="330" t="str">
        <f>IF(B421&lt;&gt;"",+VLOOKUP(I421,Recursos!C:F,3,FALSE),"")</f>
        <v>Kg</v>
      </c>
      <c r="L421" s="327">
        <f>IF(B421&lt;&gt;"",+VLOOKUP(I421,Recursos!C:F,4,FALSE),"")</f>
        <v>735.53719008264466</v>
      </c>
      <c r="M421" s="331">
        <v>0.25</v>
      </c>
      <c r="N421" s="331">
        <v>2</v>
      </c>
      <c r="O421" s="332">
        <f>+M421*N421</f>
        <v>0.5</v>
      </c>
      <c r="P421" s="333">
        <f t="shared" si="196"/>
        <v>367.76859504132233</v>
      </c>
      <c r="Q421" s="327">
        <f t="shared" si="197"/>
        <v>0</v>
      </c>
      <c r="R421" s="334">
        <f t="shared" si="198"/>
        <v>0</v>
      </c>
      <c r="S421" s="358">
        <f t="shared" si="177"/>
        <v>4645.478988034818</v>
      </c>
      <c r="T421" s="358">
        <f t="shared" si="178"/>
        <v>44.026680000000006</v>
      </c>
      <c r="U421" s="359">
        <f t="shared" si="179"/>
        <v>3304.8830972543619</v>
      </c>
      <c r="V421" s="359">
        <f t="shared" si="180"/>
        <v>0</v>
      </c>
      <c r="W421" s="359">
        <f t="shared" si="181"/>
        <v>0</v>
      </c>
      <c r="X421" s="359">
        <f t="shared" si="182"/>
        <v>0</v>
      </c>
      <c r="Y421" s="320"/>
      <c r="Z421" s="321" t="str">
        <f t="shared" si="186"/>
        <v>X-ENCOFespA</v>
      </c>
      <c r="AA421" s="321" t="str">
        <f t="shared" si="187"/>
        <v>X-ENCOFespE</v>
      </c>
      <c r="AB421" s="321" t="str">
        <f t="shared" si="188"/>
        <v>X-ENCOFespM</v>
      </c>
      <c r="AC421" s="321" t="str">
        <f t="shared" si="189"/>
        <v>X-ENCOFespT</v>
      </c>
      <c r="AD421" s="321" t="str">
        <f t="shared" si="190"/>
        <v>X-ENCOFespS</v>
      </c>
      <c r="AE421" s="321" t="str">
        <f t="shared" si="191"/>
        <v>X-ENCOFespX</v>
      </c>
      <c r="AF421" s="321" t="str">
        <f t="shared" si="192"/>
        <v>X-ENCOFespM</v>
      </c>
      <c r="AG421" s="321">
        <f t="shared" si="183"/>
        <v>13</v>
      </c>
      <c r="AH421" s="321">
        <f>IF(B421&lt;&gt;"",IF(H421="x",VLOOKUP(I421,'AUX-NIV3'!B:AG,32,FALSE),0),"")</f>
        <v>0</v>
      </c>
      <c r="AI421" s="321" t="str">
        <f t="shared" si="193"/>
        <v>X-ENCOFesp</v>
      </c>
      <c r="AJ421" s="320"/>
      <c r="AK421" s="322">
        <f t="shared" si="184"/>
        <v>410</v>
      </c>
      <c r="AL421" s="323">
        <f t="shared" si="194"/>
        <v>422</v>
      </c>
      <c r="AM421" s="322">
        <f t="shared" si="195"/>
        <v>12</v>
      </c>
      <c r="AN421" s="380">
        <f>IF(AND(AH421&gt;0,B421&lt;&gt;""),VLOOKUP(I421,'AUX-NIV3'!$B:$AO,39,FALSE)*O421,0)</f>
        <v>0</v>
      </c>
      <c r="AO421" s="380">
        <f t="shared" si="185"/>
        <v>10.1</v>
      </c>
      <c r="AP421" s="380"/>
    </row>
    <row r="422" spans="2:42" ht="14.4" hidden="1" thickTop="1" thickBot="1">
      <c r="B422" s="324" t="s">
        <v>1311</v>
      </c>
      <c r="C422" s="325" t="s">
        <v>1313</v>
      </c>
      <c r="D422" s="326" t="s">
        <v>501</v>
      </c>
      <c r="E422" s="327">
        <f>IF(B422&lt;&gt;"",SUMIF('AUX-NIV1'!I:I,'AUX-NIV2'!B422,'AUX-NIV1'!Q:Q),"")</f>
        <v>0</v>
      </c>
      <c r="F422" s="327">
        <f t="shared" si="175"/>
        <v>7994.388765289179</v>
      </c>
      <c r="G422" s="327">
        <f t="shared" si="176"/>
        <v>0</v>
      </c>
      <c r="H422" s="328" t="str">
        <f t="shared" si="199"/>
        <v>M</v>
      </c>
      <c r="I422" s="325" t="s">
        <v>504</v>
      </c>
      <c r="J422" s="329" t="str">
        <f>IF(B422&lt;&gt;"",+VLOOKUP(I422,Recursos!C:F,2,FALSE),"")</f>
        <v>CLAVO DE 2 A 4"</v>
      </c>
      <c r="K422" s="330" t="str">
        <f>IF(B422&lt;&gt;"",+VLOOKUP(I422,Recursos!C:F,3,FALSE),"")</f>
        <v>Kg</v>
      </c>
      <c r="L422" s="327">
        <f>IF(B422&lt;&gt;"",+VLOOKUP(I422,Recursos!C:F,4,FALSE),"")</f>
        <v>566.11570247933889</v>
      </c>
      <c r="M422" s="331">
        <v>0.15</v>
      </c>
      <c r="N422" s="331">
        <v>2</v>
      </c>
      <c r="O422" s="332">
        <f>+M422*N422</f>
        <v>0.3</v>
      </c>
      <c r="P422" s="333">
        <f t="shared" si="196"/>
        <v>169.83471074380165</v>
      </c>
      <c r="Q422" s="327">
        <f t="shared" si="197"/>
        <v>0</v>
      </c>
      <c r="R422" s="334">
        <f t="shared" si="198"/>
        <v>0</v>
      </c>
      <c r="S422" s="358">
        <f t="shared" si="177"/>
        <v>4645.478988034818</v>
      </c>
      <c r="T422" s="358">
        <f t="shared" si="178"/>
        <v>44.026680000000006</v>
      </c>
      <c r="U422" s="359">
        <f t="shared" si="179"/>
        <v>3304.8830972543619</v>
      </c>
      <c r="V422" s="359">
        <f t="shared" si="180"/>
        <v>0</v>
      </c>
      <c r="W422" s="359">
        <f t="shared" si="181"/>
        <v>0</v>
      </c>
      <c r="X422" s="359">
        <f t="shared" si="182"/>
        <v>0</v>
      </c>
      <c r="Y422" s="320"/>
      <c r="Z422" s="321" t="str">
        <f t="shared" si="186"/>
        <v>X-ENCOFespA</v>
      </c>
      <c r="AA422" s="321" t="str">
        <f t="shared" si="187"/>
        <v>X-ENCOFespE</v>
      </c>
      <c r="AB422" s="321" t="str">
        <f t="shared" si="188"/>
        <v>X-ENCOFespM</v>
      </c>
      <c r="AC422" s="321" t="str">
        <f t="shared" si="189"/>
        <v>X-ENCOFespT</v>
      </c>
      <c r="AD422" s="321" t="str">
        <f t="shared" si="190"/>
        <v>X-ENCOFespS</v>
      </c>
      <c r="AE422" s="321" t="str">
        <f t="shared" si="191"/>
        <v>X-ENCOFespX</v>
      </c>
      <c r="AF422" s="321" t="str">
        <f t="shared" si="192"/>
        <v>X-ENCOFespM</v>
      </c>
      <c r="AG422" s="321">
        <f t="shared" si="183"/>
        <v>13</v>
      </c>
      <c r="AH422" s="321">
        <f>IF(B422&lt;&gt;"",IF(H422="x",VLOOKUP(I422,'AUX-NIV3'!B:AG,32,FALSE),0),"")</f>
        <v>0</v>
      </c>
      <c r="AI422" s="321" t="str">
        <f t="shared" si="193"/>
        <v>X-ENCOFesp</v>
      </c>
      <c r="AJ422" s="320"/>
      <c r="AK422" s="322">
        <f t="shared" si="184"/>
        <v>410</v>
      </c>
      <c r="AL422" s="323">
        <f t="shared" si="194"/>
        <v>422</v>
      </c>
      <c r="AM422" s="322">
        <f t="shared" si="195"/>
        <v>13</v>
      </c>
      <c r="AN422" s="380">
        <f>IF(AND(AH422&gt;0,B422&lt;&gt;""),VLOOKUP(I422,'AUX-NIV3'!$B:$AO,39,FALSE)*O422,0)</f>
        <v>0</v>
      </c>
      <c r="AO422" s="380">
        <f t="shared" si="185"/>
        <v>10.1</v>
      </c>
      <c r="AP422" s="380"/>
    </row>
    <row r="423" spans="2:42" ht="14.4" hidden="1" thickTop="1" thickBot="1">
      <c r="B423" s="324" t="s">
        <v>1314</v>
      </c>
      <c r="C423" s="325" t="s">
        <v>1315</v>
      </c>
      <c r="D423" s="326" t="s">
        <v>477</v>
      </c>
      <c r="E423" s="327">
        <f>IF(B423&lt;&gt;"",SUMIF('AUX-NIV1'!I:I,'AUX-NIV2'!B423,'AUX-NIV1'!Q:Q),"")</f>
        <v>0</v>
      </c>
      <c r="F423" s="327">
        <f t="shared" si="175"/>
        <v>730.01647284775049</v>
      </c>
      <c r="G423" s="327">
        <f t="shared" si="176"/>
        <v>0</v>
      </c>
      <c r="H423" s="328" t="str">
        <f t="shared" si="199"/>
        <v>M</v>
      </c>
      <c r="I423" s="325" t="s">
        <v>621</v>
      </c>
      <c r="J423" s="329" t="str">
        <f>IF(B423&lt;&gt;"",+VLOOKUP(I423,Recursos!C:F,2,FALSE),"")</f>
        <v>MATERIALES VARIOS</v>
      </c>
      <c r="K423" s="330" t="str">
        <f>IF(B423&lt;&gt;"",+VLOOKUP(I423,Recursos!C:F,3,FALSE),"")</f>
        <v>GL</v>
      </c>
      <c r="L423" s="327">
        <f>IF(B423&lt;&gt;"",+VLOOKUP(I423,Recursos!C:F,4,FALSE),"")</f>
        <v>0.5</v>
      </c>
      <c r="M423" s="331">
        <v>1</v>
      </c>
      <c r="N423" s="331">
        <v>1</v>
      </c>
      <c r="O423" s="433">
        <v>1</v>
      </c>
      <c r="P423" s="333">
        <f t="shared" si="196"/>
        <v>0.5</v>
      </c>
      <c r="Q423" s="327">
        <f t="shared" si="197"/>
        <v>0</v>
      </c>
      <c r="R423" s="334">
        <f t="shared" si="198"/>
        <v>0</v>
      </c>
      <c r="S423" s="335">
        <f t="shared" si="177"/>
        <v>0.29814957263565489</v>
      </c>
      <c r="T423" s="335">
        <f t="shared" si="178"/>
        <v>1.42684335</v>
      </c>
      <c r="U423" s="336">
        <f t="shared" si="179"/>
        <v>728.2914799251148</v>
      </c>
      <c r="V423" s="336">
        <f t="shared" si="180"/>
        <v>0</v>
      </c>
      <c r="W423" s="336">
        <f t="shared" si="181"/>
        <v>0</v>
      </c>
      <c r="X423" s="336">
        <f t="shared" si="182"/>
        <v>0</v>
      </c>
      <c r="Y423" s="320"/>
      <c r="Z423" s="321" t="str">
        <f t="shared" si="186"/>
        <v>X-TRAPERA</v>
      </c>
      <c r="AA423" s="321" t="str">
        <f t="shared" si="187"/>
        <v>X-TRAPERE</v>
      </c>
      <c r="AB423" s="321" t="str">
        <f t="shared" si="188"/>
        <v>X-TRAPERM</v>
      </c>
      <c r="AC423" s="321" t="str">
        <f t="shared" si="189"/>
        <v>X-TRAPERT</v>
      </c>
      <c r="AD423" s="321" t="str">
        <f t="shared" si="190"/>
        <v>X-TRAPERS</v>
      </c>
      <c r="AE423" s="321" t="str">
        <f t="shared" si="191"/>
        <v>X-TRAPERX</v>
      </c>
      <c r="AF423" s="321" t="str">
        <f t="shared" si="192"/>
        <v>X-TRAPERM</v>
      </c>
      <c r="AG423" s="321">
        <f t="shared" si="183"/>
        <v>4</v>
      </c>
      <c r="AH423" s="321">
        <f>IF(B423&lt;&gt;"",IF(H423="x",VLOOKUP(I423,'AUX-NIV3'!B:AG,32,FALSE),0),"")</f>
        <v>0</v>
      </c>
      <c r="AI423" s="321" t="str">
        <f t="shared" si="193"/>
        <v>X-TRAPER</v>
      </c>
      <c r="AJ423" s="320"/>
      <c r="AK423" s="322">
        <f t="shared" si="184"/>
        <v>423</v>
      </c>
      <c r="AL423" s="323">
        <f t="shared" si="194"/>
        <v>426</v>
      </c>
      <c r="AM423" s="322">
        <f t="shared" si="195"/>
        <v>1</v>
      </c>
      <c r="AN423" s="380">
        <f>IF(AND(AH423&gt;0,B423&lt;&gt;""),VLOOKUP(I423,'AUX-NIV3'!$B:$AO,39,FALSE)*O423,0)</f>
        <v>0</v>
      </c>
      <c r="AO423" s="380">
        <f t="shared" si="185"/>
        <v>5.9999999999999995E-4</v>
      </c>
      <c r="AP423" s="380"/>
    </row>
    <row r="424" spans="2:42" ht="14.4" hidden="1" thickTop="1" thickBot="1">
      <c r="B424" s="324" t="s">
        <v>1314</v>
      </c>
      <c r="C424" s="325" t="s">
        <v>1315</v>
      </c>
      <c r="D424" s="326" t="s">
        <v>477</v>
      </c>
      <c r="E424" s="327">
        <f>IF(B424&lt;&gt;"",SUMIF('AUX-NIV1'!I:I,'AUX-NIV2'!B424,'AUX-NIV1'!Q:Q),"")</f>
        <v>0</v>
      </c>
      <c r="F424" s="327">
        <f t="shared" si="175"/>
        <v>730.01647284775049</v>
      </c>
      <c r="G424" s="327">
        <f t="shared" si="176"/>
        <v>0</v>
      </c>
      <c r="H424" s="328" t="str">
        <f t="shared" si="199"/>
        <v>A</v>
      </c>
      <c r="I424" s="325" t="s">
        <v>3312</v>
      </c>
      <c r="J424" s="329" t="str">
        <f>IF(B424&lt;&gt;"",+VLOOKUP(I424,Recursos!C:F,2,FALSE),"")</f>
        <v>CHOFER</v>
      </c>
      <c r="K424" s="330" t="str">
        <f>IF(B424&lt;&gt;"",+VLOOKUP(I424,Recursos!C:F,3,FALSE),"")</f>
        <v>hh</v>
      </c>
      <c r="L424" s="327">
        <f>IF(B424&lt;&gt;"",+VLOOKUP(I424,Recursos!C:F,4,FALSE),"")</f>
        <v>496.91595439275824</v>
      </c>
      <c r="M424" s="331">
        <v>1</v>
      </c>
      <c r="N424" s="331">
        <v>1.4</v>
      </c>
      <c r="O424" s="433">
        <v>5.9999999999999995E-4</v>
      </c>
      <c r="P424" s="333">
        <f t="shared" si="196"/>
        <v>0.29814957263565489</v>
      </c>
      <c r="Q424" s="327">
        <f t="shared" si="197"/>
        <v>0</v>
      </c>
      <c r="R424" s="334">
        <f t="shared" si="198"/>
        <v>0</v>
      </c>
      <c r="S424" s="335">
        <f t="shared" si="177"/>
        <v>0.29814957263565489</v>
      </c>
      <c r="T424" s="335">
        <f t="shared" si="178"/>
        <v>1.42684335</v>
      </c>
      <c r="U424" s="336">
        <f t="shared" si="179"/>
        <v>728.2914799251148</v>
      </c>
      <c r="V424" s="336">
        <f t="shared" si="180"/>
        <v>0</v>
      </c>
      <c r="W424" s="336">
        <f t="shared" si="181"/>
        <v>0</v>
      </c>
      <c r="X424" s="336">
        <f t="shared" si="182"/>
        <v>0</v>
      </c>
      <c r="Y424" s="320"/>
      <c r="Z424" s="321" t="str">
        <f t="shared" si="186"/>
        <v>X-TRAPERA</v>
      </c>
      <c r="AA424" s="321" t="str">
        <f t="shared" si="187"/>
        <v>X-TRAPERE</v>
      </c>
      <c r="AB424" s="321" t="str">
        <f t="shared" si="188"/>
        <v>X-TRAPERM</v>
      </c>
      <c r="AC424" s="321" t="str">
        <f t="shared" si="189"/>
        <v>X-TRAPERT</v>
      </c>
      <c r="AD424" s="321" t="str">
        <f t="shared" si="190"/>
        <v>X-TRAPERS</v>
      </c>
      <c r="AE424" s="321" t="str">
        <f t="shared" si="191"/>
        <v>X-TRAPERX</v>
      </c>
      <c r="AF424" s="321" t="str">
        <f t="shared" si="192"/>
        <v>X-TRAPERA</v>
      </c>
      <c r="AG424" s="321">
        <f t="shared" si="183"/>
        <v>4</v>
      </c>
      <c r="AH424" s="321">
        <f>IF(B424&lt;&gt;"",IF(H424="x",VLOOKUP(I424,'AUX-NIV3'!B:AG,32,FALSE),0),"")</f>
        <v>0</v>
      </c>
      <c r="AI424" s="321" t="str">
        <f t="shared" si="193"/>
        <v>X-TRAPER</v>
      </c>
      <c r="AJ424" s="320"/>
      <c r="AK424" s="322">
        <f t="shared" si="184"/>
        <v>423</v>
      </c>
      <c r="AL424" s="323">
        <f t="shared" si="194"/>
        <v>426</v>
      </c>
      <c r="AM424" s="322">
        <f t="shared" si="195"/>
        <v>2</v>
      </c>
      <c r="AN424" s="380">
        <f>IF(AND(AH424&gt;0,B424&lt;&gt;""),VLOOKUP(I424,'AUX-NIV3'!$B:$AO,39,FALSE)*O424,0)</f>
        <v>0</v>
      </c>
      <c r="AO424" s="380">
        <f t="shared" si="185"/>
        <v>5.9999999999999995E-4</v>
      </c>
      <c r="AP424" s="380"/>
    </row>
    <row r="425" spans="2:42" ht="14.4" hidden="1" thickTop="1" thickBot="1">
      <c r="B425" s="324" t="s">
        <v>1314</v>
      </c>
      <c r="C425" s="325" t="s">
        <v>1315</v>
      </c>
      <c r="D425" s="326" t="s">
        <v>477</v>
      </c>
      <c r="E425" s="327">
        <f>IF(B425&lt;&gt;"",SUMIF('AUX-NIV1'!I:I,'AUX-NIV2'!B425,'AUX-NIV1'!Q:Q),"")</f>
        <v>0</v>
      </c>
      <c r="F425" s="327">
        <f t="shared" si="175"/>
        <v>730.01647284775049</v>
      </c>
      <c r="G425" s="327">
        <f t="shared" si="176"/>
        <v>0</v>
      </c>
      <c r="H425" s="328" t="str">
        <f t="shared" si="199"/>
        <v>E</v>
      </c>
      <c r="I425" s="325" t="s">
        <v>1597</v>
      </c>
      <c r="J425" s="329" t="str">
        <f>IF(B425&lt;&gt;"",+VLOOKUP(I425,Recursos!C:F,2,FALSE),"")</f>
        <v>HIDROGRUA MONTADA S/CAMION (6 T)</v>
      </c>
      <c r="K425" s="330" t="str">
        <f>IF(B425&lt;&gt;"",+VLOOKUP(I425,Recursos!C:F,3,FALSE),"")</f>
        <v>HR</v>
      </c>
      <c r="L425" s="327">
        <f>IF(B425&lt;&gt;"",+VLOOKUP(I425,Recursos!C:F,4,FALSE),"")</f>
        <v>2378.0722500000002</v>
      </c>
      <c r="M425" s="331">
        <v>1</v>
      </c>
      <c r="N425" s="331">
        <v>1</v>
      </c>
      <c r="O425" s="433">
        <v>5.9999999999999995E-4</v>
      </c>
      <c r="P425" s="333">
        <f t="shared" si="196"/>
        <v>1.42684335</v>
      </c>
      <c r="Q425" s="327">
        <f t="shared" si="197"/>
        <v>0</v>
      </c>
      <c r="R425" s="334">
        <f t="shared" si="198"/>
        <v>0</v>
      </c>
      <c r="S425" s="335">
        <f t="shared" si="177"/>
        <v>0.29814957263565489</v>
      </c>
      <c r="T425" s="335">
        <f t="shared" si="178"/>
        <v>1.42684335</v>
      </c>
      <c r="U425" s="336">
        <f t="shared" si="179"/>
        <v>728.2914799251148</v>
      </c>
      <c r="V425" s="336">
        <f t="shared" si="180"/>
        <v>0</v>
      </c>
      <c r="W425" s="336">
        <f t="shared" si="181"/>
        <v>0</v>
      </c>
      <c r="X425" s="336">
        <f t="shared" si="182"/>
        <v>0</v>
      </c>
      <c r="Y425" s="320"/>
      <c r="Z425" s="321" t="str">
        <f t="shared" si="186"/>
        <v>X-TRAPERA</v>
      </c>
      <c r="AA425" s="321" t="str">
        <f t="shared" si="187"/>
        <v>X-TRAPERE</v>
      </c>
      <c r="AB425" s="321" t="str">
        <f t="shared" si="188"/>
        <v>X-TRAPERM</v>
      </c>
      <c r="AC425" s="321" t="str">
        <f t="shared" si="189"/>
        <v>X-TRAPERT</v>
      </c>
      <c r="AD425" s="321" t="str">
        <f t="shared" si="190"/>
        <v>X-TRAPERS</v>
      </c>
      <c r="AE425" s="321" t="str">
        <f t="shared" si="191"/>
        <v>X-TRAPERX</v>
      </c>
      <c r="AF425" s="321" t="str">
        <f t="shared" si="192"/>
        <v>X-TRAPERE</v>
      </c>
      <c r="AG425" s="321">
        <f t="shared" si="183"/>
        <v>4</v>
      </c>
      <c r="AH425" s="321">
        <f>IF(B425&lt;&gt;"",IF(H425="x",VLOOKUP(I425,'AUX-NIV3'!B:AG,32,FALSE),0),"")</f>
        <v>0</v>
      </c>
      <c r="AI425" s="321" t="str">
        <f t="shared" si="193"/>
        <v>X-TRAPER</v>
      </c>
      <c r="AJ425" s="320"/>
      <c r="AK425" s="322">
        <f t="shared" si="184"/>
        <v>423</v>
      </c>
      <c r="AL425" s="323">
        <f t="shared" si="194"/>
        <v>426</v>
      </c>
      <c r="AM425" s="322">
        <f t="shared" si="195"/>
        <v>3</v>
      </c>
      <c r="AN425" s="380">
        <f>IF(AND(AH425&gt;0,B425&lt;&gt;""),VLOOKUP(I425,'AUX-NIV3'!$B:$AO,39,FALSE)*O425,0)</f>
        <v>0</v>
      </c>
      <c r="AO425" s="380">
        <f t="shared" si="185"/>
        <v>5.9999999999999995E-4</v>
      </c>
      <c r="AP425" s="380"/>
    </row>
    <row r="426" spans="2:42" ht="14.4" hidden="1" thickTop="1" thickBot="1">
      <c r="B426" s="324" t="s">
        <v>1314</v>
      </c>
      <c r="C426" s="325" t="s">
        <v>1315</v>
      </c>
      <c r="D426" s="326" t="s">
        <v>477</v>
      </c>
      <c r="E426" s="327">
        <f>IF(B426&lt;&gt;"",SUMIF('AUX-NIV1'!I:I,'AUX-NIV2'!B426,'AUX-NIV1'!Q:Q),"")</f>
        <v>0</v>
      </c>
      <c r="F426" s="327">
        <f t="shared" si="175"/>
        <v>730.01647284775049</v>
      </c>
      <c r="G426" s="327">
        <f t="shared" si="176"/>
        <v>0</v>
      </c>
      <c r="H426" s="328" t="str">
        <f t="shared" si="199"/>
        <v>M</v>
      </c>
      <c r="I426" s="325" t="s">
        <v>439</v>
      </c>
      <c r="J426" s="329" t="str">
        <f>IF(B426&lt;&gt;"",+VLOOKUP(I426,Recursos!C:F,2,FALSE),"")</f>
        <v>ACERO TIPO ADN 420</v>
      </c>
      <c r="K426" s="330" t="str">
        <f>IF(B426&lt;&gt;"",+VLOOKUP(I426,Recursos!C:F,3,FALSE),"")</f>
        <v>tn</v>
      </c>
      <c r="L426" s="327">
        <f>IF(B426&lt;&gt;"",+VLOOKUP(I426,Recursos!C:F,4,FALSE),"")</f>
        <v>190082.64462809917</v>
      </c>
      <c r="M426" s="331">
        <v>1</v>
      </c>
      <c r="N426" s="331">
        <v>1.05</v>
      </c>
      <c r="O426" s="433">
        <f>0.025^2/4*PI()*7.8</f>
        <v>3.8288160465625607E-3</v>
      </c>
      <c r="P426" s="333">
        <f t="shared" si="196"/>
        <v>727.7914799251148</v>
      </c>
      <c r="Q426" s="327">
        <f t="shared" si="197"/>
        <v>0</v>
      </c>
      <c r="R426" s="334">
        <f t="shared" si="198"/>
        <v>0</v>
      </c>
      <c r="S426" s="335">
        <f t="shared" si="177"/>
        <v>0.29814957263565489</v>
      </c>
      <c r="T426" s="335">
        <f t="shared" si="178"/>
        <v>1.42684335</v>
      </c>
      <c r="U426" s="336">
        <f t="shared" si="179"/>
        <v>728.2914799251148</v>
      </c>
      <c r="V426" s="336">
        <f t="shared" si="180"/>
        <v>0</v>
      </c>
      <c r="W426" s="336">
        <f t="shared" si="181"/>
        <v>0</v>
      </c>
      <c r="X426" s="336">
        <f t="shared" si="182"/>
        <v>0</v>
      </c>
      <c r="Y426" s="320"/>
      <c r="Z426" s="321" t="str">
        <f t="shared" si="186"/>
        <v>X-TRAPERA</v>
      </c>
      <c r="AA426" s="321" t="str">
        <f t="shared" si="187"/>
        <v>X-TRAPERE</v>
      </c>
      <c r="AB426" s="321" t="str">
        <f t="shared" si="188"/>
        <v>X-TRAPERM</v>
      </c>
      <c r="AC426" s="321" t="str">
        <f t="shared" si="189"/>
        <v>X-TRAPERT</v>
      </c>
      <c r="AD426" s="321" t="str">
        <f t="shared" si="190"/>
        <v>X-TRAPERS</v>
      </c>
      <c r="AE426" s="321" t="str">
        <f t="shared" si="191"/>
        <v>X-TRAPERX</v>
      </c>
      <c r="AF426" s="321" t="str">
        <f t="shared" si="192"/>
        <v>X-TRAPERM</v>
      </c>
      <c r="AG426" s="321">
        <f t="shared" si="183"/>
        <v>4</v>
      </c>
      <c r="AH426" s="321">
        <f>IF(B426&lt;&gt;"",IF(H426="x",VLOOKUP(I426,'AUX-NIV3'!B:AG,32,FALSE),0),"")</f>
        <v>0</v>
      </c>
      <c r="AI426" s="321" t="str">
        <f t="shared" si="193"/>
        <v>X-TRAPER</v>
      </c>
      <c r="AJ426" s="320"/>
      <c r="AK426" s="322">
        <f t="shared" si="184"/>
        <v>423</v>
      </c>
      <c r="AL426" s="323">
        <f t="shared" si="194"/>
        <v>426</v>
      </c>
      <c r="AM426" s="322">
        <f t="shared" si="195"/>
        <v>4</v>
      </c>
      <c r="AN426" s="380">
        <f>IF(AND(AH426&gt;0,B426&lt;&gt;""),VLOOKUP(I426,'AUX-NIV3'!$B:$AO,39,FALSE)*O426,0)</f>
        <v>0</v>
      </c>
      <c r="AO426" s="380">
        <f t="shared" si="185"/>
        <v>5.9999999999999995E-4</v>
      </c>
      <c r="AP426" s="380"/>
    </row>
    <row r="427" spans="2:42" ht="14.4" hidden="1" thickTop="1" thickBot="1">
      <c r="B427" s="324" t="s">
        <v>1316</v>
      </c>
      <c r="C427" s="325" t="s">
        <v>1317</v>
      </c>
      <c r="D427" s="326" t="s">
        <v>477</v>
      </c>
      <c r="E427" s="327">
        <f>IF(B427&lt;&gt;"",SUMIF('AUX-NIV1'!I:I,'AUX-NIV2'!B427,'AUX-NIV1'!Q:Q),"")</f>
        <v>0</v>
      </c>
      <c r="F427" s="327" t="e">
        <f t="shared" si="175"/>
        <v>#N/A</v>
      </c>
      <c r="G427" s="327" t="e">
        <f t="shared" si="176"/>
        <v>#N/A</v>
      </c>
      <c r="H427" s="328" t="str">
        <f t="shared" si="199"/>
        <v>A</v>
      </c>
      <c r="I427" s="325" t="s">
        <v>3314</v>
      </c>
      <c r="J427" s="329" t="e">
        <f>IF(B427&lt;&gt;"",+VLOOKUP(I427,Recursos!C:F,2,FALSE),"")</f>
        <v>#N/A</v>
      </c>
      <c r="K427" s="330" t="e">
        <f>IF(B427&lt;&gt;"",+VLOOKUP(I427,Recursos!C:F,3,FALSE),"")</f>
        <v>#N/A</v>
      </c>
      <c r="L427" s="327" t="e">
        <f>IF(B427&lt;&gt;"",+VLOOKUP(I427,Recursos!C:F,4,FALSE),"")</f>
        <v>#N/A</v>
      </c>
      <c r="M427" s="331">
        <v>50</v>
      </c>
      <c r="N427" s="331">
        <v>4.2</v>
      </c>
      <c r="O427" s="433">
        <v>8.3999999999999991E-2</v>
      </c>
      <c r="P427" s="333" t="e">
        <f t="shared" si="196"/>
        <v>#N/A</v>
      </c>
      <c r="Q427" s="327">
        <f t="shared" si="197"/>
        <v>0</v>
      </c>
      <c r="R427" s="334" t="e">
        <f t="shared" si="198"/>
        <v>#N/A</v>
      </c>
      <c r="S427" s="335" t="e">
        <f t="shared" si="177"/>
        <v>#N/A</v>
      </c>
      <c r="T427" s="335">
        <f t="shared" si="178"/>
        <v>201.32426666666669</v>
      </c>
      <c r="U427" s="336">
        <f t="shared" si="179"/>
        <v>4739.4599999999991</v>
      </c>
      <c r="V427" s="336">
        <f t="shared" si="180"/>
        <v>0</v>
      </c>
      <c r="W427" s="336">
        <f t="shared" si="181"/>
        <v>0</v>
      </c>
      <c r="X427" s="336">
        <f t="shared" si="182"/>
        <v>0</v>
      </c>
      <c r="Y427" s="320"/>
      <c r="Z427" s="321" t="str">
        <f t="shared" si="186"/>
        <v>X-PERFCOLA</v>
      </c>
      <c r="AA427" s="321" t="str">
        <f t="shared" si="187"/>
        <v>X-PERFCOLE</v>
      </c>
      <c r="AB427" s="321" t="str">
        <f t="shared" si="188"/>
        <v>X-PERFCOLM</v>
      </c>
      <c r="AC427" s="321" t="str">
        <f t="shared" si="189"/>
        <v>X-PERFCOLT</v>
      </c>
      <c r="AD427" s="321" t="str">
        <f t="shared" si="190"/>
        <v>X-PERFCOLS</v>
      </c>
      <c r="AE427" s="321" t="str">
        <f t="shared" si="191"/>
        <v>X-PERFCOLX</v>
      </c>
      <c r="AF427" s="321" t="str">
        <f t="shared" si="192"/>
        <v>X-PERFCOLA</v>
      </c>
      <c r="AG427" s="321">
        <f t="shared" si="183"/>
        <v>8</v>
      </c>
      <c r="AH427" s="321">
        <f>IF(B427&lt;&gt;"",IF(H427="x",VLOOKUP(I427,'AUX-NIV3'!B:AG,32,FALSE),0),"")</f>
        <v>0</v>
      </c>
      <c r="AI427" s="321" t="str">
        <f t="shared" si="193"/>
        <v>X-PERFCOL</v>
      </c>
      <c r="AJ427" s="320"/>
      <c r="AK427" s="322">
        <f t="shared" si="184"/>
        <v>427</v>
      </c>
      <c r="AL427" s="323">
        <f t="shared" si="194"/>
        <v>434</v>
      </c>
      <c r="AM427" s="322">
        <f t="shared" si="195"/>
        <v>1</v>
      </c>
      <c r="AN427" s="380">
        <f>IF(AND(AH427&gt;0,B427&lt;&gt;""),VLOOKUP(I427,'AUX-NIV3'!$B:$AO,39,FALSE)*O427,0)</f>
        <v>0</v>
      </c>
      <c r="AO427" s="380">
        <f t="shared" si="185"/>
        <v>0.252</v>
      </c>
      <c r="AP427" s="380"/>
    </row>
    <row r="428" spans="2:42" ht="14.4" hidden="1" thickTop="1" thickBot="1">
      <c r="B428" s="324" t="s">
        <v>1316</v>
      </c>
      <c r="C428" s="325" t="s">
        <v>1317</v>
      </c>
      <c r="D428" s="326" t="s">
        <v>477</v>
      </c>
      <c r="E428" s="327">
        <f>IF(B428&lt;&gt;"",SUMIF('AUX-NIV1'!I:I,'AUX-NIV2'!B428,'AUX-NIV1'!Q:Q),"")</f>
        <v>0</v>
      </c>
      <c r="F428" s="327" t="e">
        <f t="shared" si="175"/>
        <v>#N/A</v>
      </c>
      <c r="G428" s="327" t="e">
        <f t="shared" si="176"/>
        <v>#N/A</v>
      </c>
      <c r="H428" s="328" t="str">
        <f t="shared" si="199"/>
        <v>A</v>
      </c>
      <c r="I428" s="325" t="s">
        <v>3314</v>
      </c>
      <c r="J428" s="329" t="e">
        <f>IF(B428&lt;&gt;"",+VLOOKUP(I428,Recursos!C:F,2,FALSE),"")</f>
        <v>#N/A</v>
      </c>
      <c r="K428" s="330" t="e">
        <f>IF(B428&lt;&gt;"",+VLOOKUP(I428,Recursos!C:F,3,FALSE),"")</f>
        <v>#N/A</v>
      </c>
      <c r="L428" s="327" t="e">
        <f>IF(B428&lt;&gt;"",+VLOOKUP(I428,Recursos!C:F,4,FALSE),"")</f>
        <v>#N/A</v>
      </c>
      <c r="M428" s="331">
        <v>50</v>
      </c>
      <c r="N428" s="331">
        <v>2.8</v>
      </c>
      <c r="O428" s="433">
        <v>5.5999999999999994E-2</v>
      </c>
      <c r="P428" s="333" t="e">
        <f t="shared" si="196"/>
        <v>#N/A</v>
      </c>
      <c r="Q428" s="327">
        <f t="shared" si="197"/>
        <v>0</v>
      </c>
      <c r="R428" s="334" t="e">
        <f t="shared" si="198"/>
        <v>#N/A</v>
      </c>
      <c r="S428" s="335" t="e">
        <f t="shared" si="177"/>
        <v>#N/A</v>
      </c>
      <c r="T428" s="335">
        <f t="shared" si="178"/>
        <v>201.32426666666669</v>
      </c>
      <c r="U428" s="336">
        <f t="shared" si="179"/>
        <v>4739.4599999999991</v>
      </c>
      <c r="V428" s="336">
        <f t="shared" si="180"/>
        <v>0</v>
      </c>
      <c r="W428" s="336">
        <f t="shared" si="181"/>
        <v>0</v>
      </c>
      <c r="X428" s="336">
        <f t="shared" si="182"/>
        <v>0</v>
      </c>
      <c r="Y428" s="320"/>
      <c r="Z428" s="321" t="str">
        <f t="shared" si="186"/>
        <v>X-PERFCOLA</v>
      </c>
      <c r="AA428" s="321" t="str">
        <f t="shared" si="187"/>
        <v>X-PERFCOLE</v>
      </c>
      <c r="AB428" s="321" t="str">
        <f t="shared" si="188"/>
        <v>X-PERFCOLM</v>
      </c>
      <c r="AC428" s="321" t="str">
        <f t="shared" si="189"/>
        <v>X-PERFCOLT</v>
      </c>
      <c r="AD428" s="321" t="str">
        <f t="shared" si="190"/>
        <v>X-PERFCOLS</v>
      </c>
      <c r="AE428" s="321" t="str">
        <f t="shared" si="191"/>
        <v>X-PERFCOLX</v>
      </c>
      <c r="AF428" s="321" t="str">
        <f t="shared" si="192"/>
        <v>X-PERFCOLA</v>
      </c>
      <c r="AG428" s="321">
        <f t="shared" si="183"/>
        <v>8</v>
      </c>
      <c r="AH428" s="321">
        <f>IF(B428&lt;&gt;"",IF(H428="x",VLOOKUP(I428,'AUX-NIV3'!B:AG,32,FALSE),0),"")</f>
        <v>0</v>
      </c>
      <c r="AI428" s="321" t="str">
        <f t="shared" si="193"/>
        <v>X-PERFCOL</v>
      </c>
      <c r="AJ428" s="320"/>
      <c r="AK428" s="322">
        <f t="shared" si="184"/>
        <v>427</v>
      </c>
      <c r="AL428" s="323">
        <f t="shared" si="194"/>
        <v>434</v>
      </c>
      <c r="AM428" s="322">
        <f t="shared" si="195"/>
        <v>2</v>
      </c>
      <c r="AN428" s="380">
        <f>IF(AND(AH428&gt;0,B428&lt;&gt;""),VLOOKUP(I428,'AUX-NIV3'!$B:$AO,39,FALSE)*O428,0)</f>
        <v>0</v>
      </c>
      <c r="AO428" s="380">
        <f t="shared" si="185"/>
        <v>0.252</v>
      </c>
      <c r="AP428" s="380"/>
    </row>
    <row r="429" spans="2:42" ht="14.4" hidden="1" thickTop="1" thickBot="1">
      <c r="B429" s="324" t="s">
        <v>1316</v>
      </c>
      <c r="C429" s="325" t="s">
        <v>1317</v>
      </c>
      <c r="D429" s="326" t="s">
        <v>477</v>
      </c>
      <c r="E429" s="327">
        <f>IF(B429&lt;&gt;"",SUMIF('AUX-NIV1'!I:I,'AUX-NIV2'!B429,'AUX-NIV1'!Q:Q),"")</f>
        <v>0</v>
      </c>
      <c r="F429" s="327" t="e">
        <f t="shared" si="175"/>
        <v>#N/A</v>
      </c>
      <c r="G429" s="327" t="e">
        <f t="shared" si="176"/>
        <v>#N/A</v>
      </c>
      <c r="H429" s="328" t="str">
        <f t="shared" si="199"/>
        <v>A</v>
      </c>
      <c r="I429" s="325" t="s">
        <v>3311</v>
      </c>
      <c r="J429" s="329" t="str">
        <f>IF(B429&lt;&gt;"",+VLOOKUP(I429,Recursos!C:F,2,FALSE),"")</f>
        <v>OPER. EQUIPO</v>
      </c>
      <c r="K429" s="330" t="str">
        <f>IF(B429&lt;&gt;"",+VLOOKUP(I429,Recursos!C:F,3,FALSE),"")</f>
        <v>hh</v>
      </c>
      <c r="L429" s="327">
        <f>IF(B429&lt;&gt;"",+VLOOKUP(I429,Recursos!C:F,4,FALSE),"")</f>
        <v>581.06120476836554</v>
      </c>
      <c r="M429" s="331">
        <v>2.8000000000000001E-2</v>
      </c>
      <c r="N429" s="331">
        <v>2</v>
      </c>
      <c r="O429" s="433">
        <v>5.6000000000000001E-2</v>
      </c>
      <c r="P429" s="333">
        <f t="shared" si="196"/>
        <v>32.539427467028474</v>
      </c>
      <c r="Q429" s="327">
        <f t="shared" si="197"/>
        <v>0</v>
      </c>
      <c r="R429" s="334">
        <f t="shared" si="198"/>
        <v>0</v>
      </c>
      <c r="S429" s="335" t="e">
        <f t="shared" si="177"/>
        <v>#N/A</v>
      </c>
      <c r="T429" s="335">
        <f t="shared" si="178"/>
        <v>201.32426666666669</v>
      </c>
      <c r="U429" s="336">
        <f t="shared" si="179"/>
        <v>4739.4599999999991</v>
      </c>
      <c r="V429" s="336">
        <f t="shared" si="180"/>
        <v>0</v>
      </c>
      <c r="W429" s="336">
        <f t="shared" si="181"/>
        <v>0</v>
      </c>
      <c r="X429" s="336">
        <f t="shared" si="182"/>
        <v>0</v>
      </c>
      <c r="Y429" s="320"/>
      <c r="Z429" s="321" t="str">
        <f t="shared" si="186"/>
        <v>X-PERFCOLA</v>
      </c>
      <c r="AA429" s="321" t="str">
        <f t="shared" si="187"/>
        <v>X-PERFCOLE</v>
      </c>
      <c r="AB429" s="321" t="str">
        <f t="shared" si="188"/>
        <v>X-PERFCOLM</v>
      </c>
      <c r="AC429" s="321" t="str">
        <f t="shared" si="189"/>
        <v>X-PERFCOLT</v>
      </c>
      <c r="AD429" s="321" t="str">
        <f t="shared" si="190"/>
        <v>X-PERFCOLS</v>
      </c>
      <c r="AE429" s="321" t="str">
        <f t="shared" si="191"/>
        <v>X-PERFCOLX</v>
      </c>
      <c r="AF429" s="321" t="str">
        <f t="shared" si="192"/>
        <v>X-PERFCOLA</v>
      </c>
      <c r="AG429" s="321">
        <f t="shared" si="183"/>
        <v>8</v>
      </c>
      <c r="AH429" s="321">
        <f>IF(B429&lt;&gt;"",IF(H429="x",VLOOKUP(I429,'AUX-NIV3'!B:AG,32,FALSE),0),"")</f>
        <v>0</v>
      </c>
      <c r="AI429" s="321" t="str">
        <f t="shared" si="193"/>
        <v>X-PERFCOL</v>
      </c>
      <c r="AJ429" s="320"/>
      <c r="AK429" s="322">
        <f t="shared" si="184"/>
        <v>427</v>
      </c>
      <c r="AL429" s="323">
        <f t="shared" si="194"/>
        <v>434</v>
      </c>
      <c r="AM429" s="322">
        <f t="shared" si="195"/>
        <v>3</v>
      </c>
      <c r="AN429" s="380">
        <f>IF(AND(AH429&gt;0,B429&lt;&gt;""),VLOOKUP(I429,'AUX-NIV3'!$B:$AO,39,FALSE)*O429,0)</f>
        <v>0</v>
      </c>
      <c r="AO429" s="380">
        <f t="shared" si="185"/>
        <v>0.252</v>
      </c>
      <c r="AP429" s="380"/>
    </row>
    <row r="430" spans="2:42" ht="14.4" hidden="1" thickTop="1" thickBot="1">
      <c r="B430" s="324" t="s">
        <v>1316</v>
      </c>
      <c r="C430" s="325" t="s">
        <v>1317</v>
      </c>
      <c r="D430" s="326" t="s">
        <v>477</v>
      </c>
      <c r="E430" s="327">
        <f>IF(B430&lt;&gt;"",SUMIF('AUX-NIV1'!I:I,'AUX-NIV2'!B430,'AUX-NIV1'!Q:Q),"")</f>
        <v>0</v>
      </c>
      <c r="F430" s="327" t="e">
        <f t="shared" si="175"/>
        <v>#N/A</v>
      </c>
      <c r="G430" s="327" t="e">
        <f t="shared" si="176"/>
        <v>#N/A</v>
      </c>
      <c r="H430" s="328" t="str">
        <f t="shared" si="199"/>
        <v>A</v>
      </c>
      <c r="I430" s="325" t="s">
        <v>1746</v>
      </c>
      <c r="J430" s="329" t="str">
        <f>IF(B430&lt;&gt;"",+VLOOKUP(I430,Recursos!C:F,2,FALSE),"")</f>
        <v>OFICIAL</v>
      </c>
      <c r="K430" s="330" t="str">
        <f>IF(B430&lt;&gt;"",+VLOOKUP(I430,Recursos!C:F,3,FALSE),"")</f>
        <v>hh</v>
      </c>
      <c r="L430" s="327">
        <f>IF(B430&lt;&gt;"",+VLOOKUP(I430,Recursos!C:F,4,FALSE),"")</f>
        <v>496.91595439275824</v>
      </c>
      <c r="M430" s="331">
        <v>50</v>
      </c>
      <c r="N430" s="331">
        <v>2.8</v>
      </c>
      <c r="O430" s="433">
        <v>5.5999999999999994E-2</v>
      </c>
      <c r="P430" s="333">
        <f t="shared" si="196"/>
        <v>27.82729344599446</v>
      </c>
      <c r="Q430" s="327">
        <f t="shared" si="197"/>
        <v>0</v>
      </c>
      <c r="R430" s="334">
        <f t="shared" si="198"/>
        <v>0</v>
      </c>
      <c r="S430" s="335" t="e">
        <f t="shared" si="177"/>
        <v>#N/A</v>
      </c>
      <c r="T430" s="335">
        <f t="shared" si="178"/>
        <v>201.32426666666669</v>
      </c>
      <c r="U430" s="336">
        <f t="shared" si="179"/>
        <v>4739.4599999999991</v>
      </c>
      <c r="V430" s="336">
        <f t="shared" si="180"/>
        <v>0</v>
      </c>
      <c r="W430" s="336">
        <f t="shared" si="181"/>
        <v>0</v>
      </c>
      <c r="X430" s="336">
        <f t="shared" si="182"/>
        <v>0</v>
      </c>
      <c r="Y430" s="320"/>
      <c r="Z430" s="321" t="str">
        <f t="shared" si="186"/>
        <v>X-PERFCOLA</v>
      </c>
      <c r="AA430" s="321" t="str">
        <f t="shared" si="187"/>
        <v>X-PERFCOLE</v>
      </c>
      <c r="AB430" s="321" t="str">
        <f t="shared" si="188"/>
        <v>X-PERFCOLM</v>
      </c>
      <c r="AC430" s="321" t="str">
        <f t="shared" si="189"/>
        <v>X-PERFCOLT</v>
      </c>
      <c r="AD430" s="321" t="str">
        <f t="shared" si="190"/>
        <v>X-PERFCOLS</v>
      </c>
      <c r="AE430" s="321" t="str">
        <f t="shared" si="191"/>
        <v>X-PERFCOLX</v>
      </c>
      <c r="AF430" s="321" t="str">
        <f t="shared" si="192"/>
        <v>X-PERFCOLA</v>
      </c>
      <c r="AG430" s="321">
        <f t="shared" si="183"/>
        <v>8</v>
      </c>
      <c r="AH430" s="321">
        <f>IF(B430&lt;&gt;"",IF(H430="x",VLOOKUP(I430,'AUX-NIV3'!B:AG,32,FALSE),0),"")</f>
        <v>0</v>
      </c>
      <c r="AI430" s="321" t="str">
        <f t="shared" si="193"/>
        <v>X-PERFCOL</v>
      </c>
      <c r="AJ430" s="320"/>
      <c r="AK430" s="322">
        <f t="shared" si="184"/>
        <v>427</v>
      </c>
      <c r="AL430" s="323">
        <f t="shared" si="194"/>
        <v>434</v>
      </c>
      <c r="AM430" s="322">
        <f t="shared" si="195"/>
        <v>4</v>
      </c>
      <c r="AN430" s="380">
        <f>IF(AND(AH430&gt;0,B430&lt;&gt;""),VLOOKUP(I430,'AUX-NIV3'!$B:$AO,39,FALSE)*O430,0)</f>
        <v>0</v>
      </c>
      <c r="AO430" s="380">
        <f t="shared" si="185"/>
        <v>0.252</v>
      </c>
      <c r="AP430" s="380"/>
    </row>
    <row r="431" spans="2:42" ht="14.4" hidden="1" thickTop="1" thickBot="1">
      <c r="B431" s="324" t="s">
        <v>1316</v>
      </c>
      <c r="C431" s="325" t="s">
        <v>1317</v>
      </c>
      <c r="D431" s="326" t="s">
        <v>477</v>
      </c>
      <c r="E431" s="327">
        <f>IF(B431&lt;&gt;"",SUMIF('AUX-NIV1'!I:I,'AUX-NIV2'!B431,'AUX-NIV1'!Q:Q),"")</f>
        <v>0</v>
      </c>
      <c r="F431" s="327" t="e">
        <f t="shared" si="175"/>
        <v>#N/A</v>
      </c>
      <c r="G431" s="327" t="e">
        <f t="shared" si="176"/>
        <v>#N/A</v>
      </c>
      <c r="H431" s="328" t="str">
        <f t="shared" si="199"/>
        <v>E</v>
      </c>
      <c r="I431" s="325" t="s">
        <v>1647</v>
      </c>
      <c r="J431" s="329" t="str">
        <f>IF(B431&lt;&gt;"",+VLOOKUP(I431,Recursos!C:F,2,FALSE),"")</f>
        <v>JUMBO DE DOS BRAZOS</v>
      </c>
      <c r="K431" s="330" t="str">
        <f>IF(B431&lt;&gt;"",+VLOOKUP(I431,Recursos!C:F,3,FALSE),"")</f>
        <v>HR</v>
      </c>
      <c r="L431" s="327">
        <f>IF(B431&lt;&gt;"",+VLOOKUP(I431,Recursos!C:F,4,FALSE),"")</f>
        <v>6803.333333333333</v>
      </c>
      <c r="M431" s="331">
        <v>50</v>
      </c>
      <c r="N431" s="331">
        <v>1</v>
      </c>
      <c r="O431" s="433">
        <v>0.02</v>
      </c>
      <c r="P431" s="333">
        <f t="shared" si="196"/>
        <v>136.06666666666666</v>
      </c>
      <c r="Q431" s="327">
        <f t="shared" si="197"/>
        <v>0</v>
      </c>
      <c r="R431" s="334">
        <f t="shared" si="198"/>
        <v>0</v>
      </c>
      <c r="S431" s="335" t="e">
        <f t="shared" si="177"/>
        <v>#N/A</v>
      </c>
      <c r="T431" s="335">
        <f t="shared" si="178"/>
        <v>201.32426666666669</v>
      </c>
      <c r="U431" s="336">
        <f t="shared" si="179"/>
        <v>4739.4599999999991</v>
      </c>
      <c r="V431" s="336">
        <f t="shared" si="180"/>
        <v>0</v>
      </c>
      <c r="W431" s="336">
        <f t="shared" si="181"/>
        <v>0</v>
      </c>
      <c r="X431" s="336">
        <f t="shared" si="182"/>
        <v>0</v>
      </c>
      <c r="Y431" s="320"/>
      <c r="Z431" s="321" t="str">
        <f t="shared" si="186"/>
        <v>X-PERFCOLA</v>
      </c>
      <c r="AA431" s="321" t="str">
        <f t="shared" si="187"/>
        <v>X-PERFCOLE</v>
      </c>
      <c r="AB431" s="321" t="str">
        <f t="shared" si="188"/>
        <v>X-PERFCOLM</v>
      </c>
      <c r="AC431" s="321" t="str">
        <f t="shared" si="189"/>
        <v>X-PERFCOLT</v>
      </c>
      <c r="AD431" s="321" t="str">
        <f t="shared" si="190"/>
        <v>X-PERFCOLS</v>
      </c>
      <c r="AE431" s="321" t="str">
        <f t="shared" si="191"/>
        <v>X-PERFCOLX</v>
      </c>
      <c r="AF431" s="321" t="str">
        <f t="shared" si="192"/>
        <v>X-PERFCOLE</v>
      </c>
      <c r="AG431" s="321">
        <f t="shared" si="183"/>
        <v>8</v>
      </c>
      <c r="AH431" s="321">
        <f>IF(B431&lt;&gt;"",IF(H431="x",VLOOKUP(I431,'AUX-NIV3'!B:AG,32,FALSE),0),"")</f>
        <v>0</v>
      </c>
      <c r="AI431" s="321" t="str">
        <f t="shared" si="193"/>
        <v>X-PERFCOL</v>
      </c>
      <c r="AJ431" s="320"/>
      <c r="AK431" s="322">
        <f t="shared" si="184"/>
        <v>427</v>
      </c>
      <c r="AL431" s="323">
        <f t="shared" si="194"/>
        <v>434</v>
      </c>
      <c r="AM431" s="322">
        <f t="shared" si="195"/>
        <v>5</v>
      </c>
      <c r="AN431" s="380">
        <f>IF(AND(AH431&gt;0,B431&lt;&gt;""),VLOOKUP(I431,'AUX-NIV3'!$B:$AO,39,FALSE)*O431,0)</f>
        <v>0</v>
      </c>
      <c r="AO431" s="380">
        <f t="shared" si="185"/>
        <v>0.252</v>
      </c>
      <c r="AP431" s="380"/>
    </row>
    <row r="432" spans="2:42" ht="14.4" hidden="1" thickTop="1" thickBot="1">
      <c r="B432" s="324" t="s">
        <v>1316</v>
      </c>
      <c r="C432" s="325" t="s">
        <v>1317</v>
      </c>
      <c r="D432" s="326" t="s">
        <v>477</v>
      </c>
      <c r="E432" s="327">
        <f>IF(B432&lt;&gt;"",SUMIF('AUX-NIV1'!I:I,'AUX-NIV2'!B432,'AUX-NIV1'!Q:Q),"")</f>
        <v>0</v>
      </c>
      <c r="F432" s="327" t="e">
        <f t="shared" si="175"/>
        <v>#N/A</v>
      </c>
      <c r="G432" s="327" t="e">
        <f t="shared" si="176"/>
        <v>#N/A</v>
      </c>
      <c r="H432" s="328" t="str">
        <f t="shared" si="199"/>
        <v>M</v>
      </c>
      <c r="I432" s="325" t="s">
        <v>800</v>
      </c>
      <c r="J432" s="329" t="str">
        <f>IF(B432&lt;&gt;"",+VLOOKUP(I432,Recursos!C:F,2,FALSE),"")</f>
        <v>Materiales de perforación por m.</v>
      </c>
      <c r="K432" s="330" t="str">
        <f>IF(B432&lt;&gt;"",+VLOOKUP(I432,Recursos!C:F,3,FALSE),"")</f>
        <v>$</v>
      </c>
      <c r="L432" s="327">
        <f>IF(B432&lt;&gt;"",+VLOOKUP(I432,Recursos!C:F,4,FALSE),"")</f>
        <v>947.79199999999992</v>
      </c>
      <c r="M432" s="331">
        <v>5</v>
      </c>
      <c r="N432" s="331">
        <v>1</v>
      </c>
      <c r="O432" s="433">
        <v>5</v>
      </c>
      <c r="P432" s="333">
        <f t="shared" si="196"/>
        <v>4738.9599999999991</v>
      </c>
      <c r="Q432" s="327">
        <f t="shared" si="197"/>
        <v>0</v>
      </c>
      <c r="R432" s="334">
        <f t="shared" si="198"/>
        <v>0</v>
      </c>
      <c r="S432" s="335" t="e">
        <f t="shared" si="177"/>
        <v>#N/A</v>
      </c>
      <c r="T432" s="335">
        <f t="shared" si="178"/>
        <v>201.32426666666669</v>
      </c>
      <c r="U432" s="336">
        <f t="shared" si="179"/>
        <v>4739.4599999999991</v>
      </c>
      <c r="V432" s="336">
        <f t="shared" si="180"/>
        <v>0</v>
      </c>
      <c r="W432" s="336">
        <f t="shared" si="181"/>
        <v>0</v>
      </c>
      <c r="X432" s="336">
        <f t="shared" si="182"/>
        <v>0</v>
      </c>
      <c r="Y432" s="320"/>
      <c r="Z432" s="321" t="str">
        <f t="shared" si="186"/>
        <v>X-PERFCOLA</v>
      </c>
      <c r="AA432" s="321" t="str">
        <f t="shared" si="187"/>
        <v>X-PERFCOLE</v>
      </c>
      <c r="AB432" s="321" t="str">
        <f t="shared" si="188"/>
        <v>X-PERFCOLM</v>
      </c>
      <c r="AC432" s="321" t="str">
        <f t="shared" si="189"/>
        <v>X-PERFCOLT</v>
      </c>
      <c r="AD432" s="321" t="str">
        <f t="shared" si="190"/>
        <v>X-PERFCOLS</v>
      </c>
      <c r="AE432" s="321" t="str">
        <f t="shared" si="191"/>
        <v>X-PERFCOLX</v>
      </c>
      <c r="AF432" s="321" t="str">
        <f t="shared" si="192"/>
        <v>X-PERFCOLM</v>
      </c>
      <c r="AG432" s="321">
        <f t="shared" si="183"/>
        <v>8</v>
      </c>
      <c r="AH432" s="321">
        <f>IF(B432&lt;&gt;"",IF(H432="x",VLOOKUP(I432,'AUX-NIV3'!B:AG,32,FALSE),0),"")</f>
        <v>0</v>
      </c>
      <c r="AI432" s="321" t="str">
        <f t="shared" si="193"/>
        <v>X-PERFCOL</v>
      </c>
      <c r="AJ432" s="320"/>
      <c r="AK432" s="322">
        <f t="shared" si="184"/>
        <v>427</v>
      </c>
      <c r="AL432" s="323">
        <f t="shared" si="194"/>
        <v>434</v>
      </c>
      <c r="AM432" s="322">
        <f t="shared" si="195"/>
        <v>6</v>
      </c>
      <c r="AN432" s="380">
        <f>IF(AND(AH432&gt;0,B432&lt;&gt;""),VLOOKUP(I432,'AUX-NIV3'!$B:$AO,39,FALSE)*O432,0)</f>
        <v>0</v>
      </c>
      <c r="AO432" s="380">
        <f t="shared" si="185"/>
        <v>0.252</v>
      </c>
      <c r="AP432" s="380"/>
    </row>
    <row r="433" spans="2:42" ht="14.4" hidden="1" thickTop="1" thickBot="1">
      <c r="B433" s="324" t="s">
        <v>1316</v>
      </c>
      <c r="C433" s="325" t="s">
        <v>1317</v>
      </c>
      <c r="D433" s="326" t="s">
        <v>477</v>
      </c>
      <c r="E433" s="327">
        <f>IF(B433&lt;&gt;"",SUMIF('AUX-NIV1'!I:I,'AUX-NIV2'!B433,'AUX-NIV1'!Q:Q),"")</f>
        <v>0</v>
      </c>
      <c r="F433" s="327" t="e">
        <f t="shared" si="175"/>
        <v>#N/A</v>
      </c>
      <c r="G433" s="327" t="e">
        <f t="shared" si="176"/>
        <v>#N/A</v>
      </c>
      <c r="H433" s="328" t="str">
        <f t="shared" si="199"/>
        <v>M</v>
      </c>
      <c r="I433" s="325" t="s">
        <v>621</v>
      </c>
      <c r="J433" s="329" t="str">
        <f>IF(B433&lt;&gt;"",+VLOOKUP(I433,Recursos!C:F,2,FALSE),"")</f>
        <v>MATERIALES VARIOS</v>
      </c>
      <c r="K433" s="330" t="str">
        <f>IF(B433&lt;&gt;"",+VLOOKUP(I433,Recursos!C:F,3,FALSE),"")</f>
        <v>GL</v>
      </c>
      <c r="L433" s="327">
        <f>IF(B433&lt;&gt;"",+VLOOKUP(I433,Recursos!C:F,4,FALSE),"")</f>
        <v>0.5</v>
      </c>
      <c r="M433" s="331">
        <v>1</v>
      </c>
      <c r="N433" s="331">
        <v>1</v>
      </c>
      <c r="O433" s="433">
        <v>1</v>
      </c>
      <c r="P433" s="333">
        <f t="shared" si="196"/>
        <v>0.5</v>
      </c>
      <c r="Q433" s="327">
        <f t="shared" si="197"/>
        <v>0</v>
      </c>
      <c r="R433" s="334">
        <f t="shared" si="198"/>
        <v>0</v>
      </c>
      <c r="S433" s="335" t="e">
        <f t="shared" si="177"/>
        <v>#N/A</v>
      </c>
      <c r="T433" s="335">
        <f t="shared" si="178"/>
        <v>201.32426666666669</v>
      </c>
      <c r="U433" s="336">
        <f t="shared" si="179"/>
        <v>4739.4599999999991</v>
      </c>
      <c r="V433" s="336">
        <f t="shared" si="180"/>
        <v>0</v>
      </c>
      <c r="W433" s="336">
        <f t="shared" si="181"/>
        <v>0</v>
      </c>
      <c r="X433" s="336">
        <f t="shared" si="182"/>
        <v>0</v>
      </c>
      <c r="Y433" s="320"/>
      <c r="Z433" s="321" t="str">
        <f t="shared" si="186"/>
        <v>X-PERFCOLA</v>
      </c>
      <c r="AA433" s="321" t="str">
        <f t="shared" si="187"/>
        <v>X-PERFCOLE</v>
      </c>
      <c r="AB433" s="321" t="str">
        <f t="shared" si="188"/>
        <v>X-PERFCOLM</v>
      </c>
      <c r="AC433" s="321" t="str">
        <f t="shared" si="189"/>
        <v>X-PERFCOLT</v>
      </c>
      <c r="AD433" s="321" t="str">
        <f t="shared" si="190"/>
        <v>X-PERFCOLS</v>
      </c>
      <c r="AE433" s="321" t="str">
        <f t="shared" si="191"/>
        <v>X-PERFCOLX</v>
      </c>
      <c r="AF433" s="321" t="str">
        <f t="shared" si="192"/>
        <v>X-PERFCOLM</v>
      </c>
      <c r="AG433" s="321">
        <f t="shared" si="183"/>
        <v>8</v>
      </c>
      <c r="AH433" s="321">
        <f>IF(B433&lt;&gt;"",IF(H433="x",VLOOKUP(I433,'AUX-NIV3'!B:AG,32,FALSE),0),"")</f>
        <v>0</v>
      </c>
      <c r="AI433" s="321" t="str">
        <f t="shared" si="193"/>
        <v>X-PERFCOL</v>
      </c>
      <c r="AJ433" s="320"/>
      <c r="AK433" s="322">
        <f t="shared" si="184"/>
        <v>427</v>
      </c>
      <c r="AL433" s="323">
        <f t="shared" si="194"/>
        <v>434</v>
      </c>
      <c r="AM433" s="322">
        <f t="shared" si="195"/>
        <v>7</v>
      </c>
      <c r="AN433" s="380">
        <f>IF(AND(AH433&gt;0,B433&lt;&gt;""),VLOOKUP(I433,'AUX-NIV3'!$B:$AO,39,FALSE)*O433,0)</f>
        <v>0</v>
      </c>
      <c r="AO433" s="380">
        <f t="shared" si="185"/>
        <v>0.252</v>
      </c>
      <c r="AP433" s="380"/>
    </row>
    <row r="434" spans="2:42" ht="14.4" hidden="1" thickTop="1" thickBot="1">
      <c r="B434" s="324" t="s">
        <v>1316</v>
      </c>
      <c r="C434" s="325" t="s">
        <v>1317</v>
      </c>
      <c r="D434" s="326" t="s">
        <v>477</v>
      </c>
      <c r="E434" s="327">
        <f>IF(B434&lt;&gt;"",SUMIF('AUX-NIV1'!I:I,'AUX-NIV2'!B434,'AUX-NIV1'!Q:Q),"")</f>
        <v>0</v>
      </c>
      <c r="F434" s="327" t="e">
        <f t="shared" si="175"/>
        <v>#N/A</v>
      </c>
      <c r="G434" s="327" t="e">
        <f t="shared" si="176"/>
        <v>#N/A</v>
      </c>
      <c r="H434" s="328" t="str">
        <f t="shared" si="199"/>
        <v>E</v>
      </c>
      <c r="I434" s="325" t="s">
        <v>1652</v>
      </c>
      <c r="J434" s="329" t="str">
        <f>IF(B434&lt;&gt;"",+VLOOKUP(I434,Recursos!C:F,2,FALSE),"")</f>
        <v>MANIPULADOR TELESCOPICO</v>
      </c>
      <c r="K434" s="330" t="str">
        <f>IF(B434&lt;&gt;"",+VLOOKUP(I434,Recursos!C:F,3,FALSE),"")</f>
        <v>HR</v>
      </c>
      <c r="L434" s="327">
        <f>IF(B434&lt;&gt;"",+VLOOKUP(I434,Recursos!C:F,4,FALSE),"")</f>
        <v>3262.8800000000006</v>
      </c>
      <c r="M434" s="331">
        <v>50</v>
      </c>
      <c r="N434" s="331">
        <v>1</v>
      </c>
      <c r="O434" s="433">
        <v>0.02</v>
      </c>
      <c r="P434" s="333">
        <f t="shared" si="196"/>
        <v>65.257600000000011</v>
      </c>
      <c r="Q434" s="327">
        <f t="shared" si="197"/>
        <v>0</v>
      </c>
      <c r="R434" s="334">
        <f t="shared" si="198"/>
        <v>0</v>
      </c>
      <c r="S434" s="335" t="e">
        <f t="shared" si="177"/>
        <v>#N/A</v>
      </c>
      <c r="T434" s="335">
        <f t="shared" si="178"/>
        <v>201.32426666666669</v>
      </c>
      <c r="U434" s="336">
        <f t="shared" si="179"/>
        <v>4739.4599999999991</v>
      </c>
      <c r="V434" s="336">
        <f t="shared" si="180"/>
        <v>0</v>
      </c>
      <c r="W434" s="336">
        <f t="shared" si="181"/>
        <v>0</v>
      </c>
      <c r="X434" s="336">
        <f t="shared" si="182"/>
        <v>0</v>
      </c>
      <c r="Y434" s="320"/>
      <c r="Z434" s="321" t="str">
        <f t="shared" si="186"/>
        <v>X-PERFCOLA</v>
      </c>
      <c r="AA434" s="321" t="str">
        <f t="shared" si="187"/>
        <v>X-PERFCOLE</v>
      </c>
      <c r="AB434" s="321" t="str">
        <f t="shared" si="188"/>
        <v>X-PERFCOLM</v>
      </c>
      <c r="AC434" s="321" t="str">
        <f t="shared" si="189"/>
        <v>X-PERFCOLT</v>
      </c>
      <c r="AD434" s="321" t="str">
        <f t="shared" si="190"/>
        <v>X-PERFCOLS</v>
      </c>
      <c r="AE434" s="321" t="str">
        <f t="shared" si="191"/>
        <v>X-PERFCOLX</v>
      </c>
      <c r="AF434" s="321" t="str">
        <f t="shared" si="192"/>
        <v>X-PERFCOLE</v>
      </c>
      <c r="AG434" s="321">
        <f t="shared" si="183"/>
        <v>8</v>
      </c>
      <c r="AH434" s="321">
        <f>IF(B434&lt;&gt;"",IF(H434="x",VLOOKUP(I434,'AUX-NIV3'!B:AG,32,FALSE),0),"")</f>
        <v>0</v>
      </c>
      <c r="AI434" s="321" t="str">
        <f t="shared" si="193"/>
        <v>X-PERFCOL</v>
      </c>
      <c r="AJ434" s="320"/>
      <c r="AK434" s="322">
        <f t="shared" si="184"/>
        <v>427</v>
      </c>
      <c r="AL434" s="323">
        <f t="shared" si="194"/>
        <v>434</v>
      </c>
      <c r="AM434" s="322">
        <f t="shared" si="195"/>
        <v>8</v>
      </c>
      <c r="AN434" s="380">
        <f>IF(AND(AH434&gt;0,B434&lt;&gt;""),VLOOKUP(I434,'AUX-NIV3'!$B:$AO,39,FALSE)*O434,0)</f>
        <v>0</v>
      </c>
      <c r="AO434" s="380">
        <f t="shared" si="185"/>
        <v>0.252</v>
      </c>
      <c r="AP434" s="380"/>
    </row>
    <row r="435" spans="2:42" ht="14.4" hidden="1" thickTop="1" thickBot="1">
      <c r="B435" s="324" t="s">
        <v>1346</v>
      </c>
      <c r="C435" s="325" t="s">
        <v>1347</v>
      </c>
      <c r="D435" s="326" t="s">
        <v>477</v>
      </c>
      <c r="E435" s="327">
        <f>IF(B435&lt;&gt;"",SUMIF('AUX-NIV1'!I:I,'AUX-NIV2'!B435,'AUX-NIV1'!Q:Q),"")</f>
        <v>0</v>
      </c>
      <c r="F435" s="327" t="e">
        <f t="shared" si="175"/>
        <v>#N/A</v>
      </c>
      <c r="G435" s="327" t="e">
        <f t="shared" si="176"/>
        <v>#N/A</v>
      </c>
      <c r="H435" s="328" t="str">
        <f t="shared" ref="H435:H510" si="200">IF(B435&lt;&gt;"",+LEFT(I435,1),"")</f>
        <v>E</v>
      </c>
      <c r="I435" s="325" t="s">
        <v>1576</v>
      </c>
      <c r="J435" s="329" t="str">
        <f>IF(B435&lt;&gt;"",+VLOOKUP(I435,Recursos!C:F,2,FALSE),"")</f>
        <v>MARTILLO NEUMATICO PERFORADOR DE 1200 KG</v>
      </c>
      <c r="K435" s="330" t="str">
        <f>IF(B435&lt;&gt;"",+VLOOKUP(I435,Recursos!C:F,3,FALSE),"")</f>
        <v>HR</v>
      </c>
      <c r="L435" s="327">
        <f>IF(B435&lt;&gt;"",+VLOOKUP(I435,Recursos!C:F,4,FALSE),"")</f>
        <v>734.76</v>
      </c>
      <c r="M435" s="331">
        <v>5</v>
      </c>
      <c r="N435" s="331">
        <v>1</v>
      </c>
      <c r="O435" s="332">
        <v>0.2</v>
      </c>
      <c r="P435" s="333">
        <f t="shared" ref="P435:P515" si="201">IF(B435&lt;&gt;"",O435*L435,"")</f>
        <v>146.952</v>
      </c>
      <c r="Q435" s="327">
        <f t="shared" ref="Q435:Q515" si="202">IF(B435&lt;&gt;"",+O435*E435,"")</f>
        <v>0</v>
      </c>
      <c r="R435" s="334">
        <f t="shared" ref="R435:R515" si="203">IF(B435&lt;&gt;"",Q435*L435,"")</f>
        <v>0</v>
      </c>
      <c r="S435" s="335" t="e">
        <f t="shared" si="177"/>
        <v>#N/A</v>
      </c>
      <c r="T435" s="335">
        <f t="shared" si="178"/>
        <v>146.952</v>
      </c>
      <c r="U435" s="336">
        <f t="shared" si="179"/>
        <v>947.79199999999992</v>
      </c>
      <c r="V435" s="336">
        <f t="shared" si="180"/>
        <v>0</v>
      </c>
      <c r="W435" s="336">
        <f t="shared" si="181"/>
        <v>0</v>
      </c>
      <c r="X435" s="336">
        <f t="shared" si="182"/>
        <v>0</v>
      </c>
      <c r="Y435" s="320"/>
      <c r="Z435" s="321" t="str">
        <f t="shared" si="186"/>
        <v>X-PerfManA</v>
      </c>
      <c r="AA435" s="321" t="str">
        <f t="shared" si="187"/>
        <v>X-PerfManE</v>
      </c>
      <c r="AB435" s="321" t="str">
        <f t="shared" si="188"/>
        <v>X-PerfManM</v>
      </c>
      <c r="AC435" s="321" t="str">
        <f t="shared" si="189"/>
        <v>X-PerfManT</v>
      </c>
      <c r="AD435" s="321" t="str">
        <f t="shared" si="190"/>
        <v>X-PerfManS</v>
      </c>
      <c r="AE435" s="321" t="str">
        <f t="shared" si="191"/>
        <v>X-PerfManX</v>
      </c>
      <c r="AF435" s="321" t="str">
        <f t="shared" si="192"/>
        <v>X-PerfManE</v>
      </c>
      <c r="AG435" s="321">
        <f t="shared" si="183"/>
        <v>4</v>
      </c>
      <c r="AH435" s="321">
        <f>IF(B435&lt;&gt;"",IF(H435="x",VLOOKUP(I435,'AUX-NIV3'!B:AG,32,FALSE),0),"")</f>
        <v>0</v>
      </c>
      <c r="AI435" s="321" t="str">
        <f t="shared" si="193"/>
        <v>X-PerfMan</v>
      </c>
      <c r="AJ435" s="320"/>
      <c r="AK435" s="322">
        <f t="shared" si="184"/>
        <v>435</v>
      </c>
      <c r="AL435" s="323">
        <f t="shared" si="194"/>
        <v>438</v>
      </c>
      <c r="AM435" s="322">
        <f t="shared" si="195"/>
        <v>1</v>
      </c>
      <c r="AN435" s="380">
        <f>IF(AND(AH435&gt;0,B435&lt;&gt;""),VLOOKUP(I435,'AUX-NIV3'!$B:$AO,39,FALSE)*O435,0)</f>
        <v>0</v>
      </c>
      <c r="AO435" s="380">
        <f t="shared" si="185"/>
        <v>0.56000000000000005</v>
      </c>
      <c r="AP435" s="380"/>
    </row>
    <row r="436" spans="2:42" ht="14.4" hidden="1" thickTop="1" thickBot="1">
      <c r="B436" s="324" t="s">
        <v>1346</v>
      </c>
      <c r="C436" s="325" t="s">
        <v>1347</v>
      </c>
      <c r="D436" s="326" t="s">
        <v>477</v>
      </c>
      <c r="E436" s="327">
        <f>IF(B436&lt;&gt;"",SUMIF('AUX-NIV1'!I:I,'AUX-NIV2'!B436,'AUX-NIV1'!Q:Q),"")</f>
        <v>0</v>
      </c>
      <c r="F436" s="327" t="e">
        <f t="shared" si="175"/>
        <v>#N/A</v>
      </c>
      <c r="G436" s="327" t="e">
        <f t="shared" si="176"/>
        <v>#N/A</v>
      </c>
      <c r="H436" s="328" t="str">
        <f t="shared" si="200"/>
        <v>A</v>
      </c>
      <c r="I436" s="325" t="s">
        <v>3314</v>
      </c>
      <c r="J436" s="329" t="e">
        <f>IF(B436&lt;&gt;"",+VLOOKUP(I436,Recursos!C:F,2,FALSE),"")</f>
        <v>#N/A</v>
      </c>
      <c r="K436" s="330" t="e">
        <f>IF(B436&lt;&gt;"",+VLOOKUP(I436,Recursos!C:F,3,FALSE),"")</f>
        <v>#N/A</v>
      </c>
      <c r="L436" s="327" t="e">
        <f>IF(B436&lt;&gt;"",+VLOOKUP(I436,Recursos!C:F,4,FALSE),"")</f>
        <v>#N/A</v>
      </c>
      <c r="M436" s="331">
        <v>5</v>
      </c>
      <c r="N436" s="331">
        <v>1.4</v>
      </c>
      <c r="O436" s="332">
        <v>0.28000000000000003</v>
      </c>
      <c r="P436" s="333" t="e">
        <f t="shared" si="201"/>
        <v>#N/A</v>
      </c>
      <c r="Q436" s="327">
        <f t="shared" si="202"/>
        <v>0</v>
      </c>
      <c r="R436" s="334" t="e">
        <f t="shared" si="203"/>
        <v>#N/A</v>
      </c>
      <c r="S436" s="335" t="e">
        <f t="shared" si="177"/>
        <v>#N/A</v>
      </c>
      <c r="T436" s="335">
        <f t="shared" si="178"/>
        <v>146.952</v>
      </c>
      <c r="U436" s="336">
        <f t="shared" si="179"/>
        <v>947.79199999999992</v>
      </c>
      <c r="V436" s="336">
        <f t="shared" si="180"/>
        <v>0</v>
      </c>
      <c r="W436" s="336">
        <f t="shared" si="181"/>
        <v>0</v>
      </c>
      <c r="X436" s="336">
        <f t="shared" si="182"/>
        <v>0</v>
      </c>
      <c r="Y436" s="320"/>
      <c r="Z436" s="321" t="str">
        <f t="shared" si="186"/>
        <v>X-PerfManA</v>
      </c>
      <c r="AA436" s="321" t="str">
        <f t="shared" si="187"/>
        <v>X-PerfManE</v>
      </c>
      <c r="AB436" s="321" t="str">
        <f t="shared" si="188"/>
        <v>X-PerfManM</v>
      </c>
      <c r="AC436" s="321" t="str">
        <f t="shared" si="189"/>
        <v>X-PerfManT</v>
      </c>
      <c r="AD436" s="321" t="str">
        <f t="shared" si="190"/>
        <v>X-PerfManS</v>
      </c>
      <c r="AE436" s="321" t="str">
        <f t="shared" si="191"/>
        <v>X-PerfManX</v>
      </c>
      <c r="AF436" s="321" t="str">
        <f t="shared" si="192"/>
        <v>X-PerfManA</v>
      </c>
      <c r="AG436" s="321">
        <f t="shared" si="183"/>
        <v>4</v>
      </c>
      <c r="AH436" s="321">
        <f>IF(B436&lt;&gt;"",IF(H436="x",VLOOKUP(I436,'AUX-NIV3'!B:AG,32,FALSE),0),"")</f>
        <v>0</v>
      </c>
      <c r="AI436" s="321" t="str">
        <f t="shared" si="193"/>
        <v>X-PerfMan</v>
      </c>
      <c r="AJ436" s="320"/>
      <c r="AK436" s="322">
        <f t="shared" si="184"/>
        <v>435</v>
      </c>
      <c r="AL436" s="323">
        <f t="shared" si="194"/>
        <v>438</v>
      </c>
      <c r="AM436" s="322">
        <f t="shared" si="195"/>
        <v>2</v>
      </c>
      <c r="AN436" s="380">
        <f>IF(AND(AH436&gt;0,B436&lt;&gt;""),VLOOKUP(I436,'AUX-NIV3'!$B:$AO,39,FALSE)*O436,0)</f>
        <v>0</v>
      </c>
      <c r="AO436" s="380">
        <f t="shared" si="185"/>
        <v>0.56000000000000005</v>
      </c>
      <c r="AP436" s="380"/>
    </row>
    <row r="437" spans="2:42" ht="14.4" hidden="1" thickTop="1" thickBot="1">
      <c r="B437" s="324" t="s">
        <v>1346</v>
      </c>
      <c r="C437" s="325" t="s">
        <v>1347</v>
      </c>
      <c r="D437" s="326" t="s">
        <v>477</v>
      </c>
      <c r="E437" s="327">
        <f>IF(B437&lt;&gt;"",SUMIF('AUX-NIV1'!I:I,'AUX-NIV2'!B437,'AUX-NIV1'!Q:Q),"")</f>
        <v>0</v>
      </c>
      <c r="F437" s="327" t="e">
        <f t="shared" si="175"/>
        <v>#N/A</v>
      </c>
      <c r="G437" s="327" t="e">
        <f t="shared" si="176"/>
        <v>#N/A</v>
      </c>
      <c r="H437" s="328" t="str">
        <f t="shared" si="200"/>
        <v>A</v>
      </c>
      <c r="I437" s="325" t="s">
        <v>1746</v>
      </c>
      <c r="J437" s="329" t="str">
        <f>IF(B437&lt;&gt;"",+VLOOKUP(I437,Recursos!C:F,2,FALSE),"")</f>
        <v>OFICIAL</v>
      </c>
      <c r="K437" s="330" t="str">
        <f>IF(B437&lt;&gt;"",+VLOOKUP(I437,Recursos!C:F,3,FALSE),"")</f>
        <v>hh</v>
      </c>
      <c r="L437" s="327">
        <f>IF(B437&lt;&gt;"",+VLOOKUP(I437,Recursos!C:F,4,FALSE),"")</f>
        <v>496.91595439275824</v>
      </c>
      <c r="M437" s="331">
        <v>5</v>
      </c>
      <c r="N437" s="331">
        <v>1.4</v>
      </c>
      <c r="O437" s="332">
        <v>0.28000000000000003</v>
      </c>
      <c r="P437" s="333">
        <f t="shared" si="201"/>
        <v>139.13646722997231</v>
      </c>
      <c r="Q437" s="327">
        <f t="shared" si="202"/>
        <v>0</v>
      </c>
      <c r="R437" s="334">
        <f t="shared" si="203"/>
        <v>0</v>
      </c>
      <c r="S437" s="335" t="e">
        <f t="shared" si="177"/>
        <v>#N/A</v>
      </c>
      <c r="T437" s="335">
        <f t="shared" si="178"/>
        <v>146.952</v>
      </c>
      <c r="U437" s="336">
        <f t="shared" si="179"/>
        <v>947.79199999999992</v>
      </c>
      <c r="V437" s="336">
        <f t="shared" si="180"/>
        <v>0</v>
      </c>
      <c r="W437" s="336">
        <f t="shared" si="181"/>
        <v>0</v>
      </c>
      <c r="X437" s="336">
        <f t="shared" si="182"/>
        <v>0</v>
      </c>
      <c r="Y437" s="320"/>
      <c r="Z437" s="321" t="str">
        <f t="shared" si="186"/>
        <v>X-PerfManA</v>
      </c>
      <c r="AA437" s="321" t="str">
        <f t="shared" si="187"/>
        <v>X-PerfManE</v>
      </c>
      <c r="AB437" s="321" t="str">
        <f t="shared" si="188"/>
        <v>X-PerfManM</v>
      </c>
      <c r="AC437" s="321" t="str">
        <f t="shared" si="189"/>
        <v>X-PerfManT</v>
      </c>
      <c r="AD437" s="321" t="str">
        <f t="shared" si="190"/>
        <v>X-PerfManS</v>
      </c>
      <c r="AE437" s="321" t="str">
        <f t="shared" si="191"/>
        <v>X-PerfManX</v>
      </c>
      <c r="AF437" s="321" t="str">
        <f t="shared" si="192"/>
        <v>X-PerfManA</v>
      </c>
      <c r="AG437" s="321">
        <f t="shared" si="183"/>
        <v>4</v>
      </c>
      <c r="AH437" s="321">
        <f>IF(B437&lt;&gt;"",IF(H437="x",VLOOKUP(I437,'AUX-NIV3'!B:AG,32,FALSE),0),"")</f>
        <v>0</v>
      </c>
      <c r="AI437" s="321" t="str">
        <f t="shared" si="193"/>
        <v>X-PerfMan</v>
      </c>
      <c r="AJ437" s="320"/>
      <c r="AK437" s="322">
        <f t="shared" si="184"/>
        <v>435</v>
      </c>
      <c r="AL437" s="323">
        <f t="shared" si="194"/>
        <v>438</v>
      </c>
      <c r="AM437" s="322">
        <f t="shared" si="195"/>
        <v>3</v>
      </c>
      <c r="AN437" s="380">
        <f>IF(AND(AH437&gt;0,B437&lt;&gt;""),VLOOKUP(I437,'AUX-NIV3'!$B:$AO,39,FALSE)*O437,0)</f>
        <v>0</v>
      </c>
      <c r="AO437" s="380">
        <f t="shared" si="185"/>
        <v>0.56000000000000005</v>
      </c>
      <c r="AP437" s="380"/>
    </row>
    <row r="438" spans="2:42" ht="14.4" hidden="1" thickTop="1" thickBot="1">
      <c r="B438" s="324" t="s">
        <v>1346</v>
      </c>
      <c r="C438" s="325" t="s">
        <v>1347</v>
      </c>
      <c r="D438" s="326" t="s">
        <v>477</v>
      </c>
      <c r="E438" s="327">
        <f>IF(B438&lt;&gt;"",SUMIF('AUX-NIV1'!I:I,'AUX-NIV2'!B438,'AUX-NIV1'!Q:Q),"")</f>
        <v>0</v>
      </c>
      <c r="F438" s="327" t="e">
        <f t="shared" si="175"/>
        <v>#N/A</v>
      </c>
      <c r="G438" s="327" t="e">
        <f t="shared" si="176"/>
        <v>#N/A</v>
      </c>
      <c r="H438" s="328" t="str">
        <f t="shared" si="200"/>
        <v>M</v>
      </c>
      <c r="I438" s="325" t="s">
        <v>800</v>
      </c>
      <c r="J438" s="329" t="str">
        <f>IF(B438&lt;&gt;"",+VLOOKUP(I438,Recursos!C:F,2,FALSE),"")</f>
        <v>Materiales de perforación por m.</v>
      </c>
      <c r="K438" s="330" t="str">
        <f>IF(B438&lt;&gt;"",+VLOOKUP(I438,Recursos!C:F,3,FALSE),"")</f>
        <v>$</v>
      </c>
      <c r="L438" s="327">
        <f>IF(B438&lt;&gt;"",+VLOOKUP(I438,Recursos!C:F,4,FALSE),"")</f>
        <v>947.79199999999992</v>
      </c>
      <c r="M438" s="331">
        <v>1</v>
      </c>
      <c r="N438" s="331">
        <v>1</v>
      </c>
      <c r="O438" s="332">
        <v>1</v>
      </c>
      <c r="P438" s="333">
        <f t="shared" si="201"/>
        <v>947.79199999999992</v>
      </c>
      <c r="Q438" s="327">
        <f t="shared" si="202"/>
        <v>0</v>
      </c>
      <c r="R438" s="334">
        <f t="shared" si="203"/>
        <v>0</v>
      </c>
      <c r="S438" s="335" t="e">
        <f t="shared" si="177"/>
        <v>#N/A</v>
      </c>
      <c r="T438" s="335">
        <f t="shared" si="178"/>
        <v>146.952</v>
      </c>
      <c r="U438" s="336">
        <f t="shared" si="179"/>
        <v>947.79199999999992</v>
      </c>
      <c r="V438" s="336">
        <f t="shared" si="180"/>
        <v>0</v>
      </c>
      <c r="W438" s="336">
        <f t="shared" si="181"/>
        <v>0</v>
      </c>
      <c r="X438" s="336">
        <f t="shared" si="182"/>
        <v>0</v>
      </c>
      <c r="Y438" s="320"/>
      <c r="Z438" s="321" t="str">
        <f t="shared" si="186"/>
        <v>X-PerfManA</v>
      </c>
      <c r="AA438" s="321" t="str">
        <f t="shared" si="187"/>
        <v>X-PerfManE</v>
      </c>
      <c r="AB438" s="321" t="str">
        <f t="shared" si="188"/>
        <v>X-PerfManM</v>
      </c>
      <c r="AC438" s="321" t="str">
        <f t="shared" si="189"/>
        <v>X-PerfManT</v>
      </c>
      <c r="AD438" s="321" t="str">
        <f t="shared" si="190"/>
        <v>X-PerfManS</v>
      </c>
      <c r="AE438" s="321" t="str">
        <f t="shared" si="191"/>
        <v>X-PerfManX</v>
      </c>
      <c r="AF438" s="321" t="str">
        <f t="shared" si="192"/>
        <v>X-PerfManM</v>
      </c>
      <c r="AG438" s="321">
        <f t="shared" si="183"/>
        <v>4</v>
      </c>
      <c r="AH438" s="321">
        <f>IF(B438&lt;&gt;"",IF(H438="x",VLOOKUP(I438,'AUX-NIV3'!B:AG,32,FALSE),0),"")</f>
        <v>0</v>
      </c>
      <c r="AI438" s="321" t="str">
        <f t="shared" si="193"/>
        <v>X-PerfMan</v>
      </c>
      <c r="AJ438" s="320"/>
      <c r="AK438" s="322">
        <f t="shared" si="184"/>
        <v>435</v>
      </c>
      <c r="AL438" s="323">
        <f t="shared" si="194"/>
        <v>438</v>
      </c>
      <c r="AM438" s="322">
        <f t="shared" si="195"/>
        <v>4</v>
      </c>
      <c r="AN438" s="380">
        <f>IF(AND(AH438&gt;0,B438&lt;&gt;""),VLOOKUP(I438,'AUX-NIV3'!$B:$AO,39,FALSE)*O438,0)</f>
        <v>0</v>
      </c>
      <c r="AO438" s="380">
        <f t="shared" si="185"/>
        <v>0.56000000000000005</v>
      </c>
      <c r="AP438" s="380"/>
    </row>
    <row r="439" spans="2:42" ht="14.4" hidden="1" thickTop="1" thickBot="1">
      <c r="B439" s="324" t="s">
        <v>1348</v>
      </c>
      <c r="C439" s="325" t="s">
        <v>1349</v>
      </c>
      <c r="D439" s="326" t="s">
        <v>1160</v>
      </c>
      <c r="E439" s="327">
        <f>IF(B439&lt;&gt;"",SUMIF('AUX-NIV1'!I:I,'AUX-NIV2'!B439,'AUX-NIV1'!Q:Q),"")</f>
        <v>0</v>
      </c>
      <c r="F439" s="327">
        <f t="shared" si="175"/>
        <v>36.353240081162596</v>
      </c>
      <c r="G439" s="327">
        <f t="shared" si="176"/>
        <v>0</v>
      </c>
      <c r="H439" s="328" t="str">
        <f t="shared" si="200"/>
        <v>A</v>
      </c>
      <c r="I439" s="325" t="s">
        <v>1745</v>
      </c>
      <c r="J439" s="329" t="str">
        <f>IF(B439&lt;&gt;"",+VLOOKUP(I439,Recursos!C:F,2,FALSE),"")</f>
        <v>AYUDANTE</v>
      </c>
      <c r="K439" s="330" t="str">
        <f>IF(B439&lt;&gt;"",+VLOOKUP(I439,Recursos!C:F,3,FALSE),"")</f>
        <v>hh</v>
      </c>
      <c r="L439" s="327">
        <f>IF(B439&lt;&gt;"",+VLOOKUP(I439,Recursos!C:F,4,FALSE),"")</f>
        <v>422.48042769667234</v>
      </c>
      <c r="M439" s="331">
        <v>400</v>
      </c>
      <c r="N439" s="331">
        <v>1</v>
      </c>
      <c r="O439" s="332">
        <v>2.5000000000000001E-3</v>
      </c>
      <c r="P439" s="333">
        <f t="shared" si="201"/>
        <v>1.0562010692416808</v>
      </c>
      <c r="Q439" s="327">
        <f t="shared" si="202"/>
        <v>0</v>
      </c>
      <c r="R439" s="334">
        <f t="shared" si="203"/>
        <v>0</v>
      </c>
      <c r="S439" s="335">
        <f t="shared" si="177"/>
        <v>2.5088540811625943</v>
      </c>
      <c r="T439" s="335">
        <f t="shared" si="178"/>
        <v>33.844386</v>
      </c>
      <c r="U439" s="336">
        <f t="shared" si="179"/>
        <v>0</v>
      </c>
      <c r="V439" s="336">
        <f t="shared" si="180"/>
        <v>0</v>
      </c>
      <c r="W439" s="336">
        <f t="shared" si="181"/>
        <v>0</v>
      </c>
      <c r="X439" s="336">
        <f t="shared" si="182"/>
        <v>0</v>
      </c>
      <c r="Y439" s="320"/>
      <c r="Z439" s="321" t="str">
        <f t="shared" si="186"/>
        <v>X-EXCH1100A</v>
      </c>
      <c r="AA439" s="321" t="str">
        <f t="shared" si="187"/>
        <v>X-EXCH1100E</v>
      </c>
      <c r="AB439" s="321" t="str">
        <f t="shared" si="188"/>
        <v>X-EXCH1100M</v>
      </c>
      <c r="AC439" s="321" t="str">
        <f t="shared" si="189"/>
        <v>X-EXCH1100T</v>
      </c>
      <c r="AD439" s="321" t="str">
        <f t="shared" si="190"/>
        <v>X-EXCH1100S</v>
      </c>
      <c r="AE439" s="321" t="str">
        <f t="shared" si="191"/>
        <v>X-EXCH1100X</v>
      </c>
      <c r="AF439" s="321" t="str">
        <f t="shared" si="192"/>
        <v>X-EXCH1100A</v>
      </c>
      <c r="AG439" s="321">
        <f t="shared" si="183"/>
        <v>4</v>
      </c>
      <c r="AH439" s="321">
        <f>IF(B439&lt;&gt;"",IF(H439="x",VLOOKUP(I439,'AUX-NIV3'!B:AG,32,FALSE),0),"")</f>
        <v>0</v>
      </c>
      <c r="AI439" s="321" t="str">
        <f t="shared" si="193"/>
        <v>X-EXCH1100</v>
      </c>
      <c r="AJ439" s="320"/>
      <c r="AK439" s="322">
        <f t="shared" si="184"/>
        <v>439</v>
      </c>
      <c r="AL439" s="323">
        <f t="shared" si="194"/>
        <v>442</v>
      </c>
      <c r="AM439" s="322">
        <f t="shared" si="195"/>
        <v>1</v>
      </c>
      <c r="AN439" s="380">
        <f>IF(AND(AH439&gt;0,B439&lt;&gt;""),VLOOKUP(I439,'AUX-NIV3'!$B:$AO,39,FALSE)*O439,0)</f>
        <v>0</v>
      </c>
      <c r="AO439" s="380">
        <f t="shared" si="185"/>
        <v>5.0000000000000001E-3</v>
      </c>
      <c r="AP439" s="380"/>
    </row>
    <row r="440" spans="2:42" ht="14.4" hidden="1" thickTop="1" thickBot="1">
      <c r="B440" s="324" t="s">
        <v>1348</v>
      </c>
      <c r="C440" s="325" t="s">
        <v>1349</v>
      </c>
      <c r="D440" s="326" t="s">
        <v>1160</v>
      </c>
      <c r="E440" s="327">
        <f>IF(B440&lt;&gt;"",SUMIF('AUX-NIV1'!I:I,'AUX-NIV2'!B440,'AUX-NIV1'!Q:Q),"")</f>
        <v>0</v>
      </c>
      <c r="F440" s="327">
        <f t="shared" si="175"/>
        <v>36.353240081162596</v>
      </c>
      <c r="G440" s="327">
        <f t="shared" si="176"/>
        <v>0</v>
      </c>
      <c r="H440" s="328" t="str">
        <f t="shared" si="200"/>
        <v>A</v>
      </c>
      <c r="I440" s="325" t="s">
        <v>3311</v>
      </c>
      <c r="J440" s="329" t="str">
        <f>IF(B440&lt;&gt;"",+VLOOKUP(I440,Recursos!C:F,2,FALSE),"")</f>
        <v>OPER. EQUIPO</v>
      </c>
      <c r="K440" s="330" t="str">
        <f>IF(B440&lt;&gt;"",+VLOOKUP(I440,Recursos!C:F,3,FALSE),"")</f>
        <v>hh</v>
      </c>
      <c r="L440" s="327">
        <f>IF(B440&lt;&gt;"",+VLOOKUP(I440,Recursos!C:F,4,FALSE),"")</f>
        <v>581.06120476836554</v>
      </c>
      <c r="M440" s="331">
        <v>400</v>
      </c>
      <c r="N440" s="331">
        <v>1</v>
      </c>
      <c r="O440" s="332">
        <v>2.5000000000000001E-3</v>
      </c>
      <c r="P440" s="333">
        <f t="shared" si="201"/>
        <v>1.4526530119209138</v>
      </c>
      <c r="Q440" s="327">
        <f t="shared" si="202"/>
        <v>0</v>
      </c>
      <c r="R440" s="334">
        <f t="shared" si="203"/>
        <v>0</v>
      </c>
      <c r="S440" s="335">
        <f t="shared" si="177"/>
        <v>2.5088540811625943</v>
      </c>
      <c r="T440" s="335">
        <f t="shared" si="178"/>
        <v>33.844386</v>
      </c>
      <c r="U440" s="336">
        <f t="shared" si="179"/>
        <v>0</v>
      </c>
      <c r="V440" s="336">
        <f t="shared" si="180"/>
        <v>0</v>
      </c>
      <c r="W440" s="336">
        <f t="shared" si="181"/>
        <v>0</v>
      </c>
      <c r="X440" s="336">
        <f t="shared" si="182"/>
        <v>0</v>
      </c>
      <c r="Y440" s="320"/>
      <c r="Z440" s="321" t="str">
        <f t="shared" si="186"/>
        <v>X-EXCH1100A</v>
      </c>
      <c r="AA440" s="321" t="str">
        <f t="shared" si="187"/>
        <v>X-EXCH1100E</v>
      </c>
      <c r="AB440" s="321" t="str">
        <f t="shared" si="188"/>
        <v>X-EXCH1100M</v>
      </c>
      <c r="AC440" s="321" t="str">
        <f t="shared" si="189"/>
        <v>X-EXCH1100T</v>
      </c>
      <c r="AD440" s="321" t="str">
        <f t="shared" si="190"/>
        <v>X-EXCH1100S</v>
      </c>
      <c r="AE440" s="321" t="str">
        <f t="shared" si="191"/>
        <v>X-EXCH1100X</v>
      </c>
      <c r="AF440" s="321" t="str">
        <f t="shared" si="192"/>
        <v>X-EXCH1100A</v>
      </c>
      <c r="AG440" s="321">
        <f t="shared" si="183"/>
        <v>4</v>
      </c>
      <c r="AH440" s="321">
        <f>IF(B440&lt;&gt;"",IF(H440="x",VLOOKUP(I440,'AUX-NIV3'!B:AG,32,FALSE),0),"")</f>
        <v>0</v>
      </c>
      <c r="AI440" s="321" t="str">
        <f t="shared" si="193"/>
        <v>X-EXCH1100</v>
      </c>
      <c r="AJ440" s="320"/>
      <c r="AK440" s="322">
        <f t="shared" si="184"/>
        <v>439</v>
      </c>
      <c r="AL440" s="323">
        <f t="shared" si="194"/>
        <v>442</v>
      </c>
      <c r="AM440" s="322">
        <f t="shared" si="195"/>
        <v>2</v>
      </c>
      <c r="AN440" s="380">
        <f>IF(AND(AH440&gt;0,B440&lt;&gt;""),VLOOKUP(I440,'AUX-NIV3'!$B:$AO,39,FALSE)*O440,0)</f>
        <v>0</v>
      </c>
      <c r="AO440" s="380">
        <f t="shared" si="185"/>
        <v>5.0000000000000001E-3</v>
      </c>
      <c r="AP440" s="380"/>
    </row>
    <row r="441" spans="2:42" ht="14.4" hidden="1" thickTop="1" thickBot="1">
      <c r="B441" s="324" t="s">
        <v>1348</v>
      </c>
      <c r="C441" s="325" t="s">
        <v>1349</v>
      </c>
      <c r="D441" s="326" t="s">
        <v>1160</v>
      </c>
      <c r="E441" s="327">
        <f>IF(B441&lt;&gt;"",SUMIF('AUX-NIV1'!I:I,'AUX-NIV2'!B441,'AUX-NIV1'!Q:Q),"")</f>
        <v>0</v>
      </c>
      <c r="F441" s="327">
        <f t="shared" si="175"/>
        <v>36.353240081162596</v>
      </c>
      <c r="G441" s="327">
        <f t="shared" si="176"/>
        <v>0</v>
      </c>
      <c r="H441" s="328" t="str">
        <f t="shared" si="200"/>
        <v>E</v>
      </c>
      <c r="I441" s="325" t="s">
        <v>1545</v>
      </c>
      <c r="J441" s="329" t="str">
        <f>IF(B441&lt;&gt;"",+VLOOKUP(I441,Recursos!C:F,2,FALSE),"")</f>
        <v>TORRE DE ILUMINACION</v>
      </c>
      <c r="K441" s="330" t="str">
        <f>IF(B441&lt;&gt;"",+VLOOKUP(I441,Recursos!C:F,3,FALSE),"")</f>
        <v>HR</v>
      </c>
      <c r="L441" s="327">
        <f>IF(B441&lt;&gt;"",+VLOOKUP(I441,Recursos!C:F,4,FALSE),"")</f>
        <v>323.2944</v>
      </c>
      <c r="M441" s="331">
        <v>400</v>
      </c>
      <c r="N441" s="331">
        <v>0.5</v>
      </c>
      <c r="O441" s="332">
        <v>1.25E-3</v>
      </c>
      <c r="P441" s="333">
        <f t="shared" si="201"/>
        <v>0.40411799999999998</v>
      </c>
      <c r="Q441" s="327">
        <f t="shared" si="202"/>
        <v>0</v>
      </c>
      <c r="R441" s="334">
        <f t="shared" si="203"/>
        <v>0</v>
      </c>
      <c r="S441" s="335">
        <f t="shared" si="177"/>
        <v>2.5088540811625943</v>
      </c>
      <c r="T441" s="335">
        <f t="shared" si="178"/>
        <v>33.844386</v>
      </c>
      <c r="U441" s="336">
        <f t="shared" si="179"/>
        <v>0</v>
      </c>
      <c r="V441" s="336">
        <f t="shared" si="180"/>
        <v>0</v>
      </c>
      <c r="W441" s="336">
        <f t="shared" si="181"/>
        <v>0</v>
      </c>
      <c r="X441" s="336">
        <f t="shared" si="182"/>
        <v>0</v>
      </c>
      <c r="Y441" s="320"/>
      <c r="Z441" s="321" t="str">
        <f t="shared" si="186"/>
        <v>X-EXCH1100A</v>
      </c>
      <c r="AA441" s="321" t="str">
        <f t="shared" si="187"/>
        <v>X-EXCH1100E</v>
      </c>
      <c r="AB441" s="321" t="str">
        <f t="shared" si="188"/>
        <v>X-EXCH1100M</v>
      </c>
      <c r="AC441" s="321" t="str">
        <f t="shared" si="189"/>
        <v>X-EXCH1100T</v>
      </c>
      <c r="AD441" s="321" t="str">
        <f t="shared" si="190"/>
        <v>X-EXCH1100S</v>
      </c>
      <c r="AE441" s="321" t="str">
        <f t="shared" si="191"/>
        <v>X-EXCH1100X</v>
      </c>
      <c r="AF441" s="321" t="str">
        <f t="shared" si="192"/>
        <v>X-EXCH1100E</v>
      </c>
      <c r="AG441" s="321">
        <f t="shared" si="183"/>
        <v>4</v>
      </c>
      <c r="AH441" s="321">
        <f>IF(B441&lt;&gt;"",IF(H441="x",VLOOKUP(I441,'AUX-NIV3'!B:AG,32,FALSE),0),"")</f>
        <v>0</v>
      </c>
      <c r="AI441" s="321" t="str">
        <f t="shared" si="193"/>
        <v>X-EXCH1100</v>
      </c>
      <c r="AJ441" s="320"/>
      <c r="AK441" s="322">
        <f t="shared" si="184"/>
        <v>439</v>
      </c>
      <c r="AL441" s="323">
        <f t="shared" si="194"/>
        <v>442</v>
      </c>
      <c r="AM441" s="322">
        <f t="shared" si="195"/>
        <v>3</v>
      </c>
      <c r="AN441" s="380">
        <f>IF(AND(AH441&gt;0,B441&lt;&gt;""),VLOOKUP(I441,'AUX-NIV3'!$B:$AO,39,FALSE)*O441,0)</f>
        <v>0</v>
      </c>
      <c r="AO441" s="380">
        <f t="shared" si="185"/>
        <v>5.0000000000000001E-3</v>
      </c>
      <c r="AP441" s="380"/>
    </row>
    <row r="442" spans="2:42" ht="14.4" hidden="1" thickTop="1" thickBot="1">
      <c r="B442" s="324" t="s">
        <v>1348</v>
      </c>
      <c r="C442" s="325" t="s">
        <v>1349</v>
      </c>
      <c r="D442" s="326" t="s">
        <v>1160</v>
      </c>
      <c r="E442" s="327">
        <f>IF(B442&lt;&gt;"",SUMIF('AUX-NIV1'!I:I,'AUX-NIV2'!B442,'AUX-NIV1'!Q:Q),"")</f>
        <v>0</v>
      </c>
      <c r="F442" s="327">
        <f t="shared" si="175"/>
        <v>36.353240081162596</v>
      </c>
      <c r="G442" s="327">
        <f t="shared" si="176"/>
        <v>0</v>
      </c>
      <c r="H442" s="328" t="str">
        <f t="shared" si="200"/>
        <v>E</v>
      </c>
      <c r="I442" s="325" t="s">
        <v>1550</v>
      </c>
      <c r="J442" s="329" t="str">
        <f>IF(B442&lt;&gt;"",+VLOOKUP(I442,Recursos!C:F,2,FALSE),"")</f>
        <v>RETROEXCAVADORA S/CARRILES  6,0 M3</v>
      </c>
      <c r="K442" s="330" t="str">
        <f>IF(B442&lt;&gt;"",+VLOOKUP(I442,Recursos!C:F,3,FALSE),"")</f>
        <v>HR</v>
      </c>
      <c r="L442" s="327">
        <f>IF(B442&lt;&gt;"",+VLOOKUP(I442,Recursos!C:F,4,FALSE),"")</f>
        <v>13376.107200000002</v>
      </c>
      <c r="M442" s="331">
        <v>400</v>
      </c>
      <c r="N442" s="331">
        <v>1</v>
      </c>
      <c r="O442" s="332">
        <v>2.5000000000000001E-3</v>
      </c>
      <c r="P442" s="333">
        <f t="shared" si="201"/>
        <v>33.440268000000003</v>
      </c>
      <c r="Q442" s="327">
        <f t="shared" si="202"/>
        <v>0</v>
      </c>
      <c r="R442" s="334">
        <f t="shared" si="203"/>
        <v>0</v>
      </c>
      <c r="S442" s="335">
        <f t="shared" si="177"/>
        <v>2.5088540811625943</v>
      </c>
      <c r="T442" s="335">
        <f t="shared" si="178"/>
        <v>33.844386</v>
      </c>
      <c r="U442" s="336">
        <f t="shared" si="179"/>
        <v>0</v>
      </c>
      <c r="V442" s="336">
        <f t="shared" si="180"/>
        <v>0</v>
      </c>
      <c r="W442" s="336">
        <f t="shared" si="181"/>
        <v>0</v>
      </c>
      <c r="X442" s="336">
        <f t="shared" si="182"/>
        <v>0</v>
      </c>
      <c r="Y442" s="320"/>
      <c r="Z442" s="321" t="str">
        <f t="shared" si="186"/>
        <v>X-EXCH1100A</v>
      </c>
      <c r="AA442" s="321" t="str">
        <f t="shared" si="187"/>
        <v>X-EXCH1100E</v>
      </c>
      <c r="AB442" s="321" t="str">
        <f t="shared" si="188"/>
        <v>X-EXCH1100M</v>
      </c>
      <c r="AC442" s="321" t="str">
        <f t="shared" si="189"/>
        <v>X-EXCH1100T</v>
      </c>
      <c r="AD442" s="321" t="str">
        <f t="shared" si="190"/>
        <v>X-EXCH1100S</v>
      </c>
      <c r="AE442" s="321" t="str">
        <f t="shared" si="191"/>
        <v>X-EXCH1100X</v>
      </c>
      <c r="AF442" s="321" t="str">
        <f t="shared" si="192"/>
        <v>X-EXCH1100E</v>
      </c>
      <c r="AG442" s="321">
        <f t="shared" si="183"/>
        <v>4</v>
      </c>
      <c r="AH442" s="321">
        <f>IF(B442&lt;&gt;"",IF(H442="x",VLOOKUP(I442,'AUX-NIV3'!B:AG,32,FALSE),0),"")</f>
        <v>0</v>
      </c>
      <c r="AI442" s="321" t="str">
        <f t="shared" si="193"/>
        <v>X-EXCH1100</v>
      </c>
      <c r="AJ442" s="320"/>
      <c r="AK442" s="322">
        <f t="shared" si="184"/>
        <v>439</v>
      </c>
      <c r="AL442" s="323">
        <f t="shared" si="194"/>
        <v>442</v>
      </c>
      <c r="AM442" s="322">
        <f t="shared" si="195"/>
        <v>4</v>
      </c>
      <c r="AN442" s="380">
        <f>IF(AND(AH442&gt;0,B442&lt;&gt;""),VLOOKUP(I442,'AUX-NIV3'!$B:$AO,39,FALSE)*O442,0)</f>
        <v>0</v>
      </c>
      <c r="AO442" s="380">
        <f t="shared" si="185"/>
        <v>5.0000000000000001E-3</v>
      </c>
      <c r="AP442" s="380"/>
    </row>
    <row r="443" spans="2:42" ht="14.4" hidden="1" thickTop="1" thickBot="1">
      <c r="B443" s="324" t="s">
        <v>1350</v>
      </c>
      <c r="C443" s="325" t="s">
        <v>1351</v>
      </c>
      <c r="D443" s="326" t="s">
        <v>1160</v>
      </c>
      <c r="E443" s="327">
        <f>IF(B443&lt;&gt;"",SUMIF('AUX-NIV1'!I:I,'AUX-NIV2'!B443,'AUX-NIV1'!Q:Q),"")</f>
        <v>0</v>
      </c>
      <c r="F443" s="327">
        <f t="shared" si="175"/>
        <v>303.25522042185719</v>
      </c>
      <c r="G443" s="327">
        <f t="shared" si="176"/>
        <v>0</v>
      </c>
      <c r="H443" s="328" t="str">
        <f t="shared" si="200"/>
        <v>A</v>
      </c>
      <c r="I443" s="325" t="s">
        <v>1745</v>
      </c>
      <c r="J443" s="329" t="str">
        <f>IF(B443&lt;&gt;"",+VLOOKUP(I443,Recursos!C:F,2,FALSE),"")</f>
        <v>AYUDANTE</v>
      </c>
      <c r="K443" s="330" t="str">
        <f>IF(B443&lt;&gt;"",+VLOOKUP(I443,Recursos!C:F,3,FALSE),"")</f>
        <v>hh</v>
      </c>
      <c r="L443" s="327">
        <f>IF(B443&lt;&gt;"",+VLOOKUP(I443,Recursos!C:F,4,FALSE),"")</f>
        <v>422.48042769667234</v>
      </c>
      <c r="M443" s="331">
        <v>33.333333333333336</v>
      </c>
      <c r="N443" s="331">
        <v>2</v>
      </c>
      <c r="O443" s="332">
        <v>0.06</v>
      </c>
      <c r="P443" s="333">
        <f t="shared" si="201"/>
        <v>25.34882566180034</v>
      </c>
      <c r="Q443" s="327">
        <f t="shared" si="202"/>
        <v>0</v>
      </c>
      <c r="R443" s="334">
        <f t="shared" si="203"/>
        <v>0</v>
      </c>
      <c r="S443" s="335">
        <f t="shared" si="177"/>
        <v>73.28637505519049</v>
      </c>
      <c r="T443" s="335">
        <f t="shared" si="178"/>
        <v>229.81884536666669</v>
      </c>
      <c r="U443" s="336">
        <f t="shared" si="179"/>
        <v>0.15</v>
      </c>
      <c r="V443" s="336">
        <f t="shared" si="180"/>
        <v>0</v>
      </c>
      <c r="W443" s="336">
        <f t="shared" si="181"/>
        <v>0</v>
      </c>
      <c r="X443" s="336">
        <f t="shared" si="182"/>
        <v>0</v>
      </c>
      <c r="Y443" s="320"/>
      <c r="Z443" s="321" t="str">
        <f t="shared" si="186"/>
        <v>X-DCARCILLAA</v>
      </c>
      <c r="AA443" s="321" t="str">
        <f t="shared" si="187"/>
        <v>X-DCARCILLAE</v>
      </c>
      <c r="AB443" s="321" t="str">
        <f t="shared" si="188"/>
        <v>X-DCARCILLAM</v>
      </c>
      <c r="AC443" s="321" t="str">
        <f t="shared" si="189"/>
        <v>X-DCARCILLAT</v>
      </c>
      <c r="AD443" s="321" t="str">
        <f t="shared" si="190"/>
        <v>X-DCARCILLAS</v>
      </c>
      <c r="AE443" s="321" t="str">
        <f t="shared" si="191"/>
        <v>X-DCARCILLAX</v>
      </c>
      <c r="AF443" s="321" t="str">
        <f t="shared" si="192"/>
        <v>X-DCARCILLAA</v>
      </c>
      <c r="AG443" s="321">
        <f t="shared" si="183"/>
        <v>8</v>
      </c>
      <c r="AH443" s="321">
        <f>IF(B443&lt;&gt;"",IF(H443="x",VLOOKUP(I443,'AUX-NIV3'!B:AG,32,FALSE),0),"")</f>
        <v>0</v>
      </c>
      <c r="AI443" s="321" t="str">
        <f t="shared" si="193"/>
        <v>X-DCARCILLA</v>
      </c>
      <c r="AJ443" s="320"/>
      <c r="AK443" s="322">
        <f t="shared" si="184"/>
        <v>443</v>
      </c>
      <c r="AL443" s="323">
        <f t="shared" si="194"/>
        <v>450</v>
      </c>
      <c r="AM443" s="322">
        <f t="shared" si="195"/>
        <v>1</v>
      </c>
      <c r="AN443" s="380">
        <f>IF(AND(AH443&gt;0,B443&lt;&gt;""),VLOOKUP(I443,'AUX-NIV3'!$B:$AO,39,FALSE)*O443,0)</f>
        <v>0</v>
      </c>
      <c r="AO443" s="380">
        <f t="shared" si="185"/>
        <v>0.14250000000000002</v>
      </c>
      <c r="AP443" s="380"/>
    </row>
    <row r="444" spans="2:42" ht="14.4" hidden="1" thickTop="1" thickBot="1">
      <c r="B444" s="324" t="s">
        <v>1350</v>
      </c>
      <c r="C444" s="325" t="s">
        <v>1351</v>
      </c>
      <c r="D444" s="326" t="s">
        <v>1160</v>
      </c>
      <c r="E444" s="327">
        <f>IF(B444&lt;&gt;"",SUMIF('AUX-NIV1'!I:I,'AUX-NIV2'!B444,'AUX-NIV1'!Q:Q),"")</f>
        <v>0</v>
      </c>
      <c r="F444" s="327">
        <f t="shared" si="175"/>
        <v>303.25522042185719</v>
      </c>
      <c r="G444" s="327">
        <f t="shared" si="176"/>
        <v>0</v>
      </c>
      <c r="H444" s="328" t="str">
        <f t="shared" si="200"/>
        <v>A</v>
      </c>
      <c r="I444" s="325" t="s">
        <v>3311</v>
      </c>
      <c r="J444" s="329" t="str">
        <f>IF(B444&lt;&gt;"",+VLOOKUP(I444,Recursos!C:F,2,FALSE),"")</f>
        <v>OPER. EQUIPO</v>
      </c>
      <c r="K444" s="330" t="str">
        <f>IF(B444&lt;&gt;"",+VLOOKUP(I444,Recursos!C:F,3,FALSE),"")</f>
        <v>hh</v>
      </c>
      <c r="L444" s="327">
        <f>IF(B444&lt;&gt;"",+VLOOKUP(I444,Recursos!C:F,4,FALSE),"")</f>
        <v>581.06120476836554</v>
      </c>
      <c r="M444" s="331">
        <v>6.6000000000000003E-2</v>
      </c>
      <c r="N444" s="331">
        <v>1.25</v>
      </c>
      <c r="O444" s="332">
        <v>8.2500000000000004E-2</v>
      </c>
      <c r="P444" s="333">
        <f t="shared" si="201"/>
        <v>47.937549393390157</v>
      </c>
      <c r="Q444" s="327">
        <f t="shared" si="202"/>
        <v>0</v>
      </c>
      <c r="R444" s="334">
        <f t="shared" si="203"/>
        <v>0</v>
      </c>
      <c r="S444" s="335">
        <f t="shared" si="177"/>
        <v>73.28637505519049</v>
      </c>
      <c r="T444" s="335">
        <f t="shared" si="178"/>
        <v>229.81884536666669</v>
      </c>
      <c r="U444" s="336">
        <f t="shared" si="179"/>
        <v>0.15</v>
      </c>
      <c r="V444" s="336">
        <f t="shared" si="180"/>
        <v>0</v>
      </c>
      <c r="W444" s="336">
        <f t="shared" si="181"/>
        <v>0</v>
      </c>
      <c r="X444" s="336">
        <f t="shared" si="182"/>
        <v>0</v>
      </c>
      <c r="Y444" s="320"/>
      <c r="Z444" s="321" t="str">
        <f t="shared" si="186"/>
        <v>X-DCARCILLAA</v>
      </c>
      <c r="AA444" s="321" t="str">
        <f t="shared" si="187"/>
        <v>X-DCARCILLAE</v>
      </c>
      <c r="AB444" s="321" t="str">
        <f t="shared" si="188"/>
        <v>X-DCARCILLAM</v>
      </c>
      <c r="AC444" s="321" t="str">
        <f t="shared" si="189"/>
        <v>X-DCARCILLAT</v>
      </c>
      <c r="AD444" s="321" t="str">
        <f t="shared" si="190"/>
        <v>X-DCARCILLAS</v>
      </c>
      <c r="AE444" s="321" t="str">
        <f t="shared" si="191"/>
        <v>X-DCARCILLAX</v>
      </c>
      <c r="AF444" s="321" t="str">
        <f t="shared" si="192"/>
        <v>X-DCARCILLAA</v>
      </c>
      <c r="AG444" s="321">
        <f t="shared" si="183"/>
        <v>8</v>
      </c>
      <c r="AH444" s="321">
        <f>IF(B444&lt;&gt;"",IF(H444="x",VLOOKUP(I444,'AUX-NIV3'!B:AG,32,FALSE),0),"")</f>
        <v>0</v>
      </c>
      <c r="AI444" s="321" t="str">
        <f t="shared" si="193"/>
        <v>X-DCARCILLA</v>
      </c>
      <c r="AJ444" s="320"/>
      <c r="AK444" s="322">
        <f t="shared" si="184"/>
        <v>443</v>
      </c>
      <c r="AL444" s="323">
        <f t="shared" si="194"/>
        <v>450</v>
      </c>
      <c r="AM444" s="322">
        <f t="shared" si="195"/>
        <v>2</v>
      </c>
      <c r="AN444" s="380">
        <f>IF(AND(AH444&gt;0,B444&lt;&gt;""),VLOOKUP(I444,'AUX-NIV3'!$B:$AO,39,FALSE)*O444,0)</f>
        <v>0</v>
      </c>
      <c r="AO444" s="380">
        <f t="shared" si="185"/>
        <v>0.14250000000000002</v>
      </c>
      <c r="AP444" s="380"/>
    </row>
    <row r="445" spans="2:42" ht="14.4" hidden="1" thickTop="1" thickBot="1">
      <c r="B445" s="324" t="s">
        <v>1350</v>
      </c>
      <c r="C445" s="325" t="s">
        <v>1351</v>
      </c>
      <c r="D445" s="326" t="s">
        <v>1160</v>
      </c>
      <c r="E445" s="327">
        <f>IF(B445&lt;&gt;"",SUMIF('AUX-NIV1'!I:I,'AUX-NIV2'!B445,'AUX-NIV1'!Q:Q),"")</f>
        <v>0</v>
      </c>
      <c r="F445" s="327">
        <f t="shared" si="175"/>
        <v>303.25522042185719</v>
      </c>
      <c r="G445" s="327">
        <f t="shared" si="176"/>
        <v>0</v>
      </c>
      <c r="H445" s="328" t="str">
        <f t="shared" si="200"/>
        <v>E</v>
      </c>
      <c r="I445" s="325" t="s">
        <v>1648</v>
      </c>
      <c r="J445" s="329" t="str">
        <f>IF(B445&lt;&gt;"",+VLOOKUP(I445,Recursos!C:F,2,FALSE),"")</f>
        <v>Rodillo Pata de Cabra tipo CA-25</v>
      </c>
      <c r="K445" s="330" t="str">
        <f>IF(B445&lt;&gt;"",+VLOOKUP(I445,Recursos!C:F,3,FALSE),"")</f>
        <v>HR</v>
      </c>
      <c r="L445" s="327">
        <f>IF(B445&lt;&gt;"",+VLOOKUP(I445,Recursos!C:F,4,FALSE),"")</f>
        <v>2505.5493333333334</v>
      </c>
      <c r="M445" s="331">
        <v>0.02</v>
      </c>
      <c r="N445" s="331">
        <v>1</v>
      </c>
      <c r="O445" s="332">
        <v>0.02</v>
      </c>
      <c r="P445" s="333">
        <f t="shared" si="201"/>
        <v>50.110986666666669</v>
      </c>
      <c r="Q445" s="327">
        <f t="shared" si="202"/>
        <v>0</v>
      </c>
      <c r="R445" s="334">
        <f t="shared" si="203"/>
        <v>0</v>
      </c>
      <c r="S445" s="335">
        <f t="shared" si="177"/>
        <v>73.28637505519049</v>
      </c>
      <c r="T445" s="335">
        <f t="shared" si="178"/>
        <v>229.81884536666669</v>
      </c>
      <c r="U445" s="336">
        <f t="shared" si="179"/>
        <v>0.15</v>
      </c>
      <c r="V445" s="336">
        <f t="shared" si="180"/>
        <v>0</v>
      </c>
      <c r="W445" s="336">
        <f t="shared" si="181"/>
        <v>0</v>
      </c>
      <c r="X445" s="336">
        <f t="shared" si="182"/>
        <v>0</v>
      </c>
      <c r="Y445" s="320"/>
      <c r="Z445" s="321" t="str">
        <f t="shared" si="186"/>
        <v>X-DCARCILLAA</v>
      </c>
      <c r="AA445" s="321" t="str">
        <f t="shared" si="187"/>
        <v>X-DCARCILLAE</v>
      </c>
      <c r="AB445" s="321" t="str">
        <f t="shared" si="188"/>
        <v>X-DCARCILLAM</v>
      </c>
      <c r="AC445" s="321" t="str">
        <f t="shared" si="189"/>
        <v>X-DCARCILLAT</v>
      </c>
      <c r="AD445" s="321" t="str">
        <f t="shared" si="190"/>
        <v>X-DCARCILLAS</v>
      </c>
      <c r="AE445" s="321" t="str">
        <f t="shared" si="191"/>
        <v>X-DCARCILLAX</v>
      </c>
      <c r="AF445" s="321" t="str">
        <f t="shared" si="192"/>
        <v>X-DCARCILLAE</v>
      </c>
      <c r="AG445" s="321">
        <f t="shared" si="183"/>
        <v>8</v>
      </c>
      <c r="AH445" s="321">
        <f>IF(B445&lt;&gt;"",IF(H445="x",VLOOKUP(I445,'AUX-NIV3'!B:AG,32,FALSE),0),"")</f>
        <v>0</v>
      </c>
      <c r="AI445" s="321" t="str">
        <f t="shared" si="193"/>
        <v>X-DCARCILLA</v>
      </c>
      <c r="AJ445" s="320"/>
      <c r="AK445" s="322">
        <f t="shared" si="184"/>
        <v>443</v>
      </c>
      <c r="AL445" s="323">
        <f t="shared" si="194"/>
        <v>450</v>
      </c>
      <c r="AM445" s="322">
        <f t="shared" si="195"/>
        <v>3</v>
      </c>
      <c r="AN445" s="380">
        <f>IF(AND(AH445&gt;0,B445&lt;&gt;""),VLOOKUP(I445,'AUX-NIV3'!$B:$AO,39,FALSE)*O445,0)</f>
        <v>0</v>
      </c>
      <c r="AO445" s="380">
        <f t="shared" si="185"/>
        <v>0.14250000000000002</v>
      </c>
      <c r="AP445" s="380"/>
    </row>
    <row r="446" spans="2:42" ht="14.4" hidden="1" thickTop="1" thickBot="1">
      <c r="B446" s="324" t="s">
        <v>1350</v>
      </c>
      <c r="C446" s="325" t="s">
        <v>1351</v>
      </c>
      <c r="D446" s="326" t="s">
        <v>1160</v>
      </c>
      <c r="E446" s="327">
        <f>IF(B446&lt;&gt;"",SUMIF('AUX-NIV1'!I:I,'AUX-NIV2'!B446,'AUX-NIV1'!Q:Q),"")</f>
        <v>0</v>
      </c>
      <c r="F446" s="327">
        <f t="shared" si="175"/>
        <v>303.25522042185719</v>
      </c>
      <c r="G446" s="327">
        <f t="shared" si="176"/>
        <v>0</v>
      </c>
      <c r="H446" s="328" t="str">
        <f t="shared" si="200"/>
        <v>E</v>
      </c>
      <c r="I446" s="325" t="s">
        <v>1547</v>
      </c>
      <c r="J446" s="329" t="str">
        <f>IF(B446&lt;&gt;"",+VLOOKUP(I446,Recursos!C:F,2,FALSE),"")</f>
        <v>MOTONIVELADORA 14" (21 T)</v>
      </c>
      <c r="K446" s="330" t="str">
        <f>IF(B446&lt;&gt;"",+VLOOKUP(I446,Recursos!C:F,3,FALSE),"")</f>
        <v>HR</v>
      </c>
      <c r="L446" s="327">
        <f>IF(B446&lt;&gt;"",+VLOOKUP(I446,Recursos!C:F,4,FALSE),"")</f>
        <v>6194.8620000000001</v>
      </c>
      <c r="M446" s="331">
        <v>0.02</v>
      </c>
      <c r="N446" s="331">
        <v>1</v>
      </c>
      <c r="O446" s="332">
        <v>0.02</v>
      </c>
      <c r="P446" s="333">
        <f t="shared" si="201"/>
        <v>123.89724000000001</v>
      </c>
      <c r="Q446" s="327">
        <f t="shared" si="202"/>
        <v>0</v>
      </c>
      <c r="R446" s="334">
        <f t="shared" si="203"/>
        <v>0</v>
      </c>
      <c r="S446" s="335">
        <f t="shared" si="177"/>
        <v>73.28637505519049</v>
      </c>
      <c r="T446" s="335">
        <f t="shared" si="178"/>
        <v>229.81884536666669</v>
      </c>
      <c r="U446" s="336">
        <f t="shared" si="179"/>
        <v>0.15</v>
      </c>
      <c r="V446" s="336">
        <f t="shared" si="180"/>
        <v>0</v>
      </c>
      <c r="W446" s="336">
        <f t="shared" si="181"/>
        <v>0</v>
      </c>
      <c r="X446" s="336">
        <f t="shared" si="182"/>
        <v>0</v>
      </c>
      <c r="Y446" s="320"/>
      <c r="Z446" s="321" t="str">
        <f t="shared" si="186"/>
        <v>X-DCARCILLAA</v>
      </c>
      <c r="AA446" s="321" t="str">
        <f t="shared" si="187"/>
        <v>X-DCARCILLAE</v>
      </c>
      <c r="AB446" s="321" t="str">
        <f t="shared" si="188"/>
        <v>X-DCARCILLAM</v>
      </c>
      <c r="AC446" s="321" t="str">
        <f t="shared" si="189"/>
        <v>X-DCARCILLAT</v>
      </c>
      <c r="AD446" s="321" t="str">
        <f t="shared" si="190"/>
        <v>X-DCARCILLAS</v>
      </c>
      <c r="AE446" s="321" t="str">
        <f t="shared" si="191"/>
        <v>X-DCARCILLAX</v>
      </c>
      <c r="AF446" s="321" t="str">
        <f t="shared" si="192"/>
        <v>X-DCARCILLAE</v>
      </c>
      <c r="AG446" s="321">
        <f t="shared" si="183"/>
        <v>8</v>
      </c>
      <c r="AH446" s="321">
        <f>IF(B446&lt;&gt;"",IF(H446="x",VLOOKUP(I446,'AUX-NIV3'!B:AG,32,FALSE),0),"")</f>
        <v>0</v>
      </c>
      <c r="AI446" s="321" t="str">
        <f t="shared" si="193"/>
        <v>X-DCARCILLA</v>
      </c>
      <c r="AJ446" s="320"/>
      <c r="AK446" s="322">
        <f t="shared" si="184"/>
        <v>443</v>
      </c>
      <c r="AL446" s="323">
        <f t="shared" si="194"/>
        <v>450</v>
      </c>
      <c r="AM446" s="322">
        <f t="shared" si="195"/>
        <v>4</v>
      </c>
      <c r="AN446" s="380">
        <f>IF(AND(AH446&gt;0,B446&lt;&gt;""),VLOOKUP(I446,'AUX-NIV3'!$B:$AO,39,FALSE)*O446,0)</f>
        <v>0</v>
      </c>
      <c r="AO446" s="380">
        <f t="shared" si="185"/>
        <v>0.14250000000000002</v>
      </c>
      <c r="AP446" s="380"/>
    </row>
    <row r="447" spans="2:42" ht="14.4" hidden="1" thickTop="1" thickBot="1">
      <c r="B447" s="324" t="s">
        <v>1350</v>
      </c>
      <c r="C447" s="325" t="s">
        <v>1351</v>
      </c>
      <c r="D447" s="326" t="s">
        <v>1160</v>
      </c>
      <c r="E447" s="327">
        <f>IF(B447&lt;&gt;"",SUMIF('AUX-NIV1'!I:I,'AUX-NIV2'!B447,'AUX-NIV1'!Q:Q),"")</f>
        <v>0</v>
      </c>
      <c r="F447" s="327">
        <f t="shared" si="175"/>
        <v>303.25522042185719</v>
      </c>
      <c r="G447" s="327">
        <f t="shared" si="176"/>
        <v>0</v>
      </c>
      <c r="H447" s="328" t="str">
        <f t="shared" si="200"/>
        <v>E</v>
      </c>
      <c r="I447" s="325" t="s">
        <v>1569</v>
      </c>
      <c r="J447" s="329" t="str">
        <f>IF(B447&lt;&gt;"",+VLOOKUP(I447,Recursos!C:F,2,FALSE),"")</f>
        <v>COMPACTADOR NEUMAT.AUTOPROP.(22 T)</v>
      </c>
      <c r="K447" s="330" t="str">
        <f>IF(B447&lt;&gt;"",+VLOOKUP(I447,Recursos!C:F,3,FALSE),"")</f>
        <v>HR</v>
      </c>
      <c r="L447" s="327">
        <f>IF(B447&lt;&gt;"",+VLOOKUP(I447,Recursos!C:F,4,FALSE),"")</f>
        <v>1797.6897833333335</v>
      </c>
      <c r="M447" s="331">
        <v>33.333333333333336</v>
      </c>
      <c r="N447" s="331">
        <v>0.2</v>
      </c>
      <c r="O447" s="332">
        <v>6.0000000000000001E-3</v>
      </c>
      <c r="P447" s="333">
        <f t="shared" si="201"/>
        <v>10.7861387</v>
      </c>
      <c r="Q447" s="327">
        <f t="shared" si="202"/>
        <v>0</v>
      </c>
      <c r="R447" s="334">
        <f t="shared" si="203"/>
        <v>0</v>
      </c>
      <c r="S447" s="335">
        <f t="shared" si="177"/>
        <v>73.28637505519049</v>
      </c>
      <c r="T447" s="335">
        <f t="shared" si="178"/>
        <v>229.81884536666669</v>
      </c>
      <c r="U447" s="336">
        <f t="shared" si="179"/>
        <v>0.15</v>
      </c>
      <c r="V447" s="336">
        <f t="shared" si="180"/>
        <v>0</v>
      </c>
      <c r="W447" s="336">
        <f t="shared" si="181"/>
        <v>0</v>
      </c>
      <c r="X447" s="336">
        <f t="shared" si="182"/>
        <v>0</v>
      </c>
      <c r="Y447" s="320"/>
      <c r="Z447" s="321" t="str">
        <f t="shared" si="186"/>
        <v>X-DCARCILLAA</v>
      </c>
      <c r="AA447" s="321" t="str">
        <f t="shared" si="187"/>
        <v>X-DCARCILLAE</v>
      </c>
      <c r="AB447" s="321" t="str">
        <f t="shared" si="188"/>
        <v>X-DCARCILLAM</v>
      </c>
      <c r="AC447" s="321" t="str">
        <f t="shared" si="189"/>
        <v>X-DCARCILLAT</v>
      </c>
      <c r="AD447" s="321" t="str">
        <f t="shared" si="190"/>
        <v>X-DCARCILLAS</v>
      </c>
      <c r="AE447" s="321" t="str">
        <f t="shared" si="191"/>
        <v>X-DCARCILLAX</v>
      </c>
      <c r="AF447" s="321" t="str">
        <f t="shared" si="192"/>
        <v>X-DCARCILLAE</v>
      </c>
      <c r="AG447" s="321">
        <f t="shared" si="183"/>
        <v>8</v>
      </c>
      <c r="AH447" s="321">
        <f>IF(B447&lt;&gt;"",IF(H447="x",VLOOKUP(I447,'AUX-NIV3'!B:AG,32,FALSE),0),"")</f>
        <v>0</v>
      </c>
      <c r="AI447" s="321" t="str">
        <f t="shared" si="193"/>
        <v>X-DCARCILLA</v>
      </c>
      <c r="AJ447" s="320"/>
      <c r="AK447" s="322">
        <f t="shared" si="184"/>
        <v>443</v>
      </c>
      <c r="AL447" s="323">
        <f t="shared" si="194"/>
        <v>450</v>
      </c>
      <c r="AM447" s="322">
        <f t="shared" si="195"/>
        <v>5</v>
      </c>
      <c r="AN447" s="380">
        <f>IF(AND(AH447&gt;0,B447&lt;&gt;""),VLOOKUP(I447,'AUX-NIV3'!$B:$AO,39,FALSE)*O447,0)</f>
        <v>0</v>
      </c>
      <c r="AO447" s="380">
        <f t="shared" si="185"/>
        <v>0.14250000000000002</v>
      </c>
      <c r="AP447" s="380"/>
    </row>
    <row r="448" spans="2:42" ht="14.4" hidden="1" thickTop="1" thickBot="1">
      <c r="B448" s="324" t="s">
        <v>1350</v>
      </c>
      <c r="C448" s="325" t="s">
        <v>1351</v>
      </c>
      <c r="D448" s="326" t="s">
        <v>1160</v>
      </c>
      <c r="E448" s="327">
        <f>IF(B448&lt;&gt;"",SUMIF('AUX-NIV1'!I:I,'AUX-NIV2'!B448,'AUX-NIV1'!Q:Q),"")</f>
        <v>0</v>
      </c>
      <c r="F448" s="327">
        <f t="shared" si="175"/>
        <v>303.25522042185719</v>
      </c>
      <c r="G448" s="327">
        <f t="shared" si="176"/>
        <v>0</v>
      </c>
      <c r="H448" s="328" t="str">
        <f t="shared" si="200"/>
        <v>E</v>
      </c>
      <c r="I448" s="325" t="s">
        <v>1649</v>
      </c>
      <c r="J448" s="329" t="str">
        <f>IF(B448&lt;&gt;"",+VLOOKUP(I448,Recursos!C:F,2,FALSE),"")</f>
        <v>TRACTOR DE ARRASTE CON RASTRA</v>
      </c>
      <c r="K448" s="330" t="str">
        <f>IF(B448&lt;&gt;"",+VLOOKUP(I448,Recursos!C:F,3,FALSE),"")</f>
        <v>HR</v>
      </c>
      <c r="L448" s="327">
        <f>IF(B448&lt;&gt;"",+VLOOKUP(I448,Recursos!C:F,4,FALSE),"")</f>
        <v>2128.7640000000001</v>
      </c>
      <c r="M448" s="331">
        <v>50</v>
      </c>
      <c r="N448" s="331">
        <v>1</v>
      </c>
      <c r="O448" s="332">
        <v>0.02</v>
      </c>
      <c r="P448" s="333">
        <f t="shared" si="201"/>
        <v>42.575280000000006</v>
      </c>
      <c r="Q448" s="327">
        <f t="shared" si="202"/>
        <v>0</v>
      </c>
      <c r="R448" s="334">
        <f t="shared" si="203"/>
        <v>0</v>
      </c>
      <c r="S448" s="335">
        <f t="shared" si="177"/>
        <v>73.28637505519049</v>
      </c>
      <c r="T448" s="335">
        <f t="shared" si="178"/>
        <v>229.81884536666669</v>
      </c>
      <c r="U448" s="336">
        <f t="shared" si="179"/>
        <v>0.15</v>
      </c>
      <c r="V448" s="336">
        <f t="shared" si="180"/>
        <v>0</v>
      </c>
      <c r="W448" s="336">
        <f t="shared" si="181"/>
        <v>0</v>
      </c>
      <c r="X448" s="336">
        <f t="shared" si="182"/>
        <v>0</v>
      </c>
      <c r="Y448" s="320"/>
      <c r="Z448" s="321" t="str">
        <f t="shared" si="186"/>
        <v>X-DCARCILLAA</v>
      </c>
      <c r="AA448" s="321" t="str">
        <f t="shared" si="187"/>
        <v>X-DCARCILLAE</v>
      </c>
      <c r="AB448" s="321" t="str">
        <f t="shared" si="188"/>
        <v>X-DCARCILLAM</v>
      </c>
      <c r="AC448" s="321" t="str">
        <f t="shared" si="189"/>
        <v>X-DCARCILLAT</v>
      </c>
      <c r="AD448" s="321" t="str">
        <f t="shared" si="190"/>
        <v>X-DCARCILLAS</v>
      </c>
      <c r="AE448" s="321" t="str">
        <f t="shared" si="191"/>
        <v>X-DCARCILLAX</v>
      </c>
      <c r="AF448" s="321" t="str">
        <f t="shared" si="192"/>
        <v>X-DCARCILLAE</v>
      </c>
      <c r="AG448" s="321">
        <f t="shared" si="183"/>
        <v>8</v>
      </c>
      <c r="AH448" s="321">
        <f>IF(B448&lt;&gt;"",IF(H448="x",VLOOKUP(I448,'AUX-NIV3'!B:AG,32,FALSE),0),"")</f>
        <v>0</v>
      </c>
      <c r="AI448" s="321" t="str">
        <f t="shared" si="193"/>
        <v>X-DCARCILLA</v>
      </c>
      <c r="AJ448" s="320"/>
      <c r="AK448" s="322">
        <f t="shared" si="184"/>
        <v>443</v>
      </c>
      <c r="AL448" s="323">
        <f t="shared" si="194"/>
        <v>450</v>
      </c>
      <c r="AM448" s="322">
        <f t="shared" si="195"/>
        <v>6</v>
      </c>
      <c r="AN448" s="380">
        <f>IF(AND(AH448&gt;0,B448&lt;&gt;""),VLOOKUP(I448,'AUX-NIV3'!$B:$AO,39,FALSE)*O448,0)</f>
        <v>0</v>
      </c>
      <c r="AO448" s="380">
        <f t="shared" si="185"/>
        <v>0.14250000000000002</v>
      </c>
      <c r="AP448" s="380"/>
    </row>
    <row r="449" spans="2:42" ht="14.4" hidden="1" thickTop="1" thickBot="1">
      <c r="B449" s="324" t="s">
        <v>1350</v>
      </c>
      <c r="C449" s="325" t="s">
        <v>1351</v>
      </c>
      <c r="D449" s="326" t="s">
        <v>1160</v>
      </c>
      <c r="E449" s="327">
        <f>IF(B449&lt;&gt;"",SUMIF('AUX-NIV1'!I:I,'AUX-NIV2'!B449,'AUX-NIV1'!Q:Q),"")</f>
        <v>0</v>
      </c>
      <c r="F449" s="327">
        <f t="shared" si="175"/>
        <v>303.25522042185719</v>
      </c>
      <c r="G449" s="327">
        <f t="shared" si="176"/>
        <v>0</v>
      </c>
      <c r="H449" s="328" t="str">
        <f t="shared" si="200"/>
        <v>E</v>
      </c>
      <c r="I449" s="325" t="s">
        <v>1650</v>
      </c>
      <c r="J449" s="329" t="str">
        <f>IF(B449&lt;&gt;"",+VLOOKUP(I449,Recursos!C:F,2,FALSE),"")</f>
        <v>RASTRA DE 16 DISCOS</v>
      </c>
      <c r="K449" s="330" t="str">
        <f>IF(B449&lt;&gt;"",+VLOOKUP(I449,Recursos!C:F,3,FALSE),"")</f>
        <v>HR</v>
      </c>
      <c r="L449" s="327">
        <f>IF(B449&lt;&gt;"",+VLOOKUP(I449,Recursos!C:F,4,FALSE),"")</f>
        <v>122.46000000000001</v>
      </c>
      <c r="M449" s="331">
        <v>50</v>
      </c>
      <c r="N449" s="331">
        <v>1</v>
      </c>
      <c r="O449" s="332">
        <v>0.02</v>
      </c>
      <c r="P449" s="333">
        <f t="shared" si="201"/>
        <v>2.4492000000000003</v>
      </c>
      <c r="Q449" s="327">
        <f t="shared" si="202"/>
        <v>0</v>
      </c>
      <c r="R449" s="334">
        <f t="shared" si="203"/>
        <v>0</v>
      </c>
      <c r="S449" s="335">
        <f t="shared" si="177"/>
        <v>73.28637505519049</v>
      </c>
      <c r="T449" s="335">
        <f t="shared" si="178"/>
        <v>229.81884536666669</v>
      </c>
      <c r="U449" s="336">
        <f t="shared" si="179"/>
        <v>0.15</v>
      </c>
      <c r="V449" s="336">
        <f t="shared" si="180"/>
        <v>0</v>
      </c>
      <c r="W449" s="336">
        <f t="shared" si="181"/>
        <v>0</v>
      </c>
      <c r="X449" s="336">
        <f t="shared" si="182"/>
        <v>0</v>
      </c>
      <c r="Y449" s="320"/>
      <c r="Z449" s="321" t="str">
        <f t="shared" si="186"/>
        <v>X-DCARCILLAA</v>
      </c>
      <c r="AA449" s="321" t="str">
        <f t="shared" si="187"/>
        <v>X-DCARCILLAE</v>
      </c>
      <c r="AB449" s="321" t="str">
        <f t="shared" si="188"/>
        <v>X-DCARCILLAM</v>
      </c>
      <c r="AC449" s="321" t="str">
        <f t="shared" si="189"/>
        <v>X-DCARCILLAT</v>
      </c>
      <c r="AD449" s="321" t="str">
        <f t="shared" si="190"/>
        <v>X-DCARCILLAS</v>
      </c>
      <c r="AE449" s="321" t="str">
        <f t="shared" si="191"/>
        <v>X-DCARCILLAX</v>
      </c>
      <c r="AF449" s="321" t="str">
        <f t="shared" si="192"/>
        <v>X-DCARCILLAE</v>
      </c>
      <c r="AG449" s="321">
        <f t="shared" si="183"/>
        <v>8</v>
      </c>
      <c r="AH449" s="321">
        <f>IF(B449&lt;&gt;"",IF(H449="x",VLOOKUP(I449,'AUX-NIV3'!B:AG,32,FALSE),0),"")</f>
        <v>0</v>
      </c>
      <c r="AI449" s="321" t="str">
        <f t="shared" si="193"/>
        <v>X-DCARCILLA</v>
      </c>
      <c r="AJ449" s="320"/>
      <c r="AK449" s="322">
        <f t="shared" si="184"/>
        <v>443</v>
      </c>
      <c r="AL449" s="323">
        <f t="shared" si="194"/>
        <v>450</v>
      </c>
      <c r="AM449" s="322">
        <f t="shared" si="195"/>
        <v>7</v>
      </c>
      <c r="AN449" s="380">
        <f>IF(AND(AH449&gt;0,B449&lt;&gt;""),VLOOKUP(I449,'AUX-NIV3'!$B:$AO,39,FALSE)*O449,0)</f>
        <v>0</v>
      </c>
      <c r="AO449" s="380">
        <f t="shared" si="185"/>
        <v>0.14250000000000002</v>
      </c>
      <c r="AP449" s="380"/>
    </row>
    <row r="450" spans="2:42" ht="14.4" hidden="1" thickTop="1" thickBot="1">
      <c r="B450" s="324" t="s">
        <v>1350</v>
      </c>
      <c r="C450" s="325" t="s">
        <v>1351</v>
      </c>
      <c r="D450" s="326" t="s">
        <v>1160</v>
      </c>
      <c r="E450" s="327">
        <f>IF(B450&lt;&gt;"",SUMIF('AUX-NIV1'!I:I,'AUX-NIV2'!B450,'AUX-NIV1'!Q:Q),"")</f>
        <v>0</v>
      </c>
      <c r="F450" s="327">
        <f t="shared" si="175"/>
        <v>303.25522042185719</v>
      </c>
      <c r="G450" s="327">
        <f t="shared" si="176"/>
        <v>0</v>
      </c>
      <c r="H450" s="328" t="str">
        <f t="shared" si="200"/>
        <v>M</v>
      </c>
      <c r="I450" s="325" t="s">
        <v>621</v>
      </c>
      <c r="J450" s="329" t="str">
        <f>IF(B450&lt;&gt;"",+VLOOKUP(I450,Recursos!C:F,2,FALSE),"")</f>
        <v>MATERIALES VARIOS</v>
      </c>
      <c r="K450" s="330" t="str">
        <f>IF(B450&lt;&gt;"",+VLOOKUP(I450,Recursos!C:F,3,FALSE),"")</f>
        <v>GL</v>
      </c>
      <c r="L450" s="327">
        <f>IF(B450&lt;&gt;"",+VLOOKUP(I450,Recursos!C:F,4,FALSE),"")</f>
        <v>0.5</v>
      </c>
      <c r="M450" s="331">
        <v>1</v>
      </c>
      <c r="N450" s="331">
        <v>0.3</v>
      </c>
      <c r="O450" s="332">
        <v>0.3</v>
      </c>
      <c r="P450" s="333">
        <f t="shared" si="201"/>
        <v>0.15</v>
      </c>
      <c r="Q450" s="327">
        <f t="shared" si="202"/>
        <v>0</v>
      </c>
      <c r="R450" s="334">
        <f t="shared" si="203"/>
        <v>0</v>
      </c>
      <c r="S450" s="335">
        <f t="shared" si="177"/>
        <v>73.28637505519049</v>
      </c>
      <c r="T450" s="335">
        <f t="shared" si="178"/>
        <v>229.81884536666669</v>
      </c>
      <c r="U450" s="336">
        <f t="shared" si="179"/>
        <v>0.15</v>
      </c>
      <c r="V450" s="336">
        <f t="shared" si="180"/>
        <v>0</v>
      </c>
      <c r="W450" s="336">
        <f t="shared" si="181"/>
        <v>0</v>
      </c>
      <c r="X450" s="336">
        <f t="shared" si="182"/>
        <v>0</v>
      </c>
      <c r="Y450" s="320"/>
      <c r="Z450" s="321" t="str">
        <f t="shared" si="186"/>
        <v>X-DCARCILLAA</v>
      </c>
      <c r="AA450" s="321" t="str">
        <f t="shared" si="187"/>
        <v>X-DCARCILLAE</v>
      </c>
      <c r="AB450" s="321" t="str">
        <f t="shared" si="188"/>
        <v>X-DCARCILLAM</v>
      </c>
      <c r="AC450" s="321" t="str">
        <f t="shared" si="189"/>
        <v>X-DCARCILLAT</v>
      </c>
      <c r="AD450" s="321" t="str">
        <f t="shared" si="190"/>
        <v>X-DCARCILLAS</v>
      </c>
      <c r="AE450" s="321" t="str">
        <f t="shared" si="191"/>
        <v>X-DCARCILLAX</v>
      </c>
      <c r="AF450" s="321" t="str">
        <f t="shared" si="192"/>
        <v>X-DCARCILLAM</v>
      </c>
      <c r="AG450" s="321">
        <f t="shared" si="183"/>
        <v>8</v>
      </c>
      <c r="AH450" s="321">
        <f>IF(B450&lt;&gt;"",IF(H450="x",VLOOKUP(I450,'AUX-NIV3'!B:AG,32,FALSE),0),"")</f>
        <v>0</v>
      </c>
      <c r="AI450" s="321" t="str">
        <f t="shared" si="193"/>
        <v>X-DCARCILLA</v>
      </c>
      <c r="AJ450" s="320"/>
      <c r="AK450" s="322">
        <f t="shared" si="184"/>
        <v>443</v>
      </c>
      <c r="AL450" s="323">
        <f t="shared" si="194"/>
        <v>450</v>
      </c>
      <c r="AM450" s="322">
        <f t="shared" si="195"/>
        <v>8</v>
      </c>
      <c r="AN450" s="380">
        <f>IF(AND(AH450&gt;0,B450&lt;&gt;""),VLOOKUP(I450,'AUX-NIV3'!$B:$AO,39,FALSE)*O450,0)</f>
        <v>0</v>
      </c>
      <c r="AO450" s="380">
        <f t="shared" si="185"/>
        <v>0.14250000000000002</v>
      </c>
      <c r="AP450" s="380"/>
    </row>
    <row r="451" spans="2:42" ht="14.4" hidden="1" thickTop="1" thickBot="1">
      <c r="B451" s="324" t="s">
        <v>1352</v>
      </c>
      <c r="C451" s="325" t="s">
        <v>1353</v>
      </c>
      <c r="D451" s="326" t="s">
        <v>1160</v>
      </c>
      <c r="E451" s="327">
        <f>IF(B451&lt;&gt;"",SUMIF('AUX-NIV1'!I:I,'AUX-NIV2'!B451,'AUX-NIV1'!Q:Q),"")</f>
        <v>0</v>
      </c>
      <c r="F451" s="327">
        <f t="shared" si="175"/>
        <v>633.60122708131803</v>
      </c>
      <c r="G451" s="327">
        <f t="shared" si="176"/>
        <v>0</v>
      </c>
      <c r="H451" s="328" t="str">
        <f t="shared" si="200"/>
        <v>X</v>
      </c>
      <c r="I451" s="325" t="s">
        <v>1207</v>
      </c>
      <c r="J451" s="329" t="str">
        <f>IF(B451&lt;&gt;"",+VLOOKUP(I451,Recursos!C:F,2,FALSE),"")</f>
        <v>Planta de Aridos - Trituración y Clasificación</v>
      </c>
      <c r="K451" s="330" t="str">
        <f>IF(B451&lt;&gt;"",+VLOOKUP(I451,Recursos!C:F,3,FALSE),"")</f>
        <v>M3</v>
      </c>
      <c r="L451" s="327">
        <f>IF(B451&lt;&gt;"",+VLOOKUP(I451,Recursos!C:F,4,FALSE),"")</f>
        <v>633.60122708131803</v>
      </c>
      <c r="M451" s="331">
        <v>1</v>
      </c>
      <c r="N451" s="331">
        <v>1</v>
      </c>
      <c r="O451" s="332">
        <v>1</v>
      </c>
      <c r="P451" s="333">
        <f t="shared" si="201"/>
        <v>633.60122708131803</v>
      </c>
      <c r="Q451" s="327">
        <f t="shared" si="202"/>
        <v>0</v>
      </c>
      <c r="R451" s="334">
        <f t="shared" si="203"/>
        <v>0</v>
      </c>
      <c r="S451" s="335">
        <f t="shared" si="177"/>
        <v>0</v>
      </c>
      <c r="T451" s="335">
        <f t="shared" si="178"/>
        <v>0</v>
      </c>
      <c r="U451" s="336">
        <f t="shared" si="179"/>
        <v>0</v>
      </c>
      <c r="V451" s="336">
        <f t="shared" si="180"/>
        <v>0</v>
      </c>
      <c r="W451" s="336">
        <f t="shared" si="181"/>
        <v>0</v>
      </c>
      <c r="X451" s="336">
        <f t="shared" si="182"/>
        <v>633.60122708131803</v>
      </c>
      <c r="Y451" s="320"/>
      <c r="Z451" s="321" t="str">
        <f t="shared" si="186"/>
        <v>X-PROCESAA</v>
      </c>
      <c r="AA451" s="321" t="str">
        <f t="shared" si="187"/>
        <v>X-PROCESAE</v>
      </c>
      <c r="AB451" s="321" t="str">
        <f t="shared" si="188"/>
        <v>X-PROCESAM</v>
      </c>
      <c r="AC451" s="321" t="str">
        <f t="shared" si="189"/>
        <v>X-PROCESAT</v>
      </c>
      <c r="AD451" s="321" t="str">
        <f t="shared" si="190"/>
        <v>X-PROCESAS</v>
      </c>
      <c r="AE451" s="321" t="str">
        <f t="shared" si="191"/>
        <v>X-PROCESAX</v>
      </c>
      <c r="AF451" s="321" t="str">
        <f t="shared" si="192"/>
        <v>X-PROCESAX</v>
      </c>
      <c r="AG451" s="321">
        <f t="shared" si="183"/>
        <v>1</v>
      </c>
      <c r="AH451" s="321">
        <f>IF(B451&lt;&gt;"",IF(H451="x",VLOOKUP(I451,'AUX-NIV3'!B:AG,32,FALSE),0),"")</f>
        <v>21</v>
      </c>
      <c r="AI451" s="321" t="str">
        <f t="shared" si="193"/>
        <v>X-PROCESA</v>
      </c>
      <c r="AJ451" s="320"/>
      <c r="AK451" s="322">
        <f t="shared" si="184"/>
        <v>451</v>
      </c>
      <c r="AL451" s="323">
        <f t="shared" si="194"/>
        <v>451</v>
      </c>
      <c r="AM451" s="322">
        <f t="shared" si="195"/>
        <v>1</v>
      </c>
      <c r="AN451" s="380">
        <f>IF(AND(AH451&gt;0,B451&lt;&gt;""),VLOOKUP(I451,'AUX-NIV3'!$B:$AO,39,FALSE)*O451,0)</f>
        <v>0.12128888888888889</v>
      </c>
      <c r="AO451" s="380">
        <f t="shared" si="185"/>
        <v>0.12128888888888889</v>
      </c>
      <c r="AP451" s="380"/>
    </row>
    <row r="452" spans="2:42" ht="14.4" hidden="1" thickTop="1" thickBot="1">
      <c r="B452" s="324" t="s">
        <v>299</v>
      </c>
      <c r="C452" s="325" t="s">
        <v>300</v>
      </c>
      <c r="D452" s="326" t="s">
        <v>1321</v>
      </c>
      <c r="E452" s="327">
        <f>IF(B452&lt;&gt;"",SUMIF('AUX-NIV1'!I:I,'AUX-NIV2'!B452,'AUX-NIV1'!Q:Q),"")</f>
        <v>0</v>
      </c>
      <c r="F452" s="327" t="e">
        <f t="shared" si="175"/>
        <v>#N/A</v>
      </c>
      <c r="G452" s="327" t="e">
        <f t="shared" si="176"/>
        <v>#N/A</v>
      </c>
      <c r="H452" s="328" t="str">
        <f t="shared" si="200"/>
        <v>A</v>
      </c>
      <c r="I452" s="325" t="s">
        <v>3314</v>
      </c>
      <c r="J452" s="329" t="e">
        <f>IF(B452&lt;&gt;"",+VLOOKUP(I452,Recursos!C:F,2,FALSE),"")</f>
        <v>#N/A</v>
      </c>
      <c r="K452" s="330" t="e">
        <f>IF(B452&lt;&gt;"",+VLOOKUP(I452,Recursos!C:F,3,FALSE),"")</f>
        <v>#N/A</v>
      </c>
      <c r="L452" s="327" t="e">
        <f>IF(B452&lt;&gt;"",+VLOOKUP(I452,Recursos!C:F,4,FALSE),"")</f>
        <v>#N/A</v>
      </c>
      <c r="M452" s="331">
        <v>1</v>
      </c>
      <c r="N452" s="331">
        <v>1</v>
      </c>
      <c r="O452" s="332">
        <v>4</v>
      </c>
      <c r="P452" s="333" t="e">
        <f t="shared" si="201"/>
        <v>#N/A</v>
      </c>
      <c r="Q452" s="327">
        <f t="shared" si="202"/>
        <v>0</v>
      </c>
      <c r="R452" s="334" t="e">
        <f t="shared" si="203"/>
        <v>#N/A</v>
      </c>
      <c r="S452" s="335" t="e">
        <f t="shared" si="177"/>
        <v>#N/A</v>
      </c>
      <c r="T452" s="335">
        <f t="shared" si="178"/>
        <v>254.7782337662338</v>
      </c>
      <c r="U452" s="336">
        <f t="shared" si="179"/>
        <v>0</v>
      </c>
      <c r="V452" s="336">
        <f t="shared" si="180"/>
        <v>0</v>
      </c>
      <c r="W452" s="336">
        <f t="shared" si="181"/>
        <v>0</v>
      </c>
      <c r="X452" s="336">
        <f t="shared" si="182"/>
        <v>0</v>
      </c>
      <c r="Y452" s="320"/>
      <c r="Z452" s="321" t="str">
        <f t="shared" si="186"/>
        <v>X-CARGATVA</v>
      </c>
      <c r="AA452" s="321" t="str">
        <f t="shared" si="187"/>
        <v>X-CARGATVE</v>
      </c>
      <c r="AB452" s="321" t="str">
        <f t="shared" si="188"/>
        <v>X-CARGATVM</v>
      </c>
      <c r="AC452" s="321" t="str">
        <f t="shared" si="189"/>
        <v>X-CARGATVT</v>
      </c>
      <c r="AD452" s="321" t="str">
        <f t="shared" si="190"/>
        <v>X-CARGATVS</v>
      </c>
      <c r="AE452" s="321" t="str">
        <f t="shared" si="191"/>
        <v>X-CARGATVX</v>
      </c>
      <c r="AF452" s="321" t="str">
        <f t="shared" si="192"/>
        <v>X-CARGATVA</v>
      </c>
      <c r="AG452" s="321">
        <f t="shared" si="183"/>
        <v>6</v>
      </c>
      <c r="AH452" s="321">
        <f>IF(B452&lt;&gt;"",IF(H452="x",VLOOKUP(I452,'AUX-NIV3'!B:AG,32,FALSE),0),"")</f>
        <v>0</v>
      </c>
      <c r="AI452" s="321" t="str">
        <f t="shared" si="193"/>
        <v>X-CARGATV</v>
      </c>
      <c r="AJ452" s="320"/>
      <c r="AK452" s="322">
        <f t="shared" si="184"/>
        <v>452</v>
      </c>
      <c r="AL452" s="323">
        <f t="shared" si="194"/>
        <v>457</v>
      </c>
      <c r="AM452" s="322">
        <f t="shared" si="195"/>
        <v>1</v>
      </c>
      <c r="AN452" s="380">
        <f>IF(AND(AH452&gt;0,B452&lt;&gt;""),VLOOKUP(I452,'AUX-NIV3'!$B:$AO,39,FALSE)*O452,0)</f>
        <v>0</v>
      </c>
      <c r="AO452" s="380">
        <f t="shared" si="185"/>
        <v>10.1</v>
      </c>
      <c r="AP452" s="380"/>
    </row>
    <row r="453" spans="2:42" ht="14.4" hidden="1" thickTop="1" thickBot="1">
      <c r="B453" s="324" t="s">
        <v>299</v>
      </c>
      <c r="C453" s="325" t="s">
        <v>300</v>
      </c>
      <c r="D453" s="326" t="s">
        <v>1321</v>
      </c>
      <c r="E453" s="327">
        <f>IF(B453&lt;&gt;"",SUMIF('AUX-NIV1'!I:I,'AUX-NIV2'!B453,'AUX-NIV1'!Q:Q),"")</f>
        <v>0</v>
      </c>
      <c r="F453" s="327" t="e">
        <f t="shared" si="175"/>
        <v>#N/A</v>
      </c>
      <c r="G453" s="327" t="e">
        <f t="shared" si="176"/>
        <v>#N/A</v>
      </c>
      <c r="H453" s="328" t="str">
        <f t="shared" si="200"/>
        <v>A</v>
      </c>
      <c r="I453" s="325" t="s">
        <v>3309</v>
      </c>
      <c r="J453" s="329" t="str">
        <f>IF(B453&lt;&gt;"",+VLOOKUP(I453,Recursos!C:F,2,FALSE),"")</f>
        <v>MEDIO OFICIAL</v>
      </c>
      <c r="K453" s="330" t="str">
        <f>IF(B453&lt;&gt;"",+VLOOKUP(I453,Recursos!C:F,3,FALSE),"")</f>
        <v>hh</v>
      </c>
      <c r="L453" s="327">
        <f>IF(B453&lt;&gt;"",+VLOOKUP(I453,Recursos!C:F,4,FALSE),"")</f>
        <v>459.10093211890984</v>
      </c>
      <c r="M453" s="331">
        <v>1</v>
      </c>
      <c r="N453" s="331">
        <v>1</v>
      </c>
      <c r="O453" s="332">
        <v>3</v>
      </c>
      <c r="P453" s="333">
        <f t="shared" si="201"/>
        <v>1377.3027963567295</v>
      </c>
      <c r="Q453" s="327">
        <f t="shared" si="202"/>
        <v>0</v>
      </c>
      <c r="R453" s="334">
        <f t="shared" si="203"/>
        <v>0</v>
      </c>
      <c r="S453" s="335" t="e">
        <f t="shared" si="177"/>
        <v>#N/A</v>
      </c>
      <c r="T453" s="335">
        <f t="shared" si="178"/>
        <v>254.7782337662338</v>
      </c>
      <c r="U453" s="336">
        <f t="shared" si="179"/>
        <v>0</v>
      </c>
      <c r="V453" s="336">
        <f t="shared" si="180"/>
        <v>0</v>
      </c>
      <c r="W453" s="336">
        <f t="shared" si="181"/>
        <v>0</v>
      </c>
      <c r="X453" s="336">
        <f t="shared" si="182"/>
        <v>0</v>
      </c>
      <c r="Y453" s="320"/>
      <c r="Z453" s="321" t="str">
        <f t="shared" si="186"/>
        <v>X-CARGATVA</v>
      </c>
      <c r="AA453" s="321" t="str">
        <f t="shared" si="187"/>
        <v>X-CARGATVE</v>
      </c>
      <c r="AB453" s="321" t="str">
        <f t="shared" si="188"/>
        <v>X-CARGATVM</v>
      </c>
      <c r="AC453" s="321" t="str">
        <f t="shared" si="189"/>
        <v>X-CARGATVT</v>
      </c>
      <c r="AD453" s="321" t="str">
        <f t="shared" si="190"/>
        <v>X-CARGATVS</v>
      </c>
      <c r="AE453" s="321" t="str">
        <f t="shared" si="191"/>
        <v>X-CARGATVX</v>
      </c>
      <c r="AF453" s="321" t="str">
        <f t="shared" si="192"/>
        <v>X-CARGATVA</v>
      </c>
      <c r="AG453" s="321">
        <f t="shared" si="183"/>
        <v>6</v>
      </c>
      <c r="AH453" s="321">
        <f>IF(B453&lt;&gt;"",IF(H453="x",VLOOKUP(I453,'AUX-NIV3'!B:AG,32,FALSE),0),"")</f>
        <v>0</v>
      </c>
      <c r="AI453" s="321" t="str">
        <f t="shared" si="193"/>
        <v>X-CARGATV</v>
      </c>
      <c r="AJ453" s="320"/>
      <c r="AK453" s="322">
        <f t="shared" si="184"/>
        <v>452</v>
      </c>
      <c r="AL453" s="323">
        <f t="shared" si="194"/>
        <v>457</v>
      </c>
      <c r="AM453" s="322">
        <f t="shared" si="195"/>
        <v>2</v>
      </c>
      <c r="AN453" s="380">
        <f>IF(AND(AH453&gt;0,B453&lt;&gt;""),VLOOKUP(I453,'AUX-NIV3'!$B:$AO,39,FALSE)*O453,0)</f>
        <v>0</v>
      </c>
      <c r="AO453" s="380">
        <f t="shared" si="185"/>
        <v>10.1</v>
      </c>
      <c r="AP453" s="380"/>
    </row>
    <row r="454" spans="2:42" ht="14.4" hidden="1" thickTop="1" thickBot="1">
      <c r="B454" s="324" t="s">
        <v>299</v>
      </c>
      <c r="C454" s="325" t="s">
        <v>300</v>
      </c>
      <c r="D454" s="326" t="s">
        <v>1321</v>
      </c>
      <c r="E454" s="327">
        <f>IF(B454&lt;&gt;"",SUMIF('AUX-NIV1'!I:I,'AUX-NIV2'!B454,'AUX-NIV1'!Q:Q),"")</f>
        <v>0</v>
      </c>
      <c r="F454" s="327" t="e">
        <f t="shared" si="175"/>
        <v>#N/A</v>
      </c>
      <c r="G454" s="327" t="e">
        <f t="shared" si="176"/>
        <v>#N/A</v>
      </c>
      <c r="H454" s="328" t="str">
        <f t="shared" si="200"/>
        <v>A</v>
      </c>
      <c r="I454" s="325" t="s">
        <v>1746</v>
      </c>
      <c r="J454" s="329" t="str">
        <f>IF(B454&lt;&gt;"",+VLOOKUP(I454,Recursos!C:F,2,FALSE),"")</f>
        <v>OFICIAL</v>
      </c>
      <c r="K454" s="330" t="str">
        <f>IF(B454&lt;&gt;"",+VLOOKUP(I454,Recursos!C:F,3,FALSE),"")</f>
        <v>hh</v>
      </c>
      <c r="L454" s="327">
        <f>IF(B454&lt;&gt;"",+VLOOKUP(I454,Recursos!C:F,4,FALSE),"")</f>
        <v>496.91595439275824</v>
      </c>
      <c r="M454" s="331">
        <v>1</v>
      </c>
      <c r="N454" s="331">
        <v>1</v>
      </c>
      <c r="O454" s="332">
        <v>2</v>
      </c>
      <c r="P454" s="333">
        <f t="shared" si="201"/>
        <v>993.83190878551648</v>
      </c>
      <c r="Q454" s="327">
        <f t="shared" si="202"/>
        <v>0</v>
      </c>
      <c r="R454" s="334">
        <f t="shared" si="203"/>
        <v>0</v>
      </c>
      <c r="S454" s="335" t="e">
        <f t="shared" si="177"/>
        <v>#N/A</v>
      </c>
      <c r="T454" s="335">
        <f t="shared" si="178"/>
        <v>254.7782337662338</v>
      </c>
      <c r="U454" s="336">
        <f t="shared" si="179"/>
        <v>0</v>
      </c>
      <c r="V454" s="336">
        <f t="shared" si="180"/>
        <v>0</v>
      </c>
      <c r="W454" s="336">
        <f t="shared" si="181"/>
        <v>0</v>
      </c>
      <c r="X454" s="336">
        <f t="shared" si="182"/>
        <v>0</v>
      </c>
      <c r="Y454" s="320"/>
      <c r="Z454" s="321" t="str">
        <f t="shared" si="186"/>
        <v>X-CARGATVA</v>
      </c>
      <c r="AA454" s="321" t="str">
        <f t="shared" si="187"/>
        <v>X-CARGATVE</v>
      </c>
      <c r="AB454" s="321" t="str">
        <f t="shared" si="188"/>
        <v>X-CARGATVM</v>
      </c>
      <c r="AC454" s="321" t="str">
        <f t="shared" si="189"/>
        <v>X-CARGATVT</v>
      </c>
      <c r="AD454" s="321" t="str">
        <f t="shared" si="190"/>
        <v>X-CARGATVS</v>
      </c>
      <c r="AE454" s="321" t="str">
        <f t="shared" si="191"/>
        <v>X-CARGATVX</v>
      </c>
      <c r="AF454" s="321" t="str">
        <f t="shared" si="192"/>
        <v>X-CARGATVA</v>
      </c>
      <c r="AG454" s="321">
        <f t="shared" si="183"/>
        <v>6</v>
      </c>
      <c r="AH454" s="321">
        <f>IF(B454&lt;&gt;"",IF(H454="x",VLOOKUP(I454,'AUX-NIV3'!B:AG,32,FALSE),0),"")</f>
        <v>0</v>
      </c>
      <c r="AI454" s="321" t="str">
        <f t="shared" si="193"/>
        <v>X-CARGATV</v>
      </c>
      <c r="AJ454" s="320"/>
      <c r="AK454" s="322">
        <f t="shared" si="184"/>
        <v>452</v>
      </c>
      <c r="AL454" s="323">
        <f t="shared" si="194"/>
        <v>457</v>
      </c>
      <c r="AM454" s="322">
        <f t="shared" si="195"/>
        <v>3</v>
      </c>
      <c r="AN454" s="380">
        <f>IF(AND(AH454&gt;0,B454&lt;&gt;""),VLOOKUP(I454,'AUX-NIV3'!$B:$AO,39,FALSE)*O454,0)</f>
        <v>0</v>
      </c>
      <c r="AO454" s="380">
        <f t="shared" si="185"/>
        <v>10.1</v>
      </c>
      <c r="AP454" s="380"/>
    </row>
    <row r="455" spans="2:42" ht="14.4" hidden="1" thickTop="1" thickBot="1">
      <c r="B455" s="324" t="s">
        <v>299</v>
      </c>
      <c r="C455" s="325" t="s">
        <v>300</v>
      </c>
      <c r="D455" s="326" t="s">
        <v>1321</v>
      </c>
      <c r="E455" s="327">
        <f>IF(B455&lt;&gt;"",SUMIF('AUX-NIV1'!I:I,'AUX-NIV2'!B455,'AUX-NIV1'!Q:Q),"")</f>
        <v>0</v>
      </c>
      <c r="F455" s="327" t="e">
        <f t="shared" ref="F455:F518" si="204">IF(B455&lt;&gt;"",+SUMIF(B:B,B455,P:P),"")</f>
        <v>#N/A</v>
      </c>
      <c r="G455" s="327" t="e">
        <f t="shared" ref="G455:G518" si="205">IF(B455&lt;&gt;"",+SUMIF(B:B,B455,R:R),"")</f>
        <v>#N/A</v>
      </c>
      <c r="H455" s="328" t="str">
        <f t="shared" si="200"/>
        <v>A</v>
      </c>
      <c r="I455" s="325" t="s">
        <v>3310</v>
      </c>
      <c r="J455" s="329" t="str">
        <f>IF(B455&lt;&gt;"",+VLOOKUP(I455,Recursos!C:F,2,FALSE),"")</f>
        <v>OFICIAL ESPECIALIZADO</v>
      </c>
      <c r="K455" s="330" t="str">
        <f>IF(B455&lt;&gt;"",+VLOOKUP(I455,Recursos!C:F,3,FALSE),"")</f>
        <v>hh</v>
      </c>
      <c r="L455" s="327">
        <f>IF(B455&lt;&gt;"",+VLOOKUP(I455,Recursos!C:F,4,FALSE),"")</f>
        <v>581.06120476836554</v>
      </c>
      <c r="M455" s="331">
        <v>1</v>
      </c>
      <c r="N455" s="331">
        <v>1</v>
      </c>
      <c r="O455" s="332">
        <v>1</v>
      </c>
      <c r="P455" s="333">
        <f t="shared" si="201"/>
        <v>581.06120476836554</v>
      </c>
      <c r="Q455" s="327">
        <f t="shared" si="202"/>
        <v>0</v>
      </c>
      <c r="R455" s="334">
        <f t="shared" si="203"/>
        <v>0</v>
      </c>
      <c r="S455" s="335" t="e">
        <f t="shared" ref="S455:S518" si="206">IF(B455&lt;&gt;"",+SUMIF($AF:$AF,Z455,$P:$P),"")</f>
        <v>#N/A</v>
      </c>
      <c r="T455" s="335">
        <f t="shared" ref="T455:T518" si="207">IF(B455&lt;&gt;"",+SUMIF($AF:$AF,AA455,$P:$P),"")</f>
        <v>254.7782337662338</v>
      </c>
      <c r="U455" s="336">
        <f t="shared" ref="U455:U518" si="208">IF(B455&lt;&gt;"",+SUMIF($AF:$AF,AB455,$P:$P),"")</f>
        <v>0</v>
      </c>
      <c r="V455" s="336">
        <f t="shared" ref="V455:V518" si="209">IF(B455&lt;&gt;"",+SUMIF($AF:$AF,AC455,$P:$P),"")</f>
        <v>0</v>
      </c>
      <c r="W455" s="336">
        <f t="shared" ref="W455:W518" si="210">IF(B455&lt;&gt;"",+SUMIF($AF:$AF,AD455,$P:$P),"")</f>
        <v>0</v>
      </c>
      <c r="X455" s="336">
        <f t="shared" ref="X455:X518" si="211">IF(B455&lt;&gt;"",+SUMIF($AF:$AF,AE455,$P:$P),"")</f>
        <v>0</v>
      </c>
      <c r="Y455" s="320"/>
      <c r="Z455" s="321" t="str">
        <f t="shared" si="186"/>
        <v>X-CARGATVA</v>
      </c>
      <c r="AA455" s="321" t="str">
        <f t="shared" si="187"/>
        <v>X-CARGATVE</v>
      </c>
      <c r="AB455" s="321" t="str">
        <f t="shared" si="188"/>
        <v>X-CARGATVM</v>
      </c>
      <c r="AC455" s="321" t="str">
        <f t="shared" si="189"/>
        <v>X-CARGATVT</v>
      </c>
      <c r="AD455" s="321" t="str">
        <f t="shared" si="190"/>
        <v>X-CARGATVS</v>
      </c>
      <c r="AE455" s="321" t="str">
        <f t="shared" si="191"/>
        <v>X-CARGATVX</v>
      </c>
      <c r="AF455" s="321" t="str">
        <f t="shared" si="192"/>
        <v>X-CARGATVA</v>
      </c>
      <c r="AG455" s="321">
        <f t="shared" ref="AG455:AG518" si="212">IF(B455&lt;&gt;"",+COUNTIF(B:B,B455),"")</f>
        <v>6</v>
      </c>
      <c r="AH455" s="321">
        <f>IF(B455&lt;&gt;"",IF(H455="x",VLOOKUP(I455,'AUX-NIV3'!B:AG,32,FALSE),0),"")</f>
        <v>0</v>
      </c>
      <c r="AI455" s="321" t="str">
        <f t="shared" si="193"/>
        <v>X-CARGATV</v>
      </c>
      <c r="AJ455" s="320"/>
      <c r="AK455" s="322">
        <f t="shared" ref="AK455:AK518" si="213">IF(B455&lt;&gt;"",+MATCH(B455,B:B,0),"")</f>
        <v>452</v>
      </c>
      <c r="AL455" s="323">
        <f t="shared" si="194"/>
        <v>457</v>
      </c>
      <c r="AM455" s="322">
        <f t="shared" si="195"/>
        <v>4</v>
      </c>
      <c r="AN455" s="380">
        <f>IF(AND(AH455&gt;0,B455&lt;&gt;""),VLOOKUP(I455,'AUX-NIV3'!$B:$AO,39,FALSE)*O455,0)</f>
        <v>0</v>
      </c>
      <c r="AO455" s="380">
        <f t="shared" ref="AO455:AO518" si="214">+IF(B455&lt;&gt;"",SUMIF(AF:AF,Z455,O:O)+SUMIF(Z:Z,Z455,AN:AN),0)</f>
        <v>10.1</v>
      </c>
      <c r="AP455" s="380"/>
    </row>
    <row r="456" spans="2:42" ht="14.4" hidden="1" thickTop="1" thickBot="1">
      <c r="B456" s="324" t="s">
        <v>299</v>
      </c>
      <c r="C456" s="325" t="s">
        <v>300</v>
      </c>
      <c r="D456" s="326" t="s">
        <v>1321</v>
      </c>
      <c r="E456" s="327">
        <f>IF(B456&lt;&gt;"",SUMIF('AUX-NIV1'!I:I,'AUX-NIV2'!B456,'AUX-NIV1'!Q:Q),"")</f>
        <v>0</v>
      </c>
      <c r="F456" s="327" t="e">
        <f t="shared" si="204"/>
        <v>#N/A</v>
      </c>
      <c r="G456" s="327" t="e">
        <f t="shared" si="205"/>
        <v>#N/A</v>
      </c>
      <c r="H456" s="328" t="str">
        <f t="shared" si="200"/>
        <v>A</v>
      </c>
      <c r="I456" s="325" t="s">
        <v>3312</v>
      </c>
      <c r="J456" s="329" t="str">
        <f>IF(B456&lt;&gt;"",+VLOOKUP(I456,Recursos!C:F,2,FALSE),"")</f>
        <v>CHOFER</v>
      </c>
      <c r="K456" s="330" t="str">
        <f>IF(B456&lt;&gt;"",+VLOOKUP(I456,Recursos!C:F,3,FALSE),"")</f>
        <v>hh</v>
      </c>
      <c r="L456" s="327">
        <f>IF(B456&lt;&gt;"",+VLOOKUP(I456,Recursos!C:F,4,FALSE),"")</f>
        <v>496.91595439275824</v>
      </c>
      <c r="M456" s="331">
        <v>1</v>
      </c>
      <c r="N456" s="331">
        <v>1.4</v>
      </c>
      <c r="O456" s="332">
        <v>0.1</v>
      </c>
      <c r="P456" s="333">
        <f t="shared" si="201"/>
        <v>49.691595439275829</v>
      </c>
      <c r="Q456" s="327">
        <f t="shared" si="202"/>
        <v>0</v>
      </c>
      <c r="R456" s="334">
        <f t="shared" si="203"/>
        <v>0</v>
      </c>
      <c r="S456" s="335" t="e">
        <f t="shared" si="206"/>
        <v>#N/A</v>
      </c>
      <c r="T456" s="335">
        <f t="shared" si="207"/>
        <v>254.7782337662338</v>
      </c>
      <c r="U456" s="336">
        <f t="shared" si="208"/>
        <v>0</v>
      </c>
      <c r="V456" s="336">
        <f t="shared" si="209"/>
        <v>0</v>
      </c>
      <c r="W456" s="336">
        <f t="shared" si="210"/>
        <v>0</v>
      </c>
      <c r="X456" s="336">
        <f t="shared" si="211"/>
        <v>0</v>
      </c>
      <c r="Y456" s="320"/>
      <c r="Z456" s="321" t="str">
        <f t="shared" ref="Z456:Z519" si="215">IF(B456&lt;&gt;"",+$B456&amp;"A","")</f>
        <v>X-CARGATVA</v>
      </c>
      <c r="AA456" s="321" t="str">
        <f t="shared" ref="AA456:AA519" si="216">IF(B456&lt;&gt;"",+$B456&amp;"E","")</f>
        <v>X-CARGATVE</v>
      </c>
      <c r="AB456" s="321" t="str">
        <f t="shared" ref="AB456:AB519" si="217">IF(B456&lt;&gt;"",++$B456&amp;"M","")</f>
        <v>X-CARGATVM</v>
      </c>
      <c r="AC456" s="321" t="str">
        <f t="shared" ref="AC456:AC519" si="218">IF(B456&lt;&gt;"",+$B456&amp;"T","")</f>
        <v>X-CARGATVT</v>
      </c>
      <c r="AD456" s="321" t="str">
        <f t="shared" ref="AD456:AD519" si="219">IF(B456&lt;&gt;"",+$B456&amp;"S","")</f>
        <v>X-CARGATVS</v>
      </c>
      <c r="AE456" s="321" t="str">
        <f t="shared" ref="AE456:AE519" si="220">IF(B456&lt;&gt;"",+$B456&amp;"X","")</f>
        <v>X-CARGATVX</v>
      </c>
      <c r="AF456" s="321" t="str">
        <f t="shared" ref="AF456:AF519" si="221">IF(B456&lt;&gt;"",+B456&amp;H456,"")</f>
        <v>X-CARGATVA</v>
      </c>
      <c r="AG456" s="321">
        <f t="shared" si="212"/>
        <v>6</v>
      </c>
      <c r="AH456" s="321">
        <f>IF(B456&lt;&gt;"",IF(H456="x",VLOOKUP(I456,'AUX-NIV3'!B:AG,32,FALSE),0),"")</f>
        <v>0</v>
      </c>
      <c r="AI456" s="321" t="str">
        <f t="shared" ref="AI456:AI519" si="222">IF(B456&lt;&gt;"",+B456,"")</f>
        <v>X-CARGATV</v>
      </c>
      <c r="AJ456" s="320"/>
      <c r="AK456" s="322">
        <f t="shared" si="213"/>
        <v>452</v>
      </c>
      <c r="AL456" s="323">
        <f t="shared" ref="AL456:AL519" si="223">IF(B456&lt;&gt;"",+AK456+AG456-1,"")</f>
        <v>457</v>
      </c>
      <c r="AM456" s="322">
        <f t="shared" ref="AM456:AM519" si="224">IF(B456&lt;&gt;"",IF(B456=B455,1+AM455,1),"")</f>
        <v>5</v>
      </c>
      <c r="AN456" s="380">
        <f>IF(AND(AH456&gt;0,B456&lt;&gt;""),VLOOKUP(I456,'AUX-NIV3'!$B:$AO,39,FALSE)*O456,0)</f>
        <v>0</v>
      </c>
      <c r="AO456" s="380">
        <f t="shared" si="214"/>
        <v>10.1</v>
      </c>
      <c r="AP456" s="380"/>
    </row>
    <row r="457" spans="2:42" ht="14.4" hidden="1" thickTop="1" thickBot="1">
      <c r="B457" s="324" t="s">
        <v>299</v>
      </c>
      <c r="C457" s="325" t="s">
        <v>300</v>
      </c>
      <c r="D457" s="326" t="s">
        <v>1321</v>
      </c>
      <c r="E457" s="327">
        <f>IF(B457&lt;&gt;"",SUMIF('AUX-NIV1'!I:I,'AUX-NIV2'!B457,'AUX-NIV1'!Q:Q),"")</f>
        <v>0</v>
      </c>
      <c r="F457" s="327" t="e">
        <f t="shared" si="204"/>
        <v>#N/A</v>
      </c>
      <c r="G457" s="327" t="e">
        <f t="shared" si="205"/>
        <v>#N/A</v>
      </c>
      <c r="H457" s="328" t="str">
        <f t="shared" si="200"/>
        <v>E</v>
      </c>
      <c r="I457" s="325" t="s">
        <v>1556</v>
      </c>
      <c r="J457" s="329" t="str">
        <f>IF(B457&lt;&gt;"",+VLOOKUP(I457,Recursos!C:F,2,FALSE),"")</f>
        <v>CAMION VOLCADOR CAP. 15 T=9 m3</v>
      </c>
      <c r="K457" s="330" t="str">
        <f>IF(B457&lt;&gt;"",+VLOOKUP(I457,Recursos!C:F,3,FALSE),"")</f>
        <v>HR</v>
      </c>
      <c r="L457" s="327">
        <f>IF(B457&lt;&gt;"",+VLOOKUP(I457,Recursos!C:F,4,FALSE),"")</f>
        <v>2547.7823376623378</v>
      </c>
      <c r="M457" s="331">
        <v>1</v>
      </c>
      <c r="N457" s="331">
        <v>1</v>
      </c>
      <c r="O457" s="332">
        <v>0.1</v>
      </c>
      <c r="P457" s="333">
        <f t="shared" si="201"/>
        <v>254.7782337662338</v>
      </c>
      <c r="Q457" s="327">
        <f t="shared" si="202"/>
        <v>0</v>
      </c>
      <c r="R457" s="334">
        <f t="shared" si="203"/>
        <v>0</v>
      </c>
      <c r="S457" s="335" t="e">
        <f t="shared" si="206"/>
        <v>#N/A</v>
      </c>
      <c r="T457" s="335">
        <f t="shared" si="207"/>
        <v>254.7782337662338</v>
      </c>
      <c r="U457" s="336">
        <f t="shared" si="208"/>
        <v>0</v>
      </c>
      <c r="V457" s="336">
        <f t="shared" si="209"/>
        <v>0</v>
      </c>
      <c r="W457" s="336">
        <f t="shared" si="210"/>
        <v>0</v>
      </c>
      <c r="X457" s="336">
        <f t="shared" si="211"/>
        <v>0</v>
      </c>
      <c r="Y457" s="320"/>
      <c r="Z457" s="321" t="str">
        <f t="shared" si="215"/>
        <v>X-CARGATVA</v>
      </c>
      <c r="AA457" s="321" t="str">
        <f t="shared" si="216"/>
        <v>X-CARGATVE</v>
      </c>
      <c r="AB457" s="321" t="str">
        <f t="shared" si="217"/>
        <v>X-CARGATVM</v>
      </c>
      <c r="AC457" s="321" t="str">
        <f t="shared" si="218"/>
        <v>X-CARGATVT</v>
      </c>
      <c r="AD457" s="321" t="str">
        <f t="shared" si="219"/>
        <v>X-CARGATVS</v>
      </c>
      <c r="AE457" s="321" t="str">
        <f t="shared" si="220"/>
        <v>X-CARGATVX</v>
      </c>
      <c r="AF457" s="321" t="str">
        <f t="shared" si="221"/>
        <v>X-CARGATVE</v>
      </c>
      <c r="AG457" s="321">
        <f t="shared" si="212"/>
        <v>6</v>
      </c>
      <c r="AH457" s="321">
        <f>IF(B457&lt;&gt;"",IF(H457="x",VLOOKUP(I457,'AUX-NIV3'!B:AG,32,FALSE),0),"")</f>
        <v>0</v>
      </c>
      <c r="AI457" s="321" t="str">
        <f t="shared" si="222"/>
        <v>X-CARGATV</v>
      </c>
      <c r="AJ457" s="320"/>
      <c r="AK457" s="322">
        <f t="shared" si="213"/>
        <v>452</v>
      </c>
      <c r="AL457" s="323">
        <f t="shared" si="223"/>
        <v>457</v>
      </c>
      <c r="AM457" s="322">
        <f t="shared" si="224"/>
        <v>6</v>
      </c>
      <c r="AN457" s="380">
        <f>IF(AND(AH457&gt;0,B457&lt;&gt;""),VLOOKUP(I457,'AUX-NIV3'!$B:$AO,39,FALSE)*O457,0)</f>
        <v>0</v>
      </c>
      <c r="AO457" s="380">
        <f t="shared" si="214"/>
        <v>10.1</v>
      </c>
      <c r="AP457" s="380"/>
    </row>
    <row r="458" spans="2:42" ht="14.4" hidden="1" thickTop="1" thickBot="1">
      <c r="B458" s="324" t="s">
        <v>302</v>
      </c>
      <c r="C458" s="325" t="s">
        <v>303</v>
      </c>
      <c r="D458" s="326" t="s">
        <v>1160</v>
      </c>
      <c r="E458" s="327">
        <f>IF(B458&lt;&gt;"",SUMIF('AUX-NIV1'!I:I,'AUX-NIV2'!B458,'AUX-NIV1'!Q:Q),"")</f>
        <v>0</v>
      </c>
      <c r="F458" s="327" t="e">
        <f t="shared" si="204"/>
        <v>#N/A</v>
      </c>
      <c r="G458" s="327" t="e">
        <f t="shared" si="205"/>
        <v>#N/A</v>
      </c>
      <c r="H458" s="328" t="str">
        <f t="shared" si="200"/>
        <v>A</v>
      </c>
      <c r="I458" s="325" t="s">
        <v>3314</v>
      </c>
      <c r="J458" s="329" t="e">
        <f>IF(B458&lt;&gt;"",+VLOOKUP(I458,Recursos!C:F,2,FALSE),"")</f>
        <v>#N/A</v>
      </c>
      <c r="K458" s="330" t="e">
        <f>IF(B458&lt;&gt;"",+VLOOKUP(I458,Recursos!C:F,3,FALSE),"")</f>
        <v>#N/A</v>
      </c>
      <c r="L458" s="327" t="e">
        <f>IF(B458&lt;&gt;"",+VLOOKUP(I458,Recursos!C:F,4,FALSE),"")</f>
        <v>#N/A</v>
      </c>
      <c r="M458" s="383">
        <v>0.2</v>
      </c>
      <c r="N458" s="331">
        <v>1</v>
      </c>
      <c r="O458" s="332">
        <f>+M458*N458</f>
        <v>0.2</v>
      </c>
      <c r="P458" s="333" t="e">
        <f t="shared" si="201"/>
        <v>#N/A</v>
      </c>
      <c r="Q458" s="327">
        <f t="shared" si="202"/>
        <v>0</v>
      </c>
      <c r="R458" s="334" t="e">
        <f t="shared" si="203"/>
        <v>#N/A</v>
      </c>
      <c r="S458" s="335" t="e">
        <f t="shared" si="206"/>
        <v>#N/A</v>
      </c>
      <c r="T458" s="335">
        <f t="shared" si="207"/>
        <v>119.75386090649351</v>
      </c>
      <c r="U458" s="336">
        <f t="shared" si="208"/>
        <v>0</v>
      </c>
      <c r="V458" s="336">
        <f t="shared" si="209"/>
        <v>0</v>
      </c>
      <c r="W458" s="336">
        <f t="shared" si="210"/>
        <v>0</v>
      </c>
      <c r="X458" s="336">
        <f t="shared" si="211"/>
        <v>0</v>
      </c>
      <c r="Y458" s="320"/>
      <c r="Z458" s="321" t="str">
        <f t="shared" si="215"/>
        <v>X-CARMARVA</v>
      </c>
      <c r="AA458" s="321" t="str">
        <f t="shared" si="216"/>
        <v>X-CARMARVE</v>
      </c>
      <c r="AB458" s="321" t="str">
        <f t="shared" si="217"/>
        <v>X-CARMARVM</v>
      </c>
      <c r="AC458" s="321" t="str">
        <f t="shared" si="218"/>
        <v>X-CARMARVT</v>
      </c>
      <c r="AD458" s="321" t="str">
        <f t="shared" si="219"/>
        <v>X-CARMARVS</v>
      </c>
      <c r="AE458" s="321" t="str">
        <f t="shared" si="220"/>
        <v>X-CARMARVX</v>
      </c>
      <c r="AF458" s="321" t="str">
        <f t="shared" si="221"/>
        <v>X-CARMARVA</v>
      </c>
      <c r="AG458" s="321">
        <f t="shared" si="212"/>
        <v>8</v>
      </c>
      <c r="AH458" s="321">
        <f>IF(B458&lt;&gt;"",IF(H458="x",VLOOKUP(I458,'AUX-NIV3'!B:AG,32,FALSE),0),"")</f>
        <v>0</v>
      </c>
      <c r="AI458" s="321" t="str">
        <f t="shared" si="222"/>
        <v>X-CARMARV</v>
      </c>
      <c r="AJ458" s="320"/>
      <c r="AK458" s="322">
        <f t="shared" si="213"/>
        <v>458</v>
      </c>
      <c r="AL458" s="323">
        <f t="shared" si="223"/>
        <v>465</v>
      </c>
      <c r="AM458" s="322">
        <f t="shared" si="224"/>
        <v>1</v>
      </c>
      <c r="AN458" s="380">
        <f>IF(AND(AH458&gt;0,B458&lt;&gt;""),VLOOKUP(I458,'AUX-NIV3'!$B:$AO,39,FALSE)*O458,0)</f>
        <v>0</v>
      </c>
      <c r="AO458" s="380">
        <f t="shared" si="214"/>
        <v>0.26237500000000002</v>
      </c>
      <c r="AP458" s="380"/>
    </row>
    <row r="459" spans="2:42" ht="14.4" hidden="1" thickTop="1" thickBot="1">
      <c r="B459" s="324" t="s">
        <v>302</v>
      </c>
      <c r="C459" s="325" t="s">
        <v>303</v>
      </c>
      <c r="D459" s="326" t="s">
        <v>1160</v>
      </c>
      <c r="E459" s="327">
        <f>IF(B459&lt;&gt;"",SUMIF('AUX-NIV1'!I:I,'AUX-NIV2'!B459,'AUX-NIV1'!Q:Q),"")</f>
        <v>0</v>
      </c>
      <c r="F459" s="327" t="e">
        <f t="shared" si="204"/>
        <v>#N/A</v>
      </c>
      <c r="G459" s="327" t="e">
        <f t="shared" si="205"/>
        <v>#N/A</v>
      </c>
      <c r="H459" s="328" t="str">
        <f t="shared" si="200"/>
        <v>A</v>
      </c>
      <c r="I459" s="325" t="s">
        <v>3311</v>
      </c>
      <c r="J459" s="329" t="str">
        <f>IF(B459&lt;&gt;"",+VLOOKUP(I459,Recursos!C:F,2,FALSE),"")</f>
        <v>OPER. EQUIPO</v>
      </c>
      <c r="K459" s="330" t="str">
        <f>IF(B459&lt;&gt;"",+VLOOKUP(I459,Recursos!C:F,3,FALSE),"")</f>
        <v>hh</v>
      </c>
      <c r="L459" s="327">
        <f>IF(B459&lt;&gt;"",+VLOOKUP(I459,Recursos!C:F,4,FALSE),"")</f>
        <v>581.06120476836554</v>
      </c>
      <c r="M459" s="383">
        <v>0.2</v>
      </c>
      <c r="N459" s="331">
        <v>1.25</v>
      </c>
      <c r="O459" s="332">
        <v>8.3750000000000005E-3</v>
      </c>
      <c r="P459" s="333">
        <f t="shared" si="201"/>
        <v>4.8663875899350613</v>
      </c>
      <c r="Q459" s="327">
        <f t="shared" si="202"/>
        <v>0</v>
      </c>
      <c r="R459" s="334">
        <f t="shared" si="203"/>
        <v>0</v>
      </c>
      <c r="S459" s="335" t="e">
        <f t="shared" si="206"/>
        <v>#N/A</v>
      </c>
      <c r="T459" s="335">
        <f t="shared" si="207"/>
        <v>119.75386090649351</v>
      </c>
      <c r="U459" s="336">
        <f t="shared" si="208"/>
        <v>0</v>
      </c>
      <c r="V459" s="336">
        <f t="shared" si="209"/>
        <v>0</v>
      </c>
      <c r="W459" s="336">
        <f t="shared" si="210"/>
        <v>0</v>
      </c>
      <c r="X459" s="336">
        <f t="shared" si="211"/>
        <v>0</v>
      </c>
      <c r="Y459" s="320"/>
      <c r="Z459" s="321" t="str">
        <f t="shared" si="215"/>
        <v>X-CARMARVA</v>
      </c>
      <c r="AA459" s="321" t="str">
        <f t="shared" si="216"/>
        <v>X-CARMARVE</v>
      </c>
      <c r="AB459" s="321" t="str">
        <f t="shared" si="217"/>
        <v>X-CARMARVM</v>
      </c>
      <c r="AC459" s="321" t="str">
        <f t="shared" si="218"/>
        <v>X-CARMARVT</v>
      </c>
      <c r="AD459" s="321" t="str">
        <f t="shared" si="219"/>
        <v>X-CARMARVS</v>
      </c>
      <c r="AE459" s="321" t="str">
        <f t="shared" si="220"/>
        <v>X-CARMARVX</v>
      </c>
      <c r="AF459" s="321" t="str">
        <f t="shared" si="221"/>
        <v>X-CARMARVA</v>
      </c>
      <c r="AG459" s="321">
        <f t="shared" si="212"/>
        <v>8</v>
      </c>
      <c r="AH459" s="321">
        <f>IF(B459&lt;&gt;"",IF(H459="x",VLOOKUP(I459,'AUX-NIV3'!B:AG,32,FALSE),0),"")</f>
        <v>0</v>
      </c>
      <c r="AI459" s="321" t="str">
        <f t="shared" si="222"/>
        <v>X-CARMARV</v>
      </c>
      <c r="AJ459" s="320"/>
      <c r="AK459" s="322">
        <f t="shared" si="213"/>
        <v>458</v>
      </c>
      <c r="AL459" s="323">
        <f t="shared" si="223"/>
        <v>465</v>
      </c>
      <c r="AM459" s="322">
        <f t="shared" si="224"/>
        <v>2</v>
      </c>
      <c r="AN459" s="380">
        <f>IF(AND(AH459&gt;0,B459&lt;&gt;""),VLOOKUP(I459,'AUX-NIV3'!$B:$AO,39,FALSE)*O459,0)</f>
        <v>0</v>
      </c>
      <c r="AO459" s="380">
        <f t="shared" si="214"/>
        <v>0.26237500000000002</v>
      </c>
      <c r="AP459" s="380"/>
    </row>
    <row r="460" spans="2:42" ht="14.4" hidden="1" thickTop="1" thickBot="1">
      <c r="B460" s="324" t="s">
        <v>302</v>
      </c>
      <c r="C460" s="325" t="s">
        <v>303</v>
      </c>
      <c r="D460" s="326" t="s">
        <v>1160</v>
      </c>
      <c r="E460" s="327">
        <f>IF(B460&lt;&gt;"",SUMIF('AUX-NIV1'!I:I,'AUX-NIV2'!B460,'AUX-NIV1'!Q:Q),"")</f>
        <v>0</v>
      </c>
      <c r="F460" s="327" t="e">
        <f t="shared" si="204"/>
        <v>#N/A</v>
      </c>
      <c r="G460" s="327" t="e">
        <f t="shared" si="205"/>
        <v>#N/A</v>
      </c>
      <c r="H460" s="328" t="str">
        <f t="shared" si="200"/>
        <v>E</v>
      </c>
      <c r="I460" s="325" t="s">
        <v>1540</v>
      </c>
      <c r="J460" s="329" t="str">
        <f>IF(B460&lt;&gt;"",+VLOOKUP(I460,Recursos!C:F,2,FALSE),"")</f>
        <v>MINICARG. BOBCAT S/NEUM. (0,40 M3)</v>
      </c>
      <c r="K460" s="330" t="str">
        <f>IF(B460&lt;&gt;"",+VLOOKUP(I460,Recursos!C:F,3,FALSE),"")</f>
        <v>HR</v>
      </c>
      <c r="L460" s="327">
        <f>IF(B460&lt;&gt;"",+VLOOKUP(I460,Recursos!C:F,4,FALSE),"")</f>
        <v>1346.0740000000001</v>
      </c>
      <c r="M460" s="383">
        <v>0.2</v>
      </c>
      <c r="N460" s="331">
        <v>1</v>
      </c>
      <c r="O460" s="332">
        <v>6.7000000000000002E-3</v>
      </c>
      <c r="P460" s="333">
        <f t="shared" si="201"/>
        <v>9.0186958000000015</v>
      </c>
      <c r="Q460" s="327">
        <f t="shared" si="202"/>
        <v>0</v>
      </c>
      <c r="R460" s="334">
        <f t="shared" si="203"/>
        <v>0</v>
      </c>
      <c r="S460" s="335" t="e">
        <f t="shared" si="206"/>
        <v>#N/A</v>
      </c>
      <c r="T460" s="335">
        <f t="shared" si="207"/>
        <v>119.75386090649351</v>
      </c>
      <c r="U460" s="336">
        <f t="shared" si="208"/>
        <v>0</v>
      </c>
      <c r="V460" s="336">
        <f t="shared" si="209"/>
        <v>0</v>
      </c>
      <c r="W460" s="336">
        <f t="shared" si="210"/>
        <v>0</v>
      </c>
      <c r="X460" s="336">
        <f t="shared" si="211"/>
        <v>0</v>
      </c>
      <c r="Y460" s="320"/>
      <c r="Z460" s="321" t="str">
        <f t="shared" si="215"/>
        <v>X-CARMARVA</v>
      </c>
      <c r="AA460" s="321" t="str">
        <f t="shared" si="216"/>
        <v>X-CARMARVE</v>
      </c>
      <c r="AB460" s="321" t="str">
        <f t="shared" si="217"/>
        <v>X-CARMARVM</v>
      </c>
      <c r="AC460" s="321" t="str">
        <f t="shared" si="218"/>
        <v>X-CARMARVT</v>
      </c>
      <c r="AD460" s="321" t="str">
        <f t="shared" si="219"/>
        <v>X-CARMARVS</v>
      </c>
      <c r="AE460" s="321" t="str">
        <f t="shared" si="220"/>
        <v>X-CARMARVX</v>
      </c>
      <c r="AF460" s="321" t="str">
        <f t="shared" si="221"/>
        <v>X-CARMARVE</v>
      </c>
      <c r="AG460" s="321">
        <f t="shared" si="212"/>
        <v>8</v>
      </c>
      <c r="AH460" s="321">
        <f>IF(B460&lt;&gt;"",IF(H460="x",VLOOKUP(I460,'AUX-NIV3'!B:AG,32,FALSE),0),"")</f>
        <v>0</v>
      </c>
      <c r="AI460" s="321" t="str">
        <f t="shared" si="222"/>
        <v>X-CARMARV</v>
      </c>
      <c r="AJ460" s="320"/>
      <c r="AK460" s="322">
        <f t="shared" si="213"/>
        <v>458</v>
      </c>
      <c r="AL460" s="323">
        <f t="shared" si="223"/>
        <v>465</v>
      </c>
      <c r="AM460" s="322">
        <f t="shared" si="224"/>
        <v>3</v>
      </c>
      <c r="AN460" s="380">
        <f>IF(AND(AH460&gt;0,B460&lt;&gt;""),VLOOKUP(I460,'AUX-NIV3'!$B:$AO,39,FALSE)*O460,0)</f>
        <v>0</v>
      </c>
      <c r="AO460" s="380">
        <f t="shared" si="214"/>
        <v>0.26237500000000002</v>
      </c>
      <c r="AP460" s="380"/>
    </row>
    <row r="461" spans="2:42" ht="14.4" hidden="1" thickTop="1" thickBot="1">
      <c r="B461" s="324" t="s">
        <v>302</v>
      </c>
      <c r="C461" s="325" t="s">
        <v>303</v>
      </c>
      <c r="D461" s="326" t="s">
        <v>1160</v>
      </c>
      <c r="E461" s="327">
        <f>IF(B461&lt;&gt;"",SUMIF('AUX-NIV1'!I:I,'AUX-NIV2'!B461,'AUX-NIV1'!Q:Q),"")</f>
        <v>0</v>
      </c>
      <c r="F461" s="327" t="e">
        <f t="shared" si="204"/>
        <v>#N/A</v>
      </c>
      <c r="G461" s="327" t="e">
        <f t="shared" si="205"/>
        <v>#N/A</v>
      </c>
      <c r="H461" s="328" t="str">
        <f t="shared" si="200"/>
        <v>A</v>
      </c>
      <c r="I461" s="325" t="s">
        <v>3312</v>
      </c>
      <c r="J461" s="329" t="str">
        <f>IF(B461&lt;&gt;"",+VLOOKUP(I461,Recursos!C:F,2,FALSE),"")</f>
        <v>CHOFER</v>
      </c>
      <c r="K461" s="330" t="str">
        <f>IF(B461&lt;&gt;"",+VLOOKUP(I461,Recursos!C:F,3,FALSE),"")</f>
        <v>hh</v>
      </c>
      <c r="L461" s="327">
        <f>IF(B461&lt;&gt;"",+VLOOKUP(I461,Recursos!C:F,4,FALSE),"")</f>
        <v>496.91595439275824</v>
      </c>
      <c r="M461" s="383">
        <v>0.2</v>
      </c>
      <c r="N461" s="331">
        <v>1.25</v>
      </c>
      <c r="O461" s="332">
        <v>0.05</v>
      </c>
      <c r="P461" s="333">
        <f t="shared" si="201"/>
        <v>24.845797719637915</v>
      </c>
      <c r="Q461" s="327">
        <f t="shared" si="202"/>
        <v>0</v>
      </c>
      <c r="R461" s="334">
        <f t="shared" si="203"/>
        <v>0</v>
      </c>
      <c r="S461" s="335" t="e">
        <f t="shared" si="206"/>
        <v>#N/A</v>
      </c>
      <c r="T461" s="335">
        <f t="shared" si="207"/>
        <v>119.75386090649351</v>
      </c>
      <c r="U461" s="336">
        <f t="shared" si="208"/>
        <v>0</v>
      </c>
      <c r="V461" s="336">
        <f t="shared" si="209"/>
        <v>0</v>
      </c>
      <c r="W461" s="336">
        <f t="shared" si="210"/>
        <v>0</v>
      </c>
      <c r="X461" s="336">
        <f t="shared" si="211"/>
        <v>0</v>
      </c>
      <c r="Y461" s="320"/>
      <c r="Z461" s="321" t="str">
        <f t="shared" si="215"/>
        <v>X-CARMARVA</v>
      </c>
      <c r="AA461" s="321" t="str">
        <f t="shared" si="216"/>
        <v>X-CARMARVE</v>
      </c>
      <c r="AB461" s="321" t="str">
        <f t="shared" si="217"/>
        <v>X-CARMARVM</v>
      </c>
      <c r="AC461" s="321" t="str">
        <f t="shared" si="218"/>
        <v>X-CARMARVT</v>
      </c>
      <c r="AD461" s="321" t="str">
        <f t="shared" si="219"/>
        <v>X-CARMARVS</v>
      </c>
      <c r="AE461" s="321" t="str">
        <f t="shared" si="220"/>
        <v>X-CARMARVX</v>
      </c>
      <c r="AF461" s="321" t="str">
        <f t="shared" si="221"/>
        <v>X-CARMARVA</v>
      </c>
      <c r="AG461" s="321">
        <f t="shared" si="212"/>
        <v>8</v>
      </c>
      <c r="AH461" s="321">
        <f>IF(B461&lt;&gt;"",IF(H461="x",VLOOKUP(I461,'AUX-NIV3'!B:AG,32,FALSE),0),"")</f>
        <v>0</v>
      </c>
      <c r="AI461" s="321" t="str">
        <f t="shared" si="222"/>
        <v>X-CARMARV</v>
      </c>
      <c r="AJ461" s="320"/>
      <c r="AK461" s="322">
        <f t="shared" si="213"/>
        <v>458</v>
      </c>
      <c r="AL461" s="323">
        <f t="shared" si="223"/>
        <v>465</v>
      </c>
      <c r="AM461" s="322">
        <f t="shared" si="224"/>
        <v>4</v>
      </c>
      <c r="AN461" s="380">
        <f>IF(AND(AH461&gt;0,B461&lt;&gt;""),VLOOKUP(I461,'AUX-NIV3'!$B:$AO,39,FALSE)*O461,0)</f>
        <v>0</v>
      </c>
      <c r="AO461" s="380">
        <f t="shared" si="214"/>
        <v>0.26237500000000002</v>
      </c>
      <c r="AP461" s="380"/>
    </row>
    <row r="462" spans="2:42" ht="14.4" hidden="1" thickTop="1" thickBot="1">
      <c r="B462" s="324" t="s">
        <v>302</v>
      </c>
      <c r="C462" s="325" t="s">
        <v>303</v>
      </c>
      <c r="D462" s="326" t="s">
        <v>1160</v>
      </c>
      <c r="E462" s="327">
        <f>IF(B462&lt;&gt;"",SUMIF('AUX-NIV1'!I:I,'AUX-NIV2'!B462,'AUX-NIV1'!Q:Q),"")</f>
        <v>0</v>
      </c>
      <c r="F462" s="327" t="e">
        <f t="shared" si="204"/>
        <v>#N/A</v>
      </c>
      <c r="G462" s="327" t="e">
        <f t="shared" si="205"/>
        <v>#N/A</v>
      </c>
      <c r="H462" s="328" t="str">
        <f t="shared" si="200"/>
        <v>E</v>
      </c>
      <c r="I462" s="325" t="s">
        <v>1556</v>
      </c>
      <c r="J462" s="329" t="str">
        <f>IF(B462&lt;&gt;"",+VLOOKUP(I462,Recursos!C:F,2,FALSE),"")</f>
        <v>CAMION VOLCADOR CAP. 15 T=9 m3</v>
      </c>
      <c r="K462" s="330" t="str">
        <f>IF(B462&lt;&gt;"",+VLOOKUP(I462,Recursos!C:F,3,FALSE),"")</f>
        <v>HR</v>
      </c>
      <c r="L462" s="327">
        <f>IF(B462&lt;&gt;"",+VLOOKUP(I462,Recursos!C:F,4,FALSE),"")</f>
        <v>2547.7823376623378</v>
      </c>
      <c r="M462" s="383">
        <v>0.2</v>
      </c>
      <c r="N462" s="331">
        <v>1</v>
      </c>
      <c r="O462" s="332">
        <v>0.04</v>
      </c>
      <c r="P462" s="333">
        <f t="shared" si="201"/>
        <v>101.91129350649351</v>
      </c>
      <c r="Q462" s="327">
        <f t="shared" si="202"/>
        <v>0</v>
      </c>
      <c r="R462" s="334">
        <f t="shared" si="203"/>
        <v>0</v>
      </c>
      <c r="S462" s="335" t="e">
        <f t="shared" si="206"/>
        <v>#N/A</v>
      </c>
      <c r="T462" s="335">
        <f t="shared" si="207"/>
        <v>119.75386090649351</v>
      </c>
      <c r="U462" s="336">
        <f t="shared" si="208"/>
        <v>0</v>
      </c>
      <c r="V462" s="336">
        <f t="shared" si="209"/>
        <v>0</v>
      </c>
      <c r="W462" s="336">
        <f t="shared" si="210"/>
        <v>0</v>
      </c>
      <c r="X462" s="336">
        <f t="shared" si="211"/>
        <v>0</v>
      </c>
      <c r="Y462" s="320"/>
      <c r="Z462" s="321" t="str">
        <f t="shared" si="215"/>
        <v>X-CARMARVA</v>
      </c>
      <c r="AA462" s="321" t="str">
        <f t="shared" si="216"/>
        <v>X-CARMARVE</v>
      </c>
      <c r="AB462" s="321" t="str">
        <f t="shared" si="217"/>
        <v>X-CARMARVM</v>
      </c>
      <c r="AC462" s="321" t="str">
        <f t="shared" si="218"/>
        <v>X-CARMARVT</v>
      </c>
      <c r="AD462" s="321" t="str">
        <f t="shared" si="219"/>
        <v>X-CARMARVS</v>
      </c>
      <c r="AE462" s="321" t="str">
        <f t="shared" si="220"/>
        <v>X-CARMARVX</v>
      </c>
      <c r="AF462" s="321" t="str">
        <f t="shared" si="221"/>
        <v>X-CARMARVE</v>
      </c>
      <c r="AG462" s="321">
        <f t="shared" si="212"/>
        <v>8</v>
      </c>
      <c r="AH462" s="321">
        <f>IF(B462&lt;&gt;"",IF(H462="x",VLOOKUP(I462,'AUX-NIV3'!B:AG,32,FALSE),0),"")</f>
        <v>0</v>
      </c>
      <c r="AI462" s="321" t="str">
        <f t="shared" si="222"/>
        <v>X-CARMARV</v>
      </c>
      <c r="AJ462" s="320"/>
      <c r="AK462" s="322">
        <f t="shared" si="213"/>
        <v>458</v>
      </c>
      <c r="AL462" s="323">
        <f t="shared" si="223"/>
        <v>465</v>
      </c>
      <c r="AM462" s="322">
        <f t="shared" si="224"/>
        <v>5</v>
      </c>
      <c r="AN462" s="380">
        <f>IF(AND(AH462&gt;0,B462&lt;&gt;""),VLOOKUP(I462,'AUX-NIV3'!$B:$AO,39,FALSE)*O462,0)</f>
        <v>0</v>
      </c>
      <c r="AO462" s="380">
        <f t="shared" si="214"/>
        <v>0.26237500000000002</v>
      </c>
      <c r="AP462" s="380"/>
    </row>
    <row r="463" spans="2:42" ht="14.4" hidden="1" thickTop="1" thickBot="1">
      <c r="B463" s="324" t="s">
        <v>302</v>
      </c>
      <c r="C463" s="325" t="s">
        <v>303</v>
      </c>
      <c r="D463" s="326" t="s">
        <v>1160</v>
      </c>
      <c r="E463" s="327">
        <f>IF(B463&lt;&gt;"",SUMIF('AUX-NIV1'!I:I,'AUX-NIV2'!B463,'AUX-NIV1'!Q:Q),"")</f>
        <v>0</v>
      </c>
      <c r="F463" s="327" t="e">
        <f t="shared" si="204"/>
        <v>#N/A</v>
      </c>
      <c r="G463" s="327" t="e">
        <f t="shared" si="205"/>
        <v>#N/A</v>
      </c>
      <c r="H463" s="328" t="str">
        <f>IF(B463&lt;&gt;"",+LEFT(I463,1),"")</f>
        <v>A</v>
      </c>
      <c r="I463" s="325" t="s">
        <v>3314</v>
      </c>
      <c r="J463" s="329" t="e">
        <f>IF(B463&lt;&gt;"",+VLOOKUP(I463,Recursos!C:F,2,FALSE),"")</f>
        <v>#N/A</v>
      </c>
      <c r="K463" s="330" t="e">
        <f>IF(B463&lt;&gt;"",+VLOOKUP(I463,Recursos!C:F,3,FALSE),"")</f>
        <v>#N/A</v>
      </c>
      <c r="L463" s="327" t="e">
        <f>IF(B463&lt;&gt;"",+VLOOKUP(I463,Recursos!C:F,4,FALSE),"")</f>
        <v>#N/A</v>
      </c>
      <c r="M463" s="383">
        <v>0.2</v>
      </c>
      <c r="N463" s="331">
        <v>1.2</v>
      </c>
      <c r="O463" s="332">
        <v>2E-3</v>
      </c>
      <c r="P463" s="333" t="e">
        <f t="shared" si="201"/>
        <v>#N/A</v>
      </c>
      <c r="Q463" s="327">
        <f t="shared" si="202"/>
        <v>0</v>
      </c>
      <c r="R463" s="334" t="e">
        <f t="shared" si="203"/>
        <v>#N/A</v>
      </c>
      <c r="S463" s="335" t="e">
        <f t="shared" si="206"/>
        <v>#N/A</v>
      </c>
      <c r="T463" s="335">
        <f t="shared" si="207"/>
        <v>119.75386090649351</v>
      </c>
      <c r="U463" s="336">
        <f t="shared" si="208"/>
        <v>0</v>
      </c>
      <c r="V463" s="336">
        <f t="shared" si="209"/>
        <v>0</v>
      </c>
      <c r="W463" s="336">
        <f t="shared" si="210"/>
        <v>0</v>
      </c>
      <c r="X463" s="336">
        <f t="shared" si="211"/>
        <v>0</v>
      </c>
      <c r="Y463" s="320"/>
      <c r="Z463" s="321" t="str">
        <f t="shared" si="215"/>
        <v>X-CARMARVA</v>
      </c>
      <c r="AA463" s="321" t="str">
        <f t="shared" si="216"/>
        <v>X-CARMARVE</v>
      </c>
      <c r="AB463" s="321" t="str">
        <f t="shared" si="217"/>
        <v>X-CARMARVM</v>
      </c>
      <c r="AC463" s="321" t="str">
        <f t="shared" si="218"/>
        <v>X-CARMARVT</v>
      </c>
      <c r="AD463" s="321" t="str">
        <f t="shared" si="219"/>
        <v>X-CARMARVS</v>
      </c>
      <c r="AE463" s="321" t="str">
        <f t="shared" si="220"/>
        <v>X-CARMARVX</v>
      </c>
      <c r="AF463" s="321" t="str">
        <f t="shared" si="221"/>
        <v>X-CARMARVA</v>
      </c>
      <c r="AG463" s="321">
        <f t="shared" si="212"/>
        <v>8</v>
      </c>
      <c r="AH463" s="321">
        <f>IF(B463&lt;&gt;"",IF(H463="x",VLOOKUP(I463,'AUX-NIV3'!B:AG,32,FALSE),0),"")</f>
        <v>0</v>
      </c>
      <c r="AI463" s="321" t="str">
        <f t="shared" si="222"/>
        <v>X-CARMARV</v>
      </c>
      <c r="AJ463" s="320"/>
      <c r="AK463" s="322">
        <f t="shared" si="213"/>
        <v>458</v>
      </c>
      <c r="AL463" s="323">
        <f t="shared" si="223"/>
        <v>465</v>
      </c>
      <c r="AM463" s="322">
        <f t="shared" si="224"/>
        <v>6</v>
      </c>
      <c r="AN463" s="380">
        <f>IF(AND(AH463&gt;0,B463&lt;&gt;""),VLOOKUP(I463,'AUX-NIV3'!$B:$AO,39,FALSE)*O463,0)</f>
        <v>0</v>
      </c>
      <c r="AO463" s="380">
        <f t="shared" si="214"/>
        <v>0.26237500000000002</v>
      </c>
      <c r="AP463" s="380"/>
    </row>
    <row r="464" spans="2:42" ht="14.4" hidden="1" thickTop="1" thickBot="1">
      <c r="B464" s="324" t="s">
        <v>302</v>
      </c>
      <c r="C464" s="325" t="s">
        <v>303</v>
      </c>
      <c r="D464" s="326" t="s">
        <v>1160</v>
      </c>
      <c r="E464" s="327">
        <f>IF(B464&lt;&gt;"",SUMIF('AUX-NIV1'!I:I,'AUX-NIV2'!B464,'AUX-NIV1'!Q:Q),"")</f>
        <v>0</v>
      </c>
      <c r="F464" s="327" t="e">
        <f t="shared" si="204"/>
        <v>#N/A</v>
      </c>
      <c r="G464" s="327" t="e">
        <f t="shared" si="205"/>
        <v>#N/A</v>
      </c>
      <c r="H464" s="328" t="str">
        <f>IF(B464&lt;&gt;"",+LEFT(I464,1),"")</f>
        <v>A</v>
      </c>
      <c r="I464" s="325" t="s">
        <v>3311</v>
      </c>
      <c r="J464" s="329" t="str">
        <f>IF(B464&lt;&gt;"",+VLOOKUP(I464,Recursos!C:F,2,FALSE),"")</f>
        <v>OPER. EQUIPO</v>
      </c>
      <c r="K464" s="330" t="str">
        <f>IF(B464&lt;&gt;"",+VLOOKUP(I464,Recursos!C:F,3,FALSE),"")</f>
        <v>hh</v>
      </c>
      <c r="L464" s="327">
        <f>IF(B464&lt;&gt;"",+VLOOKUP(I464,Recursos!C:F,4,FALSE),"")</f>
        <v>581.06120476836554</v>
      </c>
      <c r="M464" s="383">
        <v>0.2</v>
      </c>
      <c r="N464" s="331">
        <v>1.2</v>
      </c>
      <c r="O464" s="332">
        <v>2E-3</v>
      </c>
      <c r="P464" s="333">
        <f t="shared" si="201"/>
        <v>1.1621224095367311</v>
      </c>
      <c r="Q464" s="327">
        <f t="shared" si="202"/>
        <v>0</v>
      </c>
      <c r="R464" s="334">
        <f t="shared" si="203"/>
        <v>0</v>
      </c>
      <c r="S464" s="335" t="e">
        <f t="shared" si="206"/>
        <v>#N/A</v>
      </c>
      <c r="T464" s="335">
        <f t="shared" si="207"/>
        <v>119.75386090649351</v>
      </c>
      <c r="U464" s="336">
        <f t="shared" si="208"/>
        <v>0</v>
      </c>
      <c r="V464" s="336">
        <f t="shared" si="209"/>
        <v>0</v>
      </c>
      <c r="W464" s="336">
        <f t="shared" si="210"/>
        <v>0</v>
      </c>
      <c r="X464" s="336">
        <f t="shared" si="211"/>
        <v>0</v>
      </c>
      <c r="Y464" s="320"/>
      <c r="Z464" s="321" t="str">
        <f t="shared" si="215"/>
        <v>X-CARMARVA</v>
      </c>
      <c r="AA464" s="321" t="str">
        <f t="shared" si="216"/>
        <v>X-CARMARVE</v>
      </c>
      <c r="AB464" s="321" t="str">
        <f t="shared" si="217"/>
        <v>X-CARMARVM</v>
      </c>
      <c r="AC464" s="321" t="str">
        <f t="shared" si="218"/>
        <v>X-CARMARVT</v>
      </c>
      <c r="AD464" s="321" t="str">
        <f t="shared" si="219"/>
        <v>X-CARMARVS</v>
      </c>
      <c r="AE464" s="321" t="str">
        <f t="shared" si="220"/>
        <v>X-CARMARVX</v>
      </c>
      <c r="AF464" s="321" t="str">
        <f t="shared" si="221"/>
        <v>X-CARMARVA</v>
      </c>
      <c r="AG464" s="321">
        <f t="shared" si="212"/>
        <v>8</v>
      </c>
      <c r="AH464" s="321">
        <f>IF(B464&lt;&gt;"",IF(H464="x",VLOOKUP(I464,'AUX-NIV3'!B:AG,32,FALSE),0),"")</f>
        <v>0</v>
      </c>
      <c r="AI464" s="321" t="str">
        <f t="shared" si="222"/>
        <v>X-CARMARV</v>
      </c>
      <c r="AJ464" s="320"/>
      <c r="AK464" s="322">
        <f t="shared" si="213"/>
        <v>458</v>
      </c>
      <c r="AL464" s="323">
        <f t="shared" si="223"/>
        <v>465</v>
      </c>
      <c r="AM464" s="322">
        <f t="shared" si="224"/>
        <v>7</v>
      </c>
      <c r="AN464" s="380">
        <f>IF(AND(AH464&gt;0,B464&lt;&gt;""),VLOOKUP(I464,'AUX-NIV3'!$B:$AO,39,FALSE)*O464,0)</f>
        <v>0</v>
      </c>
      <c r="AO464" s="380">
        <f t="shared" si="214"/>
        <v>0.26237500000000002</v>
      </c>
      <c r="AP464" s="380"/>
    </row>
    <row r="465" spans="2:42" ht="14.4" hidden="1" thickTop="1" thickBot="1">
      <c r="B465" s="324" t="s">
        <v>302</v>
      </c>
      <c r="C465" s="325" t="s">
        <v>303</v>
      </c>
      <c r="D465" s="326" t="s">
        <v>1160</v>
      </c>
      <c r="E465" s="327">
        <f>IF(B465&lt;&gt;"",SUMIF('AUX-NIV1'!I:I,'AUX-NIV2'!B465,'AUX-NIV1'!Q:Q),"")</f>
        <v>0</v>
      </c>
      <c r="F465" s="327" t="e">
        <f t="shared" si="204"/>
        <v>#N/A</v>
      </c>
      <c r="G465" s="327" t="e">
        <f t="shared" si="205"/>
        <v>#N/A</v>
      </c>
      <c r="H465" s="328" t="str">
        <f>IF(B465&lt;&gt;"",+LEFT(I465,1),"")</f>
        <v>E</v>
      </c>
      <c r="I465" s="325" t="s">
        <v>1596</v>
      </c>
      <c r="J465" s="329" t="str">
        <f>IF(B465&lt;&gt;"",+VLOOKUP(I465,Recursos!C:F,2,FALSE),"")</f>
        <v>GRUA MOVIL TODO TERRENO (32 T)</v>
      </c>
      <c r="K465" s="330" t="str">
        <f>IF(B465&lt;&gt;"",+VLOOKUP(I465,Recursos!C:F,3,FALSE),"")</f>
        <v>HR</v>
      </c>
      <c r="L465" s="327">
        <f>IF(B465&lt;&gt;"",+VLOOKUP(I465,Recursos!C:F,4,FALSE),"")</f>
        <v>4411.9357999999993</v>
      </c>
      <c r="M465" s="383">
        <v>0.2</v>
      </c>
      <c r="N465" s="331">
        <v>1</v>
      </c>
      <c r="O465" s="332">
        <v>2E-3</v>
      </c>
      <c r="P465" s="333">
        <f t="shared" si="201"/>
        <v>8.8238715999999986</v>
      </c>
      <c r="Q465" s="327">
        <f t="shared" si="202"/>
        <v>0</v>
      </c>
      <c r="R465" s="334">
        <f t="shared" si="203"/>
        <v>0</v>
      </c>
      <c r="S465" s="335" t="e">
        <f t="shared" si="206"/>
        <v>#N/A</v>
      </c>
      <c r="T465" s="335">
        <f t="shared" si="207"/>
        <v>119.75386090649351</v>
      </c>
      <c r="U465" s="336">
        <f t="shared" si="208"/>
        <v>0</v>
      </c>
      <c r="V465" s="336">
        <f t="shared" si="209"/>
        <v>0</v>
      </c>
      <c r="W465" s="336">
        <f t="shared" si="210"/>
        <v>0</v>
      </c>
      <c r="X465" s="336">
        <f t="shared" si="211"/>
        <v>0</v>
      </c>
      <c r="Y465" s="320"/>
      <c r="Z465" s="321" t="str">
        <f t="shared" si="215"/>
        <v>X-CARMARVA</v>
      </c>
      <c r="AA465" s="321" t="str">
        <f t="shared" si="216"/>
        <v>X-CARMARVE</v>
      </c>
      <c r="AB465" s="321" t="str">
        <f t="shared" si="217"/>
        <v>X-CARMARVM</v>
      </c>
      <c r="AC465" s="321" t="str">
        <f t="shared" si="218"/>
        <v>X-CARMARVT</v>
      </c>
      <c r="AD465" s="321" t="str">
        <f t="shared" si="219"/>
        <v>X-CARMARVS</v>
      </c>
      <c r="AE465" s="321" t="str">
        <f t="shared" si="220"/>
        <v>X-CARMARVX</v>
      </c>
      <c r="AF465" s="321" t="str">
        <f t="shared" si="221"/>
        <v>X-CARMARVE</v>
      </c>
      <c r="AG465" s="321">
        <f t="shared" si="212"/>
        <v>8</v>
      </c>
      <c r="AH465" s="321">
        <f>IF(B465&lt;&gt;"",IF(H465="x",VLOOKUP(I465,'AUX-NIV3'!B:AG,32,FALSE),0),"")</f>
        <v>0</v>
      </c>
      <c r="AI465" s="321" t="str">
        <f t="shared" si="222"/>
        <v>X-CARMARV</v>
      </c>
      <c r="AJ465" s="320"/>
      <c r="AK465" s="322">
        <f t="shared" si="213"/>
        <v>458</v>
      </c>
      <c r="AL465" s="323">
        <f t="shared" si="223"/>
        <v>465</v>
      </c>
      <c r="AM465" s="322">
        <f t="shared" si="224"/>
        <v>8</v>
      </c>
      <c r="AN465" s="380">
        <f>IF(AND(AH465&gt;0,B465&lt;&gt;""),VLOOKUP(I465,'AUX-NIV3'!$B:$AO,39,FALSE)*O465,0)</f>
        <v>0</v>
      </c>
      <c r="AO465" s="380">
        <f t="shared" si="214"/>
        <v>0.26237500000000002</v>
      </c>
      <c r="AP465" s="380"/>
    </row>
    <row r="466" spans="2:42" ht="14.4" hidden="1" thickTop="1" thickBot="1">
      <c r="B466" s="325" t="s">
        <v>1363</v>
      </c>
      <c r="C466" s="325" t="s">
        <v>1375</v>
      </c>
      <c r="D466" s="326" t="s">
        <v>501</v>
      </c>
      <c r="E466" s="327">
        <f>IF(B466&lt;&gt;"",SUMIF('AUX-NIV1'!I:I,'AUX-NIV2'!B466,'AUX-NIV1'!Q:Q),"")</f>
        <v>0</v>
      </c>
      <c r="F466" s="327">
        <f t="shared" si="204"/>
        <v>31.159858790926549</v>
      </c>
      <c r="G466" s="327">
        <f t="shared" si="205"/>
        <v>0</v>
      </c>
      <c r="H466" s="328" t="str">
        <f t="shared" si="200"/>
        <v>X</v>
      </c>
      <c r="I466" s="325" t="s">
        <v>1387</v>
      </c>
      <c r="J466" s="329" t="str">
        <f>IF(B466&lt;&gt;"",+VLOOKUP(I466,Recursos!C:F,2,FALSE),"")</f>
        <v>Escarificado base de asiento</v>
      </c>
      <c r="K466" s="330" t="str">
        <f>IF(B466&lt;&gt;"",+VLOOKUP(I466,Recursos!C:F,3,FALSE),"")</f>
        <v>m2</v>
      </c>
      <c r="L466" s="327">
        <f>IF(B466&lt;&gt;"",+VLOOKUP(I466,Recursos!C:F,4,FALSE),"")</f>
        <v>11.99733938744173</v>
      </c>
      <c r="M466" s="432">
        <v>1</v>
      </c>
      <c r="N466" s="432">
        <v>1</v>
      </c>
      <c r="O466" s="332">
        <f>+N466*M466</f>
        <v>1</v>
      </c>
      <c r="P466" s="333">
        <f t="shared" si="201"/>
        <v>11.99733938744173</v>
      </c>
      <c r="Q466" s="327">
        <f t="shared" si="202"/>
        <v>0</v>
      </c>
      <c r="R466" s="334">
        <f t="shared" si="203"/>
        <v>0</v>
      </c>
      <c r="S466" s="335">
        <f t="shared" si="206"/>
        <v>0</v>
      </c>
      <c r="T466" s="335">
        <f t="shared" si="207"/>
        <v>0</v>
      </c>
      <c r="U466" s="336">
        <f t="shared" si="208"/>
        <v>0</v>
      </c>
      <c r="V466" s="336">
        <f t="shared" si="209"/>
        <v>0</v>
      </c>
      <c r="W466" s="336">
        <f t="shared" si="210"/>
        <v>0</v>
      </c>
      <c r="X466" s="336">
        <f t="shared" si="211"/>
        <v>31.159858790926549</v>
      </c>
      <c r="Y466" s="320"/>
      <c r="Z466" s="321" t="str">
        <f t="shared" si="215"/>
        <v>X-T0001A</v>
      </c>
      <c r="AA466" s="321" t="str">
        <f t="shared" si="216"/>
        <v>X-T0001E</v>
      </c>
      <c r="AB466" s="321" t="str">
        <f t="shared" si="217"/>
        <v>X-T0001M</v>
      </c>
      <c r="AC466" s="321" t="str">
        <f t="shared" si="218"/>
        <v>X-T0001T</v>
      </c>
      <c r="AD466" s="321" t="str">
        <f t="shared" si="219"/>
        <v>X-T0001S</v>
      </c>
      <c r="AE466" s="321" t="str">
        <f t="shared" si="220"/>
        <v>X-T0001X</v>
      </c>
      <c r="AF466" s="321" t="str">
        <f t="shared" si="221"/>
        <v>X-T0001X</v>
      </c>
      <c r="AG466" s="321">
        <f t="shared" si="212"/>
        <v>6</v>
      </c>
      <c r="AH466" s="321">
        <f>IF(B466&lt;&gt;"",IF(H466="x",VLOOKUP(I466,'AUX-NIV3'!B:AG,32,FALSE),0),"")</f>
        <v>3</v>
      </c>
      <c r="AI466" s="321" t="str">
        <f t="shared" si="222"/>
        <v>X-T0001</v>
      </c>
      <c r="AJ466" s="320"/>
      <c r="AK466" s="322">
        <f t="shared" si="213"/>
        <v>466</v>
      </c>
      <c r="AL466" s="323">
        <f t="shared" si="223"/>
        <v>471</v>
      </c>
      <c r="AM466" s="322">
        <f t="shared" si="224"/>
        <v>1</v>
      </c>
      <c r="AN466" s="380">
        <f>IF(AND(AH466&gt;0,B466&lt;&gt;""),VLOOKUP(I466,'AUX-NIV3'!$B:$AO,39,FALSE)*O466,0)</f>
        <v>3.3333333333333335E-3</v>
      </c>
      <c r="AO466" s="380">
        <f t="shared" si="214"/>
        <v>1.023525641025641E-2</v>
      </c>
      <c r="AP466" s="380"/>
    </row>
    <row r="467" spans="2:42" ht="14.4" hidden="1" thickTop="1" thickBot="1">
      <c r="B467" s="325" t="s">
        <v>1363</v>
      </c>
      <c r="C467" s="325" t="s">
        <v>1375</v>
      </c>
      <c r="D467" s="326" t="s">
        <v>501</v>
      </c>
      <c r="E467" s="327">
        <f>IF(B467&lt;&gt;"",SUMIF('AUX-NIV1'!I:I,'AUX-NIV2'!B467,'AUX-NIV1'!Q:Q),"")</f>
        <v>0</v>
      </c>
      <c r="F467" s="327">
        <f t="shared" si="204"/>
        <v>31.159858790926549</v>
      </c>
      <c r="G467" s="327">
        <f t="shared" si="205"/>
        <v>0</v>
      </c>
      <c r="H467" s="328" t="str">
        <f>IF(B467&lt;&gt;"",+LEFT(I467,1),"")</f>
        <v>X</v>
      </c>
      <c r="I467" s="325" t="s">
        <v>1388</v>
      </c>
      <c r="J467" s="329" t="str">
        <f>IF(B467&lt;&gt;"",+VLOOKUP(I467,Recursos!C:F,2,FALSE),"")</f>
        <v>Obtención de agua para riego</v>
      </c>
      <c r="K467" s="330" t="str">
        <f>IF(B467&lt;&gt;"",+VLOOKUP(I467,Recursos!C:F,3,FALSE),"")</f>
        <v>m3</v>
      </c>
      <c r="L467" s="327">
        <f>IF(B467&lt;&gt;"",+VLOOKUP(I467,Recursos!C:F,4,FALSE),"")</f>
        <v>43.481296096028451</v>
      </c>
      <c r="M467" s="432">
        <v>1</v>
      </c>
      <c r="N467" s="432">
        <f>0.1*0.1</f>
        <v>1.0000000000000002E-2</v>
      </c>
      <c r="O467" s="332">
        <f t="shared" ref="O467:O482" si="225">+N467*M467</f>
        <v>1.0000000000000002E-2</v>
      </c>
      <c r="P467" s="333">
        <f>IF(B467&lt;&gt;"",O467*L467,"")</f>
        <v>0.4348129609602846</v>
      </c>
      <c r="Q467" s="327">
        <f>IF(B467&lt;&gt;"",+O467*E467,"")</f>
        <v>0</v>
      </c>
      <c r="R467" s="334">
        <f>IF(B467&lt;&gt;"",Q467*L467,"")</f>
        <v>0</v>
      </c>
      <c r="S467" s="335">
        <f t="shared" si="206"/>
        <v>0</v>
      </c>
      <c r="T467" s="335">
        <f t="shared" si="207"/>
        <v>0</v>
      </c>
      <c r="U467" s="336">
        <f t="shared" si="208"/>
        <v>0</v>
      </c>
      <c r="V467" s="336">
        <f t="shared" si="209"/>
        <v>0</v>
      </c>
      <c r="W467" s="336">
        <f t="shared" si="210"/>
        <v>0</v>
      </c>
      <c r="X467" s="336">
        <f t="shared" si="211"/>
        <v>31.159858790926549</v>
      </c>
      <c r="Y467" s="320"/>
      <c r="Z467" s="321" t="str">
        <f t="shared" si="215"/>
        <v>X-T0001A</v>
      </c>
      <c r="AA467" s="321" t="str">
        <f t="shared" si="216"/>
        <v>X-T0001E</v>
      </c>
      <c r="AB467" s="321" t="str">
        <f t="shared" si="217"/>
        <v>X-T0001M</v>
      </c>
      <c r="AC467" s="321" t="str">
        <f t="shared" si="218"/>
        <v>X-T0001T</v>
      </c>
      <c r="AD467" s="321" t="str">
        <f t="shared" si="219"/>
        <v>X-T0001S</v>
      </c>
      <c r="AE467" s="321" t="str">
        <f t="shared" si="220"/>
        <v>X-T0001X</v>
      </c>
      <c r="AF467" s="321" t="str">
        <f t="shared" si="221"/>
        <v>X-T0001X</v>
      </c>
      <c r="AG467" s="321">
        <f t="shared" si="212"/>
        <v>6</v>
      </c>
      <c r="AH467" s="321">
        <f>IF(B467&lt;&gt;"",IF(H467="x",VLOOKUP(I467,'AUX-NIV3'!B:AG,32,FALSE),0),"")</f>
        <v>4</v>
      </c>
      <c r="AI467" s="321" t="str">
        <f t="shared" si="222"/>
        <v>X-T0001</v>
      </c>
      <c r="AJ467" s="320"/>
      <c r="AK467" s="322">
        <f t="shared" si="213"/>
        <v>466</v>
      </c>
      <c r="AL467" s="323">
        <f t="shared" si="223"/>
        <v>471</v>
      </c>
      <c r="AM467" s="322">
        <f t="shared" si="224"/>
        <v>2</v>
      </c>
      <c r="AN467" s="380">
        <f>IF(AND(AH467&gt;0,B467&lt;&gt;""),VLOOKUP(I467,'AUX-NIV3'!$B:$AO,39,FALSE)*O467,0)</f>
        <v>2.0000000000000004E-4</v>
      </c>
      <c r="AO467" s="380">
        <f t="shared" si="214"/>
        <v>1.023525641025641E-2</v>
      </c>
      <c r="AP467" s="380"/>
    </row>
    <row r="468" spans="2:42" ht="14.4" hidden="1" thickTop="1" thickBot="1">
      <c r="B468" s="325" t="s">
        <v>1363</v>
      </c>
      <c r="C468" s="325" t="s">
        <v>1375</v>
      </c>
      <c r="D468" s="326" t="s">
        <v>501</v>
      </c>
      <c r="E468" s="327">
        <f>IF(B468&lt;&gt;"",SUMIF('AUX-NIV1'!I:I,'AUX-NIV2'!B468,'AUX-NIV1'!Q:Q),"")</f>
        <v>0</v>
      </c>
      <c r="F468" s="327">
        <f t="shared" si="204"/>
        <v>31.159858790926549</v>
      </c>
      <c r="G468" s="327">
        <f t="shared" si="205"/>
        <v>0</v>
      </c>
      <c r="H468" s="328" t="str">
        <f>IF(B468&lt;&gt;"",+LEFT(I468,1),"")</f>
        <v>X</v>
      </c>
      <c r="I468" s="325" t="s">
        <v>1389</v>
      </c>
      <c r="J468" s="329" t="str">
        <f>IF(B468&lt;&gt;"",+VLOOKUP(I468,Recursos!C:F,2,FALSE),"")</f>
        <v>Transporte de agua para riego</v>
      </c>
      <c r="K468" s="330" t="str">
        <f>IF(B468&lt;&gt;"",+VLOOKUP(I468,Recursos!C:F,3,FALSE),"")</f>
        <v>m3</v>
      </c>
      <c r="L468" s="327">
        <f>IF(B468&lt;&gt;"",+VLOOKUP(I468,Recursos!C:F,4,FALSE),"")</f>
        <v>120.18495973415189</v>
      </c>
      <c r="M468" s="432">
        <v>1</v>
      </c>
      <c r="N468" s="432">
        <f>+N467</f>
        <v>1.0000000000000002E-2</v>
      </c>
      <c r="O468" s="332">
        <f t="shared" si="225"/>
        <v>1.0000000000000002E-2</v>
      </c>
      <c r="P468" s="333">
        <f>IF(B468&lt;&gt;"",O468*L468,"")</f>
        <v>1.2018495973415191</v>
      </c>
      <c r="Q468" s="327">
        <f>IF(B468&lt;&gt;"",+O468*E468,"")</f>
        <v>0</v>
      </c>
      <c r="R468" s="334">
        <f>IF(B468&lt;&gt;"",Q468*L468,"")</f>
        <v>0</v>
      </c>
      <c r="S468" s="335">
        <f t="shared" si="206"/>
        <v>0</v>
      </c>
      <c r="T468" s="335">
        <f t="shared" si="207"/>
        <v>0</v>
      </c>
      <c r="U468" s="336">
        <f t="shared" si="208"/>
        <v>0</v>
      </c>
      <c r="V468" s="336">
        <f t="shared" si="209"/>
        <v>0</v>
      </c>
      <c r="W468" s="336">
        <f t="shared" si="210"/>
        <v>0</v>
      </c>
      <c r="X468" s="336">
        <f t="shared" si="211"/>
        <v>31.159858790926549</v>
      </c>
      <c r="Y468" s="320"/>
      <c r="Z468" s="321" t="str">
        <f t="shared" si="215"/>
        <v>X-T0001A</v>
      </c>
      <c r="AA468" s="321" t="str">
        <f t="shared" si="216"/>
        <v>X-T0001E</v>
      </c>
      <c r="AB468" s="321" t="str">
        <f t="shared" si="217"/>
        <v>X-T0001M</v>
      </c>
      <c r="AC468" s="321" t="str">
        <f t="shared" si="218"/>
        <v>X-T0001T</v>
      </c>
      <c r="AD468" s="321" t="str">
        <f t="shared" si="219"/>
        <v>X-T0001S</v>
      </c>
      <c r="AE468" s="321" t="str">
        <f t="shared" si="220"/>
        <v>X-T0001X</v>
      </c>
      <c r="AF468" s="321" t="str">
        <f t="shared" si="221"/>
        <v>X-T0001X</v>
      </c>
      <c r="AG468" s="321">
        <f t="shared" si="212"/>
        <v>6</v>
      </c>
      <c r="AH468" s="321">
        <f>IF(B468&lt;&gt;"",IF(H468="x",VLOOKUP(I468,'AUX-NIV3'!B:AG,32,FALSE),0),"")</f>
        <v>3</v>
      </c>
      <c r="AI468" s="321" t="str">
        <f t="shared" si="222"/>
        <v>X-T0001</v>
      </c>
      <c r="AJ468" s="320"/>
      <c r="AK468" s="322">
        <f t="shared" si="213"/>
        <v>466</v>
      </c>
      <c r="AL468" s="323">
        <f t="shared" si="223"/>
        <v>471</v>
      </c>
      <c r="AM468" s="322">
        <f t="shared" si="224"/>
        <v>3</v>
      </c>
      <c r="AN468" s="380">
        <f>IF(AND(AH468&gt;0,B468&lt;&gt;""),VLOOKUP(I468,'AUX-NIV3'!$B:$AO,39,FALSE)*O468,0)</f>
        <v>4.0000000000000007E-4</v>
      </c>
      <c r="AO468" s="380">
        <f t="shared" si="214"/>
        <v>1.023525641025641E-2</v>
      </c>
      <c r="AP468" s="380"/>
    </row>
    <row r="469" spans="2:42" ht="14.4" hidden="1" thickTop="1" thickBot="1">
      <c r="B469" s="325" t="s">
        <v>1363</v>
      </c>
      <c r="C469" s="325" t="s">
        <v>1375</v>
      </c>
      <c r="D469" s="326" t="s">
        <v>501</v>
      </c>
      <c r="E469" s="327">
        <f>IF(B469&lt;&gt;"",SUMIF('AUX-NIV1'!I:I,'AUX-NIV2'!B469,'AUX-NIV1'!Q:Q),"")</f>
        <v>0</v>
      </c>
      <c r="F469" s="327">
        <f t="shared" si="204"/>
        <v>31.159858790926549</v>
      </c>
      <c r="G469" s="327">
        <f t="shared" si="205"/>
        <v>0</v>
      </c>
      <c r="H469" s="328" t="str">
        <f>IF(B469&lt;&gt;"",+LEFT(I469,1),"")</f>
        <v>X</v>
      </c>
      <c r="I469" s="325" t="s">
        <v>1390</v>
      </c>
      <c r="J469" s="329" t="str">
        <f>IF(B469&lt;&gt;"",+VLOOKUP(I469,Recursos!C:F,2,FALSE),"")</f>
        <v>Riego de terraplén</v>
      </c>
      <c r="K469" s="330" t="str">
        <f>IF(B469&lt;&gt;"",+VLOOKUP(I469,Recursos!C:F,3,FALSE),"")</f>
        <v>m3</v>
      </c>
      <c r="L469" s="327">
        <f>IF(B469&lt;&gt;"",+VLOOKUP(I469,Recursos!C:F,4,FALSE),"")</f>
        <v>39.234240090026674</v>
      </c>
      <c r="M469" s="432">
        <v>1.2</v>
      </c>
      <c r="N469" s="432">
        <f>+N468</f>
        <v>1.0000000000000002E-2</v>
      </c>
      <c r="O469" s="332">
        <f t="shared" si="225"/>
        <v>1.2000000000000002E-2</v>
      </c>
      <c r="P469" s="333">
        <f>IF(B469&lt;&gt;"",O469*L469,"")</f>
        <v>0.47081088108032015</v>
      </c>
      <c r="Q469" s="327">
        <f>IF(B469&lt;&gt;"",+O469*E469,"")</f>
        <v>0</v>
      </c>
      <c r="R469" s="334">
        <f>IF(B469&lt;&gt;"",Q469*L469,"")</f>
        <v>0</v>
      </c>
      <c r="S469" s="335">
        <f t="shared" si="206"/>
        <v>0</v>
      </c>
      <c r="T469" s="335">
        <f t="shared" si="207"/>
        <v>0</v>
      </c>
      <c r="U469" s="336">
        <f t="shared" si="208"/>
        <v>0</v>
      </c>
      <c r="V469" s="336">
        <f t="shared" si="209"/>
        <v>0</v>
      </c>
      <c r="W469" s="336">
        <f t="shared" si="210"/>
        <v>0</v>
      </c>
      <c r="X469" s="336">
        <f t="shared" si="211"/>
        <v>31.159858790926549</v>
      </c>
      <c r="Y469" s="320"/>
      <c r="Z469" s="321" t="str">
        <f t="shared" si="215"/>
        <v>X-T0001A</v>
      </c>
      <c r="AA469" s="321" t="str">
        <f t="shared" si="216"/>
        <v>X-T0001E</v>
      </c>
      <c r="AB469" s="321" t="str">
        <f t="shared" si="217"/>
        <v>X-T0001M</v>
      </c>
      <c r="AC469" s="321" t="str">
        <f t="shared" si="218"/>
        <v>X-T0001T</v>
      </c>
      <c r="AD469" s="321" t="str">
        <f t="shared" si="219"/>
        <v>X-T0001S</v>
      </c>
      <c r="AE469" s="321" t="str">
        <f t="shared" si="220"/>
        <v>X-T0001X</v>
      </c>
      <c r="AF469" s="321" t="str">
        <f t="shared" si="221"/>
        <v>X-T0001X</v>
      </c>
      <c r="AG469" s="321">
        <f t="shared" si="212"/>
        <v>6</v>
      </c>
      <c r="AH469" s="321">
        <f>IF(B469&lt;&gt;"",IF(H469="x",VLOOKUP(I469,'AUX-NIV3'!B:AG,32,FALSE),0),"")</f>
        <v>3</v>
      </c>
      <c r="AI469" s="321" t="str">
        <f t="shared" si="222"/>
        <v>X-T0001</v>
      </c>
      <c r="AJ469" s="320"/>
      <c r="AK469" s="322">
        <f t="shared" si="213"/>
        <v>466</v>
      </c>
      <c r="AL469" s="323">
        <f t="shared" si="223"/>
        <v>471</v>
      </c>
      <c r="AM469" s="322">
        <f t="shared" si="224"/>
        <v>4</v>
      </c>
      <c r="AN469" s="380">
        <f>IF(AND(AH469&gt;0,B469&lt;&gt;""),VLOOKUP(I469,'AUX-NIV3'!$B:$AO,39,FALSE)*O469,0)</f>
        <v>2.2500000000000008E-4</v>
      </c>
      <c r="AO469" s="380">
        <f t="shared" si="214"/>
        <v>1.023525641025641E-2</v>
      </c>
      <c r="AP469" s="380"/>
    </row>
    <row r="470" spans="2:42" ht="14.4" hidden="1" thickTop="1" thickBot="1">
      <c r="B470" s="325" t="s">
        <v>1363</v>
      </c>
      <c r="C470" s="325" t="s">
        <v>1375</v>
      </c>
      <c r="D470" s="326" t="s">
        <v>501</v>
      </c>
      <c r="E470" s="327">
        <f>IF(B470&lt;&gt;"",SUMIF('AUX-NIV1'!I:I,'AUX-NIV2'!B470,'AUX-NIV1'!Q:Q),"")</f>
        <v>0</v>
      </c>
      <c r="F470" s="327">
        <f t="shared" si="204"/>
        <v>31.159858790926549</v>
      </c>
      <c r="G470" s="327">
        <f t="shared" si="205"/>
        <v>0</v>
      </c>
      <c r="H470" s="328" t="str">
        <f>IF(B470&lt;&gt;"",+LEFT(I470,1),"")</f>
        <v>X</v>
      </c>
      <c r="I470" s="325" t="s">
        <v>1391</v>
      </c>
      <c r="J470" s="329" t="str">
        <f>IF(B470&lt;&gt;"",+VLOOKUP(I470,Recursos!C:F,2,FALSE),"")</f>
        <v>Homogeneización del material</v>
      </c>
      <c r="K470" s="330" t="str">
        <f>IF(B470&lt;&gt;"",+VLOOKUP(I470,Recursos!C:F,3,FALSE),"")</f>
        <v>m2</v>
      </c>
      <c r="L470" s="327">
        <f>IF(B470&lt;&gt;"",+VLOOKUP(I470,Recursos!C:F,4,FALSE),"")</f>
        <v>11.07446712686929</v>
      </c>
      <c r="M470" s="432">
        <v>1</v>
      </c>
      <c r="N470" s="432">
        <v>1</v>
      </c>
      <c r="O470" s="332">
        <f t="shared" si="225"/>
        <v>1</v>
      </c>
      <c r="P470" s="333">
        <f>IF(B470&lt;&gt;"",O470*L470,"")</f>
        <v>11.07446712686929</v>
      </c>
      <c r="Q470" s="327">
        <f>IF(B470&lt;&gt;"",+O470*E470,"")</f>
        <v>0</v>
      </c>
      <c r="R470" s="334">
        <f>IF(B470&lt;&gt;"",Q470*L470,"")</f>
        <v>0</v>
      </c>
      <c r="S470" s="335">
        <f t="shared" si="206"/>
        <v>0</v>
      </c>
      <c r="T470" s="335">
        <f t="shared" si="207"/>
        <v>0</v>
      </c>
      <c r="U470" s="336">
        <f t="shared" si="208"/>
        <v>0</v>
      </c>
      <c r="V470" s="336">
        <f t="shared" si="209"/>
        <v>0</v>
      </c>
      <c r="W470" s="336">
        <f t="shared" si="210"/>
        <v>0</v>
      </c>
      <c r="X470" s="336">
        <f t="shared" si="211"/>
        <v>31.159858790926549</v>
      </c>
      <c r="Y470" s="320"/>
      <c r="Z470" s="321" t="str">
        <f t="shared" si="215"/>
        <v>X-T0001A</v>
      </c>
      <c r="AA470" s="321" t="str">
        <f t="shared" si="216"/>
        <v>X-T0001E</v>
      </c>
      <c r="AB470" s="321" t="str">
        <f t="shared" si="217"/>
        <v>X-T0001M</v>
      </c>
      <c r="AC470" s="321" t="str">
        <f t="shared" si="218"/>
        <v>X-T0001T</v>
      </c>
      <c r="AD470" s="321" t="str">
        <f t="shared" si="219"/>
        <v>X-T0001S</v>
      </c>
      <c r="AE470" s="321" t="str">
        <f t="shared" si="220"/>
        <v>X-T0001X</v>
      </c>
      <c r="AF470" s="321" t="str">
        <f t="shared" si="221"/>
        <v>X-T0001X</v>
      </c>
      <c r="AG470" s="321">
        <f t="shared" si="212"/>
        <v>6</v>
      </c>
      <c r="AH470" s="321">
        <f>IF(B470&lt;&gt;"",IF(H470="x",VLOOKUP(I470,'AUX-NIV3'!B:AG,32,FALSE),0),"")</f>
        <v>3</v>
      </c>
      <c r="AI470" s="321" t="str">
        <f t="shared" si="222"/>
        <v>X-T0001</v>
      </c>
      <c r="AJ470" s="320"/>
      <c r="AK470" s="322">
        <f t="shared" si="213"/>
        <v>466</v>
      </c>
      <c r="AL470" s="323">
        <f t="shared" si="223"/>
        <v>471</v>
      </c>
      <c r="AM470" s="322">
        <f t="shared" si="224"/>
        <v>5</v>
      </c>
      <c r="AN470" s="380">
        <f>IF(AND(AH470&gt;0,B470&lt;&gt;""),VLOOKUP(I470,'AUX-NIV3'!$B:$AO,39,FALSE)*O470,0)</f>
        <v>3.0769230769230769E-3</v>
      </c>
      <c r="AO470" s="380">
        <f t="shared" si="214"/>
        <v>1.023525641025641E-2</v>
      </c>
      <c r="AP470" s="380"/>
    </row>
    <row r="471" spans="2:42" ht="14.4" hidden="1" thickTop="1" thickBot="1">
      <c r="B471" s="325" t="s">
        <v>1363</v>
      </c>
      <c r="C471" s="325" t="s">
        <v>1375</v>
      </c>
      <c r="D471" s="326" t="s">
        <v>501</v>
      </c>
      <c r="E471" s="327">
        <f>IF(B471&lt;&gt;"",SUMIF('AUX-NIV1'!I:I,'AUX-NIV2'!B471,'AUX-NIV1'!Q:Q),"")</f>
        <v>0</v>
      </c>
      <c r="F471" s="327">
        <f t="shared" si="204"/>
        <v>31.159858790926549</v>
      </c>
      <c r="G471" s="327">
        <f t="shared" si="205"/>
        <v>0</v>
      </c>
      <c r="H471" s="328" t="str">
        <f>IF(B471&lt;&gt;"",+LEFT(I471,1),"")</f>
        <v>X</v>
      </c>
      <c r="I471" s="325" t="s">
        <v>1392</v>
      </c>
      <c r="J471" s="329" t="str">
        <f>IF(B471&lt;&gt;"",+VLOOKUP(I471,Recursos!C:F,2,FALSE),"")</f>
        <v>Compactación de base de asiento</v>
      </c>
      <c r="K471" s="330" t="str">
        <f>IF(B471&lt;&gt;"",+VLOOKUP(I471,Recursos!C:F,3,FALSE),"")</f>
        <v>m2</v>
      </c>
      <c r="L471" s="327">
        <f>IF(B471&lt;&gt;"",+VLOOKUP(I471,Recursos!C:F,4,FALSE),"")</f>
        <v>5.9805788372334039</v>
      </c>
      <c r="M471" s="432">
        <v>1</v>
      </c>
      <c r="N471" s="432">
        <v>1</v>
      </c>
      <c r="O471" s="332">
        <f t="shared" si="225"/>
        <v>1</v>
      </c>
      <c r="P471" s="333">
        <f>IF(B471&lt;&gt;"",O471*L471,"")</f>
        <v>5.9805788372334039</v>
      </c>
      <c r="Q471" s="327">
        <f>IF(B471&lt;&gt;"",+O471*E471,"")</f>
        <v>0</v>
      </c>
      <c r="R471" s="334">
        <f>IF(B471&lt;&gt;"",Q471*L471,"")</f>
        <v>0</v>
      </c>
      <c r="S471" s="335">
        <f t="shared" si="206"/>
        <v>0</v>
      </c>
      <c r="T471" s="335">
        <f t="shared" si="207"/>
        <v>0</v>
      </c>
      <c r="U471" s="336">
        <f t="shared" si="208"/>
        <v>0</v>
      </c>
      <c r="V471" s="336">
        <f t="shared" si="209"/>
        <v>0</v>
      </c>
      <c r="W471" s="336">
        <f t="shared" si="210"/>
        <v>0</v>
      </c>
      <c r="X471" s="336">
        <f t="shared" si="211"/>
        <v>31.159858790926549</v>
      </c>
      <c r="Y471" s="320"/>
      <c r="Z471" s="321" t="str">
        <f t="shared" si="215"/>
        <v>X-T0001A</v>
      </c>
      <c r="AA471" s="321" t="str">
        <f t="shared" si="216"/>
        <v>X-T0001E</v>
      </c>
      <c r="AB471" s="321" t="str">
        <f t="shared" si="217"/>
        <v>X-T0001M</v>
      </c>
      <c r="AC471" s="321" t="str">
        <f t="shared" si="218"/>
        <v>X-T0001T</v>
      </c>
      <c r="AD471" s="321" t="str">
        <f t="shared" si="219"/>
        <v>X-T0001S</v>
      </c>
      <c r="AE471" s="321" t="str">
        <f t="shared" si="220"/>
        <v>X-T0001X</v>
      </c>
      <c r="AF471" s="321" t="str">
        <f t="shared" si="221"/>
        <v>X-T0001X</v>
      </c>
      <c r="AG471" s="321">
        <f t="shared" si="212"/>
        <v>6</v>
      </c>
      <c r="AH471" s="321">
        <f>IF(B471&lt;&gt;"",IF(H471="x",VLOOKUP(I471,'AUX-NIV3'!B:AG,32,FALSE),0),"")</f>
        <v>3</v>
      </c>
      <c r="AI471" s="321" t="str">
        <f t="shared" si="222"/>
        <v>X-T0001</v>
      </c>
      <c r="AJ471" s="320"/>
      <c r="AK471" s="322">
        <f t="shared" si="213"/>
        <v>466</v>
      </c>
      <c r="AL471" s="323">
        <f t="shared" si="223"/>
        <v>471</v>
      </c>
      <c r="AM471" s="322">
        <f t="shared" si="224"/>
        <v>6</v>
      </c>
      <c r="AN471" s="380">
        <f>IF(AND(AH471&gt;0,B471&lt;&gt;""),VLOOKUP(I471,'AUX-NIV3'!$B:$AO,39,FALSE)*O471,0)</f>
        <v>3.0000000000000001E-3</v>
      </c>
      <c r="AO471" s="380">
        <f t="shared" si="214"/>
        <v>1.023525641025641E-2</v>
      </c>
      <c r="AP471" s="380"/>
    </row>
    <row r="472" spans="2:42" ht="14.4" hidden="1" thickTop="1" thickBot="1">
      <c r="B472" s="325" t="s">
        <v>1364</v>
      </c>
      <c r="C472" s="325" t="s">
        <v>1376</v>
      </c>
      <c r="D472" s="326" t="s">
        <v>1384</v>
      </c>
      <c r="E472" s="327">
        <f>IF(B472&lt;&gt;"",SUMIF('AUX-NIV1'!I:I,'AUX-NIV2'!B472,'AUX-NIV1'!Q:Q),"")</f>
        <v>0</v>
      </c>
      <c r="F472" s="327">
        <f t="shared" si="204"/>
        <v>267.52134462852808</v>
      </c>
      <c r="G472" s="327">
        <f t="shared" si="205"/>
        <v>0</v>
      </c>
      <c r="H472" s="328" t="str">
        <f t="shared" si="200"/>
        <v>X</v>
      </c>
      <c r="I472" s="325" t="s">
        <v>1399</v>
      </c>
      <c r="J472" s="329" t="str">
        <f>IF(B472&lt;&gt;"",+VLOOKUP(I472,Recursos!C:F,2,FALSE),"")</f>
        <v>Excav.camino piloto en suelo</v>
      </c>
      <c r="K472" s="330" t="str">
        <f>IF(B472&lt;&gt;"",+VLOOKUP(I472,Recursos!C:F,3,FALSE),"")</f>
        <v>m3</v>
      </c>
      <c r="L472" s="327">
        <f>IF(B472&lt;&gt;"",+VLOOKUP(I472,Recursos!C:F,4,FALSE),"")</f>
        <v>161.64053674466808</v>
      </c>
      <c r="M472" s="331">
        <v>0.08</v>
      </c>
      <c r="N472" s="331">
        <v>0.75</v>
      </c>
      <c r="O472" s="332">
        <f>+M472*N472</f>
        <v>0.06</v>
      </c>
      <c r="P472" s="333">
        <f t="shared" si="201"/>
        <v>9.6984322046800848</v>
      </c>
      <c r="Q472" s="327">
        <f t="shared" si="202"/>
        <v>0</v>
      </c>
      <c r="R472" s="334">
        <f t="shared" si="203"/>
        <v>0</v>
      </c>
      <c r="S472" s="335">
        <f t="shared" si="206"/>
        <v>0</v>
      </c>
      <c r="T472" s="335">
        <f t="shared" si="207"/>
        <v>0</v>
      </c>
      <c r="U472" s="336">
        <f t="shared" si="208"/>
        <v>0</v>
      </c>
      <c r="V472" s="336">
        <f t="shared" si="209"/>
        <v>0</v>
      </c>
      <c r="W472" s="336">
        <f t="shared" si="210"/>
        <v>0</v>
      </c>
      <c r="X472" s="336">
        <f t="shared" si="211"/>
        <v>267.52134462852808</v>
      </c>
      <c r="Y472" s="320"/>
      <c r="Z472" s="321" t="str">
        <f t="shared" si="215"/>
        <v>X-EXM01A</v>
      </c>
      <c r="AA472" s="321" t="str">
        <f t="shared" si="216"/>
        <v>X-EXM01E</v>
      </c>
      <c r="AB472" s="321" t="str">
        <f t="shared" si="217"/>
        <v>X-EXM01M</v>
      </c>
      <c r="AC472" s="321" t="str">
        <f t="shared" si="218"/>
        <v>X-EXM01T</v>
      </c>
      <c r="AD472" s="321" t="str">
        <f t="shared" si="219"/>
        <v>X-EXM01S</v>
      </c>
      <c r="AE472" s="321" t="str">
        <f t="shared" si="220"/>
        <v>X-EXM01X</v>
      </c>
      <c r="AF472" s="321" t="str">
        <f t="shared" si="221"/>
        <v>X-EXM01X</v>
      </c>
      <c r="AG472" s="321">
        <f t="shared" si="212"/>
        <v>11</v>
      </c>
      <c r="AH472" s="321">
        <f>IF(B472&lt;&gt;"",IF(H472="x",VLOOKUP(I472,'AUX-NIV3'!B:AG,32,FALSE),0),"")</f>
        <v>3</v>
      </c>
      <c r="AI472" s="321" t="str">
        <f t="shared" si="222"/>
        <v>X-EXM01</v>
      </c>
      <c r="AJ472" s="320"/>
      <c r="AK472" s="322">
        <f t="shared" si="213"/>
        <v>472</v>
      </c>
      <c r="AL472" s="323">
        <f t="shared" si="223"/>
        <v>482</v>
      </c>
      <c r="AM472" s="322">
        <f t="shared" si="224"/>
        <v>1</v>
      </c>
      <c r="AN472" s="380">
        <f>IF(AND(AH472&gt;0,B472&lt;&gt;""),VLOOKUP(I472,'AUX-NIV3'!$B:$AO,39,FALSE)*O472,0)</f>
        <v>3.5999999999999999E-3</v>
      </c>
      <c r="AO472" s="380">
        <f t="shared" si="214"/>
        <v>6.9699999999999998E-2</v>
      </c>
      <c r="AP472" s="380"/>
    </row>
    <row r="473" spans="2:42" ht="14.4" hidden="1" thickTop="1" thickBot="1">
      <c r="B473" s="325" t="s">
        <v>1364</v>
      </c>
      <c r="C473" s="325" t="s">
        <v>1376</v>
      </c>
      <c r="D473" s="326" t="s">
        <v>1384</v>
      </c>
      <c r="E473" s="327">
        <f>IF(B473&lt;&gt;"",SUMIF('AUX-NIV1'!I:I,'AUX-NIV2'!B473,'AUX-NIV1'!Q:Q),"")</f>
        <v>0</v>
      </c>
      <c r="F473" s="327">
        <f t="shared" si="204"/>
        <v>267.52134462852808</v>
      </c>
      <c r="G473" s="327">
        <f t="shared" si="205"/>
        <v>0</v>
      </c>
      <c r="H473" s="328" t="str">
        <f t="shared" ref="H473:H482" si="226">IF(B473&lt;&gt;"",+LEFT(I473,1),"")</f>
        <v>X</v>
      </c>
      <c r="I473" s="325" t="s">
        <v>1400</v>
      </c>
      <c r="J473" s="329" t="str">
        <f>IF(B473&lt;&gt;"",+VLOOKUP(I473,Recursos!C:F,2,FALSE),"")</f>
        <v>Limp.y desbosque sin arboles</v>
      </c>
      <c r="K473" s="330" t="str">
        <f>IF(B473&lt;&gt;"",+VLOOKUP(I473,Recursos!C:F,3,FALSE),"")</f>
        <v>Ha</v>
      </c>
      <c r="L473" s="327">
        <f>IF(B473&lt;&gt;"",+VLOOKUP(I473,Recursos!C:F,4,FALSE),"")</f>
        <v>76187.486324650381</v>
      </c>
      <c r="M473" s="331">
        <v>10000</v>
      </c>
      <c r="N473" s="331">
        <v>5</v>
      </c>
      <c r="O473" s="332">
        <f>+N473/M473</f>
        <v>5.0000000000000001E-4</v>
      </c>
      <c r="P473" s="333">
        <f t="shared" ref="P473:P482" si="227">IF(B473&lt;&gt;"",O473*L473,"")</f>
        <v>38.09374316232519</v>
      </c>
      <c r="Q473" s="327">
        <f t="shared" ref="Q473:Q482" si="228">IF(B473&lt;&gt;"",+O473*E473,"")</f>
        <v>0</v>
      </c>
      <c r="R473" s="334">
        <f t="shared" ref="R473:R482" si="229">IF(B473&lt;&gt;"",Q473*L473,"")</f>
        <v>0</v>
      </c>
      <c r="S473" s="335">
        <f t="shared" si="206"/>
        <v>0</v>
      </c>
      <c r="T473" s="335">
        <f t="shared" si="207"/>
        <v>0</v>
      </c>
      <c r="U473" s="336">
        <f t="shared" si="208"/>
        <v>0</v>
      </c>
      <c r="V473" s="336">
        <f t="shared" si="209"/>
        <v>0</v>
      </c>
      <c r="W473" s="336">
        <f t="shared" si="210"/>
        <v>0</v>
      </c>
      <c r="X473" s="336">
        <f t="shared" si="211"/>
        <v>267.52134462852808</v>
      </c>
      <c r="Y473" s="320"/>
      <c r="Z473" s="321" t="str">
        <f t="shared" si="215"/>
        <v>X-EXM01A</v>
      </c>
      <c r="AA473" s="321" t="str">
        <f t="shared" si="216"/>
        <v>X-EXM01E</v>
      </c>
      <c r="AB473" s="321" t="str">
        <f t="shared" si="217"/>
        <v>X-EXM01M</v>
      </c>
      <c r="AC473" s="321" t="str">
        <f t="shared" si="218"/>
        <v>X-EXM01T</v>
      </c>
      <c r="AD473" s="321" t="str">
        <f t="shared" si="219"/>
        <v>X-EXM01S</v>
      </c>
      <c r="AE473" s="321" t="str">
        <f t="shared" si="220"/>
        <v>X-EXM01X</v>
      </c>
      <c r="AF473" s="321" t="str">
        <f t="shared" si="221"/>
        <v>X-EXM01X</v>
      </c>
      <c r="AG473" s="321">
        <f t="shared" si="212"/>
        <v>11</v>
      </c>
      <c r="AH473" s="321">
        <f>IF(B473&lt;&gt;"",IF(H473="x",VLOOKUP(I473,'AUX-NIV3'!B:AG,32,FALSE),0),"")</f>
        <v>3</v>
      </c>
      <c r="AI473" s="321" t="str">
        <f t="shared" si="222"/>
        <v>X-EXM01</v>
      </c>
      <c r="AJ473" s="320"/>
      <c r="AK473" s="322">
        <f t="shared" si="213"/>
        <v>472</v>
      </c>
      <c r="AL473" s="323">
        <f t="shared" si="223"/>
        <v>482</v>
      </c>
      <c r="AM473" s="322">
        <f t="shared" si="224"/>
        <v>2</v>
      </c>
      <c r="AN473" s="380">
        <f>IF(AND(AH473&gt;0,B473&lt;&gt;""),VLOOKUP(I473,'AUX-NIV3'!$B:$AO,39,FALSE)*O473,0)</f>
        <v>0.01</v>
      </c>
      <c r="AO473" s="380">
        <f t="shared" si="214"/>
        <v>6.9699999999999998E-2</v>
      </c>
      <c r="AP473" s="380"/>
    </row>
    <row r="474" spans="2:42" ht="14.4" hidden="1" thickTop="1" thickBot="1">
      <c r="B474" s="325" t="s">
        <v>1364</v>
      </c>
      <c r="C474" s="325" t="s">
        <v>1376</v>
      </c>
      <c r="D474" s="326" t="s">
        <v>1384</v>
      </c>
      <c r="E474" s="327">
        <f>IF(B474&lt;&gt;"",SUMIF('AUX-NIV1'!I:I,'AUX-NIV2'!B474,'AUX-NIV1'!Q:Q),"")</f>
        <v>0</v>
      </c>
      <c r="F474" s="327">
        <f t="shared" si="204"/>
        <v>267.52134462852808</v>
      </c>
      <c r="G474" s="327">
        <f t="shared" si="205"/>
        <v>0</v>
      </c>
      <c r="H474" s="328" t="str">
        <f t="shared" si="226"/>
        <v>X</v>
      </c>
      <c r="I474" s="325" t="s">
        <v>1401</v>
      </c>
      <c r="J474" s="329" t="str">
        <f>IF(B474&lt;&gt;"",+VLOOKUP(I474,Recursos!C:F,2,FALSE),"")</f>
        <v>Excav.en suelo Retro 150 HP</v>
      </c>
      <c r="K474" s="330" t="str">
        <f>IF(B474&lt;&gt;"",+VLOOKUP(I474,Recursos!C:F,3,FALSE),"")</f>
        <v>m3</v>
      </c>
      <c r="L474" s="327">
        <f>IF(B474&lt;&gt;"",+VLOOKUP(I474,Recursos!C:F,4,FALSE),"")</f>
        <v>67.350223643611713</v>
      </c>
      <c r="M474" s="331">
        <v>1</v>
      </c>
      <c r="N474" s="331">
        <v>0.25</v>
      </c>
      <c r="O474" s="332">
        <f t="shared" si="225"/>
        <v>0.25</v>
      </c>
      <c r="P474" s="333">
        <f t="shared" si="227"/>
        <v>16.837555910902928</v>
      </c>
      <c r="Q474" s="327">
        <f t="shared" si="228"/>
        <v>0</v>
      </c>
      <c r="R474" s="334">
        <f t="shared" si="229"/>
        <v>0</v>
      </c>
      <c r="S474" s="335">
        <f t="shared" si="206"/>
        <v>0</v>
      </c>
      <c r="T474" s="335">
        <f t="shared" si="207"/>
        <v>0</v>
      </c>
      <c r="U474" s="336">
        <f t="shared" si="208"/>
        <v>0</v>
      </c>
      <c r="V474" s="336">
        <f t="shared" si="209"/>
        <v>0</v>
      </c>
      <c r="W474" s="336">
        <f t="shared" si="210"/>
        <v>0</v>
      </c>
      <c r="X474" s="336">
        <f t="shared" si="211"/>
        <v>267.52134462852808</v>
      </c>
      <c r="Y474" s="320"/>
      <c r="Z474" s="321" t="str">
        <f t="shared" si="215"/>
        <v>X-EXM01A</v>
      </c>
      <c r="AA474" s="321" t="str">
        <f t="shared" si="216"/>
        <v>X-EXM01E</v>
      </c>
      <c r="AB474" s="321" t="str">
        <f t="shared" si="217"/>
        <v>X-EXM01M</v>
      </c>
      <c r="AC474" s="321" t="str">
        <f t="shared" si="218"/>
        <v>X-EXM01T</v>
      </c>
      <c r="AD474" s="321" t="str">
        <f t="shared" si="219"/>
        <v>X-EXM01S</v>
      </c>
      <c r="AE474" s="321" t="str">
        <f t="shared" si="220"/>
        <v>X-EXM01X</v>
      </c>
      <c r="AF474" s="321" t="str">
        <f t="shared" si="221"/>
        <v>X-EXM01X</v>
      </c>
      <c r="AG474" s="321">
        <f t="shared" si="212"/>
        <v>11</v>
      </c>
      <c r="AH474" s="321">
        <f>IF(B474&lt;&gt;"",IF(H474="x",VLOOKUP(I474,'AUX-NIV3'!B:AG,32,FALSE),0),"")</f>
        <v>3</v>
      </c>
      <c r="AI474" s="321" t="str">
        <f t="shared" si="222"/>
        <v>X-EXM01</v>
      </c>
      <c r="AJ474" s="320"/>
      <c r="AK474" s="322">
        <f t="shared" si="213"/>
        <v>472</v>
      </c>
      <c r="AL474" s="323">
        <f t="shared" si="223"/>
        <v>482</v>
      </c>
      <c r="AM474" s="322">
        <f t="shared" si="224"/>
        <v>3</v>
      </c>
      <c r="AN474" s="380">
        <f>IF(AND(AH474&gt;0,B474&lt;&gt;""),VLOOKUP(I474,'AUX-NIV3'!$B:$AO,39,FALSE)*O474,0)</f>
        <v>6.2500000000000003E-3</v>
      </c>
      <c r="AO474" s="380">
        <f t="shared" si="214"/>
        <v>6.9699999999999998E-2</v>
      </c>
      <c r="AP474" s="380"/>
    </row>
    <row r="475" spans="2:42" ht="14.4" hidden="1" thickTop="1" thickBot="1">
      <c r="B475" s="325" t="s">
        <v>1364</v>
      </c>
      <c r="C475" s="325" t="s">
        <v>1376</v>
      </c>
      <c r="D475" s="326" t="s">
        <v>1384</v>
      </c>
      <c r="E475" s="327">
        <f>IF(B475&lt;&gt;"",SUMIF('AUX-NIV1'!I:I,'AUX-NIV2'!B475,'AUX-NIV1'!Q:Q),"")</f>
        <v>0</v>
      </c>
      <c r="F475" s="327">
        <f t="shared" si="204"/>
        <v>267.52134462852808</v>
      </c>
      <c r="G475" s="327">
        <f t="shared" si="205"/>
        <v>0</v>
      </c>
      <c r="H475" s="328" t="str">
        <f t="shared" si="226"/>
        <v>X</v>
      </c>
      <c r="I475" s="325" t="s">
        <v>1402</v>
      </c>
      <c r="J475" s="329" t="str">
        <f>IF(B475&lt;&gt;"",+VLOOKUP(I475,Recursos!C:F,2,FALSE),"")</f>
        <v>Carga/Desc.excav.Retro</v>
      </c>
      <c r="K475" s="330" t="str">
        <f>IF(B475&lt;&gt;"",+VLOOKUP(I475,Recursos!C:F,3,FALSE),"")</f>
        <v>m3s</v>
      </c>
      <c r="L475" s="327">
        <f>IF(B475&lt;&gt;"",+VLOOKUP(I475,Recursos!C:F,4,FALSE),"")</f>
        <v>157.1824058108524</v>
      </c>
      <c r="M475" s="331">
        <v>1.2</v>
      </c>
      <c r="N475" s="331"/>
      <c r="O475" s="332">
        <f>+N474*M475</f>
        <v>0.3</v>
      </c>
      <c r="P475" s="333">
        <f t="shared" si="227"/>
        <v>47.15472174325572</v>
      </c>
      <c r="Q475" s="327">
        <f t="shared" si="228"/>
        <v>0</v>
      </c>
      <c r="R475" s="334">
        <f t="shared" si="229"/>
        <v>0</v>
      </c>
      <c r="S475" s="335">
        <f t="shared" si="206"/>
        <v>0</v>
      </c>
      <c r="T475" s="335">
        <f t="shared" si="207"/>
        <v>0</v>
      </c>
      <c r="U475" s="336">
        <f t="shared" si="208"/>
        <v>0</v>
      </c>
      <c r="V475" s="336">
        <f t="shared" si="209"/>
        <v>0</v>
      </c>
      <c r="W475" s="336">
        <f t="shared" si="210"/>
        <v>0</v>
      </c>
      <c r="X475" s="336">
        <f t="shared" si="211"/>
        <v>267.52134462852808</v>
      </c>
      <c r="Y475" s="320"/>
      <c r="Z475" s="321" t="str">
        <f t="shared" si="215"/>
        <v>X-EXM01A</v>
      </c>
      <c r="AA475" s="321" t="str">
        <f t="shared" si="216"/>
        <v>X-EXM01E</v>
      </c>
      <c r="AB475" s="321" t="str">
        <f t="shared" si="217"/>
        <v>X-EXM01M</v>
      </c>
      <c r="AC475" s="321" t="str">
        <f t="shared" si="218"/>
        <v>X-EXM01T</v>
      </c>
      <c r="AD475" s="321" t="str">
        <f t="shared" si="219"/>
        <v>X-EXM01S</v>
      </c>
      <c r="AE475" s="321" t="str">
        <f t="shared" si="220"/>
        <v>X-EXM01X</v>
      </c>
      <c r="AF475" s="321" t="str">
        <f t="shared" si="221"/>
        <v>X-EXM01X</v>
      </c>
      <c r="AG475" s="321">
        <f t="shared" si="212"/>
        <v>11</v>
      </c>
      <c r="AH475" s="321">
        <f>IF(B475&lt;&gt;"",IF(H475="x",VLOOKUP(I475,'AUX-NIV3'!B:AG,32,FALSE),0),"")</f>
        <v>2</v>
      </c>
      <c r="AI475" s="321" t="str">
        <f t="shared" si="222"/>
        <v>X-EXM01</v>
      </c>
      <c r="AJ475" s="320"/>
      <c r="AK475" s="322">
        <f t="shared" si="213"/>
        <v>472</v>
      </c>
      <c r="AL475" s="323">
        <f t="shared" si="223"/>
        <v>482</v>
      </c>
      <c r="AM475" s="322">
        <f t="shared" si="224"/>
        <v>4</v>
      </c>
      <c r="AN475" s="380">
        <f>IF(AND(AH475&gt;0,B475&lt;&gt;""),VLOOKUP(I475,'AUX-NIV3'!$B:$AO,39,FALSE)*O475,0)</f>
        <v>1.44E-2</v>
      </c>
      <c r="AO475" s="380">
        <f t="shared" si="214"/>
        <v>6.9699999999999998E-2</v>
      </c>
      <c r="AP475" s="380"/>
    </row>
    <row r="476" spans="2:42" ht="14.4" hidden="1" thickTop="1" thickBot="1">
      <c r="B476" s="325" t="s">
        <v>1364</v>
      </c>
      <c r="C476" s="325" t="s">
        <v>1376</v>
      </c>
      <c r="D476" s="326" t="s">
        <v>1384</v>
      </c>
      <c r="E476" s="327">
        <f>IF(B476&lt;&gt;"",SUMIF('AUX-NIV1'!I:I,'AUX-NIV2'!B476,'AUX-NIV1'!Q:Q),"")</f>
        <v>0</v>
      </c>
      <c r="F476" s="327">
        <f t="shared" si="204"/>
        <v>267.52134462852808</v>
      </c>
      <c r="G476" s="327">
        <f t="shared" si="205"/>
        <v>0</v>
      </c>
      <c r="H476" s="328" t="str">
        <f t="shared" si="226"/>
        <v>X</v>
      </c>
      <c r="I476" s="325" t="s">
        <v>1403</v>
      </c>
      <c r="J476" s="329" t="str">
        <f>IF(B476&lt;&gt;"",+VLOOKUP(I476,Recursos!C:F,2,FALSE),"")</f>
        <v>Excav.en suelo Topad.300 HP</v>
      </c>
      <c r="K476" s="330" t="str">
        <f>IF(B476&lt;&gt;"",+VLOOKUP(I476,Recursos!C:F,3,FALSE),"")</f>
        <v>m3</v>
      </c>
      <c r="L476" s="327">
        <f>IF(B476&lt;&gt;"",+VLOOKUP(I476,Recursos!C:F,4,FALSE),"")</f>
        <v>57.570145638146933</v>
      </c>
      <c r="M476" s="331">
        <v>1</v>
      </c>
      <c r="N476" s="331">
        <v>0.5</v>
      </c>
      <c r="O476" s="332">
        <f t="shared" si="225"/>
        <v>0.5</v>
      </c>
      <c r="P476" s="333">
        <f t="shared" si="227"/>
        <v>28.785072819073466</v>
      </c>
      <c r="Q476" s="327">
        <f t="shared" si="228"/>
        <v>0</v>
      </c>
      <c r="R476" s="334">
        <f t="shared" si="229"/>
        <v>0</v>
      </c>
      <c r="S476" s="335">
        <f t="shared" si="206"/>
        <v>0</v>
      </c>
      <c r="T476" s="335">
        <f t="shared" si="207"/>
        <v>0</v>
      </c>
      <c r="U476" s="336">
        <f t="shared" si="208"/>
        <v>0</v>
      </c>
      <c r="V476" s="336">
        <f t="shared" si="209"/>
        <v>0</v>
      </c>
      <c r="W476" s="336">
        <f t="shared" si="210"/>
        <v>0</v>
      </c>
      <c r="X476" s="336">
        <f t="shared" si="211"/>
        <v>267.52134462852808</v>
      </c>
      <c r="Y476" s="320"/>
      <c r="Z476" s="321" t="str">
        <f t="shared" si="215"/>
        <v>X-EXM01A</v>
      </c>
      <c r="AA476" s="321" t="str">
        <f t="shared" si="216"/>
        <v>X-EXM01E</v>
      </c>
      <c r="AB476" s="321" t="str">
        <f t="shared" si="217"/>
        <v>X-EXM01M</v>
      </c>
      <c r="AC476" s="321" t="str">
        <f t="shared" si="218"/>
        <v>X-EXM01T</v>
      </c>
      <c r="AD476" s="321" t="str">
        <f t="shared" si="219"/>
        <v>X-EXM01S</v>
      </c>
      <c r="AE476" s="321" t="str">
        <f t="shared" si="220"/>
        <v>X-EXM01X</v>
      </c>
      <c r="AF476" s="321" t="str">
        <f t="shared" si="221"/>
        <v>X-EXM01X</v>
      </c>
      <c r="AG476" s="321">
        <f t="shared" si="212"/>
        <v>11</v>
      </c>
      <c r="AH476" s="321">
        <f>IF(B476&lt;&gt;"",IF(H476="x",VLOOKUP(I476,'AUX-NIV3'!B:AG,32,FALSE),0),"")</f>
        <v>2</v>
      </c>
      <c r="AI476" s="321" t="str">
        <f t="shared" si="222"/>
        <v>X-EXM01</v>
      </c>
      <c r="AJ476" s="320"/>
      <c r="AK476" s="322">
        <f t="shared" si="213"/>
        <v>472</v>
      </c>
      <c r="AL476" s="323">
        <f t="shared" si="223"/>
        <v>482</v>
      </c>
      <c r="AM476" s="322">
        <f t="shared" si="224"/>
        <v>5</v>
      </c>
      <c r="AN476" s="380">
        <f>IF(AND(AH476&gt;0,B476&lt;&gt;""),VLOOKUP(I476,'AUX-NIV3'!$B:$AO,39,FALSE)*O476,0)</f>
        <v>4.0000000000000001E-3</v>
      </c>
      <c r="AO476" s="380">
        <f t="shared" si="214"/>
        <v>6.9699999999999998E-2</v>
      </c>
      <c r="AP476" s="380"/>
    </row>
    <row r="477" spans="2:42" ht="14.4" hidden="1" thickTop="1" thickBot="1">
      <c r="B477" s="325" t="s">
        <v>1364</v>
      </c>
      <c r="C477" s="325" t="s">
        <v>1376</v>
      </c>
      <c r="D477" s="326" t="s">
        <v>1384</v>
      </c>
      <c r="E477" s="327">
        <f>IF(B477&lt;&gt;"",SUMIF('AUX-NIV1'!I:I,'AUX-NIV2'!B477,'AUX-NIV1'!Q:Q),"")</f>
        <v>0</v>
      </c>
      <c r="F477" s="327">
        <f t="shared" si="204"/>
        <v>267.52134462852808</v>
      </c>
      <c r="G477" s="327">
        <f t="shared" si="205"/>
        <v>0</v>
      </c>
      <c r="H477" s="328" t="str">
        <f t="shared" si="226"/>
        <v>X</v>
      </c>
      <c r="I477" s="325" t="s">
        <v>1404</v>
      </c>
      <c r="J477" s="329" t="str">
        <f>IF(B477&lt;&gt;"",+VLOOKUP(I477,Recursos!C:F,2,FALSE),"")</f>
        <v>Carga/Desc.excav.Topadora</v>
      </c>
      <c r="K477" s="330" t="str">
        <f>IF(B477&lt;&gt;"",+VLOOKUP(I477,Recursos!C:F,3,FALSE),"")</f>
        <v>m3s</v>
      </c>
      <c r="L477" s="327">
        <f>IF(B477&lt;&gt;"",+VLOOKUP(I477,Recursos!C:F,4,FALSE),"")</f>
        <v>56.971255567769411</v>
      </c>
      <c r="M477" s="331">
        <v>1.2</v>
      </c>
      <c r="N477" s="331"/>
      <c r="O477" s="332">
        <f>+M477*N476</f>
        <v>0.6</v>
      </c>
      <c r="P477" s="333">
        <f t="shared" si="227"/>
        <v>34.182753340661648</v>
      </c>
      <c r="Q477" s="327">
        <f t="shared" si="228"/>
        <v>0</v>
      </c>
      <c r="R477" s="334">
        <f t="shared" si="229"/>
        <v>0</v>
      </c>
      <c r="S477" s="335">
        <f t="shared" si="206"/>
        <v>0</v>
      </c>
      <c r="T477" s="335">
        <f t="shared" si="207"/>
        <v>0</v>
      </c>
      <c r="U477" s="336">
        <f t="shared" si="208"/>
        <v>0</v>
      </c>
      <c r="V477" s="336">
        <f t="shared" si="209"/>
        <v>0</v>
      </c>
      <c r="W477" s="336">
        <f t="shared" si="210"/>
        <v>0</v>
      </c>
      <c r="X477" s="336">
        <f t="shared" si="211"/>
        <v>267.52134462852808</v>
      </c>
      <c r="Y477" s="320"/>
      <c r="Z477" s="321" t="str">
        <f t="shared" si="215"/>
        <v>X-EXM01A</v>
      </c>
      <c r="AA477" s="321" t="str">
        <f t="shared" si="216"/>
        <v>X-EXM01E</v>
      </c>
      <c r="AB477" s="321" t="str">
        <f t="shared" si="217"/>
        <v>X-EXM01M</v>
      </c>
      <c r="AC477" s="321" t="str">
        <f t="shared" si="218"/>
        <v>X-EXM01T</v>
      </c>
      <c r="AD477" s="321" t="str">
        <f t="shared" si="219"/>
        <v>X-EXM01S</v>
      </c>
      <c r="AE477" s="321" t="str">
        <f t="shared" si="220"/>
        <v>X-EXM01X</v>
      </c>
      <c r="AF477" s="321" t="str">
        <f t="shared" si="221"/>
        <v>X-EXM01X</v>
      </c>
      <c r="AG477" s="321">
        <f t="shared" si="212"/>
        <v>11</v>
      </c>
      <c r="AH477" s="321">
        <f>IF(B477&lt;&gt;"",IF(H477="x",VLOOKUP(I477,'AUX-NIV3'!B:AG,32,FALSE),0),"")</f>
        <v>4</v>
      </c>
      <c r="AI477" s="321" t="str">
        <f t="shared" si="222"/>
        <v>X-EXM01</v>
      </c>
      <c r="AJ477" s="320"/>
      <c r="AK477" s="322">
        <f t="shared" si="213"/>
        <v>472</v>
      </c>
      <c r="AL477" s="323">
        <f t="shared" si="223"/>
        <v>482</v>
      </c>
      <c r="AM477" s="322">
        <f t="shared" si="224"/>
        <v>6</v>
      </c>
      <c r="AN477" s="380">
        <f>IF(AND(AH477&gt;0,B477&lt;&gt;""),VLOOKUP(I477,'AUX-NIV3'!$B:$AO,39,FALSE)*O477,0)</f>
        <v>8.9999999999999993E-3</v>
      </c>
      <c r="AO477" s="380">
        <f t="shared" si="214"/>
        <v>6.9699999999999998E-2</v>
      </c>
      <c r="AP477" s="380"/>
    </row>
    <row r="478" spans="2:42" ht="14.4" hidden="1" thickTop="1" thickBot="1">
      <c r="B478" s="325" t="s">
        <v>1364</v>
      </c>
      <c r="C478" s="325" t="s">
        <v>1376</v>
      </c>
      <c r="D478" s="326" t="s">
        <v>1384</v>
      </c>
      <c r="E478" s="327">
        <f>IF(B478&lt;&gt;"",SUMIF('AUX-NIV1'!I:I,'AUX-NIV2'!B478,'AUX-NIV1'!Q:Q),"")</f>
        <v>0</v>
      </c>
      <c r="F478" s="327">
        <f t="shared" si="204"/>
        <v>267.52134462852808</v>
      </c>
      <c r="G478" s="327">
        <f t="shared" si="205"/>
        <v>0</v>
      </c>
      <c r="H478" s="328" t="str">
        <f t="shared" si="226"/>
        <v>X</v>
      </c>
      <c r="I478" s="325" t="s">
        <v>1405</v>
      </c>
      <c r="J478" s="329" t="str">
        <f>IF(B478&lt;&gt;"",+VLOOKUP(I478,Recursos!C:F,2,FALSE),"")</f>
        <v>Excav.exter.escarif.D8</v>
      </c>
      <c r="K478" s="330" t="str">
        <f>IF(B478&lt;&gt;"",+VLOOKUP(I478,Recursos!C:F,3,FALSE),"")</f>
        <v>m3b</v>
      </c>
      <c r="L478" s="327">
        <f>IF(B478&lt;&gt;"",+VLOOKUP(I478,Recursos!C:F,4,FALSE),"")</f>
        <v>123.4584736436117</v>
      </c>
      <c r="M478" s="331">
        <v>0</v>
      </c>
      <c r="N478" s="331"/>
      <c r="O478" s="332">
        <f t="shared" si="225"/>
        <v>0</v>
      </c>
      <c r="P478" s="333">
        <f t="shared" si="227"/>
        <v>0</v>
      </c>
      <c r="Q478" s="327">
        <f t="shared" si="228"/>
        <v>0</v>
      </c>
      <c r="R478" s="334">
        <f t="shared" si="229"/>
        <v>0</v>
      </c>
      <c r="S478" s="335">
        <f t="shared" si="206"/>
        <v>0</v>
      </c>
      <c r="T478" s="335">
        <f t="shared" si="207"/>
        <v>0</v>
      </c>
      <c r="U478" s="336">
        <f t="shared" si="208"/>
        <v>0</v>
      </c>
      <c r="V478" s="336">
        <f t="shared" si="209"/>
        <v>0</v>
      </c>
      <c r="W478" s="336">
        <f t="shared" si="210"/>
        <v>0</v>
      </c>
      <c r="X478" s="336">
        <f t="shared" si="211"/>
        <v>267.52134462852808</v>
      </c>
      <c r="Y478" s="320"/>
      <c r="Z478" s="321" t="str">
        <f t="shared" si="215"/>
        <v>X-EXM01A</v>
      </c>
      <c r="AA478" s="321" t="str">
        <f t="shared" si="216"/>
        <v>X-EXM01E</v>
      </c>
      <c r="AB478" s="321" t="str">
        <f t="shared" si="217"/>
        <v>X-EXM01M</v>
      </c>
      <c r="AC478" s="321" t="str">
        <f t="shared" si="218"/>
        <v>X-EXM01T</v>
      </c>
      <c r="AD478" s="321" t="str">
        <f t="shared" si="219"/>
        <v>X-EXM01S</v>
      </c>
      <c r="AE478" s="321" t="str">
        <f t="shared" si="220"/>
        <v>X-EXM01X</v>
      </c>
      <c r="AF478" s="321" t="str">
        <f t="shared" si="221"/>
        <v>X-EXM01X</v>
      </c>
      <c r="AG478" s="321">
        <f t="shared" si="212"/>
        <v>11</v>
      </c>
      <c r="AH478" s="321">
        <f>IF(B478&lt;&gt;"",IF(H478="x",VLOOKUP(I478,'AUX-NIV3'!B:AG,32,FALSE),0),"")</f>
        <v>3</v>
      </c>
      <c r="AI478" s="321" t="str">
        <f t="shared" si="222"/>
        <v>X-EXM01</v>
      </c>
      <c r="AJ478" s="320"/>
      <c r="AK478" s="322">
        <f t="shared" si="213"/>
        <v>472</v>
      </c>
      <c r="AL478" s="323">
        <f t="shared" si="223"/>
        <v>482</v>
      </c>
      <c r="AM478" s="322">
        <f t="shared" si="224"/>
        <v>7</v>
      </c>
      <c r="AN478" s="380">
        <f>IF(AND(AH478&gt;0,B478&lt;&gt;""),VLOOKUP(I478,'AUX-NIV3'!$B:$AO,39,FALSE)*O478,0)</f>
        <v>0</v>
      </c>
      <c r="AO478" s="380">
        <f t="shared" si="214"/>
        <v>6.9699999999999998E-2</v>
      </c>
      <c r="AP478" s="380"/>
    </row>
    <row r="479" spans="2:42" ht="14.4" hidden="1" thickTop="1" thickBot="1">
      <c r="B479" s="325" t="s">
        <v>1364</v>
      </c>
      <c r="C479" s="325" t="s">
        <v>1376</v>
      </c>
      <c r="D479" s="326" t="s">
        <v>1384</v>
      </c>
      <c r="E479" s="327">
        <f>IF(B479&lt;&gt;"",SUMIF('AUX-NIV1'!I:I,'AUX-NIV2'!B479,'AUX-NIV1'!Q:Q),"")</f>
        <v>0</v>
      </c>
      <c r="F479" s="327">
        <f t="shared" si="204"/>
        <v>267.52134462852808</v>
      </c>
      <c r="G479" s="327">
        <f t="shared" si="205"/>
        <v>0</v>
      </c>
      <c r="H479" s="328" t="str">
        <f t="shared" si="226"/>
        <v>X</v>
      </c>
      <c r="I479" s="325" t="s">
        <v>1405</v>
      </c>
      <c r="J479" s="329" t="str">
        <f>IF(B479&lt;&gt;"",+VLOOKUP(I479,Recursos!C:F,2,FALSE),"")</f>
        <v>Excav.exter.escarif.D8</v>
      </c>
      <c r="K479" s="330" t="str">
        <f>IF(B479&lt;&gt;"",+VLOOKUP(I479,Recursos!C:F,3,FALSE),"")</f>
        <v>m3b</v>
      </c>
      <c r="L479" s="327">
        <f>IF(B479&lt;&gt;"",+VLOOKUP(I479,Recursos!C:F,4,FALSE),"")</f>
        <v>123.4584736436117</v>
      </c>
      <c r="M479" s="331">
        <v>1</v>
      </c>
      <c r="N479" s="331">
        <f>1-N476-N474</f>
        <v>0.25</v>
      </c>
      <c r="O479" s="332">
        <f t="shared" si="225"/>
        <v>0.25</v>
      </c>
      <c r="P479" s="333">
        <f t="shared" si="227"/>
        <v>30.864618410902924</v>
      </c>
      <c r="Q479" s="327">
        <f t="shared" si="228"/>
        <v>0</v>
      </c>
      <c r="R479" s="334">
        <f t="shared" si="229"/>
        <v>0</v>
      </c>
      <c r="S479" s="335">
        <f t="shared" si="206"/>
        <v>0</v>
      </c>
      <c r="T479" s="335">
        <f t="shared" si="207"/>
        <v>0</v>
      </c>
      <c r="U479" s="336">
        <f t="shared" si="208"/>
        <v>0</v>
      </c>
      <c r="V479" s="336">
        <f t="shared" si="209"/>
        <v>0</v>
      </c>
      <c r="W479" s="336">
        <f t="shared" si="210"/>
        <v>0</v>
      </c>
      <c r="X479" s="336">
        <f t="shared" si="211"/>
        <v>267.52134462852808</v>
      </c>
      <c r="Y479" s="320"/>
      <c r="Z479" s="321" t="str">
        <f t="shared" si="215"/>
        <v>X-EXM01A</v>
      </c>
      <c r="AA479" s="321" t="str">
        <f t="shared" si="216"/>
        <v>X-EXM01E</v>
      </c>
      <c r="AB479" s="321" t="str">
        <f t="shared" si="217"/>
        <v>X-EXM01M</v>
      </c>
      <c r="AC479" s="321" t="str">
        <f t="shared" si="218"/>
        <v>X-EXM01T</v>
      </c>
      <c r="AD479" s="321" t="str">
        <f t="shared" si="219"/>
        <v>X-EXM01S</v>
      </c>
      <c r="AE479" s="321" t="str">
        <f t="shared" si="220"/>
        <v>X-EXM01X</v>
      </c>
      <c r="AF479" s="321" t="str">
        <f t="shared" si="221"/>
        <v>X-EXM01X</v>
      </c>
      <c r="AG479" s="321">
        <f t="shared" si="212"/>
        <v>11</v>
      </c>
      <c r="AH479" s="321">
        <f>IF(B479&lt;&gt;"",IF(H479="x",VLOOKUP(I479,'AUX-NIV3'!B:AG,32,FALSE),0),"")</f>
        <v>3</v>
      </c>
      <c r="AI479" s="321" t="str">
        <f t="shared" si="222"/>
        <v>X-EXM01</v>
      </c>
      <c r="AJ479" s="320"/>
      <c r="AK479" s="322">
        <f t="shared" si="213"/>
        <v>472</v>
      </c>
      <c r="AL479" s="323">
        <f t="shared" si="223"/>
        <v>482</v>
      </c>
      <c r="AM479" s="322">
        <f t="shared" si="224"/>
        <v>8</v>
      </c>
      <c r="AN479" s="380">
        <f>IF(AND(AH479&gt;0,B479&lt;&gt;""),VLOOKUP(I479,'AUX-NIV3'!$B:$AO,39,FALSE)*O479,0)</f>
        <v>6.2500000000000003E-3</v>
      </c>
      <c r="AO479" s="380">
        <f t="shared" si="214"/>
        <v>6.9699999999999998E-2</v>
      </c>
      <c r="AP479" s="380"/>
    </row>
    <row r="480" spans="2:42" ht="14.4" hidden="1" thickTop="1" thickBot="1">
      <c r="B480" s="325" t="s">
        <v>1364</v>
      </c>
      <c r="C480" s="325" t="s">
        <v>1376</v>
      </c>
      <c r="D480" s="326" t="s">
        <v>1384</v>
      </c>
      <c r="E480" s="327">
        <f>IF(B480&lt;&gt;"",SUMIF('AUX-NIV1'!I:I,'AUX-NIV2'!B480,'AUX-NIV1'!Q:Q),"")</f>
        <v>0</v>
      </c>
      <c r="F480" s="327">
        <f t="shared" si="204"/>
        <v>267.52134462852808</v>
      </c>
      <c r="G480" s="327">
        <f t="shared" si="205"/>
        <v>0</v>
      </c>
      <c r="H480" s="328" t="str">
        <f t="shared" si="226"/>
        <v>X</v>
      </c>
      <c r="I480" s="325" t="s">
        <v>1404</v>
      </c>
      <c r="J480" s="329" t="str">
        <f>IF(B480&lt;&gt;"",+VLOOKUP(I480,Recursos!C:F,2,FALSE),"")</f>
        <v>Carga/Desc.excav.Topadora</v>
      </c>
      <c r="K480" s="330" t="str">
        <f>IF(B480&lt;&gt;"",+VLOOKUP(I480,Recursos!C:F,3,FALSE),"")</f>
        <v>m3s</v>
      </c>
      <c r="L480" s="327">
        <f>IF(B480&lt;&gt;"",+VLOOKUP(I480,Recursos!C:F,4,FALSE),"")</f>
        <v>56.971255567769411</v>
      </c>
      <c r="M480" s="331">
        <v>1.2</v>
      </c>
      <c r="N480" s="331"/>
      <c r="O480" s="332">
        <f>+M480*N479</f>
        <v>0.3</v>
      </c>
      <c r="P480" s="333">
        <f t="shared" si="227"/>
        <v>17.091376670330824</v>
      </c>
      <c r="Q480" s="327">
        <f t="shared" si="228"/>
        <v>0</v>
      </c>
      <c r="R480" s="334">
        <f t="shared" si="229"/>
        <v>0</v>
      </c>
      <c r="S480" s="335">
        <f t="shared" si="206"/>
        <v>0</v>
      </c>
      <c r="T480" s="335">
        <f t="shared" si="207"/>
        <v>0</v>
      </c>
      <c r="U480" s="336">
        <f t="shared" si="208"/>
        <v>0</v>
      </c>
      <c r="V480" s="336">
        <f t="shared" si="209"/>
        <v>0</v>
      </c>
      <c r="W480" s="336">
        <f t="shared" si="210"/>
        <v>0</v>
      </c>
      <c r="X480" s="336">
        <f t="shared" si="211"/>
        <v>267.52134462852808</v>
      </c>
      <c r="Y480" s="320"/>
      <c r="Z480" s="321" t="str">
        <f t="shared" si="215"/>
        <v>X-EXM01A</v>
      </c>
      <c r="AA480" s="321" t="str">
        <f t="shared" si="216"/>
        <v>X-EXM01E</v>
      </c>
      <c r="AB480" s="321" t="str">
        <f t="shared" si="217"/>
        <v>X-EXM01M</v>
      </c>
      <c r="AC480" s="321" t="str">
        <f t="shared" si="218"/>
        <v>X-EXM01T</v>
      </c>
      <c r="AD480" s="321" t="str">
        <f t="shared" si="219"/>
        <v>X-EXM01S</v>
      </c>
      <c r="AE480" s="321" t="str">
        <f t="shared" si="220"/>
        <v>X-EXM01X</v>
      </c>
      <c r="AF480" s="321" t="str">
        <f t="shared" si="221"/>
        <v>X-EXM01X</v>
      </c>
      <c r="AG480" s="321">
        <f t="shared" si="212"/>
        <v>11</v>
      </c>
      <c r="AH480" s="321">
        <f>IF(B480&lt;&gt;"",IF(H480="x",VLOOKUP(I480,'AUX-NIV3'!B:AG,32,FALSE),0),"")</f>
        <v>4</v>
      </c>
      <c r="AI480" s="321" t="str">
        <f t="shared" si="222"/>
        <v>X-EXM01</v>
      </c>
      <c r="AJ480" s="320"/>
      <c r="AK480" s="322">
        <f t="shared" si="213"/>
        <v>472</v>
      </c>
      <c r="AL480" s="323">
        <f t="shared" si="223"/>
        <v>482</v>
      </c>
      <c r="AM480" s="322">
        <f t="shared" si="224"/>
        <v>9</v>
      </c>
      <c r="AN480" s="380">
        <f>IF(AND(AH480&gt;0,B480&lt;&gt;""),VLOOKUP(I480,'AUX-NIV3'!$B:$AO,39,FALSE)*O480,0)</f>
        <v>4.4999999999999997E-3</v>
      </c>
      <c r="AO480" s="380">
        <f t="shared" si="214"/>
        <v>6.9699999999999998E-2</v>
      </c>
      <c r="AP480" s="380"/>
    </row>
    <row r="481" spans="2:42" ht="14.4" hidden="1" thickTop="1" thickBot="1">
      <c r="B481" s="325" t="s">
        <v>1364</v>
      </c>
      <c r="C481" s="325" t="s">
        <v>1376</v>
      </c>
      <c r="D481" s="326" t="s">
        <v>1384</v>
      </c>
      <c r="E481" s="327">
        <f>IF(B481&lt;&gt;"",SUMIF('AUX-NIV1'!I:I,'AUX-NIV2'!B481,'AUX-NIV1'!Q:Q),"")</f>
        <v>0</v>
      </c>
      <c r="F481" s="327">
        <f t="shared" si="204"/>
        <v>267.52134462852808</v>
      </c>
      <c r="G481" s="327">
        <f t="shared" si="205"/>
        <v>0</v>
      </c>
      <c r="H481" s="328" t="str">
        <f t="shared" si="226"/>
        <v>X</v>
      </c>
      <c r="I481" s="325" t="s">
        <v>1365</v>
      </c>
      <c r="J481" s="329" t="str">
        <f>IF(B481&lt;&gt;"",+VLOOKUP(I481,Recursos!C:F,2,FALSE),"")</f>
        <v>Transp.suelo dmt 2 Km</v>
      </c>
      <c r="K481" s="330" t="str">
        <f>IF(B481&lt;&gt;"",+VLOOKUP(I481,Recursos!C:F,3,FALSE),"")</f>
        <v>m3s.km</v>
      </c>
      <c r="L481" s="327">
        <f>IF(B481&lt;&gt;"",+VLOOKUP(I481,Recursos!C:F,4,FALSE),"")</f>
        <v>38.301769543927584</v>
      </c>
      <c r="M481" s="331">
        <v>1.3</v>
      </c>
      <c r="N481" s="331"/>
      <c r="O481" s="332">
        <f>+(N474+N476)*M480*M481</f>
        <v>1.17</v>
      </c>
      <c r="P481" s="333">
        <f t="shared" si="227"/>
        <v>44.813070366395273</v>
      </c>
      <c r="Q481" s="327">
        <f t="shared" si="228"/>
        <v>0</v>
      </c>
      <c r="R481" s="334">
        <f t="shared" si="229"/>
        <v>0</v>
      </c>
      <c r="S481" s="335">
        <f t="shared" si="206"/>
        <v>0</v>
      </c>
      <c r="T481" s="335">
        <f t="shared" si="207"/>
        <v>0</v>
      </c>
      <c r="U481" s="336">
        <f t="shared" si="208"/>
        <v>0</v>
      </c>
      <c r="V481" s="336">
        <f t="shared" si="209"/>
        <v>0</v>
      </c>
      <c r="W481" s="336">
        <f t="shared" si="210"/>
        <v>0</v>
      </c>
      <c r="X481" s="336">
        <f t="shared" si="211"/>
        <v>267.52134462852808</v>
      </c>
      <c r="Y481" s="320"/>
      <c r="Z481" s="321" t="str">
        <f t="shared" si="215"/>
        <v>X-EXM01A</v>
      </c>
      <c r="AA481" s="321" t="str">
        <f t="shared" si="216"/>
        <v>X-EXM01E</v>
      </c>
      <c r="AB481" s="321" t="str">
        <f t="shared" si="217"/>
        <v>X-EXM01M</v>
      </c>
      <c r="AC481" s="321" t="str">
        <f t="shared" si="218"/>
        <v>X-EXM01T</v>
      </c>
      <c r="AD481" s="321" t="str">
        <f t="shared" si="219"/>
        <v>X-EXM01S</v>
      </c>
      <c r="AE481" s="321" t="str">
        <f t="shared" si="220"/>
        <v>X-EXM01X</v>
      </c>
      <c r="AF481" s="321" t="str">
        <f t="shared" si="221"/>
        <v>X-EXM01X</v>
      </c>
      <c r="AG481" s="321">
        <f t="shared" si="212"/>
        <v>11</v>
      </c>
      <c r="AH481" s="321">
        <f>IF(B481&lt;&gt;"",IF(H481="x",VLOOKUP(I481,'AUX-NIV3'!B:AG,32,FALSE),0),"")</f>
        <v>2</v>
      </c>
      <c r="AI481" s="321" t="str">
        <f t="shared" si="222"/>
        <v>X-EXM01</v>
      </c>
      <c r="AJ481" s="320"/>
      <c r="AK481" s="322">
        <f t="shared" si="213"/>
        <v>472</v>
      </c>
      <c r="AL481" s="323">
        <f t="shared" si="223"/>
        <v>482</v>
      </c>
      <c r="AM481" s="322">
        <f t="shared" si="224"/>
        <v>10</v>
      </c>
      <c r="AN481" s="380">
        <f>IF(AND(AH481&gt;0,B481&lt;&gt;""),VLOOKUP(I481,'AUX-NIV3'!$B:$AO,39,FALSE)*O481,0)</f>
        <v>1.17E-2</v>
      </c>
      <c r="AO481" s="380">
        <f t="shared" si="214"/>
        <v>6.9699999999999998E-2</v>
      </c>
      <c r="AP481" s="380"/>
    </row>
    <row r="482" spans="2:42" ht="14.4" hidden="1" thickTop="1" thickBot="1">
      <c r="B482" s="325" t="s">
        <v>1364</v>
      </c>
      <c r="C482" s="325" t="s">
        <v>1376</v>
      </c>
      <c r="D482" s="326" t="s">
        <v>1384</v>
      </c>
      <c r="E482" s="327">
        <f>IF(B482&lt;&gt;"",SUMIF('AUX-NIV1'!I:I,'AUX-NIV2'!B482,'AUX-NIV1'!Q:Q),"")</f>
        <v>0</v>
      </c>
      <c r="F482" s="327">
        <f t="shared" si="204"/>
        <v>267.52134462852808</v>
      </c>
      <c r="G482" s="327">
        <f t="shared" si="205"/>
        <v>0</v>
      </c>
      <c r="H482" s="328" t="str">
        <f t="shared" si="226"/>
        <v>X</v>
      </c>
      <c r="I482" s="325" t="s">
        <v>1365</v>
      </c>
      <c r="J482" s="329" t="str">
        <f>IF(B482&lt;&gt;"",+VLOOKUP(I482,Recursos!C:F,2,FALSE),"")</f>
        <v>Transp.suelo dmt 2 Km</v>
      </c>
      <c r="K482" s="330" t="str">
        <f>IF(B482&lt;&gt;"",+VLOOKUP(I482,Recursos!C:F,3,FALSE),"")</f>
        <v>m3s.km</v>
      </c>
      <c r="L482" s="327">
        <f>IF(B482&lt;&gt;"",+VLOOKUP(I482,Recursos!C:F,4,FALSE),"")</f>
        <v>38.301769543927584</v>
      </c>
      <c r="M482" s="331">
        <v>0</v>
      </c>
      <c r="N482" s="331"/>
      <c r="O482" s="332">
        <f t="shared" si="225"/>
        <v>0</v>
      </c>
      <c r="P482" s="333">
        <f t="shared" si="227"/>
        <v>0</v>
      </c>
      <c r="Q482" s="327">
        <f t="shared" si="228"/>
        <v>0</v>
      </c>
      <c r="R482" s="334">
        <f t="shared" si="229"/>
        <v>0</v>
      </c>
      <c r="S482" s="335">
        <f t="shared" si="206"/>
        <v>0</v>
      </c>
      <c r="T482" s="335">
        <f t="shared" si="207"/>
        <v>0</v>
      </c>
      <c r="U482" s="336">
        <f t="shared" si="208"/>
        <v>0</v>
      </c>
      <c r="V482" s="336">
        <f t="shared" si="209"/>
        <v>0</v>
      </c>
      <c r="W482" s="336">
        <f t="shared" si="210"/>
        <v>0</v>
      </c>
      <c r="X482" s="336">
        <f t="shared" si="211"/>
        <v>267.52134462852808</v>
      </c>
      <c r="Y482" s="320"/>
      <c r="Z482" s="321" t="str">
        <f t="shared" si="215"/>
        <v>X-EXM01A</v>
      </c>
      <c r="AA482" s="321" t="str">
        <f t="shared" si="216"/>
        <v>X-EXM01E</v>
      </c>
      <c r="AB482" s="321" t="str">
        <f t="shared" si="217"/>
        <v>X-EXM01M</v>
      </c>
      <c r="AC482" s="321" t="str">
        <f t="shared" si="218"/>
        <v>X-EXM01T</v>
      </c>
      <c r="AD482" s="321" t="str">
        <f t="shared" si="219"/>
        <v>X-EXM01S</v>
      </c>
      <c r="AE482" s="321" t="str">
        <f t="shared" si="220"/>
        <v>X-EXM01X</v>
      </c>
      <c r="AF482" s="321" t="str">
        <f t="shared" si="221"/>
        <v>X-EXM01X</v>
      </c>
      <c r="AG482" s="321">
        <f t="shared" si="212"/>
        <v>11</v>
      </c>
      <c r="AH482" s="321">
        <f>IF(B482&lt;&gt;"",IF(H482="x",VLOOKUP(I482,'AUX-NIV3'!B:AG,32,FALSE),0),"")</f>
        <v>2</v>
      </c>
      <c r="AI482" s="321" t="str">
        <f t="shared" si="222"/>
        <v>X-EXM01</v>
      </c>
      <c r="AJ482" s="320"/>
      <c r="AK482" s="322">
        <f t="shared" si="213"/>
        <v>472</v>
      </c>
      <c r="AL482" s="323">
        <f t="shared" si="223"/>
        <v>482</v>
      </c>
      <c r="AM482" s="322">
        <f t="shared" si="224"/>
        <v>11</v>
      </c>
      <c r="AN482" s="380">
        <f>IF(AND(AH482&gt;0,B482&lt;&gt;""),VLOOKUP(I482,'AUX-NIV3'!$B:$AO,39,FALSE)*O482,0)</f>
        <v>0</v>
      </c>
      <c r="AO482" s="380">
        <f t="shared" si="214"/>
        <v>6.9699999999999998E-2</v>
      </c>
      <c r="AP482" s="380"/>
    </row>
    <row r="483" spans="2:42" ht="14.4" hidden="1" thickTop="1" thickBot="1">
      <c r="B483" s="325" t="s">
        <v>1368</v>
      </c>
      <c r="C483" s="325" t="s">
        <v>1380</v>
      </c>
      <c r="D483" s="326" t="s">
        <v>1386</v>
      </c>
      <c r="E483" s="327">
        <f>IF(B483&lt;&gt;"",SUMIF('AUX-NIV1'!I:I,'AUX-NIV2'!B483,'AUX-NIV1'!Q:Q),"")</f>
        <v>0</v>
      </c>
      <c r="F483" s="327">
        <f t="shared" si="204"/>
        <v>203.0540022866785</v>
      </c>
      <c r="G483" s="327">
        <f t="shared" si="205"/>
        <v>0</v>
      </c>
      <c r="H483" s="328" t="str">
        <f t="shared" si="200"/>
        <v>X</v>
      </c>
      <c r="I483" s="325" t="s">
        <v>1415</v>
      </c>
      <c r="J483" s="329" t="str">
        <f>IF(B483&lt;&gt;"",+VLOOKUP(I483,Recursos!C:F,2,FALSE),"")</f>
        <v>Distribución de mat.terraplén</v>
      </c>
      <c r="K483" s="330" t="str">
        <f>IF(B483&lt;&gt;"",+VLOOKUP(I483,Recursos!C:F,3,FALSE),"")</f>
        <v>m3s</v>
      </c>
      <c r="L483" s="327">
        <f>IF(B483&lt;&gt;"",+VLOOKUP(I483,Recursos!C:F,4,FALSE),"")</f>
        <v>23.290544728722342</v>
      </c>
      <c r="M483" s="432">
        <v>1.45</v>
      </c>
      <c r="N483" s="432"/>
      <c r="O483" s="332">
        <f>+M483</f>
        <v>1.45</v>
      </c>
      <c r="P483" s="333">
        <f t="shared" si="201"/>
        <v>33.771289856647392</v>
      </c>
      <c r="Q483" s="327">
        <f t="shared" si="202"/>
        <v>0</v>
      </c>
      <c r="R483" s="334">
        <f t="shared" si="203"/>
        <v>0</v>
      </c>
      <c r="S483" s="335">
        <f t="shared" si="206"/>
        <v>0</v>
      </c>
      <c r="T483" s="335">
        <f t="shared" si="207"/>
        <v>0</v>
      </c>
      <c r="U483" s="336">
        <f t="shared" si="208"/>
        <v>0</v>
      </c>
      <c r="V483" s="336">
        <f t="shared" si="209"/>
        <v>0</v>
      </c>
      <c r="W483" s="336">
        <f t="shared" si="210"/>
        <v>0</v>
      </c>
      <c r="X483" s="336">
        <f t="shared" si="211"/>
        <v>203.0540022866785</v>
      </c>
      <c r="Y483" s="320"/>
      <c r="Z483" s="321" t="str">
        <f t="shared" si="215"/>
        <v>X-T0010A</v>
      </c>
      <c r="AA483" s="321" t="str">
        <f t="shared" si="216"/>
        <v>X-T0010E</v>
      </c>
      <c r="AB483" s="321" t="str">
        <f t="shared" si="217"/>
        <v>X-T0010M</v>
      </c>
      <c r="AC483" s="321" t="str">
        <f t="shared" si="218"/>
        <v>X-T0010T</v>
      </c>
      <c r="AD483" s="321" t="str">
        <f t="shared" si="219"/>
        <v>X-T0010S</v>
      </c>
      <c r="AE483" s="321" t="str">
        <f t="shared" si="220"/>
        <v>X-T0010X</v>
      </c>
      <c r="AF483" s="321" t="str">
        <f t="shared" si="221"/>
        <v>X-T0010X</v>
      </c>
      <c r="AG483" s="321">
        <f t="shared" si="212"/>
        <v>6</v>
      </c>
      <c r="AH483" s="321">
        <f>IF(B483&lt;&gt;"",IF(H483="x",VLOOKUP(I483,'AUX-NIV3'!B:AG,32,FALSE),0),"")</f>
        <v>3</v>
      </c>
      <c r="AI483" s="321" t="str">
        <f t="shared" si="222"/>
        <v>X-T0010</v>
      </c>
      <c r="AJ483" s="320"/>
      <c r="AK483" s="322">
        <f t="shared" si="213"/>
        <v>483</v>
      </c>
      <c r="AL483" s="323">
        <f t="shared" si="223"/>
        <v>488</v>
      </c>
      <c r="AM483" s="322">
        <f t="shared" si="224"/>
        <v>1</v>
      </c>
      <c r="AN483" s="380">
        <f>IF(AND(AH483&gt;0,B483&lt;&gt;""),VLOOKUP(I483,'AUX-NIV3'!$B:$AO,39,FALSE)*O483,0)</f>
        <v>7.2499999999999995E-3</v>
      </c>
      <c r="AO483" s="380">
        <f t="shared" si="214"/>
        <v>7.3741666666666664E-2</v>
      </c>
      <c r="AP483" s="380"/>
    </row>
    <row r="484" spans="2:42" ht="14.4" hidden="1" thickTop="1" thickBot="1">
      <c r="B484" s="325" t="s">
        <v>1368</v>
      </c>
      <c r="C484" s="325" t="s">
        <v>1380</v>
      </c>
      <c r="D484" s="326" t="s">
        <v>1386</v>
      </c>
      <c r="E484" s="327">
        <f>IF(B484&lt;&gt;"",SUMIF('AUX-NIV1'!I:I,'AUX-NIV2'!B484,'AUX-NIV1'!Q:Q),"")</f>
        <v>0</v>
      </c>
      <c r="F484" s="327">
        <f t="shared" si="204"/>
        <v>203.0540022866785</v>
      </c>
      <c r="G484" s="327">
        <f t="shared" si="205"/>
        <v>0</v>
      </c>
      <c r="H484" s="328" t="str">
        <f>IF(B484&lt;&gt;"",+LEFT(I484,1),"")</f>
        <v>X</v>
      </c>
      <c r="I484" s="325" t="s">
        <v>1388</v>
      </c>
      <c r="J484" s="329" t="str">
        <f>IF(B484&lt;&gt;"",+VLOOKUP(I484,Recursos!C:F,2,FALSE),"")</f>
        <v>Obtención de agua para riego</v>
      </c>
      <c r="K484" s="330" t="str">
        <f>IF(B484&lt;&gt;"",+VLOOKUP(I484,Recursos!C:F,3,FALSE),"")</f>
        <v>m3</v>
      </c>
      <c r="L484" s="327">
        <f>IF(B484&lt;&gt;"",+VLOOKUP(I484,Recursos!C:F,4,FALSE),"")</f>
        <v>43.481296096028451</v>
      </c>
      <c r="M484" s="432">
        <v>1.1000000000000001</v>
      </c>
      <c r="N484" s="432">
        <v>0.2</v>
      </c>
      <c r="O484" s="332">
        <f>+M484*N484</f>
        <v>0.22000000000000003</v>
      </c>
      <c r="P484" s="333">
        <f>IF(B484&lt;&gt;"",O484*L484,"")</f>
        <v>9.5658851411262606</v>
      </c>
      <c r="Q484" s="327">
        <f>IF(B484&lt;&gt;"",+O484*E484,"")</f>
        <v>0</v>
      </c>
      <c r="R484" s="334">
        <f>IF(B484&lt;&gt;"",Q484*L484,"")</f>
        <v>0</v>
      </c>
      <c r="S484" s="335">
        <f t="shared" si="206"/>
        <v>0</v>
      </c>
      <c r="T484" s="335">
        <f t="shared" si="207"/>
        <v>0</v>
      </c>
      <c r="U484" s="336">
        <f t="shared" si="208"/>
        <v>0</v>
      </c>
      <c r="V484" s="336">
        <f t="shared" si="209"/>
        <v>0</v>
      </c>
      <c r="W484" s="336">
        <f t="shared" si="210"/>
        <v>0</v>
      </c>
      <c r="X484" s="336">
        <f t="shared" si="211"/>
        <v>203.0540022866785</v>
      </c>
      <c r="Y484" s="320"/>
      <c r="Z484" s="321" t="str">
        <f t="shared" si="215"/>
        <v>X-T0010A</v>
      </c>
      <c r="AA484" s="321" t="str">
        <f t="shared" si="216"/>
        <v>X-T0010E</v>
      </c>
      <c r="AB484" s="321" t="str">
        <f t="shared" si="217"/>
        <v>X-T0010M</v>
      </c>
      <c r="AC484" s="321" t="str">
        <f t="shared" si="218"/>
        <v>X-T0010T</v>
      </c>
      <c r="AD484" s="321" t="str">
        <f t="shared" si="219"/>
        <v>X-T0010S</v>
      </c>
      <c r="AE484" s="321" t="str">
        <f t="shared" si="220"/>
        <v>X-T0010X</v>
      </c>
      <c r="AF484" s="321" t="str">
        <f t="shared" si="221"/>
        <v>X-T0010X</v>
      </c>
      <c r="AG484" s="321">
        <f t="shared" si="212"/>
        <v>6</v>
      </c>
      <c r="AH484" s="321">
        <f>IF(B484&lt;&gt;"",IF(H484="x",VLOOKUP(I484,'AUX-NIV3'!B:AG,32,FALSE),0),"")</f>
        <v>4</v>
      </c>
      <c r="AI484" s="321" t="str">
        <f t="shared" si="222"/>
        <v>X-T0010</v>
      </c>
      <c r="AJ484" s="320"/>
      <c r="AK484" s="322">
        <f t="shared" si="213"/>
        <v>483</v>
      </c>
      <c r="AL484" s="323">
        <f t="shared" si="223"/>
        <v>488</v>
      </c>
      <c r="AM484" s="322">
        <f t="shared" si="224"/>
        <v>2</v>
      </c>
      <c r="AN484" s="380">
        <f>IF(AND(AH484&gt;0,B484&lt;&gt;""),VLOOKUP(I484,'AUX-NIV3'!$B:$AO,39,FALSE)*O484,0)</f>
        <v>4.4000000000000003E-3</v>
      </c>
      <c r="AO484" s="380">
        <f t="shared" si="214"/>
        <v>7.3741666666666664E-2</v>
      </c>
      <c r="AP484" s="380"/>
    </row>
    <row r="485" spans="2:42" ht="14.4" hidden="1" thickTop="1" thickBot="1">
      <c r="B485" s="325" t="s">
        <v>1368</v>
      </c>
      <c r="C485" s="325" t="s">
        <v>1380</v>
      </c>
      <c r="D485" s="326" t="s">
        <v>1386</v>
      </c>
      <c r="E485" s="327">
        <f>IF(B485&lt;&gt;"",SUMIF('AUX-NIV1'!I:I,'AUX-NIV2'!B485,'AUX-NIV1'!Q:Q),"")</f>
        <v>0</v>
      </c>
      <c r="F485" s="327">
        <f t="shared" si="204"/>
        <v>203.0540022866785</v>
      </c>
      <c r="G485" s="327">
        <f t="shared" si="205"/>
        <v>0</v>
      </c>
      <c r="H485" s="328" t="str">
        <f>IF(B485&lt;&gt;"",+LEFT(I485,1),"")</f>
        <v>X</v>
      </c>
      <c r="I485" s="325" t="s">
        <v>1389</v>
      </c>
      <c r="J485" s="329" t="str">
        <f>IF(B485&lt;&gt;"",+VLOOKUP(I485,Recursos!C:F,2,FALSE),"")</f>
        <v>Transporte de agua para riego</v>
      </c>
      <c r="K485" s="330" t="str">
        <f>IF(B485&lt;&gt;"",+VLOOKUP(I485,Recursos!C:F,3,FALSE),"")</f>
        <v>m3</v>
      </c>
      <c r="L485" s="327">
        <f>IF(B485&lt;&gt;"",+VLOOKUP(I485,Recursos!C:F,4,FALSE),"")</f>
        <v>120.18495973415189</v>
      </c>
      <c r="M485" s="432">
        <v>0.20499999999999999</v>
      </c>
      <c r="N485" s="432"/>
      <c r="O485" s="332">
        <f>+O484</f>
        <v>0.22000000000000003</v>
      </c>
      <c r="P485" s="333">
        <f>IF(B485&lt;&gt;"",O485*L485,"")</f>
        <v>26.440691141513419</v>
      </c>
      <c r="Q485" s="327">
        <f>IF(B485&lt;&gt;"",+O485*E485,"")</f>
        <v>0</v>
      </c>
      <c r="R485" s="334">
        <f>IF(B485&lt;&gt;"",Q485*L485,"")</f>
        <v>0</v>
      </c>
      <c r="S485" s="335">
        <f t="shared" si="206"/>
        <v>0</v>
      </c>
      <c r="T485" s="335">
        <f t="shared" si="207"/>
        <v>0</v>
      </c>
      <c r="U485" s="336">
        <f t="shared" si="208"/>
        <v>0</v>
      </c>
      <c r="V485" s="336">
        <f t="shared" si="209"/>
        <v>0</v>
      </c>
      <c r="W485" s="336">
        <f t="shared" si="210"/>
        <v>0</v>
      </c>
      <c r="X485" s="336">
        <f t="shared" si="211"/>
        <v>203.0540022866785</v>
      </c>
      <c r="Y485" s="320"/>
      <c r="Z485" s="321" t="str">
        <f t="shared" si="215"/>
        <v>X-T0010A</v>
      </c>
      <c r="AA485" s="321" t="str">
        <f t="shared" si="216"/>
        <v>X-T0010E</v>
      </c>
      <c r="AB485" s="321" t="str">
        <f t="shared" si="217"/>
        <v>X-T0010M</v>
      </c>
      <c r="AC485" s="321" t="str">
        <f t="shared" si="218"/>
        <v>X-T0010T</v>
      </c>
      <c r="AD485" s="321" t="str">
        <f t="shared" si="219"/>
        <v>X-T0010S</v>
      </c>
      <c r="AE485" s="321" t="str">
        <f t="shared" si="220"/>
        <v>X-T0010X</v>
      </c>
      <c r="AF485" s="321" t="str">
        <f t="shared" si="221"/>
        <v>X-T0010X</v>
      </c>
      <c r="AG485" s="321">
        <f t="shared" si="212"/>
        <v>6</v>
      </c>
      <c r="AH485" s="321">
        <f>IF(B485&lt;&gt;"",IF(H485="x",VLOOKUP(I485,'AUX-NIV3'!B:AG,32,FALSE),0),"")</f>
        <v>3</v>
      </c>
      <c r="AI485" s="321" t="str">
        <f t="shared" si="222"/>
        <v>X-T0010</v>
      </c>
      <c r="AJ485" s="320"/>
      <c r="AK485" s="322">
        <f t="shared" si="213"/>
        <v>483</v>
      </c>
      <c r="AL485" s="323">
        <f t="shared" si="223"/>
        <v>488</v>
      </c>
      <c r="AM485" s="322">
        <f t="shared" si="224"/>
        <v>3</v>
      </c>
      <c r="AN485" s="380">
        <f>IF(AND(AH485&gt;0,B485&lt;&gt;""),VLOOKUP(I485,'AUX-NIV3'!$B:$AO,39,FALSE)*O485,0)</f>
        <v>8.8000000000000005E-3</v>
      </c>
      <c r="AO485" s="380">
        <f t="shared" si="214"/>
        <v>7.3741666666666664E-2</v>
      </c>
      <c r="AP485" s="380"/>
    </row>
    <row r="486" spans="2:42" ht="14.4" hidden="1" thickTop="1" thickBot="1">
      <c r="B486" s="325" t="s">
        <v>1368</v>
      </c>
      <c r="C486" s="325" t="s">
        <v>1380</v>
      </c>
      <c r="D486" s="326" t="s">
        <v>1386</v>
      </c>
      <c r="E486" s="327">
        <f>IF(B486&lt;&gt;"",SUMIF('AUX-NIV1'!I:I,'AUX-NIV2'!B486,'AUX-NIV1'!Q:Q),"")</f>
        <v>0</v>
      </c>
      <c r="F486" s="327">
        <f t="shared" si="204"/>
        <v>203.0540022866785</v>
      </c>
      <c r="G486" s="327">
        <f t="shared" si="205"/>
        <v>0</v>
      </c>
      <c r="H486" s="328" t="str">
        <f>IF(B486&lt;&gt;"",+LEFT(I486,1),"")</f>
        <v>X</v>
      </c>
      <c r="I486" s="325" t="s">
        <v>1390</v>
      </c>
      <c r="J486" s="329" t="str">
        <f>IF(B486&lt;&gt;"",+VLOOKUP(I486,Recursos!C:F,2,FALSE),"")</f>
        <v>Riego de terraplén</v>
      </c>
      <c r="K486" s="330" t="str">
        <f>IF(B486&lt;&gt;"",+VLOOKUP(I486,Recursos!C:F,3,FALSE),"")</f>
        <v>m3</v>
      </c>
      <c r="L486" s="327">
        <f>IF(B486&lt;&gt;"",+VLOOKUP(I486,Recursos!C:F,4,FALSE),"")</f>
        <v>39.234240090026674</v>
      </c>
      <c r="M486" s="432">
        <v>0.20499999999999999</v>
      </c>
      <c r="N486" s="432"/>
      <c r="O486" s="332">
        <f>+O485</f>
        <v>0.22000000000000003</v>
      </c>
      <c r="P486" s="333">
        <f>IF(B486&lt;&gt;"",O486*L486,"")</f>
        <v>8.6315328198058694</v>
      </c>
      <c r="Q486" s="327">
        <f>IF(B486&lt;&gt;"",+O486*E486,"")</f>
        <v>0</v>
      </c>
      <c r="R486" s="334">
        <f>IF(B486&lt;&gt;"",Q486*L486,"")</f>
        <v>0</v>
      </c>
      <c r="S486" s="335">
        <f t="shared" si="206"/>
        <v>0</v>
      </c>
      <c r="T486" s="335">
        <f t="shared" si="207"/>
        <v>0</v>
      </c>
      <c r="U486" s="336">
        <f t="shared" si="208"/>
        <v>0</v>
      </c>
      <c r="V486" s="336">
        <f t="shared" si="209"/>
        <v>0</v>
      </c>
      <c r="W486" s="336">
        <f t="shared" si="210"/>
        <v>0</v>
      </c>
      <c r="X486" s="336">
        <f t="shared" si="211"/>
        <v>203.0540022866785</v>
      </c>
      <c r="Y486" s="320"/>
      <c r="Z486" s="321" t="str">
        <f t="shared" si="215"/>
        <v>X-T0010A</v>
      </c>
      <c r="AA486" s="321" t="str">
        <f t="shared" si="216"/>
        <v>X-T0010E</v>
      </c>
      <c r="AB486" s="321" t="str">
        <f t="shared" si="217"/>
        <v>X-T0010M</v>
      </c>
      <c r="AC486" s="321" t="str">
        <f t="shared" si="218"/>
        <v>X-T0010T</v>
      </c>
      <c r="AD486" s="321" t="str">
        <f t="shared" si="219"/>
        <v>X-T0010S</v>
      </c>
      <c r="AE486" s="321" t="str">
        <f t="shared" si="220"/>
        <v>X-T0010X</v>
      </c>
      <c r="AF486" s="321" t="str">
        <f t="shared" si="221"/>
        <v>X-T0010X</v>
      </c>
      <c r="AG486" s="321">
        <f t="shared" si="212"/>
        <v>6</v>
      </c>
      <c r="AH486" s="321">
        <f>IF(B486&lt;&gt;"",IF(H486="x",VLOOKUP(I486,'AUX-NIV3'!B:AG,32,FALSE),0),"")</f>
        <v>3</v>
      </c>
      <c r="AI486" s="321" t="str">
        <f t="shared" si="222"/>
        <v>X-T0010</v>
      </c>
      <c r="AJ486" s="320"/>
      <c r="AK486" s="322">
        <f t="shared" si="213"/>
        <v>483</v>
      </c>
      <c r="AL486" s="323">
        <f t="shared" si="223"/>
        <v>488</v>
      </c>
      <c r="AM486" s="322">
        <f t="shared" si="224"/>
        <v>4</v>
      </c>
      <c r="AN486" s="380">
        <f>IF(AND(AH486&gt;0,B486&lt;&gt;""),VLOOKUP(I486,'AUX-NIV3'!$B:$AO,39,FALSE)*O486,0)</f>
        <v>4.1250000000000011E-3</v>
      </c>
      <c r="AO486" s="380">
        <f t="shared" si="214"/>
        <v>7.3741666666666664E-2</v>
      </c>
      <c r="AP486" s="380"/>
    </row>
    <row r="487" spans="2:42" ht="14.4" hidden="1" thickTop="1" thickBot="1">
      <c r="B487" s="325" t="s">
        <v>1368</v>
      </c>
      <c r="C487" s="325" t="s">
        <v>1380</v>
      </c>
      <c r="D487" s="326" t="s">
        <v>1386</v>
      </c>
      <c r="E487" s="327">
        <f>IF(B487&lt;&gt;"",SUMIF('AUX-NIV1'!I:I,'AUX-NIV2'!B487,'AUX-NIV1'!Q:Q),"")</f>
        <v>0</v>
      </c>
      <c r="F487" s="327">
        <f t="shared" si="204"/>
        <v>203.0540022866785</v>
      </c>
      <c r="G487" s="327">
        <f t="shared" si="205"/>
        <v>0</v>
      </c>
      <c r="H487" s="328" t="str">
        <f>IF(B487&lt;&gt;"",+LEFT(I487,1),"")</f>
        <v>X</v>
      </c>
      <c r="I487" s="325" t="s">
        <v>1416</v>
      </c>
      <c r="J487" s="329" t="str">
        <f>IF(B487&lt;&gt;"",+VLOOKUP(I487,Recursos!C:F,2,FALSE),"")</f>
        <v>Homogen.humedad mat.terraplén</v>
      </c>
      <c r="K487" s="330" t="str">
        <f>IF(B487&lt;&gt;"",+VLOOKUP(I487,Recursos!C:F,3,FALSE),"")</f>
        <v>m3s</v>
      </c>
      <c r="L487" s="327">
        <f>IF(B487&lt;&gt;"",+VLOOKUP(I487,Recursos!C:F,4,FALSE),"")</f>
        <v>57.95891082256712</v>
      </c>
      <c r="M487" s="432">
        <v>1.45</v>
      </c>
      <c r="N487" s="432"/>
      <c r="O487" s="332">
        <f>+M487</f>
        <v>1.45</v>
      </c>
      <c r="P487" s="333">
        <f>IF(B487&lt;&gt;"",O487*L487,"")</f>
        <v>84.040420692722321</v>
      </c>
      <c r="Q487" s="327">
        <f>IF(B487&lt;&gt;"",+O487*E487,"")</f>
        <v>0</v>
      </c>
      <c r="R487" s="334">
        <f>IF(B487&lt;&gt;"",Q487*L487,"")</f>
        <v>0</v>
      </c>
      <c r="S487" s="335">
        <f t="shared" si="206"/>
        <v>0</v>
      </c>
      <c r="T487" s="335">
        <f t="shared" si="207"/>
        <v>0</v>
      </c>
      <c r="U487" s="336">
        <f t="shared" si="208"/>
        <v>0</v>
      </c>
      <c r="V487" s="336">
        <f t="shared" si="209"/>
        <v>0</v>
      </c>
      <c r="W487" s="336">
        <f t="shared" si="210"/>
        <v>0</v>
      </c>
      <c r="X487" s="336">
        <f t="shared" si="211"/>
        <v>203.0540022866785</v>
      </c>
      <c r="Y487" s="320"/>
      <c r="Z487" s="321" t="str">
        <f t="shared" si="215"/>
        <v>X-T0010A</v>
      </c>
      <c r="AA487" s="321" t="str">
        <f t="shared" si="216"/>
        <v>X-T0010E</v>
      </c>
      <c r="AB487" s="321" t="str">
        <f t="shared" si="217"/>
        <v>X-T0010M</v>
      </c>
      <c r="AC487" s="321" t="str">
        <f t="shared" si="218"/>
        <v>X-T0010T</v>
      </c>
      <c r="AD487" s="321" t="str">
        <f t="shared" si="219"/>
        <v>X-T0010S</v>
      </c>
      <c r="AE487" s="321" t="str">
        <f t="shared" si="220"/>
        <v>X-T0010X</v>
      </c>
      <c r="AF487" s="321" t="str">
        <f t="shared" si="221"/>
        <v>X-T0010X</v>
      </c>
      <c r="AG487" s="321">
        <f t="shared" si="212"/>
        <v>6</v>
      </c>
      <c r="AH487" s="321">
        <f>IF(B487&lt;&gt;"",IF(H487="x",VLOOKUP(I487,'AUX-NIV3'!B:AG,32,FALSE),0),"")</f>
        <v>7</v>
      </c>
      <c r="AI487" s="321" t="str">
        <f t="shared" si="222"/>
        <v>X-T0010</v>
      </c>
      <c r="AJ487" s="320"/>
      <c r="AK487" s="322">
        <f t="shared" si="213"/>
        <v>483</v>
      </c>
      <c r="AL487" s="323">
        <f t="shared" si="223"/>
        <v>488</v>
      </c>
      <c r="AM487" s="322">
        <f t="shared" si="224"/>
        <v>5</v>
      </c>
      <c r="AN487" s="380">
        <f>IF(AND(AH487&gt;0,B487&lt;&gt;""),VLOOKUP(I487,'AUX-NIV3'!$B:$AO,39,FALSE)*O487,0)</f>
        <v>2.4166666666666666E-2</v>
      </c>
      <c r="AO487" s="380">
        <f t="shared" si="214"/>
        <v>7.3741666666666664E-2</v>
      </c>
      <c r="AP487" s="380"/>
    </row>
    <row r="488" spans="2:42" ht="14.4" hidden="1" thickTop="1" thickBot="1">
      <c r="B488" s="325" t="s">
        <v>1368</v>
      </c>
      <c r="C488" s="325" t="s">
        <v>1380</v>
      </c>
      <c r="D488" s="326" t="s">
        <v>1386</v>
      </c>
      <c r="E488" s="327">
        <f>IF(B488&lt;&gt;"",SUMIF('AUX-NIV1'!I:I,'AUX-NIV2'!B488,'AUX-NIV1'!Q:Q),"")</f>
        <v>0</v>
      </c>
      <c r="F488" s="327">
        <f t="shared" si="204"/>
        <v>203.0540022866785</v>
      </c>
      <c r="G488" s="327">
        <f t="shared" si="205"/>
        <v>0</v>
      </c>
      <c r="H488" s="328" t="str">
        <f>IF(B488&lt;&gt;"",+LEFT(I488,1),"")</f>
        <v>X</v>
      </c>
      <c r="I488" s="325" t="s">
        <v>1417</v>
      </c>
      <c r="J488" s="329" t="str">
        <f>IF(B488&lt;&gt;"",+VLOOKUP(I488,Recursos!C:F,2,FALSE),"")</f>
        <v>Compactación de terraplén</v>
      </c>
      <c r="K488" s="330" t="str">
        <f>IF(B488&lt;&gt;"",+VLOOKUP(I488,Recursos!C:F,3,FALSE),"")</f>
        <v>m3c</v>
      </c>
      <c r="L488" s="327">
        <f>IF(B488&lt;&gt;"",+VLOOKUP(I488,Recursos!C:F,4,FALSE),"")</f>
        <v>40.604182634863236</v>
      </c>
      <c r="M488" s="432">
        <v>1</v>
      </c>
      <c r="N488" s="432"/>
      <c r="O488" s="332">
        <f>+M488</f>
        <v>1</v>
      </c>
      <c r="P488" s="333">
        <f>IF(B488&lt;&gt;"",O488*L488,"")</f>
        <v>40.604182634863236</v>
      </c>
      <c r="Q488" s="327">
        <f>IF(B488&lt;&gt;"",+O488*E488,"")</f>
        <v>0</v>
      </c>
      <c r="R488" s="334">
        <f>IF(B488&lt;&gt;"",Q488*L488,"")</f>
        <v>0</v>
      </c>
      <c r="S488" s="335">
        <f t="shared" si="206"/>
        <v>0</v>
      </c>
      <c r="T488" s="335">
        <f t="shared" si="207"/>
        <v>0</v>
      </c>
      <c r="U488" s="336">
        <f t="shared" si="208"/>
        <v>0</v>
      </c>
      <c r="V488" s="336">
        <f t="shared" si="209"/>
        <v>0</v>
      </c>
      <c r="W488" s="336">
        <f t="shared" si="210"/>
        <v>0</v>
      </c>
      <c r="X488" s="336">
        <f t="shared" si="211"/>
        <v>203.0540022866785</v>
      </c>
      <c r="Y488" s="320"/>
      <c r="Z488" s="321" t="str">
        <f t="shared" si="215"/>
        <v>X-T0010A</v>
      </c>
      <c r="AA488" s="321" t="str">
        <f t="shared" si="216"/>
        <v>X-T0010E</v>
      </c>
      <c r="AB488" s="321" t="str">
        <f t="shared" si="217"/>
        <v>X-T0010M</v>
      </c>
      <c r="AC488" s="321" t="str">
        <f t="shared" si="218"/>
        <v>X-T0010T</v>
      </c>
      <c r="AD488" s="321" t="str">
        <f t="shared" si="219"/>
        <v>X-T0010S</v>
      </c>
      <c r="AE488" s="321" t="str">
        <f t="shared" si="220"/>
        <v>X-T0010X</v>
      </c>
      <c r="AF488" s="321" t="str">
        <f t="shared" si="221"/>
        <v>X-T0010X</v>
      </c>
      <c r="AG488" s="321">
        <f t="shared" si="212"/>
        <v>6</v>
      </c>
      <c r="AH488" s="321">
        <f>IF(B488&lt;&gt;"",IF(H488="x",VLOOKUP(I488,'AUX-NIV3'!B:AG,32,FALSE),0),"")</f>
        <v>6</v>
      </c>
      <c r="AI488" s="321" t="str">
        <f t="shared" si="222"/>
        <v>X-T0010</v>
      </c>
      <c r="AJ488" s="320"/>
      <c r="AK488" s="322">
        <f t="shared" si="213"/>
        <v>483</v>
      </c>
      <c r="AL488" s="323">
        <f t="shared" si="223"/>
        <v>488</v>
      </c>
      <c r="AM488" s="322">
        <f t="shared" si="224"/>
        <v>6</v>
      </c>
      <c r="AN488" s="380">
        <f>IF(AND(AH488&gt;0,B488&lt;&gt;""),VLOOKUP(I488,'AUX-NIV3'!$B:$AO,39,FALSE)*O488,0)</f>
        <v>2.4999999999999998E-2</v>
      </c>
      <c r="AO488" s="380">
        <f t="shared" si="214"/>
        <v>7.3741666666666664E-2</v>
      </c>
      <c r="AP488" s="380"/>
    </row>
    <row r="489" spans="2:42" ht="14.4" hidden="1" thickTop="1" thickBot="1">
      <c r="B489" s="325" t="s">
        <v>1369</v>
      </c>
      <c r="C489" s="325" t="s">
        <v>1381</v>
      </c>
      <c r="D489" s="326" t="s">
        <v>1384</v>
      </c>
      <c r="E489" s="327">
        <f>IF(B489&lt;&gt;"",SUMIF('AUX-NIV1'!I:I,'AUX-NIV2'!B489,'AUX-NIV1'!Q:Q),"")</f>
        <v>0</v>
      </c>
      <c r="F489" s="327" t="e">
        <f t="shared" si="204"/>
        <v>#N/A</v>
      </c>
      <c r="G489" s="327" t="e">
        <f t="shared" si="205"/>
        <v>#N/A</v>
      </c>
      <c r="H489" s="328" t="str">
        <f t="shared" si="200"/>
        <v>X</v>
      </c>
      <c r="I489" s="325" t="s">
        <v>1421</v>
      </c>
      <c r="J489" s="329" t="str">
        <f>IF(B489&lt;&gt;"",+VLOOKUP(I489,Recursos!C:F,2,FALSE),"")</f>
        <v>Excav.camino piloto en roca</v>
      </c>
      <c r="K489" s="330" t="str">
        <f>IF(B489&lt;&gt;"",+VLOOKUP(I489,Recursos!C:F,3,FALSE),"")</f>
        <v>m3</v>
      </c>
      <c r="L489" s="327" t="e">
        <f>IF(B489&lt;&gt;"",+VLOOKUP(I489,Recursos!C:F,4,FALSE),"")</f>
        <v>#N/A</v>
      </c>
      <c r="M489" s="331">
        <v>0.08</v>
      </c>
      <c r="N489" s="331">
        <v>0.25</v>
      </c>
      <c r="O489" s="332">
        <f>+M489*N489</f>
        <v>0.02</v>
      </c>
      <c r="P489" s="333" t="e">
        <f t="shared" si="201"/>
        <v>#N/A</v>
      </c>
      <c r="Q489" s="327">
        <f t="shared" si="202"/>
        <v>0</v>
      </c>
      <c r="R489" s="334" t="e">
        <f t="shared" si="203"/>
        <v>#N/A</v>
      </c>
      <c r="S489" s="335">
        <f t="shared" si="206"/>
        <v>0</v>
      </c>
      <c r="T489" s="335">
        <f t="shared" si="207"/>
        <v>0</v>
      </c>
      <c r="U489" s="336">
        <f t="shared" si="208"/>
        <v>0</v>
      </c>
      <c r="V489" s="336">
        <f t="shared" si="209"/>
        <v>0</v>
      </c>
      <c r="W489" s="336">
        <f t="shared" si="210"/>
        <v>0</v>
      </c>
      <c r="X489" s="336" t="e">
        <f t="shared" si="211"/>
        <v>#N/A</v>
      </c>
      <c r="Y489" s="320"/>
      <c r="Z489" s="321" t="str">
        <f t="shared" si="215"/>
        <v>X-EXM02A</v>
      </c>
      <c r="AA489" s="321" t="str">
        <f t="shared" si="216"/>
        <v>X-EXM02E</v>
      </c>
      <c r="AB489" s="321" t="str">
        <f t="shared" si="217"/>
        <v>X-EXM02M</v>
      </c>
      <c r="AC489" s="321" t="str">
        <f t="shared" si="218"/>
        <v>X-EXM02T</v>
      </c>
      <c r="AD489" s="321" t="str">
        <f t="shared" si="219"/>
        <v>X-EXM02S</v>
      </c>
      <c r="AE489" s="321" t="str">
        <f t="shared" si="220"/>
        <v>X-EXM02X</v>
      </c>
      <c r="AF489" s="321" t="str">
        <f t="shared" si="221"/>
        <v>X-EXM02X</v>
      </c>
      <c r="AG489" s="321">
        <f t="shared" si="212"/>
        <v>10</v>
      </c>
      <c r="AH489" s="321">
        <f>IF(B489&lt;&gt;"",IF(H489="x",VLOOKUP(I489,'AUX-NIV3'!B:AG,32,FALSE),0),"")</f>
        <v>40</v>
      </c>
      <c r="AI489" s="321" t="str">
        <f t="shared" si="222"/>
        <v>X-EXM02</v>
      </c>
      <c r="AJ489" s="320"/>
      <c r="AK489" s="322">
        <f t="shared" si="213"/>
        <v>489</v>
      </c>
      <c r="AL489" s="323">
        <f t="shared" si="223"/>
        <v>498</v>
      </c>
      <c r="AM489" s="322">
        <f t="shared" si="224"/>
        <v>1</v>
      </c>
      <c r="AN489" s="380">
        <f>IF(AND(AH489&gt;0,B489&lt;&gt;""),VLOOKUP(I489,'AUX-NIV3'!$B:$AO,39,FALSE)*O489,0)</f>
        <v>1.2842979242979245E-2</v>
      </c>
      <c r="AO489" s="380">
        <f t="shared" si="214"/>
        <v>0.25191497924297923</v>
      </c>
      <c r="AP489" s="380"/>
    </row>
    <row r="490" spans="2:42" ht="14.4" hidden="1" thickTop="1" thickBot="1">
      <c r="B490" s="325" t="s">
        <v>1369</v>
      </c>
      <c r="C490" s="325" t="s">
        <v>1381</v>
      </c>
      <c r="D490" s="326" t="s">
        <v>1384</v>
      </c>
      <c r="E490" s="327">
        <f>IF(B490&lt;&gt;"",SUMIF('AUX-NIV1'!I:I,'AUX-NIV2'!B490,'AUX-NIV1'!Q:Q),"")</f>
        <v>0</v>
      </c>
      <c r="F490" s="327" t="e">
        <f t="shared" si="204"/>
        <v>#N/A</v>
      </c>
      <c r="G490" s="327" t="e">
        <f t="shared" si="205"/>
        <v>#N/A</v>
      </c>
      <c r="H490" s="328" t="str">
        <f t="shared" ref="H490:H498" si="230">IF(B490&lt;&gt;"",+LEFT(I490,1),"")</f>
        <v>X</v>
      </c>
      <c r="I490" s="325" t="s">
        <v>1400</v>
      </c>
      <c r="J490" s="329" t="str">
        <f>IF(B490&lt;&gt;"",+VLOOKUP(I490,Recursos!C:F,2,FALSE),"")</f>
        <v>Limp.y desbosque sin arboles</v>
      </c>
      <c r="K490" s="330" t="str">
        <f>IF(B490&lt;&gt;"",+VLOOKUP(I490,Recursos!C:F,3,FALSE),"")</f>
        <v>Ha</v>
      </c>
      <c r="L490" s="327">
        <f>IF(B490&lt;&gt;"",+VLOOKUP(I490,Recursos!C:F,4,FALSE),"")</f>
        <v>76187.486324650381</v>
      </c>
      <c r="M490" s="331">
        <v>10000</v>
      </c>
      <c r="N490" s="331">
        <v>5</v>
      </c>
      <c r="O490" s="332">
        <f>+N490/M490</f>
        <v>5.0000000000000001E-4</v>
      </c>
      <c r="P490" s="333">
        <f t="shared" ref="P490:P498" si="231">IF(B490&lt;&gt;"",O490*L490,"")</f>
        <v>38.09374316232519</v>
      </c>
      <c r="Q490" s="327">
        <f t="shared" ref="Q490:Q498" si="232">IF(B490&lt;&gt;"",+O490*E490,"")</f>
        <v>0</v>
      </c>
      <c r="R490" s="334">
        <f t="shared" ref="R490:R498" si="233">IF(B490&lt;&gt;"",Q490*L490,"")</f>
        <v>0</v>
      </c>
      <c r="S490" s="335">
        <f t="shared" si="206"/>
        <v>0</v>
      </c>
      <c r="T490" s="335">
        <f t="shared" si="207"/>
        <v>0</v>
      </c>
      <c r="U490" s="336">
        <f t="shared" si="208"/>
        <v>0</v>
      </c>
      <c r="V490" s="336">
        <f t="shared" si="209"/>
        <v>0</v>
      </c>
      <c r="W490" s="336">
        <f t="shared" si="210"/>
        <v>0</v>
      </c>
      <c r="X490" s="336" t="e">
        <f t="shared" si="211"/>
        <v>#N/A</v>
      </c>
      <c r="Y490" s="320"/>
      <c r="Z490" s="321" t="str">
        <f t="shared" si="215"/>
        <v>X-EXM02A</v>
      </c>
      <c r="AA490" s="321" t="str">
        <f t="shared" si="216"/>
        <v>X-EXM02E</v>
      </c>
      <c r="AB490" s="321" t="str">
        <f t="shared" si="217"/>
        <v>X-EXM02M</v>
      </c>
      <c r="AC490" s="321" t="str">
        <f t="shared" si="218"/>
        <v>X-EXM02T</v>
      </c>
      <c r="AD490" s="321" t="str">
        <f t="shared" si="219"/>
        <v>X-EXM02S</v>
      </c>
      <c r="AE490" s="321" t="str">
        <f t="shared" si="220"/>
        <v>X-EXM02X</v>
      </c>
      <c r="AF490" s="321" t="str">
        <f t="shared" si="221"/>
        <v>X-EXM02X</v>
      </c>
      <c r="AG490" s="321">
        <f t="shared" si="212"/>
        <v>10</v>
      </c>
      <c r="AH490" s="321">
        <f>IF(B490&lt;&gt;"",IF(H490="x",VLOOKUP(I490,'AUX-NIV3'!B:AG,32,FALSE),0),"")</f>
        <v>3</v>
      </c>
      <c r="AI490" s="321" t="str">
        <f t="shared" si="222"/>
        <v>X-EXM02</v>
      </c>
      <c r="AJ490" s="320"/>
      <c r="AK490" s="322">
        <f t="shared" si="213"/>
        <v>489</v>
      </c>
      <c r="AL490" s="323">
        <f t="shared" si="223"/>
        <v>498</v>
      </c>
      <c r="AM490" s="322">
        <f t="shared" si="224"/>
        <v>2</v>
      </c>
      <c r="AN490" s="380">
        <f>IF(AND(AH490&gt;0,B490&lt;&gt;""),VLOOKUP(I490,'AUX-NIV3'!$B:$AO,39,FALSE)*O490,0)</f>
        <v>0.01</v>
      </c>
      <c r="AO490" s="380">
        <f t="shared" si="214"/>
        <v>0.25191497924297923</v>
      </c>
      <c r="AP490" s="380"/>
    </row>
    <row r="491" spans="2:42" ht="14.4" hidden="1" thickTop="1" thickBot="1">
      <c r="B491" s="325" t="s">
        <v>1369</v>
      </c>
      <c r="C491" s="325" t="s">
        <v>1381</v>
      </c>
      <c r="D491" s="326" t="s">
        <v>1384</v>
      </c>
      <c r="E491" s="327">
        <f>IF(B491&lt;&gt;"",SUMIF('AUX-NIV1'!I:I,'AUX-NIV2'!B491,'AUX-NIV1'!Q:Q),"")</f>
        <v>0</v>
      </c>
      <c r="F491" s="327" t="e">
        <f t="shared" si="204"/>
        <v>#N/A</v>
      </c>
      <c r="G491" s="327" t="e">
        <f t="shared" si="205"/>
        <v>#N/A</v>
      </c>
      <c r="H491" s="328" t="str">
        <f t="shared" si="230"/>
        <v>X</v>
      </c>
      <c r="I491" s="325" t="s">
        <v>1422</v>
      </c>
      <c r="J491" s="329" t="str">
        <f>IF(B491&lt;&gt;"",+VLOOKUP(I491,Recursos!C:F,2,FALSE),"")</f>
        <v>Excav.exter.roca-puntual</v>
      </c>
      <c r="K491" s="330" t="str">
        <f>IF(B491&lt;&gt;"",+VLOOKUP(I491,Recursos!C:F,3,FALSE),"")</f>
        <v>m3b</v>
      </c>
      <c r="L491" s="327" t="e">
        <f>IF(B491&lt;&gt;"",+VLOOKUP(I491,Recursos!C:F,4,FALSE),"")</f>
        <v>#N/A</v>
      </c>
      <c r="M491" s="331"/>
      <c r="N491" s="331"/>
      <c r="O491" s="332">
        <f>+M489</f>
        <v>0.08</v>
      </c>
      <c r="P491" s="333" t="e">
        <f t="shared" si="231"/>
        <v>#N/A</v>
      </c>
      <c r="Q491" s="327">
        <f t="shared" si="232"/>
        <v>0</v>
      </c>
      <c r="R491" s="334" t="e">
        <f t="shared" si="233"/>
        <v>#N/A</v>
      </c>
      <c r="S491" s="335">
        <f t="shared" si="206"/>
        <v>0</v>
      </c>
      <c r="T491" s="335">
        <f t="shared" si="207"/>
        <v>0</v>
      </c>
      <c r="U491" s="336">
        <f t="shared" si="208"/>
        <v>0</v>
      </c>
      <c r="V491" s="336">
        <f t="shared" si="209"/>
        <v>0</v>
      </c>
      <c r="W491" s="336">
        <f t="shared" si="210"/>
        <v>0</v>
      </c>
      <c r="X491" s="336" t="e">
        <f t="shared" si="211"/>
        <v>#N/A</v>
      </c>
      <c r="Y491" s="320"/>
      <c r="Z491" s="321" t="str">
        <f t="shared" si="215"/>
        <v>X-EXM02A</v>
      </c>
      <c r="AA491" s="321" t="str">
        <f t="shared" si="216"/>
        <v>X-EXM02E</v>
      </c>
      <c r="AB491" s="321" t="str">
        <f t="shared" si="217"/>
        <v>X-EXM02M</v>
      </c>
      <c r="AC491" s="321" t="str">
        <f t="shared" si="218"/>
        <v>X-EXM02T</v>
      </c>
      <c r="AD491" s="321" t="str">
        <f t="shared" si="219"/>
        <v>X-EXM02S</v>
      </c>
      <c r="AE491" s="321" t="str">
        <f t="shared" si="220"/>
        <v>X-EXM02X</v>
      </c>
      <c r="AF491" s="321" t="str">
        <f t="shared" si="221"/>
        <v>X-EXM02X</v>
      </c>
      <c r="AG491" s="321">
        <f t="shared" si="212"/>
        <v>10</v>
      </c>
      <c r="AH491" s="321">
        <f>IF(B491&lt;&gt;"",IF(H491="x",VLOOKUP(I491,'AUX-NIV3'!B:AG,32,FALSE),0),"")</f>
        <v>39</v>
      </c>
      <c r="AI491" s="321" t="str">
        <f t="shared" si="222"/>
        <v>X-EXM02</v>
      </c>
      <c r="AJ491" s="320"/>
      <c r="AK491" s="322">
        <f t="shared" si="213"/>
        <v>489</v>
      </c>
      <c r="AL491" s="323">
        <f t="shared" si="223"/>
        <v>498</v>
      </c>
      <c r="AM491" s="322">
        <f t="shared" si="224"/>
        <v>3</v>
      </c>
      <c r="AN491" s="380">
        <f>IF(AND(AH491&gt;0,B491&lt;&gt;""),VLOOKUP(I491,'AUX-NIV3'!$B:$AO,39,FALSE)*O491,0)</f>
        <v>4.8800000000000003E-2</v>
      </c>
      <c r="AO491" s="380">
        <f t="shared" si="214"/>
        <v>0.25191497924297923</v>
      </c>
      <c r="AP491" s="380"/>
    </row>
    <row r="492" spans="2:42" ht="14.4" hidden="1" thickTop="1" thickBot="1">
      <c r="B492" s="325" t="s">
        <v>1369</v>
      </c>
      <c r="C492" s="325" t="s">
        <v>1381</v>
      </c>
      <c r="D492" s="326" t="s">
        <v>1384</v>
      </c>
      <c r="E492" s="327">
        <f>IF(B492&lt;&gt;"",SUMIF('AUX-NIV1'!I:I,'AUX-NIV2'!B492,'AUX-NIV1'!Q:Q),"")</f>
        <v>0</v>
      </c>
      <c r="F492" s="327" t="e">
        <f t="shared" si="204"/>
        <v>#N/A</v>
      </c>
      <c r="G492" s="327" t="e">
        <f t="shared" si="205"/>
        <v>#N/A</v>
      </c>
      <c r="H492" s="328" t="str">
        <f t="shared" si="230"/>
        <v>X</v>
      </c>
      <c r="I492" s="325" t="s">
        <v>1423</v>
      </c>
      <c r="J492" s="329" t="str">
        <f>IF(B492&lt;&gt;"",+VLOOKUP(I492,Recursos!C:F,2,FALSE),"")</f>
        <v>Carga/Desc.excav.Roca</v>
      </c>
      <c r="K492" s="330" t="str">
        <f>IF(B492&lt;&gt;"",+VLOOKUP(I492,Recursos!C:F,3,FALSE),"")</f>
        <v>m3s</v>
      </c>
      <c r="L492" s="327">
        <f>IF(B492&lt;&gt;"",+VLOOKUP(I492,Recursos!C:F,4,FALSE),"")</f>
        <v>45.577004454215526</v>
      </c>
      <c r="M492" s="331">
        <v>1.6</v>
      </c>
      <c r="N492" s="331"/>
      <c r="O492" s="332">
        <f>+O491*M492</f>
        <v>0.128</v>
      </c>
      <c r="P492" s="333">
        <f t="shared" si="231"/>
        <v>5.833856570139587</v>
      </c>
      <c r="Q492" s="327">
        <f t="shared" si="232"/>
        <v>0</v>
      </c>
      <c r="R492" s="334">
        <f t="shared" si="233"/>
        <v>0</v>
      </c>
      <c r="S492" s="335">
        <f t="shared" si="206"/>
        <v>0</v>
      </c>
      <c r="T492" s="335">
        <f t="shared" si="207"/>
        <v>0</v>
      </c>
      <c r="U492" s="336">
        <f t="shared" si="208"/>
        <v>0</v>
      </c>
      <c r="V492" s="336">
        <f t="shared" si="209"/>
        <v>0</v>
      </c>
      <c r="W492" s="336">
        <f t="shared" si="210"/>
        <v>0</v>
      </c>
      <c r="X492" s="336" t="e">
        <f t="shared" si="211"/>
        <v>#N/A</v>
      </c>
      <c r="Y492" s="320"/>
      <c r="Z492" s="321" t="str">
        <f t="shared" si="215"/>
        <v>X-EXM02A</v>
      </c>
      <c r="AA492" s="321" t="str">
        <f t="shared" si="216"/>
        <v>X-EXM02E</v>
      </c>
      <c r="AB492" s="321" t="str">
        <f t="shared" si="217"/>
        <v>X-EXM02M</v>
      </c>
      <c r="AC492" s="321" t="str">
        <f t="shared" si="218"/>
        <v>X-EXM02T</v>
      </c>
      <c r="AD492" s="321" t="str">
        <f t="shared" si="219"/>
        <v>X-EXM02S</v>
      </c>
      <c r="AE492" s="321" t="str">
        <f t="shared" si="220"/>
        <v>X-EXM02X</v>
      </c>
      <c r="AF492" s="321" t="str">
        <f t="shared" si="221"/>
        <v>X-EXM02X</v>
      </c>
      <c r="AG492" s="321">
        <f t="shared" si="212"/>
        <v>10</v>
      </c>
      <c r="AH492" s="321">
        <f>IF(B492&lt;&gt;"",IF(H492="x",VLOOKUP(I492,'AUX-NIV3'!B:AG,32,FALSE),0),"")</f>
        <v>5</v>
      </c>
      <c r="AI492" s="321" t="str">
        <f t="shared" si="222"/>
        <v>X-EXM02</v>
      </c>
      <c r="AJ492" s="320"/>
      <c r="AK492" s="322">
        <f t="shared" si="213"/>
        <v>489</v>
      </c>
      <c r="AL492" s="323">
        <f t="shared" si="223"/>
        <v>498</v>
      </c>
      <c r="AM492" s="322">
        <f t="shared" si="224"/>
        <v>4</v>
      </c>
      <c r="AN492" s="380">
        <f>IF(AND(AH492&gt;0,B492&lt;&gt;""),VLOOKUP(I492,'AUX-NIV3'!$B:$AO,39,FALSE)*O492,0)</f>
        <v>1.536E-3</v>
      </c>
      <c r="AO492" s="380">
        <f t="shared" si="214"/>
        <v>0.25191497924297923</v>
      </c>
      <c r="AP492" s="380"/>
    </row>
    <row r="493" spans="2:42" ht="14.4" hidden="1" thickTop="1" thickBot="1">
      <c r="B493" s="325" t="s">
        <v>1369</v>
      </c>
      <c r="C493" s="325" t="s">
        <v>1381</v>
      </c>
      <c r="D493" s="326" t="s">
        <v>1384</v>
      </c>
      <c r="E493" s="327">
        <f>IF(B493&lt;&gt;"",SUMIF('AUX-NIV1'!I:I,'AUX-NIV2'!B493,'AUX-NIV1'!Q:Q),"")</f>
        <v>0</v>
      </c>
      <c r="F493" s="327" t="e">
        <f t="shared" si="204"/>
        <v>#N/A</v>
      </c>
      <c r="G493" s="327" t="e">
        <f t="shared" si="205"/>
        <v>#N/A</v>
      </c>
      <c r="H493" s="328" t="str">
        <f t="shared" si="230"/>
        <v>X</v>
      </c>
      <c r="I493" s="325" t="s">
        <v>1424</v>
      </c>
      <c r="J493" s="329" t="str">
        <f>IF(B493&lt;&gt;"",+VLOOKUP(I493,Recursos!C:F,2,FALSE),"")</f>
        <v>Excav.exter.roca-masiva</v>
      </c>
      <c r="K493" s="330" t="str">
        <f>IF(B493&lt;&gt;"",+VLOOKUP(I493,Recursos!C:F,3,FALSE),"")</f>
        <v>m3b</v>
      </c>
      <c r="L493" s="327" t="e">
        <f>IF(B493&lt;&gt;"",+VLOOKUP(I493,Recursos!C:F,4,FALSE),"")</f>
        <v>#N/A</v>
      </c>
      <c r="M493" s="331"/>
      <c r="N493" s="331">
        <v>0.6</v>
      </c>
      <c r="O493" s="332">
        <f>+N493</f>
        <v>0.6</v>
      </c>
      <c r="P493" s="333" t="e">
        <f t="shared" si="231"/>
        <v>#N/A</v>
      </c>
      <c r="Q493" s="327">
        <f t="shared" si="232"/>
        <v>0</v>
      </c>
      <c r="R493" s="334" t="e">
        <f t="shared" si="233"/>
        <v>#N/A</v>
      </c>
      <c r="S493" s="335">
        <f t="shared" si="206"/>
        <v>0</v>
      </c>
      <c r="T493" s="335">
        <f t="shared" si="207"/>
        <v>0</v>
      </c>
      <c r="U493" s="336">
        <f t="shared" si="208"/>
        <v>0</v>
      </c>
      <c r="V493" s="336">
        <f t="shared" si="209"/>
        <v>0</v>
      </c>
      <c r="W493" s="336">
        <f t="shared" si="210"/>
        <v>0</v>
      </c>
      <c r="X493" s="336" t="e">
        <f t="shared" si="211"/>
        <v>#N/A</v>
      </c>
      <c r="Y493" s="320"/>
      <c r="Z493" s="321" t="str">
        <f t="shared" si="215"/>
        <v>X-EXM02A</v>
      </c>
      <c r="AA493" s="321" t="str">
        <f t="shared" si="216"/>
        <v>X-EXM02E</v>
      </c>
      <c r="AB493" s="321" t="str">
        <f t="shared" si="217"/>
        <v>X-EXM02M</v>
      </c>
      <c r="AC493" s="321" t="str">
        <f t="shared" si="218"/>
        <v>X-EXM02T</v>
      </c>
      <c r="AD493" s="321" t="str">
        <f t="shared" si="219"/>
        <v>X-EXM02S</v>
      </c>
      <c r="AE493" s="321" t="str">
        <f t="shared" si="220"/>
        <v>X-EXM02X</v>
      </c>
      <c r="AF493" s="321" t="str">
        <f t="shared" si="221"/>
        <v>X-EXM02X</v>
      </c>
      <c r="AG493" s="321">
        <f t="shared" si="212"/>
        <v>10</v>
      </c>
      <c r="AH493" s="321">
        <f>IF(B493&lt;&gt;"",IF(H493="x",VLOOKUP(I493,'AUX-NIV3'!B:AG,32,FALSE),0),"")</f>
        <v>39</v>
      </c>
      <c r="AI493" s="321" t="str">
        <f t="shared" si="222"/>
        <v>X-EXM02</v>
      </c>
      <c r="AJ493" s="320"/>
      <c r="AK493" s="322">
        <f t="shared" si="213"/>
        <v>489</v>
      </c>
      <c r="AL493" s="323">
        <f t="shared" si="223"/>
        <v>498</v>
      </c>
      <c r="AM493" s="322">
        <f t="shared" si="224"/>
        <v>5</v>
      </c>
      <c r="AN493" s="380">
        <f>IF(AND(AH493&gt;0,B493&lt;&gt;""),VLOOKUP(I493,'AUX-NIV3'!$B:$AO,39,FALSE)*O493,0)</f>
        <v>0.14599999999999999</v>
      </c>
      <c r="AO493" s="380">
        <f t="shared" si="214"/>
        <v>0.25191497924297923</v>
      </c>
      <c r="AP493" s="380"/>
    </row>
    <row r="494" spans="2:42" ht="14.4" hidden="1" thickTop="1" thickBot="1">
      <c r="B494" s="325" t="s">
        <v>1369</v>
      </c>
      <c r="C494" s="325" t="s">
        <v>1381</v>
      </c>
      <c r="D494" s="326" t="s">
        <v>1384</v>
      </c>
      <c r="E494" s="327">
        <f>IF(B494&lt;&gt;"",SUMIF('AUX-NIV1'!I:I,'AUX-NIV2'!B494,'AUX-NIV1'!Q:Q),"")</f>
        <v>0</v>
      </c>
      <c r="F494" s="327" t="e">
        <f t="shared" si="204"/>
        <v>#N/A</v>
      </c>
      <c r="G494" s="327" t="e">
        <f t="shared" si="205"/>
        <v>#N/A</v>
      </c>
      <c r="H494" s="328" t="str">
        <f t="shared" si="230"/>
        <v>X</v>
      </c>
      <c r="I494" s="325" t="s">
        <v>1423</v>
      </c>
      <c r="J494" s="329" t="str">
        <f>IF(B494&lt;&gt;"",+VLOOKUP(I494,Recursos!C:F,2,FALSE),"")</f>
        <v>Carga/Desc.excav.Roca</v>
      </c>
      <c r="K494" s="330" t="str">
        <f>IF(B494&lt;&gt;"",+VLOOKUP(I494,Recursos!C:F,3,FALSE),"")</f>
        <v>m3s</v>
      </c>
      <c r="L494" s="327">
        <f>IF(B494&lt;&gt;"",+VLOOKUP(I494,Recursos!C:F,4,FALSE),"")</f>
        <v>45.577004454215526</v>
      </c>
      <c r="M494" s="331">
        <v>1.6</v>
      </c>
      <c r="N494" s="331"/>
      <c r="O494" s="332">
        <f>+M494*N493</f>
        <v>0.96</v>
      </c>
      <c r="P494" s="333">
        <f t="shared" si="231"/>
        <v>43.753924276046902</v>
      </c>
      <c r="Q494" s="327">
        <f t="shared" si="232"/>
        <v>0</v>
      </c>
      <c r="R494" s="334">
        <f t="shared" si="233"/>
        <v>0</v>
      </c>
      <c r="S494" s="335">
        <f t="shared" si="206"/>
        <v>0</v>
      </c>
      <c r="T494" s="335">
        <f t="shared" si="207"/>
        <v>0</v>
      </c>
      <c r="U494" s="336">
        <f t="shared" si="208"/>
        <v>0</v>
      </c>
      <c r="V494" s="336">
        <f t="shared" si="209"/>
        <v>0</v>
      </c>
      <c r="W494" s="336">
        <f t="shared" si="210"/>
        <v>0</v>
      </c>
      <c r="X494" s="336" t="e">
        <f t="shared" si="211"/>
        <v>#N/A</v>
      </c>
      <c r="Y494" s="320"/>
      <c r="Z494" s="321" t="str">
        <f t="shared" si="215"/>
        <v>X-EXM02A</v>
      </c>
      <c r="AA494" s="321" t="str">
        <f t="shared" si="216"/>
        <v>X-EXM02E</v>
      </c>
      <c r="AB494" s="321" t="str">
        <f t="shared" si="217"/>
        <v>X-EXM02M</v>
      </c>
      <c r="AC494" s="321" t="str">
        <f t="shared" si="218"/>
        <v>X-EXM02T</v>
      </c>
      <c r="AD494" s="321" t="str">
        <f t="shared" si="219"/>
        <v>X-EXM02S</v>
      </c>
      <c r="AE494" s="321" t="str">
        <f t="shared" si="220"/>
        <v>X-EXM02X</v>
      </c>
      <c r="AF494" s="321" t="str">
        <f t="shared" si="221"/>
        <v>X-EXM02X</v>
      </c>
      <c r="AG494" s="321">
        <f t="shared" si="212"/>
        <v>10</v>
      </c>
      <c r="AH494" s="321">
        <f>IF(B494&lt;&gt;"",IF(H494="x",VLOOKUP(I494,'AUX-NIV3'!B:AG,32,FALSE),0),"")</f>
        <v>5</v>
      </c>
      <c r="AI494" s="321" t="str">
        <f t="shared" si="222"/>
        <v>X-EXM02</v>
      </c>
      <c r="AJ494" s="320"/>
      <c r="AK494" s="322">
        <f t="shared" si="213"/>
        <v>489</v>
      </c>
      <c r="AL494" s="323">
        <f t="shared" si="223"/>
        <v>498</v>
      </c>
      <c r="AM494" s="322">
        <f t="shared" si="224"/>
        <v>6</v>
      </c>
      <c r="AN494" s="380">
        <f>IF(AND(AH494&gt;0,B494&lt;&gt;""),VLOOKUP(I494,'AUX-NIV3'!$B:$AO,39,FALSE)*O494,0)</f>
        <v>1.1519999999999999E-2</v>
      </c>
      <c r="AO494" s="380">
        <f t="shared" si="214"/>
        <v>0.25191497924297923</v>
      </c>
      <c r="AP494" s="380"/>
    </row>
    <row r="495" spans="2:42" ht="14.4" hidden="1" thickTop="1" thickBot="1">
      <c r="B495" s="325" t="s">
        <v>1369</v>
      </c>
      <c r="C495" s="325" t="s">
        <v>1381</v>
      </c>
      <c r="D495" s="326" t="s">
        <v>1384</v>
      </c>
      <c r="E495" s="327">
        <f>IF(B495&lt;&gt;"",SUMIF('AUX-NIV1'!I:I,'AUX-NIV2'!B495,'AUX-NIV1'!Q:Q),"")</f>
        <v>0</v>
      </c>
      <c r="F495" s="327" t="e">
        <f t="shared" si="204"/>
        <v>#N/A</v>
      </c>
      <c r="G495" s="327" t="e">
        <f t="shared" si="205"/>
        <v>#N/A</v>
      </c>
      <c r="H495" s="328" t="str">
        <f t="shared" si="230"/>
        <v>X</v>
      </c>
      <c r="I495" s="325" t="s">
        <v>1405</v>
      </c>
      <c r="J495" s="329" t="str">
        <f>IF(B495&lt;&gt;"",+VLOOKUP(I495,Recursos!C:F,2,FALSE),"")</f>
        <v>Excav.exter.escarif.D8</v>
      </c>
      <c r="K495" s="330" t="str">
        <f>IF(B495&lt;&gt;"",+VLOOKUP(I495,Recursos!C:F,3,FALSE),"")</f>
        <v>m3b</v>
      </c>
      <c r="L495" s="327">
        <f>IF(B495&lt;&gt;"",+VLOOKUP(I495,Recursos!C:F,4,FALSE),"")</f>
        <v>123.4584736436117</v>
      </c>
      <c r="M495" s="331">
        <f>1-N493-M489</f>
        <v>0.32</v>
      </c>
      <c r="N495" s="331"/>
      <c r="O495" s="332">
        <f>+M495</f>
        <v>0.32</v>
      </c>
      <c r="P495" s="333">
        <f t="shared" si="231"/>
        <v>39.506711565955747</v>
      </c>
      <c r="Q495" s="327">
        <f t="shared" si="232"/>
        <v>0</v>
      </c>
      <c r="R495" s="334">
        <f t="shared" si="233"/>
        <v>0</v>
      </c>
      <c r="S495" s="335">
        <f t="shared" si="206"/>
        <v>0</v>
      </c>
      <c r="T495" s="335">
        <f t="shared" si="207"/>
        <v>0</v>
      </c>
      <c r="U495" s="336">
        <f t="shared" si="208"/>
        <v>0</v>
      </c>
      <c r="V495" s="336">
        <f t="shared" si="209"/>
        <v>0</v>
      </c>
      <c r="W495" s="336">
        <f t="shared" si="210"/>
        <v>0</v>
      </c>
      <c r="X495" s="336" t="e">
        <f t="shared" si="211"/>
        <v>#N/A</v>
      </c>
      <c r="Y495" s="320"/>
      <c r="Z495" s="321" t="str">
        <f t="shared" si="215"/>
        <v>X-EXM02A</v>
      </c>
      <c r="AA495" s="321" t="str">
        <f t="shared" si="216"/>
        <v>X-EXM02E</v>
      </c>
      <c r="AB495" s="321" t="str">
        <f t="shared" si="217"/>
        <v>X-EXM02M</v>
      </c>
      <c r="AC495" s="321" t="str">
        <f t="shared" si="218"/>
        <v>X-EXM02T</v>
      </c>
      <c r="AD495" s="321" t="str">
        <f t="shared" si="219"/>
        <v>X-EXM02S</v>
      </c>
      <c r="AE495" s="321" t="str">
        <f t="shared" si="220"/>
        <v>X-EXM02X</v>
      </c>
      <c r="AF495" s="321" t="str">
        <f t="shared" si="221"/>
        <v>X-EXM02X</v>
      </c>
      <c r="AG495" s="321">
        <f t="shared" si="212"/>
        <v>10</v>
      </c>
      <c r="AH495" s="321">
        <f>IF(B495&lt;&gt;"",IF(H495="x",VLOOKUP(I495,'AUX-NIV3'!B:AG,32,FALSE),0),"")</f>
        <v>3</v>
      </c>
      <c r="AI495" s="321" t="str">
        <f t="shared" si="222"/>
        <v>X-EXM02</v>
      </c>
      <c r="AJ495" s="320"/>
      <c r="AK495" s="322">
        <f t="shared" si="213"/>
        <v>489</v>
      </c>
      <c r="AL495" s="323">
        <f t="shared" si="223"/>
        <v>498</v>
      </c>
      <c r="AM495" s="322">
        <f t="shared" si="224"/>
        <v>7</v>
      </c>
      <c r="AN495" s="380">
        <f>IF(AND(AH495&gt;0,B495&lt;&gt;""),VLOOKUP(I495,'AUX-NIV3'!$B:$AO,39,FALSE)*O495,0)</f>
        <v>8.0000000000000002E-3</v>
      </c>
      <c r="AO495" s="380">
        <f t="shared" si="214"/>
        <v>0.25191497924297923</v>
      </c>
      <c r="AP495" s="380"/>
    </row>
    <row r="496" spans="2:42" ht="14.4" hidden="1" thickTop="1" thickBot="1">
      <c r="B496" s="325" t="s">
        <v>1369</v>
      </c>
      <c r="C496" s="325" t="s">
        <v>1381</v>
      </c>
      <c r="D496" s="326" t="s">
        <v>1384</v>
      </c>
      <c r="E496" s="327">
        <f>IF(B496&lt;&gt;"",SUMIF('AUX-NIV1'!I:I,'AUX-NIV2'!B496,'AUX-NIV1'!Q:Q),"")</f>
        <v>0</v>
      </c>
      <c r="F496" s="327" t="e">
        <f t="shared" si="204"/>
        <v>#N/A</v>
      </c>
      <c r="G496" s="327" t="e">
        <f t="shared" si="205"/>
        <v>#N/A</v>
      </c>
      <c r="H496" s="328" t="str">
        <f t="shared" si="230"/>
        <v>X</v>
      </c>
      <c r="I496" s="325" t="s">
        <v>1423</v>
      </c>
      <c r="J496" s="329" t="str">
        <f>IF(B496&lt;&gt;"",+VLOOKUP(I496,Recursos!C:F,2,FALSE),"")</f>
        <v>Carga/Desc.excav.Roca</v>
      </c>
      <c r="K496" s="330" t="str">
        <f>IF(B496&lt;&gt;"",+VLOOKUP(I496,Recursos!C:F,3,FALSE),"")</f>
        <v>m3s</v>
      </c>
      <c r="L496" s="327">
        <f>IF(B496&lt;&gt;"",+VLOOKUP(I496,Recursos!C:F,4,FALSE),"")</f>
        <v>45.577004454215526</v>
      </c>
      <c r="M496" s="331">
        <v>1.4</v>
      </c>
      <c r="N496" s="331"/>
      <c r="O496" s="332">
        <f>+O495*M496</f>
        <v>0.44799999999999995</v>
      </c>
      <c r="P496" s="333">
        <f t="shared" si="231"/>
        <v>20.418497995488554</v>
      </c>
      <c r="Q496" s="327">
        <f t="shared" si="232"/>
        <v>0</v>
      </c>
      <c r="R496" s="334">
        <f t="shared" si="233"/>
        <v>0</v>
      </c>
      <c r="S496" s="335">
        <f t="shared" si="206"/>
        <v>0</v>
      </c>
      <c r="T496" s="335">
        <f t="shared" si="207"/>
        <v>0</v>
      </c>
      <c r="U496" s="336">
        <f t="shared" si="208"/>
        <v>0</v>
      </c>
      <c r="V496" s="336">
        <f t="shared" si="209"/>
        <v>0</v>
      </c>
      <c r="W496" s="336">
        <f t="shared" si="210"/>
        <v>0</v>
      </c>
      <c r="X496" s="336" t="e">
        <f t="shared" si="211"/>
        <v>#N/A</v>
      </c>
      <c r="Y496" s="320"/>
      <c r="Z496" s="321" t="str">
        <f t="shared" si="215"/>
        <v>X-EXM02A</v>
      </c>
      <c r="AA496" s="321" t="str">
        <f t="shared" si="216"/>
        <v>X-EXM02E</v>
      </c>
      <c r="AB496" s="321" t="str">
        <f t="shared" si="217"/>
        <v>X-EXM02M</v>
      </c>
      <c r="AC496" s="321" t="str">
        <f t="shared" si="218"/>
        <v>X-EXM02T</v>
      </c>
      <c r="AD496" s="321" t="str">
        <f t="shared" si="219"/>
        <v>X-EXM02S</v>
      </c>
      <c r="AE496" s="321" t="str">
        <f t="shared" si="220"/>
        <v>X-EXM02X</v>
      </c>
      <c r="AF496" s="321" t="str">
        <f t="shared" si="221"/>
        <v>X-EXM02X</v>
      </c>
      <c r="AG496" s="321">
        <f t="shared" si="212"/>
        <v>10</v>
      </c>
      <c r="AH496" s="321">
        <f>IF(B496&lt;&gt;"",IF(H496="x",VLOOKUP(I496,'AUX-NIV3'!B:AG,32,FALSE),0),"")</f>
        <v>5</v>
      </c>
      <c r="AI496" s="321" t="str">
        <f t="shared" si="222"/>
        <v>X-EXM02</v>
      </c>
      <c r="AJ496" s="320"/>
      <c r="AK496" s="322">
        <f t="shared" si="213"/>
        <v>489</v>
      </c>
      <c r="AL496" s="323">
        <f t="shared" si="223"/>
        <v>498</v>
      </c>
      <c r="AM496" s="322">
        <f t="shared" si="224"/>
        <v>8</v>
      </c>
      <c r="AN496" s="380">
        <f>IF(AND(AH496&gt;0,B496&lt;&gt;""),VLOOKUP(I496,'AUX-NIV3'!$B:$AO,39,FALSE)*O496,0)</f>
        <v>5.3759999999999997E-3</v>
      </c>
      <c r="AO496" s="380">
        <f t="shared" si="214"/>
        <v>0.25191497924297923</v>
      </c>
      <c r="AP496" s="380"/>
    </row>
    <row r="497" spans="2:42" ht="14.4" hidden="1" thickTop="1" thickBot="1">
      <c r="B497" s="325" t="s">
        <v>1369</v>
      </c>
      <c r="C497" s="325" t="s">
        <v>1381</v>
      </c>
      <c r="D497" s="326" t="s">
        <v>1384</v>
      </c>
      <c r="E497" s="327">
        <f>IF(B497&lt;&gt;"",SUMIF('AUX-NIV1'!I:I,'AUX-NIV2'!B497,'AUX-NIV1'!Q:Q),"")</f>
        <v>0</v>
      </c>
      <c r="F497" s="327" t="e">
        <f t="shared" si="204"/>
        <v>#N/A</v>
      </c>
      <c r="G497" s="327" t="e">
        <f t="shared" si="205"/>
        <v>#N/A</v>
      </c>
      <c r="H497" s="328" t="str">
        <f t="shared" si="230"/>
        <v>X</v>
      </c>
      <c r="I497" s="325" t="s">
        <v>1366</v>
      </c>
      <c r="J497" s="329" t="str">
        <f>IF(B497&lt;&gt;"",+VLOOKUP(I497,Recursos!C:F,2,FALSE),"")</f>
        <v>Transp.roca dmt 2 Km</v>
      </c>
      <c r="K497" s="330" t="str">
        <f>IF(B497&lt;&gt;"",+VLOOKUP(I497,Recursos!C:F,3,FALSE),"")</f>
        <v>m3s.km</v>
      </c>
      <c r="L497" s="327">
        <f>IF(B497&lt;&gt;"",+VLOOKUP(I497,Recursos!C:F,4,FALSE),"")</f>
        <v>47.877211929909478</v>
      </c>
      <c r="M497" s="331"/>
      <c r="N497" s="331"/>
      <c r="O497" s="332">
        <f>+O496*M496</f>
        <v>0.62719999999999987</v>
      </c>
      <c r="P497" s="333">
        <f t="shared" si="231"/>
        <v>30.028587322439218</v>
      </c>
      <c r="Q497" s="327">
        <f t="shared" si="232"/>
        <v>0</v>
      </c>
      <c r="R497" s="334">
        <f t="shared" si="233"/>
        <v>0</v>
      </c>
      <c r="S497" s="335">
        <f t="shared" si="206"/>
        <v>0</v>
      </c>
      <c r="T497" s="335">
        <f t="shared" si="207"/>
        <v>0</v>
      </c>
      <c r="U497" s="336">
        <f t="shared" si="208"/>
        <v>0</v>
      </c>
      <c r="V497" s="336">
        <f t="shared" si="209"/>
        <v>0</v>
      </c>
      <c r="W497" s="336">
        <f t="shared" si="210"/>
        <v>0</v>
      </c>
      <c r="X497" s="336" t="e">
        <f t="shared" si="211"/>
        <v>#N/A</v>
      </c>
      <c r="Y497" s="320"/>
      <c r="Z497" s="321" t="str">
        <f t="shared" si="215"/>
        <v>X-EXM02A</v>
      </c>
      <c r="AA497" s="321" t="str">
        <f t="shared" si="216"/>
        <v>X-EXM02E</v>
      </c>
      <c r="AB497" s="321" t="str">
        <f t="shared" si="217"/>
        <v>X-EXM02M</v>
      </c>
      <c r="AC497" s="321" t="str">
        <f t="shared" si="218"/>
        <v>X-EXM02T</v>
      </c>
      <c r="AD497" s="321" t="str">
        <f t="shared" si="219"/>
        <v>X-EXM02S</v>
      </c>
      <c r="AE497" s="321" t="str">
        <f t="shared" si="220"/>
        <v>X-EXM02X</v>
      </c>
      <c r="AF497" s="321" t="str">
        <f t="shared" si="221"/>
        <v>X-EXM02X</v>
      </c>
      <c r="AG497" s="321">
        <f t="shared" si="212"/>
        <v>10</v>
      </c>
      <c r="AH497" s="321">
        <f>IF(B497&lt;&gt;"",IF(H497="x",VLOOKUP(I497,'AUX-NIV3'!B:AG,32,FALSE),0),"")</f>
        <v>2</v>
      </c>
      <c r="AI497" s="321" t="str">
        <f t="shared" si="222"/>
        <v>X-EXM02</v>
      </c>
      <c r="AJ497" s="320"/>
      <c r="AK497" s="322">
        <f t="shared" si="213"/>
        <v>489</v>
      </c>
      <c r="AL497" s="323">
        <f t="shared" si="223"/>
        <v>498</v>
      </c>
      <c r="AM497" s="322">
        <f t="shared" si="224"/>
        <v>9</v>
      </c>
      <c r="AN497" s="380">
        <f>IF(AND(AH497&gt;0,B497&lt;&gt;""),VLOOKUP(I497,'AUX-NIV3'!$B:$AO,39,FALSE)*O497,0)</f>
        <v>7.839999999999998E-3</v>
      </c>
      <c r="AO497" s="380">
        <f t="shared" si="214"/>
        <v>0.25191497924297923</v>
      </c>
      <c r="AP497" s="380"/>
    </row>
    <row r="498" spans="2:42" ht="14.4" hidden="1" thickTop="1" thickBot="1">
      <c r="B498" s="325" t="s">
        <v>1369</v>
      </c>
      <c r="C498" s="325" t="s">
        <v>1381</v>
      </c>
      <c r="D498" s="326" t="s">
        <v>1384</v>
      </c>
      <c r="E498" s="327">
        <f>IF(B498&lt;&gt;"",SUMIF('AUX-NIV1'!I:I,'AUX-NIV2'!B498,'AUX-NIV1'!Q:Q),"")</f>
        <v>0</v>
      </c>
      <c r="F498" s="327" t="e">
        <f t="shared" si="204"/>
        <v>#N/A</v>
      </c>
      <c r="G498" s="327" t="e">
        <f t="shared" si="205"/>
        <v>#N/A</v>
      </c>
      <c r="H498" s="328" t="str">
        <f t="shared" si="230"/>
        <v>X</v>
      </c>
      <c r="I498" s="325" t="s">
        <v>1366</v>
      </c>
      <c r="J498" s="329" t="str">
        <f>IF(B498&lt;&gt;"",+VLOOKUP(I498,Recursos!C:F,2,FALSE),"")</f>
        <v>Transp.roca dmt 2 Km</v>
      </c>
      <c r="K498" s="330" t="str">
        <f>IF(B498&lt;&gt;"",+VLOOKUP(I498,Recursos!C:F,3,FALSE),"")</f>
        <v>m3s.km</v>
      </c>
      <c r="L498" s="327">
        <f>IF(B498&lt;&gt;"",+VLOOKUP(I498,Recursos!C:F,4,FALSE),"")</f>
        <v>47.877211929909478</v>
      </c>
      <c r="M498" s="331"/>
      <c r="N498" s="331"/>
      <c r="O498" s="332">
        <v>0</v>
      </c>
      <c r="P498" s="333">
        <f t="shared" si="231"/>
        <v>0</v>
      </c>
      <c r="Q498" s="327">
        <f t="shared" si="232"/>
        <v>0</v>
      </c>
      <c r="R498" s="334">
        <f t="shared" si="233"/>
        <v>0</v>
      </c>
      <c r="S498" s="335">
        <f t="shared" si="206"/>
        <v>0</v>
      </c>
      <c r="T498" s="335">
        <f t="shared" si="207"/>
        <v>0</v>
      </c>
      <c r="U498" s="336">
        <f t="shared" si="208"/>
        <v>0</v>
      </c>
      <c r="V498" s="336">
        <f t="shared" si="209"/>
        <v>0</v>
      </c>
      <c r="W498" s="336">
        <f t="shared" si="210"/>
        <v>0</v>
      </c>
      <c r="X498" s="336" t="e">
        <f t="shared" si="211"/>
        <v>#N/A</v>
      </c>
      <c r="Y498" s="320"/>
      <c r="Z498" s="321" t="str">
        <f t="shared" si="215"/>
        <v>X-EXM02A</v>
      </c>
      <c r="AA498" s="321" t="str">
        <f t="shared" si="216"/>
        <v>X-EXM02E</v>
      </c>
      <c r="AB498" s="321" t="str">
        <f t="shared" si="217"/>
        <v>X-EXM02M</v>
      </c>
      <c r="AC498" s="321" t="str">
        <f t="shared" si="218"/>
        <v>X-EXM02T</v>
      </c>
      <c r="AD498" s="321" t="str">
        <f t="shared" si="219"/>
        <v>X-EXM02S</v>
      </c>
      <c r="AE498" s="321" t="str">
        <f t="shared" si="220"/>
        <v>X-EXM02X</v>
      </c>
      <c r="AF498" s="321" t="str">
        <f t="shared" si="221"/>
        <v>X-EXM02X</v>
      </c>
      <c r="AG498" s="321">
        <f t="shared" si="212"/>
        <v>10</v>
      </c>
      <c r="AH498" s="321">
        <f>IF(B498&lt;&gt;"",IF(H498="x",VLOOKUP(I498,'AUX-NIV3'!B:AG,32,FALSE),0),"")</f>
        <v>2</v>
      </c>
      <c r="AI498" s="321" t="str">
        <f t="shared" si="222"/>
        <v>X-EXM02</v>
      </c>
      <c r="AJ498" s="320"/>
      <c r="AK498" s="322">
        <f t="shared" si="213"/>
        <v>489</v>
      </c>
      <c r="AL498" s="323">
        <f t="shared" si="223"/>
        <v>498</v>
      </c>
      <c r="AM498" s="322">
        <f t="shared" si="224"/>
        <v>10</v>
      </c>
      <c r="AN498" s="380">
        <f>IF(AND(AH498&gt;0,B498&lt;&gt;""),VLOOKUP(I498,'AUX-NIV3'!$B:$AO,39,FALSE)*O498,0)</f>
        <v>0</v>
      </c>
      <c r="AO498" s="380">
        <f t="shared" si="214"/>
        <v>0.25191497924297923</v>
      </c>
      <c r="AP498" s="380"/>
    </row>
    <row r="499" spans="2:42" ht="14.4" hidden="1" thickTop="1" thickBot="1">
      <c r="B499" s="325" t="s">
        <v>1370</v>
      </c>
      <c r="C499" s="325" t="s">
        <v>1382</v>
      </c>
      <c r="D499" s="326" t="s">
        <v>1386</v>
      </c>
      <c r="E499" s="327">
        <f>IF(B499&lt;&gt;"",SUMIF('AUX-NIV1'!I:I,'AUX-NIV2'!B499,'AUX-NIV1'!Q:Q),"")</f>
        <v>0</v>
      </c>
      <c r="F499" s="327">
        <f t="shared" si="204"/>
        <v>182.38296583013897</v>
      </c>
      <c r="G499" s="327">
        <f t="shared" si="205"/>
        <v>0</v>
      </c>
      <c r="H499" s="328" t="str">
        <f t="shared" si="200"/>
        <v>X</v>
      </c>
      <c r="I499" s="325" t="s">
        <v>1459</v>
      </c>
      <c r="J499" s="329" t="str">
        <f>IF(B499&lt;&gt;"",+VLOOKUP(I499,Recursos!C:F,2,FALSE),"")</f>
        <v>Distribución de mat.pedraplén</v>
      </c>
      <c r="K499" s="330" t="str">
        <f>IF(B499&lt;&gt;"",+VLOOKUP(I499,Recursos!C:F,3,FALSE),"")</f>
        <v>m3s</v>
      </c>
      <c r="L499" s="327">
        <f>IF(B499&lt;&gt;"",+VLOOKUP(I499,Recursos!C:F,4,FALSE),"")</f>
        <v>37.037542093083516</v>
      </c>
      <c r="M499" s="432">
        <v>1.45</v>
      </c>
      <c r="N499" s="432"/>
      <c r="O499" s="332">
        <f>+M499</f>
        <v>1.45</v>
      </c>
      <c r="P499" s="333">
        <f t="shared" si="201"/>
        <v>53.704436034971096</v>
      </c>
      <c r="Q499" s="327">
        <f t="shared" si="202"/>
        <v>0</v>
      </c>
      <c r="R499" s="334">
        <f t="shared" si="203"/>
        <v>0</v>
      </c>
      <c r="S499" s="335">
        <f t="shared" si="206"/>
        <v>0</v>
      </c>
      <c r="T499" s="335">
        <f t="shared" si="207"/>
        <v>0</v>
      </c>
      <c r="U499" s="336">
        <f t="shared" si="208"/>
        <v>0</v>
      </c>
      <c r="V499" s="336">
        <f t="shared" si="209"/>
        <v>0</v>
      </c>
      <c r="W499" s="336">
        <f t="shared" si="210"/>
        <v>0</v>
      </c>
      <c r="X499" s="336">
        <f t="shared" si="211"/>
        <v>182.38296583013897</v>
      </c>
      <c r="Y499" s="320"/>
      <c r="Z499" s="321" t="str">
        <f t="shared" si="215"/>
        <v>X-T0015A</v>
      </c>
      <c r="AA499" s="321" t="str">
        <f t="shared" si="216"/>
        <v>X-T0015E</v>
      </c>
      <c r="AB499" s="321" t="str">
        <f t="shared" si="217"/>
        <v>X-T0015M</v>
      </c>
      <c r="AC499" s="321" t="str">
        <f t="shared" si="218"/>
        <v>X-T0015T</v>
      </c>
      <c r="AD499" s="321" t="str">
        <f t="shared" si="219"/>
        <v>X-T0015S</v>
      </c>
      <c r="AE499" s="321" t="str">
        <f t="shared" si="220"/>
        <v>X-T0015X</v>
      </c>
      <c r="AF499" s="321" t="str">
        <f t="shared" si="221"/>
        <v>X-T0015X</v>
      </c>
      <c r="AG499" s="321">
        <f t="shared" si="212"/>
        <v>5</v>
      </c>
      <c r="AH499" s="321">
        <f>IF(B499&lt;&gt;"",IF(H499="x",VLOOKUP(I499,'AUX-NIV3'!B:AG,32,FALSE),0),"")</f>
        <v>3</v>
      </c>
      <c r="AI499" s="321" t="str">
        <f t="shared" si="222"/>
        <v>X-T0015</v>
      </c>
      <c r="AJ499" s="320"/>
      <c r="AK499" s="322">
        <f t="shared" si="213"/>
        <v>499</v>
      </c>
      <c r="AL499" s="323">
        <f t="shared" si="223"/>
        <v>503</v>
      </c>
      <c r="AM499" s="322">
        <f t="shared" si="224"/>
        <v>1</v>
      </c>
      <c r="AN499" s="380">
        <f>IF(AND(AH499&gt;0,B499&lt;&gt;""),VLOOKUP(I499,'AUX-NIV3'!$B:$AO,39,FALSE)*O499,0)</f>
        <v>1.0874999999999999E-2</v>
      </c>
      <c r="AO499" s="380">
        <f t="shared" si="214"/>
        <v>5.2366666666666666E-2</v>
      </c>
      <c r="AP499" s="380"/>
    </row>
    <row r="500" spans="2:42" ht="14.4" hidden="1" thickTop="1" thickBot="1">
      <c r="B500" s="325" t="s">
        <v>1370</v>
      </c>
      <c r="C500" s="325" t="s">
        <v>1382</v>
      </c>
      <c r="D500" s="326" t="s">
        <v>1386</v>
      </c>
      <c r="E500" s="327">
        <f>IF(B500&lt;&gt;"",SUMIF('AUX-NIV1'!I:I,'AUX-NIV2'!B500,'AUX-NIV1'!Q:Q),"")</f>
        <v>0</v>
      </c>
      <c r="F500" s="327">
        <f t="shared" si="204"/>
        <v>182.38296583013897</v>
      </c>
      <c r="G500" s="327">
        <f t="shared" si="205"/>
        <v>0</v>
      </c>
      <c r="H500" s="328" t="str">
        <f>IF(B500&lt;&gt;"",+LEFT(I500,1),"")</f>
        <v>X</v>
      </c>
      <c r="I500" s="325" t="s">
        <v>1388</v>
      </c>
      <c r="J500" s="329" t="str">
        <f>IF(B500&lt;&gt;"",+VLOOKUP(I500,Recursos!C:F,2,FALSE),"")</f>
        <v>Obtención de agua para riego</v>
      </c>
      <c r="K500" s="330" t="str">
        <f>IF(B500&lt;&gt;"",+VLOOKUP(I500,Recursos!C:F,3,FALSE),"")</f>
        <v>m3</v>
      </c>
      <c r="L500" s="327">
        <f>IF(B500&lt;&gt;"",+VLOOKUP(I500,Recursos!C:F,4,FALSE),"")</f>
        <v>43.481296096028451</v>
      </c>
      <c r="M500" s="432">
        <v>1.1000000000000001</v>
      </c>
      <c r="N500" s="432">
        <v>0.2</v>
      </c>
      <c r="O500" s="332">
        <f>+M500*N500</f>
        <v>0.22000000000000003</v>
      </c>
      <c r="P500" s="333">
        <f>IF(B500&lt;&gt;"",O500*L500,"")</f>
        <v>9.5658851411262606</v>
      </c>
      <c r="Q500" s="327">
        <f>IF(B500&lt;&gt;"",+O500*E500,"")</f>
        <v>0</v>
      </c>
      <c r="R500" s="334">
        <f>IF(B500&lt;&gt;"",Q500*L500,"")</f>
        <v>0</v>
      </c>
      <c r="S500" s="335">
        <f t="shared" si="206"/>
        <v>0</v>
      </c>
      <c r="T500" s="335">
        <f t="shared" si="207"/>
        <v>0</v>
      </c>
      <c r="U500" s="336">
        <f t="shared" si="208"/>
        <v>0</v>
      </c>
      <c r="V500" s="336">
        <f t="shared" si="209"/>
        <v>0</v>
      </c>
      <c r="W500" s="336">
        <f t="shared" si="210"/>
        <v>0</v>
      </c>
      <c r="X500" s="336">
        <f t="shared" si="211"/>
        <v>182.38296583013897</v>
      </c>
      <c r="Y500" s="320"/>
      <c r="Z500" s="321" t="str">
        <f t="shared" si="215"/>
        <v>X-T0015A</v>
      </c>
      <c r="AA500" s="321" t="str">
        <f t="shared" si="216"/>
        <v>X-T0015E</v>
      </c>
      <c r="AB500" s="321" t="str">
        <f t="shared" si="217"/>
        <v>X-T0015M</v>
      </c>
      <c r="AC500" s="321" t="str">
        <f t="shared" si="218"/>
        <v>X-T0015T</v>
      </c>
      <c r="AD500" s="321" t="str">
        <f t="shared" si="219"/>
        <v>X-T0015S</v>
      </c>
      <c r="AE500" s="321" t="str">
        <f t="shared" si="220"/>
        <v>X-T0015X</v>
      </c>
      <c r="AF500" s="321" t="str">
        <f t="shared" si="221"/>
        <v>X-T0015X</v>
      </c>
      <c r="AG500" s="321">
        <f t="shared" si="212"/>
        <v>5</v>
      </c>
      <c r="AH500" s="321">
        <f>IF(B500&lt;&gt;"",IF(H500="x",VLOOKUP(I500,'AUX-NIV3'!B:AG,32,FALSE),0),"")</f>
        <v>4</v>
      </c>
      <c r="AI500" s="321" t="str">
        <f t="shared" si="222"/>
        <v>X-T0015</v>
      </c>
      <c r="AJ500" s="320"/>
      <c r="AK500" s="322">
        <f t="shared" si="213"/>
        <v>499</v>
      </c>
      <c r="AL500" s="323">
        <f t="shared" si="223"/>
        <v>503</v>
      </c>
      <c r="AM500" s="322">
        <f t="shared" si="224"/>
        <v>2</v>
      </c>
      <c r="AN500" s="380">
        <f>IF(AND(AH500&gt;0,B500&lt;&gt;""),VLOOKUP(I500,'AUX-NIV3'!$B:$AO,39,FALSE)*O500,0)</f>
        <v>4.4000000000000003E-3</v>
      </c>
      <c r="AO500" s="380">
        <f t="shared" si="214"/>
        <v>5.2366666666666666E-2</v>
      </c>
      <c r="AP500" s="380"/>
    </row>
    <row r="501" spans="2:42" ht="14.4" hidden="1" thickTop="1" thickBot="1">
      <c r="B501" s="325" t="s">
        <v>1370</v>
      </c>
      <c r="C501" s="325" t="s">
        <v>1382</v>
      </c>
      <c r="D501" s="326" t="s">
        <v>1386</v>
      </c>
      <c r="E501" s="327">
        <f>IF(B501&lt;&gt;"",SUMIF('AUX-NIV1'!I:I,'AUX-NIV2'!B501,'AUX-NIV1'!Q:Q),"")</f>
        <v>0</v>
      </c>
      <c r="F501" s="327">
        <f t="shared" si="204"/>
        <v>182.38296583013897</v>
      </c>
      <c r="G501" s="327">
        <f t="shared" si="205"/>
        <v>0</v>
      </c>
      <c r="H501" s="328" t="str">
        <f>IF(B501&lt;&gt;"",+LEFT(I501,1),"")</f>
        <v>X</v>
      </c>
      <c r="I501" s="325" t="s">
        <v>1389</v>
      </c>
      <c r="J501" s="329" t="str">
        <f>IF(B501&lt;&gt;"",+VLOOKUP(I501,Recursos!C:F,2,FALSE),"")</f>
        <v>Transporte de agua para riego</v>
      </c>
      <c r="K501" s="330" t="str">
        <f>IF(B501&lt;&gt;"",+VLOOKUP(I501,Recursos!C:F,3,FALSE),"")</f>
        <v>m3</v>
      </c>
      <c r="L501" s="327">
        <f>IF(B501&lt;&gt;"",+VLOOKUP(I501,Recursos!C:F,4,FALSE),"")</f>
        <v>120.18495973415189</v>
      </c>
      <c r="M501" s="432">
        <v>0.20499999999999999</v>
      </c>
      <c r="N501" s="432"/>
      <c r="O501" s="332">
        <f>+O500</f>
        <v>0.22000000000000003</v>
      </c>
      <c r="P501" s="333">
        <f>IF(B501&lt;&gt;"",O501*L501,"")</f>
        <v>26.440691141513419</v>
      </c>
      <c r="Q501" s="327">
        <f>IF(B501&lt;&gt;"",+O501*E501,"")</f>
        <v>0</v>
      </c>
      <c r="R501" s="334">
        <f>IF(B501&lt;&gt;"",Q501*L501,"")</f>
        <v>0</v>
      </c>
      <c r="S501" s="335">
        <f t="shared" si="206"/>
        <v>0</v>
      </c>
      <c r="T501" s="335">
        <f t="shared" si="207"/>
        <v>0</v>
      </c>
      <c r="U501" s="336">
        <f t="shared" si="208"/>
        <v>0</v>
      </c>
      <c r="V501" s="336">
        <f t="shared" si="209"/>
        <v>0</v>
      </c>
      <c r="W501" s="336">
        <f t="shared" si="210"/>
        <v>0</v>
      </c>
      <c r="X501" s="336">
        <f t="shared" si="211"/>
        <v>182.38296583013897</v>
      </c>
      <c r="Y501" s="320"/>
      <c r="Z501" s="321" t="str">
        <f t="shared" si="215"/>
        <v>X-T0015A</v>
      </c>
      <c r="AA501" s="321" t="str">
        <f t="shared" si="216"/>
        <v>X-T0015E</v>
      </c>
      <c r="AB501" s="321" t="str">
        <f t="shared" si="217"/>
        <v>X-T0015M</v>
      </c>
      <c r="AC501" s="321" t="str">
        <f t="shared" si="218"/>
        <v>X-T0015T</v>
      </c>
      <c r="AD501" s="321" t="str">
        <f t="shared" si="219"/>
        <v>X-T0015S</v>
      </c>
      <c r="AE501" s="321" t="str">
        <f t="shared" si="220"/>
        <v>X-T0015X</v>
      </c>
      <c r="AF501" s="321" t="str">
        <f t="shared" si="221"/>
        <v>X-T0015X</v>
      </c>
      <c r="AG501" s="321">
        <f t="shared" si="212"/>
        <v>5</v>
      </c>
      <c r="AH501" s="321">
        <f>IF(B501&lt;&gt;"",IF(H501="x",VLOOKUP(I501,'AUX-NIV3'!B:AG,32,FALSE),0),"")</f>
        <v>3</v>
      </c>
      <c r="AI501" s="321" t="str">
        <f t="shared" si="222"/>
        <v>X-T0015</v>
      </c>
      <c r="AJ501" s="320"/>
      <c r="AK501" s="322">
        <f t="shared" si="213"/>
        <v>499</v>
      </c>
      <c r="AL501" s="323">
        <f t="shared" si="223"/>
        <v>503</v>
      </c>
      <c r="AM501" s="322">
        <f t="shared" si="224"/>
        <v>3</v>
      </c>
      <c r="AN501" s="380">
        <f>IF(AND(AH501&gt;0,B501&lt;&gt;""),VLOOKUP(I501,'AUX-NIV3'!$B:$AO,39,FALSE)*O501,0)</f>
        <v>8.8000000000000005E-3</v>
      </c>
      <c r="AO501" s="380">
        <f t="shared" si="214"/>
        <v>5.2366666666666666E-2</v>
      </c>
      <c r="AP501" s="380"/>
    </row>
    <row r="502" spans="2:42" ht="14.4" hidden="1" thickTop="1" thickBot="1">
      <c r="B502" s="325" t="s">
        <v>1370</v>
      </c>
      <c r="C502" s="325" t="s">
        <v>1382</v>
      </c>
      <c r="D502" s="326" t="s">
        <v>1386</v>
      </c>
      <c r="E502" s="327">
        <f>IF(B502&lt;&gt;"",SUMIF('AUX-NIV1'!I:I,'AUX-NIV2'!B502,'AUX-NIV1'!Q:Q),"")</f>
        <v>0</v>
      </c>
      <c r="F502" s="327">
        <f t="shared" si="204"/>
        <v>182.38296583013897</v>
      </c>
      <c r="G502" s="327">
        <f t="shared" si="205"/>
        <v>0</v>
      </c>
      <c r="H502" s="328" t="str">
        <f>IF(B502&lt;&gt;"",+LEFT(I502,1),"")</f>
        <v>X</v>
      </c>
      <c r="I502" s="325" t="s">
        <v>1390</v>
      </c>
      <c r="J502" s="329" t="str">
        <f>IF(B502&lt;&gt;"",+VLOOKUP(I502,Recursos!C:F,2,FALSE),"")</f>
        <v>Riego de terraplén</v>
      </c>
      <c r="K502" s="330" t="str">
        <f>IF(B502&lt;&gt;"",+VLOOKUP(I502,Recursos!C:F,3,FALSE),"")</f>
        <v>m3</v>
      </c>
      <c r="L502" s="327">
        <f>IF(B502&lt;&gt;"",+VLOOKUP(I502,Recursos!C:F,4,FALSE),"")</f>
        <v>39.234240090026674</v>
      </c>
      <c r="M502" s="432">
        <v>0.20499999999999999</v>
      </c>
      <c r="N502" s="432"/>
      <c r="O502" s="332">
        <f>+O501</f>
        <v>0.22000000000000003</v>
      </c>
      <c r="P502" s="333">
        <f>IF(B502&lt;&gt;"",O502*L502,"")</f>
        <v>8.6315328198058694</v>
      </c>
      <c r="Q502" s="327">
        <f>IF(B502&lt;&gt;"",+O502*E502,"")</f>
        <v>0</v>
      </c>
      <c r="R502" s="334">
        <f>IF(B502&lt;&gt;"",Q502*L502,"")</f>
        <v>0</v>
      </c>
      <c r="S502" s="335">
        <f t="shared" si="206"/>
        <v>0</v>
      </c>
      <c r="T502" s="335">
        <f t="shared" si="207"/>
        <v>0</v>
      </c>
      <c r="U502" s="336">
        <f t="shared" si="208"/>
        <v>0</v>
      </c>
      <c r="V502" s="336">
        <f t="shared" si="209"/>
        <v>0</v>
      </c>
      <c r="W502" s="336">
        <f t="shared" si="210"/>
        <v>0</v>
      </c>
      <c r="X502" s="336">
        <f t="shared" si="211"/>
        <v>182.38296583013897</v>
      </c>
      <c r="Y502" s="320"/>
      <c r="Z502" s="321" t="str">
        <f t="shared" si="215"/>
        <v>X-T0015A</v>
      </c>
      <c r="AA502" s="321" t="str">
        <f t="shared" si="216"/>
        <v>X-T0015E</v>
      </c>
      <c r="AB502" s="321" t="str">
        <f t="shared" si="217"/>
        <v>X-T0015M</v>
      </c>
      <c r="AC502" s="321" t="str">
        <f t="shared" si="218"/>
        <v>X-T0015T</v>
      </c>
      <c r="AD502" s="321" t="str">
        <f t="shared" si="219"/>
        <v>X-T0015S</v>
      </c>
      <c r="AE502" s="321" t="str">
        <f t="shared" si="220"/>
        <v>X-T0015X</v>
      </c>
      <c r="AF502" s="321" t="str">
        <f t="shared" si="221"/>
        <v>X-T0015X</v>
      </c>
      <c r="AG502" s="321">
        <f t="shared" si="212"/>
        <v>5</v>
      </c>
      <c r="AH502" s="321">
        <f>IF(B502&lt;&gt;"",IF(H502="x",VLOOKUP(I502,'AUX-NIV3'!B:AG,32,FALSE),0),"")</f>
        <v>3</v>
      </c>
      <c r="AI502" s="321" t="str">
        <f t="shared" si="222"/>
        <v>X-T0015</v>
      </c>
      <c r="AJ502" s="320"/>
      <c r="AK502" s="322">
        <f t="shared" si="213"/>
        <v>499</v>
      </c>
      <c r="AL502" s="323">
        <f t="shared" si="223"/>
        <v>503</v>
      </c>
      <c r="AM502" s="322">
        <f t="shared" si="224"/>
        <v>4</v>
      </c>
      <c r="AN502" s="380">
        <f>IF(AND(AH502&gt;0,B502&lt;&gt;""),VLOOKUP(I502,'AUX-NIV3'!$B:$AO,39,FALSE)*O502,0)</f>
        <v>4.1250000000000011E-3</v>
      </c>
      <c r="AO502" s="380">
        <f t="shared" si="214"/>
        <v>5.2366666666666666E-2</v>
      </c>
      <c r="AP502" s="380"/>
    </row>
    <row r="503" spans="2:42" ht="14.4" hidden="1" thickTop="1" thickBot="1">
      <c r="B503" s="325" t="s">
        <v>1370</v>
      </c>
      <c r="C503" s="325" t="s">
        <v>1382</v>
      </c>
      <c r="D503" s="326" t="s">
        <v>1386</v>
      </c>
      <c r="E503" s="327">
        <f>IF(B503&lt;&gt;"",SUMIF('AUX-NIV1'!I:I,'AUX-NIV2'!B503,'AUX-NIV1'!Q:Q),"")</f>
        <v>0</v>
      </c>
      <c r="F503" s="327">
        <f t="shared" si="204"/>
        <v>182.38296583013897</v>
      </c>
      <c r="G503" s="327">
        <f t="shared" si="205"/>
        <v>0</v>
      </c>
      <c r="H503" s="328" t="str">
        <f>IF(B503&lt;&gt;"",+LEFT(I503,1),"")</f>
        <v>X</v>
      </c>
      <c r="I503" s="325" t="s">
        <v>1416</v>
      </c>
      <c r="J503" s="329" t="str">
        <f>IF(B503&lt;&gt;"",+VLOOKUP(I503,Recursos!C:F,2,FALSE),"")</f>
        <v>Homogen.humedad mat.terraplén</v>
      </c>
      <c r="K503" s="330" t="str">
        <f>IF(B503&lt;&gt;"",+VLOOKUP(I503,Recursos!C:F,3,FALSE),"")</f>
        <v>m3s</v>
      </c>
      <c r="L503" s="327">
        <f>IF(B503&lt;&gt;"",+VLOOKUP(I503,Recursos!C:F,4,FALSE),"")</f>
        <v>57.95891082256712</v>
      </c>
      <c r="M503" s="432">
        <v>1.45</v>
      </c>
      <c r="N503" s="432"/>
      <c r="O503" s="332">
        <f>+M503</f>
        <v>1.45</v>
      </c>
      <c r="P503" s="333">
        <f>IF(B503&lt;&gt;"",O503*L503,"")</f>
        <v>84.040420692722321</v>
      </c>
      <c r="Q503" s="327">
        <f>IF(B503&lt;&gt;"",+O503*E503,"")</f>
        <v>0</v>
      </c>
      <c r="R503" s="334">
        <f>IF(B503&lt;&gt;"",Q503*L503,"")</f>
        <v>0</v>
      </c>
      <c r="S503" s="335">
        <f t="shared" si="206"/>
        <v>0</v>
      </c>
      <c r="T503" s="335">
        <f t="shared" si="207"/>
        <v>0</v>
      </c>
      <c r="U503" s="336">
        <f t="shared" si="208"/>
        <v>0</v>
      </c>
      <c r="V503" s="336">
        <f t="shared" si="209"/>
        <v>0</v>
      </c>
      <c r="W503" s="336">
        <f t="shared" si="210"/>
        <v>0</v>
      </c>
      <c r="X503" s="336">
        <f t="shared" si="211"/>
        <v>182.38296583013897</v>
      </c>
      <c r="Y503" s="320"/>
      <c r="Z503" s="321" t="str">
        <f t="shared" si="215"/>
        <v>X-T0015A</v>
      </c>
      <c r="AA503" s="321" t="str">
        <f t="shared" si="216"/>
        <v>X-T0015E</v>
      </c>
      <c r="AB503" s="321" t="str">
        <f t="shared" si="217"/>
        <v>X-T0015M</v>
      </c>
      <c r="AC503" s="321" t="str">
        <f t="shared" si="218"/>
        <v>X-T0015T</v>
      </c>
      <c r="AD503" s="321" t="str">
        <f t="shared" si="219"/>
        <v>X-T0015S</v>
      </c>
      <c r="AE503" s="321" t="str">
        <f t="shared" si="220"/>
        <v>X-T0015X</v>
      </c>
      <c r="AF503" s="321" t="str">
        <f t="shared" si="221"/>
        <v>X-T0015X</v>
      </c>
      <c r="AG503" s="321">
        <f t="shared" si="212"/>
        <v>5</v>
      </c>
      <c r="AH503" s="321">
        <f>IF(B503&lt;&gt;"",IF(H503="x",VLOOKUP(I503,'AUX-NIV3'!B:AG,32,FALSE),0),"")</f>
        <v>7</v>
      </c>
      <c r="AI503" s="321" t="str">
        <f t="shared" si="222"/>
        <v>X-T0015</v>
      </c>
      <c r="AJ503" s="320"/>
      <c r="AK503" s="322">
        <f t="shared" si="213"/>
        <v>499</v>
      </c>
      <c r="AL503" s="323">
        <f t="shared" si="223"/>
        <v>503</v>
      </c>
      <c r="AM503" s="322">
        <f t="shared" si="224"/>
        <v>5</v>
      </c>
      <c r="AN503" s="380">
        <f>IF(AND(AH503&gt;0,B503&lt;&gt;""),VLOOKUP(I503,'AUX-NIV3'!$B:$AO,39,FALSE)*O503,0)</f>
        <v>2.4166666666666666E-2</v>
      </c>
      <c r="AO503" s="380">
        <f t="shared" si="214"/>
        <v>5.2366666666666666E-2</v>
      </c>
      <c r="AP503" s="380"/>
    </row>
    <row r="504" spans="2:42" ht="14.4" hidden="1" thickTop="1" thickBot="1">
      <c r="B504" s="325" t="s">
        <v>1371</v>
      </c>
      <c r="C504" s="325" t="s">
        <v>1383</v>
      </c>
      <c r="D504" s="326" t="s">
        <v>477</v>
      </c>
      <c r="E504" s="327">
        <f>IF(B504&lt;&gt;"",SUMIF('AUX-NIV1'!I:I,'AUX-NIV2'!B504,'AUX-NIV1'!Q:Q),"")</f>
        <v>0</v>
      </c>
      <c r="F504" s="327">
        <f t="shared" si="204"/>
        <v>1079.440230715255</v>
      </c>
      <c r="G504" s="327">
        <f t="shared" si="205"/>
        <v>0</v>
      </c>
      <c r="H504" s="328" t="str">
        <f t="shared" si="200"/>
        <v>A</v>
      </c>
      <c r="I504" s="325" t="s">
        <v>3311</v>
      </c>
      <c r="J504" s="329" t="str">
        <f>IF(B504&lt;&gt;"",+VLOOKUP(I504,Recursos!C:F,2,FALSE),"")</f>
        <v>OPER. EQUIPO</v>
      </c>
      <c r="K504" s="330" t="str">
        <f>IF(B504&lt;&gt;"",+VLOOKUP(I504,Recursos!C:F,3,FALSE),"")</f>
        <v>hh</v>
      </c>
      <c r="L504" s="327">
        <f>IF(B504&lt;&gt;"",+VLOOKUP(I504,Recursos!C:F,4,FALSE),"")</f>
        <v>581.06120476836554</v>
      </c>
      <c r="M504" s="331">
        <v>1</v>
      </c>
      <c r="N504" s="331">
        <v>0.15</v>
      </c>
      <c r="O504" s="332">
        <f>+M504*N504</f>
        <v>0.15</v>
      </c>
      <c r="P504" s="333">
        <f t="shared" si="201"/>
        <v>87.159180715254834</v>
      </c>
      <c r="Q504" s="327">
        <f t="shared" si="202"/>
        <v>0</v>
      </c>
      <c r="R504" s="334">
        <f t="shared" si="203"/>
        <v>0</v>
      </c>
      <c r="S504" s="335">
        <f t="shared" si="206"/>
        <v>87.159180715254834</v>
      </c>
      <c r="T504" s="335">
        <f t="shared" si="207"/>
        <v>992.28105000000005</v>
      </c>
      <c r="U504" s="336">
        <f t="shared" si="208"/>
        <v>0</v>
      </c>
      <c r="V504" s="336">
        <f t="shared" si="209"/>
        <v>0</v>
      </c>
      <c r="W504" s="336">
        <f t="shared" si="210"/>
        <v>0</v>
      </c>
      <c r="X504" s="336">
        <f t="shared" si="211"/>
        <v>0</v>
      </c>
      <c r="Y504" s="320"/>
      <c r="Z504" s="321" t="str">
        <f t="shared" si="215"/>
        <v>X-E0050A</v>
      </c>
      <c r="AA504" s="321" t="str">
        <f t="shared" si="216"/>
        <v>X-E0050E</v>
      </c>
      <c r="AB504" s="321" t="str">
        <f t="shared" si="217"/>
        <v>X-E0050M</v>
      </c>
      <c r="AC504" s="321" t="str">
        <f t="shared" si="218"/>
        <v>X-E0050T</v>
      </c>
      <c r="AD504" s="321" t="str">
        <f t="shared" si="219"/>
        <v>X-E0050S</v>
      </c>
      <c r="AE504" s="321" t="str">
        <f t="shared" si="220"/>
        <v>X-E0050X</v>
      </c>
      <c r="AF504" s="321" t="str">
        <f t="shared" si="221"/>
        <v>X-E0050A</v>
      </c>
      <c r="AG504" s="321">
        <f t="shared" si="212"/>
        <v>2</v>
      </c>
      <c r="AH504" s="321">
        <f>IF(B504&lt;&gt;"",IF(H504="x",VLOOKUP(I504,'AUX-NIV3'!B:AG,32,FALSE),0),"")</f>
        <v>0</v>
      </c>
      <c r="AI504" s="321" t="str">
        <f t="shared" si="222"/>
        <v>X-E0050</v>
      </c>
      <c r="AJ504" s="320"/>
      <c r="AK504" s="322">
        <f t="shared" si="213"/>
        <v>504</v>
      </c>
      <c r="AL504" s="323">
        <f t="shared" si="223"/>
        <v>505</v>
      </c>
      <c r="AM504" s="322">
        <f t="shared" si="224"/>
        <v>1</v>
      </c>
      <c r="AN504" s="380">
        <f>IF(AND(AH504&gt;0,B504&lt;&gt;""),VLOOKUP(I504,'AUX-NIV3'!$B:$AO,39,FALSE)*O504,0)</f>
        <v>0</v>
      </c>
      <c r="AO504" s="380">
        <f t="shared" si="214"/>
        <v>0.15</v>
      </c>
      <c r="AP504" s="380"/>
    </row>
    <row r="505" spans="2:42" ht="14.4" hidden="1" thickTop="1" thickBot="1">
      <c r="B505" s="325" t="s">
        <v>1371</v>
      </c>
      <c r="C505" s="325" t="s">
        <v>1383</v>
      </c>
      <c r="D505" s="326" t="s">
        <v>477</v>
      </c>
      <c r="E505" s="327">
        <f>IF(B505&lt;&gt;"",SUMIF('AUX-NIV1'!I:I,'AUX-NIV2'!B505,'AUX-NIV1'!Q:Q),"")</f>
        <v>0</v>
      </c>
      <c r="F505" s="327">
        <f t="shared" si="204"/>
        <v>1079.440230715255</v>
      </c>
      <c r="G505" s="327">
        <f t="shared" si="205"/>
        <v>0</v>
      </c>
      <c r="H505" s="328" t="str">
        <f>IF(B505&lt;&gt;"",+LEFT(I505,1),"")</f>
        <v>E</v>
      </c>
      <c r="I505" s="325" t="s">
        <v>1537</v>
      </c>
      <c r="J505" s="329" t="str">
        <f>IF(B505&lt;&gt;"",+VLOOKUP(I505,Recursos!C:F,2,FALSE),"")</f>
        <v xml:space="preserve">TOPADORA SIN ESC.(34 T) </v>
      </c>
      <c r="K505" s="330" t="str">
        <f>IF(B505&lt;&gt;"",+VLOOKUP(I505,Recursos!C:F,3,FALSE),"")</f>
        <v>HR</v>
      </c>
      <c r="L505" s="327">
        <f>IF(B505&lt;&gt;"",+VLOOKUP(I505,Recursos!C:F,4,FALSE),"")</f>
        <v>6615.2070000000003</v>
      </c>
      <c r="M505" s="331"/>
      <c r="N505" s="331"/>
      <c r="O505" s="332">
        <f>+O504</f>
        <v>0.15</v>
      </c>
      <c r="P505" s="333">
        <f t="shared" si="201"/>
        <v>992.28105000000005</v>
      </c>
      <c r="Q505" s="327">
        <f t="shared" si="202"/>
        <v>0</v>
      </c>
      <c r="R505" s="334">
        <f t="shared" si="203"/>
        <v>0</v>
      </c>
      <c r="S505" s="335">
        <f t="shared" si="206"/>
        <v>87.159180715254834</v>
      </c>
      <c r="T505" s="335">
        <f t="shared" si="207"/>
        <v>992.28105000000005</v>
      </c>
      <c r="U505" s="336">
        <f t="shared" si="208"/>
        <v>0</v>
      </c>
      <c r="V505" s="336">
        <f t="shared" si="209"/>
        <v>0</v>
      </c>
      <c r="W505" s="336">
        <f t="shared" si="210"/>
        <v>0</v>
      </c>
      <c r="X505" s="336">
        <f t="shared" si="211"/>
        <v>0</v>
      </c>
      <c r="Y505" s="320"/>
      <c r="Z505" s="321" t="str">
        <f t="shared" si="215"/>
        <v>X-E0050A</v>
      </c>
      <c r="AA505" s="321" t="str">
        <f t="shared" si="216"/>
        <v>X-E0050E</v>
      </c>
      <c r="AB505" s="321" t="str">
        <f t="shared" si="217"/>
        <v>X-E0050M</v>
      </c>
      <c r="AC505" s="321" t="str">
        <f t="shared" si="218"/>
        <v>X-E0050T</v>
      </c>
      <c r="AD505" s="321" t="str">
        <f t="shared" si="219"/>
        <v>X-E0050S</v>
      </c>
      <c r="AE505" s="321" t="str">
        <f t="shared" si="220"/>
        <v>X-E0050X</v>
      </c>
      <c r="AF505" s="321" t="str">
        <f t="shared" si="221"/>
        <v>X-E0050E</v>
      </c>
      <c r="AG505" s="321">
        <f t="shared" si="212"/>
        <v>2</v>
      </c>
      <c r="AH505" s="321">
        <f>IF(B505&lt;&gt;"",IF(H505="x",VLOOKUP(I505,'AUX-NIV3'!B:AG,32,FALSE),0),"")</f>
        <v>0</v>
      </c>
      <c r="AI505" s="321" t="str">
        <f t="shared" si="222"/>
        <v>X-E0050</v>
      </c>
      <c r="AJ505" s="320"/>
      <c r="AK505" s="322">
        <f t="shared" si="213"/>
        <v>504</v>
      </c>
      <c r="AL505" s="323">
        <f t="shared" si="223"/>
        <v>505</v>
      </c>
      <c r="AM505" s="322">
        <f t="shared" si="224"/>
        <v>2</v>
      </c>
      <c r="AN505" s="380">
        <f>IF(AND(AH505&gt;0,B505&lt;&gt;""),VLOOKUP(I505,'AUX-NIV3'!$B:$AO,39,FALSE)*O505,0)</f>
        <v>0</v>
      </c>
      <c r="AO505" s="380">
        <f t="shared" si="214"/>
        <v>0.15</v>
      </c>
      <c r="AP505" s="380"/>
    </row>
    <row r="506" spans="2:42" ht="14.4" hidden="1" thickTop="1" thickBot="1">
      <c r="B506" s="324" t="s">
        <v>1461</v>
      </c>
      <c r="C506" s="325" t="s">
        <v>1462</v>
      </c>
      <c r="D506" s="326" t="s">
        <v>1411</v>
      </c>
      <c r="E506" s="327">
        <f>IF(B506&lt;&gt;"",SUMIF('AUX-NIV1'!I:I,'AUX-NIV2'!B506,'AUX-NIV1'!Q:Q),"")</f>
        <v>0</v>
      </c>
      <c r="F506" s="327">
        <f t="shared" si="204"/>
        <v>23.98756068256122</v>
      </c>
      <c r="G506" s="327">
        <f t="shared" si="205"/>
        <v>0</v>
      </c>
      <c r="H506" s="328" t="str">
        <f t="shared" si="200"/>
        <v>A</v>
      </c>
      <c r="I506" s="325" t="s">
        <v>3311</v>
      </c>
      <c r="J506" s="329" t="str">
        <f>IF(B506&lt;&gt;"",+VLOOKUP(I506,Recursos!C:F,2,FALSE),"")</f>
        <v>OPER. EQUIPO</v>
      </c>
      <c r="K506" s="330" t="str">
        <f>IF(B506&lt;&gt;"",+VLOOKUP(I506,Recursos!C:F,3,FALSE),"")</f>
        <v>hh</v>
      </c>
      <c r="L506" s="327">
        <f>IF(B506&lt;&gt;"",+VLOOKUP(I506,Recursos!C:F,4,FALSE),"")</f>
        <v>581.06120476836554</v>
      </c>
      <c r="M506" s="432"/>
      <c r="N506" s="432"/>
      <c r="O506" s="332">
        <f>+O507</f>
        <v>3.3333333333333335E-3</v>
      </c>
      <c r="P506" s="333">
        <f t="shared" si="201"/>
        <v>1.9368706825612185</v>
      </c>
      <c r="Q506" s="327">
        <f t="shared" si="202"/>
        <v>0</v>
      </c>
      <c r="R506" s="334">
        <f t="shared" si="203"/>
        <v>0</v>
      </c>
      <c r="S506" s="335">
        <f t="shared" si="206"/>
        <v>1.9368706825612185</v>
      </c>
      <c r="T506" s="335">
        <f t="shared" si="207"/>
        <v>22.050690000000003</v>
      </c>
      <c r="U506" s="336">
        <f t="shared" si="208"/>
        <v>0</v>
      </c>
      <c r="V506" s="336">
        <f t="shared" si="209"/>
        <v>0</v>
      </c>
      <c r="W506" s="336">
        <f t="shared" si="210"/>
        <v>0</v>
      </c>
      <c r="X506" s="336">
        <f t="shared" si="211"/>
        <v>0</v>
      </c>
      <c r="Y506" s="320"/>
      <c r="Z506" s="321" t="str">
        <f t="shared" si="215"/>
        <v>X-EXSB1A</v>
      </c>
      <c r="AA506" s="321" t="str">
        <f t="shared" si="216"/>
        <v>X-EXSB1E</v>
      </c>
      <c r="AB506" s="321" t="str">
        <f t="shared" si="217"/>
        <v>X-EXSB1M</v>
      </c>
      <c r="AC506" s="321" t="str">
        <f t="shared" si="218"/>
        <v>X-EXSB1T</v>
      </c>
      <c r="AD506" s="321" t="str">
        <f t="shared" si="219"/>
        <v>X-EXSB1S</v>
      </c>
      <c r="AE506" s="321" t="str">
        <f t="shared" si="220"/>
        <v>X-EXSB1X</v>
      </c>
      <c r="AF506" s="321" t="str">
        <f t="shared" si="221"/>
        <v>X-EXSB1A</v>
      </c>
      <c r="AG506" s="321">
        <f t="shared" si="212"/>
        <v>2</v>
      </c>
      <c r="AH506" s="321">
        <f>IF(B506&lt;&gt;"",IF(H506="x",VLOOKUP(I506,'AUX-NIV3'!B:AG,32,FALSE),0),"")</f>
        <v>0</v>
      </c>
      <c r="AI506" s="321" t="str">
        <f t="shared" si="222"/>
        <v>X-EXSB1</v>
      </c>
      <c r="AJ506" s="320"/>
      <c r="AK506" s="322">
        <f t="shared" si="213"/>
        <v>506</v>
      </c>
      <c r="AL506" s="323">
        <f t="shared" si="223"/>
        <v>507</v>
      </c>
      <c r="AM506" s="322">
        <f t="shared" si="224"/>
        <v>1</v>
      </c>
      <c r="AN506" s="380">
        <f>IF(AND(AH506&gt;0,B506&lt;&gt;""),VLOOKUP(I506,'AUX-NIV3'!$B:$AO,39,FALSE)*O506,0)</f>
        <v>0</v>
      </c>
      <c r="AO506" s="380">
        <f t="shared" si="214"/>
        <v>3.3333333333333335E-3</v>
      </c>
      <c r="AP506" s="380"/>
    </row>
    <row r="507" spans="2:42" ht="14.4" hidden="1" thickTop="1" thickBot="1">
      <c r="B507" s="324" t="s">
        <v>1461</v>
      </c>
      <c r="C507" s="325" t="s">
        <v>1462</v>
      </c>
      <c r="D507" s="326" t="s">
        <v>1411</v>
      </c>
      <c r="E507" s="327">
        <f>IF(B507&lt;&gt;"",SUMIF('AUX-NIV1'!I:I,'AUX-NIV2'!B507,'AUX-NIV1'!Q:Q),"")</f>
        <v>0</v>
      </c>
      <c r="F507" s="327">
        <f t="shared" si="204"/>
        <v>23.98756068256122</v>
      </c>
      <c r="G507" s="327">
        <f t="shared" si="205"/>
        <v>0</v>
      </c>
      <c r="H507" s="328" t="str">
        <f t="shared" si="200"/>
        <v>E</v>
      </c>
      <c r="I507" s="325" t="s">
        <v>1537</v>
      </c>
      <c r="J507" s="329" t="str">
        <f>IF(B507&lt;&gt;"",+VLOOKUP(I507,Recursos!C:F,2,FALSE),"")</f>
        <v xml:space="preserve">TOPADORA SIN ESC.(34 T) </v>
      </c>
      <c r="K507" s="330" t="str">
        <f>IF(B507&lt;&gt;"",+VLOOKUP(I507,Recursos!C:F,3,FALSE),"")</f>
        <v>HR</v>
      </c>
      <c r="L507" s="327">
        <f>IF(B507&lt;&gt;"",+VLOOKUP(I507,Recursos!C:F,4,FALSE),"")</f>
        <v>6615.2070000000003</v>
      </c>
      <c r="M507" s="432"/>
      <c r="N507" s="432">
        <v>300</v>
      </c>
      <c r="O507" s="332">
        <f>1/N507</f>
        <v>3.3333333333333335E-3</v>
      </c>
      <c r="P507" s="333">
        <f t="shared" si="201"/>
        <v>22.050690000000003</v>
      </c>
      <c r="Q507" s="327">
        <f t="shared" si="202"/>
        <v>0</v>
      </c>
      <c r="R507" s="334">
        <f t="shared" si="203"/>
        <v>0</v>
      </c>
      <c r="S507" s="335">
        <f t="shared" si="206"/>
        <v>1.9368706825612185</v>
      </c>
      <c r="T507" s="335">
        <f t="shared" si="207"/>
        <v>22.050690000000003</v>
      </c>
      <c r="U507" s="336">
        <f t="shared" si="208"/>
        <v>0</v>
      </c>
      <c r="V507" s="336">
        <f t="shared" si="209"/>
        <v>0</v>
      </c>
      <c r="W507" s="336">
        <f t="shared" si="210"/>
        <v>0</v>
      </c>
      <c r="X507" s="336">
        <f t="shared" si="211"/>
        <v>0</v>
      </c>
      <c r="Y507" s="320"/>
      <c r="Z507" s="321" t="str">
        <f t="shared" si="215"/>
        <v>X-EXSB1A</v>
      </c>
      <c r="AA507" s="321" t="str">
        <f t="shared" si="216"/>
        <v>X-EXSB1E</v>
      </c>
      <c r="AB507" s="321" t="str">
        <f t="shared" si="217"/>
        <v>X-EXSB1M</v>
      </c>
      <c r="AC507" s="321" t="str">
        <f t="shared" si="218"/>
        <v>X-EXSB1T</v>
      </c>
      <c r="AD507" s="321" t="str">
        <f t="shared" si="219"/>
        <v>X-EXSB1S</v>
      </c>
      <c r="AE507" s="321" t="str">
        <f t="shared" si="220"/>
        <v>X-EXSB1X</v>
      </c>
      <c r="AF507" s="321" t="str">
        <f t="shared" si="221"/>
        <v>X-EXSB1E</v>
      </c>
      <c r="AG507" s="321">
        <f t="shared" si="212"/>
        <v>2</v>
      </c>
      <c r="AH507" s="321">
        <f>IF(B507&lt;&gt;"",IF(H507="x",VLOOKUP(I507,'AUX-NIV3'!B:AG,32,FALSE),0),"")</f>
        <v>0</v>
      </c>
      <c r="AI507" s="321" t="str">
        <f t="shared" si="222"/>
        <v>X-EXSB1</v>
      </c>
      <c r="AJ507" s="320"/>
      <c r="AK507" s="322">
        <f t="shared" si="213"/>
        <v>506</v>
      </c>
      <c r="AL507" s="323">
        <f t="shared" si="223"/>
        <v>507</v>
      </c>
      <c r="AM507" s="322">
        <f t="shared" si="224"/>
        <v>2</v>
      </c>
      <c r="AN507" s="380">
        <f>IF(AND(AH507&gt;0,B507&lt;&gt;""),VLOOKUP(I507,'AUX-NIV3'!$B:$AO,39,FALSE)*O507,0)</f>
        <v>0</v>
      </c>
      <c r="AO507" s="380">
        <f t="shared" si="214"/>
        <v>3.3333333333333335E-3</v>
      </c>
      <c r="AP507" s="380"/>
    </row>
    <row r="508" spans="2:42" ht="14.4" hidden="1" thickTop="1" thickBot="1">
      <c r="B508" s="324" t="s">
        <v>1463</v>
      </c>
      <c r="C508" s="325" t="s">
        <v>1464</v>
      </c>
      <c r="D508" s="326" t="s">
        <v>484</v>
      </c>
      <c r="E508" s="327">
        <f>IF(B508&lt;&gt;"",SUMIF('AUX-NIV1'!I:I,'AUX-NIV2'!B508,'AUX-NIV1'!Q:Q),"")</f>
        <v>0</v>
      </c>
      <c r="F508" s="327">
        <f t="shared" si="204"/>
        <v>184.97740259210877</v>
      </c>
      <c r="G508" s="327">
        <f t="shared" si="205"/>
        <v>0</v>
      </c>
      <c r="H508" s="328" t="str">
        <f t="shared" si="200"/>
        <v>S</v>
      </c>
      <c r="I508" s="325" t="s">
        <v>1467</v>
      </c>
      <c r="J508" s="329" t="str">
        <f>IF(B508&lt;&gt;"",+VLOOKUP(I508,Recursos!C:F,2,FALSE),"")</f>
        <v>Derechos y cánon</v>
      </c>
      <c r="K508" s="330" t="str">
        <f>IF(B508&lt;&gt;"",+VLOOKUP(I508,Recursos!C:F,3,FALSE),"")</f>
        <v>m3b</v>
      </c>
      <c r="L508" s="434">
        <f>IF(B508&lt;&gt;"",+VLOOKUP(I508,Recursos!C:F,4,FALSE),"")</f>
        <v>1</v>
      </c>
      <c r="M508" s="331">
        <v>1.4</v>
      </c>
      <c r="N508" s="331">
        <v>0.9</v>
      </c>
      <c r="O508" s="332">
        <f>+N508/M508</f>
        <v>0.6428571428571429</v>
      </c>
      <c r="P508" s="333">
        <f t="shared" si="201"/>
        <v>0.6428571428571429</v>
      </c>
      <c r="Q508" s="327">
        <f t="shared" si="202"/>
        <v>0</v>
      </c>
      <c r="R508" s="334">
        <f t="shared" si="203"/>
        <v>0</v>
      </c>
      <c r="S508" s="335">
        <f t="shared" si="206"/>
        <v>0</v>
      </c>
      <c r="T508" s="335">
        <f t="shared" si="207"/>
        <v>0</v>
      </c>
      <c r="U508" s="336">
        <f t="shared" si="208"/>
        <v>0</v>
      </c>
      <c r="V508" s="336">
        <f t="shared" si="209"/>
        <v>0</v>
      </c>
      <c r="W508" s="336">
        <f t="shared" si="210"/>
        <v>0.6428571428571429</v>
      </c>
      <c r="X508" s="336">
        <f t="shared" si="211"/>
        <v>184.33454544925161</v>
      </c>
      <c r="Y508" s="320"/>
      <c r="Z508" s="321" t="str">
        <f t="shared" si="215"/>
        <v>X-ASBASEA</v>
      </c>
      <c r="AA508" s="321" t="str">
        <f t="shared" si="216"/>
        <v>X-ASBASEE</v>
      </c>
      <c r="AB508" s="321" t="str">
        <f t="shared" si="217"/>
        <v>X-ASBASEM</v>
      </c>
      <c r="AC508" s="321" t="str">
        <f t="shared" si="218"/>
        <v>X-ASBASET</v>
      </c>
      <c r="AD508" s="321" t="str">
        <f t="shared" si="219"/>
        <v>X-ASBASES</v>
      </c>
      <c r="AE508" s="321" t="str">
        <f t="shared" si="220"/>
        <v>X-ASBASEX</v>
      </c>
      <c r="AF508" s="321" t="str">
        <f t="shared" si="221"/>
        <v>X-ASBASES</v>
      </c>
      <c r="AG508" s="321">
        <f t="shared" si="212"/>
        <v>4</v>
      </c>
      <c r="AH508" s="321">
        <f>IF(B508&lt;&gt;"",IF(H508="x",VLOOKUP(I508,'AUX-NIV3'!B:AG,32,FALSE),0),"")</f>
        <v>0</v>
      </c>
      <c r="AI508" s="321" t="str">
        <f t="shared" si="222"/>
        <v>X-ASBASE</v>
      </c>
      <c r="AJ508" s="320"/>
      <c r="AK508" s="322">
        <f t="shared" si="213"/>
        <v>508</v>
      </c>
      <c r="AL508" s="323">
        <f t="shared" si="223"/>
        <v>511</v>
      </c>
      <c r="AM508" s="322">
        <f t="shared" si="224"/>
        <v>1</v>
      </c>
      <c r="AN508" s="380">
        <f>IF(AND(AH508&gt;0,B508&lt;&gt;""),VLOOKUP(I508,'AUX-NIV3'!$B:$AO,39,FALSE)*O508,0)</f>
        <v>0</v>
      </c>
      <c r="AO508" s="380">
        <f t="shared" si="214"/>
        <v>8.2857142857142851E-2</v>
      </c>
      <c r="AP508" s="380"/>
    </row>
    <row r="509" spans="2:42" ht="14.4" hidden="1" thickTop="1" thickBot="1">
      <c r="B509" s="324" t="s">
        <v>1463</v>
      </c>
      <c r="C509" s="325" t="s">
        <v>1464</v>
      </c>
      <c r="D509" s="326" t="s">
        <v>484</v>
      </c>
      <c r="E509" s="327">
        <f>IF(B509&lt;&gt;"",SUMIF('AUX-NIV1'!I:I,'AUX-NIV2'!B509,'AUX-NIV1'!Q:Q),"")</f>
        <v>0</v>
      </c>
      <c r="F509" s="327">
        <f t="shared" si="204"/>
        <v>184.97740259210877</v>
      </c>
      <c r="G509" s="327">
        <f t="shared" si="205"/>
        <v>0</v>
      </c>
      <c r="H509" s="328" t="str">
        <f t="shared" si="200"/>
        <v>X</v>
      </c>
      <c r="I509" s="325" t="s">
        <v>1468</v>
      </c>
      <c r="J509" s="329" t="str">
        <f>IF(B509&lt;&gt;"",+VLOOKUP(I509,Recursos!C:F,2,FALSE),"")</f>
        <v>Explot. préstamo c/retro</v>
      </c>
      <c r="K509" s="330" t="str">
        <f>IF(B509&lt;&gt;"",+VLOOKUP(I509,Recursos!C:F,3,FALSE),"")</f>
        <v>m3b</v>
      </c>
      <c r="L509" s="434">
        <f>IF(B509&lt;&gt;"",+VLOOKUP(I509,Recursos!C:F,4,FALSE),"")</f>
        <v>53.88017891488937</v>
      </c>
      <c r="M509" s="331"/>
      <c r="N509" s="331"/>
      <c r="O509" s="332">
        <f>+O508</f>
        <v>0.6428571428571429</v>
      </c>
      <c r="P509" s="333">
        <f t="shared" si="201"/>
        <v>34.637257873857457</v>
      </c>
      <c r="Q509" s="327">
        <f t="shared" si="202"/>
        <v>0</v>
      </c>
      <c r="R509" s="334">
        <f t="shared" si="203"/>
        <v>0</v>
      </c>
      <c r="S509" s="335">
        <f t="shared" si="206"/>
        <v>0</v>
      </c>
      <c r="T509" s="335">
        <f t="shared" si="207"/>
        <v>0</v>
      </c>
      <c r="U509" s="336">
        <f t="shared" si="208"/>
        <v>0</v>
      </c>
      <c r="V509" s="336">
        <f t="shared" si="209"/>
        <v>0</v>
      </c>
      <c r="W509" s="336">
        <f t="shared" si="210"/>
        <v>0.6428571428571429</v>
      </c>
      <c r="X509" s="336">
        <f t="shared" si="211"/>
        <v>184.33454544925161</v>
      </c>
      <c r="Y509" s="320"/>
      <c r="Z509" s="321" t="str">
        <f t="shared" si="215"/>
        <v>X-ASBASEA</v>
      </c>
      <c r="AA509" s="321" t="str">
        <f t="shared" si="216"/>
        <v>X-ASBASEE</v>
      </c>
      <c r="AB509" s="321" t="str">
        <f t="shared" si="217"/>
        <v>X-ASBASEM</v>
      </c>
      <c r="AC509" s="321" t="str">
        <f t="shared" si="218"/>
        <v>X-ASBASET</v>
      </c>
      <c r="AD509" s="321" t="str">
        <f t="shared" si="219"/>
        <v>X-ASBASES</v>
      </c>
      <c r="AE509" s="321" t="str">
        <f t="shared" si="220"/>
        <v>X-ASBASEX</v>
      </c>
      <c r="AF509" s="321" t="str">
        <f t="shared" si="221"/>
        <v>X-ASBASEX</v>
      </c>
      <c r="AG509" s="321">
        <f t="shared" si="212"/>
        <v>4</v>
      </c>
      <c r="AH509" s="321">
        <f>IF(B509&lt;&gt;"",IF(H509="x",VLOOKUP(I509,'AUX-NIV3'!B:AG,32,FALSE),0),"")</f>
        <v>3</v>
      </c>
      <c r="AI509" s="321" t="str">
        <f t="shared" si="222"/>
        <v>X-ASBASE</v>
      </c>
      <c r="AJ509" s="320"/>
      <c r="AK509" s="322">
        <f t="shared" si="213"/>
        <v>508</v>
      </c>
      <c r="AL509" s="323">
        <f t="shared" si="223"/>
        <v>511</v>
      </c>
      <c r="AM509" s="322">
        <f t="shared" si="224"/>
        <v>2</v>
      </c>
      <c r="AN509" s="380">
        <f>IF(AND(AH509&gt;0,B509&lt;&gt;""),VLOOKUP(I509,'AUX-NIV3'!$B:$AO,39,FALSE)*O509,0)</f>
        <v>1.2857142857142859E-2</v>
      </c>
      <c r="AO509" s="380">
        <f t="shared" si="214"/>
        <v>8.2857142857142851E-2</v>
      </c>
      <c r="AP509" s="380"/>
    </row>
    <row r="510" spans="2:42" ht="14.4" hidden="1" thickTop="1" thickBot="1">
      <c r="B510" s="324" t="s">
        <v>1463</v>
      </c>
      <c r="C510" s="325" t="s">
        <v>1464</v>
      </c>
      <c r="D510" s="326" t="s">
        <v>484</v>
      </c>
      <c r="E510" s="327">
        <f>IF(B510&lt;&gt;"",SUMIF('AUX-NIV1'!I:I,'AUX-NIV2'!B510,'AUX-NIV1'!Q:Q),"")</f>
        <v>0</v>
      </c>
      <c r="F510" s="327">
        <f t="shared" si="204"/>
        <v>184.97740259210877</v>
      </c>
      <c r="G510" s="327">
        <f t="shared" si="205"/>
        <v>0</v>
      </c>
      <c r="H510" s="328" t="str">
        <f t="shared" si="200"/>
        <v>X</v>
      </c>
      <c r="I510" s="325" t="s">
        <v>1365</v>
      </c>
      <c r="J510" s="329" t="str">
        <f>IF(B510&lt;&gt;"",+VLOOKUP(I510,Recursos!C:F,2,FALSE),"")</f>
        <v>Transp.suelo dmt 2 Km</v>
      </c>
      <c r="K510" s="330" t="str">
        <f>IF(B510&lt;&gt;"",+VLOOKUP(I510,Recursos!C:F,3,FALSE),"")</f>
        <v>m3s.km</v>
      </c>
      <c r="L510" s="434">
        <f>IF(B510&lt;&gt;"",+VLOOKUP(I510,Recursos!C:F,4,FALSE),"")</f>
        <v>38.301769543927584</v>
      </c>
      <c r="M510" s="331"/>
      <c r="N510" s="331"/>
      <c r="O510" s="332">
        <v>1.4</v>
      </c>
      <c r="P510" s="333">
        <f t="shared" si="201"/>
        <v>53.622477361498618</v>
      </c>
      <c r="Q510" s="327">
        <f t="shared" si="202"/>
        <v>0</v>
      </c>
      <c r="R510" s="334">
        <f t="shared" si="203"/>
        <v>0</v>
      </c>
      <c r="S510" s="335">
        <f t="shared" si="206"/>
        <v>0</v>
      </c>
      <c r="T510" s="335">
        <f t="shared" si="207"/>
        <v>0</v>
      </c>
      <c r="U510" s="336">
        <f t="shared" si="208"/>
        <v>0</v>
      </c>
      <c r="V510" s="336">
        <f t="shared" si="209"/>
        <v>0</v>
      </c>
      <c r="W510" s="336">
        <f t="shared" si="210"/>
        <v>0.6428571428571429</v>
      </c>
      <c r="X510" s="336">
        <f t="shared" si="211"/>
        <v>184.33454544925161</v>
      </c>
      <c r="Y510" s="320"/>
      <c r="Z510" s="321" t="str">
        <f t="shared" si="215"/>
        <v>X-ASBASEA</v>
      </c>
      <c r="AA510" s="321" t="str">
        <f t="shared" si="216"/>
        <v>X-ASBASEE</v>
      </c>
      <c r="AB510" s="321" t="str">
        <f t="shared" si="217"/>
        <v>X-ASBASEM</v>
      </c>
      <c r="AC510" s="321" t="str">
        <f t="shared" si="218"/>
        <v>X-ASBASET</v>
      </c>
      <c r="AD510" s="321" t="str">
        <f t="shared" si="219"/>
        <v>X-ASBASES</v>
      </c>
      <c r="AE510" s="321" t="str">
        <f t="shared" si="220"/>
        <v>X-ASBASEX</v>
      </c>
      <c r="AF510" s="321" t="str">
        <f t="shared" si="221"/>
        <v>X-ASBASEX</v>
      </c>
      <c r="AG510" s="321">
        <f t="shared" si="212"/>
        <v>4</v>
      </c>
      <c r="AH510" s="321">
        <f>IF(B510&lt;&gt;"",IF(H510="x",VLOOKUP(I510,'AUX-NIV3'!B:AG,32,FALSE),0),"")</f>
        <v>2</v>
      </c>
      <c r="AI510" s="321" t="str">
        <f t="shared" si="222"/>
        <v>X-ASBASE</v>
      </c>
      <c r="AJ510" s="320"/>
      <c r="AK510" s="322">
        <f t="shared" si="213"/>
        <v>508</v>
      </c>
      <c r="AL510" s="323">
        <f t="shared" si="223"/>
        <v>511</v>
      </c>
      <c r="AM510" s="322">
        <f t="shared" si="224"/>
        <v>3</v>
      </c>
      <c r="AN510" s="380">
        <f>IF(AND(AH510&gt;0,B510&lt;&gt;""),VLOOKUP(I510,'AUX-NIV3'!$B:$AO,39,FALSE)*O510,0)</f>
        <v>1.3999999999999999E-2</v>
      </c>
      <c r="AO510" s="380">
        <f t="shared" si="214"/>
        <v>8.2857142857142851E-2</v>
      </c>
      <c r="AP510" s="380"/>
    </row>
    <row r="511" spans="2:42" ht="14.4" hidden="1" thickTop="1" thickBot="1">
      <c r="B511" s="324" t="s">
        <v>1463</v>
      </c>
      <c r="C511" s="325" t="s">
        <v>1464</v>
      </c>
      <c r="D511" s="326" t="s">
        <v>484</v>
      </c>
      <c r="E511" s="327">
        <f>IF(B511&lt;&gt;"",SUMIF('AUX-NIV1'!I:I,'AUX-NIV2'!B511,'AUX-NIV1'!Q:Q),"")</f>
        <v>0</v>
      </c>
      <c r="F511" s="327">
        <f t="shared" si="204"/>
        <v>184.97740259210877</v>
      </c>
      <c r="G511" s="327">
        <f t="shared" si="205"/>
        <v>0</v>
      </c>
      <c r="H511" s="328" t="str">
        <f t="shared" ref="H511:H522" si="234">IF(B511&lt;&gt;"",+LEFT(I511,1),"")</f>
        <v>X</v>
      </c>
      <c r="I511" s="325" t="s">
        <v>1469</v>
      </c>
      <c r="J511" s="329" t="str">
        <f>IF(B511&lt;&gt;"",+VLOOKUP(I511,Recursos!C:F,2,FALSE),"")</f>
        <v>Equipo prod.subbase</v>
      </c>
      <c r="K511" s="330" t="str">
        <f>IF(B511&lt;&gt;"",+VLOOKUP(I511,Recursos!C:F,3,FALSE),"")</f>
        <v>Hs</v>
      </c>
      <c r="L511" s="434">
        <f>IF(B511&lt;&gt;"",+VLOOKUP(I511,Recursos!C:F,4,FALSE),"")</f>
        <v>12009.351276736943</v>
      </c>
      <c r="M511" s="331">
        <v>125</v>
      </c>
      <c r="N511" s="331">
        <v>1</v>
      </c>
      <c r="O511" s="332">
        <f>+N511/M511</f>
        <v>8.0000000000000002E-3</v>
      </c>
      <c r="P511" s="333">
        <f t="shared" si="201"/>
        <v>96.074810213895546</v>
      </c>
      <c r="Q511" s="327">
        <f t="shared" si="202"/>
        <v>0</v>
      </c>
      <c r="R511" s="334">
        <f t="shared" si="203"/>
        <v>0</v>
      </c>
      <c r="S511" s="335">
        <f t="shared" si="206"/>
        <v>0</v>
      </c>
      <c r="T511" s="335">
        <f t="shared" si="207"/>
        <v>0</v>
      </c>
      <c r="U511" s="336">
        <f t="shared" si="208"/>
        <v>0</v>
      </c>
      <c r="V511" s="336">
        <f t="shared" si="209"/>
        <v>0</v>
      </c>
      <c r="W511" s="336">
        <f t="shared" si="210"/>
        <v>0.6428571428571429</v>
      </c>
      <c r="X511" s="336">
        <f t="shared" si="211"/>
        <v>184.33454544925161</v>
      </c>
      <c r="Y511" s="320"/>
      <c r="Z511" s="321" t="str">
        <f t="shared" si="215"/>
        <v>X-ASBASEA</v>
      </c>
      <c r="AA511" s="321" t="str">
        <f t="shared" si="216"/>
        <v>X-ASBASEE</v>
      </c>
      <c r="AB511" s="321" t="str">
        <f t="shared" si="217"/>
        <v>X-ASBASEM</v>
      </c>
      <c r="AC511" s="321" t="str">
        <f t="shared" si="218"/>
        <v>X-ASBASET</v>
      </c>
      <c r="AD511" s="321" t="str">
        <f t="shared" si="219"/>
        <v>X-ASBASES</v>
      </c>
      <c r="AE511" s="321" t="str">
        <f t="shared" si="220"/>
        <v>X-ASBASEX</v>
      </c>
      <c r="AF511" s="321" t="str">
        <f t="shared" si="221"/>
        <v>X-ASBASEX</v>
      </c>
      <c r="AG511" s="321">
        <f t="shared" si="212"/>
        <v>4</v>
      </c>
      <c r="AH511" s="321">
        <f>IF(B511&lt;&gt;"",IF(H511="x",VLOOKUP(I511,'AUX-NIV3'!B:AG,32,FALSE),0),"")</f>
        <v>12</v>
      </c>
      <c r="AI511" s="321" t="str">
        <f t="shared" si="222"/>
        <v>X-ASBASE</v>
      </c>
      <c r="AJ511" s="320"/>
      <c r="AK511" s="322">
        <f t="shared" si="213"/>
        <v>508</v>
      </c>
      <c r="AL511" s="323">
        <f t="shared" si="223"/>
        <v>511</v>
      </c>
      <c r="AM511" s="322">
        <f t="shared" si="224"/>
        <v>4</v>
      </c>
      <c r="AN511" s="380">
        <f>IF(AND(AH511&gt;0,B511&lt;&gt;""),VLOOKUP(I511,'AUX-NIV3'!$B:$AO,39,FALSE)*O511,0)</f>
        <v>5.6000000000000001E-2</v>
      </c>
      <c r="AO511" s="380">
        <f t="shared" si="214"/>
        <v>8.2857142857142851E-2</v>
      </c>
      <c r="AP511" s="380"/>
    </row>
    <row r="512" spans="2:42" ht="14.4" hidden="1" thickTop="1" thickBot="1">
      <c r="B512" s="324" t="s">
        <v>1466</v>
      </c>
      <c r="C512" s="325" t="s">
        <v>1474</v>
      </c>
      <c r="D512" s="326" t="s">
        <v>1160</v>
      </c>
      <c r="E512" s="327">
        <f>IF(B512&lt;&gt;"",SUMIF('AUX-NIV1'!I:I,'AUX-NIV2'!B512,'AUX-NIV1'!Q:Q),"")</f>
        <v>0</v>
      </c>
      <c r="F512" s="327">
        <f t="shared" si="204"/>
        <v>693.96355400637856</v>
      </c>
      <c r="G512" s="327">
        <f t="shared" si="205"/>
        <v>0</v>
      </c>
      <c r="H512" s="328" t="str">
        <f t="shared" si="234"/>
        <v>X</v>
      </c>
      <c r="I512" s="325" t="s">
        <v>1475</v>
      </c>
      <c r="J512" s="329" t="str">
        <f>IF(B512&lt;&gt;"",+VLOOKUP(I512,Recursos!C:F,2,FALSE),"")</f>
        <v>Transp.agr.dist.larg.c/camion</v>
      </c>
      <c r="K512" s="330" t="str">
        <f>IF(B512&lt;&gt;"",+VLOOKUP(I512,Recursos!C:F,3,FALSE),"")</f>
        <v>m3s.Km</v>
      </c>
      <c r="L512" s="434">
        <f>IF(B512&lt;&gt;"",+VLOOKUP(I512,Recursos!C:F,4,FALSE),"")</f>
        <v>15.320707817571034</v>
      </c>
      <c r="M512" s="432">
        <v>20</v>
      </c>
      <c r="N512" s="432"/>
      <c r="O512" s="332">
        <f>+M512*M513</f>
        <v>26</v>
      </c>
      <c r="P512" s="333">
        <f t="shared" si="201"/>
        <v>398.33840325684685</v>
      </c>
      <c r="Q512" s="327">
        <f t="shared" si="202"/>
        <v>0</v>
      </c>
      <c r="R512" s="334">
        <f t="shared" si="203"/>
        <v>0</v>
      </c>
      <c r="S512" s="335">
        <f t="shared" si="206"/>
        <v>0</v>
      </c>
      <c r="T512" s="335">
        <f t="shared" si="207"/>
        <v>0</v>
      </c>
      <c r="U512" s="336">
        <f t="shared" si="208"/>
        <v>0</v>
      </c>
      <c r="V512" s="336">
        <f t="shared" si="209"/>
        <v>0</v>
      </c>
      <c r="W512" s="336">
        <f t="shared" si="210"/>
        <v>0</v>
      </c>
      <c r="X512" s="336">
        <f t="shared" si="211"/>
        <v>693.96355400637856</v>
      </c>
      <c r="Y512" s="320"/>
      <c r="Z512" s="321" t="str">
        <f t="shared" si="215"/>
        <v>X-BASES1A</v>
      </c>
      <c r="AA512" s="321" t="str">
        <f t="shared" si="216"/>
        <v>X-BASES1E</v>
      </c>
      <c r="AB512" s="321" t="str">
        <f t="shared" si="217"/>
        <v>X-BASES1M</v>
      </c>
      <c r="AC512" s="321" t="str">
        <f t="shared" si="218"/>
        <v>X-BASES1T</v>
      </c>
      <c r="AD512" s="321" t="str">
        <f t="shared" si="219"/>
        <v>X-BASES1S</v>
      </c>
      <c r="AE512" s="321" t="str">
        <f t="shared" si="220"/>
        <v>X-BASES1X</v>
      </c>
      <c r="AF512" s="321" t="str">
        <f t="shared" si="221"/>
        <v>X-BASES1X</v>
      </c>
      <c r="AG512" s="321">
        <f t="shared" si="212"/>
        <v>8</v>
      </c>
      <c r="AH512" s="321">
        <f>IF(B512&lt;&gt;"",IF(H512="x",VLOOKUP(I512,'AUX-NIV3'!B:AG,32,FALSE),0),"")</f>
        <v>2</v>
      </c>
      <c r="AI512" s="321" t="str">
        <f t="shared" si="222"/>
        <v>X-BASES1</v>
      </c>
      <c r="AJ512" s="320"/>
      <c r="AK512" s="322">
        <f t="shared" si="213"/>
        <v>512</v>
      </c>
      <c r="AL512" s="323">
        <f t="shared" si="223"/>
        <v>519</v>
      </c>
      <c r="AM512" s="322">
        <f t="shared" si="224"/>
        <v>1</v>
      </c>
      <c r="AN512" s="380">
        <f>IF(AND(AH512&gt;0,B512&lt;&gt;""),VLOOKUP(I512,'AUX-NIV3'!$B:$AO,39,FALSE)*O512,0)</f>
        <v>0.10400000000000001</v>
      </c>
      <c r="AO512" s="380">
        <f t="shared" si="214"/>
        <v>0.18535000000000001</v>
      </c>
      <c r="AP512" s="380"/>
    </row>
    <row r="513" spans="2:42" ht="14.4" hidden="1" thickTop="1" thickBot="1">
      <c r="B513" s="324" t="s">
        <v>1466</v>
      </c>
      <c r="C513" s="325" t="s">
        <v>1474</v>
      </c>
      <c r="D513" s="326" t="s">
        <v>1160</v>
      </c>
      <c r="E513" s="327">
        <f>IF(B513&lt;&gt;"",SUMIF('AUX-NIV1'!I:I,'AUX-NIV2'!B513,'AUX-NIV1'!Q:Q),"")</f>
        <v>0</v>
      </c>
      <c r="F513" s="327">
        <f t="shared" si="204"/>
        <v>693.96355400637856</v>
      </c>
      <c r="G513" s="327">
        <f t="shared" si="205"/>
        <v>0</v>
      </c>
      <c r="H513" s="328" t="str">
        <f t="shared" si="234"/>
        <v>X</v>
      </c>
      <c r="I513" s="325" t="s">
        <v>1476</v>
      </c>
      <c r="J513" s="329" t="str">
        <f>IF(B513&lt;&gt;"",+VLOOKUP(I513,Recursos!C:F,2,FALSE),"")</f>
        <v>Homogen.humedad base en cabelletes</v>
      </c>
      <c r="K513" s="330" t="str">
        <f>IF(B513&lt;&gt;"",+VLOOKUP(I513,Recursos!C:F,3,FALSE),"")</f>
        <v>m3s</v>
      </c>
      <c r="L513" s="434">
        <f>IF(B513&lt;&gt;"",+VLOOKUP(I513,Recursos!C:F,4,FALSE),"")</f>
        <v>58.226361821805845</v>
      </c>
      <c r="M513" s="432">
        <v>1.3</v>
      </c>
      <c r="N513" s="432"/>
      <c r="O513" s="332">
        <f>+M513*N514</f>
        <v>1.1700000000000002</v>
      </c>
      <c r="P513" s="333">
        <f t="shared" si="201"/>
        <v>68.124843331512849</v>
      </c>
      <c r="Q513" s="327">
        <f t="shared" si="202"/>
        <v>0</v>
      </c>
      <c r="R513" s="334">
        <f t="shared" si="203"/>
        <v>0</v>
      </c>
      <c r="S513" s="335">
        <f t="shared" si="206"/>
        <v>0</v>
      </c>
      <c r="T513" s="335">
        <f t="shared" si="207"/>
        <v>0</v>
      </c>
      <c r="U513" s="336">
        <f t="shared" si="208"/>
        <v>0</v>
      </c>
      <c r="V513" s="336">
        <f t="shared" si="209"/>
        <v>0</v>
      </c>
      <c r="W513" s="336">
        <f t="shared" si="210"/>
        <v>0</v>
      </c>
      <c r="X513" s="336">
        <f t="shared" si="211"/>
        <v>693.96355400637856</v>
      </c>
      <c r="Y513" s="320"/>
      <c r="Z513" s="321" t="str">
        <f t="shared" si="215"/>
        <v>X-BASES1A</v>
      </c>
      <c r="AA513" s="321" t="str">
        <f t="shared" si="216"/>
        <v>X-BASES1E</v>
      </c>
      <c r="AB513" s="321" t="str">
        <f t="shared" si="217"/>
        <v>X-BASES1M</v>
      </c>
      <c r="AC513" s="321" t="str">
        <f t="shared" si="218"/>
        <v>X-BASES1T</v>
      </c>
      <c r="AD513" s="321" t="str">
        <f t="shared" si="219"/>
        <v>X-BASES1S</v>
      </c>
      <c r="AE513" s="321" t="str">
        <f t="shared" si="220"/>
        <v>X-BASES1X</v>
      </c>
      <c r="AF513" s="321" t="str">
        <f t="shared" si="221"/>
        <v>X-BASES1X</v>
      </c>
      <c r="AG513" s="321">
        <f t="shared" si="212"/>
        <v>8</v>
      </c>
      <c r="AH513" s="321">
        <f>IF(B513&lt;&gt;"",IF(H513="x",VLOOKUP(I513,'AUX-NIV3'!B:AG,32,FALSE),0),"")</f>
        <v>3</v>
      </c>
      <c r="AI513" s="321" t="str">
        <f t="shared" si="222"/>
        <v>X-BASES1</v>
      </c>
      <c r="AJ513" s="320"/>
      <c r="AK513" s="322">
        <f t="shared" si="213"/>
        <v>512</v>
      </c>
      <c r="AL513" s="323">
        <f t="shared" si="223"/>
        <v>519</v>
      </c>
      <c r="AM513" s="322">
        <f t="shared" si="224"/>
        <v>2</v>
      </c>
      <c r="AN513" s="380">
        <f>IF(AND(AH513&gt;0,B513&lt;&gt;""),VLOOKUP(I513,'AUX-NIV3'!$B:$AO,39,FALSE)*O513,0)</f>
        <v>1.4625000000000003E-2</v>
      </c>
      <c r="AO513" s="380">
        <f t="shared" si="214"/>
        <v>0.18535000000000001</v>
      </c>
      <c r="AP513" s="380"/>
    </row>
    <row r="514" spans="2:42" ht="14.4" hidden="1" thickTop="1" thickBot="1">
      <c r="B514" s="324" t="s">
        <v>1466</v>
      </c>
      <c r="C514" s="325" t="s">
        <v>1474</v>
      </c>
      <c r="D514" s="326" t="s">
        <v>1160</v>
      </c>
      <c r="E514" s="327">
        <f>IF(B514&lt;&gt;"",SUMIF('AUX-NIV1'!I:I,'AUX-NIV2'!B514,'AUX-NIV1'!Q:Q),"")</f>
        <v>0</v>
      </c>
      <c r="F514" s="327">
        <f t="shared" si="204"/>
        <v>693.96355400637856</v>
      </c>
      <c r="G514" s="327">
        <f t="shared" si="205"/>
        <v>0</v>
      </c>
      <c r="H514" s="328" t="str">
        <f t="shared" si="234"/>
        <v>X</v>
      </c>
      <c r="I514" s="325" t="s">
        <v>1477</v>
      </c>
      <c r="J514" s="329" t="str">
        <f>IF(B514&lt;&gt;"",+VLOOKUP(I514,Recursos!C:F,2,FALSE),"")</f>
        <v>Distribución de base motoniveladora</v>
      </c>
      <c r="K514" s="330" t="str">
        <f>IF(B514&lt;&gt;"",+VLOOKUP(I514,Recursos!C:F,3,FALSE),"")</f>
        <v>m3</v>
      </c>
      <c r="L514" s="434">
        <f>IF(B514&lt;&gt;"",+VLOOKUP(I514,Recursos!C:F,4,FALSE),"")</f>
        <v>69.871634186167029</v>
      </c>
      <c r="M514" s="432"/>
      <c r="N514" s="432">
        <v>0.9</v>
      </c>
      <c r="O514" s="332">
        <f>+N514</f>
        <v>0.9</v>
      </c>
      <c r="P514" s="333">
        <f t="shared" si="201"/>
        <v>62.884470767550326</v>
      </c>
      <c r="Q514" s="327">
        <f t="shared" si="202"/>
        <v>0</v>
      </c>
      <c r="R514" s="334">
        <f t="shared" si="203"/>
        <v>0</v>
      </c>
      <c r="S514" s="335">
        <f t="shared" si="206"/>
        <v>0</v>
      </c>
      <c r="T514" s="335">
        <f t="shared" si="207"/>
        <v>0</v>
      </c>
      <c r="U514" s="336">
        <f t="shared" si="208"/>
        <v>0</v>
      </c>
      <c r="V514" s="336">
        <f t="shared" si="209"/>
        <v>0</v>
      </c>
      <c r="W514" s="336">
        <f t="shared" si="210"/>
        <v>0</v>
      </c>
      <c r="X514" s="336">
        <f t="shared" si="211"/>
        <v>693.96355400637856</v>
      </c>
      <c r="Y514" s="320"/>
      <c r="Z514" s="321" t="str">
        <f t="shared" si="215"/>
        <v>X-BASES1A</v>
      </c>
      <c r="AA514" s="321" t="str">
        <f t="shared" si="216"/>
        <v>X-BASES1E</v>
      </c>
      <c r="AB514" s="321" t="str">
        <f t="shared" si="217"/>
        <v>X-BASES1M</v>
      </c>
      <c r="AC514" s="321" t="str">
        <f t="shared" si="218"/>
        <v>X-BASES1T</v>
      </c>
      <c r="AD514" s="321" t="str">
        <f t="shared" si="219"/>
        <v>X-BASES1S</v>
      </c>
      <c r="AE514" s="321" t="str">
        <f t="shared" si="220"/>
        <v>X-BASES1X</v>
      </c>
      <c r="AF514" s="321" t="str">
        <f t="shared" si="221"/>
        <v>X-BASES1X</v>
      </c>
      <c r="AG514" s="321">
        <f t="shared" si="212"/>
        <v>8</v>
      </c>
      <c r="AH514" s="321">
        <f>IF(B514&lt;&gt;"",IF(H514="x",VLOOKUP(I514,'AUX-NIV3'!B:AG,32,FALSE),0),"")</f>
        <v>3</v>
      </c>
      <c r="AI514" s="321" t="str">
        <f t="shared" si="222"/>
        <v>X-BASES1</v>
      </c>
      <c r="AJ514" s="320"/>
      <c r="AK514" s="322">
        <f t="shared" si="213"/>
        <v>512</v>
      </c>
      <c r="AL514" s="323">
        <f t="shared" si="223"/>
        <v>519</v>
      </c>
      <c r="AM514" s="322">
        <f t="shared" si="224"/>
        <v>3</v>
      </c>
      <c r="AN514" s="380">
        <f>IF(AND(AH514&gt;0,B514&lt;&gt;""),VLOOKUP(I514,'AUX-NIV3'!$B:$AO,39,FALSE)*O514,0)</f>
        <v>1.35E-2</v>
      </c>
      <c r="AO514" s="380">
        <f t="shared" si="214"/>
        <v>0.18535000000000001</v>
      </c>
      <c r="AP514" s="380"/>
    </row>
    <row r="515" spans="2:42" ht="14.4" hidden="1" thickTop="1" thickBot="1">
      <c r="B515" s="324" t="s">
        <v>1466</v>
      </c>
      <c r="C515" s="325" t="s">
        <v>1474</v>
      </c>
      <c r="D515" s="326" t="s">
        <v>1160</v>
      </c>
      <c r="E515" s="327">
        <f>IF(B515&lt;&gt;"",SUMIF('AUX-NIV1'!I:I,'AUX-NIV2'!B515,'AUX-NIV1'!Q:Q),"")</f>
        <v>0</v>
      </c>
      <c r="F515" s="327">
        <f t="shared" si="204"/>
        <v>693.96355400637856</v>
      </c>
      <c r="G515" s="327">
        <f t="shared" si="205"/>
        <v>0</v>
      </c>
      <c r="H515" s="328" t="str">
        <f t="shared" si="234"/>
        <v>X</v>
      </c>
      <c r="I515" s="325" t="s">
        <v>1388</v>
      </c>
      <c r="J515" s="329" t="str">
        <f>IF(B515&lt;&gt;"",+VLOOKUP(I515,Recursos!C:F,2,FALSE),"")</f>
        <v>Obtención de agua para riego</v>
      </c>
      <c r="K515" s="330" t="str">
        <f>IF(B515&lt;&gt;"",+VLOOKUP(I515,Recursos!C:F,3,FALSE),"")</f>
        <v>m3</v>
      </c>
      <c r="L515" s="434">
        <f>IF(B515&lt;&gt;"",+VLOOKUP(I515,Recursos!C:F,4,FALSE),"")</f>
        <v>43.481296096028451</v>
      </c>
      <c r="M515" s="432"/>
      <c r="N515" s="432"/>
      <c r="O515" s="332">
        <f>+O516</f>
        <v>0.16</v>
      </c>
      <c r="P515" s="333">
        <f t="shared" si="201"/>
        <v>6.9570073753645527</v>
      </c>
      <c r="Q515" s="327">
        <f t="shared" si="202"/>
        <v>0</v>
      </c>
      <c r="R515" s="334">
        <f t="shared" si="203"/>
        <v>0</v>
      </c>
      <c r="S515" s="335">
        <f t="shared" si="206"/>
        <v>0</v>
      </c>
      <c r="T515" s="335">
        <f t="shared" si="207"/>
        <v>0</v>
      </c>
      <c r="U515" s="336">
        <f t="shared" si="208"/>
        <v>0</v>
      </c>
      <c r="V515" s="336">
        <f t="shared" si="209"/>
        <v>0</v>
      </c>
      <c r="W515" s="336">
        <f t="shared" si="210"/>
        <v>0</v>
      </c>
      <c r="X515" s="336">
        <f t="shared" si="211"/>
        <v>693.96355400637856</v>
      </c>
      <c r="Y515" s="320"/>
      <c r="Z515" s="321" t="str">
        <f t="shared" si="215"/>
        <v>X-BASES1A</v>
      </c>
      <c r="AA515" s="321" t="str">
        <f t="shared" si="216"/>
        <v>X-BASES1E</v>
      </c>
      <c r="AB515" s="321" t="str">
        <f t="shared" si="217"/>
        <v>X-BASES1M</v>
      </c>
      <c r="AC515" s="321" t="str">
        <f t="shared" si="218"/>
        <v>X-BASES1T</v>
      </c>
      <c r="AD515" s="321" t="str">
        <f t="shared" si="219"/>
        <v>X-BASES1S</v>
      </c>
      <c r="AE515" s="321" t="str">
        <f t="shared" si="220"/>
        <v>X-BASES1X</v>
      </c>
      <c r="AF515" s="321" t="str">
        <f t="shared" si="221"/>
        <v>X-BASES1X</v>
      </c>
      <c r="AG515" s="321">
        <f t="shared" si="212"/>
        <v>8</v>
      </c>
      <c r="AH515" s="321">
        <f>IF(B515&lt;&gt;"",IF(H515="x",VLOOKUP(I515,'AUX-NIV3'!B:AG,32,FALSE),0),"")</f>
        <v>4</v>
      </c>
      <c r="AI515" s="321" t="str">
        <f t="shared" si="222"/>
        <v>X-BASES1</v>
      </c>
      <c r="AJ515" s="320"/>
      <c r="AK515" s="322">
        <f t="shared" si="213"/>
        <v>512</v>
      </c>
      <c r="AL515" s="323">
        <f t="shared" si="223"/>
        <v>519</v>
      </c>
      <c r="AM515" s="322">
        <f t="shared" si="224"/>
        <v>4</v>
      </c>
      <c r="AN515" s="380">
        <f>IF(AND(AH515&gt;0,B515&lt;&gt;""),VLOOKUP(I515,'AUX-NIV3'!$B:$AO,39,FALSE)*O515,0)</f>
        <v>3.2000000000000002E-3</v>
      </c>
      <c r="AO515" s="380">
        <f t="shared" si="214"/>
        <v>0.18535000000000001</v>
      </c>
      <c r="AP515" s="380"/>
    </row>
    <row r="516" spans="2:42" ht="14.4" hidden="1" thickTop="1" thickBot="1">
      <c r="B516" s="324" t="s">
        <v>1466</v>
      </c>
      <c r="C516" s="325" t="s">
        <v>1474</v>
      </c>
      <c r="D516" s="326" t="s">
        <v>1160</v>
      </c>
      <c r="E516" s="327">
        <f>IF(B516&lt;&gt;"",SUMIF('AUX-NIV1'!I:I,'AUX-NIV2'!B516,'AUX-NIV1'!Q:Q),"")</f>
        <v>0</v>
      </c>
      <c r="F516" s="327">
        <f t="shared" si="204"/>
        <v>693.96355400637856</v>
      </c>
      <c r="G516" s="327">
        <f t="shared" si="205"/>
        <v>0</v>
      </c>
      <c r="H516" s="328" t="str">
        <f t="shared" si="234"/>
        <v>X</v>
      </c>
      <c r="I516" s="325" t="s">
        <v>1389</v>
      </c>
      <c r="J516" s="329" t="str">
        <f>IF(B516&lt;&gt;"",+VLOOKUP(I516,Recursos!C:F,2,FALSE),"")</f>
        <v>Transporte de agua para riego</v>
      </c>
      <c r="K516" s="330" t="str">
        <f>IF(B516&lt;&gt;"",+VLOOKUP(I516,Recursos!C:F,3,FALSE),"")</f>
        <v>m3</v>
      </c>
      <c r="L516" s="434">
        <f>IF(B516&lt;&gt;"",+VLOOKUP(I516,Recursos!C:F,4,FALSE),"")</f>
        <v>120.18495973415189</v>
      </c>
      <c r="M516" s="432"/>
      <c r="N516" s="432"/>
      <c r="O516" s="332">
        <f>+O517</f>
        <v>0.16</v>
      </c>
      <c r="P516" s="333">
        <f t="shared" ref="P516:P579" si="235">IF(B516&lt;&gt;"",O516*L516,"")</f>
        <v>19.229593557464302</v>
      </c>
      <c r="Q516" s="327">
        <f t="shared" ref="Q516:Q579" si="236">IF(B516&lt;&gt;"",+O516*E516,"")</f>
        <v>0</v>
      </c>
      <c r="R516" s="334">
        <f t="shared" ref="R516:R579" si="237">IF(B516&lt;&gt;"",Q516*L516,"")</f>
        <v>0</v>
      </c>
      <c r="S516" s="335">
        <f t="shared" si="206"/>
        <v>0</v>
      </c>
      <c r="T516" s="335">
        <f t="shared" si="207"/>
        <v>0</v>
      </c>
      <c r="U516" s="336">
        <f t="shared" si="208"/>
        <v>0</v>
      </c>
      <c r="V516" s="336">
        <f t="shared" si="209"/>
        <v>0</v>
      </c>
      <c r="W516" s="336">
        <f t="shared" si="210"/>
        <v>0</v>
      </c>
      <c r="X516" s="336">
        <f t="shared" si="211"/>
        <v>693.96355400637856</v>
      </c>
      <c r="Y516" s="320"/>
      <c r="Z516" s="321" t="str">
        <f t="shared" si="215"/>
        <v>X-BASES1A</v>
      </c>
      <c r="AA516" s="321" t="str">
        <f t="shared" si="216"/>
        <v>X-BASES1E</v>
      </c>
      <c r="AB516" s="321" t="str">
        <f t="shared" si="217"/>
        <v>X-BASES1M</v>
      </c>
      <c r="AC516" s="321" t="str">
        <f t="shared" si="218"/>
        <v>X-BASES1T</v>
      </c>
      <c r="AD516" s="321" t="str">
        <f t="shared" si="219"/>
        <v>X-BASES1S</v>
      </c>
      <c r="AE516" s="321" t="str">
        <f t="shared" si="220"/>
        <v>X-BASES1X</v>
      </c>
      <c r="AF516" s="321" t="str">
        <f t="shared" si="221"/>
        <v>X-BASES1X</v>
      </c>
      <c r="AG516" s="321">
        <f t="shared" si="212"/>
        <v>8</v>
      </c>
      <c r="AH516" s="321">
        <f>IF(B516&lt;&gt;"",IF(H516="x",VLOOKUP(I516,'AUX-NIV3'!B:AG,32,FALSE),0),"")</f>
        <v>3</v>
      </c>
      <c r="AI516" s="321" t="str">
        <f t="shared" si="222"/>
        <v>X-BASES1</v>
      </c>
      <c r="AJ516" s="320"/>
      <c r="AK516" s="322">
        <f t="shared" si="213"/>
        <v>512</v>
      </c>
      <c r="AL516" s="323">
        <f t="shared" si="223"/>
        <v>519</v>
      </c>
      <c r="AM516" s="322">
        <f t="shared" si="224"/>
        <v>5</v>
      </c>
      <c r="AN516" s="380">
        <f>IF(AND(AH516&gt;0,B516&lt;&gt;""),VLOOKUP(I516,'AUX-NIV3'!$B:$AO,39,FALSE)*O516,0)</f>
        <v>6.4000000000000003E-3</v>
      </c>
      <c r="AO516" s="380">
        <f t="shared" si="214"/>
        <v>0.18535000000000001</v>
      </c>
      <c r="AP516" s="380"/>
    </row>
    <row r="517" spans="2:42" ht="14.4" hidden="1" thickTop="1" thickBot="1">
      <c r="B517" s="324" t="s">
        <v>1466</v>
      </c>
      <c r="C517" s="325" t="s">
        <v>1474</v>
      </c>
      <c r="D517" s="326" t="s">
        <v>1160</v>
      </c>
      <c r="E517" s="327">
        <f>IF(B517&lt;&gt;"",SUMIF('AUX-NIV1'!I:I,'AUX-NIV2'!B517,'AUX-NIV1'!Q:Q),"")</f>
        <v>0</v>
      </c>
      <c r="F517" s="327">
        <f t="shared" si="204"/>
        <v>693.96355400637856</v>
      </c>
      <c r="G517" s="327">
        <f t="shared" si="205"/>
        <v>0</v>
      </c>
      <c r="H517" s="328" t="str">
        <f t="shared" si="234"/>
        <v>X</v>
      </c>
      <c r="I517" s="325" t="s">
        <v>1390</v>
      </c>
      <c r="J517" s="329" t="str">
        <f>IF(B517&lt;&gt;"",+VLOOKUP(I517,Recursos!C:F,2,FALSE),"")</f>
        <v>Riego de terraplén</v>
      </c>
      <c r="K517" s="330" t="str">
        <f>IF(B517&lt;&gt;"",+VLOOKUP(I517,Recursos!C:F,3,FALSE),"")</f>
        <v>m3</v>
      </c>
      <c r="L517" s="434">
        <f>IF(B517&lt;&gt;"",+VLOOKUP(I517,Recursos!C:F,4,FALSE),"")</f>
        <v>39.234240090026674</v>
      </c>
      <c r="M517" s="432">
        <v>2</v>
      </c>
      <c r="N517" s="432">
        <v>0.08</v>
      </c>
      <c r="O517" s="332">
        <f>+M517*N517</f>
        <v>0.16</v>
      </c>
      <c r="P517" s="333">
        <f t="shared" si="235"/>
        <v>6.2774784144042677</v>
      </c>
      <c r="Q517" s="327">
        <f t="shared" si="236"/>
        <v>0</v>
      </c>
      <c r="R517" s="334">
        <f t="shared" si="237"/>
        <v>0</v>
      </c>
      <c r="S517" s="335">
        <f t="shared" si="206"/>
        <v>0</v>
      </c>
      <c r="T517" s="335">
        <f t="shared" si="207"/>
        <v>0</v>
      </c>
      <c r="U517" s="336">
        <f t="shared" si="208"/>
        <v>0</v>
      </c>
      <c r="V517" s="336">
        <f t="shared" si="209"/>
        <v>0</v>
      </c>
      <c r="W517" s="336">
        <f t="shared" si="210"/>
        <v>0</v>
      </c>
      <c r="X517" s="336">
        <f t="shared" si="211"/>
        <v>693.96355400637856</v>
      </c>
      <c r="Y517" s="320"/>
      <c r="Z517" s="321" t="str">
        <f t="shared" si="215"/>
        <v>X-BASES1A</v>
      </c>
      <c r="AA517" s="321" t="str">
        <f t="shared" si="216"/>
        <v>X-BASES1E</v>
      </c>
      <c r="AB517" s="321" t="str">
        <f t="shared" si="217"/>
        <v>X-BASES1M</v>
      </c>
      <c r="AC517" s="321" t="str">
        <f t="shared" si="218"/>
        <v>X-BASES1T</v>
      </c>
      <c r="AD517" s="321" t="str">
        <f t="shared" si="219"/>
        <v>X-BASES1S</v>
      </c>
      <c r="AE517" s="321" t="str">
        <f t="shared" si="220"/>
        <v>X-BASES1X</v>
      </c>
      <c r="AF517" s="321" t="str">
        <f t="shared" si="221"/>
        <v>X-BASES1X</v>
      </c>
      <c r="AG517" s="321">
        <f t="shared" si="212"/>
        <v>8</v>
      </c>
      <c r="AH517" s="321">
        <f>IF(B517&lt;&gt;"",IF(H517="x",VLOOKUP(I517,'AUX-NIV3'!B:AG,32,FALSE),0),"")</f>
        <v>3</v>
      </c>
      <c r="AI517" s="321" t="str">
        <f t="shared" si="222"/>
        <v>X-BASES1</v>
      </c>
      <c r="AJ517" s="320"/>
      <c r="AK517" s="322">
        <f t="shared" si="213"/>
        <v>512</v>
      </c>
      <c r="AL517" s="323">
        <f t="shared" si="223"/>
        <v>519</v>
      </c>
      <c r="AM517" s="322">
        <f t="shared" si="224"/>
        <v>6</v>
      </c>
      <c r="AN517" s="380">
        <f>IF(AND(AH517&gt;0,B517&lt;&gt;""),VLOOKUP(I517,'AUX-NIV3'!$B:$AO,39,FALSE)*O517,0)</f>
        <v>3.0000000000000005E-3</v>
      </c>
      <c r="AO517" s="380">
        <f t="shared" si="214"/>
        <v>0.18535000000000001</v>
      </c>
      <c r="AP517" s="380"/>
    </row>
    <row r="518" spans="2:42" ht="14.4" hidden="1" thickTop="1" thickBot="1">
      <c r="B518" s="324" t="s">
        <v>1466</v>
      </c>
      <c r="C518" s="325" t="s">
        <v>1474</v>
      </c>
      <c r="D518" s="326" t="s">
        <v>1160</v>
      </c>
      <c r="E518" s="327">
        <f>IF(B518&lt;&gt;"",SUMIF('AUX-NIV1'!I:I,'AUX-NIV2'!B518,'AUX-NIV1'!Q:Q),"")</f>
        <v>0</v>
      </c>
      <c r="F518" s="327">
        <f t="shared" si="204"/>
        <v>693.96355400637856</v>
      </c>
      <c r="G518" s="327">
        <f t="shared" si="205"/>
        <v>0</v>
      </c>
      <c r="H518" s="328" t="str">
        <f t="shared" si="234"/>
        <v>X</v>
      </c>
      <c r="I518" s="325" t="s">
        <v>1478</v>
      </c>
      <c r="J518" s="329" t="str">
        <f>IF(B518&lt;&gt;"",+VLOOKUP(I518,Recursos!C:F,2,FALSE),"")</f>
        <v>Perfilado de base motoniveladora</v>
      </c>
      <c r="K518" s="330" t="str">
        <f>IF(B518&lt;&gt;"",+VLOOKUP(I518,Recursos!C:F,3,FALSE),"")</f>
        <v>m3</v>
      </c>
      <c r="L518" s="434">
        <f>IF(B518&lt;&gt;"",+VLOOKUP(I518,Recursos!C:F,4,FALSE),"")</f>
        <v>89.980045405812973</v>
      </c>
      <c r="M518" s="432"/>
      <c r="N518" s="432">
        <v>1</v>
      </c>
      <c r="O518" s="332">
        <f>+N518</f>
        <v>1</v>
      </c>
      <c r="P518" s="333">
        <f t="shared" si="235"/>
        <v>89.980045405812973</v>
      </c>
      <c r="Q518" s="327">
        <f t="shared" si="236"/>
        <v>0</v>
      </c>
      <c r="R518" s="334">
        <f t="shared" si="237"/>
        <v>0</v>
      </c>
      <c r="S518" s="335">
        <f t="shared" si="206"/>
        <v>0</v>
      </c>
      <c r="T518" s="335">
        <f t="shared" si="207"/>
        <v>0</v>
      </c>
      <c r="U518" s="336">
        <f t="shared" si="208"/>
        <v>0</v>
      </c>
      <c r="V518" s="336">
        <f t="shared" si="209"/>
        <v>0</v>
      </c>
      <c r="W518" s="336">
        <f t="shared" si="210"/>
        <v>0</v>
      </c>
      <c r="X518" s="336">
        <f t="shared" si="211"/>
        <v>693.96355400637856</v>
      </c>
      <c r="Y518" s="320"/>
      <c r="Z518" s="321" t="str">
        <f t="shared" si="215"/>
        <v>X-BASES1A</v>
      </c>
      <c r="AA518" s="321" t="str">
        <f t="shared" si="216"/>
        <v>X-BASES1E</v>
      </c>
      <c r="AB518" s="321" t="str">
        <f t="shared" si="217"/>
        <v>X-BASES1M</v>
      </c>
      <c r="AC518" s="321" t="str">
        <f t="shared" si="218"/>
        <v>X-BASES1T</v>
      </c>
      <c r="AD518" s="321" t="str">
        <f t="shared" si="219"/>
        <v>X-BASES1S</v>
      </c>
      <c r="AE518" s="321" t="str">
        <f t="shared" si="220"/>
        <v>X-BASES1X</v>
      </c>
      <c r="AF518" s="321" t="str">
        <f t="shared" si="221"/>
        <v>X-BASES1X</v>
      </c>
      <c r="AG518" s="321">
        <f t="shared" si="212"/>
        <v>8</v>
      </c>
      <c r="AH518" s="321">
        <f>IF(B518&lt;&gt;"",IF(H518="x",VLOOKUP(I518,'AUX-NIV3'!B:AG,32,FALSE),0),"")</f>
        <v>3</v>
      </c>
      <c r="AI518" s="321" t="str">
        <f t="shared" si="222"/>
        <v>X-BASES1</v>
      </c>
      <c r="AJ518" s="320"/>
      <c r="AK518" s="322">
        <f t="shared" si="213"/>
        <v>512</v>
      </c>
      <c r="AL518" s="323">
        <f t="shared" si="223"/>
        <v>519</v>
      </c>
      <c r="AM518" s="322">
        <f t="shared" si="224"/>
        <v>7</v>
      </c>
      <c r="AN518" s="380">
        <f>IF(AND(AH518&gt;0,B518&lt;&gt;""),VLOOKUP(I518,'AUX-NIV3'!$B:$AO,39,FALSE)*O518,0)</f>
        <v>2.5000000000000001E-2</v>
      </c>
      <c r="AO518" s="380">
        <f t="shared" si="214"/>
        <v>0.18535000000000001</v>
      </c>
      <c r="AP518" s="380"/>
    </row>
    <row r="519" spans="2:42" ht="14.4" hidden="1" thickTop="1" thickBot="1">
      <c r="B519" s="324" t="s">
        <v>1466</v>
      </c>
      <c r="C519" s="325" t="s">
        <v>1474</v>
      </c>
      <c r="D519" s="326" t="s">
        <v>1160</v>
      </c>
      <c r="E519" s="327">
        <f>IF(B519&lt;&gt;"",SUMIF('AUX-NIV1'!I:I,'AUX-NIV2'!B519,'AUX-NIV1'!Q:Q),"")</f>
        <v>0</v>
      </c>
      <c r="F519" s="327">
        <f t="shared" ref="F519:F582" si="238">IF(B519&lt;&gt;"",+SUMIF(B:B,B519,P:P),"")</f>
        <v>693.96355400637856</v>
      </c>
      <c r="G519" s="327">
        <f t="shared" ref="G519:G582" si="239">IF(B519&lt;&gt;"",+SUMIF(B:B,B519,R:R),"")</f>
        <v>0</v>
      </c>
      <c r="H519" s="328" t="str">
        <f t="shared" si="234"/>
        <v>X</v>
      </c>
      <c r="I519" s="325" t="s">
        <v>1479</v>
      </c>
      <c r="J519" s="329" t="str">
        <f>IF(B519&lt;&gt;"",+VLOOKUP(I519,Recursos!C:F,2,FALSE),"")</f>
        <v>Compactación de base</v>
      </c>
      <c r="K519" s="330" t="str">
        <f>IF(B519&lt;&gt;"",+VLOOKUP(I519,Recursos!C:F,3,FALSE),"")</f>
        <v>m3</v>
      </c>
      <c r="L519" s="434">
        <f>IF(B519&lt;&gt;"",+VLOOKUP(I519,Recursos!C:F,4,FALSE),"")</f>
        <v>42.171711897422377</v>
      </c>
      <c r="M519" s="432"/>
      <c r="N519" s="432">
        <v>1</v>
      </c>
      <c r="O519" s="332">
        <f>+N519</f>
        <v>1</v>
      </c>
      <c r="P519" s="333">
        <f t="shared" si="235"/>
        <v>42.171711897422377</v>
      </c>
      <c r="Q519" s="327">
        <f t="shared" si="236"/>
        <v>0</v>
      </c>
      <c r="R519" s="334">
        <f t="shared" si="237"/>
        <v>0</v>
      </c>
      <c r="S519" s="335">
        <f t="shared" ref="S519:S582" si="240">IF(B519&lt;&gt;"",+SUMIF($AF:$AF,Z519,$P:$P),"")</f>
        <v>0</v>
      </c>
      <c r="T519" s="335">
        <f t="shared" ref="T519:T582" si="241">IF(B519&lt;&gt;"",+SUMIF($AF:$AF,AA519,$P:$P),"")</f>
        <v>0</v>
      </c>
      <c r="U519" s="336">
        <f t="shared" ref="U519:U582" si="242">IF(B519&lt;&gt;"",+SUMIF($AF:$AF,AB519,$P:$P),"")</f>
        <v>0</v>
      </c>
      <c r="V519" s="336">
        <f t="shared" ref="V519:V582" si="243">IF(B519&lt;&gt;"",+SUMIF($AF:$AF,AC519,$P:$P),"")</f>
        <v>0</v>
      </c>
      <c r="W519" s="336">
        <f t="shared" ref="W519:W582" si="244">IF(B519&lt;&gt;"",+SUMIF($AF:$AF,AD519,$P:$P),"")</f>
        <v>0</v>
      </c>
      <c r="X519" s="336">
        <f t="shared" ref="X519:X582" si="245">IF(B519&lt;&gt;"",+SUMIF($AF:$AF,AE519,$P:$P),"")</f>
        <v>693.96355400637856</v>
      </c>
      <c r="Y519" s="320"/>
      <c r="Z519" s="321" t="str">
        <f t="shared" si="215"/>
        <v>X-BASES1A</v>
      </c>
      <c r="AA519" s="321" t="str">
        <f t="shared" si="216"/>
        <v>X-BASES1E</v>
      </c>
      <c r="AB519" s="321" t="str">
        <f t="shared" si="217"/>
        <v>X-BASES1M</v>
      </c>
      <c r="AC519" s="321" t="str">
        <f t="shared" si="218"/>
        <v>X-BASES1T</v>
      </c>
      <c r="AD519" s="321" t="str">
        <f t="shared" si="219"/>
        <v>X-BASES1S</v>
      </c>
      <c r="AE519" s="321" t="str">
        <f t="shared" si="220"/>
        <v>X-BASES1X</v>
      </c>
      <c r="AF519" s="321" t="str">
        <f t="shared" si="221"/>
        <v>X-BASES1X</v>
      </c>
      <c r="AG519" s="321">
        <f t="shared" ref="AG519:AG582" si="246">IF(B519&lt;&gt;"",+COUNTIF(B:B,B519),"")</f>
        <v>8</v>
      </c>
      <c r="AH519" s="321">
        <f>IF(B519&lt;&gt;"",IF(H519="x",VLOOKUP(I519,'AUX-NIV3'!B:AG,32,FALSE),0),"")</f>
        <v>4</v>
      </c>
      <c r="AI519" s="321" t="str">
        <f t="shared" si="222"/>
        <v>X-BASES1</v>
      </c>
      <c r="AJ519" s="320"/>
      <c r="AK519" s="322">
        <f t="shared" ref="AK519:AK582" si="247">IF(B519&lt;&gt;"",+MATCH(B519,B:B,0),"")</f>
        <v>512</v>
      </c>
      <c r="AL519" s="323">
        <f t="shared" si="223"/>
        <v>519</v>
      </c>
      <c r="AM519" s="322">
        <f t="shared" si="224"/>
        <v>8</v>
      </c>
      <c r="AN519" s="380">
        <f>IF(AND(AH519&gt;0,B519&lt;&gt;""),VLOOKUP(I519,'AUX-NIV3'!$B:$AO,39,FALSE)*O519,0)</f>
        <v>1.5625E-2</v>
      </c>
      <c r="AO519" s="380">
        <f t="shared" ref="AO519:AO582" si="248">+IF(B519&lt;&gt;"",SUMIF(AF:AF,Z519,O:O)+SUMIF(Z:Z,Z519,AN:AN),0)</f>
        <v>0.18535000000000001</v>
      </c>
      <c r="AP519" s="380"/>
    </row>
    <row r="520" spans="2:42" ht="14.4" hidden="1" thickTop="1" thickBot="1">
      <c r="B520" s="324" t="s">
        <v>1488</v>
      </c>
      <c r="C520" s="325" t="s">
        <v>1464</v>
      </c>
      <c r="D520" s="326" t="s">
        <v>484</v>
      </c>
      <c r="E520" s="327">
        <f>IF(B520&lt;&gt;"",SUMIF('AUX-NIV1'!I:I,'AUX-NIV2'!B520,'AUX-NIV1'!Q:Q),"")</f>
        <v>0</v>
      </c>
      <c r="F520" s="327">
        <f t="shared" si="238"/>
        <v>208.99610514558265</v>
      </c>
      <c r="G520" s="327">
        <f t="shared" si="239"/>
        <v>0</v>
      </c>
      <c r="H520" s="328" t="str">
        <f t="shared" si="234"/>
        <v>S</v>
      </c>
      <c r="I520" s="325" t="s">
        <v>1467</v>
      </c>
      <c r="J520" s="329" t="str">
        <f>IF(B520&lt;&gt;"",+VLOOKUP(I520,Recursos!C:F,2,FALSE),"")</f>
        <v>Derechos y cánon</v>
      </c>
      <c r="K520" s="330" t="str">
        <f>IF(B520&lt;&gt;"",+VLOOKUP(I520,Recursos!C:F,3,FALSE),"")</f>
        <v>m3b</v>
      </c>
      <c r="L520" s="327">
        <f>IF(B520&lt;&gt;"",+VLOOKUP(I520,Recursos!C:F,4,FALSE),"")</f>
        <v>1</v>
      </c>
      <c r="M520" s="331">
        <v>1.4</v>
      </c>
      <c r="N520" s="331">
        <v>0.9</v>
      </c>
      <c r="O520" s="332">
        <f>+N520/M520</f>
        <v>0.6428571428571429</v>
      </c>
      <c r="P520" s="333">
        <f t="shared" si="235"/>
        <v>0.6428571428571429</v>
      </c>
      <c r="Q520" s="327">
        <f t="shared" si="236"/>
        <v>0</v>
      </c>
      <c r="R520" s="334">
        <f t="shared" si="237"/>
        <v>0</v>
      </c>
      <c r="S520" s="335">
        <f t="shared" si="240"/>
        <v>0</v>
      </c>
      <c r="T520" s="335">
        <f t="shared" si="241"/>
        <v>0</v>
      </c>
      <c r="U520" s="336">
        <f t="shared" si="242"/>
        <v>0</v>
      </c>
      <c r="V520" s="336">
        <f t="shared" si="243"/>
        <v>0</v>
      </c>
      <c r="W520" s="336">
        <f t="shared" si="244"/>
        <v>0.6428571428571429</v>
      </c>
      <c r="X520" s="336">
        <f t="shared" si="245"/>
        <v>208.35324800272551</v>
      </c>
      <c r="Y520" s="320"/>
      <c r="Z520" s="321" t="str">
        <f t="shared" ref="Z520:Z583" si="249">IF(B520&lt;&gt;"",+$B520&amp;"A","")</f>
        <v>X-ASBASE2A</v>
      </c>
      <c r="AA520" s="321" t="str">
        <f t="shared" ref="AA520:AA583" si="250">IF(B520&lt;&gt;"",+$B520&amp;"E","")</f>
        <v>X-ASBASE2E</v>
      </c>
      <c r="AB520" s="321" t="str">
        <f t="shared" ref="AB520:AB583" si="251">IF(B520&lt;&gt;"",++$B520&amp;"M","")</f>
        <v>X-ASBASE2M</v>
      </c>
      <c r="AC520" s="321" t="str">
        <f t="shared" ref="AC520:AC583" si="252">IF(B520&lt;&gt;"",+$B520&amp;"T","")</f>
        <v>X-ASBASE2T</v>
      </c>
      <c r="AD520" s="321" t="str">
        <f t="shared" ref="AD520:AD583" si="253">IF(B520&lt;&gt;"",+$B520&amp;"S","")</f>
        <v>X-ASBASE2S</v>
      </c>
      <c r="AE520" s="321" t="str">
        <f t="shared" ref="AE520:AE583" si="254">IF(B520&lt;&gt;"",+$B520&amp;"X","")</f>
        <v>X-ASBASE2X</v>
      </c>
      <c r="AF520" s="321" t="str">
        <f t="shared" ref="AF520:AF583" si="255">IF(B520&lt;&gt;"",+B520&amp;H520,"")</f>
        <v>X-ASBASE2S</v>
      </c>
      <c r="AG520" s="321">
        <f t="shared" si="246"/>
        <v>4</v>
      </c>
      <c r="AH520" s="321">
        <f>IF(B520&lt;&gt;"",IF(H520="x",VLOOKUP(I520,'AUX-NIV3'!B:AG,32,FALSE),0),"")</f>
        <v>0</v>
      </c>
      <c r="AI520" s="321" t="str">
        <f t="shared" ref="AI520:AI583" si="256">IF(B520&lt;&gt;"",+B520,"")</f>
        <v>X-ASBASE2</v>
      </c>
      <c r="AJ520" s="320"/>
      <c r="AK520" s="322">
        <f t="shared" si="247"/>
        <v>520</v>
      </c>
      <c r="AL520" s="323">
        <f t="shared" ref="AL520:AL583" si="257">IF(B520&lt;&gt;"",+AK520+AG520-1,"")</f>
        <v>523</v>
      </c>
      <c r="AM520" s="322">
        <f t="shared" ref="AM520:AM583" si="258">IF(B520&lt;&gt;"",IF(B520=B519,1+AM519,1),"")</f>
        <v>1</v>
      </c>
      <c r="AN520" s="380">
        <f>IF(AND(AH520&gt;0,B520&lt;&gt;""),VLOOKUP(I520,'AUX-NIV3'!$B:$AO,39,FALSE)*O520,0)</f>
        <v>0</v>
      </c>
      <c r="AO520" s="380">
        <f t="shared" si="248"/>
        <v>9.6857142857142864E-2</v>
      </c>
      <c r="AP520" s="380"/>
    </row>
    <row r="521" spans="2:42" ht="14.4" hidden="1" thickTop="1" thickBot="1">
      <c r="B521" s="324" t="s">
        <v>1488</v>
      </c>
      <c r="C521" s="325" t="s">
        <v>1464</v>
      </c>
      <c r="D521" s="326" t="s">
        <v>484</v>
      </c>
      <c r="E521" s="327">
        <f>IF(B521&lt;&gt;"",SUMIF('AUX-NIV1'!I:I,'AUX-NIV2'!B521,'AUX-NIV1'!Q:Q),"")</f>
        <v>0</v>
      </c>
      <c r="F521" s="327">
        <f t="shared" si="238"/>
        <v>208.99610514558265</v>
      </c>
      <c r="G521" s="327">
        <f t="shared" si="239"/>
        <v>0</v>
      </c>
      <c r="H521" s="328" t="str">
        <f t="shared" si="234"/>
        <v>X</v>
      </c>
      <c r="I521" s="325" t="s">
        <v>1468</v>
      </c>
      <c r="J521" s="329" t="str">
        <f>IF(B521&lt;&gt;"",+VLOOKUP(I521,Recursos!C:F,2,FALSE),"")</f>
        <v>Explot. préstamo c/retro</v>
      </c>
      <c r="K521" s="330" t="str">
        <f>IF(B521&lt;&gt;"",+VLOOKUP(I521,Recursos!C:F,3,FALSE),"")</f>
        <v>m3b</v>
      </c>
      <c r="L521" s="434">
        <f>IF(B521&lt;&gt;"",+VLOOKUP(I521,Recursos!C:F,4,FALSE),"")</f>
        <v>53.88017891488937</v>
      </c>
      <c r="M521" s="331"/>
      <c r="N521" s="331"/>
      <c r="O521" s="332">
        <f>+O520</f>
        <v>0.6428571428571429</v>
      </c>
      <c r="P521" s="333">
        <f t="shared" si="235"/>
        <v>34.637257873857457</v>
      </c>
      <c r="Q521" s="327">
        <f t="shared" si="236"/>
        <v>0</v>
      </c>
      <c r="R521" s="334">
        <f t="shared" si="237"/>
        <v>0</v>
      </c>
      <c r="S521" s="335">
        <f t="shared" si="240"/>
        <v>0</v>
      </c>
      <c r="T521" s="335">
        <f t="shared" si="241"/>
        <v>0</v>
      </c>
      <c r="U521" s="336">
        <f t="shared" si="242"/>
        <v>0</v>
      </c>
      <c r="V521" s="336">
        <f t="shared" si="243"/>
        <v>0</v>
      </c>
      <c r="W521" s="336">
        <f t="shared" si="244"/>
        <v>0.6428571428571429</v>
      </c>
      <c r="X521" s="336">
        <f t="shared" si="245"/>
        <v>208.35324800272551</v>
      </c>
      <c r="Y521" s="320"/>
      <c r="Z521" s="321" t="str">
        <f t="shared" si="249"/>
        <v>X-ASBASE2A</v>
      </c>
      <c r="AA521" s="321" t="str">
        <f t="shared" si="250"/>
        <v>X-ASBASE2E</v>
      </c>
      <c r="AB521" s="321" t="str">
        <f t="shared" si="251"/>
        <v>X-ASBASE2M</v>
      </c>
      <c r="AC521" s="321" t="str">
        <f t="shared" si="252"/>
        <v>X-ASBASE2T</v>
      </c>
      <c r="AD521" s="321" t="str">
        <f t="shared" si="253"/>
        <v>X-ASBASE2S</v>
      </c>
      <c r="AE521" s="321" t="str">
        <f t="shared" si="254"/>
        <v>X-ASBASE2X</v>
      </c>
      <c r="AF521" s="321" t="str">
        <f t="shared" si="255"/>
        <v>X-ASBASE2X</v>
      </c>
      <c r="AG521" s="321">
        <f t="shared" si="246"/>
        <v>4</v>
      </c>
      <c r="AH521" s="321">
        <f>IF(B521&lt;&gt;"",IF(H521="x",VLOOKUP(I521,'AUX-NIV3'!B:AG,32,FALSE),0),"")</f>
        <v>3</v>
      </c>
      <c r="AI521" s="321" t="str">
        <f t="shared" si="256"/>
        <v>X-ASBASE2</v>
      </c>
      <c r="AJ521" s="320"/>
      <c r="AK521" s="322">
        <f t="shared" si="247"/>
        <v>520</v>
      </c>
      <c r="AL521" s="323">
        <f t="shared" si="257"/>
        <v>523</v>
      </c>
      <c r="AM521" s="322">
        <f t="shared" si="258"/>
        <v>2</v>
      </c>
      <c r="AN521" s="380">
        <f>IF(AND(AH521&gt;0,B521&lt;&gt;""),VLOOKUP(I521,'AUX-NIV3'!$B:$AO,39,FALSE)*O521,0)</f>
        <v>1.2857142857142859E-2</v>
      </c>
      <c r="AO521" s="380">
        <f t="shared" si="248"/>
        <v>9.6857142857142864E-2</v>
      </c>
      <c r="AP521" s="380"/>
    </row>
    <row r="522" spans="2:42" ht="14.4" hidden="1" thickTop="1" thickBot="1">
      <c r="B522" s="324" t="s">
        <v>1488</v>
      </c>
      <c r="C522" s="325" t="s">
        <v>1464</v>
      </c>
      <c r="D522" s="326" t="s">
        <v>484</v>
      </c>
      <c r="E522" s="327">
        <f>IF(B522&lt;&gt;"",SUMIF('AUX-NIV1'!I:I,'AUX-NIV2'!B522,'AUX-NIV1'!Q:Q),"")</f>
        <v>0</v>
      </c>
      <c r="F522" s="327">
        <f t="shared" si="238"/>
        <v>208.99610514558265</v>
      </c>
      <c r="G522" s="327">
        <f t="shared" si="239"/>
        <v>0</v>
      </c>
      <c r="H522" s="328" t="str">
        <f t="shared" si="234"/>
        <v>X</v>
      </c>
      <c r="I522" s="325" t="s">
        <v>1365</v>
      </c>
      <c r="J522" s="329" t="str">
        <f>IF(B522&lt;&gt;"",+VLOOKUP(I522,Recursos!C:F,2,FALSE),"")</f>
        <v>Transp.suelo dmt 2 Km</v>
      </c>
      <c r="K522" s="330" t="str">
        <f>IF(B522&lt;&gt;"",+VLOOKUP(I522,Recursos!C:F,3,FALSE),"")</f>
        <v>m3s.km</v>
      </c>
      <c r="L522" s="434">
        <f>IF(B522&lt;&gt;"",+VLOOKUP(I522,Recursos!C:F,4,FALSE),"")</f>
        <v>38.301769543927584</v>
      </c>
      <c r="M522" s="331"/>
      <c r="N522" s="331"/>
      <c r="O522" s="332">
        <v>1.4</v>
      </c>
      <c r="P522" s="333">
        <f t="shared" si="235"/>
        <v>53.622477361498618</v>
      </c>
      <c r="Q522" s="327">
        <f t="shared" si="236"/>
        <v>0</v>
      </c>
      <c r="R522" s="334">
        <f t="shared" si="237"/>
        <v>0</v>
      </c>
      <c r="S522" s="335">
        <f t="shared" si="240"/>
        <v>0</v>
      </c>
      <c r="T522" s="335">
        <f t="shared" si="241"/>
        <v>0</v>
      </c>
      <c r="U522" s="336">
        <f t="shared" si="242"/>
        <v>0</v>
      </c>
      <c r="V522" s="336">
        <f t="shared" si="243"/>
        <v>0</v>
      </c>
      <c r="W522" s="336">
        <f t="shared" si="244"/>
        <v>0.6428571428571429</v>
      </c>
      <c r="X522" s="336">
        <f t="shared" si="245"/>
        <v>208.35324800272551</v>
      </c>
      <c r="Y522" s="320"/>
      <c r="Z522" s="321" t="str">
        <f t="shared" si="249"/>
        <v>X-ASBASE2A</v>
      </c>
      <c r="AA522" s="321" t="str">
        <f t="shared" si="250"/>
        <v>X-ASBASE2E</v>
      </c>
      <c r="AB522" s="321" t="str">
        <f t="shared" si="251"/>
        <v>X-ASBASE2M</v>
      </c>
      <c r="AC522" s="321" t="str">
        <f t="shared" si="252"/>
        <v>X-ASBASE2T</v>
      </c>
      <c r="AD522" s="321" t="str">
        <f t="shared" si="253"/>
        <v>X-ASBASE2S</v>
      </c>
      <c r="AE522" s="321" t="str">
        <f t="shared" si="254"/>
        <v>X-ASBASE2X</v>
      </c>
      <c r="AF522" s="321" t="str">
        <f t="shared" si="255"/>
        <v>X-ASBASE2X</v>
      </c>
      <c r="AG522" s="321">
        <f t="shared" si="246"/>
        <v>4</v>
      </c>
      <c r="AH522" s="321">
        <f>IF(B522&lt;&gt;"",IF(H522="x",VLOOKUP(I522,'AUX-NIV3'!B:AG,32,FALSE),0),"")</f>
        <v>2</v>
      </c>
      <c r="AI522" s="321" t="str">
        <f t="shared" si="256"/>
        <v>X-ASBASE2</v>
      </c>
      <c r="AJ522" s="320"/>
      <c r="AK522" s="322">
        <f t="shared" si="247"/>
        <v>520</v>
      </c>
      <c r="AL522" s="323">
        <f t="shared" si="257"/>
        <v>523</v>
      </c>
      <c r="AM522" s="322">
        <f t="shared" si="258"/>
        <v>3</v>
      </c>
      <c r="AN522" s="380">
        <f>IF(AND(AH522&gt;0,B522&lt;&gt;""),VLOOKUP(I522,'AUX-NIV3'!$B:$AO,39,FALSE)*O522,0)</f>
        <v>1.3999999999999999E-2</v>
      </c>
      <c r="AO522" s="380">
        <f t="shared" si="248"/>
        <v>9.6857142857142864E-2</v>
      </c>
      <c r="AP522" s="380"/>
    </row>
    <row r="523" spans="2:42" ht="14.4" hidden="1" thickTop="1" thickBot="1">
      <c r="B523" s="324" t="s">
        <v>1488</v>
      </c>
      <c r="C523" s="325" t="s">
        <v>1464</v>
      </c>
      <c r="D523" s="326" t="s">
        <v>484</v>
      </c>
      <c r="E523" s="327">
        <f>IF(B523&lt;&gt;"",SUMIF('AUX-NIV1'!I:I,'AUX-NIV2'!B523,'AUX-NIV1'!Q:Q),"")</f>
        <v>0</v>
      </c>
      <c r="F523" s="327">
        <f t="shared" si="238"/>
        <v>208.99610514558265</v>
      </c>
      <c r="G523" s="327">
        <f t="shared" si="239"/>
        <v>0</v>
      </c>
      <c r="H523" s="328" t="str">
        <f t="shared" ref="H523:H531" si="259">IF(B523&lt;&gt;"",+LEFT(I523,1),"")</f>
        <v>X</v>
      </c>
      <c r="I523" s="325" t="s">
        <v>1489</v>
      </c>
      <c r="J523" s="329" t="str">
        <f>IF(B523&lt;&gt;"",+VLOOKUP(I523,Recursos!C:F,2,FALSE),"")</f>
        <v>Equipo prod.base</v>
      </c>
      <c r="K523" s="330" t="str">
        <f>IF(B523&lt;&gt;"",+VLOOKUP(I523,Recursos!C:F,3,FALSE),"")</f>
        <v>Hs</v>
      </c>
      <c r="L523" s="434">
        <f>IF(B523&lt;&gt;"",+VLOOKUP(I523,Recursos!C:F,4,FALSE),"")</f>
        <v>12009.351276736943</v>
      </c>
      <c r="M523" s="331">
        <v>100</v>
      </c>
      <c r="N523" s="331">
        <v>1</v>
      </c>
      <c r="O523" s="332">
        <f>+N523/M523</f>
        <v>0.01</v>
      </c>
      <c r="P523" s="333">
        <f t="shared" si="235"/>
        <v>120.09351276736943</v>
      </c>
      <c r="Q523" s="327">
        <f t="shared" si="236"/>
        <v>0</v>
      </c>
      <c r="R523" s="334">
        <f t="shared" si="237"/>
        <v>0</v>
      </c>
      <c r="S523" s="335">
        <f t="shared" si="240"/>
        <v>0</v>
      </c>
      <c r="T523" s="335">
        <f t="shared" si="241"/>
        <v>0</v>
      </c>
      <c r="U523" s="336">
        <f t="shared" si="242"/>
        <v>0</v>
      </c>
      <c r="V523" s="336">
        <f t="shared" si="243"/>
        <v>0</v>
      </c>
      <c r="W523" s="336">
        <f t="shared" si="244"/>
        <v>0.6428571428571429</v>
      </c>
      <c r="X523" s="336">
        <f t="shared" si="245"/>
        <v>208.35324800272551</v>
      </c>
      <c r="Y523" s="320"/>
      <c r="Z523" s="321" t="str">
        <f t="shared" si="249"/>
        <v>X-ASBASE2A</v>
      </c>
      <c r="AA523" s="321" t="str">
        <f t="shared" si="250"/>
        <v>X-ASBASE2E</v>
      </c>
      <c r="AB523" s="321" t="str">
        <f t="shared" si="251"/>
        <v>X-ASBASE2M</v>
      </c>
      <c r="AC523" s="321" t="str">
        <f t="shared" si="252"/>
        <v>X-ASBASE2T</v>
      </c>
      <c r="AD523" s="321" t="str">
        <f t="shared" si="253"/>
        <v>X-ASBASE2S</v>
      </c>
      <c r="AE523" s="321" t="str">
        <f t="shared" si="254"/>
        <v>X-ASBASE2X</v>
      </c>
      <c r="AF523" s="321" t="str">
        <f t="shared" si="255"/>
        <v>X-ASBASE2X</v>
      </c>
      <c r="AG523" s="321">
        <f t="shared" si="246"/>
        <v>4</v>
      </c>
      <c r="AH523" s="321">
        <f>IF(B523&lt;&gt;"",IF(H523="x",VLOOKUP(I523,'AUX-NIV3'!B:AG,32,FALSE),0),"")</f>
        <v>12</v>
      </c>
      <c r="AI523" s="321" t="str">
        <f t="shared" si="256"/>
        <v>X-ASBASE2</v>
      </c>
      <c r="AJ523" s="320"/>
      <c r="AK523" s="322">
        <f t="shared" si="247"/>
        <v>520</v>
      </c>
      <c r="AL523" s="323">
        <f t="shared" si="257"/>
        <v>523</v>
      </c>
      <c r="AM523" s="322">
        <f t="shared" si="258"/>
        <v>4</v>
      </c>
      <c r="AN523" s="380">
        <f>IF(AND(AH523&gt;0,B523&lt;&gt;""),VLOOKUP(I523,'AUX-NIV3'!$B:$AO,39,FALSE)*O523,0)</f>
        <v>7.0000000000000007E-2</v>
      </c>
      <c r="AO523" s="380">
        <f t="shared" si="248"/>
        <v>9.6857142857142864E-2</v>
      </c>
      <c r="AP523" s="380"/>
    </row>
    <row r="524" spans="2:42" ht="14.4" hidden="1" thickTop="1" thickBot="1">
      <c r="B524" s="324" t="s">
        <v>1487</v>
      </c>
      <c r="C524" s="325" t="s">
        <v>1491</v>
      </c>
      <c r="D524" s="326" t="s">
        <v>1160</v>
      </c>
      <c r="E524" s="327">
        <f>IF(B524&lt;&gt;"",SUMIF('AUX-NIV1'!I:I,'AUX-NIV2'!B524,'AUX-NIV1'!Q:Q),"")</f>
        <v>0</v>
      </c>
      <c r="F524" s="327">
        <f t="shared" si="238"/>
        <v>693.96355400637856</v>
      </c>
      <c r="G524" s="327">
        <f t="shared" si="239"/>
        <v>0</v>
      </c>
      <c r="H524" s="328" t="str">
        <f t="shared" si="259"/>
        <v>X</v>
      </c>
      <c r="I524" s="325" t="s">
        <v>1475</v>
      </c>
      <c r="J524" s="329" t="str">
        <f>IF(B524&lt;&gt;"",+VLOOKUP(I524,Recursos!C:F,2,FALSE),"")</f>
        <v>Transp.agr.dist.larg.c/camion</v>
      </c>
      <c r="K524" s="330" t="str">
        <f>IF(B524&lt;&gt;"",+VLOOKUP(I524,Recursos!C:F,3,FALSE),"")</f>
        <v>m3s.Km</v>
      </c>
      <c r="L524" s="327">
        <f>IF(B524&lt;&gt;"",+VLOOKUP(I524,Recursos!C:F,4,FALSE),"")</f>
        <v>15.320707817571034</v>
      </c>
      <c r="M524" s="432">
        <v>20</v>
      </c>
      <c r="N524" s="432"/>
      <c r="O524" s="433">
        <f>+M524*M525</f>
        <v>26</v>
      </c>
      <c r="P524" s="333">
        <f t="shared" si="235"/>
        <v>398.33840325684685</v>
      </c>
      <c r="Q524" s="327">
        <f t="shared" si="236"/>
        <v>0</v>
      </c>
      <c r="R524" s="334">
        <f t="shared" si="237"/>
        <v>0</v>
      </c>
      <c r="S524" s="335">
        <f t="shared" si="240"/>
        <v>0</v>
      </c>
      <c r="T524" s="335">
        <f t="shared" si="241"/>
        <v>0</v>
      </c>
      <c r="U524" s="336">
        <f t="shared" si="242"/>
        <v>0</v>
      </c>
      <c r="V524" s="336">
        <f t="shared" si="243"/>
        <v>0</v>
      </c>
      <c r="W524" s="336">
        <f t="shared" si="244"/>
        <v>0</v>
      </c>
      <c r="X524" s="336">
        <f t="shared" si="245"/>
        <v>693.96355400637856</v>
      </c>
      <c r="Y524" s="320"/>
      <c r="Z524" s="321" t="str">
        <f t="shared" si="249"/>
        <v>X-BASES2A</v>
      </c>
      <c r="AA524" s="321" t="str">
        <f t="shared" si="250"/>
        <v>X-BASES2E</v>
      </c>
      <c r="AB524" s="321" t="str">
        <f t="shared" si="251"/>
        <v>X-BASES2M</v>
      </c>
      <c r="AC524" s="321" t="str">
        <f t="shared" si="252"/>
        <v>X-BASES2T</v>
      </c>
      <c r="AD524" s="321" t="str">
        <f t="shared" si="253"/>
        <v>X-BASES2S</v>
      </c>
      <c r="AE524" s="321" t="str">
        <f t="shared" si="254"/>
        <v>X-BASES2X</v>
      </c>
      <c r="AF524" s="321" t="str">
        <f t="shared" si="255"/>
        <v>X-BASES2X</v>
      </c>
      <c r="AG524" s="321">
        <f t="shared" si="246"/>
        <v>8</v>
      </c>
      <c r="AH524" s="321">
        <f>IF(B524&lt;&gt;"",IF(H524="x",VLOOKUP(I524,'AUX-NIV3'!B:AG,32,FALSE),0),"")</f>
        <v>2</v>
      </c>
      <c r="AI524" s="321" t="str">
        <f t="shared" si="256"/>
        <v>X-BASES2</v>
      </c>
      <c r="AJ524" s="320"/>
      <c r="AK524" s="322">
        <f t="shared" si="247"/>
        <v>524</v>
      </c>
      <c r="AL524" s="323">
        <f t="shared" si="257"/>
        <v>531</v>
      </c>
      <c r="AM524" s="322">
        <f t="shared" si="258"/>
        <v>1</v>
      </c>
      <c r="AN524" s="380">
        <f>IF(AND(AH524&gt;0,B524&lt;&gt;""),VLOOKUP(I524,'AUX-NIV3'!$B:$AO,39,FALSE)*O524,0)</f>
        <v>0.10400000000000001</v>
      </c>
      <c r="AO524" s="380">
        <f t="shared" si="248"/>
        <v>0.18535000000000001</v>
      </c>
      <c r="AP524" s="380"/>
    </row>
    <row r="525" spans="2:42" ht="14.4" hidden="1" thickTop="1" thickBot="1">
      <c r="B525" s="324" t="s">
        <v>1487</v>
      </c>
      <c r="C525" s="325" t="s">
        <v>1491</v>
      </c>
      <c r="D525" s="326" t="s">
        <v>1160</v>
      </c>
      <c r="E525" s="327">
        <f>IF(B525&lt;&gt;"",SUMIF('AUX-NIV1'!I:I,'AUX-NIV2'!B525,'AUX-NIV1'!Q:Q),"")</f>
        <v>0</v>
      </c>
      <c r="F525" s="327">
        <f t="shared" si="238"/>
        <v>693.96355400637856</v>
      </c>
      <c r="G525" s="327">
        <f t="shared" si="239"/>
        <v>0</v>
      </c>
      <c r="H525" s="328" t="str">
        <f t="shared" si="259"/>
        <v>X</v>
      </c>
      <c r="I525" s="325" t="s">
        <v>1476</v>
      </c>
      <c r="J525" s="329" t="str">
        <f>IF(B525&lt;&gt;"",+VLOOKUP(I525,Recursos!C:F,2,FALSE),"")</f>
        <v>Homogen.humedad base en cabelletes</v>
      </c>
      <c r="K525" s="330" t="str">
        <f>IF(B525&lt;&gt;"",+VLOOKUP(I525,Recursos!C:F,3,FALSE),"")</f>
        <v>m3s</v>
      </c>
      <c r="L525" s="327">
        <f>IF(B525&lt;&gt;"",+VLOOKUP(I525,Recursos!C:F,4,FALSE),"")</f>
        <v>58.226361821805845</v>
      </c>
      <c r="M525" s="432">
        <v>1.3</v>
      </c>
      <c r="N525" s="432"/>
      <c r="O525" s="433">
        <f>+M525*N526</f>
        <v>1.1700000000000002</v>
      </c>
      <c r="P525" s="333">
        <f t="shared" si="235"/>
        <v>68.124843331512849</v>
      </c>
      <c r="Q525" s="327">
        <f t="shared" si="236"/>
        <v>0</v>
      </c>
      <c r="R525" s="334">
        <f t="shared" si="237"/>
        <v>0</v>
      </c>
      <c r="S525" s="335">
        <f t="shared" si="240"/>
        <v>0</v>
      </c>
      <c r="T525" s="335">
        <f t="shared" si="241"/>
        <v>0</v>
      </c>
      <c r="U525" s="336">
        <f t="shared" si="242"/>
        <v>0</v>
      </c>
      <c r="V525" s="336">
        <f t="shared" si="243"/>
        <v>0</v>
      </c>
      <c r="W525" s="336">
        <f t="shared" si="244"/>
        <v>0</v>
      </c>
      <c r="X525" s="336">
        <f t="shared" si="245"/>
        <v>693.96355400637856</v>
      </c>
      <c r="Y525" s="320"/>
      <c r="Z525" s="321" t="str">
        <f t="shared" si="249"/>
        <v>X-BASES2A</v>
      </c>
      <c r="AA525" s="321" t="str">
        <f t="shared" si="250"/>
        <v>X-BASES2E</v>
      </c>
      <c r="AB525" s="321" t="str">
        <f t="shared" si="251"/>
        <v>X-BASES2M</v>
      </c>
      <c r="AC525" s="321" t="str">
        <f t="shared" si="252"/>
        <v>X-BASES2T</v>
      </c>
      <c r="AD525" s="321" t="str">
        <f t="shared" si="253"/>
        <v>X-BASES2S</v>
      </c>
      <c r="AE525" s="321" t="str">
        <f t="shared" si="254"/>
        <v>X-BASES2X</v>
      </c>
      <c r="AF525" s="321" t="str">
        <f t="shared" si="255"/>
        <v>X-BASES2X</v>
      </c>
      <c r="AG525" s="321">
        <f t="shared" si="246"/>
        <v>8</v>
      </c>
      <c r="AH525" s="321">
        <f>IF(B525&lt;&gt;"",IF(H525="x",VLOOKUP(I525,'AUX-NIV3'!B:AG,32,FALSE),0),"")</f>
        <v>3</v>
      </c>
      <c r="AI525" s="321" t="str">
        <f t="shared" si="256"/>
        <v>X-BASES2</v>
      </c>
      <c r="AJ525" s="320"/>
      <c r="AK525" s="322">
        <f t="shared" si="247"/>
        <v>524</v>
      </c>
      <c r="AL525" s="323">
        <f t="shared" si="257"/>
        <v>531</v>
      </c>
      <c r="AM525" s="322">
        <f t="shared" si="258"/>
        <v>2</v>
      </c>
      <c r="AN525" s="380">
        <f>IF(AND(AH525&gt;0,B525&lt;&gt;""),VLOOKUP(I525,'AUX-NIV3'!$B:$AO,39,FALSE)*O525,0)</f>
        <v>1.4625000000000003E-2</v>
      </c>
      <c r="AO525" s="380">
        <f t="shared" si="248"/>
        <v>0.18535000000000001</v>
      </c>
      <c r="AP525" s="380"/>
    </row>
    <row r="526" spans="2:42" ht="14.4" hidden="1" thickTop="1" thickBot="1">
      <c r="B526" s="324" t="s">
        <v>1487</v>
      </c>
      <c r="C526" s="325" t="s">
        <v>1491</v>
      </c>
      <c r="D526" s="326" t="s">
        <v>1160</v>
      </c>
      <c r="E526" s="327">
        <f>IF(B526&lt;&gt;"",SUMIF('AUX-NIV1'!I:I,'AUX-NIV2'!B526,'AUX-NIV1'!Q:Q),"")</f>
        <v>0</v>
      </c>
      <c r="F526" s="327">
        <f t="shared" si="238"/>
        <v>693.96355400637856</v>
      </c>
      <c r="G526" s="327">
        <f t="shared" si="239"/>
        <v>0</v>
      </c>
      <c r="H526" s="328" t="str">
        <f t="shared" si="259"/>
        <v>X</v>
      </c>
      <c r="I526" s="325" t="s">
        <v>1477</v>
      </c>
      <c r="J526" s="329" t="str">
        <f>IF(B526&lt;&gt;"",+VLOOKUP(I526,Recursos!C:F,2,FALSE),"")</f>
        <v>Distribución de base motoniveladora</v>
      </c>
      <c r="K526" s="330" t="str">
        <f>IF(B526&lt;&gt;"",+VLOOKUP(I526,Recursos!C:F,3,FALSE),"")</f>
        <v>m3</v>
      </c>
      <c r="L526" s="327">
        <f>IF(B526&lt;&gt;"",+VLOOKUP(I526,Recursos!C:F,4,FALSE),"")</f>
        <v>69.871634186167029</v>
      </c>
      <c r="M526" s="432"/>
      <c r="N526" s="432">
        <v>0.9</v>
      </c>
      <c r="O526" s="433">
        <f>+N526</f>
        <v>0.9</v>
      </c>
      <c r="P526" s="333">
        <f t="shared" si="235"/>
        <v>62.884470767550326</v>
      </c>
      <c r="Q526" s="327">
        <f t="shared" si="236"/>
        <v>0</v>
      </c>
      <c r="R526" s="334">
        <f t="shared" si="237"/>
        <v>0</v>
      </c>
      <c r="S526" s="335">
        <f t="shared" si="240"/>
        <v>0</v>
      </c>
      <c r="T526" s="335">
        <f t="shared" si="241"/>
        <v>0</v>
      </c>
      <c r="U526" s="336">
        <f t="shared" si="242"/>
        <v>0</v>
      </c>
      <c r="V526" s="336">
        <f t="shared" si="243"/>
        <v>0</v>
      </c>
      <c r="W526" s="336">
        <f t="shared" si="244"/>
        <v>0</v>
      </c>
      <c r="X526" s="336">
        <f t="shared" si="245"/>
        <v>693.96355400637856</v>
      </c>
      <c r="Y526" s="320"/>
      <c r="Z526" s="321" t="str">
        <f t="shared" si="249"/>
        <v>X-BASES2A</v>
      </c>
      <c r="AA526" s="321" t="str">
        <f t="shared" si="250"/>
        <v>X-BASES2E</v>
      </c>
      <c r="AB526" s="321" t="str">
        <f t="shared" si="251"/>
        <v>X-BASES2M</v>
      </c>
      <c r="AC526" s="321" t="str">
        <f t="shared" si="252"/>
        <v>X-BASES2T</v>
      </c>
      <c r="AD526" s="321" t="str">
        <f t="shared" si="253"/>
        <v>X-BASES2S</v>
      </c>
      <c r="AE526" s="321" t="str">
        <f t="shared" si="254"/>
        <v>X-BASES2X</v>
      </c>
      <c r="AF526" s="321" t="str">
        <f t="shared" si="255"/>
        <v>X-BASES2X</v>
      </c>
      <c r="AG526" s="321">
        <f t="shared" si="246"/>
        <v>8</v>
      </c>
      <c r="AH526" s="321">
        <f>IF(B526&lt;&gt;"",IF(H526="x",VLOOKUP(I526,'AUX-NIV3'!B:AG,32,FALSE),0),"")</f>
        <v>3</v>
      </c>
      <c r="AI526" s="321" t="str">
        <f t="shared" si="256"/>
        <v>X-BASES2</v>
      </c>
      <c r="AJ526" s="320"/>
      <c r="AK526" s="322">
        <f t="shared" si="247"/>
        <v>524</v>
      </c>
      <c r="AL526" s="323">
        <f t="shared" si="257"/>
        <v>531</v>
      </c>
      <c r="AM526" s="322">
        <f t="shared" si="258"/>
        <v>3</v>
      </c>
      <c r="AN526" s="380">
        <f>IF(AND(AH526&gt;0,B526&lt;&gt;""),VLOOKUP(I526,'AUX-NIV3'!$B:$AO,39,FALSE)*O526,0)</f>
        <v>1.35E-2</v>
      </c>
      <c r="AO526" s="380">
        <f t="shared" si="248"/>
        <v>0.18535000000000001</v>
      </c>
      <c r="AP526" s="380"/>
    </row>
    <row r="527" spans="2:42" ht="14.4" hidden="1" thickTop="1" thickBot="1">
      <c r="B527" s="324" t="s">
        <v>1487</v>
      </c>
      <c r="C527" s="325" t="s">
        <v>1491</v>
      </c>
      <c r="D527" s="326" t="s">
        <v>1160</v>
      </c>
      <c r="E527" s="327">
        <f>IF(B527&lt;&gt;"",SUMIF('AUX-NIV1'!I:I,'AUX-NIV2'!B527,'AUX-NIV1'!Q:Q),"")</f>
        <v>0</v>
      </c>
      <c r="F527" s="327">
        <f t="shared" si="238"/>
        <v>693.96355400637856</v>
      </c>
      <c r="G527" s="327">
        <f t="shared" si="239"/>
        <v>0</v>
      </c>
      <c r="H527" s="328" t="str">
        <f t="shared" si="259"/>
        <v>X</v>
      </c>
      <c r="I527" s="325" t="s">
        <v>1388</v>
      </c>
      <c r="J527" s="329" t="str">
        <f>IF(B527&lt;&gt;"",+VLOOKUP(I527,Recursos!C:F,2,FALSE),"")</f>
        <v>Obtención de agua para riego</v>
      </c>
      <c r="K527" s="330" t="str">
        <f>IF(B527&lt;&gt;"",+VLOOKUP(I527,Recursos!C:F,3,FALSE),"")</f>
        <v>m3</v>
      </c>
      <c r="L527" s="327">
        <f>IF(B527&lt;&gt;"",+VLOOKUP(I527,Recursos!C:F,4,FALSE),"")</f>
        <v>43.481296096028451</v>
      </c>
      <c r="M527" s="432"/>
      <c r="N527" s="432"/>
      <c r="O527" s="433">
        <f>+O528</f>
        <v>0.16</v>
      </c>
      <c r="P527" s="333">
        <f t="shared" si="235"/>
        <v>6.9570073753645527</v>
      </c>
      <c r="Q527" s="327">
        <f t="shared" si="236"/>
        <v>0</v>
      </c>
      <c r="R527" s="334">
        <f t="shared" si="237"/>
        <v>0</v>
      </c>
      <c r="S527" s="335">
        <f t="shared" si="240"/>
        <v>0</v>
      </c>
      <c r="T527" s="335">
        <f t="shared" si="241"/>
        <v>0</v>
      </c>
      <c r="U527" s="336">
        <f t="shared" si="242"/>
        <v>0</v>
      </c>
      <c r="V527" s="336">
        <f t="shared" si="243"/>
        <v>0</v>
      </c>
      <c r="W527" s="336">
        <f t="shared" si="244"/>
        <v>0</v>
      </c>
      <c r="X527" s="336">
        <f t="shared" si="245"/>
        <v>693.96355400637856</v>
      </c>
      <c r="Y527" s="320"/>
      <c r="Z527" s="321" t="str">
        <f t="shared" si="249"/>
        <v>X-BASES2A</v>
      </c>
      <c r="AA527" s="321" t="str">
        <f t="shared" si="250"/>
        <v>X-BASES2E</v>
      </c>
      <c r="AB527" s="321" t="str">
        <f t="shared" si="251"/>
        <v>X-BASES2M</v>
      </c>
      <c r="AC527" s="321" t="str">
        <f t="shared" si="252"/>
        <v>X-BASES2T</v>
      </c>
      <c r="AD527" s="321" t="str">
        <f t="shared" si="253"/>
        <v>X-BASES2S</v>
      </c>
      <c r="AE527" s="321" t="str">
        <f t="shared" si="254"/>
        <v>X-BASES2X</v>
      </c>
      <c r="AF527" s="321" t="str">
        <f t="shared" si="255"/>
        <v>X-BASES2X</v>
      </c>
      <c r="AG527" s="321">
        <f t="shared" si="246"/>
        <v>8</v>
      </c>
      <c r="AH527" s="321">
        <f>IF(B527&lt;&gt;"",IF(H527="x",VLOOKUP(I527,'AUX-NIV3'!B:AG,32,FALSE),0),"")</f>
        <v>4</v>
      </c>
      <c r="AI527" s="321" t="str">
        <f t="shared" si="256"/>
        <v>X-BASES2</v>
      </c>
      <c r="AJ527" s="320"/>
      <c r="AK527" s="322">
        <f t="shared" si="247"/>
        <v>524</v>
      </c>
      <c r="AL527" s="323">
        <f t="shared" si="257"/>
        <v>531</v>
      </c>
      <c r="AM527" s="322">
        <f t="shared" si="258"/>
        <v>4</v>
      </c>
      <c r="AN527" s="380">
        <f>IF(AND(AH527&gt;0,B527&lt;&gt;""),VLOOKUP(I527,'AUX-NIV3'!$B:$AO,39,FALSE)*O527,0)</f>
        <v>3.2000000000000002E-3</v>
      </c>
      <c r="AO527" s="380">
        <f t="shared" si="248"/>
        <v>0.18535000000000001</v>
      </c>
      <c r="AP527" s="380"/>
    </row>
    <row r="528" spans="2:42" ht="14.4" hidden="1" thickTop="1" thickBot="1">
      <c r="B528" s="324" t="s">
        <v>1487</v>
      </c>
      <c r="C528" s="325" t="s">
        <v>1491</v>
      </c>
      <c r="D528" s="326" t="s">
        <v>1160</v>
      </c>
      <c r="E528" s="327">
        <f>IF(B528&lt;&gt;"",SUMIF('AUX-NIV1'!I:I,'AUX-NIV2'!B528,'AUX-NIV1'!Q:Q),"")</f>
        <v>0</v>
      </c>
      <c r="F528" s="327">
        <f t="shared" si="238"/>
        <v>693.96355400637856</v>
      </c>
      <c r="G528" s="327">
        <f t="shared" si="239"/>
        <v>0</v>
      </c>
      <c r="H528" s="328" t="str">
        <f t="shared" si="259"/>
        <v>X</v>
      </c>
      <c r="I528" s="325" t="s">
        <v>1389</v>
      </c>
      <c r="J528" s="329" t="str">
        <f>IF(B528&lt;&gt;"",+VLOOKUP(I528,Recursos!C:F,2,FALSE),"")</f>
        <v>Transporte de agua para riego</v>
      </c>
      <c r="K528" s="330" t="str">
        <f>IF(B528&lt;&gt;"",+VLOOKUP(I528,Recursos!C:F,3,FALSE),"")</f>
        <v>m3</v>
      </c>
      <c r="L528" s="327">
        <f>IF(B528&lt;&gt;"",+VLOOKUP(I528,Recursos!C:F,4,FALSE),"")</f>
        <v>120.18495973415189</v>
      </c>
      <c r="M528" s="432"/>
      <c r="N528" s="432"/>
      <c r="O528" s="433">
        <f>+O529</f>
        <v>0.16</v>
      </c>
      <c r="P528" s="333">
        <f>IF(B528&lt;&gt;"",O528*L528,"")</f>
        <v>19.229593557464302</v>
      </c>
      <c r="Q528" s="327">
        <f>IF(B528&lt;&gt;"",+O528*E528,"")</f>
        <v>0</v>
      </c>
      <c r="R528" s="334">
        <f>IF(B528&lt;&gt;"",Q528*L528,"")</f>
        <v>0</v>
      </c>
      <c r="S528" s="335">
        <f t="shared" si="240"/>
        <v>0</v>
      </c>
      <c r="T528" s="335">
        <f t="shared" si="241"/>
        <v>0</v>
      </c>
      <c r="U528" s="336">
        <f t="shared" si="242"/>
        <v>0</v>
      </c>
      <c r="V528" s="336">
        <f t="shared" si="243"/>
        <v>0</v>
      </c>
      <c r="W528" s="336">
        <f t="shared" si="244"/>
        <v>0</v>
      </c>
      <c r="X528" s="336">
        <f t="shared" si="245"/>
        <v>693.96355400637856</v>
      </c>
      <c r="Y528" s="320"/>
      <c r="Z528" s="321" t="str">
        <f t="shared" si="249"/>
        <v>X-BASES2A</v>
      </c>
      <c r="AA528" s="321" t="str">
        <f t="shared" si="250"/>
        <v>X-BASES2E</v>
      </c>
      <c r="AB528" s="321" t="str">
        <f t="shared" si="251"/>
        <v>X-BASES2M</v>
      </c>
      <c r="AC528" s="321" t="str">
        <f t="shared" si="252"/>
        <v>X-BASES2T</v>
      </c>
      <c r="AD528" s="321" t="str">
        <f t="shared" si="253"/>
        <v>X-BASES2S</v>
      </c>
      <c r="AE528" s="321" t="str">
        <f t="shared" si="254"/>
        <v>X-BASES2X</v>
      </c>
      <c r="AF528" s="321" t="str">
        <f t="shared" si="255"/>
        <v>X-BASES2X</v>
      </c>
      <c r="AG528" s="321">
        <f t="shared" si="246"/>
        <v>8</v>
      </c>
      <c r="AH528" s="321">
        <f>IF(B528&lt;&gt;"",IF(H528="x",VLOOKUP(I528,'AUX-NIV3'!B:AG,32,FALSE),0),"")</f>
        <v>3</v>
      </c>
      <c r="AI528" s="321" t="str">
        <f t="shared" si="256"/>
        <v>X-BASES2</v>
      </c>
      <c r="AJ528" s="320"/>
      <c r="AK528" s="322">
        <f t="shared" si="247"/>
        <v>524</v>
      </c>
      <c r="AL528" s="323">
        <f t="shared" si="257"/>
        <v>531</v>
      </c>
      <c r="AM528" s="322">
        <f t="shared" si="258"/>
        <v>5</v>
      </c>
      <c r="AN528" s="380">
        <f>IF(AND(AH528&gt;0,B528&lt;&gt;""),VLOOKUP(I528,'AUX-NIV3'!$B:$AO,39,FALSE)*O528,0)</f>
        <v>6.4000000000000003E-3</v>
      </c>
      <c r="AO528" s="380">
        <f t="shared" si="248"/>
        <v>0.18535000000000001</v>
      </c>
      <c r="AP528" s="380"/>
    </row>
    <row r="529" spans="2:42" ht="14.4" hidden="1" thickTop="1" thickBot="1">
      <c r="B529" s="324" t="s">
        <v>1487</v>
      </c>
      <c r="C529" s="325" t="s">
        <v>1491</v>
      </c>
      <c r="D529" s="326" t="s">
        <v>1160</v>
      </c>
      <c r="E529" s="327">
        <f>IF(B529&lt;&gt;"",SUMIF('AUX-NIV1'!I:I,'AUX-NIV2'!B529,'AUX-NIV1'!Q:Q),"")</f>
        <v>0</v>
      </c>
      <c r="F529" s="327">
        <f t="shared" si="238"/>
        <v>693.96355400637856</v>
      </c>
      <c r="G529" s="327">
        <f t="shared" si="239"/>
        <v>0</v>
      </c>
      <c r="H529" s="328" t="str">
        <f t="shared" si="259"/>
        <v>X</v>
      </c>
      <c r="I529" s="325" t="s">
        <v>1390</v>
      </c>
      <c r="J529" s="329" t="str">
        <f>IF(B529&lt;&gt;"",+VLOOKUP(I529,Recursos!C:F,2,FALSE),"")</f>
        <v>Riego de terraplén</v>
      </c>
      <c r="K529" s="330" t="str">
        <f>IF(B529&lt;&gt;"",+VLOOKUP(I529,Recursos!C:F,3,FALSE),"")</f>
        <v>m3</v>
      </c>
      <c r="L529" s="327">
        <f>IF(B529&lt;&gt;"",+VLOOKUP(I529,Recursos!C:F,4,FALSE),"")</f>
        <v>39.234240090026674</v>
      </c>
      <c r="M529" s="432">
        <v>2</v>
      </c>
      <c r="N529" s="432">
        <v>0.08</v>
      </c>
      <c r="O529" s="433">
        <f>+M529*N529</f>
        <v>0.16</v>
      </c>
      <c r="P529" s="333">
        <f>IF(B529&lt;&gt;"",O529*L529,"")</f>
        <v>6.2774784144042677</v>
      </c>
      <c r="Q529" s="327">
        <f>IF(B529&lt;&gt;"",+O529*E529,"")</f>
        <v>0</v>
      </c>
      <c r="R529" s="334">
        <f>IF(B529&lt;&gt;"",Q529*L529,"")</f>
        <v>0</v>
      </c>
      <c r="S529" s="335">
        <f t="shared" si="240"/>
        <v>0</v>
      </c>
      <c r="T529" s="335">
        <f t="shared" si="241"/>
        <v>0</v>
      </c>
      <c r="U529" s="336">
        <f t="shared" si="242"/>
        <v>0</v>
      </c>
      <c r="V529" s="336">
        <f t="shared" si="243"/>
        <v>0</v>
      </c>
      <c r="W529" s="336">
        <f t="shared" si="244"/>
        <v>0</v>
      </c>
      <c r="X529" s="336">
        <f t="shared" si="245"/>
        <v>693.96355400637856</v>
      </c>
      <c r="Y529" s="320"/>
      <c r="Z529" s="321" t="str">
        <f t="shared" si="249"/>
        <v>X-BASES2A</v>
      </c>
      <c r="AA529" s="321" t="str">
        <f t="shared" si="250"/>
        <v>X-BASES2E</v>
      </c>
      <c r="AB529" s="321" t="str">
        <f t="shared" si="251"/>
        <v>X-BASES2M</v>
      </c>
      <c r="AC529" s="321" t="str">
        <f t="shared" si="252"/>
        <v>X-BASES2T</v>
      </c>
      <c r="AD529" s="321" t="str">
        <f t="shared" si="253"/>
        <v>X-BASES2S</v>
      </c>
      <c r="AE529" s="321" t="str">
        <f t="shared" si="254"/>
        <v>X-BASES2X</v>
      </c>
      <c r="AF529" s="321" t="str">
        <f t="shared" si="255"/>
        <v>X-BASES2X</v>
      </c>
      <c r="AG529" s="321">
        <f t="shared" si="246"/>
        <v>8</v>
      </c>
      <c r="AH529" s="321">
        <f>IF(B529&lt;&gt;"",IF(H529="x",VLOOKUP(I529,'AUX-NIV3'!B:AG,32,FALSE),0),"")</f>
        <v>3</v>
      </c>
      <c r="AI529" s="321" t="str">
        <f t="shared" si="256"/>
        <v>X-BASES2</v>
      </c>
      <c r="AJ529" s="320"/>
      <c r="AK529" s="322">
        <f t="shared" si="247"/>
        <v>524</v>
      </c>
      <c r="AL529" s="323">
        <f t="shared" si="257"/>
        <v>531</v>
      </c>
      <c r="AM529" s="322">
        <f t="shared" si="258"/>
        <v>6</v>
      </c>
      <c r="AN529" s="380">
        <f>IF(AND(AH529&gt;0,B529&lt;&gt;""),VLOOKUP(I529,'AUX-NIV3'!$B:$AO,39,FALSE)*O529,0)</f>
        <v>3.0000000000000005E-3</v>
      </c>
      <c r="AO529" s="380">
        <f t="shared" si="248"/>
        <v>0.18535000000000001</v>
      </c>
      <c r="AP529" s="380"/>
    </row>
    <row r="530" spans="2:42" ht="14.4" hidden="1" thickTop="1" thickBot="1">
      <c r="B530" s="324" t="s">
        <v>1487</v>
      </c>
      <c r="C530" s="325" t="s">
        <v>1491</v>
      </c>
      <c r="D530" s="326" t="s">
        <v>1160</v>
      </c>
      <c r="E530" s="327">
        <f>IF(B530&lt;&gt;"",SUMIF('AUX-NIV1'!I:I,'AUX-NIV2'!B530,'AUX-NIV1'!Q:Q),"")</f>
        <v>0</v>
      </c>
      <c r="F530" s="327">
        <f t="shared" si="238"/>
        <v>693.96355400637856</v>
      </c>
      <c r="G530" s="327">
        <f t="shared" si="239"/>
        <v>0</v>
      </c>
      <c r="H530" s="328" t="str">
        <f t="shared" si="259"/>
        <v>X</v>
      </c>
      <c r="I530" s="325" t="s">
        <v>1478</v>
      </c>
      <c r="J530" s="329" t="str">
        <f>IF(B530&lt;&gt;"",+VLOOKUP(I530,Recursos!C:F,2,FALSE),"")</f>
        <v>Perfilado de base motoniveladora</v>
      </c>
      <c r="K530" s="330" t="str">
        <f>IF(B530&lt;&gt;"",+VLOOKUP(I530,Recursos!C:F,3,FALSE),"")</f>
        <v>m3</v>
      </c>
      <c r="L530" s="327">
        <f>IF(B530&lt;&gt;"",+VLOOKUP(I530,Recursos!C:F,4,FALSE),"")</f>
        <v>89.980045405812973</v>
      </c>
      <c r="M530" s="432"/>
      <c r="N530" s="432">
        <v>1</v>
      </c>
      <c r="O530" s="433">
        <f>+N530</f>
        <v>1</v>
      </c>
      <c r="P530" s="333">
        <f>IF(B530&lt;&gt;"",O530*L530,"")</f>
        <v>89.980045405812973</v>
      </c>
      <c r="Q530" s="327">
        <f>IF(B530&lt;&gt;"",+O530*E530,"")</f>
        <v>0</v>
      </c>
      <c r="R530" s="334">
        <f>IF(B530&lt;&gt;"",Q530*L530,"")</f>
        <v>0</v>
      </c>
      <c r="S530" s="335">
        <f t="shared" si="240"/>
        <v>0</v>
      </c>
      <c r="T530" s="335">
        <f t="shared" si="241"/>
        <v>0</v>
      </c>
      <c r="U530" s="336">
        <f t="shared" si="242"/>
        <v>0</v>
      </c>
      <c r="V530" s="336">
        <f t="shared" si="243"/>
        <v>0</v>
      </c>
      <c r="W530" s="336">
        <f t="shared" si="244"/>
        <v>0</v>
      </c>
      <c r="X530" s="336">
        <f t="shared" si="245"/>
        <v>693.96355400637856</v>
      </c>
      <c r="Y530" s="320"/>
      <c r="Z530" s="321" t="str">
        <f t="shared" si="249"/>
        <v>X-BASES2A</v>
      </c>
      <c r="AA530" s="321" t="str">
        <f t="shared" si="250"/>
        <v>X-BASES2E</v>
      </c>
      <c r="AB530" s="321" t="str">
        <f t="shared" si="251"/>
        <v>X-BASES2M</v>
      </c>
      <c r="AC530" s="321" t="str">
        <f t="shared" si="252"/>
        <v>X-BASES2T</v>
      </c>
      <c r="AD530" s="321" t="str">
        <f t="shared" si="253"/>
        <v>X-BASES2S</v>
      </c>
      <c r="AE530" s="321" t="str">
        <f t="shared" si="254"/>
        <v>X-BASES2X</v>
      </c>
      <c r="AF530" s="321" t="str">
        <f t="shared" si="255"/>
        <v>X-BASES2X</v>
      </c>
      <c r="AG530" s="321">
        <f t="shared" si="246"/>
        <v>8</v>
      </c>
      <c r="AH530" s="321">
        <f>IF(B530&lt;&gt;"",IF(H530="x",VLOOKUP(I530,'AUX-NIV3'!B:AG,32,FALSE),0),"")</f>
        <v>3</v>
      </c>
      <c r="AI530" s="321" t="str">
        <f t="shared" si="256"/>
        <v>X-BASES2</v>
      </c>
      <c r="AJ530" s="320"/>
      <c r="AK530" s="322">
        <f t="shared" si="247"/>
        <v>524</v>
      </c>
      <c r="AL530" s="323">
        <f t="shared" si="257"/>
        <v>531</v>
      </c>
      <c r="AM530" s="322">
        <f t="shared" si="258"/>
        <v>7</v>
      </c>
      <c r="AN530" s="380">
        <f>IF(AND(AH530&gt;0,B530&lt;&gt;""),VLOOKUP(I530,'AUX-NIV3'!$B:$AO,39,FALSE)*O530,0)</f>
        <v>2.5000000000000001E-2</v>
      </c>
      <c r="AO530" s="380">
        <f t="shared" si="248"/>
        <v>0.18535000000000001</v>
      </c>
      <c r="AP530" s="380"/>
    </row>
    <row r="531" spans="2:42" ht="14.4" hidden="1" thickTop="1" thickBot="1">
      <c r="B531" s="324" t="s">
        <v>1487</v>
      </c>
      <c r="C531" s="325" t="s">
        <v>1491</v>
      </c>
      <c r="D531" s="326" t="s">
        <v>1160</v>
      </c>
      <c r="E531" s="327">
        <f>IF(B531&lt;&gt;"",SUMIF('AUX-NIV1'!I:I,'AUX-NIV2'!B531,'AUX-NIV1'!Q:Q),"")</f>
        <v>0</v>
      </c>
      <c r="F531" s="327">
        <f t="shared" si="238"/>
        <v>693.96355400637856</v>
      </c>
      <c r="G531" s="327">
        <f t="shared" si="239"/>
        <v>0</v>
      </c>
      <c r="H531" s="328" t="str">
        <f t="shared" si="259"/>
        <v>X</v>
      </c>
      <c r="I531" s="325" t="s">
        <v>1479</v>
      </c>
      <c r="J531" s="329" t="str">
        <f>IF(B531&lt;&gt;"",+VLOOKUP(I531,Recursos!C:F,2,FALSE),"")</f>
        <v>Compactación de base</v>
      </c>
      <c r="K531" s="330" t="str">
        <f>IF(B531&lt;&gt;"",+VLOOKUP(I531,Recursos!C:F,3,FALSE),"")</f>
        <v>m3</v>
      </c>
      <c r="L531" s="327">
        <f>IF(B531&lt;&gt;"",+VLOOKUP(I531,Recursos!C:F,4,FALSE),"")</f>
        <v>42.171711897422377</v>
      </c>
      <c r="M531" s="432"/>
      <c r="N531" s="432">
        <v>1</v>
      </c>
      <c r="O531" s="433">
        <f>+N531</f>
        <v>1</v>
      </c>
      <c r="P531" s="333">
        <f>IF(B531&lt;&gt;"",O531*L531,"")</f>
        <v>42.171711897422377</v>
      </c>
      <c r="Q531" s="327">
        <f>IF(B531&lt;&gt;"",+O531*E531,"")</f>
        <v>0</v>
      </c>
      <c r="R531" s="334">
        <f>IF(B531&lt;&gt;"",Q531*L531,"")</f>
        <v>0</v>
      </c>
      <c r="S531" s="335">
        <f t="shared" si="240"/>
        <v>0</v>
      </c>
      <c r="T531" s="335">
        <f t="shared" si="241"/>
        <v>0</v>
      </c>
      <c r="U531" s="336">
        <f t="shared" si="242"/>
        <v>0</v>
      </c>
      <c r="V531" s="336">
        <f t="shared" si="243"/>
        <v>0</v>
      </c>
      <c r="W531" s="336">
        <f t="shared" si="244"/>
        <v>0</v>
      </c>
      <c r="X531" s="336">
        <f t="shared" si="245"/>
        <v>693.96355400637856</v>
      </c>
      <c r="Y531" s="320"/>
      <c r="Z531" s="321" t="str">
        <f t="shared" si="249"/>
        <v>X-BASES2A</v>
      </c>
      <c r="AA531" s="321" t="str">
        <f t="shared" si="250"/>
        <v>X-BASES2E</v>
      </c>
      <c r="AB531" s="321" t="str">
        <f t="shared" si="251"/>
        <v>X-BASES2M</v>
      </c>
      <c r="AC531" s="321" t="str">
        <f t="shared" si="252"/>
        <v>X-BASES2T</v>
      </c>
      <c r="AD531" s="321" t="str">
        <f t="shared" si="253"/>
        <v>X-BASES2S</v>
      </c>
      <c r="AE531" s="321" t="str">
        <f t="shared" si="254"/>
        <v>X-BASES2X</v>
      </c>
      <c r="AF531" s="321" t="str">
        <f t="shared" si="255"/>
        <v>X-BASES2X</v>
      </c>
      <c r="AG531" s="321">
        <f t="shared" si="246"/>
        <v>8</v>
      </c>
      <c r="AH531" s="321">
        <f>IF(B531&lt;&gt;"",IF(H531="x",VLOOKUP(I531,'AUX-NIV3'!B:AG,32,FALSE),0),"")</f>
        <v>4</v>
      </c>
      <c r="AI531" s="321" t="str">
        <f t="shared" si="256"/>
        <v>X-BASES2</v>
      </c>
      <c r="AJ531" s="320"/>
      <c r="AK531" s="322">
        <f t="shared" si="247"/>
        <v>524</v>
      </c>
      <c r="AL531" s="323">
        <f t="shared" si="257"/>
        <v>531</v>
      </c>
      <c r="AM531" s="322">
        <f t="shared" si="258"/>
        <v>8</v>
      </c>
      <c r="AN531" s="380">
        <f>IF(AND(AH531&gt;0,B531&lt;&gt;""),VLOOKUP(I531,'AUX-NIV3'!$B:$AO,39,FALSE)*O531,0)</f>
        <v>1.5625E-2</v>
      </c>
      <c r="AO531" s="380">
        <f t="shared" si="248"/>
        <v>0.18535000000000001</v>
      </c>
      <c r="AP531" s="380"/>
    </row>
    <row r="532" spans="2:42" ht="14.4" hidden="1" thickTop="1" thickBot="1">
      <c r="B532" s="324" t="s">
        <v>1496</v>
      </c>
      <c r="C532" s="325" t="s">
        <v>1493</v>
      </c>
      <c r="D532" s="326" t="s">
        <v>1408</v>
      </c>
      <c r="E532" s="327">
        <f>IF(B532&lt;&gt;"",SUMIF('AUX-NIV1'!I:I,'AUX-NIV2'!B532,'AUX-NIV1'!Q:Q),"")</f>
        <v>0</v>
      </c>
      <c r="F532" s="327">
        <f t="shared" si="238"/>
        <v>95502.968530466838</v>
      </c>
      <c r="G532" s="327">
        <f t="shared" si="239"/>
        <v>0</v>
      </c>
      <c r="H532" s="328" t="str">
        <f t="shared" ref="H532:H595" si="260">IF(B532&lt;&gt;"",+LEFT(I532,1),"")</f>
        <v>X</v>
      </c>
      <c r="I532" s="325" t="s">
        <v>1400</v>
      </c>
      <c r="J532" s="329" t="str">
        <f>IF(B532&lt;&gt;"",+VLOOKUP(I532,Recursos!C:F,2,FALSE),"")</f>
        <v>Limp.y desbosque sin arboles</v>
      </c>
      <c r="K532" s="330" t="str">
        <f>IF(B532&lt;&gt;"",+VLOOKUP(I532,Recursos!C:F,3,FALSE),"")</f>
        <v>Ha</v>
      </c>
      <c r="L532" s="327">
        <f>IF(B532&lt;&gt;"",+VLOOKUP(I532,Recursos!C:F,4,FALSE),"")</f>
        <v>76187.486324650381</v>
      </c>
      <c r="M532" s="331"/>
      <c r="N532" s="331">
        <v>0.7</v>
      </c>
      <c r="O532" s="332">
        <f>+N532</f>
        <v>0.7</v>
      </c>
      <c r="P532" s="333">
        <f t="shared" si="235"/>
        <v>53331.240427255267</v>
      </c>
      <c r="Q532" s="327">
        <f t="shared" si="236"/>
        <v>0</v>
      </c>
      <c r="R532" s="334">
        <f t="shared" si="237"/>
        <v>0</v>
      </c>
      <c r="S532" s="335">
        <f t="shared" si="240"/>
        <v>0</v>
      </c>
      <c r="T532" s="335">
        <f t="shared" si="241"/>
        <v>0</v>
      </c>
      <c r="U532" s="336">
        <f t="shared" si="242"/>
        <v>0</v>
      </c>
      <c r="V532" s="336">
        <f t="shared" si="243"/>
        <v>0</v>
      </c>
      <c r="W532" s="336">
        <f t="shared" si="244"/>
        <v>0</v>
      </c>
      <c r="X532" s="336">
        <f t="shared" si="245"/>
        <v>95502.968530466838</v>
      </c>
      <c r="Y532" s="320"/>
      <c r="Z532" s="321" t="str">
        <f t="shared" si="249"/>
        <v>X-LIMPDESA</v>
      </c>
      <c r="AA532" s="321" t="str">
        <f t="shared" si="250"/>
        <v>X-LIMPDESE</v>
      </c>
      <c r="AB532" s="321" t="str">
        <f t="shared" si="251"/>
        <v>X-LIMPDESM</v>
      </c>
      <c r="AC532" s="321" t="str">
        <f t="shared" si="252"/>
        <v>X-LIMPDEST</v>
      </c>
      <c r="AD532" s="321" t="str">
        <f t="shared" si="253"/>
        <v>X-LIMPDESS</v>
      </c>
      <c r="AE532" s="321" t="str">
        <f t="shared" si="254"/>
        <v>X-LIMPDESX</v>
      </c>
      <c r="AF532" s="321" t="str">
        <f t="shared" si="255"/>
        <v>X-LIMPDESX</v>
      </c>
      <c r="AG532" s="321">
        <f t="shared" si="246"/>
        <v>2</v>
      </c>
      <c r="AH532" s="321">
        <f>IF(B532&lt;&gt;"",IF(H532="x",VLOOKUP(I532,'AUX-NIV3'!B:AG,32,FALSE),0),"")</f>
        <v>3</v>
      </c>
      <c r="AI532" s="321" t="str">
        <f t="shared" si="256"/>
        <v>X-LIMPDES</v>
      </c>
      <c r="AJ532" s="320"/>
      <c r="AK532" s="322">
        <f t="shared" si="247"/>
        <v>532</v>
      </c>
      <c r="AL532" s="323">
        <f t="shared" si="257"/>
        <v>533</v>
      </c>
      <c r="AM532" s="322">
        <f t="shared" si="258"/>
        <v>1</v>
      </c>
      <c r="AN532" s="380">
        <f>IF(AND(AH532&gt;0,B532&lt;&gt;""),VLOOKUP(I532,'AUX-NIV3'!$B:$AO,39,FALSE)*O532,0)</f>
        <v>14</v>
      </c>
      <c r="AO532" s="380">
        <f t="shared" si="248"/>
        <v>24.799999999999997</v>
      </c>
      <c r="AP532" s="380"/>
    </row>
    <row r="533" spans="2:42" ht="14.4" hidden="1" thickTop="1" thickBot="1">
      <c r="B533" s="324" t="s">
        <v>1496</v>
      </c>
      <c r="C533" s="325" t="s">
        <v>1493</v>
      </c>
      <c r="D533" s="326" t="s">
        <v>1408</v>
      </c>
      <c r="E533" s="327">
        <f>IF(B533&lt;&gt;"",SUMIF('AUX-NIV1'!I:I,'AUX-NIV2'!B533,'AUX-NIV1'!Q:Q),"")</f>
        <v>0</v>
      </c>
      <c r="F533" s="327">
        <f t="shared" si="238"/>
        <v>95502.968530466838</v>
      </c>
      <c r="G533" s="327">
        <f t="shared" si="239"/>
        <v>0</v>
      </c>
      <c r="H533" s="328" t="str">
        <f t="shared" si="260"/>
        <v>X</v>
      </c>
      <c r="I533" s="325" t="s">
        <v>1494</v>
      </c>
      <c r="J533" s="329" t="str">
        <f>IF(B533&lt;&gt;"",+VLOOKUP(I533,Recursos!C:F,2,FALSE),"")</f>
        <v>Limp.y desbosque con arboles</v>
      </c>
      <c r="K533" s="330" t="str">
        <f>IF(B533&lt;&gt;"",+VLOOKUP(I533,Recursos!C:F,3,FALSE),"")</f>
        <v>Ha</v>
      </c>
      <c r="L533" s="327">
        <f>IF(B533&lt;&gt;"",+VLOOKUP(I533,Recursos!C:F,4,FALSE),"")</f>
        <v>140572.42701070526</v>
      </c>
      <c r="M533" s="331"/>
      <c r="N533" s="331">
        <v>0.3</v>
      </c>
      <c r="O533" s="332">
        <f>+N533</f>
        <v>0.3</v>
      </c>
      <c r="P533" s="333">
        <f t="shared" si="235"/>
        <v>42171.728103211579</v>
      </c>
      <c r="Q533" s="327">
        <f t="shared" si="236"/>
        <v>0</v>
      </c>
      <c r="R533" s="334">
        <f t="shared" si="237"/>
        <v>0</v>
      </c>
      <c r="S533" s="335">
        <f t="shared" si="240"/>
        <v>0</v>
      </c>
      <c r="T533" s="335">
        <f t="shared" si="241"/>
        <v>0</v>
      </c>
      <c r="U533" s="336">
        <f t="shared" si="242"/>
        <v>0</v>
      </c>
      <c r="V533" s="336">
        <f t="shared" si="243"/>
        <v>0</v>
      </c>
      <c r="W533" s="336">
        <f t="shared" si="244"/>
        <v>0</v>
      </c>
      <c r="X533" s="336">
        <f t="shared" si="245"/>
        <v>95502.968530466838</v>
      </c>
      <c r="Y533" s="320"/>
      <c r="Z533" s="321" t="str">
        <f t="shared" si="249"/>
        <v>X-LIMPDESA</v>
      </c>
      <c r="AA533" s="321" t="str">
        <f t="shared" si="250"/>
        <v>X-LIMPDESE</v>
      </c>
      <c r="AB533" s="321" t="str">
        <f t="shared" si="251"/>
        <v>X-LIMPDESM</v>
      </c>
      <c r="AC533" s="321" t="str">
        <f t="shared" si="252"/>
        <v>X-LIMPDEST</v>
      </c>
      <c r="AD533" s="321" t="str">
        <f t="shared" si="253"/>
        <v>X-LIMPDESS</v>
      </c>
      <c r="AE533" s="321" t="str">
        <f t="shared" si="254"/>
        <v>X-LIMPDESX</v>
      </c>
      <c r="AF533" s="321" t="str">
        <f t="shared" si="255"/>
        <v>X-LIMPDESX</v>
      </c>
      <c r="AG533" s="321">
        <f t="shared" si="246"/>
        <v>2</v>
      </c>
      <c r="AH533" s="321">
        <f>IF(B533&lt;&gt;"",IF(H533="x",VLOOKUP(I533,'AUX-NIV3'!B:AG,32,FALSE),0),"")</f>
        <v>7</v>
      </c>
      <c r="AI533" s="321" t="str">
        <f t="shared" si="256"/>
        <v>X-LIMPDES</v>
      </c>
      <c r="AJ533" s="320"/>
      <c r="AK533" s="322">
        <f t="shared" si="247"/>
        <v>532</v>
      </c>
      <c r="AL533" s="323">
        <f t="shared" si="257"/>
        <v>533</v>
      </c>
      <c r="AM533" s="322">
        <f t="shared" si="258"/>
        <v>2</v>
      </c>
      <c r="AN533" s="380">
        <f>IF(AND(AH533&gt;0,B533&lt;&gt;""),VLOOKUP(I533,'AUX-NIV3'!$B:$AO,39,FALSE)*O533,0)</f>
        <v>10.799999999999999</v>
      </c>
      <c r="AO533" s="380">
        <f t="shared" si="248"/>
        <v>24.799999999999997</v>
      </c>
      <c r="AP533" s="380"/>
    </row>
    <row r="534" spans="2:42" ht="14.4" hidden="1" thickTop="1" thickBot="1">
      <c r="B534" s="501" t="s">
        <v>1504</v>
      </c>
      <c r="C534" s="950" t="s">
        <v>1505</v>
      </c>
      <c r="D534" s="326" t="s">
        <v>1160</v>
      </c>
      <c r="E534" s="327">
        <f>IF(B534&lt;&gt;"",SUMIF('AUX-NIV1'!I:I,'AUX-NIV2'!B534,'AUX-NIV1'!Q:Q),"")</f>
        <v>0</v>
      </c>
      <c r="F534" s="327">
        <f t="shared" si="238"/>
        <v>440.72547018462734</v>
      </c>
      <c r="G534" s="327">
        <f t="shared" si="239"/>
        <v>0</v>
      </c>
      <c r="H534" s="328" t="str">
        <f t="shared" si="260"/>
        <v>A</v>
      </c>
      <c r="I534" s="325" t="s">
        <v>1746</v>
      </c>
      <c r="J534" s="329" t="str">
        <f>IF(B534&lt;&gt;"",+VLOOKUP(I534,Recursos!C:F,2,FALSE),"")</f>
        <v>OFICIAL</v>
      </c>
      <c r="K534" s="330" t="str">
        <f>IF(B534&lt;&gt;"",+VLOOKUP(I534,Recursos!C:F,3,FALSE),"")</f>
        <v>hh</v>
      </c>
      <c r="L534" s="446">
        <f>IF(B534&lt;&gt;"",+VLOOKUP(I534,Recursos!C:F,4,FALSE),"")</f>
        <v>496.91595439275824</v>
      </c>
      <c r="M534" s="447">
        <v>20</v>
      </c>
      <c r="N534" s="448">
        <v>35</v>
      </c>
      <c r="O534" s="449">
        <f>(1/N534+1/M535)/N535*1.25*M534</f>
        <v>0.18140589569160998</v>
      </c>
      <c r="P534" s="333">
        <f t="shared" si="235"/>
        <v>90.143483790069524</v>
      </c>
      <c r="Q534" s="327">
        <f t="shared" si="236"/>
        <v>0</v>
      </c>
      <c r="R534" s="334">
        <f t="shared" si="237"/>
        <v>0</v>
      </c>
      <c r="S534" s="335">
        <f t="shared" si="240"/>
        <v>90.143483790069524</v>
      </c>
      <c r="T534" s="335">
        <f t="shared" si="241"/>
        <v>350.58198639455782</v>
      </c>
      <c r="U534" s="336">
        <f t="shared" si="242"/>
        <v>0</v>
      </c>
      <c r="V534" s="336">
        <f t="shared" si="243"/>
        <v>0</v>
      </c>
      <c r="W534" s="336">
        <f t="shared" si="244"/>
        <v>0</v>
      </c>
      <c r="X534" s="336">
        <f t="shared" si="245"/>
        <v>0</v>
      </c>
      <c r="Y534" s="320"/>
      <c r="Z534" s="321" t="str">
        <f t="shared" si="249"/>
        <v>X-THA</v>
      </c>
      <c r="AA534" s="321" t="str">
        <f t="shared" si="250"/>
        <v>X-THE</v>
      </c>
      <c r="AB534" s="321" t="str">
        <f t="shared" si="251"/>
        <v>X-THM</v>
      </c>
      <c r="AC534" s="321" t="str">
        <f t="shared" si="252"/>
        <v>X-THT</v>
      </c>
      <c r="AD534" s="321" t="str">
        <f t="shared" si="253"/>
        <v>X-THS</v>
      </c>
      <c r="AE534" s="321" t="str">
        <f t="shared" si="254"/>
        <v>X-THX</v>
      </c>
      <c r="AF534" s="321" t="str">
        <f t="shared" si="255"/>
        <v>X-THA</v>
      </c>
      <c r="AG534" s="321">
        <f t="shared" si="246"/>
        <v>2</v>
      </c>
      <c r="AH534" s="321">
        <f>IF(B534&lt;&gt;"",IF(H534="x",VLOOKUP(I534,'AUX-NIV3'!B:AG,32,FALSE),0),"")</f>
        <v>0</v>
      </c>
      <c r="AI534" s="321" t="str">
        <f t="shared" si="256"/>
        <v>X-TH</v>
      </c>
      <c r="AJ534" s="320"/>
      <c r="AK534" s="322">
        <f t="shared" si="247"/>
        <v>534</v>
      </c>
      <c r="AL534" s="323">
        <f t="shared" si="257"/>
        <v>535</v>
      </c>
      <c r="AM534" s="322">
        <f t="shared" si="258"/>
        <v>1</v>
      </c>
      <c r="AN534" s="380">
        <f>IF(AND(AH534&gt;0,B534&lt;&gt;""),VLOOKUP(I534,'AUX-NIV3'!$B:$AO,39,FALSE)*O534,0)</f>
        <v>0</v>
      </c>
      <c r="AO534" s="380">
        <f t="shared" si="248"/>
        <v>0.18140589569160998</v>
      </c>
      <c r="AP534" s="380"/>
    </row>
    <row r="535" spans="2:42" ht="14.4" hidden="1" thickTop="1" thickBot="1">
      <c r="B535" s="501" t="s">
        <v>1504</v>
      </c>
      <c r="C535" s="950" t="s">
        <v>1505</v>
      </c>
      <c r="D535" s="326" t="s">
        <v>1160</v>
      </c>
      <c r="E535" s="327">
        <f>IF(B535&lt;&gt;"",SUMIF('AUX-NIV1'!I:I,'AUX-NIV2'!B535,'AUX-NIV1'!Q:Q),"")</f>
        <v>0</v>
      </c>
      <c r="F535" s="327">
        <f t="shared" si="238"/>
        <v>440.72547018462734</v>
      </c>
      <c r="G535" s="327">
        <f t="shared" si="239"/>
        <v>0</v>
      </c>
      <c r="H535" s="328" t="str">
        <f t="shared" si="260"/>
        <v>E</v>
      </c>
      <c r="I535" s="325" t="s">
        <v>1615</v>
      </c>
      <c r="J535" s="329" t="str">
        <f>IF(B535&lt;&gt;"",+VLOOKUP(I535,Recursos!C:F,2,FALSE),"")</f>
        <v>CAMION MOTOHORMIGONERO CAP. 7 M3</v>
      </c>
      <c r="K535" s="330" t="str">
        <f>IF(B535&lt;&gt;"",+VLOOKUP(I535,Recursos!C:F,3,FALSE),"")</f>
        <v>HR</v>
      </c>
      <c r="L535" s="446">
        <f>IF(B535&lt;&gt;"",+VLOOKUP(I535,Recursos!C:F,4,FALSE),"")</f>
        <v>2415.7289999999998</v>
      </c>
      <c r="M535" s="450">
        <v>45</v>
      </c>
      <c r="N535" s="451">
        <v>7</v>
      </c>
      <c r="O535" s="449">
        <f>(1/N534+1/M535)/N535*M534</f>
        <v>0.14512471655328799</v>
      </c>
      <c r="P535" s="333">
        <f t="shared" si="235"/>
        <v>350.58198639455782</v>
      </c>
      <c r="Q535" s="327">
        <f t="shared" si="236"/>
        <v>0</v>
      </c>
      <c r="R535" s="334">
        <f t="shared" si="237"/>
        <v>0</v>
      </c>
      <c r="S535" s="335">
        <f t="shared" si="240"/>
        <v>90.143483790069524</v>
      </c>
      <c r="T535" s="335">
        <f t="shared" si="241"/>
        <v>350.58198639455782</v>
      </c>
      <c r="U535" s="336">
        <f t="shared" si="242"/>
        <v>0</v>
      </c>
      <c r="V535" s="336">
        <f t="shared" si="243"/>
        <v>0</v>
      </c>
      <c r="W535" s="336">
        <f t="shared" si="244"/>
        <v>0</v>
      </c>
      <c r="X535" s="336">
        <f t="shared" si="245"/>
        <v>0</v>
      </c>
      <c r="Y535" s="320"/>
      <c r="Z535" s="321" t="str">
        <f t="shared" si="249"/>
        <v>X-THA</v>
      </c>
      <c r="AA535" s="321" t="str">
        <f t="shared" si="250"/>
        <v>X-THE</v>
      </c>
      <c r="AB535" s="321" t="str">
        <f t="shared" si="251"/>
        <v>X-THM</v>
      </c>
      <c r="AC535" s="321" t="str">
        <f t="shared" si="252"/>
        <v>X-THT</v>
      </c>
      <c r="AD535" s="321" t="str">
        <f t="shared" si="253"/>
        <v>X-THS</v>
      </c>
      <c r="AE535" s="321" t="str">
        <f t="shared" si="254"/>
        <v>X-THX</v>
      </c>
      <c r="AF535" s="321" t="str">
        <f t="shared" si="255"/>
        <v>X-THE</v>
      </c>
      <c r="AG535" s="321">
        <f t="shared" si="246"/>
        <v>2</v>
      </c>
      <c r="AH535" s="321">
        <f>IF(B535&lt;&gt;"",IF(H535="x",VLOOKUP(I535,'AUX-NIV3'!B:AG,32,FALSE),0),"")</f>
        <v>0</v>
      </c>
      <c r="AI535" s="321" t="str">
        <f t="shared" si="256"/>
        <v>X-TH</v>
      </c>
      <c r="AJ535" s="320"/>
      <c r="AK535" s="322">
        <f t="shared" si="247"/>
        <v>534</v>
      </c>
      <c r="AL535" s="323">
        <f t="shared" si="257"/>
        <v>535</v>
      </c>
      <c r="AM535" s="322">
        <f t="shared" si="258"/>
        <v>2</v>
      </c>
      <c r="AN535" s="380">
        <f>IF(AND(AH535&gt;0,B535&lt;&gt;""),VLOOKUP(I535,'AUX-NIV3'!$B:$AO,39,FALSE)*O535,0)</f>
        <v>0</v>
      </c>
      <c r="AO535" s="380">
        <f t="shared" si="248"/>
        <v>0.18140589569160998</v>
      </c>
      <c r="AP535" s="380"/>
    </row>
    <row r="536" spans="2:42" ht="14.4" hidden="1" thickTop="1" thickBot="1">
      <c r="B536" s="324" t="s">
        <v>1506</v>
      </c>
      <c r="C536" s="325" t="s">
        <v>1507</v>
      </c>
      <c r="D536" s="326" t="s">
        <v>501</v>
      </c>
      <c r="E536" s="327">
        <f>IF(B536&lt;&gt;"",SUMIF('AUX-NIV1'!I:I,'AUX-NIV2'!B536,'AUX-NIV1'!Q:Q),"")</f>
        <v>0</v>
      </c>
      <c r="F536" s="327">
        <f t="shared" si="238"/>
        <v>119.57804276966723</v>
      </c>
      <c r="G536" s="327">
        <f t="shared" si="239"/>
        <v>0</v>
      </c>
      <c r="H536" s="328" t="str">
        <f t="shared" si="260"/>
        <v>A</v>
      </c>
      <c r="I536" s="325" t="s">
        <v>1745</v>
      </c>
      <c r="J536" s="329" t="str">
        <f>IF(B536&lt;&gt;"",+VLOOKUP(I536,Recursos!C:F,2,FALSE),"")</f>
        <v>AYUDANTE</v>
      </c>
      <c r="K536" s="330" t="str">
        <f>IF(B536&lt;&gt;"",+VLOOKUP(I536,Recursos!C:F,3,FALSE),"")</f>
        <v>hh</v>
      </c>
      <c r="L536" s="446">
        <f>IF(B536&lt;&gt;"",+VLOOKUP(I536,Recursos!C:F,4,FALSE),"")</f>
        <v>422.48042769667234</v>
      </c>
      <c r="M536" s="447">
        <v>0.1</v>
      </c>
      <c r="N536" s="448"/>
      <c r="O536" s="449">
        <f>+M536</f>
        <v>0.1</v>
      </c>
      <c r="P536" s="333">
        <f t="shared" si="235"/>
        <v>42.248042769667236</v>
      </c>
      <c r="Q536" s="327">
        <f t="shared" si="236"/>
        <v>0</v>
      </c>
      <c r="R536" s="334">
        <f t="shared" si="237"/>
        <v>0</v>
      </c>
      <c r="S536" s="335">
        <f t="shared" si="240"/>
        <v>42.248042769667236</v>
      </c>
      <c r="T536" s="335">
        <f t="shared" si="241"/>
        <v>0</v>
      </c>
      <c r="U536" s="336">
        <f t="shared" si="242"/>
        <v>77.33</v>
      </c>
      <c r="V536" s="336">
        <f t="shared" si="243"/>
        <v>0</v>
      </c>
      <c r="W536" s="336">
        <f t="shared" si="244"/>
        <v>0</v>
      </c>
      <c r="X536" s="336">
        <f t="shared" si="245"/>
        <v>0</v>
      </c>
      <c r="Y536" s="320"/>
      <c r="Z536" s="321" t="str">
        <f t="shared" si="249"/>
        <v>X-CURA</v>
      </c>
      <c r="AA536" s="321" t="str">
        <f t="shared" si="250"/>
        <v>X-CURE</v>
      </c>
      <c r="AB536" s="321" t="str">
        <f t="shared" si="251"/>
        <v>X-CURM</v>
      </c>
      <c r="AC536" s="321" t="str">
        <f t="shared" si="252"/>
        <v>X-CURT</v>
      </c>
      <c r="AD536" s="321" t="str">
        <f t="shared" si="253"/>
        <v>X-CURS</v>
      </c>
      <c r="AE536" s="321" t="str">
        <f t="shared" si="254"/>
        <v>X-CURX</v>
      </c>
      <c r="AF536" s="321" t="str">
        <f t="shared" si="255"/>
        <v>X-CURA</v>
      </c>
      <c r="AG536" s="321">
        <f t="shared" si="246"/>
        <v>3</v>
      </c>
      <c r="AH536" s="321">
        <f>IF(B536&lt;&gt;"",IF(H536="x",VLOOKUP(I536,'AUX-NIV3'!B:AG,32,FALSE),0),"")</f>
        <v>0</v>
      </c>
      <c r="AI536" s="321" t="str">
        <f t="shared" si="256"/>
        <v>X-CUR</v>
      </c>
      <c r="AJ536" s="320"/>
      <c r="AK536" s="322">
        <f t="shared" si="247"/>
        <v>536</v>
      </c>
      <c r="AL536" s="323">
        <f t="shared" si="257"/>
        <v>538</v>
      </c>
      <c r="AM536" s="322">
        <f t="shared" si="258"/>
        <v>1</v>
      </c>
      <c r="AN536" s="380">
        <f>IF(AND(AH536&gt;0,B536&lt;&gt;""),VLOOKUP(I536,'AUX-NIV3'!$B:$AO,39,FALSE)*O536,0)</f>
        <v>0</v>
      </c>
      <c r="AO536" s="380">
        <f t="shared" si="248"/>
        <v>0.1</v>
      </c>
      <c r="AP536" s="380"/>
    </row>
    <row r="537" spans="2:42" ht="14.4" hidden="1" thickTop="1" thickBot="1">
      <c r="B537" s="324" t="s">
        <v>1506</v>
      </c>
      <c r="C537" s="325" t="s">
        <v>1507</v>
      </c>
      <c r="D537" s="326" t="s">
        <v>501</v>
      </c>
      <c r="E537" s="327">
        <f>IF(B537&lt;&gt;"",SUMIF('AUX-NIV1'!I:I,'AUX-NIV2'!B537,'AUX-NIV1'!Q:Q),"")</f>
        <v>0</v>
      </c>
      <c r="F537" s="327">
        <f t="shared" si="238"/>
        <v>119.57804276966723</v>
      </c>
      <c r="G537" s="327">
        <f t="shared" si="239"/>
        <v>0</v>
      </c>
      <c r="H537" s="328" t="str">
        <f t="shared" si="260"/>
        <v>M</v>
      </c>
      <c r="I537" s="325" t="s">
        <v>480</v>
      </c>
      <c r="J537" s="329" t="str">
        <f>IF(B537&lt;&gt;"",+VLOOKUP(I537,Recursos!C:F,2,FALSE),"")</f>
        <v>MEMBRANA DE CURADO</v>
      </c>
      <c r="K537" s="330" t="str">
        <f>IF(B537&lt;&gt;"",+VLOOKUP(I537,Recursos!C:F,3,FALSE),"")</f>
        <v>Kg</v>
      </c>
      <c r="L537" s="446">
        <f>IF(B537&lt;&gt;"",+VLOOKUP(I537,Recursos!C:F,4,FALSE),"")</f>
        <v>193.2</v>
      </c>
      <c r="M537" s="452">
        <v>0.4</v>
      </c>
      <c r="N537" s="453"/>
      <c r="O537" s="449">
        <f>+M537</f>
        <v>0.4</v>
      </c>
      <c r="P537" s="333">
        <f t="shared" si="235"/>
        <v>77.28</v>
      </c>
      <c r="Q537" s="327">
        <f t="shared" si="236"/>
        <v>0</v>
      </c>
      <c r="R537" s="334">
        <f t="shared" si="237"/>
        <v>0</v>
      </c>
      <c r="S537" s="335">
        <f t="shared" si="240"/>
        <v>42.248042769667236</v>
      </c>
      <c r="T537" s="335">
        <f t="shared" si="241"/>
        <v>0</v>
      </c>
      <c r="U537" s="336">
        <f t="shared" si="242"/>
        <v>77.33</v>
      </c>
      <c r="V537" s="336">
        <f t="shared" si="243"/>
        <v>0</v>
      </c>
      <c r="W537" s="336">
        <f t="shared" si="244"/>
        <v>0</v>
      </c>
      <c r="X537" s="336">
        <f t="shared" si="245"/>
        <v>0</v>
      </c>
      <c r="Y537" s="320"/>
      <c r="Z537" s="321" t="str">
        <f t="shared" si="249"/>
        <v>X-CURA</v>
      </c>
      <c r="AA537" s="321" t="str">
        <f t="shared" si="250"/>
        <v>X-CURE</v>
      </c>
      <c r="AB537" s="321" t="str">
        <f t="shared" si="251"/>
        <v>X-CURM</v>
      </c>
      <c r="AC537" s="321" t="str">
        <f t="shared" si="252"/>
        <v>X-CURT</v>
      </c>
      <c r="AD537" s="321" t="str">
        <f t="shared" si="253"/>
        <v>X-CURS</v>
      </c>
      <c r="AE537" s="321" t="str">
        <f t="shared" si="254"/>
        <v>X-CURX</v>
      </c>
      <c r="AF537" s="321" t="str">
        <f t="shared" si="255"/>
        <v>X-CURM</v>
      </c>
      <c r="AG537" s="321">
        <f t="shared" si="246"/>
        <v>3</v>
      </c>
      <c r="AH537" s="321">
        <f>IF(B537&lt;&gt;"",IF(H537="x",VLOOKUP(I537,'AUX-NIV3'!B:AG,32,FALSE),0),"")</f>
        <v>0</v>
      </c>
      <c r="AI537" s="321" t="str">
        <f t="shared" si="256"/>
        <v>X-CUR</v>
      </c>
      <c r="AJ537" s="320"/>
      <c r="AK537" s="322">
        <f t="shared" si="247"/>
        <v>536</v>
      </c>
      <c r="AL537" s="323">
        <f t="shared" si="257"/>
        <v>538</v>
      </c>
      <c r="AM537" s="322">
        <f t="shared" si="258"/>
        <v>2</v>
      </c>
      <c r="AN537" s="380">
        <f>IF(AND(AH537&gt;0,B537&lt;&gt;""),VLOOKUP(I537,'AUX-NIV3'!$B:$AO,39,FALSE)*O537,0)</f>
        <v>0</v>
      </c>
      <c r="AO537" s="380">
        <f t="shared" si="248"/>
        <v>0.1</v>
      </c>
      <c r="AP537" s="380"/>
    </row>
    <row r="538" spans="2:42" ht="14.4" hidden="1" thickTop="1" thickBot="1">
      <c r="B538" s="324" t="s">
        <v>1506</v>
      </c>
      <c r="C538" s="325" t="s">
        <v>1507</v>
      </c>
      <c r="D538" s="326" t="s">
        <v>501</v>
      </c>
      <c r="E538" s="327">
        <f>IF(B538&lt;&gt;"",SUMIF('AUX-NIV1'!I:I,'AUX-NIV2'!B538,'AUX-NIV1'!Q:Q),"")</f>
        <v>0</v>
      </c>
      <c r="F538" s="327">
        <f t="shared" si="238"/>
        <v>119.57804276966723</v>
      </c>
      <c r="G538" s="327">
        <f t="shared" si="239"/>
        <v>0</v>
      </c>
      <c r="H538" s="328" t="str">
        <f t="shared" si="260"/>
        <v>M</v>
      </c>
      <c r="I538" s="325" t="s">
        <v>1073</v>
      </c>
      <c r="J538" s="329" t="str">
        <f>IF(B538&lt;&gt;"",+VLOOKUP(I538,Recursos!C:F,2,FALSE),"")</f>
        <v>Herramental Menor</v>
      </c>
      <c r="K538" s="330" t="str">
        <f>IF(B538&lt;&gt;"",+VLOOKUP(I538,Recursos!C:F,3,FALSE),"")</f>
        <v>gl</v>
      </c>
      <c r="L538" s="446">
        <f>IF(B538&lt;&gt;"",+VLOOKUP(I538,Recursos!C:F,4,FALSE),"")</f>
        <v>1</v>
      </c>
      <c r="M538" s="450">
        <v>0.05</v>
      </c>
      <c r="N538" s="451"/>
      <c r="O538" s="449">
        <f>+M538</f>
        <v>0.05</v>
      </c>
      <c r="P538" s="333">
        <f t="shared" si="235"/>
        <v>0.05</v>
      </c>
      <c r="Q538" s="327">
        <f t="shared" si="236"/>
        <v>0</v>
      </c>
      <c r="R538" s="334">
        <f t="shared" si="237"/>
        <v>0</v>
      </c>
      <c r="S538" s="335">
        <f t="shared" si="240"/>
        <v>42.248042769667236</v>
      </c>
      <c r="T538" s="335">
        <f t="shared" si="241"/>
        <v>0</v>
      </c>
      <c r="U538" s="336">
        <f t="shared" si="242"/>
        <v>77.33</v>
      </c>
      <c r="V538" s="336">
        <f t="shared" si="243"/>
        <v>0</v>
      </c>
      <c r="W538" s="336">
        <f t="shared" si="244"/>
        <v>0</v>
      </c>
      <c r="X538" s="336">
        <f t="shared" si="245"/>
        <v>0</v>
      </c>
      <c r="Y538" s="320"/>
      <c r="Z538" s="321" t="str">
        <f t="shared" si="249"/>
        <v>X-CURA</v>
      </c>
      <c r="AA538" s="321" t="str">
        <f t="shared" si="250"/>
        <v>X-CURE</v>
      </c>
      <c r="AB538" s="321" t="str">
        <f t="shared" si="251"/>
        <v>X-CURM</v>
      </c>
      <c r="AC538" s="321" t="str">
        <f t="shared" si="252"/>
        <v>X-CURT</v>
      </c>
      <c r="AD538" s="321" t="str">
        <f t="shared" si="253"/>
        <v>X-CURS</v>
      </c>
      <c r="AE538" s="321" t="str">
        <f t="shared" si="254"/>
        <v>X-CURX</v>
      </c>
      <c r="AF538" s="321" t="str">
        <f t="shared" si="255"/>
        <v>X-CURM</v>
      </c>
      <c r="AG538" s="321">
        <f t="shared" si="246"/>
        <v>3</v>
      </c>
      <c r="AH538" s="321">
        <f>IF(B538&lt;&gt;"",IF(H538="x",VLOOKUP(I538,'AUX-NIV3'!B:AG,32,FALSE),0),"")</f>
        <v>0</v>
      </c>
      <c r="AI538" s="321" t="str">
        <f t="shared" si="256"/>
        <v>X-CUR</v>
      </c>
      <c r="AJ538" s="320"/>
      <c r="AK538" s="322">
        <f t="shared" si="247"/>
        <v>536</v>
      </c>
      <c r="AL538" s="323">
        <f t="shared" si="257"/>
        <v>538</v>
      </c>
      <c r="AM538" s="322">
        <f t="shared" si="258"/>
        <v>3</v>
      </c>
      <c r="AN538" s="380">
        <f>IF(AND(AH538&gt;0,B538&lt;&gt;""),VLOOKUP(I538,'AUX-NIV3'!$B:$AO,39,FALSE)*O538,0)</f>
        <v>0</v>
      </c>
      <c r="AO538" s="380">
        <f t="shared" si="248"/>
        <v>0.1</v>
      </c>
      <c r="AP538" s="380"/>
    </row>
    <row r="539" spans="2:42" ht="14.4" hidden="1" thickTop="1" thickBot="1">
      <c r="B539" s="324" t="s">
        <v>1508</v>
      </c>
      <c r="C539" s="325" t="s">
        <v>1509</v>
      </c>
      <c r="D539" s="326" t="s">
        <v>1160</v>
      </c>
      <c r="E539" s="327">
        <f>IF(B539&lt;&gt;"",SUMIF('AUX-NIV1'!I:I,'AUX-NIV2'!B539,'AUX-NIV1'!Q:Q),"")</f>
        <v>0</v>
      </c>
      <c r="F539" s="327">
        <f t="shared" si="238"/>
        <v>5751.7751431377656</v>
      </c>
      <c r="G539" s="327">
        <f t="shared" si="239"/>
        <v>0</v>
      </c>
      <c r="H539" s="328" t="str">
        <f t="shared" si="260"/>
        <v>M</v>
      </c>
      <c r="I539" s="325" t="s">
        <v>495</v>
      </c>
      <c r="J539" s="329" t="str">
        <f>IF(B539&lt;&gt;"",+VLOOKUP(I539,Recursos!C:F,2,FALSE),"")</f>
        <v>PLASTIFICANTE</v>
      </c>
      <c r="K539" s="330" t="str">
        <f>IF(B539&lt;&gt;"",+VLOOKUP(I539,Recursos!C:F,3,FALSE),"")</f>
        <v>Kg</v>
      </c>
      <c r="L539" s="327">
        <f>IF(B539&lt;&gt;"",+VLOOKUP(I539,Recursos!C:F,4,FALSE),"")</f>
        <v>40.25</v>
      </c>
      <c r="M539" s="447">
        <v>0.45</v>
      </c>
      <c r="N539" s="448"/>
      <c r="O539" s="449">
        <f>+M540*M542/100</f>
        <v>2.1</v>
      </c>
      <c r="P539" s="333">
        <f t="shared" si="235"/>
        <v>84.525000000000006</v>
      </c>
      <c r="Q539" s="327">
        <f t="shared" si="236"/>
        <v>0</v>
      </c>
      <c r="R539" s="334">
        <f t="shared" si="237"/>
        <v>0</v>
      </c>
      <c r="S539" s="335">
        <f t="shared" si="240"/>
        <v>0</v>
      </c>
      <c r="T539" s="335">
        <f t="shared" si="241"/>
        <v>0</v>
      </c>
      <c r="U539" s="336">
        <f t="shared" si="242"/>
        <v>4650.8506916962424</v>
      </c>
      <c r="V539" s="336">
        <f t="shared" si="243"/>
        <v>0</v>
      </c>
      <c r="W539" s="336">
        <f t="shared" si="244"/>
        <v>0</v>
      </c>
      <c r="X539" s="336">
        <f t="shared" si="245"/>
        <v>1100.9244514415236</v>
      </c>
      <c r="Y539" s="320"/>
      <c r="Z539" s="321" t="str">
        <f t="shared" si="249"/>
        <v>X-ELAA</v>
      </c>
      <c r="AA539" s="321" t="str">
        <f t="shared" si="250"/>
        <v>X-ELAE</v>
      </c>
      <c r="AB539" s="321" t="str">
        <f t="shared" si="251"/>
        <v>X-ELAM</v>
      </c>
      <c r="AC539" s="321" t="str">
        <f t="shared" si="252"/>
        <v>X-ELAT</v>
      </c>
      <c r="AD539" s="321" t="str">
        <f t="shared" si="253"/>
        <v>X-ELAS</v>
      </c>
      <c r="AE539" s="321" t="str">
        <f t="shared" si="254"/>
        <v>X-ELAX</v>
      </c>
      <c r="AF539" s="321" t="str">
        <f t="shared" si="255"/>
        <v>X-ELAM</v>
      </c>
      <c r="AG539" s="321">
        <f t="shared" si="246"/>
        <v>7</v>
      </c>
      <c r="AH539" s="321">
        <f>IF(B539&lt;&gt;"",IF(H539="x",VLOOKUP(I539,'AUX-NIV3'!B:AG,32,FALSE),0),"")</f>
        <v>0</v>
      </c>
      <c r="AI539" s="321" t="str">
        <f t="shared" si="256"/>
        <v>X-ELA</v>
      </c>
      <c r="AJ539" s="320"/>
      <c r="AK539" s="322">
        <f t="shared" si="247"/>
        <v>539</v>
      </c>
      <c r="AL539" s="323">
        <f t="shared" si="257"/>
        <v>545</v>
      </c>
      <c r="AM539" s="322">
        <f t="shared" si="258"/>
        <v>1</v>
      </c>
      <c r="AN539" s="380">
        <f>IF(AND(AH539&gt;0,B539&lt;&gt;""),VLOOKUP(I539,'AUX-NIV3'!$B:$AO,39,FALSE)*O539,0)</f>
        <v>0</v>
      </c>
      <c r="AO539" s="380">
        <f t="shared" si="248"/>
        <v>0.93480624999999995</v>
      </c>
      <c r="AP539" s="380"/>
    </row>
    <row r="540" spans="2:42" ht="14.4" hidden="1" thickTop="1" thickBot="1">
      <c r="B540" s="324" t="s">
        <v>1508</v>
      </c>
      <c r="C540" s="325" t="s">
        <v>1509</v>
      </c>
      <c r="D540" s="326" t="s">
        <v>1160</v>
      </c>
      <c r="E540" s="327">
        <f>IF(B540&lt;&gt;"",SUMIF('AUX-NIV1'!I:I,'AUX-NIV2'!B540,'AUX-NIV1'!Q:Q),"")</f>
        <v>0</v>
      </c>
      <c r="F540" s="327">
        <f t="shared" si="238"/>
        <v>5751.7751431377656</v>
      </c>
      <c r="G540" s="327">
        <f t="shared" si="239"/>
        <v>0</v>
      </c>
      <c r="H540" s="328" t="str">
        <f t="shared" si="260"/>
        <v>M</v>
      </c>
      <c r="I540" s="325" t="s">
        <v>457</v>
      </c>
      <c r="J540" s="329" t="str">
        <f>IF(B540&lt;&gt;"",+VLOOKUP(I540,Recursos!C:F,2,FALSE),"")</f>
        <v>CEMENTO A GRANEL (NORMAL)</v>
      </c>
      <c r="K540" s="330" t="str">
        <f>IF(B540&lt;&gt;"",+VLOOKUP(I540,Recursos!C:F,3,FALSE),"")</f>
        <v>TN</v>
      </c>
      <c r="L540" s="327">
        <f>IF(B540&lt;&gt;"",+VLOOKUP(I540,Recursos!C:F,4,FALSE),"")</f>
        <v>6989</v>
      </c>
      <c r="M540" s="452">
        <v>420</v>
      </c>
      <c r="N540" s="453"/>
      <c r="O540" s="449">
        <f>+M540/1000*M543</f>
        <v>0.441</v>
      </c>
      <c r="P540" s="333">
        <f t="shared" si="235"/>
        <v>3082.1489999999999</v>
      </c>
      <c r="Q540" s="327">
        <f t="shared" si="236"/>
        <v>0</v>
      </c>
      <c r="R540" s="334">
        <f t="shared" si="237"/>
        <v>0</v>
      </c>
      <c r="S540" s="335">
        <f t="shared" si="240"/>
        <v>0</v>
      </c>
      <c r="T540" s="335">
        <f t="shared" si="241"/>
        <v>0</v>
      </c>
      <c r="U540" s="336">
        <f t="shared" si="242"/>
        <v>4650.8506916962424</v>
      </c>
      <c r="V540" s="336">
        <f t="shared" si="243"/>
        <v>0</v>
      </c>
      <c r="W540" s="336">
        <f t="shared" si="244"/>
        <v>0</v>
      </c>
      <c r="X540" s="336">
        <f t="shared" si="245"/>
        <v>1100.9244514415236</v>
      </c>
      <c r="Y540" s="320"/>
      <c r="Z540" s="321" t="str">
        <f t="shared" si="249"/>
        <v>X-ELAA</v>
      </c>
      <c r="AA540" s="321" t="str">
        <f t="shared" si="250"/>
        <v>X-ELAE</v>
      </c>
      <c r="AB540" s="321" t="str">
        <f t="shared" si="251"/>
        <v>X-ELAM</v>
      </c>
      <c r="AC540" s="321" t="str">
        <f t="shared" si="252"/>
        <v>X-ELAT</v>
      </c>
      <c r="AD540" s="321" t="str">
        <f t="shared" si="253"/>
        <v>X-ELAS</v>
      </c>
      <c r="AE540" s="321" t="str">
        <f t="shared" si="254"/>
        <v>X-ELAX</v>
      </c>
      <c r="AF540" s="321" t="str">
        <f t="shared" si="255"/>
        <v>X-ELAM</v>
      </c>
      <c r="AG540" s="321">
        <f t="shared" si="246"/>
        <v>7</v>
      </c>
      <c r="AH540" s="321">
        <f>IF(B540&lt;&gt;"",IF(H540="x",VLOOKUP(I540,'AUX-NIV3'!B:AG,32,FALSE),0),"")</f>
        <v>0</v>
      </c>
      <c r="AI540" s="321" t="str">
        <f t="shared" si="256"/>
        <v>X-ELA</v>
      </c>
      <c r="AJ540" s="320"/>
      <c r="AK540" s="322">
        <f t="shared" si="247"/>
        <v>539</v>
      </c>
      <c r="AL540" s="323">
        <f t="shared" si="257"/>
        <v>545</v>
      </c>
      <c r="AM540" s="322">
        <f t="shared" si="258"/>
        <v>2</v>
      </c>
      <c r="AN540" s="380">
        <f>IF(AND(AH540&gt;0,B540&lt;&gt;""),VLOOKUP(I540,'AUX-NIV3'!$B:$AO,39,FALSE)*O540,0)</f>
        <v>0</v>
      </c>
      <c r="AO540" s="380">
        <f t="shared" si="248"/>
        <v>0.93480624999999995</v>
      </c>
      <c r="AP540" s="380"/>
    </row>
    <row r="541" spans="2:42" ht="14.4" hidden="1" thickTop="1" thickBot="1">
      <c r="B541" s="324" t="s">
        <v>1508</v>
      </c>
      <c r="C541" s="325" t="s">
        <v>1509</v>
      </c>
      <c r="D541" s="326" t="s">
        <v>1160</v>
      </c>
      <c r="E541" s="327">
        <f>IF(B541&lt;&gt;"",SUMIF('AUX-NIV1'!I:I,'AUX-NIV2'!B541,'AUX-NIV1'!Q:Q),"")</f>
        <v>0</v>
      </c>
      <c r="F541" s="327">
        <f t="shared" si="238"/>
        <v>5751.7751431377656</v>
      </c>
      <c r="G541" s="327">
        <f t="shared" si="239"/>
        <v>0</v>
      </c>
      <c r="H541" s="328" t="str">
        <f t="shared" si="260"/>
        <v>M</v>
      </c>
      <c r="I541" s="324" t="s">
        <v>1510</v>
      </c>
      <c r="J541" s="329" t="str">
        <f>IF(B541&lt;&gt;"",+VLOOKUP(I541,Recursos!C:F,2,FALSE),"")</f>
        <v>AGREGADO GRUESO</v>
      </c>
      <c r="K541" s="330" t="str">
        <f>IF(B541&lt;&gt;"",+VLOOKUP(I541,Recursos!C:F,3,FALSE),"")</f>
        <v>Tn</v>
      </c>
      <c r="L541" s="327">
        <f>IF(B541&lt;&gt;"",+VLOOKUP(I541,Recursos!C:F,4,FALSE),"")</f>
        <v>900</v>
      </c>
      <c r="M541" s="452">
        <v>10</v>
      </c>
      <c r="N541" s="453">
        <v>0.6</v>
      </c>
      <c r="O541" s="449">
        <f>+N541*(M544-(M540*(1+M539)/1000))*M543</f>
        <v>1.1283300000000001</v>
      </c>
      <c r="P541" s="333">
        <f t="shared" si="235"/>
        <v>1015.4970000000001</v>
      </c>
      <c r="Q541" s="327">
        <f t="shared" si="236"/>
        <v>0</v>
      </c>
      <c r="R541" s="334">
        <f t="shared" si="237"/>
        <v>0</v>
      </c>
      <c r="S541" s="335">
        <f t="shared" si="240"/>
        <v>0</v>
      </c>
      <c r="T541" s="335">
        <f t="shared" si="241"/>
        <v>0</v>
      </c>
      <c r="U541" s="336">
        <f t="shared" si="242"/>
        <v>4650.8506916962424</v>
      </c>
      <c r="V541" s="336">
        <f t="shared" si="243"/>
        <v>0</v>
      </c>
      <c r="W541" s="336">
        <f t="shared" si="244"/>
        <v>0</v>
      </c>
      <c r="X541" s="336">
        <f t="shared" si="245"/>
        <v>1100.9244514415236</v>
      </c>
      <c r="Y541" s="320"/>
      <c r="Z541" s="321" t="str">
        <f t="shared" si="249"/>
        <v>X-ELAA</v>
      </c>
      <c r="AA541" s="321" t="str">
        <f t="shared" si="250"/>
        <v>X-ELAE</v>
      </c>
      <c r="AB541" s="321" t="str">
        <f t="shared" si="251"/>
        <v>X-ELAM</v>
      </c>
      <c r="AC541" s="321" t="str">
        <f t="shared" si="252"/>
        <v>X-ELAT</v>
      </c>
      <c r="AD541" s="321" t="str">
        <f t="shared" si="253"/>
        <v>X-ELAS</v>
      </c>
      <c r="AE541" s="321" t="str">
        <f t="shared" si="254"/>
        <v>X-ELAX</v>
      </c>
      <c r="AF541" s="321" t="str">
        <f t="shared" si="255"/>
        <v>X-ELAM</v>
      </c>
      <c r="AG541" s="321">
        <f t="shared" si="246"/>
        <v>7</v>
      </c>
      <c r="AH541" s="321">
        <f>IF(B541&lt;&gt;"",IF(H541="x",VLOOKUP(I541,'AUX-NIV3'!B:AG,32,FALSE),0),"")</f>
        <v>0</v>
      </c>
      <c r="AI541" s="321" t="str">
        <f t="shared" si="256"/>
        <v>X-ELA</v>
      </c>
      <c r="AJ541" s="320"/>
      <c r="AK541" s="322">
        <f t="shared" si="247"/>
        <v>539</v>
      </c>
      <c r="AL541" s="323">
        <f t="shared" si="257"/>
        <v>545</v>
      </c>
      <c r="AM541" s="322">
        <f t="shared" si="258"/>
        <v>3</v>
      </c>
      <c r="AN541" s="380">
        <f>IF(AND(AH541&gt;0,B541&lt;&gt;""),VLOOKUP(I541,'AUX-NIV3'!$B:$AO,39,FALSE)*O541,0)</f>
        <v>0</v>
      </c>
      <c r="AO541" s="380">
        <f t="shared" si="248"/>
        <v>0.93480624999999995</v>
      </c>
      <c r="AP541" s="380"/>
    </row>
    <row r="542" spans="2:42" ht="14.4" hidden="1" thickTop="1" thickBot="1">
      <c r="B542" s="324" t="s">
        <v>1508</v>
      </c>
      <c r="C542" s="325" t="s">
        <v>1509</v>
      </c>
      <c r="D542" s="326" t="s">
        <v>1160</v>
      </c>
      <c r="E542" s="327">
        <f>IF(B542&lt;&gt;"",SUMIF('AUX-NIV1'!I:I,'AUX-NIV2'!B542,'AUX-NIV1'!Q:Q),"")</f>
        <v>0</v>
      </c>
      <c r="F542" s="327">
        <f t="shared" si="238"/>
        <v>5751.7751431377656</v>
      </c>
      <c r="G542" s="327">
        <f t="shared" si="239"/>
        <v>0</v>
      </c>
      <c r="H542" s="328" t="str">
        <f t="shared" si="260"/>
        <v>M</v>
      </c>
      <c r="I542" s="325" t="s">
        <v>1511</v>
      </c>
      <c r="J542" s="329" t="str">
        <f>IF(B542&lt;&gt;"",+VLOOKUP(I542,Recursos!C:F,2,FALSE),"")</f>
        <v>AGREGADO FINO</v>
      </c>
      <c r="K542" s="330" t="str">
        <f>IF(B542&lt;&gt;"",+VLOOKUP(I542,Recursos!C:F,3,FALSE),"")</f>
        <v>tn</v>
      </c>
      <c r="L542" s="327">
        <f>IF(B542&lt;&gt;"",+VLOOKUP(I542,Recursos!C:F,4,FALSE),"")</f>
        <v>346.12398419675657</v>
      </c>
      <c r="M542" s="452">
        <v>0.5</v>
      </c>
      <c r="N542" s="453">
        <v>0.2</v>
      </c>
      <c r="O542" s="449">
        <f>+N542*(M544-(M540*(1+M539)/1000))*M543</f>
        <v>0.37611000000000006</v>
      </c>
      <c r="P542" s="333">
        <f t="shared" si="235"/>
        <v>130.18069169624212</v>
      </c>
      <c r="Q542" s="327">
        <f t="shared" si="236"/>
        <v>0</v>
      </c>
      <c r="R542" s="334">
        <f t="shared" si="237"/>
        <v>0</v>
      </c>
      <c r="S542" s="335">
        <f t="shared" si="240"/>
        <v>0</v>
      </c>
      <c r="T542" s="335">
        <f t="shared" si="241"/>
        <v>0</v>
      </c>
      <c r="U542" s="336">
        <f t="shared" si="242"/>
        <v>4650.8506916962424</v>
      </c>
      <c r="V542" s="336">
        <f t="shared" si="243"/>
        <v>0</v>
      </c>
      <c r="W542" s="336">
        <f t="shared" si="244"/>
        <v>0</v>
      </c>
      <c r="X542" s="336">
        <f t="shared" si="245"/>
        <v>1100.9244514415236</v>
      </c>
      <c r="Y542" s="320"/>
      <c r="Z542" s="321" t="str">
        <f t="shared" si="249"/>
        <v>X-ELAA</v>
      </c>
      <c r="AA542" s="321" t="str">
        <f t="shared" si="250"/>
        <v>X-ELAE</v>
      </c>
      <c r="AB542" s="321" t="str">
        <f t="shared" si="251"/>
        <v>X-ELAM</v>
      </c>
      <c r="AC542" s="321" t="str">
        <f t="shared" si="252"/>
        <v>X-ELAT</v>
      </c>
      <c r="AD542" s="321" t="str">
        <f t="shared" si="253"/>
        <v>X-ELAS</v>
      </c>
      <c r="AE542" s="321" t="str">
        <f t="shared" si="254"/>
        <v>X-ELAX</v>
      </c>
      <c r="AF542" s="321" t="str">
        <f t="shared" si="255"/>
        <v>X-ELAM</v>
      </c>
      <c r="AG542" s="321">
        <f t="shared" si="246"/>
        <v>7</v>
      </c>
      <c r="AH542" s="321">
        <f>IF(B542&lt;&gt;"",IF(H542="x",VLOOKUP(I542,'AUX-NIV3'!B:AG,32,FALSE),0),"")</f>
        <v>0</v>
      </c>
      <c r="AI542" s="321" t="str">
        <f t="shared" si="256"/>
        <v>X-ELA</v>
      </c>
      <c r="AJ542" s="320"/>
      <c r="AK542" s="322">
        <f t="shared" si="247"/>
        <v>539</v>
      </c>
      <c r="AL542" s="323">
        <f t="shared" si="257"/>
        <v>545</v>
      </c>
      <c r="AM542" s="322">
        <f t="shared" si="258"/>
        <v>4</v>
      </c>
      <c r="AN542" s="380">
        <f>IF(AND(AH542&gt;0,B542&lt;&gt;""),VLOOKUP(I542,'AUX-NIV3'!$B:$AO,39,FALSE)*O542,0)</f>
        <v>0</v>
      </c>
      <c r="AO542" s="380">
        <f t="shared" si="248"/>
        <v>0.93480624999999995</v>
      </c>
      <c r="AP542" s="380"/>
    </row>
    <row r="543" spans="2:42" ht="14.4" hidden="1" thickTop="1" thickBot="1">
      <c r="B543" s="324" t="s">
        <v>1508</v>
      </c>
      <c r="C543" s="325" t="s">
        <v>1509</v>
      </c>
      <c r="D543" s="326" t="s">
        <v>1160</v>
      </c>
      <c r="E543" s="327">
        <f>IF(B543&lt;&gt;"",SUMIF('AUX-NIV1'!I:I,'AUX-NIV2'!B543,'AUX-NIV1'!Q:Q),"")</f>
        <v>0</v>
      </c>
      <c r="F543" s="327">
        <f t="shared" si="238"/>
        <v>5751.7751431377656</v>
      </c>
      <c r="G543" s="327">
        <f t="shared" si="239"/>
        <v>0</v>
      </c>
      <c r="H543" s="328" t="str">
        <f t="shared" si="260"/>
        <v>M</v>
      </c>
      <c r="I543" s="325" t="s">
        <v>1512</v>
      </c>
      <c r="J543" s="329" t="str">
        <f>IF(B543&lt;&gt;"",+VLOOKUP(I543,Recursos!C:F,2,FALSE),"")</f>
        <v>ARENA ZARANDEADA</v>
      </c>
      <c r="K543" s="330" t="str">
        <f>IF(B543&lt;&gt;"",+VLOOKUP(I543,Recursos!C:F,3,FALSE),"")</f>
        <v>Tn</v>
      </c>
      <c r="L543" s="327">
        <f>IF(B543&lt;&gt;"",+VLOOKUP(I543,Recursos!C:F,4,FALSE),"")</f>
        <v>900</v>
      </c>
      <c r="M543" s="452">
        <v>1.05</v>
      </c>
      <c r="N543" s="453">
        <v>0.2</v>
      </c>
      <c r="O543" s="449">
        <f>+N543*(M544-(M540*(1+M539)/1000))*M543</f>
        <v>0.37611000000000006</v>
      </c>
      <c r="P543" s="333">
        <f t="shared" si="235"/>
        <v>338.49900000000002</v>
      </c>
      <c r="Q543" s="327">
        <f t="shared" si="236"/>
        <v>0</v>
      </c>
      <c r="R543" s="334">
        <f t="shared" si="237"/>
        <v>0</v>
      </c>
      <c r="S543" s="335">
        <f t="shared" si="240"/>
        <v>0</v>
      </c>
      <c r="T543" s="335">
        <f t="shared" si="241"/>
        <v>0</v>
      </c>
      <c r="U543" s="336">
        <f t="shared" si="242"/>
        <v>4650.8506916962424</v>
      </c>
      <c r="V543" s="336">
        <f t="shared" si="243"/>
        <v>0</v>
      </c>
      <c r="W543" s="336">
        <f t="shared" si="244"/>
        <v>0</v>
      </c>
      <c r="X543" s="336">
        <f t="shared" si="245"/>
        <v>1100.9244514415236</v>
      </c>
      <c r="Y543" s="320"/>
      <c r="Z543" s="321" t="str">
        <f t="shared" si="249"/>
        <v>X-ELAA</v>
      </c>
      <c r="AA543" s="321" t="str">
        <f t="shared" si="250"/>
        <v>X-ELAE</v>
      </c>
      <c r="AB543" s="321" t="str">
        <f t="shared" si="251"/>
        <v>X-ELAM</v>
      </c>
      <c r="AC543" s="321" t="str">
        <f t="shared" si="252"/>
        <v>X-ELAT</v>
      </c>
      <c r="AD543" s="321" t="str">
        <f t="shared" si="253"/>
        <v>X-ELAS</v>
      </c>
      <c r="AE543" s="321" t="str">
        <f t="shared" si="254"/>
        <v>X-ELAX</v>
      </c>
      <c r="AF543" s="321" t="str">
        <f t="shared" si="255"/>
        <v>X-ELAM</v>
      </c>
      <c r="AG543" s="321">
        <f t="shared" si="246"/>
        <v>7</v>
      </c>
      <c r="AH543" s="321">
        <f>IF(B543&lt;&gt;"",IF(H543="x",VLOOKUP(I543,'AUX-NIV3'!B:AG,32,FALSE),0),"")</f>
        <v>0</v>
      </c>
      <c r="AI543" s="321" t="str">
        <f t="shared" si="256"/>
        <v>X-ELA</v>
      </c>
      <c r="AJ543" s="320"/>
      <c r="AK543" s="322">
        <f t="shared" si="247"/>
        <v>539</v>
      </c>
      <c r="AL543" s="323">
        <f t="shared" si="257"/>
        <v>545</v>
      </c>
      <c r="AM543" s="322">
        <f t="shared" si="258"/>
        <v>5</v>
      </c>
      <c r="AN543" s="380">
        <f>IF(AND(AH543&gt;0,B543&lt;&gt;""),VLOOKUP(I543,'AUX-NIV3'!$B:$AO,39,FALSE)*O543,0)</f>
        <v>0</v>
      </c>
      <c r="AO543" s="380">
        <f t="shared" si="248"/>
        <v>0.93480624999999995</v>
      </c>
      <c r="AP543" s="380"/>
    </row>
    <row r="544" spans="2:42" ht="14.4" hidden="1" thickTop="1" thickBot="1">
      <c r="B544" s="324" t="s">
        <v>1508</v>
      </c>
      <c r="C544" s="325" t="s">
        <v>1509</v>
      </c>
      <c r="D544" s="326" t="s">
        <v>1160</v>
      </c>
      <c r="E544" s="327">
        <f>IF(B544&lt;&gt;"",SUMIF('AUX-NIV1'!I:I,'AUX-NIV2'!B544,'AUX-NIV1'!Q:Q),"")</f>
        <v>0</v>
      </c>
      <c r="F544" s="327">
        <f t="shared" si="238"/>
        <v>5751.7751431377656</v>
      </c>
      <c r="G544" s="327">
        <f t="shared" si="239"/>
        <v>0</v>
      </c>
      <c r="H544" s="328" t="str">
        <f t="shared" si="260"/>
        <v>X</v>
      </c>
      <c r="I544" s="325" t="s">
        <v>1499</v>
      </c>
      <c r="J544" s="329" t="str">
        <f>IF(B544&lt;&gt;"",+VLOOKUP(I544,Recursos!C:F,2,FALSE),"")</f>
        <v>Agua para hormigones</v>
      </c>
      <c r="K544" s="330" t="str">
        <f>IF(B544&lt;&gt;"",+VLOOKUP(I544,Recursos!C:F,3,FALSE),"")</f>
        <v>m3</v>
      </c>
      <c r="L544" s="327">
        <f>IF(B544&lt;&gt;"",+VLOOKUP(I544,Recursos!C:F,4,FALSE),"")</f>
        <v>400.95923429909482</v>
      </c>
      <c r="M544" s="452">
        <v>2.4</v>
      </c>
      <c r="N544" s="453"/>
      <c r="O544" s="449">
        <f>+M539*M540/1000*M543</f>
        <v>0.19845000000000002</v>
      </c>
      <c r="P544" s="333">
        <f t="shared" si="235"/>
        <v>79.570360046655367</v>
      </c>
      <c r="Q544" s="327">
        <f t="shared" si="236"/>
        <v>0</v>
      </c>
      <c r="R544" s="334">
        <f t="shared" si="237"/>
        <v>0</v>
      </c>
      <c r="S544" s="335">
        <f t="shared" si="240"/>
        <v>0</v>
      </c>
      <c r="T544" s="335">
        <f t="shared" si="241"/>
        <v>0</v>
      </c>
      <c r="U544" s="336">
        <f t="shared" si="242"/>
        <v>4650.8506916962424</v>
      </c>
      <c r="V544" s="336">
        <f t="shared" si="243"/>
        <v>0</v>
      </c>
      <c r="W544" s="336">
        <f t="shared" si="244"/>
        <v>0</v>
      </c>
      <c r="X544" s="336">
        <f t="shared" si="245"/>
        <v>1100.9244514415236</v>
      </c>
      <c r="Y544" s="320"/>
      <c r="Z544" s="321" t="str">
        <f t="shared" si="249"/>
        <v>X-ELAA</v>
      </c>
      <c r="AA544" s="321" t="str">
        <f t="shared" si="250"/>
        <v>X-ELAE</v>
      </c>
      <c r="AB544" s="321" t="str">
        <f t="shared" si="251"/>
        <v>X-ELAM</v>
      </c>
      <c r="AC544" s="321" t="str">
        <f t="shared" si="252"/>
        <v>X-ELAT</v>
      </c>
      <c r="AD544" s="321" t="str">
        <f t="shared" si="253"/>
        <v>X-ELAS</v>
      </c>
      <c r="AE544" s="321" t="str">
        <f t="shared" si="254"/>
        <v>X-ELAX</v>
      </c>
      <c r="AF544" s="321" t="str">
        <f t="shared" si="255"/>
        <v>X-ELAX</v>
      </c>
      <c r="AG544" s="321">
        <f t="shared" si="246"/>
        <v>7</v>
      </c>
      <c r="AH544" s="321">
        <f>IF(B544&lt;&gt;"",IF(H544="x",VLOOKUP(I544,'AUX-NIV3'!B:AG,32,FALSE),0),"")</f>
        <v>4</v>
      </c>
      <c r="AI544" s="321" t="str">
        <f t="shared" si="256"/>
        <v>X-ELA</v>
      </c>
      <c r="AJ544" s="320"/>
      <c r="AK544" s="322">
        <f t="shared" si="247"/>
        <v>539</v>
      </c>
      <c r="AL544" s="323">
        <f t="shared" si="257"/>
        <v>545</v>
      </c>
      <c r="AM544" s="322">
        <f t="shared" si="258"/>
        <v>6</v>
      </c>
      <c r="AN544" s="380">
        <f>IF(AND(AH544&gt;0,B544&lt;&gt;""),VLOOKUP(I544,'AUX-NIV3'!$B:$AO,39,FALSE)*O544,0)</f>
        <v>2.4806250000000002E-2</v>
      </c>
      <c r="AO544" s="380">
        <f t="shared" si="248"/>
        <v>0.93480624999999995</v>
      </c>
      <c r="AP544" s="380"/>
    </row>
    <row r="545" spans="2:42" ht="14.4" hidden="1" thickTop="1" thickBot="1">
      <c r="B545" s="324" t="s">
        <v>1508</v>
      </c>
      <c r="C545" s="325" t="s">
        <v>1509</v>
      </c>
      <c r="D545" s="326" t="s">
        <v>1160</v>
      </c>
      <c r="E545" s="327">
        <f>IF(B545&lt;&gt;"",SUMIF('AUX-NIV1'!I:I,'AUX-NIV2'!B545,'AUX-NIV1'!Q:Q),"")</f>
        <v>0</v>
      </c>
      <c r="F545" s="327">
        <f t="shared" si="238"/>
        <v>5751.7751431377656</v>
      </c>
      <c r="G545" s="327">
        <f t="shared" si="239"/>
        <v>0</v>
      </c>
      <c r="H545" s="328" t="str">
        <f t="shared" si="260"/>
        <v>X</v>
      </c>
      <c r="I545" s="324" t="s">
        <v>1502</v>
      </c>
      <c r="J545" s="329" t="str">
        <f>IF(B545&lt;&gt;"",+VLOOKUP(I545,Recursos!C:F,2,FALSE),"")</f>
        <v>Producción de Hormigón en Planta</v>
      </c>
      <c r="K545" s="330" t="str">
        <f>IF(B545&lt;&gt;"",+VLOOKUP(I545,Recursos!C:F,3,FALSE),"")</f>
        <v>m3</v>
      </c>
      <c r="L545" s="327">
        <f>IF(B545&lt;&gt;"",+VLOOKUP(I545,Recursos!C:F,4,FALSE),"")</f>
        <v>972.7181822808268</v>
      </c>
      <c r="M545" s="450"/>
      <c r="N545" s="451"/>
      <c r="O545" s="449">
        <f>+M543</f>
        <v>1.05</v>
      </c>
      <c r="P545" s="333">
        <f t="shared" si="235"/>
        <v>1021.3540913948682</v>
      </c>
      <c r="Q545" s="327">
        <f t="shared" si="236"/>
        <v>0</v>
      </c>
      <c r="R545" s="334">
        <f t="shared" si="237"/>
        <v>0</v>
      </c>
      <c r="S545" s="335">
        <f t="shared" si="240"/>
        <v>0</v>
      </c>
      <c r="T545" s="335">
        <f t="shared" si="241"/>
        <v>0</v>
      </c>
      <c r="U545" s="336">
        <f t="shared" si="242"/>
        <v>4650.8506916962424</v>
      </c>
      <c r="V545" s="336">
        <f t="shared" si="243"/>
        <v>0</v>
      </c>
      <c r="W545" s="336">
        <f t="shared" si="244"/>
        <v>0</v>
      </c>
      <c r="X545" s="336">
        <f t="shared" si="245"/>
        <v>1100.9244514415236</v>
      </c>
      <c r="Y545" s="320"/>
      <c r="Z545" s="321" t="str">
        <f t="shared" si="249"/>
        <v>X-ELAA</v>
      </c>
      <c r="AA545" s="321" t="str">
        <f t="shared" si="250"/>
        <v>X-ELAE</v>
      </c>
      <c r="AB545" s="321" t="str">
        <f t="shared" si="251"/>
        <v>X-ELAM</v>
      </c>
      <c r="AC545" s="321" t="str">
        <f t="shared" si="252"/>
        <v>X-ELAT</v>
      </c>
      <c r="AD545" s="321" t="str">
        <f t="shared" si="253"/>
        <v>X-ELAS</v>
      </c>
      <c r="AE545" s="321" t="str">
        <f t="shared" si="254"/>
        <v>X-ELAX</v>
      </c>
      <c r="AF545" s="321" t="str">
        <f t="shared" si="255"/>
        <v>X-ELAX</v>
      </c>
      <c r="AG545" s="321">
        <f t="shared" si="246"/>
        <v>7</v>
      </c>
      <c r="AH545" s="321">
        <f>IF(B545&lt;&gt;"",IF(H545="x",VLOOKUP(I545,'AUX-NIV3'!B:AG,32,FALSE),0),"")</f>
        <v>8</v>
      </c>
      <c r="AI545" s="321" t="str">
        <f t="shared" si="256"/>
        <v>X-ELA</v>
      </c>
      <c r="AJ545" s="320"/>
      <c r="AK545" s="322">
        <f t="shared" si="247"/>
        <v>539</v>
      </c>
      <c r="AL545" s="323">
        <f t="shared" si="257"/>
        <v>545</v>
      </c>
      <c r="AM545" s="322">
        <f t="shared" si="258"/>
        <v>7</v>
      </c>
      <c r="AN545" s="380">
        <f>IF(AND(AH545&gt;0,B545&lt;&gt;""),VLOOKUP(I545,'AUX-NIV3'!$B:$AO,39,FALSE)*O545,0)</f>
        <v>0.90999999999999992</v>
      </c>
      <c r="AO545" s="380">
        <f t="shared" si="248"/>
        <v>0.93480624999999995</v>
      </c>
      <c r="AP545" s="380"/>
    </row>
    <row r="546" spans="2:42" ht="14.4" hidden="1" thickTop="1" thickBot="1">
      <c r="B546" s="324" t="s">
        <v>1517</v>
      </c>
      <c r="C546" s="325" t="s">
        <v>1523</v>
      </c>
      <c r="D546" s="326" t="s">
        <v>1160</v>
      </c>
      <c r="E546" s="327">
        <f>IF(B546&lt;&gt;"",SUMIF('AUX-NIV1'!I:I,'AUX-NIV2'!B546,'AUX-NIV1'!Q:Q),"")</f>
        <v>0</v>
      </c>
      <c r="F546" s="327">
        <f t="shared" si="238"/>
        <v>5753.4909532294851</v>
      </c>
      <c r="G546" s="327">
        <f t="shared" si="239"/>
        <v>0</v>
      </c>
      <c r="H546" s="328" t="str">
        <f t="shared" si="260"/>
        <v>M</v>
      </c>
      <c r="I546" s="325" t="s">
        <v>114</v>
      </c>
      <c r="J546" s="329" t="str">
        <f>IF(B546&lt;&gt;"",+VLOOKUP(I546,Recursos!C:F,2,FALSE),"")</f>
        <v>Sigunita en polvo</v>
      </c>
      <c r="K546" s="330" t="str">
        <f>IF(B546&lt;&gt;"",+VLOOKUP(I546,Recursos!C:F,3,FALSE),"")</f>
        <v>Kg</v>
      </c>
      <c r="L546" s="327">
        <f>IF(B546&lt;&gt;"",+VLOOKUP(I546,Recursos!C:F,4,FALSE),"")</f>
        <v>35.075000000000003</v>
      </c>
      <c r="M546" s="454">
        <v>0.5</v>
      </c>
      <c r="N546" s="448"/>
      <c r="O546" s="449">
        <f>+M547*M549/100</f>
        <v>5</v>
      </c>
      <c r="P546" s="333">
        <f t="shared" si="235"/>
        <v>175.375</v>
      </c>
      <c r="Q546" s="327">
        <f t="shared" si="236"/>
        <v>0</v>
      </c>
      <c r="R546" s="334">
        <f t="shared" si="237"/>
        <v>0</v>
      </c>
      <c r="S546" s="335">
        <f t="shared" si="240"/>
        <v>0</v>
      </c>
      <c r="T546" s="335">
        <f t="shared" si="241"/>
        <v>0</v>
      </c>
      <c r="U546" s="336">
        <f t="shared" si="242"/>
        <v>4732.1368618346169</v>
      </c>
      <c r="V546" s="336">
        <f t="shared" si="243"/>
        <v>0</v>
      </c>
      <c r="W546" s="336">
        <f t="shared" si="244"/>
        <v>0</v>
      </c>
      <c r="X546" s="336">
        <f t="shared" si="245"/>
        <v>1021.3540913948682</v>
      </c>
      <c r="Y546" s="320"/>
      <c r="Z546" s="321" t="str">
        <f t="shared" si="249"/>
        <v>X-ELA3A</v>
      </c>
      <c r="AA546" s="321" t="str">
        <f t="shared" si="250"/>
        <v>X-ELA3E</v>
      </c>
      <c r="AB546" s="321" t="str">
        <f t="shared" si="251"/>
        <v>X-ELA3M</v>
      </c>
      <c r="AC546" s="321" t="str">
        <f t="shared" si="252"/>
        <v>X-ELA3T</v>
      </c>
      <c r="AD546" s="321" t="str">
        <f t="shared" si="253"/>
        <v>X-ELA3S</v>
      </c>
      <c r="AE546" s="321" t="str">
        <f t="shared" si="254"/>
        <v>X-ELA3X</v>
      </c>
      <c r="AF546" s="321" t="str">
        <f t="shared" si="255"/>
        <v>X-ELA3M</v>
      </c>
      <c r="AG546" s="321">
        <f t="shared" si="246"/>
        <v>7</v>
      </c>
      <c r="AH546" s="321">
        <f>IF(B546&lt;&gt;"",IF(H546="x",VLOOKUP(I546,'AUX-NIV3'!B:AG,32,FALSE),0),"")</f>
        <v>0</v>
      </c>
      <c r="AI546" s="321" t="str">
        <f t="shared" si="256"/>
        <v>X-ELA3</v>
      </c>
      <c r="AJ546" s="320"/>
      <c r="AK546" s="322">
        <f t="shared" si="247"/>
        <v>546</v>
      </c>
      <c r="AL546" s="323">
        <f t="shared" si="257"/>
        <v>552</v>
      </c>
      <c r="AM546" s="322">
        <f t="shared" si="258"/>
        <v>1</v>
      </c>
      <c r="AN546" s="380">
        <f>IF(AND(AH546&gt;0,B546&lt;&gt;""),VLOOKUP(I546,'AUX-NIV3'!$B:$AO,39,FALSE)*O546,0)</f>
        <v>0</v>
      </c>
      <c r="AO546" s="380">
        <f t="shared" si="248"/>
        <v>0.90999999999999992</v>
      </c>
      <c r="AP546" s="380"/>
    </row>
    <row r="547" spans="2:42" ht="14.4" hidden="1" thickTop="1" thickBot="1">
      <c r="B547" s="324" t="s">
        <v>1517</v>
      </c>
      <c r="C547" s="325" t="s">
        <v>1523</v>
      </c>
      <c r="D547" s="326" t="s">
        <v>1160</v>
      </c>
      <c r="E547" s="327">
        <f>IF(B547&lt;&gt;"",SUMIF('AUX-NIV1'!I:I,'AUX-NIV2'!B547,'AUX-NIV1'!Q:Q),"")</f>
        <v>0</v>
      </c>
      <c r="F547" s="327">
        <f t="shared" si="238"/>
        <v>5753.4909532294851</v>
      </c>
      <c r="G547" s="327">
        <f t="shared" si="239"/>
        <v>0</v>
      </c>
      <c r="H547" s="328" t="str">
        <f t="shared" si="260"/>
        <v>M</v>
      </c>
      <c r="I547" s="325" t="s">
        <v>457</v>
      </c>
      <c r="J547" s="329" t="str">
        <f>IF(B547&lt;&gt;"",+VLOOKUP(I547,Recursos!C:F,2,FALSE),"")</f>
        <v>CEMENTO A GRANEL (NORMAL)</v>
      </c>
      <c r="K547" s="330" t="str">
        <f>IF(B547&lt;&gt;"",+VLOOKUP(I547,Recursos!C:F,3,FALSE),"")</f>
        <v>TN</v>
      </c>
      <c r="L547" s="327">
        <f>IF(B547&lt;&gt;"",+VLOOKUP(I547,Recursos!C:F,4,FALSE),"")</f>
        <v>6989</v>
      </c>
      <c r="M547" s="454">
        <v>500</v>
      </c>
      <c r="N547" s="453"/>
      <c r="O547" s="449">
        <f>+M547/1000*M550</f>
        <v>0.52500000000000002</v>
      </c>
      <c r="P547" s="333">
        <f t="shared" si="235"/>
        <v>3669.2250000000004</v>
      </c>
      <c r="Q547" s="327">
        <f t="shared" si="236"/>
        <v>0</v>
      </c>
      <c r="R547" s="334">
        <f t="shared" si="237"/>
        <v>0</v>
      </c>
      <c r="S547" s="335">
        <f t="shared" si="240"/>
        <v>0</v>
      </c>
      <c r="T547" s="335">
        <f t="shared" si="241"/>
        <v>0</v>
      </c>
      <c r="U547" s="336">
        <f t="shared" si="242"/>
        <v>4732.1368618346169</v>
      </c>
      <c r="V547" s="336">
        <f t="shared" si="243"/>
        <v>0</v>
      </c>
      <c r="W547" s="336">
        <f t="shared" si="244"/>
        <v>0</v>
      </c>
      <c r="X547" s="336">
        <f t="shared" si="245"/>
        <v>1021.3540913948682</v>
      </c>
      <c r="Y547" s="320"/>
      <c r="Z547" s="321" t="str">
        <f t="shared" si="249"/>
        <v>X-ELA3A</v>
      </c>
      <c r="AA547" s="321" t="str">
        <f t="shared" si="250"/>
        <v>X-ELA3E</v>
      </c>
      <c r="AB547" s="321" t="str">
        <f t="shared" si="251"/>
        <v>X-ELA3M</v>
      </c>
      <c r="AC547" s="321" t="str">
        <f t="shared" si="252"/>
        <v>X-ELA3T</v>
      </c>
      <c r="AD547" s="321" t="str">
        <f t="shared" si="253"/>
        <v>X-ELA3S</v>
      </c>
      <c r="AE547" s="321" t="str">
        <f t="shared" si="254"/>
        <v>X-ELA3X</v>
      </c>
      <c r="AF547" s="321" t="str">
        <f t="shared" si="255"/>
        <v>X-ELA3M</v>
      </c>
      <c r="AG547" s="321">
        <f t="shared" si="246"/>
        <v>7</v>
      </c>
      <c r="AH547" s="321">
        <f>IF(B547&lt;&gt;"",IF(H547="x",VLOOKUP(I547,'AUX-NIV3'!B:AG,32,FALSE),0),"")</f>
        <v>0</v>
      </c>
      <c r="AI547" s="321" t="str">
        <f t="shared" si="256"/>
        <v>X-ELA3</v>
      </c>
      <c r="AJ547" s="320"/>
      <c r="AK547" s="322">
        <f t="shared" si="247"/>
        <v>546</v>
      </c>
      <c r="AL547" s="323">
        <f t="shared" si="257"/>
        <v>552</v>
      </c>
      <c r="AM547" s="322">
        <f t="shared" si="258"/>
        <v>2</v>
      </c>
      <c r="AN547" s="380">
        <f>IF(AND(AH547&gt;0,B547&lt;&gt;""),VLOOKUP(I547,'AUX-NIV3'!$B:$AO,39,FALSE)*O547,0)</f>
        <v>0</v>
      </c>
      <c r="AO547" s="380">
        <f t="shared" si="248"/>
        <v>0.90999999999999992</v>
      </c>
      <c r="AP547" s="380"/>
    </row>
    <row r="548" spans="2:42" ht="14.4" hidden="1" thickTop="1" thickBot="1">
      <c r="B548" s="324" t="s">
        <v>1517</v>
      </c>
      <c r="C548" s="325" t="s">
        <v>1523</v>
      </c>
      <c r="D548" s="326" t="s">
        <v>1160</v>
      </c>
      <c r="E548" s="327">
        <f>IF(B548&lt;&gt;"",SUMIF('AUX-NIV1'!I:I,'AUX-NIV2'!B548,'AUX-NIV1'!Q:Q),"")</f>
        <v>0</v>
      </c>
      <c r="F548" s="327">
        <f t="shared" si="238"/>
        <v>5753.4909532294851</v>
      </c>
      <c r="G548" s="327">
        <f t="shared" si="239"/>
        <v>0</v>
      </c>
      <c r="H548" s="328" t="str">
        <f t="shared" si="260"/>
        <v>M</v>
      </c>
      <c r="I548" s="325" t="s">
        <v>1510</v>
      </c>
      <c r="J548" s="329" t="str">
        <f>IF(B548&lt;&gt;"",+VLOOKUP(I548,Recursos!C:F,2,FALSE),"")</f>
        <v>AGREGADO GRUESO</v>
      </c>
      <c r="K548" s="330" t="str">
        <f>IF(B548&lt;&gt;"",+VLOOKUP(I548,Recursos!C:F,3,FALSE),"")</f>
        <v>Tn</v>
      </c>
      <c r="L548" s="327">
        <f>IF(B548&lt;&gt;"",+VLOOKUP(I548,Recursos!C:F,4,FALSE),"")</f>
        <v>900</v>
      </c>
      <c r="M548" s="454">
        <v>2</v>
      </c>
      <c r="N548" s="453"/>
      <c r="O548" s="449">
        <f>+N548*(M551-(M547*(1+M546)/1000))*M550</f>
        <v>0</v>
      </c>
      <c r="P548" s="333">
        <f t="shared" si="235"/>
        <v>0</v>
      </c>
      <c r="Q548" s="327">
        <f t="shared" si="236"/>
        <v>0</v>
      </c>
      <c r="R548" s="334">
        <f t="shared" si="237"/>
        <v>0</v>
      </c>
      <c r="S548" s="335">
        <f t="shared" si="240"/>
        <v>0</v>
      </c>
      <c r="T548" s="335">
        <f t="shared" si="241"/>
        <v>0</v>
      </c>
      <c r="U548" s="336">
        <f t="shared" si="242"/>
        <v>4732.1368618346169</v>
      </c>
      <c r="V548" s="336">
        <f t="shared" si="243"/>
        <v>0</v>
      </c>
      <c r="W548" s="336">
        <f t="shared" si="244"/>
        <v>0</v>
      </c>
      <c r="X548" s="336">
        <f t="shared" si="245"/>
        <v>1021.3540913948682</v>
      </c>
      <c r="Y548" s="320"/>
      <c r="Z548" s="321" t="str">
        <f t="shared" si="249"/>
        <v>X-ELA3A</v>
      </c>
      <c r="AA548" s="321" t="str">
        <f t="shared" si="250"/>
        <v>X-ELA3E</v>
      </c>
      <c r="AB548" s="321" t="str">
        <f t="shared" si="251"/>
        <v>X-ELA3M</v>
      </c>
      <c r="AC548" s="321" t="str">
        <f t="shared" si="252"/>
        <v>X-ELA3T</v>
      </c>
      <c r="AD548" s="321" t="str">
        <f t="shared" si="253"/>
        <v>X-ELA3S</v>
      </c>
      <c r="AE548" s="321" t="str">
        <f t="shared" si="254"/>
        <v>X-ELA3X</v>
      </c>
      <c r="AF548" s="321" t="str">
        <f t="shared" si="255"/>
        <v>X-ELA3M</v>
      </c>
      <c r="AG548" s="321">
        <f t="shared" si="246"/>
        <v>7</v>
      </c>
      <c r="AH548" s="321">
        <f>IF(B548&lt;&gt;"",IF(H548="x",VLOOKUP(I548,'AUX-NIV3'!B:AG,32,FALSE),0),"")</f>
        <v>0</v>
      </c>
      <c r="AI548" s="321" t="str">
        <f t="shared" si="256"/>
        <v>X-ELA3</v>
      </c>
      <c r="AJ548" s="320"/>
      <c r="AK548" s="322">
        <f t="shared" si="247"/>
        <v>546</v>
      </c>
      <c r="AL548" s="323">
        <f t="shared" si="257"/>
        <v>552</v>
      </c>
      <c r="AM548" s="322">
        <f t="shared" si="258"/>
        <v>3</v>
      </c>
      <c r="AN548" s="380">
        <f>IF(AND(AH548&gt;0,B548&lt;&gt;""),VLOOKUP(I548,'AUX-NIV3'!$B:$AO,39,FALSE)*O548,0)</f>
        <v>0</v>
      </c>
      <c r="AO548" s="380">
        <f t="shared" si="248"/>
        <v>0.90999999999999992</v>
      </c>
      <c r="AP548" s="380"/>
    </row>
    <row r="549" spans="2:42" ht="14.4" hidden="1" thickTop="1" thickBot="1">
      <c r="B549" s="324" t="s">
        <v>1517</v>
      </c>
      <c r="C549" s="325" t="s">
        <v>1523</v>
      </c>
      <c r="D549" s="326" t="s">
        <v>1160</v>
      </c>
      <c r="E549" s="327">
        <f>IF(B549&lt;&gt;"",SUMIF('AUX-NIV1'!I:I,'AUX-NIV2'!B549,'AUX-NIV1'!Q:Q),"")</f>
        <v>0</v>
      </c>
      <c r="F549" s="327">
        <f t="shared" si="238"/>
        <v>5753.4909532294851</v>
      </c>
      <c r="G549" s="327">
        <f t="shared" si="239"/>
        <v>0</v>
      </c>
      <c r="H549" s="328" t="str">
        <f t="shared" si="260"/>
        <v>M</v>
      </c>
      <c r="I549" s="325" t="s">
        <v>1511</v>
      </c>
      <c r="J549" s="329" t="str">
        <f>IF(B549&lt;&gt;"",+VLOOKUP(I549,Recursos!C:F,2,FALSE),"")</f>
        <v>AGREGADO FINO</v>
      </c>
      <c r="K549" s="330" t="str">
        <f>IF(B549&lt;&gt;"",+VLOOKUP(I549,Recursos!C:F,3,FALSE),"")</f>
        <v>tn</v>
      </c>
      <c r="L549" s="327">
        <f>IF(B549&lt;&gt;"",+VLOOKUP(I549,Recursos!C:F,4,FALSE),"")</f>
        <v>346.12398419675657</v>
      </c>
      <c r="M549" s="454">
        <v>1</v>
      </c>
      <c r="N549" s="453">
        <v>0.7</v>
      </c>
      <c r="O549" s="449">
        <f>+N549*(M551-(M547*(1+M546)/1000))*M550</f>
        <v>1.2127499999999998</v>
      </c>
      <c r="P549" s="333">
        <f t="shared" si="235"/>
        <v>419.76186183461647</v>
      </c>
      <c r="Q549" s="327">
        <f t="shared" si="236"/>
        <v>0</v>
      </c>
      <c r="R549" s="334">
        <f t="shared" si="237"/>
        <v>0</v>
      </c>
      <c r="S549" s="335">
        <f t="shared" si="240"/>
        <v>0</v>
      </c>
      <c r="T549" s="335">
        <f t="shared" si="241"/>
        <v>0</v>
      </c>
      <c r="U549" s="336">
        <f t="shared" si="242"/>
        <v>4732.1368618346169</v>
      </c>
      <c r="V549" s="336">
        <f t="shared" si="243"/>
        <v>0</v>
      </c>
      <c r="W549" s="336">
        <f t="shared" si="244"/>
        <v>0</v>
      </c>
      <c r="X549" s="336">
        <f t="shared" si="245"/>
        <v>1021.3540913948682</v>
      </c>
      <c r="Y549" s="320"/>
      <c r="Z549" s="321" t="str">
        <f t="shared" si="249"/>
        <v>X-ELA3A</v>
      </c>
      <c r="AA549" s="321" t="str">
        <f t="shared" si="250"/>
        <v>X-ELA3E</v>
      </c>
      <c r="AB549" s="321" t="str">
        <f t="shared" si="251"/>
        <v>X-ELA3M</v>
      </c>
      <c r="AC549" s="321" t="str">
        <f t="shared" si="252"/>
        <v>X-ELA3T</v>
      </c>
      <c r="AD549" s="321" t="str">
        <f t="shared" si="253"/>
        <v>X-ELA3S</v>
      </c>
      <c r="AE549" s="321" t="str">
        <f t="shared" si="254"/>
        <v>X-ELA3X</v>
      </c>
      <c r="AF549" s="321" t="str">
        <f t="shared" si="255"/>
        <v>X-ELA3M</v>
      </c>
      <c r="AG549" s="321">
        <f t="shared" si="246"/>
        <v>7</v>
      </c>
      <c r="AH549" s="321">
        <f>IF(B549&lt;&gt;"",IF(H549="x",VLOOKUP(I549,'AUX-NIV3'!B:AG,32,FALSE),0),"")</f>
        <v>0</v>
      </c>
      <c r="AI549" s="321" t="str">
        <f t="shared" si="256"/>
        <v>X-ELA3</v>
      </c>
      <c r="AJ549" s="320"/>
      <c r="AK549" s="322">
        <f t="shared" si="247"/>
        <v>546</v>
      </c>
      <c r="AL549" s="323">
        <f t="shared" si="257"/>
        <v>552</v>
      </c>
      <c r="AM549" s="322">
        <f t="shared" si="258"/>
        <v>4</v>
      </c>
      <c r="AN549" s="380">
        <f>IF(AND(AH549&gt;0,B549&lt;&gt;""),VLOOKUP(I549,'AUX-NIV3'!$B:$AO,39,FALSE)*O549,0)</f>
        <v>0</v>
      </c>
      <c r="AO549" s="380">
        <f t="shared" si="248"/>
        <v>0.90999999999999992</v>
      </c>
      <c r="AP549" s="380"/>
    </row>
    <row r="550" spans="2:42" ht="14.4" hidden="1" thickTop="1" thickBot="1">
      <c r="B550" s="324" t="s">
        <v>1517</v>
      </c>
      <c r="C550" s="325" t="s">
        <v>1523</v>
      </c>
      <c r="D550" s="326" t="s">
        <v>1160</v>
      </c>
      <c r="E550" s="327">
        <f>IF(B550&lt;&gt;"",SUMIF('AUX-NIV1'!I:I,'AUX-NIV2'!B550,'AUX-NIV1'!Q:Q),"")</f>
        <v>0</v>
      </c>
      <c r="F550" s="327">
        <f t="shared" si="238"/>
        <v>5753.4909532294851</v>
      </c>
      <c r="G550" s="327">
        <f t="shared" si="239"/>
        <v>0</v>
      </c>
      <c r="H550" s="328" t="str">
        <f t="shared" si="260"/>
        <v>M</v>
      </c>
      <c r="I550" s="325" t="s">
        <v>1512</v>
      </c>
      <c r="J550" s="329" t="str">
        <f>IF(B550&lt;&gt;"",+VLOOKUP(I550,Recursos!C:F,2,FALSE),"")</f>
        <v>ARENA ZARANDEADA</v>
      </c>
      <c r="K550" s="330" t="str">
        <f>IF(B550&lt;&gt;"",+VLOOKUP(I550,Recursos!C:F,3,FALSE),"")</f>
        <v>Tn</v>
      </c>
      <c r="L550" s="327">
        <f>IF(B550&lt;&gt;"",+VLOOKUP(I550,Recursos!C:F,4,FALSE),"")</f>
        <v>900</v>
      </c>
      <c r="M550" s="454">
        <v>1.05</v>
      </c>
      <c r="N550" s="453">
        <v>0.3</v>
      </c>
      <c r="O550" s="449">
        <f>+N550*(M551-(M547*(1+M546)/1000))*M550</f>
        <v>0.51974999999999993</v>
      </c>
      <c r="P550" s="333">
        <f t="shared" si="235"/>
        <v>467.77499999999992</v>
      </c>
      <c r="Q550" s="327">
        <f t="shared" si="236"/>
        <v>0</v>
      </c>
      <c r="R550" s="334">
        <f t="shared" si="237"/>
        <v>0</v>
      </c>
      <c r="S550" s="335">
        <f t="shared" si="240"/>
        <v>0</v>
      </c>
      <c r="T550" s="335">
        <f t="shared" si="241"/>
        <v>0</v>
      </c>
      <c r="U550" s="336">
        <f t="shared" si="242"/>
        <v>4732.1368618346169</v>
      </c>
      <c r="V550" s="336">
        <f t="shared" si="243"/>
        <v>0</v>
      </c>
      <c r="W550" s="336">
        <f t="shared" si="244"/>
        <v>0</v>
      </c>
      <c r="X550" s="336">
        <f t="shared" si="245"/>
        <v>1021.3540913948682</v>
      </c>
      <c r="Y550" s="320"/>
      <c r="Z550" s="321" t="str">
        <f t="shared" si="249"/>
        <v>X-ELA3A</v>
      </c>
      <c r="AA550" s="321" t="str">
        <f t="shared" si="250"/>
        <v>X-ELA3E</v>
      </c>
      <c r="AB550" s="321" t="str">
        <f t="shared" si="251"/>
        <v>X-ELA3M</v>
      </c>
      <c r="AC550" s="321" t="str">
        <f t="shared" si="252"/>
        <v>X-ELA3T</v>
      </c>
      <c r="AD550" s="321" t="str">
        <f t="shared" si="253"/>
        <v>X-ELA3S</v>
      </c>
      <c r="AE550" s="321" t="str">
        <f t="shared" si="254"/>
        <v>X-ELA3X</v>
      </c>
      <c r="AF550" s="321" t="str">
        <f t="shared" si="255"/>
        <v>X-ELA3M</v>
      </c>
      <c r="AG550" s="321">
        <f t="shared" si="246"/>
        <v>7</v>
      </c>
      <c r="AH550" s="321">
        <f>IF(B550&lt;&gt;"",IF(H550="x",VLOOKUP(I550,'AUX-NIV3'!B:AG,32,FALSE),0),"")</f>
        <v>0</v>
      </c>
      <c r="AI550" s="321" t="str">
        <f t="shared" si="256"/>
        <v>X-ELA3</v>
      </c>
      <c r="AJ550" s="320"/>
      <c r="AK550" s="322">
        <f t="shared" si="247"/>
        <v>546</v>
      </c>
      <c r="AL550" s="323">
        <f t="shared" si="257"/>
        <v>552</v>
      </c>
      <c r="AM550" s="322">
        <f t="shared" si="258"/>
        <v>5</v>
      </c>
      <c r="AN550" s="380">
        <f>IF(AND(AH550&gt;0,B550&lt;&gt;""),VLOOKUP(I550,'AUX-NIV3'!$B:$AO,39,FALSE)*O550,0)</f>
        <v>0</v>
      </c>
      <c r="AO550" s="380">
        <f t="shared" si="248"/>
        <v>0.90999999999999992</v>
      </c>
      <c r="AP550" s="380"/>
    </row>
    <row r="551" spans="2:42" ht="14.4" hidden="1" thickTop="1" thickBot="1">
      <c r="B551" s="324" t="s">
        <v>1517</v>
      </c>
      <c r="C551" s="325" t="s">
        <v>1523</v>
      </c>
      <c r="D551" s="326" t="s">
        <v>1160</v>
      </c>
      <c r="E551" s="327">
        <f>IF(B551&lt;&gt;"",SUMIF('AUX-NIV1'!I:I,'AUX-NIV2'!B551,'AUX-NIV1'!Q:Q),"")</f>
        <v>0</v>
      </c>
      <c r="F551" s="327">
        <f t="shared" si="238"/>
        <v>5753.4909532294851</v>
      </c>
      <c r="G551" s="327">
        <f t="shared" si="239"/>
        <v>0</v>
      </c>
      <c r="H551" s="328" t="str">
        <f t="shared" si="260"/>
        <v>X</v>
      </c>
      <c r="I551" s="325" t="s">
        <v>1499</v>
      </c>
      <c r="J551" s="329" t="str">
        <f>IF(B551&lt;&gt;"",+VLOOKUP(I551,Recursos!C:F,2,FALSE),"")</f>
        <v>Agua para hormigones</v>
      </c>
      <c r="K551" s="330" t="str">
        <f>IF(B551&lt;&gt;"",+VLOOKUP(I551,Recursos!C:F,3,FALSE),"")</f>
        <v>m3</v>
      </c>
      <c r="L551" s="327">
        <f>IF(B551&lt;&gt;"",+VLOOKUP(I551,Recursos!C:F,4,FALSE),"")</f>
        <v>400.95923429909482</v>
      </c>
      <c r="M551" s="454">
        <v>2.4</v>
      </c>
      <c r="N551" s="453">
        <v>0</v>
      </c>
      <c r="O551" s="449">
        <f>+M546*M547/1000*M550*N551</f>
        <v>0</v>
      </c>
      <c r="P551" s="333">
        <f t="shared" si="235"/>
        <v>0</v>
      </c>
      <c r="Q551" s="327">
        <f t="shared" si="236"/>
        <v>0</v>
      </c>
      <c r="R551" s="334">
        <f t="shared" si="237"/>
        <v>0</v>
      </c>
      <c r="S551" s="335">
        <f t="shared" si="240"/>
        <v>0</v>
      </c>
      <c r="T551" s="335">
        <f t="shared" si="241"/>
        <v>0</v>
      </c>
      <c r="U551" s="336">
        <f t="shared" si="242"/>
        <v>4732.1368618346169</v>
      </c>
      <c r="V551" s="336">
        <f t="shared" si="243"/>
        <v>0</v>
      </c>
      <c r="W551" s="336">
        <f t="shared" si="244"/>
        <v>0</v>
      </c>
      <c r="X551" s="336">
        <f t="shared" si="245"/>
        <v>1021.3540913948682</v>
      </c>
      <c r="Y551" s="320"/>
      <c r="Z551" s="321" t="str">
        <f t="shared" si="249"/>
        <v>X-ELA3A</v>
      </c>
      <c r="AA551" s="321" t="str">
        <f t="shared" si="250"/>
        <v>X-ELA3E</v>
      </c>
      <c r="AB551" s="321" t="str">
        <f t="shared" si="251"/>
        <v>X-ELA3M</v>
      </c>
      <c r="AC551" s="321" t="str">
        <f t="shared" si="252"/>
        <v>X-ELA3T</v>
      </c>
      <c r="AD551" s="321" t="str">
        <f t="shared" si="253"/>
        <v>X-ELA3S</v>
      </c>
      <c r="AE551" s="321" t="str">
        <f t="shared" si="254"/>
        <v>X-ELA3X</v>
      </c>
      <c r="AF551" s="321" t="str">
        <f t="shared" si="255"/>
        <v>X-ELA3X</v>
      </c>
      <c r="AG551" s="321">
        <f t="shared" si="246"/>
        <v>7</v>
      </c>
      <c r="AH551" s="321">
        <f>IF(B551&lt;&gt;"",IF(H551="x",VLOOKUP(I551,'AUX-NIV3'!B:AG,32,FALSE),0),"")</f>
        <v>4</v>
      </c>
      <c r="AI551" s="321" t="str">
        <f t="shared" si="256"/>
        <v>X-ELA3</v>
      </c>
      <c r="AJ551" s="320"/>
      <c r="AK551" s="322">
        <f t="shared" si="247"/>
        <v>546</v>
      </c>
      <c r="AL551" s="323">
        <f t="shared" si="257"/>
        <v>552</v>
      </c>
      <c r="AM551" s="322">
        <f t="shared" si="258"/>
        <v>6</v>
      </c>
      <c r="AN551" s="380">
        <f>IF(AND(AH551&gt;0,B551&lt;&gt;""),VLOOKUP(I551,'AUX-NIV3'!$B:$AO,39,FALSE)*O551,0)</f>
        <v>0</v>
      </c>
      <c r="AO551" s="380">
        <f t="shared" si="248"/>
        <v>0.90999999999999992</v>
      </c>
      <c r="AP551" s="380"/>
    </row>
    <row r="552" spans="2:42" ht="14.4" hidden="1" thickTop="1" thickBot="1">
      <c r="B552" s="324" t="s">
        <v>1517</v>
      </c>
      <c r="C552" s="325" t="s">
        <v>1523</v>
      </c>
      <c r="D552" s="326" t="s">
        <v>1160</v>
      </c>
      <c r="E552" s="327">
        <f>IF(B552&lt;&gt;"",SUMIF('AUX-NIV1'!I:I,'AUX-NIV2'!B552,'AUX-NIV1'!Q:Q),"")</f>
        <v>0</v>
      </c>
      <c r="F552" s="327">
        <f t="shared" si="238"/>
        <v>5753.4909532294851</v>
      </c>
      <c r="G552" s="327">
        <f t="shared" si="239"/>
        <v>0</v>
      </c>
      <c r="H552" s="328" t="str">
        <f t="shared" si="260"/>
        <v>X</v>
      </c>
      <c r="I552" s="325" t="s">
        <v>1502</v>
      </c>
      <c r="J552" s="329" t="str">
        <f>IF(B552&lt;&gt;"",+VLOOKUP(I552,Recursos!C:F,2,FALSE),"")</f>
        <v>Producción de Hormigón en Planta</v>
      </c>
      <c r="K552" s="330" t="str">
        <f>IF(B552&lt;&gt;"",+VLOOKUP(I552,Recursos!C:F,3,FALSE),"")</f>
        <v>m3</v>
      </c>
      <c r="L552" s="327">
        <f>IF(B552&lt;&gt;"",+VLOOKUP(I552,Recursos!C:F,4,FALSE),"")</f>
        <v>972.7181822808268</v>
      </c>
      <c r="M552" s="454"/>
      <c r="N552" s="455"/>
      <c r="O552" s="449">
        <f>+M550</f>
        <v>1.05</v>
      </c>
      <c r="P552" s="333">
        <f t="shared" si="235"/>
        <v>1021.3540913948682</v>
      </c>
      <c r="Q552" s="327">
        <f t="shared" si="236"/>
        <v>0</v>
      </c>
      <c r="R552" s="334">
        <f t="shared" si="237"/>
        <v>0</v>
      </c>
      <c r="S552" s="335">
        <f t="shared" si="240"/>
        <v>0</v>
      </c>
      <c r="T552" s="335">
        <f t="shared" si="241"/>
        <v>0</v>
      </c>
      <c r="U552" s="336">
        <f t="shared" si="242"/>
        <v>4732.1368618346169</v>
      </c>
      <c r="V552" s="336">
        <f t="shared" si="243"/>
        <v>0</v>
      </c>
      <c r="W552" s="336">
        <f t="shared" si="244"/>
        <v>0</v>
      </c>
      <c r="X552" s="336">
        <f t="shared" si="245"/>
        <v>1021.3540913948682</v>
      </c>
      <c r="Y552" s="320"/>
      <c r="Z552" s="321" t="str">
        <f t="shared" si="249"/>
        <v>X-ELA3A</v>
      </c>
      <c r="AA552" s="321" t="str">
        <f t="shared" si="250"/>
        <v>X-ELA3E</v>
      </c>
      <c r="AB552" s="321" t="str">
        <f t="shared" si="251"/>
        <v>X-ELA3M</v>
      </c>
      <c r="AC552" s="321" t="str">
        <f t="shared" si="252"/>
        <v>X-ELA3T</v>
      </c>
      <c r="AD552" s="321" t="str">
        <f t="shared" si="253"/>
        <v>X-ELA3S</v>
      </c>
      <c r="AE552" s="321" t="str">
        <f t="shared" si="254"/>
        <v>X-ELA3X</v>
      </c>
      <c r="AF552" s="321" t="str">
        <f t="shared" si="255"/>
        <v>X-ELA3X</v>
      </c>
      <c r="AG552" s="321">
        <f t="shared" si="246"/>
        <v>7</v>
      </c>
      <c r="AH552" s="321">
        <f>IF(B552&lt;&gt;"",IF(H552="x",VLOOKUP(I552,'AUX-NIV3'!B:AG,32,FALSE),0),"")</f>
        <v>8</v>
      </c>
      <c r="AI552" s="321" t="str">
        <f t="shared" si="256"/>
        <v>X-ELA3</v>
      </c>
      <c r="AJ552" s="320"/>
      <c r="AK552" s="322">
        <f t="shared" si="247"/>
        <v>546</v>
      </c>
      <c r="AL552" s="323">
        <f t="shared" si="257"/>
        <v>552</v>
      </c>
      <c r="AM552" s="322">
        <f t="shared" si="258"/>
        <v>7</v>
      </c>
      <c r="AN552" s="380">
        <f>IF(AND(AH552&gt;0,B552&lt;&gt;""),VLOOKUP(I552,'AUX-NIV3'!$B:$AO,39,FALSE)*O552,0)</f>
        <v>0.90999999999999992</v>
      </c>
      <c r="AO552" s="380">
        <f t="shared" si="248"/>
        <v>0.90999999999999992</v>
      </c>
      <c r="AP552" s="380"/>
    </row>
    <row r="553" spans="2:42" ht="14.4" hidden="1" thickTop="1" thickBot="1">
      <c r="B553" s="324" t="s">
        <v>1513</v>
      </c>
      <c r="C553" s="325" t="s">
        <v>1514</v>
      </c>
      <c r="D553" s="326" t="s">
        <v>1160</v>
      </c>
      <c r="E553" s="327">
        <f>IF(B553&lt;&gt;"",SUMIF('AUX-NIV1'!I:I,'AUX-NIV2'!B553,'AUX-NIV1'!Q:Q),"")</f>
        <v>0</v>
      </c>
      <c r="F553" s="327" t="e">
        <f t="shared" si="238"/>
        <v>#N/A</v>
      </c>
      <c r="G553" s="327" t="e">
        <f t="shared" si="239"/>
        <v>#N/A</v>
      </c>
      <c r="H553" s="328" t="str">
        <f t="shared" si="260"/>
        <v>A</v>
      </c>
      <c r="I553" s="325" t="s">
        <v>3314</v>
      </c>
      <c r="J553" s="329" t="e">
        <f>IF(B553&lt;&gt;"",+VLOOKUP(I553,Recursos!C:F,2,FALSE),"")</f>
        <v>#N/A</v>
      </c>
      <c r="K553" s="330" t="e">
        <f>IF(B553&lt;&gt;"",+VLOOKUP(I553,Recursos!C:F,3,FALSE),"")</f>
        <v>#N/A</v>
      </c>
      <c r="L553" s="327" t="e">
        <f>IF(B553&lt;&gt;"",+VLOOKUP(I553,Recursos!C:F,4,FALSE),"")</f>
        <v>#N/A</v>
      </c>
      <c r="M553" s="454">
        <f>+M556</f>
        <v>6</v>
      </c>
      <c r="N553" s="455">
        <v>4</v>
      </c>
      <c r="O553" s="449">
        <f>+N553/M553*$N$598</f>
        <v>0.66666666666666663</v>
      </c>
      <c r="P553" s="333" t="e">
        <f t="shared" si="235"/>
        <v>#N/A</v>
      </c>
      <c r="Q553" s="327">
        <f t="shared" si="236"/>
        <v>0</v>
      </c>
      <c r="R553" s="334" t="e">
        <f t="shared" si="237"/>
        <v>#N/A</v>
      </c>
      <c r="S553" s="335" t="e">
        <f t="shared" si="240"/>
        <v>#N/A</v>
      </c>
      <c r="T553" s="335">
        <f t="shared" si="241"/>
        <v>2193.7174276881715</v>
      </c>
      <c r="U553" s="336">
        <f t="shared" si="242"/>
        <v>0</v>
      </c>
      <c r="V553" s="336">
        <f t="shared" si="243"/>
        <v>0</v>
      </c>
      <c r="W553" s="336">
        <f t="shared" si="244"/>
        <v>0</v>
      </c>
      <c r="X553" s="336">
        <f t="shared" si="245"/>
        <v>421.00719601404955</v>
      </c>
      <c r="Y553" s="320"/>
      <c r="Z553" s="321" t="str">
        <f t="shared" si="249"/>
        <v>X-COL8A</v>
      </c>
      <c r="AA553" s="321" t="str">
        <f t="shared" si="250"/>
        <v>X-COL8E</v>
      </c>
      <c r="AB553" s="321" t="str">
        <f t="shared" si="251"/>
        <v>X-COL8M</v>
      </c>
      <c r="AC553" s="321" t="str">
        <f t="shared" si="252"/>
        <v>X-COL8T</v>
      </c>
      <c r="AD553" s="321" t="str">
        <f t="shared" si="253"/>
        <v>X-COL8S</v>
      </c>
      <c r="AE553" s="321" t="str">
        <f t="shared" si="254"/>
        <v>X-COL8X</v>
      </c>
      <c r="AF553" s="321" t="str">
        <f t="shared" si="255"/>
        <v>X-COL8A</v>
      </c>
      <c r="AG553" s="321">
        <f t="shared" si="246"/>
        <v>10</v>
      </c>
      <c r="AH553" s="321">
        <f>IF(B553&lt;&gt;"",IF(H553="x",VLOOKUP(I553,'AUX-NIV3'!B:AG,32,FALSE),0),"")</f>
        <v>0</v>
      </c>
      <c r="AI553" s="321" t="str">
        <f t="shared" si="256"/>
        <v>X-COL8</v>
      </c>
      <c r="AJ553" s="320"/>
      <c r="AK553" s="322">
        <f t="shared" si="247"/>
        <v>553</v>
      </c>
      <c r="AL553" s="323">
        <f t="shared" si="257"/>
        <v>562</v>
      </c>
      <c r="AM553" s="322">
        <f t="shared" si="258"/>
        <v>1</v>
      </c>
      <c r="AN553" s="380">
        <f>IF(AND(AH553&gt;0,B553&lt;&gt;""),VLOOKUP(I553,'AUX-NIV3'!$B:$AO,39,FALSE)*O553,0)</f>
        <v>0</v>
      </c>
      <c r="AO553" s="380">
        <f t="shared" si="248"/>
        <v>1.3979166666666667</v>
      </c>
      <c r="AP553" s="380"/>
    </row>
    <row r="554" spans="2:42" ht="14.4" hidden="1" thickTop="1" thickBot="1">
      <c r="B554" s="324" t="s">
        <v>1513</v>
      </c>
      <c r="C554" s="325" t="s">
        <v>1514</v>
      </c>
      <c r="D554" s="326" t="s">
        <v>1160</v>
      </c>
      <c r="E554" s="327">
        <f>IF(B554&lt;&gt;"",SUMIF('AUX-NIV1'!I:I,'AUX-NIV2'!B554,'AUX-NIV1'!Q:Q),"")</f>
        <v>0</v>
      </c>
      <c r="F554" s="327" t="e">
        <f t="shared" si="238"/>
        <v>#N/A</v>
      </c>
      <c r="G554" s="327" t="e">
        <f t="shared" si="239"/>
        <v>#N/A</v>
      </c>
      <c r="H554" s="328" t="str">
        <f t="shared" si="260"/>
        <v>A</v>
      </c>
      <c r="I554" s="325" t="s">
        <v>3309</v>
      </c>
      <c r="J554" s="329" t="str">
        <f>IF(B554&lt;&gt;"",+VLOOKUP(I554,Recursos!C:F,2,FALSE),"")</f>
        <v>MEDIO OFICIAL</v>
      </c>
      <c r="K554" s="330" t="str">
        <f>IF(B554&lt;&gt;"",+VLOOKUP(I554,Recursos!C:F,3,FALSE),"")</f>
        <v>hh</v>
      </c>
      <c r="L554" s="327">
        <f>IF(B554&lt;&gt;"",+VLOOKUP(I554,Recursos!C:F,4,FALSE),"")</f>
        <v>459.10093211890984</v>
      </c>
      <c r="M554" s="452">
        <f>+M555</f>
        <v>6</v>
      </c>
      <c r="N554" s="455">
        <v>0</v>
      </c>
      <c r="O554" s="449">
        <f>+N554/M554*$N$598</f>
        <v>0</v>
      </c>
      <c r="P554" s="333">
        <f t="shared" si="235"/>
        <v>0</v>
      </c>
      <c r="Q554" s="327">
        <f t="shared" si="236"/>
        <v>0</v>
      </c>
      <c r="R554" s="334">
        <f t="shared" si="237"/>
        <v>0</v>
      </c>
      <c r="S554" s="335" t="e">
        <f t="shared" si="240"/>
        <v>#N/A</v>
      </c>
      <c r="T554" s="335">
        <f t="shared" si="241"/>
        <v>2193.7174276881715</v>
      </c>
      <c r="U554" s="336">
        <f t="shared" si="242"/>
        <v>0</v>
      </c>
      <c r="V554" s="336">
        <f t="shared" si="243"/>
        <v>0</v>
      </c>
      <c r="W554" s="336">
        <f t="shared" si="244"/>
        <v>0</v>
      </c>
      <c r="X554" s="336">
        <f t="shared" si="245"/>
        <v>421.00719601404955</v>
      </c>
      <c r="Y554" s="320"/>
      <c r="Z554" s="321" t="str">
        <f t="shared" si="249"/>
        <v>X-COL8A</v>
      </c>
      <c r="AA554" s="321" t="str">
        <f t="shared" si="250"/>
        <v>X-COL8E</v>
      </c>
      <c r="AB554" s="321" t="str">
        <f t="shared" si="251"/>
        <v>X-COL8M</v>
      </c>
      <c r="AC554" s="321" t="str">
        <f t="shared" si="252"/>
        <v>X-COL8T</v>
      </c>
      <c r="AD554" s="321" t="str">
        <f t="shared" si="253"/>
        <v>X-COL8S</v>
      </c>
      <c r="AE554" s="321" t="str">
        <f t="shared" si="254"/>
        <v>X-COL8X</v>
      </c>
      <c r="AF554" s="321" t="str">
        <f t="shared" si="255"/>
        <v>X-COL8A</v>
      </c>
      <c r="AG554" s="321">
        <f t="shared" si="246"/>
        <v>10</v>
      </c>
      <c r="AH554" s="321">
        <f>IF(B554&lt;&gt;"",IF(H554="x",VLOOKUP(I554,'AUX-NIV3'!B:AG,32,FALSE),0),"")</f>
        <v>0</v>
      </c>
      <c r="AI554" s="321" t="str">
        <f t="shared" si="256"/>
        <v>X-COL8</v>
      </c>
      <c r="AJ554" s="320"/>
      <c r="AK554" s="322">
        <f t="shared" si="247"/>
        <v>553</v>
      </c>
      <c r="AL554" s="323">
        <f t="shared" si="257"/>
        <v>562</v>
      </c>
      <c r="AM554" s="322">
        <f t="shared" si="258"/>
        <v>2</v>
      </c>
      <c r="AN554" s="380">
        <f>IF(AND(AH554&gt;0,B554&lt;&gt;""),VLOOKUP(I554,'AUX-NIV3'!$B:$AO,39,FALSE)*O554,0)</f>
        <v>0</v>
      </c>
      <c r="AO554" s="380">
        <f t="shared" si="248"/>
        <v>1.3979166666666667</v>
      </c>
      <c r="AP554" s="380"/>
    </row>
    <row r="555" spans="2:42" ht="14.4" hidden="1" thickTop="1" thickBot="1">
      <c r="B555" s="324" t="s">
        <v>1513</v>
      </c>
      <c r="C555" s="325" t="s">
        <v>1514</v>
      </c>
      <c r="D555" s="326" t="s">
        <v>1160</v>
      </c>
      <c r="E555" s="327">
        <f>IF(B555&lt;&gt;"",SUMIF('AUX-NIV1'!I:I,'AUX-NIV2'!B555,'AUX-NIV1'!Q:Q),"")</f>
        <v>0</v>
      </c>
      <c r="F555" s="327" t="e">
        <f t="shared" si="238"/>
        <v>#N/A</v>
      </c>
      <c r="G555" s="327" t="e">
        <f t="shared" si="239"/>
        <v>#N/A</v>
      </c>
      <c r="H555" s="328" t="str">
        <f t="shared" si="260"/>
        <v>A</v>
      </c>
      <c r="I555" s="324" t="s">
        <v>1746</v>
      </c>
      <c r="J555" s="329" t="str">
        <f>IF(B555&lt;&gt;"",+VLOOKUP(I555,Recursos!C:F,2,FALSE),"")</f>
        <v>OFICIAL</v>
      </c>
      <c r="K555" s="330" t="str">
        <f>IF(B555&lt;&gt;"",+VLOOKUP(I555,Recursos!C:F,3,FALSE),"")</f>
        <v>hh</v>
      </c>
      <c r="L555" s="327">
        <f>IF(B555&lt;&gt;"",+VLOOKUP(I555,Recursos!C:F,4,FALSE),"")</f>
        <v>496.91595439275824</v>
      </c>
      <c r="M555" s="456">
        <f>+M556</f>
        <v>6</v>
      </c>
      <c r="N555" s="451">
        <v>1</v>
      </c>
      <c r="O555" s="449">
        <f>+N555/M555*$N$598</f>
        <v>0.16666666666666666</v>
      </c>
      <c r="P555" s="333">
        <f t="shared" si="235"/>
        <v>82.819325732126373</v>
      </c>
      <c r="Q555" s="327">
        <f t="shared" si="236"/>
        <v>0</v>
      </c>
      <c r="R555" s="334">
        <f t="shared" si="237"/>
        <v>0</v>
      </c>
      <c r="S555" s="335" t="e">
        <f t="shared" si="240"/>
        <v>#N/A</v>
      </c>
      <c r="T555" s="335">
        <f t="shared" si="241"/>
        <v>2193.7174276881715</v>
      </c>
      <c r="U555" s="336">
        <f t="shared" si="242"/>
        <v>0</v>
      </c>
      <c r="V555" s="336">
        <f t="shared" si="243"/>
        <v>0</v>
      </c>
      <c r="W555" s="336">
        <f t="shared" si="244"/>
        <v>0</v>
      </c>
      <c r="X555" s="336">
        <f t="shared" si="245"/>
        <v>421.00719601404955</v>
      </c>
      <c r="Y555" s="320"/>
      <c r="Z555" s="321" t="str">
        <f t="shared" si="249"/>
        <v>X-COL8A</v>
      </c>
      <c r="AA555" s="321" t="str">
        <f t="shared" si="250"/>
        <v>X-COL8E</v>
      </c>
      <c r="AB555" s="321" t="str">
        <f t="shared" si="251"/>
        <v>X-COL8M</v>
      </c>
      <c r="AC555" s="321" t="str">
        <f t="shared" si="252"/>
        <v>X-COL8T</v>
      </c>
      <c r="AD555" s="321" t="str">
        <f t="shared" si="253"/>
        <v>X-COL8S</v>
      </c>
      <c r="AE555" s="321" t="str">
        <f t="shared" si="254"/>
        <v>X-COL8X</v>
      </c>
      <c r="AF555" s="321" t="str">
        <f t="shared" si="255"/>
        <v>X-COL8A</v>
      </c>
      <c r="AG555" s="321">
        <f t="shared" si="246"/>
        <v>10</v>
      </c>
      <c r="AH555" s="321">
        <f>IF(B555&lt;&gt;"",IF(H555="x",VLOOKUP(I555,'AUX-NIV3'!B:AG,32,FALSE),0),"")</f>
        <v>0</v>
      </c>
      <c r="AI555" s="321" t="str">
        <f t="shared" si="256"/>
        <v>X-COL8</v>
      </c>
      <c r="AJ555" s="320"/>
      <c r="AK555" s="322">
        <f t="shared" si="247"/>
        <v>553</v>
      </c>
      <c r="AL555" s="323">
        <f t="shared" si="257"/>
        <v>562</v>
      </c>
      <c r="AM555" s="322">
        <f t="shared" si="258"/>
        <v>3</v>
      </c>
      <c r="AN555" s="380">
        <f>IF(AND(AH555&gt;0,B555&lt;&gt;""),VLOOKUP(I555,'AUX-NIV3'!$B:$AO,39,FALSE)*O555,0)</f>
        <v>0</v>
      </c>
      <c r="AO555" s="380">
        <f t="shared" si="248"/>
        <v>1.3979166666666667</v>
      </c>
      <c r="AP555" s="380"/>
    </row>
    <row r="556" spans="2:42" ht="14.4" hidden="1" thickTop="1" thickBot="1">
      <c r="B556" s="324" t="s">
        <v>1513</v>
      </c>
      <c r="C556" s="325" t="s">
        <v>1514</v>
      </c>
      <c r="D556" s="326" t="s">
        <v>1160</v>
      </c>
      <c r="E556" s="327">
        <f>IF(B556&lt;&gt;"",SUMIF('AUX-NIV1'!I:I,'AUX-NIV2'!B556,'AUX-NIV1'!Q:Q),"")</f>
        <v>0</v>
      </c>
      <c r="F556" s="327" t="e">
        <f t="shared" si="238"/>
        <v>#N/A</v>
      </c>
      <c r="G556" s="327" t="e">
        <f t="shared" si="239"/>
        <v>#N/A</v>
      </c>
      <c r="H556" s="328" t="str">
        <f t="shared" si="260"/>
        <v>A</v>
      </c>
      <c r="I556" s="325" t="s">
        <v>3310</v>
      </c>
      <c r="J556" s="329" t="str">
        <f>IF(B556&lt;&gt;"",+VLOOKUP(I556,Recursos!C:F,2,FALSE),"")</f>
        <v>OFICIAL ESPECIALIZADO</v>
      </c>
      <c r="K556" s="330" t="str">
        <f>IF(B556&lt;&gt;"",+VLOOKUP(I556,Recursos!C:F,3,FALSE),"")</f>
        <v>hh</v>
      </c>
      <c r="L556" s="327">
        <f>IF(B556&lt;&gt;"",+VLOOKUP(I556,Recursos!C:F,4,FALSE),"")</f>
        <v>581.06120476836554</v>
      </c>
      <c r="M556" s="447">
        <f>+M557</f>
        <v>6</v>
      </c>
      <c r="N556" s="448">
        <v>1</v>
      </c>
      <c r="O556" s="449">
        <f>+N556/M556*$N$598</f>
        <v>0.16666666666666666</v>
      </c>
      <c r="P556" s="333">
        <f t="shared" si="235"/>
        <v>96.843534128060924</v>
      </c>
      <c r="Q556" s="327">
        <f t="shared" si="236"/>
        <v>0</v>
      </c>
      <c r="R556" s="334">
        <f t="shared" si="237"/>
        <v>0</v>
      </c>
      <c r="S556" s="335" t="e">
        <f t="shared" si="240"/>
        <v>#N/A</v>
      </c>
      <c r="T556" s="335">
        <f t="shared" si="241"/>
        <v>2193.7174276881715</v>
      </c>
      <c r="U556" s="336">
        <f t="shared" si="242"/>
        <v>0</v>
      </c>
      <c r="V556" s="336">
        <f t="shared" si="243"/>
        <v>0</v>
      </c>
      <c r="W556" s="336">
        <f t="shared" si="244"/>
        <v>0</v>
      </c>
      <c r="X556" s="336">
        <f t="shared" si="245"/>
        <v>421.00719601404955</v>
      </c>
      <c r="Y556" s="320"/>
      <c r="Z556" s="321" t="str">
        <f t="shared" si="249"/>
        <v>X-COL8A</v>
      </c>
      <c r="AA556" s="321" t="str">
        <f t="shared" si="250"/>
        <v>X-COL8E</v>
      </c>
      <c r="AB556" s="321" t="str">
        <f t="shared" si="251"/>
        <v>X-COL8M</v>
      </c>
      <c r="AC556" s="321" t="str">
        <f t="shared" si="252"/>
        <v>X-COL8T</v>
      </c>
      <c r="AD556" s="321" t="str">
        <f t="shared" si="253"/>
        <v>X-COL8S</v>
      </c>
      <c r="AE556" s="321" t="str">
        <f t="shared" si="254"/>
        <v>X-COL8X</v>
      </c>
      <c r="AF556" s="321" t="str">
        <f t="shared" si="255"/>
        <v>X-COL8A</v>
      </c>
      <c r="AG556" s="321">
        <f t="shared" si="246"/>
        <v>10</v>
      </c>
      <c r="AH556" s="321">
        <f>IF(B556&lt;&gt;"",IF(H556="x",VLOOKUP(I556,'AUX-NIV3'!B:AG,32,FALSE),0),"")</f>
        <v>0</v>
      </c>
      <c r="AI556" s="321" t="str">
        <f t="shared" si="256"/>
        <v>X-COL8</v>
      </c>
      <c r="AJ556" s="320"/>
      <c r="AK556" s="322">
        <f t="shared" si="247"/>
        <v>553</v>
      </c>
      <c r="AL556" s="323">
        <f t="shared" si="257"/>
        <v>562</v>
      </c>
      <c r="AM556" s="322">
        <f t="shared" si="258"/>
        <v>4</v>
      </c>
      <c r="AN556" s="380">
        <f>IF(AND(AH556&gt;0,B556&lt;&gt;""),VLOOKUP(I556,'AUX-NIV3'!$B:$AO,39,FALSE)*O556,0)</f>
        <v>0</v>
      </c>
      <c r="AO556" s="380">
        <f t="shared" si="248"/>
        <v>1.3979166666666667</v>
      </c>
      <c r="AP556" s="380"/>
    </row>
    <row r="557" spans="2:42" ht="14.4" hidden="1" thickTop="1" thickBot="1">
      <c r="B557" s="324" t="s">
        <v>1513</v>
      </c>
      <c r="C557" s="325" t="s">
        <v>1514</v>
      </c>
      <c r="D557" s="326" t="s">
        <v>1160</v>
      </c>
      <c r="E557" s="327">
        <f>IF(B557&lt;&gt;"",SUMIF('AUX-NIV1'!I:I,'AUX-NIV2'!B557,'AUX-NIV1'!Q:Q),"")</f>
        <v>0</v>
      </c>
      <c r="F557" s="327" t="e">
        <f t="shared" si="238"/>
        <v>#N/A</v>
      </c>
      <c r="G557" s="327" t="e">
        <f t="shared" si="239"/>
        <v>#N/A</v>
      </c>
      <c r="H557" s="328" t="str">
        <f t="shared" si="260"/>
        <v>A</v>
      </c>
      <c r="I557" s="325" t="s">
        <v>3310</v>
      </c>
      <c r="J557" s="329" t="str">
        <f>IF(B557&lt;&gt;"",+VLOOKUP(I557,Recursos!C:F,2,FALSE),"")</f>
        <v>OFICIAL ESPECIALIZADO</v>
      </c>
      <c r="K557" s="330" t="str">
        <f>IF(B557&lt;&gt;"",+VLOOKUP(I557,Recursos!C:F,3,FALSE),"")</f>
        <v>hh</v>
      </c>
      <c r="L557" s="327">
        <f>IF(B557&lt;&gt;"",+VLOOKUP(I557,Recursos!C:F,4,FALSE),"")</f>
        <v>581.06120476836554</v>
      </c>
      <c r="M557" s="452">
        <f>+M558</f>
        <v>6</v>
      </c>
      <c r="N557" s="453">
        <v>0</v>
      </c>
      <c r="O557" s="449">
        <f>+N557/M557*N558</f>
        <v>0</v>
      </c>
      <c r="P557" s="333">
        <f t="shared" si="235"/>
        <v>0</v>
      </c>
      <c r="Q557" s="327">
        <f t="shared" si="236"/>
        <v>0</v>
      </c>
      <c r="R557" s="334">
        <f t="shared" si="237"/>
        <v>0</v>
      </c>
      <c r="S557" s="335" t="e">
        <f t="shared" si="240"/>
        <v>#N/A</v>
      </c>
      <c r="T557" s="335">
        <f t="shared" si="241"/>
        <v>2193.7174276881715</v>
      </c>
      <c r="U557" s="336">
        <f t="shared" si="242"/>
        <v>0</v>
      </c>
      <c r="V557" s="336">
        <f t="shared" si="243"/>
        <v>0</v>
      </c>
      <c r="W557" s="336">
        <f t="shared" si="244"/>
        <v>0</v>
      </c>
      <c r="X557" s="336">
        <f t="shared" si="245"/>
        <v>421.00719601404955</v>
      </c>
      <c r="Y557" s="320"/>
      <c r="Z557" s="321" t="str">
        <f t="shared" si="249"/>
        <v>X-COL8A</v>
      </c>
      <c r="AA557" s="321" t="str">
        <f t="shared" si="250"/>
        <v>X-COL8E</v>
      </c>
      <c r="AB557" s="321" t="str">
        <f t="shared" si="251"/>
        <v>X-COL8M</v>
      </c>
      <c r="AC557" s="321" t="str">
        <f t="shared" si="252"/>
        <v>X-COL8T</v>
      </c>
      <c r="AD557" s="321" t="str">
        <f t="shared" si="253"/>
        <v>X-COL8S</v>
      </c>
      <c r="AE557" s="321" t="str">
        <f t="shared" si="254"/>
        <v>X-COL8X</v>
      </c>
      <c r="AF557" s="321" t="str">
        <f t="shared" si="255"/>
        <v>X-COL8A</v>
      </c>
      <c r="AG557" s="321">
        <f t="shared" si="246"/>
        <v>10</v>
      </c>
      <c r="AH557" s="321">
        <f>IF(B557&lt;&gt;"",IF(H557="x",VLOOKUP(I557,'AUX-NIV3'!B:AG,32,FALSE),0),"")</f>
        <v>0</v>
      </c>
      <c r="AI557" s="321" t="str">
        <f t="shared" si="256"/>
        <v>X-COL8</v>
      </c>
      <c r="AJ557" s="320"/>
      <c r="AK557" s="322">
        <f t="shared" si="247"/>
        <v>553</v>
      </c>
      <c r="AL557" s="323">
        <f t="shared" si="257"/>
        <v>562</v>
      </c>
      <c r="AM557" s="322">
        <f t="shared" si="258"/>
        <v>5</v>
      </c>
      <c r="AN557" s="380">
        <f>IF(AND(AH557&gt;0,B557&lt;&gt;""),VLOOKUP(I557,'AUX-NIV3'!$B:$AO,39,FALSE)*O557,0)</f>
        <v>0</v>
      </c>
      <c r="AO557" s="380">
        <f t="shared" si="248"/>
        <v>1.3979166666666667</v>
      </c>
      <c r="AP557" s="380"/>
    </row>
    <row r="558" spans="2:42" ht="14.4" hidden="1" thickTop="1" thickBot="1">
      <c r="B558" s="324" t="s">
        <v>1513</v>
      </c>
      <c r="C558" s="325" t="s">
        <v>1514</v>
      </c>
      <c r="D558" s="326" t="s">
        <v>1160</v>
      </c>
      <c r="E558" s="327">
        <f>IF(B558&lt;&gt;"",SUMIF('AUX-NIV1'!I:I,'AUX-NIV2'!B558,'AUX-NIV1'!Q:Q),"")</f>
        <v>0</v>
      </c>
      <c r="F558" s="327" t="e">
        <f t="shared" si="238"/>
        <v>#N/A</v>
      </c>
      <c r="G558" s="327" t="e">
        <f t="shared" si="239"/>
        <v>#N/A</v>
      </c>
      <c r="H558" s="328" t="str">
        <f t="shared" si="260"/>
        <v>A</v>
      </c>
      <c r="I558" s="324" t="s">
        <v>1746</v>
      </c>
      <c r="J558" s="329" t="str">
        <f>IF(B558&lt;&gt;"",+VLOOKUP(I558,Recursos!C:F,2,FALSE),"")</f>
        <v>OFICIAL</v>
      </c>
      <c r="K558" s="330" t="str">
        <f>IF(B558&lt;&gt;"",+VLOOKUP(I558,Recursos!C:F,3,FALSE),"")</f>
        <v>hh</v>
      </c>
      <c r="L558" s="327">
        <f>IF(B558&lt;&gt;"",+VLOOKUP(I558,Recursos!C:F,4,FALSE),"")</f>
        <v>496.91595439275824</v>
      </c>
      <c r="M558" s="452">
        <f>+M561</f>
        <v>6</v>
      </c>
      <c r="N558" s="453">
        <v>1.6</v>
      </c>
      <c r="O558" s="449">
        <f>+N558/M558</f>
        <v>0.26666666666666666</v>
      </c>
      <c r="P558" s="333">
        <f t="shared" si="235"/>
        <v>132.5109211714022</v>
      </c>
      <c r="Q558" s="327">
        <f t="shared" si="236"/>
        <v>0</v>
      </c>
      <c r="R558" s="334">
        <f t="shared" si="237"/>
        <v>0</v>
      </c>
      <c r="S558" s="335" t="e">
        <f t="shared" si="240"/>
        <v>#N/A</v>
      </c>
      <c r="T558" s="335">
        <f t="shared" si="241"/>
        <v>2193.7174276881715</v>
      </c>
      <c r="U558" s="336">
        <f t="shared" si="242"/>
        <v>0</v>
      </c>
      <c r="V558" s="336">
        <f t="shared" si="243"/>
        <v>0</v>
      </c>
      <c r="W558" s="336">
        <f t="shared" si="244"/>
        <v>0</v>
      </c>
      <c r="X558" s="336">
        <f t="shared" si="245"/>
        <v>421.00719601404955</v>
      </c>
      <c r="Y558" s="320"/>
      <c r="Z558" s="321" t="str">
        <f t="shared" si="249"/>
        <v>X-COL8A</v>
      </c>
      <c r="AA558" s="321" t="str">
        <f t="shared" si="250"/>
        <v>X-COL8E</v>
      </c>
      <c r="AB558" s="321" t="str">
        <f t="shared" si="251"/>
        <v>X-COL8M</v>
      </c>
      <c r="AC558" s="321" t="str">
        <f t="shared" si="252"/>
        <v>X-COL8T</v>
      </c>
      <c r="AD558" s="321" t="str">
        <f t="shared" si="253"/>
        <v>X-COL8S</v>
      </c>
      <c r="AE558" s="321" t="str">
        <f t="shared" si="254"/>
        <v>X-COL8X</v>
      </c>
      <c r="AF558" s="321" t="str">
        <f t="shared" si="255"/>
        <v>X-COL8A</v>
      </c>
      <c r="AG558" s="321">
        <f t="shared" si="246"/>
        <v>10</v>
      </c>
      <c r="AH558" s="321">
        <f>IF(B558&lt;&gt;"",IF(H558="x",VLOOKUP(I558,'AUX-NIV3'!B:AG,32,FALSE),0),"")</f>
        <v>0</v>
      </c>
      <c r="AI558" s="321" t="str">
        <f t="shared" si="256"/>
        <v>X-COL8</v>
      </c>
      <c r="AJ558" s="320"/>
      <c r="AK558" s="322">
        <f t="shared" si="247"/>
        <v>553</v>
      </c>
      <c r="AL558" s="323">
        <f t="shared" si="257"/>
        <v>562</v>
      </c>
      <c r="AM558" s="322">
        <f t="shared" si="258"/>
        <v>6</v>
      </c>
      <c r="AN558" s="380">
        <f>IF(AND(AH558&gt;0,B558&lt;&gt;""),VLOOKUP(I558,'AUX-NIV3'!$B:$AO,39,FALSE)*O558,0)</f>
        <v>0</v>
      </c>
      <c r="AO558" s="380">
        <f t="shared" si="248"/>
        <v>1.3979166666666667</v>
      </c>
      <c r="AP558" s="380"/>
    </row>
    <row r="559" spans="2:42" ht="14.4" hidden="1" thickTop="1" thickBot="1">
      <c r="B559" s="324" t="s">
        <v>1513</v>
      </c>
      <c r="C559" s="325" t="s">
        <v>1514</v>
      </c>
      <c r="D559" s="326" t="s">
        <v>1160</v>
      </c>
      <c r="E559" s="327">
        <f>IF(B559&lt;&gt;"",SUMIF('AUX-NIV1'!I:I,'AUX-NIV2'!B559,'AUX-NIV1'!Q:Q),"")</f>
        <v>0</v>
      </c>
      <c r="F559" s="327" t="e">
        <f t="shared" si="238"/>
        <v>#N/A</v>
      </c>
      <c r="G559" s="327" t="e">
        <f t="shared" si="239"/>
        <v>#N/A</v>
      </c>
      <c r="H559" s="328" t="str">
        <f t="shared" si="260"/>
        <v>E</v>
      </c>
      <c r="I559" s="325" t="s">
        <v>1581</v>
      </c>
      <c r="J559" s="329" t="str">
        <f>IF(B559&lt;&gt;"",+VLOOKUP(I559,Recursos!C:F,2,FALSE),"")</f>
        <v>MOTOCOMPRESOR 5 M3/MIN-175 CFM</v>
      </c>
      <c r="K559" s="330" t="str">
        <f>IF(B559&lt;&gt;"",+VLOOKUP(I559,Recursos!C:F,3,FALSE),"")</f>
        <v>HR</v>
      </c>
      <c r="L559" s="327">
        <f>IF(B559&lt;&gt;"",+VLOOKUP(I559,Recursos!C:F,4,FALSE),"")</f>
        <v>1186.33205</v>
      </c>
      <c r="M559" s="452">
        <f>+M562</f>
        <v>6</v>
      </c>
      <c r="N559" s="453"/>
      <c r="O559" s="449">
        <f>1/M559</f>
        <v>0.16666666666666666</v>
      </c>
      <c r="P559" s="333">
        <f t="shared" si="235"/>
        <v>197.72200833333332</v>
      </c>
      <c r="Q559" s="327">
        <f t="shared" si="236"/>
        <v>0</v>
      </c>
      <c r="R559" s="334">
        <f t="shared" si="237"/>
        <v>0</v>
      </c>
      <c r="S559" s="335" t="e">
        <f t="shared" si="240"/>
        <v>#N/A</v>
      </c>
      <c r="T559" s="335">
        <f t="shared" si="241"/>
        <v>2193.7174276881715</v>
      </c>
      <c r="U559" s="336">
        <f t="shared" si="242"/>
        <v>0</v>
      </c>
      <c r="V559" s="336">
        <f t="shared" si="243"/>
        <v>0</v>
      </c>
      <c r="W559" s="336">
        <f t="shared" si="244"/>
        <v>0</v>
      </c>
      <c r="X559" s="336">
        <f t="shared" si="245"/>
        <v>421.00719601404955</v>
      </c>
      <c r="Y559" s="320"/>
      <c r="Z559" s="321" t="str">
        <f t="shared" si="249"/>
        <v>X-COL8A</v>
      </c>
      <c r="AA559" s="321" t="str">
        <f t="shared" si="250"/>
        <v>X-COL8E</v>
      </c>
      <c r="AB559" s="321" t="str">
        <f t="shared" si="251"/>
        <v>X-COL8M</v>
      </c>
      <c r="AC559" s="321" t="str">
        <f t="shared" si="252"/>
        <v>X-COL8T</v>
      </c>
      <c r="AD559" s="321" t="str">
        <f t="shared" si="253"/>
        <v>X-COL8S</v>
      </c>
      <c r="AE559" s="321" t="str">
        <f t="shared" si="254"/>
        <v>X-COL8X</v>
      </c>
      <c r="AF559" s="321" t="str">
        <f t="shared" si="255"/>
        <v>X-COL8E</v>
      </c>
      <c r="AG559" s="321">
        <f t="shared" si="246"/>
        <v>10</v>
      </c>
      <c r="AH559" s="321">
        <f>IF(B559&lt;&gt;"",IF(H559="x",VLOOKUP(I559,'AUX-NIV3'!B:AG,32,FALSE),0),"")</f>
        <v>0</v>
      </c>
      <c r="AI559" s="321" t="str">
        <f t="shared" si="256"/>
        <v>X-COL8</v>
      </c>
      <c r="AJ559" s="320"/>
      <c r="AK559" s="322">
        <f t="shared" si="247"/>
        <v>553</v>
      </c>
      <c r="AL559" s="323">
        <f t="shared" si="257"/>
        <v>562</v>
      </c>
      <c r="AM559" s="322">
        <f t="shared" si="258"/>
        <v>7</v>
      </c>
      <c r="AN559" s="380">
        <f>IF(AND(AH559&gt;0,B559&lt;&gt;""),VLOOKUP(I559,'AUX-NIV3'!$B:$AO,39,FALSE)*O559,0)</f>
        <v>0</v>
      </c>
      <c r="AO559" s="380">
        <f t="shared" si="248"/>
        <v>1.3979166666666667</v>
      </c>
      <c r="AP559" s="380"/>
    </row>
    <row r="560" spans="2:42" ht="14.4" hidden="1" thickTop="1" thickBot="1">
      <c r="B560" s="324" t="s">
        <v>1513</v>
      </c>
      <c r="C560" s="325" t="s">
        <v>1514</v>
      </c>
      <c r="D560" s="326" t="s">
        <v>1160</v>
      </c>
      <c r="E560" s="327">
        <f>IF(B560&lt;&gt;"",SUMIF('AUX-NIV1'!I:I,'AUX-NIV2'!B560,'AUX-NIV1'!Q:Q),"")</f>
        <v>0</v>
      </c>
      <c r="F560" s="327" t="e">
        <f t="shared" si="238"/>
        <v>#N/A</v>
      </c>
      <c r="G560" s="327" t="e">
        <f t="shared" si="239"/>
        <v>#N/A</v>
      </c>
      <c r="H560" s="328" t="str">
        <f t="shared" si="260"/>
        <v>E</v>
      </c>
      <c r="I560" s="325" t="s">
        <v>1615</v>
      </c>
      <c r="J560" s="329" t="str">
        <f>IF(B560&lt;&gt;"",+VLOOKUP(I560,Recursos!C:F,2,FALSE),"")</f>
        <v>CAMION MOTOHORMIGONERO CAP. 7 M3</v>
      </c>
      <c r="K560" s="330" t="str">
        <f>IF(B560&lt;&gt;"",+VLOOKUP(I560,Recursos!C:F,3,FALSE),"")</f>
        <v>HR</v>
      </c>
      <c r="L560" s="327">
        <f>IF(B560&lt;&gt;"",+VLOOKUP(I560,Recursos!C:F,4,FALSE),"")</f>
        <v>2415.7289999999998</v>
      </c>
      <c r="M560" s="452">
        <f>+M561</f>
        <v>6</v>
      </c>
      <c r="N560" s="453"/>
      <c r="O560" s="449">
        <f>1/M560</f>
        <v>0.16666666666666666</v>
      </c>
      <c r="P560" s="333">
        <f t="shared" si="235"/>
        <v>402.62149999999997</v>
      </c>
      <c r="Q560" s="327">
        <f t="shared" si="236"/>
        <v>0</v>
      </c>
      <c r="R560" s="334">
        <f t="shared" si="237"/>
        <v>0</v>
      </c>
      <c r="S560" s="335" t="e">
        <f t="shared" si="240"/>
        <v>#N/A</v>
      </c>
      <c r="T560" s="335">
        <f t="shared" si="241"/>
        <v>2193.7174276881715</v>
      </c>
      <c r="U560" s="336">
        <f t="shared" si="242"/>
        <v>0</v>
      </c>
      <c r="V560" s="336">
        <f t="shared" si="243"/>
        <v>0</v>
      </c>
      <c r="W560" s="336">
        <f t="shared" si="244"/>
        <v>0</v>
      </c>
      <c r="X560" s="336">
        <f t="shared" si="245"/>
        <v>421.00719601404955</v>
      </c>
      <c r="Y560" s="320"/>
      <c r="Z560" s="321" t="str">
        <f t="shared" si="249"/>
        <v>X-COL8A</v>
      </c>
      <c r="AA560" s="321" t="str">
        <f t="shared" si="250"/>
        <v>X-COL8E</v>
      </c>
      <c r="AB560" s="321" t="str">
        <f t="shared" si="251"/>
        <v>X-COL8M</v>
      </c>
      <c r="AC560" s="321" t="str">
        <f t="shared" si="252"/>
        <v>X-COL8T</v>
      </c>
      <c r="AD560" s="321" t="str">
        <f t="shared" si="253"/>
        <v>X-COL8S</v>
      </c>
      <c r="AE560" s="321" t="str">
        <f t="shared" si="254"/>
        <v>X-COL8X</v>
      </c>
      <c r="AF560" s="321" t="str">
        <f t="shared" si="255"/>
        <v>X-COL8E</v>
      </c>
      <c r="AG560" s="321">
        <f t="shared" si="246"/>
        <v>10</v>
      </c>
      <c r="AH560" s="321">
        <f>IF(B560&lt;&gt;"",IF(H560="x",VLOOKUP(I560,'AUX-NIV3'!B:AG,32,FALSE),0),"")</f>
        <v>0</v>
      </c>
      <c r="AI560" s="321" t="str">
        <f t="shared" si="256"/>
        <v>X-COL8</v>
      </c>
      <c r="AJ560" s="320"/>
      <c r="AK560" s="322">
        <f t="shared" si="247"/>
        <v>553</v>
      </c>
      <c r="AL560" s="323">
        <f t="shared" si="257"/>
        <v>562</v>
      </c>
      <c r="AM560" s="322">
        <f t="shared" si="258"/>
        <v>8</v>
      </c>
      <c r="AN560" s="380">
        <f>IF(AND(AH560&gt;0,B560&lt;&gt;""),VLOOKUP(I560,'AUX-NIV3'!$B:$AO,39,FALSE)*O560,0)</f>
        <v>0</v>
      </c>
      <c r="AO560" s="380">
        <f t="shared" si="248"/>
        <v>1.3979166666666667</v>
      </c>
      <c r="AP560" s="380"/>
    </row>
    <row r="561" spans="2:42" ht="14.4" hidden="1" thickTop="1" thickBot="1">
      <c r="B561" s="324" t="s">
        <v>1513</v>
      </c>
      <c r="C561" s="325" t="s">
        <v>1514</v>
      </c>
      <c r="D561" s="326" t="s">
        <v>1160</v>
      </c>
      <c r="E561" s="327">
        <f>IF(B561&lt;&gt;"",SUMIF('AUX-NIV1'!I:I,'AUX-NIV2'!B561,'AUX-NIV1'!Q:Q),"")</f>
        <v>0</v>
      </c>
      <c r="F561" s="327" t="e">
        <f t="shared" si="238"/>
        <v>#N/A</v>
      </c>
      <c r="G561" s="327" t="e">
        <f t="shared" si="239"/>
        <v>#N/A</v>
      </c>
      <c r="H561" s="328" t="str">
        <f t="shared" si="260"/>
        <v>E</v>
      </c>
      <c r="I561" s="325" t="s">
        <v>3302</v>
      </c>
      <c r="J561" s="329" t="str">
        <f>IF(B561&lt;&gt;"",+VLOOKUP(I561,Recursos!C:F,2,FALSE),"")</f>
        <v>SHOTCRETERA VIA HUMEDA</v>
      </c>
      <c r="K561" s="330" t="str">
        <f>IF(B561&lt;&gt;"",+VLOOKUP(I561,Recursos!C:F,3,FALSE),"")</f>
        <v>HR</v>
      </c>
      <c r="L561" s="327">
        <f>IF(B561&lt;&gt;"",+VLOOKUP(I561,Recursos!C:F,4,FALSE),"")</f>
        <v>9560.2435161290305</v>
      </c>
      <c r="M561" s="452">
        <v>6</v>
      </c>
      <c r="N561" s="453"/>
      <c r="O561" s="449">
        <f>1/M561</f>
        <v>0.16666666666666666</v>
      </c>
      <c r="P561" s="333">
        <f t="shared" si="235"/>
        <v>1593.3739193548383</v>
      </c>
      <c r="Q561" s="327">
        <f t="shared" si="236"/>
        <v>0</v>
      </c>
      <c r="R561" s="334">
        <f t="shared" si="237"/>
        <v>0</v>
      </c>
      <c r="S561" s="335" t="e">
        <f t="shared" si="240"/>
        <v>#N/A</v>
      </c>
      <c r="T561" s="335">
        <f t="shared" si="241"/>
        <v>2193.7174276881715</v>
      </c>
      <c r="U561" s="336">
        <f t="shared" si="242"/>
        <v>0</v>
      </c>
      <c r="V561" s="336">
        <f t="shared" si="243"/>
        <v>0</v>
      </c>
      <c r="W561" s="336">
        <f t="shared" si="244"/>
        <v>0</v>
      </c>
      <c r="X561" s="336">
        <f t="shared" si="245"/>
        <v>421.00719601404955</v>
      </c>
      <c r="Y561" s="320"/>
      <c r="Z561" s="321" t="str">
        <f t="shared" si="249"/>
        <v>X-COL8A</v>
      </c>
      <c r="AA561" s="321" t="str">
        <f t="shared" si="250"/>
        <v>X-COL8E</v>
      </c>
      <c r="AB561" s="321" t="str">
        <f t="shared" si="251"/>
        <v>X-COL8M</v>
      </c>
      <c r="AC561" s="321" t="str">
        <f t="shared" si="252"/>
        <v>X-COL8T</v>
      </c>
      <c r="AD561" s="321" t="str">
        <f t="shared" si="253"/>
        <v>X-COL8S</v>
      </c>
      <c r="AE561" s="321" t="str">
        <f t="shared" si="254"/>
        <v>X-COL8X</v>
      </c>
      <c r="AF561" s="321" t="str">
        <f t="shared" si="255"/>
        <v>X-COL8E</v>
      </c>
      <c r="AG561" s="321">
        <f t="shared" si="246"/>
        <v>10</v>
      </c>
      <c r="AH561" s="321">
        <f>IF(B561&lt;&gt;"",IF(H561="x",VLOOKUP(I561,'AUX-NIV3'!B:AG,32,FALSE),0),"")</f>
        <v>0</v>
      </c>
      <c r="AI561" s="321" t="str">
        <f t="shared" si="256"/>
        <v>X-COL8</v>
      </c>
      <c r="AJ561" s="320"/>
      <c r="AK561" s="322">
        <f t="shared" si="247"/>
        <v>553</v>
      </c>
      <c r="AL561" s="323">
        <f t="shared" si="257"/>
        <v>562</v>
      </c>
      <c r="AM561" s="322">
        <f t="shared" si="258"/>
        <v>9</v>
      </c>
      <c r="AN561" s="380">
        <f>IF(AND(AH561&gt;0,B561&lt;&gt;""),VLOOKUP(I561,'AUX-NIV3'!$B:$AO,39,FALSE)*O561,0)</f>
        <v>0</v>
      </c>
      <c r="AO561" s="380">
        <f t="shared" si="248"/>
        <v>1.3979166666666667</v>
      </c>
      <c r="AP561" s="380"/>
    </row>
    <row r="562" spans="2:42" ht="14.4" hidden="1" thickTop="1" thickBot="1">
      <c r="B562" s="324" t="s">
        <v>1513</v>
      </c>
      <c r="C562" s="325" t="s">
        <v>1514</v>
      </c>
      <c r="D562" s="326" t="s">
        <v>1160</v>
      </c>
      <c r="E562" s="327">
        <f>IF(B562&lt;&gt;"",SUMIF('AUX-NIV1'!I:I,'AUX-NIV2'!B562,'AUX-NIV1'!Q:Q),"")</f>
        <v>0</v>
      </c>
      <c r="F562" s="327" t="e">
        <f t="shared" si="238"/>
        <v>#N/A</v>
      </c>
      <c r="G562" s="327" t="e">
        <f t="shared" si="239"/>
        <v>#N/A</v>
      </c>
      <c r="H562" s="328" t="str">
        <f t="shared" si="260"/>
        <v>X</v>
      </c>
      <c r="I562" s="324" t="s">
        <v>1499</v>
      </c>
      <c r="J562" s="329" t="str">
        <f>IF(B562&lt;&gt;"",+VLOOKUP(I562,Recursos!C:F,2,FALSE),"")</f>
        <v>Agua para hormigones</v>
      </c>
      <c r="K562" s="330" t="str">
        <f>IF(B562&lt;&gt;"",+VLOOKUP(I562,Recursos!C:F,3,FALSE),"")</f>
        <v>m3</v>
      </c>
      <c r="L562" s="327">
        <f>IF(B562&lt;&gt;"",+VLOOKUP(I562,Recursos!C:F,4,FALSE),"")</f>
        <v>400.95923429909482</v>
      </c>
      <c r="M562" s="450">
        <f>+M561</f>
        <v>6</v>
      </c>
      <c r="N562" s="451">
        <v>1.05</v>
      </c>
      <c r="O562" s="449">
        <f>+N562</f>
        <v>1.05</v>
      </c>
      <c r="P562" s="333">
        <f t="shared" si="235"/>
        <v>421.00719601404955</v>
      </c>
      <c r="Q562" s="327">
        <f t="shared" si="236"/>
        <v>0</v>
      </c>
      <c r="R562" s="334">
        <f t="shared" si="237"/>
        <v>0</v>
      </c>
      <c r="S562" s="335" t="e">
        <f t="shared" si="240"/>
        <v>#N/A</v>
      </c>
      <c r="T562" s="335">
        <f t="shared" si="241"/>
        <v>2193.7174276881715</v>
      </c>
      <c r="U562" s="336">
        <f t="shared" si="242"/>
        <v>0</v>
      </c>
      <c r="V562" s="336">
        <f t="shared" si="243"/>
        <v>0</v>
      </c>
      <c r="W562" s="336">
        <f t="shared" si="244"/>
        <v>0</v>
      </c>
      <c r="X562" s="336">
        <f t="shared" si="245"/>
        <v>421.00719601404955</v>
      </c>
      <c r="Y562" s="320"/>
      <c r="Z562" s="321" t="str">
        <f t="shared" si="249"/>
        <v>X-COL8A</v>
      </c>
      <c r="AA562" s="321" t="str">
        <f t="shared" si="250"/>
        <v>X-COL8E</v>
      </c>
      <c r="AB562" s="321" t="str">
        <f t="shared" si="251"/>
        <v>X-COL8M</v>
      </c>
      <c r="AC562" s="321" t="str">
        <f t="shared" si="252"/>
        <v>X-COL8T</v>
      </c>
      <c r="AD562" s="321" t="str">
        <f t="shared" si="253"/>
        <v>X-COL8S</v>
      </c>
      <c r="AE562" s="321" t="str">
        <f t="shared" si="254"/>
        <v>X-COL8X</v>
      </c>
      <c r="AF562" s="321" t="str">
        <f t="shared" si="255"/>
        <v>X-COL8X</v>
      </c>
      <c r="AG562" s="321">
        <f t="shared" si="246"/>
        <v>10</v>
      </c>
      <c r="AH562" s="321">
        <f>IF(B562&lt;&gt;"",IF(H562="x",VLOOKUP(I562,'AUX-NIV3'!B:AG,32,FALSE),0),"")</f>
        <v>4</v>
      </c>
      <c r="AI562" s="321" t="str">
        <f t="shared" si="256"/>
        <v>X-COL8</v>
      </c>
      <c r="AJ562" s="320"/>
      <c r="AK562" s="322">
        <f t="shared" si="247"/>
        <v>553</v>
      </c>
      <c r="AL562" s="323">
        <f t="shared" si="257"/>
        <v>562</v>
      </c>
      <c r="AM562" s="322">
        <f t="shared" si="258"/>
        <v>10</v>
      </c>
      <c r="AN562" s="380">
        <f>IF(AND(AH562&gt;0,B562&lt;&gt;""),VLOOKUP(I562,'AUX-NIV3'!$B:$AO,39,FALSE)*O562,0)</f>
        <v>0.13125000000000001</v>
      </c>
      <c r="AO562" s="380">
        <f t="shared" si="248"/>
        <v>1.3979166666666667</v>
      </c>
      <c r="AP562" s="380"/>
    </row>
    <row r="563" spans="2:42" ht="14.4" hidden="1" thickTop="1" thickBot="1">
      <c r="B563" s="324" t="s">
        <v>2739</v>
      </c>
      <c r="C563" s="325" t="s">
        <v>42</v>
      </c>
      <c r="D563" s="326" t="s">
        <v>1160</v>
      </c>
      <c r="E563" s="327">
        <f>IF(B563&lt;&gt;"",SUMIF('AUX-NIV1'!I:I,'AUX-NIV2'!B563,'AUX-NIV1'!Q:Q),"")</f>
        <v>0</v>
      </c>
      <c r="F563" s="327">
        <f t="shared" si="238"/>
        <v>192.68134784762265</v>
      </c>
      <c r="G563" s="327">
        <f t="shared" si="239"/>
        <v>0</v>
      </c>
      <c r="H563" s="328" t="str">
        <f t="shared" si="260"/>
        <v>A</v>
      </c>
      <c r="I563" s="325" t="s">
        <v>1745</v>
      </c>
      <c r="J563" s="329" t="str">
        <f>IF(B563&lt;&gt;"",+VLOOKUP(I563,Recursos!C:F,2,FALSE),"")</f>
        <v>AYUDANTE</v>
      </c>
      <c r="K563" s="330" t="str">
        <f>IF(B563&lt;&gt;"",+VLOOKUP(I563,Recursos!C:F,3,FALSE),"")</f>
        <v>hh</v>
      </c>
      <c r="L563" s="327">
        <f>IF(B563&lt;&gt;"",+VLOOKUP(I563,Recursos!C:F,4,FALSE),"")</f>
        <v>422.48042769667234</v>
      </c>
      <c r="M563" s="331">
        <v>50</v>
      </c>
      <c r="N563" s="331">
        <v>2</v>
      </c>
      <c r="O563" s="502">
        <f t="shared" ref="O563:O569" si="261">1/M563*N563</f>
        <v>0.04</v>
      </c>
      <c r="P563" s="333">
        <f t="shared" si="235"/>
        <v>16.899217107866892</v>
      </c>
      <c r="Q563" s="327">
        <f t="shared" si="236"/>
        <v>0</v>
      </c>
      <c r="R563" s="334">
        <f t="shared" si="237"/>
        <v>0</v>
      </c>
      <c r="S563" s="358">
        <f t="shared" si="240"/>
        <v>49.438644574895363</v>
      </c>
      <c r="T563" s="358">
        <f t="shared" si="241"/>
        <v>142.24270327272728</v>
      </c>
      <c r="U563" s="359">
        <f t="shared" si="242"/>
        <v>1</v>
      </c>
      <c r="V563" s="359">
        <f t="shared" si="243"/>
        <v>0</v>
      </c>
      <c r="W563" s="359">
        <f t="shared" si="244"/>
        <v>0</v>
      </c>
      <c r="X563" s="359">
        <f t="shared" si="245"/>
        <v>0</v>
      </c>
      <c r="Y563" s="320"/>
      <c r="Z563" s="321" t="str">
        <f t="shared" si="249"/>
        <v>X-REL1A</v>
      </c>
      <c r="AA563" s="321" t="str">
        <f t="shared" si="250"/>
        <v>X-REL1E</v>
      </c>
      <c r="AB563" s="321" t="str">
        <f t="shared" si="251"/>
        <v>X-REL1M</v>
      </c>
      <c r="AC563" s="321" t="str">
        <f t="shared" si="252"/>
        <v>X-REL1T</v>
      </c>
      <c r="AD563" s="321" t="str">
        <f t="shared" si="253"/>
        <v>X-REL1S</v>
      </c>
      <c r="AE563" s="321" t="str">
        <f t="shared" si="254"/>
        <v>X-REL1X</v>
      </c>
      <c r="AF563" s="321" t="str">
        <f t="shared" si="255"/>
        <v>X-REL1A</v>
      </c>
      <c r="AG563" s="321">
        <f t="shared" si="246"/>
        <v>9</v>
      </c>
      <c r="AH563" s="321">
        <f>IF(B563&lt;&gt;"",IF(H563="x",VLOOKUP(I563,'AUX-NIV3'!B:AG,32,FALSE),0),"")</f>
        <v>0</v>
      </c>
      <c r="AI563" s="321" t="str">
        <f t="shared" si="256"/>
        <v>X-REL1</v>
      </c>
      <c r="AJ563" s="320"/>
      <c r="AK563" s="322">
        <f t="shared" si="247"/>
        <v>563</v>
      </c>
      <c r="AL563" s="323">
        <f t="shared" si="257"/>
        <v>571</v>
      </c>
      <c r="AM563" s="322">
        <f t="shared" si="258"/>
        <v>1</v>
      </c>
      <c r="AN563" s="380">
        <f>IF(AND(AH563&gt;0,B563&lt;&gt;""),VLOOKUP(I563,'AUX-NIV3'!$B:$AO,39,FALSE)*O563,0)</f>
        <v>0</v>
      </c>
      <c r="AO563" s="380">
        <f t="shared" si="248"/>
        <v>9.6000000000000002E-2</v>
      </c>
      <c r="AP563" s="380"/>
    </row>
    <row r="564" spans="2:42" ht="14.4" hidden="1" thickTop="1" thickBot="1">
      <c r="B564" s="324" t="s">
        <v>2739</v>
      </c>
      <c r="C564" s="325" t="s">
        <v>42</v>
      </c>
      <c r="D564" s="326" t="s">
        <v>1160</v>
      </c>
      <c r="E564" s="327">
        <f>IF(B564&lt;&gt;"",SUMIF('AUX-NIV1'!I:I,'AUX-NIV2'!B564,'AUX-NIV1'!Q:Q),"")</f>
        <v>0</v>
      </c>
      <c r="F564" s="327">
        <f t="shared" si="238"/>
        <v>192.68134784762265</v>
      </c>
      <c r="G564" s="327">
        <f t="shared" si="239"/>
        <v>0</v>
      </c>
      <c r="H564" s="328" t="str">
        <f t="shared" si="260"/>
        <v>A</v>
      </c>
      <c r="I564" s="325" t="s">
        <v>3310</v>
      </c>
      <c r="J564" s="329" t="str">
        <f>IF(B564&lt;&gt;"",+VLOOKUP(I564,Recursos!C:F,2,FALSE),"")</f>
        <v>OFICIAL ESPECIALIZADO</v>
      </c>
      <c r="K564" s="330" t="str">
        <f>IF(B564&lt;&gt;"",+VLOOKUP(I564,Recursos!C:F,3,FALSE),"")</f>
        <v>hh</v>
      </c>
      <c r="L564" s="327">
        <f>IF(B564&lt;&gt;"",+VLOOKUP(I564,Recursos!C:F,4,FALSE),"")</f>
        <v>581.06120476836554</v>
      </c>
      <c r="M564" s="331">
        <v>50</v>
      </c>
      <c r="N564" s="331">
        <v>1.4</v>
      </c>
      <c r="O564" s="502">
        <f t="shared" si="261"/>
        <v>2.7999999999999997E-2</v>
      </c>
      <c r="P564" s="333">
        <f t="shared" si="235"/>
        <v>16.269713733514234</v>
      </c>
      <c r="Q564" s="327">
        <f t="shared" si="236"/>
        <v>0</v>
      </c>
      <c r="R564" s="334">
        <f t="shared" si="237"/>
        <v>0</v>
      </c>
      <c r="S564" s="358">
        <f t="shared" si="240"/>
        <v>49.438644574895363</v>
      </c>
      <c r="T564" s="358">
        <f t="shared" si="241"/>
        <v>142.24270327272728</v>
      </c>
      <c r="U564" s="359">
        <f t="shared" si="242"/>
        <v>1</v>
      </c>
      <c r="V564" s="359">
        <f t="shared" si="243"/>
        <v>0</v>
      </c>
      <c r="W564" s="359">
        <f t="shared" si="244"/>
        <v>0</v>
      </c>
      <c r="X564" s="359">
        <f t="shared" si="245"/>
        <v>0</v>
      </c>
      <c r="Y564" s="320"/>
      <c r="Z564" s="321" t="str">
        <f t="shared" si="249"/>
        <v>X-REL1A</v>
      </c>
      <c r="AA564" s="321" t="str">
        <f t="shared" si="250"/>
        <v>X-REL1E</v>
      </c>
      <c r="AB564" s="321" t="str">
        <f t="shared" si="251"/>
        <v>X-REL1M</v>
      </c>
      <c r="AC564" s="321" t="str">
        <f t="shared" si="252"/>
        <v>X-REL1T</v>
      </c>
      <c r="AD564" s="321" t="str">
        <f t="shared" si="253"/>
        <v>X-REL1S</v>
      </c>
      <c r="AE564" s="321" t="str">
        <f t="shared" si="254"/>
        <v>X-REL1X</v>
      </c>
      <c r="AF564" s="321" t="str">
        <f t="shared" si="255"/>
        <v>X-REL1A</v>
      </c>
      <c r="AG564" s="321">
        <f t="shared" si="246"/>
        <v>9</v>
      </c>
      <c r="AH564" s="321">
        <f>IF(B564&lt;&gt;"",IF(H564="x",VLOOKUP(I564,'AUX-NIV3'!B:AG,32,FALSE),0),"")</f>
        <v>0</v>
      </c>
      <c r="AI564" s="321" t="str">
        <f t="shared" si="256"/>
        <v>X-REL1</v>
      </c>
      <c r="AJ564" s="320"/>
      <c r="AK564" s="322">
        <f t="shared" si="247"/>
        <v>563</v>
      </c>
      <c r="AL564" s="323">
        <f t="shared" si="257"/>
        <v>571</v>
      </c>
      <c r="AM564" s="322">
        <f t="shared" si="258"/>
        <v>2</v>
      </c>
      <c r="AN564" s="380">
        <f>IF(AND(AH564&gt;0,B564&lt;&gt;""),VLOOKUP(I564,'AUX-NIV3'!$B:$AO,39,FALSE)*O564,0)</f>
        <v>0</v>
      </c>
      <c r="AO564" s="380">
        <f t="shared" si="248"/>
        <v>9.6000000000000002E-2</v>
      </c>
      <c r="AP564" s="380"/>
    </row>
    <row r="565" spans="2:42" ht="14.4" hidden="1" thickTop="1" thickBot="1">
      <c r="B565" s="324" t="s">
        <v>2739</v>
      </c>
      <c r="C565" s="325" t="s">
        <v>42</v>
      </c>
      <c r="D565" s="326" t="s">
        <v>1160</v>
      </c>
      <c r="E565" s="327">
        <f>IF(B565&lt;&gt;"",SUMIF('AUX-NIV1'!I:I,'AUX-NIV2'!B565,'AUX-NIV1'!Q:Q),"")</f>
        <v>0</v>
      </c>
      <c r="F565" s="327">
        <f t="shared" si="238"/>
        <v>192.68134784762265</v>
      </c>
      <c r="G565" s="327">
        <f t="shared" si="239"/>
        <v>0</v>
      </c>
      <c r="H565" s="328" t="str">
        <f t="shared" si="260"/>
        <v>A</v>
      </c>
      <c r="I565" s="325" t="s">
        <v>3310</v>
      </c>
      <c r="J565" s="329" t="str">
        <f>IF(B565&lt;&gt;"",+VLOOKUP(I565,Recursos!C:F,2,FALSE),"")</f>
        <v>OFICIAL ESPECIALIZADO</v>
      </c>
      <c r="K565" s="330" t="str">
        <f>IF(B565&lt;&gt;"",+VLOOKUP(I565,Recursos!C:F,3,FALSE),"")</f>
        <v>hh</v>
      </c>
      <c r="L565" s="327">
        <f>IF(B565&lt;&gt;"",+VLOOKUP(I565,Recursos!C:F,4,FALSE),"")</f>
        <v>581.06120476836554</v>
      </c>
      <c r="M565" s="331">
        <v>50</v>
      </c>
      <c r="N565" s="331">
        <v>0.7</v>
      </c>
      <c r="O565" s="502">
        <f t="shared" si="261"/>
        <v>1.3999999999999999E-2</v>
      </c>
      <c r="P565" s="333">
        <f t="shared" si="235"/>
        <v>8.1348568667571168</v>
      </c>
      <c r="Q565" s="327">
        <f t="shared" si="236"/>
        <v>0</v>
      </c>
      <c r="R565" s="334">
        <f t="shared" si="237"/>
        <v>0</v>
      </c>
      <c r="S565" s="358">
        <f t="shared" si="240"/>
        <v>49.438644574895363</v>
      </c>
      <c r="T565" s="358">
        <f t="shared" si="241"/>
        <v>142.24270327272728</v>
      </c>
      <c r="U565" s="359">
        <f t="shared" si="242"/>
        <v>1</v>
      </c>
      <c r="V565" s="359">
        <f t="shared" si="243"/>
        <v>0</v>
      </c>
      <c r="W565" s="359">
        <f t="shared" si="244"/>
        <v>0</v>
      </c>
      <c r="X565" s="359">
        <f t="shared" si="245"/>
        <v>0</v>
      </c>
      <c r="Y565" s="320"/>
      <c r="Z565" s="321" t="str">
        <f t="shared" si="249"/>
        <v>X-REL1A</v>
      </c>
      <c r="AA565" s="321" t="str">
        <f t="shared" si="250"/>
        <v>X-REL1E</v>
      </c>
      <c r="AB565" s="321" t="str">
        <f t="shared" si="251"/>
        <v>X-REL1M</v>
      </c>
      <c r="AC565" s="321" t="str">
        <f t="shared" si="252"/>
        <v>X-REL1T</v>
      </c>
      <c r="AD565" s="321" t="str">
        <f t="shared" si="253"/>
        <v>X-REL1S</v>
      </c>
      <c r="AE565" s="321" t="str">
        <f t="shared" si="254"/>
        <v>X-REL1X</v>
      </c>
      <c r="AF565" s="321" t="str">
        <f t="shared" si="255"/>
        <v>X-REL1A</v>
      </c>
      <c r="AG565" s="321">
        <f t="shared" si="246"/>
        <v>9</v>
      </c>
      <c r="AH565" s="321">
        <f>IF(B565&lt;&gt;"",IF(H565="x",VLOOKUP(I565,'AUX-NIV3'!B:AG,32,FALSE),0),"")</f>
        <v>0</v>
      </c>
      <c r="AI565" s="321" t="str">
        <f t="shared" si="256"/>
        <v>X-REL1</v>
      </c>
      <c r="AJ565" s="320"/>
      <c r="AK565" s="322">
        <f t="shared" si="247"/>
        <v>563</v>
      </c>
      <c r="AL565" s="323">
        <f t="shared" si="257"/>
        <v>571</v>
      </c>
      <c r="AM565" s="322">
        <f t="shared" si="258"/>
        <v>3</v>
      </c>
      <c r="AN565" s="380">
        <f>IF(AND(AH565&gt;0,B565&lt;&gt;""),VLOOKUP(I565,'AUX-NIV3'!$B:$AO,39,FALSE)*O565,0)</f>
        <v>0</v>
      </c>
      <c r="AO565" s="380">
        <f t="shared" si="248"/>
        <v>9.6000000000000002E-2</v>
      </c>
      <c r="AP565" s="380"/>
    </row>
    <row r="566" spans="2:42" ht="14.4" hidden="1" thickTop="1" thickBot="1">
      <c r="B566" s="324" t="s">
        <v>2739</v>
      </c>
      <c r="C566" s="325" t="s">
        <v>42</v>
      </c>
      <c r="D566" s="326" t="s">
        <v>1160</v>
      </c>
      <c r="E566" s="327">
        <f>IF(B566&lt;&gt;"",SUMIF('AUX-NIV1'!I:I,'AUX-NIV2'!B566,'AUX-NIV1'!Q:Q),"")</f>
        <v>0</v>
      </c>
      <c r="F566" s="327">
        <f t="shared" si="238"/>
        <v>192.68134784762265</v>
      </c>
      <c r="G566" s="327">
        <f t="shared" si="239"/>
        <v>0</v>
      </c>
      <c r="H566" s="328" t="str">
        <f t="shared" si="260"/>
        <v>A</v>
      </c>
      <c r="I566" s="325" t="s">
        <v>3310</v>
      </c>
      <c r="J566" s="329" t="str">
        <f>IF(B566&lt;&gt;"",+VLOOKUP(I566,Recursos!C:F,2,FALSE),"")</f>
        <v>OFICIAL ESPECIALIZADO</v>
      </c>
      <c r="K566" s="330" t="str">
        <f>IF(B566&lt;&gt;"",+VLOOKUP(I566,Recursos!C:F,3,FALSE),"")</f>
        <v>hh</v>
      </c>
      <c r="L566" s="327">
        <f>IF(B566&lt;&gt;"",+VLOOKUP(I566,Recursos!C:F,4,FALSE),"")</f>
        <v>581.06120476836554</v>
      </c>
      <c r="M566" s="331">
        <v>50</v>
      </c>
      <c r="N566" s="331">
        <v>0.7</v>
      </c>
      <c r="O566" s="502">
        <f t="shared" si="261"/>
        <v>1.3999999999999999E-2</v>
      </c>
      <c r="P566" s="333">
        <f t="shared" si="235"/>
        <v>8.1348568667571168</v>
      </c>
      <c r="Q566" s="327">
        <f t="shared" si="236"/>
        <v>0</v>
      </c>
      <c r="R566" s="334">
        <f t="shared" si="237"/>
        <v>0</v>
      </c>
      <c r="S566" s="358">
        <f t="shared" si="240"/>
        <v>49.438644574895363</v>
      </c>
      <c r="T566" s="358">
        <f t="shared" si="241"/>
        <v>142.24270327272728</v>
      </c>
      <c r="U566" s="359">
        <f t="shared" si="242"/>
        <v>1</v>
      </c>
      <c r="V566" s="359">
        <f t="shared" si="243"/>
        <v>0</v>
      </c>
      <c r="W566" s="359">
        <f t="shared" si="244"/>
        <v>0</v>
      </c>
      <c r="X566" s="359">
        <f t="shared" si="245"/>
        <v>0</v>
      </c>
      <c r="Y566" s="320"/>
      <c r="Z566" s="321" t="str">
        <f t="shared" si="249"/>
        <v>X-REL1A</v>
      </c>
      <c r="AA566" s="321" t="str">
        <f t="shared" si="250"/>
        <v>X-REL1E</v>
      </c>
      <c r="AB566" s="321" t="str">
        <f t="shared" si="251"/>
        <v>X-REL1M</v>
      </c>
      <c r="AC566" s="321" t="str">
        <f t="shared" si="252"/>
        <v>X-REL1T</v>
      </c>
      <c r="AD566" s="321" t="str">
        <f t="shared" si="253"/>
        <v>X-REL1S</v>
      </c>
      <c r="AE566" s="321" t="str">
        <f t="shared" si="254"/>
        <v>X-REL1X</v>
      </c>
      <c r="AF566" s="321" t="str">
        <f t="shared" si="255"/>
        <v>X-REL1A</v>
      </c>
      <c r="AG566" s="321">
        <f t="shared" si="246"/>
        <v>9</v>
      </c>
      <c r="AH566" s="321">
        <f>IF(B566&lt;&gt;"",IF(H566="x",VLOOKUP(I566,'AUX-NIV3'!B:AG,32,FALSE),0),"")</f>
        <v>0</v>
      </c>
      <c r="AI566" s="321" t="str">
        <f t="shared" si="256"/>
        <v>X-REL1</v>
      </c>
      <c r="AJ566" s="320"/>
      <c r="AK566" s="322">
        <f t="shared" si="247"/>
        <v>563</v>
      </c>
      <c r="AL566" s="323">
        <f t="shared" si="257"/>
        <v>571</v>
      </c>
      <c r="AM566" s="322">
        <f t="shared" si="258"/>
        <v>4</v>
      </c>
      <c r="AN566" s="380">
        <f>IF(AND(AH566&gt;0,B566&lt;&gt;""),VLOOKUP(I566,'AUX-NIV3'!$B:$AO,39,FALSE)*O566,0)</f>
        <v>0</v>
      </c>
      <c r="AO566" s="380">
        <f t="shared" si="248"/>
        <v>9.6000000000000002E-2</v>
      </c>
      <c r="AP566" s="380"/>
    </row>
    <row r="567" spans="2:42" ht="14.4" hidden="1" thickTop="1" thickBot="1">
      <c r="B567" s="324" t="s">
        <v>2739</v>
      </c>
      <c r="C567" s="325" t="s">
        <v>42</v>
      </c>
      <c r="D567" s="326" t="s">
        <v>1160</v>
      </c>
      <c r="E567" s="327">
        <f>IF(B567&lt;&gt;"",SUMIF('AUX-NIV1'!I:I,'AUX-NIV2'!B567,'AUX-NIV1'!Q:Q),"")</f>
        <v>0</v>
      </c>
      <c r="F567" s="327">
        <f t="shared" si="238"/>
        <v>192.68134784762265</v>
      </c>
      <c r="G567" s="327">
        <f t="shared" si="239"/>
        <v>0</v>
      </c>
      <c r="H567" s="328" t="str">
        <f t="shared" si="260"/>
        <v>E</v>
      </c>
      <c r="I567" s="325" t="s">
        <v>1552</v>
      </c>
      <c r="J567" s="329" t="str">
        <f>IF(B567&lt;&gt;"",+VLOOKUP(I567,Recursos!C:F,2,FALSE),"")</f>
        <v>RETROEXCAVADORA S/CARRILES  0,9 M2</v>
      </c>
      <c r="K567" s="330" t="str">
        <f>IF(B567&lt;&gt;"",+VLOOKUP(I567,Recursos!C:F,3,FALSE),"")</f>
        <v>HR</v>
      </c>
      <c r="L567" s="327">
        <f>IF(B567&lt;&gt;"",+VLOOKUP(I567,Recursos!C:F,4,FALSE),"")</f>
        <v>2743.02</v>
      </c>
      <c r="M567" s="331">
        <v>50</v>
      </c>
      <c r="N567" s="331">
        <v>0.5</v>
      </c>
      <c r="O567" s="502">
        <f t="shared" si="261"/>
        <v>0.01</v>
      </c>
      <c r="P567" s="333">
        <f t="shared" si="235"/>
        <v>27.430199999999999</v>
      </c>
      <c r="Q567" s="327">
        <f t="shared" si="236"/>
        <v>0</v>
      </c>
      <c r="R567" s="334">
        <f t="shared" si="237"/>
        <v>0</v>
      </c>
      <c r="S567" s="358">
        <f t="shared" si="240"/>
        <v>49.438644574895363</v>
      </c>
      <c r="T567" s="358">
        <f t="shared" si="241"/>
        <v>142.24270327272728</v>
      </c>
      <c r="U567" s="359">
        <f t="shared" si="242"/>
        <v>1</v>
      </c>
      <c r="V567" s="359">
        <f t="shared" si="243"/>
        <v>0</v>
      </c>
      <c r="W567" s="359">
        <f t="shared" si="244"/>
        <v>0</v>
      </c>
      <c r="X567" s="359">
        <f t="shared" si="245"/>
        <v>0</v>
      </c>
      <c r="Y567" s="320"/>
      <c r="Z567" s="321" t="str">
        <f t="shared" si="249"/>
        <v>X-REL1A</v>
      </c>
      <c r="AA567" s="321" t="str">
        <f t="shared" si="250"/>
        <v>X-REL1E</v>
      </c>
      <c r="AB567" s="321" t="str">
        <f t="shared" si="251"/>
        <v>X-REL1M</v>
      </c>
      <c r="AC567" s="321" t="str">
        <f t="shared" si="252"/>
        <v>X-REL1T</v>
      </c>
      <c r="AD567" s="321" t="str">
        <f t="shared" si="253"/>
        <v>X-REL1S</v>
      </c>
      <c r="AE567" s="321" t="str">
        <f t="shared" si="254"/>
        <v>X-REL1X</v>
      </c>
      <c r="AF567" s="321" t="str">
        <f t="shared" si="255"/>
        <v>X-REL1E</v>
      </c>
      <c r="AG567" s="321">
        <f t="shared" si="246"/>
        <v>9</v>
      </c>
      <c r="AH567" s="321">
        <f>IF(B567&lt;&gt;"",IF(H567="x",VLOOKUP(I567,'AUX-NIV3'!B:AG,32,FALSE),0),"")</f>
        <v>0</v>
      </c>
      <c r="AI567" s="321" t="str">
        <f t="shared" si="256"/>
        <v>X-REL1</v>
      </c>
      <c r="AJ567" s="320"/>
      <c r="AK567" s="322">
        <f t="shared" si="247"/>
        <v>563</v>
      </c>
      <c r="AL567" s="323">
        <f t="shared" si="257"/>
        <v>571</v>
      </c>
      <c r="AM567" s="322">
        <f t="shared" si="258"/>
        <v>5</v>
      </c>
      <c r="AN567" s="380">
        <f>IF(AND(AH567&gt;0,B567&lt;&gt;""),VLOOKUP(I567,'AUX-NIV3'!$B:$AO,39,FALSE)*O567,0)</f>
        <v>0</v>
      </c>
      <c r="AO567" s="380">
        <f t="shared" si="248"/>
        <v>9.6000000000000002E-2</v>
      </c>
      <c r="AP567" s="380"/>
    </row>
    <row r="568" spans="2:42" ht="14.4" hidden="1" thickTop="1" thickBot="1">
      <c r="B568" s="324" t="s">
        <v>2739</v>
      </c>
      <c r="C568" s="325" t="s">
        <v>42</v>
      </c>
      <c r="D568" s="326" t="s">
        <v>1160</v>
      </c>
      <c r="E568" s="327">
        <f>IF(B568&lt;&gt;"",SUMIF('AUX-NIV1'!I:I,'AUX-NIV2'!B568,'AUX-NIV1'!Q:Q),"")</f>
        <v>0</v>
      </c>
      <c r="F568" s="327">
        <f t="shared" si="238"/>
        <v>192.68134784762265</v>
      </c>
      <c r="G568" s="327">
        <f t="shared" si="239"/>
        <v>0</v>
      </c>
      <c r="H568" s="328" t="str">
        <f t="shared" si="260"/>
        <v>E</v>
      </c>
      <c r="I568" s="325" t="s">
        <v>1536</v>
      </c>
      <c r="J568" s="329" t="str">
        <f>IF(B568&lt;&gt;"",+VLOOKUP(I568,Recursos!C:F,2,FALSE),"")</f>
        <v>TOPADORA SIN ESC.(15 T)</v>
      </c>
      <c r="K568" s="330" t="str">
        <f>IF(B568&lt;&gt;"",+VLOOKUP(I568,Recursos!C:F,3,FALSE),"")</f>
        <v>HR</v>
      </c>
      <c r="L568" s="327">
        <f>IF(B568&lt;&gt;"",+VLOOKUP(I568,Recursos!C:F,4,FALSE),"")</f>
        <v>3980.3256000000001</v>
      </c>
      <c r="M568" s="331">
        <v>50</v>
      </c>
      <c r="N568" s="331">
        <v>0.5</v>
      </c>
      <c r="O568" s="502">
        <f t="shared" si="261"/>
        <v>0.01</v>
      </c>
      <c r="P568" s="333">
        <f t="shared" si="235"/>
        <v>39.803256000000005</v>
      </c>
      <c r="Q568" s="327">
        <f t="shared" si="236"/>
        <v>0</v>
      </c>
      <c r="R568" s="334">
        <f t="shared" si="237"/>
        <v>0</v>
      </c>
      <c r="S568" s="358">
        <f t="shared" si="240"/>
        <v>49.438644574895363</v>
      </c>
      <c r="T568" s="358">
        <f t="shared" si="241"/>
        <v>142.24270327272728</v>
      </c>
      <c r="U568" s="359">
        <f t="shared" si="242"/>
        <v>1</v>
      </c>
      <c r="V568" s="359">
        <f t="shared" si="243"/>
        <v>0</v>
      </c>
      <c r="W568" s="359">
        <f t="shared" si="244"/>
        <v>0</v>
      </c>
      <c r="X568" s="359">
        <f t="shared" si="245"/>
        <v>0</v>
      </c>
      <c r="Y568" s="320"/>
      <c r="Z568" s="321" t="str">
        <f t="shared" si="249"/>
        <v>X-REL1A</v>
      </c>
      <c r="AA568" s="321" t="str">
        <f t="shared" si="250"/>
        <v>X-REL1E</v>
      </c>
      <c r="AB568" s="321" t="str">
        <f t="shared" si="251"/>
        <v>X-REL1M</v>
      </c>
      <c r="AC568" s="321" t="str">
        <f t="shared" si="252"/>
        <v>X-REL1T</v>
      </c>
      <c r="AD568" s="321" t="str">
        <f t="shared" si="253"/>
        <v>X-REL1S</v>
      </c>
      <c r="AE568" s="321" t="str">
        <f t="shared" si="254"/>
        <v>X-REL1X</v>
      </c>
      <c r="AF568" s="321" t="str">
        <f t="shared" si="255"/>
        <v>X-REL1E</v>
      </c>
      <c r="AG568" s="321">
        <f t="shared" si="246"/>
        <v>9</v>
      </c>
      <c r="AH568" s="321">
        <f>IF(B568&lt;&gt;"",IF(H568="x",VLOOKUP(I568,'AUX-NIV3'!B:AG,32,FALSE),0),"")</f>
        <v>0</v>
      </c>
      <c r="AI568" s="321" t="str">
        <f t="shared" si="256"/>
        <v>X-REL1</v>
      </c>
      <c r="AJ568" s="320"/>
      <c r="AK568" s="322">
        <f t="shared" si="247"/>
        <v>563</v>
      </c>
      <c r="AL568" s="323">
        <f t="shared" si="257"/>
        <v>571</v>
      </c>
      <c r="AM568" s="322">
        <f t="shared" si="258"/>
        <v>6</v>
      </c>
      <c r="AN568" s="380">
        <f>IF(AND(AH568&gt;0,B568&lt;&gt;""),VLOOKUP(I568,'AUX-NIV3'!$B:$AO,39,FALSE)*O568,0)</f>
        <v>0</v>
      </c>
      <c r="AO568" s="380">
        <f t="shared" si="248"/>
        <v>9.6000000000000002E-2</v>
      </c>
      <c r="AP568" s="380"/>
    </row>
    <row r="569" spans="2:42" ht="14.4" hidden="1" thickTop="1" thickBot="1">
      <c r="B569" s="324" t="s">
        <v>2739</v>
      </c>
      <c r="C569" s="325" t="s">
        <v>42</v>
      </c>
      <c r="D569" s="326" t="s">
        <v>1160</v>
      </c>
      <c r="E569" s="327">
        <f>IF(B569&lt;&gt;"",SUMIF('AUX-NIV1'!I:I,'AUX-NIV2'!B569,'AUX-NIV1'!Q:Q),"")</f>
        <v>0</v>
      </c>
      <c r="F569" s="327">
        <f t="shared" si="238"/>
        <v>192.68134784762265</v>
      </c>
      <c r="G569" s="327">
        <f t="shared" si="239"/>
        <v>0</v>
      </c>
      <c r="H569" s="328" t="str">
        <f t="shared" si="260"/>
        <v>E</v>
      </c>
      <c r="I569" s="325" t="s">
        <v>1546</v>
      </c>
      <c r="J569" s="329" t="str">
        <f>IF(B569&lt;&gt;"",+VLOOKUP(I569,Recursos!C:F,2,FALSE),"")</f>
        <v>MOTONIVELADORA 12" (15 T)</v>
      </c>
      <c r="K569" s="330" t="str">
        <f>IF(B569&lt;&gt;"",+VLOOKUP(I569,Recursos!C:F,3,FALSE),"")</f>
        <v>HR</v>
      </c>
      <c r="L569" s="327">
        <f>IF(B569&lt;&gt;"",+VLOOKUP(I569,Recursos!C:F,4,FALSE),"")</f>
        <v>3750.4623636363635</v>
      </c>
      <c r="M569" s="331">
        <v>50</v>
      </c>
      <c r="N569" s="331">
        <v>1</v>
      </c>
      <c r="O569" s="502">
        <f t="shared" si="261"/>
        <v>0.02</v>
      </c>
      <c r="P569" s="333">
        <f t="shared" si="235"/>
        <v>75.009247272727279</v>
      </c>
      <c r="Q569" s="327">
        <f t="shared" si="236"/>
        <v>0</v>
      </c>
      <c r="R569" s="334">
        <f t="shared" si="237"/>
        <v>0</v>
      </c>
      <c r="S569" s="358">
        <f t="shared" si="240"/>
        <v>49.438644574895363</v>
      </c>
      <c r="T569" s="358">
        <f t="shared" si="241"/>
        <v>142.24270327272728</v>
      </c>
      <c r="U569" s="359">
        <f t="shared" si="242"/>
        <v>1</v>
      </c>
      <c r="V569" s="359">
        <f t="shared" si="243"/>
        <v>0</v>
      </c>
      <c r="W569" s="359">
        <f t="shared" si="244"/>
        <v>0</v>
      </c>
      <c r="X569" s="359">
        <f t="shared" si="245"/>
        <v>0</v>
      </c>
      <c r="Y569" s="320"/>
      <c r="Z569" s="321" t="str">
        <f t="shared" si="249"/>
        <v>X-REL1A</v>
      </c>
      <c r="AA569" s="321" t="str">
        <f t="shared" si="250"/>
        <v>X-REL1E</v>
      </c>
      <c r="AB569" s="321" t="str">
        <f t="shared" si="251"/>
        <v>X-REL1M</v>
      </c>
      <c r="AC569" s="321" t="str">
        <f t="shared" si="252"/>
        <v>X-REL1T</v>
      </c>
      <c r="AD569" s="321" t="str">
        <f t="shared" si="253"/>
        <v>X-REL1S</v>
      </c>
      <c r="AE569" s="321" t="str">
        <f t="shared" si="254"/>
        <v>X-REL1X</v>
      </c>
      <c r="AF569" s="321" t="str">
        <f t="shared" si="255"/>
        <v>X-REL1E</v>
      </c>
      <c r="AG569" s="321">
        <f t="shared" si="246"/>
        <v>9</v>
      </c>
      <c r="AH569" s="321">
        <f>IF(B569&lt;&gt;"",IF(H569="x",VLOOKUP(I569,'AUX-NIV3'!B:AG,32,FALSE),0),"")</f>
        <v>0</v>
      </c>
      <c r="AI569" s="321" t="str">
        <f t="shared" si="256"/>
        <v>X-REL1</v>
      </c>
      <c r="AJ569" s="320"/>
      <c r="AK569" s="322">
        <f t="shared" si="247"/>
        <v>563</v>
      </c>
      <c r="AL569" s="323">
        <f t="shared" si="257"/>
        <v>571</v>
      </c>
      <c r="AM569" s="322">
        <f t="shared" si="258"/>
        <v>7</v>
      </c>
      <c r="AN569" s="380">
        <f>IF(AND(AH569&gt;0,B569&lt;&gt;""),VLOOKUP(I569,'AUX-NIV3'!$B:$AO,39,FALSE)*O569,0)</f>
        <v>0</v>
      </c>
      <c r="AO569" s="380">
        <f t="shared" si="248"/>
        <v>9.6000000000000002E-2</v>
      </c>
      <c r="AP569" s="380"/>
    </row>
    <row r="570" spans="2:42" ht="14.4" hidden="1" thickTop="1" thickBot="1">
      <c r="B570" s="324" t="s">
        <v>2739</v>
      </c>
      <c r="C570" s="325" t="s">
        <v>42</v>
      </c>
      <c r="D570" s="326" t="s">
        <v>1160</v>
      </c>
      <c r="E570" s="327">
        <f>IF(B570&lt;&gt;"",SUMIF('AUX-NIV1'!I:I,'AUX-NIV2'!B570,'AUX-NIV1'!Q:Q),"")</f>
        <v>0</v>
      </c>
      <c r="F570" s="327">
        <f t="shared" si="238"/>
        <v>192.68134784762265</v>
      </c>
      <c r="G570" s="327">
        <f t="shared" si="239"/>
        <v>0</v>
      </c>
      <c r="H570" s="328" t="str">
        <f t="shared" si="260"/>
        <v>M</v>
      </c>
      <c r="I570" s="325" t="s">
        <v>621</v>
      </c>
      <c r="J570" s="329" t="str">
        <f>IF(B570&lt;&gt;"",+VLOOKUP(I570,Recursos!C:F,2,FALSE),"")</f>
        <v>MATERIALES VARIOS</v>
      </c>
      <c r="K570" s="330" t="str">
        <f>IF(B570&lt;&gt;"",+VLOOKUP(I570,Recursos!C:F,3,FALSE),"")</f>
        <v>GL</v>
      </c>
      <c r="L570" s="327">
        <f>IF(B570&lt;&gt;"",+VLOOKUP(I570,Recursos!C:F,4,FALSE),"")</f>
        <v>0.5</v>
      </c>
      <c r="M570" s="331">
        <v>2</v>
      </c>
      <c r="N570" s="331">
        <v>1</v>
      </c>
      <c r="O570" s="502">
        <f>+M570*N570</f>
        <v>2</v>
      </c>
      <c r="P570" s="333">
        <f t="shared" si="235"/>
        <v>1</v>
      </c>
      <c r="Q570" s="327">
        <f t="shared" si="236"/>
        <v>0</v>
      </c>
      <c r="R570" s="334">
        <f t="shared" si="237"/>
        <v>0</v>
      </c>
      <c r="S570" s="358">
        <f t="shared" si="240"/>
        <v>49.438644574895363</v>
      </c>
      <c r="T570" s="358">
        <f t="shared" si="241"/>
        <v>142.24270327272728</v>
      </c>
      <c r="U570" s="359">
        <f t="shared" si="242"/>
        <v>1</v>
      </c>
      <c r="V570" s="359">
        <f t="shared" si="243"/>
        <v>0</v>
      </c>
      <c r="W570" s="359">
        <f t="shared" si="244"/>
        <v>0</v>
      </c>
      <c r="X570" s="359">
        <f t="shared" si="245"/>
        <v>0</v>
      </c>
      <c r="Y570" s="320"/>
      <c r="Z570" s="321" t="str">
        <f t="shared" si="249"/>
        <v>X-REL1A</v>
      </c>
      <c r="AA570" s="321" t="str">
        <f t="shared" si="250"/>
        <v>X-REL1E</v>
      </c>
      <c r="AB570" s="321" t="str">
        <f t="shared" si="251"/>
        <v>X-REL1M</v>
      </c>
      <c r="AC570" s="321" t="str">
        <f t="shared" si="252"/>
        <v>X-REL1T</v>
      </c>
      <c r="AD570" s="321" t="str">
        <f t="shared" si="253"/>
        <v>X-REL1S</v>
      </c>
      <c r="AE570" s="321" t="str">
        <f t="shared" si="254"/>
        <v>X-REL1X</v>
      </c>
      <c r="AF570" s="321" t="str">
        <f t="shared" si="255"/>
        <v>X-REL1M</v>
      </c>
      <c r="AG570" s="321">
        <f t="shared" si="246"/>
        <v>9</v>
      </c>
      <c r="AH570" s="321">
        <f>IF(B570&lt;&gt;"",IF(H570="x",VLOOKUP(I570,'AUX-NIV3'!B:AG,32,FALSE),0),"")</f>
        <v>0</v>
      </c>
      <c r="AI570" s="321" t="str">
        <f t="shared" si="256"/>
        <v>X-REL1</v>
      </c>
      <c r="AJ570" s="320"/>
      <c r="AK570" s="322">
        <f t="shared" si="247"/>
        <v>563</v>
      </c>
      <c r="AL570" s="323">
        <f t="shared" si="257"/>
        <v>571</v>
      </c>
      <c r="AM570" s="322">
        <f t="shared" si="258"/>
        <v>8</v>
      </c>
      <c r="AN570" s="380">
        <f>IF(AND(AH570&gt;0,B570&lt;&gt;""),VLOOKUP(I570,'AUX-NIV3'!$B:$AO,39,FALSE)*O570,0)</f>
        <v>0</v>
      </c>
      <c r="AO570" s="380">
        <f t="shared" si="248"/>
        <v>9.6000000000000002E-2</v>
      </c>
      <c r="AP570" s="380"/>
    </row>
    <row r="571" spans="2:42" ht="14.4" hidden="1" thickTop="1" thickBot="1">
      <c r="B571" s="324" t="s">
        <v>2739</v>
      </c>
      <c r="C571" s="325" t="s">
        <v>42</v>
      </c>
      <c r="D571" s="326" t="s">
        <v>1160</v>
      </c>
      <c r="E571" s="327">
        <f>IF(B571&lt;&gt;"",SUMIF('AUX-NIV1'!I:I,'AUX-NIV2'!B571,'AUX-NIV1'!Q:Q),"")</f>
        <v>0</v>
      </c>
      <c r="F571" s="327">
        <f t="shared" si="238"/>
        <v>192.68134784762265</v>
      </c>
      <c r="G571" s="327">
        <f t="shared" si="239"/>
        <v>0</v>
      </c>
      <c r="H571" s="328" t="str">
        <f t="shared" si="260"/>
        <v>M</v>
      </c>
      <c r="I571" s="325" t="s">
        <v>1767</v>
      </c>
      <c r="J571" s="329" t="str">
        <f>IF(B571&lt;&gt;"",+VLOOKUP(I571,Recursos!C:F,2,FALSE),"")</f>
        <v>AGREGADOS PETREOS - RIPIOS</v>
      </c>
      <c r="K571" s="330" t="str">
        <f>IF(B571&lt;&gt;"",+VLOOKUP(I571,Recursos!C:F,3,FALSE),"")</f>
        <v>M3</v>
      </c>
      <c r="L571" s="327">
        <f>IF(B571&lt;&gt;"",+VLOOKUP(I571,Recursos!C:F,4,FALSE),"")</f>
        <v>12</v>
      </c>
      <c r="M571" s="503">
        <v>1</v>
      </c>
      <c r="N571" s="503">
        <v>0</v>
      </c>
      <c r="O571" s="502">
        <f>+M571*N571</f>
        <v>0</v>
      </c>
      <c r="P571" s="333">
        <f t="shared" si="235"/>
        <v>0</v>
      </c>
      <c r="Q571" s="327">
        <f t="shared" si="236"/>
        <v>0</v>
      </c>
      <c r="R571" s="334">
        <f t="shared" si="237"/>
        <v>0</v>
      </c>
      <c r="S571" s="358">
        <f t="shared" si="240"/>
        <v>49.438644574895363</v>
      </c>
      <c r="T571" s="358">
        <f t="shared" si="241"/>
        <v>142.24270327272728</v>
      </c>
      <c r="U571" s="359">
        <f t="shared" si="242"/>
        <v>1</v>
      </c>
      <c r="V571" s="359">
        <f t="shared" si="243"/>
        <v>0</v>
      </c>
      <c r="W571" s="359">
        <f t="shared" si="244"/>
        <v>0</v>
      </c>
      <c r="X571" s="359">
        <f t="shared" si="245"/>
        <v>0</v>
      </c>
      <c r="Y571" s="320"/>
      <c r="Z571" s="321" t="str">
        <f t="shared" si="249"/>
        <v>X-REL1A</v>
      </c>
      <c r="AA571" s="321" t="str">
        <f t="shared" si="250"/>
        <v>X-REL1E</v>
      </c>
      <c r="AB571" s="321" t="str">
        <f t="shared" si="251"/>
        <v>X-REL1M</v>
      </c>
      <c r="AC571" s="321" t="str">
        <f t="shared" si="252"/>
        <v>X-REL1T</v>
      </c>
      <c r="AD571" s="321" t="str">
        <f t="shared" si="253"/>
        <v>X-REL1S</v>
      </c>
      <c r="AE571" s="321" t="str">
        <f t="shared" si="254"/>
        <v>X-REL1X</v>
      </c>
      <c r="AF571" s="321" t="str">
        <f t="shared" si="255"/>
        <v>X-REL1M</v>
      </c>
      <c r="AG571" s="321">
        <f t="shared" si="246"/>
        <v>9</v>
      </c>
      <c r="AH571" s="321">
        <f>IF(B571&lt;&gt;"",IF(H571="x",VLOOKUP(I571,'AUX-NIV3'!B:AG,32,FALSE),0),"")</f>
        <v>0</v>
      </c>
      <c r="AI571" s="321" t="str">
        <f t="shared" si="256"/>
        <v>X-REL1</v>
      </c>
      <c r="AJ571" s="320"/>
      <c r="AK571" s="322">
        <f t="shared" si="247"/>
        <v>563</v>
      </c>
      <c r="AL571" s="323">
        <f t="shared" si="257"/>
        <v>571</v>
      </c>
      <c r="AM571" s="322">
        <f t="shared" si="258"/>
        <v>9</v>
      </c>
      <c r="AN571" s="380">
        <f>IF(AND(AH571&gt;0,B571&lt;&gt;""),VLOOKUP(I571,'AUX-NIV3'!$B:$AO,39,FALSE)*O571,0)</f>
        <v>0</v>
      </c>
      <c r="AO571" s="380">
        <f t="shared" si="248"/>
        <v>9.6000000000000002E-2</v>
      </c>
      <c r="AP571" s="380"/>
    </row>
    <row r="572" spans="2:42" ht="14.4" hidden="1" thickTop="1" thickBot="1">
      <c r="B572" s="324" t="s">
        <v>2740</v>
      </c>
      <c r="C572" s="325" t="s">
        <v>2941</v>
      </c>
      <c r="D572" s="326" t="s">
        <v>1408</v>
      </c>
      <c r="E572" s="327">
        <f>IF(B572&lt;&gt;"",SUMIF('AUX-NIV1'!I:I,'AUX-NIV2'!B572,'AUX-NIV1'!Q:Q),"")</f>
        <v>0</v>
      </c>
      <c r="F572" s="327">
        <f t="shared" si="238"/>
        <v>81746.247646870033</v>
      </c>
      <c r="G572" s="327">
        <f t="shared" si="239"/>
        <v>0</v>
      </c>
      <c r="H572" s="328" t="str">
        <f t="shared" si="260"/>
        <v>A</v>
      </c>
      <c r="I572" s="325" t="s">
        <v>1745</v>
      </c>
      <c r="J572" s="329" t="str">
        <f>IF(B572&lt;&gt;"",+VLOOKUP(I572,Recursos!C:F,2,FALSE),"")</f>
        <v>AYUDANTE</v>
      </c>
      <c r="K572" s="330" t="str">
        <f>IF(B572&lt;&gt;"",+VLOOKUP(I572,Recursos!C:F,3,FALSE),"")</f>
        <v>hh</v>
      </c>
      <c r="L572" s="446">
        <f>IF(B572&lt;&gt;"",+VLOOKUP(I572,Recursos!C:F,4,FALSE),"")</f>
        <v>422.48042769667234</v>
      </c>
      <c r="M572" s="437">
        <v>0.25</v>
      </c>
      <c r="N572" s="504">
        <v>0</v>
      </c>
      <c r="O572" s="449">
        <f>+(N572*M572+M576*30)/M577*1.3</f>
        <v>1.9500000000000002</v>
      </c>
      <c r="P572" s="333">
        <f t="shared" si="235"/>
        <v>823.83683400851112</v>
      </c>
      <c r="Q572" s="327">
        <f t="shared" si="236"/>
        <v>0</v>
      </c>
      <c r="R572" s="334">
        <f t="shared" si="237"/>
        <v>0</v>
      </c>
      <c r="S572" s="335">
        <f t="shared" si="240"/>
        <v>54846.252479670045</v>
      </c>
      <c r="T572" s="335">
        <f t="shared" si="241"/>
        <v>26899.995167199999</v>
      </c>
      <c r="U572" s="336">
        <f t="shared" si="242"/>
        <v>0</v>
      </c>
      <c r="V572" s="336">
        <f t="shared" si="243"/>
        <v>0</v>
      </c>
      <c r="W572" s="336">
        <f t="shared" si="244"/>
        <v>0</v>
      </c>
      <c r="X572" s="336">
        <f t="shared" si="245"/>
        <v>0</v>
      </c>
      <c r="Y572" s="320"/>
      <c r="Z572" s="321" t="str">
        <f t="shared" si="249"/>
        <v>X-LIMA</v>
      </c>
      <c r="AA572" s="321" t="str">
        <f t="shared" si="250"/>
        <v>X-LIME</v>
      </c>
      <c r="AB572" s="321" t="str">
        <f t="shared" si="251"/>
        <v>X-LIMM</v>
      </c>
      <c r="AC572" s="321" t="str">
        <f t="shared" si="252"/>
        <v>X-LIMT</v>
      </c>
      <c r="AD572" s="321" t="str">
        <f t="shared" si="253"/>
        <v>X-LIMS</v>
      </c>
      <c r="AE572" s="321" t="str">
        <f t="shared" si="254"/>
        <v>X-LIMX</v>
      </c>
      <c r="AF572" s="321" t="str">
        <f t="shared" si="255"/>
        <v>X-LIMA</v>
      </c>
      <c r="AG572" s="321">
        <f t="shared" si="246"/>
        <v>9</v>
      </c>
      <c r="AH572" s="321">
        <f>IF(B572&lt;&gt;"",IF(H572="x",VLOOKUP(I572,'AUX-NIV3'!B:AG,32,FALSE),0),"")</f>
        <v>0</v>
      </c>
      <c r="AI572" s="321" t="str">
        <f t="shared" si="256"/>
        <v>X-LIM</v>
      </c>
      <c r="AJ572" s="320"/>
      <c r="AK572" s="322">
        <f t="shared" si="247"/>
        <v>572</v>
      </c>
      <c r="AL572" s="323">
        <f t="shared" si="257"/>
        <v>580</v>
      </c>
      <c r="AM572" s="322">
        <f t="shared" si="258"/>
        <v>1</v>
      </c>
      <c r="AN572" s="380">
        <f>IF(AND(AH572&gt;0,B572&lt;&gt;""),VLOOKUP(I572,'AUX-NIV3'!$B:$AO,39,FALSE)*O572,0)</f>
        <v>0</v>
      </c>
      <c r="AO572" s="380">
        <f t="shared" si="248"/>
        <v>110.34399999999999</v>
      </c>
      <c r="AP572" s="380"/>
    </row>
    <row r="573" spans="2:42" ht="14.4" hidden="1" thickTop="1" thickBot="1">
      <c r="B573" s="324" t="s">
        <v>2740</v>
      </c>
      <c r="C573" s="325" t="s">
        <v>2941</v>
      </c>
      <c r="D573" s="326" t="s">
        <v>1408</v>
      </c>
      <c r="E573" s="327">
        <f>IF(B573&lt;&gt;"",SUMIF('AUX-NIV1'!I:I,'AUX-NIV2'!B573,'AUX-NIV1'!Q:Q),"")</f>
        <v>0</v>
      </c>
      <c r="F573" s="327">
        <f t="shared" si="238"/>
        <v>81746.247646870033</v>
      </c>
      <c r="G573" s="327">
        <f t="shared" si="239"/>
        <v>0</v>
      </c>
      <c r="H573" s="328" t="str">
        <f t="shared" si="260"/>
        <v>A</v>
      </c>
      <c r="I573" s="325" t="s">
        <v>3310</v>
      </c>
      <c r="J573" s="329" t="str">
        <f>IF(B573&lt;&gt;"",+VLOOKUP(I573,Recursos!C:F,2,FALSE),"")</f>
        <v>OFICIAL ESPECIALIZADO</v>
      </c>
      <c r="K573" s="330" t="str">
        <f>IF(B573&lt;&gt;"",+VLOOKUP(I573,Recursos!C:F,3,FALSE),"")</f>
        <v>hh</v>
      </c>
      <c r="L573" s="446">
        <f>IF(B573&lt;&gt;"",+VLOOKUP(I573,Recursos!C:F,4,FALSE),"")</f>
        <v>581.06120476836554</v>
      </c>
      <c r="M573" s="460">
        <f>+M572</f>
        <v>0.25</v>
      </c>
      <c r="N573" s="505">
        <f>+N572</f>
        <v>0</v>
      </c>
      <c r="O573" s="449">
        <f>+(N573*M572+M576*10)/M577*1.3</f>
        <v>0.65</v>
      </c>
      <c r="P573" s="333">
        <f t="shared" si="235"/>
        <v>377.68978309943759</v>
      </c>
      <c r="Q573" s="327">
        <f t="shared" si="236"/>
        <v>0</v>
      </c>
      <c r="R573" s="334">
        <f t="shared" si="237"/>
        <v>0</v>
      </c>
      <c r="S573" s="335">
        <f t="shared" si="240"/>
        <v>54846.252479670045</v>
      </c>
      <c r="T573" s="335">
        <f t="shared" si="241"/>
        <v>26899.995167199999</v>
      </c>
      <c r="U573" s="336">
        <f t="shared" si="242"/>
        <v>0</v>
      </c>
      <c r="V573" s="336">
        <f t="shared" si="243"/>
        <v>0</v>
      </c>
      <c r="W573" s="336">
        <f t="shared" si="244"/>
        <v>0</v>
      </c>
      <c r="X573" s="336">
        <f t="shared" si="245"/>
        <v>0</v>
      </c>
      <c r="Y573" s="320"/>
      <c r="Z573" s="321" t="str">
        <f t="shared" si="249"/>
        <v>X-LIMA</v>
      </c>
      <c r="AA573" s="321" t="str">
        <f t="shared" si="250"/>
        <v>X-LIME</v>
      </c>
      <c r="AB573" s="321" t="str">
        <f t="shared" si="251"/>
        <v>X-LIMM</v>
      </c>
      <c r="AC573" s="321" t="str">
        <f t="shared" si="252"/>
        <v>X-LIMT</v>
      </c>
      <c r="AD573" s="321" t="str">
        <f t="shared" si="253"/>
        <v>X-LIMS</v>
      </c>
      <c r="AE573" s="321" t="str">
        <f t="shared" si="254"/>
        <v>X-LIMX</v>
      </c>
      <c r="AF573" s="321" t="str">
        <f t="shared" si="255"/>
        <v>X-LIMA</v>
      </c>
      <c r="AG573" s="321">
        <f t="shared" si="246"/>
        <v>9</v>
      </c>
      <c r="AH573" s="321">
        <f>IF(B573&lt;&gt;"",IF(H573="x",VLOOKUP(I573,'AUX-NIV3'!B:AG,32,FALSE),0),"")</f>
        <v>0</v>
      </c>
      <c r="AI573" s="321" t="str">
        <f t="shared" si="256"/>
        <v>X-LIM</v>
      </c>
      <c r="AJ573" s="320"/>
      <c r="AK573" s="322">
        <f t="shared" si="247"/>
        <v>572</v>
      </c>
      <c r="AL573" s="323">
        <f t="shared" si="257"/>
        <v>580</v>
      </c>
      <c r="AM573" s="322">
        <f t="shared" si="258"/>
        <v>2</v>
      </c>
      <c r="AN573" s="380">
        <f>IF(AND(AH573&gt;0,B573&lt;&gt;""),VLOOKUP(I573,'AUX-NIV3'!$B:$AO,39,FALSE)*O573,0)</f>
        <v>0</v>
      </c>
      <c r="AO573" s="380">
        <f t="shared" si="248"/>
        <v>110.34399999999999</v>
      </c>
      <c r="AP573" s="380"/>
    </row>
    <row r="574" spans="2:42" ht="14.4" hidden="1" thickTop="1" thickBot="1">
      <c r="B574" s="324" t="s">
        <v>2740</v>
      </c>
      <c r="C574" s="325" t="s">
        <v>2941</v>
      </c>
      <c r="D574" s="326" t="s">
        <v>1408</v>
      </c>
      <c r="E574" s="327">
        <f>IF(B574&lt;&gt;"",SUMIF('AUX-NIV1'!I:I,'AUX-NIV2'!B574,'AUX-NIV1'!Q:Q),"")</f>
        <v>0</v>
      </c>
      <c r="F574" s="327">
        <f t="shared" si="238"/>
        <v>81746.247646870033</v>
      </c>
      <c r="G574" s="327">
        <f t="shared" si="239"/>
        <v>0</v>
      </c>
      <c r="H574" s="328" t="str">
        <f t="shared" si="260"/>
        <v>A</v>
      </c>
      <c r="I574" s="325" t="s">
        <v>3310</v>
      </c>
      <c r="J574" s="329" t="str">
        <f>IF(B574&lt;&gt;"",+VLOOKUP(I574,Recursos!C:F,2,FALSE),"")</f>
        <v>OFICIAL ESPECIALIZADO</v>
      </c>
      <c r="K574" s="330" t="str">
        <f>IF(B574&lt;&gt;"",+VLOOKUP(I574,Recursos!C:F,3,FALSE),"")</f>
        <v>hh</v>
      </c>
      <c r="L574" s="446">
        <f>IF(B574&lt;&gt;"",+VLOOKUP(I574,Recursos!C:F,4,FALSE),"")</f>
        <v>581.06120476836554</v>
      </c>
      <c r="M574" s="462">
        <v>1.3</v>
      </c>
      <c r="N574" s="505">
        <f>+N572</f>
        <v>0</v>
      </c>
      <c r="O574" s="449">
        <f>0.4*(N574*M573*1.2+M576*15)/M578*M574</f>
        <v>1.248</v>
      </c>
      <c r="P574" s="333">
        <f t="shared" si="235"/>
        <v>725.16438355092021</v>
      </c>
      <c r="Q574" s="327">
        <f t="shared" si="236"/>
        <v>0</v>
      </c>
      <c r="R574" s="334">
        <f t="shared" si="237"/>
        <v>0</v>
      </c>
      <c r="S574" s="335">
        <f t="shared" si="240"/>
        <v>54846.252479670045</v>
      </c>
      <c r="T574" s="335">
        <f t="shared" si="241"/>
        <v>26899.995167199999</v>
      </c>
      <c r="U574" s="336">
        <f t="shared" si="242"/>
        <v>0</v>
      </c>
      <c r="V574" s="336">
        <f t="shared" si="243"/>
        <v>0</v>
      </c>
      <c r="W574" s="336">
        <f t="shared" si="244"/>
        <v>0</v>
      </c>
      <c r="X574" s="336">
        <f t="shared" si="245"/>
        <v>0</v>
      </c>
      <c r="Y574" s="320"/>
      <c r="Z574" s="321" t="str">
        <f t="shared" si="249"/>
        <v>X-LIMA</v>
      </c>
      <c r="AA574" s="321" t="str">
        <f t="shared" si="250"/>
        <v>X-LIME</v>
      </c>
      <c r="AB574" s="321" t="str">
        <f t="shared" si="251"/>
        <v>X-LIMM</v>
      </c>
      <c r="AC574" s="321" t="str">
        <f t="shared" si="252"/>
        <v>X-LIMT</v>
      </c>
      <c r="AD574" s="321" t="str">
        <f t="shared" si="253"/>
        <v>X-LIMS</v>
      </c>
      <c r="AE574" s="321" t="str">
        <f t="shared" si="254"/>
        <v>X-LIMX</v>
      </c>
      <c r="AF574" s="321" t="str">
        <f t="shared" si="255"/>
        <v>X-LIMA</v>
      </c>
      <c r="AG574" s="321">
        <f t="shared" si="246"/>
        <v>9</v>
      </c>
      <c r="AH574" s="321">
        <f>IF(B574&lt;&gt;"",IF(H574="x",VLOOKUP(I574,'AUX-NIV3'!B:AG,32,FALSE),0),"")</f>
        <v>0</v>
      </c>
      <c r="AI574" s="321" t="str">
        <f t="shared" si="256"/>
        <v>X-LIM</v>
      </c>
      <c r="AJ574" s="320"/>
      <c r="AK574" s="322">
        <f t="shared" si="247"/>
        <v>572</v>
      </c>
      <c r="AL574" s="323">
        <f t="shared" si="257"/>
        <v>580</v>
      </c>
      <c r="AM574" s="322">
        <f t="shared" si="258"/>
        <v>3</v>
      </c>
      <c r="AN574" s="380">
        <f>IF(AND(AH574&gt;0,B574&lt;&gt;""),VLOOKUP(I574,'AUX-NIV3'!$B:$AO,39,FALSE)*O574,0)</f>
        <v>0</v>
      </c>
      <c r="AO574" s="380">
        <f t="shared" si="248"/>
        <v>110.34399999999999</v>
      </c>
      <c r="AP574" s="380"/>
    </row>
    <row r="575" spans="2:42" ht="14.4" hidden="1" thickTop="1" thickBot="1">
      <c r="B575" s="324" t="s">
        <v>2740</v>
      </c>
      <c r="C575" s="325" t="s">
        <v>2941</v>
      </c>
      <c r="D575" s="326" t="s">
        <v>1408</v>
      </c>
      <c r="E575" s="327">
        <f>IF(B575&lt;&gt;"",SUMIF('AUX-NIV1'!I:I,'AUX-NIV2'!B575,'AUX-NIV1'!Q:Q),"")</f>
        <v>0</v>
      </c>
      <c r="F575" s="327">
        <f t="shared" si="238"/>
        <v>81746.247646870033</v>
      </c>
      <c r="G575" s="327">
        <f t="shared" si="239"/>
        <v>0</v>
      </c>
      <c r="H575" s="328" t="str">
        <f t="shared" si="260"/>
        <v>A</v>
      </c>
      <c r="I575" s="325" t="s">
        <v>1746</v>
      </c>
      <c r="J575" s="329" t="str">
        <f>IF(B575&lt;&gt;"",+VLOOKUP(I575,Recursos!C:F,2,FALSE),"")</f>
        <v>OFICIAL</v>
      </c>
      <c r="K575" s="330" t="str">
        <f>IF(B575&lt;&gt;"",+VLOOKUP(I575,Recursos!C:F,3,FALSE),"")</f>
        <v>hh</v>
      </c>
      <c r="L575" s="446">
        <f>IF(B575&lt;&gt;"",+VLOOKUP(I575,Recursos!C:F,4,FALSE),"")</f>
        <v>496.91595439275824</v>
      </c>
      <c r="M575" s="460">
        <f>+M578</f>
        <v>125</v>
      </c>
      <c r="N575" s="505">
        <f>+N572</f>
        <v>0</v>
      </c>
      <c r="O575" s="449">
        <f>0.4*(N575*M573*1.2+M576*15)/M575*2*1.3</f>
        <v>2.496</v>
      </c>
      <c r="P575" s="333">
        <f t="shared" si="235"/>
        <v>1240.3022221643246</v>
      </c>
      <c r="Q575" s="327">
        <f t="shared" si="236"/>
        <v>0</v>
      </c>
      <c r="R575" s="334">
        <f t="shared" si="237"/>
        <v>0</v>
      </c>
      <c r="S575" s="335">
        <f t="shared" si="240"/>
        <v>54846.252479670045</v>
      </c>
      <c r="T575" s="335">
        <f t="shared" si="241"/>
        <v>26899.995167199999</v>
      </c>
      <c r="U575" s="336">
        <f t="shared" si="242"/>
        <v>0</v>
      </c>
      <c r="V575" s="336">
        <f t="shared" si="243"/>
        <v>0</v>
      </c>
      <c r="W575" s="336">
        <f t="shared" si="244"/>
        <v>0</v>
      </c>
      <c r="X575" s="336">
        <f t="shared" si="245"/>
        <v>0</v>
      </c>
      <c r="Y575" s="320"/>
      <c r="Z575" s="321" t="str">
        <f t="shared" si="249"/>
        <v>X-LIMA</v>
      </c>
      <c r="AA575" s="321" t="str">
        <f t="shared" si="250"/>
        <v>X-LIME</v>
      </c>
      <c r="AB575" s="321" t="str">
        <f t="shared" si="251"/>
        <v>X-LIMM</v>
      </c>
      <c r="AC575" s="321" t="str">
        <f t="shared" si="252"/>
        <v>X-LIMT</v>
      </c>
      <c r="AD575" s="321" t="str">
        <f t="shared" si="253"/>
        <v>X-LIMS</v>
      </c>
      <c r="AE575" s="321" t="str">
        <f t="shared" si="254"/>
        <v>X-LIMX</v>
      </c>
      <c r="AF575" s="321" t="str">
        <f t="shared" si="255"/>
        <v>X-LIMA</v>
      </c>
      <c r="AG575" s="321">
        <f t="shared" si="246"/>
        <v>9</v>
      </c>
      <c r="AH575" s="321">
        <f>IF(B575&lt;&gt;"",IF(H575="x",VLOOKUP(I575,'AUX-NIV3'!B:AG,32,FALSE),0),"")</f>
        <v>0</v>
      </c>
      <c r="AI575" s="321" t="str">
        <f t="shared" si="256"/>
        <v>X-LIM</v>
      </c>
      <c r="AJ575" s="320"/>
      <c r="AK575" s="322">
        <f t="shared" si="247"/>
        <v>572</v>
      </c>
      <c r="AL575" s="323">
        <f t="shared" si="257"/>
        <v>580</v>
      </c>
      <c r="AM575" s="322">
        <f t="shared" si="258"/>
        <v>4</v>
      </c>
      <c r="AN575" s="380">
        <f>IF(AND(AH575&gt;0,B575&lt;&gt;""),VLOOKUP(I575,'AUX-NIV3'!$B:$AO,39,FALSE)*O575,0)</f>
        <v>0</v>
      </c>
      <c r="AO575" s="380">
        <f t="shared" si="248"/>
        <v>110.34399999999999</v>
      </c>
      <c r="AP575" s="380"/>
    </row>
    <row r="576" spans="2:42" ht="14.4" hidden="1" thickTop="1" thickBot="1">
      <c r="B576" s="324" t="s">
        <v>2740</v>
      </c>
      <c r="C576" s="325" t="s">
        <v>2941</v>
      </c>
      <c r="D576" s="326" t="s">
        <v>1408</v>
      </c>
      <c r="E576" s="327">
        <f>IF(B576&lt;&gt;"",SUMIF('AUX-NIV1'!I:I,'AUX-NIV2'!B576,'AUX-NIV1'!Q:Q),"")</f>
        <v>0</v>
      </c>
      <c r="F576" s="327">
        <f t="shared" si="238"/>
        <v>81746.247646870033</v>
      </c>
      <c r="G576" s="327">
        <f t="shared" si="239"/>
        <v>0</v>
      </c>
      <c r="H576" s="328" t="str">
        <f t="shared" si="260"/>
        <v>A</v>
      </c>
      <c r="I576" s="325" t="s">
        <v>1746</v>
      </c>
      <c r="J576" s="329" t="str">
        <f>IF(B576&lt;&gt;"",+VLOOKUP(I576,Recursos!C:F,2,FALSE),"")</f>
        <v>OFICIAL</v>
      </c>
      <c r="K576" s="330" t="str">
        <f>IF(B576&lt;&gt;"",+VLOOKUP(I576,Recursos!C:F,3,FALSE),"")</f>
        <v>hh</v>
      </c>
      <c r="L576" s="446">
        <f>IF(B576&lt;&gt;"",+VLOOKUP(I576,Recursos!C:F,4,FALSE),"")</f>
        <v>496.91595439275824</v>
      </c>
      <c r="M576" s="460">
        <f>+M580</f>
        <v>20</v>
      </c>
      <c r="N576" s="505">
        <f>+N580</f>
        <v>4</v>
      </c>
      <c r="O576" s="449">
        <f>1.3*M576*N576</f>
        <v>104</v>
      </c>
      <c r="P576" s="333">
        <f t="shared" si="235"/>
        <v>51679.259256846854</v>
      </c>
      <c r="Q576" s="327">
        <f t="shared" si="236"/>
        <v>0</v>
      </c>
      <c r="R576" s="334">
        <f t="shared" si="237"/>
        <v>0</v>
      </c>
      <c r="S576" s="335">
        <f t="shared" si="240"/>
        <v>54846.252479670045</v>
      </c>
      <c r="T576" s="335">
        <f t="shared" si="241"/>
        <v>26899.995167199999</v>
      </c>
      <c r="U576" s="336">
        <f t="shared" si="242"/>
        <v>0</v>
      </c>
      <c r="V576" s="336">
        <f t="shared" si="243"/>
        <v>0</v>
      </c>
      <c r="W576" s="336">
        <f t="shared" si="244"/>
        <v>0</v>
      </c>
      <c r="X576" s="336">
        <f t="shared" si="245"/>
        <v>0</v>
      </c>
      <c r="Y576" s="320"/>
      <c r="Z576" s="321" t="str">
        <f t="shared" si="249"/>
        <v>X-LIMA</v>
      </c>
      <c r="AA576" s="321" t="str">
        <f t="shared" si="250"/>
        <v>X-LIME</v>
      </c>
      <c r="AB576" s="321" t="str">
        <f t="shared" si="251"/>
        <v>X-LIMM</v>
      </c>
      <c r="AC576" s="321" t="str">
        <f t="shared" si="252"/>
        <v>X-LIMT</v>
      </c>
      <c r="AD576" s="321" t="str">
        <f t="shared" si="253"/>
        <v>X-LIMS</v>
      </c>
      <c r="AE576" s="321" t="str">
        <f t="shared" si="254"/>
        <v>X-LIMX</v>
      </c>
      <c r="AF576" s="321" t="str">
        <f t="shared" si="255"/>
        <v>X-LIMA</v>
      </c>
      <c r="AG576" s="321">
        <f t="shared" si="246"/>
        <v>9</v>
      </c>
      <c r="AH576" s="321">
        <f>IF(B576&lt;&gt;"",IF(H576="x",VLOOKUP(I576,'AUX-NIV3'!B:AG,32,FALSE),0),"")</f>
        <v>0</v>
      </c>
      <c r="AI576" s="321" t="str">
        <f t="shared" si="256"/>
        <v>X-LIM</v>
      </c>
      <c r="AJ576" s="320"/>
      <c r="AK576" s="322">
        <f t="shared" si="247"/>
        <v>572</v>
      </c>
      <c r="AL576" s="323">
        <f t="shared" si="257"/>
        <v>580</v>
      </c>
      <c r="AM576" s="322">
        <f t="shared" si="258"/>
        <v>5</v>
      </c>
      <c r="AN576" s="380">
        <f>IF(AND(AH576&gt;0,B576&lt;&gt;""),VLOOKUP(I576,'AUX-NIV3'!$B:$AO,39,FALSE)*O576,0)</f>
        <v>0</v>
      </c>
      <c r="AO576" s="380">
        <f t="shared" si="248"/>
        <v>110.34399999999999</v>
      </c>
      <c r="AP576" s="380"/>
    </row>
    <row r="577" spans="2:42" ht="14.4" hidden="1" thickTop="1" thickBot="1">
      <c r="B577" s="324" t="s">
        <v>2740</v>
      </c>
      <c r="C577" s="325" t="s">
        <v>2941</v>
      </c>
      <c r="D577" s="326" t="s">
        <v>1408</v>
      </c>
      <c r="E577" s="327">
        <f>IF(B577&lt;&gt;"",SUMIF('AUX-NIV1'!I:I,'AUX-NIV2'!B577,'AUX-NIV1'!Q:Q),"")</f>
        <v>0</v>
      </c>
      <c r="F577" s="327">
        <f t="shared" si="238"/>
        <v>81746.247646870033</v>
      </c>
      <c r="G577" s="327">
        <f t="shared" si="239"/>
        <v>0</v>
      </c>
      <c r="H577" s="328" t="str">
        <f t="shared" si="260"/>
        <v>E</v>
      </c>
      <c r="I577" s="325" t="s">
        <v>1537</v>
      </c>
      <c r="J577" s="329" t="str">
        <f>IF(B577&lt;&gt;"",+VLOOKUP(I577,Recursos!C:F,2,FALSE),"")</f>
        <v xml:space="preserve">TOPADORA SIN ESC.(34 T) </v>
      </c>
      <c r="K577" s="330" t="str">
        <f>IF(B577&lt;&gt;"",+VLOOKUP(I577,Recursos!C:F,3,FALSE),"")</f>
        <v>HR</v>
      </c>
      <c r="L577" s="446">
        <f>IF(B577&lt;&gt;"",+VLOOKUP(I577,Recursos!C:F,4,FALSE),"")</f>
        <v>6615.2070000000003</v>
      </c>
      <c r="M577" s="462">
        <v>400</v>
      </c>
      <c r="N577" s="505">
        <f>+N572</f>
        <v>0</v>
      </c>
      <c r="O577" s="449">
        <f>+(N577*0.25+20*10)/M577</f>
        <v>0.5</v>
      </c>
      <c r="P577" s="333">
        <f t="shared" si="235"/>
        <v>3307.6035000000002</v>
      </c>
      <c r="Q577" s="327">
        <f t="shared" si="236"/>
        <v>0</v>
      </c>
      <c r="R577" s="334">
        <f t="shared" si="237"/>
        <v>0</v>
      </c>
      <c r="S577" s="335">
        <f t="shared" si="240"/>
        <v>54846.252479670045</v>
      </c>
      <c r="T577" s="335">
        <f t="shared" si="241"/>
        <v>26899.995167199999</v>
      </c>
      <c r="U577" s="336">
        <f t="shared" si="242"/>
        <v>0</v>
      </c>
      <c r="V577" s="336">
        <f t="shared" si="243"/>
        <v>0</v>
      </c>
      <c r="W577" s="336">
        <f t="shared" si="244"/>
        <v>0</v>
      </c>
      <c r="X577" s="336">
        <f t="shared" si="245"/>
        <v>0</v>
      </c>
      <c r="Y577" s="320"/>
      <c r="Z577" s="321" t="str">
        <f t="shared" si="249"/>
        <v>X-LIMA</v>
      </c>
      <c r="AA577" s="321" t="str">
        <f t="shared" si="250"/>
        <v>X-LIME</v>
      </c>
      <c r="AB577" s="321" t="str">
        <f t="shared" si="251"/>
        <v>X-LIMM</v>
      </c>
      <c r="AC577" s="321" t="str">
        <f t="shared" si="252"/>
        <v>X-LIMT</v>
      </c>
      <c r="AD577" s="321" t="str">
        <f t="shared" si="253"/>
        <v>X-LIMS</v>
      </c>
      <c r="AE577" s="321" t="str">
        <f t="shared" si="254"/>
        <v>X-LIMX</v>
      </c>
      <c r="AF577" s="321" t="str">
        <f t="shared" si="255"/>
        <v>X-LIME</v>
      </c>
      <c r="AG577" s="321">
        <f t="shared" si="246"/>
        <v>9</v>
      </c>
      <c r="AH577" s="321">
        <f>IF(B577&lt;&gt;"",IF(H577="x",VLOOKUP(I577,'AUX-NIV3'!B:AG,32,FALSE),0),"")</f>
        <v>0</v>
      </c>
      <c r="AI577" s="321" t="str">
        <f t="shared" si="256"/>
        <v>X-LIM</v>
      </c>
      <c r="AJ577" s="320"/>
      <c r="AK577" s="322">
        <f t="shared" si="247"/>
        <v>572</v>
      </c>
      <c r="AL577" s="323">
        <f t="shared" si="257"/>
        <v>580</v>
      </c>
      <c r="AM577" s="322">
        <f t="shared" si="258"/>
        <v>6</v>
      </c>
      <c r="AN577" s="380">
        <f>IF(AND(AH577&gt;0,B577&lt;&gt;""),VLOOKUP(I577,'AUX-NIV3'!$B:$AO,39,FALSE)*O577,0)</f>
        <v>0</v>
      </c>
      <c r="AO577" s="380">
        <f t="shared" si="248"/>
        <v>110.34399999999999</v>
      </c>
      <c r="AP577" s="380"/>
    </row>
    <row r="578" spans="2:42" ht="14.4" hidden="1" thickTop="1" thickBot="1">
      <c r="B578" s="324" t="s">
        <v>2740</v>
      </c>
      <c r="C578" s="325" t="s">
        <v>2941</v>
      </c>
      <c r="D578" s="326" t="s">
        <v>1408</v>
      </c>
      <c r="E578" s="327">
        <f>IF(B578&lt;&gt;"",SUMIF('AUX-NIV1'!I:I,'AUX-NIV2'!B578,'AUX-NIV1'!Q:Q),"")</f>
        <v>0</v>
      </c>
      <c r="F578" s="327">
        <f t="shared" si="238"/>
        <v>81746.247646870033</v>
      </c>
      <c r="G578" s="327">
        <f t="shared" si="239"/>
        <v>0</v>
      </c>
      <c r="H578" s="328" t="str">
        <f t="shared" si="260"/>
        <v>E</v>
      </c>
      <c r="I578" s="325" t="s">
        <v>1659</v>
      </c>
      <c r="J578" s="329" t="str">
        <f>IF(B578&lt;&gt;"",+VLOOKUP(I578,Recursos!C:F,2,FALSE),"")</f>
        <v>CARGADOR FRONTAL S/NEUM. 2,4 m3</v>
      </c>
      <c r="K578" s="330" t="str">
        <f>IF(B578&lt;&gt;"",+VLOOKUP(I578,Recursos!C:F,3,FALSE),"")</f>
        <v>HR</v>
      </c>
      <c r="L578" s="446">
        <f>IF(B578&lt;&gt;"",+VLOOKUP(I578,Recursos!C:F,4,FALSE),"")</f>
        <v>3724.9622000000004</v>
      </c>
      <c r="M578" s="462">
        <v>125</v>
      </c>
      <c r="N578" s="505">
        <f>+N572</f>
        <v>0</v>
      </c>
      <c r="O578" s="449">
        <f>0.4*(N578*0.25*1.2+20*15)/M578</f>
        <v>0.96</v>
      </c>
      <c r="P578" s="333">
        <f t="shared" si="235"/>
        <v>3575.9637120000002</v>
      </c>
      <c r="Q578" s="327">
        <f t="shared" si="236"/>
        <v>0</v>
      </c>
      <c r="R578" s="334">
        <f t="shared" si="237"/>
        <v>0</v>
      </c>
      <c r="S578" s="335">
        <f t="shared" si="240"/>
        <v>54846.252479670045</v>
      </c>
      <c r="T578" s="335">
        <f t="shared" si="241"/>
        <v>26899.995167199999</v>
      </c>
      <c r="U578" s="336">
        <f t="shared" si="242"/>
        <v>0</v>
      </c>
      <c r="V578" s="336">
        <f t="shared" si="243"/>
        <v>0</v>
      </c>
      <c r="W578" s="336">
        <f t="shared" si="244"/>
        <v>0</v>
      </c>
      <c r="X578" s="336">
        <f t="shared" si="245"/>
        <v>0</v>
      </c>
      <c r="Y578" s="320"/>
      <c r="Z578" s="321" t="str">
        <f t="shared" si="249"/>
        <v>X-LIMA</v>
      </c>
      <c r="AA578" s="321" t="str">
        <f t="shared" si="250"/>
        <v>X-LIME</v>
      </c>
      <c r="AB578" s="321" t="str">
        <f t="shared" si="251"/>
        <v>X-LIMM</v>
      </c>
      <c r="AC578" s="321" t="str">
        <f t="shared" si="252"/>
        <v>X-LIMT</v>
      </c>
      <c r="AD578" s="321" t="str">
        <f t="shared" si="253"/>
        <v>X-LIMS</v>
      </c>
      <c r="AE578" s="321" t="str">
        <f t="shared" si="254"/>
        <v>X-LIMX</v>
      </c>
      <c r="AF578" s="321" t="str">
        <f t="shared" si="255"/>
        <v>X-LIME</v>
      </c>
      <c r="AG578" s="321">
        <f t="shared" si="246"/>
        <v>9</v>
      </c>
      <c r="AH578" s="321">
        <f>IF(B578&lt;&gt;"",IF(H578="x",VLOOKUP(I578,'AUX-NIV3'!B:AG,32,FALSE),0),"")</f>
        <v>0</v>
      </c>
      <c r="AI578" s="321" t="str">
        <f t="shared" si="256"/>
        <v>X-LIM</v>
      </c>
      <c r="AJ578" s="320"/>
      <c r="AK578" s="322">
        <f t="shared" si="247"/>
        <v>572</v>
      </c>
      <c r="AL578" s="323">
        <f t="shared" si="257"/>
        <v>580</v>
      </c>
      <c r="AM578" s="322">
        <f t="shared" si="258"/>
        <v>7</v>
      </c>
      <c r="AN578" s="380">
        <f>IF(AND(AH578&gt;0,B578&lt;&gt;""),VLOOKUP(I578,'AUX-NIV3'!$B:$AO,39,FALSE)*O578,0)</f>
        <v>0</v>
      </c>
      <c r="AO578" s="380">
        <f t="shared" si="248"/>
        <v>110.34399999999999</v>
      </c>
      <c r="AP578" s="380"/>
    </row>
    <row r="579" spans="2:42" ht="14.4" hidden="1" thickTop="1" thickBot="1">
      <c r="B579" s="324" t="s">
        <v>2740</v>
      </c>
      <c r="C579" s="325" t="s">
        <v>2941</v>
      </c>
      <c r="D579" s="326" t="s">
        <v>1408</v>
      </c>
      <c r="E579" s="327">
        <f>IF(B579&lt;&gt;"",SUMIF('AUX-NIV1'!I:I,'AUX-NIV2'!B579,'AUX-NIV1'!Q:Q),"")</f>
        <v>0</v>
      </c>
      <c r="F579" s="327">
        <f t="shared" si="238"/>
        <v>81746.247646870033</v>
      </c>
      <c r="G579" s="327">
        <f t="shared" si="239"/>
        <v>0</v>
      </c>
      <c r="H579" s="328" t="str">
        <f t="shared" si="260"/>
        <v>E</v>
      </c>
      <c r="I579" s="325" t="s">
        <v>1672</v>
      </c>
      <c r="J579" s="329" t="str">
        <f>IF(B579&lt;&gt;"",+VLOOKUP(I579,Recursos!C:F,2,FALSE),"")</f>
        <v>CAMION VOLCADOR CAP. 24 T=15 m3</v>
      </c>
      <c r="K579" s="330" t="str">
        <f>IF(B579&lt;&gt;"",+VLOOKUP(I579,Recursos!C:F,3,FALSE),"")</f>
        <v>HR</v>
      </c>
      <c r="L579" s="446">
        <f>IF(B579&lt;&gt;"",+VLOOKUP(I579,Recursos!C:F,4,FALSE),"")</f>
        <v>4262.8895600000005</v>
      </c>
      <c r="M579" s="460">
        <f>+M578</f>
        <v>125</v>
      </c>
      <c r="N579" s="505">
        <f>+N572</f>
        <v>0</v>
      </c>
      <c r="O579" s="449">
        <f>0.4*(N579*0.25*1.2+20*15)/M579*2</f>
        <v>1.92</v>
      </c>
      <c r="P579" s="333">
        <f t="shared" si="235"/>
        <v>8184.7479552000004</v>
      </c>
      <c r="Q579" s="327">
        <f t="shared" si="236"/>
        <v>0</v>
      </c>
      <c r="R579" s="334">
        <f t="shared" si="237"/>
        <v>0</v>
      </c>
      <c r="S579" s="335">
        <f t="shared" si="240"/>
        <v>54846.252479670045</v>
      </c>
      <c r="T579" s="335">
        <f t="shared" si="241"/>
        <v>26899.995167199999</v>
      </c>
      <c r="U579" s="336">
        <f t="shared" si="242"/>
        <v>0</v>
      </c>
      <c r="V579" s="336">
        <f t="shared" si="243"/>
        <v>0</v>
      </c>
      <c r="W579" s="336">
        <f t="shared" si="244"/>
        <v>0</v>
      </c>
      <c r="X579" s="336">
        <f t="shared" si="245"/>
        <v>0</v>
      </c>
      <c r="Y579" s="320"/>
      <c r="Z579" s="321" t="str">
        <f t="shared" si="249"/>
        <v>X-LIMA</v>
      </c>
      <c r="AA579" s="321" t="str">
        <f t="shared" si="250"/>
        <v>X-LIME</v>
      </c>
      <c r="AB579" s="321" t="str">
        <f t="shared" si="251"/>
        <v>X-LIMM</v>
      </c>
      <c r="AC579" s="321" t="str">
        <f t="shared" si="252"/>
        <v>X-LIMT</v>
      </c>
      <c r="AD579" s="321" t="str">
        <f t="shared" si="253"/>
        <v>X-LIMS</v>
      </c>
      <c r="AE579" s="321" t="str">
        <f t="shared" si="254"/>
        <v>X-LIMX</v>
      </c>
      <c r="AF579" s="321" t="str">
        <f t="shared" si="255"/>
        <v>X-LIME</v>
      </c>
      <c r="AG579" s="321">
        <f t="shared" si="246"/>
        <v>9</v>
      </c>
      <c r="AH579" s="321">
        <f>IF(B579&lt;&gt;"",IF(H579="x",VLOOKUP(I579,'AUX-NIV3'!B:AG,32,FALSE),0),"")</f>
        <v>0</v>
      </c>
      <c r="AI579" s="321" t="str">
        <f t="shared" si="256"/>
        <v>X-LIM</v>
      </c>
      <c r="AJ579" s="320"/>
      <c r="AK579" s="322">
        <f t="shared" si="247"/>
        <v>572</v>
      </c>
      <c r="AL579" s="323">
        <f t="shared" si="257"/>
        <v>580</v>
      </c>
      <c r="AM579" s="322">
        <f t="shared" si="258"/>
        <v>8</v>
      </c>
      <c r="AN579" s="380">
        <f>IF(AND(AH579&gt;0,B579&lt;&gt;""),VLOOKUP(I579,'AUX-NIV3'!$B:$AO,39,FALSE)*O579,0)</f>
        <v>0</v>
      </c>
      <c r="AO579" s="380">
        <f t="shared" si="248"/>
        <v>110.34399999999999</v>
      </c>
      <c r="AP579" s="380"/>
    </row>
    <row r="580" spans="2:42" ht="14.4" hidden="1" thickTop="1" thickBot="1">
      <c r="B580" s="324" t="s">
        <v>2740</v>
      </c>
      <c r="C580" s="325" t="s">
        <v>2941</v>
      </c>
      <c r="D580" s="326" t="s">
        <v>1408</v>
      </c>
      <c r="E580" s="327">
        <f>IF(B580&lt;&gt;"",SUMIF('AUX-NIV1'!I:I,'AUX-NIV2'!B580,'AUX-NIV1'!Q:Q),"")</f>
        <v>0</v>
      </c>
      <c r="F580" s="327">
        <f t="shared" si="238"/>
        <v>81746.247646870033</v>
      </c>
      <c r="G580" s="327">
        <f t="shared" si="239"/>
        <v>0</v>
      </c>
      <c r="H580" s="328" t="str">
        <f t="shared" si="260"/>
        <v>E</v>
      </c>
      <c r="I580" s="325" t="s">
        <v>1626</v>
      </c>
      <c r="J580" s="329" t="str">
        <f>IF(B580&lt;&gt;"",+VLOOKUP(I580,Recursos!C:F,2,FALSE),"")</f>
        <v>MOTOSIERRA MANUAL</v>
      </c>
      <c r="K580" s="330" t="str">
        <f>IF(B580&lt;&gt;"",+VLOOKUP(I580,Recursos!C:F,3,FALSE),"")</f>
        <v>HR</v>
      </c>
      <c r="L580" s="446">
        <f>IF(B580&lt;&gt;"",+VLOOKUP(I580,Recursos!C:F,4,FALSE),"")</f>
        <v>147.89599999999999</v>
      </c>
      <c r="M580" s="464">
        <v>20</v>
      </c>
      <c r="N580" s="506">
        <v>4</v>
      </c>
      <c r="O580" s="449">
        <f>+M580*N580</f>
        <v>80</v>
      </c>
      <c r="P580" s="333">
        <f t="shared" ref="P580:P643" si="262">IF(B580&lt;&gt;"",O580*L580,"")</f>
        <v>11831.679999999998</v>
      </c>
      <c r="Q580" s="327">
        <f t="shared" ref="Q580:Q643" si="263">IF(B580&lt;&gt;"",+O580*E580,"")</f>
        <v>0</v>
      </c>
      <c r="R580" s="334">
        <f t="shared" ref="R580:R643" si="264">IF(B580&lt;&gt;"",Q580*L580,"")</f>
        <v>0</v>
      </c>
      <c r="S580" s="335">
        <f t="shared" si="240"/>
        <v>54846.252479670045</v>
      </c>
      <c r="T580" s="335">
        <f t="shared" si="241"/>
        <v>26899.995167199999</v>
      </c>
      <c r="U580" s="336">
        <f t="shared" si="242"/>
        <v>0</v>
      </c>
      <c r="V580" s="336">
        <f t="shared" si="243"/>
        <v>0</v>
      </c>
      <c r="W580" s="336">
        <f t="shared" si="244"/>
        <v>0</v>
      </c>
      <c r="X580" s="336">
        <f t="shared" si="245"/>
        <v>0</v>
      </c>
      <c r="Y580" s="320"/>
      <c r="Z580" s="321" t="str">
        <f t="shared" si="249"/>
        <v>X-LIMA</v>
      </c>
      <c r="AA580" s="321" t="str">
        <f t="shared" si="250"/>
        <v>X-LIME</v>
      </c>
      <c r="AB580" s="321" t="str">
        <f t="shared" si="251"/>
        <v>X-LIMM</v>
      </c>
      <c r="AC580" s="321" t="str">
        <f t="shared" si="252"/>
        <v>X-LIMT</v>
      </c>
      <c r="AD580" s="321" t="str">
        <f t="shared" si="253"/>
        <v>X-LIMS</v>
      </c>
      <c r="AE580" s="321" t="str">
        <f t="shared" si="254"/>
        <v>X-LIMX</v>
      </c>
      <c r="AF580" s="321" t="str">
        <f t="shared" si="255"/>
        <v>X-LIME</v>
      </c>
      <c r="AG580" s="321">
        <f t="shared" si="246"/>
        <v>9</v>
      </c>
      <c r="AH580" s="321">
        <f>IF(B580&lt;&gt;"",IF(H580="x",VLOOKUP(I580,'AUX-NIV3'!B:AG,32,FALSE),0),"")</f>
        <v>0</v>
      </c>
      <c r="AI580" s="321" t="str">
        <f t="shared" si="256"/>
        <v>X-LIM</v>
      </c>
      <c r="AJ580" s="320"/>
      <c r="AK580" s="322">
        <f t="shared" si="247"/>
        <v>572</v>
      </c>
      <c r="AL580" s="323">
        <f t="shared" si="257"/>
        <v>580</v>
      </c>
      <c r="AM580" s="322">
        <f t="shared" si="258"/>
        <v>9</v>
      </c>
      <c r="AN580" s="380">
        <f>IF(AND(AH580&gt;0,B580&lt;&gt;""),VLOOKUP(I580,'AUX-NIV3'!$B:$AO,39,FALSE)*O580,0)</f>
        <v>0</v>
      </c>
      <c r="AO580" s="380">
        <f t="shared" si="248"/>
        <v>110.34399999999999</v>
      </c>
      <c r="AP580" s="380"/>
    </row>
    <row r="581" spans="2:42" ht="14.4" hidden="1" thickTop="1" thickBot="1">
      <c r="B581" s="324" t="s">
        <v>2742</v>
      </c>
      <c r="C581" s="325" t="s">
        <v>2743</v>
      </c>
      <c r="D581" s="326" t="s">
        <v>1408</v>
      </c>
      <c r="E581" s="327">
        <f>IF(B581&lt;&gt;"",SUMIF('AUX-NIV1'!I:I,'AUX-NIV2'!B581,'AUX-NIV1'!Q:Q),"")</f>
        <v>0</v>
      </c>
      <c r="F581" s="327">
        <f t="shared" si="238"/>
        <v>128976.55565654387</v>
      </c>
      <c r="G581" s="327">
        <f t="shared" si="239"/>
        <v>0</v>
      </c>
      <c r="H581" s="328" t="str">
        <f t="shared" si="260"/>
        <v>A</v>
      </c>
      <c r="I581" s="325" t="s">
        <v>1745</v>
      </c>
      <c r="J581" s="329" t="str">
        <f>IF(B581&lt;&gt;"",+VLOOKUP(I581,Recursos!C:F,2,FALSE),"")</f>
        <v>AYUDANTE</v>
      </c>
      <c r="K581" s="330" t="str">
        <f>IF(B581&lt;&gt;"",+VLOOKUP(I581,Recursos!C:F,3,FALSE),"")</f>
        <v>hh</v>
      </c>
      <c r="L581" s="446">
        <f>IF(B581&lt;&gt;"",+VLOOKUP(I581,Recursos!C:F,4,FALSE),"")</f>
        <v>422.48042769667234</v>
      </c>
      <c r="M581" s="437">
        <v>0.25</v>
      </c>
      <c r="N581" s="504">
        <v>10000</v>
      </c>
      <c r="O581" s="449">
        <f>+(N581*M581+M585*30)/M586*1.3</f>
        <v>8.125</v>
      </c>
      <c r="P581" s="333">
        <f t="shared" si="262"/>
        <v>3432.6534750354626</v>
      </c>
      <c r="Q581" s="327">
        <f t="shared" si="263"/>
        <v>0</v>
      </c>
      <c r="R581" s="334">
        <f t="shared" si="264"/>
        <v>0</v>
      </c>
      <c r="S581" s="335">
        <f t="shared" si="240"/>
        <v>14880.353236943845</v>
      </c>
      <c r="T581" s="335">
        <f t="shared" si="241"/>
        <v>114096.20241960001</v>
      </c>
      <c r="U581" s="336">
        <f t="shared" si="242"/>
        <v>0</v>
      </c>
      <c r="V581" s="336">
        <f t="shared" si="243"/>
        <v>0</v>
      </c>
      <c r="W581" s="336">
        <f t="shared" si="244"/>
        <v>0</v>
      </c>
      <c r="X581" s="336">
        <f t="shared" si="245"/>
        <v>0</v>
      </c>
      <c r="Y581" s="320"/>
      <c r="Z581" s="321" t="str">
        <f t="shared" si="249"/>
        <v>X-LIM1A</v>
      </c>
      <c r="AA581" s="321" t="str">
        <f t="shared" si="250"/>
        <v>X-LIM1E</v>
      </c>
      <c r="AB581" s="321" t="str">
        <f t="shared" si="251"/>
        <v>X-LIM1M</v>
      </c>
      <c r="AC581" s="321" t="str">
        <f t="shared" si="252"/>
        <v>X-LIM1T</v>
      </c>
      <c r="AD581" s="321" t="str">
        <f t="shared" si="253"/>
        <v>X-LIM1S</v>
      </c>
      <c r="AE581" s="321" t="str">
        <f t="shared" si="254"/>
        <v>X-LIM1X</v>
      </c>
      <c r="AF581" s="321" t="str">
        <f t="shared" si="255"/>
        <v>X-LIM1A</v>
      </c>
      <c r="AG581" s="321">
        <f t="shared" si="246"/>
        <v>9</v>
      </c>
      <c r="AH581" s="321">
        <f>IF(B581&lt;&gt;"",IF(H581="x",VLOOKUP(I581,'AUX-NIV3'!B:AG,32,FALSE),0),"")</f>
        <v>0</v>
      </c>
      <c r="AI581" s="321" t="str">
        <f t="shared" si="256"/>
        <v>X-LIM1</v>
      </c>
      <c r="AJ581" s="320"/>
      <c r="AK581" s="322">
        <f t="shared" si="247"/>
        <v>581</v>
      </c>
      <c r="AL581" s="323">
        <f t="shared" si="257"/>
        <v>589</v>
      </c>
      <c r="AM581" s="322">
        <f t="shared" si="258"/>
        <v>1</v>
      </c>
      <c r="AN581" s="380">
        <f>IF(AND(AH581&gt;0,B581&lt;&gt;""),VLOOKUP(I581,'AUX-NIV3'!$B:$AO,39,FALSE)*O581,0)</f>
        <v>0</v>
      </c>
      <c r="AO581" s="380">
        <f t="shared" si="248"/>
        <v>28.730000000000004</v>
      </c>
      <c r="AP581" s="380"/>
    </row>
    <row r="582" spans="2:42" ht="14.4" hidden="1" thickTop="1" thickBot="1">
      <c r="B582" s="324" t="s">
        <v>2742</v>
      </c>
      <c r="C582" s="325" t="s">
        <v>2743</v>
      </c>
      <c r="D582" s="326" t="s">
        <v>1408</v>
      </c>
      <c r="E582" s="327">
        <f>IF(B582&lt;&gt;"",SUMIF('AUX-NIV1'!I:I,'AUX-NIV2'!B582,'AUX-NIV1'!Q:Q),"")</f>
        <v>0</v>
      </c>
      <c r="F582" s="327">
        <f t="shared" si="238"/>
        <v>128976.55565654387</v>
      </c>
      <c r="G582" s="327">
        <f t="shared" si="239"/>
        <v>0</v>
      </c>
      <c r="H582" s="328" t="str">
        <f t="shared" si="260"/>
        <v>A</v>
      </c>
      <c r="I582" s="325" t="s">
        <v>3310</v>
      </c>
      <c r="J582" s="329" t="str">
        <f>IF(B582&lt;&gt;"",+VLOOKUP(I582,Recursos!C:F,2,FALSE),"")</f>
        <v>OFICIAL ESPECIALIZADO</v>
      </c>
      <c r="K582" s="330" t="str">
        <f>IF(B582&lt;&gt;"",+VLOOKUP(I582,Recursos!C:F,3,FALSE),"")</f>
        <v>hh</v>
      </c>
      <c r="L582" s="446">
        <f>IF(B582&lt;&gt;"",+VLOOKUP(I582,Recursos!C:F,4,FALSE),"")</f>
        <v>581.06120476836554</v>
      </c>
      <c r="M582" s="460">
        <f>+M581</f>
        <v>0.25</v>
      </c>
      <c r="N582" s="505">
        <f>+N581</f>
        <v>10000</v>
      </c>
      <c r="O582" s="449">
        <f>+(N582*M581+M585*10)/M586*1.3</f>
        <v>8.125</v>
      </c>
      <c r="P582" s="333">
        <f t="shared" si="262"/>
        <v>4721.1222887429703</v>
      </c>
      <c r="Q582" s="327">
        <f t="shared" si="263"/>
        <v>0</v>
      </c>
      <c r="R582" s="334">
        <f t="shared" si="264"/>
        <v>0</v>
      </c>
      <c r="S582" s="335">
        <f t="shared" si="240"/>
        <v>14880.353236943845</v>
      </c>
      <c r="T582" s="335">
        <f t="shared" si="241"/>
        <v>114096.20241960001</v>
      </c>
      <c r="U582" s="336">
        <f t="shared" si="242"/>
        <v>0</v>
      </c>
      <c r="V582" s="336">
        <f t="shared" si="243"/>
        <v>0</v>
      </c>
      <c r="W582" s="336">
        <f t="shared" si="244"/>
        <v>0</v>
      </c>
      <c r="X582" s="336">
        <f t="shared" si="245"/>
        <v>0</v>
      </c>
      <c r="Y582" s="320"/>
      <c r="Z582" s="321" t="str">
        <f t="shared" si="249"/>
        <v>X-LIM1A</v>
      </c>
      <c r="AA582" s="321" t="str">
        <f t="shared" si="250"/>
        <v>X-LIM1E</v>
      </c>
      <c r="AB582" s="321" t="str">
        <f t="shared" si="251"/>
        <v>X-LIM1M</v>
      </c>
      <c r="AC582" s="321" t="str">
        <f t="shared" si="252"/>
        <v>X-LIM1T</v>
      </c>
      <c r="AD582" s="321" t="str">
        <f t="shared" si="253"/>
        <v>X-LIM1S</v>
      </c>
      <c r="AE582" s="321" t="str">
        <f t="shared" si="254"/>
        <v>X-LIM1X</v>
      </c>
      <c r="AF582" s="321" t="str">
        <f t="shared" si="255"/>
        <v>X-LIM1A</v>
      </c>
      <c r="AG582" s="321">
        <f t="shared" si="246"/>
        <v>9</v>
      </c>
      <c r="AH582" s="321">
        <f>IF(B582&lt;&gt;"",IF(H582="x",VLOOKUP(I582,'AUX-NIV3'!B:AG,32,FALSE),0),"")</f>
        <v>0</v>
      </c>
      <c r="AI582" s="321" t="str">
        <f t="shared" si="256"/>
        <v>X-LIM1</v>
      </c>
      <c r="AJ582" s="320"/>
      <c r="AK582" s="322">
        <f t="shared" si="247"/>
        <v>581</v>
      </c>
      <c r="AL582" s="323">
        <f t="shared" si="257"/>
        <v>589</v>
      </c>
      <c r="AM582" s="322">
        <f t="shared" si="258"/>
        <v>2</v>
      </c>
      <c r="AN582" s="380">
        <f>IF(AND(AH582&gt;0,B582&lt;&gt;""),VLOOKUP(I582,'AUX-NIV3'!$B:$AO,39,FALSE)*O582,0)</f>
        <v>0</v>
      </c>
      <c r="AO582" s="380">
        <f t="shared" si="248"/>
        <v>28.730000000000004</v>
      </c>
      <c r="AP582" s="380"/>
    </row>
    <row r="583" spans="2:42" ht="14.4" hidden="1" thickTop="1" thickBot="1">
      <c r="B583" s="324" t="s">
        <v>2742</v>
      </c>
      <c r="C583" s="325" t="s">
        <v>2743</v>
      </c>
      <c r="D583" s="326" t="s">
        <v>1408</v>
      </c>
      <c r="E583" s="327">
        <f>IF(B583&lt;&gt;"",SUMIF('AUX-NIV1'!I:I,'AUX-NIV2'!B583,'AUX-NIV1'!Q:Q),"")</f>
        <v>0</v>
      </c>
      <c r="F583" s="327">
        <f t="shared" ref="F583:F646" si="265">IF(B583&lt;&gt;"",+SUMIF(B:B,B583,P:P),"")</f>
        <v>128976.55565654387</v>
      </c>
      <c r="G583" s="327">
        <f t="shared" ref="G583:G646" si="266">IF(B583&lt;&gt;"",+SUMIF(B:B,B583,R:R),"")</f>
        <v>0</v>
      </c>
      <c r="H583" s="328" t="str">
        <f t="shared" si="260"/>
        <v>A</v>
      </c>
      <c r="I583" s="325" t="s">
        <v>3310</v>
      </c>
      <c r="J583" s="329" t="str">
        <f>IF(B583&lt;&gt;"",+VLOOKUP(I583,Recursos!C:F,2,FALSE),"")</f>
        <v>OFICIAL ESPECIALIZADO</v>
      </c>
      <c r="K583" s="330" t="str">
        <f>IF(B583&lt;&gt;"",+VLOOKUP(I583,Recursos!C:F,3,FALSE),"")</f>
        <v>hh</v>
      </c>
      <c r="L583" s="446">
        <f>IF(B583&lt;&gt;"",+VLOOKUP(I583,Recursos!C:F,4,FALSE),"")</f>
        <v>581.06120476836554</v>
      </c>
      <c r="M583" s="462">
        <v>1.3</v>
      </c>
      <c r="N583" s="505">
        <f>+N581</f>
        <v>10000</v>
      </c>
      <c r="O583" s="449">
        <f>0.2*(N583*M582*1.2+M585*15)/M587*M583</f>
        <v>6.24</v>
      </c>
      <c r="P583" s="333">
        <f t="shared" si="262"/>
        <v>3625.8219177546011</v>
      </c>
      <c r="Q583" s="327">
        <f t="shared" si="263"/>
        <v>0</v>
      </c>
      <c r="R583" s="334">
        <f t="shared" si="264"/>
        <v>0</v>
      </c>
      <c r="S583" s="335">
        <f t="shared" ref="S583:S646" si="267">IF(B583&lt;&gt;"",+SUMIF($AF:$AF,Z583,$P:$P),"")</f>
        <v>14880.353236943845</v>
      </c>
      <c r="T583" s="335">
        <f t="shared" ref="T583:T646" si="268">IF(B583&lt;&gt;"",+SUMIF($AF:$AF,AA583,$P:$P),"")</f>
        <v>114096.20241960001</v>
      </c>
      <c r="U583" s="336">
        <f t="shared" ref="U583:U646" si="269">IF(B583&lt;&gt;"",+SUMIF($AF:$AF,AB583,$P:$P),"")</f>
        <v>0</v>
      </c>
      <c r="V583" s="336">
        <f t="shared" ref="V583:V646" si="270">IF(B583&lt;&gt;"",+SUMIF($AF:$AF,AC583,$P:$P),"")</f>
        <v>0</v>
      </c>
      <c r="W583" s="336">
        <f t="shared" ref="W583:W646" si="271">IF(B583&lt;&gt;"",+SUMIF($AF:$AF,AD583,$P:$P),"")</f>
        <v>0</v>
      </c>
      <c r="X583" s="336">
        <f t="shared" ref="X583:X646" si="272">IF(B583&lt;&gt;"",+SUMIF($AF:$AF,AE583,$P:$P),"")</f>
        <v>0</v>
      </c>
      <c r="Y583" s="320"/>
      <c r="Z583" s="321" t="str">
        <f t="shared" si="249"/>
        <v>X-LIM1A</v>
      </c>
      <c r="AA583" s="321" t="str">
        <f t="shared" si="250"/>
        <v>X-LIM1E</v>
      </c>
      <c r="AB583" s="321" t="str">
        <f t="shared" si="251"/>
        <v>X-LIM1M</v>
      </c>
      <c r="AC583" s="321" t="str">
        <f t="shared" si="252"/>
        <v>X-LIM1T</v>
      </c>
      <c r="AD583" s="321" t="str">
        <f t="shared" si="253"/>
        <v>X-LIM1S</v>
      </c>
      <c r="AE583" s="321" t="str">
        <f t="shared" si="254"/>
        <v>X-LIM1X</v>
      </c>
      <c r="AF583" s="321" t="str">
        <f t="shared" si="255"/>
        <v>X-LIM1A</v>
      </c>
      <c r="AG583" s="321">
        <f t="shared" ref="AG583:AG646" si="273">IF(B583&lt;&gt;"",+COUNTIF(B:B,B583),"")</f>
        <v>9</v>
      </c>
      <c r="AH583" s="321">
        <f>IF(B583&lt;&gt;"",IF(H583="x",VLOOKUP(I583,'AUX-NIV3'!B:AG,32,FALSE),0),"")</f>
        <v>0</v>
      </c>
      <c r="AI583" s="321" t="str">
        <f t="shared" si="256"/>
        <v>X-LIM1</v>
      </c>
      <c r="AJ583" s="320"/>
      <c r="AK583" s="322">
        <f t="shared" ref="AK583:AK646" si="274">IF(B583&lt;&gt;"",+MATCH(B583,B:B,0),"")</f>
        <v>581</v>
      </c>
      <c r="AL583" s="323">
        <f t="shared" si="257"/>
        <v>589</v>
      </c>
      <c r="AM583" s="322">
        <f t="shared" si="258"/>
        <v>3</v>
      </c>
      <c r="AN583" s="380">
        <f>IF(AND(AH583&gt;0,B583&lt;&gt;""),VLOOKUP(I583,'AUX-NIV3'!$B:$AO,39,FALSE)*O583,0)</f>
        <v>0</v>
      </c>
      <c r="AO583" s="380">
        <f t="shared" ref="AO583:AO646" si="275">+IF(B583&lt;&gt;"",SUMIF(AF:AF,Z583,O:O)+SUMIF(Z:Z,Z583,AN:AN),0)</f>
        <v>28.730000000000004</v>
      </c>
      <c r="AP583" s="380"/>
    </row>
    <row r="584" spans="2:42" ht="14.4" hidden="1" thickTop="1" thickBot="1">
      <c r="B584" s="324" t="s">
        <v>2742</v>
      </c>
      <c r="C584" s="325" t="s">
        <v>2743</v>
      </c>
      <c r="D584" s="326" t="s">
        <v>1408</v>
      </c>
      <c r="E584" s="327">
        <f>IF(B584&lt;&gt;"",SUMIF('AUX-NIV1'!I:I,'AUX-NIV2'!B584,'AUX-NIV1'!Q:Q),"")</f>
        <v>0</v>
      </c>
      <c r="F584" s="327">
        <f t="shared" si="265"/>
        <v>128976.55565654387</v>
      </c>
      <c r="G584" s="327">
        <f t="shared" si="266"/>
        <v>0</v>
      </c>
      <c r="H584" s="328" t="str">
        <f t="shared" si="260"/>
        <v>A</v>
      </c>
      <c r="I584" s="325" t="s">
        <v>1746</v>
      </c>
      <c r="J584" s="329" t="str">
        <f>IF(B584&lt;&gt;"",+VLOOKUP(I584,Recursos!C:F,2,FALSE),"")</f>
        <v>OFICIAL</v>
      </c>
      <c r="K584" s="330" t="str">
        <f>IF(B584&lt;&gt;"",+VLOOKUP(I584,Recursos!C:F,3,FALSE),"")</f>
        <v>hh</v>
      </c>
      <c r="L584" s="446">
        <f>IF(B584&lt;&gt;"",+VLOOKUP(I584,Recursos!C:F,4,FALSE),"")</f>
        <v>496.91595439275824</v>
      </c>
      <c r="M584" s="460">
        <f>+M587</f>
        <v>125</v>
      </c>
      <c r="N584" s="505">
        <f>+N581</f>
        <v>10000</v>
      </c>
      <c r="O584" s="449">
        <f>0.2*(N584*M582*1.2+M585*15)/M584*1.3</f>
        <v>6.24</v>
      </c>
      <c r="P584" s="333">
        <f t="shared" si="262"/>
        <v>3100.7555554108117</v>
      </c>
      <c r="Q584" s="327">
        <f t="shared" si="263"/>
        <v>0</v>
      </c>
      <c r="R584" s="334">
        <f t="shared" si="264"/>
        <v>0</v>
      </c>
      <c r="S584" s="335">
        <f t="shared" si="267"/>
        <v>14880.353236943845</v>
      </c>
      <c r="T584" s="335">
        <f t="shared" si="268"/>
        <v>114096.20241960001</v>
      </c>
      <c r="U584" s="336">
        <f t="shared" si="269"/>
        <v>0</v>
      </c>
      <c r="V584" s="336">
        <f t="shared" si="270"/>
        <v>0</v>
      </c>
      <c r="W584" s="336">
        <f t="shared" si="271"/>
        <v>0</v>
      </c>
      <c r="X584" s="336">
        <f t="shared" si="272"/>
        <v>0</v>
      </c>
      <c r="Y584" s="320"/>
      <c r="Z584" s="321" t="str">
        <f t="shared" ref="Z584:Z647" si="276">IF(B584&lt;&gt;"",+$B584&amp;"A","")</f>
        <v>X-LIM1A</v>
      </c>
      <c r="AA584" s="321" t="str">
        <f t="shared" ref="AA584:AA647" si="277">IF(B584&lt;&gt;"",+$B584&amp;"E","")</f>
        <v>X-LIM1E</v>
      </c>
      <c r="AB584" s="321" t="str">
        <f t="shared" ref="AB584:AB647" si="278">IF(B584&lt;&gt;"",++$B584&amp;"M","")</f>
        <v>X-LIM1M</v>
      </c>
      <c r="AC584" s="321" t="str">
        <f t="shared" ref="AC584:AC647" si="279">IF(B584&lt;&gt;"",+$B584&amp;"T","")</f>
        <v>X-LIM1T</v>
      </c>
      <c r="AD584" s="321" t="str">
        <f t="shared" ref="AD584:AD647" si="280">IF(B584&lt;&gt;"",+$B584&amp;"S","")</f>
        <v>X-LIM1S</v>
      </c>
      <c r="AE584" s="321" t="str">
        <f t="shared" ref="AE584:AE647" si="281">IF(B584&lt;&gt;"",+$B584&amp;"X","")</f>
        <v>X-LIM1X</v>
      </c>
      <c r="AF584" s="321" t="str">
        <f t="shared" ref="AF584:AF647" si="282">IF(B584&lt;&gt;"",+B584&amp;H584,"")</f>
        <v>X-LIM1A</v>
      </c>
      <c r="AG584" s="321">
        <f t="shared" si="273"/>
        <v>9</v>
      </c>
      <c r="AH584" s="321">
        <f>IF(B584&lt;&gt;"",IF(H584="x",VLOOKUP(I584,'AUX-NIV3'!B:AG,32,FALSE),0),"")</f>
        <v>0</v>
      </c>
      <c r="AI584" s="321" t="str">
        <f t="shared" ref="AI584:AI647" si="283">IF(B584&lt;&gt;"",+B584,"")</f>
        <v>X-LIM1</v>
      </c>
      <c r="AJ584" s="320"/>
      <c r="AK584" s="322">
        <f t="shared" si="274"/>
        <v>581</v>
      </c>
      <c r="AL584" s="323">
        <f t="shared" ref="AL584:AL647" si="284">IF(B584&lt;&gt;"",+AK584+AG584-1,"")</f>
        <v>589</v>
      </c>
      <c r="AM584" s="322">
        <f t="shared" ref="AM584:AM647" si="285">IF(B584&lt;&gt;"",IF(B584=B583,1+AM583,1),"")</f>
        <v>4</v>
      </c>
      <c r="AN584" s="380">
        <f>IF(AND(AH584&gt;0,B584&lt;&gt;""),VLOOKUP(I584,'AUX-NIV3'!$B:$AO,39,FALSE)*O584,0)</f>
        <v>0</v>
      </c>
      <c r="AO584" s="380">
        <f t="shared" si="275"/>
        <v>28.730000000000004</v>
      </c>
      <c r="AP584" s="380"/>
    </row>
    <row r="585" spans="2:42" ht="14.4" hidden="1" thickTop="1" thickBot="1">
      <c r="B585" s="324" t="s">
        <v>2742</v>
      </c>
      <c r="C585" s="325" t="s">
        <v>2743</v>
      </c>
      <c r="D585" s="326" t="s">
        <v>1408</v>
      </c>
      <c r="E585" s="327">
        <f>IF(B585&lt;&gt;"",SUMIF('AUX-NIV1'!I:I,'AUX-NIV2'!B585,'AUX-NIV1'!Q:Q),"")</f>
        <v>0</v>
      </c>
      <c r="F585" s="327">
        <f t="shared" si="265"/>
        <v>128976.55565654387</v>
      </c>
      <c r="G585" s="327">
        <f t="shared" si="266"/>
        <v>0</v>
      </c>
      <c r="H585" s="328" t="str">
        <f t="shared" si="260"/>
        <v>A</v>
      </c>
      <c r="I585" s="325" t="s">
        <v>1746</v>
      </c>
      <c r="J585" s="329" t="str">
        <f>IF(B585&lt;&gt;"",+VLOOKUP(I585,Recursos!C:F,2,FALSE),"")</f>
        <v>OFICIAL</v>
      </c>
      <c r="K585" s="330" t="str">
        <f>IF(B585&lt;&gt;"",+VLOOKUP(I585,Recursos!C:F,3,FALSE),"")</f>
        <v>hh</v>
      </c>
      <c r="L585" s="446">
        <f>IF(B585&lt;&gt;"",+VLOOKUP(I585,Recursos!C:F,4,FALSE),"")</f>
        <v>496.91595439275824</v>
      </c>
      <c r="M585" s="460">
        <f>+M589</f>
        <v>0</v>
      </c>
      <c r="N585" s="505">
        <f>+N589</f>
        <v>2</v>
      </c>
      <c r="O585" s="449">
        <f>1.3*M585*N585</f>
        <v>0</v>
      </c>
      <c r="P585" s="333">
        <f t="shared" si="262"/>
        <v>0</v>
      </c>
      <c r="Q585" s="327">
        <f t="shared" si="263"/>
        <v>0</v>
      </c>
      <c r="R585" s="334">
        <f t="shared" si="264"/>
        <v>0</v>
      </c>
      <c r="S585" s="335">
        <f t="shared" si="267"/>
        <v>14880.353236943845</v>
      </c>
      <c r="T585" s="335">
        <f t="shared" si="268"/>
        <v>114096.20241960001</v>
      </c>
      <c r="U585" s="336">
        <f t="shared" si="269"/>
        <v>0</v>
      </c>
      <c r="V585" s="336">
        <f t="shared" si="270"/>
        <v>0</v>
      </c>
      <c r="W585" s="336">
        <f t="shared" si="271"/>
        <v>0</v>
      </c>
      <c r="X585" s="336">
        <f t="shared" si="272"/>
        <v>0</v>
      </c>
      <c r="Y585" s="320"/>
      <c r="Z585" s="321" t="str">
        <f t="shared" si="276"/>
        <v>X-LIM1A</v>
      </c>
      <c r="AA585" s="321" t="str">
        <f t="shared" si="277"/>
        <v>X-LIM1E</v>
      </c>
      <c r="AB585" s="321" t="str">
        <f t="shared" si="278"/>
        <v>X-LIM1M</v>
      </c>
      <c r="AC585" s="321" t="str">
        <f t="shared" si="279"/>
        <v>X-LIM1T</v>
      </c>
      <c r="AD585" s="321" t="str">
        <f t="shared" si="280"/>
        <v>X-LIM1S</v>
      </c>
      <c r="AE585" s="321" t="str">
        <f t="shared" si="281"/>
        <v>X-LIM1X</v>
      </c>
      <c r="AF585" s="321" t="str">
        <f t="shared" si="282"/>
        <v>X-LIM1A</v>
      </c>
      <c r="AG585" s="321">
        <f t="shared" si="273"/>
        <v>9</v>
      </c>
      <c r="AH585" s="321">
        <f>IF(B585&lt;&gt;"",IF(H585="x",VLOOKUP(I585,'AUX-NIV3'!B:AG,32,FALSE),0),"")</f>
        <v>0</v>
      </c>
      <c r="AI585" s="321" t="str">
        <f t="shared" si="283"/>
        <v>X-LIM1</v>
      </c>
      <c r="AJ585" s="320"/>
      <c r="AK585" s="322">
        <f t="shared" si="274"/>
        <v>581</v>
      </c>
      <c r="AL585" s="323">
        <f t="shared" si="284"/>
        <v>589</v>
      </c>
      <c r="AM585" s="322">
        <f t="shared" si="285"/>
        <v>5</v>
      </c>
      <c r="AN585" s="380">
        <f>IF(AND(AH585&gt;0,B585&lt;&gt;""),VLOOKUP(I585,'AUX-NIV3'!$B:$AO,39,FALSE)*O585,0)</f>
        <v>0</v>
      </c>
      <c r="AO585" s="380">
        <f t="shared" si="275"/>
        <v>28.730000000000004</v>
      </c>
      <c r="AP585" s="380"/>
    </row>
    <row r="586" spans="2:42" ht="14.4" hidden="1" thickTop="1" thickBot="1">
      <c r="B586" s="324" t="s">
        <v>2742</v>
      </c>
      <c r="C586" s="325" t="s">
        <v>2743</v>
      </c>
      <c r="D586" s="326" t="s">
        <v>1408</v>
      </c>
      <c r="E586" s="327">
        <f>IF(B586&lt;&gt;"",SUMIF('AUX-NIV1'!I:I,'AUX-NIV2'!B586,'AUX-NIV1'!Q:Q),"")</f>
        <v>0</v>
      </c>
      <c r="F586" s="327">
        <f t="shared" si="265"/>
        <v>128976.55565654387</v>
      </c>
      <c r="G586" s="327">
        <f t="shared" si="266"/>
        <v>0</v>
      </c>
      <c r="H586" s="328" t="str">
        <f t="shared" si="260"/>
        <v>E</v>
      </c>
      <c r="I586" s="325" t="s">
        <v>1538</v>
      </c>
      <c r="J586" s="329" t="str">
        <f>IF(B586&lt;&gt;"",+VLOOKUP(I586,Recursos!C:F,2,FALSE),"")</f>
        <v xml:space="preserve">TOPADORA CON ESC.(39 T) </v>
      </c>
      <c r="K586" s="330" t="str">
        <f>IF(B586&lt;&gt;"",+VLOOKUP(I586,Recursos!C:F,3,FALSE),"")</f>
        <v>HR</v>
      </c>
      <c r="L586" s="446">
        <f>IF(B586&lt;&gt;"",+VLOOKUP(I586,Recursos!C:F,4,FALSE),"")</f>
        <v>7320.3390000000009</v>
      </c>
      <c r="M586" s="462">
        <v>400</v>
      </c>
      <c r="N586" s="505">
        <f>+N581</f>
        <v>10000</v>
      </c>
      <c r="O586" s="449">
        <f>+(N586*0.25+20*10)/M586</f>
        <v>6.75</v>
      </c>
      <c r="P586" s="333">
        <f t="shared" si="262"/>
        <v>49412.288250000005</v>
      </c>
      <c r="Q586" s="327">
        <f t="shared" si="263"/>
        <v>0</v>
      </c>
      <c r="R586" s="334">
        <f t="shared" si="264"/>
        <v>0</v>
      </c>
      <c r="S586" s="335">
        <f t="shared" si="267"/>
        <v>14880.353236943845</v>
      </c>
      <c r="T586" s="335">
        <f t="shared" si="268"/>
        <v>114096.20241960001</v>
      </c>
      <c r="U586" s="336">
        <f t="shared" si="269"/>
        <v>0</v>
      </c>
      <c r="V586" s="336">
        <f t="shared" si="270"/>
        <v>0</v>
      </c>
      <c r="W586" s="336">
        <f t="shared" si="271"/>
        <v>0</v>
      </c>
      <c r="X586" s="336">
        <f t="shared" si="272"/>
        <v>0</v>
      </c>
      <c r="Y586" s="320"/>
      <c r="Z586" s="321" t="str">
        <f t="shared" si="276"/>
        <v>X-LIM1A</v>
      </c>
      <c r="AA586" s="321" t="str">
        <f t="shared" si="277"/>
        <v>X-LIM1E</v>
      </c>
      <c r="AB586" s="321" t="str">
        <f t="shared" si="278"/>
        <v>X-LIM1M</v>
      </c>
      <c r="AC586" s="321" t="str">
        <f t="shared" si="279"/>
        <v>X-LIM1T</v>
      </c>
      <c r="AD586" s="321" t="str">
        <f t="shared" si="280"/>
        <v>X-LIM1S</v>
      </c>
      <c r="AE586" s="321" t="str">
        <f t="shared" si="281"/>
        <v>X-LIM1X</v>
      </c>
      <c r="AF586" s="321" t="str">
        <f t="shared" si="282"/>
        <v>X-LIM1E</v>
      </c>
      <c r="AG586" s="321">
        <f t="shared" si="273"/>
        <v>9</v>
      </c>
      <c r="AH586" s="321">
        <f>IF(B586&lt;&gt;"",IF(H586="x",VLOOKUP(I586,'AUX-NIV3'!B:AG,32,FALSE),0),"")</f>
        <v>0</v>
      </c>
      <c r="AI586" s="321" t="str">
        <f t="shared" si="283"/>
        <v>X-LIM1</v>
      </c>
      <c r="AJ586" s="320"/>
      <c r="AK586" s="322">
        <f t="shared" si="274"/>
        <v>581</v>
      </c>
      <c r="AL586" s="323">
        <f t="shared" si="284"/>
        <v>589</v>
      </c>
      <c r="AM586" s="322">
        <f t="shared" si="285"/>
        <v>6</v>
      </c>
      <c r="AN586" s="380">
        <f>IF(AND(AH586&gt;0,B586&lt;&gt;""),VLOOKUP(I586,'AUX-NIV3'!$B:$AO,39,FALSE)*O586,0)</f>
        <v>0</v>
      </c>
      <c r="AO586" s="380">
        <f t="shared" si="275"/>
        <v>28.730000000000004</v>
      </c>
      <c r="AP586" s="380"/>
    </row>
    <row r="587" spans="2:42" ht="14.4" hidden="1" thickTop="1" thickBot="1">
      <c r="B587" s="324" t="s">
        <v>2742</v>
      </c>
      <c r="C587" s="325" t="s">
        <v>2743</v>
      </c>
      <c r="D587" s="326" t="s">
        <v>1408</v>
      </c>
      <c r="E587" s="327">
        <f>IF(B587&lt;&gt;"",SUMIF('AUX-NIV1'!I:I,'AUX-NIV2'!B587,'AUX-NIV1'!Q:Q),"")</f>
        <v>0</v>
      </c>
      <c r="F587" s="327">
        <f t="shared" si="265"/>
        <v>128976.55565654387</v>
      </c>
      <c r="G587" s="327">
        <f t="shared" si="266"/>
        <v>0</v>
      </c>
      <c r="H587" s="328" t="str">
        <f t="shared" si="260"/>
        <v>E</v>
      </c>
      <c r="I587" s="325" t="s">
        <v>1659</v>
      </c>
      <c r="J587" s="329" t="str">
        <f>IF(B587&lt;&gt;"",+VLOOKUP(I587,Recursos!C:F,2,FALSE),"")</f>
        <v>CARGADOR FRONTAL S/NEUM. 2,4 m3</v>
      </c>
      <c r="K587" s="330" t="str">
        <f>IF(B587&lt;&gt;"",+VLOOKUP(I587,Recursos!C:F,3,FALSE),"")</f>
        <v>HR</v>
      </c>
      <c r="L587" s="446">
        <f>IF(B587&lt;&gt;"",+VLOOKUP(I587,Recursos!C:F,4,FALSE),"")</f>
        <v>3724.9622000000004</v>
      </c>
      <c r="M587" s="462">
        <v>125</v>
      </c>
      <c r="N587" s="505">
        <f>+N581</f>
        <v>10000</v>
      </c>
      <c r="O587" s="449">
        <f>0.2*(N587*0.25*1.2+20*15)/M587</f>
        <v>5.28</v>
      </c>
      <c r="P587" s="333">
        <f t="shared" si="262"/>
        <v>19667.800416000002</v>
      </c>
      <c r="Q587" s="327">
        <f t="shared" si="263"/>
        <v>0</v>
      </c>
      <c r="R587" s="334">
        <f t="shared" si="264"/>
        <v>0</v>
      </c>
      <c r="S587" s="335">
        <f t="shared" si="267"/>
        <v>14880.353236943845</v>
      </c>
      <c r="T587" s="335">
        <f t="shared" si="268"/>
        <v>114096.20241960001</v>
      </c>
      <c r="U587" s="336">
        <f t="shared" si="269"/>
        <v>0</v>
      </c>
      <c r="V587" s="336">
        <f t="shared" si="270"/>
        <v>0</v>
      </c>
      <c r="W587" s="336">
        <f t="shared" si="271"/>
        <v>0</v>
      </c>
      <c r="X587" s="336">
        <f t="shared" si="272"/>
        <v>0</v>
      </c>
      <c r="Y587" s="320"/>
      <c r="Z587" s="321" t="str">
        <f t="shared" si="276"/>
        <v>X-LIM1A</v>
      </c>
      <c r="AA587" s="321" t="str">
        <f t="shared" si="277"/>
        <v>X-LIM1E</v>
      </c>
      <c r="AB587" s="321" t="str">
        <f t="shared" si="278"/>
        <v>X-LIM1M</v>
      </c>
      <c r="AC587" s="321" t="str">
        <f t="shared" si="279"/>
        <v>X-LIM1T</v>
      </c>
      <c r="AD587" s="321" t="str">
        <f t="shared" si="280"/>
        <v>X-LIM1S</v>
      </c>
      <c r="AE587" s="321" t="str">
        <f t="shared" si="281"/>
        <v>X-LIM1X</v>
      </c>
      <c r="AF587" s="321" t="str">
        <f t="shared" si="282"/>
        <v>X-LIM1E</v>
      </c>
      <c r="AG587" s="321">
        <f t="shared" si="273"/>
        <v>9</v>
      </c>
      <c r="AH587" s="321">
        <f>IF(B587&lt;&gt;"",IF(H587="x",VLOOKUP(I587,'AUX-NIV3'!B:AG,32,FALSE),0),"")</f>
        <v>0</v>
      </c>
      <c r="AI587" s="321" t="str">
        <f t="shared" si="283"/>
        <v>X-LIM1</v>
      </c>
      <c r="AJ587" s="320"/>
      <c r="AK587" s="322">
        <f t="shared" si="274"/>
        <v>581</v>
      </c>
      <c r="AL587" s="323">
        <f t="shared" si="284"/>
        <v>589</v>
      </c>
      <c r="AM587" s="322">
        <f t="shared" si="285"/>
        <v>7</v>
      </c>
      <c r="AN587" s="380">
        <f>IF(AND(AH587&gt;0,B587&lt;&gt;""),VLOOKUP(I587,'AUX-NIV3'!$B:$AO,39,FALSE)*O587,0)</f>
        <v>0</v>
      </c>
      <c r="AO587" s="380">
        <f t="shared" si="275"/>
        <v>28.730000000000004</v>
      </c>
      <c r="AP587" s="380"/>
    </row>
    <row r="588" spans="2:42" ht="14.4" hidden="1" thickTop="1" thickBot="1">
      <c r="B588" s="324" t="s">
        <v>2742</v>
      </c>
      <c r="C588" s="325" t="s">
        <v>2743</v>
      </c>
      <c r="D588" s="326" t="s">
        <v>1408</v>
      </c>
      <c r="E588" s="327">
        <f>IF(B588&lt;&gt;"",SUMIF('AUX-NIV1'!I:I,'AUX-NIV2'!B588,'AUX-NIV1'!Q:Q),"")</f>
        <v>0</v>
      </c>
      <c r="F588" s="327">
        <f t="shared" si="265"/>
        <v>128976.55565654387</v>
      </c>
      <c r="G588" s="327">
        <f t="shared" si="266"/>
        <v>0</v>
      </c>
      <c r="H588" s="328" t="str">
        <f t="shared" si="260"/>
        <v>E</v>
      </c>
      <c r="I588" s="325" t="s">
        <v>1672</v>
      </c>
      <c r="J588" s="329" t="str">
        <f>IF(B588&lt;&gt;"",+VLOOKUP(I588,Recursos!C:F,2,FALSE),"")</f>
        <v>CAMION VOLCADOR CAP. 24 T=15 m3</v>
      </c>
      <c r="K588" s="330" t="str">
        <f>IF(B588&lt;&gt;"",+VLOOKUP(I588,Recursos!C:F,3,FALSE),"")</f>
        <v>HR</v>
      </c>
      <c r="L588" s="446">
        <f>IF(B588&lt;&gt;"",+VLOOKUP(I588,Recursos!C:F,4,FALSE),"")</f>
        <v>4262.8895600000005</v>
      </c>
      <c r="M588" s="460">
        <f>+M587</f>
        <v>125</v>
      </c>
      <c r="N588" s="505">
        <f>+N581</f>
        <v>10000</v>
      </c>
      <c r="O588" s="449">
        <f>0.4*(N588*0.25*1.2+20*15)/M588</f>
        <v>10.56</v>
      </c>
      <c r="P588" s="333">
        <f t="shared" si="262"/>
        <v>45016.11375360001</v>
      </c>
      <c r="Q588" s="327">
        <f t="shared" si="263"/>
        <v>0</v>
      </c>
      <c r="R588" s="334">
        <f t="shared" si="264"/>
        <v>0</v>
      </c>
      <c r="S588" s="335">
        <f t="shared" si="267"/>
        <v>14880.353236943845</v>
      </c>
      <c r="T588" s="335">
        <f t="shared" si="268"/>
        <v>114096.20241960001</v>
      </c>
      <c r="U588" s="336">
        <f t="shared" si="269"/>
        <v>0</v>
      </c>
      <c r="V588" s="336">
        <f t="shared" si="270"/>
        <v>0</v>
      </c>
      <c r="W588" s="336">
        <f t="shared" si="271"/>
        <v>0</v>
      </c>
      <c r="X588" s="336">
        <f t="shared" si="272"/>
        <v>0</v>
      </c>
      <c r="Y588" s="320"/>
      <c r="Z588" s="321" t="str">
        <f t="shared" si="276"/>
        <v>X-LIM1A</v>
      </c>
      <c r="AA588" s="321" t="str">
        <f t="shared" si="277"/>
        <v>X-LIM1E</v>
      </c>
      <c r="AB588" s="321" t="str">
        <f t="shared" si="278"/>
        <v>X-LIM1M</v>
      </c>
      <c r="AC588" s="321" t="str">
        <f t="shared" si="279"/>
        <v>X-LIM1T</v>
      </c>
      <c r="AD588" s="321" t="str">
        <f t="shared" si="280"/>
        <v>X-LIM1S</v>
      </c>
      <c r="AE588" s="321" t="str">
        <f t="shared" si="281"/>
        <v>X-LIM1X</v>
      </c>
      <c r="AF588" s="321" t="str">
        <f t="shared" si="282"/>
        <v>X-LIM1E</v>
      </c>
      <c r="AG588" s="321">
        <f t="shared" si="273"/>
        <v>9</v>
      </c>
      <c r="AH588" s="321">
        <f>IF(B588&lt;&gt;"",IF(H588="x",VLOOKUP(I588,'AUX-NIV3'!B:AG,32,FALSE),0),"")</f>
        <v>0</v>
      </c>
      <c r="AI588" s="321" t="str">
        <f t="shared" si="283"/>
        <v>X-LIM1</v>
      </c>
      <c r="AJ588" s="320"/>
      <c r="AK588" s="322">
        <f t="shared" si="274"/>
        <v>581</v>
      </c>
      <c r="AL588" s="323">
        <f t="shared" si="284"/>
        <v>589</v>
      </c>
      <c r="AM588" s="322">
        <f t="shared" si="285"/>
        <v>8</v>
      </c>
      <c r="AN588" s="380">
        <f>IF(AND(AH588&gt;0,B588&lt;&gt;""),VLOOKUP(I588,'AUX-NIV3'!$B:$AO,39,FALSE)*O588,0)</f>
        <v>0</v>
      </c>
      <c r="AO588" s="380">
        <f t="shared" si="275"/>
        <v>28.730000000000004</v>
      </c>
      <c r="AP588" s="380"/>
    </row>
    <row r="589" spans="2:42" ht="14.4" hidden="1" thickTop="1" thickBot="1">
      <c r="B589" s="324" t="s">
        <v>2742</v>
      </c>
      <c r="C589" s="325" t="s">
        <v>2743</v>
      </c>
      <c r="D589" s="326" t="s">
        <v>1408</v>
      </c>
      <c r="E589" s="327">
        <f>IF(B589&lt;&gt;"",SUMIF('AUX-NIV1'!I:I,'AUX-NIV2'!B589,'AUX-NIV1'!Q:Q),"")</f>
        <v>0</v>
      </c>
      <c r="F589" s="327">
        <f t="shared" si="265"/>
        <v>128976.55565654387</v>
      </c>
      <c r="G589" s="327">
        <f t="shared" si="266"/>
        <v>0</v>
      </c>
      <c r="H589" s="328" t="str">
        <f t="shared" si="260"/>
        <v>E</v>
      </c>
      <c r="I589" s="325" t="s">
        <v>1626</v>
      </c>
      <c r="J589" s="329" t="str">
        <f>IF(B589&lt;&gt;"",+VLOOKUP(I589,Recursos!C:F,2,FALSE),"")</f>
        <v>MOTOSIERRA MANUAL</v>
      </c>
      <c r="K589" s="330" t="str">
        <f>IF(B589&lt;&gt;"",+VLOOKUP(I589,Recursos!C:F,3,FALSE),"")</f>
        <v>HR</v>
      </c>
      <c r="L589" s="446">
        <f>IF(B589&lt;&gt;"",+VLOOKUP(I589,Recursos!C:F,4,FALSE),"")</f>
        <v>147.89599999999999</v>
      </c>
      <c r="M589" s="464">
        <v>0</v>
      </c>
      <c r="N589" s="506">
        <v>2</v>
      </c>
      <c r="O589" s="449">
        <f>+M589*N589</f>
        <v>0</v>
      </c>
      <c r="P589" s="333">
        <f t="shared" si="262"/>
        <v>0</v>
      </c>
      <c r="Q589" s="327">
        <f t="shared" si="263"/>
        <v>0</v>
      </c>
      <c r="R589" s="334">
        <f t="shared" si="264"/>
        <v>0</v>
      </c>
      <c r="S589" s="335">
        <f t="shared" si="267"/>
        <v>14880.353236943845</v>
      </c>
      <c r="T589" s="335">
        <f t="shared" si="268"/>
        <v>114096.20241960001</v>
      </c>
      <c r="U589" s="336">
        <f t="shared" si="269"/>
        <v>0</v>
      </c>
      <c r="V589" s="336">
        <f t="shared" si="270"/>
        <v>0</v>
      </c>
      <c r="W589" s="336">
        <f t="shared" si="271"/>
        <v>0</v>
      </c>
      <c r="X589" s="336">
        <f t="shared" si="272"/>
        <v>0</v>
      </c>
      <c r="Y589" s="320"/>
      <c r="Z589" s="321" t="str">
        <f t="shared" si="276"/>
        <v>X-LIM1A</v>
      </c>
      <c r="AA589" s="321" t="str">
        <f t="shared" si="277"/>
        <v>X-LIM1E</v>
      </c>
      <c r="AB589" s="321" t="str">
        <f t="shared" si="278"/>
        <v>X-LIM1M</v>
      </c>
      <c r="AC589" s="321" t="str">
        <f t="shared" si="279"/>
        <v>X-LIM1T</v>
      </c>
      <c r="AD589" s="321" t="str">
        <f t="shared" si="280"/>
        <v>X-LIM1S</v>
      </c>
      <c r="AE589" s="321" t="str">
        <f t="shared" si="281"/>
        <v>X-LIM1X</v>
      </c>
      <c r="AF589" s="321" t="str">
        <f t="shared" si="282"/>
        <v>X-LIM1E</v>
      </c>
      <c r="AG589" s="321">
        <f t="shared" si="273"/>
        <v>9</v>
      </c>
      <c r="AH589" s="321">
        <f>IF(B589&lt;&gt;"",IF(H589="x",VLOOKUP(I589,'AUX-NIV3'!B:AG,32,FALSE),0),"")</f>
        <v>0</v>
      </c>
      <c r="AI589" s="321" t="str">
        <f t="shared" si="283"/>
        <v>X-LIM1</v>
      </c>
      <c r="AJ589" s="320"/>
      <c r="AK589" s="322">
        <f t="shared" si="274"/>
        <v>581</v>
      </c>
      <c r="AL589" s="323">
        <f t="shared" si="284"/>
        <v>589</v>
      </c>
      <c r="AM589" s="322">
        <f t="shared" si="285"/>
        <v>9</v>
      </c>
      <c r="AN589" s="380">
        <f>IF(AND(AH589&gt;0,B589&lt;&gt;""),VLOOKUP(I589,'AUX-NIV3'!$B:$AO,39,FALSE)*O589,0)</f>
        <v>0</v>
      </c>
      <c r="AO589" s="380">
        <f t="shared" si="275"/>
        <v>28.730000000000004</v>
      </c>
      <c r="AP589" s="380"/>
    </row>
    <row r="590" spans="2:42" ht="14.4" hidden="1" thickTop="1" thickBot="1">
      <c r="B590" s="324" t="s">
        <v>2755</v>
      </c>
      <c r="C590" s="325" t="s">
        <v>1375</v>
      </c>
      <c r="D590" s="326" t="s">
        <v>501</v>
      </c>
      <c r="E590" s="327">
        <f>IF(B590&lt;&gt;"",SUMIF('AUX-NIV1'!I:I,'AUX-NIV2'!B590,'AUX-NIV1'!Q:Q),"")</f>
        <v>0</v>
      </c>
      <c r="F590" s="327">
        <f t="shared" si="265"/>
        <v>40.639843255290813</v>
      </c>
      <c r="G590" s="327">
        <f t="shared" si="266"/>
        <v>0</v>
      </c>
      <c r="H590" s="328" t="str">
        <f t="shared" si="260"/>
        <v>X</v>
      </c>
      <c r="I590" s="325" t="s">
        <v>2744</v>
      </c>
      <c r="J590" s="329" t="str">
        <f>IF(B590&lt;&gt;"",+VLOOKUP(I590,Recursos!C:F,2,FALSE),"")</f>
        <v>Escarificado Base de Asiento</v>
      </c>
      <c r="K590" s="330" t="str">
        <f>IF(B590&lt;&gt;"",+VLOOKUP(I590,Recursos!C:F,3,FALSE),"")</f>
        <v>m2</v>
      </c>
      <c r="L590" s="446">
        <f>IF(B590&lt;&gt;"",+VLOOKUP(I590,Recursos!C:F,4,FALSE),"")</f>
        <v>5.4165808422045494</v>
      </c>
      <c r="M590" s="447">
        <v>1</v>
      </c>
      <c r="N590" s="448">
        <v>1</v>
      </c>
      <c r="O590" s="449">
        <f>+M590*N590</f>
        <v>1</v>
      </c>
      <c r="P590" s="333">
        <f t="shared" si="262"/>
        <v>5.4165808422045494</v>
      </c>
      <c r="Q590" s="327">
        <f t="shared" si="263"/>
        <v>0</v>
      </c>
      <c r="R590" s="334">
        <f t="shared" si="264"/>
        <v>0</v>
      </c>
      <c r="S590" s="335">
        <f t="shared" si="267"/>
        <v>0</v>
      </c>
      <c r="T590" s="335">
        <f t="shared" si="268"/>
        <v>0</v>
      </c>
      <c r="U590" s="336">
        <f t="shared" si="269"/>
        <v>0</v>
      </c>
      <c r="V590" s="336">
        <f t="shared" si="270"/>
        <v>0</v>
      </c>
      <c r="W590" s="336">
        <f t="shared" si="271"/>
        <v>0</v>
      </c>
      <c r="X590" s="336">
        <f t="shared" si="272"/>
        <v>40.639843255290813</v>
      </c>
      <c r="Y590" s="320"/>
      <c r="Z590" s="321" t="str">
        <f t="shared" si="276"/>
        <v>X-PREA</v>
      </c>
      <c r="AA590" s="321" t="str">
        <f t="shared" si="277"/>
        <v>X-PREE</v>
      </c>
      <c r="AB590" s="321" t="str">
        <f t="shared" si="278"/>
        <v>X-PREM</v>
      </c>
      <c r="AC590" s="321" t="str">
        <f t="shared" si="279"/>
        <v>X-PRET</v>
      </c>
      <c r="AD590" s="321" t="str">
        <f t="shared" si="280"/>
        <v>X-PRES</v>
      </c>
      <c r="AE590" s="321" t="str">
        <f t="shared" si="281"/>
        <v>X-PREX</v>
      </c>
      <c r="AF590" s="321" t="str">
        <f t="shared" si="282"/>
        <v>X-PREX</v>
      </c>
      <c r="AG590" s="321">
        <f t="shared" si="273"/>
        <v>6</v>
      </c>
      <c r="AH590" s="321">
        <f>IF(B590&lt;&gt;"",IF(H590="x",VLOOKUP(I590,'AUX-NIV3'!B:AG,32,FALSE),0),"")</f>
        <v>3</v>
      </c>
      <c r="AI590" s="321" t="str">
        <f t="shared" si="283"/>
        <v>X-PRE</v>
      </c>
      <c r="AJ590" s="320"/>
      <c r="AK590" s="322">
        <f t="shared" si="274"/>
        <v>590</v>
      </c>
      <c r="AL590" s="323">
        <f t="shared" si="284"/>
        <v>595</v>
      </c>
      <c r="AM590" s="322">
        <f t="shared" si="285"/>
        <v>1</v>
      </c>
      <c r="AN590" s="380">
        <f>IF(AND(AH590&gt;0,B590&lt;&gt;""),VLOOKUP(I590,'AUX-NIV3'!$B:$AO,39,FALSE)*O590,0)</f>
        <v>2.6000000000000003E-3</v>
      </c>
      <c r="AO590" s="380">
        <f t="shared" si="275"/>
        <v>2.2141964285714286E-2</v>
      </c>
      <c r="AP590" s="380"/>
    </row>
    <row r="591" spans="2:42" ht="14.4" hidden="1" thickTop="1" thickBot="1">
      <c r="B591" s="324" t="s">
        <v>2755</v>
      </c>
      <c r="C591" s="325" t="s">
        <v>1375</v>
      </c>
      <c r="D591" s="326" t="s">
        <v>501</v>
      </c>
      <c r="E591" s="327">
        <f>IF(B591&lt;&gt;"",SUMIF('AUX-NIV1'!I:I,'AUX-NIV2'!B591,'AUX-NIV1'!Q:Q),"")</f>
        <v>0</v>
      </c>
      <c r="F591" s="327">
        <f t="shared" si="265"/>
        <v>40.639843255290813</v>
      </c>
      <c r="G591" s="327">
        <f t="shared" si="266"/>
        <v>0</v>
      </c>
      <c r="H591" s="328" t="str">
        <f t="shared" si="260"/>
        <v>X</v>
      </c>
      <c r="I591" s="325" t="s">
        <v>2746</v>
      </c>
      <c r="J591" s="329" t="str">
        <f>IF(B591&lt;&gt;"",+VLOOKUP(I591,Recursos!C:F,2,FALSE),"")</f>
        <v>Obtención de Agua para Riego</v>
      </c>
      <c r="K591" s="330" t="str">
        <f>IF(B591&lt;&gt;"",+VLOOKUP(I591,Recursos!C:F,3,FALSE),"")</f>
        <v>m3</v>
      </c>
      <c r="L591" s="446">
        <f>IF(B591&lt;&gt;"",+VLOOKUP(I591,Recursos!C:F,4,FALSE),"")</f>
        <v>148.35029836815718</v>
      </c>
      <c r="M591" s="452">
        <v>0.15</v>
      </c>
      <c r="N591" s="453">
        <v>1.8</v>
      </c>
      <c r="O591" s="449">
        <f>+M591*N591*M592</f>
        <v>2.7000000000000003E-2</v>
      </c>
      <c r="P591" s="333">
        <f t="shared" si="262"/>
        <v>4.0054580559402444</v>
      </c>
      <c r="Q591" s="327">
        <f t="shared" si="263"/>
        <v>0</v>
      </c>
      <c r="R591" s="334">
        <f t="shared" si="264"/>
        <v>0</v>
      </c>
      <c r="S591" s="335">
        <f t="shared" si="267"/>
        <v>0</v>
      </c>
      <c r="T591" s="335">
        <f t="shared" si="268"/>
        <v>0</v>
      </c>
      <c r="U591" s="336">
        <f t="shared" si="269"/>
        <v>0</v>
      </c>
      <c r="V591" s="336">
        <f t="shared" si="270"/>
        <v>0</v>
      </c>
      <c r="W591" s="336">
        <f t="shared" si="271"/>
        <v>0</v>
      </c>
      <c r="X591" s="336">
        <f t="shared" si="272"/>
        <v>40.639843255290813</v>
      </c>
      <c r="Y591" s="320"/>
      <c r="Z591" s="321" t="str">
        <f t="shared" si="276"/>
        <v>X-PREA</v>
      </c>
      <c r="AA591" s="321" t="str">
        <f t="shared" si="277"/>
        <v>X-PREE</v>
      </c>
      <c r="AB591" s="321" t="str">
        <f t="shared" si="278"/>
        <v>X-PREM</v>
      </c>
      <c r="AC591" s="321" t="str">
        <f t="shared" si="279"/>
        <v>X-PRET</v>
      </c>
      <c r="AD591" s="321" t="str">
        <f t="shared" si="280"/>
        <v>X-PRES</v>
      </c>
      <c r="AE591" s="321" t="str">
        <f t="shared" si="281"/>
        <v>X-PREX</v>
      </c>
      <c r="AF591" s="321" t="str">
        <f t="shared" si="282"/>
        <v>X-PREX</v>
      </c>
      <c r="AG591" s="321">
        <f t="shared" si="273"/>
        <v>6</v>
      </c>
      <c r="AH591" s="321">
        <f>IF(B591&lt;&gt;"",IF(H591="x",VLOOKUP(I591,'AUX-NIV3'!B:AG,32,FALSE),0),"")</f>
        <v>5</v>
      </c>
      <c r="AI591" s="321" t="str">
        <f t="shared" si="283"/>
        <v>X-PRE</v>
      </c>
      <c r="AJ591" s="320"/>
      <c r="AK591" s="322">
        <f t="shared" si="274"/>
        <v>590</v>
      </c>
      <c r="AL591" s="323">
        <f t="shared" si="284"/>
        <v>595</v>
      </c>
      <c r="AM591" s="322">
        <f t="shared" si="285"/>
        <v>2</v>
      </c>
      <c r="AN591" s="380">
        <f>IF(AND(AH591&gt;0,B591&lt;&gt;""),VLOOKUP(I591,'AUX-NIV3'!$B:$AO,39,FALSE)*O591,0)</f>
        <v>9.0000000000000008E-4</v>
      </c>
      <c r="AO591" s="380">
        <f t="shared" si="275"/>
        <v>2.2141964285714286E-2</v>
      </c>
      <c r="AP591" s="380"/>
    </row>
    <row r="592" spans="2:42" ht="14.4" hidden="1" thickTop="1" thickBot="1">
      <c r="B592" s="324" t="s">
        <v>2755</v>
      </c>
      <c r="C592" s="325" t="s">
        <v>1375</v>
      </c>
      <c r="D592" s="326" t="s">
        <v>501</v>
      </c>
      <c r="E592" s="327">
        <f>IF(B592&lt;&gt;"",SUMIF('AUX-NIV1'!I:I,'AUX-NIV2'!B592,'AUX-NIV1'!Q:Q),"")</f>
        <v>0</v>
      </c>
      <c r="F592" s="327">
        <f t="shared" si="265"/>
        <v>40.639843255290813</v>
      </c>
      <c r="G592" s="327">
        <f t="shared" si="266"/>
        <v>0</v>
      </c>
      <c r="H592" s="328" t="str">
        <f t="shared" si="260"/>
        <v>X</v>
      </c>
      <c r="I592" s="325" t="s">
        <v>2748</v>
      </c>
      <c r="J592" s="329" t="str">
        <f>IF(B592&lt;&gt;"",+VLOOKUP(I592,Recursos!C:F,2,FALSE),"")</f>
        <v>Transporte de Agua para riego</v>
      </c>
      <c r="K592" s="330" t="str">
        <f>IF(B592&lt;&gt;"",+VLOOKUP(I592,Recursos!C:F,3,FALSE),"")</f>
        <v>m3</v>
      </c>
      <c r="L592" s="446">
        <f>IF(B592&lt;&gt;"",+VLOOKUP(I592,Recursos!C:F,4,FALSE),"")</f>
        <v>368.5637895861521</v>
      </c>
      <c r="M592" s="452">
        <v>0.1</v>
      </c>
      <c r="N592" s="455"/>
      <c r="O592" s="449">
        <f>+M591*N591*M592</f>
        <v>2.7000000000000003E-2</v>
      </c>
      <c r="P592" s="333">
        <f t="shared" si="262"/>
        <v>9.9512223188261082</v>
      </c>
      <c r="Q592" s="327">
        <f t="shared" si="263"/>
        <v>0</v>
      </c>
      <c r="R592" s="334">
        <f t="shared" si="264"/>
        <v>0</v>
      </c>
      <c r="S592" s="335">
        <f t="shared" si="267"/>
        <v>0</v>
      </c>
      <c r="T592" s="335">
        <f t="shared" si="268"/>
        <v>0</v>
      </c>
      <c r="U592" s="336">
        <f t="shared" si="269"/>
        <v>0</v>
      </c>
      <c r="V592" s="336">
        <f t="shared" si="270"/>
        <v>0</v>
      </c>
      <c r="W592" s="336">
        <f t="shared" si="271"/>
        <v>0</v>
      </c>
      <c r="X592" s="336">
        <f t="shared" si="272"/>
        <v>40.639843255290813</v>
      </c>
      <c r="Y592" s="320"/>
      <c r="Z592" s="321" t="str">
        <f t="shared" si="276"/>
        <v>X-PREA</v>
      </c>
      <c r="AA592" s="321" t="str">
        <f t="shared" si="277"/>
        <v>X-PREE</v>
      </c>
      <c r="AB592" s="321" t="str">
        <f t="shared" si="278"/>
        <v>X-PREM</v>
      </c>
      <c r="AC592" s="321" t="str">
        <f t="shared" si="279"/>
        <v>X-PRET</v>
      </c>
      <c r="AD592" s="321" t="str">
        <f t="shared" si="280"/>
        <v>X-PRES</v>
      </c>
      <c r="AE592" s="321" t="str">
        <f t="shared" si="281"/>
        <v>X-PREX</v>
      </c>
      <c r="AF592" s="321" t="str">
        <f t="shared" si="282"/>
        <v>X-PREX</v>
      </c>
      <c r="AG592" s="321">
        <f t="shared" si="273"/>
        <v>6</v>
      </c>
      <c r="AH592" s="321">
        <f>IF(B592&lt;&gt;"",IF(H592="x",VLOOKUP(I592,'AUX-NIV3'!B:AG,32,FALSE),0),"")</f>
        <v>2</v>
      </c>
      <c r="AI592" s="321" t="str">
        <f t="shared" si="283"/>
        <v>X-PRE</v>
      </c>
      <c r="AJ592" s="320"/>
      <c r="AK592" s="322">
        <f t="shared" si="274"/>
        <v>590</v>
      </c>
      <c r="AL592" s="323">
        <f t="shared" si="284"/>
        <v>595</v>
      </c>
      <c r="AM592" s="322">
        <f t="shared" si="285"/>
        <v>3</v>
      </c>
      <c r="AN592" s="380">
        <f>IF(AND(AH592&gt;0,B592&lt;&gt;""),VLOOKUP(I592,'AUX-NIV3'!$B:$AO,39,FALSE)*O592,0)</f>
        <v>4.2857142857142859E-3</v>
      </c>
      <c r="AO592" s="380">
        <f t="shared" si="275"/>
        <v>2.2141964285714286E-2</v>
      </c>
      <c r="AP592" s="380"/>
    </row>
    <row r="593" spans="2:42" ht="14.4" hidden="1" thickTop="1" thickBot="1">
      <c r="B593" s="324" t="s">
        <v>2755</v>
      </c>
      <c r="C593" s="325" t="s">
        <v>1375</v>
      </c>
      <c r="D593" s="326" t="s">
        <v>501</v>
      </c>
      <c r="E593" s="327">
        <f>IF(B593&lt;&gt;"",SUMIF('AUX-NIV1'!I:I,'AUX-NIV2'!B593,'AUX-NIV1'!Q:Q),"")</f>
        <v>0</v>
      </c>
      <c r="F593" s="327">
        <f t="shared" si="265"/>
        <v>40.639843255290813</v>
      </c>
      <c r="G593" s="327">
        <f t="shared" si="266"/>
        <v>0</v>
      </c>
      <c r="H593" s="328" t="str">
        <f t="shared" si="260"/>
        <v>X</v>
      </c>
      <c r="I593" s="325" t="s">
        <v>2750</v>
      </c>
      <c r="J593" s="329" t="str">
        <f>IF(B593&lt;&gt;"",+VLOOKUP(I593,Recursos!C:F,2,FALSE),"")</f>
        <v>Riego para terraplen</v>
      </c>
      <c r="K593" s="330" t="str">
        <f>IF(B593&lt;&gt;"",+VLOOKUP(I593,Recursos!C:F,3,FALSE),"")</f>
        <v>m3</v>
      </c>
      <c r="L593" s="446">
        <f>IF(B593&lt;&gt;"",+VLOOKUP(I593,Recursos!C:F,4,FALSE),"")</f>
        <v>214.40877360073679</v>
      </c>
      <c r="M593" s="454"/>
      <c r="N593" s="455"/>
      <c r="O593" s="449">
        <f>+M591*N591*M592</f>
        <v>2.7000000000000003E-2</v>
      </c>
      <c r="P593" s="333">
        <f t="shared" si="262"/>
        <v>5.7890368872198943</v>
      </c>
      <c r="Q593" s="327">
        <f t="shared" si="263"/>
        <v>0</v>
      </c>
      <c r="R593" s="334">
        <f t="shared" si="264"/>
        <v>0</v>
      </c>
      <c r="S593" s="335">
        <f t="shared" si="267"/>
        <v>0</v>
      </c>
      <c r="T593" s="335">
        <f t="shared" si="268"/>
        <v>0</v>
      </c>
      <c r="U593" s="336">
        <f t="shared" si="269"/>
        <v>0</v>
      </c>
      <c r="V593" s="336">
        <f t="shared" si="270"/>
        <v>0</v>
      </c>
      <c r="W593" s="336">
        <f t="shared" si="271"/>
        <v>0</v>
      </c>
      <c r="X593" s="336">
        <f t="shared" si="272"/>
        <v>40.639843255290813</v>
      </c>
      <c r="Y593" s="320"/>
      <c r="Z593" s="321" t="str">
        <f t="shared" si="276"/>
        <v>X-PREA</v>
      </c>
      <c r="AA593" s="321" t="str">
        <f t="shared" si="277"/>
        <v>X-PREE</v>
      </c>
      <c r="AB593" s="321" t="str">
        <f t="shared" si="278"/>
        <v>X-PREM</v>
      </c>
      <c r="AC593" s="321" t="str">
        <f t="shared" si="279"/>
        <v>X-PRET</v>
      </c>
      <c r="AD593" s="321" t="str">
        <f t="shared" si="280"/>
        <v>X-PRES</v>
      </c>
      <c r="AE593" s="321" t="str">
        <f t="shared" si="281"/>
        <v>X-PREX</v>
      </c>
      <c r="AF593" s="321" t="str">
        <f t="shared" si="282"/>
        <v>X-PREX</v>
      </c>
      <c r="AG593" s="321">
        <f t="shared" si="273"/>
        <v>6</v>
      </c>
      <c r="AH593" s="321">
        <f>IF(B593&lt;&gt;"",IF(H593="x",VLOOKUP(I593,'AUX-NIV3'!B:AG,32,FALSE),0),"")</f>
        <v>3</v>
      </c>
      <c r="AI593" s="321" t="str">
        <f t="shared" si="283"/>
        <v>X-PRE</v>
      </c>
      <c r="AJ593" s="320"/>
      <c r="AK593" s="322">
        <f t="shared" si="274"/>
        <v>590</v>
      </c>
      <c r="AL593" s="323">
        <f t="shared" si="284"/>
        <v>595</v>
      </c>
      <c r="AM593" s="322">
        <f t="shared" si="285"/>
        <v>4</v>
      </c>
      <c r="AN593" s="380">
        <f>IF(AND(AH593&gt;0,B593&lt;&gt;""),VLOOKUP(I593,'AUX-NIV3'!$B:$AO,39,FALSE)*O593,0)</f>
        <v>4.2187500000000003E-3</v>
      </c>
      <c r="AO593" s="380">
        <f t="shared" si="275"/>
        <v>2.2141964285714286E-2</v>
      </c>
      <c r="AP593" s="380"/>
    </row>
    <row r="594" spans="2:42" ht="14.4" hidden="1" thickTop="1" thickBot="1">
      <c r="B594" s="324" t="s">
        <v>2755</v>
      </c>
      <c r="C594" s="325" t="s">
        <v>1375</v>
      </c>
      <c r="D594" s="326" t="s">
        <v>501</v>
      </c>
      <c r="E594" s="327">
        <f>IF(B594&lt;&gt;"",SUMIF('AUX-NIV1'!I:I,'AUX-NIV2'!B594,'AUX-NIV1'!Q:Q),"")</f>
        <v>0</v>
      </c>
      <c r="F594" s="327">
        <f t="shared" si="265"/>
        <v>40.639843255290813</v>
      </c>
      <c r="G594" s="327">
        <f t="shared" si="266"/>
        <v>0</v>
      </c>
      <c r="H594" s="328" t="str">
        <f t="shared" si="260"/>
        <v>X</v>
      </c>
      <c r="I594" s="325" t="s">
        <v>2752</v>
      </c>
      <c r="J594" s="329" t="str">
        <f>IF(B594&lt;&gt;"",+VLOOKUP(I594,Recursos!C:F,2,FALSE),"")</f>
        <v>Homogeinización del Material</v>
      </c>
      <c r="K594" s="330" t="str">
        <f>IF(B594&lt;&gt;"",+VLOOKUP(I594,Recursos!C:F,3,FALSE),"")</f>
        <v>m2</v>
      </c>
      <c r="L594" s="446">
        <f>IF(B594&lt;&gt;"",+VLOOKUP(I594,Recursos!C:F,4,FALSE),"")</f>
        <v>5.3664037605812966</v>
      </c>
      <c r="M594" s="452">
        <v>1</v>
      </c>
      <c r="N594" s="455"/>
      <c r="O594" s="449">
        <f>+M594</f>
        <v>1</v>
      </c>
      <c r="P594" s="333">
        <f t="shared" si="262"/>
        <v>5.3664037605812966</v>
      </c>
      <c r="Q594" s="327">
        <f t="shared" si="263"/>
        <v>0</v>
      </c>
      <c r="R594" s="334">
        <f t="shared" si="264"/>
        <v>0</v>
      </c>
      <c r="S594" s="335">
        <f t="shared" si="267"/>
        <v>0</v>
      </c>
      <c r="T594" s="335">
        <f t="shared" si="268"/>
        <v>0</v>
      </c>
      <c r="U594" s="336">
        <f t="shared" si="269"/>
        <v>0</v>
      </c>
      <c r="V594" s="336">
        <f t="shared" si="270"/>
        <v>0</v>
      </c>
      <c r="W594" s="336">
        <f t="shared" si="271"/>
        <v>0</v>
      </c>
      <c r="X594" s="336">
        <f t="shared" si="272"/>
        <v>40.639843255290813</v>
      </c>
      <c r="Y594" s="320"/>
      <c r="Z594" s="321" t="str">
        <f t="shared" si="276"/>
        <v>X-PREA</v>
      </c>
      <c r="AA594" s="321" t="str">
        <f t="shared" si="277"/>
        <v>X-PREE</v>
      </c>
      <c r="AB594" s="321" t="str">
        <f t="shared" si="278"/>
        <v>X-PREM</v>
      </c>
      <c r="AC594" s="321" t="str">
        <f t="shared" si="279"/>
        <v>X-PRET</v>
      </c>
      <c r="AD594" s="321" t="str">
        <f t="shared" si="280"/>
        <v>X-PRES</v>
      </c>
      <c r="AE594" s="321" t="str">
        <f t="shared" si="281"/>
        <v>X-PREX</v>
      </c>
      <c r="AF594" s="321" t="str">
        <f t="shared" si="282"/>
        <v>X-PREX</v>
      </c>
      <c r="AG594" s="321">
        <f t="shared" si="273"/>
        <v>6</v>
      </c>
      <c r="AH594" s="321">
        <f>IF(B594&lt;&gt;"",IF(H594="x",VLOOKUP(I594,'AUX-NIV3'!B:AG,32,FALSE),0),"")</f>
        <v>3</v>
      </c>
      <c r="AI594" s="321" t="str">
        <f t="shared" si="283"/>
        <v>X-PRE</v>
      </c>
      <c r="AJ594" s="320"/>
      <c r="AK594" s="322">
        <f t="shared" si="274"/>
        <v>590</v>
      </c>
      <c r="AL594" s="323">
        <f t="shared" si="284"/>
        <v>595</v>
      </c>
      <c r="AM594" s="322">
        <f t="shared" si="285"/>
        <v>5</v>
      </c>
      <c r="AN594" s="380">
        <f>IF(AND(AH594&gt;0,B594&lt;&gt;""),VLOOKUP(I594,'AUX-NIV3'!$B:$AO,39,FALSE)*O594,0)</f>
        <v>2.5000000000000001E-3</v>
      </c>
      <c r="AO594" s="380">
        <f t="shared" si="275"/>
        <v>2.2141964285714286E-2</v>
      </c>
      <c r="AP594" s="380"/>
    </row>
    <row r="595" spans="2:42" ht="14.4" hidden="1" thickTop="1" thickBot="1">
      <c r="B595" s="324" t="s">
        <v>2755</v>
      </c>
      <c r="C595" s="325" t="s">
        <v>1375</v>
      </c>
      <c r="D595" s="326" t="s">
        <v>501</v>
      </c>
      <c r="E595" s="327">
        <f>IF(B595&lt;&gt;"",SUMIF('AUX-NIV1'!I:I,'AUX-NIV2'!B595,'AUX-NIV1'!Q:Q),"")</f>
        <v>0</v>
      </c>
      <c r="F595" s="327">
        <f t="shared" si="265"/>
        <v>40.639843255290813</v>
      </c>
      <c r="G595" s="327">
        <f t="shared" si="266"/>
        <v>0</v>
      </c>
      <c r="H595" s="328" t="str">
        <f t="shared" si="260"/>
        <v>X</v>
      </c>
      <c r="I595" s="325" t="s">
        <v>2754</v>
      </c>
      <c r="J595" s="329" t="str">
        <f>IF(B595&lt;&gt;"",+VLOOKUP(I595,Recursos!C:F,2,FALSE),"")</f>
        <v>Compactación de base de asiento</v>
      </c>
      <c r="K595" s="330" t="str">
        <f>IF(B595&lt;&gt;"",+VLOOKUP(I595,Recursos!C:F,3,FALSE),"")</f>
        <v>m2</v>
      </c>
      <c r="L595" s="446">
        <f>IF(B595&lt;&gt;"",+VLOOKUP(I595,Recursos!C:F,4,FALSE),"")</f>
        <v>10.111141390518723</v>
      </c>
      <c r="M595" s="450">
        <v>1</v>
      </c>
      <c r="N595" s="507"/>
      <c r="O595" s="449">
        <f>+M595</f>
        <v>1</v>
      </c>
      <c r="P595" s="333">
        <f t="shared" si="262"/>
        <v>10.111141390518723</v>
      </c>
      <c r="Q595" s="327">
        <f t="shared" si="263"/>
        <v>0</v>
      </c>
      <c r="R595" s="334">
        <f t="shared" si="264"/>
        <v>0</v>
      </c>
      <c r="S595" s="335">
        <f t="shared" si="267"/>
        <v>0</v>
      </c>
      <c r="T595" s="335">
        <f t="shared" si="268"/>
        <v>0</v>
      </c>
      <c r="U595" s="336">
        <f t="shared" si="269"/>
        <v>0</v>
      </c>
      <c r="V595" s="336">
        <f t="shared" si="270"/>
        <v>0</v>
      </c>
      <c r="W595" s="336">
        <f t="shared" si="271"/>
        <v>0</v>
      </c>
      <c r="X595" s="336">
        <f t="shared" si="272"/>
        <v>40.639843255290813</v>
      </c>
      <c r="Y595" s="320"/>
      <c r="Z595" s="321" t="str">
        <f t="shared" si="276"/>
        <v>X-PREA</v>
      </c>
      <c r="AA595" s="321" t="str">
        <f t="shared" si="277"/>
        <v>X-PREE</v>
      </c>
      <c r="AB595" s="321" t="str">
        <f t="shared" si="278"/>
        <v>X-PREM</v>
      </c>
      <c r="AC595" s="321" t="str">
        <f t="shared" si="279"/>
        <v>X-PRET</v>
      </c>
      <c r="AD595" s="321" t="str">
        <f t="shared" si="280"/>
        <v>X-PRES</v>
      </c>
      <c r="AE595" s="321" t="str">
        <f t="shared" si="281"/>
        <v>X-PREX</v>
      </c>
      <c r="AF595" s="321" t="str">
        <f t="shared" si="282"/>
        <v>X-PREX</v>
      </c>
      <c r="AG595" s="321">
        <f t="shared" si="273"/>
        <v>6</v>
      </c>
      <c r="AH595" s="321">
        <f>IF(B595&lt;&gt;"",IF(H595="x",VLOOKUP(I595,'AUX-NIV3'!B:AG,32,FALSE),0),"")</f>
        <v>6</v>
      </c>
      <c r="AI595" s="321" t="str">
        <f t="shared" si="283"/>
        <v>X-PRE</v>
      </c>
      <c r="AJ595" s="320"/>
      <c r="AK595" s="322">
        <f t="shared" si="274"/>
        <v>590</v>
      </c>
      <c r="AL595" s="323">
        <f t="shared" si="284"/>
        <v>595</v>
      </c>
      <c r="AM595" s="322">
        <f t="shared" si="285"/>
        <v>6</v>
      </c>
      <c r="AN595" s="380">
        <f>IF(AND(AH595&gt;0,B595&lt;&gt;""),VLOOKUP(I595,'AUX-NIV3'!$B:$AO,39,FALSE)*O595,0)</f>
        <v>7.6375000000000002E-3</v>
      </c>
      <c r="AO595" s="380">
        <f t="shared" si="275"/>
        <v>2.2141964285714286E-2</v>
      </c>
      <c r="AP595" s="380"/>
    </row>
    <row r="596" spans="2:42" ht="14.4" hidden="1" thickTop="1" thickBot="1">
      <c r="B596" s="324" t="s">
        <v>2779</v>
      </c>
      <c r="C596" s="325" t="s">
        <v>2780</v>
      </c>
      <c r="D596" s="326" t="s">
        <v>1160</v>
      </c>
      <c r="E596" s="327">
        <f>IF(B596&lt;&gt;"",SUMIF('AUX-NIV1'!I:I,'AUX-NIV2'!B596,'AUX-NIV1'!Q:Q),"")</f>
        <v>0</v>
      </c>
      <c r="F596" s="327">
        <f t="shared" si="265"/>
        <v>835.00912158392737</v>
      </c>
      <c r="G596" s="327">
        <f t="shared" si="266"/>
        <v>0</v>
      </c>
      <c r="H596" s="328" t="str">
        <f t="shared" ref="H596:H659" si="286">IF(B596&lt;&gt;"",+LEFT(I596,1),"")</f>
        <v>X</v>
      </c>
      <c r="I596" s="324" t="s">
        <v>2756</v>
      </c>
      <c r="J596" s="329" t="str">
        <f>IF(B596&lt;&gt;"",+VLOOKUP(I596,Recursos!C:F,2,FALSE),"")</f>
        <v>Explotación préstamo con Retro</v>
      </c>
      <c r="K596" s="330" t="str">
        <f>IF(B596&lt;&gt;"",+VLOOKUP(I596,Recursos!C:F,3,FALSE),"")</f>
        <v>m3</v>
      </c>
      <c r="L596" s="446">
        <f>IF(B596&lt;&gt;"",+VLOOKUP(I596,Recursos!C:F,4,FALSE),"")</f>
        <v>62.271140341608451</v>
      </c>
      <c r="M596" s="447">
        <v>0</v>
      </c>
      <c r="N596" s="448">
        <v>1.1499999999999999</v>
      </c>
      <c r="O596" s="449">
        <f>+N596*M596</f>
        <v>0</v>
      </c>
      <c r="P596" s="333">
        <f t="shared" si="262"/>
        <v>0</v>
      </c>
      <c r="Q596" s="327">
        <f t="shared" si="263"/>
        <v>0</v>
      </c>
      <c r="R596" s="334">
        <f t="shared" si="264"/>
        <v>0</v>
      </c>
      <c r="S596" s="335">
        <f t="shared" si="267"/>
        <v>0</v>
      </c>
      <c r="T596" s="335">
        <f t="shared" si="268"/>
        <v>0</v>
      </c>
      <c r="U596" s="336">
        <f t="shared" si="269"/>
        <v>0</v>
      </c>
      <c r="V596" s="336">
        <f t="shared" si="270"/>
        <v>0</v>
      </c>
      <c r="W596" s="336">
        <f t="shared" si="271"/>
        <v>0</v>
      </c>
      <c r="X596" s="336">
        <f t="shared" si="272"/>
        <v>835.00912158392737</v>
      </c>
      <c r="Y596" s="320"/>
      <c r="Z596" s="321" t="str">
        <f t="shared" si="276"/>
        <v>X-RELA</v>
      </c>
      <c r="AA596" s="321" t="str">
        <f t="shared" si="277"/>
        <v>X-RELE</v>
      </c>
      <c r="AB596" s="321" t="str">
        <f t="shared" si="278"/>
        <v>X-RELM</v>
      </c>
      <c r="AC596" s="321" t="str">
        <f t="shared" si="279"/>
        <v>X-RELT</v>
      </c>
      <c r="AD596" s="321" t="str">
        <f t="shared" si="280"/>
        <v>X-RELS</v>
      </c>
      <c r="AE596" s="321" t="str">
        <f t="shared" si="281"/>
        <v>X-RELX</v>
      </c>
      <c r="AF596" s="321" t="str">
        <f t="shared" si="282"/>
        <v>X-RELX</v>
      </c>
      <c r="AG596" s="321">
        <f t="shared" si="273"/>
        <v>6</v>
      </c>
      <c r="AH596" s="321">
        <f>IF(B596&lt;&gt;"",IF(H596="x",VLOOKUP(I596,'AUX-NIV3'!B:AG,32,FALSE),0),"")</f>
        <v>4</v>
      </c>
      <c r="AI596" s="321" t="str">
        <f t="shared" si="283"/>
        <v>X-REL</v>
      </c>
      <c r="AJ596" s="320"/>
      <c r="AK596" s="322">
        <f t="shared" si="274"/>
        <v>596</v>
      </c>
      <c r="AL596" s="323">
        <f t="shared" si="284"/>
        <v>601</v>
      </c>
      <c r="AM596" s="322">
        <f t="shared" si="285"/>
        <v>1</v>
      </c>
      <c r="AN596" s="380">
        <f>IF(AND(AH596&gt;0,B596&lt;&gt;""),VLOOKUP(I596,'AUX-NIV3'!$B:$AO,39,FALSE)*O596,0)</f>
        <v>0</v>
      </c>
      <c r="AO596" s="380">
        <f t="shared" si="275"/>
        <v>1.3629563492063492</v>
      </c>
      <c r="AP596" s="380"/>
    </row>
    <row r="597" spans="2:42" ht="14.4" hidden="1" thickTop="1" thickBot="1">
      <c r="B597" s="324" t="s">
        <v>2779</v>
      </c>
      <c r="C597" s="325" t="s">
        <v>2780</v>
      </c>
      <c r="D597" s="326" t="s">
        <v>1160</v>
      </c>
      <c r="E597" s="327">
        <f>IF(B597&lt;&gt;"",SUMIF('AUX-NIV1'!I:I,'AUX-NIV2'!B597,'AUX-NIV1'!Q:Q),"")</f>
        <v>0</v>
      </c>
      <c r="F597" s="327">
        <f t="shared" si="265"/>
        <v>835.00912158392737</v>
      </c>
      <c r="G597" s="327">
        <f t="shared" si="266"/>
        <v>0</v>
      </c>
      <c r="H597" s="328" t="str">
        <f t="shared" si="286"/>
        <v>X</v>
      </c>
      <c r="I597" s="324" t="s">
        <v>2758</v>
      </c>
      <c r="J597" s="329" t="str">
        <f>IF(B597&lt;&gt;"",+VLOOKUP(I597,Recursos!C:F,2,FALSE),"")</f>
        <v>Transporte de Suelo DMT 5 km</v>
      </c>
      <c r="K597" s="330" t="str">
        <f>IF(B597&lt;&gt;"",+VLOOKUP(I597,Recursos!C:F,3,FALSE),"")</f>
        <v>m3s.km</v>
      </c>
      <c r="L597" s="446">
        <f>IF(B597&lt;&gt;"",+VLOOKUP(I597,Recursos!C:F,4,FALSE),"")</f>
        <v>25.080438599876832</v>
      </c>
      <c r="M597" s="452">
        <v>10</v>
      </c>
      <c r="N597" s="453">
        <v>1.45</v>
      </c>
      <c r="O597" s="449">
        <f>+N597*M597*M596</f>
        <v>0</v>
      </c>
      <c r="P597" s="333">
        <f t="shared" si="262"/>
        <v>0</v>
      </c>
      <c r="Q597" s="327">
        <f t="shared" si="263"/>
        <v>0</v>
      </c>
      <c r="R597" s="334">
        <f t="shared" si="264"/>
        <v>0</v>
      </c>
      <c r="S597" s="335">
        <f t="shared" si="267"/>
        <v>0</v>
      </c>
      <c r="T597" s="335">
        <f t="shared" si="268"/>
        <v>0</v>
      </c>
      <c r="U597" s="336">
        <f t="shared" si="269"/>
        <v>0</v>
      </c>
      <c r="V597" s="336">
        <f t="shared" si="270"/>
        <v>0</v>
      </c>
      <c r="W597" s="336">
        <f t="shared" si="271"/>
        <v>0</v>
      </c>
      <c r="X597" s="336">
        <f t="shared" si="272"/>
        <v>835.00912158392737</v>
      </c>
      <c r="Y597" s="320"/>
      <c r="Z597" s="321" t="str">
        <f t="shared" si="276"/>
        <v>X-RELA</v>
      </c>
      <c r="AA597" s="321" t="str">
        <f t="shared" si="277"/>
        <v>X-RELE</v>
      </c>
      <c r="AB597" s="321" t="str">
        <f t="shared" si="278"/>
        <v>X-RELM</v>
      </c>
      <c r="AC597" s="321" t="str">
        <f t="shared" si="279"/>
        <v>X-RELT</v>
      </c>
      <c r="AD597" s="321" t="str">
        <f t="shared" si="280"/>
        <v>X-RELS</v>
      </c>
      <c r="AE597" s="321" t="str">
        <f t="shared" si="281"/>
        <v>X-RELX</v>
      </c>
      <c r="AF597" s="321" t="str">
        <f t="shared" si="282"/>
        <v>X-RELX</v>
      </c>
      <c r="AG597" s="321">
        <f t="shared" si="273"/>
        <v>6</v>
      </c>
      <c r="AH597" s="321">
        <f>IF(B597&lt;&gt;"",IF(H597="x",VLOOKUP(I597,'AUX-NIV3'!B:AG,32,FALSE),0),"")</f>
        <v>2</v>
      </c>
      <c r="AI597" s="321" t="str">
        <f t="shared" si="283"/>
        <v>X-REL</v>
      </c>
      <c r="AJ597" s="320"/>
      <c r="AK597" s="322">
        <f t="shared" si="274"/>
        <v>596</v>
      </c>
      <c r="AL597" s="323">
        <f t="shared" si="284"/>
        <v>601</v>
      </c>
      <c r="AM597" s="322">
        <f t="shared" si="285"/>
        <v>2</v>
      </c>
      <c r="AN597" s="380">
        <f>IF(AND(AH597&gt;0,B597&lt;&gt;""),VLOOKUP(I597,'AUX-NIV3'!$B:$AO,39,FALSE)*O597,0)</f>
        <v>0</v>
      </c>
      <c r="AO597" s="380">
        <f t="shared" si="275"/>
        <v>1.3629563492063492</v>
      </c>
      <c r="AP597" s="380"/>
    </row>
    <row r="598" spans="2:42" ht="14.4" hidden="1" thickTop="1" thickBot="1">
      <c r="B598" s="324" t="s">
        <v>2779</v>
      </c>
      <c r="C598" s="325" t="s">
        <v>2780</v>
      </c>
      <c r="D598" s="326" t="s">
        <v>1160</v>
      </c>
      <c r="E598" s="327">
        <f>IF(B598&lt;&gt;"",SUMIF('AUX-NIV1'!I:I,'AUX-NIV2'!B598,'AUX-NIV1'!Q:Q),"")</f>
        <v>0</v>
      </c>
      <c r="F598" s="327">
        <f t="shared" si="265"/>
        <v>835.00912158392737</v>
      </c>
      <c r="G598" s="327">
        <f t="shared" si="266"/>
        <v>0</v>
      </c>
      <c r="H598" s="328" t="str">
        <f t="shared" si="286"/>
        <v>X</v>
      </c>
      <c r="I598" s="325" t="s">
        <v>2746</v>
      </c>
      <c r="J598" s="329" t="str">
        <f>IF(B598&lt;&gt;"",+VLOOKUP(I598,Recursos!C:F,2,FALSE),"")</f>
        <v>Obtención de Agua para Riego</v>
      </c>
      <c r="K598" s="330" t="str">
        <f>IF(B598&lt;&gt;"",+VLOOKUP(I598,Recursos!C:F,3,FALSE),"")</f>
        <v>m3</v>
      </c>
      <c r="L598" s="446">
        <f>IF(B598&lt;&gt;"",+VLOOKUP(I598,Recursos!C:F,4,FALSE),"")</f>
        <v>148.35029836815718</v>
      </c>
      <c r="M598" s="452">
        <v>0.1</v>
      </c>
      <c r="N598" s="453">
        <v>1</v>
      </c>
      <c r="O598" s="449">
        <f>+M598*N598</f>
        <v>0.1</v>
      </c>
      <c r="P598" s="333">
        <f t="shared" si="262"/>
        <v>14.835029836815719</v>
      </c>
      <c r="Q598" s="327">
        <f t="shared" si="263"/>
        <v>0</v>
      </c>
      <c r="R598" s="334">
        <f t="shared" si="264"/>
        <v>0</v>
      </c>
      <c r="S598" s="335">
        <f t="shared" si="267"/>
        <v>0</v>
      </c>
      <c r="T598" s="335">
        <f t="shared" si="268"/>
        <v>0</v>
      </c>
      <c r="U598" s="336">
        <f t="shared" si="269"/>
        <v>0</v>
      </c>
      <c r="V598" s="336">
        <f t="shared" si="270"/>
        <v>0</v>
      </c>
      <c r="W598" s="336">
        <f t="shared" si="271"/>
        <v>0</v>
      </c>
      <c r="X598" s="336">
        <f t="shared" si="272"/>
        <v>835.00912158392737</v>
      </c>
      <c r="Y598" s="320"/>
      <c r="Z598" s="321" t="str">
        <f t="shared" si="276"/>
        <v>X-RELA</v>
      </c>
      <c r="AA598" s="321" t="str">
        <f t="shared" si="277"/>
        <v>X-RELE</v>
      </c>
      <c r="AB598" s="321" t="str">
        <f t="shared" si="278"/>
        <v>X-RELM</v>
      </c>
      <c r="AC598" s="321" t="str">
        <f t="shared" si="279"/>
        <v>X-RELT</v>
      </c>
      <c r="AD598" s="321" t="str">
        <f t="shared" si="280"/>
        <v>X-RELS</v>
      </c>
      <c r="AE598" s="321" t="str">
        <f t="shared" si="281"/>
        <v>X-RELX</v>
      </c>
      <c r="AF598" s="321" t="str">
        <f t="shared" si="282"/>
        <v>X-RELX</v>
      </c>
      <c r="AG598" s="321">
        <f t="shared" si="273"/>
        <v>6</v>
      </c>
      <c r="AH598" s="321">
        <f>IF(B598&lt;&gt;"",IF(H598="x",VLOOKUP(I598,'AUX-NIV3'!B:AG,32,FALSE),0),"")</f>
        <v>5</v>
      </c>
      <c r="AI598" s="321" t="str">
        <f t="shared" si="283"/>
        <v>X-REL</v>
      </c>
      <c r="AJ598" s="320"/>
      <c r="AK598" s="322">
        <f t="shared" si="274"/>
        <v>596</v>
      </c>
      <c r="AL598" s="323">
        <f t="shared" si="284"/>
        <v>601</v>
      </c>
      <c r="AM598" s="322">
        <f t="shared" si="285"/>
        <v>3</v>
      </c>
      <c r="AN598" s="380">
        <f>IF(AND(AH598&gt;0,B598&lt;&gt;""),VLOOKUP(I598,'AUX-NIV3'!$B:$AO,39,FALSE)*O598,0)</f>
        <v>3.3333333333333335E-3</v>
      </c>
      <c r="AO598" s="380">
        <f t="shared" si="275"/>
        <v>1.3629563492063492</v>
      </c>
      <c r="AP598" s="380"/>
    </row>
    <row r="599" spans="2:42" ht="14.4" hidden="1" thickTop="1" thickBot="1">
      <c r="B599" s="324" t="s">
        <v>2779</v>
      </c>
      <c r="C599" s="325" t="s">
        <v>2780</v>
      </c>
      <c r="D599" s="326" t="s">
        <v>1160</v>
      </c>
      <c r="E599" s="327">
        <f>IF(B599&lt;&gt;"",SUMIF('AUX-NIV1'!I:I,'AUX-NIV2'!B599,'AUX-NIV1'!Q:Q),"")</f>
        <v>0</v>
      </c>
      <c r="F599" s="327">
        <f t="shared" si="265"/>
        <v>835.00912158392737</v>
      </c>
      <c r="G599" s="327">
        <f t="shared" si="266"/>
        <v>0</v>
      </c>
      <c r="H599" s="328" t="str">
        <f t="shared" si="286"/>
        <v>X</v>
      </c>
      <c r="I599" s="325" t="s">
        <v>2748</v>
      </c>
      <c r="J599" s="329" t="str">
        <f>IF(B599&lt;&gt;"",+VLOOKUP(I599,Recursos!C:F,2,FALSE),"")</f>
        <v>Transporte de Agua para riego</v>
      </c>
      <c r="K599" s="330" t="str">
        <f>IF(B599&lt;&gt;"",+VLOOKUP(I599,Recursos!C:F,3,FALSE),"")</f>
        <v>m3</v>
      </c>
      <c r="L599" s="446">
        <f>IF(B599&lt;&gt;"",+VLOOKUP(I599,Recursos!C:F,4,FALSE),"")</f>
        <v>368.5637895861521</v>
      </c>
      <c r="M599" s="454">
        <f>+M598</f>
        <v>0.1</v>
      </c>
      <c r="N599" s="455">
        <f>+N598</f>
        <v>1</v>
      </c>
      <c r="O599" s="449">
        <f>+M599</f>
        <v>0.1</v>
      </c>
      <c r="P599" s="333">
        <f t="shared" si="262"/>
        <v>36.85637895861521</v>
      </c>
      <c r="Q599" s="327">
        <f t="shared" si="263"/>
        <v>0</v>
      </c>
      <c r="R599" s="334">
        <f t="shared" si="264"/>
        <v>0</v>
      </c>
      <c r="S599" s="335">
        <f t="shared" si="267"/>
        <v>0</v>
      </c>
      <c r="T599" s="335">
        <f t="shared" si="268"/>
        <v>0</v>
      </c>
      <c r="U599" s="336">
        <f t="shared" si="269"/>
        <v>0</v>
      </c>
      <c r="V599" s="336">
        <f t="shared" si="270"/>
        <v>0</v>
      </c>
      <c r="W599" s="336">
        <f t="shared" si="271"/>
        <v>0</v>
      </c>
      <c r="X599" s="336">
        <f t="shared" si="272"/>
        <v>835.00912158392737</v>
      </c>
      <c r="Y599" s="320"/>
      <c r="Z599" s="321" t="str">
        <f t="shared" si="276"/>
        <v>X-RELA</v>
      </c>
      <c r="AA599" s="321" t="str">
        <f t="shared" si="277"/>
        <v>X-RELE</v>
      </c>
      <c r="AB599" s="321" t="str">
        <f t="shared" si="278"/>
        <v>X-RELM</v>
      </c>
      <c r="AC599" s="321" t="str">
        <f t="shared" si="279"/>
        <v>X-RELT</v>
      </c>
      <c r="AD599" s="321" t="str">
        <f t="shared" si="280"/>
        <v>X-RELS</v>
      </c>
      <c r="AE599" s="321" t="str">
        <f t="shared" si="281"/>
        <v>X-RELX</v>
      </c>
      <c r="AF599" s="321" t="str">
        <f t="shared" si="282"/>
        <v>X-RELX</v>
      </c>
      <c r="AG599" s="321">
        <f t="shared" si="273"/>
        <v>6</v>
      </c>
      <c r="AH599" s="321">
        <f>IF(B599&lt;&gt;"",IF(H599="x",VLOOKUP(I599,'AUX-NIV3'!B:AG,32,FALSE),0),"")</f>
        <v>2</v>
      </c>
      <c r="AI599" s="321" t="str">
        <f t="shared" si="283"/>
        <v>X-REL</v>
      </c>
      <c r="AJ599" s="320"/>
      <c r="AK599" s="322">
        <f t="shared" si="274"/>
        <v>596</v>
      </c>
      <c r="AL599" s="323">
        <f t="shared" si="284"/>
        <v>601</v>
      </c>
      <c r="AM599" s="322">
        <f t="shared" si="285"/>
        <v>4</v>
      </c>
      <c r="AN599" s="380">
        <f>IF(AND(AH599&gt;0,B599&lt;&gt;""),VLOOKUP(I599,'AUX-NIV3'!$B:$AO,39,FALSE)*O599,0)</f>
        <v>1.5873015873015872E-2</v>
      </c>
      <c r="AO599" s="380">
        <f t="shared" si="275"/>
        <v>1.3629563492063492</v>
      </c>
      <c r="AP599" s="380"/>
    </row>
    <row r="600" spans="2:42" ht="14.4" hidden="1" thickTop="1" thickBot="1">
      <c r="B600" s="324" t="s">
        <v>2779</v>
      </c>
      <c r="C600" s="325" t="s">
        <v>2780</v>
      </c>
      <c r="D600" s="326" t="s">
        <v>1160</v>
      </c>
      <c r="E600" s="327">
        <f>IF(B600&lt;&gt;"",SUMIF('AUX-NIV1'!I:I,'AUX-NIV2'!B600,'AUX-NIV1'!Q:Q),"")</f>
        <v>0</v>
      </c>
      <c r="F600" s="327">
        <f t="shared" si="265"/>
        <v>835.00912158392737</v>
      </c>
      <c r="G600" s="327">
        <f t="shared" si="266"/>
        <v>0</v>
      </c>
      <c r="H600" s="328" t="str">
        <f t="shared" si="286"/>
        <v>X</v>
      </c>
      <c r="I600" s="325" t="s">
        <v>2750</v>
      </c>
      <c r="J600" s="329" t="str">
        <f>IF(B600&lt;&gt;"",+VLOOKUP(I600,Recursos!C:F,2,FALSE),"")</f>
        <v>Riego para terraplen</v>
      </c>
      <c r="K600" s="330" t="str">
        <f>IF(B600&lt;&gt;"",+VLOOKUP(I600,Recursos!C:F,3,FALSE),"")</f>
        <v>m3</v>
      </c>
      <c r="L600" s="446">
        <f>IF(B600&lt;&gt;"",+VLOOKUP(I600,Recursos!C:F,4,FALSE),"")</f>
        <v>214.40877360073679</v>
      </c>
      <c r="M600" s="454">
        <f>+M599</f>
        <v>0.1</v>
      </c>
      <c r="N600" s="455">
        <f>+N599</f>
        <v>1</v>
      </c>
      <c r="O600" s="449">
        <f>+M600</f>
        <v>0.1</v>
      </c>
      <c r="P600" s="333">
        <f t="shared" si="262"/>
        <v>21.440877360073682</v>
      </c>
      <c r="Q600" s="327">
        <f t="shared" si="263"/>
        <v>0</v>
      </c>
      <c r="R600" s="334">
        <f t="shared" si="264"/>
        <v>0</v>
      </c>
      <c r="S600" s="335">
        <f t="shared" si="267"/>
        <v>0</v>
      </c>
      <c r="T600" s="335">
        <f t="shared" si="268"/>
        <v>0</v>
      </c>
      <c r="U600" s="336">
        <f t="shared" si="269"/>
        <v>0</v>
      </c>
      <c r="V600" s="336">
        <f t="shared" si="270"/>
        <v>0</v>
      </c>
      <c r="W600" s="336">
        <f t="shared" si="271"/>
        <v>0</v>
      </c>
      <c r="X600" s="336">
        <f t="shared" si="272"/>
        <v>835.00912158392737</v>
      </c>
      <c r="Y600" s="320"/>
      <c r="Z600" s="321" t="str">
        <f t="shared" si="276"/>
        <v>X-RELA</v>
      </c>
      <c r="AA600" s="321" t="str">
        <f t="shared" si="277"/>
        <v>X-RELE</v>
      </c>
      <c r="AB600" s="321" t="str">
        <f t="shared" si="278"/>
        <v>X-RELM</v>
      </c>
      <c r="AC600" s="321" t="str">
        <f t="shared" si="279"/>
        <v>X-RELT</v>
      </c>
      <c r="AD600" s="321" t="str">
        <f t="shared" si="280"/>
        <v>X-RELS</v>
      </c>
      <c r="AE600" s="321" t="str">
        <f t="shared" si="281"/>
        <v>X-RELX</v>
      </c>
      <c r="AF600" s="321" t="str">
        <f t="shared" si="282"/>
        <v>X-RELX</v>
      </c>
      <c r="AG600" s="321">
        <f t="shared" si="273"/>
        <v>6</v>
      </c>
      <c r="AH600" s="321">
        <f>IF(B600&lt;&gt;"",IF(H600="x",VLOOKUP(I600,'AUX-NIV3'!B:AG,32,FALSE),0),"")</f>
        <v>3</v>
      </c>
      <c r="AI600" s="321" t="str">
        <f t="shared" si="283"/>
        <v>X-REL</v>
      </c>
      <c r="AJ600" s="320"/>
      <c r="AK600" s="322">
        <f t="shared" si="274"/>
        <v>596</v>
      </c>
      <c r="AL600" s="323">
        <f t="shared" si="284"/>
        <v>601</v>
      </c>
      <c r="AM600" s="322">
        <f t="shared" si="285"/>
        <v>5</v>
      </c>
      <c r="AN600" s="380">
        <f>IF(AND(AH600&gt;0,B600&lt;&gt;""),VLOOKUP(I600,'AUX-NIV3'!$B:$AO,39,FALSE)*O600,0)</f>
        <v>1.5625E-2</v>
      </c>
      <c r="AO600" s="380">
        <f t="shared" si="275"/>
        <v>1.3629563492063492</v>
      </c>
      <c r="AP600" s="380"/>
    </row>
    <row r="601" spans="2:42" ht="14.4" hidden="1" thickTop="1" thickBot="1">
      <c r="B601" s="324" t="s">
        <v>2779</v>
      </c>
      <c r="C601" s="325" t="s">
        <v>2780</v>
      </c>
      <c r="D601" s="326" t="s">
        <v>1160</v>
      </c>
      <c r="E601" s="327">
        <f>IF(B601&lt;&gt;"",SUMIF('AUX-NIV1'!I:I,'AUX-NIV2'!B601,'AUX-NIV1'!Q:Q),"")</f>
        <v>0</v>
      </c>
      <c r="F601" s="327">
        <f t="shared" si="265"/>
        <v>835.00912158392737</v>
      </c>
      <c r="G601" s="327">
        <f t="shared" si="266"/>
        <v>0</v>
      </c>
      <c r="H601" s="328" t="str">
        <f t="shared" si="286"/>
        <v>X</v>
      </c>
      <c r="I601" s="325" t="s">
        <v>2760</v>
      </c>
      <c r="J601" s="329" t="str">
        <f>IF(B601&lt;&gt;"",+VLOOKUP(I601,Recursos!C:F,2,FALSE),"")</f>
        <v>Ejecución de Alcantarilla</v>
      </c>
      <c r="K601" s="330" t="str">
        <f>IF(B601&lt;&gt;"",+VLOOKUP(I601,Recursos!C:F,3,FALSE),"")</f>
        <v>m3c</v>
      </c>
      <c r="L601" s="446">
        <f>IF(B601&lt;&gt;"",+VLOOKUP(I601,Recursos!C:F,4,FALSE),"")</f>
        <v>761.87683542842274</v>
      </c>
      <c r="M601" s="450">
        <v>1</v>
      </c>
      <c r="N601" s="507">
        <f>+N600</f>
        <v>1</v>
      </c>
      <c r="O601" s="449">
        <f>+M601*N601</f>
        <v>1</v>
      </c>
      <c r="P601" s="333">
        <f t="shared" si="262"/>
        <v>761.87683542842274</v>
      </c>
      <c r="Q601" s="327">
        <f t="shared" si="263"/>
        <v>0</v>
      </c>
      <c r="R601" s="334">
        <f t="shared" si="264"/>
        <v>0</v>
      </c>
      <c r="S601" s="335">
        <f t="shared" si="267"/>
        <v>0</v>
      </c>
      <c r="T601" s="335">
        <f t="shared" si="268"/>
        <v>0</v>
      </c>
      <c r="U601" s="336">
        <f t="shared" si="269"/>
        <v>0</v>
      </c>
      <c r="V601" s="336">
        <f t="shared" si="270"/>
        <v>0</v>
      </c>
      <c r="W601" s="336">
        <f t="shared" si="271"/>
        <v>0</v>
      </c>
      <c r="X601" s="336">
        <f t="shared" si="272"/>
        <v>835.00912158392737</v>
      </c>
      <c r="Y601" s="320"/>
      <c r="Z601" s="321" t="str">
        <f t="shared" si="276"/>
        <v>X-RELA</v>
      </c>
      <c r="AA601" s="321" t="str">
        <f t="shared" si="277"/>
        <v>X-RELE</v>
      </c>
      <c r="AB601" s="321" t="str">
        <f t="shared" si="278"/>
        <v>X-RELM</v>
      </c>
      <c r="AC601" s="321" t="str">
        <f t="shared" si="279"/>
        <v>X-RELT</v>
      </c>
      <c r="AD601" s="321" t="str">
        <f t="shared" si="280"/>
        <v>X-RELS</v>
      </c>
      <c r="AE601" s="321" t="str">
        <f t="shared" si="281"/>
        <v>X-RELX</v>
      </c>
      <c r="AF601" s="321" t="str">
        <f t="shared" si="282"/>
        <v>X-RELX</v>
      </c>
      <c r="AG601" s="321">
        <f t="shared" si="273"/>
        <v>6</v>
      </c>
      <c r="AH601" s="321">
        <f>IF(B601&lt;&gt;"",IF(H601="x",VLOOKUP(I601,'AUX-NIV3'!B:AG,32,FALSE),0),"")</f>
        <v>5</v>
      </c>
      <c r="AI601" s="321" t="str">
        <f t="shared" si="283"/>
        <v>X-REL</v>
      </c>
      <c r="AJ601" s="320"/>
      <c r="AK601" s="322">
        <f t="shared" si="274"/>
        <v>596</v>
      </c>
      <c r="AL601" s="323">
        <f t="shared" si="284"/>
        <v>601</v>
      </c>
      <c r="AM601" s="322">
        <f t="shared" si="285"/>
        <v>6</v>
      </c>
      <c r="AN601" s="380">
        <f>IF(AND(AH601&gt;0,B601&lt;&gt;""),VLOOKUP(I601,'AUX-NIV3'!$B:$AO,39,FALSE)*O601,0)</f>
        <v>1.328125</v>
      </c>
      <c r="AO601" s="380">
        <f t="shared" si="275"/>
        <v>1.3629563492063492</v>
      </c>
      <c r="AP601" s="380"/>
    </row>
    <row r="602" spans="2:42" ht="14.4" hidden="1" thickTop="1" thickBot="1">
      <c r="B602" s="324" t="s">
        <v>2770</v>
      </c>
      <c r="C602" s="325" t="s">
        <v>2771</v>
      </c>
      <c r="D602" s="326" t="s">
        <v>1386</v>
      </c>
      <c r="E602" s="327">
        <f>IF(B602&lt;&gt;"",SUMIF('AUX-NIV1'!I:I,'AUX-NIV2'!B602,'AUX-NIV1'!Q:Q),"")</f>
        <v>0</v>
      </c>
      <c r="F602" s="327">
        <f t="shared" si="265"/>
        <v>231.00816795609555</v>
      </c>
      <c r="G602" s="327">
        <f t="shared" si="266"/>
        <v>0</v>
      </c>
      <c r="H602" s="328" t="str">
        <f t="shared" si="286"/>
        <v>X</v>
      </c>
      <c r="I602" s="325" t="s">
        <v>2762</v>
      </c>
      <c r="J602" s="329" t="str">
        <f>IF(B602&lt;&gt;"",+VLOOKUP(I602,Recursos!C:F,2,FALSE),"")</f>
        <v>Excavación suelo lateral con topadora</v>
      </c>
      <c r="K602" s="330" t="str">
        <f>IF(B602&lt;&gt;"",+VLOOKUP(I602,Recursos!C:F,3,FALSE),"")</f>
        <v>m3b</v>
      </c>
      <c r="L602" s="446">
        <f>IF(B602&lt;&gt;"",+VLOOKUP(I602,Recursos!C:F,4,FALSE),"")</f>
        <v>52.347526405812978</v>
      </c>
      <c r="M602" s="447">
        <v>1.45</v>
      </c>
      <c r="N602" s="448">
        <v>0.82750000000000001</v>
      </c>
      <c r="O602" s="449">
        <f>+M602*N602</f>
        <v>1.199875</v>
      </c>
      <c r="P602" s="333">
        <f t="shared" si="262"/>
        <v>62.810488246174849</v>
      </c>
      <c r="Q602" s="327">
        <f t="shared" si="263"/>
        <v>0</v>
      </c>
      <c r="R602" s="334">
        <f t="shared" si="264"/>
        <v>0</v>
      </c>
      <c r="S602" s="335">
        <f t="shared" si="267"/>
        <v>0</v>
      </c>
      <c r="T602" s="335">
        <f t="shared" si="268"/>
        <v>0</v>
      </c>
      <c r="U602" s="336">
        <f t="shared" si="269"/>
        <v>0</v>
      </c>
      <c r="V602" s="336">
        <f t="shared" si="270"/>
        <v>0</v>
      </c>
      <c r="W602" s="336">
        <f t="shared" si="271"/>
        <v>0</v>
      </c>
      <c r="X602" s="336">
        <f t="shared" si="272"/>
        <v>231.00816795609555</v>
      </c>
      <c r="Y602" s="320"/>
      <c r="Z602" s="321" t="str">
        <f t="shared" si="276"/>
        <v>X-TEAA</v>
      </c>
      <c r="AA602" s="321" t="str">
        <f t="shared" si="277"/>
        <v>X-TEAE</v>
      </c>
      <c r="AB602" s="321" t="str">
        <f t="shared" si="278"/>
        <v>X-TEAM</v>
      </c>
      <c r="AC602" s="321" t="str">
        <f t="shared" si="279"/>
        <v>X-TEAT</v>
      </c>
      <c r="AD602" s="321" t="str">
        <f t="shared" si="280"/>
        <v>X-TEAS</v>
      </c>
      <c r="AE602" s="321" t="str">
        <f t="shared" si="281"/>
        <v>X-TEAX</v>
      </c>
      <c r="AF602" s="321" t="str">
        <f t="shared" si="282"/>
        <v>X-TEAX</v>
      </c>
      <c r="AG602" s="321">
        <f t="shared" si="273"/>
        <v>7</v>
      </c>
      <c r="AH602" s="321">
        <f>IF(B602&lt;&gt;"",IF(H602="x",VLOOKUP(I602,'AUX-NIV3'!B:AG,32,FALSE),0),"")</f>
        <v>3</v>
      </c>
      <c r="AI602" s="321" t="str">
        <f t="shared" si="283"/>
        <v>X-TEA</v>
      </c>
      <c r="AJ602" s="320"/>
      <c r="AK602" s="322">
        <f t="shared" si="274"/>
        <v>602</v>
      </c>
      <c r="AL602" s="323">
        <f t="shared" si="284"/>
        <v>608</v>
      </c>
      <c r="AM602" s="322">
        <f t="shared" si="285"/>
        <v>1</v>
      </c>
      <c r="AN602" s="380">
        <f>IF(AND(AH602&gt;0,B602&lt;&gt;""),VLOOKUP(I602,'AUX-NIV3'!$B:$AO,39,FALSE)*O602,0)</f>
        <v>2.9996875000000003E-2</v>
      </c>
      <c r="AO602" s="380">
        <f t="shared" si="275"/>
        <v>0.13212782738095238</v>
      </c>
      <c r="AP602" s="380"/>
    </row>
    <row r="603" spans="2:42" ht="14.4" hidden="1" thickTop="1" thickBot="1">
      <c r="B603" s="324" t="s">
        <v>2770</v>
      </c>
      <c r="C603" s="325" t="s">
        <v>2771</v>
      </c>
      <c r="D603" s="326" t="s">
        <v>1386</v>
      </c>
      <c r="E603" s="327">
        <f>IF(B603&lt;&gt;"",SUMIF('AUX-NIV1'!I:I,'AUX-NIV2'!B603,'AUX-NIV1'!Q:Q),"")</f>
        <v>0</v>
      </c>
      <c r="F603" s="327">
        <f t="shared" si="265"/>
        <v>231.00816795609555</v>
      </c>
      <c r="G603" s="327">
        <f t="shared" si="266"/>
        <v>0</v>
      </c>
      <c r="H603" s="328" t="str">
        <f t="shared" si="286"/>
        <v>X</v>
      </c>
      <c r="I603" s="325" t="s">
        <v>2764</v>
      </c>
      <c r="J603" s="329" t="str">
        <f>IF(B603&lt;&gt;"",+VLOOKUP(I603,Recursos!C:F,2,FALSE),"")</f>
        <v>Distribución de material terraplén</v>
      </c>
      <c r="K603" s="330" t="str">
        <f>IF(B603&lt;&gt;"",+VLOOKUP(I603,Recursos!C:F,3,FALSE),"")</f>
        <v>m3s</v>
      </c>
      <c r="L603" s="446">
        <f>IF(B603&lt;&gt;"",+VLOOKUP(I603,Recursos!C:F,4,FALSE),"")</f>
        <v>17.888012535270992</v>
      </c>
      <c r="M603" s="454">
        <f>+M602</f>
        <v>1.45</v>
      </c>
      <c r="N603" s="508"/>
      <c r="O603" s="449">
        <f>+M603</f>
        <v>1.45</v>
      </c>
      <c r="P603" s="333">
        <f t="shared" si="262"/>
        <v>25.937618176142937</v>
      </c>
      <c r="Q603" s="327">
        <f t="shared" si="263"/>
        <v>0</v>
      </c>
      <c r="R603" s="334">
        <f t="shared" si="264"/>
        <v>0</v>
      </c>
      <c r="S603" s="335">
        <f t="shared" si="267"/>
        <v>0</v>
      </c>
      <c r="T603" s="335">
        <f t="shared" si="268"/>
        <v>0</v>
      </c>
      <c r="U603" s="336">
        <f t="shared" si="269"/>
        <v>0</v>
      </c>
      <c r="V603" s="336">
        <f t="shared" si="270"/>
        <v>0</v>
      </c>
      <c r="W603" s="336">
        <f t="shared" si="271"/>
        <v>0</v>
      </c>
      <c r="X603" s="336">
        <f t="shared" si="272"/>
        <v>231.00816795609555</v>
      </c>
      <c r="Y603" s="320"/>
      <c r="Z603" s="321" t="str">
        <f t="shared" si="276"/>
        <v>X-TEAA</v>
      </c>
      <c r="AA603" s="321" t="str">
        <f t="shared" si="277"/>
        <v>X-TEAE</v>
      </c>
      <c r="AB603" s="321" t="str">
        <f t="shared" si="278"/>
        <v>X-TEAM</v>
      </c>
      <c r="AC603" s="321" t="str">
        <f t="shared" si="279"/>
        <v>X-TEAT</v>
      </c>
      <c r="AD603" s="321" t="str">
        <f t="shared" si="280"/>
        <v>X-TEAS</v>
      </c>
      <c r="AE603" s="321" t="str">
        <f t="shared" si="281"/>
        <v>X-TEAX</v>
      </c>
      <c r="AF603" s="321" t="str">
        <f t="shared" si="282"/>
        <v>X-TEAX</v>
      </c>
      <c r="AG603" s="321">
        <f t="shared" si="273"/>
        <v>7</v>
      </c>
      <c r="AH603" s="321">
        <f>IF(B603&lt;&gt;"",IF(H603="x",VLOOKUP(I603,'AUX-NIV3'!B:AG,32,FALSE),0),"")</f>
        <v>3</v>
      </c>
      <c r="AI603" s="321" t="str">
        <f t="shared" si="283"/>
        <v>X-TEA</v>
      </c>
      <c r="AJ603" s="320"/>
      <c r="AK603" s="322">
        <f t="shared" si="274"/>
        <v>602</v>
      </c>
      <c r="AL603" s="323">
        <f t="shared" si="284"/>
        <v>608</v>
      </c>
      <c r="AM603" s="322">
        <f t="shared" si="285"/>
        <v>2</v>
      </c>
      <c r="AN603" s="380">
        <f>IF(AND(AH603&gt;0,B603&lt;&gt;""),VLOOKUP(I603,'AUX-NIV3'!$B:$AO,39,FALSE)*O603,0)</f>
        <v>1.2083333333333333E-2</v>
      </c>
      <c r="AO603" s="380">
        <f t="shared" si="275"/>
        <v>0.13212782738095238</v>
      </c>
      <c r="AP603" s="380"/>
    </row>
    <row r="604" spans="2:42" ht="14.4" hidden="1" thickTop="1" thickBot="1">
      <c r="B604" s="324" t="s">
        <v>2770</v>
      </c>
      <c r="C604" s="325" t="s">
        <v>2771</v>
      </c>
      <c r="D604" s="326" t="s">
        <v>1386</v>
      </c>
      <c r="E604" s="327">
        <f>IF(B604&lt;&gt;"",SUMIF('AUX-NIV1'!I:I,'AUX-NIV2'!B604,'AUX-NIV1'!Q:Q),"")</f>
        <v>0</v>
      </c>
      <c r="F604" s="327">
        <f t="shared" si="265"/>
        <v>231.00816795609555</v>
      </c>
      <c r="G604" s="327">
        <f t="shared" si="266"/>
        <v>0</v>
      </c>
      <c r="H604" s="328" t="str">
        <f t="shared" si="286"/>
        <v>X</v>
      </c>
      <c r="I604" s="325" t="s">
        <v>2746</v>
      </c>
      <c r="J604" s="329" t="str">
        <f>IF(B604&lt;&gt;"",+VLOOKUP(I604,Recursos!C:F,2,FALSE),"")</f>
        <v>Obtención de Agua para Riego</v>
      </c>
      <c r="K604" s="330" t="str">
        <f>IF(B604&lt;&gt;"",+VLOOKUP(I604,Recursos!C:F,3,FALSE),"")</f>
        <v>m3</v>
      </c>
      <c r="L604" s="446">
        <f>IF(B604&lt;&gt;"",+VLOOKUP(I604,Recursos!C:F,4,FALSE),"")</f>
        <v>148.35029836815718</v>
      </c>
      <c r="M604" s="452">
        <v>1</v>
      </c>
      <c r="N604" s="453">
        <v>2</v>
      </c>
      <c r="O604" s="449">
        <f>+N604*M604*N605</f>
        <v>0.12</v>
      </c>
      <c r="P604" s="333">
        <f t="shared" si="262"/>
        <v>17.80203580417886</v>
      </c>
      <c r="Q604" s="327">
        <f t="shared" si="263"/>
        <v>0</v>
      </c>
      <c r="R604" s="334">
        <f t="shared" si="264"/>
        <v>0</v>
      </c>
      <c r="S604" s="335">
        <f t="shared" si="267"/>
        <v>0</v>
      </c>
      <c r="T604" s="335">
        <f t="shared" si="268"/>
        <v>0</v>
      </c>
      <c r="U604" s="336">
        <f t="shared" si="269"/>
        <v>0</v>
      </c>
      <c r="V604" s="336">
        <f t="shared" si="270"/>
        <v>0</v>
      </c>
      <c r="W604" s="336">
        <f t="shared" si="271"/>
        <v>0</v>
      </c>
      <c r="X604" s="336">
        <f t="shared" si="272"/>
        <v>231.00816795609555</v>
      </c>
      <c r="Y604" s="320"/>
      <c r="Z604" s="321" t="str">
        <f t="shared" si="276"/>
        <v>X-TEAA</v>
      </c>
      <c r="AA604" s="321" t="str">
        <f t="shared" si="277"/>
        <v>X-TEAE</v>
      </c>
      <c r="AB604" s="321" t="str">
        <f t="shared" si="278"/>
        <v>X-TEAM</v>
      </c>
      <c r="AC604" s="321" t="str">
        <f t="shared" si="279"/>
        <v>X-TEAT</v>
      </c>
      <c r="AD604" s="321" t="str">
        <f t="shared" si="280"/>
        <v>X-TEAS</v>
      </c>
      <c r="AE604" s="321" t="str">
        <f t="shared" si="281"/>
        <v>X-TEAX</v>
      </c>
      <c r="AF604" s="321" t="str">
        <f t="shared" si="282"/>
        <v>X-TEAX</v>
      </c>
      <c r="AG604" s="321">
        <f t="shared" si="273"/>
        <v>7</v>
      </c>
      <c r="AH604" s="321">
        <f>IF(B604&lt;&gt;"",IF(H604="x",VLOOKUP(I604,'AUX-NIV3'!B:AG,32,FALSE),0),"")</f>
        <v>5</v>
      </c>
      <c r="AI604" s="321" t="str">
        <f t="shared" si="283"/>
        <v>X-TEA</v>
      </c>
      <c r="AJ604" s="320"/>
      <c r="AK604" s="322">
        <f t="shared" si="274"/>
        <v>602</v>
      </c>
      <c r="AL604" s="323">
        <f t="shared" si="284"/>
        <v>608</v>
      </c>
      <c r="AM604" s="322">
        <f t="shared" si="285"/>
        <v>3</v>
      </c>
      <c r="AN604" s="380">
        <f>IF(AND(AH604&gt;0,B604&lt;&gt;""),VLOOKUP(I604,'AUX-NIV3'!$B:$AO,39,FALSE)*O604,0)</f>
        <v>4.0000000000000001E-3</v>
      </c>
      <c r="AO604" s="380">
        <f t="shared" si="275"/>
        <v>0.13212782738095238</v>
      </c>
      <c r="AP604" s="380"/>
    </row>
    <row r="605" spans="2:42" ht="14.4" hidden="1" thickTop="1" thickBot="1">
      <c r="B605" s="324" t="s">
        <v>2770</v>
      </c>
      <c r="C605" s="325" t="s">
        <v>2771</v>
      </c>
      <c r="D605" s="326" t="s">
        <v>1386</v>
      </c>
      <c r="E605" s="327">
        <f>IF(B605&lt;&gt;"",SUMIF('AUX-NIV1'!I:I,'AUX-NIV2'!B605,'AUX-NIV1'!Q:Q),"")</f>
        <v>0</v>
      </c>
      <c r="F605" s="327">
        <f t="shared" si="265"/>
        <v>231.00816795609555</v>
      </c>
      <c r="G605" s="327">
        <f t="shared" si="266"/>
        <v>0</v>
      </c>
      <c r="H605" s="328" t="str">
        <f t="shared" si="286"/>
        <v>X</v>
      </c>
      <c r="I605" s="325" t="s">
        <v>2748</v>
      </c>
      <c r="J605" s="329" t="str">
        <f>IF(B605&lt;&gt;"",+VLOOKUP(I605,Recursos!C:F,2,FALSE),"")</f>
        <v>Transporte de Agua para riego</v>
      </c>
      <c r="K605" s="330" t="str">
        <f>IF(B605&lt;&gt;"",+VLOOKUP(I605,Recursos!C:F,3,FALSE),"")</f>
        <v>m3</v>
      </c>
      <c r="L605" s="446">
        <f>IF(B605&lt;&gt;"",+VLOOKUP(I605,Recursos!C:F,4,FALSE),"")</f>
        <v>368.5637895861521</v>
      </c>
      <c r="M605" s="452">
        <v>0</v>
      </c>
      <c r="N605" s="453">
        <v>0.06</v>
      </c>
      <c r="O605" s="449">
        <f>2*M604*N605</f>
        <v>0.12</v>
      </c>
      <c r="P605" s="333">
        <f t="shared" si="262"/>
        <v>44.227654750338253</v>
      </c>
      <c r="Q605" s="327">
        <f t="shared" si="263"/>
        <v>0</v>
      </c>
      <c r="R605" s="334">
        <f t="shared" si="264"/>
        <v>0</v>
      </c>
      <c r="S605" s="335">
        <f t="shared" si="267"/>
        <v>0</v>
      </c>
      <c r="T605" s="335">
        <f t="shared" si="268"/>
        <v>0</v>
      </c>
      <c r="U605" s="336">
        <f t="shared" si="269"/>
        <v>0</v>
      </c>
      <c r="V605" s="336">
        <f t="shared" si="270"/>
        <v>0</v>
      </c>
      <c r="W605" s="336">
        <f t="shared" si="271"/>
        <v>0</v>
      </c>
      <c r="X605" s="336">
        <f t="shared" si="272"/>
        <v>231.00816795609555</v>
      </c>
      <c r="Y605" s="320"/>
      <c r="Z605" s="321" t="str">
        <f t="shared" si="276"/>
        <v>X-TEAA</v>
      </c>
      <c r="AA605" s="321" t="str">
        <f t="shared" si="277"/>
        <v>X-TEAE</v>
      </c>
      <c r="AB605" s="321" t="str">
        <f t="shared" si="278"/>
        <v>X-TEAM</v>
      </c>
      <c r="AC605" s="321" t="str">
        <f t="shared" si="279"/>
        <v>X-TEAT</v>
      </c>
      <c r="AD605" s="321" t="str">
        <f t="shared" si="280"/>
        <v>X-TEAS</v>
      </c>
      <c r="AE605" s="321" t="str">
        <f t="shared" si="281"/>
        <v>X-TEAX</v>
      </c>
      <c r="AF605" s="321" t="str">
        <f t="shared" si="282"/>
        <v>X-TEAX</v>
      </c>
      <c r="AG605" s="321">
        <f t="shared" si="273"/>
        <v>7</v>
      </c>
      <c r="AH605" s="321">
        <f>IF(B605&lt;&gt;"",IF(H605="x",VLOOKUP(I605,'AUX-NIV3'!B:AG,32,FALSE),0),"")</f>
        <v>2</v>
      </c>
      <c r="AI605" s="321" t="str">
        <f t="shared" si="283"/>
        <v>X-TEA</v>
      </c>
      <c r="AJ605" s="320"/>
      <c r="AK605" s="322">
        <f t="shared" si="274"/>
        <v>602</v>
      </c>
      <c r="AL605" s="323">
        <f t="shared" si="284"/>
        <v>608</v>
      </c>
      <c r="AM605" s="322">
        <f t="shared" si="285"/>
        <v>4</v>
      </c>
      <c r="AN605" s="380">
        <f>IF(AND(AH605&gt;0,B605&lt;&gt;""),VLOOKUP(I605,'AUX-NIV3'!$B:$AO,39,FALSE)*O605,0)</f>
        <v>1.9047619047619046E-2</v>
      </c>
      <c r="AO605" s="380">
        <f t="shared" si="275"/>
        <v>0.13212782738095238</v>
      </c>
      <c r="AP605" s="380"/>
    </row>
    <row r="606" spans="2:42" ht="14.4" hidden="1" thickTop="1" thickBot="1">
      <c r="B606" s="324" t="s">
        <v>2770</v>
      </c>
      <c r="C606" s="325" t="s">
        <v>2771</v>
      </c>
      <c r="D606" s="326" t="s">
        <v>1386</v>
      </c>
      <c r="E606" s="327">
        <f>IF(B606&lt;&gt;"",SUMIF('AUX-NIV1'!I:I,'AUX-NIV2'!B606,'AUX-NIV1'!Q:Q),"")</f>
        <v>0</v>
      </c>
      <c r="F606" s="327">
        <f t="shared" si="265"/>
        <v>231.00816795609555</v>
      </c>
      <c r="G606" s="327">
        <f t="shared" si="266"/>
        <v>0</v>
      </c>
      <c r="H606" s="328" t="str">
        <f t="shared" si="286"/>
        <v>X</v>
      </c>
      <c r="I606" s="325" t="s">
        <v>2750</v>
      </c>
      <c r="J606" s="329" t="str">
        <f>IF(B606&lt;&gt;"",+VLOOKUP(I606,Recursos!C:F,2,FALSE),"")</f>
        <v>Riego para terraplen</v>
      </c>
      <c r="K606" s="330" t="str">
        <f>IF(B606&lt;&gt;"",+VLOOKUP(I606,Recursos!C:F,3,FALSE),"")</f>
        <v>m3</v>
      </c>
      <c r="L606" s="446">
        <f>IF(B606&lt;&gt;"",+VLOOKUP(I606,Recursos!C:F,4,FALSE),"")</f>
        <v>214.40877360073679</v>
      </c>
      <c r="M606" s="454">
        <f>+N605</f>
        <v>0.06</v>
      </c>
      <c r="N606" s="508"/>
      <c r="O606" s="449">
        <f>2*M604*M606</f>
        <v>0.12</v>
      </c>
      <c r="P606" s="333">
        <f t="shared" si="262"/>
        <v>25.729052832088414</v>
      </c>
      <c r="Q606" s="327">
        <f t="shared" si="263"/>
        <v>0</v>
      </c>
      <c r="R606" s="334">
        <f t="shared" si="264"/>
        <v>0</v>
      </c>
      <c r="S606" s="335">
        <f t="shared" si="267"/>
        <v>0</v>
      </c>
      <c r="T606" s="335">
        <f t="shared" si="268"/>
        <v>0</v>
      </c>
      <c r="U606" s="336">
        <f t="shared" si="269"/>
        <v>0</v>
      </c>
      <c r="V606" s="336">
        <f t="shared" si="270"/>
        <v>0</v>
      </c>
      <c r="W606" s="336">
        <f t="shared" si="271"/>
        <v>0</v>
      </c>
      <c r="X606" s="336">
        <f t="shared" si="272"/>
        <v>231.00816795609555</v>
      </c>
      <c r="Y606" s="320"/>
      <c r="Z606" s="321" t="str">
        <f t="shared" si="276"/>
        <v>X-TEAA</v>
      </c>
      <c r="AA606" s="321" t="str">
        <f t="shared" si="277"/>
        <v>X-TEAE</v>
      </c>
      <c r="AB606" s="321" t="str">
        <f t="shared" si="278"/>
        <v>X-TEAM</v>
      </c>
      <c r="AC606" s="321" t="str">
        <f t="shared" si="279"/>
        <v>X-TEAT</v>
      </c>
      <c r="AD606" s="321" t="str">
        <f t="shared" si="280"/>
        <v>X-TEAS</v>
      </c>
      <c r="AE606" s="321" t="str">
        <f t="shared" si="281"/>
        <v>X-TEAX</v>
      </c>
      <c r="AF606" s="321" t="str">
        <f t="shared" si="282"/>
        <v>X-TEAX</v>
      </c>
      <c r="AG606" s="321">
        <f t="shared" si="273"/>
        <v>7</v>
      </c>
      <c r="AH606" s="321">
        <f>IF(B606&lt;&gt;"",IF(H606="x",VLOOKUP(I606,'AUX-NIV3'!B:AG,32,FALSE),0),"")</f>
        <v>3</v>
      </c>
      <c r="AI606" s="321" t="str">
        <f t="shared" si="283"/>
        <v>X-TEA</v>
      </c>
      <c r="AJ606" s="320"/>
      <c r="AK606" s="322">
        <f t="shared" si="274"/>
        <v>602</v>
      </c>
      <c r="AL606" s="323">
        <f t="shared" si="284"/>
        <v>608</v>
      </c>
      <c r="AM606" s="322">
        <f t="shared" si="285"/>
        <v>5</v>
      </c>
      <c r="AN606" s="380">
        <f>IF(AND(AH606&gt;0,B606&lt;&gt;""),VLOOKUP(I606,'AUX-NIV3'!$B:$AO,39,FALSE)*O606,0)</f>
        <v>1.8749999999999999E-2</v>
      </c>
      <c r="AO606" s="380">
        <f t="shared" si="275"/>
        <v>0.13212782738095238</v>
      </c>
      <c r="AP606" s="380"/>
    </row>
    <row r="607" spans="2:42" ht="14.4" hidden="1" thickTop="1" thickBot="1">
      <c r="B607" s="324" t="s">
        <v>2770</v>
      </c>
      <c r="C607" s="325" t="s">
        <v>2771</v>
      </c>
      <c r="D607" s="326" t="s">
        <v>1386</v>
      </c>
      <c r="E607" s="327">
        <f>IF(B607&lt;&gt;"",SUMIF('AUX-NIV1'!I:I,'AUX-NIV2'!B607,'AUX-NIV1'!Q:Q),"")</f>
        <v>0</v>
      </c>
      <c r="F607" s="327">
        <f t="shared" si="265"/>
        <v>231.00816795609555</v>
      </c>
      <c r="G607" s="327">
        <f t="shared" si="266"/>
        <v>0</v>
      </c>
      <c r="H607" s="328" t="str">
        <f t="shared" si="286"/>
        <v>X</v>
      </c>
      <c r="I607" s="325" t="s">
        <v>2752</v>
      </c>
      <c r="J607" s="329" t="str">
        <f>IF(B607&lt;&gt;"",+VLOOKUP(I607,Recursos!C:F,2,FALSE),"")</f>
        <v>Homogeinización del Material</v>
      </c>
      <c r="K607" s="330" t="str">
        <f>IF(B607&lt;&gt;"",+VLOOKUP(I607,Recursos!C:F,3,FALSE),"")</f>
        <v>m2</v>
      </c>
      <c r="L607" s="446">
        <f>IF(B607&lt;&gt;"",+VLOOKUP(I607,Recursos!C:F,4,FALSE),"")</f>
        <v>5.3664037605812966</v>
      </c>
      <c r="M607" s="454">
        <f>+M602</f>
        <v>1.45</v>
      </c>
      <c r="N607" s="508"/>
      <c r="O607" s="449">
        <f>+M607</f>
        <v>1.45</v>
      </c>
      <c r="P607" s="333">
        <f t="shared" si="262"/>
        <v>7.7812854528428801</v>
      </c>
      <c r="Q607" s="327">
        <f t="shared" si="263"/>
        <v>0</v>
      </c>
      <c r="R607" s="334">
        <f t="shared" si="264"/>
        <v>0</v>
      </c>
      <c r="S607" s="335">
        <f t="shared" si="267"/>
        <v>0</v>
      </c>
      <c r="T607" s="335">
        <f t="shared" si="268"/>
        <v>0</v>
      </c>
      <c r="U607" s="336">
        <f t="shared" si="269"/>
        <v>0</v>
      </c>
      <c r="V607" s="336">
        <f t="shared" si="270"/>
        <v>0</v>
      </c>
      <c r="W607" s="336">
        <f t="shared" si="271"/>
        <v>0</v>
      </c>
      <c r="X607" s="336">
        <f t="shared" si="272"/>
        <v>231.00816795609555</v>
      </c>
      <c r="Y607" s="320"/>
      <c r="Z607" s="321" t="str">
        <f t="shared" si="276"/>
        <v>X-TEAA</v>
      </c>
      <c r="AA607" s="321" t="str">
        <f t="shared" si="277"/>
        <v>X-TEAE</v>
      </c>
      <c r="AB607" s="321" t="str">
        <f t="shared" si="278"/>
        <v>X-TEAM</v>
      </c>
      <c r="AC607" s="321" t="str">
        <f t="shared" si="279"/>
        <v>X-TEAT</v>
      </c>
      <c r="AD607" s="321" t="str">
        <f t="shared" si="280"/>
        <v>X-TEAS</v>
      </c>
      <c r="AE607" s="321" t="str">
        <f t="shared" si="281"/>
        <v>X-TEAX</v>
      </c>
      <c r="AF607" s="321" t="str">
        <f t="shared" si="282"/>
        <v>X-TEAX</v>
      </c>
      <c r="AG607" s="321">
        <f t="shared" si="273"/>
        <v>7</v>
      </c>
      <c r="AH607" s="321">
        <f>IF(B607&lt;&gt;"",IF(H607="x",VLOOKUP(I607,'AUX-NIV3'!B:AG,32,FALSE),0),"")</f>
        <v>3</v>
      </c>
      <c r="AI607" s="321" t="str">
        <f t="shared" si="283"/>
        <v>X-TEA</v>
      </c>
      <c r="AJ607" s="320"/>
      <c r="AK607" s="322">
        <f t="shared" si="274"/>
        <v>602</v>
      </c>
      <c r="AL607" s="323">
        <f t="shared" si="284"/>
        <v>608</v>
      </c>
      <c r="AM607" s="322">
        <f t="shared" si="285"/>
        <v>6</v>
      </c>
      <c r="AN607" s="380">
        <f>IF(AND(AH607&gt;0,B607&lt;&gt;""),VLOOKUP(I607,'AUX-NIV3'!$B:$AO,39,FALSE)*O607,0)</f>
        <v>3.6249999999999998E-3</v>
      </c>
      <c r="AO607" s="380">
        <f t="shared" si="275"/>
        <v>0.13212782738095238</v>
      </c>
      <c r="AP607" s="380"/>
    </row>
    <row r="608" spans="2:42" ht="14.4" hidden="1" thickTop="1" thickBot="1">
      <c r="B608" s="324" t="s">
        <v>2770</v>
      </c>
      <c r="C608" s="325" t="s">
        <v>2771</v>
      </c>
      <c r="D608" s="326" t="s">
        <v>1386</v>
      </c>
      <c r="E608" s="327">
        <f>IF(B608&lt;&gt;"",SUMIF('AUX-NIV1'!I:I,'AUX-NIV2'!B608,'AUX-NIV1'!Q:Q),"")</f>
        <v>0</v>
      </c>
      <c r="F608" s="327">
        <f t="shared" si="265"/>
        <v>231.00816795609555</v>
      </c>
      <c r="G608" s="327">
        <f t="shared" si="266"/>
        <v>0</v>
      </c>
      <c r="H608" s="328" t="str">
        <f t="shared" si="286"/>
        <v>X</v>
      </c>
      <c r="I608" s="325" t="s">
        <v>2768</v>
      </c>
      <c r="J608" s="329" t="str">
        <f>IF(B608&lt;&gt;"",+VLOOKUP(I608,Recursos!C:F,2,FALSE),"")</f>
        <v>Compactación de terraplen</v>
      </c>
      <c r="K608" s="330" t="str">
        <f>IF(B608&lt;&gt;"",+VLOOKUP(I608,Recursos!C:F,3,FALSE),"")</f>
        <v>m3c</v>
      </c>
      <c r="L608" s="446">
        <f>IF(B608&lt;&gt;"",+VLOOKUP(I608,Recursos!C:F,4,FALSE),"")</f>
        <v>46.720032694329319</v>
      </c>
      <c r="M608" s="450">
        <v>1</v>
      </c>
      <c r="N608" s="451">
        <v>1</v>
      </c>
      <c r="O608" s="449">
        <f>+M608</f>
        <v>1</v>
      </c>
      <c r="P608" s="333">
        <f t="shared" si="262"/>
        <v>46.720032694329319</v>
      </c>
      <c r="Q608" s="327">
        <f t="shared" si="263"/>
        <v>0</v>
      </c>
      <c r="R608" s="334">
        <f t="shared" si="264"/>
        <v>0</v>
      </c>
      <c r="S608" s="335">
        <f t="shared" si="267"/>
        <v>0</v>
      </c>
      <c r="T608" s="335">
        <f t="shared" si="268"/>
        <v>0</v>
      </c>
      <c r="U608" s="336">
        <f t="shared" si="269"/>
        <v>0</v>
      </c>
      <c r="V608" s="336">
        <f t="shared" si="270"/>
        <v>0</v>
      </c>
      <c r="W608" s="336">
        <f t="shared" si="271"/>
        <v>0</v>
      </c>
      <c r="X608" s="336">
        <f t="shared" si="272"/>
        <v>231.00816795609555</v>
      </c>
      <c r="Y608" s="320"/>
      <c r="Z608" s="321" t="str">
        <f t="shared" si="276"/>
        <v>X-TEAA</v>
      </c>
      <c r="AA608" s="321" t="str">
        <f t="shared" si="277"/>
        <v>X-TEAE</v>
      </c>
      <c r="AB608" s="321" t="str">
        <f t="shared" si="278"/>
        <v>X-TEAM</v>
      </c>
      <c r="AC608" s="321" t="str">
        <f t="shared" si="279"/>
        <v>X-TEAT</v>
      </c>
      <c r="AD608" s="321" t="str">
        <f t="shared" si="280"/>
        <v>X-TEAS</v>
      </c>
      <c r="AE608" s="321" t="str">
        <f t="shared" si="281"/>
        <v>X-TEAX</v>
      </c>
      <c r="AF608" s="321" t="str">
        <f t="shared" si="282"/>
        <v>X-TEAX</v>
      </c>
      <c r="AG608" s="321">
        <f t="shared" si="273"/>
        <v>7</v>
      </c>
      <c r="AH608" s="321">
        <f>IF(B608&lt;&gt;"",IF(H608="x",VLOOKUP(I608,'AUX-NIV3'!B:AG,32,FALSE),0),"")</f>
        <v>6</v>
      </c>
      <c r="AI608" s="321" t="str">
        <f t="shared" si="283"/>
        <v>X-TEA</v>
      </c>
      <c r="AJ608" s="320"/>
      <c r="AK608" s="322">
        <f t="shared" si="274"/>
        <v>602</v>
      </c>
      <c r="AL608" s="323">
        <f t="shared" si="284"/>
        <v>608</v>
      </c>
      <c r="AM608" s="322">
        <f t="shared" si="285"/>
        <v>7</v>
      </c>
      <c r="AN608" s="380">
        <f>IF(AND(AH608&gt;0,B608&lt;&gt;""),VLOOKUP(I608,'AUX-NIV3'!$B:$AO,39,FALSE)*O608,0)</f>
        <v>4.4624999999999998E-2</v>
      </c>
      <c r="AO608" s="380">
        <f t="shared" si="275"/>
        <v>0.13212782738095238</v>
      </c>
      <c r="AP608" s="380"/>
    </row>
    <row r="609" spans="2:42" ht="14.4" hidden="1" thickTop="1" thickBot="1">
      <c r="B609" s="324" t="s">
        <v>2772</v>
      </c>
      <c r="C609" s="325" t="s">
        <v>2773</v>
      </c>
      <c r="D609" s="326" t="s">
        <v>1386</v>
      </c>
      <c r="E609" s="327">
        <f>IF(B609&lt;&gt;"",SUMIF('AUX-NIV1'!I:I,'AUX-NIV2'!B609,'AUX-NIV1'!Q:Q),"")</f>
        <v>0</v>
      </c>
      <c r="F609" s="327">
        <f t="shared" si="265"/>
        <v>297.47300207458295</v>
      </c>
      <c r="G609" s="327">
        <f t="shared" si="266"/>
        <v>0</v>
      </c>
      <c r="H609" s="328" t="str">
        <f t="shared" si="286"/>
        <v>X</v>
      </c>
      <c r="I609" s="325" t="s">
        <v>2756</v>
      </c>
      <c r="J609" s="329" t="str">
        <f>IF(B609&lt;&gt;"",+VLOOKUP(I609,Recursos!C:F,2,FALSE),"")</f>
        <v>Explotación préstamo con Retro</v>
      </c>
      <c r="K609" s="330" t="str">
        <f>IF(B609&lt;&gt;"",+VLOOKUP(I609,Recursos!C:F,3,FALSE),"")</f>
        <v>m3</v>
      </c>
      <c r="L609" s="446">
        <f>IF(B609&lt;&gt;"",+VLOOKUP(I609,Recursos!C:F,4,FALSE),"")</f>
        <v>62.271140341608451</v>
      </c>
      <c r="M609" s="447">
        <v>1.2</v>
      </c>
      <c r="N609" s="448">
        <v>0.82750000000000001</v>
      </c>
      <c r="O609" s="449">
        <f>+M609</f>
        <v>1.2</v>
      </c>
      <c r="P609" s="333">
        <f t="shared" si="262"/>
        <v>74.725368409930141</v>
      </c>
      <c r="Q609" s="327">
        <f t="shared" si="263"/>
        <v>0</v>
      </c>
      <c r="R609" s="334">
        <f t="shared" si="264"/>
        <v>0</v>
      </c>
      <c r="S609" s="335">
        <f t="shared" si="267"/>
        <v>0</v>
      </c>
      <c r="T609" s="335">
        <f t="shared" si="268"/>
        <v>0</v>
      </c>
      <c r="U609" s="336">
        <f t="shared" si="269"/>
        <v>0</v>
      </c>
      <c r="V609" s="336">
        <f t="shared" si="270"/>
        <v>0</v>
      </c>
      <c r="W609" s="336">
        <f t="shared" si="271"/>
        <v>0</v>
      </c>
      <c r="X609" s="336">
        <f t="shared" si="272"/>
        <v>297.47300207458295</v>
      </c>
      <c r="Y609" s="320"/>
      <c r="Z609" s="321" t="str">
        <f t="shared" si="276"/>
        <v>X-TER2A</v>
      </c>
      <c r="AA609" s="321" t="str">
        <f t="shared" si="277"/>
        <v>X-TER2E</v>
      </c>
      <c r="AB609" s="321" t="str">
        <f t="shared" si="278"/>
        <v>X-TER2M</v>
      </c>
      <c r="AC609" s="321" t="str">
        <f t="shared" si="279"/>
        <v>X-TER2T</v>
      </c>
      <c r="AD609" s="321" t="str">
        <f t="shared" si="280"/>
        <v>X-TER2S</v>
      </c>
      <c r="AE609" s="321" t="str">
        <f t="shared" si="281"/>
        <v>X-TER2X</v>
      </c>
      <c r="AF609" s="321" t="str">
        <f t="shared" si="282"/>
        <v>X-TER2X</v>
      </c>
      <c r="AG609" s="321">
        <f t="shared" si="273"/>
        <v>8</v>
      </c>
      <c r="AH609" s="321">
        <f>IF(B609&lt;&gt;"",IF(H609="x",VLOOKUP(I609,'AUX-NIV3'!B:AG,32,FALSE),0),"")</f>
        <v>4</v>
      </c>
      <c r="AI609" s="321" t="str">
        <f t="shared" si="283"/>
        <v>X-TER2</v>
      </c>
      <c r="AJ609" s="320"/>
      <c r="AK609" s="322">
        <f t="shared" si="274"/>
        <v>609</v>
      </c>
      <c r="AL609" s="323">
        <f t="shared" si="284"/>
        <v>616</v>
      </c>
      <c r="AM609" s="322">
        <f t="shared" si="285"/>
        <v>1</v>
      </c>
      <c r="AN609" s="380">
        <f>IF(AND(AH609&gt;0,B609&lt;&gt;""),VLOOKUP(I609,'AUX-NIV3'!$B:$AO,39,FALSE)*O609,0)</f>
        <v>4.8000000000000001E-2</v>
      </c>
      <c r="AO609" s="380">
        <f t="shared" si="275"/>
        <v>0.16737436224489799</v>
      </c>
      <c r="AP609" s="380"/>
    </row>
    <row r="610" spans="2:42" ht="14.4" hidden="1" thickTop="1" thickBot="1">
      <c r="B610" s="324" t="s">
        <v>2772</v>
      </c>
      <c r="C610" s="325" t="s">
        <v>2773</v>
      </c>
      <c r="D610" s="326" t="s">
        <v>1386</v>
      </c>
      <c r="E610" s="327">
        <f>IF(B610&lt;&gt;"",SUMIF('AUX-NIV1'!I:I,'AUX-NIV2'!B610,'AUX-NIV1'!Q:Q),"")</f>
        <v>0</v>
      </c>
      <c r="F610" s="327">
        <f t="shared" si="265"/>
        <v>297.47300207458295</v>
      </c>
      <c r="G610" s="327">
        <f t="shared" si="266"/>
        <v>0</v>
      </c>
      <c r="H610" s="328" t="str">
        <f t="shared" si="286"/>
        <v>X</v>
      </c>
      <c r="I610" s="325" t="s">
        <v>2758</v>
      </c>
      <c r="J610" s="329" t="str">
        <f>IF(B610&lt;&gt;"",+VLOOKUP(I610,Recursos!C:F,2,FALSE),"")</f>
        <v>Transporte de Suelo DMT 5 km</v>
      </c>
      <c r="K610" s="330" t="str">
        <f>IF(B610&lt;&gt;"",+VLOOKUP(I610,Recursos!C:F,3,FALSE),"")</f>
        <v>m3s.km</v>
      </c>
      <c r="L610" s="446">
        <f>IF(B610&lt;&gt;"",+VLOOKUP(I610,Recursos!C:F,4,FALSE),"")</f>
        <v>25.080438599876832</v>
      </c>
      <c r="M610" s="454">
        <f>+M609</f>
        <v>1.2</v>
      </c>
      <c r="N610" s="508"/>
      <c r="O610" s="449">
        <f>+M612*M615</f>
        <v>2.1749999999999998</v>
      </c>
      <c r="P610" s="333">
        <f t="shared" si="262"/>
        <v>54.549953954732104</v>
      </c>
      <c r="Q610" s="327">
        <f t="shared" si="263"/>
        <v>0</v>
      </c>
      <c r="R610" s="334">
        <f t="shared" si="264"/>
        <v>0</v>
      </c>
      <c r="S610" s="335">
        <f t="shared" si="267"/>
        <v>0</v>
      </c>
      <c r="T610" s="335">
        <f t="shared" si="268"/>
        <v>0</v>
      </c>
      <c r="U610" s="336">
        <f t="shared" si="269"/>
        <v>0</v>
      </c>
      <c r="V610" s="336">
        <f t="shared" si="270"/>
        <v>0</v>
      </c>
      <c r="W610" s="336">
        <f t="shared" si="271"/>
        <v>0</v>
      </c>
      <c r="X610" s="336">
        <f t="shared" si="272"/>
        <v>297.47300207458295</v>
      </c>
      <c r="Y610" s="320"/>
      <c r="Z610" s="321" t="str">
        <f t="shared" si="276"/>
        <v>X-TER2A</v>
      </c>
      <c r="AA610" s="321" t="str">
        <f t="shared" si="277"/>
        <v>X-TER2E</v>
      </c>
      <c r="AB610" s="321" t="str">
        <f t="shared" si="278"/>
        <v>X-TER2M</v>
      </c>
      <c r="AC610" s="321" t="str">
        <f t="shared" si="279"/>
        <v>X-TER2T</v>
      </c>
      <c r="AD610" s="321" t="str">
        <f t="shared" si="280"/>
        <v>X-TER2S</v>
      </c>
      <c r="AE610" s="321" t="str">
        <f t="shared" si="281"/>
        <v>X-TER2X</v>
      </c>
      <c r="AF610" s="321" t="str">
        <f t="shared" si="282"/>
        <v>X-TER2X</v>
      </c>
      <c r="AG610" s="321">
        <f t="shared" si="273"/>
        <v>8</v>
      </c>
      <c r="AH610" s="321">
        <f>IF(B610&lt;&gt;"",IF(H610="x",VLOOKUP(I610,'AUX-NIV3'!B:AG,32,FALSE),0),"")</f>
        <v>2</v>
      </c>
      <c r="AI610" s="321" t="str">
        <f t="shared" si="283"/>
        <v>X-TER2</v>
      </c>
      <c r="AJ610" s="320"/>
      <c r="AK610" s="322">
        <f t="shared" si="274"/>
        <v>609</v>
      </c>
      <c r="AL610" s="323">
        <f t="shared" si="284"/>
        <v>616</v>
      </c>
      <c r="AM610" s="322">
        <f t="shared" si="285"/>
        <v>2</v>
      </c>
      <c r="AN610" s="380">
        <f>IF(AND(AH610&gt;0,B610&lt;&gt;""),VLOOKUP(I610,'AUX-NIV3'!$B:$AO,39,FALSE)*O610,0)</f>
        <v>1.7243409863945576E-2</v>
      </c>
      <c r="AO610" s="380">
        <f t="shared" si="275"/>
        <v>0.16737436224489799</v>
      </c>
      <c r="AP610" s="380"/>
    </row>
    <row r="611" spans="2:42" ht="14.4" hidden="1" thickTop="1" thickBot="1">
      <c r="B611" s="324" t="s">
        <v>2772</v>
      </c>
      <c r="C611" s="325" t="s">
        <v>2773</v>
      </c>
      <c r="D611" s="326" t="s">
        <v>1386</v>
      </c>
      <c r="E611" s="327">
        <f>IF(B611&lt;&gt;"",SUMIF('AUX-NIV1'!I:I,'AUX-NIV2'!B611,'AUX-NIV1'!Q:Q),"")</f>
        <v>0</v>
      </c>
      <c r="F611" s="327">
        <f t="shared" si="265"/>
        <v>297.47300207458295</v>
      </c>
      <c r="G611" s="327">
        <f t="shared" si="266"/>
        <v>0</v>
      </c>
      <c r="H611" s="328" t="str">
        <f t="shared" si="286"/>
        <v>X</v>
      </c>
      <c r="I611" s="325" t="s">
        <v>2764</v>
      </c>
      <c r="J611" s="329" t="str">
        <f>IF(B611&lt;&gt;"",+VLOOKUP(I611,Recursos!C:F,2,FALSE),"")</f>
        <v>Distribución de material terraplén</v>
      </c>
      <c r="K611" s="330" t="str">
        <f>IF(B611&lt;&gt;"",+VLOOKUP(I611,Recursos!C:F,3,FALSE),"")</f>
        <v>m3s</v>
      </c>
      <c r="L611" s="446">
        <f>IF(B611&lt;&gt;"",+VLOOKUP(I611,Recursos!C:F,4,FALSE),"")</f>
        <v>17.888012535270992</v>
      </c>
      <c r="M611" s="454">
        <f>+M615</f>
        <v>1.45</v>
      </c>
      <c r="N611" s="453">
        <v>2</v>
      </c>
      <c r="O611" s="449">
        <f>+M611</f>
        <v>1.45</v>
      </c>
      <c r="P611" s="333">
        <f t="shared" si="262"/>
        <v>25.937618176142937</v>
      </c>
      <c r="Q611" s="327">
        <f t="shared" si="263"/>
        <v>0</v>
      </c>
      <c r="R611" s="334">
        <f t="shared" si="264"/>
        <v>0</v>
      </c>
      <c r="S611" s="335">
        <f t="shared" si="267"/>
        <v>0</v>
      </c>
      <c r="T611" s="335">
        <f t="shared" si="268"/>
        <v>0</v>
      </c>
      <c r="U611" s="336">
        <f t="shared" si="269"/>
        <v>0</v>
      </c>
      <c r="V611" s="336">
        <f t="shared" si="270"/>
        <v>0</v>
      </c>
      <c r="W611" s="336">
        <f t="shared" si="271"/>
        <v>0</v>
      </c>
      <c r="X611" s="336">
        <f t="shared" si="272"/>
        <v>297.47300207458295</v>
      </c>
      <c r="Y611" s="320"/>
      <c r="Z611" s="321" t="str">
        <f t="shared" si="276"/>
        <v>X-TER2A</v>
      </c>
      <c r="AA611" s="321" t="str">
        <f t="shared" si="277"/>
        <v>X-TER2E</v>
      </c>
      <c r="AB611" s="321" t="str">
        <f t="shared" si="278"/>
        <v>X-TER2M</v>
      </c>
      <c r="AC611" s="321" t="str">
        <f t="shared" si="279"/>
        <v>X-TER2T</v>
      </c>
      <c r="AD611" s="321" t="str">
        <f t="shared" si="280"/>
        <v>X-TER2S</v>
      </c>
      <c r="AE611" s="321" t="str">
        <f t="shared" si="281"/>
        <v>X-TER2X</v>
      </c>
      <c r="AF611" s="321" t="str">
        <f t="shared" si="282"/>
        <v>X-TER2X</v>
      </c>
      <c r="AG611" s="321">
        <f t="shared" si="273"/>
        <v>8</v>
      </c>
      <c r="AH611" s="321">
        <f>IF(B611&lt;&gt;"",IF(H611="x",VLOOKUP(I611,'AUX-NIV3'!B:AG,32,FALSE),0),"")</f>
        <v>3</v>
      </c>
      <c r="AI611" s="321" t="str">
        <f t="shared" si="283"/>
        <v>X-TER2</v>
      </c>
      <c r="AJ611" s="320"/>
      <c r="AK611" s="322">
        <f t="shared" si="274"/>
        <v>609</v>
      </c>
      <c r="AL611" s="323">
        <f t="shared" si="284"/>
        <v>616</v>
      </c>
      <c r="AM611" s="322">
        <f t="shared" si="285"/>
        <v>3</v>
      </c>
      <c r="AN611" s="380">
        <f>IF(AND(AH611&gt;0,B611&lt;&gt;""),VLOOKUP(I611,'AUX-NIV3'!$B:$AO,39,FALSE)*O611,0)</f>
        <v>1.2083333333333333E-2</v>
      </c>
      <c r="AO611" s="380">
        <f t="shared" si="275"/>
        <v>0.16737436224489799</v>
      </c>
      <c r="AP611" s="380"/>
    </row>
    <row r="612" spans="2:42" ht="14.4" hidden="1" thickTop="1" thickBot="1">
      <c r="B612" s="324" t="s">
        <v>2772</v>
      </c>
      <c r="C612" s="325" t="s">
        <v>2773</v>
      </c>
      <c r="D612" s="326" t="s">
        <v>1386</v>
      </c>
      <c r="E612" s="327">
        <f>IF(B612&lt;&gt;"",SUMIF('AUX-NIV1'!I:I,'AUX-NIV2'!B612,'AUX-NIV1'!Q:Q),"")</f>
        <v>0</v>
      </c>
      <c r="F612" s="327">
        <f t="shared" si="265"/>
        <v>297.47300207458295</v>
      </c>
      <c r="G612" s="327">
        <f t="shared" si="266"/>
        <v>0</v>
      </c>
      <c r="H612" s="328" t="str">
        <f t="shared" si="286"/>
        <v>X</v>
      </c>
      <c r="I612" s="325" t="s">
        <v>2746</v>
      </c>
      <c r="J612" s="329" t="str">
        <f>IF(B612&lt;&gt;"",+VLOOKUP(I612,Recursos!C:F,2,FALSE),"")</f>
        <v>Obtención de Agua para Riego</v>
      </c>
      <c r="K612" s="330" t="str">
        <f>IF(B612&lt;&gt;"",+VLOOKUP(I612,Recursos!C:F,3,FALSE),"")</f>
        <v>m3</v>
      </c>
      <c r="L612" s="446">
        <f>IF(B612&lt;&gt;"",+VLOOKUP(I612,Recursos!C:F,4,FALSE),"")</f>
        <v>148.35029836815718</v>
      </c>
      <c r="M612" s="452">
        <v>1.5</v>
      </c>
      <c r="N612" s="453">
        <v>0.06</v>
      </c>
      <c r="O612" s="449">
        <f>+N611*N612</f>
        <v>0.12</v>
      </c>
      <c r="P612" s="333">
        <f t="shared" si="262"/>
        <v>17.80203580417886</v>
      </c>
      <c r="Q612" s="327">
        <f t="shared" si="263"/>
        <v>0</v>
      </c>
      <c r="R612" s="334">
        <f t="shared" si="264"/>
        <v>0</v>
      </c>
      <c r="S612" s="335">
        <f t="shared" si="267"/>
        <v>0</v>
      </c>
      <c r="T612" s="335">
        <f t="shared" si="268"/>
        <v>0</v>
      </c>
      <c r="U612" s="336">
        <f t="shared" si="269"/>
        <v>0</v>
      </c>
      <c r="V612" s="336">
        <f t="shared" si="270"/>
        <v>0</v>
      </c>
      <c r="W612" s="336">
        <f t="shared" si="271"/>
        <v>0</v>
      </c>
      <c r="X612" s="336">
        <f t="shared" si="272"/>
        <v>297.47300207458295</v>
      </c>
      <c r="Y612" s="320"/>
      <c r="Z612" s="321" t="str">
        <f t="shared" si="276"/>
        <v>X-TER2A</v>
      </c>
      <c r="AA612" s="321" t="str">
        <f t="shared" si="277"/>
        <v>X-TER2E</v>
      </c>
      <c r="AB612" s="321" t="str">
        <f t="shared" si="278"/>
        <v>X-TER2M</v>
      </c>
      <c r="AC612" s="321" t="str">
        <f t="shared" si="279"/>
        <v>X-TER2T</v>
      </c>
      <c r="AD612" s="321" t="str">
        <f t="shared" si="280"/>
        <v>X-TER2S</v>
      </c>
      <c r="AE612" s="321" t="str">
        <f t="shared" si="281"/>
        <v>X-TER2X</v>
      </c>
      <c r="AF612" s="321" t="str">
        <f t="shared" si="282"/>
        <v>X-TER2X</v>
      </c>
      <c r="AG612" s="321">
        <f t="shared" si="273"/>
        <v>8</v>
      </c>
      <c r="AH612" s="321">
        <f>IF(B612&lt;&gt;"",IF(H612="x",VLOOKUP(I612,'AUX-NIV3'!B:AG,32,FALSE),0),"")</f>
        <v>5</v>
      </c>
      <c r="AI612" s="321" t="str">
        <f t="shared" si="283"/>
        <v>X-TER2</v>
      </c>
      <c r="AJ612" s="320"/>
      <c r="AK612" s="322">
        <f t="shared" si="274"/>
        <v>609</v>
      </c>
      <c r="AL612" s="323">
        <f t="shared" si="284"/>
        <v>616</v>
      </c>
      <c r="AM612" s="322">
        <f t="shared" si="285"/>
        <v>4</v>
      </c>
      <c r="AN612" s="380">
        <f>IF(AND(AH612&gt;0,B612&lt;&gt;""),VLOOKUP(I612,'AUX-NIV3'!$B:$AO,39,FALSE)*O612,0)</f>
        <v>4.0000000000000001E-3</v>
      </c>
      <c r="AO612" s="380">
        <f t="shared" si="275"/>
        <v>0.16737436224489799</v>
      </c>
      <c r="AP612" s="380"/>
    </row>
    <row r="613" spans="2:42" ht="14.4" hidden="1" thickTop="1" thickBot="1">
      <c r="B613" s="324" t="s">
        <v>2772</v>
      </c>
      <c r="C613" s="325" t="s">
        <v>2773</v>
      </c>
      <c r="D613" s="326" t="s">
        <v>1386</v>
      </c>
      <c r="E613" s="327">
        <f>IF(B613&lt;&gt;"",SUMIF('AUX-NIV1'!I:I,'AUX-NIV2'!B613,'AUX-NIV1'!Q:Q),"")</f>
        <v>0</v>
      </c>
      <c r="F613" s="327">
        <f t="shared" si="265"/>
        <v>297.47300207458295</v>
      </c>
      <c r="G613" s="327">
        <f t="shared" si="266"/>
        <v>0</v>
      </c>
      <c r="H613" s="328" t="str">
        <f t="shared" si="286"/>
        <v>X</v>
      </c>
      <c r="I613" s="325" t="s">
        <v>2748</v>
      </c>
      <c r="J613" s="329" t="str">
        <f>IF(B613&lt;&gt;"",+VLOOKUP(I613,Recursos!C:F,2,FALSE),"")</f>
        <v>Transporte de Agua para riego</v>
      </c>
      <c r="K613" s="330" t="str">
        <f>IF(B613&lt;&gt;"",+VLOOKUP(I613,Recursos!C:F,3,FALSE),"")</f>
        <v>m3</v>
      </c>
      <c r="L613" s="446">
        <f>IF(B613&lt;&gt;"",+VLOOKUP(I613,Recursos!C:F,4,FALSE),"")</f>
        <v>368.5637895861521</v>
      </c>
      <c r="M613" s="454">
        <f>+N612</f>
        <v>0.06</v>
      </c>
      <c r="N613" s="508"/>
      <c r="O613" s="449">
        <f>+N611*N612</f>
        <v>0.12</v>
      </c>
      <c r="P613" s="333">
        <f t="shared" si="262"/>
        <v>44.227654750338253</v>
      </c>
      <c r="Q613" s="327">
        <f t="shared" si="263"/>
        <v>0</v>
      </c>
      <c r="R613" s="334">
        <f t="shared" si="264"/>
        <v>0</v>
      </c>
      <c r="S613" s="335">
        <f t="shared" si="267"/>
        <v>0</v>
      </c>
      <c r="T613" s="335">
        <f t="shared" si="268"/>
        <v>0</v>
      </c>
      <c r="U613" s="336">
        <f t="shared" si="269"/>
        <v>0</v>
      </c>
      <c r="V613" s="336">
        <f t="shared" si="270"/>
        <v>0</v>
      </c>
      <c r="W613" s="336">
        <f t="shared" si="271"/>
        <v>0</v>
      </c>
      <c r="X613" s="336">
        <f t="shared" si="272"/>
        <v>297.47300207458295</v>
      </c>
      <c r="Y613" s="320"/>
      <c r="Z613" s="321" t="str">
        <f t="shared" si="276"/>
        <v>X-TER2A</v>
      </c>
      <c r="AA613" s="321" t="str">
        <f t="shared" si="277"/>
        <v>X-TER2E</v>
      </c>
      <c r="AB613" s="321" t="str">
        <f t="shared" si="278"/>
        <v>X-TER2M</v>
      </c>
      <c r="AC613" s="321" t="str">
        <f t="shared" si="279"/>
        <v>X-TER2T</v>
      </c>
      <c r="AD613" s="321" t="str">
        <f t="shared" si="280"/>
        <v>X-TER2S</v>
      </c>
      <c r="AE613" s="321" t="str">
        <f t="shared" si="281"/>
        <v>X-TER2X</v>
      </c>
      <c r="AF613" s="321" t="str">
        <f t="shared" si="282"/>
        <v>X-TER2X</v>
      </c>
      <c r="AG613" s="321">
        <f t="shared" si="273"/>
        <v>8</v>
      </c>
      <c r="AH613" s="321">
        <f>IF(B613&lt;&gt;"",IF(H613="x",VLOOKUP(I613,'AUX-NIV3'!B:AG,32,FALSE),0),"")</f>
        <v>2</v>
      </c>
      <c r="AI613" s="321" t="str">
        <f t="shared" si="283"/>
        <v>X-TER2</v>
      </c>
      <c r="AJ613" s="320"/>
      <c r="AK613" s="322">
        <f t="shared" si="274"/>
        <v>609</v>
      </c>
      <c r="AL613" s="323">
        <f t="shared" si="284"/>
        <v>616</v>
      </c>
      <c r="AM613" s="322">
        <f t="shared" si="285"/>
        <v>5</v>
      </c>
      <c r="AN613" s="380">
        <f>IF(AND(AH613&gt;0,B613&lt;&gt;""),VLOOKUP(I613,'AUX-NIV3'!$B:$AO,39,FALSE)*O613,0)</f>
        <v>1.9047619047619046E-2</v>
      </c>
      <c r="AO613" s="380">
        <f t="shared" si="275"/>
        <v>0.16737436224489799</v>
      </c>
      <c r="AP613" s="380"/>
    </row>
    <row r="614" spans="2:42" ht="14.4" hidden="1" thickTop="1" thickBot="1">
      <c r="B614" s="324" t="s">
        <v>2772</v>
      </c>
      <c r="C614" s="325" t="s">
        <v>2773</v>
      </c>
      <c r="D614" s="326" t="s">
        <v>1386</v>
      </c>
      <c r="E614" s="327">
        <f>IF(B614&lt;&gt;"",SUMIF('AUX-NIV1'!I:I,'AUX-NIV2'!B614,'AUX-NIV1'!Q:Q),"")</f>
        <v>0</v>
      </c>
      <c r="F614" s="327">
        <f t="shared" si="265"/>
        <v>297.47300207458295</v>
      </c>
      <c r="G614" s="327">
        <f t="shared" si="266"/>
        <v>0</v>
      </c>
      <c r="H614" s="328" t="str">
        <f t="shared" si="286"/>
        <v>X</v>
      </c>
      <c r="I614" s="325" t="s">
        <v>2750</v>
      </c>
      <c r="J614" s="329" t="str">
        <f>IF(B614&lt;&gt;"",+VLOOKUP(I614,Recursos!C:F,2,FALSE),"")</f>
        <v>Riego para terraplen</v>
      </c>
      <c r="K614" s="330" t="str">
        <f>IF(B614&lt;&gt;"",+VLOOKUP(I614,Recursos!C:F,3,FALSE),"")</f>
        <v>m3</v>
      </c>
      <c r="L614" s="446">
        <f>IF(B614&lt;&gt;"",+VLOOKUP(I614,Recursos!C:F,4,FALSE),"")</f>
        <v>214.40877360073679</v>
      </c>
      <c r="M614" s="454">
        <f>+M609</f>
        <v>1.2</v>
      </c>
      <c r="N614" s="508"/>
      <c r="O614" s="449">
        <f>+N611*N612</f>
        <v>0.12</v>
      </c>
      <c r="P614" s="333">
        <f t="shared" si="262"/>
        <v>25.729052832088414</v>
      </c>
      <c r="Q614" s="327">
        <f t="shared" si="263"/>
        <v>0</v>
      </c>
      <c r="R614" s="334">
        <f t="shared" si="264"/>
        <v>0</v>
      </c>
      <c r="S614" s="335">
        <f t="shared" si="267"/>
        <v>0</v>
      </c>
      <c r="T614" s="335">
        <f t="shared" si="268"/>
        <v>0</v>
      </c>
      <c r="U614" s="336">
        <f t="shared" si="269"/>
        <v>0</v>
      </c>
      <c r="V614" s="336">
        <f t="shared" si="270"/>
        <v>0</v>
      </c>
      <c r="W614" s="336">
        <f t="shared" si="271"/>
        <v>0</v>
      </c>
      <c r="X614" s="336">
        <f t="shared" si="272"/>
        <v>297.47300207458295</v>
      </c>
      <c r="Y614" s="320"/>
      <c r="Z614" s="321" t="str">
        <f t="shared" si="276"/>
        <v>X-TER2A</v>
      </c>
      <c r="AA614" s="321" t="str">
        <f t="shared" si="277"/>
        <v>X-TER2E</v>
      </c>
      <c r="AB614" s="321" t="str">
        <f t="shared" si="278"/>
        <v>X-TER2M</v>
      </c>
      <c r="AC614" s="321" t="str">
        <f t="shared" si="279"/>
        <v>X-TER2T</v>
      </c>
      <c r="AD614" s="321" t="str">
        <f t="shared" si="280"/>
        <v>X-TER2S</v>
      </c>
      <c r="AE614" s="321" t="str">
        <f t="shared" si="281"/>
        <v>X-TER2X</v>
      </c>
      <c r="AF614" s="321" t="str">
        <f t="shared" si="282"/>
        <v>X-TER2X</v>
      </c>
      <c r="AG614" s="321">
        <f t="shared" si="273"/>
        <v>8</v>
      </c>
      <c r="AH614" s="321">
        <f>IF(B614&lt;&gt;"",IF(H614="x",VLOOKUP(I614,'AUX-NIV3'!B:AG,32,FALSE),0),"")</f>
        <v>3</v>
      </c>
      <c r="AI614" s="321" t="str">
        <f t="shared" si="283"/>
        <v>X-TER2</v>
      </c>
      <c r="AJ614" s="320"/>
      <c r="AK614" s="322">
        <f t="shared" si="274"/>
        <v>609</v>
      </c>
      <c r="AL614" s="323">
        <f t="shared" si="284"/>
        <v>616</v>
      </c>
      <c r="AM614" s="322">
        <f t="shared" si="285"/>
        <v>6</v>
      </c>
      <c r="AN614" s="380">
        <f>IF(AND(AH614&gt;0,B614&lt;&gt;""),VLOOKUP(I614,'AUX-NIV3'!$B:$AO,39,FALSE)*O614,0)</f>
        <v>1.8749999999999999E-2</v>
      </c>
      <c r="AO614" s="380">
        <f t="shared" si="275"/>
        <v>0.16737436224489799</v>
      </c>
      <c r="AP614" s="380"/>
    </row>
    <row r="615" spans="2:42" ht="14.4" hidden="1" thickTop="1" thickBot="1">
      <c r="B615" s="324" t="s">
        <v>2772</v>
      </c>
      <c r="C615" s="325" t="s">
        <v>2773</v>
      </c>
      <c r="D615" s="326" t="s">
        <v>1386</v>
      </c>
      <c r="E615" s="327">
        <f>IF(B615&lt;&gt;"",SUMIF('AUX-NIV1'!I:I,'AUX-NIV2'!B615,'AUX-NIV1'!Q:Q),"")</f>
        <v>0</v>
      </c>
      <c r="F615" s="327">
        <f t="shared" si="265"/>
        <v>297.47300207458295</v>
      </c>
      <c r="G615" s="327">
        <f t="shared" si="266"/>
        <v>0</v>
      </c>
      <c r="H615" s="328" t="str">
        <f t="shared" si="286"/>
        <v>X</v>
      </c>
      <c r="I615" s="325" t="s">
        <v>2752</v>
      </c>
      <c r="J615" s="329" t="str">
        <f>IF(B615&lt;&gt;"",+VLOOKUP(I615,Recursos!C:F,2,FALSE),"")</f>
        <v>Homogeinización del Material</v>
      </c>
      <c r="K615" s="330" t="str">
        <f>IF(B615&lt;&gt;"",+VLOOKUP(I615,Recursos!C:F,3,FALSE),"")</f>
        <v>m2</v>
      </c>
      <c r="L615" s="446">
        <f>IF(B615&lt;&gt;"",+VLOOKUP(I615,Recursos!C:F,4,FALSE),"")</f>
        <v>5.3664037605812966</v>
      </c>
      <c r="M615" s="452">
        <v>1.45</v>
      </c>
      <c r="N615" s="453">
        <v>1</v>
      </c>
      <c r="O615" s="449">
        <f>+M615</f>
        <v>1.45</v>
      </c>
      <c r="P615" s="333">
        <f t="shared" si="262"/>
        <v>7.7812854528428801</v>
      </c>
      <c r="Q615" s="327">
        <f t="shared" si="263"/>
        <v>0</v>
      </c>
      <c r="R615" s="334">
        <f t="shared" si="264"/>
        <v>0</v>
      </c>
      <c r="S615" s="335">
        <f t="shared" si="267"/>
        <v>0</v>
      </c>
      <c r="T615" s="335">
        <f t="shared" si="268"/>
        <v>0</v>
      </c>
      <c r="U615" s="336">
        <f t="shared" si="269"/>
        <v>0</v>
      </c>
      <c r="V615" s="336">
        <f t="shared" si="270"/>
        <v>0</v>
      </c>
      <c r="W615" s="336">
        <f t="shared" si="271"/>
        <v>0</v>
      </c>
      <c r="X615" s="336">
        <f t="shared" si="272"/>
        <v>297.47300207458295</v>
      </c>
      <c r="Y615" s="320"/>
      <c r="Z615" s="321" t="str">
        <f t="shared" si="276"/>
        <v>X-TER2A</v>
      </c>
      <c r="AA615" s="321" t="str">
        <f t="shared" si="277"/>
        <v>X-TER2E</v>
      </c>
      <c r="AB615" s="321" t="str">
        <f t="shared" si="278"/>
        <v>X-TER2M</v>
      </c>
      <c r="AC615" s="321" t="str">
        <f t="shared" si="279"/>
        <v>X-TER2T</v>
      </c>
      <c r="AD615" s="321" t="str">
        <f t="shared" si="280"/>
        <v>X-TER2S</v>
      </c>
      <c r="AE615" s="321" t="str">
        <f t="shared" si="281"/>
        <v>X-TER2X</v>
      </c>
      <c r="AF615" s="321" t="str">
        <f t="shared" si="282"/>
        <v>X-TER2X</v>
      </c>
      <c r="AG615" s="321">
        <f t="shared" si="273"/>
        <v>8</v>
      </c>
      <c r="AH615" s="321">
        <f>IF(B615&lt;&gt;"",IF(H615="x",VLOOKUP(I615,'AUX-NIV3'!B:AG,32,FALSE),0),"")</f>
        <v>3</v>
      </c>
      <c r="AI615" s="321" t="str">
        <f t="shared" si="283"/>
        <v>X-TER2</v>
      </c>
      <c r="AJ615" s="320"/>
      <c r="AK615" s="322">
        <f t="shared" si="274"/>
        <v>609</v>
      </c>
      <c r="AL615" s="323">
        <f t="shared" si="284"/>
        <v>616</v>
      </c>
      <c r="AM615" s="322">
        <f t="shared" si="285"/>
        <v>7</v>
      </c>
      <c r="AN615" s="380">
        <f>IF(AND(AH615&gt;0,B615&lt;&gt;""),VLOOKUP(I615,'AUX-NIV3'!$B:$AO,39,FALSE)*O615,0)</f>
        <v>3.6249999999999998E-3</v>
      </c>
      <c r="AO615" s="380">
        <f t="shared" si="275"/>
        <v>0.16737436224489799</v>
      </c>
      <c r="AP615" s="380"/>
    </row>
    <row r="616" spans="2:42" ht="14.4" hidden="1" thickTop="1" thickBot="1">
      <c r="B616" s="324" t="s">
        <v>2772</v>
      </c>
      <c r="C616" s="325" t="s">
        <v>2773</v>
      </c>
      <c r="D616" s="326" t="s">
        <v>1386</v>
      </c>
      <c r="E616" s="327">
        <f>IF(B616&lt;&gt;"",SUMIF('AUX-NIV1'!I:I,'AUX-NIV2'!B616,'AUX-NIV1'!Q:Q),"")</f>
        <v>0</v>
      </c>
      <c r="F616" s="327">
        <f t="shared" si="265"/>
        <v>297.47300207458295</v>
      </c>
      <c r="G616" s="327">
        <f t="shared" si="266"/>
        <v>0</v>
      </c>
      <c r="H616" s="328" t="str">
        <f t="shared" si="286"/>
        <v>X</v>
      </c>
      <c r="I616" s="325" t="s">
        <v>2768</v>
      </c>
      <c r="J616" s="329" t="str">
        <f>IF(B616&lt;&gt;"",+VLOOKUP(I616,Recursos!C:F,2,FALSE),"")</f>
        <v>Compactación de terraplen</v>
      </c>
      <c r="K616" s="330" t="str">
        <f>IF(B616&lt;&gt;"",+VLOOKUP(I616,Recursos!C:F,3,FALSE),"")</f>
        <v>m3c</v>
      </c>
      <c r="L616" s="446">
        <f>IF(B616&lt;&gt;"",+VLOOKUP(I616,Recursos!C:F,4,FALSE),"")</f>
        <v>46.720032694329319</v>
      </c>
      <c r="M616" s="450">
        <v>1</v>
      </c>
      <c r="N616" s="451">
        <v>1</v>
      </c>
      <c r="O616" s="449">
        <f>+M616</f>
        <v>1</v>
      </c>
      <c r="P616" s="333">
        <f t="shared" si="262"/>
        <v>46.720032694329319</v>
      </c>
      <c r="Q616" s="327">
        <f t="shared" si="263"/>
        <v>0</v>
      </c>
      <c r="R616" s="334">
        <f t="shared" si="264"/>
        <v>0</v>
      </c>
      <c r="S616" s="335">
        <f t="shared" si="267"/>
        <v>0</v>
      </c>
      <c r="T616" s="335">
        <f t="shared" si="268"/>
        <v>0</v>
      </c>
      <c r="U616" s="336">
        <f t="shared" si="269"/>
        <v>0</v>
      </c>
      <c r="V616" s="336">
        <f t="shared" si="270"/>
        <v>0</v>
      </c>
      <c r="W616" s="336">
        <f t="shared" si="271"/>
        <v>0</v>
      </c>
      <c r="X616" s="336">
        <f t="shared" si="272"/>
        <v>297.47300207458295</v>
      </c>
      <c r="Y616" s="320"/>
      <c r="Z616" s="321" t="str">
        <f t="shared" si="276"/>
        <v>X-TER2A</v>
      </c>
      <c r="AA616" s="321" t="str">
        <f t="shared" si="277"/>
        <v>X-TER2E</v>
      </c>
      <c r="AB616" s="321" t="str">
        <f t="shared" si="278"/>
        <v>X-TER2M</v>
      </c>
      <c r="AC616" s="321" t="str">
        <f t="shared" si="279"/>
        <v>X-TER2T</v>
      </c>
      <c r="AD616" s="321" t="str">
        <f t="shared" si="280"/>
        <v>X-TER2S</v>
      </c>
      <c r="AE616" s="321" t="str">
        <f t="shared" si="281"/>
        <v>X-TER2X</v>
      </c>
      <c r="AF616" s="321" t="str">
        <f t="shared" si="282"/>
        <v>X-TER2X</v>
      </c>
      <c r="AG616" s="321">
        <f t="shared" si="273"/>
        <v>8</v>
      </c>
      <c r="AH616" s="321">
        <f>IF(B616&lt;&gt;"",IF(H616="x",VLOOKUP(I616,'AUX-NIV3'!B:AG,32,FALSE),0),"")</f>
        <v>6</v>
      </c>
      <c r="AI616" s="321" t="str">
        <f t="shared" si="283"/>
        <v>X-TER2</v>
      </c>
      <c r="AJ616" s="320"/>
      <c r="AK616" s="322">
        <f t="shared" si="274"/>
        <v>609</v>
      </c>
      <c r="AL616" s="323">
        <f t="shared" si="284"/>
        <v>616</v>
      </c>
      <c r="AM616" s="322">
        <f t="shared" si="285"/>
        <v>8</v>
      </c>
      <c r="AN616" s="380">
        <f>IF(AND(AH616&gt;0,B616&lt;&gt;""),VLOOKUP(I616,'AUX-NIV3'!$B:$AO,39,FALSE)*O616,0)</f>
        <v>4.4624999999999998E-2</v>
      </c>
      <c r="AO616" s="380">
        <f t="shared" si="275"/>
        <v>0.16737436224489799</v>
      </c>
      <c r="AP616" s="380"/>
    </row>
    <row r="617" spans="2:42" ht="14.4" hidden="1" thickTop="1" thickBot="1">
      <c r="B617" s="324" t="s">
        <v>2774</v>
      </c>
      <c r="C617" s="325" t="s">
        <v>2775</v>
      </c>
      <c r="D617" s="326" t="s">
        <v>1386</v>
      </c>
      <c r="E617" s="327">
        <f>IF(B617&lt;&gt;"",SUMIF('AUX-NIV1'!I:I,'AUX-NIV2'!B617,'AUX-NIV1'!Q:Q),"")</f>
        <v>0</v>
      </c>
      <c r="F617" s="327">
        <f t="shared" si="265"/>
        <v>788.42258766717202</v>
      </c>
      <c r="G617" s="327">
        <f t="shared" si="266"/>
        <v>0</v>
      </c>
      <c r="H617" s="328" t="str">
        <f t="shared" si="286"/>
        <v>X</v>
      </c>
      <c r="I617" s="325" t="s">
        <v>2756</v>
      </c>
      <c r="J617" s="329" t="str">
        <f>IF(B617&lt;&gt;"",+VLOOKUP(I617,Recursos!C:F,2,FALSE),"")</f>
        <v>Explotación préstamo con Retro</v>
      </c>
      <c r="K617" s="330" t="str">
        <f>IF(B617&lt;&gt;"",+VLOOKUP(I617,Recursos!C:F,3,FALSE),"")</f>
        <v>m3</v>
      </c>
      <c r="L617" s="446">
        <f>IF(B617&lt;&gt;"",+VLOOKUP(I617,Recursos!C:F,4,FALSE),"")</f>
        <v>62.271140341608451</v>
      </c>
      <c r="M617" s="447">
        <v>1.2</v>
      </c>
      <c r="N617" s="448">
        <v>0.82750000000000001</v>
      </c>
      <c r="O617" s="449">
        <f>+M617</f>
        <v>1.2</v>
      </c>
      <c r="P617" s="333">
        <f t="shared" si="262"/>
        <v>74.725368409930141</v>
      </c>
      <c r="Q617" s="327">
        <f t="shared" si="263"/>
        <v>0</v>
      </c>
      <c r="R617" s="334">
        <f t="shared" si="264"/>
        <v>0</v>
      </c>
      <c r="S617" s="335">
        <f t="shared" si="267"/>
        <v>0</v>
      </c>
      <c r="T617" s="335">
        <f t="shared" si="268"/>
        <v>0</v>
      </c>
      <c r="U617" s="336">
        <f t="shared" si="269"/>
        <v>0</v>
      </c>
      <c r="V617" s="336">
        <f t="shared" si="270"/>
        <v>0</v>
      </c>
      <c r="W617" s="336">
        <f t="shared" si="271"/>
        <v>0</v>
      </c>
      <c r="X617" s="336">
        <f t="shared" si="272"/>
        <v>788.42258766717202</v>
      </c>
      <c r="Y617" s="320"/>
      <c r="Z617" s="321" t="str">
        <f t="shared" si="276"/>
        <v>X-TER1A</v>
      </c>
      <c r="AA617" s="321" t="str">
        <f t="shared" si="277"/>
        <v>X-TER1E</v>
      </c>
      <c r="AB617" s="321" t="str">
        <f t="shared" si="278"/>
        <v>X-TER1M</v>
      </c>
      <c r="AC617" s="321" t="str">
        <f t="shared" si="279"/>
        <v>X-TER1T</v>
      </c>
      <c r="AD617" s="321" t="str">
        <f t="shared" si="280"/>
        <v>X-TER1S</v>
      </c>
      <c r="AE617" s="321" t="str">
        <f t="shared" si="281"/>
        <v>X-TER1X</v>
      </c>
      <c r="AF617" s="321" t="str">
        <f t="shared" si="282"/>
        <v>X-TER1X</v>
      </c>
      <c r="AG617" s="321">
        <f t="shared" si="273"/>
        <v>8</v>
      </c>
      <c r="AH617" s="321">
        <f>IF(B617&lt;&gt;"",IF(H617="x",VLOOKUP(I617,'AUX-NIV3'!B:AG,32,FALSE),0),"")</f>
        <v>4</v>
      </c>
      <c r="AI617" s="321" t="str">
        <f t="shared" si="283"/>
        <v>X-TER1</v>
      </c>
      <c r="AJ617" s="320"/>
      <c r="AK617" s="322">
        <f t="shared" si="274"/>
        <v>617</v>
      </c>
      <c r="AL617" s="323">
        <f t="shared" si="284"/>
        <v>624</v>
      </c>
      <c r="AM617" s="322">
        <f t="shared" si="285"/>
        <v>1</v>
      </c>
      <c r="AN617" s="380">
        <f>IF(AND(AH617&gt;0,B617&lt;&gt;""),VLOOKUP(I617,'AUX-NIV3'!$B:$AO,39,FALSE)*O617,0)</f>
        <v>4.8000000000000001E-2</v>
      </c>
      <c r="AO617" s="380">
        <f t="shared" si="275"/>
        <v>0.32256505102040811</v>
      </c>
      <c r="AP617" s="380"/>
    </row>
    <row r="618" spans="2:42" ht="14.4" hidden="1" thickTop="1" thickBot="1">
      <c r="B618" s="324" t="s">
        <v>2774</v>
      </c>
      <c r="C618" s="325" t="s">
        <v>2775</v>
      </c>
      <c r="D618" s="326" t="s">
        <v>1386</v>
      </c>
      <c r="E618" s="327">
        <f>IF(B618&lt;&gt;"",SUMIF('AUX-NIV1'!I:I,'AUX-NIV2'!B618,'AUX-NIV1'!Q:Q),"")</f>
        <v>0</v>
      </c>
      <c r="F618" s="327">
        <f t="shared" si="265"/>
        <v>788.42258766717202</v>
      </c>
      <c r="G618" s="327">
        <f t="shared" si="266"/>
        <v>0</v>
      </c>
      <c r="H618" s="328" t="str">
        <f t="shared" si="286"/>
        <v>X</v>
      </c>
      <c r="I618" s="324" t="s">
        <v>2758</v>
      </c>
      <c r="J618" s="329" t="str">
        <f>IF(B618&lt;&gt;"",+VLOOKUP(I618,Recursos!C:F,2,FALSE),"")</f>
        <v>Transporte de Suelo DMT 5 km</v>
      </c>
      <c r="K618" s="330" t="str">
        <f>IF(B618&lt;&gt;"",+VLOOKUP(I618,Recursos!C:F,3,FALSE),"")</f>
        <v>m3s.km</v>
      </c>
      <c r="L618" s="446">
        <f>IF(B618&lt;&gt;"",+VLOOKUP(I618,Recursos!C:F,4,FALSE),"")</f>
        <v>25.080438599876832</v>
      </c>
      <c r="M618" s="454">
        <f>+M617</f>
        <v>1.2</v>
      </c>
      <c r="N618" s="508"/>
      <c r="O618" s="449">
        <f>+M620*M623</f>
        <v>21.75</v>
      </c>
      <c r="P618" s="333">
        <f t="shared" si="262"/>
        <v>545.49953954732109</v>
      </c>
      <c r="Q618" s="327">
        <f t="shared" si="263"/>
        <v>0</v>
      </c>
      <c r="R618" s="334">
        <f t="shared" si="264"/>
        <v>0</v>
      </c>
      <c r="S618" s="335">
        <f t="shared" si="267"/>
        <v>0</v>
      </c>
      <c r="T618" s="335">
        <f t="shared" si="268"/>
        <v>0</v>
      </c>
      <c r="U618" s="336">
        <f t="shared" si="269"/>
        <v>0</v>
      </c>
      <c r="V618" s="336">
        <f t="shared" si="270"/>
        <v>0</v>
      </c>
      <c r="W618" s="336">
        <f t="shared" si="271"/>
        <v>0</v>
      </c>
      <c r="X618" s="336">
        <f t="shared" si="272"/>
        <v>788.42258766717202</v>
      </c>
      <c r="Y618" s="320"/>
      <c r="Z618" s="321" t="str">
        <f t="shared" si="276"/>
        <v>X-TER1A</v>
      </c>
      <c r="AA618" s="321" t="str">
        <f t="shared" si="277"/>
        <v>X-TER1E</v>
      </c>
      <c r="AB618" s="321" t="str">
        <f t="shared" si="278"/>
        <v>X-TER1M</v>
      </c>
      <c r="AC618" s="321" t="str">
        <f t="shared" si="279"/>
        <v>X-TER1T</v>
      </c>
      <c r="AD618" s="321" t="str">
        <f t="shared" si="280"/>
        <v>X-TER1S</v>
      </c>
      <c r="AE618" s="321" t="str">
        <f t="shared" si="281"/>
        <v>X-TER1X</v>
      </c>
      <c r="AF618" s="321" t="str">
        <f t="shared" si="282"/>
        <v>X-TER1X</v>
      </c>
      <c r="AG618" s="321">
        <f t="shared" si="273"/>
        <v>8</v>
      </c>
      <c r="AH618" s="321">
        <f>IF(B618&lt;&gt;"",IF(H618="x",VLOOKUP(I618,'AUX-NIV3'!B:AG,32,FALSE),0),"")</f>
        <v>2</v>
      </c>
      <c r="AI618" s="321" t="str">
        <f t="shared" si="283"/>
        <v>X-TER1</v>
      </c>
      <c r="AJ618" s="320"/>
      <c r="AK618" s="322">
        <f t="shared" si="274"/>
        <v>617</v>
      </c>
      <c r="AL618" s="323">
        <f t="shared" si="284"/>
        <v>624</v>
      </c>
      <c r="AM618" s="322">
        <f t="shared" si="285"/>
        <v>2</v>
      </c>
      <c r="AN618" s="380">
        <f>IF(AND(AH618&gt;0,B618&lt;&gt;""),VLOOKUP(I618,'AUX-NIV3'!$B:$AO,39,FALSE)*O618,0)</f>
        <v>0.17243409863945577</v>
      </c>
      <c r="AO618" s="380">
        <f t="shared" si="275"/>
        <v>0.32256505102040811</v>
      </c>
      <c r="AP618" s="380"/>
    </row>
    <row r="619" spans="2:42" ht="14.4" hidden="1" thickTop="1" thickBot="1">
      <c r="B619" s="324" t="s">
        <v>2774</v>
      </c>
      <c r="C619" s="325" t="s">
        <v>2775</v>
      </c>
      <c r="D619" s="326" t="s">
        <v>1386</v>
      </c>
      <c r="E619" s="327">
        <f>IF(B619&lt;&gt;"",SUMIF('AUX-NIV1'!I:I,'AUX-NIV2'!B619,'AUX-NIV1'!Q:Q),"")</f>
        <v>0</v>
      </c>
      <c r="F619" s="327">
        <f t="shared" si="265"/>
        <v>788.42258766717202</v>
      </c>
      <c r="G619" s="327">
        <f t="shared" si="266"/>
        <v>0</v>
      </c>
      <c r="H619" s="328" t="str">
        <f t="shared" si="286"/>
        <v>X</v>
      </c>
      <c r="I619" s="325" t="s">
        <v>2764</v>
      </c>
      <c r="J619" s="329" t="str">
        <f>IF(B619&lt;&gt;"",+VLOOKUP(I619,Recursos!C:F,2,FALSE),"")</f>
        <v>Distribución de material terraplén</v>
      </c>
      <c r="K619" s="330" t="str">
        <f>IF(B619&lt;&gt;"",+VLOOKUP(I619,Recursos!C:F,3,FALSE),"")</f>
        <v>m3s</v>
      </c>
      <c r="L619" s="446">
        <f>IF(B619&lt;&gt;"",+VLOOKUP(I619,Recursos!C:F,4,FALSE),"")</f>
        <v>17.888012535270992</v>
      </c>
      <c r="M619" s="454">
        <f>+M623</f>
        <v>1.45</v>
      </c>
      <c r="N619" s="453">
        <v>2</v>
      </c>
      <c r="O619" s="449">
        <f>+M619</f>
        <v>1.45</v>
      </c>
      <c r="P619" s="333">
        <f t="shared" si="262"/>
        <v>25.937618176142937</v>
      </c>
      <c r="Q619" s="327">
        <f t="shared" si="263"/>
        <v>0</v>
      </c>
      <c r="R619" s="334">
        <f t="shared" si="264"/>
        <v>0</v>
      </c>
      <c r="S619" s="335">
        <f t="shared" si="267"/>
        <v>0</v>
      </c>
      <c r="T619" s="335">
        <f t="shared" si="268"/>
        <v>0</v>
      </c>
      <c r="U619" s="336">
        <f t="shared" si="269"/>
        <v>0</v>
      </c>
      <c r="V619" s="336">
        <f t="shared" si="270"/>
        <v>0</v>
      </c>
      <c r="W619" s="336">
        <f t="shared" si="271"/>
        <v>0</v>
      </c>
      <c r="X619" s="336">
        <f t="shared" si="272"/>
        <v>788.42258766717202</v>
      </c>
      <c r="Y619" s="320"/>
      <c r="Z619" s="321" t="str">
        <f t="shared" si="276"/>
        <v>X-TER1A</v>
      </c>
      <c r="AA619" s="321" t="str">
        <f t="shared" si="277"/>
        <v>X-TER1E</v>
      </c>
      <c r="AB619" s="321" t="str">
        <f t="shared" si="278"/>
        <v>X-TER1M</v>
      </c>
      <c r="AC619" s="321" t="str">
        <f t="shared" si="279"/>
        <v>X-TER1T</v>
      </c>
      <c r="AD619" s="321" t="str">
        <f t="shared" si="280"/>
        <v>X-TER1S</v>
      </c>
      <c r="AE619" s="321" t="str">
        <f t="shared" si="281"/>
        <v>X-TER1X</v>
      </c>
      <c r="AF619" s="321" t="str">
        <f t="shared" si="282"/>
        <v>X-TER1X</v>
      </c>
      <c r="AG619" s="321">
        <f t="shared" si="273"/>
        <v>8</v>
      </c>
      <c r="AH619" s="321">
        <f>IF(B619&lt;&gt;"",IF(H619="x",VLOOKUP(I619,'AUX-NIV3'!B:AG,32,FALSE),0),"")</f>
        <v>3</v>
      </c>
      <c r="AI619" s="321" t="str">
        <f t="shared" si="283"/>
        <v>X-TER1</v>
      </c>
      <c r="AJ619" s="320"/>
      <c r="AK619" s="322">
        <f t="shared" si="274"/>
        <v>617</v>
      </c>
      <c r="AL619" s="323">
        <f t="shared" si="284"/>
        <v>624</v>
      </c>
      <c r="AM619" s="322">
        <f t="shared" si="285"/>
        <v>3</v>
      </c>
      <c r="AN619" s="380">
        <f>IF(AND(AH619&gt;0,B619&lt;&gt;""),VLOOKUP(I619,'AUX-NIV3'!$B:$AO,39,FALSE)*O619,0)</f>
        <v>1.2083333333333333E-2</v>
      </c>
      <c r="AO619" s="380">
        <f t="shared" si="275"/>
        <v>0.32256505102040811</v>
      </c>
      <c r="AP619" s="380"/>
    </row>
    <row r="620" spans="2:42" ht="14.4" hidden="1" thickTop="1" thickBot="1">
      <c r="B620" s="324" t="s">
        <v>2774</v>
      </c>
      <c r="C620" s="325" t="s">
        <v>2775</v>
      </c>
      <c r="D620" s="326" t="s">
        <v>1386</v>
      </c>
      <c r="E620" s="327">
        <f>IF(B620&lt;&gt;"",SUMIF('AUX-NIV1'!I:I,'AUX-NIV2'!B620,'AUX-NIV1'!Q:Q),"")</f>
        <v>0</v>
      </c>
      <c r="F620" s="327">
        <f t="shared" si="265"/>
        <v>788.42258766717202</v>
      </c>
      <c r="G620" s="327">
        <f t="shared" si="266"/>
        <v>0</v>
      </c>
      <c r="H620" s="328" t="str">
        <f t="shared" si="286"/>
        <v>X</v>
      </c>
      <c r="I620" s="325" t="s">
        <v>2746</v>
      </c>
      <c r="J620" s="329" t="str">
        <f>IF(B620&lt;&gt;"",+VLOOKUP(I620,Recursos!C:F,2,FALSE),"")</f>
        <v>Obtención de Agua para Riego</v>
      </c>
      <c r="K620" s="330" t="str">
        <f>IF(B620&lt;&gt;"",+VLOOKUP(I620,Recursos!C:F,3,FALSE),"")</f>
        <v>m3</v>
      </c>
      <c r="L620" s="446">
        <f>IF(B620&lt;&gt;"",+VLOOKUP(I620,Recursos!C:F,4,FALSE),"")</f>
        <v>148.35029836815718</v>
      </c>
      <c r="M620" s="452">
        <v>15</v>
      </c>
      <c r="N620" s="453">
        <v>0.06</v>
      </c>
      <c r="O620" s="449">
        <f>+N619*N620</f>
        <v>0.12</v>
      </c>
      <c r="P620" s="333">
        <f t="shared" si="262"/>
        <v>17.80203580417886</v>
      </c>
      <c r="Q620" s="327">
        <f t="shared" si="263"/>
        <v>0</v>
      </c>
      <c r="R620" s="334">
        <f t="shared" si="264"/>
        <v>0</v>
      </c>
      <c r="S620" s="335">
        <f t="shared" si="267"/>
        <v>0</v>
      </c>
      <c r="T620" s="335">
        <f t="shared" si="268"/>
        <v>0</v>
      </c>
      <c r="U620" s="336">
        <f t="shared" si="269"/>
        <v>0</v>
      </c>
      <c r="V620" s="336">
        <f t="shared" si="270"/>
        <v>0</v>
      </c>
      <c r="W620" s="336">
        <f t="shared" si="271"/>
        <v>0</v>
      </c>
      <c r="X620" s="336">
        <f t="shared" si="272"/>
        <v>788.42258766717202</v>
      </c>
      <c r="Y620" s="320"/>
      <c r="Z620" s="321" t="str">
        <f t="shared" si="276"/>
        <v>X-TER1A</v>
      </c>
      <c r="AA620" s="321" t="str">
        <f t="shared" si="277"/>
        <v>X-TER1E</v>
      </c>
      <c r="AB620" s="321" t="str">
        <f t="shared" si="278"/>
        <v>X-TER1M</v>
      </c>
      <c r="AC620" s="321" t="str">
        <f t="shared" si="279"/>
        <v>X-TER1T</v>
      </c>
      <c r="AD620" s="321" t="str">
        <f t="shared" si="280"/>
        <v>X-TER1S</v>
      </c>
      <c r="AE620" s="321" t="str">
        <f t="shared" si="281"/>
        <v>X-TER1X</v>
      </c>
      <c r="AF620" s="321" t="str">
        <f t="shared" si="282"/>
        <v>X-TER1X</v>
      </c>
      <c r="AG620" s="321">
        <f t="shared" si="273"/>
        <v>8</v>
      </c>
      <c r="AH620" s="321">
        <f>IF(B620&lt;&gt;"",IF(H620="x",VLOOKUP(I620,'AUX-NIV3'!B:AG,32,FALSE),0),"")</f>
        <v>5</v>
      </c>
      <c r="AI620" s="321" t="str">
        <f t="shared" si="283"/>
        <v>X-TER1</v>
      </c>
      <c r="AJ620" s="320"/>
      <c r="AK620" s="322">
        <f t="shared" si="274"/>
        <v>617</v>
      </c>
      <c r="AL620" s="323">
        <f t="shared" si="284"/>
        <v>624</v>
      </c>
      <c r="AM620" s="322">
        <f t="shared" si="285"/>
        <v>4</v>
      </c>
      <c r="AN620" s="380">
        <f>IF(AND(AH620&gt;0,B620&lt;&gt;""),VLOOKUP(I620,'AUX-NIV3'!$B:$AO,39,FALSE)*O620,0)</f>
        <v>4.0000000000000001E-3</v>
      </c>
      <c r="AO620" s="380">
        <f t="shared" si="275"/>
        <v>0.32256505102040811</v>
      </c>
      <c r="AP620" s="380"/>
    </row>
    <row r="621" spans="2:42" ht="14.4" hidden="1" thickTop="1" thickBot="1">
      <c r="B621" s="324" t="s">
        <v>2774</v>
      </c>
      <c r="C621" s="325" t="s">
        <v>2775</v>
      </c>
      <c r="D621" s="326" t="s">
        <v>1386</v>
      </c>
      <c r="E621" s="327">
        <f>IF(B621&lt;&gt;"",SUMIF('AUX-NIV1'!I:I,'AUX-NIV2'!B621,'AUX-NIV1'!Q:Q),"")</f>
        <v>0</v>
      </c>
      <c r="F621" s="327">
        <f t="shared" si="265"/>
        <v>788.42258766717202</v>
      </c>
      <c r="G621" s="327">
        <f t="shared" si="266"/>
        <v>0</v>
      </c>
      <c r="H621" s="328" t="str">
        <f t="shared" si="286"/>
        <v>X</v>
      </c>
      <c r="I621" s="325" t="s">
        <v>2748</v>
      </c>
      <c r="J621" s="329" t="str">
        <f>IF(B621&lt;&gt;"",+VLOOKUP(I621,Recursos!C:F,2,FALSE),"")</f>
        <v>Transporte de Agua para riego</v>
      </c>
      <c r="K621" s="330" t="str">
        <f>IF(B621&lt;&gt;"",+VLOOKUP(I621,Recursos!C:F,3,FALSE),"")</f>
        <v>m3</v>
      </c>
      <c r="L621" s="446">
        <f>IF(B621&lt;&gt;"",+VLOOKUP(I621,Recursos!C:F,4,FALSE),"")</f>
        <v>368.5637895861521</v>
      </c>
      <c r="M621" s="454">
        <f>+N620</f>
        <v>0.06</v>
      </c>
      <c r="N621" s="508"/>
      <c r="O621" s="449">
        <f>+N619*N620</f>
        <v>0.12</v>
      </c>
      <c r="P621" s="333">
        <f t="shared" si="262"/>
        <v>44.227654750338253</v>
      </c>
      <c r="Q621" s="327">
        <f t="shared" si="263"/>
        <v>0</v>
      </c>
      <c r="R621" s="334">
        <f t="shared" si="264"/>
        <v>0</v>
      </c>
      <c r="S621" s="335">
        <f t="shared" si="267"/>
        <v>0</v>
      </c>
      <c r="T621" s="335">
        <f t="shared" si="268"/>
        <v>0</v>
      </c>
      <c r="U621" s="336">
        <f t="shared" si="269"/>
        <v>0</v>
      </c>
      <c r="V621" s="336">
        <f t="shared" si="270"/>
        <v>0</v>
      </c>
      <c r="W621" s="336">
        <f t="shared" si="271"/>
        <v>0</v>
      </c>
      <c r="X621" s="336">
        <f t="shared" si="272"/>
        <v>788.42258766717202</v>
      </c>
      <c r="Y621" s="320"/>
      <c r="Z621" s="321" t="str">
        <f t="shared" si="276"/>
        <v>X-TER1A</v>
      </c>
      <c r="AA621" s="321" t="str">
        <f t="shared" si="277"/>
        <v>X-TER1E</v>
      </c>
      <c r="AB621" s="321" t="str">
        <f t="shared" si="278"/>
        <v>X-TER1M</v>
      </c>
      <c r="AC621" s="321" t="str">
        <f t="shared" si="279"/>
        <v>X-TER1T</v>
      </c>
      <c r="AD621" s="321" t="str">
        <f t="shared" si="280"/>
        <v>X-TER1S</v>
      </c>
      <c r="AE621" s="321" t="str">
        <f t="shared" si="281"/>
        <v>X-TER1X</v>
      </c>
      <c r="AF621" s="321" t="str">
        <f t="shared" si="282"/>
        <v>X-TER1X</v>
      </c>
      <c r="AG621" s="321">
        <f t="shared" si="273"/>
        <v>8</v>
      </c>
      <c r="AH621" s="321">
        <f>IF(B621&lt;&gt;"",IF(H621="x",VLOOKUP(I621,'AUX-NIV3'!B:AG,32,FALSE),0),"")</f>
        <v>2</v>
      </c>
      <c r="AI621" s="321" t="str">
        <f t="shared" si="283"/>
        <v>X-TER1</v>
      </c>
      <c r="AJ621" s="320"/>
      <c r="AK621" s="322">
        <f t="shared" si="274"/>
        <v>617</v>
      </c>
      <c r="AL621" s="323">
        <f t="shared" si="284"/>
        <v>624</v>
      </c>
      <c r="AM621" s="322">
        <f t="shared" si="285"/>
        <v>5</v>
      </c>
      <c r="AN621" s="380">
        <f>IF(AND(AH621&gt;0,B621&lt;&gt;""),VLOOKUP(I621,'AUX-NIV3'!$B:$AO,39,FALSE)*O621,0)</f>
        <v>1.9047619047619046E-2</v>
      </c>
      <c r="AO621" s="380">
        <f t="shared" si="275"/>
        <v>0.32256505102040811</v>
      </c>
      <c r="AP621" s="380"/>
    </row>
    <row r="622" spans="2:42" ht="14.4" hidden="1" thickTop="1" thickBot="1">
      <c r="B622" s="324" t="s">
        <v>2774</v>
      </c>
      <c r="C622" s="325" t="s">
        <v>2775</v>
      </c>
      <c r="D622" s="326" t="s">
        <v>1386</v>
      </c>
      <c r="E622" s="327">
        <f>IF(B622&lt;&gt;"",SUMIF('AUX-NIV1'!I:I,'AUX-NIV2'!B622,'AUX-NIV1'!Q:Q),"")</f>
        <v>0</v>
      </c>
      <c r="F622" s="327">
        <f t="shared" si="265"/>
        <v>788.42258766717202</v>
      </c>
      <c r="G622" s="327">
        <f t="shared" si="266"/>
        <v>0</v>
      </c>
      <c r="H622" s="328" t="str">
        <f t="shared" si="286"/>
        <v>X</v>
      </c>
      <c r="I622" s="325" t="s">
        <v>2750</v>
      </c>
      <c r="J622" s="329" t="str">
        <f>IF(B622&lt;&gt;"",+VLOOKUP(I622,Recursos!C:F,2,FALSE),"")</f>
        <v>Riego para terraplen</v>
      </c>
      <c r="K622" s="330" t="str">
        <f>IF(B622&lt;&gt;"",+VLOOKUP(I622,Recursos!C:F,3,FALSE),"")</f>
        <v>m3</v>
      </c>
      <c r="L622" s="446">
        <f>IF(B622&lt;&gt;"",+VLOOKUP(I622,Recursos!C:F,4,FALSE),"")</f>
        <v>214.40877360073679</v>
      </c>
      <c r="M622" s="454">
        <f>+M617</f>
        <v>1.2</v>
      </c>
      <c r="N622" s="508"/>
      <c r="O622" s="449">
        <f>+N619*N620</f>
        <v>0.12</v>
      </c>
      <c r="P622" s="333">
        <f t="shared" si="262"/>
        <v>25.729052832088414</v>
      </c>
      <c r="Q622" s="327">
        <f t="shared" si="263"/>
        <v>0</v>
      </c>
      <c r="R622" s="334">
        <f t="shared" si="264"/>
        <v>0</v>
      </c>
      <c r="S622" s="335">
        <f t="shared" si="267"/>
        <v>0</v>
      </c>
      <c r="T622" s="335">
        <f t="shared" si="268"/>
        <v>0</v>
      </c>
      <c r="U622" s="336">
        <f t="shared" si="269"/>
        <v>0</v>
      </c>
      <c r="V622" s="336">
        <f t="shared" si="270"/>
        <v>0</v>
      </c>
      <c r="W622" s="336">
        <f t="shared" si="271"/>
        <v>0</v>
      </c>
      <c r="X622" s="336">
        <f t="shared" si="272"/>
        <v>788.42258766717202</v>
      </c>
      <c r="Y622" s="320"/>
      <c r="Z622" s="321" t="str">
        <f t="shared" si="276"/>
        <v>X-TER1A</v>
      </c>
      <c r="AA622" s="321" t="str">
        <f t="shared" si="277"/>
        <v>X-TER1E</v>
      </c>
      <c r="AB622" s="321" t="str">
        <f t="shared" si="278"/>
        <v>X-TER1M</v>
      </c>
      <c r="AC622" s="321" t="str">
        <f t="shared" si="279"/>
        <v>X-TER1T</v>
      </c>
      <c r="AD622" s="321" t="str">
        <f t="shared" si="280"/>
        <v>X-TER1S</v>
      </c>
      <c r="AE622" s="321" t="str">
        <f t="shared" si="281"/>
        <v>X-TER1X</v>
      </c>
      <c r="AF622" s="321" t="str">
        <f t="shared" si="282"/>
        <v>X-TER1X</v>
      </c>
      <c r="AG622" s="321">
        <f t="shared" si="273"/>
        <v>8</v>
      </c>
      <c r="AH622" s="321">
        <f>IF(B622&lt;&gt;"",IF(H622="x",VLOOKUP(I622,'AUX-NIV3'!B:AG,32,FALSE),0),"")</f>
        <v>3</v>
      </c>
      <c r="AI622" s="321" t="str">
        <f t="shared" si="283"/>
        <v>X-TER1</v>
      </c>
      <c r="AJ622" s="320"/>
      <c r="AK622" s="322">
        <f t="shared" si="274"/>
        <v>617</v>
      </c>
      <c r="AL622" s="323">
        <f t="shared" si="284"/>
        <v>624</v>
      </c>
      <c r="AM622" s="322">
        <f t="shared" si="285"/>
        <v>6</v>
      </c>
      <c r="AN622" s="380">
        <f>IF(AND(AH622&gt;0,B622&lt;&gt;""),VLOOKUP(I622,'AUX-NIV3'!$B:$AO,39,FALSE)*O622,0)</f>
        <v>1.8749999999999999E-2</v>
      </c>
      <c r="AO622" s="380">
        <f t="shared" si="275"/>
        <v>0.32256505102040811</v>
      </c>
      <c r="AP622" s="380"/>
    </row>
    <row r="623" spans="2:42" ht="14.4" hidden="1" thickTop="1" thickBot="1">
      <c r="B623" s="324" t="s">
        <v>2774</v>
      </c>
      <c r="C623" s="325" t="s">
        <v>2775</v>
      </c>
      <c r="D623" s="326" t="s">
        <v>1386</v>
      </c>
      <c r="E623" s="327">
        <f>IF(B623&lt;&gt;"",SUMIF('AUX-NIV1'!I:I,'AUX-NIV2'!B623,'AUX-NIV1'!Q:Q),"")</f>
        <v>0</v>
      </c>
      <c r="F623" s="327">
        <f t="shared" si="265"/>
        <v>788.42258766717202</v>
      </c>
      <c r="G623" s="327">
        <f t="shared" si="266"/>
        <v>0</v>
      </c>
      <c r="H623" s="328" t="str">
        <f t="shared" si="286"/>
        <v>X</v>
      </c>
      <c r="I623" s="325" t="s">
        <v>2752</v>
      </c>
      <c r="J623" s="329" t="str">
        <f>IF(B623&lt;&gt;"",+VLOOKUP(I623,Recursos!C:F,2,FALSE),"")</f>
        <v>Homogeinización del Material</v>
      </c>
      <c r="K623" s="330" t="str">
        <f>IF(B623&lt;&gt;"",+VLOOKUP(I623,Recursos!C:F,3,FALSE),"")</f>
        <v>m2</v>
      </c>
      <c r="L623" s="446">
        <f>IF(B623&lt;&gt;"",+VLOOKUP(I623,Recursos!C:F,4,FALSE),"")</f>
        <v>5.3664037605812966</v>
      </c>
      <c r="M623" s="452">
        <v>1.45</v>
      </c>
      <c r="N623" s="453">
        <v>1</v>
      </c>
      <c r="O623" s="449">
        <f>+M623</f>
        <v>1.45</v>
      </c>
      <c r="P623" s="333">
        <f t="shared" si="262"/>
        <v>7.7812854528428801</v>
      </c>
      <c r="Q623" s="327">
        <f t="shared" si="263"/>
        <v>0</v>
      </c>
      <c r="R623" s="334">
        <f t="shared" si="264"/>
        <v>0</v>
      </c>
      <c r="S623" s="335">
        <f t="shared" si="267"/>
        <v>0</v>
      </c>
      <c r="T623" s="335">
        <f t="shared" si="268"/>
        <v>0</v>
      </c>
      <c r="U623" s="336">
        <f t="shared" si="269"/>
        <v>0</v>
      </c>
      <c r="V623" s="336">
        <f t="shared" si="270"/>
        <v>0</v>
      </c>
      <c r="W623" s="336">
        <f t="shared" si="271"/>
        <v>0</v>
      </c>
      <c r="X623" s="336">
        <f t="shared" si="272"/>
        <v>788.42258766717202</v>
      </c>
      <c r="Y623" s="320"/>
      <c r="Z623" s="321" t="str">
        <f t="shared" si="276"/>
        <v>X-TER1A</v>
      </c>
      <c r="AA623" s="321" t="str">
        <f t="shared" si="277"/>
        <v>X-TER1E</v>
      </c>
      <c r="AB623" s="321" t="str">
        <f t="shared" si="278"/>
        <v>X-TER1M</v>
      </c>
      <c r="AC623" s="321" t="str">
        <f t="shared" si="279"/>
        <v>X-TER1T</v>
      </c>
      <c r="AD623" s="321" t="str">
        <f t="shared" si="280"/>
        <v>X-TER1S</v>
      </c>
      <c r="AE623" s="321" t="str">
        <f t="shared" si="281"/>
        <v>X-TER1X</v>
      </c>
      <c r="AF623" s="321" t="str">
        <f t="shared" si="282"/>
        <v>X-TER1X</v>
      </c>
      <c r="AG623" s="321">
        <f t="shared" si="273"/>
        <v>8</v>
      </c>
      <c r="AH623" s="321">
        <f>IF(B623&lt;&gt;"",IF(H623="x",VLOOKUP(I623,'AUX-NIV3'!B:AG,32,FALSE),0),"")</f>
        <v>3</v>
      </c>
      <c r="AI623" s="321" t="str">
        <f t="shared" si="283"/>
        <v>X-TER1</v>
      </c>
      <c r="AJ623" s="320"/>
      <c r="AK623" s="322">
        <f t="shared" si="274"/>
        <v>617</v>
      </c>
      <c r="AL623" s="323">
        <f t="shared" si="284"/>
        <v>624</v>
      </c>
      <c r="AM623" s="322">
        <f t="shared" si="285"/>
        <v>7</v>
      </c>
      <c r="AN623" s="380">
        <f>IF(AND(AH623&gt;0,B623&lt;&gt;""),VLOOKUP(I623,'AUX-NIV3'!$B:$AO,39,FALSE)*O623,0)</f>
        <v>3.6249999999999998E-3</v>
      </c>
      <c r="AO623" s="380">
        <f t="shared" si="275"/>
        <v>0.32256505102040811</v>
      </c>
      <c r="AP623" s="380"/>
    </row>
    <row r="624" spans="2:42" ht="14.4" hidden="1" thickTop="1" thickBot="1">
      <c r="B624" s="324" t="s">
        <v>2774</v>
      </c>
      <c r="C624" s="325" t="s">
        <v>2775</v>
      </c>
      <c r="D624" s="326" t="s">
        <v>1386</v>
      </c>
      <c r="E624" s="327">
        <f>IF(B624&lt;&gt;"",SUMIF('AUX-NIV1'!I:I,'AUX-NIV2'!B624,'AUX-NIV1'!Q:Q),"")</f>
        <v>0</v>
      </c>
      <c r="F624" s="327">
        <f t="shared" si="265"/>
        <v>788.42258766717202</v>
      </c>
      <c r="G624" s="327">
        <f t="shared" si="266"/>
        <v>0</v>
      </c>
      <c r="H624" s="328" t="str">
        <f t="shared" si="286"/>
        <v>X</v>
      </c>
      <c r="I624" s="325" t="s">
        <v>2768</v>
      </c>
      <c r="J624" s="329" t="str">
        <f>IF(B624&lt;&gt;"",+VLOOKUP(I624,Recursos!C:F,2,FALSE),"")</f>
        <v>Compactación de terraplen</v>
      </c>
      <c r="K624" s="330" t="str">
        <f>IF(B624&lt;&gt;"",+VLOOKUP(I624,Recursos!C:F,3,FALSE),"")</f>
        <v>m3c</v>
      </c>
      <c r="L624" s="446">
        <f>IF(B624&lt;&gt;"",+VLOOKUP(I624,Recursos!C:F,4,FALSE),"")</f>
        <v>46.720032694329319</v>
      </c>
      <c r="M624" s="450">
        <v>1</v>
      </c>
      <c r="N624" s="451">
        <v>1</v>
      </c>
      <c r="O624" s="449">
        <f>+M624</f>
        <v>1</v>
      </c>
      <c r="P624" s="333">
        <f t="shared" si="262"/>
        <v>46.720032694329319</v>
      </c>
      <c r="Q624" s="327">
        <f t="shared" si="263"/>
        <v>0</v>
      </c>
      <c r="R624" s="334">
        <f t="shared" si="264"/>
        <v>0</v>
      </c>
      <c r="S624" s="335">
        <f t="shared" si="267"/>
        <v>0</v>
      </c>
      <c r="T624" s="335">
        <f t="shared" si="268"/>
        <v>0</v>
      </c>
      <c r="U624" s="336">
        <f t="shared" si="269"/>
        <v>0</v>
      </c>
      <c r="V624" s="336">
        <f t="shared" si="270"/>
        <v>0</v>
      </c>
      <c r="W624" s="336">
        <f t="shared" si="271"/>
        <v>0</v>
      </c>
      <c r="X624" s="336">
        <f t="shared" si="272"/>
        <v>788.42258766717202</v>
      </c>
      <c r="Y624" s="320"/>
      <c r="Z624" s="321" t="str">
        <f t="shared" si="276"/>
        <v>X-TER1A</v>
      </c>
      <c r="AA624" s="321" t="str">
        <f t="shared" si="277"/>
        <v>X-TER1E</v>
      </c>
      <c r="AB624" s="321" t="str">
        <f t="shared" si="278"/>
        <v>X-TER1M</v>
      </c>
      <c r="AC624" s="321" t="str">
        <f t="shared" si="279"/>
        <v>X-TER1T</v>
      </c>
      <c r="AD624" s="321" t="str">
        <f t="shared" si="280"/>
        <v>X-TER1S</v>
      </c>
      <c r="AE624" s="321" t="str">
        <f t="shared" si="281"/>
        <v>X-TER1X</v>
      </c>
      <c r="AF624" s="321" t="str">
        <f t="shared" si="282"/>
        <v>X-TER1X</v>
      </c>
      <c r="AG624" s="321">
        <f t="shared" si="273"/>
        <v>8</v>
      </c>
      <c r="AH624" s="321">
        <f>IF(B624&lt;&gt;"",IF(H624="x",VLOOKUP(I624,'AUX-NIV3'!B:AG,32,FALSE),0),"")</f>
        <v>6</v>
      </c>
      <c r="AI624" s="321" t="str">
        <f t="shared" si="283"/>
        <v>X-TER1</v>
      </c>
      <c r="AJ624" s="320"/>
      <c r="AK624" s="322">
        <f t="shared" si="274"/>
        <v>617</v>
      </c>
      <c r="AL624" s="323">
        <f t="shared" si="284"/>
        <v>624</v>
      </c>
      <c r="AM624" s="322">
        <f t="shared" si="285"/>
        <v>8</v>
      </c>
      <c r="AN624" s="380">
        <f>IF(AND(AH624&gt;0,B624&lt;&gt;""),VLOOKUP(I624,'AUX-NIV3'!$B:$AO,39,FALSE)*O624,0)</f>
        <v>4.4624999999999998E-2</v>
      </c>
      <c r="AO624" s="380">
        <f t="shared" si="275"/>
        <v>0.32256505102040811</v>
      </c>
      <c r="AP624" s="380"/>
    </row>
    <row r="625" spans="2:42" ht="14.4" hidden="1" thickTop="1" thickBot="1">
      <c r="B625" s="324" t="s">
        <v>2778</v>
      </c>
      <c r="C625" s="325" t="s">
        <v>1379</v>
      </c>
      <c r="D625" s="326" t="s">
        <v>501</v>
      </c>
      <c r="E625" s="327">
        <f>IF(B625&lt;&gt;"",SUMIF('AUX-NIV1'!I:I,'AUX-NIV2'!B625,'AUX-NIV1'!Q:Q),"")</f>
        <v>0</v>
      </c>
      <c r="F625" s="327">
        <f t="shared" si="265"/>
        <v>32.72993967561375</v>
      </c>
      <c r="G625" s="327">
        <f t="shared" si="266"/>
        <v>0</v>
      </c>
      <c r="H625" s="328" t="str">
        <f t="shared" si="286"/>
        <v>A</v>
      </c>
      <c r="I625" s="325" t="s">
        <v>1745</v>
      </c>
      <c r="J625" s="329" t="str">
        <f>IF(B625&lt;&gt;"",+VLOOKUP(I625,Recursos!C:F,2,FALSE),"")</f>
        <v>AYUDANTE</v>
      </c>
      <c r="K625" s="330" t="str">
        <f>IF(B625&lt;&gt;"",+VLOOKUP(I625,Recursos!C:F,3,FALSE),"")</f>
        <v>hh</v>
      </c>
      <c r="L625" s="327">
        <f>IF(B625&lt;&gt;"",+VLOOKUP(I625,Recursos!C:F,4,FALSE),"")</f>
        <v>422.48042769667234</v>
      </c>
      <c r="M625" s="457">
        <f>+M626</f>
        <v>1000</v>
      </c>
      <c r="N625" s="438">
        <f>+N627</f>
        <v>1.25</v>
      </c>
      <c r="O625" s="459">
        <f>+N625/M625/N630</f>
        <v>4.1666666666666666E-3</v>
      </c>
      <c r="P625" s="333">
        <f t="shared" si="262"/>
        <v>1.7603351154028013</v>
      </c>
      <c r="Q625" s="327">
        <f t="shared" si="263"/>
        <v>0</v>
      </c>
      <c r="R625" s="334">
        <f t="shared" si="264"/>
        <v>0</v>
      </c>
      <c r="S625" s="335">
        <f t="shared" si="267"/>
        <v>8.8482975700581896</v>
      </c>
      <c r="T625" s="335">
        <f t="shared" si="268"/>
        <v>23.881642105555557</v>
      </c>
      <c r="U625" s="336">
        <f t="shared" si="269"/>
        <v>0</v>
      </c>
      <c r="V625" s="336">
        <f t="shared" si="270"/>
        <v>0</v>
      </c>
      <c r="W625" s="336">
        <f t="shared" si="271"/>
        <v>0</v>
      </c>
      <c r="X625" s="336">
        <f t="shared" si="272"/>
        <v>0</v>
      </c>
      <c r="Y625" s="320"/>
      <c r="Z625" s="321" t="str">
        <f t="shared" si="276"/>
        <v>X-PDSA</v>
      </c>
      <c r="AA625" s="321" t="str">
        <f t="shared" si="277"/>
        <v>X-PDSE</v>
      </c>
      <c r="AB625" s="321" t="str">
        <f t="shared" si="278"/>
        <v>X-PDSM</v>
      </c>
      <c r="AC625" s="321" t="str">
        <f t="shared" si="279"/>
        <v>X-PDST</v>
      </c>
      <c r="AD625" s="321" t="str">
        <f t="shared" si="280"/>
        <v>X-PDSS</v>
      </c>
      <c r="AE625" s="321" t="str">
        <f t="shared" si="281"/>
        <v>X-PDSX</v>
      </c>
      <c r="AF625" s="321" t="str">
        <f t="shared" si="282"/>
        <v>X-PDSA</v>
      </c>
      <c r="AG625" s="321">
        <f t="shared" si="273"/>
        <v>9</v>
      </c>
      <c r="AH625" s="321">
        <f>IF(B625&lt;&gt;"",IF(H625="x",VLOOKUP(I625,'AUX-NIV3'!B:AG,32,FALSE),0),"")</f>
        <v>0</v>
      </c>
      <c r="AI625" s="321" t="str">
        <f t="shared" si="283"/>
        <v>X-PDS</v>
      </c>
      <c r="AJ625" s="320"/>
      <c r="AK625" s="322">
        <f t="shared" si="274"/>
        <v>625</v>
      </c>
      <c r="AL625" s="323">
        <f t="shared" si="284"/>
        <v>633</v>
      </c>
      <c r="AM625" s="322">
        <f t="shared" si="285"/>
        <v>1</v>
      </c>
      <c r="AN625" s="380">
        <f>IF(AND(AH625&gt;0,B625&lt;&gt;""),VLOOKUP(I625,'AUX-NIV3'!$B:$AO,39,FALSE)*O625,0)</f>
        <v>0</v>
      </c>
      <c r="AO625" s="380">
        <f t="shared" si="275"/>
        <v>1.6666666666666666E-2</v>
      </c>
      <c r="AP625" s="380"/>
    </row>
    <row r="626" spans="2:42" ht="14.4" hidden="1" thickTop="1" thickBot="1">
      <c r="B626" s="324" t="s">
        <v>2778</v>
      </c>
      <c r="C626" s="325" t="s">
        <v>1379</v>
      </c>
      <c r="D626" s="326" t="s">
        <v>501</v>
      </c>
      <c r="E626" s="327">
        <f>IF(B626&lt;&gt;"",SUMIF('AUX-NIV1'!I:I,'AUX-NIV2'!B626,'AUX-NIV1'!Q:Q),"")</f>
        <v>0</v>
      </c>
      <c r="F626" s="327">
        <f t="shared" si="265"/>
        <v>32.72993967561375</v>
      </c>
      <c r="G626" s="327">
        <f t="shared" si="266"/>
        <v>0</v>
      </c>
      <c r="H626" s="328" t="str">
        <f t="shared" si="286"/>
        <v>A</v>
      </c>
      <c r="I626" s="325" t="s">
        <v>3310</v>
      </c>
      <c r="J626" s="329" t="str">
        <f>IF(B626&lt;&gt;"",+VLOOKUP(I626,Recursos!C:F,2,FALSE),"")</f>
        <v>OFICIAL ESPECIALIZADO</v>
      </c>
      <c r="K626" s="330" t="str">
        <f>IF(B626&lt;&gt;"",+VLOOKUP(I626,Recursos!C:F,3,FALSE),"")</f>
        <v>hh</v>
      </c>
      <c r="L626" s="327">
        <f>IF(B626&lt;&gt;"",+VLOOKUP(I626,Recursos!C:F,4,FALSE),"")</f>
        <v>581.06120476836554</v>
      </c>
      <c r="M626" s="460">
        <f>+M627</f>
        <v>1000</v>
      </c>
      <c r="N626" s="463">
        <f>0.1*5</f>
        <v>0.5</v>
      </c>
      <c r="O626" s="459">
        <f>+N627/M626/N630*N626</f>
        <v>2.0833333333333333E-3</v>
      </c>
      <c r="P626" s="333">
        <f t="shared" si="262"/>
        <v>1.2105441766007616</v>
      </c>
      <c r="Q626" s="327">
        <f t="shared" si="263"/>
        <v>0</v>
      </c>
      <c r="R626" s="334">
        <f t="shared" si="264"/>
        <v>0</v>
      </c>
      <c r="S626" s="335">
        <f t="shared" si="267"/>
        <v>8.8482975700581896</v>
      </c>
      <c r="T626" s="335">
        <f t="shared" si="268"/>
        <v>23.881642105555557</v>
      </c>
      <c r="U626" s="336">
        <f t="shared" si="269"/>
        <v>0</v>
      </c>
      <c r="V626" s="336">
        <f t="shared" si="270"/>
        <v>0</v>
      </c>
      <c r="W626" s="336">
        <f t="shared" si="271"/>
        <v>0</v>
      </c>
      <c r="X626" s="336">
        <f t="shared" si="272"/>
        <v>0</v>
      </c>
      <c r="Y626" s="320"/>
      <c r="Z626" s="321" t="str">
        <f t="shared" si="276"/>
        <v>X-PDSA</v>
      </c>
      <c r="AA626" s="321" t="str">
        <f t="shared" si="277"/>
        <v>X-PDSE</v>
      </c>
      <c r="AB626" s="321" t="str">
        <f t="shared" si="278"/>
        <v>X-PDSM</v>
      </c>
      <c r="AC626" s="321" t="str">
        <f t="shared" si="279"/>
        <v>X-PDST</v>
      </c>
      <c r="AD626" s="321" t="str">
        <f t="shared" si="280"/>
        <v>X-PDSS</v>
      </c>
      <c r="AE626" s="321" t="str">
        <f t="shared" si="281"/>
        <v>X-PDSX</v>
      </c>
      <c r="AF626" s="321" t="str">
        <f t="shared" si="282"/>
        <v>X-PDSA</v>
      </c>
      <c r="AG626" s="321">
        <f t="shared" si="273"/>
        <v>9</v>
      </c>
      <c r="AH626" s="321">
        <f>IF(B626&lt;&gt;"",IF(H626="x",VLOOKUP(I626,'AUX-NIV3'!B:AG,32,FALSE),0),"")</f>
        <v>0</v>
      </c>
      <c r="AI626" s="321" t="str">
        <f t="shared" si="283"/>
        <v>X-PDS</v>
      </c>
      <c r="AJ626" s="320"/>
      <c r="AK626" s="322">
        <f t="shared" si="274"/>
        <v>625</v>
      </c>
      <c r="AL626" s="323">
        <f t="shared" si="284"/>
        <v>633</v>
      </c>
      <c r="AM626" s="322">
        <f t="shared" si="285"/>
        <v>2</v>
      </c>
      <c r="AN626" s="380">
        <f>IF(AND(AH626&gt;0,B626&lt;&gt;""),VLOOKUP(I626,'AUX-NIV3'!$B:$AO,39,FALSE)*O626,0)</f>
        <v>0</v>
      </c>
      <c r="AO626" s="380">
        <f t="shared" si="275"/>
        <v>1.6666666666666666E-2</v>
      </c>
      <c r="AP626" s="380"/>
    </row>
    <row r="627" spans="2:42" ht="14.4" hidden="1" thickTop="1" thickBot="1">
      <c r="B627" s="324" t="s">
        <v>2778</v>
      </c>
      <c r="C627" s="325" t="s">
        <v>1379</v>
      </c>
      <c r="D627" s="326" t="s">
        <v>501</v>
      </c>
      <c r="E627" s="327">
        <f>IF(B627&lt;&gt;"",SUMIF('AUX-NIV1'!I:I,'AUX-NIV2'!B627,'AUX-NIV1'!Q:Q),"")</f>
        <v>0</v>
      </c>
      <c r="F627" s="327">
        <f t="shared" si="265"/>
        <v>32.72993967561375</v>
      </c>
      <c r="G627" s="327">
        <f t="shared" si="266"/>
        <v>0</v>
      </c>
      <c r="H627" s="328" t="str">
        <f t="shared" si="286"/>
        <v>A</v>
      </c>
      <c r="I627" s="325" t="s">
        <v>3310</v>
      </c>
      <c r="J627" s="329" t="str">
        <f>IF(B627&lt;&gt;"",+VLOOKUP(I627,Recursos!C:F,2,FALSE),"")</f>
        <v>OFICIAL ESPECIALIZADO</v>
      </c>
      <c r="K627" s="330" t="str">
        <f>IF(B627&lt;&gt;"",+VLOOKUP(I627,Recursos!C:F,3,FALSE),"")</f>
        <v>hh</v>
      </c>
      <c r="L627" s="327">
        <f>IF(B627&lt;&gt;"",+VLOOKUP(I627,Recursos!C:F,4,FALSE),"")</f>
        <v>581.06120476836554</v>
      </c>
      <c r="M627" s="460">
        <f>+M630</f>
        <v>1000</v>
      </c>
      <c r="N627" s="466">
        <f>+N628</f>
        <v>1.25</v>
      </c>
      <c r="O627" s="459">
        <f>+N627/M627/N630</f>
        <v>4.1666666666666666E-3</v>
      </c>
      <c r="P627" s="333">
        <f t="shared" si="262"/>
        <v>2.4210883532015233</v>
      </c>
      <c r="Q627" s="327">
        <f t="shared" si="263"/>
        <v>0</v>
      </c>
      <c r="R627" s="334">
        <f t="shared" si="264"/>
        <v>0</v>
      </c>
      <c r="S627" s="335">
        <f t="shared" si="267"/>
        <v>8.8482975700581896</v>
      </c>
      <c r="T627" s="335">
        <f t="shared" si="268"/>
        <v>23.881642105555557</v>
      </c>
      <c r="U627" s="336">
        <f t="shared" si="269"/>
        <v>0</v>
      </c>
      <c r="V627" s="336">
        <f t="shared" si="270"/>
        <v>0</v>
      </c>
      <c r="W627" s="336">
        <f t="shared" si="271"/>
        <v>0</v>
      </c>
      <c r="X627" s="336">
        <f t="shared" si="272"/>
        <v>0</v>
      </c>
      <c r="Y627" s="320"/>
      <c r="Z627" s="321" t="str">
        <f t="shared" si="276"/>
        <v>X-PDSA</v>
      </c>
      <c r="AA627" s="321" t="str">
        <f t="shared" si="277"/>
        <v>X-PDSE</v>
      </c>
      <c r="AB627" s="321" t="str">
        <f t="shared" si="278"/>
        <v>X-PDSM</v>
      </c>
      <c r="AC627" s="321" t="str">
        <f t="shared" si="279"/>
        <v>X-PDST</v>
      </c>
      <c r="AD627" s="321" t="str">
        <f t="shared" si="280"/>
        <v>X-PDSS</v>
      </c>
      <c r="AE627" s="321" t="str">
        <f t="shared" si="281"/>
        <v>X-PDSX</v>
      </c>
      <c r="AF627" s="321" t="str">
        <f t="shared" si="282"/>
        <v>X-PDSA</v>
      </c>
      <c r="AG627" s="321">
        <f t="shared" si="273"/>
        <v>9</v>
      </c>
      <c r="AH627" s="321">
        <f>IF(B627&lt;&gt;"",IF(H627="x",VLOOKUP(I627,'AUX-NIV3'!B:AG,32,FALSE),0),"")</f>
        <v>0</v>
      </c>
      <c r="AI627" s="321" t="str">
        <f t="shared" si="283"/>
        <v>X-PDS</v>
      </c>
      <c r="AJ627" s="320"/>
      <c r="AK627" s="322">
        <f t="shared" si="274"/>
        <v>625</v>
      </c>
      <c r="AL627" s="323">
        <f t="shared" si="284"/>
        <v>633</v>
      </c>
      <c r="AM627" s="322">
        <f t="shared" si="285"/>
        <v>3</v>
      </c>
      <c r="AN627" s="380">
        <f>IF(AND(AH627&gt;0,B627&lt;&gt;""),VLOOKUP(I627,'AUX-NIV3'!$B:$AO,39,FALSE)*O627,0)</f>
        <v>0</v>
      </c>
      <c r="AO627" s="380">
        <f t="shared" si="275"/>
        <v>1.6666666666666666E-2</v>
      </c>
      <c r="AP627" s="380"/>
    </row>
    <row r="628" spans="2:42" ht="14.4" hidden="1" thickTop="1" thickBot="1">
      <c r="B628" s="324" t="s">
        <v>2778</v>
      </c>
      <c r="C628" s="325" t="s">
        <v>1379</v>
      </c>
      <c r="D628" s="326" t="s">
        <v>501</v>
      </c>
      <c r="E628" s="327">
        <f>IF(B628&lt;&gt;"",SUMIF('AUX-NIV1'!I:I,'AUX-NIV2'!B628,'AUX-NIV1'!Q:Q),"")</f>
        <v>0</v>
      </c>
      <c r="F628" s="327">
        <f t="shared" si="265"/>
        <v>32.72993967561375</v>
      </c>
      <c r="G628" s="327">
        <f t="shared" si="266"/>
        <v>0</v>
      </c>
      <c r="H628" s="328" t="str">
        <f t="shared" si="286"/>
        <v>A</v>
      </c>
      <c r="I628" s="325" t="s">
        <v>3310</v>
      </c>
      <c r="J628" s="329" t="str">
        <f>IF(B628&lt;&gt;"",+VLOOKUP(I628,Recursos!C:F,2,FALSE),"")</f>
        <v>OFICIAL ESPECIALIZADO</v>
      </c>
      <c r="K628" s="330" t="str">
        <f>IF(B628&lt;&gt;"",+VLOOKUP(I628,Recursos!C:F,3,FALSE),"")</f>
        <v>hh</v>
      </c>
      <c r="L628" s="327">
        <f>IF(B628&lt;&gt;"",+VLOOKUP(I628,Recursos!C:F,4,FALSE),"")</f>
        <v>581.06120476836554</v>
      </c>
      <c r="M628" s="460">
        <f>+M630</f>
        <v>1000</v>
      </c>
      <c r="N628" s="466">
        <f>+N629</f>
        <v>1.25</v>
      </c>
      <c r="O628" s="459">
        <f>+N628/M628/N630</f>
        <v>4.1666666666666666E-3</v>
      </c>
      <c r="P628" s="333">
        <f t="shared" si="262"/>
        <v>2.4210883532015233</v>
      </c>
      <c r="Q628" s="327">
        <f t="shared" si="263"/>
        <v>0</v>
      </c>
      <c r="R628" s="334">
        <f t="shared" si="264"/>
        <v>0</v>
      </c>
      <c r="S628" s="335">
        <f t="shared" si="267"/>
        <v>8.8482975700581896</v>
      </c>
      <c r="T628" s="335">
        <f t="shared" si="268"/>
        <v>23.881642105555557</v>
      </c>
      <c r="U628" s="336">
        <f t="shared" si="269"/>
        <v>0</v>
      </c>
      <c r="V628" s="336">
        <f t="shared" si="270"/>
        <v>0</v>
      </c>
      <c r="W628" s="336">
        <f t="shared" si="271"/>
        <v>0</v>
      </c>
      <c r="X628" s="336">
        <f t="shared" si="272"/>
        <v>0</v>
      </c>
      <c r="Y628" s="320"/>
      <c r="Z628" s="321" t="str">
        <f t="shared" si="276"/>
        <v>X-PDSA</v>
      </c>
      <c r="AA628" s="321" t="str">
        <f t="shared" si="277"/>
        <v>X-PDSE</v>
      </c>
      <c r="AB628" s="321" t="str">
        <f t="shared" si="278"/>
        <v>X-PDSM</v>
      </c>
      <c r="AC628" s="321" t="str">
        <f t="shared" si="279"/>
        <v>X-PDST</v>
      </c>
      <c r="AD628" s="321" t="str">
        <f t="shared" si="280"/>
        <v>X-PDSS</v>
      </c>
      <c r="AE628" s="321" t="str">
        <f t="shared" si="281"/>
        <v>X-PDSX</v>
      </c>
      <c r="AF628" s="321" t="str">
        <f t="shared" si="282"/>
        <v>X-PDSA</v>
      </c>
      <c r="AG628" s="321">
        <f t="shared" si="273"/>
        <v>9</v>
      </c>
      <c r="AH628" s="321">
        <f>IF(B628&lt;&gt;"",IF(H628="x",VLOOKUP(I628,'AUX-NIV3'!B:AG,32,FALSE),0),"")</f>
        <v>0</v>
      </c>
      <c r="AI628" s="321" t="str">
        <f t="shared" si="283"/>
        <v>X-PDS</v>
      </c>
      <c r="AJ628" s="320"/>
      <c r="AK628" s="322">
        <f t="shared" si="274"/>
        <v>625</v>
      </c>
      <c r="AL628" s="323">
        <f t="shared" si="284"/>
        <v>633</v>
      </c>
      <c r="AM628" s="322">
        <f t="shared" si="285"/>
        <v>4</v>
      </c>
      <c r="AN628" s="380">
        <f>IF(AND(AH628&gt;0,B628&lt;&gt;""),VLOOKUP(I628,'AUX-NIV3'!$B:$AO,39,FALSE)*O628,0)</f>
        <v>0</v>
      </c>
      <c r="AO628" s="380">
        <f t="shared" si="275"/>
        <v>1.6666666666666666E-2</v>
      </c>
      <c r="AP628" s="380"/>
    </row>
    <row r="629" spans="2:42" ht="14.4" hidden="1" thickTop="1" thickBot="1">
      <c r="B629" s="324" t="s">
        <v>2778</v>
      </c>
      <c r="C629" s="325" t="s">
        <v>1379</v>
      </c>
      <c r="D629" s="326" t="s">
        <v>501</v>
      </c>
      <c r="E629" s="327">
        <f>IF(B629&lt;&gt;"",SUMIF('AUX-NIV1'!I:I,'AUX-NIV2'!B629,'AUX-NIV1'!Q:Q),"")</f>
        <v>0</v>
      </c>
      <c r="F629" s="327">
        <f t="shared" si="265"/>
        <v>32.72993967561375</v>
      </c>
      <c r="G629" s="327">
        <f t="shared" si="266"/>
        <v>0</v>
      </c>
      <c r="H629" s="328" t="str">
        <f t="shared" si="286"/>
        <v>A</v>
      </c>
      <c r="I629" s="325" t="s">
        <v>1746</v>
      </c>
      <c r="J629" s="329" t="str">
        <f>IF(B629&lt;&gt;"",+VLOOKUP(I629,Recursos!C:F,2,FALSE),"")</f>
        <v>OFICIAL</v>
      </c>
      <c r="K629" s="330" t="str">
        <f>IF(B629&lt;&gt;"",+VLOOKUP(I629,Recursos!C:F,3,FALSE),"")</f>
        <v>hh</v>
      </c>
      <c r="L629" s="327">
        <f>IF(B629&lt;&gt;"",+VLOOKUP(I629,Recursos!C:F,4,FALSE),"")</f>
        <v>496.91595439275824</v>
      </c>
      <c r="M629" s="460">
        <f>+N631</f>
        <v>0.5</v>
      </c>
      <c r="N629" s="463">
        <v>1.25</v>
      </c>
      <c r="O629" s="459">
        <f>+N629/M630/N630*M629</f>
        <v>2.0833333333333333E-3</v>
      </c>
      <c r="P629" s="333">
        <f t="shared" si="262"/>
        <v>1.0352415716515797</v>
      </c>
      <c r="Q629" s="327">
        <f t="shared" si="263"/>
        <v>0</v>
      </c>
      <c r="R629" s="334">
        <f t="shared" si="264"/>
        <v>0</v>
      </c>
      <c r="S629" s="335">
        <f t="shared" si="267"/>
        <v>8.8482975700581896</v>
      </c>
      <c r="T629" s="335">
        <f t="shared" si="268"/>
        <v>23.881642105555557</v>
      </c>
      <c r="U629" s="336">
        <f t="shared" si="269"/>
        <v>0</v>
      </c>
      <c r="V629" s="336">
        <f t="shared" si="270"/>
        <v>0</v>
      </c>
      <c r="W629" s="336">
        <f t="shared" si="271"/>
        <v>0</v>
      </c>
      <c r="X629" s="336">
        <f t="shared" si="272"/>
        <v>0</v>
      </c>
      <c r="Y629" s="320"/>
      <c r="Z629" s="321" t="str">
        <f t="shared" si="276"/>
        <v>X-PDSA</v>
      </c>
      <c r="AA629" s="321" t="str">
        <f t="shared" si="277"/>
        <v>X-PDSE</v>
      </c>
      <c r="AB629" s="321" t="str">
        <f t="shared" si="278"/>
        <v>X-PDSM</v>
      </c>
      <c r="AC629" s="321" t="str">
        <f t="shared" si="279"/>
        <v>X-PDST</v>
      </c>
      <c r="AD629" s="321" t="str">
        <f t="shared" si="280"/>
        <v>X-PDSS</v>
      </c>
      <c r="AE629" s="321" t="str">
        <f t="shared" si="281"/>
        <v>X-PDSX</v>
      </c>
      <c r="AF629" s="321" t="str">
        <f t="shared" si="282"/>
        <v>X-PDSA</v>
      </c>
      <c r="AG629" s="321">
        <f t="shared" si="273"/>
        <v>9</v>
      </c>
      <c r="AH629" s="321">
        <f>IF(B629&lt;&gt;"",IF(H629="x",VLOOKUP(I629,'AUX-NIV3'!B:AG,32,FALSE),0),"")</f>
        <v>0</v>
      </c>
      <c r="AI629" s="321" t="str">
        <f t="shared" si="283"/>
        <v>X-PDS</v>
      </c>
      <c r="AJ629" s="320"/>
      <c r="AK629" s="322">
        <f t="shared" si="274"/>
        <v>625</v>
      </c>
      <c r="AL629" s="323">
        <f t="shared" si="284"/>
        <v>633</v>
      </c>
      <c r="AM629" s="322">
        <f t="shared" si="285"/>
        <v>5</v>
      </c>
      <c r="AN629" s="380">
        <f>IF(AND(AH629&gt;0,B629&lt;&gt;""),VLOOKUP(I629,'AUX-NIV3'!$B:$AO,39,FALSE)*O629,0)</f>
        <v>0</v>
      </c>
      <c r="AO629" s="380">
        <f t="shared" si="275"/>
        <v>1.6666666666666666E-2</v>
      </c>
      <c r="AP629" s="380"/>
    </row>
    <row r="630" spans="2:42" ht="14.4" hidden="1" thickTop="1" thickBot="1">
      <c r="B630" s="324" t="s">
        <v>2778</v>
      </c>
      <c r="C630" s="325" t="s">
        <v>1379</v>
      </c>
      <c r="D630" s="326" t="s">
        <v>501</v>
      </c>
      <c r="E630" s="327">
        <f>IF(B630&lt;&gt;"",SUMIF('AUX-NIV1'!I:I,'AUX-NIV2'!B630,'AUX-NIV1'!Q:Q),"")</f>
        <v>0</v>
      </c>
      <c r="F630" s="327">
        <f t="shared" si="265"/>
        <v>32.72993967561375</v>
      </c>
      <c r="G630" s="327">
        <f t="shared" si="266"/>
        <v>0</v>
      </c>
      <c r="H630" s="328" t="str">
        <f t="shared" si="286"/>
        <v>E</v>
      </c>
      <c r="I630" s="325" t="s">
        <v>1664</v>
      </c>
      <c r="J630" s="329" t="str">
        <f>IF(B630&lt;&gt;"",+VLOOKUP(I630,Recursos!C:F,2,FALSE),"")</f>
        <v>MOTONIVELADORA HOJA 14 PIES-15 T</v>
      </c>
      <c r="K630" s="330" t="str">
        <f>IF(B630&lt;&gt;"",+VLOOKUP(I630,Recursos!C:F,3,FALSE),"")</f>
        <v>HR</v>
      </c>
      <c r="L630" s="327">
        <f>IF(B630&lt;&gt;"",+VLOOKUP(I630,Recursos!C:F,4,FALSE),"")</f>
        <v>4111.9767199999997</v>
      </c>
      <c r="M630" s="462">
        <v>1000</v>
      </c>
      <c r="N630" s="463">
        <v>0.3</v>
      </c>
      <c r="O630" s="459">
        <f>1/M630/N630</f>
        <v>3.3333333333333335E-3</v>
      </c>
      <c r="P630" s="333">
        <f t="shared" si="262"/>
        <v>13.706589066666666</v>
      </c>
      <c r="Q630" s="327">
        <f t="shared" si="263"/>
        <v>0</v>
      </c>
      <c r="R630" s="334">
        <f t="shared" si="264"/>
        <v>0</v>
      </c>
      <c r="S630" s="335">
        <f t="shared" si="267"/>
        <v>8.8482975700581896</v>
      </c>
      <c r="T630" s="335">
        <f t="shared" si="268"/>
        <v>23.881642105555557</v>
      </c>
      <c r="U630" s="336">
        <f t="shared" si="269"/>
        <v>0</v>
      </c>
      <c r="V630" s="336">
        <f t="shared" si="270"/>
        <v>0</v>
      </c>
      <c r="W630" s="336">
        <f t="shared" si="271"/>
        <v>0</v>
      </c>
      <c r="X630" s="336">
        <f t="shared" si="272"/>
        <v>0</v>
      </c>
      <c r="Y630" s="320"/>
      <c r="Z630" s="321" t="str">
        <f t="shared" si="276"/>
        <v>X-PDSA</v>
      </c>
      <c r="AA630" s="321" t="str">
        <f t="shared" si="277"/>
        <v>X-PDSE</v>
      </c>
      <c r="AB630" s="321" t="str">
        <f t="shared" si="278"/>
        <v>X-PDSM</v>
      </c>
      <c r="AC630" s="321" t="str">
        <f t="shared" si="279"/>
        <v>X-PDST</v>
      </c>
      <c r="AD630" s="321" t="str">
        <f t="shared" si="280"/>
        <v>X-PDSS</v>
      </c>
      <c r="AE630" s="321" t="str">
        <f t="shared" si="281"/>
        <v>X-PDSX</v>
      </c>
      <c r="AF630" s="321" t="str">
        <f t="shared" si="282"/>
        <v>X-PDSE</v>
      </c>
      <c r="AG630" s="321">
        <f t="shared" si="273"/>
        <v>9</v>
      </c>
      <c r="AH630" s="321">
        <f>IF(B630&lt;&gt;"",IF(H630="x",VLOOKUP(I630,'AUX-NIV3'!B:AG,32,FALSE),0),"")</f>
        <v>0</v>
      </c>
      <c r="AI630" s="321" t="str">
        <f t="shared" si="283"/>
        <v>X-PDS</v>
      </c>
      <c r="AJ630" s="320"/>
      <c r="AK630" s="322">
        <f t="shared" si="274"/>
        <v>625</v>
      </c>
      <c r="AL630" s="323">
        <f t="shared" si="284"/>
        <v>633</v>
      </c>
      <c r="AM630" s="322">
        <f t="shared" si="285"/>
        <v>6</v>
      </c>
      <c r="AN630" s="380">
        <f>IF(AND(AH630&gt;0,B630&lt;&gt;""),VLOOKUP(I630,'AUX-NIV3'!$B:$AO,39,FALSE)*O630,0)</f>
        <v>0</v>
      </c>
      <c r="AO630" s="380">
        <f t="shared" si="275"/>
        <v>1.6666666666666666E-2</v>
      </c>
      <c r="AP630" s="380"/>
    </row>
    <row r="631" spans="2:42" ht="14.4" hidden="1" thickTop="1" thickBot="1">
      <c r="B631" s="324" t="s">
        <v>2778</v>
      </c>
      <c r="C631" s="325" t="s">
        <v>1379</v>
      </c>
      <c r="D631" s="326" t="s">
        <v>501</v>
      </c>
      <c r="E631" s="327">
        <f>IF(B631&lt;&gt;"",SUMIF('AUX-NIV1'!I:I,'AUX-NIV2'!B631,'AUX-NIV1'!Q:Q),"")</f>
        <v>0</v>
      </c>
      <c r="F631" s="327">
        <f t="shared" si="265"/>
        <v>32.72993967561375</v>
      </c>
      <c r="G631" s="327">
        <f t="shared" si="266"/>
        <v>0</v>
      </c>
      <c r="H631" s="328" t="str">
        <f t="shared" si="286"/>
        <v>E</v>
      </c>
      <c r="I631" s="325" t="s">
        <v>1676</v>
      </c>
      <c r="J631" s="329" t="str">
        <f>IF(B631&lt;&gt;"",+VLOOKUP(I631,Recursos!C:F,2,FALSE),"")</f>
        <v>CAMION REGADOR CAP. 8 m3</v>
      </c>
      <c r="K631" s="330" t="str">
        <f>IF(B631&lt;&gt;"",+VLOOKUP(I631,Recursos!C:F,3,FALSE),"")</f>
        <v>HR</v>
      </c>
      <c r="L631" s="327">
        <f>IF(B631&lt;&gt;"",+VLOOKUP(I631,Recursos!C:F,4,FALSE),"")</f>
        <v>2281.2949000000003</v>
      </c>
      <c r="M631" s="460">
        <f>+M630</f>
        <v>1000</v>
      </c>
      <c r="N631" s="463">
        <v>0.5</v>
      </c>
      <c r="O631" s="459">
        <f>+N631/M631/N630</f>
        <v>1.6666666666666668E-3</v>
      </c>
      <c r="P631" s="333">
        <f t="shared" si="262"/>
        <v>3.8021581666666675</v>
      </c>
      <c r="Q631" s="327">
        <f t="shared" si="263"/>
        <v>0</v>
      </c>
      <c r="R631" s="334">
        <f t="shared" si="264"/>
        <v>0</v>
      </c>
      <c r="S631" s="335">
        <f t="shared" si="267"/>
        <v>8.8482975700581896</v>
      </c>
      <c r="T631" s="335">
        <f t="shared" si="268"/>
        <v>23.881642105555557</v>
      </c>
      <c r="U631" s="336">
        <f t="shared" si="269"/>
        <v>0</v>
      </c>
      <c r="V631" s="336">
        <f t="shared" si="270"/>
        <v>0</v>
      </c>
      <c r="W631" s="336">
        <f t="shared" si="271"/>
        <v>0</v>
      </c>
      <c r="X631" s="336">
        <f t="shared" si="272"/>
        <v>0</v>
      </c>
      <c r="Y631" s="320"/>
      <c r="Z631" s="321" t="str">
        <f t="shared" si="276"/>
        <v>X-PDSA</v>
      </c>
      <c r="AA631" s="321" t="str">
        <f t="shared" si="277"/>
        <v>X-PDSE</v>
      </c>
      <c r="AB631" s="321" t="str">
        <f t="shared" si="278"/>
        <v>X-PDSM</v>
      </c>
      <c r="AC631" s="321" t="str">
        <f t="shared" si="279"/>
        <v>X-PDST</v>
      </c>
      <c r="AD631" s="321" t="str">
        <f t="shared" si="280"/>
        <v>X-PDSS</v>
      </c>
      <c r="AE631" s="321" t="str">
        <f t="shared" si="281"/>
        <v>X-PDSX</v>
      </c>
      <c r="AF631" s="321" t="str">
        <f t="shared" si="282"/>
        <v>X-PDSE</v>
      </c>
      <c r="AG631" s="321">
        <f t="shared" si="273"/>
        <v>9</v>
      </c>
      <c r="AH631" s="321">
        <f>IF(B631&lt;&gt;"",IF(H631="x",VLOOKUP(I631,'AUX-NIV3'!B:AG,32,FALSE),0),"")</f>
        <v>0</v>
      </c>
      <c r="AI631" s="321" t="str">
        <f t="shared" si="283"/>
        <v>X-PDS</v>
      </c>
      <c r="AJ631" s="320"/>
      <c r="AK631" s="322">
        <f t="shared" si="274"/>
        <v>625</v>
      </c>
      <c r="AL631" s="323">
        <f t="shared" si="284"/>
        <v>633</v>
      </c>
      <c r="AM631" s="322">
        <f t="shared" si="285"/>
        <v>7</v>
      </c>
      <c r="AN631" s="380">
        <f>IF(AND(AH631&gt;0,B631&lt;&gt;""),VLOOKUP(I631,'AUX-NIV3'!$B:$AO,39,FALSE)*O631,0)</f>
        <v>0</v>
      </c>
      <c r="AO631" s="380">
        <f t="shared" si="275"/>
        <v>1.6666666666666666E-2</v>
      </c>
      <c r="AP631" s="380"/>
    </row>
    <row r="632" spans="2:42" ht="14.4" hidden="1" thickTop="1" thickBot="1">
      <c r="B632" s="324" t="s">
        <v>2778</v>
      </c>
      <c r="C632" s="325" t="s">
        <v>1379</v>
      </c>
      <c r="D632" s="326" t="s">
        <v>501</v>
      </c>
      <c r="E632" s="327">
        <f>IF(B632&lt;&gt;"",SUMIF('AUX-NIV1'!I:I,'AUX-NIV2'!B632,'AUX-NIV1'!Q:Q),"")</f>
        <v>0</v>
      </c>
      <c r="F632" s="327">
        <f t="shared" si="265"/>
        <v>32.72993967561375</v>
      </c>
      <c r="G632" s="327">
        <f t="shared" si="266"/>
        <v>0</v>
      </c>
      <c r="H632" s="328" t="str">
        <f t="shared" si="286"/>
        <v>E</v>
      </c>
      <c r="I632" s="325" t="s">
        <v>1682</v>
      </c>
      <c r="J632" s="329" t="str">
        <f>IF(B632&lt;&gt;"",+VLOOKUP(I632,Recursos!C:F,2,FALSE),"")</f>
        <v>COMPACT. LISO VIBR. AUTOP.-11 T</v>
      </c>
      <c r="K632" s="330" t="str">
        <f>IF(B632&lt;&gt;"",+VLOOKUP(I632,Recursos!C:F,3,FALSE),"")</f>
        <v>HR</v>
      </c>
      <c r="L632" s="327">
        <f>IF(B632&lt;&gt;"",+VLOOKUP(I632,Recursos!C:F,4,FALSE),"")</f>
        <v>2026.0471399999999</v>
      </c>
      <c r="M632" s="460">
        <f>+M631</f>
        <v>1000</v>
      </c>
      <c r="N632" s="463">
        <v>0.5</v>
      </c>
      <c r="O632" s="459">
        <f>+N632/N630/M632</f>
        <v>1.6666666666666668E-3</v>
      </c>
      <c r="P632" s="333">
        <f t="shared" si="262"/>
        <v>3.3767452333333332</v>
      </c>
      <c r="Q632" s="327">
        <f t="shared" si="263"/>
        <v>0</v>
      </c>
      <c r="R632" s="334">
        <f t="shared" si="264"/>
        <v>0</v>
      </c>
      <c r="S632" s="335">
        <f t="shared" si="267"/>
        <v>8.8482975700581896</v>
      </c>
      <c r="T632" s="335">
        <f t="shared" si="268"/>
        <v>23.881642105555557</v>
      </c>
      <c r="U632" s="336">
        <f t="shared" si="269"/>
        <v>0</v>
      </c>
      <c r="V632" s="336">
        <f t="shared" si="270"/>
        <v>0</v>
      </c>
      <c r="W632" s="336">
        <f t="shared" si="271"/>
        <v>0</v>
      </c>
      <c r="X632" s="336">
        <f t="shared" si="272"/>
        <v>0</v>
      </c>
      <c r="Y632" s="320"/>
      <c r="Z632" s="321" t="str">
        <f t="shared" si="276"/>
        <v>X-PDSA</v>
      </c>
      <c r="AA632" s="321" t="str">
        <f t="shared" si="277"/>
        <v>X-PDSE</v>
      </c>
      <c r="AB632" s="321" t="str">
        <f t="shared" si="278"/>
        <v>X-PDSM</v>
      </c>
      <c r="AC632" s="321" t="str">
        <f t="shared" si="279"/>
        <v>X-PDST</v>
      </c>
      <c r="AD632" s="321" t="str">
        <f t="shared" si="280"/>
        <v>X-PDSS</v>
      </c>
      <c r="AE632" s="321" t="str">
        <f t="shared" si="281"/>
        <v>X-PDSX</v>
      </c>
      <c r="AF632" s="321" t="str">
        <f t="shared" si="282"/>
        <v>X-PDSE</v>
      </c>
      <c r="AG632" s="321">
        <f t="shared" si="273"/>
        <v>9</v>
      </c>
      <c r="AH632" s="321">
        <f>IF(B632&lt;&gt;"",IF(H632="x",VLOOKUP(I632,'AUX-NIV3'!B:AG,32,FALSE),0),"")</f>
        <v>0</v>
      </c>
      <c r="AI632" s="321" t="str">
        <f t="shared" si="283"/>
        <v>X-PDS</v>
      </c>
      <c r="AJ632" s="320"/>
      <c r="AK632" s="322">
        <f t="shared" si="274"/>
        <v>625</v>
      </c>
      <c r="AL632" s="323">
        <f t="shared" si="284"/>
        <v>633</v>
      </c>
      <c r="AM632" s="322">
        <f t="shared" si="285"/>
        <v>8</v>
      </c>
      <c r="AN632" s="380">
        <f>IF(AND(AH632&gt;0,B632&lt;&gt;""),VLOOKUP(I632,'AUX-NIV3'!$B:$AO,39,FALSE)*O632,0)</f>
        <v>0</v>
      </c>
      <c r="AO632" s="380">
        <f t="shared" si="275"/>
        <v>1.6666666666666666E-2</v>
      </c>
      <c r="AP632" s="380"/>
    </row>
    <row r="633" spans="2:42" ht="14.4" hidden="1" thickTop="1" thickBot="1">
      <c r="B633" s="324" t="s">
        <v>2778</v>
      </c>
      <c r="C633" s="325" t="s">
        <v>1379</v>
      </c>
      <c r="D633" s="326" t="s">
        <v>501</v>
      </c>
      <c r="E633" s="327">
        <f>IF(B633&lt;&gt;"",SUMIF('AUX-NIV1'!I:I,'AUX-NIV2'!B633,'AUX-NIV1'!Q:Q),"")</f>
        <v>0</v>
      </c>
      <c r="F633" s="327">
        <f t="shared" si="265"/>
        <v>32.72993967561375</v>
      </c>
      <c r="G633" s="327">
        <f t="shared" si="266"/>
        <v>0</v>
      </c>
      <c r="H633" s="328" t="str">
        <f t="shared" si="286"/>
        <v>E</v>
      </c>
      <c r="I633" s="325" t="s">
        <v>1569</v>
      </c>
      <c r="J633" s="329" t="str">
        <f>IF(B633&lt;&gt;"",+VLOOKUP(I633,Recursos!C:F,2,FALSE),"")</f>
        <v>COMPACTADOR NEUMAT.AUTOPROP.(22 T)</v>
      </c>
      <c r="K633" s="330" t="str">
        <f>IF(B633&lt;&gt;"",+VLOOKUP(I633,Recursos!C:F,3,FALSE),"")</f>
        <v>HR</v>
      </c>
      <c r="L633" s="327">
        <f>IF(B633&lt;&gt;"",+VLOOKUP(I633,Recursos!C:F,4,FALSE),"")</f>
        <v>1797.6897833333335</v>
      </c>
      <c r="M633" s="509">
        <f>+M632</f>
        <v>1000</v>
      </c>
      <c r="N633" s="498">
        <f>+N632</f>
        <v>0.5</v>
      </c>
      <c r="O633" s="459">
        <f>+N633/N630/M633</f>
        <v>1.6666666666666668E-3</v>
      </c>
      <c r="P633" s="333">
        <f t="shared" si="262"/>
        <v>2.9961496388888893</v>
      </c>
      <c r="Q633" s="327">
        <f t="shared" si="263"/>
        <v>0</v>
      </c>
      <c r="R633" s="334">
        <f t="shared" si="264"/>
        <v>0</v>
      </c>
      <c r="S633" s="335">
        <f t="shared" si="267"/>
        <v>8.8482975700581896</v>
      </c>
      <c r="T633" s="335">
        <f t="shared" si="268"/>
        <v>23.881642105555557</v>
      </c>
      <c r="U633" s="336">
        <f t="shared" si="269"/>
        <v>0</v>
      </c>
      <c r="V633" s="336">
        <f t="shared" si="270"/>
        <v>0</v>
      </c>
      <c r="W633" s="336">
        <f t="shared" si="271"/>
        <v>0</v>
      </c>
      <c r="X633" s="336">
        <f t="shared" si="272"/>
        <v>0</v>
      </c>
      <c r="Y633" s="320"/>
      <c r="Z633" s="321" t="str">
        <f t="shared" si="276"/>
        <v>X-PDSA</v>
      </c>
      <c r="AA633" s="321" t="str">
        <f t="shared" si="277"/>
        <v>X-PDSE</v>
      </c>
      <c r="AB633" s="321" t="str">
        <f t="shared" si="278"/>
        <v>X-PDSM</v>
      </c>
      <c r="AC633" s="321" t="str">
        <f t="shared" si="279"/>
        <v>X-PDST</v>
      </c>
      <c r="AD633" s="321" t="str">
        <f t="shared" si="280"/>
        <v>X-PDSS</v>
      </c>
      <c r="AE633" s="321" t="str">
        <f t="shared" si="281"/>
        <v>X-PDSX</v>
      </c>
      <c r="AF633" s="321" t="str">
        <f t="shared" si="282"/>
        <v>X-PDSE</v>
      </c>
      <c r="AG633" s="321">
        <f t="shared" si="273"/>
        <v>9</v>
      </c>
      <c r="AH633" s="321">
        <f>IF(B633&lt;&gt;"",IF(H633="x",VLOOKUP(I633,'AUX-NIV3'!B:AG,32,FALSE),0),"")</f>
        <v>0</v>
      </c>
      <c r="AI633" s="321" t="str">
        <f t="shared" si="283"/>
        <v>X-PDS</v>
      </c>
      <c r="AJ633" s="320"/>
      <c r="AK633" s="322">
        <f t="shared" si="274"/>
        <v>625</v>
      </c>
      <c r="AL633" s="323">
        <f t="shared" si="284"/>
        <v>633</v>
      </c>
      <c r="AM633" s="322">
        <f t="shared" si="285"/>
        <v>9</v>
      </c>
      <c r="AN633" s="380">
        <f>IF(AND(AH633&gt;0,B633&lt;&gt;""),VLOOKUP(I633,'AUX-NIV3'!$B:$AO,39,FALSE)*O633,0)</f>
        <v>0</v>
      </c>
      <c r="AO633" s="380">
        <f t="shared" si="275"/>
        <v>1.6666666666666666E-2</v>
      </c>
      <c r="AP633" s="380"/>
    </row>
    <row r="634" spans="2:42" ht="14.4" hidden="1" thickTop="1" thickBot="1">
      <c r="B634" s="324" t="s">
        <v>2785</v>
      </c>
      <c r="C634" s="325" t="s">
        <v>2786</v>
      </c>
      <c r="D634" s="326" t="s">
        <v>1160</v>
      </c>
      <c r="E634" s="327">
        <f>IF(B634&lt;&gt;"",SUMIF('AUX-NIV1'!I:I,'AUX-NIV2'!B634,'AUX-NIV1'!Q:Q),"")</f>
        <v>0</v>
      </c>
      <c r="F634" s="327">
        <f t="shared" si="265"/>
        <v>1114.1307890899541</v>
      </c>
      <c r="G634" s="327">
        <f t="shared" si="266"/>
        <v>0</v>
      </c>
      <c r="H634" s="328" t="str">
        <f t="shared" si="286"/>
        <v>X</v>
      </c>
      <c r="I634" s="325" t="s">
        <v>2756</v>
      </c>
      <c r="J634" s="329" t="str">
        <f>IF(B634&lt;&gt;"",+VLOOKUP(I634,Recursos!C:F,2,FALSE),"")</f>
        <v>Explotación préstamo con Retro</v>
      </c>
      <c r="K634" s="330" t="str">
        <f>IF(B634&lt;&gt;"",+VLOOKUP(I634,Recursos!C:F,3,FALSE),"")</f>
        <v>m3</v>
      </c>
      <c r="L634" s="446">
        <f>IF(B634&lt;&gt;"",+VLOOKUP(I634,Recursos!C:F,4,FALSE),"")</f>
        <v>62.271140341608451</v>
      </c>
      <c r="M634" s="447">
        <v>1.2</v>
      </c>
      <c r="N634" s="510"/>
      <c r="O634" s="449">
        <f>+M634</f>
        <v>1.2</v>
      </c>
      <c r="P634" s="333">
        <f t="shared" si="262"/>
        <v>74.725368409930141</v>
      </c>
      <c r="Q634" s="327">
        <f t="shared" si="263"/>
        <v>0</v>
      </c>
      <c r="R634" s="334">
        <f t="shared" si="264"/>
        <v>0</v>
      </c>
      <c r="S634" s="335">
        <f t="shared" si="267"/>
        <v>0</v>
      </c>
      <c r="T634" s="335">
        <f t="shared" si="268"/>
        <v>0</v>
      </c>
      <c r="U634" s="336">
        <f t="shared" si="269"/>
        <v>0</v>
      </c>
      <c r="V634" s="336">
        <f t="shared" si="270"/>
        <v>0</v>
      </c>
      <c r="W634" s="336">
        <f t="shared" si="271"/>
        <v>0</v>
      </c>
      <c r="X634" s="336">
        <f t="shared" si="272"/>
        <v>1114.1307890899541</v>
      </c>
      <c r="Y634" s="320"/>
      <c r="Z634" s="321" t="str">
        <f t="shared" si="276"/>
        <v>X-PEDA</v>
      </c>
      <c r="AA634" s="321" t="str">
        <f t="shared" si="277"/>
        <v>X-PEDE</v>
      </c>
      <c r="AB634" s="321" t="str">
        <f t="shared" si="278"/>
        <v>X-PEDM</v>
      </c>
      <c r="AC634" s="321" t="str">
        <f t="shared" si="279"/>
        <v>X-PEDT</v>
      </c>
      <c r="AD634" s="321" t="str">
        <f t="shared" si="280"/>
        <v>X-PEDS</v>
      </c>
      <c r="AE634" s="321" t="str">
        <f t="shared" si="281"/>
        <v>X-PEDX</v>
      </c>
      <c r="AF634" s="321" t="str">
        <f t="shared" si="282"/>
        <v>X-PEDX</v>
      </c>
      <c r="AG634" s="321">
        <f t="shared" si="273"/>
        <v>7</v>
      </c>
      <c r="AH634" s="321">
        <f>IF(B634&lt;&gt;"",IF(H634="x",VLOOKUP(I634,'AUX-NIV3'!B:AG,32,FALSE),0),"")</f>
        <v>4</v>
      </c>
      <c r="AI634" s="321" t="str">
        <f t="shared" si="283"/>
        <v>X-PED</v>
      </c>
      <c r="AJ634" s="320"/>
      <c r="AK634" s="322">
        <f t="shared" si="274"/>
        <v>634</v>
      </c>
      <c r="AL634" s="323">
        <f t="shared" si="284"/>
        <v>640</v>
      </c>
      <c r="AM634" s="322">
        <f t="shared" si="285"/>
        <v>1</v>
      </c>
      <c r="AN634" s="380">
        <f>IF(AND(AH634&gt;0,B634&lt;&gt;""),VLOOKUP(I634,'AUX-NIV3'!$B:$AO,39,FALSE)*O634,0)</f>
        <v>4.8000000000000001E-2</v>
      </c>
      <c r="AO634" s="380" t="e">
        <f t="shared" si="275"/>
        <v>#N/A</v>
      </c>
      <c r="AP634" s="380"/>
    </row>
    <row r="635" spans="2:42" ht="14.4" hidden="1" thickTop="1" thickBot="1">
      <c r="B635" s="324" t="s">
        <v>2785</v>
      </c>
      <c r="C635" s="325" t="s">
        <v>2786</v>
      </c>
      <c r="D635" s="326" t="s">
        <v>1160</v>
      </c>
      <c r="E635" s="327">
        <f>IF(B635&lt;&gt;"",SUMIF('AUX-NIV1'!I:I,'AUX-NIV2'!B635,'AUX-NIV1'!Q:Q),"")</f>
        <v>0</v>
      </c>
      <c r="F635" s="327">
        <f t="shared" si="265"/>
        <v>1114.1307890899541</v>
      </c>
      <c r="G635" s="327">
        <f t="shared" si="266"/>
        <v>0</v>
      </c>
      <c r="H635" s="328" t="str">
        <f t="shared" si="286"/>
        <v>X</v>
      </c>
      <c r="I635" s="325" t="s">
        <v>2811</v>
      </c>
      <c r="J635" s="329" t="str">
        <f>IF(B635&lt;&gt;"",+VLOOKUP(I635,Recursos!C:F,2,FALSE),"")</f>
        <v>Distribución de base con moto</v>
      </c>
      <c r="K635" s="330" t="str">
        <f>IF(B635&lt;&gt;"",+VLOOKUP(I635,Recursos!C:F,3,FALSE),"")</f>
        <v>m3</v>
      </c>
      <c r="L635" s="446">
        <f>IF(B635&lt;&gt;"",+VLOOKUP(I635,Recursos!C:F,4,FALSE),"")</f>
        <v>71.552050141083967</v>
      </c>
      <c r="M635" s="452">
        <v>1.45</v>
      </c>
      <c r="N635" s="508"/>
      <c r="O635" s="449">
        <f>+M635</f>
        <v>1.45</v>
      </c>
      <c r="P635" s="333">
        <f t="shared" si="262"/>
        <v>103.75047270457175</v>
      </c>
      <c r="Q635" s="327">
        <f t="shared" si="263"/>
        <v>0</v>
      </c>
      <c r="R635" s="334">
        <f t="shared" si="264"/>
        <v>0</v>
      </c>
      <c r="S635" s="335">
        <f t="shared" si="267"/>
        <v>0</v>
      </c>
      <c r="T635" s="335">
        <f t="shared" si="268"/>
        <v>0</v>
      </c>
      <c r="U635" s="336">
        <f t="shared" si="269"/>
        <v>0</v>
      </c>
      <c r="V635" s="336">
        <f t="shared" si="270"/>
        <v>0</v>
      </c>
      <c r="W635" s="336">
        <f t="shared" si="271"/>
        <v>0</v>
      </c>
      <c r="X635" s="336">
        <f t="shared" si="272"/>
        <v>1114.1307890899541</v>
      </c>
      <c r="Y635" s="320"/>
      <c r="Z635" s="321" t="str">
        <f t="shared" si="276"/>
        <v>X-PEDA</v>
      </c>
      <c r="AA635" s="321" t="str">
        <f t="shared" si="277"/>
        <v>X-PEDE</v>
      </c>
      <c r="AB635" s="321" t="str">
        <f t="shared" si="278"/>
        <v>X-PEDM</v>
      </c>
      <c r="AC635" s="321" t="str">
        <f t="shared" si="279"/>
        <v>X-PEDT</v>
      </c>
      <c r="AD635" s="321" t="str">
        <f t="shared" si="280"/>
        <v>X-PEDS</v>
      </c>
      <c r="AE635" s="321" t="str">
        <f t="shared" si="281"/>
        <v>X-PEDX</v>
      </c>
      <c r="AF635" s="321" t="str">
        <f t="shared" si="282"/>
        <v>X-PEDX</v>
      </c>
      <c r="AG635" s="321">
        <f t="shared" si="273"/>
        <v>7</v>
      </c>
      <c r="AH635" s="321" t="e">
        <f>IF(B635&lt;&gt;"",IF(H635="x",VLOOKUP(I635,'AUX-NIV3'!B:AG,32,FALSE),0),"")</f>
        <v>#N/A</v>
      </c>
      <c r="AI635" s="321" t="str">
        <f t="shared" si="283"/>
        <v>X-PED</v>
      </c>
      <c r="AJ635" s="320"/>
      <c r="AK635" s="322">
        <f t="shared" si="274"/>
        <v>634</v>
      </c>
      <c r="AL635" s="323">
        <f t="shared" si="284"/>
        <v>640</v>
      </c>
      <c r="AM635" s="322">
        <f t="shared" si="285"/>
        <v>2</v>
      </c>
      <c r="AN635" s="380" t="e">
        <f>IF(AND(AH635&gt;0,B635&lt;&gt;""),VLOOKUP(I635,'AUX-NIV3'!$B:$AO,39,FALSE)*O635,0)</f>
        <v>#N/A</v>
      </c>
      <c r="AO635" s="380" t="e">
        <f t="shared" si="275"/>
        <v>#N/A</v>
      </c>
      <c r="AP635" s="380"/>
    </row>
    <row r="636" spans="2:42" ht="14.4" hidden="1" thickTop="1" thickBot="1">
      <c r="B636" s="324" t="s">
        <v>2785</v>
      </c>
      <c r="C636" s="325" t="s">
        <v>2786</v>
      </c>
      <c r="D636" s="326" t="s">
        <v>1160</v>
      </c>
      <c r="E636" s="327">
        <f>IF(B636&lt;&gt;"",SUMIF('AUX-NIV1'!I:I,'AUX-NIV2'!B636,'AUX-NIV1'!Q:Q),"")</f>
        <v>0</v>
      </c>
      <c r="F636" s="327">
        <f t="shared" si="265"/>
        <v>1114.1307890899541</v>
      </c>
      <c r="G636" s="327">
        <f t="shared" si="266"/>
        <v>0</v>
      </c>
      <c r="H636" s="328" t="str">
        <f t="shared" si="286"/>
        <v>X</v>
      </c>
      <c r="I636" s="324" t="s">
        <v>2758</v>
      </c>
      <c r="J636" s="329" t="str">
        <f>IF(B636&lt;&gt;"",+VLOOKUP(I636,Recursos!C:F,2,FALSE),"")</f>
        <v>Transporte de Suelo DMT 5 km</v>
      </c>
      <c r="K636" s="330" t="str">
        <f>IF(B636&lt;&gt;"",+VLOOKUP(I636,Recursos!C:F,3,FALSE),"")</f>
        <v>m3s.km</v>
      </c>
      <c r="L636" s="446">
        <f>IF(B636&lt;&gt;"",+VLOOKUP(I636,Recursos!C:F,4,FALSE),"")</f>
        <v>25.080438599876832</v>
      </c>
      <c r="M636" s="452">
        <v>20</v>
      </c>
      <c r="N636" s="508"/>
      <c r="O636" s="449">
        <f>+M636*M635</f>
        <v>29</v>
      </c>
      <c r="P636" s="333">
        <f t="shared" si="262"/>
        <v>727.33271939642816</v>
      </c>
      <c r="Q636" s="327">
        <f t="shared" si="263"/>
        <v>0</v>
      </c>
      <c r="R636" s="334">
        <f t="shared" si="264"/>
        <v>0</v>
      </c>
      <c r="S636" s="335">
        <f t="shared" si="267"/>
        <v>0</v>
      </c>
      <c r="T636" s="335">
        <f t="shared" si="268"/>
        <v>0</v>
      </c>
      <c r="U636" s="336">
        <f t="shared" si="269"/>
        <v>0</v>
      </c>
      <c r="V636" s="336">
        <f t="shared" si="270"/>
        <v>0</v>
      </c>
      <c r="W636" s="336">
        <f t="shared" si="271"/>
        <v>0</v>
      </c>
      <c r="X636" s="336">
        <f t="shared" si="272"/>
        <v>1114.1307890899541</v>
      </c>
      <c r="Y636" s="320"/>
      <c r="Z636" s="321" t="str">
        <f t="shared" si="276"/>
        <v>X-PEDA</v>
      </c>
      <c r="AA636" s="321" t="str">
        <f t="shared" si="277"/>
        <v>X-PEDE</v>
      </c>
      <c r="AB636" s="321" t="str">
        <f t="shared" si="278"/>
        <v>X-PEDM</v>
      </c>
      <c r="AC636" s="321" t="str">
        <f t="shared" si="279"/>
        <v>X-PEDT</v>
      </c>
      <c r="AD636" s="321" t="str">
        <f t="shared" si="280"/>
        <v>X-PEDS</v>
      </c>
      <c r="AE636" s="321" t="str">
        <f t="shared" si="281"/>
        <v>X-PEDX</v>
      </c>
      <c r="AF636" s="321" t="str">
        <f t="shared" si="282"/>
        <v>X-PEDX</v>
      </c>
      <c r="AG636" s="321">
        <f t="shared" si="273"/>
        <v>7</v>
      </c>
      <c r="AH636" s="321">
        <f>IF(B636&lt;&gt;"",IF(H636="x",VLOOKUP(I636,'AUX-NIV3'!B:AG,32,FALSE),0),"")</f>
        <v>2</v>
      </c>
      <c r="AI636" s="321" t="str">
        <f t="shared" si="283"/>
        <v>X-PED</v>
      </c>
      <c r="AJ636" s="320"/>
      <c r="AK636" s="322">
        <f t="shared" si="274"/>
        <v>634</v>
      </c>
      <c r="AL636" s="323">
        <f t="shared" si="284"/>
        <v>640</v>
      </c>
      <c r="AM636" s="322">
        <f t="shared" si="285"/>
        <v>3</v>
      </c>
      <c r="AN636" s="380">
        <f>IF(AND(AH636&gt;0,B636&lt;&gt;""),VLOOKUP(I636,'AUX-NIV3'!$B:$AO,39,FALSE)*O636,0)</f>
        <v>0.22991213151927437</v>
      </c>
      <c r="AO636" s="380" t="e">
        <f t="shared" si="275"/>
        <v>#N/A</v>
      </c>
      <c r="AP636" s="380"/>
    </row>
    <row r="637" spans="2:42" ht="14.4" hidden="1" thickTop="1" thickBot="1">
      <c r="B637" s="324" t="s">
        <v>2785</v>
      </c>
      <c r="C637" s="325" t="s">
        <v>2786</v>
      </c>
      <c r="D637" s="326" t="s">
        <v>1160</v>
      </c>
      <c r="E637" s="327">
        <f>IF(B637&lt;&gt;"",SUMIF('AUX-NIV1'!I:I,'AUX-NIV2'!B637,'AUX-NIV1'!Q:Q),"")</f>
        <v>0</v>
      </c>
      <c r="F637" s="327">
        <f t="shared" si="265"/>
        <v>1114.1307890899541</v>
      </c>
      <c r="G637" s="327">
        <f t="shared" si="266"/>
        <v>0</v>
      </c>
      <c r="H637" s="328" t="str">
        <f t="shared" si="286"/>
        <v>X</v>
      </c>
      <c r="I637" s="324" t="s">
        <v>2783</v>
      </c>
      <c r="J637" s="329" t="str">
        <f>IF(B637&lt;&gt;"",+VLOOKUP(I637,Recursos!C:F,2,FALSE),"")</f>
        <v>Compactación de Pedraplén</v>
      </c>
      <c r="K637" s="330" t="str">
        <f>IF(B637&lt;&gt;"",+VLOOKUP(I637,Recursos!C:F,3,FALSE),"")</f>
        <v>m3</v>
      </c>
      <c r="L637" s="446">
        <f>IF(B637&lt;&gt;"",+VLOOKUP(I637,Recursos!C:F,4,FALSE),"")</f>
        <v>32.804741805812974</v>
      </c>
      <c r="M637" s="452">
        <v>2</v>
      </c>
      <c r="N637" s="453">
        <v>0.12</v>
      </c>
      <c r="O637" s="449">
        <v>1</v>
      </c>
      <c r="P637" s="333">
        <f t="shared" si="262"/>
        <v>32.804741805812974</v>
      </c>
      <c r="Q637" s="327">
        <f t="shared" si="263"/>
        <v>0</v>
      </c>
      <c r="R637" s="334">
        <f t="shared" si="264"/>
        <v>0</v>
      </c>
      <c r="S637" s="335">
        <f t="shared" si="267"/>
        <v>0</v>
      </c>
      <c r="T637" s="335">
        <f t="shared" si="268"/>
        <v>0</v>
      </c>
      <c r="U637" s="336">
        <f t="shared" si="269"/>
        <v>0</v>
      </c>
      <c r="V637" s="336">
        <f t="shared" si="270"/>
        <v>0</v>
      </c>
      <c r="W637" s="336">
        <f t="shared" si="271"/>
        <v>0</v>
      </c>
      <c r="X637" s="336">
        <f t="shared" si="272"/>
        <v>1114.1307890899541</v>
      </c>
      <c r="Y637" s="320"/>
      <c r="Z637" s="321" t="str">
        <f t="shared" si="276"/>
        <v>X-PEDA</v>
      </c>
      <c r="AA637" s="321" t="str">
        <f t="shared" si="277"/>
        <v>X-PEDE</v>
      </c>
      <c r="AB637" s="321" t="str">
        <f t="shared" si="278"/>
        <v>X-PEDM</v>
      </c>
      <c r="AC637" s="321" t="str">
        <f t="shared" si="279"/>
        <v>X-PEDT</v>
      </c>
      <c r="AD637" s="321" t="str">
        <f t="shared" si="280"/>
        <v>X-PEDS</v>
      </c>
      <c r="AE637" s="321" t="str">
        <f t="shared" si="281"/>
        <v>X-PEDX</v>
      </c>
      <c r="AF637" s="321" t="str">
        <f t="shared" si="282"/>
        <v>X-PEDX</v>
      </c>
      <c r="AG637" s="321">
        <f t="shared" si="273"/>
        <v>7</v>
      </c>
      <c r="AH637" s="321">
        <f>IF(B637&lt;&gt;"",IF(H637="x",VLOOKUP(I637,'AUX-NIV3'!B:AG,32,FALSE),0),"")</f>
        <v>3</v>
      </c>
      <c r="AI637" s="321" t="str">
        <f t="shared" si="283"/>
        <v>X-PED</v>
      </c>
      <c r="AJ637" s="320"/>
      <c r="AK637" s="322">
        <f t="shared" si="274"/>
        <v>634</v>
      </c>
      <c r="AL637" s="323">
        <f t="shared" si="284"/>
        <v>640</v>
      </c>
      <c r="AM637" s="322">
        <f t="shared" si="285"/>
        <v>4</v>
      </c>
      <c r="AN637" s="380">
        <f>IF(AND(AH637&gt;0,B637&lt;&gt;""),VLOOKUP(I637,'AUX-NIV3'!$B:$AO,39,FALSE)*O637,0)</f>
        <v>2.5000000000000001E-2</v>
      </c>
      <c r="AO637" s="380" t="e">
        <f t="shared" si="275"/>
        <v>#N/A</v>
      </c>
      <c r="AP637" s="380"/>
    </row>
    <row r="638" spans="2:42" ht="14.4" hidden="1" thickTop="1" thickBot="1">
      <c r="B638" s="324" t="s">
        <v>2785</v>
      </c>
      <c r="C638" s="325" t="s">
        <v>2786</v>
      </c>
      <c r="D638" s="326" t="s">
        <v>1160</v>
      </c>
      <c r="E638" s="327">
        <f>IF(B638&lt;&gt;"",SUMIF('AUX-NIV1'!I:I,'AUX-NIV2'!B638,'AUX-NIV1'!Q:Q),"")</f>
        <v>0</v>
      </c>
      <c r="F638" s="327">
        <f t="shared" si="265"/>
        <v>1114.1307890899541</v>
      </c>
      <c r="G638" s="327">
        <f t="shared" si="266"/>
        <v>0</v>
      </c>
      <c r="H638" s="328" t="str">
        <f t="shared" si="286"/>
        <v>X</v>
      </c>
      <c r="I638" s="325" t="s">
        <v>2746</v>
      </c>
      <c r="J638" s="329" t="str">
        <f>IF(B638&lt;&gt;"",+VLOOKUP(I638,Recursos!C:F,2,FALSE),"")</f>
        <v>Obtención de Agua para Riego</v>
      </c>
      <c r="K638" s="330" t="str">
        <f>IF(B638&lt;&gt;"",+VLOOKUP(I638,Recursos!C:F,3,FALSE),"")</f>
        <v>m3</v>
      </c>
      <c r="L638" s="446">
        <f>IF(B638&lt;&gt;"",+VLOOKUP(I638,Recursos!C:F,4,FALSE),"")</f>
        <v>148.35029836815718</v>
      </c>
      <c r="M638" s="511"/>
      <c r="N638" s="508"/>
      <c r="O638" s="449">
        <f>+N637*M637</f>
        <v>0.24</v>
      </c>
      <c r="P638" s="333">
        <f t="shared" si="262"/>
        <v>35.604071608357721</v>
      </c>
      <c r="Q638" s="327">
        <f t="shared" si="263"/>
        <v>0</v>
      </c>
      <c r="R638" s="334">
        <f t="shared" si="264"/>
        <v>0</v>
      </c>
      <c r="S638" s="335">
        <f t="shared" si="267"/>
        <v>0</v>
      </c>
      <c r="T638" s="335">
        <f t="shared" si="268"/>
        <v>0</v>
      </c>
      <c r="U638" s="336">
        <f t="shared" si="269"/>
        <v>0</v>
      </c>
      <c r="V638" s="336">
        <f t="shared" si="270"/>
        <v>0</v>
      </c>
      <c r="W638" s="336">
        <f t="shared" si="271"/>
        <v>0</v>
      </c>
      <c r="X638" s="336">
        <f t="shared" si="272"/>
        <v>1114.1307890899541</v>
      </c>
      <c r="Y638" s="320"/>
      <c r="Z638" s="321" t="str">
        <f t="shared" si="276"/>
        <v>X-PEDA</v>
      </c>
      <c r="AA638" s="321" t="str">
        <f t="shared" si="277"/>
        <v>X-PEDE</v>
      </c>
      <c r="AB638" s="321" t="str">
        <f t="shared" si="278"/>
        <v>X-PEDM</v>
      </c>
      <c r="AC638" s="321" t="str">
        <f t="shared" si="279"/>
        <v>X-PEDT</v>
      </c>
      <c r="AD638" s="321" t="str">
        <f t="shared" si="280"/>
        <v>X-PEDS</v>
      </c>
      <c r="AE638" s="321" t="str">
        <f t="shared" si="281"/>
        <v>X-PEDX</v>
      </c>
      <c r="AF638" s="321" t="str">
        <f t="shared" si="282"/>
        <v>X-PEDX</v>
      </c>
      <c r="AG638" s="321">
        <f t="shared" si="273"/>
        <v>7</v>
      </c>
      <c r="AH638" s="321">
        <f>IF(B638&lt;&gt;"",IF(H638="x",VLOOKUP(I638,'AUX-NIV3'!B:AG,32,FALSE),0),"")</f>
        <v>5</v>
      </c>
      <c r="AI638" s="321" t="str">
        <f t="shared" si="283"/>
        <v>X-PED</v>
      </c>
      <c r="AJ638" s="320"/>
      <c r="AK638" s="322">
        <f t="shared" si="274"/>
        <v>634</v>
      </c>
      <c r="AL638" s="323">
        <f t="shared" si="284"/>
        <v>640</v>
      </c>
      <c r="AM638" s="322">
        <f t="shared" si="285"/>
        <v>5</v>
      </c>
      <c r="AN638" s="380">
        <f>IF(AND(AH638&gt;0,B638&lt;&gt;""),VLOOKUP(I638,'AUX-NIV3'!$B:$AO,39,FALSE)*O638,0)</f>
        <v>8.0000000000000002E-3</v>
      </c>
      <c r="AO638" s="380" t="e">
        <f t="shared" si="275"/>
        <v>#N/A</v>
      </c>
      <c r="AP638" s="380"/>
    </row>
    <row r="639" spans="2:42" ht="14.4" hidden="1" thickTop="1" thickBot="1">
      <c r="B639" s="324" t="s">
        <v>2785</v>
      </c>
      <c r="C639" s="325" t="s">
        <v>2786</v>
      </c>
      <c r="D639" s="326" t="s">
        <v>1160</v>
      </c>
      <c r="E639" s="327">
        <f>IF(B639&lt;&gt;"",SUMIF('AUX-NIV1'!I:I,'AUX-NIV2'!B639,'AUX-NIV1'!Q:Q),"")</f>
        <v>0</v>
      </c>
      <c r="F639" s="327">
        <f t="shared" si="265"/>
        <v>1114.1307890899541</v>
      </c>
      <c r="G639" s="327">
        <f t="shared" si="266"/>
        <v>0</v>
      </c>
      <c r="H639" s="328" t="str">
        <f t="shared" si="286"/>
        <v>X</v>
      </c>
      <c r="I639" s="325" t="s">
        <v>2748</v>
      </c>
      <c r="J639" s="329" t="str">
        <f>IF(B639&lt;&gt;"",+VLOOKUP(I639,Recursos!C:F,2,FALSE),"")</f>
        <v>Transporte de Agua para riego</v>
      </c>
      <c r="K639" s="330" t="str">
        <f>IF(B639&lt;&gt;"",+VLOOKUP(I639,Recursos!C:F,3,FALSE),"")</f>
        <v>m3</v>
      </c>
      <c r="L639" s="446">
        <f>IF(B639&lt;&gt;"",+VLOOKUP(I639,Recursos!C:F,4,FALSE),"")</f>
        <v>368.5637895861521</v>
      </c>
      <c r="M639" s="511"/>
      <c r="N639" s="508"/>
      <c r="O639" s="449">
        <f>+O638</f>
        <v>0.24</v>
      </c>
      <c r="P639" s="333">
        <f t="shared" si="262"/>
        <v>88.455309500676506</v>
      </c>
      <c r="Q639" s="327">
        <f t="shared" si="263"/>
        <v>0</v>
      </c>
      <c r="R639" s="334">
        <f t="shared" si="264"/>
        <v>0</v>
      </c>
      <c r="S639" s="335">
        <f t="shared" si="267"/>
        <v>0</v>
      </c>
      <c r="T639" s="335">
        <f t="shared" si="268"/>
        <v>0</v>
      </c>
      <c r="U639" s="336">
        <f t="shared" si="269"/>
        <v>0</v>
      </c>
      <c r="V639" s="336">
        <f t="shared" si="270"/>
        <v>0</v>
      </c>
      <c r="W639" s="336">
        <f t="shared" si="271"/>
        <v>0</v>
      </c>
      <c r="X639" s="336">
        <f t="shared" si="272"/>
        <v>1114.1307890899541</v>
      </c>
      <c r="Y639" s="320"/>
      <c r="Z639" s="321" t="str">
        <f t="shared" si="276"/>
        <v>X-PEDA</v>
      </c>
      <c r="AA639" s="321" t="str">
        <f t="shared" si="277"/>
        <v>X-PEDE</v>
      </c>
      <c r="AB639" s="321" t="str">
        <f t="shared" si="278"/>
        <v>X-PEDM</v>
      </c>
      <c r="AC639" s="321" t="str">
        <f t="shared" si="279"/>
        <v>X-PEDT</v>
      </c>
      <c r="AD639" s="321" t="str">
        <f t="shared" si="280"/>
        <v>X-PEDS</v>
      </c>
      <c r="AE639" s="321" t="str">
        <f t="shared" si="281"/>
        <v>X-PEDX</v>
      </c>
      <c r="AF639" s="321" t="str">
        <f t="shared" si="282"/>
        <v>X-PEDX</v>
      </c>
      <c r="AG639" s="321">
        <f t="shared" si="273"/>
        <v>7</v>
      </c>
      <c r="AH639" s="321">
        <f>IF(B639&lt;&gt;"",IF(H639="x",VLOOKUP(I639,'AUX-NIV3'!B:AG,32,FALSE),0),"")</f>
        <v>2</v>
      </c>
      <c r="AI639" s="321" t="str">
        <f t="shared" si="283"/>
        <v>X-PED</v>
      </c>
      <c r="AJ639" s="320"/>
      <c r="AK639" s="322">
        <f t="shared" si="274"/>
        <v>634</v>
      </c>
      <c r="AL639" s="323">
        <f t="shared" si="284"/>
        <v>640</v>
      </c>
      <c r="AM639" s="322">
        <f t="shared" si="285"/>
        <v>6</v>
      </c>
      <c r="AN639" s="380">
        <f>IF(AND(AH639&gt;0,B639&lt;&gt;""),VLOOKUP(I639,'AUX-NIV3'!$B:$AO,39,FALSE)*O639,0)</f>
        <v>3.8095238095238092E-2</v>
      </c>
      <c r="AO639" s="380" t="e">
        <f t="shared" si="275"/>
        <v>#N/A</v>
      </c>
      <c r="AP639" s="380"/>
    </row>
    <row r="640" spans="2:42" ht="14.4" hidden="1" thickTop="1" thickBot="1">
      <c r="B640" s="324" t="s">
        <v>2785</v>
      </c>
      <c r="C640" s="325" t="s">
        <v>2786</v>
      </c>
      <c r="D640" s="326" t="s">
        <v>1160</v>
      </c>
      <c r="E640" s="327">
        <f>IF(B640&lt;&gt;"",SUMIF('AUX-NIV1'!I:I,'AUX-NIV2'!B640,'AUX-NIV1'!Q:Q),"")</f>
        <v>0</v>
      </c>
      <c r="F640" s="327">
        <f t="shared" si="265"/>
        <v>1114.1307890899541</v>
      </c>
      <c r="G640" s="327">
        <f t="shared" si="266"/>
        <v>0</v>
      </c>
      <c r="H640" s="328" t="str">
        <f t="shared" si="286"/>
        <v>X</v>
      </c>
      <c r="I640" s="325" t="s">
        <v>2750</v>
      </c>
      <c r="J640" s="329" t="str">
        <f>IF(B640&lt;&gt;"",+VLOOKUP(I640,Recursos!C:F,2,FALSE),"")</f>
        <v>Riego para terraplen</v>
      </c>
      <c r="K640" s="330" t="str">
        <f>IF(B640&lt;&gt;"",+VLOOKUP(I640,Recursos!C:F,3,FALSE),"")</f>
        <v>m3</v>
      </c>
      <c r="L640" s="446">
        <f>IF(B640&lt;&gt;"",+VLOOKUP(I640,Recursos!C:F,4,FALSE),"")</f>
        <v>214.40877360073679</v>
      </c>
      <c r="M640" s="512"/>
      <c r="N640" s="513"/>
      <c r="O640" s="449">
        <f>+O639</f>
        <v>0.24</v>
      </c>
      <c r="P640" s="333">
        <f t="shared" si="262"/>
        <v>51.458105664176827</v>
      </c>
      <c r="Q640" s="327">
        <f t="shared" si="263"/>
        <v>0</v>
      </c>
      <c r="R640" s="334">
        <f t="shared" si="264"/>
        <v>0</v>
      </c>
      <c r="S640" s="335">
        <f t="shared" si="267"/>
        <v>0</v>
      </c>
      <c r="T640" s="335">
        <f t="shared" si="268"/>
        <v>0</v>
      </c>
      <c r="U640" s="336">
        <f t="shared" si="269"/>
        <v>0</v>
      </c>
      <c r="V640" s="336">
        <f t="shared" si="270"/>
        <v>0</v>
      </c>
      <c r="W640" s="336">
        <f t="shared" si="271"/>
        <v>0</v>
      </c>
      <c r="X640" s="336">
        <f t="shared" si="272"/>
        <v>1114.1307890899541</v>
      </c>
      <c r="Y640" s="320"/>
      <c r="Z640" s="321" t="str">
        <f t="shared" si="276"/>
        <v>X-PEDA</v>
      </c>
      <c r="AA640" s="321" t="str">
        <f t="shared" si="277"/>
        <v>X-PEDE</v>
      </c>
      <c r="AB640" s="321" t="str">
        <f t="shared" si="278"/>
        <v>X-PEDM</v>
      </c>
      <c r="AC640" s="321" t="str">
        <f t="shared" si="279"/>
        <v>X-PEDT</v>
      </c>
      <c r="AD640" s="321" t="str">
        <f t="shared" si="280"/>
        <v>X-PEDS</v>
      </c>
      <c r="AE640" s="321" t="str">
        <f t="shared" si="281"/>
        <v>X-PEDX</v>
      </c>
      <c r="AF640" s="321" t="str">
        <f t="shared" si="282"/>
        <v>X-PEDX</v>
      </c>
      <c r="AG640" s="321">
        <f t="shared" si="273"/>
        <v>7</v>
      </c>
      <c r="AH640" s="321">
        <f>IF(B640&lt;&gt;"",IF(H640="x",VLOOKUP(I640,'AUX-NIV3'!B:AG,32,FALSE),0),"")</f>
        <v>3</v>
      </c>
      <c r="AI640" s="321" t="str">
        <f t="shared" si="283"/>
        <v>X-PED</v>
      </c>
      <c r="AJ640" s="320"/>
      <c r="AK640" s="322">
        <f t="shared" si="274"/>
        <v>634</v>
      </c>
      <c r="AL640" s="323">
        <f t="shared" si="284"/>
        <v>640</v>
      </c>
      <c r="AM640" s="322">
        <f t="shared" si="285"/>
        <v>7</v>
      </c>
      <c r="AN640" s="380">
        <f>IF(AND(AH640&gt;0,B640&lt;&gt;""),VLOOKUP(I640,'AUX-NIV3'!$B:$AO,39,FALSE)*O640,0)</f>
        <v>3.7499999999999999E-2</v>
      </c>
      <c r="AO640" s="380" t="e">
        <f t="shared" si="275"/>
        <v>#N/A</v>
      </c>
      <c r="AP640" s="380"/>
    </row>
    <row r="641" spans="2:42" ht="14.4" hidden="1" thickTop="1" thickBot="1">
      <c r="B641" s="501" t="s">
        <v>2787</v>
      </c>
      <c r="C641" s="951" t="s">
        <v>2788</v>
      </c>
      <c r="D641" s="326" t="s">
        <v>1160</v>
      </c>
      <c r="E641" s="327">
        <f>IF(B641&lt;&gt;"",SUMIF('AUX-NIV1'!I:I,'AUX-NIV2'!B641,'AUX-NIV1'!Q:Q),"")</f>
        <v>0</v>
      </c>
      <c r="F641" s="327">
        <f t="shared" si="265"/>
        <v>457.83529455489833</v>
      </c>
      <c r="G641" s="327">
        <f t="shared" si="266"/>
        <v>0</v>
      </c>
      <c r="H641" s="328" t="str">
        <f t="shared" si="286"/>
        <v>A</v>
      </c>
      <c r="I641" s="325" t="s">
        <v>1745</v>
      </c>
      <c r="J641" s="329" t="str">
        <f>IF(B641&lt;&gt;"",+VLOOKUP(I641,Recursos!C:F,2,FALSE),"")</f>
        <v>AYUDANTE</v>
      </c>
      <c r="K641" s="330" t="str">
        <f>IF(B641&lt;&gt;"",+VLOOKUP(I641,Recursos!C:F,3,FALSE),"")</f>
        <v>hh</v>
      </c>
      <c r="L641" s="327">
        <f>IF(B641&lt;&gt;"",+VLOOKUP(I641,Recursos!C:F,4,FALSE),"")</f>
        <v>422.48042769667234</v>
      </c>
      <c r="M641" s="514"/>
      <c r="N641" s="448">
        <v>4</v>
      </c>
      <c r="O641" s="502">
        <f>+N641/M645*N644</f>
        <v>0.33333333333333331</v>
      </c>
      <c r="P641" s="333">
        <f t="shared" si="262"/>
        <v>140.82680923222409</v>
      </c>
      <c r="Q641" s="327">
        <f t="shared" si="263"/>
        <v>0</v>
      </c>
      <c r="R641" s="334">
        <f t="shared" si="264"/>
        <v>0</v>
      </c>
      <c r="S641" s="335">
        <f t="shared" si="267"/>
        <v>229.32211455489832</v>
      </c>
      <c r="T641" s="335">
        <f t="shared" si="268"/>
        <v>228.51318000000001</v>
      </c>
      <c r="U641" s="336">
        <f t="shared" si="269"/>
        <v>0</v>
      </c>
      <c r="V641" s="336">
        <f t="shared" si="270"/>
        <v>0</v>
      </c>
      <c r="W641" s="336">
        <f t="shared" si="271"/>
        <v>0</v>
      </c>
      <c r="X641" s="336">
        <f t="shared" si="272"/>
        <v>0</v>
      </c>
      <c r="Y641" s="320"/>
      <c r="Z641" s="321" t="str">
        <f t="shared" si="276"/>
        <v>X-EMFA</v>
      </c>
      <c r="AA641" s="321" t="str">
        <f t="shared" si="277"/>
        <v>X-EMFE</v>
      </c>
      <c r="AB641" s="321" t="str">
        <f t="shared" si="278"/>
        <v>X-EMFM</v>
      </c>
      <c r="AC641" s="321" t="str">
        <f t="shared" si="279"/>
        <v>X-EMFT</v>
      </c>
      <c r="AD641" s="321" t="str">
        <f t="shared" si="280"/>
        <v>X-EMFS</v>
      </c>
      <c r="AE641" s="321" t="str">
        <f t="shared" si="281"/>
        <v>X-EMFX</v>
      </c>
      <c r="AF641" s="321" t="str">
        <f t="shared" si="282"/>
        <v>X-EMFA</v>
      </c>
      <c r="AG641" s="321">
        <f t="shared" si="273"/>
        <v>6</v>
      </c>
      <c r="AH641" s="321">
        <f>IF(B641&lt;&gt;"",IF(H641="x",VLOOKUP(I641,'AUX-NIV3'!B:AG,32,FALSE),0),"")</f>
        <v>0</v>
      </c>
      <c r="AI641" s="321" t="str">
        <f t="shared" si="283"/>
        <v>X-EMF</v>
      </c>
      <c r="AJ641" s="320"/>
      <c r="AK641" s="322">
        <f t="shared" si="274"/>
        <v>641</v>
      </c>
      <c r="AL641" s="323">
        <f t="shared" si="284"/>
        <v>646</v>
      </c>
      <c r="AM641" s="322">
        <f t="shared" si="285"/>
        <v>1</v>
      </c>
      <c r="AN641" s="380">
        <f>IF(AND(AH641&gt;0,B641&lt;&gt;""),VLOOKUP(I641,'AUX-NIV3'!$B:$AO,39,FALSE)*O641,0)</f>
        <v>0</v>
      </c>
      <c r="AO641" s="380">
        <f t="shared" si="275"/>
        <v>0.49166666666666664</v>
      </c>
      <c r="AP641" s="380"/>
    </row>
    <row r="642" spans="2:42" ht="14.4" hidden="1" thickTop="1" thickBot="1">
      <c r="B642" s="501" t="s">
        <v>2787</v>
      </c>
      <c r="C642" s="951" t="s">
        <v>2788</v>
      </c>
      <c r="D642" s="326" t="s">
        <v>1160</v>
      </c>
      <c r="E642" s="327">
        <f>IF(B642&lt;&gt;"",SUMIF('AUX-NIV1'!I:I,'AUX-NIV2'!B642,'AUX-NIV1'!Q:Q),"")</f>
        <v>0</v>
      </c>
      <c r="F642" s="327">
        <f t="shared" si="265"/>
        <v>457.83529455489833</v>
      </c>
      <c r="G642" s="327">
        <f t="shared" si="266"/>
        <v>0</v>
      </c>
      <c r="H642" s="328" t="str">
        <f t="shared" si="286"/>
        <v>A</v>
      </c>
      <c r="I642" s="325" t="s">
        <v>3310</v>
      </c>
      <c r="J642" s="329" t="str">
        <f>IF(B642&lt;&gt;"",+VLOOKUP(I642,Recursos!C:F,2,FALSE),"")</f>
        <v>OFICIAL ESPECIALIZADO</v>
      </c>
      <c r="K642" s="330" t="str">
        <f>IF(B642&lt;&gt;"",+VLOOKUP(I642,Recursos!C:F,3,FALSE),"")</f>
        <v>hh</v>
      </c>
      <c r="L642" s="327">
        <f>IF(B642&lt;&gt;"",+VLOOKUP(I642,Recursos!C:F,4,FALSE),"")</f>
        <v>581.06120476836554</v>
      </c>
      <c r="M642" s="454"/>
      <c r="N642" s="455"/>
      <c r="O642" s="502">
        <f>+N644/M645</f>
        <v>8.3333333333333329E-2</v>
      </c>
      <c r="P642" s="333">
        <f t="shared" si="262"/>
        <v>48.421767064030462</v>
      </c>
      <c r="Q642" s="327">
        <f t="shared" si="263"/>
        <v>0</v>
      </c>
      <c r="R642" s="334">
        <f t="shared" si="264"/>
        <v>0</v>
      </c>
      <c r="S642" s="335">
        <f t="shared" si="267"/>
        <v>229.32211455489832</v>
      </c>
      <c r="T642" s="335">
        <f t="shared" si="268"/>
        <v>228.51318000000001</v>
      </c>
      <c r="U642" s="336">
        <f t="shared" si="269"/>
        <v>0</v>
      </c>
      <c r="V642" s="336">
        <f t="shared" si="270"/>
        <v>0</v>
      </c>
      <c r="W642" s="336">
        <f t="shared" si="271"/>
        <v>0</v>
      </c>
      <c r="X642" s="336">
        <f t="shared" si="272"/>
        <v>0</v>
      </c>
      <c r="Y642" s="320"/>
      <c r="Z642" s="321" t="str">
        <f t="shared" si="276"/>
        <v>X-EMFA</v>
      </c>
      <c r="AA642" s="321" t="str">
        <f t="shared" si="277"/>
        <v>X-EMFE</v>
      </c>
      <c r="AB642" s="321" t="str">
        <f t="shared" si="278"/>
        <v>X-EMFM</v>
      </c>
      <c r="AC642" s="321" t="str">
        <f t="shared" si="279"/>
        <v>X-EMFT</v>
      </c>
      <c r="AD642" s="321" t="str">
        <f t="shared" si="280"/>
        <v>X-EMFS</v>
      </c>
      <c r="AE642" s="321" t="str">
        <f t="shared" si="281"/>
        <v>X-EMFX</v>
      </c>
      <c r="AF642" s="321" t="str">
        <f t="shared" si="282"/>
        <v>X-EMFA</v>
      </c>
      <c r="AG642" s="321">
        <f t="shared" si="273"/>
        <v>6</v>
      </c>
      <c r="AH642" s="321">
        <f>IF(B642&lt;&gt;"",IF(H642="x",VLOOKUP(I642,'AUX-NIV3'!B:AG,32,FALSE),0),"")</f>
        <v>0</v>
      </c>
      <c r="AI642" s="321" t="str">
        <f t="shared" si="283"/>
        <v>X-EMF</v>
      </c>
      <c r="AJ642" s="320"/>
      <c r="AK642" s="322">
        <f t="shared" si="274"/>
        <v>641</v>
      </c>
      <c r="AL642" s="323">
        <f t="shared" si="284"/>
        <v>646</v>
      </c>
      <c r="AM642" s="322">
        <f t="shared" si="285"/>
        <v>2</v>
      </c>
      <c r="AN642" s="380">
        <f>IF(AND(AH642&gt;0,B642&lt;&gt;""),VLOOKUP(I642,'AUX-NIV3'!$B:$AO,39,FALSE)*O642,0)</f>
        <v>0</v>
      </c>
      <c r="AO642" s="380">
        <f t="shared" si="275"/>
        <v>0.49166666666666664</v>
      </c>
      <c r="AP642" s="380"/>
    </row>
    <row r="643" spans="2:42" ht="14.4" hidden="1" thickTop="1" thickBot="1">
      <c r="B643" s="501" t="s">
        <v>2787</v>
      </c>
      <c r="C643" s="951" t="s">
        <v>2788</v>
      </c>
      <c r="D643" s="326" t="s">
        <v>1160</v>
      </c>
      <c r="E643" s="327">
        <f>IF(B643&lt;&gt;"",SUMIF('AUX-NIV1'!I:I,'AUX-NIV2'!B643,'AUX-NIV1'!Q:Q),"")</f>
        <v>0</v>
      </c>
      <c r="F643" s="327">
        <f t="shared" si="265"/>
        <v>457.83529455489833</v>
      </c>
      <c r="G643" s="327">
        <f t="shared" si="266"/>
        <v>0</v>
      </c>
      <c r="H643" s="328" t="str">
        <f t="shared" si="286"/>
        <v>A</v>
      </c>
      <c r="I643" s="325" t="s">
        <v>3310</v>
      </c>
      <c r="J643" s="329" t="str">
        <f>IF(B643&lt;&gt;"",+VLOOKUP(I643,Recursos!C:F,2,FALSE),"")</f>
        <v>OFICIAL ESPECIALIZADO</v>
      </c>
      <c r="K643" s="330" t="str">
        <f>IF(B643&lt;&gt;"",+VLOOKUP(I643,Recursos!C:F,3,FALSE),"")</f>
        <v>hh</v>
      </c>
      <c r="L643" s="327">
        <f>IF(B643&lt;&gt;"",+VLOOKUP(I643,Recursos!C:F,4,FALSE),"")</f>
        <v>581.06120476836554</v>
      </c>
      <c r="M643" s="454"/>
      <c r="N643" s="453">
        <v>0.4</v>
      </c>
      <c r="O643" s="502">
        <f>+N643/M645*N644</f>
        <v>3.3333333333333333E-2</v>
      </c>
      <c r="P643" s="333">
        <f t="shared" si="262"/>
        <v>19.368706825612186</v>
      </c>
      <c r="Q643" s="327">
        <f t="shared" si="263"/>
        <v>0</v>
      </c>
      <c r="R643" s="334">
        <f t="shared" si="264"/>
        <v>0</v>
      </c>
      <c r="S643" s="335">
        <f t="shared" si="267"/>
        <v>229.32211455489832</v>
      </c>
      <c r="T643" s="335">
        <f t="shared" si="268"/>
        <v>228.51318000000001</v>
      </c>
      <c r="U643" s="336">
        <f t="shared" si="269"/>
        <v>0</v>
      </c>
      <c r="V643" s="336">
        <f t="shared" si="270"/>
        <v>0</v>
      </c>
      <c r="W643" s="336">
        <f t="shared" si="271"/>
        <v>0</v>
      </c>
      <c r="X643" s="336">
        <f t="shared" si="272"/>
        <v>0</v>
      </c>
      <c r="Y643" s="320"/>
      <c r="Z643" s="321" t="str">
        <f t="shared" si="276"/>
        <v>X-EMFA</v>
      </c>
      <c r="AA643" s="321" t="str">
        <f t="shared" si="277"/>
        <v>X-EMFE</v>
      </c>
      <c r="AB643" s="321" t="str">
        <f t="shared" si="278"/>
        <v>X-EMFM</v>
      </c>
      <c r="AC643" s="321" t="str">
        <f t="shared" si="279"/>
        <v>X-EMFT</v>
      </c>
      <c r="AD643" s="321" t="str">
        <f t="shared" si="280"/>
        <v>X-EMFS</v>
      </c>
      <c r="AE643" s="321" t="str">
        <f t="shared" si="281"/>
        <v>X-EMFX</v>
      </c>
      <c r="AF643" s="321" t="str">
        <f t="shared" si="282"/>
        <v>X-EMFA</v>
      </c>
      <c r="AG643" s="321">
        <f t="shared" si="273"/>
        <v>6</v>
      </c>
      <c r="AH643" s="321">
        <f>IF(B643&lt;&gt;"",IF(H643="x",VLOOKUP(I643,'AUX-NIV3'!B:AG,32,FALSE),0),"")</f>
        <v>0</v>
      </c>
      <c r="AI643" s="321" t="str">
        <f t="shared" si="283"/>
        <v>X-EMF</v>
      </c>
      <c r="AJ643" s="320"/>
      <c r="AK643" s="322">
        <f t="shared" si="274"/>
        <v>641</v>
      </c>
      <c r="AL643" s="323">
        <f t="shared" si="284"/>
        <v>646</v>
      </c>
      <c r="AM643" s="322">
        <f t="shared" si="285"/>
        <v>3</v>
      </c>
      <c r="AN643" s="380">
        <f>IF(AND(AH643&gt;0,B643&lt;&gt;""),VLOOKUP(I643,'AUX-NIV3'!$B:$AO,39,FALSE)*O643,0)</f>
        <v>0</v>
      </c>
      <c r="AO643" s="380">
        <f t="shared" si="275"/>
        <v>0.49166666666666664</v>
      </c>
      <c r="AP643" s="380"/>
    </row>
    <row r="644" spans="2:42" ht="14.4" hidden="1" thickTop="1" thickBot="1">
      <c r="B644" s="501" t="s">
        <v>2787</v>
      </c>
      <c r="C644" s="951" t="s">
        <v>2788</v>
      </c>
      <c r="D644" s="326" t="s">
        <v>1160</v>
      </c>
      <c r="E644" s="327">
        <f>IF(B644&lt;&gt;"",SUMIF('AUX-NIV1'!I:I,'AUX-NIV2'!B644,'AUX-NIV1'!Q:Q),"")</f>
        <v>0</v>
      </c>
      <c r="F644" s="327">
        <f t="shared" si="265"/>
        <v>457.83529455489833</v>
      </c>
      <c r="G644" s="327">
        <f t="shared" si="266"/>
        <v>0</v>
      </c>
      <c r="H644" s="328" t="str">
        <f t="shared" si="286"/>
        <v>A</v>
      </c>
      <c r="I644" s="325" t="s">
        <v>1746</v>
      </c>
      <c r="J644" s="329" t="str">
        <f>IF(B644&lt;&gt;"",+VLOOKUP(I644,Recursos!C:F,2,FALSE),"")</f>
        <v>OFICIAL</v>
      </c>
      <c r="K644" s="330" t="str">
        <f>IF(B644&lt;&gt;"",+VLOOKUP(I644,Recursos!C:F,3,FALSE),"")</f>
        <v>hh</v>
      </c>
      <c r="L644" s="327">
        <f>IF(B644&lt;&gt;"",+VLOOKUP(I644,Recursos!C:F,4,FALSE),"")</f>
        <v>496.91595439275824</v>
      </c>
      <c r="M644" s="454"/>
      <c r="N644" s="453">
        <v>1.25</v>
      </c>
      <c r="O644" s="502">
        <f>+N644/M645*N646</f>
        <v>4.1666666666666664E-2</v>
      </c>
      <c r="P644" s="333">
        <f t="shared" ref="P644:P707" si="287">IF(B644&lt;&gt;"",O644*L644,"")</f>
        <v>20.704831433031593</v>
      </c>
      <c r="Q644" s="327">
        <f t="shared" ref="Q644:Q707" si="288">IF(B644&lt;&gt;"",+O644*E644,"")</f>
        <v>0</v>
      </c>
      <c r="R644" s="334">
        <f t="shared" ref="R644:R707" si="289">IF(B644&lt;&gt;"",Q644*L644,"")</f>
        <v>0</v>
      </c>
      <c r="S644" s="335">
        <f t="shared" si="267"/>
        <v>229.32211455489832</v>
      </c>
      <c r="T644" s="335">
        <f t="shared" si="268"/>
        <v>228.51318000000001</v>
      </c>
      <c r="U644" s="336">
        <f t="shared" si="269"/>
        <v>0</v>
      </c>
      <c r="V644" s="336">
        <f t="shared" si="270"/>
        <v>0</v>
      </c>
      <c r="W644" s="336">
        <f t="shared" si="271"/>
        <v>0</v>
      </c>
      <c r="X644" s="336">
        <f t="shared" si="272"/>
        <v>0</v>
      </c>
      <c r="Y644" s="320"/>
      <c r="Z644" s="321" t="str">
        <f t="shared" si="276"/>
        <v>X-EMFA</v>
      </c>
      <c r="AA644" s="321" t="str">
        <f t="shared" si="277"/>
        <v>X-EMFE</v>
      </c>
      <c r="AB644" s="321" t="str">
        <f t="shared" si="278"/>
        <v>X-EMFM</v>
      </c>
      <c r="AC644" s="321" t="str">
        <f t="shared" si="279"/>
        <v>X-EMFT</v>
      </c>
      <c r="AD644" s="321" t="str">
        <f t="shared" si="280"/>
        <v>X-EMFS</v>
      </c>
      <c r="AE644" s="321" t="str">
        <f t="shared" si="281"/>
        <v>X-EMFX</v>
      </c>
      <c r="AF644" s="321" t="str">
        <f t="shared" si="282"/>
        <v>X-EMFA</v>
      </c>
      <c r="AG644" s="321">
        <f t="shared" si="273"/>
        <v>6</v>
      </c>
      <c r="AH644" s="321">
        <f>IF(B644&lt;&gt;"",IF(H644="x",VLOOKUP(I644,'AUX-NIV3'!B:AG,32,FALSE),0),"")</f>
        <v>0</v>
      </c>
      <c r="AI644" s="321" t="str">
        <f t="shared" si="283"/>
        <v>X-EMF</v>
      </c>
      <c r="AJ644" s="320"/>
      <c r="AK644" s="322">
        <f t="shared" si="274"/>
        <v>641</v>
      </c>
      <c r="AL644" s="323">
        <f t="shared" si="284"/>
        <v>646</v>
      </c>
      <c r="AM644" s="322">
        <f t="shared" si="285"/>
        <v>4</v>
      </c>
      <c r="AN644" s="380">
        <f>IF(AND(AH644&gt;0,B644&lt;&gt;""),VLOOKUP(I644,'AUX-NIV3'!$B:$AO,39,FALSE)*O644,0)</f>
        <v>0</v>
      </c>
      <c r="AO644" s="380">
        <f t="shared" si="275"/>
        <v>0.49166666666666664</v>
      </c>
      <c r="AP644" s="380"/>
    </row>
    <row r="645" spans="2:42" ht="14.4" hidden="1" thickTop="1" thickBot="1">
      <c r="B645" s="501" t="s">
        <v>2787</v>
      </c>
      <c r="C645" s="951" t="s">
        <v>2788</v>
      </c>
      <c r="D645" s="326" t="s">
        <v>1160</v>
      </c>
      <c r="E645" s="327">
        <f>IF(B645&lt;&gt;"",SUMIF('AUX-NIV1'!I:I,'AUX-NIV2'!B645,'AUX-NIV1'!Q:Q),"")</f>
        <v>0</v>
      </c>
      <c r="F645" s="327">
        <f t="shared" si="265"/>
        <v>457.83529455489833</v>
      </c>
      <c r="G645" s="327">
        <f t="shared" si="266"/>
        <v>0</v>
      </c>
      <c r="H645" s="328" t="str">
        <f t="shared" si="286"/>
        <v>E</v>
      </c>
      <c r="I645" s="325" t="s">
        <v>1549</v>
      </c>
      <c r="J645" s="329" t="str">
        <f>IF(B645&lt;&gt;"",+VLOOKUP(I645,Recursos!C:F,2,FALSE),"")</f>
        <v>RETROEXC. CARG. S/ROD.NEUM. 0.24 M3</v>
      </c>
      <c r="K645" s="330" t="str">
        <f>IF(B645&lt;&gt;"",+VLOOKUP(I645,Recursos!C:F,3,FALSE),"")</f>
        <v>HR</v>
      </c>
      <c r="L645" s="327">
        <f>IF(B645&lt;&gt;"",+VLOOKUP(I645,Recursos!C:F,4,FALSE),"")</f>
        <v>1761.0672000000002</v>
      </c>
      <c r="M645" s="452">
        <v>15</v>
      </c>
      <c r="N645" s="453">
        <v>1</v>
      </c>
      <c r="O645" s="502">
        <f>+N645/M645</f>
        <v>6.6666666666666666E-2</v>
      </c>
      <c r="P645" s="333">
        <f t="shared" si="287"/>
        <v>117.40448000000001</v>
      </c>
      <c r="Q645" s="327">
        <f t="shared" si="288"/>
        <v>0</v>
      </c>
      <c r="R645" s="334">
        <f t="shared" si="289"/>
        <v>0</v>
      </c>
      <c r="S645" s="335">
        <f t="shared" si="267"/>
        <v>229.32211455489832</v>
      </c>
      <c r="T645" s="335">
        <f t="shared" si="268"/>
        <v>228.51318000000001</v>
      </c>
      <c r="U645" s="336">
        <f t="shared" si="269"/>
        <v>0</v>
      </c>
      <c r="V645" s="336">
        <f t="shared" si="270"/>
        <v>0</v>
      </c>
      <c r="W645" s="336">
        <f t="shared" si="271"/>
        <v>0</v>
      </c>
      <c r="X645" s="336">
        <f t="shared" si="272"/>
        <v>0</v>
      </c>
      <c r="Y645" s="320"/>
      <c r="Z645" s="321" t="str">
        <f t="shared" si="276"/>
        <v>X-EMFA</v>
      </c>
      <c r="AA645" s="321" t="str">
        <f t="shared" si="277"/>
        <v>X-EMFE</v>
      </c>
      <c r="AB645" s="321" t="str">
        <f t="shared" si="278"/>
        <v>X-EMFM</v>
      </c>
      <c r="AC645" s="321" t="str">
        <f t="shared" si="279"/>
        <v>X-EMFT</v>
      </c>
      <c r="AD645" s="321" t="str">
        <f t="shared" si="280"/>
        <v>X-EMFS</v>
      </c>
      <c r="AE645" s="321" t="str">
        <f t="shared" si="281"/>
        <v>X-EMFX</v>
      </c>
      <c r="AF645" s="321" t="str">
        <f t="shared" si="282"/>
        <v>X-EMFE</v>
      </c>
      <c r="AG645" s="321">
        <f t="shared" si="273"/>
        <v>6</v>
      </c>
      <c r="AH645" s="321">
        <f>IF(B645&lt;&gt;"",IF(H645="x",VLOOKUP(I645,'AUX-NIV3'!B:AG,32,FALSE),0),"")</f>
        <v>0</v>
      </c>
      <c r="AI645" s="321" t="str">
        <f t="shared" si="283"/>
        <v>X-EMF</v>
      </c>
      <c r="AJ645" s="320"/>
      <c r="AK645" s="322">
        <f t="shared" si="274"/>
        <v>641</v>
      </c>
      <c r="AL645" s="323">
        <f t="shared" si="284"/>
        <v>646</v>
      </c>
      <c r="AM645" s="322">
        <f t="shared" si="285"/>
        <v>5</v>
      </c>
      <c r="AN645" s="380">
        <f>IF(AND(AH645&gt;0,B645&lt;&gt;""),VLOOKUP(I645,'AUX-NIV3'!$B:$AO,39,FALSE)*O645,0)</f>
        <v>0</v>
      </c>
      <c r="AO645" s="380">
        <f t="shared" si="275"/>
        <v>0.49166666666666664</v>
      </c>
      <c r="AP645" s="380"/>
    </row>
    <row r="646" spans="2:42" ht="14.4" hidden="1" thickTop="1" thickBot="1">
      <c r="B646" s="501" t="s">
        <v>2787</v>
      </c>
      <c r="C646" s="951" t="s">
        <v>2788</v>
      </c>
      <c r="D646" s="326" t="s">
        <v>1160</v>
      </c>
      <c r="E646" s="327">
        <f>IF(B646&lt;&gt;"",SUMIF('AUX-NIV1'!I:I,'AUX-NIV2'!B646,'AUX-NIV1'!Q:Q),"")</f>
        <v>0</v>
      </c>
      <c r="F646" s="327">
        <f t="shared" si="265"/>
        <v>457.83529455489833</v>
      </c>
      <c r="G646" s="327">
        <f t="shared" si="266"/>
        <v>0</v>
      </c>
      <c r="H646" s="328" t="str">
        <f t="shared" si="286"/>
        <v>E</v>
      </c>
      <c r="I646" s="325" t="s">
        <v>1555</v>
      </c>
      <c r="J646" s="329" t="str">
        <f>IF(B646&lt;&gt;"",+VLOOKUP(I646,Recursos!C:F,2,FALSE),"")</f>
        <v>CAMION VOLCADOR 6x4 CAP. 24 T=15 m3</v>
      </c>
      <c r="K646" s="330" t="str">
        <f>IF(B646&lt;&gt;"",+VLOOKUP(I646,Recursos!C:F,3,FALSE),"")</f>
        <v>HR</v>
      </c>
      <c r="L646" s="327">
        <f>IF(B646&lt;&gt;"",+VLOOKUP(I646,Recursos!C:F,4,FALSE),"")</f>
        <v>3333.261</v>
      </c>
      <c r="M646" s="456"/>
      <c r="N646" s="451">
        <v>0.5</v>
      </c>
      <c r="O646" s="502">
        <f>+N646/M645</f>
        <v>3.3333333333333333E-2</v>
      </c>
      <c r="P646" s="333">
        <f t="shared" si="287"/>
        <v>111.1087</v>
      </c>
      <c r="Q646" s="327">
        <f t="shared" si="288"/>
        <v>0</v>
      </c>
      <c r="R646" s="334">
        <f t="shared" si="289"/>
        <v>0</v>
      </c>
      <c r="S646" s="335">
        <f t="shared" si="267"/>
        <v>229.32211455489832</v>
      </c>
      <c r="T646" s="335">
        <f t="shared" si="268"/>
        <v>228.51318000000001</v>
      </c>
      <c r="U646" s="336">
        <f t="shared" si="269"/>
        <v>0</v>
      </c>
      <c r="V646" s="336">
        <f t="shared" si="270"/>
        <v>0</v>
      </c>
      <c r="W646" s="336">
        <f t="shared" si="271"/>
        <v>0</v>
      </c>
      <c r="X646" s="336">
        <f t="shared" si="272"/>
        <v>0</v>
      </c>
      <c r="Y646" s="320"/>
      <c r="Z646" s="321" t="str">
        <f t="shared" si="276"/>
        <v>X-EMFA</v>
      </c>
      <c r="AA646" s="321" t="str">
        <f t="shared" si="277"/>
        <v>X-EMFE</v>
      </c>
      <c r="AB646" s="321" t="str">
        <f t="shared" si="278"/>
        <v>X-EMFM</v>
      </c>
      <c r="AC646" s="321" t="str">
        <f t="shared" si="279"/>
        <v>X-EMFT</v>
      </c>
      <c r="AD646" s="321" t="str">
        <f t="shared" si="280"/>
        <v>X-EMFS</v>
      </c>
      <c r="AE646" s="321" t="str">
        <f t="shared" si="281"/>
        <v>X-EMFX</v>
      </c>
      <c r="AF646" s="321" t="str">
        <f t="shared" si="282"/>
        <v>X-EMFE</v>
      </c>
      <c r="AG646" s="321">
        <f t="shared" si="273"/>
        <v>6</v>
      </c>
      <c r="AH646" s="321">
        <f>IF(B646&lt;&gt;"",IF(H646="x",VLOOKUP(I646,'AUX-NIV3'!B:AG,32,FALSE),0),"")</f>
        <v>0</v>
      </c>
      <c r="AI646" s="321" t="str">
        <f t="shared" si="283"/>
        <v>X-EMF</v>
      </c>
      <c r="AJ646" s="320"/>
      <c r="AK646" s="322">
        <f t="shared" si="274"/>
        <v>641</v>
      </c>
      <c r="AL646" s="323">
        <f t="shared" si="284"/>
        <v>646</v>
      </c>
      <c r="AM646" s="322">
        <f t="shared" si="285"/>
        <v>6</v>
      </c>
      <c r="AN646" s="380">
        <f>IF(AND(AH646&gt;0,B646&lt;&gt;""),VLOOKUP(I646,'AUX-NIV3'!$B:$AO,39,FALSE)*O646,0)</f>
        <v>0</v>
      </c>
      <c r="AO646" s="380">
        <f t="shared" si="275"/>
        <v>0.49166666666666664</v>
      </c>
      <c r="AP646" s="380"/>
    </row>
    <row r="647" spans="2:42" ht="14.4" hidden="1" thickTop="1" thickBot="1">
      <c r="B647" s="324" t="s">
        <v>2795</v>
      </c>
      <c r="C647" s="325" t="s">
        <v>2796</v>
      </c>
      <c r="D647" s="326" t="s">
        <v>1160</v>
      </c>
      <c r="E647" s="327">
        <f>IF(B647&lt;&gt;"",SUMIF('AUX-NIV1'!I:I,'AUX-NIV2'!B647,'AUX-NIV1'!Q:Q),"")</f>
        <v>0</v>
      </c>
      <c r="F647" s="327">
        <f t="shared" ref="F647:F710" si="290">IF(B647&lt;&gt;"",+SUMIF(B:B,B647,P:P),"")</f>
        <v>967.75655030797327</v>
      </c>
      <c r="G647" s="327">
        <f t="shared" ref="G647:G710" si="291">IF(B647&lt;&gt;"",+SUMIF(B:B,B647,R:R),"")</f>
        <v>0</v>
      </c>
      <c r="H647" s="328" t="str">
        <f t="shared" si="286"/>
        <v>X</v>
      </c>
      <c r="I647" s="324" t="s">
        <v>2758</v>
      </c>
      <c r="J647" s="329" t="str">
        <f>IF(B647&lt;&gt;"",+VLOOKUP(I647,Recursos!C:F,2,FALSE),"")</f>
        <v>Transporte de Suelo DMT 5 km</v>
      </c>
      <c r="K647" s="330" t="str">
        <f>IF(B647&lt;&gt;"",+VLOOKUP(I647,Recursos!C:F,3,FALSE),"")</f>
        <v>m3s.km</v>
      </c>
      <c r="L647" s="446">
        <f>IF(B647&lt;&gt;"",+VLOOKUP(I647,Recursos!C:F,4,FALSE),"")</f>
        <v>25.080438599876832</v>
      </c>
      <c r="M647" s="447">
        <v>1.6</v>
      </c>
      <c r="N647" s="448">
        <v>5</v>
      </c>
      <c r="O647" s="449">
        <f>+M647*N647</f>
        <v>8</v>
      </c>
      <c r="P647" s="333">
        <f t="shared" si="287"/>
        <v>200.64350879901465</v>
      </c>
      <c r="Q647" s="327">
        <f t="shared" si="288"/>
        <v>0</v>
      </c>
      <c r="R647" s="334">
        <f t="shared" si="289"/>
        <v>0</v>
      </c>
      <c r="S647" s="335">
        <f t="shared" ref="S647:S710" si="292">IF(B647&lt;&gt;"",+SUMIF($AF:$AF,Z647,$P:$P),"")</f>
        <v>0</v>
      </c>
      <c r="T647" s="335">
        <f t="shared" ref="T647:T710" si="293">IF(B647&lt;&gt;"",+SUMIF($AF:$AF,AA647,$P:$P),"")</f>
        <v>0</v>
      </c>
      <c r="U647" s="336">
        <f t="shared" ref="U647:U710" si="294">IF(B647&lt;&gt;"",+SUMIF($AF:$AF,AB647,$P:$P),"")</f>
        <v>0</v>
      </c>
      <c r="V647" s="336">
        <f t="shared" ref="V647:V710" si="295">IF(B647&lt;&gt;"",+SUMIF($AF:$AF,AC647,$P:$P),"")</f>
        <v>0</v>
      </c>
      <c r="W647" s="336">
        <f t="shared" ref="W647:W710" si="296">IF(B647&lt;&gt;"",+SUMIF($AF:$AF,AD647,$P:$P),"")</f>
        <v>0</v>
      </c>
      <c r="X647" s="336">
        <f t="shared" ref="X647:X710" si="297">IF(B647&lt;&gt;"",+SUMIF($AF:$AF,AE647,$P:$P),"")</f>
        <v>967.75655030797327</v>
      </c>
      <c r="Y647" s="320"/>
      <c r="Z647" s="321" t="str">
        <f t="shared" si="276"/>
        <v>X-PPEA</v>
      </c>
      <c r="AA647" s="321" t="str">
        <f t="shared" si="277"/>
        <v>X-PPEE</v>
      </c>
      <c r="AB647" s="321" t="str">
        <f t="shared" si="278"/>
        <v>X-PPEM</v>
      </c>
      <c r="AC647" s="321" t="str">
        <f t="shared" si="279"/>
        <v>X-PPET</v>
      </c>
      <c r="AD647" s="321" t="str">
        <f t="shared" si="280"/>
        <v>X-PPES</v>
      </c>
      <c r="AE647" s="321" t="str">
        <f t="shared" si="281"/>
        <v>X-PPEX</v>
      </c>
      <c r="AF647" s="321" t="str">
        <f t="shared" si="282"/>
        <v>X-PPEX</v>
      </c>
      <c r="AG647" s="321">
        <f t="shared" ref="AG647:AG710" si="298">IF(B647&lt;&gt;"",+COUNTIF(B:B,B647),"")</f>
        <v>4</v>
      </c>
      <c r="AH647" s="321">
        <f>IF(B647&lt;&gt;"",IF(H647="x",VLOOKUP(I647,'AUX-NIV3'!B:AG,32,FALSE),0),"")</f>
        <v>2</v>
      </c>
      <c r="AI647" s="321" t="str">
        <f t="shared" si="283"/>
        <v>X-PPE</v>
      </c>
      <c r="AJ647" s="320"/>
      <c r="AK647" s="322">
        <f t="shared" ref="AK647:AK710" si="299">IF(B647&lt;&gt;"",+MATCH(B647,B:B,0),"")</f>
        <v>647</v>
      </c>
      <c r="AL647" s="323">
        <f t="shared" si="284"/>
        <v>650</v>
      </c>
      <c r="AM647" s="322">
        <f t="shared" si="285"/>
        <v>1</v>
      </c>
      <c r="AN647" s="380">
        <f>IF(AND(AH647&gt;0,B647&lt;&gt;""),VLOOKUP(I647,'AUX-NIV3'!$B:$AO,39,FALSE)*O647,0)</f>
        <v>6.3424036281179139E-2</v>
      </c>
      <c r="AO647" s="380">
        <f t="shared" ref="AO647:AO710" si="300">+IF(B647&lt;&gt;"",SUMIF(AF:AF,Z647,O:O)+SUMIF(Z:Z,Z647,AN:AN),0)</f>
        <v>0.85092403628117919</v>
      </c>
      <c r="AP647" s="380"/>
    </row>
    <row r="648" spans="2:42" ht="14.4" hidden="1" thickTop="1" thickBot="1">
      <c r="B648" s="324" t="s">
        <v>2795</v>
      </c>
      <c r="C648" s="325" t="s">
        <v>2796</v>
      </c>
      <c r="D648" s="326" t="s">
        <v>1160</v>
      </c>
      <c r="E648" s="327">
        <f>IF(B648&lt;&gt;"",SUMIF('AUX-NIV1'!I:I,'AUX-NIV2'!B648,'AUX-NIV1'!Q:Q),"")</f>
        <v>0</v>
      </c>
      <c r="F648" s="327">
        <f t="shared" si="290"/>
        <v>967.75655030797327</v>
      </c>
      <c r="G648" s="327">
        <f t="shared" si="291"/>
        <v>0</v>
      </c>
      <c r="H648" s="328" t="str">
        <f t="shared" si="286"/>
        <v>X</v>
      </c>
      <c r="I648" s="325" t="s">
        <v>2789</v>
      </c>
      <c r="J648" s="329" t="str">
        <f>IF(B648&lt;&gt;"",+VLOOKUP(I648,Recursos!C:F,2,FALSE),"")</f>
        <v>Colocación de escollera en zamja</v>
      </c>
      <c r="K648" s="330" t="str">
        <f>IF(B648&lt;&gt;"",+VLOOKUP(I648,Recursos!C:F,3,FALSE),"")</f>
        <v>m3</v>
      </c>
      <c r="L648" s="446">
        <f>IF(B648&lt;&gt;"",+VLOOKUP(I648,Recursos!C:F,4,FALSE),"")</f>
        <v>214.09179920066973</v>
      </c>
      <c r="M648" s="452">
        <v>1.35</v>
      </c>
      <c r="N648" s="453">
        <v>0</v>
      </c>
      <c r="O648" s="449">
        <f>+N648</f>
        <v>0</v>
      </c>
      <c r="P648" s="333">
        <f t="shared" si="287"/>
        <v>0</v>
      </c>
      <c r="Q648" s="327">
        <f t="shared" si="288"/>
        <v>0</v>
      </c>
      <c r="R648" s="334">
        <f t="shared" si="289"/>
        <v>0</v>
      </c>
      <c r="S648" s="335">
        <f t="shared" si="292"/>
        <v>0</v>
      </c>
      <c r="T648" s="335">
        <f t="shared" si="293"/>
        <v>0</v>
      </c>
      <c r="U648" s="336">
        <f t="shared" si="294"/>
        <v>0</v>
      </c>
      <c r="V648" s="336">
        <f t="shared" si="295"/>
        <v>0</v>
      </c>
      <c r="W648" s="336">
        <f t="shared" si="296"/>
        <v>0</v>
      </c>
      <c r="X648" s="336">
        <f t="shared" si="297"/>
        <v>967.75655030797327</v>
      </c>
      <c r="Y648" s="320"/>
      <c r="Z648" s="321" t="str">
        <f t="shared" ref="Z648:Z711" si="301">IF(B648&lt;&gt;"",+$B648&amp;"A","")</f>
        <v>X-PPEA</v>
      </c>
      <c r="AA648" s="321" t="str">
        <f t="shared" ref="AA648:AA711" si="302">IF(B648&lt;&gt;"",+$B648&amp;"E","")</f>
        <v>X-PPEE</v>
      </c>
      <c r="AB648" s="321" t="str">
        <f t="shared" ref="AB648:AB711" si="303">IF(B648&lt;&gt;"",++$B648&amp;"M","")</f>
        <v>X-PPEM</v>
      </c>
      <c r="AC648" s="321" t="str">
        <f t="shared" ref="AC648:AC711" si="304">IF(B648&lt;&gt;"",+$B648&amp;"T","")</f>
        <v>X-PPET</v>
      </c>
      <c r="AD648" s="321" t="str">
        <f t="shared" ref="AD648:AD711" si="305">IF(B648&lt;&gt;"",+$B648&amp;"S","")</f>
        <v>X-PPES</v>
      </c>
      <c r="AE648" s="321" t="str">
        <f t="shared" ref="AE648:AE711" si="306">IF(B648&lt;&gt;"",+$B648&amp;"X","")</f>
        <v>X-PPEX</v>
      </c>
      <c r="AF648" s="321" t="str">
        <f t="shared" ref="AF648:AF711" si="307">IF(B648&lt;&gt;"",+B648&amp;H648,"")</f>
        <v>X-PPEX</v>
      </c>
      <c r="AG648" s="321">
        <f t="shared" si="298"/>
        <v>4</v>
      </c>
      <c r="AH648" s="321">
        <f>IF(B648&lt;&gt;"",IF(H648="x",VLOOKUP(I648,'AUX-NIV3'!B:AG,32,FALSE),0),"")</f>
        <v>6</v>
      </c>
      <c r="AI648" s="321" t="str">
        <f t="shared" ref="AI648:AI711" si="308">IF(B648&lt;&gt;"",+B648,"")</f>
        <v>X-PPE</v>
      </c>
      <c r="AJ648" s="320"/>
      <c r="AK648" s="322">
        <f t="shared" si="299"/>
        <v>647</v>
      </c>
      <c r="AL648" s="323">
        <f t="shared" ref="AL648:AL711" si="309">IF(B648&lt;&gt;"",+AK648+AG648-1,"")</f>
        <v>650</v>
      </c>
      <c r="AM648" s="322">
        <f t="shared" ref="AM648:AM711" si="310">IF(B648&lt;&gt;"",IF(B648=B647,1+AM647,1),"")</f>
        <v>2</v>
      </c>
      <c r="AN648" s="380">
        <f>IF(AND(AH648&gt;0,B648&lt;&gt;""),VLOOKUP(I648,'AUX-NIV3'!$B:$AO,39,FALSE)*O648,0)</f>
        <v>0</v>
      </c>
      <c r="AO648" s="380">
        <f t="shared" si="300"/>
        <v>0.85092403628117919</v>
      </c>
      <c r="AP648" s="380"/>
    </row>
    <row r="649" spans="2:42" ht="14.4" hidden="1" thickTop="1" thickBot="1">
      <c r="B649" s="324" t="s">
        <v>2795</v>
      </c>
      <c r="C649" s="325" t="s">
        <v>2796</v>
      </c>
      <c r="D649" s="326" t="s">
        <v>1160</v>
      </c>
      <c r="E649" s="327">
        <f>IF(B649&lt;&gt;"",SUMIF('AUX-NIV1'!I:I,'AUX-NIV2'!B649,'AUX-NIV1'!Q:Q),"")</f>
        <v>0</v>
      </c>
      <c r="F649" s="327">
        <f t="shared" si="290"/>
        <v>967.75655030797327</v>
      </c>
      <c r="G649" s="327">
        <f t="shared" si="291"/>
        <v>0</v>
      </c>
      <c r="H649" s="328" t="str">
        <f t="shared" si="286"/>
        <v>X</v>
      </c>
      <c r="I649" s="325" t="s">
        <v>2791</v>
      </c>
      <c r="J649" s="329" t="str">
        <f>IF(B649&lt;&gt;"",+VLOOKUP(I649,Recursos!C:F,2,FALSE),"")</f>
        <v>Escollera sobre talud</v>
      </c>
      <c r="K649" s="330" t="str">
        <f>IF(B649&lt;&gt;"",+VLOOKUP(I649,Recursos!C:F,3,FALSE),"")</f>
        <v>m3</v>
      </c>
      <c r="L649" s="446">
        <f>IF(B649&lt;&gt;"",+VLOOKUP(I649,Recursos!C:F,4,FALSE),"")</f>
        <v>587.22792468280022</v>
      </c>
      <c r="M649" s="511"/>
      <c r="N649" s="455">
        <f>1-N648</f>
        <v>1</v>
      </c>
      <c r="O649" s="449">
        <f>+N649</f>
        <v>1</v>
      </c>
      <c r="P649" s="333">
        <f t="shared" si="287"/>
        <v>587.22792468280022</v>
      </c>
      <c r="Q649" s="327">
        <f t="shared" si="288"/>
        <v>0</v>
      </c>
      <c r="R649" s="334">
        <f t="shared" si="289"/>
        <v>0</v>
      </c>
      <c r="S649" s="335">
        <f t="shared" si="292"/>
        <v>0</v>
      </c>
      <c r="T649" s="335">
        <f t="shared" si="293"/>
        <v>0</v>
      </c>
      <c r="U649" s="336">
        <f t="shared" si="294"/>
        <v>0</v>
      </c>
      <c r="V649" s="336">
        <f t="shared" si="295"/>
        <v>0</v>
      </c>
      <c r="W649" s="336">
        <f t="shared" si="296"/>
        <v>0</v>
      </c>
      <c r="X649" s="336">
        <f t="shared" si="297"/>
        <v>967.75655030797327</v>
      </c>
      <c r="Y649" s="320"/>
      <c r="Z649" s="321" t="str">
        <f t="shared" si="301"/>
        <v>X-PPEA</v>
      </c>
      <c r="AA649" s="321" t="str">
        <f t="shared" si="302"/>
        <v>X-PPEE</v>
      </c>
      <c r="AB649" s="321" t="str">
        <f t="shared" si="303"/>
        <v>X-PPEM</v>
      </c>
      <c r="AC649" s="321" t="str">
        <f t="shared" si="304"/>
        <v>X-PPET</v>
      </c>
      <c r="AD649" s="321" t="str">
        <f t="shared" si="305"/>
        <v>X-PPES</v>
      </c>
      <c r="AE649" s="321" t="str">
        <f t="shared" si="306"/>
        <v>X-PPEX</v>
      </c>
      <c r="AF649" s="321" t="str">
        <f t="shared" si="307"/>
        <v>X-PPEX</v>
      </c>
      <c r="AG649" s="321">
        <f t="shared" si="298"/>
        <v>4</v>
      </c>
      <c r="AH649" s="321">
        <f>IF(B649&lt;&gt;"",IF(H649="x",VLOOKUP(I649,'AUX-NIV3'!B:AG,32,FALSE),0),"")</f>
        <v>4</v>
      </c>
      <c r="AI649" s="321" t="str">
        <f t="shared" si="308"/>
        <v>X-PPE</v>
      </c>
      <c r="AJ649" s="320"/>
      <c r="AK649" s="322">
        <f t="shared" si="299"/>
        <v>647</v>
      </c>
      <c r="AL649" s="323">
        <f t="shared" si="309"/>
        <v>650</v>
      </c>
      <c r="AM649" s="322">
        <f t="shared" si="310"/>
        <v>3</v>
      </c>
      <c r="AN649" s="380">
        <f>IF(AND(AH649&gt;0,B649&lt;&gt;""),VLOOKUP(I649,'AUX-NIV3'!$B:$AO,39,FALSE)*O649,0)</f>
        <v>0.67500000000000004</v>
      </c>
      <c r="AO649" s="380">
        <f t="shared" si="300"/>
        <v>0.85092403628117919</v>
      </c>
      <c r="AP649" s="380"/>
    </row>
    <row r="650" spans="2:42" ht="14.4" hidden="1" thickTop="1" thickBot="1">
      <c r="B650" s="324" t="s">
        <v>2795</v>
      </c>
      <c r="C650" s="325" t="s">
        <v>2796</v>
      </c>
      <c r="D650" s="326" t="s">
        <v>1160</v>
      </c>
      <c r="E650" s="327">
        <f>IF(B650&lt;&gt;"",SUMIF('AUX-NIV1'!I:I,'AUX-NIV2'!B650,'AUX-NIV1'!Q:Q),"")</f>
        <v>0</v>
      </c>
      <c r="F650" s="327">
        <f t="shared" si="290"/>
        <v>967.75655030797327</v>
      </c>
      <c r="G650" s="327">
        <f t="shared" si="291"/>
        <v>0</v>
      </c>
      <c r="H650" s="328" t="str">
        <f t="shared" si="286"/>
        <v>X</v>
      </c>
      <c r="I650" s="325" t="s">
        <v>2793</v>
      </c>
      <c r="J650" s="329" t="str">
        <f>IF(B650&lt;&gt;"",+VLOOKUP(I650,Recursos!C:F,2,FALSE),"")</f>
        <v>Explotación material escollera</v>
      </c>
      <c r="K650" s="330" t="str">
        <f>IF(B650&lt;&gt;"",+VLOOKUP(I650,Recursos!C:F,3,FALSE),"")</f>
        <v>m3</v>
      </c>
      <c r="L650" s="446">
        <f>IF(B650&lt;&gt;"",+VLOOKUP(I650,Recursos!C:F,4,FALSE),"")</f>
        <v>133.24823468604325</v>
      </c>
      <c r="M650" s="512"/>
      <c r="N650" s="507">
        <f>+M648</f>
        <v>1.35</v>
      </c>
      <c r="O650" s="449">
        <f>+N650</f>
        <v>1.35</v>
      </c>
      <c r="P650" s="333">
        <f t="shared" si="287"/>
        <v>179.8851168261584</v>
      </c>
      <c r="Q650" s="327">
        <f t="shared" si="288"/>
        <v>0</v>
      </c>
      <c r="R650" s="334">
        <f t="shared" si="289"/>
        <v>0</v>
      </c>
      <c r="S650" s="335">
        <f t="shared" si="292"/>
        <v>0</v>
      </c>
      <c r="T650" s="335">
        <f t="shared" si="293"/>
        <v>0</v>
      </c>
      <c r="U650" s="336">
        <f t="shared" si="294"/>
        <v>0</v>
      </c>
      <c r="V650" s="336">
        <f t="shared" si="295"/>
        <v>0</v>
      </c>
      <c r="W650" s="336">
        <f t="shared" si="296"/>
        <v>0</v>
      </c>
      <c r="X650" s="336">
        <f t="shared" si="297"/>
        <v>967.75655030797327</v>
      </c>
      <c r="Y650" s="320"/>
      <c r="Z650" s="321" t="str">
        <f t="shared" si="301"/>
        <v>X-PPEA</v>
      </c>
      <c r="AA650" s="321" t="str">
        <f t="shared" si="302"/>
        <v>X-PPEE</v>
      </c>
      <c r="AB650" s="321" t="str">
        <f t="shared" si="303"/>
        <v>X-PPEM</v>
      </c>
      <c r="AC650" s="321" t="str">
        <f t="shared" si="304"/>
        <v>X-PPET</v>
      </c>
      <c r="AD650" s="321" t="str">
        <f t="shared" si="305"/>
        <v>X-PPES</v>
      </c>
      <c r="AE650" s="321" t="str">
        <f t="shared" si="306"/>
        <v>X-PPEX</v>
      </c>
      <c r="AF650" s="321" t="str">
        <f t="shared" si="307"/>
        <v>X-PPEX</v>
      </c>
      <c r="AG650" s="321">
        <f t="shared" si="298"/>
        <v>4</v>
      </c>
      <c r="AH650" s="321">
        <f>IF(B650&lt;&gt;"",IF(H650="x",VLOOKUP(I650,'AUX-NIV3'!B:AG,32,FALSE),0),"")</f>
        <v>3</v>
      </c>
      <c r="AI650" s="321" t="str">
        <f t="shared" si="308"/>
        <v>X-PPE</v>
      </c>
      <c r="AJ650" s="320"/>
      <c r="AK650" s="322">
        <f t="shared" si="299"/>
        <v>647</v>
      </c>
      <c r="AL650" s="323">
        <f t="shared" si="309"/>
        <v>650</v>
      </c>
      <c r="AM650" s="322">
        <f t="shared" si="310"/>
        <v>4</v>
      </c>
      <c r="AN650" s="380">
        <f>IF(AND(AH650&gt;0,B650&lt;&gt;""),VLOOKUP(I650,'AUX-NIV3'!$B:$AO,39,FALSE)*O650,0)</f>
        <v>0.1125</v>
      </c>
      <c r="AO650" s="380">
        <f t="shared" si="300"/>
        <v>0.85092403628117919</v>
      </c>
      <c r="AP650" s="380"/>
    </row>
    <row r="651" spans="2:42" ht="14.4" hidden="1" thickTop="1" thickBot="1">
      <c r="B651" s="324" t="s">
        <v>2801</v>
      </c>
      <c r="C651" s="325" t="s">
        <v>2802</v>
      </c>
      <c r="D651" s="326" t="s">
        <v>1160</v>
      </c>
      <c r="E651" s="327">
        <f>IF(B651&lt;&gt;"",SUMIF('AUX-NIV1'!I:I,'AUX-NIV2'!B651,'AUX-NIV1'!Q:Q),"")</f>
        <v>0</v>
      </c>
      <c r="F651" s="327">
        <f t="shared" si="290"/>
        <v>1941.1488888924177</v>
      </c>
      <c r="G651" s="327">
        <f t="shared" si="291"/>
        <v>0</v>
      </c>
      <c r="H651" s="328" t="str">
        <f t="shared" si="286"/>
        <v>S</v>
      </c>
      <c r="I651" s="325" t="s">
        <v>2499</v>
      </c>
      <c r="J651" s="329" t="str">
        <f>IF(B651&lt;&gt;"",+VLOOKUP(I651,Recursos!C:F,2,FALSE),"")</f>
        <v>CANON DE EXPLOT. YACIMIENTOS</v>
      </c>
      <c r="K651" s="330" t="str">
        <f>IF(B651&lt;&gt;"",+VLOOKUP(I651,Recursos!C:F,3,FALSE),"")</f>
        <v>m3b</v>
      </c>
      <c r="L651" s="446">
        <f>IF(B651&lt;&gt;"",+VLOOKUP(I651,Recursos!C:F,4,FALSE),"")</f>
        <v>100</v>
      </c>
      <c r="M651" s="514">
        <f>+M652</f>
        <v>1.2</v>
      </c>
      <c r="N651" s="448">
        <v>1.8</v>
      </c>
      <c r="O651" s="449">
        <f>+M651</f>
        <v>1.2</v>
      </c>
      <c r="P651" s="333">
        <f t="shared" si="287"/>
        <v>120</v>
      </c>
      <c r="Q651" s="327">
        <f t="shared" si="288"/>
        <v>0</v>
      </c>
      <c r="R651" s="334">
        <f t="shared" si="289"/>
        <v>0</v>
      </c>
      <c r="S651" s="335">
        <f t="shared" si="292"/>
        <v>0</v>
      </c>
      <c r="T651" s="335">
        <f t="shared" si="293"/>
        <v>0</v>
      </c>
      <c r="U651" s="336">
        <f t="shared" si="294"/>
        <v>1638.0000000000002</v>
      </c>
      <c r="V651" s="336">
        <f t="shared" si="295"/>
        <v>0</v>
      </c>
      <c r="W651" s="336">
        <f t="shared" si="296"/>
        <v>120</v>
      </c>
      <c r="X651" s="336">
        <f t="shared" si="297"/>
        <v>183.1488888924174</v>
      </c>
      <c r="Y651" s="320"/>
      <c r="Z651" s="321" t="str">
        <f t="shared" si="301"/>
        <v>X-MPEA</v>
      </c>
      <c r="AA651" s="321" t="str">
        <f t="shared" si="302"/>
        <v>X-MPEE</v>
      </c>
      <c r="AB651" s="321" t="str">
        <f t="shared" si="303"/>
        <v>X-MPEM</v>
      </c>
      <c r="AC651" s="321" t="str">
        <f t="shared" si="304"/>
        <v>X-MPET</v>
      </c>
      <c r="AD651" s="321" t="str">
        <f t="shared" si="305"/>
        <v>X-MPES</v>
      </c>
      <c r="AE651" s="321" t="str">
        <f t="shared" si="306"/>
        <v>X-MPEX</v>
      </c>
      <c r="AF651" s="321" t="str">
        <f t="shared" si="307"/>
        <v>X-MPES</v>
      </c>
      <c r="AG651" s="321">
        <f t="shared" si="298"/>
        <v>5</v>
      </c>
      <c r="AH651" s="321">
        <f>IF(B651&lt;&gt;"",IF(H651="x",VLOOKUP(I651,'AUX-NIV3'!B:AG,32,FALSE),0),"")</f>
        <v>0</v>
      </c>
      <c r="AI651" s="321" t="str">
        <f t="shared" si="308"/>
        <v>X-MPE</v>
      </c>
      <c r="AJ651" s="320"/>
      <c r="AK651" s="322">
        <f t="shared" si="299"/>
        <v>651</v>
      </c>
      <c r="AL651" s="323">
        <f t="shared" si="309"/>
        <v>655</v>
      </c>
      <c r="AM651" s="322">
        <f t="shared" si="310"/>
        <v>1</v>
      </c>
      <c r="AN651" s="380">
        <f>IF(AND(AH651&gt;0,B651&lt;&gt;""),VLOOKUP(I651,'AUX-NIV3'!$B:$AO,39,FALSE)*O651,0)</f>
        <v>0</v>
      </c>
      <c r="AO651" s="380">
        <f t="shared" si="300"/>
        <v>7.8739668367346943E-2</v>
      </c>
      <c r="AP651" s="380"/>
    </row>
    <row r="652" spans="2:42" ht="14.4" hidden="1" thickTop="1" thickBot="1">
      <c r="B652" s="324" t="s">
        <v>2801</v>
      </c>
      <c r="C652" s="325" t="s">
        <v>2802</v>
      </c>
      <c r="D652" s="326" t="s">
        <v>1160</v>
      </c>
      <c r="E652" s="327">
        <f>IF(B652&lt;&gt;"",SUMIF('AUX-NIV1'!I:I,'AUX-NIV2'!B652,'AUX-NIV1'!Q:Q),"")</f>
        <v>0</v>
      </c>
      <c r="F652" s="327">
        <f t="shared" si="290"/>
        <v>1941.1488888924177</v>
      </c>
      <c r="G652" s="327">
        <f t="shared" si="291"/>
        <v>0</v>
      </c>
      <c r="H652" s="328" t="str">
        <f t="shared" si="286"/>
        <v>X</v>
      </c>
      <c r="I652" s="325" t="s">
        <v>2756</v>
      </c>
      <c r="J652" s="329" t="str">
        <f>IF(B652&lt;&gt;"",+VLOOKUP(I652,Recursos!C:F,2,FALSE),"")</f>
        <v>Explotación préstamo con Retro</v>
      </c>
      <c r="K652" s="330" t="str">
        <f>IF(B652&lt;&gt;"",+VLOOKUP(I652,Recursos!C:F,3,FALSE),"")</f>
        <v>m3</v>
      </c>
      <c r="L652" s="446">
        <f>IF(B652&lt;&gt;"",+VLOOKUP(I652,Recursos!C:F,4,FALSE),"")</f>
        <v>62.271140341608451</v>
      </c>
      <c r="M652" s="452">
        <v>1.2</v>
      </c>
      <c r="N652" s="453"/>
      <c r="O652" s="449">
        <f>+M652</f>
        <v>1.2</v>
      </c>
      <c r="P652" s="333">
        <f t="shared" si="287"/>
        <v>74.725368409930141</v>
      </c>
      <c r="Q652" s="327">
        <f t="shared" si="288"/>
        <v>0</v>
      </c>
      <c r="R652" s="334">
        <f t="shared" si="289"/>
        <v>0</v>
      </c>
      <c r="S652" s="335">
        <f t="shared" si="292"/>
        <v>0</v>
      </c>
      <c r="T652" s="335">
        <f t="shared" si="293"/>
        <v>0</v>
      </c>
      <c r="U652" s="336">
        <f t="shared" si="294"/>
        <v>1638.0000000000002</v>
      </c>
      <c r="V652" s="336">
        <f t="shared" si="295"/>
        <v>0</v>
      </c>
      <c r="W652" s="336">
        <f t="shared" si="296"/>
        <v>120</v>
      </c>
      <c r="X652" s="336">
        <f t="shared" si="297"/>
        <v>183.1488888924174</v>
      </c>
      <c r="Y652" s="320"/>
      <c r="Z652" s="321" t="str">
        <f t="shared" si="301"/>
        <v>X-MPEA</v>
      </c>
      <c r="AA652" s="321" t="str">
        <f t="shared" si="302"/>
        <v>X-MPEE</v>
      </c>
      <c r="AB652" s="321" t="str">
        <f t="shared" si="303"/>
        <v>X-MPEM</v>
      </c>
      <c r="AC652" s="321" t="str">
        <f t="shared" si="304"/>
        <v>X-MPET</v>
      </c>
      <c r="AD652" s="321" t="str">
        <f t="shared" si="305"/>
        <v>X-MPES</v>
      </c>
      <c r="AE652" s="321" t="str">
        <f t="shared" si="306"/>
        <v>X-MPEX</v>
      </c>
      <c r="AF652" s="321" t="str">
        <f t="shared" si="307"/>
        <v>X-MPEX</v>
      </c>
      <c r="AG652" s="321">
        <f t="shared" si="298"/>
        <v>5</v>
      </c>
      <c r="AH652" s="321">
        <f>IF(B652&lt;&gt;"",IF(H652="x",VLOOKUP(I652,'AUX-NIV3'!B:AG,32,FALSE),0),"")</f>
        <v>4</v>
      </c>
      <c r="AI652" s="321" t="str">
        <f t="shared" si="308"/>
        <v>X-MPE</v>
      </c>
      <c r="AJ652" s="320"/>
      <c r="AK652" s="322">
        <f t="shared" si="299"/>
        <v>651</v>
      </c>
      <c r="AL652" s="323">
        <f t="shared" si="309"/>
        <v>655</v>
      </c>
      <c r="AM652" s="322">
        <f t="shared" si="310"/>
        <v>2</v>
      </c>
      <c r="AN652" s="380">
        <f>IF(AND(AH652&gt;0,B652&lt;&gt;""),VLOOKUP(I652,'AUX-NIV3'!$B:$AO,39,FALSE)*O652,0)</f>
        <v>4.8000000000000001E-2</v>
      </c>
      <c r="AO652" s="380">
        <f t="shared" si="300"/>
        <v>7.8739668367346943E-2</v>
      </c>
      <c r="AP652" s="380"/>
    </row>
    <row r="653" spans="2:42" ht="14.4" hidden="1" thickTop="1" thickBot="1">
      <c r="B653" s="324" t="s">
        <v>2801</v>
      </c>
      <c r="C653" s="325" t="s">
        <v>2802</v>
      </c>
      <c r="D653" s="326" t="s">
        <v>1160</v>
      </c>
      <c r="E653" s="327">
        <f>IF(B653&lt;&gt;"",SUMIF('AUX-NIV1'!I:I,'AUX-NIV2'!B653,'AUX-NIV1'!Q:Q),"")</f>
        <v>0</v>
      </c>
      <c r="F653" s="327">
        <f t="shared" si="290"/>
        <v>1941.1488888924177</v>
      </c>
      <c r="G653" s="327">
        <f t="shared" si="291"/>
        <v>0</v>
      </c>
      <c r="H653" s="328" t="str">
        <f t="shared" si="286"/>
        <v>X</v>
      </c>
      <c r="I653" s="325" t="s">
        <v>2797</v>
      </c>
      <c r="J653" s="329" t="str">
        <f>IF(B653&lt;&gt;"",+VLOOKUP(I653,Recursos!C:F,2,FALSE),"")</f>
        <v>Transporte de Materiales DMT&gt;20 km</v>
      </c>
      <c r="K653" s="330" t="str">
        <f>IF(B653&lt;&gt;"",+VLOOKUP(I653,Recursos!C:F,3,FALSE),"")</f>
        <v>m3s.km</v>
      </c>
      <c r="L653" s="446">
        <f>IF(B653&lt;&gt;"",+VLOOKUP(I653,Recursos!C:F,4,FALSE),"")</f>
        <v>16.0627437751833</v>
      </c>
      <c r="M653" s="452">
        <v>5</v>
      </c>
      <c r="N653" s="453">
        <v>1.35</v>
      </c>
      <c r="O653" s="449">
        <f>+M653*N653</f>
        <v>6.75</v>
      </c>
      <c r="P653" s="333">
        <f t="shared" si="287"/>
        <v>108.42352048248728</v>
      </c>
      <c r="Q653" s="327">
        <f t="shared" si="288"/>
        <v>0</v>
      </c>
      <c r="R653" s="334">
        <f t="shared" si="289"/>
        <v>0</v>
      </c>
      <c r="S653" s="335">
        <f t="shared" si="292"/>
        <v>0</v>
      </c>
      <c r="T653" s="335">
        <f t="shared" si="293"/>
        <v>0</v>
      </c>
      <c r="U653" s="336">
        <f t="shared" si="294"/>
        <v>1638.0000000000002</v>
      </c>
      <c r="V653" s="336">
        <f t="shared" si="295"/>
        <v>0</v>
      </c>
      <c r="W653" s="336">
        <f t="shared" si="296"/>
        <v>120</v>
      </c>
      <c r="X653" s="336">
        <f t="shared" si="297"/>
        <v>183.1488888924174</v>
      </c>
      <c r="Y653" s="320"/>
      <c r="Z653" s="321" t="str">
        <f t="shared" si="301"/>
        <v>X-MPEA</v>
      </c>
      <c r="AA653" s="321" t="str">
        <f t="shared" si="302"/>
        <v>X-MPEE</v>
      </c>
      <c r="AB653" s="321" t="str">
        <f t="shared" si="303"/>
        <v>X-MPEM</v>
      </c>
      <c r="AC653" s="321" t="str">
        <f t="shared" si="304"/>
        <v>X-MPET</v>
      </c>
      <c r="AD653" s="321" t="str">
        <f t="shared" si="305"/>
        <v>X-MPES</v>
      </c>
      <c r="AE653" s="321" t="str">
        <f t="shared" si="306"/>
        <v>X-MPEX</v>
      </c>
      <c r="AF653" s="321" t="str">
        <f t="shared" si="307"/>
        <v>X-MPEX</v>
      </c>
      <c r="AG653" s="321">
        <f t="shared" si="298"/>
        <v>5</v>
      </c>
      <c r="AH653" s="321">
        <f>IF(B653&lt;&gt;"",IF(H653="x",VLOOKUP(I653,'AUX-NIV3'!B:AG,32,FALSE),0),"")</f>
        <v>2</v>
      </c>
      <c r="AI653" s="321" t="str">
        <f t="shared" si="308"/>
        <v>X-MPE</v>
      </c>
      <c r="AJ653" s="320"/>
      <c r="AK653" s="322">
        <f t="shared" si="299"/>
        <v>651</v>
      </c>
      <c r="AL653" s="323">
        <f t="shared" si="309"/>
        <v>655</v>
      </c>
      <c r="AM653" s="322">
        <f t="shared" si="310"/>
        <v>3</v>
      </c>
      <c r="AN653" s="380">
        <f>IF(AND(AH653&gt;0,B653&lt;&gt;""),VLOOKUP(I653,'AUX-NIV3'!$B:$AO,39,FALSE)*O653,0)</f>
        <v>3.0739668367346942E-2</v>
      </c>
      <c r="AO653" s="380">
        <f t="shared" si="300"/>
        <v>7.8739668367346943E-2</v>
      </c>
      <c r="AP653" s="380"/>
    </row>
    <row r="654" spans="2:42" ht="14.4" hidden="1" thickTop="1" thickBot="1">
      <c r="B654" s="324" t="s">
        <v>2801</v>
      </c>
      <c r="C654" s="325" t="s">
        <v>2802</v>
      </c>
      <c r="D654" s="326" t="s">
        <v>1160</v>
      </c>
      <c r="E654" s="327">
        <f>IF(B654&lt;&gt;"",SUMIF('AUX-NIV1'!I:I,'AUX-NIV2'!B654,'AUX-NIV1'!Q:Q),"")</f>
        <v>0</v>
      </c>
      <c r="F654" s="327">
        <f t="shared" si="290"/>
        <v>1941.1488888924177</v>
      </c>
      <c r="G654" s="327">
        <f t="shared" si="291"/>
        <v>0</v>
      </c>
      <c r="H654" s="328" t="str">
        <f t="shared" si="286"/>
        <v>M</v>
      </c>
      <c r="I654" s="469" t="s">
        <v>1768</v>
      </c>
      <c r="J654" s="329" t="str">
        <f>IF(B654&lt;&gt;"",+VLOOKUP(I654,Recursos!C:F,2,FALSE),"")</f>
        <v>AGREGADO CLASIFICADO</v>
      </c>
      <c r="K654" s="330" t="str">
        <f>IF(B654&lt;&gt;"",+VLOOKUP(I654,Recursos!C:F,3,FALSE),"")</f>
        <v>Tn</v>
      </c>
      <c r="L654" s="446">
        <f>IF(B654&lt;&gt;"",+VLOOKUP(I654,Recursos!C:F,4,FALSE),"")</f>
        <v>700</v>
      </c>
      <c r="M654" s="452">
        <v>1</v>
      </c>
      <c r="N654" s="453">
        <v>1.3</v>
      </c>
      <c r="O654" s="449">
        <f>+N654/M654*(1-M655)*N651</f>
        <v>2.3400000000000003</v>
      </c>
      <c r="P654" s="333">
        <f t="shared" si="287"/>
        <v>1638.0000000000002</v>
      </c>
      <c r="Q654" s="327">
        <f t="shared" si="288"/>
        <v>0</v>
      </c>
      <c r="R654" s="334">
        <f t="shared" si="289"/>
        <v>0</v>
      </c>
      <c r="S654" s="335">
        <f t="shared" si="292"/>
        <v>0</v>
      </c>
      <c r="T654" s="335">
        <f t="shared" si="293"/>
        <v>0</v>
      </c>
      <c r="U654" s="336">
        <f t="shared" si="294"/>
        <v>1638.0000000000002</v>
      </c>
      <c r="V654" s="336">
        <f t="shared" si="295"/>
        <v>0</v>
      </c>
      <c r="W654" s="336">
        <f t="shared" si="296"/>
        <v>120</v>
      </c>
      <c r="X654" s="336">
        <f t="shared" si="297"/>
        <v>183.1488888924174</v>
      </c>
      <c r="Y654" s="320"/>
      <c r="Z654" s="321" t="str">
        <f t="shared" si="301"/>
        <v>X-MPEA</v>
      </c>
      <c r="AA654" s="321" t="str">
        <f t="shared" si="302"/>
        <v>X-MPEE</v>
      </c>
      <c r="AB654" s="321" t="str">
        <f t="shared" si="303"/>
        <v>X-MPEM</v>
      </c>
      <c r="AC654" s="321" t="str">
        <f t="shared" si="304"/>
        <v>X-MPET</v>
      </c>
      <c r="AD654" s="321" t="str">
        <f t="shared" si="305"/>
        <v>X-MPES</v>
      </c>
      <c r="AE654" s="321" t="str">
        <f t="shared" si="306"/>
        <v>X-MPEX</v>
      </c>
      <c r="AF654" s="321" t="str">
        <f t="shared" si="307"/>
        <v>X-MPEM</v>
      </c>
      <c r="AG654" s="321">
        <f t="shared" si="298"/>
        <v>5</v>
      </c>
      <c r="AH654" s="321">
        <f>IF(B654&lt;&gt;"",IF(H654="x",VLOOKUP(I654,'AUX-NIV3'!B:AG,32,FALSE),0),"")</f>
        <v>0</v>
      </c>
      <c r="AI654" s="321" t="str">
        <f t="shared" si="308"/>
        <v>X-MPE</v>
      </c>
      <c r="AJ654" s="320"/>
      <c r="AK654" s="322">
        <f t="shared" si="299"/>
        <v>651</v>
      </c>
      <c r="AL654" s="323">
        <f t="shared" si="309"/>
        <v>655</v>
      </c>
      <c r="AM654" s="322">
        <f t="shared" si="310"/>
        <v>4</v>
      </c>
      <c r="AN654" s="380">
        <f>IF(AND(AH654&gt;0,B654&lt;&gt;""),VLOOKUP(I654,'AUX-NIV3'!$B:$AO,39,FALSE)*O654,0)</f>
        <v>0</v>
      </c>
      <c r="AO654" s="380">
        <f t="shared" si="300"/>
        <v>7.8739668367346943E-2</v>
      </c>
      <c r="AP654" s="380"/>
    </row>
    <row r="655" spans="2:42" ht="14.4" hidden="1" thickTop="1" thickBot="1">
      <c r="B655" s="324" t="s">
        <v>2801</v>
      </c>
      <c r="C655" s="325" t="s">
        <v>2802</v>
      </c>
      <c r="D655" s="326" t="s">
        <v>1160</v>
      </c>
      <c r="E655" s="327">
        <f>IF(B655&lt;&gt;"",SUMIF('AUX-NIV1'!I:I,'AUX-NIV2'!B655,'AUX-NIV1'!Q:Q),"")</f>
        <v>0</v>
      </c>
      <c r="F655" s="327">
        <f t="shared" si="290"/>
        <v>1941.1488888924177</v>
      </c>
      <c r="G655" s="327">
        <f t="shared" si="291"/>
        <v>0</v>
      </c>
      <c r="H655" s="328" t="str">
        <f t="shared" si="286"/>
        <v>M</v>
      </c>
      <c r="I655" s="325" t="s">
        <v>1510</v>
      </c>
      <c r="J655" s="329" t="str">
        <f>IF(B655&lt;&gt;"",+VLOOKUP(I655,Recursos!C:F,2,FALSE),"")</f>
        <v>AGREGADO GRUESO</v>
      </c>
      <c r="K655" s="330" t="str">
        <f>IF(B655&lt;&gt;"",+VLOOKUP(I655,Recursos!C:F,3,FALSE),"")</f>
        <v>Tn</v>
      </c>
      <c r="L655" s="446">
        <f>IF(B655&lt;&gt;"",+VLOOKUP(I655,Recursos!C:F,4,FALSE),"")</f>
        <v>900</v>
      </c>
      <c r="M655" s="450">
        <v>0</v>
      </c>
      <c r="N655" s="507">
        <f>+M652</f>
        <v>1.2</v>
      </c>
      <c r="O655" s="449">
        <f>+N655*M655</f>
        <v>0</v>
      </c>
      <c r="P655" s="333">
        <f t="shared" si="287"/>
        <v>0</v>
      </c>
      <c r="Q655" s="327">
        <f t="shared" si="288"/>
        <v>0</v>
      </c>
      <c r="R655" s="334">
        <f t="shared" si="289"/>
        <v>0</v>
      </c>
      <c r="S655" s="335">
        <f t="shared" si="292"/>
        <v>0</v>
      </c>
      <c r="T655" s="335">
        <f t="shared" si="293"/>
        <v>0</v>
      </c>
      <c r="U655" s="336">
        <f t="shared" si="294"/>
        <v>1638.0000000000002</v>
      </c>
      <c r="V655" s="336">
        <f t="shared" si="295"/>
        <v>0</v>
      </c>
      <c r="W655" s="336">
        <f t="shared" si="296"/>
        <v>120</v>
      </c>
      <c r="X655" s="336">
        <f t="shared" si="297"/>
        <v>183.1488888924174</v>
      </c>
      <c r="Y655" s="320"/>
      <c r="Z655" s="321" t="str">
        <f t="shared" si="301"/>
        <v>X-MPEA</v>
      </c>
      <c r="AA655" s="321" t="str">
        <f t="shared" si="302"/>
        <v>X-MPEE</v>
      </c>
      <c r="AB655" s="321" t="str">
        <f t="shared" si="303"/>
        <v>X-MPEM</v>
      </c>
      <c r="AC655" s="321" t="str">
        <f t="shared" si="304"/>
        <v>X-MPET</v>
      </c>
      <c r="AD655" s="321" t="str">
        <f t="shared" si="305"/>
        <v>X-MPES</v>
      </c>
      <c r="AE655" s="321" t="str">
        <f t="shared" si="306"/>
        <v>X-MPEX</v>
      </c>
      <c r="AF655" s="321" t="str">
        <f t="shared" si="307"/>
        <v>X-MPEM</v>
      </c>
      <c r="AG655" s="321">
        <f t="shared" si="298"/>
        <v>5</v>
      </c>
      <c r="AH655" s="321">
        <f>IF(B655&lt;&gt;"",IF(H655="x",VLOOKUP(I655,'AUX-NIV3'!B:AG,32,FALSE),0),"")</f>
        <v>0</v>
      </c>
      <c r="AI655" s="321" t="str">
        <f t="shared" si="308"/>
        <v>X-MPE</v>
      </c>
      <c r="AJ655" s="320"/>
      <c r="AK655" s="322">
        <f t="shared" si="299"/>
        <v>651</v>
      </c>
      <c r="AL655" s="323">
        <f t="shared" si="309"/>
        <v>655</v>
      </c>
      <c r="AM655" s="322">
        <f t="shared" si="310"/>
        <v>5</v>
      </c>
      <c r="AN655" s="380">
        <f>IF(AND(AH655&gt;0,B655&lt;&gt;""),VLOOKUP(I655,'AUX-NIV3'!$B:$AO,39,FALSE)*O655,0)</f>
        <v>0</v>
      </c>
      <c r="AO655" s="380">
        <f t="shared" si="300"/>
        <v>7.8739668367346943E-2</v>
      </c>
      <c r="AP655" s="380"/>
    </row>
    <row r="656" spans="2:42" ht="14.4" hidden="1" thickTop="1" thickBot="1">
      <c r="B656" s="324" t="s">
        <v>2803</v>
      </c>
      <c r="C656" s="325" t="s">
        <v>2804</v>
      </c>
      <c r="D656" s="326" t="s">
        <v>1160</v>
      </c>
      <c r="E656" s="327">
        <f>IF(B656&lt;&gt;"",SUMIF('AUX-NIV1'!I:I,'AUX-NIV2'!B656,'AUX-NIV1'!Q:Q),"")</f>
        <v>0</v>
      </c>
      <c r="F656" s="327">
        <f t="shared" si="290"/>
        <v>493.26614093958966</v>
      </c>
      <c r="G656" s="327">
        <f t="shared" si="291"/>
        <v>0</v>
      </c>
      <c r="H656" s="328" t="str">
        <f t="shared" si="286"/>
        <v>A</v>
      </c>
      <c r="I656" s="325" t="s">
        <v>1745</v>
      </c>
      <c r="J656" s="329" t="str">
        <f>IF(B656&lt;&gt;"",+VLOOKUP(I656,Recursos!C:F,2,FALSE),"")</f>
        <v>AYUDANTE</v>
      </c>
      <c r="K656" s="330" t="str">
        <f>IF(B656&lt;&gt;"",+VLOOKUP(I656,Recursos!C:F,3,FALSE),"")</f>
        <v>hh</v>
      </c>
      <c r="L656" s="446">
        <f>IF(B656&lt;&gt;"",+VLOOKUP(I656,Recursos!C:F,4,FALSE),"")</f>
        <v>422.48042769667234</v>
      </c>
      <c r="M656" s="454">
        <f>+M657</f>
        <v>20</v>
      </c>
      <c r="N656" s="455">
        <f>+N657</f>
        <v>1.25</v>
      </c>
      <c r="O656" s="449">
        <f>+N661/M658*N659</f>
        <v>0.25</v>
      </c>
      <c r="P656" s="333">
        <f t="shared" si="287"/>
        <v>105.62010692416808</v>
      </c>
      <c r="Q656" s="327">
        <f t="shared" si="288"/>
        <v>0</v>
      </c>
      <c r="R656" s="334">
        <f t="shared" si="289"/>
        <v>0</v>
      </c>
      <c r="S656" s="335">
        <f t="shared" si="292"/>
        <v>280.69195093958962</v>
      </c>
      <c r="T656" s="335">
        <f t="shared" si="293"/>
        <v>211.37419000000003</v>
      </c>
      <c r="U656" s="336">
        <f t="shared" si="294"/>
        <v>1.2</v>
      </c>
      <c r="V656" s="336">
        <f t="shared" si="295"/>
        <v>0</v>
      </c>
      <c r="W656" s="336">
        <f t="shared" si="296"/>
        <v>0</v>
      </c>
      <c r="X656" s="336">
        <f t="shared" si="297"/>
        <v>0</v>
      </c>
      <c r="Y656" s="320"/>
      <c r="Z656" s="321" t="str">
        <f t="shared" si="301"/>
        <v>X-CMGA</v>
      </c>
      <c r="AA656" s="321" t="str">
        <f t="shared" si="302"/>
        <v>X-CMGE</v>
      </c>
      <c r="AB656" s="321" t="str">
        <f t="shared" si="303"/>
        <v>X-CMGM</v>
      </c>
      <c r="AC656" s="321" t="str">
        <f t="shared" si="304"/>
        <v>X-CMGT</v>
      </c>
      <c r="AD656" s="321" t="str">
        <f t="shared" si="305"/>
        <v>X-CMGS</v>
      </c>
      <c r="AE656" s="321" t="str">
        <f t="shared" si="306"/>
        <v>X-CMGX</v>
      </c>
      <c r="AF656" s="321" t="str">
        <f t="shared" si="307"/>
        <v>X-CMGA</v>
      </c>
      <c r="AG656" s="321">
        <f t="shared" si="298"/>
        <v>8</v>
      </c>
      <c r="AH656" s="321">
        <f>IF(B656&lt;&gt;"",IF(H656="x",VLOOKUP(I656,'AUX-NIV3'!B:AG,32,FALSE),0),"")</f>
        <v>0</v>
      </c>
      <c r="AI656" s="321" t="str">
        <f t="shared" si="308"/>
        <v>X-CMG</v>
      </c>
      <c r="AJ656" s="320"/>
      <c r="AK656" s="322">
        <f t="shared" si="299"/>
        <v>656</v>
      </c>
      <c r="AL656" s="323">
        <f t="shared" si="309"/>
        <v>663</v>
      </c>
      <c r="AM656" s="322">
        <f t="shared" si="310"/>
        <v>1</v>
      </c>
      <c r="AN656" s="380">
        <f>IF(AND(AH656&gt;0,B656&lt;&gt;""),VLOOKUP(I656,'AUX-NIV3'!$B:$AO,39,FALSE)*O656,0)</f>
        <v>0</v>
      </c>
      <c r="AO656" s="380">
        <f t="shared" si="300"/>
        <v>0.58750000000000002</v>
      </c>
      <c r="AP656" s="380"/>
    </row>
    <row r="657" spans="2:42" ht="14.4" hidden="1" thickTop="1" thickBot="1">
      <c r="B657" s="324" t="s">
        <v>2803</v>
      </c>
      <c r="C657" s="325" t="s">
        <v>2804</v>
      </c>
      <c r="D657" s="326" t="s">
        <v>1160</v>
      </c>
      <c r="E657" s="327">
        <f>IF(B657&lt;&gt;"",SUMIF('AUX-NIV1'!I:I,'AUX-NIV2'!B657,'AUX-NIV1'!Q:Q),"")</f>
        <v>0</v>
      </c>
      <c r="F657" s="327">
        <f t="shared" si="290"/>
        <v>493.26614093958966</v>
      </c>
      <c r="G657" s="327">
        <f t="shared" si="291"/>
        <v>0</v>
      </c>
      <c r="H657" s="328" t="str">
        <f t="shared" si="286"/>
        <v>A</v>
      </c>
      <c r="I657" s="325" t="s">
        <v>1746</v>
      </c>
      <c r="J657" s="329" t="str">
        <f>IF(B657&lt;&gt;"",+VLOOKUP(I657,Recursos!C:F,2,FALSE),"")</f>
        <v>OFICIAL</v>
      </c>
      <c r="K657" s="330" t="str">
        <f>IF(B657&lt;&gt;"",+VLOOKUP(I657,Recursos!C:F,3,FALSE),"")</f>
        <v>hh</v>
      </c>
      <c r="L657" s="446">
        <f>IF(B657&lt;&gt;"",+VLOOKUP(I657,Recursos!C:F,4,FALSE),"")</f>
        <v>496.91595439275824</v>
      </c>
      <c r="M657" s="454">
        <f>+M658</f>
        <v>20</v>
      </c>
      <c r="N657" s="455">
        <f>+N659</f>
        <v>1.25</v>
      </c>
      <c r="O657" s="449">
        <f>+N661/M658*N659</f>
        <v>0.25</v>
      </c>
      <c r="P657" s="333">
        <f t="shared" si="287"/>
        <v>124.22898859818956</v>
      </c>
      <c r="Q657" s="327">
        <f t="shared" si="288"/>
        <v>0</v>
      </c>
      <c r="R657" s="334">
        <f t="shared" si="289"/>
        <v>0</v>
      </c>
      <c r="S657" s="335">
        <f t="shared" si="292"/>
        <v>280.69195093958962</v>
      </c>
      <c r="T657" s="335">
        <f t="shared" si="293"/>
        <v>211.37419000000003</v>
      </c>
      <c r="U657" s="336">
        <f t="shared" si="294"/>
        <v>1.2</v>
      </c>
      <c r="V657" s="336">
        <f t="shared" si="295"/>
        <v>0</v>
      </c>
      <c r="W657" s="336">
        <f t="shared" si="296"/>
        <v>0</v>
      </c>
      <c r="X657" s="336">
        <f t="shared" si="297"/>
        <v>0</v>
      </c>
      <c r="Y657" s="320"/>
      <c r="Z657" s="321" t="str">
        <f t="shared" si="301"/>
        <v>X-CMGA</v>
      </c>
      <c r="AA657" s="321" t="str">
        <f t="shared" si="302"/>
        <v>X-CMGE</v>
      </c>
      <c r="AB657" s="321" t="str">
        <f t="shared" si="303"/>
        <v>X-CMGM</v>
      </c>
      <c r="AC657" s="321" t="str">
        <f t="shared" si="304"/>
        <v>X-CMGT</v>
      </c>
      <c r="AD657" s="321" t="str">
        <f t="shared" si="305"/>
        <v>X-CMGS</v>
      </c>
      <c r="AE657" s="321" t="str">
        <f t="shared" si="306"/>
        <v>X-CMGX</v>
      </c>
      <c r="AF657" s="321" t="str">
        <f t="shared" si="307"/>
        <v>X-CMGA</v>
      </c>
      <c r="AG657" s="321">
        <f t="shared" si="298"/>
        <v>8</v>
      </c>
      <c r="AH657" s="321">
        <f>IF(B657&lt;&gt;"",IF(H657="x",VLOOKUP(I657,'AUX-NIV3'!B:AG,32,FALSE),0),"")</f>
        <v>0</v>
      </c>
      <c r="AI657" s="321" t="str">
        <f t="shared" si="308"/>
        <v>X-CMG</v>
      </c>
      <c r="AJ657" s="320"/>
      <c r="AK657" s="322">
        <f t="shared" si="299"/>
        <v>656</v>
      </c>
      <c r="AL657" s="323">
        <f t="shared" si="309"/>
        <v>663</v>
      </c>
      <c r="AM657" s="322">
        <f t="shared" si="310"/>
        <v>2</v>
      </c>
      <c r="AN657" s="380">
        <f>IF(AND(AH657&gt;0,B657&lt;&gt;""),VLOOKUP(I657,'AUX-NIV3'!$B:$AO,39,FALSE)*O657,0)</f>
        <v>0</v>
      </c>
      <c r="AO657" s="380">
        <f t="shared" si="300"/>
        <v>0.58750000000000002</v>
      </c>
      <c r="AP657" s="380"/>
    </row>
    <row r="658" spans="2:42" ht="14.4" hidden="1" thickTop="1" thickBot="1">
      <c r="B658" s="324" t="s">
        <v>2803</v>
      </c>
      <c r="C658" s="325" t="s">
        <v>2804</v>
      </c>
      <c r="D658" s="326" t="s">
        <v>1160</v>
      </c>
      <c r="E658" s="327">
        <f>IF(B658&lt;&gt;"",SUMIF('AUX-NIV1'!I:I,'AUX-NIV2'!B658,'AUX-NIV1'!Q:Q),"")</f>
        <v>0</v>
      </c>
      <c r="F658" s="327">
        <f t="shared" si="290"/>
        <v>493.26614093958966</v>
      </c>
      <c r="G658" s="327">
        <f t="shared" si="291"/>
        <v>0</v>
      </c>
      <c r="H658" s="328" t="str">
        <f t="shared" si="286"/>
        <v>A</v>
      </c>
      <c r="I658" s="325" t="s">
        <v>3310</v>
      </c>
      <c r="J658" s="329" t="str">
        <f>IF(B658&lt;&gt;"",+VLOOKUP(I658,Recursos!C:F,2,FALSE),"")</f>
        <v>OFICIAL ESPECIALIZADO</v>
      </c>
      <c r="K658" s="330" t="str">
        <f>IF(B658&lt;&gt;"",+VLOOKUP(I658,Recursos!C:F,3,FALSE),"")</f>
        <v>hh</v>
      </c>
      <c r="L658" s="446">
        <f>IF(B658&lt;&gt;"",+VLOOKUP(I658,Recursos!C:F,4,FALSE),"")</f>
        <v>581.06120476836554</v>
      </c>
      <c r="M658" s="454">
        <f>+M659</f>
        <v>20</v>
      </c>
      <c r="N658" s="453">
        <v>0.4</v>
      </c>
      <c r="O658" s="449">
        <f>+N658/M658*N659</f>
        <v>2.5000000000000001E-2</v>
      </c>
      <c r="P658" s="333">
        <f t="shared" si="287"/>
        <v>14.52653011920914</v>
      </c>
      <c r="Q658" s="327">
        <f t="shared" si="288"/>
        <v>0</v>
      </c>
      <c r="R658" s="334">
        <f t="shared" si="289"/>
        <v>0</v>
      </c>
      <c r="S658" s="335">
        <f t="shared" si="292"/>
        <v>280.69195093958962</v>
      </c>
      <c r="T658" s="335">
        <f t="shared" si="293"/>
        <v>211.37419000000003</v>
      </c>
      <c r="U658" s="336">
        <f t="shared" si="294"/>
        <v>1.2</v>
      </c>
      <c r="V658" s="336">
        <f t="shared" si="295"/>
        <v>0</v>
      </c>
      <c r="W658" s="336">
        <f t="shared" si="296"/>
        <v>0</v>
      </c>
      <c r="X658" s="336">
        <f t="shared" si="297"/>
        <v>0</v>
      </c>
      <c r="Y658" s="320"/>
      <c r="Z658" s="321" t="str">
        <f t="shared" si="301"/>
        <v>X-CMGA</v>
      </c>
      <c r="AA658" s="321" t="str">
        <f t="shared" si="302"/>
        <v>X-CMGE</v>
      </c>
      <c r="AB658" s="321" t="str">
        <f t="shared" si="303"/>
        <v>X-CMGM</v>
      </c>
      <c r="AC658" s="321" t="str">
        <f t="shared" si="304"/>
        <v>X-CMGT</v>
      </c>
      <c r="AD658" s="321" t="str">
        <f t="shared" si="305"/>
        <v>X-CMGS</v>
      </c>
      <c r="AE658" s="321" t="str">
        <f t="shared" si="306"/>
        <v>X-CMGX</v>
      </c>
      <c r="AF658" s="321" t="str">
        <f t="shared" si="307"/>
        <v>X-CMGA</v>
      </c>
      <c r="AG658" s="321">
        <f t="shared" si="298"/>
        <v>8</v>
      </c>
      <c r="AH658" s="321">
        <f>IF(B658&lt;&gt;"",IF(H658="x",VLOOKUP(I658,'AUX-NIV3'!B:AG,32,FALSE),0),"")</f>
        <v>0</v>
      </c>
      <c r="AI658" s="321" t="str">
        <f t="shared" si="308"/>
        <v>X-CMG</v>
      </c>
      <c r="AJ658" s="320"/>
      <c r="AK658" s="322">
        <f t="shared" si="299"/>
        <v>656</v>
      </c>
      <c r="AL658" s="323">
        <f t="shared" si="309"/>
        <v>663</v>
      </c>
      <c r="AM658" s="322">
        <f t="shared" si="310"/>
        <v>3</v>
      </c>
      <c r="AN658" s="380">
        <f>IF(AND(AH658&gt;0,B658&lt;&gt;""),VLOOKUP(I658,'AUX-NIV3'!$B:$AO,39,FALSE)*O658,0)</f>
        <v>0</v>
      </c>
      <c r="AO658" s="380">
        <f t="shared" si="300"/>
        <v>0.58750000000000002</v>
      </c>
      <c r="AP658" s="380"/>
    </row>
    <row r="659" spans="2:42" ht="14.4" hidden="1" thickTop="1" thickBot="1">
      <c r="B659" s="324" t="s">
        <v>2803</v>
      </c>
      <c r="C659" s="325" t="s">
        <v>2804</v>
      </c>
      <c r="D659" s="326" t="s">
        <v>1160</v>
      </c>
      <c r="E659" s="327">
        <f>IF(B659&lt;&gt;"",SUMIF('AUX-NIV1'!I:I,'AUX-NIV2'!B659,'AUX-NIV1'!Q:Q),"")</f>
        <v>0</v>
      </c>
      <c r="F659" s="327">
        <f t="shared" si="290"/>
        <v>493.26614093958966</v>
      </c>
      <c r="G659" s="327">
        <f t="shared" si="291"/>
        <v>0</v>
      </c>
      <c r="H659" s="328" t="str">
        <f t="shared" si="286"/>
        <v>A</v>
      </c>
      <c r="I659" s="325" t="s">
        <v>3310</v>
      </c>
      <c r="J659" s="329" t="str">
        <f>IF(B659&lt;&gt;"",+VLOOKUP(I659,Recursos!C:F,2,FALSE),"")</f>
        <v>OFICIAL ESPECIALIZADO</v>
      </c>
      <c r="K659" s="330" t="str">
        <f>IF(B659&lt;&gt;"",+VLOOKUP(I659,Recursos!C:F,3,FALSE),"")</f>
        <v>hh</v>
      </c>
      <c r="L659" s="446">
        <f>IF(B659&lt;&gt;"",+VLOOKUP(I659,Recursos!C:F,4,FALSE),"")</f>
        <v>581.06120476836554</v>
      </c>
      <c r="M659" s="454">
        <f>+M660</f>
        <v>20</v>
      </c>
      <c r="N659" s="453">
        <v>1.25</v>
      </c>
      <c r="O659" s="449">
        <f>+N659/M659</f>
        <v>6.25E-2</v>
      </c>
      <c r="P659" s="333">
        <f t="shared" si="287"/>
        <v>36.316325298022846</v>
      </c>
      <c r="Q659" s="327">
        <f t="shared" si="288"/>
        <v>0</v>
      </c>
      <c r="R659" s="334">
        <f t="shared" si="289"/>
        <v>0</v>
      </c>
      <c r="S659" s="335">
        <f t="shared" si="292"/>
        <v>280.69195093958962</v>
      </c>
      <c r="T659" s="335">
        <f t="shared" si="293"/>
        <v>211.37419000000003</v>
      </c>
      <c r="U659" s="336">
        <f t="shared" si="294"/>
        <v>1.2</v>
      </c>
      <c r="V659" s="336">
        <f t="shared" si="295"/>
        <v>0</v>
      </c>
      <c r="W659" s="336">
        <f t="shared" si="296"/>
        <v>0</v>
      </c>
      <c r="X659" s="336">
        <f t="shared" si="297"/>
        <v>0</v>
      </c>
      <c r="Y659" s="320"/>
      <c r="Z659" s="321" t="str">
        <f t="shared" si="301"/>
        <v>X-CMGA</v>
      </c>
      <c r="AA659" s="321" t="str">
        <f t="shared" si="302"/>
        <v>X-CMGE</v>
      </c>
      <c r="AB659" s="321" t="str">
        <f t="shared" si="303"/>
        <v>X-CMGM</v>
      </c>
      <c r="AC659" s="321" t="str">
        <f t="shared" si="304"/>
        <v>X-CMGT</v>
      </c>
      <c r="AD659" s="321" t="str">
        <f t="shared" si="305"/>
        <v>X-CMGS</v>
      </c>
      <c r="AE659" s="321" t="str">
        <f t="shared" si="306"/>
        <v>X-CMGX</v>
      </c>
      <c r="AF659" s="321" t="str">
        <f t="shared" si="307"/>
        <v>X-CMGA</v>
      </c>
      <c r="AG659" s="321">
        <f t="shared" si="298"/>
        <v>8</v>
      </c>
      <c r="AH659" s="321">
        <f>IF(B659&lt;&gt;"",IF(H659="x",VLOOKUP(I659,'AUX-NIV3'!B:AG,32,FALSE),0),"")</f>
        <v>0</v>
      </c>
      <c r="AI659" s="321" t="str">
        <f t="shared" si="308"/>
        <v>X-CMG</v>
      </c>
      <c r="AJ659" s="320"/>
      <c r="AK659" s="322">
        <f t="shared" si="299"/>
        <v>656</v>
      </c>
      <c r="AL659" s="323">
        <f t="shared" si="309"/>
        <v>663</v>
      </c>
      <c r="AM659" s="322">
        <f t="shared" si="310"/>
        <v>4</v>
      </c>
      <c r="AN659" s="380">
        <f>IF(AND(AH659&gt;0,B659&lt;&gt;""),VLOOKUP(I659,'AUX-NIV3'!$B:$AO,39,FALSE)*O659,0)</f>
        <v>0</v>
      </c>
      <c r="AO659" s="380">
        <f t="shared" si="300"/>
        <v>0.58750000000000002</v>
      </c>
      <c r="AP659" s="380"/>
    </row>
    <row r="660" spans="2:42" ht="14.4" hidden="1" thickTop="1" thickBot="1">
      <c r="B660" s="324" t="s">
        <v>2803</v>
      </c>
      <c r="C660" s="325" t="s">
        <v>2804</v>
      </c>
      <c r="D660" s="326" t="s">
        <v>1160</v>
      </c>
      <c r="E660" s="327">
        <f>IF(B660&lt;&gt;"",SUMIF('AUX-NIV1'!I:I,'AUX-NIV2'!B660,'AUX-NIV1'!Q:Q),"")</f>
        <v>0</v>
      </c>
      <c r="F660" s="327">
        <f t="shared" si="290"/>
        <v>493.26614093958966</v>
      </c>
      <c r="G660" s="327">
        <f t="shared" si="291"/>
        <v>0</v>
      </c>
      <c r="H660" s="328" t="str">
        <f t="shared" ref="H660:H723" si="311">IF(B660&lt;&gt;"",+LEFT(I660,1),"")</f>
        <v>E</v>
      </c>
      <c r="I660" s="325" t="s">
        <v>1659</v>
      </c>
      <c r="J660" s="329" t="str">
        <f>IF(B660&lt;&gt;"",+VLOOKUP(I660,Recursos!C:F,2,FALSE),"")</f>
        <v>CARGADOR FRONTAL S/NEUM. 2,4 m3</v>
      </c>
      <c r="K660" s="330" t="str">
        <f>IF(B660&lt;&gt;"",+VLOOKUP(I660,Recursos!C:F,3,FALSE),"")</f>
        <v>HR</v>
      </c>
      <c r="L660" s="446">
        <f>IF(B660&lt;&gt;"",+VLOOKUP(I660,Recursos!C:F,4,FALSE),"")</f>
        <v>3724.9622000000004</v>
      </c>
      <c r="M660" s="454">
        <f>+M661</f>
        <v>20</v>
      </c>
      <c r="N660" s="453">
        <v>1</v>
      </c>
      <c r="O660" s="449">
        <f>+N660/M660</f>
        <v>0.05</v>
      </c>
      <c r="P660" s="333">
        <f t="shared" si="287"/>
        <v>186.24811000000003</v>
      </c>
      <c r="Q660" s="327">
        <f t="shared" si="288"/>
        <v>0</v>
      </c>
      <c r="R660" s="334">
        <f t="shared" si="289"/>
        <v>0</v>
      </c>
      <c r="S660" s="335">
        <f t="shared" si="292"/>
        <v>280.69195093958962</v>
      </c>
      <c r="T660" s="335">
        <f t="shared" si="293"/>
        <v>211.37419000000003</v>
      </c>
      <c r="U660" s="336">
        <f t="shared" si="294"/>
        <v>1.2</v>
      </c>
      <c r="V660" s="336">
        <f t="shared" si="295"/>
        <v>0</v>
      </c>
      <c r="W660" s="336">
        <f t="shared" si="296"/>
        <v>0</v>
      </c>
      <c r="X660" s="336">
        <f t="shared" si="297"/>
        <v>0</v>
      </c>
      <c r="Y660" s="320"/>
      <c r="Z660" s="321" t="str">
        <f t="shared" si="301"/>
        <v>X-CMGA</v>
      </c>
      <c r="AA660" s="321" t="str">
        <f t="shared" si="302"/>
        <v>X-CMGE</v>
      </c>
      <c r="AB660" s="321" t="str">
        <f t="shared" si="303"/>
        <v>X-CMGM</v>
      </c>
      <c r="AC660" s="321" t="str">
        <f t="shared" si="304"/>
        <v>X-CMGT</v>
      </c>
      <c r="AD660" s="321" t="str">
        <f t="shared" si="305"/>
        <v>X-CMGS</v>
      </c>
      <c r="AE660" s="321" t="str">
        <f t="shared" si="306"/>
        <v>X-CMGX</v>
      </c>
      <c r="AF660" s="321" t="str">
        <f t="shared" si="307"/>
        <v>X-CMGE</v>
      </c>
      <c r="AG660" s="321">
        <f t="shared" si="298"/>
        <v>8</v>
      </c>
      <c r="AH660" s="321">
        <f>IF(B660&lt;&gt;"",IF(H660="x",VLOOKUP(I660,'AUX-NIV3'!B:AG,32,FALSE),0),"")</f>
        <v>0</v>
      </c>
      <c r="AI660" s="321" t="str">
        <f t="shared" si="308"/>
        <v>X-CMG</v>
      </c>
      <c r="AJ660" s="320"/>
      <c r="AK660" s="322">
        <f t="shared" si="299"/>
        <v>656</v>
      </c>
      <c r="AL660" s="323">
        <f t="shared" si="309"/>
        <v>663</v>
      </c>
      <c r="AM660" s="322">
        <f t="shared" si="310"/>
        <v>5</v>
      </c>
      <c r="AN660" s="380">
        <f>IF(AND(AH660&gt;0,B660&lt;&gt;""),VLOOKUP(I660,'AUX-NIV3'!$B:$AO,39,FALSE)*O660,0)</f>
        <v>0</v>
      </c>
      <c r="AO660" s="380">
        <f t="shared" si="300"/>
        <v>0.58750000000000002</v>
      </c>
      <c r="AP660" s="380"/>
    </row>
    <row r="661" spans="2:42" ht="14.4" hidden="1" thickTop="1" thickBot="1">
      <c r="B661" s="324" t="s">
        <v>2803</v>
      </c>
      <c r="C661" s="325" t="s">
        <v>2804</v>
      </c>
      <c r="D661" s="326" t="s">
        <v>1160</v>
      </c>
      <c r="E661" s="327">
        <f>IF(B661&lt;&gt;"",SUMIF('AUX-NIV1'!I:I,'AUX-NIV2'!B661,'AUX-NIV1'!Q:Q),"")</f>
        <v>0</v>
      </c>
      <c r="F661" s="327">
        <f t="shared" si="290"/>
        <v>493.26614093958966</v>
      </c>
      <c r="G661" s="327">
        <f t="shared" si="291"/>
        <v>0</v>
      </c>
      <c r="H661" s="328" t="str">
        <f t="shared" si="311"/>
        <v>E</v>
      </c>
      <c r="I661" s="325" t="s">
        <v>1570</v>
      </c>
      <c r="J661" s="329" t="str">
        <f>IF(B661&lt;&gt;"",+VLOOKUP(I661,Recursos!C:F,2,FALSE),"")</f>
        <v>PLANCHA VIBRATORIA 32x28 cm-68 Kg</v>
      </c>
      <c r="K661" s="330" t="str">
        <f>IF(B661&lt;&gt;"",+VLOOKUP(I661,Recursos!C:F,3,FALSE),"")</f>
        <v>HR</v>
      </c>
      <c r="L661" s="446">
        <f>IF(B661&lt;&gt;"",+VLOOKUP(I661,Recursos!C:F,4,FALSE),"")</f>
        <v>125.63040000000001</v>
      </c>
      <c r="M661" s="452">
        <v>20</v>
      </c>
      <c r="N661" s="453">
        <v>4</v>
      </c>
      <c r="O661" s="449">
        <f>+N661/M661</f>
        <v>0.2</v>
      </c>
      <c r="P661" s="333">
        <f t="shared" si="287"/>
        <v>25.126080000000002</v>
      </c>
      <c r="Q661" s="327">
        <f t="shared" si="288"/>
        <v>0</v>
      </c>
      <c r="R661" s="334">
        <f t="shared" si="289"/>
        <v>0</v>
      </c>
      <c r="S661" s="335">
        <f t="shared" si="292"/>
        <v>280.69195093958962</v>
      </c>
      <c r="T661" s="335">
        <f t="shared" si="293"/>
        <v>211.37419000000003</v>
      </c>
      <c r="U661" s="336">
        <f t="shared" si="294"/>
        <v>1.2</v>
      </c>
      <c r="V661" s="336">
        <f t="shared" si="295"/>
        <v>0</v>
      </c>
      <c r="W661" s="336">
        <f t="shared" si="296"/>
        <v>0</v>
      </c>
      <c r="X661" s="336">
        <f t="shared" si="297"/>
        <v>0</v>
      </c>
      <c r="Y661" s="320"/>
      <c r="Z661" s="321" t="str">
        <f t="shared" si="301"/>
        <v>X-CMGA</v>
      </c>
      <c r="AA661" s="321" t="str">
        <f t="shared" si="302"/>
        <v>X-CMGE</v>
      </c>
      <c r="AB661" s="321" t="str">
        <f t="shared" si="303"/>
        <v>X-CMGM</v>
      </c>
      <c r="AC661" s="321" t="str">
        <f t="shared" si="304"/>
        <v>X-CMGT</v>
      </c>
      <c r="AD661" s="321" t="str">
        <f t="shared" si="305"/>
        <v>X-CMGS</v>
      </c>
      <c r="AE661" s="321" t="str">
        <f t="shared" si="306"/>
        <v>X-CMGX</v>
      </c>
      <c r="AF661" s="321" t="str">
        <f t="shared" si="307"/>
        <v>X-CMGE</v>
      </c>
      <c r="AG661" s="321">
        <f t="shared" si="298"/>
        <v>8</v>
      </c>
      <c r="AH661" s="321">
        <f>IF(B661&lt;&gt;"",IF(H661="x",VLOOKUP(I661,'AUX-NIV3'!B:AG,32,FALSE),0),"")</f>
        <v>0</v>
      </c>
      <c r="AI661" s="321" t="str">
        <f t="shared" si="308"/>
        <v>X-CMG</v>
      </c>
      <c r="AJ661" s="320"/>
      <c r="AK661" s="322">
        <f t="shared" si="299"/>
        <v>656</v>
      </c>
      <c r="AL661" s="323">
        <f t="shared" si="309"/>
        <v>663</v>
      </c>
      <c r="AM661" s="322">
        <f t="shared" si="310"/>
        <v>6</v>
      </c>
      <c r="AN661" s="380">
        <f>IF(AND(AH661&gt;0,B661&lt;&gt;""),VLOOKUP(I661,'AUX-NIV3'!$B:$AO,39,FALSE)*O661,0)</f>
        <v>0</v>
      </c>
      <c r="AO661" s="380">
        <f t="shared" si="300"/>
        <v>0.58750000000000002</v>
      </c>
      <c r="AP661" s="380"/>
    </row>
    <row r="662" spans="2:42" ht="14.4" hidden="1" thickTop="1" thickBot="1">
      <c r="B662" s="324" t="s">
        <v>2803</v>
      </c>
      <c r="C662" s="325" t="s">
        <v>2804</v>
      </c>
      <c r="D662" s="326" t="s">
        <v>1160</v>
      </c>
      <c r="E662" s="327">
        <f>IF(B662&lt;&gt;"",SUMIF('AUX-NIV1'!I:I,'AUX-NIV2'!B662,'AUX-NIV1'!Q:Q),"")</f>
        <v>0</v>
      </c>
      <c r="F662" s="327">
        <f t="shared" si="290"/>
        <v>493.26614093958966</v>
      </c>
      <c r="G662" s="327">
        <f t="shared" si="291"/>
        <v>0</v>
      </c>
      <c r="H662" s="328" t="str">
        <f t="shared" si="311"/>
        <v>M</v>
      </c>
      <c r="I662" s="325" t="s">
        <v>2142</v>
      </c>
      <c r="J662" s="329" t="str">
        <f>IF(B662&lt;&gt;"",+VLOOKUP(I662,Recursos!C:F,2,FALSE),"")</f>
        <v>HERRAMIENTAS MENORES</v>
      </c>
      <c r="K662" s="330" t="str">
        <f>IF(B662&lt;&gt;"",+VLOOKUP(I662,Recursos!C:F,3,FALSE),"")</f>
        <v>un</v>
      </c>
      <c r="L662" s="446">
        <f>IF(B662&lt;&gt;"",+VLOOKUP(I662,Recursos!C:F,4,FALSE),"")</f>
        <v>1</v>
      </c>
      <c r="M662" s="454">
        <f>+M661</f>
        <v>20</v>
      </c>
      <c r="N662" s="455">
        <f>+N661</f>
        <v>4</v>
      </c>
      <c r="O662" s="449">
        <f>+N662/M662</f>
        <v>0.2</v>
      </c>
      <c r="P662" s="333">
        <f t="shared" si="287"/>
        <v>0.2</v>
      </c>
      <c r="Q662" s="327">
        <f t="shared" si="288"/>
        <v>0</v>
      </c>
      <c r="R662" s="334">
        <f t="shared" si="289"/>
        <v>0</v>
      </c>
      <c r="S662" s="335">
        <f t="shared" si="292"/>
        <v>280.69195093958962</v>
      </c>
      <c r="T662" s="335">
        <f t="shared" si="293"/>
        <v>211.37419000000003</v>
      </c>
      <c r="U662" s="336">
        <f t="shared" si="294"/>
        <v>1.2</v>
      </c>
      <c r="V662" s="336">
        <f t="shared" si="295"/>
        <v>0</v>
      </c>
      <c r="W662" s="336">
        <f t="shared" si="296"/>
        <v>0</v>
      </c>
      <c r="X662" s="336">
        <f t="shared" si="297"/>
        <v>0</v>
      </c>
      <c r="Y662" s="320"/>
      <c r="Z662" s="321" t="str">
        <f t="shared" si="301"/>
        <v>X-CMGA</v>
      </c>
      <c r="AA662" s="321" t="str">
        <f t="shared" si="302"/>
        <v>X-CMGE</v>
      </c>
      <c r="AB662" s="321" t="str">
        <f t="shared" si="303"/>
        <v>X-CMGM</v>
      </c>
      <c r="AC662" s="321" t="str">
        <f t="shared" si="304"/>
        <v>X-CMGT</v>
      </c>
      <c r="AD662" s="321" t="str">
        <f t="shared" si="305"/>
        <v>X-CMGS</v>
      </c>
      <c r="AE662" s="321" t="str">
        <f t="shared" si="306"/>
        <v>X-CMGX</v>
      </c>
      <c r="AF662" s="321" t="str">
        <f t="shared" si="307"/>
        <v>X-CMGM</v>
      </c>
      <c r="AG662" s="321">
        <f t="shared" si="298"/>
        <v>8</v>
      </c>
      <c r="AH662" s="321">
        <f>IF(B662&lt;&gt;"",IF(H662="x",VLOOKUP(I662,'AUX-NIV3'!B:AG,32,FALSE),0),"")</f>
        <v>0</v>
      </c>
      <c r="AI662" s="321" t="str">
        <f t="shared" si="308"/>
        <v>X-CMG</v>
      </c>
      <c r="AJ662" s="320"/>
      <c r="AK662" s="322">
        <f t="shared" si="299"/>
        <v>656</v>
      </c>
      <c r="AL662" s="323">
        <f t="shared" si="309"/>
        <v>663</v>
      </c>
      <c r="AM662" s="322">
        <f t="shared" si="310"/>
        <v>7</v>
      </c>
      <c r="AN662" s="380">
        <f>IF(AND(AH662&gt;0,B662&lt;&gt;""),VLOOKUP(I662,'AUX-NIV3'!$B:$AO,39,FALSE)*O662,0)</f>
        <v>0</v>
      </c>
      <c r="AO662" s="380">
        <f t="shared" si="300"/>
        <v>0.58750000000000002</v>
      </c>
      <c r="AP662" s="380"/>
    </row>
    <row r="663" spans="2:42" ht="14.4" hidden="1" thickTop="1" thickBot="1">
      <c r="B663" s="324" t="s">
        <v>2803</v>
      </c>
      <c r="C663" s="325" t="s">
        <v>2804</v>
      </c>
      <c r="D663" s="326" t="s">
        <v>1160</v>
      </c>
      <c r="E663" s="327">
        <f>IF(B663&lt;&gt;"",SUMIF('AUX-NIV1'!I:I,'AUX-NIV2'!B663,'AUX-NIV1'!Q:Q),"")</f>
        <v>0</v>
      </c>
      <c r="F663" s="327">
        <f t="shared" si="290"/>
        <v>493.26614093958966</v>
      </c>
      <c r="G663" s="327">
        <f t="shared" si="291"/>
        <v>0</v>
      </c>
      <c r="H663" s="328" t="str">
        <f t="shared" si="311"/>
        <v>M</v>
      </c>
      <c r="I663" s="325" t="s">
        <v>621</v>
      </c>
      <c r="J663" s="329" t="str">
        <f>IF(B663&lt;&gt;"",+VLOOKUP(I663,Recursos!C:F,2,FALSE),"")</f>
        <v>MATERIALES VARIOS</v>
      </c>
      <c r="K663" s="330" t="str">
        <f>IF(B663&lt;&gt;"",+VLOOKUP(I663,Recursos!C:F,3,FALSE),"")</f>
        <v>GL</v>
      </c>
      <c r="L663" s="446">
        <f>IF(B663&lt;&gt;"",+VLOOKUP(I663,Recursos!C:F,4,FALSE),"")</f>
        <v>0.5</v>
      </c>
      <c r="M663" s="450">
        <v>2</v>
      </c>
      <c r="N663" s="451"/>
      <c r="O663" s="449">
        <f>+M663</f>
        <v>2</v>
      </c>
      <c r="P663" s="333">
        <f t="shared" si="287"/>
        <v>1</v>
      </c>
      <c r="Q663" s="327">
        <f t="shared" si="288"/>
        <v>0</v>
      </c>
      <c r="R663" s="334">
        <f t="shared" si="289"/>
        <v>0</v>
      </c>
      <c r="S663" s="335">
        <f t="shared" si="292"/>
        <v>280.69195093958962</v>
      </c>
      <c r="T663" s="335">
        <f t="shared" si="293"/>
        <v>211.37419000000003</v>
      </c>
      <c r="U663" s="336">
        <f t="shared" si="294"/>
        <v>1.2</v>
      </c>
      <c r="V663" s="336">
        <f t="shared" si="295"/>
        <v>0</v>
      </c>
      <c r="W663" s="336">
        <f t="shared" si="296"/>
        <v>0</v>
      </c>
      <c r="X663" s="336">
        <f t="shared" si="297"/>
        <v>0</v>
      </c>
      <c r="Y663" s="320"/>
      <c r="Z663" s="321" t="str">
        <f t="shared" si="301"/>
        <v>X-CMGA</v>
      </c>
      <c r="AA663" s="321" t="str">
        <f t="shared" si="302"/>
        <v>X-CMGE</v>
      </c>
      <c r="AB663" s="321" t="str">
        <f t="shared" si="303"/>
        <v>X-CMGM</v>
      </c>
      <c r="AC663" s="321" t="str">
        <f t="shared" si="304"/>
        <v>X-CMGT</v>
      </c>
      <c r="AD663" s="321" t="str">
        <f t="shared" si="305"/>
        <v>X-CMGS</v>
      </c>
      <c r="AE663" s="321" t="str">
        <f t="shared" si="306"/>
        <v>X-CMGX</v>
      </c>
      <c r="AF663" s="321" t="str">
        <f t="shared" si="307"/>
        <v>X-CMGM</v>
      </c>
      <c r="AG663" s="321">
        <f t="shared" si="298"/>
        <v>8</v>
      </c>
      <c r="AH663" s="321">
        <f>IF(B663&lt;&gt;"",IF(H663="x",VLOOKUP(I663,'AUX-NIV3'!B:AG,32,FALSE),0),"")</f>
        <v>0</v>
      </c>
      <c r="AI663" s="321" t="str">
        <f t="shared" si="308"/>
        <v>X-CMG</v>
      </c>
      <c r="AJ663" s="320"/>
      <c r="AK663" s="322">
        <f t="shared" si="299"/>
        <v>656</v>
      </c>
      <c r="AL663" s="323">
        <f t="shared" si="309"/>
        <v>663</v>
      </c>
      <c r="AM663" s="322">
        <f t="shared" si="310"/>
        <v>8</v>
      </c>
      <c r="AN663" s="380">
        <f>IF(AND(AH663&gt;0,B663&lt;&gt;""),VLOOKUP(I663,'AUX-NIV3'!$B:$AO,39,FALSE)*O663,0)</f>
        <v>0</v>
      </c>
      <c r="AO663" s="380">
        <f t="shared" si="300"/>
        <v>0.58750000000000002</v>
      </c>
      <c r="AP663" s="380"/>
    </row>
    <row r="664" spans="2:42" ht="14.4" hidden="1" thickTop="1" thickBot="1">
      <c r="B664" s="324" t="s">
        <v>2805</v>
      </c>
      <c r="C664" s="325" t="s">
        <v>2806</v>
      </c>
      <c r="D664" s="326" t="s">
        <v>1160</v>
      </c>
      <c r="E664" s="327">
        <f>IF(B664&lt;&gt;"",SUMIF('AUX-NIV1'!I:I,'AUX-NIV2'!B664,'AUX-NIV1'!Q:Q),"")</f>
        <v>0</v>
      </c>
      <c r="F664" s="327">
        <f t="shared" si="290"/>
        <v>1101.9330410897853</v>
      </c>
      <c r="G664" s="327">
        <f t="shared" si="291"/>
        <v>0</v>
      </c>
      <c r="H664" s="328" t="str">
        <f t="shared" si="311"/>
        <v>S</v>
      </c>
      <c r="I664" s="325" t="s">
        <v>2499</v>
      </c>
      <c r="J664" s="329" t="str">
        <f>IF(B664&lt;&gt;"",+VLOOKUP(I664,Recursos!C:F,2,FALSE),"")</f>
        <v>CANON DE EXPLOT. YACIMIENTOS</v>
      </c>
      <c r="K664" s="330" t="str">
        <f>IF(B664&lt;&gt;"",+VLOOKUP(I664,Recursos!C:F,3,FALSE),"")</f>
        <v>m3b</v>
      </c>
      <c r="L664" s="446">
        <f>IF(B664&lt;&gt;"",+VLOOKUP(I664,Recursos!C:F,4,FALSE),"")</f>
        <v>100</v>
      </c>
      <c r="M664" s="447">
        <v>1.25</v>
      </c>
      <c r="N664" s="448"/>
      <c r="O664" s="449">
        <f>+M664</f>
        <v>1.25</v>
      </c>
      <c r="P664" s="333">
        <f t="shared" si="287"/>
        <v>125</v>
      </c>
      <c r="Q664" s="327">
        <f t="shared" si="288"/>
        <v>0</v>
      </c>
      <c r="R664" s="334">
        <f t="shared" si="289"/>
        <v>0</v>
      </c>
      <c r="S664" s="335">
        <f t="shared" si="292"/>
        <v>0</v>
      </c>
      <c r="T664" s="335">
        <f t="shared" si="293"/>
        <v>0</v>
      </c>
      <c r="U664" s="336">
        <f t="shared" si="294"/>
        <v>875</v>
      </c>
      <c r="V664" s="336">
        <f t="shared" si="295"/>
        <v>0</v>
      </c>
      <c r="W664" s="336">
        <f t="shared" si="296"/>
        <v>125</v>
      </c>
      <c r="X664" s="336">
        <f t="shared" si="297"/>
        <v>101.93304108978552</v>
      </c>
      <c r="Y664" s="320"/>
      <c r="Z664" s="321" t="str">
        <f t="shared" si="301"/>
        <v>X-APSA</v>
      </c>
      <c r="AA664" s="321" t="str">
        <f t="shared" si="302"/>
        <v>X-APSE</v>
      </c>
      <c r="AB664" s="321" t="str">
        <f t="shared" si="303"/>
        <v>X-APSM</v>
      </c>
      <c r="AC664" s="321" t="str">
        <f t="shared" si="304"/>
        <v>X-APST</v>
      </c>
      <c r="AD664" s="321" t="str">
        <f t="shared" si="305"/>
        <v>X-APSS</v>
      </c>
      <c r="AE664" s="321" t="str">
        <f t="shared" si="306"/>
        <v>X-APSX</v>
      </c>
      <c r="AF664" s="321" t="str">
        <f t="shared" si="307"/>
        <v>X-APSS</v>
      </c>
      <c r="AG664" s="321">
        <f t="shared" si="298"/>
        <v>5</v>
      </c>
      <c r="AH664" s="321">
        <f>IF(B664&lt;&gt;"",IF(H664="x",VLOOKUP(I664,'AUX-NIV3'!B:AG,32,FALSE),0),"")</f>
        <v>0</v>
      </c>
      <c r="AI664" s="321" t="str">
        <f t="shared" si="308"/>
        <v>X-APS</v>
      </c>
      <c r="AJ664" s="320"/>
      <c r="AK664" s="322">
        <f t="shared" si="299"/>
        <v>664</v>
      </c>
      <c r="AL664" s="323">
        <f t="shared" si="309"/>
        <v>668</v>
      </c>
      <c r="AM664" s="322">
        <f t="shared" si="310"/>
        <v>1</v>
      </c>
      <c r="AN664" s="380">
        <f>IF(AND(AH664&gt;0,B664&lt;&gt;""),VLOOKUP(I664,'AUX-NIV3'!$B:$AO,39,FALSE)*O664,0)</f>
        <v>0</v>
      </c>
      <c r="AO664" s="380">
        <f t="shared" si="300"/>
        <v>5.6831037414965986E-2</v>
      </c>
      <c r="AP664" s="380"/>
    </row>
    <row r="665" spans="2:42" ht="14.4" hidden="1" thickTop="1" thickBot="1">
      <c r="B665" s="324" t="s">
        <v>2805</v>
      </c>
      <c r="C665" s="325" t="s">
        <v>2806</v>
      </c>
      <c r="D665" s="326" t="s">
        <v>1160</v>
      </c>
      <c r="E665" s="327">
        <f>IF(B665&lt;&gt;"",SUMIF('AUX-NIV1'!I:I,'AUX-NIV2'!B665,'AUX-NIV1'!Q:Q),"")</f>
        <v>0</v>
      </c>
      <c r="F665" s="327">
        <f t="shared" si="290"/>
        <v>1101.9330410897853</v>
      </c>
      <c r="G665" s="327">
        <f t="shared" si="291"/>
        <v>0</v>
      </c>
      <c r="H665" s="328" t="str">
        <f t="shared" si="311"/>
        <v>M</v>
      </c>
      <c r="I665" s="469" t="s">
        <v>1768</v>
      </c>
      <c r="J665" s="329" t="str">
        <f>IF(B665&lt;&gt;"",+VLOOKUP(I665,Recursos!C:F,2,FALSE),"")</f>
        <v>AGREGADO CLASIFICADO</v>
      </c>
      <c r="K665" s="330" t="str">
        <f>IF(B665&lt;&gt;"",+VLOOKUP(I665,Recursos!C:F,3,FALSE),"")</f>
        <v>Tn</v>
      </c>
      <c r="L665" s="446">
        <f>IF(B665&lt;&gt;"",+VLOOKUP(I665,Recursos!C:F,4,FALSE),"")</f>
        <v>700</v>
      </c>
      <c r="M665" s="452">
        <v>1</v>
      </c>
      <c r="N665" s="455">
        <f>+M664</f>
        <v>1.25</v>
      </c>
      <c r="O665" s="449">
        <f>+N665/M665</f>
        <v>1.25</v>
      </c>
      <c r="P665" s="333">
        <f t="shared" si="287"/>
        <v>875</v>
      </c>
      <c r="Q665" s="327">
        <f t="shared" si="288"/>
        <v>0</v>
      </c>
      <c r="R665" s="334">
        <f t="shared" si="289"/>
        <v>0</v>
      </c>
      <c r="S665" s="335">
        <f t="shared" si="292"/>
        <v>0</v>
      </c>
      <c r="T665" s="335">
        <f t="shared" si="293"/>
        <v>0</v>
      </c>
      <c r="U665" s="336">
        <f t="shared" si="294"/>
        <v>875</v>
      </c>
      <c r="V665" s="336">
        <f t="shared" si="295"/>
        <v>0</v>
      </c>
      <c r="W665" s="336">
        <f t="shared" si="296"/>
        <v>125</v>
      </c>
      <c r="X665" s="336">
        <f t="shared" si="297"/>
        <v>101.93304108978552</v>
      </c>
      <c r="Y665" s="320"/>
      <c r="Z665" s="321" t="str">
        <f t="shared" si="301"/>
        <v>X-APSA</v>
      </c>
      <c r="AA665" s="321" t="str">
        <f t="shared" si="302"/>
        <v>X-APSE</v>
      </c>
      <c r="AB665" s="321" t="str">
        <f t="shared" si="303"/>
        <v>X-APSM</v>
      </c>
      <c r="AC665" s="321" t="str">
        <f t="shared" si="304"/>
        <v>X-APST</v>
      </c>
      <c r="AD665" s="321" t="str">
        <f t="shared" si="305"/>
        <v>X-APSS</v>
      </c>
      <c r="AE665" s="321" t="str">
        <f t="shared" si="306"/>
        <v>X-APSX</v>
      </c>
      <c r="AF665" s="321" t="str">
        <f t="shared" si="307"/>
        <v>X-APSM</v>
      </c>
      <c r="AG665" s="321">
        <f t="shared" si="298"/>
        <v>5</v>
      </c>
      <c r="AH665" s="321">
        <f>IF(B665&lt;&gt;"",IF(H665="x",VLOOKUP(I665,'AUX-NIV3'!B:AG,32,FALSE),0),"")</f>
        <v>0</v>
      </c>
      <c r="AI665" s="321" t="str">
        <f t="shared" si="308"/>
        <v>X-APS</v>
      </c>
      <c r="AJ665" s="320"/>
      <c r="AK665" s="322">
        <f t="shared" si="299"/>
        <v>664</v>
      </c>
      <c r="AL665" s="323">
        <f t="shared" si="309"/>
        <v>668</v>
      </c>
      <c r="AM665" s="322">
        <f t="shared" si="310"/>
        <v>2</v>
      </c>
      <c r="AN665" s="380">
        <f>IF(AND(AH665&gt;0,B665&lt;&gt;""),VLOOKUP(I665,'AUX-NIV3'!$B:$AO,39,FALSE)*O665,0)</f>
        <v>0</v>
      </c>
      <c r="AO665" s="380">
        <f t="shared" si="300"/>
        <v>5.6831037414965986E-2</v>
      </c>
      <c r="AP665" s="380"/>
    </row>
    <row r="666" spans="2:42" ht="14.4" hidden="1" thickTop="1" thickBot="1">
      <c r="B666" s="324" t="s">
        <v>2805</v>
      </c>
      <c r="C666" s="325" t="s">
        <v>2806</v>
      </c>
      <c r="D666" s="326" t="s">
        <v>1160</v>
      </c>
      <c r="E666" s="327">
        <f>IF(B666&lt;&gt;"",SUMIF('AUX-NIV1'!I:I,'AUX-NIV2'!B666,'AUX-NIV1'!Q:Q),"")</f>
        <v>0</v>
      </c>
      <c r="F666" s="327">
        <f t="shared" si="290"/>
        <v>1101.9330410897853</v>
      </c>
      <c r="G666" s="327">
        <f t="shared" si="291"/>
        <v>0</v>
      </c>
      <c r="H666" s="328" t="str">
        <f t="shared" si="311"/>
        <v>X</v>
      </c>
      <c r="I666" s="325" t="s">
        <v>2797</v>
      </c>
      <c r="J666" s="329" t="str">
        <f>IF(B666&lt;&gt;"",+VLOOKUP(I666,Recursos!C:F,2,FALSE),"")</f>
        <v>Transporte de Materiales DMT&gt;20 km</v>
      </c>
      <c r="K666" s="330" t="str">
        <f>IF(B666&lt;&gt;"",+VLOOKUP(I666,Recursos!C:F,3,FALSE),"")</f>
        <v>m3s.km</v>
      </c>
      <c r="L666" s="446">
        <f>IF(B666&lt;&gt;"",+VLOOKUP(I666,Recursos!C:F,4,FALSE),"")</f>
        <v>16.0627437751833</v>
      </c>
      <c r="M666" s="452">
        <v>1.5</v>
      </c>
      <c r="N666" s="453">
        <v>0.1</v>
      </c>
      <c r="O666" s="449">
        <f>+M666*(1-N666)</f>
        <v>1.35</v>
      </c>
      <c r="P666" s="333">
        <f t="shared" si="287"/>
        <v>21.684704096497455</v>
      </c>
      <c r="Q666" s="327">
        <f t="shared" si="288"/>
        <v>0</v>
      </c>
      <c r="R666" s="334">
        <f t="shared" si="289"/>
        <v>0</v>
      </c>
      <c r="S666" s="335">
        <f t="shared" si="292"/>
        <v>0</v>
      </c>
      <c r="T666" s="335">
        <f t="shared" si="293"/>
        <v>0</v>
      </c>
      <c r="U666" s="336">
        <f t="shared" si="294"/>
        <v>875</v>
      </c>
      <c r="V666" s="336">
        <f t="shared" si="295"/>
        <v>0</v>
      </c>
      <c r="W666" s="336">
        <f t="shared" si="296"/>
        <v>125</v>
      </c>
      <c r="X666" s="336">
        <f t="shared" si="297"/>
        <v>101.93304108978552</v>
      </c>
      <c r="Y666" s="320"/>
      <c r="Z666" s="321" t="str">
        <f t="shared" si="301"/>
        <v>X-APSA</v>
      </c>
      <c r="AA666" s="321" t="str">
        <f t="shared" si="302"/>
        <v>X-APSE</v>
      </c>
      <c r="AB666" s="321" t="str">
        <f t="shared" si="303"/>
        <v>X-APSM</v>
      </c>
      <c r="AC666" s="321" t="str">
        <f t="shared" si="304"/>
        <v>X-APST</v>
      </c>
      <c r="AD666" s="321" t="str">
        <f t="shared" si="305"/>
        <v>X-APSS</v>
      </c>
      <c r="AE666" s="321" t="str">
        <f t="shared" si="306"/>
        <v>X-APSX</v>
      </c>
      <c r="AF666" s="321" t="str">
        <f t="shared" si="307"/>
        <v>X-APSX</v>
      </c>
      <c r="AG666" s="321">
        <f t="shared" si="298"/>
        <v>5</v>
      </c>
      <c r="AH666" s="321">
        <f>IF(B666&lt;&gt;"",IF(H666="x",VLOOKUP(I666,'AUX-NIV3'!B:AG,32,FALSE),0),"")</f>
        <v>2</v>
      </c>
      <c r="AI666" s="321" t="str">
        <f t="shared" si="308"/>
        <v>X-APS</v>
      </c>
      <c r="AJ666" s="320"/>
      <c r="AK666" s="322">
        <f t="shared" si="299"/>
        <v>664</v>
      </c>
      <c r="AL666" s="323">
        <f t="shared" si="309"/>
        <v>668</v>
      </c>
      <c r="AM666" s="322">
        <f t="shared" si="310"/>
        <v>3</v>
      </c>
      <c r="AN666" s="380">
        <f>IF(AND(AH666&gt;0,B666&lt;&gt;""),VLOOKUP(I666,'AUX-NIV3'!$B:$AO,39,FALSE)*O666,0)</f>
        <v>6.1479336734693892E-3</v>
      </c>
      <c r="AO666" s="380">
        <f t="shared" si="300"/>
        <v>5.6831037414965986E-2</v>
      </c>
      <c r="AP666" s="380"/>
    </row>
    <row r="667" spans="2:42" ht="14.4" hidden="1" thickTop="1" thickBot="1">
      <c r="B667" s="324" t="s">
        <v>2805</v>
      </c>
      <c r="C667" s="325" t="s">
        <v>2806</v>
      </c>
      <c r="D667" s="326" t="s">
        <v>1160</v>
      </c>
      <c r="E667" s="327">
        <f>IF(B667&lt;&gt;"",SUMIF('AUX-NIV1'!I:I,'AUX-NIV2'!B667,'AUX-NIV1'!Q:Q),"")</f>
        <v>0</v>
      </c>
      <c r="F667" s="327">
        <f t="shared" si="290"/>
        <v>1101.9330410897853</v>
      </c>
      <c r="G667" s="327">
        <f t="shared" si="291"/>
        <v>0</v>
      </c>
      <c r="H667" s="328" t="str">
        <f t="shared" si="311"/>
        <v>X</v>
      </c>
      <c r="I667" s="325" t="s">
        <v>2756</v>
      </c>
      <c r="J667" s="329" t="str">
        <f>IF(B667&lt;&gt;"",+VLOOKUP(I667,Recursos!C:F,2,FALSE),"")</f>
        <v>Explotación préstamo con Retro</v>
      </c>
      <c r="K667" s="330" t="str">
        <f>IF(B667&lt;&gt;"",+VLOOKUP(I667,Recursos!C:F,3,FALSE),"")</f>
        <v>m3</v>
      </c>
      <c r="L667" s="446">
        <f>IF(B667&lt;&gt;"",+VLOOKUP(I667,Recursos!C:F,4,FALSE),"")</f>
        <v>62.271140341608451</v>
      </c>
      <c r="M667" s="454">
        <f>+M664</f>
        <v>1.25</v>
      </c>
      <c r="N667" s="453"/>
      <c r="O667" s="449">
        <f>+M667</f>
        <v>1.25</v>
      </c>
      <c r="P667" s="333">
        <f t="shared" si="287"/>
        <v>77.838925427010565</v>
      </c>
      <c r="Q667" s="327">
        <f t="shared" si="288"/>
        <v>0</v>
      </c>
      <c r="R667" s="334">
        <f t="shared" si="289"/>
        <v>0</v>
      </c>
      <c r="S667" s="335">
        <f t="shared" si="292"/>
        <v>0</v>
      </c>
      <c r="T667" s="335">
        <f t="shared" si="293"/>
        <v>0</v>
      </c>
      <c r="U667" s="336">
        <f t="shared" si="294"/>
        <v>875</v>
      </c>
      <c r="V667" s="336">
        <f t="shared" si="295"/>
        <v>0</v>
      </c>
      <c r="W667" s="336">
        <f t="shared" si="296"/>
        <v>125</v>
      </c>
      <c r="X667" s="336">
        <f t="shared" si="297"/>
        <v>101.93304108978552</v>
      </c>
      <c r="Y667" s="320"/>
      <c r="Z667" s="321" t="str">
        <f t="shared" si="301"/>
        <v>X-APSA</v>
      </c>
      <c r="AA667" s="321" t="str">
        <f t="shared" si="302"/>
        <v>X-APSE</v>
      </c>
      <c r="AB667" s="321" t="str">
        <f t="shared" si="303"/>
        <v>X-APSM</v>
      </c>
      <c r="AC667" s="321" t="str">
        <f t="shared" si="304"/>
        <v>X-APST</v>
      </c>
      <c r="AD667" s="321" t="str">
        <f t="shared" si="305"/>
        <v>X-APSS</v>
      </c>
      <c r="AE667" s="321" t="str">
        <f t="shared" si="306"/>
        <v>X-APSX</v>
      </c>
      <c r="AF667" s="321" t="str">
        <f t="shared" si="307"/>
        <v>X-APSX</v>
      </c>
      <c r="AG667" s="321">
        <f t="shared" si="298"/>
        <v>5</v>
      </c>
      <c r="AH667" s="321">
        <f>IF(B667&lt;&gt;"",IF(H667="x",VLOOKUP(I667,'AUX-NIV3'!B:AG,32,FALSE),0),"")</f>
        <v>4</v>
      </c>
      <c r="AI667" s="321" t="str">
        <f t="shared" si="308"/>
        <v>X-APS</v>
      </c>
      <c r="AJ667" s="320"/>
      <c r="AK667" s="322">
        <f t="shared" si="299"/>
        <v>664</v>
      </c>
      <c r="AL667" s="323">
        <f t="shared" si="309"/>
        <v>668</v>
      </c>
      <c r="AM667" s="322">
        <f t="shared" si="310"/>
        <v>4</v>
      </c>
      <c r="AN667" s="380">
        <f>IF(AND(AH667&gt;0,B667&lt;&gt;""),VLOOKUP(I667,'AUX-NIV3'!$B:$AO,39,FALSE)*O667,0)</f>
        <v>0.05</v>
      </c>
      <c r="AO667" s="380">
        <f t="shared" si="300"/>
        <v>5.6831037414965986E-2</v>
      </c>
      <c r="AP667" s="380"/>
    </row>
    <row r="668" spans="2:42" ht="14.4" hidden="1" thickTop="1" thickBot="1">
      <c r="B668" s="324" t="s">
        <v>2805</v>
      </c>
      <c r="C668" s="325" t="s">
        <v>2806</v>
      </c>
      <c r="D668" s="326" t="s">
        <v>1160</v>
      </c>
      <c r="E668" s="327">
        <f>IF(B668&lt;&gt;"",SUMIF('AUX-NIV1'!I:I,'AUX-NIV2'!B668,'AUX-NIV1'!Q:Q),"")</f>
        <v>0</v>
      </c>
      <c r="F668" s="327">
        <f t="shared" si="290"/>
        <v>1101.9330410897853</v>
      </c>
      <c r="G668" s="327">
        <f t="shared" si="291"/>
        <v>0</v>
      </c>
      <c r="H668" s="328" t="str">
        <f t="shared" si="311"/>
        <v>X</v>
      </c>
      <c r="I668" s="325" t="s">
        <v>2797</v>
      </c>
      <c r="J668" s="329" t="str">
        <f>IF(B668&lt;&gt;"",+VLOOKUP(I668,Recursos!C:F,2,FALSE),"")</f>
        <v>Transporte de Materiales DMT&gt;20 km</v>
      </c>
      <c r="K668" s="330" t="str">
        <f>IF(B668&lt;&gt;"",+VLOOKUP(I668,Recursos!C:F,3,FALSE),"")</f>
        <v>m3s.km</v>
      </c>
      <c r="L668" s="446">
        <f>IF(B668&lt;&gt;"",+VLOOKUP(I668,Recursos!C:F,4,FALSE),"")</f>
        <v>16.0627437751833</v>
      </c>
      <c r="M668" s="456">
        <f>+M666</f>
        <v>1.5</v>
      </c>
      <c r="N668" s="507">
        <f>+N666</f>
        <v>0.1</v>
      </c>
      <c r="O668" s="449">
        <f>+M668*N668</f>
        <v>0.15000000000000002</v>
      </c>
      <c r="P668" s="333">
        <f t="shared" si="287"/>
        <v>2.4094115662774955</v>
      </c>
      <c r="Q668" s="327">
        <f t="shared" si="288"/>
        <v>0</v>
      </c>
      <c r="R668" s="334">
        <f t="shared" si="289"/>
        <v>0</v>
      </c>
      <c r="S668" s="335">
        <f t="shared" si="292"/>
        <v>0</v>
      </c>
      <c r="T668" s="335">
        <f t="shared" si="293"/>
        <v>0</v>
      </c>
      <c r="U668" s="336">
        <f t="shared" si="294"/>
        <v>875</v>
      </c>
      <c r="V668" s="336">
        <f t="shared" si="295"/>
        <v>0</v>
      </c>
      <c r="W668" s="336">
        <f t="shared" si="296"/>
        <v>125</v>
      </c>
      <c r="X668" s="336">
        <f t="shared" si="297"/>
        <v>101.93304108978552</v>
      </c>
      <c r="Y668" s="320"/>
      <c r="Z668" s="321" t="str">
        <f t="shared" si="301"/>
        <v>X-APSA</v>
      </c>
      <c r="AA668" s="321" t="str">
        <f t="shared" si="302"/>
        <v>X-APSE</v>
      </c>
      <c r="AB668" s="321" t="str">
        <f t="shared" si="303"/>
        <v>X-APSM</v>
      </c>
      <c r="AC668" s="321" t="str">
        <f t="shared" si="304"/>
        <v>X-APST</v>
      </c>
      <c r="AD668" s="321" t="str">
        <f t="shared" si="305"/>
        <v>X-APSS</v>
      </c>
      <c r="AE668" s="321" t="str">
        <f t="shared" si="306"/>
        <v>X-APSX</v>
      </c>
      <c r="AF668" s="321" t="str">
        <f t="shared" si="307"/>
        <v>X-APSX</v>
      </c>
      <c r="AG668" s="321">
        <f t="shared" si="298"/>
        <v>5</v>
      </c>
      <c r="AH668" s="321">
        <f>IF(B668&lt;&gt;"",IF(H668="x",VLOOKUP(I668,'AUX-NIV3'!B:AG,32,FALSE),0),"")</f>
        <v>2</v>
      </c>
      <c r="AI668" s="321" t="str">
        <f t="shared" si="308"/>
        <v>X-APS</v>
      </c>
      <c r="AJ668" s="320"/>
      <c r="AK668" s="322">
        <f t="shared" si="299"/>
        <v>664</v>
      </c>
      <c r="AL668" s="323">
        <f t="shared" si="309"/>
        <v>668</v>
      </c>
      <c r="AM668" s="322">
        <f t="shared" si="310"/>
        <v>5</v>
      </c>
      <c r="AN668" s="380">
        <f>IF(AND(AH668&gt;0,B668&lt;&gt;""),VLOOKUP(I668,'AUX-NIV3'!$B:$AO,39,FALSE)*O668,0)</f>
        <v>6.8310374149659883E-4</v>
      </c>
      <c r="AO668" s="380">
        <f t="shared" si="300"/>
        <v>5.6831037414965986E-2</v>
      </c>
      <c r="AP668" s="380"/>
    </row>
    <row r="669" spans="2:42" ht="14.4" hidden="1" thickTop="1" thickBot="1">
      <c r="B669" s="324" t="s">
        <v>2807</v>
      </c>
      <c r="C669" s="325" t="s">
        <v>2808</v>
      </c>
      <c r="D669" s="326" t="s">
        <v>1411</v>
      </c>
      <c r="E669" s="327">
        <f>IF(B669&lt;&gt;"",SUMIF('AUX-NIV1'!I:I,'AUX-NIV2'!B669,'AUX-NIV1'!Q:Q),"")</f>
        <v>0</v>
      </c>
      <c r="F669" s="327">
        <f t="shared" si="290"/>
        <v>60.559813114153684</v>
      </c>
      <c r="G669" s="327">
        <f t="shared" si="291"/>
        <v>0</v>
      </c>
      <c r="H669" s="328" t="str">
        <f t="shared" si="311"/>
        <v>A</v>
      </c>
      <c r="I669" s="325" t="s">
        <v>1745</v>
      </c>
      <c r="J669" s="329" t="str">
        <f>IF(B669&lt;&gt;"",+VLOOKUP(I669,Recursos!C:F,2,FALSE),"")</f>
        <v>AYUDANTE</v>
      </c>
      <c r="K669" s="330" t="str">
        <f>IF(B669&lt;&gt;"",+VLOOKUP(I669,Recursos!C:F,3,FALSE),"")</f>
        <v>hh</v>
      </c>
      <c r="L669" s="446">
        <f>IF(B669&lt;&gt;"",+VLOOKUP(I669,Recursos!C:F,4,FALSE),"")</f>
        <v>422.48042769667234</v>
      </c>
      <c r="M669" s="454">
        <f t="shared" ref="M669:M675" si="312">+M670</f>
        <v>150</v>
      </c>
      <c r="N669" s="448">
        <v>2</v>
      </c>
      <c r="O669" s="449">
        <f>+N670/M669*N669</f>
        <v>1.6666666666666666E-2</v>
      </c>
      <c r="P669" s="333">
        <f t="shared" si="287"/>
        <v>7.0413404616112052</v>
      </c>
      <c r="Q669" s="327">
        <f t="shared" si="288"/>
        <v>0</v>
      </c>
      <c r="R669" s="334">
        <f t="shared" si="289"/>
        <v>0</v>
      </c>
      <c r="S669" s="335">
        <f t="shared" si="292"/>
        <v>21.56787058082034</v>
      </c>
      <c r="T669" s="335">
        <f t="shared" si="293"/>
        <v>38.991912533333341</v>
      </c>
      <c r="U669" s="336">
        <f t="shared" si="294"/>
        <v>2.9999999999999997E-5</v>
      </c>
      <c r="V669" s="336">
        <f t="shared" si="295"/>
        <v>0</v>
      </c>
      <c r="W669" s="336">
        <f t="shared" si="296"/>
        <v>0</v>
      </c>
      <c r="X669" s="336">
        <f t="shared" si="297"/>
        <v>0</v>
      </c>
      <c r="Y669" s="320"/>
      <c r="Z669" s="321" t="str">
        <f t="shared" si="301"/>
        <v>X-MEPA</v>
      </c>
      <c r="AA669" s="321" t="str">
        <f t="shared" si="302"/>
        <v>X-MEPE</v>
      </c>
      <c r="AB669" s="321" t="str">
        <f t="shared" si="303"/>
        <v>X-MEPM</v>
      </c>
      <c r="AC669" s="321" t="str">
        <f t="shared" si="304"/>
        <v>X-MEPT</v>
      </c>
      <c r="AD669" s="321" t="str">
        <f t="shared" si="305"/>
        <v>X-MEPS</v>
      </c>
      <c r="AE669" s="321" t="str">
        <f t="shared" si="306"/>
        <v>X-MEPX</v>
      </c>
      <c r="AF669" s="321" t="str">
        <f t="shared" si="307"/>
        <v>X-MEPA</v>
      </c>
      <c r="AG669" s="321">
        <f t="shared" si="298"/>
        <v>9</v>
      </c>
      <c r="AH669" s="321">
        <f>IF(B669&lt;&gt;"",IF(H669="x",VLOOKUP(I669,'AUX-NIV3'!B:AG,32,FALSE),0),"")</f>
        <v>0</v>
      </c>
      <c r="AI669" s="321" t="str">
        <f t="shared" si="308"/>
        <v>X-MEP</v>
      </c>
      <c r="AJ669" s="320"/>
      <c r="AK669" s="322">
        <f t="shared" si="299"/>
        <v>669</v>
      </c>
      <c r="AL669" s="323">
        <f t="shared" si="309"/>
        <v>677</v>
      </c>
      <c r="AM669" s="322">
        <f t="shared" si="310"/>
        <v>1</v>
      </c>
      <c r="AN669" s="380">
        <f>IF(AND(AH669&gt;0,B669&lt;&gt;""),VLOOKUP(I669,'AUX-NIV3'!$B:$AO,39,FALSE)*O669,0)</f>
        <v>0</v>
      </c>
      <c r="AO669" s="380">
        <f t="shared" si="300"/>
        <v>4.1666666666666664E-2</v>
      </c>
      <c r="AP669" s="380"/>
    </row>
    <row r="670" spans="2:42" ht="14.4" hidden="1" thickTop="1" thickBot="1">
      <c r="B670" s="324" t="s">
        <v>2807</v>
      </c>
      <c r="C670" s="325" t="s">
        <v>2808</v>
      </c>
      <c r="D670" s="326" t="s">
        <v>1411</v>
      </c>
      <c r="E670" s="327">
        <f>IF(B670&lt;&gt;"",SUMIF('AUX-NIV1'!I:I,'AUX-NIV2'!B670,'AUX-NIV1'!Q:Q),"")</f>
        <v>0</v>
      </c>
      <c r="F670" s="327">
        <f t="shared" si="290"/>
        <v>60.559813114153684</v>
      </c>
      <c r="G670" s="327">
        <f t="shared" si="291"/>
        <v>0</v>
      </c>
      <c r="H670" s="328" t="str">
        <f t="shared" si="311"/>
        <v>A</v>
      </c>
      <c r="I670" s="325" t="s">
        <v>3310</v>
      </c>
      <c r="J670" s="329" t="str">
        <f>IF(B670&lt;&gt;"",+VLOOKUP(I670,Recursos!C:F,2,FALSE),"")</f>
        <v>OFICIAL ESPECIALIZADO</v>
      </c>
      <c r="K670" s="330" t="str">
        <f>IF(B670&lt;&gt;"",+VLOOKUP(I670,Recursos!C:F,3,FALSE),"")</f>
        <v>hh</v>
      </c>
      <c r="L670" s="446">
        <f>IF(B670&lt;&gt;"",+VLOOKUP(I670,Recursos!C:F,4,FALSE),"")</f>
        <v>581.06120476836554</v>
      </c>
      <c r="M670" s="454">
        <f t="shared" si="312"/>
        <v>150</v>
      </c>
      <c r="N670" s="455">
        <f>+N671</f>
        <v>1.25</v>
      </c>
      <c r="O670" s="449">
        <f t="shared" ref="O670:O676" si="313">+N670/M670</f>
        <v>8.3333333333333332E-3</v>
      </c>
      <c r="P670" s="333">
        <f t="shared" si="287"/>
        <v>4.8421767064030465</v>
      </c>
      <c r="Q670" s="327">
        <f t="shared" si="288"/>
        <v>0</v>
      </c>
      <c r="R670" s="334">
        <f t="shared" si="289"/>
        <v>0</v>
      </c>
      <c r="S670" s="335">
        <f t="shared" si="292"/>
        <v>21.56787058082034</v>
      </c>
      <c r="T670" s="335">
        <f t="shared" si="293"/>
        <v>38.991912533333341</v>
      </c>
      <c r="U670" s="336">
        <f t="shared" si="294"/>
        <v>2.9999999999999997E-5</v>
      </c>
      <c r="V670" s="336">
        <f t="shared" si="295"/>
        <v>0</v>
      </c>
      <c r="W670" s="336">
        <f t="shared" si="296"/>
        <v>0</v>
      </c>
      <c r="X670" s="336">
        <f t="shared" si="297"/>
        <v>0</v>
      </c>
      <c r="Y670" s="320"/>
      <c r="Z670" s="321" t="str">
        <f t="shared" si="301"/>
        <v>X-MEPA</v>
      </c>
      <c r="AA670" s="321" t="str">
        <f t="shared" si="302"/>
        <v>X-MEPE</v>
      </c>
      <c r="AB670" s="321" t="str">
        <f t="shared" si="303"/>
        <v>X-MEPM</v>
      </c>
      <c r="AC670" s="321" t="str">
        <f t="shared" si="304"/>
        <v>X-MEPT</v>
      </c>
      <c r="AD670" s="321" t="str">
        <f t="shared" si="305"/>
        <v>X-MEPS</v>
      </c>
      <c r="AE670" s="321" t="str">
        <f t="shared" si="306"/>
        <v>X-MEPX</v>
      </c>
      <c r="AF670" s="321" t="str">
        <f t="shared" si="307"/>
        <v>X-MEPA</v>
      </c>
      <c r="AG670" s="321">
        <f t="shared" si="298"/>
        <v>9</v>
      </c>
      <c r="AH670" s="321">
        <f>IF(B670&lt;&gt;"",IF(H670="x",VLOOKUP(I670,'AUX-NIV3'!B:AG,32,FALSE),0),"")</f>
        <v>0</v>
      </c>
      <c r="AI670" s="321" t="str">
        <f t="shared" si="308"/>
        <v>X-MEP</v>
      </c>
      <c r="AJ670" s="320"/>
      <c r="AK670" s="322">
        <f t="shared" si="299"/>
        <v>669</v>
      </c>
      <c r="AL670" s="323">
        <f t="shared" si="309"/>
        <v>677</v>
      </c>
      <c r="AM670" s="322">
        <f t="shared" si="310"/>
        <v>2</v>
      </c>
      <c r="AN670" s="380">
        <f>IF(AND(AH670&gt;0,B670&lt;&gt;""),VLOOKUP(I670,'AUX-NIV3'!$B:$AO,39,FALSE)*O670,0)</f>
        <v>0</v>
      </c>
      <c r="AO670" s="380">
        <f t="shared" si="300"/>
        <v>4.1666666666666664E-2</v>
      </c>
      <c r="AP670" s="380"/>
    </row>
    <row r="671" spans="2:42" ht="14.4" hidden="1" thickTop="1" thickBot="1">
      <c r="B671" s="324" t="s">
        <v>2807</v>
      </c>
      <c r="C671" s="325" t="s">
        <v>2808</v>
      </c>
      <c r="D671" s="326" t="s">
        <v>1411</v>
      </c>
      <c r="E671" s="327">
        <f>IF(B671&lt;&gt;"",SUMIF('AUX-NIV1'!I:I,'AUX-NIV2'!B671,'AUX-NIV1'!Q:Q),"")</f>
        <v>0</v>
      </c>
      <c r="F671" s="327">
        <f t="shared" si="290"/>
        <v>60.559813114153684</v>
      </c>
      <c r="G671" s="327">
        <f t="shared" si="291"/>
        <v>0</v>
      </c>
      <c r="H671" s="328" t="str">
        <f t="shared" si="311"/>
        <v>A</v>
      </c>
      <c r="I671" s="325" t="s">
        <v>3310</v>
      </c>
      <c r="J671" s="329" t="str">
        <f>IF(B671&lt;&gt;"",+VLOOKUP(I671,Recursos!C:F,2,FALSE),"")</f>
        <v>OFICIAL ESPECIALIZADO</v>
      </c>
      <c r="K671" s="330" t="str">
        <f>IF(B671&lt;&gt;"",+VLOOKUP(I671,Recursos!C:F,3,FALSE),"")</f>
        <v>hh</v>
      </c>
      <c r="L671" s="446">
        <f>IF(B671&lt;&gt;"",+VLOOKUP(I671,Recursos!C:F,4,FALSE),"")</f>
        <v>581.06120476836554</v>
      </c>
      <c r="M671" s="454">
        <f t="shared" si="312"/>
        <v>150</v>
      </c>
      <c r="N671" s="455">
        <f>+N672</f>
        <v>1.25</v>
      </c>
      <c r="O671" s="449">
        <f t="shared" si="313"/>
        <v>8.3333333333333332E-3</v>
      </c>
      <c r="P671" s="333">
        <f t="shared" si="287"/>
        <v>4.8421767064030465</v>
      </c>
      <c r="Q671" s="327">
        <f t="shared" si="288"/>
        <v>0</v>
      </c>
      <c r="R671" s="334">
        <f t="shared" si="289"/>
        <v>0</v>
      </c>
      <c r="S671" s="335">
        <f t="shared" si="292"/>
        <v>21.56787058082034</v>
      </c>
      <c r="T671" s="335">
        <f t="shared" si="293"/>
        <v>38.991912533333341</v>
      </c>
      <c r="U671" s="336">
        <f t="shared" si="294"/>
        <v>2.9999999999999997E-5</v>
      </c>
      <c r="V671" s="336">
        <f t="shared" si="295"/>
        <v>0</v>
      </c>
      <c r="W671" s="336">
        <f t="shared" si="296"/>
        <v>0</v>
      </c>
      <c r="X671" s="336">
        <f t="shared" si="297"/>
        <v>0</v>
      </c>
      <c r="Y671" s="320"/>
      <c r="Z671" s="321" t="str">
        <f t="shared" si="301"/>
        <v>X-MEPA</v>
      </c>
      <c r="AA671" s="321" t="str">
        <f t="shared" si="302"/>
        <v>X-MEPE</v>
      </c>
      <c r="AB671" s="321" t="str">
        <f t="shared" si="303"/>
        <v>X-MEPM</v>
      </c>
      <c r="AC671" s="321" t="str">
        <f t="shared" si="304"/>
        <v>X-MEPT</v>
      </c>
      <c r="AD671" s="321" t="str">
        <f t="shared" si="305"/>
        <v>X-MEPS</v>
      </c>
      <c r="AE671" s="321" t="str">
        <f t="shared" si="306"/>
        <v>X-MEPX</v>
      </c>
      <c r="AF671" s="321" t="str">
        <f t="shared" si="307"/>
        <v>X-MEPA</v>
      </c>
      <c r="AG671" s="321">
        <f t="shared" si="298"/>
        <v>9</v>
      </c>
      <c r="AH671" s="321">
        <f>IF(B671&lt;&gt;"",IF(H671="x",VLOOKUP(I671,'AUX-NIV3'!B:AG,32,FALSE),0),"")</f>
        <v>0</v>
      </c>
      <c r="AI671" s="321" t="str">
        <f t="shared" si="308"/>
        <v>X-MEP</v>
      </c>
      <c r="AJ671" s="320"/>
      <c r="AK671" s="322">
        <f t="shared" si="299"/>
        <v>669</v>
      </c>
      <c r="AL671" s="323">
        <f t="shared" si="309"/>
        <v>677</v>
      </c>
      <c r="AM671" s="322">
        <f t="shared" si="310"/>
        <v>3</v>
      </c>
      <c r="AN671" s="380">
        <f>IF(AND(AH671&gt;0,B671&lt;&gt;""),VLOOKUP(I671,'AUX-NIV3'!$B:$AO,39,FALSE)*O671,0)</f>
        <v>0</v>
      </c>
      <c r="AO671" s="380">
        <f t="shared" si="300"/>
        <v>4.1666666666666664E-2</v>
      </c>
      <c r="AP671" s="380"/>
    </row>
    <row r="672" spans="2:42" ht="14.4" hidden="1" thickTop="1" thickBot="1">
      <c r="B672" s="324" t="s">
        <v>2807</v>
      </c>
      <c r="C672" s="325" t="s">
        <v>2808</v>
      </c>
      <c r="D672" s="326" t="s">
        <v>1411</v>
      </c>
      <c r="E672" s="327">
        <f>IF(B672&lt;&gt;"",SUMIF('AUX-NIV1'!I:I,'AUX-NIV2'!B672,'AUX-NIV1'!Q:Q),"")</f>
        <v>0</v>
      </c>
      <c r="F672" s="327">
        <f t="shared" si="290"/>
        <v>60.559813114153684</v>
      </c>
      <c r="G672" s="327">
        <f t="shared" si="291"/>
        <v>0</v>
      </c>
      <c r="H672" s="328" t="str">
        <f t="shared" si="311"/>
        <v>A</v>
      </c>
      <c r="I672" s="325" t="s">
        <v>3310</v>
      </c>
      <c r="J672" s="329" t="str">
        <f>IF(B672&lt;&gt;"",+VLOOKUP(I672,Recursos!C:F,2,FALSE),"")</f>
        <v>OFICIAL ESPECIALIZADO</v>
      </c>
      <c r="K672" s="330" t="str">
        <f>IF(B672&lt;&gt;"",+VLOOKUP(I672,Recursos!C:F,3,FALSE),"")</f>
        <v>hh</v>
      </c>
      <c r="L672" s="446">
        <f>IF(B672&lt;&gt;"",+VLOOKUP(I672,Recursos!C:F,4,FALSE),"")</f>
        <v>581.06120476836554</v>
      </c>
      <c r="M672" s="454">
        <f t="shared" si="312"/>
        <v>150</v>
      </c>
      <c r="N672" s="453">
        <v>1.25</v>
      </c>
      <c r="O672" s="449">
        <f t="shared" si="313"/>
        <v>8.3333333333333332E-3</v>
      </c>
      <c r="P672" s="333">
        <f t="shared" si="287"/>
        <v>4.8421767064030465</v>
      </c>
      <c r="Q672" s="327">
        <f t="shared" si="288"/>
        <v>0</v>
      </c>
      <c r="R672" s="334">
        <f t="shared" si="289"/>
        <v>0</v>
      </c>
      <c r="S672" s="335">
        <f t="shared" si="292"/>
        <v>21.56787058082034</v>
      </c>
      <c r="T672" s="335">
        <f t="shared" si="293"/>
        <v>38.991912533333341</v>
      </c>
      <c r="U672" s="336">
        <f t="shared" si="294"/>
        <v>2.9999999999999997E-5</v>
      </c>
      <c r="V672" s="336">
        <f t="shared" si="295"/>
        <v>0</v>
      </c>
      <c r="W672" s="336">
        <f t="shared" si="296"/>
        <v>0</v>
      </c>
      <c r="X672" s="336">
        <f t="shared" si="297"/>
        <v>0</v>
      </c>
      <c r="Y672" s="320"/>
      <c r="Z672" s="321" t="str">
        <f t="shared" si="301"/>
        <v>X-MEPA</v>
      </c>
      <c r="AA672" s="321" t="str">
        <f t="shared" si="302"/>
        <v>X-MEPE</v>
      </c>
      <c r="AB672" s="321" t="str">
        <f t="shared" si="303"/>
        <v>X-MEPM</v>
      </c>
      <c r="AC672" s="321" t="str">
        <f t="shared" si="304"/>
        <v>X-MEPT</v>
      </c>
      <c r="AD672" s="321" t="str">
        <f t="shared" si="305"/>
        <v>X-MEPS</v>
      </c>
      <c r="AE672" s="321" t="str">
        <f t="shared" si="306"/>
        <v>X-MEPX</v>
      </c>
      <c r="AF672" s="321" t="str">
        <f t="shared" si="307"/>
        <v>X-MEPA</v>
      </c>
      <c r="AG672" s="321">
        <f t="shared" si="298"/>
        <v>9</v>
      </c>
      <c r="AH672" s="321">
        <f>IF(B672&lt;&gt;"",IF(H672="x",VLOOKUP(I672,'AUX-NIV3'!B:AG,32,FALSE),0),"")</f>
        <v>0</v>
      </c>
      <c r="AI672" s="321" t="str">
        <f t="shared" si="308"/>
        <v>X-MEP</v>
      </c>
      <c r="AJ672" s="320"/>
      <c r="AK672" s="322">
        <f t="shared" si="299"/>
        <v>669</v>
      </c>
      <c r="AL672" s="323">
        <f t="shared" si="309"/>
        <v>677</v>
      </c>
      <c r="AM672" s="322">
        <f t="shared" si="310"/>
        <v>4</v>
      </c>
      <c r="AN672" s="380">
        <f>IF(AND(AH672&gt;0,B672&lt;&gt;""),VLOOKUP(I672,'AUX-NIV3'!$B:$AO,39,FALSE)*O672,0)</f>
        <v>0</v>
      </c>
      <c r="AO672" s="380">
        <f t="shared" si="300"/>
        <v>4.1666666666666664E-2</v>
      </c>
      <c r="AP672" s="380"/>
    </row>
    <row r="673" spans="2:42" ht="14.4" hidden="1" thickTop="1" thickBot="1">
      <c r="B673" s="324" t="s">
        <v>2807</v>
      </c>
      <c r="C673" s="325" t="s">
        <v>2808</v>
      </c>
      <c r="D673" s="326" t="s">
        <v>1411</v>
      </c>
      <c r="E673" s="327">
        <f>IF(B673&lt;&gt;"",SUMIF('AUX-NIV1'!I:I,'AUX-NIV2'!B673,'AUX-NIV1'!Q:Q),"")</f>
        <v>0</v>
      </c>
      <c r="F673" s="327">
        <f t="shared" si="290"/>
        <v>60.559813114153684</v>
      </c>
      <c r="G673" s="327">
        <f t="shared" si="291"/>
        <v>0</v>
      </c>
      <c r="H673" s="328" t="str">
        <f t="shared" si="311"/>
        <v>E</v>
      </c>
      <c r="I673" s="325" t="s">
        <v>1657</v>
      </c>
      <c r="J673" s="329" t="str">
        <f>IF(B673&lt;&gt;"",+VLOOKUP(I673,Recursos!C:F,2,FALSE),"")</f>
        <v>CARGADOR FRONTAL S/NEUM. 1,8 m3</v>
      </c>
      <c r="K673" s="330" t="str">
        <f>IF(B673&lt;&gt;"",+VLOOKUP(I673,Recursos!C:F,3,FALSE),"")</f>
        <v>HR</v>
      </c>
      <c r="L673" s="446">
        <f>IF(B673&lt;&gt;"",+VLOOKUP(I673,Recursos!C:F,4,FALSE),"")</f>
        <v>2232.6505999999999</v>
      </c>
      <c r="M673" s="454">
        <f t="shared" si="312"/>
        <v>150</v>
      </c>
      <c r="N673" s="455">
        <f>+N674</f>
        <v>1</v>
      </c>
      <c r="O673" s="449">
        <f t="shared" si="313"/>
        <v>6.6666666666666671E-3</v>
      </c>
      <c r="P673" s="333">
        <f t="shared" si="287"/>
        <v>14.884337333333335</v>
      </c>
      <c r="Q673" s="327">
        <f t="shared" si="288"/>
        <v>0</v>
      </c>
      <c r="R673" s="334">
        <f t="shared" si="289"/>
        <v>0</v>
      </c>
      <c r="S673" s="335">
        <f t="shared" si="292"/>
        <v>21.56787058082034</v>
      </c>
      <c r="T673" s="335">
        <f t="shared" si="293"/>
        <v>38.991912533333341</v>
      </c>
      <c r="U673" s="336">
        <f t="shared" si="294"/>
        <v>2.9999999999999997E-5</v>
      </c>
      <c r="V673" s="336">
        <f t="shared" si="295"/>
        <v>0</v>
      </c>
      <c r="W673" s="336">
        <f t="shared" si="296"/>
        <v>0</v>
      </c>
      <c r="X673" s="336">
        <f t="shared" si="297"/>
        <v>0</v>
      </c>
      <c r="Y673" s="320"/>
      <c r="Z673" s="321" t="str">
        <f t="shared" si="301"/>
        <v>X-MEPA</v>
      </c>
      <c r="AA673" s="321" t="str">
        <f t="shared" si="302"/>
        <v>X-MEPE</v>
      </c>
      <c r="AB673" s="321" t="str">
        <f t="shared" si="303"/>
        <v>X-MEPM</v>
      </c>
      <c r="AC673" s="321" t="str">
        <f t="shared" si="304"/>
        <v>X-MEPT</v>
      </c>
      <c r="AD673" s="321" t="str">
        <f t="shared" si="305"/>
        <v>X-MEPS</v>
      </c>
      <c r="AE673" s="321" t="str">
        <f t="shared" si="306"/>
        <v>X-MEPX</v>
      </c>
      <c r="AF673" s="321" t="str">
        <f t="shared" si="307"/>
        <v>X-MEPE</v>
      </c>
      <c r="AG673" s="321">
        <f t="shared" si="298"/>
        <v>9</v>
      </c>
      <c r="AH673" s="321">
        <f>IF(B673&lt;&gt;"",IF(H673="x",VLOOKUP(I673,'AUX-NIV3'!B:AG,32,FALSE),0),"")</f>
        <v>0</v>
      </c>
      <c r="AI673" s="321" t="str">
        <f t="shared" si="308"/>
        <v>X-MEP</v>
      </c>
      <c r="AJ673" s="320"/>
      <c r="AK673" s="322">
        <f t="shared" si="299"/>
        <v>669</v>
      </c>
      <c r="AL673" s="323">
        <f t="shared" si="309"/>
        <v>677</v>
      </c>
      <c r="AM673" s="322">
        <f t="shared" si="310"/>
        <v>5</v>
      </c>
      <c r="AN673" s="380">
        <f>IF(AND(AH673&gt;0,B673&lt;&gt;""),VLOOKUP(I673,'AUX-NIV3'!$B:$AO,39,FALSE)*O673,0)</f>
        <v>0</v>
      </c>
      <c r="AO673" s="380">
        <f t="shared" si="300"/>
        <v>4.1666666666666664E-2</v>
      </c>
      <c r="AP673" s="380"/>
    </row>
    <row r="674" spans="2:42" ht="14.4" hidden="1" thickTop="1" thickBot="1">
      <c r="B674" s="324" t="s">
        <v>2807</v>
      </c>
      <c r="C674" s="325" t="s">
        <v>2808</v>
      </c>
      <c r="D674" s="326" t="s">
        <v>1411</v>
      </c>
      <c r="E674" s="327">
        <f>IF(B674&lt;&gt;"",SUMIF('AUX-NIV1'!I:I,'AUX-NIV2'!B674,'AUX-NIV1'!Q:Q),"")</f>
        <v>0</v>
      </c>
      <c r="F674" s="327">
        <f t="shared" si="290"/>
        <v>60.559813114153684</v>
      </c>
      <c r="G674" s="327">
        <f t="shared" si="291"/>
        <v>0</v>
      </c>
      <c r="H674" s="328" t="str">
        <f t="shared" si="311"/>
        <v>E</v>
      </c>
      <c r="I674" s="325" t="s">
        <v>1694</v>
      </c>
      <c r="J674" s="329" t="str">
        <f>IF(B674&lt;&gt;"",+VLOOKUP(I674,Recursos!C:F,2,FALSE),"")</f>
        <v>GRUPO ELECTROGENO 150 KVA-120 KW</v>
      </c>
      <c r="K674" s="330" t="str">
        <f>IF(B674&lt;&gt;"",+VLOOKUP(I674,Recursos!C:F,3,FALSE),"")</f>
        <v>HR</v>
      </c>
      <c r="L674" s="446">
        <f>IF(B674&lt;&gt;"",+VLOOKUP(I674,Recursos!C:F,4,FALSE),"")</f>
        <v>2018.8905000000002</v>
      </c>
      <c r="M674" s="454">
        <f t="shared" si="312"/>
        <v>150</v>
      </c>
      <c r="N674" s="455">
        <f>+N675</f>
        <v>1</v>
      </c>
      <c r="O674" s="449">
        <f t="shared" si="313"/>
        <v>6.6666666666666671E-3</v>
      </c>
      <c r="P674" s="333">
        <f t="shared" si="287"/>
        <v>13.459270000000002</v>
      </c>
      <c r="Q674" s="327">
        <f t="shared" si="288"/>
        <v>0</v>
      </c>
      <c r="R674" s="334">
        <f t="shared" si="289"/>
        <v>0</v>
      </c>
      <c r="S674" s="335">
        <f t="shared" si="292"/>
        <v>21.56787058082034</v>
      </c>
      <c r="T674" s="335">
        <f t="shared" si="293"/>
        <v>38.991912533333341</v>
      </c>
      <c r="U674" s="336">
        <f t="shared" si="294"/>
        <v>2.9999999999999997E-5</v>
      </c>
      <c r="V674" s="336">
        <f t="shared" si="295"/>
        <v>0</v>
      </c>
      <c r="W674" s="336">
        <f t="shared" si="296"/>
        <v>0</v>
      </c>
      <c r="X674" s="336">
        <f t="shared" si="297"/>
        <v>0</v>
      </c>
      <c r="Y674" s="320"/>
      <c r="Z674" s="321" t="str">
        <f t="shared" si="301"/>
        <v>X-MEPA</v>
      </c>
      <c r="AA674" s="321" t="str">
        <f t="shared" si="302"/>
        <v>X-MEPE</v>
      </c>
      <c r="AB674" s="321" t="str">
        <f t="shared" si="303"/>
        <v>X-MEPM</v>
      </c>
      <c r="AC674" s="321" t="str">
        <f t="shared" si="304"/>
        <v>X-MEPT</v>
      </c>
      <c r="AD674" s="321" t="str">
        <f t="shared" si="305"/>
        <v>X-MEPS</v>
      </c>
      <c r="AE674" s="321" t="str">
        <f t="shared" si="306"/>
        <v>X-MEPX</v>
      </c>
      <c r="AF674" s="321" t="str">
        <f t="shared" si="307"/>
        <v>X-MEPE</v>
      </c>
      <c r="AG674" s="321">
        <f t="shared" si="298"/>
        <v>9</v>
      </c>
      <c r="AH674" s="321">
        <f>IF(B674&lt;&gt;"",IF(H674="x",VLOOKUP(I674,'AUX-NIV3'!B:AG,32,FALSE),0),"")</f>
        <v>0</v>
      </c>
      <c r="AI674" s="321" t="str">
        <f t="shared" si="308"/>
        <v>X-MEP</v>
      </c>
      <c r="AJ674" s="320"/>
      <c r="AK674" s="322">
        <f t="shared" si="299"/>
        <v>669</v>
      </c>
      <c r="AL674" s="323">
        <f t="shared" si="309"/>
        <v>677</v>
      </c>
      <c r="AM674" s="322">
        <f t="shared" si="310"/>
        <v>6</v>
      </c>
      <c r="AN674" s="380">
        <f>IF(AND(AH674&gt;0,B674&lt;&gt;""),VLOOKUP(I674,'AUX-NIV3'!$B:$AO,39,FALSE)*O674,0)</f>
        <v>0</v>
      </c>
      <c r="AO674" s="380">
        <f t="shared" si="300"/>
        <v>4.1666666666666664E-2</v>
      </c>
      <c r="AP674" s="380"/>
    </row>
    <row r="675" spans="2:42" ht="14.4" hidden="1" thickTop="1" thickBot="1">
      <c r="B675" s="324" t="s">
        <v>2807</v>
      </c>
      <c r="C675" s="325" t="s">
        <v>2808</v>
      </c>
      <c r="D675" s="326" t="s">
        <v>1411</v>
      </c>
      <c r="E675" s="327">
        <f>IF(B675&lt;&gt;"",SUMIF('AUX-NIV1'!I:I,'AUX-NIV2'!B675,'AUX-NIV1'!Q:Q),"")</f>
        <v>0</v>
      </c>
      <c r="F675" s="327">
        <f t="shared" si="290"/>
        <v>60.559813114153684</v>
      </c>
      <c r="G675" s="327">
        <f t="shared" si="291"/>
        <v>0</v>
      </c>
      <c r="H675" s="328" t="str">
        <f t="shared" si="311"/>
        <v>E</v>
      </c>
      <c r="I675" s="325" t="s">
        <v>1600</v>
      </c>
      <c r="J675" s="329" t="str">
        <f>IF(B675&lt;&gt;"",+VLOOKUP(I675,Recursos!C:F,2,FALSE),"")</f>
        <v>ELECTROBOMBA 9 KW</v>
      </c>
      <c r="K675" s="330" t="str">
        <f>IF(B675&lt;&gt;"",+VLOOKUP(I675,Recursos!C:F,3,FALSE),"")</f>
        <v>HR</v>
      </c>
      <c r="L675" s="446">
        <f>IF(B675&lt;&gt;"",+VLOOKUP(I675,Recursos!C:F,4,FALSE),"")</f>
        <v>85.722000000000008</v>
      </c>
      <c r="M675" s="454">
        <f t="shared" si="312"/>
        <v>150</v>
      </c>
      <c r="N675" s="455">
        <f>+N676</f>
        <v>1</v>
      </c>
      <c r="O675" s="449">
        <f t="shared" si="313"/>
        <v>6.6666666666666671E-3</v>
      </c>
      <c r="P675" s="333">
        <f t="shared" si="287"/>
        <v>0.5714800000000001</v>
      </c>
      <c r="Q675" s="327">
        <f t="shared" si="288"/>
        <v>0</v>
      </c>
      <c r="R675" s="334">
        <f t="shared" si="289"/>
        <v>0</v>
      </c>
      <c r="S675" s="335">
        <f t="shared" si="292"/>
        <v>21.56787058082034</v>
      </c>
      <c r="T675" s="335">
        <f t="shared" si="293"/>
        <v>38.991912533333341</v>
      </c>
      <c r="U675" s="336">
        <f t="shared" si="294"/>
        <v>2.9999999999999997E-5</v>
      </c>
      <c r="V675" s="336">
        <f t="shared" si="295"/>
        <v>0</v>
      </c>
      <c r="W675" s="336">
        <f t="shared" si="296"/>
        <v>0</v>
      </c>
      <c r="X675" s="336">
        <f t="shared" si="297"/>
        <v>0</v>
      </c>
      <c r="Y675" s="320"/>
      <c r="Z675" s="321" t="str">
        <f t="shared" si="301"/>
        <v>X-MEPA</v>
      </c>
      <c r="AA675" s="321" t="str">
        <f t="shared" si="302"/>
        <v>X-MEPE</v>
      </c>
      <c r="AB675" s="321" t="str">
        <f t="shared" si="303"/>
        <v>X-MEPM</v>
      </c>
      <c r="AC675" s="321" t="str">
        <f t="shared" si="304"/>
        <v>X-MEPT</v>
      </c>
      <c r="AD675" s="321" t="str">
        <f t="shared" si="305"/>
        <v>X-MEPS</v>
      </c>
      <c r="AE675" s="321" t="str">
        <f t="shared" si="306"/>
        <v>X-MEPX</v>
      </c>
      <c r="AF675" s="321" t="str">
        <f t="shared" si="307"/>
        <v>X-MEPE</v>
      </c>
      <c r="AG675" s="321">
        <f t="shared" si="298"/>
        <v>9</v>
      </c>
      <c r="AH675" s="321">
        <f>IF(B675&lt;&gt;"",IF(H675="x",VLOOKUP(I675,'AUX-NIV3'!B:AG,32,FALSE),0),"")</f>
        <v>0</v>
      </c>
      <c r="AI675" s="321" t="str">
        <f t="shared" si="308"/>
        <v>X-MEP</v>
      </c>
      <c r="AJ675" s="320"/>
      <c r="AK675" s="322">
        <f t="shared" si="299"/>
        <v>669</v>
      </c>
      <c r="AL675" s="323">
        <f t="shared" si="309"/>
        <v>677</v>
      </c>
      <c r="AM675" s="322">
        <f t="shared" si="310"/>
        <v>7</v>
      </c>
      <c r="AN675" s="380">
        <f>IF(AND(AH675&gt;0,B675&lt;&gt;""),VLOOKUP(I675,'AUX-NIV3'!$B:$AO,39,FALSE)*O675,0)</f>
        <v>0</v>
      </c>
      <c r="AO675" s="380">
        <f t="shared" si="300"/>
        <v>4.1666666666666664E-2</v>
      </c>
      <c r="AP675" s="380"/>
    </row>
    <row r="676" spans="2:42" ht="14.4" hidden="1" thickTop="1" thickBot="1">
      <c r="B676" s="324" t="s">
        <v>2807</v>
      </c>
      <c r="C676" s="325" t="s">
        <v>2808</v>
      </c>
      <c r="D676" s="326" t="s">
        <v>1411</v>
      </c>
      <c r="E676" s="327">
        <f>IF(B676&lt;&gt;"",SUMIF('AUX-NIV1'!I:I,'AUX-NIV2'!B676,'AUX-NIV1'!Q:Q),"")</f>
        <v>0</v>
      </c>
      <c r="F676" s="327">
        <f t="shared" si="290"/>
        <v>60.559813114153684</v>
      </c>
      <c r="G676" s="327">
        <f t="shared" si="291"/>
        <v>0</v>
      </c>
      <c r="H676" s="328" t="str">
        <f t="shared" si="311"/>
        <v>E</v>
      </c>
      <c r="I676" s="325" t="s">
        <v>1708</v>
      </c>
      <c r="J676" s="329" t="str">
        <f>IF(B676&lt;&gt;"",+VLOOKUP(I676,Recursos!C:F,2,FALSE),"")</f>
        <v>PLANTA MEZCLAD. AGREGADOS 200 T/h</v>
      </c>
      <c r="K676" s="330" t="str">
        <f>IF(B676&lt;&gt;"",+VLOOKUP(I676,Recursos!C:F,3,FALSE),"")</f>
        <v>HR</v>
      </c>
      <c r="L676" s="446">
        <f>IF(B676&lt;&gt;"",+VLOOKUP(I676,Recursos!C:F,4,FALSE),"")</f>
        <v>1511.52378</v>
      </c>
      <c r="M676" s="452">
        <v>150</v>
      </c>
      <c r="N676" s="453">
        <v>1</v>
      </c>
      <c r="O676" s="449">
        <f t="shared" si="313"/>
        <v>6.6666666666666671E-3</v>
      </c>
      <c r="P676" s="333">
        <f t="shared" si="287"/>
        <v>10.0768252</v>
      </c>
      <c r="Q676" s="327">
        <f t="shared" si="288"/>
        <v>0</v>
      </c>
      <c r="R676" s="334">
        <f t="shared" si="289"/>
        <v>0</v>
      </c>
      <c r="S676" s="335">
        <f t="shared" si="292"/>
        <v>21.56787058082034</v>
      </c>
      <c r="T676" s="335">
        <f t="shared" si="293"/>
        <v>38.991912533333341</v>
      </c>
      <c r="U676" s="336">
        <f t="shared" si="294"/>
        <v>2.9999999999999997E-5</v>
      </c>
      <c r="V676" s="336">
        <f t="shared" si="295"/>
        <v>0</v>
      </c>
      <c r="W676" s="336">
        <f t="shared" si="296"/>
        <v>0</v>
      </c>
      <c r="X676" s="336">
        <f t="shared" si="297"/>
        <v>0</v>
      </c>
      <c r="Y676" s="320"/>
      <c r="Z676" s="321" t="str">
        <f t="shared" si="301"/>
        <v>X-MEPA</v>
      </c>
      <c r="AA676" s="321" t="str">
        <f t="shared" si="302"/>
        <v>X-MEPE</v>
      </c>
      <c r="AB676" s="321" t="str">
        <f t="shared" si="303"/>
        <v>X-MEPM</v>
      </c>
      <c r="AC676" s="321" t="str">
        <f t="shared" si="304"/>
        <v>X-MEPT</v>
      </c>
      <c r="AD676" s="321" t="str">
        <f t="shared" si="305"/>
        <v>X-MEPS</v>
      </c>
      <c r="AE676" s="321" t="str">
        <f t="shared" si="306"/>
        <v>X-MEPX</v>
      </c>
      <c r="AF676" s="321" t="str">
        <f t="shared" si="307"/>
        <v>X-MEPE</v>
      </c>
      <c r="AG676" s="321">
        <f t="shared" si="298"/>
        <v>9</v>
      </c>
      <c r="AH676" s="321">
        <f>IF(B676&lt;&gt;"",IF(H676="x",VLOOKUP(I676,'AUX-NIV3'!B:AG,32,FALSE),0),"")</f>
        <v>0</v>
      </c>
      <c r="AI676" s="321" t="str">
        <f t="shared" si="308"/>
        <v>X-MEP</v>
      </c>
      <c r="AJ676" s="320"/>
      <c r="AK676" s="322">
        <f t="shared" si="299"/>
        <v>669</v>
      </c>
      <c r="AL676" s="323">
        <f t="shared" si="309"/>
        <v>677</v>
      </c>
      <c r="AM676" s="322">
        <f t="shared" si="310"/>
        <v>8</v>
      </c>
      <c r="AN676" s="380">
        <f>IF(AND(AH676&gt;0,B676&lt;&gt;""),VLOOKUP(I676,'AUX-NIV3'!$B:$AO,39,FALSE)*O676,0)</f>
        <v>0</v>
      </c>
      <c r="AO676" s="380">
        <f t="shared" si="300"/>
        <v>4.1666666666666664E-2</v>
      </c>
      <c r="AP676" s="380"/>
    </row>
    <row r="677" spans="2:42" ht="14.4" hidden="1" thickTop="1" thickBot="1">
      <c r="B677" s="324" t="s">
        <v>2807</v>
      </c>
      <c r="C677" s="325" t="s">
        <v>2808</v>
      </c>
      <c r="D677" s="326" t="s">
        <v>1411</v>
      </c>
      <c r="E677" s="327">
        <f>IF(B677&lt;&gt;"",SUMIF('AUX-NIV1'!I:I,'AUX-NIV2'!B677,'AUX-NIV1'!Q:Q),"")</f>
        <v>0</v>
      </c>
      <c r="F677" s="327">
        <f t="shared" si="290"/>
        <v>60.559813114153684</v>
      </c>
      <c r="G677" s="327">
        <f t="shared" si="291"/>
        <v>0</v>
      </c>
      <c r="H677" s="328" t="str">
        <f t="shared" si="311"/>
        <v>M</v>
      </c>
      <c r="I677" s="325" t="s">
        <v>2257</v>
      </c>
      <c r="J677" s="329" t="str">
        <f>IF(B677&lt;&gt;"",+VLOOKUP(I677,Recursos!C:F,2,FALSE),"")</f>
        <v>TANQUE AUSTRALIANO</v>
      </c>
      <c r="K677" s="330" t="str">
        <f>IF(B677&lt;&gt;"",+VLOOKUP(I677,Recursos!C:F,3,FALSE),"")</f>
        <v>Gl/100</v>
      </c>
      <c r="L677" s="446">
        <f>IF(B677&lt;&gt;"",+VLOOKUP(I677,Recursos!C:F,4,FALSE),"")</f>
        <v>300</v>
      </c>
      <c r="M677" s="464">
        <v>0.01</v>
      </c>
      <c r="N677" s="506">
        <v>100000</v>
      </c>
      <c r="O677" s="449">
        <f>+M677/N677</f>
        <v>9.9999999999999995E-8</v>
      </c>
      <c r="P677" s="333">
        <f t="shared" si="287"/>
        <v>2.9999999999999997E-5</v>
      </c>
      <c r="Q677" s="327">
        <f t="shared" si="288"/>
        <v>0</v>
      </c>
      <c r="R677" s="334">
        <f t="shared" si="289"/>
        <v>0</v>
      </c>
      <c r="S677" s="335">
        <f t="shared" si="292"/>
        <v>21.56787058082034</v>
      </c>
      <c r="T677" s="335">
        <f t="shared" si="293"/>
        <v>38.991912533333341</v>
      </c>
      <c r="U677" s="336">
        <f t="shared" si="294"/>
        <v>2.9999999999999997E-5</v>
      </c>
      <c r="V677" s="336">
        <f t="shared" si="295"/>
        <v>0</v>
      </c>
      <c r="W677" s="336">
        <f t="shared" si="296"/>
        <v>0</v>
      </c>
      <c r="X677" s="336">
        <f t="shared" si="297"/>
        <v>0</v>
      </c>
      <c r="Y677" s="320"/>
      <c r="Z677" s="321" t="str">
        <f t="shared" si="301"/>
        <v>X-MEPA</v>
      </c>
      <c r="AA677" s="321" t="str">
        <f t="shared" si="302"/>
        <v>X-MEPE</v>
      </c>
      <c r="AB677" s="321" t="str">
        <f t="shared" si="303"/>
        <v>X-MEPM</v>
      </c>
      <c r="AC677" s="321" t="str">
        <f t="shared" si="304"/>
        <v>X-MEPT</v>
      </c>
      <c r="AD677" s="321" t="str">
        <f t="shared" si="305"/>
        <v>X-MEPS</v>
      </c>
      <c r="AE677" s="321" t="str">
        <f t="shared" si="306"/>
        <v>X-MEPX</v>
      </c>
      <c r="AF677" s="321" t="str">
        <f t="shared" si="307"/>
        <v>X-MEPM</v>
      </c>
      <c r="AG677" s="321">
        <f t="shared" si="298"/>
        <v>9</v>
      </c>
      <c r="AH677" s="321">
        <f>IF(B677&lt;&gt;"",IF(H677="x",VLOOKUP(I677,'AUX-NIV3'!B:AG,32,FALSE),0),"")</f>
        <v>0</v>
      </c>
      <c r="AI677" s="321" t="str">
        <f t="shared" si="308"/>
        <v>X-MEP</v>
      </c>
      <c r="AJ677" s="320"/>
      <c r="AK677" s="322">
        <f t="shared" si="299"/>
        <v>669</v>
      </c>
      <c r="AL677" s="323">
        <f t="shared" si="309"/>
        <v>677</v>
      </c>
      <c r="AM677" s="322">
        <f t="shared" si="310"/>
        <v>9</v>
      </c>
      <c r="AN677" s="380">
        <f>IF(AND(AH677&gt;0,B677&lt;&gt;""),VLOOKUP(I677,'AUX-NIV3'!$B:$AO,39,FALSE)*O677,0)</f>
        <v>0</v>
      </c>
      <c r="AO677" s="380">
        <f t="shared" si="300"/>
        <v>4.1666666666666664E-2</v>
      </c>
      <c r="AP677" s="380"/>
    </row>
    <row r="678" spans="2:42" ht="14.4" hidden="1" thickTop="1" thickBot="1">
      <c r="B678" s="324" t="s">
        <v>2809</v>
      </c>
      <c r="C678" s="325" t="s">
        <v>2810</v>
      </c>
      <c r="D678" s="326" t="s">
        <v>1160</v>
      </c>
      <c r="E678" s="327">
        <f>IF(B678&lt;&gt;"",SUMIF('AUX-NIV1'!I:I,'AUX-NIV2'!B678,'AUX-NIV1'!Q:Q),"")</f>
        <v>0</v>
      </c>
      <c r="F678" s="327">
        <f t="shared" si="290"/>
        <v>29.613028561023619</v>
      </c>
      <c r="G678" s="327">
        <f t="shared" si="291"/>
        <v>0</v>
      </c>
      <c r="H678" s="328" t="str">
        <f t="shared" si="311"/>
        <v>A</v>
      </c>
      <c r="I678" s="325" t="s">
        <v>1745</v>
      </c>
      <c r="J678" s="329" t="str">
        <f>IF(B678&lt;&gt;"",+VLOOKUP(I678,Recursos!C:F,2,FALSE),"")</f>
        <v>AYUDANTE</v>
      </c>
      <c r="K678" s="330" t="str">
        <f>IF(B678&lt;&gt;"",+VLOOKUP(I678,Recursos!C:F,3,FALSE),"")</f>
        <v>hh</v>
      </c>
      <c r="L678" s="446">
        <f>IF(B678&lt;&gt;"",+VLOOKUP(I678,Recursos!C:F,4,FALSE),"")</f>
        <v>422.48042769667234</v>
      </c>
      <c r="M678" s="454">
        <f>+M679</f>
        <v>150</v>
      </c>
      <c r="N678" s="448">
        <v>2</v>
      </c>
      <c r="O678" s="449">
        <f>+N679/M678*N678</f>
        <v>1.6666666666666666E-2</v>
      </c>
      <c r="P678" s="333">
        <f t="shared" si="287"/>
        <v>7.0413404616112052</v>
      </c>
      <c r="Q678" s="327">
        <f t="shared" si="288"/>
        <v>0</v>
      </c>
      <c r="R678" s="334">
        <f t="shared" si="289"/>
        <v>0</v>
      </c>
      <c r="S678" s="335">
        <f t="shared" si="292"/>
        <v>20.866660161023617</v>
      </c>
      <c r="T678" s="335">
        <f t="shared" si="293"/>
        <v>8.7463683999999997</v>
      </c>
      <c r="U678" s="336">
        <f t="shared" si="294"/>
        <v>0</v>
      </c>
      <c r="V678" s="336">
        <f t="shared" si="295"/>
        <v>0</v>
      </c>
      <c r="W678" s="336">
        <f t="shared" si="296"/>
        <v>0</v>
      </c>
      <c r="X678" s="336">
        <f t="shared" si="297"/>
        <v>0</v>
      </c>
      <c r="Y678" s="320"/>
      <c r="Z678" s="321" t="str">
        <f t="shared" si="301"/>
        <v>X-DBCA</v>
      </c>
      <c r="AA678" s="321" t="str">
        <f t="shared" si="302"/>
        <v>X-DBCE</v>
      </c>
      <c r="AB678" s="321" t="str">
        <f t="shared" si="303"/>
        <v>X-DBCM</v>
      </c>
      <c r="AC678" s="321" t="str">
        <f t="shared" si="304"/>
        <v>X-DBCT</v>
      </c>
      <c r="AD678" s="321" t="str">
        <f t="shared" si="305"/>
        <v>X-DBCS</v>
      </c>
      <c r="AE678" s="321" t="str">
        <f t="shared" si="306"/>
        <v>X-DBCX</v>
      </c>
      <c r="AF678" s="321" t="str">
        <f t="shared" si="307"/>
        <v>X-DBCA</v>
      </c>
      <c r="AG678" s="321">
        <f t="shared" si="298"/>
        <v>5</v>
      </c>
      <c r="AH678" s="321">
        <f>IF(B678&lt;&gt;"",IF(H678="x",VLOOKUP(I678,'AUX-NIV3'!B:AG,32,FALSE),0),"")</f>
        <v>0</v>
      </c>
      <c r="AI678" s="321" t="str">
        <f t="shared" si="308"/>
        <v>X-DBC</v>
      </c>
      <c r="AJ678" s="320"/>
      <c r="AK678" s="322">
        <f t="shared" si="299"/>
        <v>678</v>
      </c>
      <c r="AL678" s="323">
        <f t="shared" si="309"/>
        <v>682</v>
      </c>
      <c r="AM678" s="322">
        <f t="shared" si="310"/>
        <v>1</v>
      </c>
      <c r="AN678" s="380">
        <f>IF(AND(AH678&gt;0,B678&lt;&gt;""),VLOOKUP(I678,'AUX-NIV3'!$B:$AO,39,FALSE)*O678,0)</f>
        <v>0</v>
      </c>
      <c r="AO678" s="380">
        <f t="shared" si="300"/>
        <v>4.1666666666666664E-2</v>
      </c>
      <c r="AP678" s="380"/>
    </row>
    <row r="679" spans="2:42" ht="14.4" hidden="1" thickTop="1" thickBot="1">
      <c r="B679" s="324" t="s">
        <v>2809</v>
      </c>
      <c r="C679" s="325" t="s">
        <v>2810</v>
      </c>
      <c r="D679" s="326" t="s">
        <v>1160</v>
      </c>
      <c r="E679" s="327">
        <f>IF(B679&lt;&gt;"",SUMIF('AUX-NIV1'!I:I,'AUX-NIV2'!B679,'AUX-NIV1'!Q:Q),"")</f>
        <v>0</v>
      </c>
      <c r="F679" s="327">
        <f t="shared" si="290"/>
        <v>29.613028561023619</v>
      </c>
      <c r="G679" s="327">
        <f t="shared" si="291"/>
        <v>0</v>
      </c>
      <c r="H679" s="328" t="str">
        <f t="shared" si="311"/>
        <v>A</v>
      </c>
      <c r="I679" s="325" t="s">
        <v>1746</v>
      </c>
      <c r="J679" s="329" t="str">
        <f>IF(B679&lt;&gt;"",+VLOOKUP(I679,Recursos!C:F,2,FALSE),"")</f>
        <v>OFICIAL</v>
      </c>
      <c r="K679" s="330" t="str">
        <f>IF(B679&lt;&gt;"",+VLOOKUP(I679,Recursos!C:F,3,FALSE),"")</f>
        <v>hh</v>
      </c>
      <c r="L679" s="446">
        <f>IF(B679&lt;&gt;"",+VLOOKUP(I679,Recursos!C:F,4,FALSE),"")</f>
        <v>496.91595439275824</v>
      </c>
      <c r="M679" s="454">
        <f>+M680</f>
        <v>150</v>
      </c>
      <c r="N679" s="455">
        <f>+N680</f>
        <v>1.25</v>
      </c>
      <c r="O679" s="449">
        <f t="shared" ref="O679:O692" si="314">+N679/M679</f>
        <v>8.3333333333333332E-3</v>
      </c>
      <c r="P679" s="333">
        <f t="shared" si="287"/>
        <v>4.1409662866063188</v>
      </c>
      <c r="Q679" s="327">
        <f t="shared" si="288"/>
        <v>0</v>
      </c>
      <c r="R679" s="334">
        <f t="shared" si="289"/>
        <v>0</v>
      </c>
      <c r="S679" s="335">
        <f t="shared" si="292"/>
        <v>20.866660161023617</v>
      </c>
      <c r="T679" s="335">
        <f t="shared" si="293"/>
        <v>8.7463683999999997</v>
      </c>
      <c r="U679" s="336">
        <f t="shared" si="294"/>
        <v>0</v>
      </c>
      <c r="V679" s="336">
        <f t="shared" si="295"/>
        <v>0</v>
      </c>
      <c r="W679" s="336">
        <f t="shared" si="296"/>
        <v>0</v>
      </c>
      <c r="X679" s="336">
        <f t="shared" si="297"/>
        <v>0</v>
      </c>
      <c r="Y679" s="320"/>
      <c r="Z679" s="321" t="str">
        <f t="shared" si="301"/>
        <v>X-DBCA</v>
      </c>
      <c r="AA679" s="321" t="str">
        <f t="shared" si="302"/>
        <v>X-DBCE</v>
      </c>
      <c r="AB679" s="321" t="str">
        <f t="shared" si="303"/>
        <v>X-DBCM</v>
      </c>
      <c r="AC679" s="321" t="str">
        <f t="shared" si="304"/>
        <v>X-DBCT</v>
      </c>
      <c r="AD679" s="321" t="str">
        <f t="shared" si="305"/>
        <v>X-DBCS</v>
      </c>
      <c r="AE679" s="321" t="str">
        <f t="shared" si="306"/>
        <v>X-DBCX</v>
      </c>
      <c r="AF679" s="321" t="str">
        <f t="shared" si="307"/>
        <v>X-DBCA</v>
      </c>
      <c r="AG679" s="321">
        <f t="shared" si="298"/>
        <v>5</v>
      </c>
      <c r="AH679" s="321">
        <f>IF(B679&lt;&gt;"",IF(H679="x",VLOOKUP(I679,'AUX-NIV3'!B:AG,32,FALSE),0),"")</f>
        <v>0</v>
      </c>
      <c r="AI679" s="321" t="str">
        <f t="shared" si="308"/>
        <v>X-DBC</v>
      </c>
      <c r="AJ679" s="320"/>
      <c r="AK679" s="322">
        <f t="shared" si="299"/>
        <v>678</v>
      </c>
      <c r="AL679" s="323">
        <f t="shared" si="309"/>
        <v>682</v>
      </c>
      <c r="AM679" s="322">
        <f t="shared" si="310"/>
        <v>2</v>
      </c>
      <c r="AN679" s="380">
        <f>IF(AND(AH679&gt;0,B679&lt;&gt;""),VLOOKUP(I679,'AUX-NIV3'!$B:$AO,39,FALSE)*O679,0)</f>
        <v>0</v>
      </c>
      <c r="AO679" s="380">
        <f t="shared" si="300"/>
        <v>4.1666666666666664E-2</v>
      </c>
      <c r="AP679" s="380"/>
    </row>
    <row r="680" spans="2:42" ht="14.4" hidden="1" thickTop="1" thickBot="1">
      <c r="B680" s="324" t="s">
        <v>2809</v>
      </c>
      <c r="C680" s="325" t="s">
        <v>2810</v>
      </c>
      <c r="D680" s="326" t="s">
        <v>1160</v>
      </c>
      <c r="E680" s="327">
        <f>IF(B680&lt;&gt;"",SUMIF('AUX-NIV1'!I:I,'AUX-NIV2'!B680,'AUX-NIV1'!Q:Q),"")</f>
        <v>0</v>
      </c>
      <c r="F680" s="327">
        <f t="shared" si="290"/>
        <v>29.613028561023619</v>
      </c>
      <c r="G680" s="327">
        <f t="shared" si="291"/>
        <v>0</v>
      </c>
      <c r="H680" s="328" t="str">
        <f t="shared" si="311"/>
        <v>A</v>
      </c>
      <c r="I680" s="325" t="s">
        <v>3310</v>
      </c>
      <c r="J680" s="329" t="str">
        <f>IF(B680&lt;&gt;"",+VLOOKUP(I680,Recursos!C:F,2,FALSE),"")</f>
        <v>OFICIAL ESPECIALIZADO</v>
      </c>
      <c r="K680" s="330" t="str">
        <f>IF(B680&lt;&gt;"",+VLOOKUP(I680,Recursos!C:F,3,FALSE),"")</f>
        <v>hh</v>
      </c>
      <c r="L680" s="446">
        <f>IF(B680&lt;&gt;"",+VLOOKUP(I680,Recursos!C:F,4,FALSE),"")</f>
        <v>581.06120476836554</v>
      </c>
      <c r="M680" s="454">
        <f>+M681</f>
        <v>150</v>
      </c>
      <c r="N680" s="455">
        <f>+N681</f>
        <v>1.25</v>
      </c>
      <c r="O680" s="449">
        <f t="shared" si="314"/>
        <v>8.3333333333333332E-3</v>
      </c>
      <c r="P680" s="333">
        <f t="shared" si="287"/>
        <v>4.8421767064030465</v>
      </c>
      <c r="Q680" s="327">
        <f t="shared" si="288"/>
        <v>0</v>
      </c>
      <c r="R680" s="334">
        <f t="shared" si="289"/>
        <v>0</v>
      </c>
      <c r="S680" s="335">
        <f t="shared" si="292"/>
        <v>20.866660161023617</v>
      </c>
      <c r="T680" s="335">
        <f t="shared" si="293"/>
        <v>8.7463683999999997</v>
      </c>
      <c r="U680" s="336">
        <f t="shared" si="294"/>
        <v>0</v>
      </c>
      <c r="V680" s="336">
        <f t="shared" si="295"/>
        <v>0</v>
      </c>
      <c r="W680" s="336">
        <f t="shared" si="296"/>
        <v>0</v>
      </c>
      <c r="X680" s="336">
        <f t="shared" si="297"/>
        <v>0</v>
      </c>
      <c r="Y680" s="320"/>
      <c r="Z680" s="321" t="str">
        <f t="shared" si="301"/>
        <v>X-DBCA</v>
      </c>
      <c r="AA680" s="321" t="str">
        <f t="shared" si="302"/>
        <v>X-DBCE</v>
      </c>
      <c r="AB680" s="321" t="str">
        <f t="shared" si="303"/>
        <v>X-DBCM</v>
      </c>
      <c r="AC680" s="321" t="str">
        <f t="shared" si="304"/>
        <v>X-DBCT</v>
      </c>
      <c r="AD680" s="321" t="str">
        <f t="shared" si="305"/>
        <v>X-DBCS</v>
      </c>
      <c r="AE680" s="321" t="str">
        <f t="shared" si="306"/>
        <v>X-DBCX</v>
      </c>
      <c r="AF680" s="321" t="str">
        <f t="shared" si="307"/>
        <v>X-DBCA</v>
      </c>
      <c r="AG680" s="321">
        <f t="shared" si="298"/>
        <v>5</v>
      </c>
      <c r="AH680" s="321">
        <f>IF(B680&lt;&gt;"",IF(H680="x",VLOOKUP(I680,'AUX-NIV3'!B:AG,32,FALSE),0),"")</f>
        <v>0</v>
      </c>
      <c r="AI680" s="321" t="str">
        <f t="shared" si="308"/>
        <v>X-DBC</v>
      </c>
      <c r="AJ680" s="320"/>
      <c r="AK680" s="322">
        <f t="shared" si="299"/>
        <v>678</v>
      </c>
      <c r="AL680" s="323">
        <f t="shared" si="309"/>
        <v>682</v>
      </c>
      <c r="AM680" s="322">
        <f t="shared" si="310"/>
        <v>3</v>
      </c>
      <c r="AN680" s="380">
        <f>IF(AND(AH680&gt;0,B680&lt;&gt;""),VLOOKUP(I680,'AUX-NIV3'!$B:$AO,39,FALSE)*O680,0)</f>
        <v>0</v>
      </c>
      <c r="AO680" s="380">
        <f t="shared" si="300"/>
        <v>4.1666666666666664E-2</v>
      </c>
      <c r="AP680" s="380"/>
    </row>
    <row r="681" spans="2:42" ht="14.4" hidden="1" thickTop="1" thickBot="1">
      <c r="B681" s="324" t="s">
        <v>2809</v>
      </c>
      <c r="C681" s="325" t="s">
        <v>2810</v>
      </c>
      <c r="D681" s="326" t="s">
        <v>1160</v>
      </c>
      <c r="E681" s="327">
        <f>IF(B681&lt;&gt;"",SUMIF('AUX-NIV1'!I:I,'AUX-NIV2'!B681,'AUX-NIV1'!Q:Q),"")</f>
        <v>0</v>
      </c>
      <c r="F681" s="327">
        <f t="shared" si="290"/>
        <v>29.613028561023619</v>
      </c>
      <c r="G681" s="327">
        <f t="shared" si="291"/>
        <v>0</v>
      </c>
      <c r="H681" s="328" t="str">
        <f t="shared" si="311"/>
        <v>A</v>
      </c>
      <c r="I681" s="325" t="s">
        <v>3310</v>
      </c>
      <c r="J681" s="329" t="str">
        <f>IF(B681&lt;&gt;"",+VLOOKUP(I681,Recursos!C:F,2,FALSE),"")</f>
        <v>OFICIAL ESPECIALIZADO</v>
      </c>
      <c r="K681" s="330" t="str">
        <f>IF(B681&lt;&gt;"",+VLOOKUP(I681,Recursos!C:F,3,FALSE),"")</f>
        <v>hh</v>
      </c>
      <c r="L681" s="446">
        <f>IF(B681&lt;&gt;"",+VLOOKUP(I681,Recursos!C:F,4,FALSE),"")</f>
        <v>581.06120476836554</v>
      </c>
      <c r="M681" s="454">
        <f>+M682</f>
        <v>150</v>
      </c>
      <c r="N681" s="453">
        <v>1.25</v>
      </c>
      <c r="O681" s="449">
        <f t="shared" si="314"/>
        <v>8.3333333333333332E-3</v>
      </c>
      <c r="P681" s="333">
        <f t="shared" si="287"/>
        <v>4.8421767064030465</v>
      </c>
      <c r="Q681" s="327">
        <f t="shared" si="288"/>
        <v>0</v>
      </c>
      <c r="R681" s="334">
        <f t="shared" si="289"/>
        <v>0</v>
      </c>
      <c r="S681" s="335">
        <f t="shared" si="292"/>
        <v>20.866660161023617</v>
      </c>
      <c r="T681" s="335">
        <f t="shared" si="293"/>
        <v>8.7463683999999997</v>
      </c>
      <c r="U681" s="336">
        <f t="shared" si="294"/>
        <v>0</v>
      </c>
      <c r="V681" s="336">
        <f t="shared" si="295"/>
        <v>0</v>
      </c>
      <c r="W681" s="336">
        <f t="shared" si="296"/>
        <v>0</v>
      </c>
      <c r="X681" s="336">
        <f t="shared" si="297"/>
        <v>0</v>
      </c>
      <c r="Y681" s="320"/>
      <c r="Z681" s="321" t="str">
        <f t="shared" si="301"/>
        <v>X-DBCA</v>
      </c>
      <c r="AA681" s="321" t="str">
        <f t="shared" si="302"/>
        <v>X-DBCE</v>
      </c>
      <c r="AB681" s="321" t="str">
        <f t="shared" si="303"/>
        <v>X-DBCM</v>
      </c>
      <c r="AC681" s="321" t="str">
        <f t="shared" si="304"/>
        <v>X-DBCT</v>
      </c>
      <c r="AD681" s="321" t="str">
        <f t="shared" si="305"/>
        <v>X-DBCS</v>
      </c>
      <c r="AE681" s="321" t="str">
        <f t="shared" si="306"/>
        <v>X-DBCX</v>
      </c>
      <c r="AF681" s="321" t="str">
        <f t="shared" si="307"/>
        <v>X-DBCA</v>
      </c>
      <c r="AG681" s="321">
        <f t="shared" si="298"/>
        <v>5</v>
      </c>
      <c r="AH681" s="321">
        <f>IF(B681&lt;&gt;"",IF(H681="x",VLOOKUP(I681,'AUX-NIV3'!B:AG,32,FALSE),0),"")</f>
        <v>0</v>
      </c>
      <c r="AI681" s="321" t="str">
        <f t="shared" si="308"/>
        <v>X-DBC</v>
      </c>
      <c r="AJ681" s="320"/>
      <c r="AK681" s="322">
        <f t="shared" si="299"/>
        <v>678</v>
      </c>
      <c r="AL681" s="323">
        <f t="shared" si="309"/>
        <v>682</v>
      </c>
      <c r="AM681" s="322">
        <f t="shared" si="310"/>
        <v>4</v>
      </c>
      <c r="AN681" s="380">
        <f>IF(AND(AH681&gt;0,B681&lt;&gt;""),VLOOKUP(I681,'AUX-NIV3'!$B:$AO,39,FALSE)*O681,0)</f>
        <v>0</v>
      </c>
      <c r="AO681" s="380">
        <f t="shared" si="300"/>
        <v>4.1666666666666664E-2</v>
      </c>
      <c r="AP681" s="380"/>
    </row>
    <row r="682" spans="2:42" ht="14.4" hidden="1" thickTop="1" thickBot="1">
      <c r="B682" s="324" t="s">
        <v>2809</v>
      </c>
      <c r="C682" s="325" t="s">
        <v>2810</v>
      </c>
      <c r="D682" s="326" t="s">
        <v>1160</v>
      </c>
      <c r="E682" s="327">
        <f>IF(B682&lt;&gt;"",SUMIF('AUX-NIV1'!I:I,'AUX-NIV2'!B682,'AUX-NIV1'!Q:Q),"")</f>
        <v>0</v>
      </c>
      <c r="F682" s="327">
        <f t="shared" si="290"/>
        <v>29.613028561023619</v>
      </c>
      <c r="G682" s="327">
        <f t="shared" si="291"/>
        <v>0</v>
      </c>
      <c r="H682" s="328" t="str">
        <f t="shared" si="311"/>
        <v>E</v>
      </c>
      <c r="I682" s="325" t="s">
        <v>1712</v>
      </c>
      <c r="J682" s="329" t="str">
        <f>IF(B682&lt;&gt;"",+VLOOKUP(I682,Recursos!C:F,2,FALSE),"")</f>
        <v>TERMINADORA DE BASE 70 HP</v>
      </c>
      <c r="K682" s="330" t="str">
        <f>IF(B682&lt;&gt;"",+VLOOKUP(I682,Recursos!C:F,3,FALSE),"")</f>
        <v>HR</v>
      </c>
      <c r="L682" s="446">
        <f>IF(B682&lt;&gt;"",+VLOOKUP(I682,Recursos!C:F,4,FALSE),"")</f>
        <v>1311.95526</v>
      </c>
      <c r="M682" s="450">
        <v>150</v>
      </c>
      <c r="N682" s="451">
        <v>1</v>
      </c>
      <c r="O682" s="449">
        <f t="shared" si="314"/>
        <v>6.6666666666666671E-3</v>
      </c>
      <c r="P682" s="333">
        <f t="shared" si="287"/>
        <v>8.7463683999999997</v>
      </c>
      <c r="Q682" s="327">
        <f t="shared" si="288"/>
        <v>0</v>
      </c>
      <c r="R682" s="334">
        <f t="shared" si="289"/>
        <v>0</v>
      </c>
      <c r="S682" s="335">
        <f t="shared" si="292"/>
        <v>20.866660161023617</v>
      </c>
      <c r="T682" s="335">
        <f t="shared" si="293"/>
        <v>8.7463683999999997</v>
      </c>
      <c r="U682" s="336">
        <f t="shared" si="294"/>
        <v>0</v>
      </c>
      <c r="V682" s="336">
        <f t="shared" si="295"/>
        <v>0</v>
      </c>
      <c r="W682" s="336">
        <f t="shared" si="296"/>
        <v>0</v>
      </c>
      <c r="X682" s="336">
        <f t="shared" si="297"/>
        <v>0</v>
      </c>
      <c r="Y682" s="320"/>
      <c r="Z682" s="321" t="str">
        <f t="shared" si="301"/>
        <v>X-DBCA</v>
      </c>
      <c r="AA682" s="321" t="str">
        <f t="shared" si="302"/>
        <v>X-DBCE</v>
      </c>
      <c r="AB682" s="321" t="str">
        <f t="shared" si="303"/>
        <v>X-DBCM</v>
      </c>
      <c r="AC682" s="321" t="str">
        <f t="shared" si="304"/>
        <v>X-DBCT</v>
      </c>
      <c r="AD682" s="321" t="str">
        <f t="shared" si="305"/>
        <v>X-DBCS</v>
      </c>
      <c r="AE682" s="321" t="str">
        <f t="shared" si="306"/>
        <v>X-DBCX</v>
      </c>
      <c r="AF682" s="321" t="str">
        <f t="shared" si="307"/>
        <v>X-DBCE</v>
      </c>
      <c r="AG682" s="321">
        <f t="shared" si="298"/>
        <v>5</v>
      </c>
      <c r="AH682" s="321">
        <f>IF(B682&lt;&gt;"",IF(H682="x",VLOOKUP(I682,'AUX-NIV3'!B:AG,32,FALSE),0),"")</f>
        <v>0</v>
      </c>
      <c r="AI682" s="321" t="str">
        <f t="shared" si="308"/>
        <v>X-DBC</v>
      </c>
      <c r="AJ682" s="320"/>
      <c r="AK682" s="322">
        <f t="shared" si="299"/>
        <v>678</v>
      </c>
      <c r="AL682" s="323">
        <f t="shared" si="309"/>
        <v>682</v>
      </c>
      <c r="AM682" s="322">
        <f t="shared" si="310"/>
        <v>5</v>
      </c>
      <c r="AN682" s="380">
        <f>IF(AND(AH682&gt;0,B682&lt;&gt;""),VLOOKUP(I682,'AUX-NIV3'!$B:$AO,39,FALSE)*O682,0)</f>
        <v>0</v>
      </c>
      <c r="AO682" s="380">
        <f t="shared" si="300"/>
        <v>4.1666666666666664E-2</v>
      </c>
      <c r="AP682" s="380"/>
    </row>
    <row r="683" spans="2:42" ht="14.4" hidden="1" thickTop="1" thickBot="1">
      <c r="B683" s="324" t="s">
        <v>2811</v>
      </c>
      <c r="C683" s="325" t="s">
        <v>2812</v>
      </c>
      <c r="D683" s="326" t="s">
        <v>1160</v>
      </c>
      <c r="E683" s="327">
        <f>IF(B683&lt;&gt;"",SUMIF('AUX-NIV1'!I:I,'AUX-NIV2'!B683,'AUX-NIV1'!Q:Q),"")</f>
        <v>0</v>
      </c>
      <c r="F683" s="327">
        <f t="shared" si="290"/>
        <v>71.552050141083967</v>
      </c>
      <c r="G683" s="327">
        <f t="shared" si="291"/>
        <v>0</v>
      </c>
      <c r="H683" s="328" t="str">
        <f t="shared" si="311"/>
        <v>A</v>
      </c>
      <c r="I683" s="325" t="s">
        <v>1745</v>
      </c>
      <c r="J683" s="329" t="str">
        <f>IF(B683&lt;&gt;"",+VLOOKUP(I683,Recursos!C:F,2,FALSE),"")</f>
        <v>AYUDANTE</v>
      </c>
      <c r="K683" s="330" t="str">
        <f>IF(B683&lt;&gt;"",+VLOOKUP(I683,Recursos!C:F,3,FALSE),"")</f>
        <v>hh</v>
      </c>
      <c r="L683" s="446">
        <f>IF(B683&lt;&gt;"",+VLOOKUP(I683,Recursos!C:F,4,FALSE),"")</f>
        <v>422.48042769667234</v>
      </c>
      <c r="M683" s="514">
        <f>+M684</f>
        <v>75</v>
      </c>
      <c r="N683" s="515">
        <f>+N684</f>
        <v>1.25</v>
      </c>
      <c r="O683" s="449">
        <f t="shared" si="314"/>
        <v>1.6666666666666666E-2</v>
      </c>
      <c r="P683" s="333">
        <f t="shared" si="287"/>
        <v>7.0413404616112052</v>
      </c>
      <c r="Q683" s="327">
        <f t="shared" si="288"/>
        <v>0</v>
      </c>
      <c r="R683" s="334">
        <f t="shared" si="289"/>
        <v>0</v>
      </c>
      <c r="S683" s="335">
        <f t="shared" si="292"/>
        <v>16.725693874417299</v>
      </c>
      <c r="T683" s="335">
        <f t="shared" si="293"/>
        <v>54.826356266666664</v>
      </c>
      <c r="U683" s="336">
        <f t="shared" si="294"/>
        <v>0</v>
      </c>
      <c r="V683" s="336">
        <f t="shared" si="295"/>
        <v>0</v>
      </c>
      <c r="W683" s="336">
        <f t="shared" si="296"/>
        <v>0</v>
      </c>
      <c r="X683" s="336">
        <f t="shared" si="297"/>
        <v>0</v>
      </c>
      <c r="Y683" s="320"/>
      <c r="Z683" s="321" t="str">
        <f t="shared" si="301"/>
        <v>X-DISA</v>
      </c>
      <c r="AA683" s="321" t="str">
        <f t="shared" si="302"/>
        <v>X-DISE</v>
      </c>
      <c r="AB683" s="321" t="str">
        <f t="shared" si="303"/>
        <v>X-DISM</v>
      </c>
      <c r="AC683" s="321" t="str">
        <f t="shared" si="304"/>
        <v>X-DIST</v>
      </c>
      <c r="AD683" s="321" t="str">
        <f t="shared" si="305"/>
        <v>X-DISS</v>
      </c>
      <c r="AE683" s="321" t="str">
        <f t="shared" si="306"/>
        <v>X-DISX</v>
      </c>
      <c r="AF683" s="321" t="str">
        <f t="shared" si="307"/>
        <v>X-DISA</v>
      </c>
      <c r="AG683" s="321">
        <f t="shared" si="298"/>
        <v>3</v>
      </c>
      <c r="AH683" s="321">
        <f>IF(B683&lt;&gt;"",IF(H683="x",VLOOKUP(I683,'AUX-NIV3'!B:AG,32,FALSE),0),"")</f>
        <v>0</v>
      </c>
      <c r="AI683" s="321" t="str">
        <f t="shared" si="308"/>
        <v>X-DIS</v>
      </c>
      <c r="AJ683" s="320"/>
      <c r="AK683" s="322">
        <f t="shared" si="299"/>
        <v>683</v>
      </c>
      <c r="AL683" s="323">
        <f t="shared" si="309"/>
        <v>685</v>
      </c>
      <c r="AM683" s="322">
        <f t="shared" si="310"/>
        <v>1</v>
      </c>
      <c r="AN683" s="380">
        <f>IF(AND(AH683&gt;0,B683&lt;&gt;""),VLOOKUP(I683,'AUX-NIV3'!$B:$AO,39,FALSE)*O683,0)</f>
        <v>0</v>
      </c>
      <c r="AO683" s="380">
        <f t="shared" si="300"/>
        <v>3.3333333333333333E-2</v>
      </c>
      <c r="AP683" s="380"/>
    </row>
    <row r="684" spans="2:42" ht="14.4" hidden="1" thickTop="1" thickBot="1">
      <c r="B684" s="324" t="s">
        <v>2811</v>
      </c>
      <c r="C684" s="325" t="s">
        <v>2812</v>
      </c>
      <c r="D684" s="326" t="s">
        <v>1160</v>
      </c>
      <c r="E684" s="327">
        <f>IF(B684&lt;&gt;"",SUMIF('AUX-NIV1'!I:I,'AUX-NIV2'!B684,'AUX-NIV1'!Q:Q),"")</f>
        <v>0</v>
      </c>
      <c r="F684" s="327">
        <f t="shared" si="290"/>
        <v>71.552050141083967</v>
      </c>
      <c r="G684" s="327">
        <f t="shared" si="291"/>
        <v>0</v>
      </c>
      <c r="H684" s="328" t="str">
        <f t="shared" si="311"/>
        <v>A</v>
      </c>
      <c r="I684" s="325" t="s">
        <v>3310</v>
      </c>
      <c r="J684" s="329" t="str">
        <f>IF(B684&lt;&gt;"",+VLOOKUP(I684,Recursos!C:F,2,FALSE),"")</f>
        <v>OFICIAL ESPECIALIZADO</v>
      </c>
      <c r="K684" s="330" t="str">
        <f>IF(B684&lt;&gt;"",+VLOOKUP(I684,Recursos!C:F,3,FALSE),"")</f>
        <v>hh</v>
      </c>
      <c r="L684" s="446">
        <f>IF(B684&lt;&gt;"",+VLOOKUP(I684,Recursos!C:F,4,FALSE),"")</f>
        <v>581.06120476836554</v>
      </c>
      <c r="M684" s="454">
        <f>+M685</f>
        <v>75</v>
      </c>
      <c r="N684" s="453">
        <v>1.25</v>
      </c>
      <c r="O684" s="449">
        <f t="shared" si="314"/>
        <v>1.6666666666666666E-2</v>
      </c>
      <c r="P684" s="333">
        <f t="shared" si="287"/>
        <v>9.6843534128060931</v>
      </c>
      <c r="Q684" s="327">
        <f t="shared" si="288"/>
        <v>0</v>
      </c>
      <c r="R684" s="334">
        <f t="shared" si="289"/>
        <v>0</v>
      </c>
      <c r="S684" s="335">
        <f t="shared" si="292"/>
        <v>16.725693874417299</v>
      </c>
      <c r="T684" s="335">
        <f t="shared" si="293"/>
        <v>54.826356266666664</v>
      </c>
      <c r="U684" s="336">
        <f t="shared" si="294"/>
        <v>0</v>
      </c>
      <c r="V684" s="336">
        <f t="shared" si="295"/>
        <v>0</v>
      </c>
      <c r="W684" s="336">
        <f t="shared" si="296"/>
        <v>0</v>
      </c>
      <c r="X684" s="336">
        <f t="shared" si="297"/>
        <v>0</v>
      </c>
      <c r="Y684" s="320"/>
      <c r="Z684" s="321" t="str">
        <f t="shared" si="301"/>
        <v>X-DISA</v>
      </c>
      <c r="AA684" s="321" t="str">
        <f t="shared" si="302"/>
        <v>X-DISE</v>
      </c>
      <c r="AB684" s="321" t="str">
        <f t="shared" si="303"/>
        <v>X-DISM</v>
      </c>
      <c r="AC684" s="321" t="str">
        <f t="shared" si="304"/>
        <v>X-DIST</v>
      </c>
      <c r="AD684" s="321" t="str">
        <f t="shared" si="305"/>
        <v>X-DISS</v>
      </c>
      <c r="AE684" s="321" t="str">
        <f t="shared" si="306"/>
        <v>X-DISX</v>
      </c>
      <c r="AF684" s="321" t="str">
        <f t="shared" si="307"/>
        <v>X-DISA</v>
      </c>
      <c r="AG684" s="321">
        <f t="shared" si="298"/>
        <v>3</v>
      </c>
      <c r="AH684" s="321">
        <f>IF(B684&lt;&gt;"",IF(H684="x",VLOOKUP(I684,'AUX-NIV3'!B:AG,32,FALSE),0),"")</f>
        <v>0</v>
      </c>
      <c r="AI684" s="321" t="str">
        <f t="shared" si="308"/>
        <v>X-DIS</v>
      </c>
      <c r="AJ684" s="320"/>
      <c r="AK684" s="322">
        <f t="shared" si="299"/>
        <v>683</v>
      </c>
      <c r="AL684" s="323">
        <f t="shared" si="309"/>
        <v>685</v>
      </c>
      <c r="AM684" s="322">
        <f t="shared" si="310"/>
        <v>2</v>
      </c>
      <c r="AN684" s="380">
        <f>IF(AND(AH684&gt;0,B684&lt;&gt;""),VLOOKUP(I684,'AUX-NIV3'!$B:$AO,39,FALSE)*O684,0)</f>
        <v>0</v>
      </c>
      <c r="AO684" s="380">
        <f t="shared" si="300"/>
        <v>3.3333333333333333E-2</v>
      </c>
      <c r="AP684" s="380"/>
    </row>
    <row r="685" spans="2:42" ht="14.4" hidden="1" thickTop="1" thickBot="1">
      <c r="B685" s="324" t="s">
        <v>2811</v>
      </c>
      <c r="C685" s="325" t="s">
        <v>2812</v>
      </c>
      <c r="D685" s="326" t="s">
        <v>1160</v>
      </c>
      <c r="E685" s="327">
        <f>IF(B685&lt;&gt;"",SUMIF('AUX-NIV1'!I:I,'AUX-NIV2'!B685,'AUX-NIV1'!Q:Q),"")</f>
        <v>0</v>
      </c>
      <c r="F685" s="327">
        <f t="shared" si="290"/>
        <v>71.552050141083967</v>
      </c>
      <c r="G685" s="327">
        <f t="shared" si="291"/>
        <v>0</v>
      </c>
      <c r="H685" s="328" t="str">
        <f t="shared" si="311"/>
        <v>E</v>
      </c>
      <c r="I685" s="325" t="s">
        <v>1664</v>
      </c>
      <c r="J685" s="329" t="str">
        <f>IF(B685&lt;&gt;"",+VLOOKUP(I685,Recursos!C:F,2,FALSE),"")</f>
        <v>MOTONIVELADORA HOJA 14 PIES-15 T</v>
      </c>
      <c r="K685" s="330" t="str">
        <f>IF(B685&lt;&gt;"",+VLOOKUP(I685,Recursos!C:F,3,FALSE),"")</f>
        <v>HR</v>
      </c>
      <c r="L685" s="446">
        <f>IF(B685&lt;&gt;"",+VLOOKUP(I685,Recursos!C:F,4,FALSE),"")</f>
        <v>4111.9767199999997</v>
      </c>
      <c r="M685" s="450">
        <v>75</v>
      </c>
      <c r="N685" s="451">
        <v>1</v>
      </c>
      <c r="O685" s="449">
        <f t="shared" si="314"/>
        <v>1.3333333333333334E-2</v>
      </c>
      <c r="P685" s="333">
        <f t="shared" si="287"/>
        <v>54.826356266666664</v>
      </c>
      <c r="Q685" s="327">
        <f t="shared" si="288"/>
        <v>0</v>
      </c>
      <c r="R685" s="334">
        <f t="shared" si="289"/>
        <v>0</v>
      </c>
      <c r="S685" s="335">
        <f t="shared" si="292"/>
        <v>16.725693874417299</v>
      </c>
      <c r="T685" s="335">
        <f t="shared" si="293"/>
        <v>54.826356266666664</v>
      </c>
      <c r="U685" s="336">
        <f t="shared" si="294"/>
        <v>0</v>
      </c>
      <c r="V685" s="336">
        <f t="shared" si="295"/>
        <v>0</v>
      </c>
      <c r="W685" s="336">
        <f t="shared" si="296"/>
        <v>0</v>
      </c>
      <c r="X685" s="336">
        <f t="shared" si="297"/>
        <v>0</v>
      </c>
      <c r="Y685" s="320"/>
      <c r="Z685" s="321" t="str">
        <f t="shared" si="301"/>
        <v>X-DISA</v>
      </c>
      <c r="AA685" s="321" t="str">
        <f t="shared" si="302"/>
        <v>X-DISE</v>
      </c>
      <c r="AB685" s="321" t="str">
        <f t="shared" si="303"/>
        <v>X-DISM</v>
      </c>
      <c r="AC685" s="321" t="str">
        <f t="shared" si="304"/>
        <v>X-DIST</v>
      </c>
      <c r="AD685" s="321" t="str">
        <f t="shared" si="305"/>
        <v>X-DISS</v>
      </c>
      <c r="AE685" s="321" t="str">
        <f t="shared" si="306"/>
        <v>X-DISX</v>
      </c>
      <c r="AF685" s="321" t="str">
        <f t="shared" si="307"/>
        <v>X-DISE</v>
      </c>
      <c r="AG685" s="321">
        <f t="shared" si="298"/>
        <v>3</v>
      </c>
      <c r="AH685" s="321">
        <f>IF(B685&lt;&gt;"",IF(H685="x",VLOOKUP(I685,'AUX-NIV3'!B:AG,32,FALSE),0),"")</f>
        <v>0</v>
      </c>
      <c r="AI685" s="321" t="str">
        <f t="shared" si="308"/>
        <v>X-DIS</v>
      </c>
      <c r="AJ685" s="320"/>
      <c r="AK685" s="322">
        <f t="shared" si="299"/>
        <v>683</v>
      </c>
      <c r="AL685" s="323">
        <f t="shared" si="309"/>
        <v>685</v>
      </c>
      <c r="AM685" s="322">
        <f t="shared" si="310"/>
        <v>3</v>
      </c>
      <c r="AN685" s="380">
        <f>IF(AND(AH685&gt;0,B685&lt;&gt;""),VLOOKUP(I685,'AUX-NIV3'!$B:$AO,39,FALSE)*O685,0)</f>
        <v>0</v>
      </c>
      <c r="AO685" s="380">
        <f t="shared" si="300"/>
        <v>3.3333333333333333E-2</v>
      </c>
      <c r="AP685" s="380"/>
    </row>
    <row r="686" spans="2:42" ht="14.4" hidden="1" thickTop="1" thickBot="1">
      <c r="B686" s="324" t="s">
        <v>2813</v>
      </c>
      <c r="C686" s="325" t="s">
        <v>2814</v>
      </c>
      <c r="D686" s="326" t="s">
        <v>1160</v>
      </c>
      <c r="E686" s="327">
        <f>IF(B686&lt;&gt;"",SUMIF('AUX-NIV1'!I:I,'AUX-NIV2'!B686,'AUX-NIV1'!Q:Q),"")</f>
        <v>0</v>
      </c>
      <c r="F686" s="327">
        <f t="shared" si="290"/>
        <v>107.32807521162594</v>
      </c>
      <c r="G686" s="327">
        <f t="shared" si="291"/>
        <v>0</v>
      </c>
      <c r="H686" s="328" t="str">
        <f t="shared" si="311"/>
        <v>A</v>
      </c>
      <c r="I686" s="325" t="s">
        <v>1745</v>
      </c>
      <c r="J686" s="329" t="str">
        <f>IF(B686&lt;&gt;"",+VLOOKUP(I686,Recursos!C:F,2,FALSE),"")</f>
        <v>AYUDANTE</v>
      </c>
      <c r="K686" s="330" t="str">
        <f>IF(B686&lt;&gt;"",+VLOOKUP(I686,Recursos!C:F,3,FALSE),"")</f>
        <v>hh</v>
      </c>
      <c r="L686" s="327">
        <f>IF(B686&lt;&gt;"",+VLOOKUP(I686,Recursos!C:F,4,FALSE),"")</f>
        <v>422.48042769667234</v>
      </c>
      <c r="M686" s="514">
        <f>+M687</f>
        <v>50</v>
      </c>
      <c r="N686" s="515">
        <f>+N687</f>
        <v>1.25</v>
      </c>
      <c r="O686" s="449">
        <f t="shared" si="314"/>
        <v>2.5000000000000001E-2</v>
      </c>
      <c r="P686" s="333">
        <f t="shared" si="287"/>
        <v>10.562010692416809</v>
      </c>
      <c r="Q686" s="327">
        <f t="shared" si="288"/>
        <v>0</v>
      </c>
      <c r="R686" s="334">
        <f t="shared" si="289"/>
        <v>0</v>
      </c>
      <c r="S686" s="335">
        <f t="shared" si="292"/>
        <v>25.088540811625947</v>
      </c>
      <c r="T686" s="335">
        <f t="shared" si="293"/>
        <v>82.239534399999997</v>
      </c>
      <c r="U686" s="336">
        <f t="shared" si="294"/>
        <v>0</v>
      </c>
      <c r="V686" s="336">
        <f t="shared" si="295"/>
        <v>0</v>
      </c>
      <c r="W686" s="336">
        <f t="shared" si="296"/>
        <v>0</v>
      </c>
      <c r="X686" s="336">
        <f t="shared" si="297"/>
        <v>0</v>
      </c>
      <c r="Y686" s="320"/>
      <c r="Z686" s="321" t="str">
        <f t="shared" si="301"/>
        <v>X-PERA</v>
      </c>
      <c r="AA686" s="321" t="str">
        <f t="shared" si="302"/>
        <v>X-PERE</v>
      </c>
      <c r="AB686" s="321" t="str">
        <f t="shared" si="303"/>
        <v>X-PERM</v>
      </c>
      <c r="AC686" s="321" t="str">
        <f t="shared" si="304"/>
        <v>X-PERT</v>
      </c>
      <c r="AD686" s="321" t="str">
        <f t="shared" si="305"/>
        <v>X-PERS</v>
      </c>
      <c r="AE686" s="321" t="str">
        <f t="shared" si="306"/>
        <v>X-PERX</v>
      </c>
      <c r="AF686" s="321" t="str">
        <f t="shared" si="307"/>
        <v>X-PERA</v>
      </c>
      <c r="AG686" s="321">
        <f t="shared" si="298"/>
        <v>3</v>
      </c>
      <c r="AH686" s="321">
        <f>IF(B686&lt;&gt;"",IF(H686="x",VLOOKUP(I686,'AUX-NIV3'!B:AG,32,FALSE),0),"")</f>
        <v>0</v>
      </c>
      <c r="AI686" s="321" t="str">
        <f t="shared" si="308"/>
        <v>X-PER</v>
      </c>
      <c r="AJ686" s="320"/>
      <c r="AK686" s="322">
        <f t="shared" si="299"/>
        <v>686</v>
      </c>
      <c r="AL686" s="323">
        <f t="shared" si="309"/>
        <v>688</v>
      </c>
      <c r="AM686" s="322">
        <f t="shared" si="310"/>
        <v>1</v>
      </c>
      <c r="AN686" s="380">
        <f>IF(AND(AH686&gt;0,B686&lt;&gt;""),VLOOKUP(I686,'AUX-NIV3'!$B:$AO,39,FALSE)*O686,0)</f>
        <v>0</v>
      </c>
      <c r="AO686" s="380">
        <f t="shared" si="300"/>
        <v>0.05</v>
      </c>
      <c r="AP686" s="380"/>
    </row>
    <row r="687" spans="2:42" ht="14.4" hidden="1" thickTop="1" thickBot="1">
      <c r="B687" s="324" t="s">
        <v>2813</v>
      </c>
      <c r="C687" s="325" t="s">
        <v>2814</v>
      </c>
      <c r="D687" s="326" t="s">
        <v>1160</v>
      </c>
      <c r="E687" s="327">
        <f>IF(B687&lt;&gt;"",SUMIF('AUX-NIV1'!I:I,'AUX-NIV2'!B687,'AUX-NIV1'!Q:Q),"")</f>
        <v>0</v>
      </c>
      <c r="F687" s="327">
        <f t="shared" si="290"/>
        <v>107.32807521162594</v>
      </c>
      <c r="G687" s="327">
        <f t="shared" si="291"/>
        <v>0</v>
      </c>
      <c r="H687" s="328" t="str">
        <f t="shared" si="311"/>
        <v>A</v>
      </c>
      <c r="I687" s="325" t="s">
        <v>3310</v>
      </c>
      <c r="J687" s="329" t="str">
        <f>IF(B687&lt;&gt;"",+VLOOKUP(I687,Recursos!C:F,2,FALSE),"")</f>
        <v>OFICIAL ESPECIALIZADO</v>
      </c>
      <c r="K687" s="330" t="str">
        <f>IF(B687&lt;&gt;"",+VLOOKUP(I687,Recursos!C:F,3,FALSE),"")</f>
        <v>hh</v>
      </c>
      <c r="L687" s="327">
        <f>IF(B687&lt;&gt;"",+VLOOKUP(I687,Recursos!C:F,4,FALSE),"")</f>
        <v>581.06120476836554</v>
      </c>
      <c r="M687" s="454">
        <f>+M688</f>
        <v>50</v>
      </c>
      <c r="N687" s="453">
        <v>1.25</v>
      </c>
      <c r="O687" s="449">
        <f t="shared" si="314"/>
        <v>2.5000000000000001E-2</v>
      </c>
      <c r="P687" s="333">
        <f t="shared" si="287"/>
        <v>14.52653011920914</v>
      </c>
      <c r="Q687" s="327">
        <f t="shared" si="288"/>
        <v>0</v>
      </c>
      <c r="R687" s="334">
        <f t="shared" si="289"/>
        <v>0</v>
      </c>
      <c r="S687" s="335">
        <f t="shared" si="292"/>
        <v>25.088540811625947</v>
      </c>
      <c r="T687" s="335">
        <f t="shared" si="293"/>
        <v>82.239534399999997</v>
      </c>
      <c r="U687" s="336">
        <f t="shared" si="294"/>
        <v>0</v>
      </c>
      <c r="V687" s="336">
        <f t="shared" si="295"/>
        <v>0</v>
      </c>
      <c r="W687" s="336">
        <f t="shared" si="296"/>
        <v>0</v>
      </c>
      <c r="X687" s="336">
        <f t="shared" si="297"/>
        <v>0</v>
      </c>
      <c r="Y687" s="320"/>
      <c r="Z687" s="321" t="str">
        <f t="shared" si="301"/>
        <v>X-PERA</v>
      </c>
      <c r="AA687" s="321" t="str">
        <f t="shared" si="302"/>
        <v>X-PERE</v>
      </c>
      <c r="AB687" s="321" t="str">
        <f t="shared" si="303"/>
        <v>X-PERM</v>
      </c>
      <c r="AC687" s="321" t="str">
        <f t="shared" si="304"/>
        <v>X-PERT</v>
      </c>
      <c r="AD687" s="321" t="str">
        <f t="shared" si="305"/>
        <v>X-PERS</v>
      </c>
      <c r="AE687" s="321" t="str">
        <f t="shared" si="306"/>
        <v>X-PERX</v>
      </c>
      <c r="AF687" s="321" t="str">
        <f t="shared" si="307"/>
        <v>X-PERA</v>
      </c>
      <c r="AG687" s="321">
        <f t="shared" si="298"/>
        <v>3</v>
      </c>
      <c r="AH687" s="321">
        <f>IF(B687&lt;&gt;"",IF(H687="x",VLOOKUP(I687,'AUX-NIV3'!B:AG,32,FALSE),0),"")</f>
        <v>0</v>
      </c>
      <c r="AI687" s="321" t="str">
        <f t="shared" si="308"/>
        <v>X-PER</v>
      </c>
      <c r="AJ687" s="320"/>
      <c r="AK687" s="322">
        <f t="shared" si="299"/>
        <v>686</v>
      </c>
      <c r="AL687" s="323">
        <f t="shared" si="309"/>
        <v>688</v>
      </c>
      <c r="AM687" s="322">
        <f t="shared" si="310"/>
        <v>2</v>
      </c>
      <c r="AN687" s="380">
        <f>IF(AND(AH687&gt;0,B687&lt;&gt;""),VLOOKUP(I687,'AUX-NIV3'!$B:$AO,39,FALSE)*O687,0)</f>
        <v>0</v>
      </c>
      <c r="AO687" s="380">
        <f t="shared" si="300"/>
        <v>0.05</v>
      </c>
      <c r="AP687" s="380"/>
    </row>
    <row r="688" spans="2:42" ht="14.4" hidden="1" thickTop="1" thickBot="1">
      <c r="B688" s="324" t="s">
        <v>2813</v>
      </c>
      <c r="C688" s="325" t="s">
        <v>2814</v>
      </c>
      <c r="D688" s="326" t="s">
        <v>1160</v>
      </c>
      <c r="E688" s="327">
        <f>IF(B688&lt;&gt;"",SUMIF('AUX-NIV1'!I:I,'AUX-NIV2'!B688,'AUX-NIV1'!Q:Q),"")</f>
        <v>0</v>
      </c>
      <c r="F688" s="327">
        <f t="shared" si="290"/>
        <v>107.32807521162594</v>
      </c>
      <c r="G688" s="327">
        <f t="shared" si="291"/>
        <v>0</v>
      </c>
      <c r="H688" s="328" t="str">
        <f t="shared" si="311"/>
        <v>E</v>
      </c>
      <c r="I688" s="325" t="s">
        <v>1664</v>
      </c>
      <c r="J688" s="329" t="str">
        <f>IF(B688&lt;&gt;"",+VLOOKUP(I688,Recursos!C:F,2,FALSE),"")</f>
        <v>MOTONIVELADORA HOJA 14 PIES-15 T</v>
      </c>
      <c r="K688" s="330" t="str">
        <f>IF(B688&lt;&gt;"",+VLOOKUP(I688,Recursos!C:F,3,FALSE),"")</f>
        <v>HR</v>
      </c>
      <c r="L688" s="327">
        <f>IF(B688&lt;&gt;"",+VLOOKUP(I688,Recursos!C:F,4,FALSE),"")</f>
        <v>4111.9767199999997</v>
      </c>
      <c r="M688" s="450">
        <v>50</v>
      </c>
      <c r="N688" s="451">
        <v>1</v>
      </c>
      <c r="O688" s="449">
        <f t="shared" si="314"/>
        <v>0.02</v>
      </c>
      <c r="P688" s="333">
        <f t="shared" si="287"/>
        <v>82.239534399999997</v>
      </c>
      <c r="Q688" s="327">
        <f t="shared" si="288"/>
        <v>0</v>
      </c>
      <c r="R688" s="334">
        <f t="shared" si="289"/>
        <v>0</v>
      </c>
      <c r="S688" s="335">
        <f t="shared" si="292"/>
        <v>25.088540811625947</v>
      </c>
      <c r="T688" s="335">
        <f t="shared" si="293"/>
        <v>82.239534399999997</v>
      </c>
      <c r="U688" s="336">
        <f t="shared" si="294"/>
        <v>0</v>
      </c>
      <c r="V688" s="336">
        <f t="shared" si="295"/>
        <v>0</v>
      </c>
      <c r="W688" s="336">
        <f t="shared" si="296"/>
        <v>0</v>
      </c>
      <c r="X688" s="336">
        <f t="shared" si="297"/>
        <v>0</v>
      </c>
      <c r="Y688" s="320"/>
      <c r="Z688" s="321" t="str">
        <f t="shared" si="301"/>
        <v>X-PERA</v>
      </c>
      <c r="AA688" s="321" t="str">
        <f t="shared" si="302"/>
        <v>X-PERE</v>
      </c>
      <c r="AB688" s="321" t="str">
        <f t="shared" si="303"/>
        <v>X-PERM</v>
      </c>
      <c r="AC688" s="321" t="str">
        <f t="shared" si="304"/>
        <v>X-PERT</v>
      </c>
      <c r="AD688" s="321" t="str">
        <f t="shared" si="305"/>
        <v>X-PERS</v>
      </c>
      <c r="AE688" s="321" t="str">
        <f t="shared" si="306"/>
        <v>X-PERX</v>
      </c>
      <c r="AF688" s="321" t="str">
        <f t="shared" si="307"/>
        <v>X-PERE</v>
      </c>
      <c r="AG688" s="321">
        <f t="shared" si="298"/>
        <v>3</v>
      </c>
      <c r="AH688" s="321">
        <f>IF(B688&lt;&gt;"",IF(H688="x",VLOOKUP(I688,'AUX-NIV3'!B:AG,32,FALSE),0),"")</f>
        <v>0</v>
      </c>
      <c r="AI688" s="321" t="str">
        <f t="shared" si="308"/>
        <v>X-PER</v>
      </c>
      <c r="AJ688" s="320"/>
      <c r="AK688" s="322">
        <f t="shared" si="299"/>
        <v>686</v>
      </c>
      <c r="AL688" s="323">
        <f t="shared" si="309"/>
        <v>688</v>
      </c>
      <c r="AM688" s="322">
        <f t="shared" si="310"/>
        <v>3</v>
      </c>
      <c r="AN688" s="380">
        <f>IF(AND(AH688&gt;0,B688&lt;&gt;""),VLOOKUP(I688,'AUX-NIV3'!$B:$AO,39,FALSE)*O688,0)</f>
        <v>0</v>
      </c>
      <c r="AO688" s="380">
        <f t="shared" si="300"/>
        <v>0.05</v>
      </c>
      <c r="AP688" s="380"/>
    </row>
    <row r="689" spans="2:42" ht="14.4" hidden="1" thickTop="1" thickBot="1">
      <c r="B689" s="324" t="s">
        <v>2815</v>
      </c>
      <c r="C689" s="325" t="s">
        <v>1485</v>
      </c>
      <c r="D689" s="326" t="s">
        <v>1160</v>
      </c>
      <c r="E689" s="327">
        <f>IF(B689&lt;&gt;"",SUMIF('AUX-NIV1'!I:I,'AUX-NIV2'!B689,'AUX-NIV1'!Q:Q),"")</f>
        <v>0</v>
      </c>
      <c r="F689" s="327">
        <f t="shared" si="290"/>
        <v>69.772044176789194</v>
      </c>
      <c r="G689" s="327">
        <f t="shared" si="291"/>
        <v>0</v>
      </c>
      <c r="H689" s="328" t="str">
        <f t="shared" si="311"/>
        <v>A</v>
      </c>
      <c r="I689" s="325" t="s">
        <v>3310</v>
      </c>
      <c r="J689" s="329" t="str">
        <f>IF(B689&lt;&gt;"",+VLOOKUP(I689,Recursos!C:F,2,FALSE),"")</f>
        <v>OFICIAL ESPECIALIZADO</v>
      </c>
      <c r="K689" s="330" t="str">
        <f>IF(B689&lt;&gt;"",+VLOOKUP(I689,Recursos!C:F,3,FALSE),"")</f>
        <v>hh</v>
      </c>
      <c r="L689" s="446">
        <f>IF(B689&lt;&gt;"",+VLOOKUP(I689,Recursos!C:F,4,FALSE),"")</f>
        <v>581.06120476836554</v>
      </c>
      <c r="M689" s="514">
        <f>+M691</f>
        <v>60</v>
      </c>
      <c r="N689" s="448">
        <v>1.25</v>
      </c>
      <c r="O689" s="449">
        <f t="shared" si="314"/>
        <v>2.0833333333333332E-2</v>
      </c>
      <c r="P689" s="333">
        <f t="shared" si="287"/>
        <v>12.105441766007615</v>
      </c>
      <c r="Q689" s="327">
        <f t="shared" si="288"/>
        <v>0</v>
      </c>
      <c r="R689" s="334">
        <f t="shared" si="289"/>
        <v>0</v>
      </c>
      <c r="S689" s="335">
        <f t="shared" si="292"/>
        <v>18.158162649011423</v>
      </c>
      <c r="T689" s="335">
        <f t="shared" si="293"/>
        <v>51.613881527777778</v>
      </c>
      <c r="U689" s="336">
        <f t="shared" si="294"/>
        <v>0</v>
      </c>
      <c r="V689" s="336">
        <f t="shared" si="295"/>
        <v>0</v>
      </c>
      <c r="W689" s="336">
        <f t="shared" si="296"/>
        <v>0</v>
      </c>
      <c r="X689" s="336">
        <f t="shared" si="297"/>
        <v>0</v>
      </c>
      <c r="Y689" s="320"/>
      <c r="Z689" s="321" t="str">
        <f t="shared" si="301"/>
        <v>X-CDBA</v>
      </c>
      <c r="AA689" s="321" t="str">
        <f t="shared" si="302"/>
        <v>X-CDBE</v>
      </c>
      <c r="AB689" s="321" t="str">
        <f t="shared" si="303"/>
        <v>X-CDBM</v>
      </c>
      <c r="AC689" s="321" t="str">
        <f t="shared" si="304"/>
        <v>X-CDBT</v>
      </c>
      <c r="AD689" s="321" t="str">
        <f t="shared" si="305"/>
        <v>X-CDBS</v>
      </c>
      <c r="AE689" s="321" t="str">
        <f t="shared" si="306"/>
        <v>X-CDBX</v>
      </c>
      <c r="AF689" s="321" t="str">
        <f t="shared" si="307"/>
        <v>X-CDBA</v>
      </c>
      <c r="AG689" s="321">
        <f t="shared" si="298"/>
        <v>4</v>
      </c>
      <c r="AH689" s="321">
        <f>IF(B689&lt;&gt;"",IF(H689="x",VLOOKUP(I689,'AUX-NIV3'!B:AG,32,FALSE),0),"")</f>
        <v>0</v>
      </c>
      <c r="AI689" s="321" t="str">
        <f t="shared" si="308"/>
        <v>X-CDB</v>
      </c>
      <c r="AJ689" s="320"/>
      <c r="AK689" s="322">
        <f t="shared" si="299"/>
        <v>689</v>
      </c>
      <c r="AL689" s="323">
        <f t="shared" si="309"/>
        <v>692</v>
      </c>
      <c r="AM689" s="322">
        <f t="shared" si="310"/>
        <v>1</v>
      </c>
      <c r="AN689" s="380">
        <f>IF(AND(AH689&gt;0,B689&lt;&gt;""),VLOOKUP(I689,'AUX-NIV3'!$B:$AO,39,FALSE)*O689,0)</f>
        <v>0</v>
      </c>
      <c r="AO689" s="380">
        <f t="shared" si="300"/>
        <v>3.125E-2</v>
      </c>
      <c r="AP689" s="380"/>
    </row>
    <row r="690" spans="2:42" ht="14.4" hidden="1" thickTop="1" thickBot="1">
      <c r="B690" s="324" t="s">
        <v>2815</v>
      </c>
      <c r="C690" s="325" t="s">
        <v>1485</v>
      </c>
      <c r="D690" s="326" t="s">
        <v>1160</v>
      </c>
      <c r="E690" s="327">
        <f>IF(B690&lt;&gt;"",SUMIF('AUX-NIV1'!I:I,'AUX-NIV2'!B690,'AUX-NIV1'!Q:Q),"")</f>
        <v>0</v>
      </c>
      <c r="F690" s="327">
        <f t="shared" si="290"/>
        <v>69.772044176789194</v>
      </c>
      <c r="G690" s="327">
        <f t="shared" si="291"/>
        <v>0</v>
      </c>
      <c r="H690" s="328" t="str">
        <f t="shared" si="311"/>
        <v>A</v>
      </c>
      <c r="I690" s="325" t="s">
        <v>3310</v>
      </c>
      <c r="J690" s="329" t="str">
        <f>IF(B690&lt;&gt;"",+VLOOKUP(I690,Recursos!C:F,2,FALSE),"")</f>
        <v>OFICIAL ESPECIALIZADO</v>
      </c>
      <c r="K690" s="330" t="str">
        <f>IF(B690&lt;&gt;"",+VLOOKUP(I690,Recursos!C:F,3,FALSE),"")</f>
        <v>hh</v>
      </c>
      <c r="L690" s="446">
        <f>IF(B690&lt;&gt;"",+VLOOKUP(I690,Recursos!C:F,4,FALSE),"")</f>
        <v>581.06120476836554</v>
      </c>
      <c r="M690" s="454">
        <f>+M692</f>
        <v>120</v>
      </c>
      <c r="N690" s="453">
        <v>1.25</v>
      </c>
      <c r="O690" s="449">
        <f t="shared" si="314"/>
        <v>1.0416666666666666E-2</v>
      </c>
      <c r="P690" s="333">
        <f t="shared" si="287"/>
        <v>6.0527208830038077</v>
      </c>
      <c r="Q690" s="327">
        <f t="shared" si="288"/>
        <v>0</v>
      </c>
      <c r="R690" s="334">
        <f t="shared" si="289"/>
        <v>0</v>
      </c>
      <c r="S690" s="335">
        <f t="shared" si="292"/>
        <v>18.158162649011423</v>
      </c>
      <c r="T690" s="335">
        <f t="shared" si="293"/>
        <v>51.613881527777778</v>
      </c>
      <c r="U690" s="336">
        <f t="shared" si="294"/>
        <v>0</v>
      </c>
      <c r="V690" s="336">
        <f t="shared" si="295"/>
        <v>0</v>
      </c>
      <c r="W690" s="336">
        <f t="shared" si="296"/>
        <v>0</v>
      </c>
      <c r="X690" s="336">
        <f t="shared" si="297"/>
        <v>0</v>
      </c>
      <c r="Y690" s="320"/>
      <c r="Z690" s="321" t="str">
        <f t="shared" si="301"/>
        <v>X-CDBA</v>
      </c>
      <c r="AA690" s="321" t="str">
        <f t="shared" si="302"/>
        <v>X-CDBE</v>
      </c>
      <c r="AB690" s="321" t="str">
        <f t="shared" si="303"/>
        <v>X-CDBM</v>
      </c>
      <c r="AC690" s="321" t="str">
        <f t="shared" si="304"/>
        <v>X-CDBT</v>
      </c>
      <c r="AD690" s="321" t="str">
        <f t="shared" si="305"/>
        <v>X-CDBS</v>
      </c>
      <c r="AE690" s="321" t="str">
        <f t="shared" si="306"/>
        <v>X-CDBX</v>
      </c>
      <c r="AF690" s="321" t="str">
        <f t="shared" si="307"/>
        <v>X-CDBA</v>
      </c>
      <c r="AG690" s="321">
        <f t="shared" si="298"/>
        <v>4</v>
      </c>
      <c r="AH690" s="321">
        <f>IF(B690&lt;&gt;"",IF(H690="x",VLOOKUP(I690,'AUX-NIV3'!B:AG,32,FALSE),0),"")</f>
        <v>0</v>
      </c>
      <c r="AI690" s="321" t="str">
        <f t="shared" si="308"/>
        <v>X-CDB</v>
      </c>
      <c r="AJ690" s="320"/>
      <c r="AK690" s="322">
        <f t="shared" si="299"/>
        <v>689</v>
      </c>
      <c r="AL690" s="323">
        <f t="shared" si="309"/>
        <v>692</v>
      </c>
      <c r="AM690" s="322">
        <f t="shared" si="310"/>
        <v>2</v>
      </c>
      <c r="AN690" s="380">
        <f>IF(AND(AH690&gt;0,B690&lt;&gt;""),VLOOKUP(I690,'AUX-NIV3'!$B:$AO,39,FALSE)*O690,0)</f>
        <v>0</v>
      </c>
      <c r="AO690" s="380">
        <f t="shared" si="300"/>
        <v>3.125E-2</v>
      </c>
      <c r="AP690" s="380"/>
    </row>
    <row r="691" spans="2:42" ht="14.4" hidden="1" thickTop="1" thickBot="1">
      <c r="B691" s="324" t="s">
        <v>2815</v>
      </c>
      <c r="C691" s="325" t="s">
        <v>1485</v>
      </c>
      <c r="D691" s="326" t="s">
        <v>1160</v>
      </c>
      <c r="E691" s="327">
        <f>IF(B691&lt;&gt;"",SUMIF('AUX-NIV1'!I:I,'AUX-NIV2'!B691,'AUX-NIV1'!Q:Q),"")</f>
        <v>0</v>
      </c>
      <c r="F691" s="327">
        <f t="shared" si="290"/>
        <v>69.772044176789194</v>
      </c>
      <c r="G691" s="327">
        <f t="shared" si="291"/>
        <v>0</v>
      </c>
      <c r="H691" s="328" t="str">
        <f t="shared" si="311"/>
        <v>E</v>
      </c>
      <c r="I691" s="325" t="s">
        <v>1567</v>
      </c>
      <c r="J691" s="329" t="str">
        <f>IF(B691&lt;&gt;"",+VLOOKUP(I691,Recursos!C:F,2,FALSE),"")</f>
        <v>COMPACT.LISO VIBR.AUTOPROP.(11 T)</v>
      </c>
      <c r="K691" s="330" t="str">
        <f>IF(B691&lt;&gt;"",+VLOOKUP(I691,Recursos!C:F,3,FALSE),"")</f>
        <v>HR</v>
      </c>
      <c r="L691" s="446">
        <f>IF(B691&lt;&gt;"",+VLOOKUP(I691,Recursos!C:F,4,FALSE),"")</f>
        <v>2197.9879999999998</v>
      </c>
      <c r="M691" s="452">
        <v>60</v>
      </c>
      <c r="N691" s="453">
        <v>1</v>
      </c>
      <c r="O691" s="449">
        <f t="shared" si="314"/>
        <v>1.6666666666666666E-2</v>
      </c>
      <c r="P691" s="333">
        <f t="shared" si="287"/>
        <v>36.633133333333333</v>
      </c>
      <c r="Q691" s="327">
        <f t="shared" si="288"/>
        <v>0</v>
      </c>
      <c r="R691" s="334">
        <f t="shared" si="289"/>
        <v>0</v>
      </c>
      <c r="S691" s="335">
        <f t="shared" si="292"/>
        <v>18.158162649011423</v>
      </c>
      <c r="T691" s="335">
        <f t="shared" si="293"/>
        <v>51.613881527777778</v>
      </c>
      <c r="U691" s="336">
        <f t="shared" si="294"/>
        <v>0</v>
      </c>
      <c r="V691" s="336">
        <f t="shared" si="295"/>
        <v>0</v>
      </c>
      <c r="W691" s="336">
        <f t="shared" si="296"/>
        <v>0</v>
      </c>
      <c r="X691" s="336">
        <f t="shared" si="297"/>
        <v>0</v>
      </c>
      <c r="Y691" s="320"/>
      <c r="Z691" s="321" t="str">
        <f t="shared" si="301"/>
        <v>X-CDBA</v>
      </c>
      <c r="AA691" s="321" t="str">
        <f t="shared" si="302"/>
        <v>X-CDBE</v>
      </c>
      <c r="AB691" s="321" t="str">
        <f t="shared" si="303"/>
        <v>X-CDBM</v>
      </c>
      <c r="AC691" s="321" t="str">
        <f t="shared" si="304"/>
        <v>X-CDBT</v>
      </c>
      <c r="AD691" s="321" t="str">
        <f t="shared" si="305"/>
        <v>X-CDBS</v>
      </c>
      <c r="AE691" s="321" t="str">
        <f t="shared" si="306"/>
        <v>X-CDBX</v>
      </c>
      <c r="AF691" s="321" t="str">
        <f t="shared" si="307"/>
        <v>X-CDBE</v>
      </c>
      <c r="AG691" s="321">
        <f t="shared" si="298"/>
        <v>4</v>
      </c>
      <c r="AH691" s="321">
        <f>IF(B691&lt;&gt;"",IF(H691="x",VLOOKUP(I691,'AUX-NIV3'!B:AG,32,FALSE),0),"")</f>
        <v>0</v>
      </c>
      <c r="AI691" s="321" t="str">
        <f t="shared" si="308"/>
        <v>X-CDB</v>
      </c>
      <c r="AJ691" s="320"/>
      <c r="AK691" s="322">
        <f t="shared" si="299"/>
        <v>689</v>
      </c>
      <c r="AL691" s="323">
        <f t="shared" si="309"/>
        <v>692</v>
      </c>
      <c r="AM691" s="322">
        <f t="shared" si="310"/>
        <v>3</v>
      </c>
      <c r="AN691" s="380">
        <f>IF(AND(AH691&gt;0,B691&lt;&gt;""),VLOOKUP(I691,'AUX-NIV3'!$B:$AO,39,FALSE)*O691,0)</f>
        <v>0</v>
      </c>
      <c r="AO691" s="380">
        <f t="shared" si="300"/>
        <v>3.125E-2</v>
      </c>
      <c r="AP691" s="380"/>
    </row>
    <row r="692" spans="2:42" ht="14.4" hidden="1" thickTop="1" thickBot="1">
      <c r="B692" s="324" t="s">
        <v>2815</v>
      </c>
      <c r="C692" s="325" t="s">
        <v>1485</v>
      </c>
      <c r="D692" s="326" t="s">
        <v>1160</v>
      </c>
      <c r="E692" s="327">
        <f>IF(B692&lt;&gt;"",SUMIF('AUX-NIV1'!I:I,'AUX-NIV2'!B692,'AUX-NIV1'!Q:Q),"")</f>
        <v>0</v>
      </c>
      <c r="F692" s="327">
        <f t="shared" si="290"/>
        <v>69.772044176789194</v>
      </c>
      <c r="G692" s="327">
        <f t="shared" si="291"/>
        <v>0</v>
      </c>
      <c r="H692" s="328" t="str">
        <f t="shared" si="311"/>
        <v>E</v>
      </c>
      <c r="I692" s="325" t="s">
        <v>1569</v>
      </c>
      <c r="J692" s="329" t="str">
        <f>IF(B692&lt;&gt;"",+VLOOKUP(I692,Recursos!C:F,2,FALSE),"")</f>
        <v>COMPACTADOR NEUMAT.AUTOPROP.(22 T)</v>
      </c>
      <c r="K692" s="330" t="str">
        <f>IF(B692&lt;&gt;"",+VLOOKUP(I692,Recursos!C:F,3,FALSE),"")</f>
        <v>HR</v>
      </c>
      <c r="L692" s="446">
        <f>IF(B692&lt;&gt;"",+VLOOKUP(I692,Recursos!C:F,4,FALSE),"")</f>
        <v>1797.6897833333335</v>
      </c>
      <c r="M692" s="450">
        <v>120</v>
      </c>
      <c r="N692" s="451">
        <v>1</v>
      </c>
      <c r="O692" s="449">
        <f t="shared" si="314"/>
        <v>8.3333333333333332E-3</v>
      </c>
      <c r="P692" s="333">
        <f t="shared" si="287"/>
        <v>14.980748194444445</v>
      </c>
      <c r="Q692" s="327">
        <f t="shared" si="288"/>
        <v>0</v>
      </c>
      <c r="R692" s="334">
        <f t="shared" si="289"/>
        <v>0</v>
      </c>
      <c r="S692" s="335">
        <f t="shared" si="292"/>
        <v>18.158162649011423</v>
      </c>
      <c r="T692" s="335">
        <f t="shared" si="293"/>
        <v>51.613881527777778</v>
      </c>
      <c r="U692" s="336">
        <f t="shared" si="294"/>
        <v>0</v>
      </c>
      <c r="V692" s="336">
        <f t="shared" si="295"/>
        <v>0</v>
      </c>
      <c r="W692" s="336">
        <f t="shared" si="296"/>
        <v>0</v>
      </c>
      <c r="X692" s="336">
        <f t="shared" si="297"/>
        <v>0</v>
      </c>
      <c r="Y692" s="320"/>
      <c r="Z692" s="321" t="str">
        <f t="shared" si="301"/>
        <v>X-CDBA</v>
      </c>
      <c r="AA692" s="321" t="str">
        <f t="shared" si="302"/>
        <v>X-CDBE</v>
      </c>
      <c r="AB692" s="321" t="str">
        <f t="shared" si="303"/>
        <v>X-CDBM</v>
      </c>
      <c r="AC692" s="321" t="str">
        <f t="shared" si="304"/>
        <v>X-CDBT</v>
      </c>
      <c r="AD692" s="321" t="str">
        <f t="shared" si="305"/>
        <v>X-CDBS</v>
      </c>
      <c r="AE692" s="321" t="str">
        <f t="shared" si="306"/>
        <v>X-CDBX</v>
      </c>
      <c r="AF692" s="321" t="str">
        <f t="shared" si="307"/>
        <v>X-CDBE</v>
      </c>
      <c r="AG692" s="321">
        <f t="shared" si="298"/>
        <v>4</v>
      </c>
      <c r="AH692" s="321">
        <f>IF(B692&lt;&gt;"",IF(H692="x",VLOOKUP(I692,'AUX-NIV3'!B:AG,32,FALSE),0),"")</f>
        <v>0</v>
      </c>
      <c r="AI692" s="321" t="str">
        <f t="shared" si="308"/>
        <v>X-CDB</v>
      </c>
      <c r="AJ692" s="320"/>
      <c r="AK692" s="322">
        <f t="shared" si="299"/>
        <v>689</v>
      </c>
      <c r="AL692" s="323">
        <f t="shared" si="309"/>
        <v>692</v>
      </c>
      <c r="AM692" s="322">
        <f t="shared" si="310"/>
        <v>4</v>
      </c>
      <c r="AN692" s="380">
        <f>IF(AND(AH692&gt;0,B692&lt;&gt;""),VLOOKUP(I692,'AUX-NIV3'!$B:$AO,39,FALSE)*O692,0)</f>
        <v>0</v>
      </c>
      <c r="AO692" s="380">
        <f t="shared" si="300"/>
        <v>3.125E-2</v>
      </c>
      <c r="AP692" s="380"/>
    </row>
    <row r="693" spans="2:42" ht="14.4" hidden="1" thickTop="1" thickBot="1">
      <c r="B693" s="324" t="s">
        <v>2816</v>
      </c>
      <c r="C693" s="325" t="s">
        <v>2817</v>
      </c>
      <c r="D693" s="326" t="s">
        <v>1160</v>
      </c>
      <c r="E693" s="327">
        <f>IF(B693&lt;&gt;"",SUMIF('AUX-NIV1'!I:I,'AUX-NIV2'!B693,'AUX-NIV1'!Q:Q),"")</f>
        <v>0</v>
      </c>
      <c r="F693" s="327">
        <f t="shared" si="290"/>
        <v>731.32286155504607</v>
      </c>
      <c r="G693" s="327">
        <f t="shared" si="291"/>
        <v>0</v>
      </c>
      <c r="H693" s="328" t="str">
        <f t="shared" si="311"/>
        <v>X</v>
      </c>
      <c r="I693" s="325" t="s">
        <v>2746</v>
      </c>
      <c r="J693" s="329" t="str">
        <f>IF(B693&lt;&gt;"",+VLOOKUP(I693,Recursos!C:F,2,FALSE),"")</f>
        <v>Obtención de Agua para Riego</v>
      </c>
      <c r="K693" s="330" t="str">
        <f>IF(B693&lt;&gt;"",+VLOOKUP(I693,Recursos!C:F,3,FALSE),"")</f>
        <v>m3</v>
      </c>
      <c r="L693" s="327">
        <f>IF(B693&lt;&gt;"",+VLOOKUP(I693,Recursos!C:F,4,FALSE),"")</f>
        <v>148.35029836815718</v>
      </c>
      <c r="M693" s="516">
        <v>1</v>
      </c>
      <c r="N693" s="516"/>
      <c r="O693" s="502">
        <f>+M693</f>
        <v>1</v>
      </c>
      <c r="P693" s="333">
        <f t="shared" si="287"/>
        <v>148.35029836815718</v>
      </c>
      <c r="Q693" s="327">
        <f t="shared" si="288"/>
        <v>0</v>
      </c>
      <c r="R693" s="334">
        <f t="shared" si="289"/>
        <v>0</v>
      </c>
      <c r="S693" s="335">
        <f t="shared" si="292"/>
        <v>0</v>
      </c>
      <c r="T693" s="335">
        <f t="shared" si="293"/>
        <v>0</v>
      </c>
      <c r="U693" s="336">
        <f t="shared" si="294"/>
        <v>0</v>
      </c>
      <c r="V693" s="336">
        <f t="shared" si="295"/>
        <v>0</v>
      </c>
      <c r="W693" s="336">
        <f t="shared" si="296"/>
        <v>0</v>
      </c>
      <c r="X693" s="336">
        <f t="shared" si="297"/>
        <v>731.32286155504607</v>
      </c>
      <c r="Y693" s="320"/>
      <c r="Z693" s="321" t="str">
        <f t="shared" si="301"/>
        <v>X-RIEA</v>
      </c>
      <c r="AA693" s="321" t="str">
        <f t="shared" si="302"/>
        <v>X-RIEE</v>
      </c>
      <c r="AB693" s="321" t="str">
        <f t="shared" si="303"/>
        <v>X-RIEM</v>
      </c>
      <c r="AC693" s="321" t="str">
        <f t="shared" si="304"/>
        <v>X-RIET</v>
      </c>
      <c r="AD693" s="321" t="str">
        <f t="shared" si="305"/>
        <v>X-RIES</v>
      </c>
      <c r="AE693" s="321" t="str">
        <f t="shared" si="306"/>
        <v>X-RIEX</v>
      </c>
      <c r="AF693" s="321" t="str">
        <f t="shared" si="307"/>
        <v>X-RIEX</v>
      </c>
      <c r="AG693" s="321">
        <f t="shared" si="298"/>
        <v>3</v>
      </c>
      <c r="AH693" s="321">
        <f>IF(B693&lt;&gt;"",IF(H693="x",VLOOKUP(I693,'AUX-NIV3'!B:AG,32,FALSE),0),"")</f>
        <v>5</v>
      </c>
      <c r="AI693" s="321" t="str">
        <f t="shared" si="308"/>
        <v>X-RIE</v>
      </c>
      <c r="AJ693" s="320"/>
      <c r="AK693" s="322">
        <f t="shared" si="299"/>
        <v>693</v>
      </c>
      <c r="AL693" s="323">
        <f t="shared" si="309"/>
        <v>695</v>
      </c>
      <c r="AM693" s="322">
        <f t="shared" si="310"/>
        <v>1</v>
      </c>
      <c r="AN693" s="380">
        <f>IF(AND(AH693&gt;0,B693&lt;&gt;""),VLOOKUP(I693,'AUX-NIV3'!$B:$AO,39,FALSE)*O693,0)</f>
        <v>3.3333333333333333E-2</v>
      </c>
      <c r="AO693" s="380">
        <f t="shared" si="300"/>
        <v>0.34831349206349205</v>
      </c>
      <c r="AP693" s="380"/>
    </row>
    <row r="694" spans="2:42" ht="14.4" hidden="1" thickTop="1" thickBot="1">
      <c r="B694" s="324" t="s">
        <v>2816</v>
      </c>
      <c r="C694" s="325" t="s">
        <v>2817</v>
      </c>
      <c r="D694" s="326" t="s">
        <v>1160</v>
      </c>
      <c r="E694" s="327">
        <f>IF(B694&lt;&gt;"",SUMIF('AUX-NIV1'!I:I,'AUX-NIV2'!B694,'AUX-NIV1'!Q:Q),"")</f>
        <v>0</v>
      </c>
      <c r="F694" s="327">
        <f t="shared" si="290"/>
        <v>731.32286155504607</v>
      </c>
      <c r="G694" s="327">
        <f t="shared" si="291"/>
        <v>0</v>
      </c>
      <c r="H694" s="328" t="str">
        <f t="shared" si="311"/>
        <v>X</v>
      </c>
      <c r="I694" s="325" t="s">
        <v>2748</v>
      </c>
      <c r="J694" s="329" t="str">
        <f>IF(B694&lt;&gt;"",+VLOOKUP(I694,Recursos!C:F,2,FALSE),"")</f>
        <v>Transporte de Agua para riego</v>
      </c>
      <c r="K694" s="330" t="str">
        <f>IF(B694&lt;&gt;"",+VLOOKUP(I694,Recursos!C:F,3,FALSE),"")</f>
        <v>m3</v>
      </c>
      <c r="L694" s="327">
        <f>IF(B694&lt;&gt;"",+VLOOKUP(I694,Recursos!C:F,4,FALSE),"")</f>
        <v>368.5637895861521</v>
      </c>
      <c r="M694" s="517">
        <v>1</v>
      </c>
      <c r="N694" s="517"/>
      <c r="O694" s="502">
        <f>+M694</f>
        <v>1</v>
      </c>
      <c r="P694" s="333">
        <f t="shared" si="287"/>
        <v>368.5637895861521</v>
      </c>
      <c r="Q694" s="327">
        <f t="shared" si="288"/>
        <v>0</v>
      </c>
      <c r="R694" s="334">
        <f t="shared" si="289"/>
        <v>0</v>
      </c>
      <c r="S694" s="335">
        <f t="shared" si="292"/>
        <v>0</v>
      </c>
      <c r="T694" s="335">
        <f t="shared" si="293"/>
        <v>0</v>
      </c>
      <c r="U694" s="336">
        <f t="shared" si="294"/>
        <v>0</v>
      </c>
      <c r="V694" s="336">
        <f t="shared" si="295"/>
        <v>0</v>
      </c>
      <c r="W694" s="336">
        <f t="shared" si="296"/>
        <v>0</v>
      </c>
      <c r="X694" s="336">
        <f t="shared" si="297"/>
        <v>731.32286155504607</v>
      </c>
      <c r="Y694" s="320"/>
      <c r="Z694" s="321" t="str">
        <f t="shared" si="301"/>
        <v>X-RIEA</v>
      </c>
      <c r="AA694" s="321" t="str">
        <f t="shared" si="302"/>
        <v>X-RIEE</v>
      </c>
      <c r="AB694" s="321" t="str">
        <f t="shared" si="303"/>
        <v>X-RIEM</v>
      </c>
      <c r="AC694" s="321" t="str">
        <f t="shared" si="304"/>
        <v>X-RIET</v>
      </c>
      <c r="AD694" s="321" t="str">
        <f t="shared" si="305"/>
        <v>X-RIES</v>
      </c>
      <c r="AE694" s="321" t="str">
        <f t="shared" si="306"/>
        <v>X-RIEX</v>
      </c>
      <c r="AF694" s="321" t="str">
        <f t="shared" si="307"/>
        <v>X-RIEX</v>
      </c>
      <c r="AG694" s="321">
        <f t="shared" si="298"/>
        <v>3</v>
      </c>
      <c r="AH694" s="321">
        <f>IF(B694&lt;&gt;"",IF(H694="x",VLOOKUP(I694,'AUX-NIV3'!B:AG,32,FALSE),0),"")</f>
        <v>2</v>
      </c>
      <c r="AI694" s="321" t="str">
        <f t="shared" si="308"/>
        <v>X-RIE</v>
      </c>
      <c r="AJ694" s="320"/>
      <c r="AK694" s="322">
        <f t="shared" si="299"/>
        <v>693</v>
      </c>
      <c r="AL694" s="323">
        <f t="shared" si="309"/>
        <v>695</v>
      </c>
      <c r="AM694" s="322">
        <f t="shared" si="310"/>
        <v>2</v>
      </c>
      <c r="AN694" s="380">
        <f>IF(AND(AH694&gt;0,B694&lt;&gt;""),VLOOKUP(I694,'AUX-NIV3'!$B:$AO,39,FALSE)*O694,0)</f>
        <v>0.15873015873015872</v>
      </c>
      <c r="AO694" s="380">
        <f t="shared" si="300"/>
        <v>0.34831349206349205</v>
      </c>
      <c r="AP694" s="380"/>
    </row>
    <row r="695" spans="2:42" ht="14.4" hidden="1" thickTop="1" thickBot="1">
      <c r="B695" s="324" t="s">
        <v>2816</v>
      </c>
      <c r="C695" s="325" t="s">
        <v>2817</v>
      </c>
      <c r="D695" s="326" t="s">
        <v>1160</v>
      </c>
      <c r="E695" s="327">
        <f>IF(B695&lt;&gt;"",SUMIF('AUX-NIV1'!I:I,'AUX-NIV2'!B695,'AUX-NIV1'!Q:Q),"")</f>
        <v>0</v>
      </c>
      <c r="F695" s="327">
        <f t="shared" si="290"/>
        <v>731.32286155504607</v>
      </c>
      <c r="G695" s="327">
        <f t="shared" si="291"/>
        <v>0</v>
      </c>
      <c r="H695" s="328" t="str">
        <f t="shared" si="311"/>
        <v>X</v>
      </c>
      <c r="I695" s="325" t="s">
        <v>2750</v>
      </c>
      <c r="J695" s="329" t="str">
        <f>IF(B695&lt;&gt;"",+VLOOKUP(I695,Recursos!C:F,2,FALSE),"")</f>
        <v>Riego para terraplen</v>
      </c>
      <c r="K695" s="330" t="str">
        <f>IF(B695&lt;&gt;"",+VLOOKUP(I695,Recursos!C:F,3,FALSE),"")</f>
        <v>m3</v>
      </c>
      <c r="L695" s="327">
        <f>IF(B695&lt;&gt;"",+VLOOKUP(I695,Recursos!C:F,4,FALSE),"")</f>
        <v>214.40877360073679</v>
      </c>
      <c r="M695" s="517">
        <v>1</v>
      </c>
      <c r="N695" s="517"/>
      <c r="O695" s="502">
        <f>+M695</f>
        <v>1</v>
      </c>
      <c r="P695" s="333">
        <f t="shared" si="287"/>
        <v>214.40877360073679</v>
      </c>
      <c r="Q695" s="327">
        <f t="shared" si="288"/>
        <v>0</v>
      </c>
      <c r="R695" s="334">
        <f t="shared" si="289"/>
        <v>0</v>
      </c>
      <c r="S695" s="335">
        <f t="shared" si="292"/>
        <v>0</v>
      </c>
      <c r="T695" s="335">
        <f t="shared" si="293"/>
        <v>0</v>
      </c>
      <c r="U695" s="336">
        <f t="shared" si="294"/>
        <v>0</v>
      </c>
      <c r="V695" s="336">
        <f t="shared" si="295"/>
        <v>0</v>
      </c>
      <c r="W695" s="336">
        <f t="shared" si="296"/>
        <v>0</v>
      </c>
      <c r="X695" s="336">
        <f t="shared" si="297"/>
        <v>731.32286155504607</v>
      </c>
      <c r="Y695" s="320"/>
      <c r="Z695" s="321" t="str">
        <f t="shared" si="301"/>
        <v>X-RIEA</v>
      </c>
      <c r="AA695" s="321" t="str">
        <f t="shared" si="302"/>
        <v>X-RIEE</v>
      </c>
      <c r="AB695" s="321" t="str">
        <f t="shared" si="303"/>
        <v>X-RIEM</v>
      </c>
      <c r="AC695" s="321" t="str">
        <f t="shared" si="304"/>
        <v>X-RIET</v>
      </c>
      <c r="AD695" s="321" t="str">
        <f t="shared" si="305"/>
        <v>X-RIES</v>
      </c>
      <c r="AE695" s="321" t="str">
        <f t="shared" si="306"/>
        <v>X-RIEX</v>
      </c>
      <c r="AF695" s="321" t="str">
        <f t="shared" si="307"/>
        <v>X-RIEX</v>
      </c>
      <c r="AG695" s="321">
        <f t="shared" si="298"/>
        <v>3</v>
      </c>
      <c r="AH695" s="321">
        <f>IF(B695&lt;&gt;"",IF(H695="x",VLOOKUP(I695,'AUX-NIV3'!B:AG,32,FALSE),0),"")</f>
        <v>3</v>
      </c>
      <c r="AI695" s="321" t="str">
        <f t="shared" si="308"/>
        <v>X-RIE</v>
      </c>
      <c r="AJ695" s="320"/>
      <c r="AK695" s="322">
        <f t="shared" si="299"/>
        <v>693</v>
      </c>
      <c r="AL695" s="323">
        <f t="shared" si="309"/>
        <v>695</v>
      </c>
      <c r="AM695" s="322">
        <f t="shared" si="310"/>
        <v>3</v>
      </c>
      <c r="AN695" s="380">
        <f>IF(AND(AH695&gt;0,B695&lt;&gt;""),VLOOKUP(I695,'AUX-NIV3'!$B:$AO,39,FALSE)*O695,0)</f>
        <v>0.15625</v>
      </c>
      <c r="AO695" s="380">
        <f t="shared" si="300"/>
        <v>0.34831349206349205</v>
      </c>
      <c r="AP695" s="380"/>
    </row>
    <row r="696" spans="2:42" ht="14.4" hidden="1" thickTop="1" thickBot="1">
      <c r="B696" s="501" t="s">
        <v>2818</v>
      </c>
      <c r="C696" s="950" t="s">
        <v>2819</v>
      </c>
      <c r="D696" s="326" t="s">
        <v>1385</v>
      </c>
      <c r="E696" s="327">
        <f>IF(B696&lt;&gt;"",SUMIF('AUX-NIV1'!I:I,'AUX-NIV2'!B696,'AUX-NIV1'!Q:Q),"")</f>
        <v>0</v>
      </c>
      <c r="F696" s="327">
        <f t="shared" si="290"/>
        <v>25.080438599876832</v>
      </c>
      <c r="G696" s="327">
        <f t="shared" si="291"/>
        <v>0</v>
      </c>
      <c r="H696" s="328" t="str">
        <f t="shared" si="311"/>
        <v>X</v>
      </c>
      <c r="I696" s="324" t="s">
        <v>2758</v>
      </c>
      <c r="J696" s="329" t="str">
        <f>IF(B696&lt;&gt;"",+VLOOKUP(I696,Recursos!C:F,2,FALSE),"")</f>
        <v>Transporte de Suelo DMT 5 km</v>
      </c>
      <c r="K696" s="330" t="str">
        <f>IF(B696&lt;&gt;"",+VLOOKUP(I696,Recursos!C:F,3,FALSE),"")</f>
        <v>m3s.km</v>
      </c>
      <c r="L696" s="327">
        <f>IF(B696&lt;&gt;"",+VLOOKUP(I696,Recursos!C:F,4,FALSE),"")</f>
        <v>25.080438599876832</v>
      </c>
      <c r="M696" s="517">
        <v>1</v>
      </c>
      <c r="N696" s="517"/>
      <c r="O696" s="502">
        <f>+M696</f>
        <v>1</v>
      </c>
      <c r="P696" s="333">
        <f t="shared" si="287"/>
        <v>25.080438599876832</v>
      </c>
      <c r="Q696" s="327">
        <f t="shared" si="288"/>
        <v>0</v>
      </c>
      <c r="R696" s="334">
        <f t="shared" si="289"/>
        <v>0</v>
      </c>
      <c r="S696" s="335">
        <f t="shared" si="292"/>
        <v>0</v>
      </c>
      <c r="T696" s="335">
        <f t="shared" si="293"/>
        <v>0</v>
      </c>
      <c r="U696" s="336">
        <f t="shared" si="294"/>
        <v>0</v>
      </c>
      <c r="V696" s="336">
        <f t="shared" si="295"/>
        <v>0</v>
      </c>
      <c r="W696" s="336">
        <f t="shared" si="296"/>
        <v>0</v>
      </c>
      <c r="X696" s="336">
        <f t="shared" si="297"/>
        <v>25.080438599876832</v>
      </c>
      <c r="Y696" s="320"/>
      <c r="Z696" s="321" t="str">
        <f t="shared" si="301"/>
        <v>X-TRA5KMA</v>
      </c>
      <c r="AA696" s="321" t="str">
        <f t="shared" si="302"/>
        <v>X-TRA5KME</v>
      </c>
      <c r="AB696" s="321" t="str">
        <f t="shared" si="303"/>
        <v>X-TRA5KMM</v>
      </c>
      <c r="AC696" s="321" t="str">
        <f t="shared" si="304"/>
        <v>X-TRA5KMT</v>
      </c>
      <c r="AD696" s="321" t="str">
        <f t="shared" si="305"/>
        <v>X-TRA5KMS</v>
      </c>
      <c r="AE696" s="321" t="str">
        <f t="shared" si="306"/>
        <v>X-TRA5KMX</v>
      </c>
      <c r="AF696" s="321" t="str">
        <f t="shared" si="307"/>
        <v>X-TRA5KMX</v>
      </c>
      <c r="AG696" s="321">
        <f t="shared" si="298"/>
        <v>1</v>
      </c>
      <c r="AH696" s="321">
        <f>IF(B696&lt;&gt;"",IF(H696="x",VLOOKUP(I696,'AUX-NIV3'!B:AG,32,FALSE),0),"")</f>
        <v>2</v>
      </c>
      <c r="AI696" s="321" t="str">
        <f t="shared" si="308"/>
        <v>X-TRA5KM</v>
      </c>
      <c r="AJ696" s="320"/>
      <c r="AK696" s="322">
        <f t="shared" si="299"/>
        <v>696</v>
      </c>
      <c r="AL696" s="323">
        <f t="shared" si="309"/>
        <v>696</v>
      </c>
      <c r="AM696" s="322">
        <f t="shared" si="310"/>
        <v>1</v>
      </c>
      <c r="AN696" s="380">
        <f>IF(AND(AH696&gt;0,B696&lt;&gt;""),VLOOKUP(I696,'AUX-NIV3'!$B:$AO,39,FALSE)*O696,0)</f>
        <v>7.9280045351473923E-3</v>
      </c>
      <c r="AO696" s="380">
        <f t="shared" si="300"/>
        <v>7.9280045351473923E-3</v>
      </c>
      <c r="AP696" s="380"/>
    </row>
    <row r="697" spans="2:42" ht="14.4" hidden="1" thickTop="1" thickBot="1">
      <c r="B697" s="501" t="s">
        <v>2820</v>
      </c>
      <c r="C697" s="951" t="s">
        <v>2821</v>
      </c>
      <c r="D697" s="326" t="s">
        <v>1160</v>
      </c>
      <c r="E697" s="327">
        <f>IF(B697&lt;&gt;"",SUMIF('AUX-NIV1'!I:I,'AUX-NIV2'!B697,'AUX-NIV1'!Q:Q),"")</f>
        <v>0</v>
      </c>
      <c r="F697" s="327">
        <f t="shared" si="290"/>
        <v>1399.0938009306765</v>
      </c>
      <c r="G697" s="327">
        <f t="shared" si="291"/>
        <v>0</v>
      </c>
      <c r="H697" s="328" t="str">
        <f t="shared" si="311"/>
        <v>S</v>
      </c>
      <c r="I697" s="325" t="s">
        <v>2499</v>
      </c>
      <c r="J697" s="329" t="str">
        <f>IF(B697&lt;&gt;"",+VLOOKUP(I697,Recursos!C:F,2,FALSE),"")</f>
        <v>CANON DE EXPLOT. YACIMIENTOS</v>
      </c>
      <c r="K697" s="330" t="str">
        <f>IF(B697&lt;&gt;"",+VLOOKUP(I697,Recursos!C:F,3,FALSE),"")</f>
        <v>m3b</v>
      </c>
      <c r="L697" s="446">
        <f>IF(B697&lt;&gt;"",+VLOOKUP(I697,Recursos!C:F,4,FALSE),"")</f>
        <v>100</v>
      </c>
      <c r="M697" s="447">
        <v>1.25</v>
      </c>
      <c r="N697" s="448"/>
      <c r="O697" s="449">
        <f>+M697</f>
        <v>1.25</v>
      </c>
      <c r="P697" s="333">
        <f t="shared" si="287"/>
        <v>125</v>
      </c>
      <c r="Q697" s="327">
        <f t="shared" si="288"/>
        <v>0</v>
      </c>
      <c r="R697" s="334">
        <f t="shared" si="289"/>
        <v>0</v>
      </c>
      <c r="S697" s="335">
        <f t="shared" si="292"/>
        <v>0</v>
      </c>
      <c r="T697" s="335">
        <f t="shared" si="293"/>
        <v>0</v>
      </c>
      <c r="U697" s="336">
        <f t="shared" si="294"/>
        <v>875</v>
      </c>
      <c r="V697" s="336">
        <f t="shared" si="295"/>
        <v>0</v>
      </c>
      <c r="W697" s="336">
        <f t="shared" si="296"/>
        <v>125</v>
      </c>
      <c r="X697" s="336">
        <f t="shared" si="297"/>
        <v>399.09380093067654</v>
      </c>
      <c r="Y697" s="320"/>
      <c r="Z697" s="321" t="str">
        <f t="shared" si="301"/>
        <v>X-APBA</v>
      </c>
      <c r="AA697" s="321" t="str">
        <f t="shared" si="302"/>
        <v>X-APBE</v>
      </c>
      <c r="AB697" s="321" t="str">
        <f t="shared" si="303"/>
        <v>X-APBM</v>
      </c>
      <c r="AC697" s="321" t="str">
        <f t="shared" si="304"/>
        <v>X-APBT</v>
      </c>
      <c r="AD697" s="321" t="str">
        <f t="shared" si="305"/>
        <v>X-APBS</v>
      </c>
      <c r="AE697" s="321" t="str">
        <f t="shared" si="306"/>
        <v>X-APBX</v>
      </c>
      <c r="AF697" s="321" t="str">
        <f t="shared" si="307"/>
        <v>X-APBS</v>
      </c>
      <c r="AG697" s="321">
        <f t="shared" si="298"/>
        <v>5</v>
      </c>
      <c r="AH697" s="321">
        <f>IF(B697&lt;&gt;"",IF(H697="x",VLOOKUP(I697,'AUX-NIV3'!B:AG,32,FALSE),0),"")</f>
        <v>0</v>
      </c>
      <c r="AI697" s="321" t="str">
        <f t="shared" si="308"/>
        <v>X-APB</v>
      </c>
      <c r="AJ697" s="320"/>
      <c r="AK697" s="322">
        <f t="shared" si="299"/>
        <v>697</v>
      </c>
      <c r="AL697" s="323">
        <f t="shared" si="309"/>
        <v>701</v>
      </c>
      <c r="AM697" s="322">
        <f t="shared" si="310"/>
        <v>1</v>
      </c>
      <c r="AN697" s="380">
        <f>IF(AND(AH697&gt;0,B697&lt;&gt;""),VLOOKUP(I697,'AUX-NIV3'!$B:$AO,39,FALSE)*O697,0)</f>
        <v>0</v>
      </c>
      <c r="AO697" s="380">
        <f t="shared" si="300"/>
        <v>0.14108049886621316</v>
      </c>
      <c r="AP697" s="380"/>
    </row>
    <row r="698" spans="2:42" ht="14.4" hidden="1" thickTop="1" thickBot="1">
      <c r="B698" s="501" t="s">
        <v>2820</v>
      </c>
      <c r="C698" s="951" t="s">
        <v>2821</v>
      </c>
      <c r="D698" s="326" t="s">
        <v>1160</v>
      </c>
      <c r="E698" s="327">
        <f>IF(B698&lt;&gt;"",SUMIF('AUX-NIV1'!I:I,'AUX-NIV2'!B698,'AUX-NIV1'!Q:Q),"")</f>
        <v>0</v>
      </c>
      <c r="F698" s="327">
        <f t="shared" si="290"/>
        <v>1399.0938009306765</v>
      </c>
      <c r="G698" s="327">
        <f t="shared" si="291"/>
        <v>0</v>
      </c>
      <c r="H698" s="328" t="str">
        <f t="shared" si="311"/>
        <v>M</v>
      </c>
      <c r="I698" s="469" t="s">
        <v>1768</v>
      </c>
      <c r="J698" s="329" t="str">
        <f>IF(B698&lt;&gt;"",+VLOOKUP(I698,Recursos!C:F,2,FALSE),"")</f>
        <v>AGREGADO CLASIFICADO</v>
      </c>
      <c r="K698" s="330" t="str">
        <f>IF(B698&lt;&gt;"",+VLOOKUP(I698,Recursos!C:F,3,FALSE),"")</f>
        <v>Tn</v>
      </c>
      <c r="L698" s="446">
        <f>IF(B698&lt;&gt;"",+VLOOKUP(I698,Recursos!C:F,4,FALSE),"")</f>
        <v>700</v>
      </c>
      <c r="M698" s="452">
        <v>1</v>
      </c>
      <c r="N698" s="455"/>
      <c r="O698" s="449">
        <f>+M697/M698</f>
        <v>1.25</v>
      </c>
      <c r="P698" s="333">
        <f t="shared" si="287"/>
        <v>875</v>
      </c>
      <c r="Q698" s="327">
        <f t="shared" si="288"/>
        <v>0</v>
      </c>
      <c r="R698" s="334">
        <f t="shared" si="289"/>
        <v>0</v>
      </c>
      <c r="S698" s="335">
        <f t="shared" si="292"/>
        <v>0</v>
      </c>
      <c r="T698" s="335">
        <f t="shared" si="293"/>
        <v>0</v>
      </c>
      <c r="U698" s="336">
        <f t="shared" si="294"/>
        <v>875</v>
      </c>
      <c r="V698" s="336">
        <f t="shared" si="295"/>
        <v>0</v>
      </c>
      <c r="W698" s="336">
        <f t="shared" si="296"/>
        <v>125</v>
      </c>
      <c r="X698" s="336">
        <f t="shared" si="297"/>
        <v>399.09380093067654</v>
      </c>
      <c r="Y698" s="320"/>
      <c r="Z698" s="321" t="str">
        <f t="shared" si="301"/>
        <v>X-APBA</v>
      </c>
      <c r="AA698" s="321" t="str">
        <f t="shared" si="302"/>
        <v>X-APBE</v>
      </c>
      <c r="AB698" s="321" t="str">
        <f t="shared" si="303"/>
        <v>X-APBM</v>
      </c>
      <c r="AC698" s="321" t="str">
        <f t="shared" si="304"/>
        <v>X-APBT</v>
      </c>
      <c r="AD698" s="321" t="str">
        <f t="shared" si="305"/>
        <v>X-APBS</v>
      </c>
      <c r="AE698" s="321" t="str">
        <f t="shared" si="306"/>
        <v>X-APBX</v>
      </c>
      <c r="AF698" s="321" t="str">
        <f t="shared" si="307"/>
        <v>X-APBM</v>
      </c>
      <c r="AG698" s="321">
        <f t="shared" si="298"/>
        <v>5</v>
      </c>
      <c r="AH698" s="321">
        <f>IF(B698&lt;&gt;"",IF(H698="x",VLOOKUP(I698,'AUX-NIV3'!B:AG,32,FALSE),0),"")</f>
        <v>0</v>
      </c>
      <c r="AI698" s="321" t="str">
        <f t="shared" si="308"/>
        <v>X-APB</v>
      </c>
      <c r="AJ698" s="320"/>
      <c r="AK698" s="322">
        <f t="shared" si="299"/>
        <v>697</v>
      </c>
      <c r="AL698" s="323">
        <f t="shared" si="309"/>
        <v>701</v>
      </c>
      <c r="AM698" s="322">
        <f t="shared" si="310"/>
        <v>2</v>
      </c>
      <c r="AN698" s="380">
        <f>IF(AND(AH698&gt;0,B698&lt;&gt;""),VLOOKUP(I698,'AUX-NIV3'!$B:$AO,39,FALSE)*O698,0)</f>
        <v>0</v>
      </c>
      <c r="AO698" s="380">
        <f t="shared" si="300"/>
        <v>0.14108049886621316</v>
      </c>
      <c r="AP698" s="380"/>
    </row>
    <row r="699" spans="2:42" ht="14.4" hidden="1" thickTop="1" thickBot="1">
      <c r="B699" s="501" t="s">
        <v>2820</v>
      </c>
      <c r="C699" s="951" t="s">
        <v>2821</v>
      </c>
      <c r="D699" s="326" t="s">
        <v>1160</v>
      </c>
      <c r="E699" s="327">
        <f>IF(B699&lt;&gt;"",SUMIF('AUX-NIV1'!I:I,'AUX-NIV2'!B699,'AUX-NIV1'!Q:Q),"")</f>
        <v>0</v>
      </c>
      <c r="F699" s="327">
        <f t="shared" si="290"/>
        <v>1399.0938009306765</v>
      </c>
      <c r="G699" s="327">
        <f t="shared" si="291"/>
        <v>0</v>
      </c>
      <c r="H699" s="328" t="str">
        <f t="shared" si="311"/>
        <v>X</v>
      </c>
      <c r="I699" s="325" t="s">
        <v>2797</v>
      </c>
      <c r="J699" s="329" t="str">
        <f>IF(B699&lt;&gt;"",+VLOOKUP(I699,Recursos!C:F,2,FALSE),"")</f>
        <v>Transporte de Materiales DMT&gt;20 km</v>
      </c>
      <c r="K699" s="330" t="str">
        <f>IF(B699&lt;&gt;"",+VLOOKUP(I699,Recursos!C:F,3,FALSE),"")</f>
        <v>m3s.km</v>
      </c>
      <c r="L699" s="446">
        <f>IF(B699&lt;&gt;"",+VLOOKUP(I699,Recursos!C:F,4,FALSE),"")</f>
        <v>16.0627437751833</v>
      </c>
      <c r="M699" s="452">
        <v>20</v>
      </c>
      <c r="N699" s="453">
        <v>0</v>
      </c>
      <c r="O699" s="449">
        <f>+M699*(1-N699)</f>
        <v>20</v>
      </c>
      <c r="P699" s="333">
        <f t="shared" si="287"/>
        <v>321.25487550366597</v>
      </c>
      <c r="Q699" s="327">
        <f t="shared" si="288"/>
        <v>0</v>
      </c>
      <c r="R699" s="334">
        <f t="shared" si="289"/>
        <v>0</v>
      </c>
      <c r="S699" s="335">
        <f t="shared" si="292"/>
        <v>0</v>
      </c>
      <c r="T699" s="335">
        <f t="shared" si="293"/>
        <v>0</v>
      </c>
      <c r="U699" s="336">
        <f t="shared" si="294"/>
        <v>875</v>
      </c>
      <c r="V699" s="336">
        <f t="shared" si="295"/>
        <v>0</v>
      </c>
      <c r="W699" s="336">
        <f t="shared" si="296"/>
        <v>125</v>
      </c>
      <c r="X699" s="336">
        <f t="shared" si="297"/>
        <v>399.09380093067654</v>
      </c>
      <c r="Y699" s="320"/>
      <c r="Z699" s="321" t="str">
        <f t="shared" si="301"/>
        <v>X-APBA</v>
      </c>
      <c r="AA699" s="321" t="str">
        <f t="shared" si="302"/>
        <v>X-APBE</v>
      </c>
      <c r="AB699" s="321" t="str">
        <f t="shared" si="303"/>
        <v>X-APBM</v>
      </c>
      <c r="AC699" s="321" t="str">
        <f t="shared" si="304"/>
        <v>X-APBT</v>
      </c>
      <c r="AD699" s="321" t="str">
        <f t="shared" si="305"/>
        <v>X-APBS</v>
      </c>
      <c r="AE699" s="321" t="str">
        <f t="shared" si="306"/>
        <v>X-APBX</v>
      </c>
      <c r="AF699" s="321" t="str">
        <f t="shared" si="307"/>
        <v>X-APBX</v>
      </c>
      <c r="AG699" s="321">
        <f t="shared" si="298"/>
        <v>5</v>
      </c>
      <c r="AH699" s="321">
        <f>IF(B699&lt;&gt;"",IF(H699="x",VLOOKUP(I699,'AUX-NIV3'!B:AG,32,FALSE),0),"")</f>
        <v>2</v>
      </c>
      <c r="AI699" s="321" t="str">
        <f t="shared" si="308"/>
        <v>X-APB</v>
      </c>
      <c r="AJ699" s="320"/>
      <c r="AK699" s="322">
        <f t="shared" si="299"/>
        <v>697</v>
      </c>
      <c r="AL699" s="323">
        <f t="shared" si="309"/>
        <v>701</v>
      </c>
      <c r="AM699" s="322">
        <f t="shared" si="310"/>
        <v>3</v>
      </c>
      <c r="AN699" s="380">
        <f>IF(AND(AH699&gt;0,B699&lt;&gt;""),VLOOKUP(I699,'AUX-NIV3'!$B:$AO,39,FALSE)*O699,0)</f>
        <v>9.1080498866213166E-2</v>
      </c>
      <c r="AO699" s="380">
        <f t="shared" si="300"/>
        <v>0.14108049886621316</v>
      </c>
      <c r="AP699" s="380"/>
    </row>
    <row r="700" spans="2:42" ht="14.4" hidden="1" thickTop="1" thickBot="1">
      <c r="B700" s="501" t="s">
        <v>2820</v>
      </c>
      <c r="C700" s="951" t="s">
        <v>2821</v>
      </c>
      <c r="D700" s="326" t="s">
        <v>1160</v>
      </c>
      <c r="E700" s="327">
        <f>IF(B700&lt;&gt;"",SUMIF('AUX-NIV1'!I:I,'AUX-NIV2'!B700,'AUX-NIV1'!Q:Q),"")</f>
        <v>0</v>
      </c>
      <c r="F700" s="327">
        <f t="shared" si="290"/>
        <v>1399.0938009306765</v>
      </c>
      <c r="G700" s="327">
        <f t="shared" si="291"/>
        <v>0</v>
      </c>
      <c r="H700" s="328" t="str">
        <f t="shared" si="311"/>
        <v>X</v>
      </c>
      <c r="I700" s="325" t="s">
        <v>2756</v>
      </c>
      <c r="J700" s="329" t="str">
        <f>IF(B700&lt;&gt;"",+VLOOKUP(I700,Recursos!C:F,2,FALSE),"")</f>
        <v>Explotación préstamo con Retro</v>
      </c>
      <c r="K700" s="330" t="str">
        <f>IF(B700&lt;&gt;"",+VLOOKUP(I700,Recursos!C:F,3,FALSE),"")</f>
        <v>m3</v>
      </c>
      <c r="L700" s="446">
        <f>IF(B700&lt;&gt;"",+VLOOKUP(I700,Recursos!C:F,4,FALSE),"")</f>
        <v>62.271140341608451</v>
      </c>
      <c r="M700" s="454"/>
      <c r="N700" s="453"/>
      <c r="O700" s="449">
        <f>+M697</f>
        <v>1.25</v>
      </c>
      <c r="P700" s="333">
        <f t="shared" si="287"/>
        <v>77.838925427010565</v>
      </c>
      <c r="Q700" s="327">
        <f t="shared" si="288"/>
        <v>0</v>
      </c>
      <c r="R700" s="334">
        <f t="shared" si="289"/>
        <v>0</v>
      </c>
      <c r="S700" s="335">
        <f t="shared" si="292"/>
        <v>0</v>
      </c>
      <c r="T700" s="335">
        <f t="shared" si="293"/>
        <v>0</v>
      </c>
      <c r="U700" s="336">
        <f t="shared" si="294"/>
        <v>875</v>
      </c>
      <c r="V700" s="336">
        <f t="shared" si="295"/>
        <v>0</v>
      </c>
      <c r="W700" s="336">
        <f t="shared" si="296"/>
        <v>125</v>
      </c>
      <c r="X700" s="336">
        <f t="shared" si="297"/>
        <v>399.09380093067654</v>
      </c>
      <c r="Y700" s="320"/>
      <c r="Z700" s="321" t="str">
        <f t="shared" si="301"/>
        <v>X-APBA</v>
      </c>
      <c r="AA700" s="321" t="str">
        <f t="shared" si="302"/>
        <v>X-APBE</v>
      </c>
      <c r="AB700" s="321" t="str">
        <f t="shared" si="303"/>
        <v>X-APBM</v>
      </c>
      <c r="AC700" s="321" t="str">
        <f t="shared" si="304"/>
        <v>X-APBT</v>
      </c>
      <c r="AD700" s="321" t="str">
        <f t="shared" si="305"/>
        <v>X-APBS</v>
      </c>
      <c r="AE700" s="321" t="str">
        <f t="shared" si="306"/>
        <v>X-APBX</v>
      </c>
      <c r="AF700" s="321" t="str">
        <f t="shared" si="307"/>
        <v>X-APBX</v>
      </c>
      <c r="AG700" s="321">
        <f t="shared" si="298"/>
        <v>5</v>
      </c>
      <c r="AH700" s="321">
        <f>IF(B700&lt;&gt;"",IF(H700="x",VLOOKUP(I700,'AUX-NIV3'!B:AG,32,FALSE),0),"")</f>
        <v>4</v>
      </c>
      <c r="AI700" s="321" t="str">
        <f t="shared" si="308"/>
        <v>X-APB</v>
      </c>
      <c r="AJ700" s="320"/>
      <c r="AK700" s="322">
        <f t="shared" si="299"/>
        <v>697</v>
      </c>
      <c r="AL700" s="323">
        <f t="shared" si="309"/>
        <v>701</v>
      </c>
      <c r="AM700" s="322">
        <f t="shared" si="310"/>
        <v>4</v>
      </c>
      <c r="AN700" s="380">
        <f>IF(AND(AH700&gt;0,B700&lt;&gt;""),VLOOKUP(I700,'AUX-NIV3'!$B:$AO,39,FALSE)*O700,0)</f>
        <v>0.05</v>
      </c>
      <c r="AO700" s="380">
        <f t="shared" si="300"/>
        <v>0.14108049886621316</v>
      </c>
      <c r="AP700" s="380"/>
    </row>
    <row r="701" spans="2:42" ht="14.4" hidden="1" thickTop="1" thickBot="1">
      <c r="B701" s="501" t="s">
        <v>2820</v>
      </c>
      <c r="C701" s="951" t="s">
        <v>2821</v>
      </c>
      <c r="D701" s="326" t="s">
        <v>1160</v>
      </c>
      <c r="E701" s="327">
        <f>IF(B701&lt;&gt;"",SUMIF('AUX-NIV1'!I:I,'AUX-NIV2'!B701,'AUX-NIV1'!Q:Q),"")</f>
        <v>0</v>
      </c>
      <c r="F701" s="327">
        <f t="shared" si="290"/>
        <v>1399.0938009306765</v>
      </c>
      <c r="G701" s="327">
        <f t="shared" si="291"/>
        <v>0</v>
      </c>
      <c r="H701" s="328" t="str">
        <f t="shared" si="311"/>
        <v>X</v>
      </c>
      <c r="I701" s="325" t="s">
        <v>2797</v>
      </c>
      <c r="J701" s="329" t="str">
        <f>IF(B701&lt;&gt;"",+VLOOKUP(I701,Recursos!C:F,2,FALSE),"")</f>
        <v>Transporte de Materiales DMT&gt;20 km</v>
      </c>
      <c r="K701" s="330" t="str">
        <f>IF(B701&lt;&gt;"",+VLOOKUP(I701,Recursos!C:F,3,FALSE),"")</f>
        <v>m3s.km</v>
      </c>
      <c r="L701" s="446">
        <f>IF(B701&lt;&gt;"",+VLOOKUP(I701,Recursos!C:F,4,FALSE),"")</f>
        <v>16.0627437751833</v>
      </c>
      <c r="M701" s="456"/>
      <c r="N701" s="507"/>
      <c r="O701" s="449">
        <f>+M699*N699</f>
        <v>0</v>
      </c>
      <c r="P701" s="333">
        <f t="shared" si="287"/>
        <v>0</v>
      </c>
      <c r="Q701" s="327">
        <f t="shared" si="288"/>
        <v>0</v>
      </c>
      <c r="R701" s="334">
        <f t="shared" si="289"/>
        <v>0</v>
      </c>
      <c r="S701" s="335">
        <f t="shared" si="292"/>
        <v>0</v>
      </c>
      <c r="T701" s="335">
        <f t="shared" si="293"/>
        <v>0</v>
      </c>
      <c r="U701" s="336">
        <f t="shared" si="294"/>
        <v>875</v>
      </c>
      <c r="V701" s="336">
        <f t="shared" si="295"/>
        <v>0</v>
      </c>
      <c r="W701" s="336">
        <f t="shared" si="296"/>
        <v>125</v>
      </c>
      <c r="X701" s="336">
        <f t="shared" si="297"/>
        <v>399.09380093067654</v>
      </c>
      <c r="Y701" s="320"/>
      <c r="Z701" s="321" t="str">
        <f t="shared" si="301"/>
        <v>X-APBA</v>
      </c>
      <c r="AA701" s="321" t="str">
        <f t="shared" si="302"/>
        <v>X-APBE</v>
      </c>
      <c r="AB701" s="321" t="str">
        <f t="shared" si="303"/>
        <v>X-APBM</v>
      </c>
      <c r="AC701" s="321" t="str">
        <f t="shared" si="304"/>
        <v>X-APBT</v>
      </c>
      <c r="AD701" s="321" t="str">
        <f t="shared" si="305"/>
        <v>X-APBS</v>
      </c>
      <c r="AE701" s="321" t="str">
        <f t="shared" si="306"/>
        <v>X-APBX</v>
      </c>
      <c r="AF701" s="321" t="str">
        <f t="shared" si="307"/>
        <v>X-APBX</v>
      </c>
      <c r="AG701" s="321">
        <f t="shared" si="298"/>
        <v>5</v>
      </c>
      <c r="AH701" s="321">
        <f>IF(B701&lt;&gt;"",IF(H701="x",VLOOKUP(I701,'AUX-NIV3'!B:AG,32,FALSE),0),"")</f>
        <v>2</v>
      </c>
      <c r="AI701" s="321" t="str">
        <f t="shared" si="308"/>
        <v>X-APB</v>
      </c>
      <c r="AJ701" s="320"/>
      <c r="AK701" s="322">
        <f t="shared" si="299"/>
        <v>697</v>
      </c>
      <c r="AL701" s="323">
        <f t="shared" si="309"/>
        <v>701</v>
      </c>
      <c r="AM701" s="322">
        <f t="shared" si="310"/>
        <v>5</v>
      </c>
      <c r="AN701" s="380">
        <f>IF(AND(AH701&gt;0,B701&lt;&gt;""),VLOOKUP(I701,'AUX-NIV3'!$B:$AO,39,FALSE)*O701,0)</f>
        <v>0</v>
      </c>
      <c r="AO701" s="380">
        <f t="shared" si="300"/>
        <v>0.14108049886621316</v>
      </c>
      <c r="AP701" s="380"/>
    </row>
    <row r="702" spans="2:42" ht="14.4" hidden="1" thickTop="1" thickBot="1">
      <c r="B702" s="324" t="s">
        <v>2822</v>
      </c>
      <c r="C702" s="325" t="s">
        <v>2823</v>
      </c>
      <c r="D702" s="326" t="s">
        <v>441</v>
      </c>
      <c r="E702" s="327">
        <f>IF(B702&lt;&gt;"",SUMIF('AUX-NIV1'!I:I,'AUX-NIV2'!B702,'AUX-NIV1'!Q:Q),"")</f>
        <v>0</v>
      </c>
      <c r="F702" s="327">
        <f t="shared" si="290"/>
        <v>3967.0163294574568</v>
      </c>
      <c r="G702" s="327">
        <f t="shared" si="291"/>
        <v>0</v>
      </c>
      <c r="H702" s="328" t="str">
        <f t="shared" si="311"/>
        <v>M</v>
      </c>
      <c r="I702" s="325" t="s">
        <v>1998</v>
      </c>
      <c r="J702" s="329" t="str">
        <f>IF(B702&lt;&gt;"",+VLOOKUP(I702,Recursos!C:F,2,FALSE),"")</f>
        <v>CEMENTO ASFALTICO</v>
      </c>
      <c r="K702" s="330" t="str">
        <f>IF(B702&lt;&gt;"",+VLOOKUP(I702,Recursos!C:F,3,FALSE),"")</f>
        <v>Tn</v>
      </c>
      <c r="L702" s="446">
        <f>IF(B702&lt;&gt;"",+VLOOKUP(I702,Recursos!C:F,4,FALSE),"")</f>
        <v>54100</v>
      </c>
      <c r="M702" s="447">
        <v>0.05</v>
      </c>
      <c r="N702" s="518">
        <f>+N708</f>
        <v>1.0349999999999999</v>
      </c>
      <c r="O702" s="449">
        <f>+M702*N702</f>
        <v>5.1749999999999997E-2</v>
      </c>
      <c r="P702" s="333">
        <f t="shared" si="287"/>
        <v>2799.6749999999997</v>
      </c>
      <c r="Q702" s="327">
        <f t="shared" si="288"/>
        <v>0</v>
      </c>
      <c r="R702" s="334">
        <f t="shared" si="289"/>
        <v>0</v>
      </c>
      <c r="S702" s="335">
        <f t="shared" si="292"/>
        <v>0</v>
      </c>
      <c r="T702" s="335">
        <f t="shared" si="293"/>
        <v>0</v>
      </c>
      <c r="U702" s="336">
        <f t="shared" si="294"/>
        <v>3967.0163294574568</v>
      </c>
      <c r="V702" s="336">
        <f t="shared" si="295"/>
        <v>0</v>
      </c>
      <c r="W702" s="336">
        <f t="shared" si="296"/>
        <v>0</v>
      </c>
      <c r="X702" s="336">
        <f t="shared" si="297"/>
        <v>0</v>
      </c>
      <c r="Y702" s="320"/>
      <c r="Z702" s="321" t="str">
        <f t="shared" si="301"/>
        <v>X-MAT1A</v>
      </c>
      <c r="AA702" s="321" t="str">
        <f t="shared" si="302"/>
        <v>X-MAT1E</v>
      </c>
      <c r="AB702" s="321" t="str">
        <f t="shared" si="303"/>
        <v>X-MAT1M</v>
      </c>
      <c r="AC702" s="321" t="str">
        <f t="shared" si="304"/>
        <v>X-MAT1T</v>
      </c>
      <c r="AD702" s="321" t="str">
        <f t="shared" si="305"/>
        <v>X-MAT1S</v>
      </c>
      <c r="AE702" s="321" t="str">
        <f t="shared" si="306"/>
        <v>X-MAT1X</v>
      </c>
      <c r="AF702" s="321" t="str">
        <f t="shared" si="307"/>
        <v>X-MAT1M</v>
      </c>
      <c r="AG702" s="321">
        <f t="shared" si="298"/>
        <v>7</v>
      </c>
      <c r="AH702" s="321">
        <f>IF(B702&lt;&gt;"",IF(H702="x",VLOOKUP(I702,'AUX-NIV3'!B:AG,32,FALSE),0),"")</f>
        <v>0</v>
      </c>
      <c r="AI702" s="321" t="str">
        <f t="shared" si="308"/>
        <v>X-MAT1</v>
      </c>
      <c r="AJ702" s="320"/>
      <c r="AK702" s="322">
        <f t="shared" si="299"/>
        <v>702</v>
      </c>
      <c r="AL702" s="323">
        <f t="shared" si="309"/>
        <v>708</v>
      </c>
      <c r="AM702" s="322">
        <f t="shared" si="310"/>
        <v>1</v>
      </c>
      <c r="AN702" s="380">
        <f>IF(AND(AH702&gt;0,B702&lt;&gt;""),VLOOKUP(I702,'AUX-NIV3'!$B:$AO,39,FALSE)*O702,0)</f>
        <v>0</v>
      </c>
      <c r="AO702" s="380">
        <f t="shared" si="300"/>
        <v>0</v>
      </c>
      <c r="AP702" s="380"/>
    </row>
    <row r="703" spans="2:42" ht="14.4" hidden="1" thickTop="1" thickBot="1">
      <c r="B703" s="324" t="s">
        <v>2822</v>
      </c>
      <c r="C703" s="325" t="s">
        <v>2823</v>
      </c>
      <c r="D703" s="326" t="s">
        <v>441</v>
      </c>
      <c r="E703" s="327">
        <f>IF(B703&lt;&gt;"",SUMIF('AUX-NIV1'!I:I,'AUX-NIV2'!B703,'AUX-NIV1'!Q:Q),"")</f>
        <v>0</v>
      </c>
      <c r="F703" s="327">
        <f t="shared" si="290"/>
        <v>3967.0163294574568</v>
      </c>
      <c r="G703" s="327">
        <f t="shared" si="291"/>
        <v>0</v>
      </c>
      <c r="H703" s="328" t="str">
        <f t="shared" si="311"/>
        <v>M</v>
      </c>
      <c r="I703" s="325" t="s">
        <v>2008</v>
      </c>
      <c r="J703" s="329" t="str">
        <f>IF(B703&lt;&gt;"",+VLOOKUP(I703,Recursos!C:F,2,FALSE),"")</f>
        <v>MEJORADOR DE ADHERENCIA</v>
      </c>
      <c r="K703" s="330" t="str">
        <f>IF(B703&lt;&gt;"",+VLOOKUP(I703,Recursos!C:F,3,FALSE),"")</f>
        <v>Kg</v>
      </c>
      <c r="L703" s="446">
        <f>IF(B703&lt;&gt;"",+VLOOKUP(I703,Recursos!C:F,4,FALSE),"")</f>
        <v>260</v>
      </c>
      <c r="M703" s="452">
        <v>0.03</v>
      </c>
      <c r="N703" s="519">
        <v>5.0000000000000001E-3</v>
      </c>
      <c r="O703" s="449">
        <f>+M702*N704*N703</f>
        <v>0.25</v>
      </c>
      <c r="P703" s="333">
        <f t="shared" si="287"/>
        <v>65</v>
      </c>
      <c r="Q703" s="327">
        <f t="shared" si="288"/>
        <v>0</v>
      </c>
      <c r="R703" s="334">
        <f t="shared" si="289"/>
        <v>0</v>
      </c>
      <c r="S703" s="335">
        <f t="shared" si="292"/>
        <v>0</v>
      </c>
      <c r="T703" s="335">
        <f t="shared" si="293"/>
        <v>0</v>
      </c>
      <c r="U703" s="336">
        <f t="shared" si="294"/>
        <v>3967.0163294574568</v>
      </c>
      <c r="V703" s="336">
        <f t="shared" si="295"/>
        <v>0</v>
      </c>
      <c r="W703" s="336">
        <f t="shared" si="296"/>
        <v>0</v>
      </c>
      <c r="X703" s="336">
        <f t="shared" si="297"/>
        <v>0</v>
      </c>
      <c r="Y703" s="320"/>
      <c r="Z703" s="321" t="str">
        <f t="shared" si="301"/>
        <v>X-MAT1A</v>
      </c>
      <c r="AA703" s="321" t="str">
        <f t="shared" si="302"/>
        <v>X-MAT1E</v>
      </c>
      <c r="AB703" s="321" t="str">
        <f t="shared" si="303"/>
        <v>X-MAT1M</v>
      </c>
      <c r="AC703" s="321" t="str">
        <f t="shared" si="304"/>
        <v>X-MAT1T</v>
      </c>
      <c r="AD703" s="321" t="str">
        <f t="shared" si="305"/>
        <v>X-MAT1S</v>
      </c>
      <c r="AE703" s="321" t="str">
        <f t="shared" si="306"/>
        <v>X-MAT1X</v>
      </c>
      <c r="AF703" s="321" t="str">
        <f t="shared" si="307"/>
        <v>X-MAT1M</v>
      </c>
      <c r="AG703" s="321">
        <f t="shared" si="298"/>
        <v>7</v>
      </c>
      <c r="AH703" s="321">
        <f>IF(B703&lt;&gt;"",IF(H703="x",VLOOKUP(I703,'AUX-NIV3'!B:AG,32,FALSE),0),"")</f>
        <v>0</v>
      </c>
      <c r="AI703" s="321" t="str">
        <f t="shared" si="308"/>
        <v>X-MAT1</v>
      </c>
      <c r="AJ703" s="320"/>
      <c r="AK703" s="322">
        <f t="shared" si="299"/>
        <v>702</v>
      </c>
      <c r="AL703" s="323">
        <f t="shared" si="309"/>
        <v>708</v>
      </c>
      <c r="AM703" s="322">
        <f t="shared" si="310"/>
        <v>2</v>
      </c>
      <c r="AN703" s="380">
        <f>IF(AND(AH703&gt;0,B703&lt;&gt;""),VLOOKUP(I703,'AUX-NIV3'!$B:$AO,39,FALSE)*O703,0)</f>
        <v>0</v>
      </c>
      <c r="AO703" s="380">
        <f t="shared" si="300"/>
        <v>0</v>
      </c>
      <c r="AP703" s="380"/>
    </row>
    <row r="704" spans="2:42" ht="14.4" hidden="1" thickTop="1" thickBot="1">
      <c r="B704" s="324" t="s">
        <v>2822</v>
      </c>
      <c r="C704" s="325" t="s">
        <v>2823</v>
      </c>
      <c r="D704" s="326" t="s">
        <v>441</v>
      </c>
      <c r="E704" s="327">
        <f>IF(B704&lt;&gt;"",SUMIF('AUX-NIV1'!I:I,'AUX-NIV2'!B704,'AUX-NIV1'!Q:Q),"")</f>
        <v>0</v>
      </c>
      <c r="F704" s="327">
        <f t="shared" si="290"/>
        <v>3967.0163294574568</v>
      </c>
      <c r="G704" s="327">
        <f t="shared" si="291"/>
        <v>0</v>
      </c>
      <c r="H704" s="328" t="str">
        <f t="shared" si="311"/>
        <v>M</v>
      </c>
      <c r="I704" s="325" t="s">
        <v>2010</v>
      </c>
      <c r="J704" s="329" t="str">
        <f>IF(B704&lt;&gt;"",+VLOOKUP(I704,Recursos!C:F,2,FALSE),"")</f>
        <v>FILLER</v>
      </c>
      <c r="K704" s="330" t="str">
        <f>IF(B704&lt;&gt;"",+VLOOKUP(I704,Recursos!C:F,3,FALSE),"")</f>
        <v>Tn</v>
      </c>
      <c r="L704" s="446">
        <f>IF(B704&lt;&gt;"",+VLOOKUP(I704,Recursos!C:F,4,FALSE),"")</f>
        <v>3350</v>
      </c>
      <c r="M704" s="452">
        <v>1.02</v>
      </c>
      <c r="N704" s="453">
        <v>1000</v>
      </c>
      <c r="O704" s="449">
        <f>+M703*M704</f>
        <v>3.0599999999999999E-2</v>
      </c>
      <c r="P704" s="333">
        <f t="shared" si="287"/>
        <v>102.50999999999999</v>
      </c>
      <c r="Q704" s="327">
        <f t="shared" si="288"/>
        <v>0</v>
      </c>
      <c r="R704" s="334">
        <f t="shared" si="289"/>
        <v>0</v>
      </c>
      <c r="S704" s="335">
        <f t="shared" si="292"/>
        <v>0</v>
      </c>
      <c r="T704" s="335">
        <f t="shared" si="293"/>
        <v>0</v>
      </c>
      <c r="U704" s="336">
        <f t="shared" si="294"/>
        <v>3967.0163294574568</v>
      </c>
      <c r="V704" s="336">
        <f t="shared" si="295"/>
        <v>0</v>
      </c>
      <c r="W704" s="336">
        <f t="shared" si="296"/>
        <v>0</v>
      </c>
      <c r="X704" s="336">
        <f t="shared" si="297"/>
        <v>0</v>
      </c>
      <c r="Y704" s="320"/>
      <c r="Z704" s="321" t="str">
        <f t="shared" si="301"/>
        <v>X-MAT1A</v>
      </c>
      <c r="AA704" s="321" t="str">
        <f t="shared" si="302"/>
        <v>X-MAT1E</v>
      </c>
      <c r="AB704" s="321" t="str">
        <f t="shared" si="303"/>
        <v>X-MAT1M</v>
      </c>
      <c r="AC704" s="321" t="str">
        <f t="shared" si="304"/>
        <v>X-MAT1T</v>
      </c>
      <c r="AD704" s="321" t="str">
        <f t="shared" si="305"/>
        <v>X-MAT1S</v>
      </c>
      <c r="AE704" s="321" t="str">
        <f t="shared" si="306"/>
        <v>X-MAT1X</v>
      </c>
      <c r="AF704" s="321" t="str">
        <f t="shared" si="307"/>
        <v>X-MAT1M</v>
      </c>
      <c r="AG704" s="321">
        <f t="shared" si="298"/>
        <v>7</v>
      </c>
      <c r="AH704" s="321">
        <f>IF(B704&lt;&gt;"",IF(H704="x",VLOOKUP(I704,'AUX-NIV3'!B:AG,32,FALSE),0),"")</f>
        <v>0</v>
      </c>
      <c r="AI704" s="321" t="str">
        <f t="shared" si="308"/>
        <v>X-MAT1</v>
      </c>
      <c r="AJ704" s="320"/>
      <c r="AK704" s="322">
        <f t="shared" si="299"/>
        <v>702</v>
      </c>
      <c r="AL704" s="323">
        <f t="shared" si="309"/>
        <v>708</v>
      </c>
      <c r="AM704" s="322">
        <f t="shared" si="310"/>
        <v>3</v>
      </c>
      <c r="AN704" s="380">
        <f>IF(AND(AH704&gt;0,B704&lt;&gt;""),VLOOKUP(I704,'AUX-NIV3'!$B:$AO,39,FALSE)*O704,0)</f>
        <v>0</v>
      </c>
      <c r="AO704" s="380">
        <f t="shared" si="300"/>
        <v>0</v>
      </c>
      <c r="AP704" s="380"/>
    </row>
    <row r="705" spans="2:42" ht="14.4" hidden="1" thickTop="1" thickBot="1">
      <c r="B705" s="324" t="s">
        <v>2822</v>
      </c>
      <c r="C705" s="325" t="s">
        <v>2823</v>
      </c>
      <c r="D705" s="326" t="s">
        <v>441</v>
      </c>
      <c r="E705" s="327">
        <f>IF(B705&lt;&gt;"",SUMIF('AUX-NIV1'!I:I,'AUX-NIV2'!B705,'AUX-NIV1'!Q:Q),"")</f>
        <v>0</v>
      </c>
      <c r="F705" s="327">
        <f t="shared" si="290"/>
        <v>3967.0163294574568</v>
      </c>
      <c r="G705" s="327">
        <f t="shared" si="291"/>
        <v>0</v>
      </c>
      <c r="H705" s="328" t="str">
        <f t="shared" si="311"/>
        <v>M</v>
      </c>
      <c r="I705" s="325" t="s">
        <v>2138</v>
      </c>
      <c r="J705" s="329" t="str">
        <f>IF(B705&lt;&gt;"",+VLOOKUP(I705,Recursos!C:F,2,FALSE),"")</f>
        <v>FUEL OIL CALENTAMIENTO DE ASFALTO</v>
      </c>
      <c r="K705" s="330" t="str">
        <f>IF(B705&lt;&gt;"",+VLOOKUP(I705,Recursos!C:F,3,FALSE),"")</f>
        <v>Tn</v>
      </c>
      <c r="L705" s="446">
        <f>IF(B705&lt;&gt;"",+VLOOKUP(I705,Recursos!C:F,4,FALSE),"")</f>
        <v>31013</v>
      </c>
      <c r="M705" s="452">
        <v>100</v>
      </c>
      <c r="N705" s="453">
        <v>1.2</v>
      </c>
      <c r="O705" s="449">
        <f>+N705/M705</f>
        <v>1.2E-2</v>
      </c>
      <c r="P705" s="333">
        <f t="shared" si="287"/>
        <v>372.15600000000001</v>
      </c>
      <c r="Q705" s="327">
        <f t="shared" si="288"/>
        <v>0</v>
      </c>
      <c r="R705" s="334">
        <f t="shared" si="289"/>
        <v>0</v>
      </c>
      <c r="S705" s="335">
        <f t="shared" si="292"/>
        <v>0</v>
      </c>
      <c r="T705" s="335">
        <f t="shared" si="293"/>
        <v>0</v>
      </c>
      <c r="U705" s="336">
        <f t="shared" si="294"/>
        <v>3967.0163294574568</v>
      </c>
      <c r="V705" s="336">
        <f t="shared" si="295"/>
        <v>0</v>
      </c>
      <c r="W705" s="336">
        <f t="shared" si="296"/>
        <v>0</v>
      </c>
      <c r="X705" s="336">
        <f t="shared" si="297"/>
        <v>0</v>
      </c>
      <c r="Y705" s="320"/>
      <c r="Z705" s="321" t="str">
        <f t="shared" si="301"/>
        <v>X-MAT1A</v>
      </c>
      <c r="AA705" s="321" t="str">
        <f t="shared" si="302"/>
        <v>X-MAT1E</v>
      </c>
      <c r="AB705" s="321" t="str">
        <f t="shared" si="303"/>
        <v>X-MAT1M</v>
      </c>
      <c r="AC705" s="321" t="str">
        <f t="shared" si="304"/>
        <v>X-MAT1T</v>
      </c>
      <c r="AD705" s="321" t="str">
        <f t="shared" si="305"/>
        <v>X-MAT1S</v>
      </c>
      <c r="AE705" s="321" t="str">
        <f t="shared" si="306"/>
        <v>X-MAT1X</v>
      </c>
      <c r="AF705" s="321" t="str">
        <f t="shared" si="307"/>
        <v>X-MAT1M</v>
      </c>
      <c r="AG705" s="321">
        <f t="shared" si="298"/>
        <v>7</v>
      </c>
      <c r="AH705" s="321">
        <f>IF(B705&lt;&gt;"",IF(H705="x",VLOOKUP(I705,'AUX-NIV3'!B:AG,32,FALSE),0),"")</f>
        <v>0</v>
      </c>
      <c r="AI705" s="321" t="str">
        <f t="shared" si="308"/>
        <v>X-MAT1</v>
      </c>
      <c r="AJ705" s="320"/>
      <c r="AK705" s="322">
        <f t="shared" si="299"/>
        <v>702</v>
      </c>
      <c r="AL705" s="323">
        <f t="shared" si="309"/>
        <v>708</v>
      </c>
      <c r="AM705" s="322">
        <f t="shared" si="310"/>
        <v>4</v>
      </c>
      <c r="AN705" s="380">
        <f>IF(AND(AH705&gt;0,B705&lt;&gt;""),VLOOKUP(I705,'AUX-NIV3'!$B:$AO,39,FALSE)*O705,0)</f>
        <v>0</v>
      </c>
      <c r="AO705" s="380">
        <f t="shared" si="300"/>
        <v>0</v>
      </c>
      <c r="AP705" s="380"/>
    </row>
    <row r="706" spans="2:42" ht="14.4" hidden="1" thickTop="1" thickBot="1">
      <c r="B706" s="324" t="s">
        <v>2822</v>
      </c>
      <c r="C706" s="325" t="s">
        <v>2823</v>
      </c>
      <c r="D706" s="326" t="s">
        <v>441</v>
      </c>
      <c r="E706" s="327">
        <f>IF(B706&lt;&gt;"",SUMIF('AUX-NIV1'!I:I,'AUX-NIV2'!B706,'AUX-NIV1'!Q:Q),"")</f>
        <v>0</v>
      </c>
      <c r="F706" s="327">
        <f t="shared" si="290"/>
        <v>3967.0163294574568</v>
      </c>
      <c r="G706" s="327">
        <f t="shared" si="291"/>
        <v>0</v>
      </c>
      <c r="H706" s="328" t="str">
        <f t="shared" si="311"/>
        <v>M</v>
      </c>
      <c r="I706" s="325" t="s">
        <v>1510</v>
      </c>
      <c r="J706" s="329" t="str">
        <f>IF(B706&lt;&gt;"",+VLOOKUP(I706,Recursos!C:F,2,FALSE),"")</f>
        <v>AGREGADO GRUESO</v>
      </c>
      <c r="K706" s="330" t="str">
        <f>IF(B706&lt;&gt;"",+VLOOKUP(I706,Recursos!C:F,3,FALSE),"")</f>
        <v>Tn</v>
      </c>
      <c r="L706" s="446">
        <f>IF(B706&lt;&gt;"",+VLOOKUP(I706,Recursos!C:F,4,FALSE),"")</f>
        <v>900</v>
      </c>
      <c r="M706" s="452">
        <v>0.45</v>
      </c>
      <c r="N706" s="520">
        <f>+N708</f>
        <v>1.0349999999999999</v>
      </c>
      <c r="O706" s="449">
        <f>+M706*N706</f>
        <v>0.46575</v>
      </c>
      <c r="P706" s="333">
        <f t="shared" si="287"/>
        <v>419.17500000000001</v>
      </c>
      <c r="Q706" s="327">
        <f t="shared" si="288"/>
        <v>0</v>
      </c>
      <c r="R706" s="334">
        <f t="shared" si="289"/>
        <v>0</v>
      </c>
      <c r="S706" s="335">
        <f t="shared" si="292"/>
        <v>0</v>
      </c>
      <c r="T706" s="335">
        <f t="shared" si="293"/>
        <v>0</v>
      </c>
      <c r="U706" s="336">
        <f t="shared" si="294"/>
        <v>3967.0163294574568</v>
      </c>
      <c r="V706" s="336">
        <f t="shared" si="295"/>
        <v>0</v>
      </c>
      <c r="W706" s="336">
        <f t="shared" si="296"/>
        <v>0</v>
      </c>
      <c r="X706" s="336">
        <f t="shared" si="297"/>
        <v>0</v>
      </c>
      <c r="Y706" s="320"/>
      <c r="Z706" s="321" t="str">
        <f t="shared" si="301"/>
        <v>X-MAT1A</v>
      </c>
      <c r="AA706" s="321" t="str">
        <f t="shared" si="302"/>
        <v>X-MAT1E</v>
      </c>
      <c r="AB706" s="321" t="str">
        <f t="shared" si="303"/>
        <v>X-MAT1M</v>
      </c>
      <c r="AC706" s="321" t="str">
        <f t="shared" si="304"/>
        <v>X-MAT1T</v>
      </c>
      <c r="AD706" s="321" t="str">
        <f t="shared" si="305"/>
        <v>X-MAT1S</v>
      </c>
      <c r="AE706" s="321" t="str">
        <f t="shared" si="306"/>
        <v>X-MAT1X</v>
      </c>
      <c r="AF706" s="321" t="str">
        <f t="shared" si="307"/>
        <v>X-MAT1M</v>
      </c>
      <c r="AG706" s="321">
        <f t="shared" si="298"/>
        <v>7</v>
      </c>
      <c r="AH706" s="321">
        <f>IF(B706&lt;&gt;"",IF(H706="x",VLOOKUP(I706,'AUX-NIV3'!B:AG,32,FALSE),0),"")</f>
        <v>0</v>
      </c>
      <c r="AI706" s="321" t="str">
        <f t="shared" si="308"/>
        <v>X-MAT1</v>
      </c>
      <c r="AJ706" s="320"/>
      <c r="AK706" s="322">
        <f t="shared" si="299"/>
        <v>702</v>
      </c>
      <c r="AL706" s="323">
        <f t="shared" si="309"/>
        <v>708</v>
      </c>
      <c r="AM706" s="322">
        <f t="shared" si="310"/>
        <v>5</v>
      </c>
      <c r="AN706" s="380">
        <f>IF(AND(AH706&gt;0,B706&lt;&gt;""),VLOOKUP(I706,'AUX-NIV3'!$B:$AO,39,FALSE)*O706,0)</f>
        <v>0</v>
      </c>
      <c r="AO706" s="380">
        <f t="shared" si="300"/>
        <v>0</v>
      </c>
      <c r="AP706" s="380"/>
    </row>
    <row r="707" spans="2:42" ht="14.4" hidden="1" thickTop="1" thickBot="1">
      <c r="B707" s="324" t="s">
        <v>2822</v>
      </c>
      <c r="C707" s="325" t="s">
        <v>2823</v>
      </c>
      <c r="D707" s="326" t="s">
        <v>441</v>
      </c>
      <c r="E707" s="327">
        <f>IF(B707&lt;&gt;"",SUMIF('AUX-NIV1'!I:I,'AUX-NIV2'!B707,'AUX-NIV1'!Q:Q),"")</f>
        <v>0</v>
      </c>
      <c r="F707" s="327">
        <f t="shared" si="290"/>
        <v>3967.0163294574568</v>
      </c>
      <c r="G707" s="327">
        <f t="shared" si="291"/>
        <v>0</v>
      </c>
      <c r="H707" s="328" t="str">
        <f t="shared" si="311"/>
        <v>M</v>
      </c>
      <c r="I707" s="325" t="s">
        <v>1511</v>
      </c>
      <c r="J707" s="329" t="str">
        <f>IF(B707&lt;&gt;"",+VLOOKUP(I707,Recursos!C:F,2,FALSE),"")</f>
        <v>AGREGADO FINO</v>
      </c>
      <c r="K707" s="330" t="str">
        <f>IF(B707&lt;&gt;"",+VLOOKUP(I707,Recursos!C:F,3,FALSE),"")</f>
        <v>tn</v>
      </c>
      <c r="L707" s="446">
        <f>IF(B707&lt;&gt;"",+VLOOKUP(I707,Recursos!C:F,4,FALSE),"")</f>
        <v>346.12398419675657</v>
      </c>
      <c r="M707" s="452">
        <v>0.4</v>
      </c>
      <c r="N707" s="520">
        <f>+N708</f>
        <v>1.0349999999999999</v>
      </c>
      <c r="O707" s="449">
        <f>+M707*N707</f>
        <v>0.41399999999999998</v>
      </c>
      <c r="P707" s="333">
        <f t="shared" si="287"/>
        <v>143.2953294574572</v>
      </c>
      <c r="Q707" s="327">
        <f t="shared" si="288"/>
        <v>0</v>
      </c>
      <c r="R707" s="334">
        <f t="shared" si="289"/>
        <v>0</v>
      </c>
      <c r="S707" s="335">
        <f t="shared" si="292"/>
        <v>0</v>
      </c>
      <c r="T707" s="335">
        <f t="shared" si="293"/>
        <v>0</v>
      </c>
      <c r="U707" s="336">
        <f t="shared" si="294"/>
        <v>3967.0163294574568</v>
      </c>
      <c r="V707" s="336">
        <f t="shared" si="295"/>
        <v>0</v>
      </c>
      <c r="W707" s="336">
        <f t="shared" si="296"/>
        <v>0</v>
      </c>
      <c r="X707" s="336">
        <f t="shared" si="297"/>
        <v>0</v>
      </c>
      <c r="Y707" s="320"/>
      <c r="Z707" s="321" t="str">
        <f t="shared" si="301"/>
        <v>X-MAT1A</v>
      </c>
      <c r="AA707" s="321" t="str">
        <f t="shared" si="302"/>
        <v>X-MAT1E</v>
      </c>
      <c r="AB707" s="321" t="str">
        <f t="shared" si="303"/>
        <v>X-MAT1M</v>
      </c>
      <c r="AC707" s="321" t="str">
        <f t="shared" si="304"/>
        <v>X-MAT1T</v>
      </c>
      <c r="AD707" s="321" t="str">
        <f t="shared" si="305"/>
        <v>X-MAT1S</v>
      </c>
      <c r="AE707" s="321" t="str">
        <f t="shared" si="306"/>
        <v>X-MAT1X</v>
      </c>
      <c r="AF707" s="321" t="str">
        <f t="shared" si="307"/>
        <v>X-MAT1M</v>
      </c>
      <c r="AG707" s="321">
        <f t="shared" si="298"/>
        <v>7</v>
      </c>
      <c r="AH707" s="321">
        <f>IF(B707&lt;&gt;"",IF(H707="x",VLOOKUP(I707,'AUX-NIV3'!B:AG,32,FALSE),0),"")</f>
        <v>0</v>
      </c>
      <c r="AI707" s="321" t="str">
        <f t="shared" si="308"/>
        <v>X-MAT1</v>
      </c>
      <c r="AJ707" s="320"/>
      <c r="AK707" s="322">
        <f t="shared" si="299"/>
        <v>702</v>
      </c>
      <c r="AL707" s="323">
        <f t="shared" si="309"/>
        <v>708</v>
      </c>
      <c r="AM707" s="322">
        <f t="shared" si="310"/>
        <v>6</v>
      </c>
      <c r="AN707" s="380">
        <f>IF(AND(AH707&gt;0,B707&lt;&gt;""),VLOOKUP(I707,'AUX-NIV3'!$B:$AO,39,FALSE)*O707,0)</f>
        <v>0</v>
      </c>
      <c r="AO707" s="380">
        <f t="shared" si="300"/>
        <v>0</v>
      </c>
      <c r="AP707" s="380"/>
    </row>
    <row r="708" spans="2:42" ht="14.4" hidden="1" thickTop="1" thickBot="1">
      <c r="B708" s="324" t="s">
        <v>2822</v>
      </c>
      <c r="C708" s="325" t="s">
        <v>2823</v>
      </c>
      <c r="D708" s="326" t="s">
        <v>441</v>
      </c>
      <c r="E708" s="327">
        <f>IF(B708&lt;&gt;"",SUMIF('AUX-NIV1'!I:I,'AUX-NIV2'!B708,'AUX-NIV1'!Q:Q),"")</f>
        <v>0</v>
      </c>
      <c r="F708" s="327">
        <f t="shared" si="290"/>
        <v>3967.0163294574568</v>
      </c>
      <c r="G708" s="327">
        <f t="shared" si="291"/>
        <v>0</v>
      </c>
      <c r="H708" s="328" t="str">
        <f t="shared" si="311"/>
        <v>M</v>
      </c>
      <c r="I708" s="325" t="s">
        <v>1512</v>
      </c>
      <c r="J708" s="329" t="str">
        <f>IF(B708&lt;&gt;"",+VLOOKUP(I708,Recursos!C:F,2,FALSE),"")</f>
        <v>ARENA ZARANDEADA</v>
      </c>
      <c r="K708" s="330" t="str">
        <f>IF(B708&lt;&gt;"",+VLOOKUP(I708,Recursos!C:F,3,FALSE),"")</f>
        <v>Tn</v>
      </c>
      <c r="L708" s="446">
        <f>IF(B708&lt;&gt;"",+VLOOKUP(I708,Recursos!C:F,4,FALSE),"")</f>
        <v>900</v>
      </c>
      <c r="M708" s="456">
        <f>1-M706-M707</f>
        <v>0.15000000000000002</v>
      </c>
      <c r="N708" s="521">
        <v>1.0349999999999999</v>
      </c>
      <c r="O708" s="449">
        <f>(M708-(M702+M703))*N708</f>
        <v>7.2450000000000014E-2</v>
      </c>
      <c r="P708" s="333">
        <f t="shared" ref="P708:P771" si="315">IF(B708&lt;&gt;"",O708*L708,"")</f>
        <v>65.205000000000013</v>
      </c>
      <c r="Q708" s="327">
        <f t="shared" ref="Q708:Q771" si="316">IF(B708&lt;&gt;"",+O708*E708,"")</f>
        <v>0</v>
      </c>
      <c r="R708" s="334">
        <f t="shared" ref="R708:R771" si="317">IF(B708&lt;&gt;"",Q708*L708,"")</f>
        <v>0</v>
      </c>
      <c r="S708" s="335">
        <f t="shared" si="292"/>
        <v>0</v>
      </c>
      <c r="T708" s="335">
        <f t="shared" si="293"/>
        <v>0</v>
      </c>
      <c r="U708" s="336">
        <f t="shared" si="294"/>
        <v>3967.0163294574568</v>
      </c>
      <c r="V708" s="336">
        <f t="shared" si="295"/>
        <v>0</v>
      </c>
      <c r="W708" s="336">
        <f t="shared" si="296"/>
        <v>0</v>
      </c>
      <c r="X708" s="336">
        <f t="shared" si="297"/>
        <v>0</v>
      </c>
      <c r="Y708" s="320"/>
      <c r="Z708" s="321" t="str">
        <f t="shared" si="301"/>
        <v>X-MAT1A</v>
      </c>
      <c r="AA708" s="321" t="str">
        <f t="shared" si="302"/>
        <v>X-MAT1E</v>
      </c>
      <c r="AB708" s="321" t="str">
        <f t="shared" si="303"/>
        <v>X-MAT1M</v>
      </c>
      <c r="AC708" s="321" t="str">
        <f t="shared" si="304"/>
        <v>X-MAT1T</v>
      </c>
      <c r="AD708" s="321" t="str">
        <f t="shared" si="305"/>
        <v>X-MAT1S</v>
      </c>
      <c r="AE708" s="321" t="str">
        <f t="shared" si="306"/>
        <v>X-MAT1X</v>
      </c>
      <c r="AF708" s="321" t="str">
        <f t="shared" si="307"/>
        <v>X-MAT1M</v>
      </c>
      <c r="AG708" s="321">
        <f t="shared" si="298"/>
        <v>7</v>
      </c>
      <c r="AH708" s="321">
        <f>IF(B708&lt;&gt;"",IF(H708="x",VLOOKUP(I708,'AUX-NIV3'!B:AG,32,FALSE),0),"")</f>
        <v>0</v>
      </c>
      <c r="AI708" s="321" t="str">
        <f t="shared" si="308"/>
        <v>X-MAT1</v>
      </c>
      <c r="AJ708" s="320"/>
      <c r="AK708" s="322">
        <f t="shared" si="299"/>
        <v>702</v>
      </c>
      <c r="AL708" s="323">
        <f t="shared" si="309"/>
        <v>708</v>
      </c>
      <c r="AM708" s="322">
        <f t="shared" si="310"/>
        <v>7</v>
      </c>
      <c r="AN708" s="380">
        <f>IF(AND(AH708&gt;0,B708&lt;&gt;""),VLOOKUP(I708,'AUX-NIV3'!$B:$AO,39,FALSE)*O708,0)</f>
        <v>0</v>
      </c>
      <c r="AO708" s="380">
        <f t="shared" si="300"/>
        <v>0</v>
      </c>
      <c r="AP708" s="380"/>
    </row>
    <row r="709" spans="2:42" ht="14.4" hidden="1" thickTop="1" thickBot="1">
      <c r="B709" s="324" t="s">
        <v>2824</v>
      </c>
      <c r="C709" s="325" t="s">
        <v>2825</v>
      </c>
      <c r="D709" s="326" t="s">
        <v>2938</v>
      </c>
      <c r="E709" s="327">
        <f>IF(B709&lt;&gt;"",SUMIF('AUX-NIV1'!I:I,'AUX-NIV2'!B709,'AUX-NIV1'!Q:Q),"")</f>
        <v>0</v>
      </c>
      <c r="F709" s="327">
        <f t="shared" si="290"/>
        <v>21565.684974203687</v>
      </c>
      <c r="G709" s="327">
        <f t="shared" si="291"/>
        <v>0</v>
      </c>
      <c r="H709" s="328" t="str">
        <f t="shared" si="311"/>
        <v>A</v>
      </c>
      <c r="I709" s="325" t="s">
        <v>1745</v>
      </c>
      <c r="J709" s="329" t="str">
        <f>IF(B709&lt;&gt;"",+VLOOKUP(I709,Recursos!C:F,2,FALSE),"")</f>
        <v>AYUDANTE</v>
      </c>
      <c r="K709" s="330" t="str">
        <f>IF(B709&lt;&gt;"",+VLOOKUP(I709,Recursos!C:F,3,FALSE),"")</f>
        <v>hh</v>
      </c>
      <c r="L709" s="446">
        <f>IF(B709&lt;&gt;"",+VLOOKUP(I709,Recursos!C:F,4,FALSE),"")</f>
        <v>422.48042769667234</v>
      </c>
      <c r="M709" s="745">
        <v>1.6</v>
      </c>
      <c r="N709" s="746">
        <v>4</v>
      </c>
      <c r="O709" s="449">
        <f>+N709*M709</f>
        <v>6.4</v>
      </c>
      <c r="P709" s="333">
        <f t="shared" si="315"/>
        <v>2703.8747372587031</v>
      </c>
      <c r="Q709" s="327">
        <f t="shared" si="316"/>
        <v>0</v>
      </c>
      <c r="R709" s="334">
        <f t="shared" si="317"/>
        <v>0</v>
      </c>
      <c r="S709" s="335">
        <f t="shared" si="292"/>
        <v>7083.0995742036848</v>
      </c>
      <c r="T709" s="335">
        <f t="shared" si="293"/>
        <v>14482.5854</v>
      </c>
      <c r="U709" s="336">
        <f t="shared" si="294"/>
        <v>0</v>
      </c>
      <c r="V709" s="336">
        <f t="shared" si="295"/>
        <v>0</v>
      </c>
      <c r="W709" s="336">
        <f t="shared" si="296"/>
        <v>0</v>
      </c>
      <c r="X709" s="336">
        <f t="shared" si="297"/>
        <v>0</v>
      </c>
      <c r="Y709" s="320"/>
      <c r="Z709" s="321" t="str">
        <f t="shared" si="301"/>
        <v>X-PRCA</v>
      </c>
      <c r="AA709" s="321" t="str">
        <f t="shared" si="302"/>
        <v>X-PRCE</v>
      </c>
      <c r="AB709" s="321" t="str">
        <f t="shared" si="303"/>
        <v>X-PRCM</v>
      </c>
      <c r="AC709" s="321" t="str">
        <f t="shared" si="304"/>
        <v>X-PRCT</v>
      </c>
      <c r="AD709" s="321" t="str">
        <f t="shared" si="305"/>
        <v>X-PRCS</v>
      </c>
      <c r="AE709" s="321" t="str">
        <f t="shared" si="306"/>
        <v>X-PRCX</v>
      </c>
      <c r="AF709" s="321" t="str">
        <f t="shared" si="307"/>
        <v>X-PRCA</v>
      </c>
      <c r="AG709" s="321">
        <f t="shared" si="298"/>
        <v>8</v>
      </c>
      <c r="AH709" s="321">
        <f>IF(B709&lt;&gt;"",IF(H709="x",VLOOKUP(I709,'AUX-NIV3'!B:AG,32,FALSE),0),"")</f>
        <v>0</v>
      </c>
      <c r="AI709" s="321" t="str">
        <f t="shared" si="308"/>
        <v>X-PRC</v>
      </c>
      <c r="AJ709" s="320"/>
      <c r="AK709" s="322">
        <f t="shared" si="299"/>
        <v>709</v>
      </c>
      <c r="AL709" s="323">
        <f t="shared" si="309"/>
        <v>716</v>
      </c>
      <c r="AM709" s="322">
        <f t="shared" si="310"/>
        <v>1</v>
      </c>
      <c r="AN709" s="380">
        <f>IF(AND(AH709&gt;0,B709&lt;&gt;""),VLOOKUP(I709,'AUX-NIV3'!$B:$AO,39,FALSE)*O709,0)</f>
        <v>0</v>
      </c>
      <c r="AO709" s="380">
        <f t="shared" si="300"/>
        <v>14.399999999999999</v>
      </c>
      <c r="AP709" s="380"/>
    </row>
    <row r="710" spans="2:42" ht="14.4" hidden="1" thickTop="1" thickBot="1">
      <c r="B710" s="324" t="s">
        <v>2824</v>
      </c>
      <c r="C710" s="325" t="s">
        <v>2825</v>
      </c>
      <c r="D710" s="326" t="s">
        <v>2938</v>
      </c>
      <c r="E710" s="327">
        <f>IF(B710&lt;&gt;"",SUMIF('AUX-NIV1'!I:I,'AUX-NIV2'!B710,'AUX-NIV1'!Q:Q),"")</f>
        <v>0</v>
      </c>
      <c r="F710" s="327">
        <f t="shared" si="290"/>
        <v>21565.684974203687</v>
      </c>
      <c r="G710" s="327">
        <f t="shared" si="291"/>
        <v>0</v>
      </c>
      <c r="H710" s="328" t="str">
        <f t="shared" si="311"/>
        <v>A</v>
      </c>
      <c r="I710" s="325" t="s">
        <v>1746</v>
      </c>
      <c r="J710" s="329" t="str">
        <f>IF(B710&lt;&gt;"",+VLOOKUP(I710,Recursos!C:F,2,FALSE),"")</f>
        <v>OFICIAL</v>
      </c>
      <c r="K710" s="330" t="str">
        <f>IF(B710&lt;&gt;"",+VLOOKUP(I710,Recursos!C:F,3,FALSE),"")</f>
        <v>hh</v>
      </c>
      <c r="L710" s="446">
        <f>IF(B710&lt;&gt;"",+VLOOKUP(I710,Recursos!C:F,4,FALSE),"")</f>
        <v>496.91595439275824</v>
      </c>
      <c r="M710" s="511"/>
      <c r="N710" s="508"/>
      <c r="O710" s="449">
        <f>+M709</f>
        <v>1.6</v>
      </c>
      <c r="P710" s="333">
        <f t="shared" si="315"/>
        <v>795.06552702841327</v>
      </c>
      <c r="Q710" s="327">
        <f t="shared" si="316"/>
        <v>0</v>
      </c>
      <c r="R710" s="334">
        <f t="shared" si="317"/>
        <v>0</v>
      </c>
      <c r="S710" s="335">
        <f t="shared" si="292"/>
        <v>7083.0995742036848</v>
      </c>
      <c r="T710" s="335">
        <f t="shared" si="293"/>
        <v>14482.5854</v>
      </c>
      <c r="U710" s="336">
        <f t="shared" si="294"/>
        <v>0</v>
      </c>
      <c r="V710" s="336">
        <f t="shared" si="295"/>
        <v>0</v>
      </c>
      <c r="W710" s="336">
        <f t="shared" si="296"/>
        <v>0</v>
      </c>
      <c r="X710" s="336">
        <f t="shared" si="297"/>
        <v>0</v>
      </c>
      <c r="Y710" s="320"/>
      <c r="Z710" s="321" t="str">
        <f t="shared" si="301"/>
        <v>X-PRCA</v>
      </c>
      <c r="AA710" s="321" t="str">
        <f t="shared" si="302"/>
        <v>X-PRCE</v>
      </c>
      <c r="AB710" s="321" t="str">
        <f t="shared" si="303"/>
        <v>X-PRCM</v>
      </c>
      <c r="AC710" s="321" t="str">
        <f t="shared" si="304"/>
        <v>X-PRCT</v>
      </c>
      <c r="AD710" s="321" t="str">
        <f t="shared" si="305"/>
        <v>X-PRCS</v>
      </c>
      <c r="AE710" s="321" t="str">
        <f t="shared" si="306"/>
        <v>X-PRCX</v>
      </c>
      <c r="AF710" s="321" t="str">
        <f t="shared" si="307"/>
        <v>X-PRCA</v>
      </c>
      <c r="AG710" s="321">
        <f t="shared" si="298"/>
        <v>8</v>
      </c>
      <c r="AH710" s="321">
        <f>IF(B710&lt;&gt;"",IF(H710="x",VLOOKUP(I710,'AUX-NIV3'!B:AG,32,FALSE),0),"")</f>
        <v>0</v>
      </c>
      <c r="AI710" s="321" t="str">
        <f t="shared" si="308"/>
        <v>X-PRC</v>
      </c>
      <c r="AJ710" s="320"/>
      <c r="AK710" s="322">
        <f t="shared" si="299"/>
        <v>709</v>
      </c>
      <c r="AL710" s="323">
        <f t="shared" si="309"/>
        <v>716</v>
      </c>
      <c r="AM710" s="322">
        <f t="shared" si="310"/>
        <v>2</v>
      </c>
      <c r="AN710" s="380">
        <f>IF(AND(AH710&gt;0,B710&lt;&gt;""),VLOOKUP(I710,'AUX-NIV3'!$B:$AO,39,FALSE)*O710,0)</f>
        <v>0</v>
      </c>
      <c r="AO710" s="380">
        <f t="shared" si="300"/>
        <v>14.399999999999999</v>
      </c>
      <c r="AP710" s="380"/>
    </row>
    <row r="711" spans="2:42" ht="14.4" hidden="1" thickTop="1" thickBot="1">
      <c r="B711" s="324" t="s">
        <v>2824</v>
      </c>
      <c r="C711" s="325" t="s">
        <v>2825</v>
      </c>
      <c r="D711" s="326" t="s">
        <v>2938</v>
      </c>
      <c r="E711" s="327">
        <f>IF(B711&lt;&gt;"",SUMIF('AUX-NIV1'!I:I,'AUX-NIV2'!B711,'AUX-NIV1'!Q:Q),"")</f>
        <v>0</v>
      </c>
      <c r="F711" s="327">
        <f t="shared" ref="F711:F774" si="318">IF(B711&lt;&gt;"",+SUMIF(B:B,B711,P:P),"")</f>
        <v>21565.684974203687</v>
      </c>
      <c r="G711" s="327">
        <f t="shared" ref="G711:G774" si="319">IF(B711&lt;&gt;"",+SUMIF(B:B,B711,R:R),"")</f>
        <v>0</v>
      </c>
      <c r="H711" s="328" t="str">
        <f t="shared" si="311"/>
        <v>A</v>
      </c>
      <c r="I711" s="325" t="s">
        <v>1746</v>
      </c>
      <c r="J711" s="329" t="str">
        <f>IF(B711&lt;&gt;"",+VLOOKUP(I711,Recursos!C:F,2,FALSE),"")</f>
        <v>OFICIAL</v>
      </c>
      <c r="K711" s="330" t="str">
        <f>IF(B711&lt;&gt;"",+VLOOKUP(I711,Recursos!C:F,3,FALSE),"")</f>
        <v>hh</v>
      </c>
      <c r="L711" s="446">
        <f>IF(B711&lt;&gt;"",+VLOOKUP(I711,Recursos!C:F,4,FALSE),"")</f>
        <v>496.91595439275824</v>
      </c>
      <c r="M711" s="511"/>
      <c r="N711" s="508"/>
      <c r="O711" s="449">
        <f>+M709</f>
        <v>1.6</v>
      </c>
      <c r="P711" s="333">
        <f t="shared" si="315"/>
        <v>795.06552702841327</v>
      </c>
      <c r="Q711" s="327">
        <f t="shared" si="316"/>
        <v>0</v>
      </c>
      <c r="R711" s="334">
        <f t="shared" si="317"/>
        <v>0</v>
      </c>
      <c r="S711" s="335">
        <f t="shared" ref="S711:S774" si="320">IF(B711&lt;&gt;"",+SUMIF($AF:$AF,Z711,$P:$P),"")</f>
        <v>7083.0995742036848</v>
      </c>
      <c r="T711" s="335">
        <f t="shared" ref="T711:T774" si="321">IF(B711&lt;&gt;"",+SUMIF($AF:$AF,AA711,$P:$P),"")</f>
        <v>14482.5854</v>
      </c>
      <c r="U711" s="336">
        <f t="shared" ref="U711:U774" si="322">IF(B711&lt;&gt;"",+SUMIF($AF:$AF,AB711,$P:$P),"")</f>
        <v>0</v>
      </c>
      <c r="V711" s="336">
        <f t="shared" ref="V711:V774" si="323">IF(B711&lt;&gt;"",+SUMIF($AF:$AF,AC711,$P:$P),"")</f>
        <v>0</v>
      </c>
      <c r="W711" s="336">
        <f t="shared" ref="W711:W774" si="324">IF(B711&lt;&gt;"",+SUMIF($AF:$AF,AD711,$P:$P),"")</f>
        <v>0</v>
      </c>
      <c r="X711" s="336">
        <f t="shared" ref="X711:X774" si="325">IF(B711&lt;&gt;"",+SUMIF($AF:$AF,AE711,$P:$P),"")</f>
        <v>0</v>
      </c>
      <c r="Y711" s="320"/>
      <c r="Z711" s="321" t="str">
        <f t="shared" si="301"/>
        <v>X-PRCA</v>
      </c>
      <c r="AA711" s="321" t="str">
        <f t="shared" si="302"/>
        <v>X-PRCE</v>
      </c>
      <c r="AB711" s="321" t="str">
        <f t="shared" si="303"/>
        <v>X-PRCM</v>
      </c>
      <c r="AC711" s="321" t="str">
        <f t="shared" si="304"/>
        <v>X-PRCT</v>
      </c>
      <c r="AD711" s="321" t="str">
        <f t="shared" si="305"/>
        <v>X-PRCS</v>
      </c>
      <c r="AE711" s="321" t="str">
        <f t="shared" si="306"/>
        <v>X-PRCX</v>
      </c>
      <c r="AF711" s="321" t="str">
        <f t="shared" si="307"/>
        <v>X-PRCA</v>
      </c>
      <c r="AG711" s="321">
        <f t="shared" ref="AG711:AG774" si="326">IF(B711&lt;&gt;"",+COUNTIF(B:B,B711),"")</f>
        <v>8</v>
      </c>
      <c r="AH711" s="321">
        <f>IF(B711&lt;&gt;"",IF(H711="x",VLOOKUP(I711,'AUX-NIV3'!B:AG,32,FALSE),0),"")</f>
        <v>0</v>
      </c>
      <c r="AI711" s="321" t="str">
        <f t="shared" si="308"/>
        <v>X-PRC</v>
      </c>
      <c r="AJ711" s="320"/>
      <c r="AK711" s="322">
        <f t="shared" ref="AK711:AK774" si="327">IF(B711&lt;&gt;"",+MATCH(B711,B:B,0),"")</f>
        <v>709</v>
      </c>
      <c r="AL711" s="323">
        <f t="shared" si="309"/>
        <v>716</v>
      </c>
      <c r="AM711" s="322">
        <f t="shared" si="310"/>
        <v>3</v>
      </c>
      <c r="AN711" s="380">
        <f>IF(AND(AH711&gt;0,B711&lt;&gt;""),VLOOKUP(I711,'AUX-NIV3'!$B:$AO,39,FALSE)*O711,0)</f>
        <v>0</v>
      </c>
      <c r="AO711" s="380">
        <f t="shared" ref="AO711:AO774" si="328">+IF(B711&lt;&gt;"",SUMIF(AF:AF,Z711,O:O)+SUMIF(Z:Z,Z711,AN:AN),0)</f>
        <v>14.399999999999999</v>
      </c>
      <c r="AP711" s="380"/>
    </row>
    <row r="712" spans="2:42" ht="14.4" hidden="1" thickTop="1" thickBot="1">
      <c r="B712" s="324" t="s">
        <v>2824</v>
      </c>
      <c r="C712" s="325" t="s">
        <v>2825</v>
      </c>
      <c r="D712" s="326" t="s">
        <v>2938</v>
      </c>
      <c r="E712" s="327">
        <f>IF(B712&lt;&gt;"",SUMIF('AUX-NIV1'!I:I,'AUX-NIV2'!B712,'AUX-NIV1'!Q:Q),"")</f>
        <v>0</v>
      </c>
      <c r="F712" s="327">
        <f t="shared" si="318"/>
        <v>21565.684974203687</v>
      </c>
      <c r="G712" s="327">
        <f t="shared" si="319"/>
        <v>0</v>
      </c>
      <c r="H712" s="328" t="str">
        <f t="shared" si="311"/>
        <v>A</v>
      </c>
      <c r="I712" s="325" t="s">
        <v>3310</v>
      </c>
      <c r="J712" s="329" t="str">
        <f>IF(B712&lt;&gt;"",+VLOOKUP(I712,Recursos!C:F,2,FALSE),"")</f>
        <v>OFICIAL ESPECIALIZADO</v>
      </c>
      <c r="K712" s="330" t="str">
        <f>IF(B712&lt;&gt;"",+VLOOKUP(I712,Recursos!C:F,3,FALSE),"")</f>
        <v>hh</v>
      </c>
      <c r="L712" s="446">
        <f>IF(B712&lt;&gt;"",+VLOOKUP(I712,Recursos!C:F,4,FALSE),"")</f>
        <v>581.06120476836554</v>
      </c>
      <c r="M712" s="511"/>
      <c r="N712" s="508"/>
      <c r="O712" s="449">
        <f>+M709</f>
        <v>1.6</v>
      </c>
      <c r="P712" s="333">
        <f t="shared" si="315"/>
        <v>929.69792762938494</v>
      </c>
      <c r="Q712" s="327">
        <f t="shared" si="316"/>
        <v>0</v>
      </c>
      <c r="R712" s="334">
        <f t="shared" si="317"/>
        <v>0</v>
      </c>
      <c r="S712" s="335">
        <f t="shared" si="320"/>
        <v>7083.0995742036848</v>
      </c>
      <c r="T712" s="335">
        <f t="shared" si="321"/>
        <v>14482.5854</v>
      </c>
      <c r="U712" s="336">
        <f t="shared" si="322"/>
        <v>0</v>
      </c>
      <c r="V712" s="336">
        <f t="shared" si="323"/>
        <v>0</v>
      </c>
      <c r="W712" s="336">
        <f t="shared" si="324"/>
        <v>0</v>
      </c>
      <c r="X712" s="336">
        <f t="shared" si="325"/>
        <v>0</v>
      </c>
      <c r="Y712" s="320"/>
      <c r="Z712" s="321" t="str">
        <f t="shared" ref="Z712:Z775" si="329">IF(B712&lt;&gt;"",+$B712&amp;"A","")</f>
        <v>X-PRCA</v>
      </c>
      <c r="AA712" s="321" t="str">
        <f t="shared" ref="AA712:AA775" si="330">IF(B712&lt;&gt;"",+$B712&amp;"E","")</f>
        <v>X-PRCE</v>
      </c>
      <c r="AB712" s="321" t="str">
        <f t="shared" ref="AB712:AB775" si="331">IF(B712&lt;&gt;"",++$B712&amp;"M","")</f>
        <v>X-PRCM</v>
      </c>
      <c r="AC712" s="321" t="str">
        <f t="shared" ref="AC712:AC775" si="332">IF(B712&lt;&gt;"",+$B712&amp;"T","")</f>
        <v>X-PRCT</v>
      </c>
      <c r="AD712" s="321" t="str">
        <f t="shared" ref="AD712:AD775" si="333">IF(B712&lt;&gt;"",+$B712&amp;"S","")</f>
        <v>X-PRCS</v>
      </c>
      <c r="AE712" s="321" t="str">
        <f t="shared" ref="AE712:AE775" si="334">IF(B712&lt;&gt;"",+$B712&amp;"X","")</f>
        <v>X-PRCX</v>
      </c>
      <c r="AF712" s="321" t="str">
        <f t="shared" ref="AF712:AF775" si="335">IF(B712&lt;&gt;"",+B712&amp;H712,"")</f>
        <v>X-PRCA</v>
      </c>
      <c r="AG712" s="321">
        <f t="shared" si="326"/>
        <v>8</v>
      </c>
      <c r="AH712" s="321">
        <f>IF(B712&lt;&gt;"",IF(H712="x",VLOOKUP(I712,'AUX-NIV3'!B:AG,32,FALSE),0),"")</f>
        <v>0</v>
      </c>
      <c r="AI712" s="321" t="str">
        <f t="shared" ref="AI712:AI775" si="336">IF(B712&lt;&gt;"",+B712,"")</f>
        <v>X-PRC</v>
      </c>
      <c r="AJ712" s="320"/>
      <c r="AK712" s="322">
        <f t="shared" si="327"/>
        <v>709</v>
      </c>
      <c r="AL712" s="323">
        <f t="shared" ref="AL712:AL775" si="337">IF(B712&lt;&gt;"",+AK712+AG712-1,"")</f>
        <v>716</v>
      </c>
      <c r="AM712" s="322">
        <f t="shared" ref="AM712:AM775" si="338">IF(B712&lt;&gt;"",IF(B712=B711,1+AM711,1),"")</f>
        <v>4</v>
      </c>
      <c r="AN712" s="380">
        <f>IF(AND(AH712&gt;0,B712&lt;&gt;""),VLOOKUP(I712,'AUX-NIV3'!$B:$AO,39,FALSE)*O712,0)</f>
        <v>0</v>
      </c>
      <c r="AO712" s="380">
        <f t="shared" si="328"/>
        <v>14.399999999999999</v>
      </c>
      <c r="AP712" s="380"/>
    </row>
    <row r="713" spans="2:42" ht="14.4" hidden="1" thickTop="1" thickBot="1">
      <c r="B713" s="324" t="s">
        <v>2824</v>
      </c>
      <c r="C713" s="325" t="s">
        <v>2825</v>
      </c>
      <c r="D713" s="326" t="s">
        <v>2938</v>
      </c>
      <c r="E713" s="327">
        <f>IF(B713&lt;&gt;"",SUMIF('AUX-NIV1'!I:I,'AUX-NIV2'!B713,'AUX-NIV1'!Q:Q),"")</f>
        <v>0</v>
      </c>
      <c r="F713" s="327">
        <f t="shared" si="318"/>
        <v>21565.684974203687</v>
      </c>
      <c r="G713" s="327">
        <f t="shared" si="319"/>
        <v>0</v>
      </c>
      <c r="H713" s="328" t="str">
        <f t="shared" si="311"/>
        <v>A</v>
      </c>
      <c r="I713" s="325" t="s">
        <v>3310</v>
      </c>
      <c r="J713" s="329" t="str">
        <f>IF(B713&lt;&gt;"",+VLOOKUP(I713,Recursos!C:F,2,FALSE),"")</f>
        <v>OFICIAL ESPECIALIZADO</v>
      </c>
      <c r="K713" s="330" t="str">
        <f>IF(B713&lt;&gt;"",+VLOOKUP(I713,Recursos!C:F,3,FALSE),"")</f>
        <v>hh</v>
      </c>
      <c r="L713" s="446">
        <f>IF(B713&lt;&gt;"",+VLOOKUP(I713,Recursos!C:F,4,FALSE),"")</f>
        <v>581.06120476836554</v>
      </c>
      <c r="M713" s="511"/>
      <c r="N713" s="508"/>
      <c r="O713" s="449">
        <f>+M709</f>
        <v>1.6</v>
      </c>
      <c r="P713" s="333">
        <f t="shared" si="315"/>
        <v>929.69792762938494</v>
      </c>
      <c r="Q713" s="327">
        <f t="shared" si="316"/>
        <v>0</v>
      </c>
      <c r="R713" s="334">
        <f t="shared" si="317"/>
        <v>0</v>
      </c>
      <c r="S713" s="335">
        <f t="shared" si="320"/>
        <v>7083.0995742036848</v>
      </c>
      <c r="T713" s="335">
        <f t="shared" si="321"/>
        <v>14482.5854</v>
      </c>
      <c r="U713" s="336">
        <f t="shared" si="322"/>
        <v>0</v>
      </c>
      <c r="V713" s="336">
        <f t="shared" si="323"/>
        <v>0</v>
      </c>
      <c r="W713" s="336">
        <f t="shared" si="324"/>
        <v>0</v>
      </c>
      <c r="X713" s="336">
        <f t="shared" si="325"/>
        <v>0</v>
      </c>
      <c r="Y713" s="320"/>
      <c r="Z713" s="321" t="str">
        <f t="shared" si="329"/>
        <v>X-PRCA</v>
      </c>
      <c r="AA713" s="321" t="str">
        <f t="shared" si="330"/>
        <v>X-PRCE</v>
      </c>
      <c r="AB713" s="321" t="str">
        <f t="shared" si="331"/>
        <v>X-PRCM</v>
      </c>
      <c r="AC713" s="321" t="str">
        <f t="shared" si="332"/>
        <v>X-PRCT</v>
      </c>
      <c r="AD713" s="321" t="str">
        <f t="shared" si="333"/>
        <v>X-PRCS</v>
      </c>
      <c r="AE713" s="321" t="str">
        <f t="shared" si="334"/>
        <v>X-PRCX</v>
      </c>
      <c r="AF713" s="321" t="str">
        <f t="shared" si="335"/>
        <v>X-PRCA</v>
      </c>
      <c r="AG713" s="321">
        <f t="shared" si="326"/>
        <v>8</v>
      </c>
      <c r="AH713" s="321">
        <f>IF(B713&lt;&gt;"",IF(H713="x",VLOOKUP(I713,'AUX-NIV3'!B:AG,32,FALSE),0),"")</f>
        <v>0</v>
      </c>
      <c r="AI713" s="321" t="str">
        <f t="shared" si="336"/>
        <v>X-PRC</v>
      </c>
      <c r="AJ713" s="320"/>
      <c r="AK713" s="322">
        <f t="shared" si="327"/>
        <v>709</v>
      </c>
      <c r="AL713" s="323">
        <f t="shared" si="337"/>
        <v>716</v>
      </c>
      <c r="AM713" s="322">
        <f t="shared" si="338"/>
        <v>5</v>
      </c>
      <c r="AN713" s="380">
        <f>IF(AND(AH713&gt;0,B713&lt;&gt;""),VLOOKUP(I713,'AUX-NIV3'!$B:$AO,39,FALSE)*O713,0)</f>
        <v>0</v>
      </c>
      <c r="AO713" s="380">
        <f t="shared" si="328"/>
        <v>14.399999999999999</v>
      </c>
      <c r="AP713" s="380"/>
    </row>
    <row r="714" spans="2:42" ht="14.4" hidden="1" thickTop="1" thickBot="1">
      <c r="B714" s="324" t="s">
        <v>2824</v>
      </c>
      <c r="C714" s="325" t="s">
        <v>2825</v>
      </c>
      <c r="D714" s="326" t="s">
        <v>2938</v>
      </c>
      <c r="E714" s="327">
        <f>IF(B714&lt;&gt;"",SUMIF('AUX-NIV1'!I:I,'AUX-NIV2'!B714,'AUX-NIV1'!Q:Q),"")</f>
        <v>0</v>
      </c>
      <c r="F714" s="327">
        <f t="shared" si="318"/>
        <v>21565.684974203687</v>
      </c>
      <c r="G714" s="327">
        <f t="shared" si="319"/>
        <v>0</v>
      </c>
      <c r="H714" s="328" t="str">
        <f t="shared" si="311"/>
        <v>A</v>
      </c>
      <c r="I714" s="325" t="s">
        <v>3310</v>
      </c>
      <c r="J714" s="329" t="str">
        <f>IF(B714&lt;&gt;"",+VLOOKUP(I714,Recursos!C:F,2,FALSE),"")</f>
        <v>OFICIAL ESPECIALIZADO</v>
      </c>
      <c r="K714" s="330" t="str">
        <f>IF(B714&lt;&gt;"",+VLOOKUP(I714,Recursos!C:F,3,FALSE),"")</f>
        <v>hh</v>
      </c>
      <c r="L714" s="446">
        <f>IF(B714&lt;&gt;"",+VLOOKUP(I714,Recursos!C:F,4,FALSE),"")</f>
        <v>581.06120476836554</v>
      </c>
      <c r="M714" s="511"/>
      <c r="N714" s="508"/>
      <c r="O714" s="449">
        <f>+M709</f>
        <v>1.6</v>
      </c>
      <c r="P714" s="333">
        <f t="shared" si="315"/>
        <v>929.69792762938494</v>
      </c>
      <c r="Q714" s="327">
        <f t="shared" si="316"/>
        <v>0</v>
      </c>
      <c r="R714" s="334">
        <f t="shared" si="317"/>
        <v>0</v>
      </c>
      <c r="S714" s="335">
        <f t="shared" si="320"/>
        <v>7083.0995742036848</v>
      </c>
      <c r="T714" s="335">
        <f t="shared" si="321"/>
        <v>14482.5854</v>
      </c>
      <c r="U714" s="336">
        <f t="shared" si="322"/>
        <v>0</v>
      </c>
      <c r="V714" s="336">
        <f t="shared" si="323"/>
        <v>0</v>
      </c>
      <c r="W714" s="336">
        <f t="shared" si="324"/>
        <v>0</v>
      </c>
      <c r="X714" s="336">
        <f t="shared" si="325"/>
        <v>0</v>
      </c>
      <c r="Y714" s="320"/>
      <c r="Z714" s="321" t="str">
        <f t="shared" si="329"/>
        <v>X-PRCA</v>
      </c>
      <c r="AA714" s="321" t="str">
        <f t="shared" si="330"/>
        <v>X-PRCE</v>
      </c>
      <c r="AB714" s="321" t="str">
        <f t="shared" si="331"/>
        <v>X-PRCM</v>
      </c>
      <c r="AC714" s="321" t="str">
        <f t="shared" si="332"/>
        <v>X-PRCT</v>
      </c>
      <c r="AD714" s="321" t="str">
        <f t="shared" si="333"/>
        <v>X-PRCS</v>
      </c>
      <c r="AE714" s="321" t="str">
        <f t="shared" si="334"/>
        <v>X-PRCX</v>
      </c>
      <c r="AF714" s="321" t="str">
        <f t="shared" si="335"/>
        <v>X-PRCA</v>
      </c>
      <c r="AG714" s="321">
        <f t="shared" si="326"/>
        <v>8</v>
      </c>
      <c r="AH714" s="321">
        <f>IF(B714&lt;&gt;"",IF(H714="x",VLOOKUP(I714,'AUX-NIV3'!B:AG,32,FALSE),0),"")</f>
        <v>0</v>
      </c>
      <c r="AI714" s="321" t="str">
        <f t="shared" si="336"/>
        <v>X-PRC</v>
      </c>
      <c r="AJ714" s="320"/>
      <c r="AK714" s="322">
        <f t="shared" si="327"/>
        <v>709</v>
      </c>
      <c r="AL714" s="323">
        <f t="shared" si="337"/>
        <v>716</v>
      </c>
      <c r="AM714" s="322">
        <f t="shared" si="338"/>
        <v>6</v>
      </c>
      <c r="AN714" s="380">
        <f>IF(AND(AH714&gt;0,B714&lt;&gt;""),VLOOKUP(I714,'AUX-NIV3'!$B:$AO,39,FALSE)*O714,0)</f>
        <v>0</v>
      </c>
      <c r="AO714" s="380">
        <f t="shared" si="328"/>
        <v>14.399999999999999</v>
      </c>
      <c r="AP714" s="380"/>
    </row>
    <row r="715" spans="2:42" ht="14.4" hidden="1" thickTop="1" thickBot="1">
      <c r="B715" s="324" t="s">
        <v>2824</v>
      </c>
      <c r="C715" s="325" t="s">
        <v>2825</v>
      </c>
      <c r="D715" s="326" t="s">
        <v>2938</v>
      </c>
      <c r="E715" s="327">
        <f>IF(B715&lt;&gt;"",SUMIF('AUX-NIV1'!I:I,'AUX-NIV2'!B715,'AUX-NIV1'!Q:Q),"")</f>
        <v>0</v>
      </c>
      <c r="F715" s="327">
        <f t="shared" si="318"/>
        <v>21565.684974203687</v>
      </c>
      <c r="G715" s="327">
        <f t="shared" si="319"/>
        <v>0</v>
      </c>
      <c r="H715" s="328" t="str">
        <f t="shared" si="311"/>
        <v>E</v>
      </c>
      <c r="I715" s="325" t="s">
        <v>1659</v>
      </c>
      <c r="J715" s="329" t="str">
        <f>IF(B715&lt;&gt;"",+VLOOKUP(I715,Recursos!C:F,2,FALSE),"")</f>
        <v>CARGADOR FRONTAL S/NEUM. 2,4 m3</v>
      </c>
      <c r="K715" s="330" t="str">
        <f>IF(B715&lt;&gt;"",+VLOOKUP(I715,Recursos!C:F,3,FALSE),"")</f>
        <v>HR</v>
      </c>
      <c r="L715" s="446">
        <f>IF(B715&lt;&gt;"",+VLOOKUP(I715,Recursos!C:F,4,FALSE),"")</f>
        <v>3724.9622000000004</v>
      </c>
      <c r="M715" s="452">
        <v>1</v>
      </c>
      <c r="N715" s="508"/>
      <c r="O715" s="449">
        <f>M715</f>
        <v>1</v>
      </c>
      <c r="P715" s="333">
        <f t="shared" si="315"/>
        <v>3724.9622000000004</v>
      </c>
      <c r="Q715" s="327">
        <f t="shared" si="316"/>
        <v>0</v>
      </c>
      <c r="R715" s="334">
        <f t="shared" si="317"/>
        <v>0</v>
      </c>
      <c r="S715" s="335">
        <f t="shared" si="320"/>
        <v>7083.0995742036848</v>
      </c>
      <c r="T715" s="335">
        <f t="shared" si="321"/>
        <v>14482.5854</v>
      </c>
      <c r="U715" s="336">
        <f t="shared" si="322"/>
        <v>0</v>
      </c>
      <c r="V715" s="336">
        <f t="shared" si="323"/>
        <v>0</v>
      </c>
      <c r="W715" s="336">
        <f t="shared" si="324"/>
        <v>0</v>
      </c>
      <c r="X715" s="336">
        <f t="shared" si="325"/>
        <v>0</v>
      </c>
      <c r="Y715" s="320"/>
      <c r="Z715" s="321" t="str">
        <f t="shared" si="329"/>
        <v>X-PRCA</v>
      </c>
      <c r="AA715" s="321" t="str">
        <f t="shared" si="330"/>
        <v>X-PRCE</v>
      </c>
      <c r="AB715" s="321" t="str">
        <f t="shared" si="331"/>
        <v>X-PRCM</v>
      </c>
      <c r="AC715" s="321" t="str">
        <f t="shared" si="332"/>
        <v>X-PRCT</v>
      </c>
      <c r="AD715" s="321" t="str">
        <f t="shared" si="333"/>
        <v>X-PRCS</v>
      </c>
      <c r="AE715" s="321" t="str">
        <f t="shared" si="334"/>
        <v>X-PRCX</v>
      </c>
      <c r="AF715" s="321" t="str">
        <f t="shared" si="335"/>
        <v>X-PRCE</v>
      </c>
      <c r="AG715" s="321">
        <f t="shared" si="326"/>
        <v>8</v>
      </c>
      <c r="AH715" s="321">
        <f>IF(B715&lt;&gt;"",IF(H715="x",VLOOKUP(I715,'AUX-NIV3'!B:AG,32,FALSE),0),"")</f>
        <v>0</v>
      </c>
      <c r="AI715" s="321" t="str">
        <f t="shared" si="336"/>
        <v>X-PRC</v>
      </c>
      <c r="AJ715" s="320"/>
      <c r="AK715" s="322">
        <f t="shared" si="327"/>
        <v>709</v>
      </c>
      <c r="AL715" s="323">
        <f t="shared" si="337"/>
        <v>716</v>
      </c>
      <c r="AM715" s="322">
        <f t="shared" si="338"/>
        <v>7</v>
      </c>
      <c r="AN715" s="380">
        <f>IF(AND(AH715&gt;0,B715&lt;&gt;""),VLOOKUP(I715,'AUX-NIV3'!$B:$AO,39,FALSE)*O715,0)</f>
        <v>0</v>
      </c>
      <c r="AO715" s="380">
        <f t="shared" si="328"/>
        <v>14.399999999999999</v>
      </c>
      <c r="AP715" s="380"/>
    </row>
    <row r="716" spans="2:42" ht="14.4" hidden="1" thickTop="1" thickBot="1">
      <c r="B716" s="324" t="s">
        <v>2824</v>
      </c>
      <c r="C716" s="325" t="s">
        <v>2825</v>
      </c>
      <c r="D716" s="326" t="s">
        <v>2938</v>
      </c>
      <c r="E716" s="327">
        <f>IF(B716&lt;&gt;"",SUMIF('AUX-NIV1'!I:I,'AUX-NIV2'!B716,'AUX-NIV1'!Q:Q),"")</f>
        <v>0</v>
      </c>
      <c r="F716" s="327">
        <f t="shared" si="318"/>
        <v>21565.684974203687</v>
      </c>
      <c r="G716" s="327">
        <f t="shared" si="319"/>
        <v>0</v>
      </c>
      <c r="H716" s="328" t="str">
        <f t="shared" si="311"/>
        <v>E</v>
      </c>
      <c r="I716" s="325" t="s">
        <v>1728</v>
      </c>
      <c r="J716" s="329" t="str">
        <f>IF(B716&lt;&gt;"",+VLOOKUP(I716,Recursos!C:F,2,FALSE),"")</f>
        <v>PLANTA ASF.CONTRA FLUJO TE 120 T/h</v>
      </c>
      <c r="K716" s="330" t="str">
        <f>IF(B716&lt;&gt;"",+VLOOKUP(I716,Recursos!C:F,3,FALSE),"")</f>
        <v>HR</v>
      </c>
      <c r="L716" s="446">
        <f>IF(B716&lt;&gt;"",+VLOOKUP(I716,Recursos!C:F,4,FALSE),"")</f>
        <v>10757.6232</v>
      </c>
      <c r="M716" s="512"/>
      <c r="N716" s="513"/>
      <c r="O716" s="449">
        <f>M715</f>
        <v>1</v>
      </c>
      <c r="P716" s="333">
        <f t="shared" si="315"/>
        <v>10757.6232</v>
      </c>
      <c r="Q716" s="327">
        <f t="shared" si="316"/>
        <v>0</v>
      </c>
      <c r="R716" s="334">
        <f t="shared" si="317"/>
        <v>0</v>
      </c>
      <c r="S716" s="335">
        <f t="shared" si="320"/>
        <v>7083.0995742036848</v>
      </c>
      <c r="T716" s="335">
        <f t="shared" si="321"/>
        <v>14482.5854</v>
      </c>
      <c r="U716" s="336">
        <f t="shared" si="322"/>
        <v>0</v>
      </c>
      <c r="V716" s="336">
        <f t="shared" si="323"/>
        <v>0</v>
      </c>
      <c r="W716" s="336">
        <f t="shared" si="324"/>
        <v>0</v>
      </c>
      <c r="X716" s="336">
        <f t="shared" si="325"/>
        <v>0</v>
      </c>
      <c r="Y716" s="320"/>
      <c r="Z716" s="321" t="str">
        <f t="shared" si="329"/>
        <v>X-PRCA</v>
      </c>
      <c r="AA716" s="321" t="str">
        <f t="shared" si="330"/>
        <v>X-PRCE</v>
      </c>
      <c r="AB716" s="321" t="str">
        <f t="shared" si="331"/>
        <v>X-PRCM</v>
      </c>
      <c r="AC716" s="321" t="str">
        <f t="shared" si="332"/>
        <v>X-PRCT</v>
      </c>
      <c r="AD716" s="321" t="str">
        <f t="shared" si="333"/>
        <v>X-PRCS</v>
      </c>
      <c r="AE716" s="321" t="str">
        <f t="shared" si="334"/>
        <v>X-PRCX</v>
      </c>
      <c r="AF716" s="321" t="str">
        <f t="shared" si="335"/>
        <v>X-PRCE</v>
      </c>
      <c r="AG716" s="321">
        <f t="shared" si="326"/>
        <v>8</v>
      </c>
      <c r="AH716" s="321">
        <f>IF(B716&lt;&gt;"",IF(H716="x",VLOOKUP(I716,'AUX-NIV3'!B:AG,32,FALSE),0),"")</f>
        <v>0</v>
      </c>
      <c r="AI716" s="321" t="str">
        <f t="shared" si="336"/>
        <v>X-PRC</v>
      </c>
      <c r="AJ716" s="320"/>
      <c r="AK716" s="322">
        <f t="shared" si="327"/>
        <v>709</v>
      </c>
      <c r="AL716" s="323">
        <f t="shared" si="337"/>
        <v>716</v>
      </c>
      <c r="AM716" s="322">
        <f t="shared" si="338"/>
        <v>8</v>
      </c>
      <c r="AN716" s="380">
        <f>IF(AND(AH716&gt;0,B716&lt;&gt;""),VLOOKUP(I716,'AUX-NIV3'!$B:$AO,39,FALSE)*O716,0)</f>
        <v>0</v>
      </c>
      <c r="AO716" s="380">
        <f t="shared" si="328"/>
        <v>14.399999999999999</v>
      </c>
      <c r="AP716" s="380"/>
    </row>
    <row r="717" spans="2:42" ht="14.4" hidden="1" thickTop="1" thickBot="1">
      <c r="B717" s="324" t="s">
        <v>2826</v>
      </c>
      <c r="C717" s="325" t="s">
        <v>2827</v>
      </c>
      <c r="D717" s="326" t="s">
        <v>441</v>
      </c>
      <c r="E717" s="327">
        <f>IF(B717&lt;&gt;"",SUMIF('AUX-NIV1'!I:I,'AUX-NIV2'!B717,'AUX-NIV1'!Q:Q),"")</f>
        <v>0</v>
      </c>
      <c r="F717" s="327">
        <f t="shared" si="318"/>
        <v>316.42825226888021</v>
      </c>
      <c r="G717" s="327">
        <f t="shared" si="319"/>
        <v>0</v>
      </c>
      <c r="H717" s="328" t="str">
        <f t="shared" si="311"/>
        <v>A</v>
      </c>
      <c r="I717" s="325" t="s">
        <v>3310</v>
      </c>
      <c r="J717" s="329" t="str">
        <f>IF(B717&lt;&gt;"",+VLOOKUP(I717,Recursos!C:F,2,FALSE),"")</f>
        <v>OFICIAL ESPECIALIZADO</v>
      </c>
      <c r="K717" s="330" t="str">
        <f>IF(B717&lt;&gt;"",+VLOOKUP(I717,Recursos!C:F,3,FALSE),"")</f>
        <v>hh</v>
      </c>
      <c r="L717" s="446">
        <f>IF(B717&lt;&gt;"",+VLOOKUP(I717,Recursos!C:F,4,FALSE),"")</f>
        <v>581.06120476836554</v>
      </c>
      <c r="M717" s="454">
        <f t="shared" ref="M717:M724" si="339">+M718</f>
        <v>80</v>
      </c>
      <c r="N717" s="455">
        <f>+N719</f>
        <v>1.6</v>
      </c>
      <c r="O717" s="449">
        <f>+N717/M717</f>
        <v>0.02</v>
      </c>
      <c r="P717" s="333">
        <f t="shared" si="315"/>
        <v>11.62122409536731</v>
      </c>
      <c r="Q717" s="327">
        <f t="shared" si="316"/>
        <v>0</v>
      </c>
      <c r="R717" s="334">
        <f t="shared" si="317"/>
        <v>0</v>
      </c>
      <c r="S717" s="335">
        <f t="shared" si="320"/>
        <v>153.2173742272135</v>
      </c>
      <c r="T717" s="335">
        <f t="shared" si="321"/>
        <v>163.21087804166669</v>
      </c>
      <c r="U717" s="336">
        <f t="shared" si="322"/>
        <v>0</v>
      </c>
      <c r="V717" s="336">
        <f t="shared" si="323"/>
        <v>0</v>
      </c>
      <c r="W717" s="336">
        <f t="shared" si="324"/>
        <v>0</v>
      </c>
      <c r="X717" s="336">
        <f t="shared" si="325"/>
        <v>0</v>
      </c>
      <c r="Y717" s="320"/>
      <c r="Z717" s="321" t="str">
        <f t="shared" si="329"/>
        <v>X-COL1A</v>
      </c>
      <c r="AA717" s="321" t="str">
        <f t="shared" si="330"/>
        <v>X-COL1E</v>
      </c>
      <c r="AB717" s="321" t="str">
        <f t="shared" si="331"/>
        <v>X-COL1M</v>
      </c>
      <c r="AC717" s="321" t="str">
        <f t="shared" si="332"/>
        <v>X-COL1T</v>
      </c>
      <c r="AD717" s="321" t="str">
        <f t="shared" si="333"/>
        <v>X-COL1S</v>
      </c>
      <c r="AE717" s="321" t="str">
        <f t="shared" si="334"/>
        <v>X-COL1X</v>
      </c>
      <c r="AF717" s="321" t="str">
        <f t="shared" si="335"/>
        <v>X-COL1A</v>
      </c>
      <c r="AG717" s="321">
        <f t="shared" si="326"/>
        <v>12</v>
      </c>
      <c r="AH717" s="321">
        <f>IF(B717&lt;&gt;"",IF(H717="x",VLOOKUP(I717,'AUX-NIV3'!B:AG,32,FALSE),0),"")</f>
        <v>0</v>
      </c>
      <c r="AI717" s="321" t="str">
        <f t="shared" si="336"/>
        <v>X-COL1</v>
      </c>
      <c r="AJ717" s="320"/>
      <c r="AK717" s="322">
        <f t="shared" si="327"/>
        <v>717</v>
      </c>
      <c r="AL717" s="323">
        <f t="shared" si="337"/>
        <v>728</v>
      </c>
      <c r="AM717" s="322">
        <f t="shared" si="338"/>
        <v>1</v>
      </c>
      <c r="AN717" s="380">
        <f>IF(AND(AH717&gt;0,B717&lt;&gt;""),VLOOKUP(I717,'AUX-NIV3'!$B:$AO,39,FALSE)*O717,0)</f>
        <v>0</v>
      </c>
      <c r="AO717" s="380">
        <f t="shared" si="328"/>
        <v>0.30000000000000004</v>
      </c>
      <c r="AP717" s="380"/>
    </row>
    <row r="718" spans="2:42" ht="14.4" hidden="1" thickTop="1" thickBot="1">
      <c r="B718" s="324" t="s">
        <v>2826</v>
      </c>
      <c r="C718" s="325" t="s">
        <v>2827</v>
      </c>
      <c r="D718" s="326" t="s">
        <v>441</v>
      </c>
      <c r="E718" s="327">
        <f>IF(B718&lt;&gt;"",SUMIF('AUX-NIV1'!I:I,'AUX-NIV2'!B718,'AUX-NIV1'!Q:Q),"")</f>
        <v>0</v>
      </c>
      <c r="F718" s="327">
        <f t="shared" si="318"/>
        <v>316.42825226888021</v>
      </c>
      <c r="G718" s="327">
        <f t="shared" si="319"/>
        <v>0</v>
      </c>
      <c r="H718" s="328" t="str">
        <f t="shared" si="311"/>
        <v>A</v>
      </c>
      <c r="I718" s="325" t="s">
        <v>1745</v>
      </c>
      <c r="J718" s="329" t="str">
        <f>IF(B718&lt;&gt;"",+VLOOKUP(I718,Recursos!C:F,2,FALSE),"")</f>
        <v>AYUDANTE</v>
      </c>
      <c r="K718" s="330" t="str">
        <f>IF(B718&lt;&gt;"",+VLOOKUP(I718,Recursos!C:F,3,FALSE),"")</f>
        <v>hh</v>
      </c>
      <c r="L718" s="446">
        <f>IF(B718&lt;&gt;"",+VLOOKUP(I718,Recursos!C:F,4,FALSE),"")</f>
        <v>422.48042769667234</v>
      </c>
      <c r="M718" s="454">
        <f t="shared" si="339"/>
        <v>80</v>
      </c>
      <c r="N718" s="453">
        <v>4</v>
      </c>
      <c r="O718" s="449">
        <f>+N718/M718*N724</f>
        <v>8.0000000000000016E-2</v>
      </c>
      <c r="P718" s="333">
        <f t="shared" si="315"/>
        <v>33.798434215733792</v>
      </c>
      <c r="Q718" s="327">
        <f t="shared" si="316"/>
        <v>0</v>
      </c>
      <c r="R718" s="334">
        <f t="shared" si="317"/>
        <v>0</v>
      </c>
      <c r="S718" s="335">
        <f t="shared" si="320"/>
        <v>153.2173742272135</v>
      </c>
      <c r="T718" s="335">
        <f t="shared" si="321"/>
        <v>163.21087804166669</v>
      </c>
      <c r="U718" s="336">
        <f t="shared" si="322"/>
        <v>0</v>
      </c>
      <c r="V718" s="336">
        <f t="shared" si="323"/>
        <v>0</v>
      </c>
      <c r="W718" s="336">
        <f t="shared" si="324"/>
        <v>0</v>
      </c>
      <c r="X718" s="336">
        <f t="shared" si="325"/>
        <v>0</v>
      </c>
      <c r="Y718" s="320"/>
      <c r="Z718" s="321" t="str">
        <f t="shared" si="329"/>
        <v>X-COL1A</v>
      </c>
      <c r="AA718" s="321" t="str">
        <f t="shared" si="330"/>
        <v>X-COL1E</v>
      </c>
      <c r="AB718" s="321" t="str">
        <f t="shared" si="331"/>
        <v>X-COL1M</v>
      </c>
      <c r="AC718" s="321" t="str">
        <f t="shared" si="332"/>
        <v>X-COL1T</v>
      </c>
      <c r="AD718" s="321" t="str">
        <f t="shared" si="333"/>
        <v>X-COL1S</v>
      </c>
      <c r="AE718" s="321" t="str">
        <f t="shared" si="334"/>
        <v>X-COL1X</v>
      </c>
      <c r="AF718" s="321" t="str">
        <f t="shared" si="335"/>
        <v>X-COL1A</v>
      </c>
      <c r="AG718" s="321">
        <f t="shared" si="326"/>
        <v>12</v>
      </c>
      <c r="AH718" s="321">
        <f>IF(B718&lt;&gt;"",IF(H718="x",VLOOKUP(I718,'AUX-NIV3'!B:AG,32,FALSE),0),"")</f>
        <v>0</v>
      </c>
      <c r="AI718" s="321" t="str">
        <f t="shared" si="336"/>
        <v>X-COL1</v>
      </c>
      <c r="AJ718" s="320"/>
      <c r="AK718" s="322">
        <f t="shared" si="327"/>
        <v>717</v>
      </c>
      <c r="AL718" s="323">
        <f t="shared" si="337"/>
        <v>728</v>
      </c>
      <c r="AM718" s="322">
        <f t="shared" si="338"/>
        <v>2</v>
      </c>
      <c r="AN718" s="380">
        <f>IF(AND(AH718&gt;0,B718&lt;&gt;""),VLOOKUP(I718,'AUX-NIV3'!$B:$AO,39,FALSE)*O718,0)</f>
        <v>0</v>
      </c>
      <c r="AO718" s="380">
        <f t="shared" si="328"/>
        <v>0.30000000000000004</v>
      </c>
      <c r="AP718" s="380"/>
    </row>
    <row r="719" spans="2:42" ht="14.4" hidden="1" thickTop="1" thickBot="1">
      <c r="B719" s="324" t="s">
        <v>2826</v>
      </c>
      <c r="C719" s="325" t="s">
        <v>2827</v>
      </c>
      <c r="D719" s="326" t="s">
        <v>441</v>
      </c>
      <c r="E719" s="327">
        <f>IF(B719&lt;&gt;"",SUMIF('AUX-NIV1'!I:I,'AUX-NIV2'!B719,'AUX-NIV1'!Q:Q),"")</f>
        <v>0</v>
      </c>
      <c r="F719" s="327">
        <f t="shared" si="318"/>
        <v>316.42825226888021</v>
      </c>
      <c r="G719" s="327">
        <f t="shared" si="319"/>
        <v>0</v>
      </c>
      <c r="H719" s="328" t="str">
        <f t="shared" si="311"/>
        <v>A</v>
      </c>
      <c r="I719" s="325" t="s">
        <v>1746</v>
      </c>
      <c r="J719" s="329" t="str">
        <f>IF(B719&lt;&gt;"",+VLOOKUP(I719,Recursos!C:F,2,FALSE),"")</f>
        <v>OFICIAL</v>
      </c>
      <c r="K719" s="330" t="str">
        <f>IF(B719&lt;&gt;"",+VLOOKUP(I719,Recursos!C:F,3,FALSE),"")</f>
        <v>hh</v>
      </c>
      <c r="L719" s="446">
        <f>IF(B719&lt;&gt;"",+VLOOKUP(I719,Recursos!C:F,4,FALSE),"")</f>
        <v>496.91595439275824</v>
      </c>
      <c r="M719" s="454">
        <f t="shared" si="339"/>
        <v>80</v>
      </c>
      <c r="N719" s="455">
        <f>+N720</f>
        <v>1.6</v>
      </c>
      <c r="O719" s="449">
        <f>+N719/M719*N726</f>
        <v>0.04</v>
      </c>
      <c r="P719" s="333">
        <f t="shared" si="315"/>
        <v>19.87663817571033</v>
      </c>
      <c r="Q719" s="327">
        <f t="shared" si="316"/>
        <v>0</v>
      </c>
      <c r="R719" s="334">
        <f t="shared" si="317"/>
        <v>0</v>
      </c>
      <c r="S719" s="335">
        <f t="shared" si="320"/>
        <v>153.2173742272135</v>
      </c>
      <c r="T719" s="335">
        <f t="shared" si="321"/>
        <v>163.21087804166669</v>
      </c>
      <c r="U719" s="336">
        <f t="shared" si="322"/>
        <v>0</v>
      </c>
      <c r="V719" s="336">
        <f t="shared" si="323"/>
        <v>0</v>
      </c>
      <c r="W719" s="336">
        <f t="shared" si="324"/>
        <v>0</v>
      </c>
      <c r="X719" s="336">
        <f t="shared" si="325"/>
        <v>0</v>
      </c>
      <c r="Y719" s="320"/>
      <c r="Z719" s="321" t="str">
        <f t="shared" si="329"/>
        <v>X-COL1A</v>
      </c>
      <c r="AA719" s="321" t="str">
        <f t="shared" si="330"/>
        <v>X-COL1E</v>
      </c>
      <c r="AB719" s="321" t="str">
        <f t="shared" si="331"/>
        <v>X-COL1M</v>
      </c>
      <c r="AC719" s="321" t="str">
        <f t="shared" si="332"/>
        <v>X-COL1T</v>
      </c>
      <c r="AD719" s="321" t="str">
        <f t="shared" si="333"/>
        <v>X-COL1S</v>
      </c>
      <c r="AE719" s="321" t="str">
        <f t="shared" si="334"/>
        <v>X-COL1X</v>
      </c>
      <c r="AF719" s="321" t="str">
        <f t="shared" si="335"/>
        <v>X-COL1A</v>
      </c>
      <c r="AG719" s="321">
        <f t="shared" si="326"/>
        <v>12</v>
      </c>
      <c r="AH719" s="321">
        <f>IF(B719&lt;&gt;"",IF(H719="x",VLOOKUP(I719,'AUX-NIV3'!B:AG,32,FALSE),0),"")</f>
        <v>0</v>
      </c>
      <c r="AI719" s="321" t="str">
        <f t="shared" si="336"/>
        <v>X-COL1</v>
      </c>
      <c r="AJ719" s="320"/>
      <c r="AK719" s="322">
        <f t="shared" si="327"/>
        <v>717</v>
      </c>
      <c r="AL719" s="323">
        <f t="shared" si="337"/>
        <v>728</v>
      </c>
      <c r="AM719" s="322">
        <f t="shared" si="338"/>
        <v>3</v>
      </c>
      <c r="AN719" s="380">
        <f>IF(AND(AH719&gt;0,B719&lt;&gt;""),VLOOKUP(I719,'AUX-NIV3'!$B:$AO,39,FALSE)*O719,0)</f>
        <v>0</v>
      </c>
      <c r="AO719" s="380">
        <f t="shared" si="328"/>
        <v>0.30000000000000004</v>
      </c>
      <c r="AP719" s="380"/>
    </row>
    <row r="720" spans="2:42" ht="14.4" hidden="1" thickTop="1" thickBot="1">
      <c r="B720" s="324" t="s">
        <v>2826</v>
      </c>
      <c r="C720" s="325" t="s">
        <v>2827</v>
      </c>
      <c r="D720" s="326" t="s">
        <v>441</v>
      </c>
      <c r="E720" s="327">
        <f>IF(B720&lt;&gt;"",SUMIF('AUX-NIV1'!I:I,'AUX-NIV2'!B720,'AUX-NIV1'!Q:Q),"")</f>
        <v>0</v>
      </c>
      <c r="F720" s="327">
        <f t="shared" si="318"/>
        <v>316.42825226888021</v>
      </c>
      <c r="G720" s="327">
        <f t="shared" si="319"/>
        <v>0</v>
      </c>
      <c r="H720" s="328" t="str">
        <f t="shared" si="311"/>
        <v>A</v>
      </c>
      <c r="I720" s="325" t="s">
        <v>1746</v>
      </c>
      <c r="J720" s="329" t="str">
        <f>IF(B720&lt;&gt;"",+VLOOKUP(I720,Recursos!C:F,2,FALSE),"")</f>
        <v>OFICIAL</v>
      </c>
      <c r="K720" s="330" t="str">
        <f>IF(B720&lt;&gt;"",+VLOOKUP(I720,Recursos!C:F,3,FALSE),"")</f>
        <v>hh</v>
      </c>
      <c r="L720" s="446">
        <f>IF(B720&lt;&gt;"",+VLOOKUP(I720,Recursos!C:F,4,FALSE),"")</f>
        <v>496.91595439275824</v>
      </c>
      <c r="M720" s="454">
        <f t="shared" si="339"/>
        <v>80</v>
      </c>
      <c r="N720" s="455">
        <f>+N721</f>
        <v>1.6</v>
      </c>
      <c r="O720" s="449">
        <f>+N726/M720*N720</f>
        <v>4.0000000000000008E-2</v>
      </c>
      <c r="P720" s="333">
        <f t="shared" si="315"/>
        <v>19.876638175710333</v>
      </c>
      <c r="Q720" s="327">
        <f t="shared" si="316"/>
        <v>0</v>
      </c>
      <c r="R720" s="334">
        <f t="shared" si="317"/>
        <v>0</v>
      </c>
      <c r="S720" s="335">
        <f t="shared" si="320"/>
        <v>153.2173742272135</v>
      </c>
      <c r="T720" s="335">
        <f t="shared" si="321"/>
        <v>163.21087804166669</v>
      </c>
      <c r="U720" s="336">
        <f t="shared" si="322"/>
        <v>0</v>
      </c>
      <c r="V720" s="336">
        <f t="shared" si="323"/>
        <v>0</v>
      </c>
      <c r="W720" s="336">
        <f t="shared" si="324"/>
        <v>0</v>
      </c>
      <c r="X720" s="336">
        <f t="shared" si="325"/>
        <v>0</v>
      </c>
      <c r="Y720" s="320"/>
      <c r="Z720" s="321" t="str">
        <f t="shared" si="329"/>
        <v>X-COL1A</v>
      </c>
      <c r="AA720" s="321" t="str">
        <f t="shared" si="330"/>
        <v>X-COL1E</v>
      </c>
      <c r="AB720" s="321" t="str">
        <f t="shared" si="331"/>
        <v>X-COL1M</v>
      </c>
      <c r="AC720" s="321" t="str">
        <f t="shared" si="332"/>
        <v>X-COL1T</v>
      </c>
      <c r="AD720" s="321" t="str">
        <f t="shared" si="333"/>
        <v>X-COL1S</v>
      </c>
      <c r="AE720" s="321" t="str">
        <f t="shared" si="334"/>
        <v>X-COL1X</v>
      </c>
      <c r="AF720" s="321" t="str">
        <f t="shared" si="335"/>
        <v>X-COL1A</v>
      </c>
      <c r="AG720" s="321">
        <f t="shared" si="326"/>
        <v>12</v>
      </c>
      <c r="AH720" s="321">
        <f>IF(B720&lt;&gt;"",IF(H720="x",VLOOKUP(I720,'AUX-NIV3'!B:AG,32,FALSE),0),"")</f>
        <v>0</v>
      </c>
      <c r="AI720" s="321" t="str">
        <f t="shared" si="336"/>
        <v>X-COL1</v>
      </c>
      <c r="AJ720" s="320"/>
      <c r="AK720" s="322">
        <f t="shared" si="327"/>
        <v>717</v>
      </c>
      <c r="AL720" s="323">
        <f t="shared" si="337"/>
        <v>728</v>
      </c>
      <c r="AM720" s="322">
        <f t="shared" si="338"/>
        <v>4</v>
      </c>
      <c r="AN720" s="380">
        <f>IF(AND(AH720&gt;0,B720&lt;&gt;""),VLOOKUP(I720,'AUX-NIV3'!$B:$AO,39,FALSE)*O720,0)</f>
        <v>0</v>
      </c>
      <c r="AO720" s="380">
        <f t="shared" si="328"/>
        <v>0.30000000000000004</v>
      </c>
      <c r="AP720" s="380"/>
    </row>
    <row r="721" spans="2:42" ht="14.4" hidden="1" thickTop="1" thickBot="1">
      <c r="B721" s="324" t="s">
        <v>2826</v>
      </c>
      <c r="C721" s="325" t="s">
        <v>2827</v>
      </c>
      <c r="D721" s="326" t="s">
        <v>441</v>
      </c>
      <c r="E721" s="327">
        <f>IF(B721&lt;&gt;"",SUMIF('AUX-NIV1'!I:I,'AUX-NIV2'!B721,'AUX-NIV1'!Q:Q),"")</f>
        <v>0</v>
      </c>
      <c r="F721" s="327">
        <f t="shared" si="318"/>
        <v>316.42825226888021</v>
      </c>
      <c r="G721" s="327">
        <f t="shared" si="319"/>
        <v>0</v>
      </c>
      <c r="H721" s="328" t="str">
        <f t="shared" si="311"/>
        <v>A</v>
      </c>
      <c r="I721" s="325" t="s">
        <v>3310</v>
      </c>
      <c r="J721" s="329" t="str">
        <f>IF(B721&lt;&gt;"",+VLOOKUP(I721,Recursos!C:F,2,FALSE),"")</f>
        <v>OFICIAL ESPECIALIZADO</v>
      </c>
      <c r="K721" s="330" t="str">
        <f>IF(B721&lt;&gt;"",+VLOOKUP(I721,Recursos!C:F,3,FALSE),"")</f>
        <v>hh</v>
      </c>
      <c r="L721" s="446">
        <f>IF(B721&lt;&gt;"",+VLOOKUP(I721,Recursos!C:F,4,FALSE),"")</f>
        <v>581.06120476836554</v>
      </c>
      <c r="M721" s="454">
        <f t="shared" si="339"/>
        <v>80</v>
      </c>
      <c r="N721" s="455">
        <f>+N722</f>
        <v>1.6</v>
      </c>
      <c r="O721" s="449">
        <f>+N721/M721</f>
        <v>0.02</v>
      </c>
      <c r="P721" s="333">
        <f t="shared" si="315"/>
        <v>11.62122409536731</v>
      </c>
      <c r="Q721" s="327">
        <f t="shared" si="316"/>
        <v>0</v>
      </c>
      <c r="R721" s="334">
        <f t="shared" si="317"/>
        <v>0</v>
      </c>
      <c r="S721" s="335">
        <f t="shared" si="320"/>
        <v>153.2173742272135</v>
      </c>
      <c r="T721" s="335">
        <f t="shared" si="321"/>
        <v>163.21087804166669</v>
      </c>
      <c r="U721" s="336">
        <f t="shared" si="322"/>
        <v>0</v>
      </c>
      <c r="V721" s="336">
        <f t="shared" si="323"/>
        <v>0</v>
      </c>
      <c r="W721" s="336">
        <f t="shared" si="324"/>
        <v>0</v>
      </c>
      <c r="X721" s="336">
        <f t="shared" si="325"/>
        <v>0</v>
      </c>
      <c r="Y721" s="320"/>
      <c r="Z721" s="321" t="str">
        <f t="shared" si="329"/>
        <v>X-COL1A</v>
      </c>
      <c r="AA721" s="321" t="str">
        <f t="shared" si="330"/>
        <v>X-COL1E</v>
      </c>
      <c r="AB721" s="321" t="str">
        <f t="shared" si="331"/>
        <v>X-COL1M</v>
      </c>
      <c r="AC721" s="321" t="str">
        <f t="shared" si="332"/>
        <v>X-COL1T</v>
      </c>
      <c r="AD721" s="321" t="str">
        <f t="shared" si="333"/>
        <v>X-COL1S</v>
      </c>
      <c r="AE721" s="321" t="str">
        <f t="shared" si="334"/>
        <v>X-COL1X</v>
      </c>
      <c r="AF721" s="321" t="str">
        <f t="shared" si="335"/>
        <v>X-COL1A</v>
      </c>
      <c r="AG721" s="321">
        <f t="shared" si="326"/>
        <v>12</v>
      </c>
      <c r="AH721" s="321">
        <f>IF(B721&lt;&gt;"",IF(H721="x",VLOOKUP(I721,'AUX-NIV3'!B:AG,32,FALSE),0),"")</f>
        <v>0</v>
      </c>
      <c r="AI721" s="321" t="str">
        <f t="shared" si="336"/>
        <v>X-COL1</v>
      </c>
      <c r="AJ721" s="320"/>
      <c r="AK721" s="322">
        <f t="shared" si="327"/>
        <v>717</v>
      </c>
      <c r="AL721" s="323">
        <f t="shared" si="337"/>
        <v>728</v>
      </c>
      <c r="AM721" s="322">
        <f t="shared" si="338"/>
        <v>5</v>
      </c>
      <c r="AN721" s="380">
        <f>IF(AND(AH721&gt;0,B721&lt;&gt;""),VLOOKUP(I721,'AUX-NIV3'!$B:$AO,39,FALSE)*O721,0)</f>
        <v>0</v>
      </c>
      <c r="AO721" s="380">
        <f t="shared" si="328"/>
        <v>0.30000000000000004</v>
      </c>
      <c r="AP721" s="380"/>
    </row>
    <row r="722" spans="2:42" ht="14.4" hidden="1" thickTop="1" thickBot="1">
      <c r="B722" s="324" t="s">
        <v>2826</v>
      </c>
      <c r="C722" s="325" t="s">
        <v>2827</v>
      </c>
      <c r="D722" s="326" t="s">
        <v>441</v>
      </c>
      <c r="E722" s="327">
        <f>IF(B722&lt;&gt;"",SUMIF('AUX-NIV1'!I:I,'AUX-NIV2'!B722,'AUX-NIV1'!Q:Q),"")</f>
        <v>0</v>
      </c>
      <c r="F722" s="327">
        <f t="shared" si="318"/>
        <v>316.42825226888021</v>
      </c>
      <c r="G722" s="327">
        <f t="shared" si="319"/>
        <v>0</v>
      </c>
      <c r="H722" s="328" t="str">
        <f t="shared" si="311"/>
        <v>A</v>
      </c>
      <c r="I722" s="325" t="s">
        <v>3310</v>
      </c>
      <c r="J722" s="329" t="str">
        <f>IF(B722&lt;&gt;"",+VLOOKUP(I722,Recursos!C:F,2,FALSE),"")</f>
        <v>OFICIAL ESPECIALIZADO</v>
      </c>
      <c r="K722" s="330" t="str">
        <f>IF(B722&lt;&gt;"",+VLOOKUP(I722,Recursos!C:F,3,FALSE),"")</f>
        <v>hh</v>
      </c>
      <c r="L722" s="446">
        <f>IF(B722&lt;&gt;"",+VLOOKUP(I722,Recursos!C:F,4,FALSE),"")</f>
        <v>581.06120476836554</v>
      </c>
      <c r="M722" s="454">
        <f t="shared" si="339"/>
        <v>80</v>
      </c>
      <c r="N722" s="455">
        <f>+N723</f>
        <v>1.6</v>
      </c>
      <c r="O722" s="449">
        <f>+N722/M722</f>
        <v>0.02</v>
      </c>
      <c r="P722" s="333">
        <f t="shared" si="315"/>
        <v>11.62122409536731</v>
      </c>
      <c r="Q722" s="327">
        <f t="shared" si="316"/>
        <v>0</v>
      </c>
      <c r="R722" s="334">
        <f t="shared" si="317"/>
        <v>0</v>
      </c>
      <c r="S722" s="335">
        <f t="shared" si="320"/>
        <v>153.2173742272135</v>
      </c>
      <c r="T722" s="335">
        <f t="shared" si="321"/>
        <v>163.21087804166669</v>
      </c>
      <c r="U722" s="336">
        <f t="shared" si="322"/>
        <v>0</v>
      </c>
      <c r="V722" s="336">
        <f t="shared" si="323"/>
        <v>0</v>
      </c>
      <c r="W722" s="336">
        <f t="shared" si="324"/>
        <v>0</v>
      </c>
      <c r="X722" s="336">
        <f t="shared" si="325"/>
        <v>0</v>
      </c>
      <c r="Y722" s="320"/>
      <c r="Z722" s="321" t="str">
        <f t="shared" si="329"/>
        <v>X-COL1A</v>
      </c>
      <c r="AA722" s="321" t="str">
        <f t="shared" si="330"/>
        <v>X-COL1E</v>
      </c>
      <c r="AB722" s="321" t="str">
        <f t="shared" si="331"/>
        <v>X-COL1M</v>
      </c>
      <c r="AC722" s="321" t="str">
        <f t="shared" si="332"/>
        <v>X-COL1T</v>
      </c>
      <c r="AD722" s="321" t="str">
        <f t="shared" si="333"/>
        <v>X-COL1S</v>
      </c>
      <c r="AE722" s="321" t="str">
        <f t="shared" si="334"/>
        <v>X-COL1X</v>
      </c>
      <c r="AF722" s="321" t="str">
        <f t="shared" si="335"/>
        <v>X-COL1A</v>
      </c>
      <c r="AG722" s="321">
        <f t="shared" si="326"/>
        <v>12</v>
      </c>
      <c r="AH722" s="321">
        <f>IF(B722&lt;&gt;"",IF(H722="x",VLOOKUP(I722,'AUX-NIV3'!B:AG,32,FALSE),0),"")</f>
        <v>0</v>
      </c>
      <c r="AI722" s="321" t="str">
        <f t="shared" si="336"/>
        <v>X-COL1</v>
      </c>
      <c r="AJ722" s="320"/>
      <c r="AK722" s="322">
        <f t="shared" si="327"/>
        <v>717</v>
      </c>
      <c r="AL722" s="323">
        <f t="shared" si="337"/>
        <v>728</v>
      </c>
      <c r="AM722" s="322">
        <f t="shared" si="338"/>
        <v>6</v>
      </c>
      <c r="AN722" s="380">
        <f>IF(AND(AH722&gt;0,B722&lt;&gt;""),VLOOKUP(I722,'AUX-NIV3'!$B:$AO,39,FALSE)*O722,0)</f>
        <v>0</v>
      </c>
      <c r="AO722" s="380">
        <f t="shared" si="328"/>
        <v>0.30000000000000004</v>
      </c>
      <c r="AP722" s="380"/>
    </row>
    <row r="723" spans="2:42" ht="14.4" hidden="1" thickTop="1" thickBot="1">
      <c r="B723" s="324" t="s">
        <v>2826</v>
      </c>
      <c r="C723" s="325" t="s">
        <v>2827</v>
      </c>
      <c r="D723" s="326" t="s">
        <v>441</v>
      </c>
      <c r="E723" s="327">
        <f>IF(B723&lt;&gt;"",SUMIF('AUX-NIV1'!I:I,'AUX-NIV2'!B723,'AUX-NIV1'!Q:Q),"")</f>
        <v>0</v>
      </c>
      <c r="F723" s="327">
        <f t="shared" si="318"/>
        <v>316.42825226888021</v>
      </c>
      <c r="G723" s="327">
        <f t="shared" si="319"/>
        <v>0</v>
      </c>
      <c r="H723" s="328" t="str">
        <f t="shared" si="311"/>
        <v>A</v>
      </c>
      <c r="I723" s="325" t="s">
        <v>3310</v>
      </c>
      <c r="J723" s="329" t="str">
        <f>IF(B723&lt;&gt;"",+VLOOKUP(I723,Recursos!C:F,2,FALSE),"")</f>
        <v>OFICIAL ESPECIALIZADO</v>
      </c>
      <c r="K723" s="330" t="str">
        <f>IF(B723&lt;&gt;"",+VLOOKUP(I723,Recursos!C:F,3,FALSE),"")</f>
        <v>hh</v>
      </c>
      <c r="L723" s="446">
        <f>IF(B723&lt;&gt;"",+VLOOKUP(I723,Recursos!C:F,4,FALSE),"")</f>
        <v>581.06120476836554</v>
      </c>
      <c r="M723" s="454">
        <f t="shared" si="339"/>
        <v>80</v>
      </c>
      <c r="N723" s="455">
        <f>+N724</f>
        <v>1.6</v>
      </c>
      <c r="O723" s="449">
        <f>+(N726+N727)/M723*N723</f>
        <v>0.06</v>
      </c>
      <c r="P723" s="333">
        <f t="shared" si="315"/>
        <v>34.863672286101931</v>
      </c>
      <c r="Q723" s="327">
        <f t="shared" si="316"/>
        <v>0</v>
      </c>
      <c r="R723" s="334">
        <f t="shared" si="317"/>
        <v>0</v>
      </c>
      <c r="S723" s="335">
        <f t="shared" si="320"/>
        <v>153.2173742272135</v>
      </c>
      <c r="T723" s="335">
        <f t="shared" si="321"/>
        <v>163.21087804166669</v>
      </c>
      <c r="U723" s="336">
        <f t="shared" si="322"/>
        <v>0</v>
      </c>
      <c r="V723" s="336">
        <f t="shared" si="323"/>
        <v>0</v>
      </c>
      <c r="W723" s="336">
        <f t="shared" si="324"/>
        <v>0</v>
      </c>
      <c r="X723" s="336">
        <f t="shared" si="325"/>
        <v>0</v>
      </c>
      <c r="Y723" s="320"/>
      <c r="Z723" s="321" t="str">
        <f t="shared" si="329"/>
        <v>X-COL1A</v>
      </c>
      <c r="AA723" s="321" t="str">
        <f t="shared" si="330"/>
        <v>X-COL1E</v>
      </c>
      <c r="AB723" s="321" t="str">
        <f t="shared" si="331"/>
        <v>X-COL1M</v>
      </c>
      <c r="AC723" s="321" t="str">
        <f t="shared" si="332"/>
        <v>X-COL1T</v>
      </c>
      <c r="AD723" s="321" t="str">
        <f t="shared" si="333"/>
        <v>X-COL1S</v>
      </c>
      <c r="AE723" s="321" t="str">
        <f t="shared" si="334"/>
        <v>X-COL1X</v>
      </c>
      <c r="AF723" s="321" t="str">
        <f t="shared" si="335"/>
        <v>X-COL1A</v>
      </c>
      <c r="AG723" s="321">
        <f t="shared" si="326"/>
        <v>12</v>
      </c>
      <c r="AH723" s="321">
        <f>IF(B723&lt;&gt;"",IF(H723="x",VLOOKUP(I723,'AUX-NIV3'!B:AG,32,FALSE),0),"")</f>
        <v>0</v>
      </c>
      <c r="AI723" s="321" t="str">
        <f t="shared" si="336"/>
        <v>X-COL1</v>
      </c>
      <c r="AJ723" s="320"/>
      <c r="AK723" s="322">
        <f t="shared" si="327"/>
        <v>717</v>
      </c>
      <c r="AL723" s="323">
        <f t="shared" si="337"/>
        <v>728</v>
      </c>
      <c r="AM723" s="322">
        <f t="shared" si="338"/>
        <v>7</v>
      </c>
      <c r="AN723" s="380">
        <f>IF(AND(AH723&gt;0,B723&lt;&gt;""),VLOOKUP(I723,'AUX-NIV3'!$B:$AO,39,FALSE)*O723,0)</f>
        <v>0</v>
      </c>
      <c r="AO723" s="380">
        <f t="shared" si="328"/>
        <v>0.30000000000000004</v>
      </c>
      <c r="AP723" s="380"/>
    </row>
    <row r="724" spans="2:42" ht="14.4" hidden="1" thickTop="1" thickBot="1">
      <c r="B724" s="324" t="s">
        <v>2826</v>
      </c>
      <c r="C724" s="325" t="s">
        <v>2827</v>
      </c>
      <c r="D724" s="326" t="s">
        <v>441</v>
      </c>
      <c r="E724" s="327">
        <f>IF(B724&lt;&gt;"",SUMIF('AUX-NIV1'!I:I,'AUX-NIV2'!B724,'AUX-NIV1'!Q:Q),"")</f>
        <v>0</v>
      </c>
      <c r="F724" s="327">
        <f t="shared" si="318"/>
        <v>316.42825226888021</v>
      </c>
      <c r="G724" s="327">
        <f t="shared" si="319"/>
        <v>0</v>
      </c>
      <c r="H724" s="328" t="str">
        <f t="shared" ref="H724:H786" si="340">IF(B724&lt;&gt;"",+LEFT(I724,1),"")</f>
        <v>A</v>
      </c>
      <c r="I724" s="325" t="s">
        <v>1746</v>
      </c>
      <c r="J724" s="329" t="str">
        <f>IF(B724&lt;&gt;"",+VLOOKUP(I724,Recursos!C:F,2,FALSE),"")</f>
        <v>OFICIAL</v>
      </c>
      <c r="K724" s="330" t="str">
        <f>IF(B724&lt;&gt;"",+VLOOKUP(I724,Recursos!C:F,3,FALSE),"")</f>
        <v>hh</v>
      </c>
      <c r="L724" s="446">
        <f>IF(B724&lt;&gt;"",+VLOOKUP(I724,Recursos!C:F,4,FALSE),"")</f>
        <v>496.91595439275824</v>
      </c>
      <c r="M724" s="454">
        <f t="shared" si="339"/>
        <v>80</v>
      </c>
      <c r="N724" s="453">
        <v>1.6</v>
      </c>
      <c r="O724" s="449">
        <f>+N724/M724</f>
        <v>0.02</v>
      </c>
      <c r="P724" s="333">
        <f t="shared" si="315"/>
        <v>9.9383190878551648</v>
      </c>
      <c r="Q724" s="327">
        <f t="shared" si="316"/>
        <v>0</v>
      </c>
      <c r="R724" s="334">
        <f t="shared" si="317"/>
        <v>0</v>
      </c>
      <c r="S724" s="335">
        <f t="shared" si="320"/>
        <v>153.2173742272135</v>
      </c>
      <c r="T724" s="335">
        <f t="shared" si="321"/>
        <v>163.21087804166669</v>
      </c>
      <c r="U724" s="336">
        <f t="shared" si="322"/>
        <v>0</v>
      </c>
      <c r="V724" s="336">
        <f t="shared" si="323"/>
        <v>0</v>
      </c>
      <c r="W724" s="336">
        <f t="shared" si="324"/>
        <v>0</v>
      </c>
      <c r="X724" s="336">
        <f t="shared" si="325"/>
        <v>0</v>
      </c>
      <c r="Y724" s="320"/>
      <c r="Z724" s="321" t="str">
        <f t="shared" si="329"/>
        <v>X-COL1A</v>
      </c>
      <c r="AA724" s="321" t="str">
        <f t="shared" si="330"/>
        <v>X-COL1E</v>
      </c>
      <c r="AB724" s="321" t="str">
        <f t="shared" si="331"/>
        <v>X-COL1M</v>
      </c>
      <c r="AC724" s="321" t="str">
        <f t="shared" si="332"/>
        <v>X-COL1T</v>
      </c>
      <c r="AD724" s="321" t="str">
        <f t="shared" si="333"/>
        <v>X-COL1S</v>
      </c>
      <c r="AE724" s="321" t="str">
        <f t="shared" si="334"/>
        <v>X-COL1X</v>
      </c>
      <c r="AF724" s="321" t="str">
        <f t="shared" si="335"/>
        <v>X-COL1A</v>
      </c>
      <c r="AG724" s="321">
        <f t="shared" si="326"/>
        <v>12</v>
      </c>
      <c r="AH724" s="321">
        <f>IF(B724&lt;&gt;"",IF(H724="x",VLOOKUP(I724,'AUX-NIV3'!B:AG,32,FALSE),0),"")</f>
        <v>0</v>
      </c>
      <c r="AI724" s="321" t="str">
        <f t="shared" si="336"/>
        <v>X-COL1</v>
      </c>
      <c r="AJ724" s="320"/>
      <c r="AK724" s="322">
        <f t="shared" si="327"/>
        <v>717</v>
      </c>
      <c r="AL724" s="323">
        <f t="shared" si="337"/>
        <v>728</v>
      </c>
      <c r="AM724" s="322">
        <f t="shared" si="338"/>
        <v>8</v>
      </c>
      <c r="AN724" s="380">
        <f>IF(AND(AH724&gt;0,B724&lt;&gt;""),VLOOKUP(I724,'AUX-NIV3'!$B:$AO,39,FALSE)*O724,0)</f>
        <v>0</v>
      </c>
      <c r="AO724" s="380">
        <f t="shared" si="328"/>
        <v>0.30000000000000004</v>
      </c>
      <c r="AP724" s="380"/>
    </row>
    <row r="725" spans="2:42" ht="14.4" hidden="1" thickTop="1" thickBot="1">
      <c r="B725" s="324" t="s">
        <v>2826</v>
      </c>
      <c r="C725" s="325" t="s">
        <v>2827</v>
      </c>
      <c r="D725" s="326" t="s">
        <v>441</v>
      </c>
      <c r="E725" s="327">
        <f>IF(B725&lt;&gt;"",SUMIF('AUX-NIV1'!I:I,'AUX-NIV2'!B725,'AUX-NIV1'!Q:Q),"")</f>
        <v>0</v>
      </c>
      <c r="F725" s="327">
        <f t="shared" si="318"/>
        <v>316.42825226888021</v>
      </c>
      <c r="G725" s="327">
        <f t="shared" si="319"/>
        <v>0</v>
      </c>
      <c r="H725" s="328" t="str">
        <f t="shared" si="340"/>
        <v>E</v>
      </c>
      <c r="I725" s="325" t="s">
        <v>1734</v>
      </c>
      <c r="J725" s="329" t="str">
        <f>IF(B725&lt;&gt;"",+VLOOKUP(I725,Recursos!C:F,2,FALSE),"")</f>
        <v>TERMINADORA ASFALT. S/CARR. 120 T/h</v>
      </c>
      <c r="K725" s="330" t="str">
        <f>IF(B725&lt;&gt;"",+VLOOKUP(I725,Recursos!C:F,3,FALSE),"")</f>
        <v>HR</v>
      </c>
      <c r="L725" s="446">
        <f>IF(B725&lt;&gt;"",+VLOOKUP(I725,Recursos!C:F,4,FALSE),"")</f>
        <v>4816.5842400000001</v>
      </c>
      <c r="M725" s="452">
        <v>80</v>
      </c>
      <c r="N725" s="453">
        <v>1</v>
      </c>
      <c r="O725" s="449">
        <f>+N725/M725</f>
        <v>1.2500000000000001E-2</v>
      </c>
      <c r="P725" s="333">
        <f t="shared" si="315"/>
        <v>60.207303000000003</v>
      </c>
      <c r="Q725" s="327">
        <f t="shared" si="316"/>
        <v>0</v>
      </c>
      <c r="R725" s="334">
        <f t="shared" si="317"/>
        <v>0</v>
      </c>
      <c r="S725" s="335">
        <f t="shared" si="320"/>
        <v>153.2173742272135</v>
      </c>
      <c r="T725" s="335">
        <f t="shared" si="321"/>
        <v>163.21087804166669</v>
      </c>
      <c r="U725" s="336">
        <f t="shared" si="322"/>
        <v>0</v>
      </c>
      <c r="V725" s="336">
        <f t="shared" si="323"/>
        <v>0</v>
      </c>
      <c r="W725" s="336">
        <f t="shared" si="324"/>
        <v>0</v>
      </c>
      <c r="X725" s="336">
        <f t="shared" si="325"/>
        <v>0</v>
      </c>
      <c r="Y725" s="320"/>
      <c r="Z725" s="321" t="str">
        <f t="shared" si="329"/>
        <v>X-COL1A</v>
      </c>
      <c r="AA725" s="321" t="str">
        <f t="shared" si="330"/>
        <v>X-COL1E</v>
      </c>
      <c r="AB725" s="321" t="str">
        <f t="shared" si="331"/>
        <v>X-COL1M</v>
      </c>
      <c r="AC725" s="321" t="str">
        <f t="shared" si="332"/>
        <v>X-COL1T</v>
      </c>
      <c r="AD725" s="321" t="str">
        <f t="shared" si="333"/>
        <v>X-COL1S</v>
      </c>
      <c r="AE725" s="321" t="str">
        <f t="shared" si="334"/>
        <v>X-COL1X</v>
      </c>
      <c r="AF725" s="321" t="str">
        <f t="shared" si="335"/>
        <v>X-COL1E</v>
      </c>
      <c r="AG725" s="321">
        <f t="shared" si="326"/>
        <v>12</v>
      </c>
      <c r="AH725" s="321">
        <f>IF(B725&lt;&gt;"",IF(H725="x",VLOOKUP(I725,'AUX-NIV3'!B:AG,32,FALSE),0),"")</f>
        <v>0</v>
      </c>
      <c r="AI725" s="321" t="str">
        <f t="shared" si="336"/>
        <v>X-COL1</v>
      </c>
      <c r="AJ725" s="320"/>
      <c r="AK725" s="322">
        <f t="shared" si="327"/>
        <v>717</v>
      </c>
      <c r="AL725" s="323">
        <f t="shared" si="337"/>
        <v>728</v>
      </c>
      <c r="AM725" s="322">
        <f t="shared" si="338"/>
        <v>9</v>
      </c>
      <c r="AN725" s="380">
        <f>IF(AND(AH725&gt;0,B725&lt;&gt;""),VLOOKUP(I725,'AUX-NIV3'!$B:$AO,39,FALSE)*O725,0)</f>
        <v>0</v>
      </c>
      <c r="AO725" s="380">
        <f t="shared" si="328"/>
        <v>0.30000000000000004</v>
      </c>
      <c r="AP725" s="380"/>
    </row>
    <row r="726" spans="2:42" ht="14.4" hidden="1" thickTop="1" thickBot="1">
      <c r="B726" s="324" t="s">
        <v>2826</v>
      </c>
      <c r="C726" s="325" t="s">
        <v>2827</v>
      </c>
      <c r="D726" s="326" t="s">
        <v>441</v>
      </c>
      <c r="E726" s="327">
        <f>IF(B726&lt;&gt;"",SUMIF('AUX-NIV1'!I:I,'AUX-NIV2'!B726,'AUX-NIV1'!Q:Q),"")</f>
        <v>0</v>
      </c>
      <c r="F726" s="327">
        <f t="shared" si="318"/>
        <v>316.42825226888021</v>
      </c>
      <c r="G726" s="327">
        <f t="shared" si="319"/>
        <v>0</v>
      </c>
      <c r="H726" s="328" t="str">
        <f t="shared" si="340"/>
        <v>E</v>
      </c>
      <c r="I726" s="325" t="s">
        <v>1684</v>
      </c>
      <c r="J726" s="329" t="str">
        <f>IF(B726&lt;&gt;"",+VLOOKUP(I726,Recursos!C:F,2,FALSE),"")</f>
        <v>COMPACT. 2 ROD.LISOS TANDEM -11 T</v>
      </c>
      <c r="K726" s="330" t="str">
        <f>IF(B726&lt;&gt;"",+VLOOKUP(I726,Recursos!C:F,3,FALSE),"")</f>
        <v>HR</v>
      </c>
      <c r="L726" s="446">
        <f>IF(B726&lt;&gt;"",+VLOOKUP(I726,Recursos!C:F,4,FALSE),"")</f>
        <v>2080.6506600000002</v>
      </c>
      <c r="M726" s="454">
        <f>+M728</f>
        <v>80</v>
      </c>
      <c r="N726" s="453">
        <v>2</v>
      </c>
      <c r="O726" s="449">
        <f>+N726/M726</f>
        <v>2.5000000000000001E-2</v>
      </c>
      <c r="P726" s="333">
        <f t="shared" si="315"/>
        <v>52.016266500000008</v>
      </c>
      <c r="Q726" s="327">
        <f t="shared" si="316"/>
        <v>0</v>
      </c>
      <c r="R726" s="334">
        <f t="shared" si="317"/>
        <v>0</v>
      </c>
      <c r="S726" s="335">
        <f t="shared" si="320"/>
        <v>153.2173742272135</v>
      </c>
      <c r="T726" s="335">
        <f t="shared" si="321"/>
        <v>163.21087804166669</v>
      </c>
      <c r="U726" s="336">
        <f t="shared" si="322"/>
        <v>0</v>
      </c>
      <c r="V726" s="336">
        <f t="shared" si="323"/>
        <v>0</v>
      </c>
      <c r="W726" s="336">
        <f t="shared" si="324"/>
        <v>0</v>
      </c>
      <c r="X726" s="336">
        <f t="shared" si="325"/>
        <v>0</v>
      </c>
      <c r="Y726" s="320"/>
      <c r="Z726" s="321" t="str">
        <f t="shared" si="329"/>
        <v>X-COL1A</v>
      </c>
      <c r="AA726" s="321" t="str">
        <f t="shared" si="330"/>
        <v>X-COL1E</v>
      </c>
      <c r="AB726" s="321" t="str">
        <f t="shared" si="331"/>
        <v>X-COL1M</v>
      </c>
      <c r="AC726" s="321" t="str">
        <f t="shared" si="332"/>
        <v>X-COL1T</v>
      </c>
      <c r="AD726" s="321" t="str">
        <f t="shared" si="333"/>
        <v>X-COL1S</v>
      </c>
      <c r="AE726" s="321" t="str">
        <f t="shared" si="334"/>
        <v>X-COL1X</v>
      </c>
      <c r="AF726" s="321" t="str">
        <f t="shared" si="335"/>
        <v>X-COL1E</v>
      </c>
      <c r="AG726" s="321">
        <f t="shared" si="326"/>
        <v>12</v>
      </c>
      <c r="AH726" s="321">
        <f>IF(B726&lt;&gt;"",IF(H726="x",VLOOKUP(I726,'AUX-NIV3'!B:AG,32,FALSE),0),"")</f>
        <v>0</v>
      </c>
      <c r="AI726" s="321" t="str">
        <f t="shared" si="336"/>
        <v>X-COL1</v>
      </c>
      <c r="AJ726" s="320"/>
      <c r="AK726" s="322">
        <f t="shared" si="327"/>
        <v>717</v>
      </c>
      <c r="AL726" s="323">
        <f t="shared" si="337"/>
        <v>728</v>
      </c>
      <c r="AM726" s="322">
        <f t="shared" si="338"/>
        <v>10</v>
      </c>
      <c r="AN726" s="380">
        <f>IF(AND(AH726&gt;0,B726&lt;&gt;""),VLOOKUP(I726,'AUX-NIV3'!$B:$AO,39,FALSE)*O726,0)</f>
        <v>0</v>
      </c>
      <c r="AO726" s="380">
        <f t="shared" si="328"/>
        <v>0.30000000000000004</v>
      </c>
      <c r="AP726" s="380"/>
    </row>
    <row r="727" spans="2:42" ht="14.4" hidden="1" thickTop="1" thickBot="1">
      <c r="B727" s="324" t="s">
        <v>2826</v>
      </c>
      <c r="C727" s="325" t="s">
        <v>2827</v>
      </c>
      <c r="D727" s="326" t="s">
        <v>441</v>
      </c>
      <c r="E727" s="327">
        <f>IF(B727&lt;&gt;"",SUMIF('AUX-NIV1'!I:I,'AUX-NIV2'!B727,'AUX-NIV1'!Q:Q),"")</f>
        <v>0</v>
      </c>
      <c r="F727" s="327">
        <f t="shared" si="318"/>
        <v>316.42825226888021</v>
      </c>
      <c r="G727" s="327">
        <f t="shared" si="319"/>
        <v>0</v>
      </c>
      <c r="H727" s="328" t="str">
        <f t="shared" si="340"/>
        <v>E</v>
      </c>
      <c r="I727" s="325" t="s">
        <v>1569</v>
      </c>
      <c r="J727" s="329" t="str">
        <f>IF(B727&lt;&gt;"",+VLOOKUP(I727,Recursos!C:F,2,FALSE),"")</f>
        <v>COMPACTADOR NEUMAT.AUTOPROP.(22 T)</v>
      </c>
      <c r="K727" s="330" t="str">
        <f>IF(B727&lt;&gt;"",+VLOOKUP(I727,Recursos!C:F,3,FALSE),"")</f>
        <v>HR</v>
      </c>
      <c r="L727" s="446">
        <f>IF(B727&lt;&gt;"",+VLOOKUP(I727,Recursos!C:F,4,FALSE),"")</f>
        <v>1797.6897833333335</v>
      </c>
      <c r="M727" s="454">
        <f>+M726</f>
        <v>80</v>
      </c>
      <c r="N727" s="455">
        <f>+N728</f>
        <v>1</v>
      </c>
      <c r="O727" s="449">
        <f>+N727/M727</f>
        <v>1.2500000000000001E-2</v>
      </c>
      <c r="P727" s="333">
        <f t="shared" si="315"/>
        <v>22.471122291666671</v>
      </c>
      <c r="Q727" s="327">
        <f t="shared" si="316"/>
        <v>0</v>
      </c>
      <c r="R727" s="334">
        <f t="shared" si="317"/>
        <v>0</v>
      </c>
      <c r="S727" s="335">
        <f t="shared" si="320"/>
        <v>153.2173742272135</v>
      </c>
      <c r="T727" s="335">
        <f t="shared" si="321"/>
        <v>163.21087804166669</v>
      </c>
      <c r="U727" s="336">
        <f t="shared" si="322"/>
        <v>0</v>
      </c>
      <c r="V727" s="336">
        <f t="shared" si="323"/>
        <v>0</v>
      </c>
      <c r="W727" s="336">
        <f t="shared" si="324"/>
        <v>0</v>
      </c>
      <c r="X727" s="336">
        <f t="shared" si="325"/>
        <v>0</v>
      </c>
      <c r="Y727" s="320"/>
      <c r="Z727" s="321" t="str">
        <f t="shared" si="329"/>
        <v>X-COL1A</v>
      </c>
      <c r="AA727" s="321" t="str">
        <f t="shared" si="330"/>
        <v>X-COL1E</v>
      </c>
      <c r="AB727" s="321" t="str">
        <f t="shared" si="331"/>
        <v>X-COL1M</v>
      </c>
      <c r="AC727" s="321" t="str">
        <f t="shared" si="332"/>
        <v>X-COL1T</v>
      </c>
      <c r="AD727" s="321" t="str">
        <f t="shared" si="333"/>
        <v>X-COL1S</v>
      </c>
      <c r="AE727" s="321" t="str">
        <f t="shared" si="334"/>
        <v>X-COL1X</v>
      </c>
      <c r="AF727" s="321" t="str">
        <f t="shared" si="335"/>
        <v>X-COL1E</v>
      </c>
      <c r="AG727" s="321">
        <f t="shared" si="326"/>
        <v>12</v>
      </c>
      <c r="AH727" s="321">
        <f>IF(B727&lt;&gt;"",IF(H727="x",VLOOKUP(I727,'AUX-NIV3'!B:AG,32,FALSE),0),"")</f>
        <v>0</v>
      </c>
      <c r="AI727" s="321" t="str">
        <f t="shared" si="336"/>
        <v>X-COL1</v>
      </c>
      <c r="AJ727" s="320"/>
      <c r="AK727" s="322">
        <f t="shared" si="327"/>
        <v>717</v>
      </c>
      <c r="AL727" s="323">
        <f t="shared" si="337"/>
        <v>728</v>
      </c>
      <c r="AM727" s="322">
        <f t="shared" si="338"/>
        <v>11</v>
      </c>
      <c r="AN727" s="380">
        <f>IF(AND(AH727&gt;0,B727&lt;&gt;""),VLOOKUP(I727,'AUX-NIV3'!$B:$AO,39,FALSE)*O727,0)</f>
        <v>0</v>
      </c>
      <c r="AO727" s="380">
        <f t="shared" si="328"/>
        <v>0.30000000000000004</v>
      </c>
      <c r="AP727" s="380"/>
    </row>
    <row r="728" spans="2:42" ht="14.4" hidden="1" thickTop="1" thickBot="1">
      <c r="B728" s="324" t="s">
        <v>2826</v>
      </c>
      <c r="C728" s="325" t="s">
        <v>2827</v>
      </c>
      <c r="D728" s="326" t="s">
        <v>441</v>
      </c>
      <c r="E728" s="327">
        <f>IF(B728&lt;&gt;"",SUMIF('AUX-NIV1'!I:I,'AUX-NIV2'!B728,'AUX-NIV1'!Q:Q),"")</f>
        <v>0</v>
      </c>
      <c r="F728" s="327">
        <f t="shared" si="318"/>
        <v>316.42825226888021</v>
      </c>
      <c r="G728" s="327">
        <f t="shared" si="319"/>
        <v>0</v>
      </c>
      <c r="H728" s="328" t="str">
        <f t="shared" si="340"/>
        <v>E</v>
      </c>
      <c r="I728" s="325" t="s">
        <v>1676</v>
      </c>
      <c r="J728" s="329" t="str">
        <f>IF(B728&lt;&gt;"",+VLOOKUP(I728,Recursos!C:F,2,FALSE),"")</f>
        <v>CAMION REGADOR CAP. 8 m3</v>
      </c>
      <c r="K728" s="330" t="str">
        <f>IF(B728&lt;&gt;"",+VLOOKUP(I728,Recursos!C:F,3,FALSE),"")</f>
        <v>HR</v>
      </c>
      <c r="L728" s="446">
        <f>IF(B728&lt;&gt;"",+VLOOKUP(I728,Recursos!C:F,4,FALSE),"")</f>
        <v>2281.2949000000003</v>
      </c>
      <c r="M728" s="456">
        <f>+M725</f>
        <v>80</v>
      </c>
      <c r="N728" s="507">
        <f>+N725</f>
        <v>1</v>
      </c>
      <c r="O728" s="449">
        <f>+N728/M728</f>
        <v>1.2500000000000001E-2</v>
      </c>
      <c r="P728" s="333">
        <f t="shared" si="315"/>
        <v>28.516186250000004</v>
      </c>
      <c r="Q728" s="327">
        <f t="shared" si="316"/>
        <v>0</v>
      </c>
      <c r="R728" s="334">
        <f t="shared" si="317"/>
        <v>0</v>
      </c>
      <c r="S728" s="335">
        <f t="shared" si="320"/>
        <v>153.2173742272135</v>
      </c>
      <c r="T728" s="335">
        <f t="shared" si="321"/>
        <v>163.21087804166669</v>
      </c>
      <c r="U728" s="336">
        <f t="shared" si="322"/>
        <v>0</v>
      </c>
      <c r="V728" s="336">
        <f t="shared" si="323"/>
        <v>0</v>
      </c>
      <c r="W728" s="336">
        <f t="shared" si="324"/>
        <v>0</v>
      </c>
      <c r="X728" s="336">
        <f t="shared" si="325"/>
        <v>0</v>
      </c>
      <c r="Y728" s="320"/>
      <c r="Z728" s="321" t="str">
        <f t="shared" si="329"/>
        <v>X-COL1A</v>
      </c>
      <c r="AA728" s="321" t="str">
        <f t="shared" si="330"/>
        <v>X-COL1E</v>
      </c>
      <c r="AB728" s="321" t="str">
        <f t="shared" si="331"/>
        <v>X-COL1M</v>
      </c>
      <c r="AC728" s="321" t="str">
        <f t="shared" si="332"/>
        <v>X-COL1T</v>
      </c>
      <c r="AD728" s="321" t="str">
        <f t="shared" si="333"/>
        <v>X-COL1S</v>
      </c>
      <c r="AE728" s="321" t="str">
        <f t="shared" si="334"/>
        <v>X-COL1X</v>
      </c>
      <c r="AF728" s="321" t="str">
        <f t="shared" si="335"/>
        <v>X-COL1E</v>
      </c>
      <c r="AG728" s="321">
        <f t="shared" si="326"/>
        <v>12</v>
      </c>
      <c r="AH728" s="321">
        <f>IF(B728&lt;&gt;"",IF(H728="x",VLOOKUP(I728,'AUX-NIV3'!B:AG,32,FALSE),0),"")</f>
        <v>0</v>
      </c>
      <c r="AI728" s="321" t="str">
        <f t="shared" si="336"/>
        <v>X-COL1</v>
      </c>
      <c r="AJ728" s="320"/>
      <c r="AK728" s="322">
        <f t="shared" si="327"/>
        <v>717</v>
      </c>
      <c r="AL728" s="323">
        <f t="shared" si="337"/>
        <v>728</v>
      </c>
      <c r="AM728" s="322">
        <f t="shared" si="338"/>
        <v>12</v>
      </c>
      <c r="AN728" s="380">
        <f>IF(AND(AH728&gt;0,B728&lt;&gt;""),VLOOKUP(I728,'AUX-NIV3'!$B:$AO,39,FALSE)*O728,0)</f>
        <v>0</v>
      </c>
      <c r="AO728" s="380">
        <f t="shared" si="328"/>
        <v>0.30000000000000004</v>
      </c>
      <c r="AP728" s="380"/>
    </row>
    <row r="729" spans="2:42" ht="14.4" hidden="1" thickTop="1" thickBot="1">
      <c r="B729" s="324" t="s">
        <v>2828</v>
      </c>
      <c r="C729" s="325" t="s">
        <v>2829</v>
      </c>
      <c r="D729" s="326" t="s">
        <v>441</v>
      </c>
      <c r="E729" s="327">
        <f>IF(B729&lt;&gt;"",SUMIF('AUX-NIV1'!I:I,'AUX-NIV2'!B729,'AUX-NIV1'!Q:Q),"")</f>
        <v>0</v>
      </c>
      <c r="F729" s="327">
        <f t="shared" si="318"/>
        <v>3967.0163294574568</v>
      </c>
      <c r="G729" s="327">
        <f t="shared" si="319"/>
        <v>0</v>
      </c>
      <c r="H729" s="328" t="str">
        <f t="shared" si="340"/>
        <v>M</v>
      </c>
      <c r="I729" s="325" t="s">
        <v>1998</v>
      </c>
      <c r="J729" s="329" t="str">
        <f>IF(B729&lt;&gt;"",+VLOOKUP(I729,Recursos!C:F,2,FALSE),"")</f>
        <v>CEMENTO ASFALTICO</v>
      </c>
      <c r="K729" s="330" t="str">
        <f>IF(B729&lt;&gt;"",+VLOOKUP(I729,Recursos!C:F,3,FALSE),"")</f>
        <v>Tn</v>
      </c>
      <c r="L729" s="327">
        <f>IF(B729&lt;&gt;"",+VLOOKUP(I729,Recursos!C:F,4,FALSE),"")</f>
        <v>54100</v>
      </c>
      <c r="M729" s="447">
        <v>0.05</v>
      </c>
      <c r="N729" s="518"/>
      <c r="O729" s="449">
        <f>+M729*N735</f>
        <v>5.1749999999999997E-2</v>
      </c>
      <c r="P729" s="333">
        <f t="shared" si="315"/>
        <v>2799.6749999999997</v>
      </c>
      <c r="Q729" s="327">
        <f t="shared" si="316"/>
        <v>0</v>
      </c>
      <c r="R729" s="334">
        <f t="shared" si="317"/>
        <v>0</v>
      </c>
      <c r="S729" s="335">
        <f t="shared" si="320"/>
        <v>0</v>
      </c>
      <c r="T729" s="335">
        <f t="shared" si="321"/>
        <v>0</v>
      </c>
      <c r="U729" s="336">
        <f t="shared" si="322"/>
        <v>3967.0163294574568</v>
      </c>
      <c r="V729" s="336">
        <f t="shared" si="323"/>
        <v>0</v>
      </c>
      <c r="W729" s="336">
        <f t="shared" si="324"/>
        <v>0</v>
      </c>
      <c r="X729" s="336">
        <f t="shared" si="325"/>
        <v>0</v>
      </c>
      <c r="Y729" s="320"/>
      <c r="Z729" s="321" t="str">
        <f t="shared" si="329"/>
        <v>X-MAT2A</v>
      </c>
      <c r="AA729" s="321" t="str">
        <f t="shared" si="330"/>
        <v>X-MAT2E</v>
      </c>
      <c r="AB729" s="321" t="str">
        <f t="shared" si="331"/>
        <v>X-MAT2M</v>
      </c>
      <c r="AC729" s="321" t="str">
        <f t="shared" si="332"/>
        <v>X-MAT2T</v>
      </c>
      <c r="AD729" s="321" t="str">
        <f t="shared" si="333"/>
        <v>X-MAT2S</v>
      </c>
      <c r="AE729" s="321" t="str">
        <f t="shared" si="334"/>
        <v>X-MAT2X</v>
      </c>
      <c r="AF729" s="321" t="str">
        <f t="shared" si="335"/>
        <v>X-MAT2M</v>
      </c>
      <c r="AG729" s="321">
        <f t="shared" si="326"/>
        <v>7</v>
      </c>
      <c r="AH729" s="321">
        <f>IF(B729&lt;&gt;"",IF(H729="x",VLOOKUP(I729,'AUX-NIV3'!B:AG,32,FALSE),0),"")</f>
        <v>0</v>
      </c>
      <c r="AI729" s="321" t="str">
        <f t="shared" si="336"/>
        <v>X-MAT2</v>
      </c>
      <c r="AJ729" s="320"/>
      <c r="AK729" s="322">
        <f t="shared" si="327"/>
        <v>729</v>
      </c>
      <c r="AL729" s="323">
        <f t="shared" si="337"/>
        <v>735</v>
      </c>
      <c r="AM729" s="322">
        <f t="shared" si="338"/>
        <v>1</v>
      </c>
      <c r="AN729" s="380">
        <f>IF(AND(AH729&gt;0,B729&lt;&gt;""),VLOOKUP(I729,'AUX-NIV3'!$B:$AO,39,FALSE)*O729,0)</f>
        <v>0</v>
      </c>
      <c r="AO729" s="380">
        <f t="shared" si="328"/>
        <v>0</v>
      </c>
      <c r="AP729" s="380"/>
    </row>
    <row r="730" spans="2:42" ht="14.4" hidden="1" thickTop="1" thickBot="1">
      <c r="B730" s="324" t="s">
        <v>2828</v>
      </c>
      <c r="C730" s="325" t="s">
        <v>2829</v>
      </c>
      <c r="D730" s="326" t="s">
        <v>441</v>
      </c>
      <c r="E730" s="327">
        <f>IF(B730&lt;&gt;"",SUMIF('AUX-NIV1'!I:I,'AUX-NIV2'!B730,'AUX-NIV1'!Q:Q),"")</f>
        <v>0</v>
      </c>
      <c r="F730" s="327">
        <f t="shared" si="318"/>
        <v>3967.0163294574568</v>
      </c>
      <c r="G730" s="327">
        <f t="shared" si="319"/>
        <v>0</v>
      </c>
      <c r="H730" s="328" t="str">
        <f t="shared" si="340"/>
        <v>M</v>
      </c>
      <c r="I730" s="325" t="s">
        <v>2008</v>
      </c>
      <c r="J730" s="329" t="str">
        <f>IF(B730&lt;&gt;"",+VLOOKUP(I730,Recursos!C:F,2,FALSE),"")</f>
        <v>MEJORADOR DE ADHERENCIA</v>
      </c>
      <c r="K730" s="330" t="str">
        <f>IF(B730&lt;&gt;"",+VLOOKUP(I730,Recursos!C:F,3,FALSE),"")</f>
        <v>Kg</v>
      </c>
      <c r="L730" s="327">
        <f>IF(B730&lt;&gt;"",+VLOOKUP(I730,Recursos!C:F,4,FALSE),"")</f>
        <v>260</v>
      </c>
      <c r="M730" s="452">
        <v>0.03</v>
      </c>
      <c r="N730" s="519">
        <v>5.0000000000000001E-3</v>
      </c>
      <c r="O730" s="449">
        <f>+M729*N731*N730</f>
        <v>0.25</v>
      </c>
      <c r="P730" s="333">
        <f t="shared" si="315"/>
        <v>65</v>
      </c>
      <c r="Q730" s="327">
        <f t="shared" si="316"/>
        <v>0</v>
      </c>
      <c r="R730" s="334">
        <f t="shared" si="317"/>
        <v>0</v>
      </c>
      <c r="S730" s="335">
        <f t="shared" si="320"/>
        <v>0</v>
      </c>
      <c r="T730" s="335">
        <f t="shared" si="321"/>
        <v>0</v>
      </c>
      <c r="U730" s="336">
        <f t="shared" si="322"/>
        <v>3967.0163294574568</v>
      </c>
      <c r="V730" s="336">
        <f t="shared" si="323"/>
        <v>0</v>
      </c>
      <c r="W730" s="336">
        <f t="shared" si="324"/>
        <v>0</v>
      </c>
      <c r="X730" s="336">
        <f t="shared" si="325"/>
        <v>0</v>
      </c>
      <c r="Y730" s="320"/>
      <c r="Z730" s="321" t="str">
        <f t="shared" si="329"/>
        <v>X-MAT2A</v>
      </c>
      <c r="AA730" s="321" t="str">
        <f t="shared" si="330"/>
        <v>X-MAT2E</v>
      </c>
      <c r="AB730" s="321" t="str">
        <f t="shared" si="331"/>
        <v>X-MAT2M</v>
      </c>
      <c r="AC730" s="321" t="str">
        <f t="shared" si="332"/>
        <v>X-MAT2T</v>
      </c>
      <c r="AD730" s="321" t="str">
        <f t="shared" si="333"/>
        <v>X-MAT2S</v>
      </c>
      <c r="AE730" s="321" t="str">
        <f t="shared" si="334"/>
        <v>X-MAT2X</v>
      </c>
      <c r="AF730" s="321" t="str">
        <f t="shared" si="335"/>
        <v>X-MAT2M</v>
      </c>
      <c r="AG730" s="321">
        <f t="shared" si="326"/>
        <v>7</v>
      </c>
      <c r="AH730" s="321">
        <f>IF(B730&lt;&gt;"",IF(H730="x",VLOOKUP(I730,'AUX-NIV3'!B:AG,32,FALSE),0),"")</f>
        <v>0</v>
      </c>
      <c r="AI730" s="321" t="str">
        <f t="shared" si="336"/>
        <v>X-MAT2</v>
      </c>
      <c r="AJ730" s="320"/>
      <c r="AK730" s="322">
        <f t="shared" si="327"/>
        <v>729</v>
      </c>
      <c r="AL730" s="323">
        <f t="shared" si="337"/>
        <v>735</v>
      </c>
      <c r="AM730" s="322">
        <f t="shared" si="338"/>
        <v>2</v>
      </c>
      <c r="AN730" s="380">
        <f>IF(AND(AH730&gt;0,B730&lt;&gt;""),VLOOKUP(I730,'AUX-NIV3'!$B:$AO,39,FALSE)*O730,0)</f>
        <v>0</v>
      </c>
      <c r="AO730" s="380">
        <f t="shared" si="328"/>
        <v>0</v>
      </c>
      <c r="AP730" s="380"/>
    </row>
    <row r="731" spans="2:42" ht="14.4" hidden="1" thickTop="1" thickBot="1">
      <c r="B731" s="324" t="s">
        <v>2828</v>
      </c>
      <c r="C731" s="325" t="s">
        <v>2829</v>
      </c>
      <c r="D731" s="326" t="s">
        <v>441</v>
      </c>
      <c r="E731" s="327">
        <f>IF(B731&lt;&gt;"",SUMIF('AUX-NIV1'!I:I,'AUX-NIV2'!B731,'AUX-NIV1'!Q:Q),"")</f>
        <v>0</v>
      </c>
      <c r="F731" s="327">
        <f t="shared" si="318"/>
        <v>3967.0163294574568</v>
      </c>
      <c r="G731" s="327">
        <f t="shared" si="319"/>
        <v>0</v>
      </c>
      <c r="H731" s="328" t="str">
        <f t="shared" si="340"/>
        <v>M</v>
      </c>
      <c r="I731" s="325" t="s">
        <v>2010</v>
      </c>
      <c r="J731" s="329" t="str">
        <f>IF(B731&lt;&gt;"",+VLOOKUP(I731,Recursos!C:F,2,FALSE),"")</f>
        <v>FILLER</v>
      </c>
      <c r="K731" s="330" t="str">
        <f>IF(B731&lt;&gt;"",+VLOOKUP(I731,Recursos!C:F,3,FALSE),"")</f>
        <v>Tn</v>
      </c>
      <c r="L731" s="327">
        <f>IF(B731&lt;&gt;"",+VLOOKUP(I731,Recursos!C:F,4,FALSE),"")</f>
        <v>3350</v>
      </c>
      <c r="M731" s="452">
        <v>1.02</v>
      </c>
      <c r="N731" s="453">
        <v>1000</v>
      </c>
      <c r="O731" s="449">
        <f>+M730*M731</f>
        <v>3.0599999999999999E-2</v>
      </c>
      <c r="P731" s="333">
        <f t="shared" si="315"/>
        <v>102.50999999999999</v>
      </c>
      <c r="Q731" s="327">
        <f t="shared" si="316"/>
        <v>0</v>
      </c>
      <c r="R731" s="334">
        <f t="shared" si="317"/>
        <v>0</v>
      </c>
      <c r="S731" s="335">
        <f t="shared" si="320"/>
        <v>0</v>
      </c>
      <c r="T731" s="335">
        <f t="shared" si="321"/>
        <v>0</v>
      </c>
      <c r="U731" s="336">
        <f t="shared" si="322"/>
        <v>3967.0163294574568</v>
      </c>
      <c r="V731" s="336">
        <f t="shared" si="323"/>
        <v>0</v>
      </c>
      <c r="W731" s="336">
        <f t="shared" si="324"/>
        <v>0</v>
      </c>
      <c r="X731" s="336">
        <f t="shared" si="325"/>
        <v>0</v>
      </c>
      <c r="Y731" s="320"/>
      <c r="Z731" s="321" t="str">
        <f t="shared" si="329"/>
        <v>X-MAT2A</v>
      </c>
      <c r="AA731" s="321" t="str">
        <f t="shared" si="330"/>
        <v>X-MAT2E</v>
      </c>
      <c r="AB731" s="321" t="str">
        <f t="shared" si="331"/>
        <v>X-MAT2M</v>
      </c>
      <c r="AC731" s="321" t="str">
        <f t="shared" si="332"/>
        <v>X-MAT2T</v>
      </c>
      <c r="AD731" s="321" t="str">
        <f t="shared" si="333"/>
        <v>X-MAT2S</v>
      </c>
      <c r="AE731" s="321" t="str">
        <f t="shared" si="334"/>
        <v>X-MAT2X</v>
      </c>
      <c r="AF731" s="321" t="str">
        <f t="shared" si="335"/>
        <v>X-MAT2M</v>
      </c>
      <c r="AG731" s="321">
        <f t="shared" si="326"/>
        <v>7</v>
      </c>
      <c r="AH731" s="321">
        <f>IF(B731&lt;&gt;"",IF(H731="x",VLOOKUP(I731,'AUX-NIV3'!B:AG,32,FALSE),0),"")</f>
        <v>0</v>
      </c>
      <c r="AI731" s="321" t="str">
        <f t="shared" si="336"/>
        <v>X-MAT2</v>
      </c>
      <c r="AJ731" s="320"/>
      <c r="AK731" s="322">
        <f t="shared" si="327"/>
        <v>729</v>
      </c>
      <c r="AL731" s="323">
        <f t="shared" si="337"/>
        <v>735</v>
      </c>
      <c r="AM731" s="322">
        <f t="shared" si="338"/>
        <v>3</v>
      </c>
      <c r="AN731" s="380">
        <f>IF(AND(AH731&gt;0,B731&lt;&gt;""),VLOOKUP(I731,'AUX-NIV3'!$B:$AO,39,FALSE)*O731,0)</f>
        <v>0</v>
      </c>
      <c r="AO731" s="380">
        <f t="shared" si="328"/>
        <v>0</v>
      </c>
      <c r="AP731" s="380"/>
    </row>
    <row r="732" spans="2:42" ht="14.4" hidden="1" thickTop="1" thickBot="1">
      <c r="B732" s="324" t="s">
        <v>2828</v>
      </c>
      <c r="C732" s="325" t="s">
        <v>2829</v>
      </c>
      <c r="D732" s="326" t="s">
        <v>441</v>
      </c>
      <c r="E732" s="327">
        <f>IF(B732&lt;&gt;"",SUMIF('AUX-NIV1'!I:I,'AUX-NIV2'!B732,'AUX-NIV1'!Q:Q),"")</f>
        <v>0</v>
      </c>
      <c r="F732" s="327">
        <f t="shared" si="318"/>
        <v>3967.0163294574568</v>
      </c>
      <c r="G732" s="327">
        <f t="shared" si="319"/>
        <v>0</v>
      </c>
      <c r="H732" s="328" t="str">
        <f t="shared" si="340"/>
        <v>M</v>
      </c>
      <c r="I732" s="325" t="s">
        <v>2138</v>
      </c>
      <c r="J732" s="329" t="str">
        <f>IF(B732&lt;&gt;"",+VLOOKUP(I732,Recursos!C:F,2,FALSE),"")</f>
        <v>FUEL OIL CALENTAMIENTO DE ASFALTO</v>
      </c>
      <c r="K732" s="330" t="str">
        <f>IF(B732&lt;&gt;"",+VLOOKUP(I732,Recursos!C:F,3,FALSE),"")</f>
        <v>Tn</v>
      </c>
      <c r="L732" s="327">
        <f>IF(B732&lt;&gt;"",+VLOOKUP(I732,Recursos!C:F,4,FALSE),"")</f>
        <v>31013</v>
      </c>
      <c r="M732" s="452">
        <v>100</v>
      </c>
      <c r="N732" s="453">
        <v>1.2</v>
      </c>
      <c r="O732" s="449">
        <f>+N732/M732</f>
        <v>1.2E-2</v>
      </c>
      <c r="P732" s="333">
        <f t="shared" si="315"/>
        <v>372.15600000000001</v>
      </c>
      <c r="Q732" s="327">
        <f t="shared" si="316"/>
        <v>0</v>
      </c>
      <c r="R732" s="334">
        <f t="shared" si="317"/>
        <v>0</v>
      </c>
      <c r="S732" s="335">
        <f t="shared" si="320"/>
        <v>0</v>
      </c>
      <c r="T732" s="335">
        <f t="shared" si="321"/>
        <v>0</v>
      </c>
      <c r="U732" s="336">
        <f t="shared" si="322"/>
        <v>3967.0163294574568</v>
      </c>
      <c r="V732" s="336">
        <f t="shared" si="323"/>
        <v>0</v>
      </c>
      <c r="W732" s="336">
        <f t="shared" si="324"/>
        <v>0</v>
      </c>
      <c r="X732" s="336">
        <f t="shared" si="325"/>
        <v>0</v>
      </c>
      <c r="Y732" s="320"/>
      <c r="Z732" s="321" t="str">
        <f t="shared" si="329"/>
        <v>X-MAT2A</v>
      </c>
      <c r="AA732" s="321" t="str">
        <f t="shared" si="330"/>
        <v>X-MAT2E</v>
      </c>
      <c r="AB732" s="321" t="str">
        <f t="shared" si="331"/>
        <v>X-MAT2M</v>
      </c>
      <c r="AC732" s="321" t="str">
        <f t="shared" si="332"/>
        <v>X-MAT2T</v>
      </c>
      <c r="AD732" s="321" t="str">
        <f t="shared" si="333"/>
        <v>X-MAT2S</v>
      </c>
      <c r="AE732" s="321" t="str">
        <f t="shared" si="334"/>
        <v>X-MAT2X</v>
      </c>
      <c r="AF732" s="321" t="str">
        <f t="shared" si="335"/>
        <v>X-MAT2M</v>
      </c>
      <c r="AG732" s="321">
        <f t="shared" si="326"/>
        <v>7</v>
      </c>
      <c r="AH732" s="321">
        <f>IF(B732&lt;&gt;"",IF(H732="x",VLOOKUP(I732,'AUX-NIV3'!B:AG,32,FALSE),0),"")</f>
        <v>0</v>
      </c>
      <c r="AI732" s="321" t="str">
        <f t="shared" si="336"/>
        <v>X-MAT2</v>
      </c>
      <c r="AJ732" s="320"/>
      <c r="AK732" s="322">
        <f t="shared" si="327"/>
        <v>729</v>
      </c>
      <c r="AL732" s="323">
        <f t="shared" si="337"/>
        <v>735</v>
      </c>
      <c r="AM732" s="322">
        <f t="shared" si="338"/>
        <v>4</v>
      </c>
      <c r="AN732" s="380">
        <f>IF(AND(AH732&gt;0,B732&lt;&gt;""),VLOOKUP(I732,'AUX-NIV3'!$B:$AO,39,FALSE)*O732,0)</f>
        <v>0</v>
      </c>
      <c r="AO732" s="380">
        <f t="shared" si="328"/>
        <v>0</v>
      </c>
      <c r="AP732" s="380"/>
    </row>
    <row r="733" spans="2:42" ht="14.4" hidden="1" thickTop="1" thickBot="1">
      <c r="B733" s="324" t="s">
        <v>2828</v>
      </c>
      <c r="C733" s="325" t="s">
        <v>2829</v>
      </c>
      <c r="D733" s="326" t="s">
        <v>441</v>
      </c>
      <c r="E733" s="327">
        <f>IF(B733&lt;&gt;"",SUMIF('AUX-NIV1'!I:I,'AUX-NIV2'!B733,'AUX-NIV1'!Q:Q),"")</f>
        <v>0</v>
      </c>
      <c r="F733" s="327">
        <f t="shared" si="318"/>
        <v>3967.0163294574568</v>
      </c>
      <c r="G733" s="327">
        <f t="shared" si="319"/>
        <v>0</v>
      </c>
      <c r="H733" s="328" t="str">
        <f t="shared" si="340"/>
        <v>M</v>
      </c>
      <c r="I733" s="325" t="s">
        <v>1510</v>
      </c>
      <c r="J733" s="329" t="str">
        <f>IF(B733&lt;&gt;"",+VLOOKUP(I733,Recursos!C:F,2,FALSE),"")</f>
        <v>AGREGADO GRUESO</v>
      </c>
      <c r="K733" s="330" t="str">
        <f>IF(B733&lt;&gt;"",+VLOOKUP(I733,Recursos!C:F,3,FALSE),"")</f>
        <v>Tn</v>
      </c>
      <c r="L733" s="327">
        <f>IF(B733&lt;&gt;"",+VLOOKUP(I733,Recursos!C:F,4,FALSE),"")</f>
        <v>900</v>
      </c>
      <c r="M733" s="452">
        <v>0.45</v>
      </c>
      <c r="N733" s="520"/>
      <c r="O733" s="449">
        <f>+M733*N735</f>
        <v>0.46575</v>
      </c>
      <c r="P733" s="333">
        <f t="shared" si="315"/>
        <v>419.17500000000001</v>
      </c>
      <c r="Q733" s="327">
        <f t="shared" si="316"/>
        <v>0</v>
      </c>
      <c r="R733" s="334">
        <f t="shared" si="317"/>
        <v>0</v>
      </c>
      <c r="S733" s="335">
        <f t="shared" si="320"/>
        <v>0</v>
      </c>
      <c r="T733" s="335">
        <f t="shared" si="321"/>
        <v>0</v>
      </c>
      <c r="U733" s="336">
        <f t="shared" si="322"/>
        <v>3967.0163294574568</v>
      </c>
      <c r="V733" s="336">
        <f t="shared" si="323"/>
        <v>0</v>
      </c>
      <c r="W733" s="336">
        <f t="shared" si="324"/>
        <v>0</v>
      </c>
      <c r="X733" s="336">
        <f t="shared" si="325"/>
        <v>0</v>
      </c>
      <c r="Y733" s="320"/>
      <c r="Z733" s="321" t="str">
        <f t="shared" si="329"/>
        <v>X-MAT2A</v>
      </c>
      <c r="AA733" s="321" t="str">
        <f t="shared" si="330"/>
        <v>X-MAT2E</v>
      </c>
      <c r="AB733" s="321" t="str">
        <f t="shared" si="331"/>
        <v>X-MAT2M</v>
      </c>
      <c r="AC733" s="321" t="str">
        <f t="shared" si="332"/>
        <v>X-MAT2T</v>
      </c>
      <c r="AD733" s="321" t="str">
        <f t="shared" si="333"/>
        <v>X-MAT2S</v>
      </c>
      <c r="AE733" s="321" t="str">
        <f t="shared" si="334"/>
        <v>X-MAT2X</v>
      </c>
      <c r="AF733" s="321" t="str">
        <f t="shared" si="335"/>
        <v>X-MAT2M</v>
      </c>
      <c r="AG733" s="321">
        <f t="shared" si="326"/>
        <v>7</v>
      </c>
      <c r="AH733" s="321">
        <f>IF(B733&lt;&gt;"",IF(H733="x",VLOOKUP(I733,'AUX-NIV3'!B:AG,32,FALSE),0),"")</f>
        <v>0</v>
      </c>
      <c r="AI733" s="321" t="str">
        <f t="shared" si="336"/>
        <v>X-MAT2</v>
      </c>
      <c r="AJ733" s="320"/>
      <c r="AK733" s="322">
        <f t="shared" si="327"/>
        <v>729</v>
      </c>
      <c r="AL733" s="323">
        <f t="shared" si="337"/>
        <v>735</v>
      </c>
      <c r="AM733" s="322">
        <f t="shared" si="338"/>
        <v>5</v>
      </c>
      <c r="AN733" s="380">
        <f>IF(AND(AH733&gt;0,B733&lt;&gt;""),VLOOKUP(I733,'AUX-NIV3'!$B:$AO,39,FALSE)*O733,0)</f>
        <v>0</v>
      </c>
      <c r="AO733" s="380">
        <f t="shared" si="328"/>
        <v>0</v>
      </c>
      <c r="AP733" s="380"/>
    </row>
    <row r="734" spans="2:42" ht="14.4" hidden="1" thickTop="1" thickBot="1">
      <c r="B734" s="324" t="s">
        <v>2828</v>
      </c>
      <c r="C734" s="325" t="s">
        <v>2829</v>
      </c>
      <c r="D734" s="326" t="s">
        <v>441</v>
      </c>
      <c r="E734" s="327">
        <f>IF(B734&lt;&gt;"",SUMIF('AUX-NIV1'!I:I,'AUX-NIV2'!B734,'AUX-NIV1'!Q:Q),"")</f>
        <v>0</v>
      </c>
      <c r="F734" s="327">
        <f t="shared" si="318"/>
        <v>3967.0163294574568</v>
      </c>
      <c r="G734" s="327">
        <f t="shared" si="319"/>
        <v>0</v>
      </c>
      <c r="H734" s="328" t="str">
        <f t="shared" si="340"/>
        <v>M</v>
      </c>
      <c r="I734" s="325" t="s">
        <v>1511</v>
      </c>
      <c r="J734" s="329" t="str">
        <f>IF(B734&lt;&gt;"",+VLOOKUP(I734,Recursos!C:F,2,FALSE),"")</f>
        <v>AGREGADO FINO</v>
      </c>
      <c r="K734" s="330" t="str">
        <f>IF(B734&lt;&gt;"",+VLOOKUP(I734,Recursos!C:F,3,FALSE),"")</f>
        <v>tn</v>
      </c>
      <c r="L734" s="327">
        <f>IF(B734&lt;&gt;"",+VLOOKUP(I734,Recursos!C:F,4,FALSE),"")</f>
        <v>346.12398419675657</v>
      </c>
      <c r="M734" s="452">
        <v>0.4</v>
      </c>
      <c r="N734" s="520"/>
      <c r="O734" s="449">
        <f>+M734*N735</f>
        <v>0.41399999999999998</v>
      </c>
      <c r="P734" s="333">
        <f t="shared" si="315"/>
        <v>143.2953294574572</v>
      </c>
      <c r="Q734" s="327">
        <f t="shared" si="316"/>
        <v>0</v>
      </c>
      <c r="R734" s="334">
        <f t="shared" si="317"/>
        <v>0</v>
      </c>
      <c r="S734" s="335">
        <f t="shared" si="320"/>
        <v>0</v>
      </c>
      <c r="T734" s="335">
        <f t="shared" si="321"/>
        <v>0</v>
      </c>
      <c r="U734" s="336">
        <f t="shared" si="322"/>
        <v>3967.0163294574568</v>
      </c>
      <c r="V734" s="336">
        <f t="shared" si="323"/>
        <v>0</v>
      </c>
      <c r="W734" s="336">
        <f t="shared" si="324"/>
        <v>0</v>
      </c>
      <c r="X734" s="336">
        <f t="shared" si="325"/>
        <v>0</v>
      </c>
      <c r="Y734" s="320"/>
      <c r="Z734" s="321" t="str">
        <f t="shared" si="329"/>
        <v>X-MAT2A</v>
      </c>
      <c r="AA734" s="321" t="str">
        <f t="shared" si="330"/>
        <v>X-MAT2E</v>
      </c>
      <c r="AB734" s="321" t="str">
        <f t="shared" si="331"/>
        <v>X-MAT2M</v>
      </c>
      <c r="AC734" s="321" t="str">
        <f t="shared" si="332"/>
        <v>X-MAT2T</v>
      </c>
      <c r="AD734" s="321" t="str">
        <f t="shared" si="333"/>
        <v>X-MAT2S</v>
      </c>
      <c r="AE734" s="321" t="str">
        <f t="shared" si="334"/>
        <v>X-MAT2X</v>
      </c>
      <c r="AF734" s="321" t="str">
        <f t="shared" si="335"/>
        <v>X-MAT2M</v>
      </c>
      <c r="AG734" s="321">
        <f t="shared" si="326"/>
        <v>7</v>
      </c>
      <c r="AH734" s="321">
        <f>IF(B734&lt;&gt;"",IF(H734="x",VLOOKUP(I734,'AUX-NIV3'!B:AG,32,FALSE),0),"")</f>
        <v>0</v>
      </c>
      <c r="AI734" s="321" t="str">
        <f t="shared" si="336"/>
        <v>X-MAT2</v>
      </c>
      <c r="AJ734" s="320"/>
      <c r="AK734" s="322">
        <f t="shared" si="327"/>
        <v>729</v>
      </c>
      <c r="AL734" s="323">
        <f t="shared" si="337"/>
        <v>735</v>
      </c>
      <c r="AM734" s="322">
        <f t="shared" si="338"/>
        <v>6</v>
      </c>
      <c r="AN734" s="380">
        <f>IF(AND(AH734&gt;0,B734&lt;&gt;""),VLOOKUP(I734,'AUX-NIV3'!$B:$AO,39,FALSE)*O734,0)</f>
        <v>0</v>
      </c>
      <c r="AO734" s="380">
        <f t="shared" si="328"/>
        <v>0</v>
      </c>
      <c r="AP734" s="380"/>
    </row>
    <row r="735" spans="2:42" ht="14.4" hidden="1" thickTop="1" thickBot="1">
      <c r="B735" s="324" t="s">
        <v>2828</v>
      </c>
      <c r="C735" s="325" t="s">
        <v>2829</v>
      </c>
      <c r="D735" s="326" t="s">
        <v>441</v>
      </c>
      <c r="E735" s="327">
        <f>IF(B735&lt;&gt;"",SUMIF('AUX-NIV1'!I:I,'AUX-NIV2'!B735,'AUX-NIV1'!Q:Q),"")</f>
        <v>0</v>
      </c>
      <c r="F735" s="327">
        <f t="shared" si="318"/>
        <v>3967.0163294574568</v>
      </c>
      <c r="G735" s="327">
        <f t="shared" si="319"/>
        <v>0</v>
      </c>
      <c r="H735" s="328" t="str">
        <f t="shared" si="340"/>
        <v>M</v>
      </c>
      <c r="I735" s="325" t="s">
        <v>1512</v>
      </c>
      <c r="J735" s="329" t="str">
        <f>IF(B735&lt;&gt;"",+VLOOKUP(I735,Recursos!C:F,2,FALSE),"")</f>
        <v>ARENA ZARANDEADA</v>
      </c>
      <c r="K735" s="330" t="str">
        <f>IF(B735&lt;&gt;"",+VLOOKUP(I735,Recursos!C:F,3,FALSE),"")</f>
        <v>Tn</v>
      </c>
      <c r="L735" s="327">
        <f>IF(B735&lt;&gt;"",+VLOOKUP(I735,Recursos!C:F,4,FALSE),"")</f>
        <v>900</v>
      </c>
      <c r="M735" s="456">
        <f>1-M733-M734</f>
        <v>0.15000000000000002</v>
      </c>
      <c r="N735" s="521">
        <v>1.0349999999999999</v>
      </c>
      <c r="O735" s="449">
        <f>(M735-(M729+M730))*N735</f>
        <v>7.2450000000000014E-2</v>
      </c>
      <c r="P735" s="333">
        <f t="shared" si="315"/>
        <v>65.205000000000013</v>
      </c>
      <c r="Q735" s="327">
        <f t="shared" si="316"/>
        <v>0</v>
      </c>
      <c r="R735" s="334">
        <f t="shared" si="317"/>
        <v>0</v>
      </c>
      <c r="S735" s="335">
        <f t="shared" si="320"/>
        <v>0</v>
      </c>
      <c r="T735" s="335">
        <f t="shared" si="321"/>
        <v>0</v>
      </c>
      <c r="U735" s="336">
        <f t="shared" si="322"/>
        <v>3967.0163294574568</v>
      </c>
      <c r="V735" s="336">
        <f t="shared" si="323"/>
        <v>0</v>
      </c>
      <c r="W735" s="336">
        <f t="shared" si="324"/>
        <v>0</v>
      </c>
      <c r="X735" s="336">
        <f t="shared" si="325"/>
        <v>0</v>
      </c>
      <c r="Y735" s="320"/>
      <c r="Z735" s="321" t="str">
        <f t="shared" si="329"/>
        <v>X-MAT2A</v>
      </c>
      <c r="AA735" s="321" t="str">
        <f t="shared" si="330"/>
        <v>X-MAT2E</v>
      </c>
      <c r="AB735" s="321" t="str">
        <f t="shared" si="331"/>
        <v>X-MAT2M</v>
      </c>
      <c r="AC735" s="321" t="str">
        <f t="shared" si="332"/>
        <v>X-MAT2T</v>
      </c>
      <c r="AD735" s="321" t="str">
        <f t="shared" si="333"/>
        <v>X-MAT2S</v>
      </c>
      <c r="AE735" s="321" t="str">
        <f t="shared" si="334"/>
        <v>X-MAT2X</v>
      </c>
      <c r="AF735" s="321" t="str">
        <f t="shared" si="335"/>
        <v>X-MAT2M</v>
      </c>
      <c r="AG735" s="321">
        <f t="shared" si="326"/>
        <v>7</v>
      </c>
      <c r="AH735" s="321">
        <f>IF(B735&lt;&gt;"",IF(H735="x",VLOOKUP(I735,'AUX-NIV3'!B:AG,32,FALSE),0),"")</f>
        <v>0</v>
      </c>
      <c r="AI735" s="321" t="str">
        <f t="shared" si="336"/>
        <v>X-MAT2</v>
      </c>
      <c r="AJ735" s="320"/>
      <c r="AK735" s="322">
        <f t="shared" si="327"/>
        <v>729</v>
      </c>
      <c r="AL735" s="323">
        <f t="shared" si="337"/>
        <v>735</v>
      </c>
      <c r="AM735" s="322">
        <f t="shared" si="338"/>
        <v>7</v>
      </c>
      <c r="AN735" s="380">
        <f>IF(AND(AH735&gt;0,B735&lt;&gt;""),VLOOKUP(I735,'AUX-NIV3'!$B:$AO,39,FALSE)*O735,0)</f>
        <v>0</v>
      </c>
      <c r="AO735" s="380">
        <f t="shared" si="328"/>
        <v>0</v>
      </c>
      <c r="AP735" s="380"/>
    </row>
    <row r="736" spans="2:42" ht="14.4" hidden="1" thickTop="1" thickBot="1">
      <c r="B736" s="324" t="s">
        <v>2830</v>
      </c>
      <c r="C736" s="325" t="s">
        <v>2831</v>
      </c>
      <c r="D736" s="326" t="s">
        <v>441</v>
      </c>
      <c r="E736" s="327">
        <f>IF(B736&lt;&gt;"",SUMIF('AUX-NIV1'!I:I,'AUX-NIV2'!B736,'AUX-NIV1'!Q:Q),"")</f>
        <v>0</v>
      </c>
      <c r="F736" s="327">
        <f t="shared" si="318"/>
        <v>316.42825226888021</v>
      </c>
      <c r="G736" s="327">
        <f t="shared" si="319"/>
        <v>0</v>
      </c>
      <c r="H736" s="328" t="str">
        <f t="shared" si="340"/>
        <v>A</v>
      </c>
      <c r="I736" s="325" t="s">
        <v>3310</v>
      </c>
      <c r="J736" s="329" t="str">
        <f>IF(B736&lt;&gt;"",+VLOOKUP(I736,Recursos!C:F,2,FALSE),"")</f>
        <v>OFICIAL ESPECIALIZADO</v>
      </c>
      <c r="K736" s="330" t="str">
        <f>IF(B736&lt;&gt;"",+VLOOKUP(I736,Recursos!C:F,3,FALSE),"")</f>
        <v>hh</v>
      </c>
      <c r="L736" s="327">
        <f>IF(B736&lt;&gt;"",+VLOOKUP(I736,Recursos!C:F,4,FALSE),"")</f>
        <v>581.06120476836554</v>
      </c>
      <c r="M736" s="454">
        <f t="shared" ref="M736:M743" si="341">+M737</f>
        <v>80</v>
      </c>
      <c r="N736" s="455">
        <f>+N738</f>
        <v>1.6</v>
      </c>
      <c r="O736" s="449">
        <f>+N736/M736</f>
        <v>0.02</v>
      </c>
      <c r="P736" s="333">
        <f t="shared" si="315"/>
        <v>11.62122409536731</v>
      </c>
      <c r="Q736" s="327">
        <f t="shared" si="316"/>
        <v>0</v>
      </c>
      <c r="R736" s="334">
        <f t="shared" si="317"/>
        <v>0</v>
      </c>
      <c r="S736" s="335">
        <f t="shared" si="320"/>
        <v>153.2173742272135</v>
      </c>
      <c r="T736" s="335">
        <f t="shared" si="321"/>
        <v>163.21087804166669</v>
      </c>
      <c r="U736" s="336">
        <f t="shared" si="322"/>
        <v>0</v>
      </c>
      <c r="V736" s="336">
        <f t="shared" si="323"/>
        <v>0</v>
      </c>
      <c r="W736" s="336">
        <f t="shared" si="324"/>
        <v>0</v>
      </c>
      <c r="X736" s="336">
        <f t="shared" si="325"/>
        <v>0</v>
      </c>
      <c r="Y736" s="320"/>
      <c r="Z736" s="321" t="str">
        <f t="shared" si="329"/>
        <v>X-COL2A</v>
      </c>
      <c r="AA736" s="321" t="str">
        <f t="shared" si="330"/>
        <v>X-COL2E</v>
      </c>
      <c r="AB736" s="321" t="str">
        <f t="shared" si="331"/>
        <v>X-COL2M</v>
      </c>
      <c r="AC736" s="321" t="str">
        <f t="shared" si="332"/>
        <v>X-COL2T</v>
      </c>
      <c r="AD736" s="321" t="str">
        <f t="shared" si="333"/>
        <v>X-COL2S</v>
      </c>
      <c r="AE736" s="321" t="str">
        <f t="shared" si="334"/>
        <v>X-COL2X</v>
      </c>
      <c r="AF736" s="321" t="str">
        <f t="shared" si="335"/>
        <v>X-COL2A</v>
      </c>
      <c r="AG736" s="321">
        <f t="shared" si="326"/>
        <v>12</v>
      </c>
      <c r="AH736" s="321">
        <f>IF(B736&lt;&gt;"",IF(H736="x",VLOOKUP(I736,'AUX-NIV3'!B:AG,32,FALSE),0),"")</f>
        <v>0</v>
      </c>
      <c r="AI736" s="321" t="str">
        <f t="shared" si="336"/>
        <v>X-COL2</v>
      </c>
      <c r="AJ736" s="320"/>
      <c r="AK736" s="322">
        <f t="shared" si="327"/>
        <v>736</v>
      </c>
      <c r="AL736" s="323">
        <f t="shared" si="337"/>
        <v>747</v>
      </c>
      <c r="AM736" s="322">
        <f t="shared" si="338"/>
        <v>1</v>
      </c>
      <c r="AN736" s="380">
        <f>IF(AND(AH736&gt;0,B736&lt;&gt;""),VLOOKUP(I736,'AUX-NIV3'!$B:$AO,39,FALSE)*O736,0)</f>
        <v>0</v>
      </c>
      <c r="AO736" s="380">
        <f t="shared" si="328"/>
        <v>0.30000000000000004</v>
      </c>
      <c r="AP736" s="380"/>
    </row>
    <row r="737" spans="2:42" ht="14.4" hidden="1" thickTop="1" thickBot="1">
      <c r="B737" s="324" t="s">
        <v>2830</v>
      </c>
      <c r="C737" s="325" t="s">
        <v>2831</v>
      </c>
      <c r="D737" s="326" t="s">
        <v>441</v>
      </c>
      <c r="E737" s="327">
        <f>IF(B737&lt;&gt;"",SUMIF('AUX-NIV1'!I:I,'AUX-NIV2'!B737,'AUX-NIV1'!Q:Q),"")</f>
        <v>0</v>
      </c>
      <c r="F737" s="327">
        <f t="shared" si="318"/>
        <v>316.42825226888021</v>
      </c>
      <c r="G737" s="327">
        <f t="shared" si="319"/>
        <v>0</v>
      </c>
      <c r="H737" s="328" t="str">
        <f t="shared" si="340"/>
        <v>A</v>
      </c>
      <c r="I737" s="325" t="s">
        <v>1745</v>
      </c>
      <c r="J737" s="329" t="str">
        <f>IF(B737&lt;&gt;"",+VLOOKUP(I737,Recursos!C:F,2,FALSE),"")</f>
        <v>AYUDANTE</v>
      </c>
      <c r="K737" s="330" t="str">
        <f>IF(B737&lt;&gt;"",+VLOOKUP(I737,Recursos!C:F,3,FALSE),"")</f>
        <v>hh</v>
      </c>
      <c r="L737" s="327">
        <f>IF(B737&lt;&gt;"",+VLOOKUP(I737,Recursos!C:F,4,FALSE),"")</f>
        <v>422.48042769667234</v>
      </c>
      <c r="M737" s="454">
        <f t="shared" si="341"/>
        <v>80</v>
      </c>
      <c r="N737" s="453">
        <v>4</v>
      </c>
      <c r="O737" s="449">
        <f>+N737/M737*N743</f>
        <v>8.0000000000000016E-2</v>
      </c>
      <c r="P737" s="333">
        <f t="shared" si="315"/>
        <v>33.798434215733792</v>
      </c>
      <c r="Q737" s="327">
        <f t="shared" si="316"/>
        <v>0</v>
      </c>
      <c r="R737" s="334">
        <f t="shared" si="317"/>
        <v>0</v>
      </c>
      <c r="S737" s="335">
        <f t="shared" si="320"/>
        <v>153.2173742272135</v>
      </c>
      <c r="T737" s="335">
        <f t="shared" si="321"/>
        <v>163.21087804166669</v>
      </c>
      <c r="U737" s="336">
        <f t="shared" si="322"/>
        <v>0</v>
      </c>
      <c r="V737" s="336">
        <f t="shared" si="323"/>
        <v>0</v>
      </c>
      <c r="W737" s="336">
        <f t="shared" si="324"/>
        <v>0</v>
      </c>
      <c r="X737" s="336">
        <f t="shared" si="325"/>
        <v>0</v>
      </c>
      <c r="Y737" s="320"/>
      <c r="Z737" s="321" t="str">
        <f t="shared" si="329"/>
        <v>X-COL2A</v>
      </c>
      <c r="AA737" s="321" t="str">
        <f t="shared" si="330"/>
        <v>X-COL2E</v>
      </c>
      <c r="AB737" s="321" t="str">
        <f t="shared" si="331"/>
        <v>X-COL2M</v>
      </c>
      <c r="AC737" s="321" t="str">
        <f t="shared" si="332"/>
        <v>X-COL2T</v>
      </c>
      <c r="AD737" s="321" t="str">
        <f t="shared" si="333"/>
        <v>X-COL2S</v>
      </c>
      <c r="AE737" s="321" t="str">
        <f t="shared" si="334"/>
        <v>X-COL2X</v>
      </c>
      <c r="AF737" s="321" t="str">
        <f t="shared" si="335"/>
        <v>X-COL2A</v>
      </c>
      <c r="AG737" s="321">
        <f t="shared" si="326"/>
        <v>12</v>
      </c>
      <c r="AH737" s="321">
        <f>IF(B737&lt;&gt;"",IF(H737="x",VLOOKUP(I737,'AUX-NIV3'!B:AG,32,FALSE),0),"")</f>
        <v>0</v>
      </c>
      <c r="AI737" s="321" t="str">
        <f t="shared" si="336"/>
        <v>X-COL2</v>
      </c>
      <c r="AJ737" s="320"/>
      <c r="AK737" s="322">
        <f t="shared" si="327"/>
        <v>736</v>
      </c>
      <c r="AL737" s="323">
        <f t="shared" si="337"/>
        <v>747</v>
      </c>
      <c r="AM737" s="322">
        <f t="shared" si="338"/>
        <v>2</v>
      </c>
      <c r="AN737" s="380">
        <f>IF(AND(AH737&gt;0,B737&lt;&gt;""),VLOOKUP(I737,'AUX-NIV3'!$B:$AO,39,FALSE)*O737,0)</f>
        <v>0</v>
      </c>
      <c r="AO737" s="380">
        <f t="shared" si="328"/>
        <v>0.30000000000000004</v>
      </c>
      <c r="AP737" s="380"/>
    </row>
    <row r="738" spans="2:42" ht="14.4" hidden="1" thickTop="1" thickBot="1">
      <c r="B738" s="324" t="s">
        <v>2830</v>
      </c>
      <c r="C738" s="325" t="s">
        <v>2831</v>
      </c>
      <c r="D738" s="326" t="s">
        <v>441</v>
      </c>
      <c r="E738" s="327">
        <f>IF(B738&lt;&gt;"",SUMIF('AUX-NIV1'!I:I,'AUX-NIV2'!B738,'AUX-NIV1'!Q:Q),"")</f>
        <v>0</v>
      </c>
      <c r="F738" s="327">
        <f t="shared" si="318"/>
        <v>316.42825226888021</v>
      </c>
      <c r="G738" s="327">
        <f t="shared" si="319"/>
        <v>0</v>
      </c>
      <c r="H738" s="328" t="str">
        <f t="shared" si="340"/>
        <v>A</v>
      </c>
      <c r="I738" s="325" t="s">
        <v>1746</v>
      </c>
      <c r="J738" s="329" t="str">
        <f>IF(B738&lt;&gt;"",+VLOOKUP(I738,Recursos!C:F,2,FALSE),"")</f>
        <v>OFICIAL</v>
      </c>
      <c r="K738" s="330" t="str">
        <f>IF(B738&lt;&gt;"",+VLOOKUP(I738,Recursos!C:F,3,FALSE),"")</f>
        <v>hh</v>
      </c>
      <c r="L738" s="327">
        <f>IF(B738&lt;&gt;"",+VLOOKUP(I738,Recursos!C:F,4,FALSE),"")</f>
        <v>496.91595439275824</v>
      </c>
      <c r="M738" s="454">
        <f t="shared" si="341"/>
        <v>80</v>
      </c>
      <c r="N738" s="455">
        <f>+N739</f>
        <v>1.6</v>
      </c>
      <c r="O738" s="449">
        <f>+N738/M738*N745</f>
        <v>0.04</v>
      </c>
      <c r="P738" s="333">
        <f t="shared" si="315"/>
        <v>19.87663817571033</v>
      </c>
      <c r="Q738" s="327">
        <f t="shared" si="316"/>
        <v>0</v>
      </c>
      <c r="R738" s="334">
        <f t="shared" si="317"/>
        <v>0</v>
      </c>
      <c r="S738" s="335">
        <f t="shared" si="320"/>
        <v>153.2173742272135</v>
      </c>
      <c r="T738" s="335">
        <f t="shared" si="321"/>
        <v>163.21087804166669</v>
      </c>
      <c r="U738" s="336">
        <f t="shared" si="322"/>
        <v>0</v>
      </c>
      <c r="V738" s="336">
        <f t="shared" si="323"/>
        <v>0</v>
      </c>
      <c r="W738" s="336">
        <f t="shared" si="324"/>
        <v>0</v>
      </c>
      <c r="X738" s="336">
        <f t="shared" si="325"/>
        <v>0</v>
      </c>
      <c r="Y738" s="320"/>
      <c r="Z738" s="321" t="str">
        <f t="shared" si="329"/>
        <v>X-COL2A</v>
      </c>
      <c r="AA738" s="321" t="str">
        <f t="shared" si="330"/>
        <v>X-COL2E</v>
      </c>
      <c r="AB738" s="321" t="str">
        <f t="shared" si="331"/>
        <v>X-COL2M</v>
      </c>
      <c r="AC738" s="321" t="str">
        <f t="shared" si="332"/>
        <v>X-COL2T</v>
      </c>
      <c r="AD738" s="321" t="str">
        <f t="shared" si="333"/>
        <v>X-COL2S</v>
      </c>
      <c r="AE738" s="321" t="str">
        <f t="shared" si="334"/>
        <v>X-COL2X</v>
      </c>
      <c r="AF738" s="321" t="str">
        <f t="shared" si="335"/>
        <v>X-COL2A</v>
      </c>
      <c r="AG738" s="321">
        <f t="shared" si="326"/>
        <v>12</v>
      </c>
      <c r="AH738" s="321">
        <f>IF(B738&lt;&gt;"",IF(H738="x",VLOOKUP(I738,'AUX-NIV3'!B:AG,32,FALSE),0),"")</f>
        <v>0</v>
      </c>
      <c r="AI738" s="321" t="str">
        <f t="shared" si="336"/>
        <v>X-COL2</v>
      </c>
      <c r="AJ738" s="320"/>
      <c r="AK738" s="322">
        <f t="shared" si="327"/>
        <v>736</v>
      </c>
      <c r="AL738" s="323">
        <f t="shared" si="337"/>
        <v>747</v>
      </c>
      <c r="AM738" s="322">
        <f t="shared" si="338"/>
        <v>3</v>
      </c>
      <c r="AN738" s="380">
        <f>IF(AND(AH738&gt;0,B738&lt;&gt;""),VLOOKUP(I738,'AUX-NIV3'!$B:$AO,39,FALSE)*O738,0)</f>
        <v>0</v>
      </c>
      <c r="AO738" s="380">
        <f t="shared" si="328"/>
        <v>0.30000000000000004</v>
      </c>
      <c r="AP738" s="380"/>
    </row>
    <row r="739" spans="2:42" ht="14.4" hidden="1" thickTop="1" thickBot="1">
      <c r="B739" s="324" t="s">
        <v>2830</v>
      </c>
      <c r="C739" s="325" t="s">
        <v>2831</v>
      </c>
      <c r="D739" s="326" t="s">
        <v>441</v>
      </c>
      <c r="E739" s="327">
        <f>IF(B739&lt;&gt;"",SUMIF('AUX-NIV1'!I:I,'AUX-NIV2'!B739,'AUX-NIV1'!Q:Q),"")</f>
        <v>0</v>
      </c>
      <c r="F739" s="327">
        <f t="shared" si="318"/>
        <v>316.42825226888021</v>
      </c>
      <c r="G739" s="327">
        <f t="shared" si="319"/>
        <v>0</v>
      </c>
      <c r="H739" s="328" t="str">
        <f t="shared" si="340"/>
        <v>A</v>
      </c>
      <c r="I739" s="325" t="s">
        <v>1746</v>
      </c>
      <c r="J739" s="329" t="str">
        <f>IF(B739&lt;&gt;"",+VLOOKUP(I739,Recursos!C:F,2,FALSE),"")</f>
        <v>OFICIAL</v>
      </c>
      <c r="K739" s="330" t="str">
        <f>IF(B739&lt;&gt;"",+VLOOKUP(I739,Recursos!C:F,3,FALSE),"")</f>
        <v>hh</v>
      </c>
      <c r="L739" s="327">
        <f>IF(B739&lt;&gt;"",+VLOOKUP(I739,Recursos!C:F,4,FALSE),"")</f>
        <v>496.91595439275824</v>
      </c>
      <c r="M739" s="454">
        <f t="shared" si="341"/>
        <v>80</v>
      </c>
      <c r="N739" s="455">
        <f>+N740</f>
        <v>1.6</v>
      </c>
      <c r="O739" s="449">
        <f>+N745/M739*N739</f>
        <v>4.0000000000000008E-2</v>
      </c>
      <c r="P739" s="333">
        <f t="shared" si="315"/>
        <v>19.876638175710333</v>
      </c>
      <c r="Q739" s="327">
        <f t="shared" si="316"/>
        <v>0</v>
      </c>
      <c r="R739" s="334">
        <f t="shared" si="317"/>
        <v>0</v>
      </c>
      <c r="S739" s="335">
        <f t="shared" si="320"/>
        <v>153.2173742272135</v>
      </c>
      <c r="T739" s="335">
        <f t="shared" si="321"/>
        <v>163.21087804166669</v>
      </c>
      <c r="U739" s="336">
        <f t="shared" si="322"/>
        <v>0</v>
      </c>
      <c r="V739" s="336">
        <f t="shared" si="323"/>
        <v>0</v>
      </c>
      <c r="W739" s="336">
        <f t="shared" si="324"/>
        <v>0</v>
      </c>
      <c r="X739" s="336">
        <f t="shared" si="325"/>
        <v>0</v>
      </c>
      <c r="Y739" s="320"/>
      <c r="Z739" s="321" t="str">
        <f t="shared" si="329"/>
        <v>X-COL2A</v>
      </c>
      <c r="AA739" s="321" t="str">
        <f t="shared" si="330"/>
        <v>X-COL2E</v>
      </c>
      <c r="AB739" s="321" t="str">
        <f t="shared" si="331"/>
        <v>X-COL2M</v>
      </c>
      <c r="AC739" s="321" t="str">
        <f t="shared" si="332"/>
        <v>X-COL2T</v>
      </c>
      <c r="AD739" s="321" t="str">
        <f t="shared" si="333"/>
        <v>X-COL2S</v>
      </c>
      <c r="AE739" s="321" t="str">
        <f t="shared" si="334"/>
        <v>X-COL2X</v>
      </c>
      <c r="AF739" s="321" t="str">
        <f t="shared" si="335"/>
        <v>X-COL2A</v>
      </c>
      <c r="AG739" s="321">
        <f t="shared" si="326"/>
        <v>12</v>
      </c>
      <c r="AH739" s="321">
        <f>IF(B739&lt;&gt;"",IF(H739="x",VLOOKUP(I739,'AUX-NIV3'!B:AG,32,FALSE),0),"")</f>
        <v>0</v>
      </c>
      <c r="AI739" s="321" t="str">
        <f t="shared" si="336"/>
        <v>X-COL2</v>
      </c>
      <c r="AJ739" s="320"/>
      <c r="AK739" s="322">
        <f t="shared" si="327"/>
        <v>736</v>
      </c>
      <c r="AL739" s="323">
        <f t="shared" si="337"/>
        <v>747</v>
      </c>
      <c r="AM739" s="322">
        <f t="shared" si="338"/>
        <v>4</v>
      </c>
      <c r="AN739" s="380">
        <f>IF(AND(AH739&gt;0,B739&lt;&gt;""),VLOOKUP(I739,'AUX-NIV3'!$B:$AO,39,FALSE)*O739,0)</f>
        <v>0</v>
      </c>
      <c r="AO739" s="380">
        <f t="shared" si="328"/>
        <v>0.30000000000000004</v>
      </c>
      <c r="AP739" s="380"/>
    </row>
    <row r="740" spans="2:42" ht="14.4" hidden="1" thickTop="1" thickBot="1">
      <c r="B740" s="324" t="s">
        <v>2830</v>
      </c>
      <c r="C740" s="325" t="s">
        <v>2831</v>
      </c>
      <c r="D740" s="326" t="s">
        <v>441</v>
      </c>
      <c r="E740" s="327">
        <f>IF(B740&lt;&gt;"",SUMIF('AUX-NIV1'!I:I,'AUX-NIV2'!B740,'AUX-NIV1'!Q:Q),"")</f>
        <v>0</v>
      </c>
      <c r="F740" s="327">
        <f t="shared" si="318"/>
        <v>316.42825226888021</v>
      </c>
      <c r="G740" s="327">
        <f t="shared" si="319"/>
        <v>0</v>
      </c>
      <c r="H740" s="328" t="str">
        <f t="shared" si="340"/>
        <v>A</v>
      </c>
      <c r="I740" s="325" t="s">
        <v>3310</v>
      </c>
      <c r="J740" s="329" t="str">
        <f>IF(B740&lt;&gt;"",+VLOOKUP(I740,Recursos!C:F,2,FALSE),"")</f>
        <v>OFICIAL ESPECIALIZADO</v>
      </c>
      <c r="K740" s="330" t="str">
        <f>IF(B740&lt;&gt;"",+VLOOKUP(I740,Recursos!C:F,3,FALSE),"")</f>
        <v>hh</v>
      </c>
      <c r="L740" s="327">
        <f>IF(B740&lt;&gt;"",+VLOOKUP(I740,Recursos!C:F,4,FALSE),"")</f>
        <v>581.06120476836554</v>
      </c>
      <c r="M740" s="454">
        <f t="shared" si="341"/>
        <v>80</v>
      </c>
      <c r="N740" s="455">
        <f>+N741</f>
        <v>1.6</v>
      </c>
      <c r="O740" s="449">
        <f>+N740/M740</f>
        <v>0.02</v>
      </c>
      <c r="P740" s="333">
        <f t="shared" si="315"/>
        <v>11.62122409536731</v>
      </c>
      <c r="Q740" s="327">
        <f t="shared" si="316"/>
        <v>0</v>
      </c>
      <c r="R740" s="334">
        <f t="shared" si="317"/>
        <v>0</v>
      </c>
      <c r="S740" s="335">
        <f t="shared" si="320"/>
        <v>153.2173742272135</v>
      </c>
      <c r="T740" s="335">
        <f t="shared" si="321"/>
        <v>163.21087804166669</v>
      </c>
      <c r="U740" s="336">
        <f t="shared" si="322"/>
        <v>0</v>
      </c>
      <c r="V740" s="336">
        <f t="shared" si="323"/>
        <v>0</v>
      </c>
      <c r="W740" s="336">
        <f t="shared" si="324"/>
        <v>0</v>
      </c>
      <c r="X740" s="336">
        <f t="shared" si="325"/>
        <v>0</v>
      </c>
      <c r="Y740" s="320"/>
      <c r="Z740" s="321" t="str">
        <f t="shared" si="329"/>
        <v>X-COL2A</v>
      </c>
      <c r="AA740" s="321" t="str">
        <f t="shared" si="330"/>
        <v>X-COL2E</v>
      </c>
      <c r="AB740" s="321" t="str">
        <f t="shared" si="331"/>
        <v>X-COL2M</v>
      </c>
      <c r="AC740" s="321" t="str">
        <f t="shared" si="332"/>
        <v>X-COL2T</v>
      </c>
      <c r="AD740" s="321" t="str">
        <f t="shared" si="333"/>
        <v>X-COL2S</v>
      </c>
      <c r="AE740" s="321" t="str">
        <f t="shared" si="334"/>
        <v>X-COL2X</v>
      </c>
      <c r="AF740" s="321" t="str">
        <f t="shared" si="335"/>
        <v>X-COL2A</v>
      </c>
      <c r="AG740" s="321">
        <f t="shared" si="326"/>
        <v>12</v>
      </c>
      <c r="AH740" s="321">
        <f>IF(B740&lt;&gt;"",IF(H740="x",VLOOKUP(I740,'AUX-NIV3'!B:AG,32,FALSE),0),"")</f>
        <v>0</v>
      </c>
      <c r="AI740" s="321" t="str">
        <f t="shared" si="336"/>
        <v>X-COL2</v>
      </c>
      <c r="AJ740" s="320"/>
      <c r="AK740" s="322">
        <f t="shared" si="327"/>
        <v>736</v>
      </c>
      <c r="AL740" s="323">
        <f t="shared" si="337"/>
        <v>747</v>
      </c>
      <c r="AM740" s="322">
        <f t="shared" si="338"/>
        <v>5</v>
      </c>
      <c r="AN740" s="380">
        <f>IF(AND(AH740&gt;0,B740&lt;&gt;""),VLOOKUP(I740,'AUX-NIV3'!$B:$AO,39,FALSE)*O740,0)</f>
        <v>0</v>
      </c>
      <c r="AO740" s="380">
        <f t="shared" si="328"/>
        <v>0.30000000000000004</v>
      </c>
      <c r="AP740" s="380"/>
    </row>
    <row r="741" spans="2:42" ht="14.4" hidden="1" thickTop="1" thickBot="1">
      <c r="B741" s="324" t="s">
        <v>2830</v>
      </c>
      <c r="C741" s="325" t="s">
        <v>2831</v>
      </c>
      <c r="D741" s="326" t="s">
        <v>441</v>
      </c>
      <c r="E741" s="327">
        <f>IF(B741&lt;&gt;"",SUMIF('AUX-NIV1'!I:I,'AUX-NIV2'!B741,'AUX-NIV1'!Q:Q),"")</f>
        <v>0</v>
      </c>
      <c r="F741" s="327">
        <f t="shared" si="318"/>
        <v>316.42825226888021</v>
      </c>
      <c r="G741" s="327">
        <f t="shared" si="319"/>
        <v>0</v>
      </c>
      <c r="H741" s="328" t="str">
        <f t="shared" si="340"/>
        <v>A</v>
      </c>
      <c r="I741" s="325" t="s">
        <v>3310</v>
      </c>
      <c r="J741" s="329" t="str">
        <f>IF(B741&lt;&gt;"",+VLOOKUP(I741,Recursos!C:F,2,FALSE),"")</f>
        <v>OFICIAL ESPECIALIZADO</v>
      </c>
      <c r="K741" s="330" t="str">
        <f>IF(B741&lt;&gt;"",+VLOOKUP(I741,Recursos!C:F,3,FALSE),"")</f>
        <v>hh</v>
      </c>
      <c r="L741" s="327">
        <f>IF(B741&lt;&gt;"",+VLOOKUP(I741,Recursos!C:F,4,FALSE),"")</f>
        <v>581.06120476836554</v>
      </c>
      <c r="M741" s="454">
        <f t="shared" si="341"/>
        <v>80</v>
      </c>
      <c r="N741" s="455">
        <f>+N742</f>
        <v>1.6</v>
      </c>
      <c r="O741" s="449">
        <f>+N741/M741</f>
        <v>0.02</v>
      </c>
      <c r="P741" s="333">
        <f t="shared" si="315"/>
        <v>11.62122409536731</v>
      </c>
      <c r="Q741" s="327">
        <f t="shared" si="316"/>
        <v>0</v>
      </c>
      <c r="R741" s="334">
        <f t="shared" si="317"/>
        <v>0</v>
      </c>
      <c r="S741" s="335">
        <f t="shared" si="320"/>
        <v>153.2173742272135</v>
      </c>
      <c r="T741" s="335">
        <f t="shared" si="321"/>
        <v>163.21087804166669</v>
      </c>
      <c r="U741" s="336">
        <f t="shared" si="322"/>
        <v>0</v>
      </c>
      <c r="V741" s="336">
        <f t="shared" si="323"/>
        <v>0</v>
      </c>
      <c r="W741" s="336">
        <f t="shared" si="324"/>
        <v>0</v>
      </c>
      <c r="X741" s="336">
        <f t="shared" si="325"/>
        <v>0</v>
      </c>
      <c r="Y741" s="320"/>
      <c r="Z741" s="321" t="str">
        <f t="shared" si="329"/>
        <v>X-COL2A</v>
      </c>
      <c r="AA741" s="321" t="str">
        <f t="shared" si="330"/>
        <v>X-COL2E</v>
      </c>
      <c r="AB741" s="321" t="str">
        <f t="shared" si="331"/>
        <v>X-COL2M</v>
      </c>
      <c r="AC741" s="321" t="str">
        <f t="shared" si="332"/>
        <v>X-COL2T</v>
      </c>
      <c r="AD741" s="321" t="str">
        <f t="shared" si="333"/>
        <v>X-COL2S</v>
      </c>
      <c r="AE741" s="321" t="str">
        <f t="shared" si="334"/>
        <v>X-COL2X</v>
      </c>
      <c r="AF741" s="321" t="str">
        <f t="shared" si="335"/>
        <v>X-COL2A</v>
      </c>
      <c r="AG741" s="321">
        <f t="shared" si="326"/>
        <v>12</v>
      </c>
      <c r="AH741" s="321">
        <f>IF(B741&lt;&gt;"",IF(H741="x",VLOOKUP(I741,'AUX-NIV3'!B:AG,32,FALSE),0),"")</f>
        <v>0</v>
      </c>
      <c r="AI741" s="321" t="str">
        <f t="shared" si="336"/>
        <v>X-COL2</v>
      </c>
      <c r="AJ741" s="320"/>
      <c r="AK741" s="322">
        <f t="shared" si="327"/>
        <v>736</v>
      </c>
      <c r="AL741" s="323">
        <f t="shared" si="337"/>
        <v>747</v>
      </c>
      <c r="AM741" s="322">
        <f t="shared" si="338"/>
        <v>6</v>
      </c>
      <c r="AN741" s="380">
        <f>IF(AND(AH741&gt;0,B741&lt;&gt;""),VLOOKUP(I741,'AUX-NIV3'!$B:$AO,39,FALSE)*O741,0)</f>
        <v>0</v>
      </c>
      <c r="AO741" s="380">
        <f t="shared" si="328"/>
        <v>0.30000000000000004</v>
      </c>
      <c r="AP741" s="380"/>
    </row>
    <row r="742" spans="2:42" ht="14.4" hidden="1" thickTop="1" thickBot="1">
      <c r="B742" s="324" t="s">
        <v>2830</v>
      </c>
      <c r="C742" s="325" t="s">
        <v>2831</v>
      </c>
      <c r="D742" s="326" t="s">
        <v>441</v>
      </c>
      <c r="E742" s="327">
        <f>IF(B742&lt;&gt;"",SUMIF('AUX-NIV1'!I:I,'AUX-NIV2'!B742,'AUX-NIV1'!Q:Q),"")</f>
        <v>0</v>
      </c>
      <c r="F742" s="327">
        <f t="shared" si="318"/>
        <v>316.42825226888021</v>
      </c>
      <c r="G742" s="327">
        <f t="shared" si="319"/>
        <v>0</v>
      </c>
      <c r="H742" s="328" t="str">
        <f t="shared" si="340"/>
        <v>A</v>
      </c>
      <c r="I742" s="325" t="s">
        <v>3310</v>
      </c>
      <c r="J742" s="329" t="str">
        <f>IF(B742&lt;&gt;"",+VLOOKUP(I742,Recursos!C:F,2,FALSE),"")</f>
        <v>OFICIAL ESPECIALIZADO</v>
      </c>
      <c r="K742" s="330" t="str">
        <f>IF(B742&lt;&gt;"",+VLOOKUP(I742,Recursos!C:F,3,FALSE),"")</f>
        <v>hh</v>
      </c>
      <c r="L742" s="327">
        <f>IF(B742&lt;&gt;"",+VLOOKUP(I742,Recursos!C:F,4,FALSE),"")</f>
        <v>581.06120476836554</v>
      </c>
      <c r="M742" s="454">
        <f t="shared" si="341"/>
        <v>80</v>
      </c>
      <c r="N742" s="455">
        <f>+N743</f>
        <v>1.6</v>
      </c>
      <c r="O742" s="449">
        <f>+(N745+N746)/M742*N742</f>
        <v>0.06</v>
      </c>
      <c r="P742" s="333">
        <f t="shared" si="315"/>
        <v>34.863672286101931</v>
      </c>
      <c r="Q742" s="327">
        <f t="shared" si="316"/>
        <v>0</v>
      </c>
      <c r="R742" s="334">
        <f t="shared" si="317"/>
        <v>0</v>
      </c>
      <c r="S742" s="335">
        <f t="shared" si="320"/>
        <v>153.2173742272135</v>
      </c>
      <c r="T742" s="335">
        <f t="shared" si="321"/>
        <v>163.21087804166669</v>
      </c>
      <c r="U742" s="336">
        <f t="shared" si="322"/>
        <v>0</v>
      </c>
      <c r="V742" s="336">
        <f t="shared" si="323"/>
        <v>0</v>
      </c>
      <c r="W742" s="336">
        <f t="shared" si="324"/>
        <v>0</v>
      </c>
      <c r="X742" s="336">
        <f t="shared" si="325"/>
        <v>0</v>
      </c>
      <c r="Y742" s="320"/>
      <c r="Z742" s="321" t="str">
        <f t="shared" si="329"/>
        <v>X-COL2A</v>
      </c>
      <c r="AA742" s="321" t="str">
        <f t="shared" si="330"/>
        <v>X-COL2E</v>
      </c>
      <c r="AB742" s="321" t="str">
        <f t="shared" si="331"/>
        <v>X-COL2M</v>
      </c>
      <c r="AC742" s="321" t="str">
        <f t="shared" si="332"/>
        <v>X-COL2T</v>
      </c>
      <c r="AD742" s="321" t="str">
        <f t="shared" si="333"/>
        <v>X-COL2S</v>
      </c>
      <c r="AE742" s="321" t="str">
        <f t="shared" si="334"/>
        <v>X-COL2X</v>
      </c>
      <c r="AF742" s="321" t="str">
        <f t="shared" si="335"/>
        <v>X-COL2A</v>
      </c>
      <c r="AG742" s="321">
        <f t="shared" si="326"/>
        <v>12</v>
      </c>
      <c r="AH742" s="321">
        <f>IF(B742&lt;&gt;"",IF(H742="x",VLOOKUP(I742,'AUX-NIV3'!B:AG,32,FALSE),0),"")</f>
        <v>0</v>
      </c>
      <c r="AI742" s="321" t="str">
        <f t="shared" si="336"/>
        <v>X-COL2</v>
      </c>
      <c r="AJ742" s="320"/>
      <c r="AK742" s="322">
        <f t="shared" si="327"/>
        <v>736</v>
      </c>
      <c r="AL742" s="323">
        <f t="shared" si="337"/>
        <v>747</v>
      </c>
      <c r="AM742" s="322">
        <f t="shared" si="338"/>
        <v>7</v>
      </c>
      <c r="AN742" s="380">
        <f>IF(AND(AH742&gt;0,B742&lt;&gt;""),VLOOKUP(I742,'AUX-NIV3'!$B:$AO,39,FALSE)*O742,0)</f>
        <v>0</v>
      </c>
      <c r="AO742" s="380">
        <f t="shared" si="328"/>
        <v>0.30000000000000004</v>
      </c>
      <c r="AP742" s="380"/>
    </row>
    <row r="743" spans="2:42" ht="14.4" hidden="1" thickTop="1" thickBot="1">
      <c r="B743" s="324" t="s">
        <v>2830</v>
      </c>
      <c r="C743" s="325" t="s">
        <v>2831</v>
      </c>
      <c r="D743" s="326" t="s">
        <v>441</v>
      </c>
      <c r="E743" s="327">
        <f>IF(B743&lt;&gt;"",SUMIF('AUX-NIV1'!I:I,'AUX-NIV2'!B743,'AUX-NIV1'!Q:Q),"")</f>
        <v>0</v>
      </c>
      <c r="F743" s="327">
        <f t="shared" si="318"/>
        <v>316.42825226888021</v>
      </c>
      <c r="G743" s="327">
        <f t="shared" si="319"/>
        <v>0</v>
      </c>
      <c r="H743" s="328" t="str">
        <f t="shared" si="340"/>
        <v>A</v>
      </c>
      <c r="I743" s="325" t="s">
        <v>1746</v>
      </c>
      <c r="J743" s="329" t="str">
        <f>IF(B743&lt;&gt;"",+VLOOKUP(I743,Recursos!C:F,2,FALSE),"")</f>
        <v>OFICIAL</v>
      </c>
      <c r="K743" s="330" t="str">
        <f>IF(B743&lt;&gt;"",+VLOOKUP(I743,Recursos!C:F,3,FALSE),"")</f>
        <v>hh</v>
      </c>
      <c r="L743" s="327">
        <f>IF(B743&lt;&gt;"",+VLOOKUP(I743,Recursos!C:F,4,FALSE),"")</f>
        <v>496.91595439275824</v>
      </c>
      <c r="M743" s="454">
        <f t="shared" si="341"/>
        <v>80</v>
      </c>
      <c r="N743" s="453">
        <v>1.6</v>
      </c>
      <c r="O743" s="449">
        <f>+N743/M743</f>
        <v>0.02</v>
      </c>
      <c r="P743" s="333">
        <f t="shared" si="315"/>
        <v>9.9383190878551648</v>
      </c>
      <c r="Q743" s="327">
        <f t="shared" si="316"/>
        <v>0</v>
      </c>
      <c r="R743" s="334">
        <f t="shared" si="317"/>
        <v>0</v>
      </c>
      <c r="S743" s="335">
        <f t="shared" si="320"/>
        <v>153.2173742272135</v>
      </c>
      <c r="T743" s="335">
        <f t="shared" si="321"/>
        <v>163.21087804166669</v>
      </c>
      <c r="U743" s="336">
        <f t="shared" si="322"/>
        <v>0</v>
      </c>
      <c r="V743" s="336">
        <f t="shared" si="323"/>
        <v>0</v>
      </c>
      <c r="W743" s="336">
        <f t="shared" si="324"/>
        <v>0</v>
      </c>
      <c r="X743" s="336">
        <f t="shared" si="325"/>
        <v>0</v>
      </c>
      <c r="Y743" s="320"/>
      <c r="Z743" s="321" t="str">
        <f t="shared" si="329"/>
        <v>X-COL2A</v>
      </c>
      <c r="AA743" s="321" t="str">
        <f t="shared" si="330"/>
        <v>X-COL2E</v>
      </c>
      <c r="AB743" s="321" t="str">
        <f t="shared" si="331"/>
        <v>X-COL2M</v>
      </c>
      <c r="AC743" s="321" t="str">
        <f t="shared" si="332"/>
        <v>X-COL2T</v>
      </c>
      <c r="AD743" s="321" t="str">
        <f t="shared" si="333"/>
        <v>X-COL2S</v>
      </c>
      <c r="AE743" s="321" t="str">
        <f t="shared" si="334"/>
        <v>X-COL2X</v>
      </c>
      <c r="AF743" s="321" t="str">
        <f t="shared" si="335"/>
        <v>X-COL2A</v>
      </c>
      <c r="AG743" s="321">
        <f t="shared" si="326"/>
        <v>12</v>
      </c>
      <c r="AH743" s="321">
        <f>IF(B743&lt;&gt;"",IF(H743="x",VLOOKUP(I743,'AUX-NIV3'!B:AG,32,FALSE),0),"")</f>
        <v>0</v>
      </c>
      <c r="AI743" s="321" t="str">
        <f t="shared" si="336"/>
        <v>X-COL2</v>
      </c>
      <c r="AJ743" s="320"/>
      <c r="AK743" s="322">
        <f t="shared" si="327"/>
        <v>736</v>
      </c>
      <c r="AL743" s="323">
        <f t="shared" si="337"/>
        <v>747</v>
      </c>
      <c r="AM743" s="322">
        <f t="shared" si="338"/>
        <v>8</v>
      </c>
      <c r="AN743" s="380">
        <f>IF(AND(AH743&gt;0,B743&lt;&gt;""),VLOOKUP(I743,'AUX-NIV3'!$B:$AO,39,FALSE)*O743,0)</f>
        <v>0</v>
      </c>
      <c r="AO743" s="380">
        <f t="shared" si="328"/>
        <v>0.30000000000000004</v>
      </c>
      <c r="AP743" s="380"/>
    </row>
    <row r="744" spans="2:42" ht="14.4" hidden="1" thickTop="1" thickBot="1">
      <c r="B744" s="324" t="s">
        <v>2830</v>
      </c>
      <c r="C744" s="325" t="s">
        <v>2831</v>
      </c>
      <c r="D744" s="326" t="s">
        <v>441</v>
      </c>
      <c r="E744" s="327">
        <f>IF(B744&lt;&gt;"",SUMIF('AUX-NIV1'!I:I,'AUX-NIV2'!B744,'AUX-NIV1'!Q:Q),"")</f>
        <v>0</v>
      </c>
      <c r="F744" s="327">
        <f t="shared" si="318"/>
        <v>316.42825226888021</v>
      </c>
      <c r="G744" s="327">
        <f t="shared" si="319"/>
        <v>0</v>
      </c>
      <c r="H744" s="328" t="str">
        <f t="shared" si="340"/>
        <v>E</v>
      </c>
      <c r="I744" s="325" t="s">
        <v>1734</v>
      </c>
      <c r="J744" s="329" t="str">
        <f>IF(B744&lt;&gt;"",+VLOOKUP(I744,Recursos!C:F,2,FALSE),"")</f>
        <v>TERMINADORA ASFALT. S/CARR. 120 T/h</v>
      </c>
      <c r="K744" s="330" t="str">
        <f>IF(B744&lt;&gt;"",+VLOOKUP(I744,Recursos!C:F,3,FALSE),"")</f>
        <v>HR</v>
      </c>
      <c r="L744" s="327">
        <f>IF(B744&lt;&gt;"",+VLOOKUP(I744,Recursos!C:F,4,FALSE),"")</f>
        <v>4816.5842400000001</v>
      </c>
      <c r="M744" s="452">
        <v>80</v>
      </c>
      <c r="N744" s="453">
        <v>1</v>
      </c>
      <c r="O744" s="449">
        <f>+N744/M744</f>
        <v>1.2500000000000001E-2</v>
      </c>
      <c r="P744" s="333">
        <f t="shared" si="315"/>
        <v>60.207303000000003</v>
      </c>
      <c r="Q744" s="327">
        <f t="shared" si="316"/>
        <v>0</v>
      </c>
      <c r="R744" s="334">
        <f t="shared" si="317"/>
        <v>0</v>
      </c>
      <c r="S744" s="335">
        <f t="shared" si="320"/>
        <v>153.2173742272135</v>
      </c>
      <c r="T744" s="335">
        <f t="shared" si="321"/>
        <v>163.21087804166669</v>
      </c>
      <c r="U744" s="336">
        <f t="shared" si="322"/>
        <v>0</v>
      </c>
      <c r="V744" s="336">
        <f t="shared" si="323"/>
        <v>0</v>
      </c>
      <c r="W744" s="336">
        <f t="shared" si="324"/>
        <v>0</v>
      </c>
      <c r="X744" s="336">
        <f t="shared" si="325"/>
        <v>0</v>
      </c>
      <c r="Y744" s="320"/>
      <c r="Z744" s="321" t="str">
        <f t="shared" si="329"/>
        <v>X-COL2A</v>
      </c>
      <c r="AA744" s="321" t="str">
        <f t="shared" si="330"/>
        <v>X-COL2E</v>
      </c>
      <c r="AB744" s="321" t="str">
        <f t="shared" si="331"/>
        <v>X-COL2M</v>
      </c>
      <c r="AC744" s="321" t="str">
        <f t="shared" si="332"/>
        <v>X-COL2T</v>
      </c>
      <c r="AD744" s="321" t="str">
        <f t="shared" si="333"/>
        <v>X-COL2S</v>
      </c>
      <c r="AE744" s="321" t="str">
        <f t="shared" si="334"/>
        <v>X-COL2X</v>
      </c>
      <c r="AF744" s="321" t="str">
        <f t="shared" si="335"/>
        <v>X-COL2E</v>
      </c>
      <c r="AG744" s="321">
        <f t="shared" si="326"/>
        <v>12</v>
      </c>
      <c r="AH744" s="321">
        <f>IF(B744&lt;&gt;"",IF(H744="x",VLOOKUP(I744,'AUX-NIV3'!B:AG,32,FALSE),0),"")</f>
        <v>0</v>
      </c>
      <c r="AI744" s="321" t="str">
        <f t="shared" si="336"/>
        <v>X-COL2</v>
      </c>
      <c r="AJ744" s="320"/>
      <c r="AK744" s="322">
        <f t="shared" si="327"/>
        <v>736</v>
      </c>
      <c r="AL744" s="323">
        <f t="shared" si="337"/>
        <v>747</v>
      </c>
      <c r="AM744" s="322">
        <f t="shared" si="338"/>
        <v>9</v>
      </c>
      <c r="AN744" s="380">
        <f>IF(AND(AH744&gt;0,B744&lt;&gt;""),VLOOKUP(I744,'AUX-NIV3'!$B:$AO,39,FALSE)*O744,0)</f>
        <v>0</v>
      </c>
      <c r="AO744" s="380">
        <f t="shared" si="328"/>
        <v>0.30000000000000004</v>
      </c>
      <c r="AP744" s="380"/>
    </row>
    <row r="745" spans="2:42" ht="14.4" hidden="1" thickTop="1" thickBot="1">
      <c r="B745" s="324" t="s">
        <v>2830</v>
      </c>
      <c r="C745" s="325" t="s">
        <v>2831</v>
      </c>
      <c r="D745" s="326" t="s">
        <v>441</v>
      </c>
      <c r="E745" s="327">
        <f>IF(B745&lt;&gt;"",SUMIF('AUX-NIV1'!I:I,'AUX-NIV2'!B745,'AUX-NIV1'!Q:Q),"")</f>
        <v>0</v>
      </c>
      <c r="F745" s="327">
        <f t="shared" si="318"/>
        <v>316.42825226888021</v>
      </c>
      <c r="G745" s="327">
        <f t="shared" si="319"/>
        <v>0</v>
      </c>
      <c r="H745" s="328" t="str">
        <f t="shared" si="340"/>
        <v>E</v>
      </c>
      <c r="I745" s="325" t="s">
        <v>1684</v>
      </c>
      <c r="J745" s="329" t="str">
        <f>IF(B745&lt;&gt;"",+VLOOKUP(I745,Recursos!C:F,2,FALSE),"")</f>
        <v>COMPACT. 2 ROD.LISOS TANDEM -11 T</v>
      </c>
      <c r="K745" s="330" t="str">
        <f>IF(B745&lt;&gt;"",+VLOOKUP(I745,Recursos!C:F,3,FALSE),"")</f>
        <v>HR</v>
      </c>
      <c r="L745" s="327">
        <f>IF(B745&lt;&gt;"",+VLOOKUP(I745,Recursos!C:F,4,FALSE),"")</f>
        <v>2080.6506600000002</v>
      </c>
      <c r="M745" s="454">
        <f>+M747</f>
        <v>80</v>
      </c>
      <c r="N745" s="453">
        <v>2</v>
      </c>
      <c r="O745" s="449">
        <f>+N745/M745</f>
        <v>2.5000000000000001E-2</v>
      </c>
      <c r="P745" s="333">
        <f t="shared" si="315"/>
        <v>52.016266500000008</v>
      </c>
      <c r="Q745" s="327">
        <f t="shared" si="316"/>
        <v>0</v>
      </c>
      <c r="R745" s="334">
        <f t="shared" si="317"/>
        <v>0</v>
      </c>
      <c r="S745" s="335">
        <f t="shared" si="320"/>
        <v>153.2173742272135</v>
      </c>
      <c r="T745" s="335">
        <f t="shared" si="321"/>
        <v>163.21087804166669</v>
      </c>
      <c r="U745" s="336">
        <f t="shared" si="322"/>
        <v>0</v>
      </c>
      <c r="V745" s="336">
        <f t="shared" si="323"/>
        <v>0</v>
      </c>
      <c r="W745" s="336">
        <f t="shared" si="324"/>
        <v>0</v>
      </c>
      <c r="X745" s="336">
        <f t="shared" si="325"/>
        <v>0</v>
      </c>
      <c r="Y745" s="320"/>
      <c r="Z745" s="321" t="str">
        <f t="shared" si="329"/>
        <v>X-COL2A</v>
      </c>
      <c r="AA745" s="321" t="str">
        <f t="shared" si="330"/>
        <v>X-COL2E</v>
      </c>
      <c r="AB745" s="321" t="str">
        <f t="shared" si="331"/>
        <v>X-COL2M</v>
      </c>
      <c r="AC745" s="321" t="str">
        <f t="shared" si="332"/>
        <v>X-COL2T</v>
      </c>
      <c r="AD745" s="321" t="str">
        <f t="shared" si="333"/>
        <v>X-COL2S</v>
      </c>
      <c r="AE745" s="321" t="str">
        <f t="shared" si="334"/>
        <v>X-COL2X</v>
      </c>
      <c r="AF745" s="321" t="str">
        <f t="shared" si="335"/>
        <v>X-COL2E</v>
      </c>
      <c r="AG745" s="321">
        <f t="shared" si="326"/>
        <v>12</v>
      </c>
      <c r="AH745" s="321">
        <f>IF(B745&lt;&gt;"",IF(H745="x",VLOOKUP(I745,'AUX-NIV3'!B:AG,32,FALSE),0),"")</f>
        <v>0</v>
      </c>
      <c r="AI745" s="321" t="str">
        <f t="shared" si="336"/>
        <v>X-COL2</v>
      </c>
      <c r="AJ745" s="320"/>
      <c r="AK745" s="322">
        <f t="shared" si="327"/>
        <v>736</v>
      </c>
      <c r="AL745" s="323">
        <f t="shared" si="337"/>
        <v>747</v>
      </c>
      <c r="AM745" s="322">
        <f t="shared" si="338"/>
        <v>10</v>
      </c>
      <c r="AN745" s="380">
        <f>IF(AND(AH745&gt;0,B745&lt;&gt;""),VLOOKUP(I745,'AUX-NIV3'!$B:$AO,39,FALSE)*O745,0)</f>
        <v>0</v>
      </c>
      <c r="AO745" s="380">
        <f t="shared" si="328"/>
        <v>0.30000000000000004</v>
      </c>
      <c r="AP745" s="380"/>
    </row>
    <row r="746" spans="2:42" ht="14.4" hidden="1" thickTop="1" thickBot="1">
      <c r="B746" s="324" t="s">
        <v>2830</v>
      </c>
      <c r="C746" s="325" t="s">
        <v>2831</v>
      </c>
      <c r="D746" s="326" t="s">
        <v>441</v>
      </c>
      <c r="E746" s="327">
        <f>IF(B746&lt;&gt;"",SUMIF('AUX-NIV1'!I:I,'AUX-NIV2'!B746,'AUX-NIV1'!Q:Q),"")</f>
        <v>0</v>
      </c>
      <c r="F746" s="327">
        <f t="shared" si="318"/>
        <v>316.42825226888021</v>
      </c>
      <c r="G746" s="327">
        <f t="shared" si="319"/>
        <v>0</v>
      </c>
      <c r="H746" s="328" t="str">
        <f t="shared" si="340"/>
        <v>E</v>
      </c>
      <c r="I746" s="325" t="s">
        <v>1569</v>
      </c>
      <c r="J746" s="329" t="str">
        <f>IF(B746&lt;&gt;"",+VLOOKUP(I746,Recursos!C:F,2,FALSE),"")</f>
        <v>COMPACTADOR NEUMAT.AUTOPROP.(22 T)</v>
      </c>
      <c r="K746" s="330" t="str">
        <f>IF(B746&lt;&gt;"",+VLOOKUP(I746,Recursos!C:F,3,FALSE),"")</f>
        <v>HR</v>
      </c>
      <c r="L746" s="327">
        <f>IF(B746&lt;&gt;"",+VLOOKUP(I746,Recursos!C:F,4,FALSE),"")</f>
        <v>1797.6897833333335</v>
      </c>
      <c r="M746" s="454">
        <f>+M745</f>
        <v>80</v>
      </c>
      <c r="N746" s="455">
        <f>+N747</f>
        <v>1</v>
      </c>
      <c r="O746" s="449">
        <f>+N746/M746</f>
        <v>1.2500000000000001E-2</v>
      </c>
      <c r="P746" s="333">
        <f t="shared" si="315"/>
        <v>22.471122291666671</v>
      </c>
      <c r="Q746" s="327">
        <f t="shared" si="316"/>
        <v>0</v>
      </c>
      <c r="R746" s="334">
        <f t="shared" si="317"/>
        <v>0</v>
      </c>
      <c r="S746" s="335">
        <f t="shared" si="320"/>
        <v>153.2173742272135</v>
      </c>
      <c r="T746" s="335">
        <f t="shared" si="321"/>
        <v>163.21087804166669</v>
      </c>
      <c r="U746" s="336">
        <f t="shared" si="322"/>
        <v>0</v>
      </c>
      <c r="V746" s="336">
        <f t="shared" si="323"/>
        <v>0</v>
      </c>
      <c r="W746" s="336">
        <f t="shared" si="324"/>
        <v>0</v>
      </c>
      <c r="X746" s="336">
        <f t="shared" si="325"/>
        <v>0</v>
      </c>
      <c r="Y746" s="320"/>
      <c r="Z746" s="321" t="str">
        <f t="shared" si="329"/>
        <v>X-COL2A</v>
      </c>
      <c r="AA746" s="321" t="str">
        <f t="shared" si="330"/>
        <v>X-COL2E</v>
      </c>
      <c r="AB746" s="321" t="str">
        <f t="shared" si="331"/>
        <v>X-COL2M</v>
      </c>
      <c r="AC746" s="321" t="str">
        <f t="shared" si="332"/>
        <v>X-COL2T</v>
      </c>
      <c r="AD746" s="321" t="str">
        <f t="shared" si="333"/>
        <v>X-COL2S</v>
      </c>
      <c r="AE746" s="321" t="str">
        <f t="shared" si="334"/>
        <v>X-COL2X</v>
      </c>
      <c r="AF746" s="321" t="str">
        <f t="shared" si="335"/>
        <v>X-COL2E</v>
      </c>
      <c r="AG746" s="321">
        <f t="shared" si="326"/>
        <v>12</v>
      </c>
      <c r="AH746" s="321">
        <f>IF(B746&lt;&gt;"",IF(H746="x",VLOOKUP(I746,'AUX-NIV3'!B:AG,32,FALSE),0),"")</f>
        <v>0</v>
      </c>
      <c r="AI746" s="321" t="str">
        <f t="shared" si="336"/>
        <v>X-COL2</v>
      </c>
      <c r="AJ746" s="320"/>
      <c r="AK746" s="322">
        <f t="shared" si="327"/>
        <v>736</v>
      </c>
      <c r="AL746" s="323">
        <f t="shared" si="337"/>
        <v>747</v>
      </c>
      <c r="AM746" s="322">
        <f t="shared" si="338"/>
        <v>11</v>
      </c>
      <c r="AN746" s="380">
        <f>IF(AND(AH746&gt;0,B746&lt;&gt;""),VLOOKUP(I746,'AUX-NIV3'!$B:$AO,39,FALSE)*O746,0)</f>
        <v>0</v>
      </c>
      <c r="AO746" s="380">
        <f t="shared" si="328"/>
        <v>0.30000000000000004</v>
      </c>
      <c r="AP746" s="380"/>
    </row>
    <row r="747" spans="2:42" ht="14.4" hidden="1" thickTop="1" thickBot="1">
      <c r="B747" s="324" t="s">
        <v>2830</v>
      </c>
      <c r="C747" s="325" t="s">
        <v>2831</v>
      </c>
      <c r="D747" s="326" t="s">
        <v>441</v>
      </c>
      <c r="E747" s="327">
        <f>IF(B747&lt;&gt;"",SUMIF('AUX-NIV1'!I:I,'AUX-NIV2'!B747,'AUX-NIV1'!Q:Q),"")</f>
        <v>0</v>
      </c>
      <c r="F747" s="327">
        <f t="shared" si="318"/>
        <v>316.42825226888021</v>
      </c>
      <c r="G747" s="327">
        <f t="shared" si="319"/>
        <v>0</v>
      </c>
      <c r="H747" s="328" t="str">
        <f t="shared" si="340"/>
        <v>E</v>
      </c>
      <c r="I747" s="325" t="s">
        <v>1676</v>
      </c>
      <c r="J747" s="329" t="str">
        <f>IF(B747&lt;&gt;"",+VLOOKUP(I747,Recursos!C:F,2,FALSE),"")</f>
        <v>CAMION REGADOR CAP. 8 m3</v>
      </c>
      <c r="K747" s="330" t="str">
        <f>IF(B747&lt;&gt;"",+VLOOKUP(I747,Recursos!C:F,3,FALSE),"")</f>
        <v>HR</v>
      </c>
      <c r="L747" s="327">
        <f>IF(B747&lt;&gt;"",+VLOOKUP(I747,Recursos!C:F,4,FALSE),"")</f>
        <v>2281.2949000000003</v>
      </c>
      <c r="M747" s="456">
        <f>+M744</f>
        <v>80</v>
      </c>
      <c r="N747" s="507">
        <f>+N744</f>
        <v>1</v>
      </c>
      <c r="O747" s="449">
        <f>+N747/M747</f>
        <v>1.2500000000000001E-2</v>
      </c>
      <c r="P747" s="333">
        <f t="shared" si="315"/>
        <v>28.516186250000004</v>
      </c>
      <c r="Q747" s="327">
        <f t="shared" si="316"/>
        <v>0</v>
      </c>
      <c r="R747" s="334">
        <f t="shared" si="317"/>
        <v>0</v>
      </c>
      <c r="S747" s="335">
        <f t="shared" si="320"/>
        <v>153.2173742272135</v>
      </c>
      <c r="T747" s="335">
        <f t="shared" si="321"/>
        <v>163.21087804166669</v>
      </c>
      <c r="U747" s="336">
        <f t="shared" si="322"/>
        <v>0</v>
      </c>
      <c r="V747" s="336">
        <f t="shared" si="323"/>
        <v>0</v>
      </c>
      <c r="W747" s="336">
        <f t="shared" si="324"/>
        <v>0</v>
      </c>
      <c r="X747" s="336">
        <f t="shared" si="325"/>
        <v>0</v>
      </c>
      <c r="Y747" s="320"/>
      <c r="Z747" s="321" t="str">
        <f t="shared" si="329"/>
        <v>X-COL2A</v>
      </c>
      <c r="AA747" s="321" t="str">
        <f t="shared" si="330"/>
        <v>X-COL2E</v>
      </c>
      <c r="AB747" s="321" t="str">
        <f t="shared" si="331"/>
        <v>X-COL2M</v>
      </c>
      <c r="AC747" s="321" t="str">
        <f t="shared" si="332"/>
        <v>X-COL2T</v>
      </c>
      <c r="AD747" s="321" t="str">
        <f t="shared" si="333"/>
        <v>X-COL2S</v>
      </c>
      <c r="AE747" s="321" t="str">
        <f t="shared" si="334"/>
        <v>X-COL2X</v>
      </c>
      <c r="AF747" s="321" t="str">
        <f t="shared" si="335"/>
        <v>X-COL2E</v>
      </c>
      <c r="AG747" s="321">
        <f t="shared" si="326"/>
        <v>12</v>
      </c>
      <c r="AH747" s="321">
        <f>IF(B747&lt;&gt;"",IF(H747="x",VLOOKUP(I747,'AUX-NIV3'!B:AG,32,FALSE),0),"")</f>
        <v>0</v>
      </c>
      <c r="AI747" s="321" t="str">
        <f t="shared" si="336"/>
        <v>X-COL2</v>
      </c>
      <c r="AJ747" s="320"/>
      <c r="AK747" s="322">
        <f t="shared" si="327"/>
        <v>736</v>
      </c>
      <c r="AL747" s="323">
        <f t="shared" si="337"/>
        <v>747</v>
      </c>
      <c r="AM747" s="322">
        <f t="shared" si="338"/>
        <v>12</v>
      </c>
      <c r="AN747" s="380">
        <f>IF(AND(AH747&gt;0,B747&lt;&gt;""),VLOOKUP(I747,'AUX-NIV3'!$B:$AO,39,FALSE)*O747,0)</f>
        <v>0</v>
      </c>
      <c r="AO747" s="380">
        <f t="shared" si="328"/>
        <v>0.30000000000000004</v>
      </c>
      <c r="AP747" s="380"/>
    </row>
    <row r="748" spans="2:42" ht="14.4" hidden="1" thickTop="1" thickBot="1">
      <c r="B748" s="324" t="s">
        <v>2834</v>
      </c>
      <c r="C748" s="325" t="s">
        <v>2835</v>
      </c>
      <c r="D748" s="326" t="s">
        <v>501</v>
      </c>
      <c r="E748" s="327">
        <f>IF(B748&lt;&gt;"",SUMIF('AUX-NIV1'!I:I,'AUX-NIV2'!B748,'AUX-NIV1'!Q:Q),"")</f>
        <v>0</v>
      </c>
      <c r="F748" s="327">
        <f t="shared" si="318"/>
        <v>218.48085240030903</v>
      </c>
      <c r="G748" s="327">
        <f t="shared" si="319"/>
        <v>0</v>
      </c>
      <c r="H748" s="328" t="str">
        <f t="shared" si="340"/>
        <v>A</v>
      </c>
      <c r="I748" s="325" t="s">
        <v>1745</v>
      </c>
      <c r="J748" s="329" t="str">
        <f>IF(B748&lt;&gt;"",+VLOOKUP(I748,Recursos!C:F,2,FALSE),"")</f>
        <v>AYUDANTE</v>
      </c>
      <c r="K748" s="330" t="str">
        <f>IF(B748&lt;&gt;"",+VLOOKUP(I748,Recursos!C:F,3,FALSE),"")</f>
        <v>hh</v>
      </c>
      <c r="L748" s="446">
        <f>IF(B748&lt;&gt;"",+VLOOKUP(I748,Recursos!C:F,4,FALSE),"")</f>
        <v>422.48042769667234</v>
      </c>
      <c r="M748" s="522"/>
      <c r="N748" s="448">
        <v>4</v>
      </c>
      <c r="O748" s="449">
        <f>+N751/M755*N748</f>
        <v>8.6666666666666663E-3</v>
      </c>
      <c r="P748" s="333">
        <f t="shared" si="315"/>
        <v>3.6614970400378266</v>
      </c>
      <c r="Q748" s="327">
        <f t="shared" si="316"/>
        <v>0</v>
      </c>
      <c r="R748" s="334">
        <f t="shared" si="317"/>
        <v>0</v>
      </c>
      <c r="S748" s="335">
        <f t="shared" si="320"/>
        <v>13.758063038268839</v>
      </c>
      <c r="T748" s="335">
        <f t="shared" si="321"/>
        <v>14.696233005555559</v>
      </c>
      <c r="U748" s="336">
        <f t="shared" si="322"/>
        <v>0</v>
      </c>
      <c r="V748" s="336">
        <f t="shared" si="323"/>
        <v>0</v>
      </c>
      <c r="W748" s="336">
        <f t="shared" si="324"/>
        <v>0</v>
      </c>
      <c r="X748" s="336">
        <f t="shared" si="325"/>
        <v>190.02655635648463</v>
      </c>
      <c r="Y748" s="320"/>
      <c r="Z748" s="321" t="str">
        <f t="shared" si="329"/>
        <v>X-TBS1A</v>
      </c>
      <c r="AA748" s="321" t="str">
        <f t="shared" si="330"/>
        <v>X-TBS1E</v>
      </c>
      <c r="AB748" s="321" t="str">
        <f t="shared" si="331"/>
        <v>X-TBS1M</v>
      </c>
      <c r="AC748" s="321" t="str">
        <f t="shared" si="332"/>
        <v>X-TBS1T</v>
      </c>
      <c r="AD748" s="321" t="str">
        <f t="shared" si="333"/>
        <v>X-TBS1S</v>
      </c>
      <c r="AE748" s="321" t="str">
        <f t="shared" si="334"/>
        <v>X-TBS1X</v>
      </c>
      <c r="AF748" s="321" t="str">
        <f t="shared" si="335"/>
        <v>X-TBS1A</v>
      </c>
      <c r="AG748" s="321">
        <f t="shared" si="326"/>
        <v>11</v>
      </c>
      <c r="AH748" s="321">
        <f>IF(B748&lt;&gt;"",IF(H748="x",VLOOKUP(I748,'AUX-NIV3'!B:AG,32,FALSE),0),"")</f>
        <v>0</v>
      </c>
      <c r="AI748" s="321" t="str">
        <f t="shared" si="336"/>
        <v>X-TBS1</v>
      </c>
      <c r="AJ748" s="320"/>
      <c r="AK748" s="322">
        <f t="shared" si="327"/>
        <v>748</v>
      </c>
      <c r="AL748" s="323">
        <f t="shared" si="337"/>
        <v>758</v>
      </c>
      <c r="AM748" s="322">
        <f t="shared" si="338"/>
        <v>1</v>
      </c>
      <c r="AN748" s="380">
        <f>IF(AND(AH748&gt;0,B748&lt;&gt;""),VLOOKUP(I748,'AUX-NIV3'!$B:$AO,39,FALSE)*O748,0)</f>
        <v>0</v>
      </c>
      <c r="AO748" s="380" t="e">
        <f t="shared" si="328"/>
        <v>#N/A</v>
      </c>
      <c r="AP748" s="380"/>
    </row>
    <row r="749" spans="2:42" ht="14.4" hidden="1" thickTop="1" thickBot="1">
      <c r="B749" s="324" t="s">
        <v>2834</v>
      </c>
      <c r="C749" s="325" t="s">
        <v>2835</v>
      </c>
      <c r="D749" s="326" t="s">
        <v>501</v>
      </c>
      <c r="E749" s="327">
        <f>IF(B749&lt;&gt;"",SUMIF('AUX-NIV1'!I:I,'AUX-NIV2'!B749,'AUX-NIV1'!Q:Q),"")</f>
        <v>0</v>
      </c>
      <c r="F749" s="327">
        <f t="shared" si="318"/>
        <v>218.48085240030903</v>
      </c>
      <c r="G749" s="327">
        <f t="shared" si="319"/>
        <v>0</v>
      </c>
      <c r="H749" s="328" t="str">
        <f t="shared" si="340"/>
        <v>A</v>
      </c>
      <c r="I749" s="325" t="s">
        <v>1745</v>
      </c>
      <c r="J749" s="329" t="str">
        <f>IF(B749&lt;&gt;"",+VLOOKUP(I749,Recursos!C:F,2,FALSE),"")</f>
        <v>AYUDANTE</v>
      </c>
      <c r="K749" s="330" t="str">
        <f>IF(B749&lt;&gt;"",+VLOOKUP(I749,Recursos!C:F,3,FALSE),"")</f>
        <v>hh</v>
      </c>
      <c r="L749" s="446">
        <f>IF(B749&lt;&gt;"",+VLOOKUP(I749,Recursos!C:F,4,FALSE),"")</f>
        <v>422.48042769667234</v>
      </c>
      <c r="M749" s="511"/>
      <c r="N749" s="453">
        <v>2</v>
      </c>
      <c r="O749" s="449">
        <f>+N751/M754*N749</f>
        <v>4.3333333333333331E-3</v>
      </c>
      <c r="P749" s="333">
        <f t="shared" si="315"/>
        <v>1.8307485200189133</v>
      </c>
      <c r="Q749" s="327">
        <f t="shared" si="316"/>
        <v>0</v>
      </c>
      <c r="R749" s="334">
        <f t="shared" si="317"/>
        <v>0</v>
      </c>
      <c r="S749" s="335">
        <f t="shared" si="320"/>
        <v>13.758063038268839</v>
      </c>
      <c r="T749" s="335">
        <f t="shared" si="321"/>
        <v>14.696233005555559</v>
      </c>
      <c r="U749" s="336">
        <f t="shared" si="322"/>
        <v>0</v>
      </c>
      <c r="V749" s="336">
        <f t="shared" si="323"/>
        <v>0</v>
      </c>
      <c r="W749" s="336">
        <f t="shared" si="324"/>
        <v>0</v>
      </c>
      <c r="X749" s="336">
        <f t="shared" si="325"/>
        <v>190.02655635648463</v>
      </c>
      <c r="Y749" s="320"/>
      <c r="Z749" s="321" t="str">
        <f t="shared" si="329"/>
        <v>X-TBS1A</v>
      </c>
      <c r="AA749" s="321" t="str">
        <f t="shared" si="330"/>
        <v>X-TBS1E</v>
      </c>
      <c r="AB749" s="321" t="str">
        <f t="shared" si="331"/>
        <v>X-TBS1M</v>
      </c>
      <c r="AC749" s="321" t="str">
        <f t="shared" si="332"/>
        <v>X-TBS1T</v>
      </c>
      <c r="AD749" s="321" t="str">
        <f t="shared" si="333"/>
        <v>X-TBS1S</v>
      </c>
      <c r="AE749" s="321" t="str">
        <f t="shared" si="334"/>
        <v>X-TBS1X</v>
      </c>
      <c r="AF749" s="321" t="str">
        <f t="shared" si="335"/>
        <v>X-TBS1A</v>
      </c>
      <c r="AG749" s="321">
        <f t="shared" si="326"/>
        <v>11</v>
      </c>
      <c r="AH749" s="321">
        <f>IF(B749&lt;&gt;"",IF(H749="x",VLOOKUP(I749,'AUX-NIV3'!B:AG,32,FALSE),0),"")</f>
        <v>0</v>
      </c>
      <c r="AI749" s="321" t="str">
        <f t="shared" si="336"/>
        <v>X-TBS1</v>
      </c>
      <c r="AJ749" s="320"/>
      <c r="AK749" s="322">
        <f t="shared" si="327"/>
        <v>748</v>
      </c>
      <c r="AL749" s="323">
        <f t="shared" si="337"/>
        <v>758</v>
      </c>
      <c r="AM749" s="322">
        <f t="shared" si="338"/>
        <v>2</v>
      </c>
      <c r="AN749" s="380">
        <f>IF(AND(AH749&gt;0,B749&lt;&gt;""),VLOOKUP(I749,'AUX-NIV3'!$B:$AO,39,FALSE)*O749,0)</f>
        <v>0</v>
      </c>
      <c r="AO749" s="380" t="e">
        <f t="shared" si="328"/>
        <v>#N/A</v>
      </c>
      <c r="AP749" s="380"/>
    </row>
    <row r="750" spans="2:42" ht="14.4" hidden="1" thickTop="1" thickBot="1">
      <c r="B750" s="324" t="s">
        <v>2834</v>
      </c>
      <c r="C750" s="325" t="s">
        <v>2835</v>
      </c>
      <c r="D750" s="326" t="s">
        <v>501</v>
      </c>
      <c r="E750" s="327">
        <f>IF(B750&lt;&gt;"",SUMIF('AUX-NIV1'!I:I,'AUX-NIV2'!B750,'AUX-NIV1'!Q:Q),"")</f>
        <v>0</v>
      </c>
      <c r="F750" s="327">
        <f t="shared" si="318"/>
        <v>218.48085240030903</v>
      </c>
      <c r="G750" s="327">
        <f t="shared" si="319"/>
        <v>0</v>
      </c>
      <c r="H750" s="328" t="str">
        <f t="shared" si="340"/>
        <v>A</v>
      </c>
      <c r="I750" s="325" t="s">
        <v>1746</v>
      </c>
      <c r="J750" s="329" t="str">
        <f>IF(B750&lt;&gt;"",+VLOOKUP(I750,Recursos!C:F,2,FALSE),"")</f>
        <v>OFICIAL</v>
      </c>
      <c r="K750" s="330" t="str">
        <f>IF(B750&lt;&gt;"",+VLOOKUP(I750,Recursos!C:F,3,FALSE),"")</f>
        <v>hh</v>
      </c>
      <c r="L750" s="446">
        <f>IF(B750&lt;&gt;"",+VLOOKUP(I750,Recursos!C:F,4,FALSE),"")</f>
        <v>496.91595439275824</v>
      </c>
      <c r="M750" s="511"/>
      <c r="N750" s="453">
        <f>+N754+N755</f>
        <v>2</v>
      </c>
      <c r="O750" s="449">
        <f>+N750*N751/M755</f>
        <v>4.3333333333333331E-3</v>
      </c>
      <c r="P750" s="333">
        <f t="shared" si="315"/>
        <v>2.1533024690352858</v>
      </c>
      <c r="Q750" s="327">
        <f t="shared" si="316"/>
        <v>0</v>
      </c>
      <c r="R750" s="334">
        <f t="shared" si="317"/>
        <v>0</v>
      </c>
      <c r="S750" s="335">
        <f t="shared" si="320"/>
        <v>13.758063038268839</v>
      </c>
      <c r="T750" s="335">
        <f t="shared" si="321"/>
        <v>14.696233005555559</v>
      </c>
      <c r="U750" s="336">
        <f t="shared" si="322"/>
        <v>0</v>
      </c>
      <c r="V750" s="336">
        <f t="shared" si="323"/>
        <v>0</v>
      </c>
      <c r="W750" s="336">
        <f t="shared" si="324"/>
        <v>0</v>
      </c>
      <c r="X750" s="336">
        <f t="shared" si="325"/>
        <v>190.02655635648463</v>
      </c>
      <c r="Y750" s="320"/>
      <c r="Z750" s="321" t="str">
        <f t="shared" si="329"/>
        <v>X-TBS1A</v>
      </c>
      <c r="AA750" s="321" t="str">
        <f t="shared" si="330"/>
        <v>X-TBS1E</v>
      </c>
      <c r="AB750" s="321" t="str">
        <f t="shared" si="331"/>
        <v>X-TBS1M</v>
      </c>
      <c r="AC750" s="321" t="str">
        <f t="shared" si="332"/>
        <v>X-TBS1T</v>
      </c>
      <c r="AD750" s="321" t="str">
        <f t="shared" si="333"/>
        <v>X-TBS1S</v>
      </c>
      <c r="AE750" s="321" t="str">
        <f t="shared" si="334"/>
        <v>X-TBS1X</v>
      </c>
      <c r="AF750" s="321" t="str">
        <f t="shared" si="335"/>
        <v>X-TBS1A</v>
      </c>
      <c r="AG750" s="321">
        <f t="shared" si="326"/>
        <v>11</v>
      </c>
      <c r="AH750" s="321">
        <f>IF(B750&lt;&gt;"",IF(H750="x",VLOOKUP(I750,'AUX-NIV3'!B:AG,32,FALSE),0),"")</f>
        <v>0</v>
      </c>
      <c r="AI750" s="321" t="str">
        <f t="shared" si="336"/>
        <v>X-TBS1</v>
      </c>
      <c r="AJ750" s="320"/>
      <c r="AK750" s="322">
        <f t="shared" si="327"/>
        <v>748</v>
      </c>
      <c r="AL750" s="323">
        <f t="shared" si="337"/>
        <v>758</v>
      </c>
      <c r="AM750" s="322">
        <f t="shared" si="338"/>
        <v>3</v>
      </c>
      <c r="AN750" s="380">
        <f>IF(AND(AH750&gt;0,B750&lt;&gt;""),VLOOKUP(I750,'AUX-NIV3'!$B:$AO,39,FALSE)*O750,0)</f>
        <v>0</v>
      </c>
      <c r="AO750" s="380" t="e">
        <f t="shared" si="328"/>
        <v>#N/A</v>
      </c>
      <c r="AP750" s="380"/>
    </row>
    <row r="751" spans="2:42" ht="14.4" hidden="1" thickTop="1" thickBot="1">
      <c r="B751" s="324" t="s">
        <v>2834</v>
      </c>
      <c r="C751" s="325" t="s">
        <v>2835</v>
      </c>
      <c r="D751" s="326" t="s">
        <v>501</v>
      </c>
      <c r="E751" s="327">
        <f>IF(B751&lt;&gt;"",SUMIF('AUX-NIV1'!I:I,'AUX-NIV2'!B751,'AUX-NIV1'!Q:Q),"")</f>
        <v>0</v>
      </c>
      <c r="F751" s="327">
        <f t="shared" si="318"/>
        <v>218.48085240030903</v>
      </c>
      <c r="G751" s="327">
        <f t="shared" si="319"/>
        <v>0</v>
      </c>
      <c r="H751" s="328" t="str">
        <f t="shared" si="340"/>
        <v>A</v>
      </c>
      <c r="I751" s="325" t="s">
        <v>3310</v>
      </c>
      <c r="J751" s="329" t="str">
        <f>IF(B751&lt;&gt;"",+VLOOKUP(I751,Recursos!C:F,2,FALSE),"")</f>
        <v>OFICIAL ESPECIALIZADO</v>
      </c>
      <c r="K751" s="330" t="str">
        <f>IF(B751&lt;&gt;"",+VLOOKUP(I751,Recursos!C:F,3,FALSE),"")</f>
        <v>hh</v>
      </c>
      <c r="L751" s="446">
        <f>IF(B751&lt;&gt;"",+VLOOKUP(I751,Recursos!C:F,4,FALSE),"")</f>
        <v>581.06120476836554</v>
      </c>
      <c r="M751" s="454"/>
      <c r="N751" s="453">
        <v>1.3</v>
      </c>
      <c r="O751" s="449">
        <f>+N751/M755</f>
        <v>2.1666666666666666E-3</v>
      </c>
      <c r="P751" s="333">
        <f t="shared" si="315"/>
        <v>1.258965943664792</v>
      </c>
      <c r="Q751" s="327">
        <f t="shared" si="316"/>
        <v>0</v>
      </c>
      <c r="R751" s="334">
        <f t="shared" si="317"/>
        <v>0</v>
      </c>
      <c r="S751" s="335">
        <f t="shared" si="320"/>
        <v>13.758063038268839</v>
      </c>
      <c r="T751" s="335">
        <f t="shared" si="321"/>
        <v>14.696233005555559</v>
      </c>
      <c r="U751" s="336">
        <f t="shared" si="322"/>
        <v>0</v>
      </c>
      <c r="V751" s="336">
        <f t="shared" si="323"/>
        <v>0</v>
      </c>
      <c r="W751" s="336">
        <f t="shared" si="324"/>
        <v>0</v>
      </c>
      <c r="X751" s="336">
        <f t="shared" si="325"/>
        <v>190.02655635648463</v>
      </c>
      <c r="Y751" s="320"/>
      <c r="Z751" s="321" t="str">
        <f t="shared" si="329"/>
        <v>X-TBS1A</v>
      </c>
      <c r="AA751" s="321" t="str">
        <f t="shared" si="330"/>
        <v>X-TBS1E</v>
      </c>
      <c r="AB751" s="321" t="str">
        <f t="shared" si="331"/>
        <v>X-TBS1M</v>
      </c>
      <c r="AC751" s="321" t="str">
        <f t="shared" si="332"/>
        <v>X-TBS1T</v>
      </c>
      <c r="AD751" s="321" t="str">
        <f t="shared" si="333"/>
        <v>X-TBS1S</v>
      </c>
      <c r="AE751" s="321" t="str">
        <f t="shared" si="334"/>
        <v>X-TBS1X</v>
      </c>
      <c r="AF751" s="321" t="str">
        <f t="shared" si="335"/>
        <v>X-TBS1A</v>
      </c>
      <c r="AG751" s="321">
        <f t="shared" si="326"/>
        <v>11</v>
      </c>
      <c r="AH751" s="321">
        <f>IF(B751&lt;&gt;"",IF(H751="x",VLOOKUP(I751,'AUX-NIV3'!B:AG,32,FALSE),0),"")</f>
        <v>0</v>
      </c>
      <c r="AI751" s="321" t="str">
        <f t="shared" si="336"/>
        <v>X-TBS1</v>
      </c>
      <c r="AJ751" s="320"/>
      <c r="AK751" s="322">
        <f t="shared" si="327"/>
        <v>748</v>
      </c>
      <c r="AL751" s="323">
        <f t="shared" si="337"/>
        <v>758</v>
      </c>
      <c r="AM751" s="322">
        <f t="shared" si="338"/>
        <v>4</v>
      </c>
      <c r="AN751" s="380">
        <f>IF(AND(AH751&gt;0,B751&lt;&gt;""),VLOOKUP(I751,'AUX-NIV3'!$B:$AO,39,FALSE)*O751,0)</f>
        <v>0</v>
      </c>
      <c r="AO751" s="380" t="e">
        <f t="shared" si="328"/>
        <v>#N/A</v>
      </c>
      <c r="AP751" s="380"/>
    </row>
    <row r="752" spans="2:42" ht="14.4" hidden="1" thickTop="1" thickBot="1">
      <c r="B752" s="324" t="s">
        <v>2834</v>
      </c>
      <c r="C752" s="325" t="s">
        <v>2835</v>
      </c>
      <c r="D752" s="326" t="s">
        <v>501</v>
      </c>
      <c r="E752" s="327">
        <f>IF(B752&lt;&gt;"",SUMIF('AUX-NIV1'!I:I,'AUX-NIV2'!B752,'AUX-NIV1'!Q:Q),"")</f>
        <v>0</v>
      </c>
      <c r="F752" s="327">
        <f t="shared" si="318"/>
        <v>218.48085240030903</v>
      </c>
      <c r="G752" s="327">
        <f t="shared" si="319"/>
        <v>0</v>
      </c>
      <c r="H752" s="328" t="str">
        <f t="shared" si="340"/>
        <v>A</v>
      </c>
      <c r="I752" s="325" t="s">
        <v>3310</v>
      </c>
      <c r="J752" s="329" t="str">
        <f>IF(B752&lt;&gt;"",+VLOOKUP(I752,Recursos!C:F,2,FALSE),"")</f>
        <v>OFICIAL ESPECIALIZADO</v>
      </c>
      <c r="K752" s="330" t="str">
        <f>IF(B752&lt;&gt;"",+VLOOKUP(I752,Recursos!C:F,3,FALSE),"")</f>
        <v>hh</v>
      </c>
      <c r="L752" s="446">
        <f>IF(B752&lt;&gt;"",+VLOOKUP(I752,Recursos!C:F,4,FALSE),"")</f>
        <v>581.06120476836554</v>
      </c>
      <c r="M752" s="454"/>
      <c r="N752" s="455"/>
      <c r="O752" s="449">
        <f>+(N754+N756+N757)/M754*N751</f>
        <v>6.5000000000000006E-3</v>
      </c>
      <c r="P752" s="333">
        <f t="shared" si="315"/>
        <v>3.7768978309943764</v>
      </c>
      <c r="Q752" s="327">
        <f t="shared" si="316"/>
        <v>0</v>
      </c>
      <c r="R752" s="334">
        <f t="shared" si="317"/>
        <v>0</v>
      </c>
      <c r="S752" s="335">
        <f t="shared" si="320"/>
        <v>13.758063038268839</v>
      </c>
      <c r="T752" s="335">
        <f t="shared" si="321"/>
        <v>14.696233005555559</v>
      </c>
      <c r="U752" s="336">
        <f t="shared" si="322"/>
        <v>0</v>
      </c>
      <c r="V752" s="336">
        <f t="shared" si="323"/>
        <v>0</v>
      </c>
      <c r="W752" s="336">
        <f t="shared" si="324"/>
        <v>0</v>
      </c>
      <c r="X752" s="336">
        <f t="shared" si="325"/>
        <v>190.02655635648463</v>
      </c>
      <c r="Y752" s="320"/>
      <c r="Z752" s="321" t="str">
        <f t="shared" si="329"/>
        <v>X-TBS1A</v>
      </c>
      <c r="AA752" s="321" t="str">
        <f t="shared" si="330"/>
        <v>X-TBS1E</v>
      </c>
      <c r="AB752" s="321" t="str">
        <f t="shared" si="331"/>
        <v>X-TBS1M</v>
      </c>
      <c r="AC752" s="321" t="str">
        <f t="shared" si="332"/>
        <v>X-TBS1T</v>
      </c>
      <c r="AD752" s="321" t="str">
        <f t="shared" si="333"/>
        <v>X-TBS1S</v>
      </c>
      <c r="AE752" s="321" t="str">
        <f t="shared" si="334"/>
        <v>X-TBS1X</v>
      </c>
      <c r="AF752" s="321" t="str">
        <f t="shared" si="335"/>
        <v>X-TBS1A</v>
      </c>
      <c r="AG752" s="321">
        <f t="shared" si="326"/>
        <v>11</v>
      </c>
      <c r="AH752" s="321">
        <f>IF(B752&lt;&gt;"",IF(H752="x",VLOOKUP(I752,'AUX-NIV3'!B:AG,32,FALSE),0),"")</f>
        <v>0</v>
      </c>
      <c r="AI752" s="321" t="str">
        <f t="shared" si="336"/>
        <v>X-TBS1</v>
      </c>
      <c r="AJ752" s="320"/>
      <c r="AK752" s="322">
        <f t="shared" si="327"/>
        <v>748</v>
      </c>
      <c r="AL752" s="323">
        <f t="shared" si="337"/>
        <v>758</v>
      </c>
      <c r="AM752" s="322">
        <f t="shared" si="338"/>
        <v>5</v>
      </c>
      <c r="AN752" s="380">
        <f>IF(AND(AH752&gt;0,B752&lt;&gt;""),VLOOKUP(I752,'AUX-NIV3'!$B:$AO,39,FALSE)*O752,0)</f>
        <v>0</v>
      </c>
      <c r="AO752" s="380" t="e">
        <f t="shared" si="328"/>
        <v>#N/A</v>
      </c>
      <c r="AP752" s="380"/>
    </row>
    <row r="753" spans="2:42" ht="14.4" hidden="1" thickTop="1" thickBot="1">
      <c r="B753" s="324" t="s">
        <v>2834</v>
      </c>
      <c r="C753" s="325" t="s">
        <v>2835</v>
      </c>
      <c r="D753" s="326" t="s">
        <v>501</v>
      </c>
      <c r="E753" s="327">
        <f>IF(B753&lt;&gt;"",SUMIF('AUX-NIV1'!I:I,'AUX-NIV2'!B753,'AUX-NIV1'!Q:Q),"")</f>
        <v>0</v>
      </c>
      <c r="F753" s="327">
        <f t="shared" si="318"/>
        <v>218.48085240030903</v>
      </c>
      <c r="G753" s="327">
        <f t="shared" si="319"/>
        <v>0</v>
      </c>
      <c r="H753" s="328" t="str">
        <f t="shared" si="340"/>
        <v>A</v>
      </c>
      <c r="I753" s="325" t="s">
        <v>1746</v>
      </c>
      <c r="J753" s="329" t="str">
        <f>IF(B753&lt;&gt;"",+VLOOKUP(I753,Recursos!C:F,2,FALSE),"")</f>
        <v>OFICIAL</v>
      </c>
      <c r="K753" s="330" t="str">
        <f>IF(B753&lt;&gt;"",+VLOOKUP(I753,Recursos!C:F,3,FALSE),"")</f>
        <v>hh</v>
      </c>
      <c r="L753" s="446">
        <f>IF(B753&lt;&gt;"",+VLOOKUP(I753,Recursos!C:F,4,FALSE),"")</f>
        <v>496.91595439275824</v>
      </c>
      <c r="M753" s="454"/>
      <c r="N753" s="455"/>
      <c r="O753" s="449">
        <f>+N751/M754</f>
        <v>2.1666666666666666E-3</v>
      </c>
      <c r="P753" s="333">
        <f t="shared" si="315"/>
        <v>1.0766512345176429</v>
      </c>
      <c r="Q753" s="327">
        <f t="shared" si="316"/>
        <v>0</v>
      </c>
      <c r="R753" s="334">
        <f t="shared" si="317"/>
        <v>0</v>
      </c>
      <c r="S753" s="335">
        <f t="shared" si="320"/>
        <v>13.758063038268839</v>
      </c>
      <c r="T753" s="335">
        <f t="shared" si="321"/>
        <v>14.696233005555559</v>
      </c>
      <c r="U753" s="336">
        <f t="shared" si="322"/>
        <v>0</v>
      </c>
      <c r="V753" s="336">
        <f t="shared" si="323"/>
        <v>0</v>
      </c>
      <c r="W753" s="336">
        <f t="shared" si="324"/>
        <v>0</v>
      </c>
      <c r="X753" s="336">
        <f t="shared" si="325"/>
        <v>190.02655635648463</v>
      </c>
      <c r="Y753" s="320"/>
      <c r="Z753" s="321" t="str">
        <f t="shared" si="329"/>
        <v>X-TBS1A</v>
      </c>
      <c r="AA753" s="321" t="str">
        <f t="shared" si="330"/>
        <v>X-TBS1E</v>
      </c>
      <c r="AB753" s="321" t="str">
        <f t="shared" si="331"/>
        <v>X-TBS1M</v>
      </c>
      <c r="AC753" s="321" t="str">
        <f t="shared" si="332"/>
        <v>X-TBS1T</v>
      </c>
      <c r="AD753" s="321" t="str">
        <f t="shared" si="333"/>
        <v>X-TBS1S</v>
      </c>
      <c r="AE753" s="321" t="str">
        <f t="shared" si="334"/>
        <v>X-TBS1X</v>
      </c>
      <c r="AF753" s="321" t="str">
        <f t="shared" si="335"/>
        <v>X-TBS1A</v>
      </c>
      <c r="AG753" s="321">
        <f t="shared" si="326"/>
        <v>11</v>
      </c>
      <c r="AH753" s="321">
        <f>IF(B753&lt;&gt;"",IF(H753="x",VLOOKUP(I753,'AUX-NIV3'!B:AG,32,FALSE),0),"")</f>
        <v>0</v>
      </c>
      <c r="AI753" s="321" t="str">
        <f t="shared" si="336"/>
        <v>X-TBS1</v>
      </c>
      <c r="AJ753" s="320"/>
      <c r="AK753" s="322">
        <f t="shared" si="327"/>
        <v>748</v>
      </c>
      <c r="AL753" s="323">
        <f t="shared" si="337"/>
        <v>758</v>
      </c>
      <c r="AM753" s="322">
        <f t="shared" si="338"/>
        <v>6</v>
      </c>
      <c r="AN753" s="380">
        <f>IF(AND(AH753&gt;0,B753&lt;&gt;""),VLOOKUP(I753,'AUX-NIV3'!$B:$AO,39,FALSE)*O753,0)</f>
        <v>0</v>
      </c>
      <c r="AO753" s="380" t="e">
        <f t="shared" si="328"/>
        <v>#N/A</v>
      </c>
      <c r="AP753" s="380"/>
    </row>
    <row r="754" spans="2:42" ht="14.4" hidden="1" thickTop="1" thickBot="1">
      <c r="B754" s="324" t="s">
        <v>2834</v>
      </c>
      <c r="C754" s="325" t="s">
        <v>2835</v>
      </c>
      <c r="D754" s="326" t="s">
        <v>501</v>
      </c>
      <c r="E754" s="327">
        <f>IF(B754&lt;&gt;"",SUMIF('AUX-NIV1'!I:I,'AUX-NIV2'!B754,'AUX-NIV1'!Q:Q),"")</f>
        <v>0</v>
      </c>
      <c r="F754" s="327">
        <f t="shared" si="318"/>
        <v>218.48085240030903</v>
      </c>
      <c r="G754" s="327">
        <f t="shared" si="319"/>
        <v>0</v>
      </c>
      <c r="H754" s="328" t="str">
        <f t="shared" si="340"/>
        <v>E</v>
      </c>
      <c r="I754" s="325" t="s">
        <v>1684</v>
      </c>
      <c r="J754" s="329" t="str">
        <f>IF(B754&lt;&gt;"",+VLOOKUP(I754,Recursos!C:F,2,FALSE),"")</f>
        <v>COMPACT. 2 ROD.LISOS TANDEM -11 T</v>
      </c>
      <c r="K754" s="330" t="str">
        <f>IF(B754&lt;&gt;"",+VLOOKUP(I754,Recursos!C:F,3,FALSE),"")</f>
        <v>HR</v>
      </c>
      <c r="L754" s="446">
        <f>IF(B754&lt;&gt;"",+VLOOKUP(I754,Recursos!C:F,4,FALSE),"")</f>
        <v>2080.6506600000002</v>
      </c>
      <c r="M754" s="454">
        <f>+M755</f>
        <v>600</v>
      </c>
      <c r="N754" s="455">
        <f>+N755</f>
        <v>1</v>
      </c>
      <c r="O754" s="449">
        <f>+N754/M754</f>
        <v>1.6666666666666668E-3</v>
      </c>
      <c r="P754" s="333">
        <f t="shared" si="315"/>
        <v>3.4677511000000005</v>
      </c>
      <c r="Q754" s="327">
        <f t="shared" si="316"/>
        <v>0</v>
      </c>
      <c r="R754" s="334">
        <f t="shared" si="317"/>
        <v>0</v>
      </c>
      <c r="S754" s="335">
        <f t="shared" si="320"/>
        <v>13.758063038268839</v>
      </c>
      <c r="T754" s="335">
        <f t="shared" si="321"/>
        <v>14.696233005555559</v>
      </c>
      <c r="U754" s="336">
        <f t="shared" si="322"/>
        <v>0</v>
      </c>
      <c r="V754" s="336">
        <f t="shared" si="323"/>
        <v>0</v>
      </c>
      <c r="W754" s="336">
        <f t="shared" si="324"/>
        <v>0</v>
      </c>
      <c r="X754" s="336">
        <f t="shared" si="325"/>
        <v>190.02655635648463</v>
      </c>
      <c r="Y754" s="320"/>
      <c r="Z754" s="321" t="str">
        <f t="shared" si="329"/>
        <v>X-TBS1A</v>
      </c>
      <c r="AA754" s="321" t="str">
        <f t="shared" si="330"/>
        <v>X-TBS1E</v>
      </c>
      <c r="AB754" s="321" t="str">
        <f t="shared" si="331"/>
        <v>X-TBS1M</v>
      </c>
      <c r="AC754" s="321" t="str">
        <f t="shared" si="332"/>
        <v>X-TBS1T</v>
      </c>
      <c r="AD754" s="321" t="str">
        <f t="shared" si="333"/>
        <v>X-TBS1S</v>
      </c>
      <c r="AE754" s="321" t="str">
        <f t="shared" si="334"/>
        <v>X-TBS1X</v>
      </c>
      <c r="AF754" s="321" t="str">
        <f t="shared" si="335"/>
        <v>X-TBS1E</v>
      </c>
      <c r="AG754" s="321">
        <f t="shared" si="326"/>
        <v>11</v>
      </c>
      <c r="AH754" s="321">
        <f>IF(B754&lt;&gt;"",IF(H754="x",VLOOKUP(I754,'AUX-NIV3'!B:AG,32,FALSE),0),"")</f>
        <v>0</v>
      </c>
      <c r="AI754" s="321" t="str">
        <f t="shared" si="336"/>
        <v>X-TBS1</v>
      </c>
      <c r="AJ754" s="320"/>
      <c r="AK754" s="322">
        <f t="shared" si="327"/>
        <v>748</v>
      </c>
      <c r="AL754" s="323">
        <f t="shared" si="337"/>
        <v>758</v>
      </c>
      <c r="AM754" s="322">
        <f t="shared" si="338"/>
        <v>7</v>
      </c>
      <c r="AN754" s="380">
        <f>IF(AND(AH754&gt;0,B754&lt;&gt;""),VLOOKUP(I754,'AUX-NIV3'!$B:$AO,39,FALSE)*O754,0)</f>
        <v>0</v>
      </c>
      <c r="AO754" s="380" t="e">
        <f t="shared" si="328"/>
        <v>#N/A</v>
      </c>
      <c r="AP754" s="380"/>
    </row>
    <row r="755" spans="2:42" ht="14.4" hidden="1" thickTop="1" thickBot="1">
      <c r="B755" s="324" t="s">
        <v>2834</v>
      </c>
      <c r="C755" s="325" t="s">
        <v>2835</v>
      </c>
      <c r="D755" s="326" t="s">
        <v>501</v>
      </c>
      <c r="E755" s="327">
        <f>IF(B755&lt;&gt;"",SUMIF('AUX-NIV1'!I:I,'AUX-NIV2'!B755,'AUX-NIV1'!Q:Q),"")</f>
        <v>0</v>
      </c>
      <c r="F755" s="327">
        <f t="shared" si="318"/>
        <v>218.48085240030903</v>
      </c>
      <c r="G755" s="327">
        <f t="shared" si="319"/>
        <v>0</v>
      </c>
      <c r="H755" s="328" t="str">
        <f t="shared" si="340"/>
        <v>E</v>
      </c>
      <c r="I755" s="325" t="s">
        <v>1569</v>
      </c>
      <c r="J755" s="329" t="str">
        <f>IF(B755&lt;&gt;"",+VLOOKUP(I755,Recursos!C:F,2,FALSE),"")</f>
        <v>COMPACTADOR NEUMAT.AUTOPROP.(22 T)</v>
      </c>
      <c r="K755" s="330" t="str">
        <f>IF(B755&lt;&gt;"",+VLOOKUP(I755,Recursos!C:F,3,FALSE),"")</f>
        <v>HR</v>
      </c>
      <c r="L755" s="446">
        <f>IF(B755&lt;&gt;"",+VLOOKUP(I755,Recursos!C:F,4,FALSE),"")</f>
        <v>1797.6897833333335</v>
      </c>
      <c r="M755" s="452">
        <v>600</v>
      </c>
      <c r="N755" s="453">
        <v>1</v>
      </c>
      <c r="O755" s="449">
        <f>+N755/M755</f>
        <v>1.6666666666666668E-3</v>
      </c>
      <c r="P755" s="333">
        <f t="shared" si="315"/>
        <v>2.9961496388888893</v>
      </c>
      <c r="Q755" s="327">
        <f t="shared" si="316"/>
        <v>0</v>
      </c>
      <c r="R755" s="334">
        <f t="shared" si="317"/>
        <v>0</v>
      </c>
      <c r="S755" s="335">
        <f t="shared" si="320"/>
        <v>13.758063038268839</v>
      </c>
      <c r="T755" s="335">
        <f t="shared" si="321"/>
        <v>14.696233005555559</v>
      </c>
      <c r="U755" s="336">
        <f t="shared" si="322"/>
        <v>0</v>
      </c>
      <c r="V755" s="336">
        <f t="shared" si="323"/>
        <v>0</v>
      </c>
      <c r="W755" s="336">
        <f t="shared" si="324"/>
        <v>0</v>
      </c>
      <c r="X755" s="336">
        <f t="shared" si="325"/>
        <v>190.02655635648463</v>
      </c>
      <c r="Y755" s="320"/>
      <c r="Z755" s="321" t="str">
        <f t="shared" si="329"/>
        <v>X-TBS1A</v>
      </c>
      <c r="AA755" s="321" t="str">
        <f t="shared" si="330"/>
        <v>X-TBS1E</v>
      </c>
      <c r="AB755" s="321" t="str">
        <f t="shared" si="331"/>
        <v>X-TBS1M</v>
      </c>
      <c r="AC755" s="321" t="str">
        <f t="shared" si="332"/>
        <v>X-TBS1T</v>
      </c>
      <c r="AD755" s="321" t="str">
        <f t="shared" si="333"/>
        <v>X-TBS1S</v>
      </c>
      <c r="AE755" s="321" t="str">
        <f t="shared" si="334"/>
        <v>X-TBS1X</v>
      </c>
      <c r="AF755" s="321" t="str">
        <f t="shared" si="335"/>
        <v>X-TBS1E</v>
      </c>
      <c r="AG755" s="321">
        <f t="shared" si="326"/>
        <v>11</v>
      </c>
      <c r="AH755" s="321">
        <f>IF(B755&lt;&gt;"",IF(H755="x",VLOOKUP(I755,'AUX-NIV3'!B:AG,32,FALSE),0),"")</f>
        <v>0</v>
      </c>
      <c r="AI755" s="321" t="str">
        <f t="shared" si="336"/>
        <v>X-TBS1</v>
      </c>
      <c r="AJ755" s="320"/>
      <c r="AK755" s="322">
        <f t="shared" si="327"/>
        <v>748</v>
      </c>
      <c r="AL755" s="323">
        <f t="shared" si="337"/>
        <v>758</v>
      </c>
      <c r="AM755" s="322">
        <f t="shared" si="338"/>
        <v>8</v>
      </c>
      <c r="AN755" s="380">
        <f>IF(AND(AH755&gt;0,B755&lt;&gt;""),VLOOKUP(I755,'AUX-NIV3'!$B:$AO,39,FALSE)*O755,0)</f>
        <v>0</v>
      </c>
      <c r="AO755" s="380" t="e">
        <f t="shared" si="328"/>
        <v>#N/A</v>
      </c>
      <c r="AP755" s="380"/>
    </row>
    <row r="756" spans="2:42" ht="14.4" hidden="1" thickTop="1" thickBot="1">
      <c r="B756" s="324" t="s">
        <v>2834</v>
      </c>
      <c r="C756" s="325" t="s">
        <v>2835</v>
      </c>
      <c r="D756" s="326" t="s">
        <v>501</v>
      </c>
      <c r="E756" s="327">
        <f>IF(B756&lt;&gt;"",SUMIF('AUX-NIV1'!I:I,'AUX-NIV2'!B756,'AUX-NIV1'!Q:Q),"")</f>
        <v>0</v>
      </c>
      <c r="F756" s="327">
        <f t="shared" si="318"/>
        <v>218.48085240030903</v>
      </c>
      <c r="G756" s="327">
        <f t="shared" si="319"/>
        <v>0</v>
      </c>
      <c r="H756" s="328" t="str">
        <f t="shared" si="340"/>
        <v>E</v>
      </c>
      <c r="I756" s="325" t="s">
        <v>1710</v>
      </c>
      <c r="J756" s="329" t="str">
        <f>IF(B756&lt;&gt;"",+VLOOKUP(I756,Recursos!C:F,2,FALSE),"")</f>
        <v>DISTRIBUIDORA DE GRAVILLA D.T.S.B.</v>
      </c>
      <c r="K756" s="330" t="str">
        <f>IF(B756&lt;&gt;"",+VLOOKUP(I756,Recursos!C:F,3,FALSE),"")</f>
        <v>HR</v>
      </c>
      <c r="L756" s="446">
        <f>IF(B756&lt;&gt;"",+VLOOKUP(I756,Recursos!C:F,4,FALSE),"")</f>
        <v>2167.6518599999999</v>
      </c>
      <c r="M756" s="454">
        <f>+M755</f>
        <v>600</v>
      </c>
      <c r="N756" s="455">
        <f>+N755</f>
        <v>1</v>
      </c>
      <c r="O756" s="449">
        <f>+N756/M756</f>
        <v>1.6666666666666668E-3</v>
      </c>
      <c r="P756" s="333">
        <f t="shared" si="315"/>
        <v>3.6127530999999999</v>
      </c>
      <c r="Q756" s="327">
        <f t="shared" si="316"/>
        <v>0</v>
      </c>
      <c r="R756" s="334">
        <f t="shared" si="317"/>
        <v>0</v>
      </c>
      <c r="S756" s="335">
        <f t="shared" si="320"/>
        <v>13.758063038268839</v>
      </c>
      <c r="T756" s="335">
        <f t="shared" si="321"/>
        <v>14.696233005555559</v>
      </c>
      <c r="U756" s="336">
        <f t="shared" si="322"/>
        <v>0</v>
      </c>
      <c r="V756" s="336">
        <f t="shared" si="323"/>
        <v>0</v>
      </c>
      <c r="W756" s="336">
        <f t="shared" si="324"/>
        <v>0</v>
      </c>
      <c r="X756" s="336">
        <f t="shared" si="325"/>
        <v>190.02655635648463</v>
      </c>
      <c r="Y756" s="320"/>
      <c r="Z756" s="321" t="str">
        <f t="shared" si="329"/>
        <v>X-TBS1A</v>
      </c>
      <c r="AA756" s="321" t="str">
        <f t="shared" si="330"/>
        <v>X-TBS1E</v>
      </c>
      <c r="AB756" s="321" t="str">
        <f t="shared" si="331"/>
        <v>X-TBS1M</v>
      </c>
      <c r="AC756" s="321" t="str">
        <f t="shared" si="332"/>
        <v>X-TBS1T</v>
      </c>
      <c r="AD756" s="321" t="str">
        <f t="shared" si="333"/>
        <v>X-TBS1S</v>
      </c>
      <c r="AE756" s="321" t="str">
        <f t="shared" si="334"/>
        <v>X-TBS1X</v>
      </c>
      <c r="AF756" s="321" t="str">
        <f t="shared" si="335"/>
        <v>X-TBS1E</v>
      </c>
      <c r="AG756" s="321">
        <f t="shared" si="326"/>
        <v>11</v>
      </c>
      <c r="AH756" s="321">
        <f>IF(B756&lt;&gt;"",IF(H756="x",VLOOKUP(I756,'AUX-NIV3'!B:AG,32,FALSE),0),"")</f>
        <v>0</v>
      </c>
      <c r="AI756" s="321" t="str">
        <f t="shared" si="336"/>
        <v>X-TBS1</v>
      </c>
      <c r="AJ756" s="320"/>
      <c r="AK756" s="322">
        <f t="shared" si="327"/>
        <v>748</v>
      </c>
      <c r="AL756" s="323">
        <f t="shared" si="337"/>
        <v>758</v>
      </c>
      <c r="AM756" s="322">
        <f t="shared" si="338"/>
        <v>9</v>
      </c>
      <c r="AN756" s="380">
        <f>IF(AND(AH756&gt;0,B756&lt;&gt;""),VLOOKUP(I756,'AUX-NIV3'!$B:$AO,39,FALSE)*O756,0)</f>
        <v>0</v>
      </c>
      <c r="AO756" s="380" t="e">
        <f t="shared" si="328"/>
        <v>#N/A</v>
      </c>
      <c r="AP756" s="380"/>
    </row>
    <row r="757" spans="2:42" ht="14.4" hidden="1" thickTop="1" thickBot="1">
      <c r="B757" s="324" t="s">
        <v>2834</v>
      </c>
      <c r="C757" s="325" t="s">
        <v>2835</v>
      </c>
      <c r="D757" s="326" t="s">
        <v>501</v>
      </c>
      <c r="E757" s="327">
        <f>IF(B757&lt;&gt;"",SUMIF('AUX-NIV1'!I:I,'AUX-NIV2'!B757,'AUX-NIV1'!Q:Q),"")</f>
        <v>0</v>
      </c>
      <c r="F757" s="327">
        <f t="shared" si="318"/>
        <v>218.48085240030903</v>
      </c>
      <c r="G757" s="327">
        <f t="shared" si="319"/>
        <v>0</v>
      </c>
      <c r="H757" s="328" t="str">
        <f t="shared" si="340"/>
        <v>E</v>
      </c>
      <c r="I757" s="325" t="s">
        <v>1730</v>
      </c>
      <c r="J757" s="329" t="str">
        <f>IF(B757&lt;&gt;"",+VLOOKUP(I757,Recursos!C:F,2,FALSE),"")</f>
        <v>CAMION DISTRIBUIDOR ASFALTO 5/6 m3</v>
      </c>
      <c r="K757" s="330" t="str">
        <f>IF(B757&lt;&gt;"",+VLOOKUP(I757,Recursos!C:F,3,FALSE),"")</f>
        <v>HR</v>
      </c>
      <c r="L757" s="446">
        <f>IF(B757&lt;&gt;"",+VLOOKUP(I757,Recursos!C:F,4,FALSE),"")</f>
        <v>2771.7474999999999</v>
      </c>
      <c r="M757" s="454">
        <f>+M756</f>
        <v>600</v>
      </c>
      <c r="N757" s="455">
        <f>+N756</f>
        <v>1</v>
      </c>
      <c r="O757" s="449">
        <f>+N757/M757</f>
        <v>1.6666666666666668E-3</v>
      </c>
      <c r="P757" s="333">
        <f t="shared" si="315"/>
        <v>4.619579166666667</v>
      </c>
      <c r="Q757" s="327">
        <f t="shared" si="316"/>
        <v>0</v>
      </c>
      <c r="R757" s="334">
        <f t="shared" si="317"/>
        <v>0</v>
      </c>
      <c r="S757" s="335">
        <f t="shared" si="320"/>
        <v>13.758063038268839</v>
      </c>
      <c r="T757" s="335">
        <f t="shared" si="321"/>
        <v>14.696233005555559</v>
      </c>
      <c r="U757" s="336">
        <f t="shared" si="322"/>
        <v>0</v>
      </c>
      <c r="V757" s="336">
        <f t="shared" si="323"/>
        <v>0</v>
      </c>
      <c r="W757" s="336">
        <f t="shared" si="324"/>
        <v>0</v>
      </c>
      <c r="X757" s="336">
        <f t="shared" si="325"/>
        <v>190.02655635648463</v>
      </c>
      <c r="Y757" s="320"/>
      <c r="Z757" s="321" t="str">
        <f t="shared" si="329"/>
        <v>X-TBS1A</v>
      </c>
      <c r="AA757" s="321" t="str">
        <f t="shared" si="330"/>
        <v>X-TBS1E</v>
      </c>
      <c r="AB757" s="321" t="str">
        <f t="shared" si="331"/>
        <v>X-TBS1M</v>
      </c>
      <c r="AC757" s="321" t="str">
        <f t="shared" si="332"/>
        <v>X-TBS1T</v>
      </c>
      <c r="AD757" s="321" t="str">
        <f t="shared" si="333"/>
        <v>X-TBS1S</v>
      </c>
      <c r="AE757" s="321" t="str">
        <f t="shared" si="334"/>
        <v>X-TBS1X</v>
      </c>
      <c r="AF757" s="321" t="str">
        <f t="shared" si="335"/>
        <v>X-TBS1E</v>
      </c>
      <c r="AG757" s="321">
        <f t="shared" si="326"/>
        <v>11</v>
      </c>
      <c r="AH757" s="321">
        <f>IF(B757&lt;&gt;"",IF(H757="x",VLOOKUP(I757,'AUX-NIV3'!B:AG,32,FALSE),0),"")</f>
        <v>0</v>
      </c>
      <c r="AI757" s="321" t="str">
        <f t="shared" si="336"/>
        <v>X-TBS1</v>
      </c>
      <c r="AJ757" s="320"/>
      <c r="AK757" s="322">
        <f t="shared" si="327"/>
        <v>748</v>
      </c>
      <c r="AL757" s="323">
        <f t="shared" si="337"/>
        <v>758</v>
      </c>
      <c r="AM757" s="322">
        <f t="shared" si="338"/>
        <v>10</v>
      </c>
      <c r="AN757" s="380">
        <f>IF(AND(AH757&gt;0,B757&lt;&gt;""),VLOOKUP(I757,'AUX-NIV3'!$B:$AO,39,FALSE)*O757,0)</f>
        <v>0</v>
      </c>
      <c r="AO757" s="380" t="e">
        <f t="shared" si="328"/>
        <v>#N/A</v>
      </c>
      <c r="AP757" s="380"/>
    </row>
    <row r="758" spans="2:42" ht="14.4" hidden="1" thickTop="1" thickBot="1">
      <c r="B758" s="324" t="s">
        <v>2834</v>
      </c>
      <c r="C758" s="325" t="s">
        <v>2835</v>
      </c>
      <c r="D758" s="326" t="s">
        <v>501</v>
      </c>
      <c r="E758" s="327">
        <f>IF(B758&lt;&gt;"",SUMIF('AUX-NIV1'!I:I,'AUX-NIV2'!B758,'AUX-NIV1'!Q:Q),"")</f>
        <v>0</v>
      </c>
      <c r="F758" s="327">
        <f t="shared" si="318"/>
        <v>218.48085240030903</v>
      </c>
      <c r="G758" s="327">
        <f t="shared" si="319"/>
        <v>0</v>
      </c>
      <c r="H758" s="328" t="str">
        <f t="shared" si="340"/>
        <v>X</v>
      </c>
      <c r="I758" s="324" t="s">
        <v>2843</v>
      </c>
      <c r="J758" s="329" t="str">
        <f>IF(B758&lt;&gt;"",+VLOOKUP(I758,Recursos!C:F,2,FALSE),"")</f>
        <v>Material Hormigón H32</v>
      </c>
      <c r="K758" s="330" t="str">
        <f>IF(B758&lt;&gt;"",+VLOOKUP(I758,Recursos!C:F,3,FALSE),"")</f>
        <v>m3</v>
      </c>
      <c r="L758" s="446">
        <f>IF(B758&lt;&gt;"",+VLOOKUP(I758,Recursos!C:F,4,FALSE),"")</f>
        <v>3958.8865907600962</v>
      </c>
      <c r="M758" s="450">
        <v>2.4</v>
      </c>
      <c r="N758" s="451">
        <v>0.02</v>
      </c>
      <c r="O758" s="449">
        <f>+N758*M758</f>
        <v>4.8000000000000001E-2</v>
      </c>
      <c r="P758" s="333">
        <f t="shared" si="315"/>
        <v>190.02655635648463</v>
      </c>
      <c r="Q758" s="327">
        <f t="shared" si="316"/>
        <v>0</v>
      </c>
      <c r="R758" s="334">
        <f t="shared" si="317"/>
        <v>0</v>
      </c>
      <c r="S758" s="335">
        <f t="shared" si="320"/>
        <v>13.758063038268839</v>
      </c>
      <c r="T758" s="335">
        <f t="shared" si="321"/>
        <v>14.696233005555559</v>
      </c>
      <c r="U758" s="336">
        <f t="shared" si="322"/>
        <v>0</v>
      </c>
      <c r="V758" s="336">
        <f t="shared" si="323"/>
        <v>0</v>
      </c>
      <c r="W758" s="336">
        <f t="shared" si="324"/>
        <v>0</v>
      </c>
      <c r="X758" s="336">
        <f t="shared" si="325"/>
        <v>190.02655635648463</v>
      </c>
      <c r="Y758" s="320"/>
      <c r="Z758" s="321" t="str">
        <f t="shared" si="329"/>
        <v>X-TBS1A</v>
      </c>
      <c r="AA758" s="321" t="str">
        <f t="shared" si="330"/>
        <v>X-TBS1E</v>
      </c>
      <c r="AB758" s="321" t="str">
        <f t="shared" si="331"/>
        <v>X-TBS1M</v>
      </c>
      <c r="AC758" s="321" t="str">
        <f t="shared" si="332"/>
        <v>X-TBS1T</v>
      </c>
      <c r="AD758" s="321" t="str">
        <f t="shared" si="333"/>
        <v>X-TBS1S</v>
      </c>
      <c r="AE758" s="321" t="str">
        <f t="shared" si="334"/>
        <v>X-TBS1X</v>
      </c>
      <c r="AF758" s="321" t="str">
        <f t="shared" si="335"/>
        <v>X-TBS1X</v>
      </c>
      <c r="AG758" s="321">
        <f t="shared" si="326"/>
        <v>11</v>
      </c>
      <c r="AH758" s="321" t="e">
        <f>IF(B758&lt;&gt;"",IF(H758="x",VLOOKUP(I758,'AUX-NIV3'!B:AG,32,FALSE),0),"")</f>
        <v>#N/A</v>
      </c>
      <c r="AI758" s="321" t="str">
        <f t="shared" si="336"/>
        <v>X-TBS1</v>
      </c>
      <c r="AJ758" s="320"/>
      <c r="AK758" s="322">
        <f t="shared" si="327"/>
        <v>748</v>
      </c>
      <c r="AL758" s="323">
        <f t="shared" si="337"/>
        <v>758</v>
      </c>
      <c r="AM758" s="322">
        <f t="shared" si="338"/>
        <v>11</v>
      </c>
      <c r="AN758" s="380" t="e">
        <f>IF(AND(AH758&gt;0,B758&lt;&gt;""),VLOOKUP(I758,'AUX-NIV3'!$B:$AO,39,FALSE)*O758,0)</f>
        <v>#N/A</v>
      </c>
      <c r="AO758" s="380" t="e">
        <f t="shared" si="328"/>
        <v>#N/A</v>
      </c>
      <c r="AP758" s="380"/>
    </row>
    <row r="759" spans="2:42" ht="14.4" hidden="1" thickTop="1" thickBot="1">
      <c r="B759" s="324" t="s">
        <v>2836</v>
      </c>
      <c r="C759" s="325" t="s">
        <v>2837</v>
      </c>
      <c r="D759" s="326" t="s">
        <v>501</v>
      </c>
      <c r="E759" s="327">
        <f>IF(B759&lt;&gt;"",SUMIF('AUX-NIV1'!I:I,'AUX-NIV2'!B759,'AUX-NIV1'!Q:Q),"")</f>
        <v>0</v>
      </c>
      <c r="F759" s="327">
        <f t="shared" si="318"/>
        <v>265.98749148943017</v>
      </c>
      <c r="G759" s="327">
        <f t="shared" si="319"/>
        <v>0</v>
      </c>
      <c r="H759" s="328" t="str">
        <f t="shared" si="340"/>
        <v>A</v>
      </c>
      <c r="I759" s="325" t="s">
        <v>1745</v>
      </c>
      <c r="J759" s="329" t="str">
        <f>IF(B759&lt;&gt;"",+VLOOKUP(I759,Recursos!C:F,2,FALSE),"")</f>
        <v>AYUDANTE</v>
      </c>
      <c r="K759" s="330" t="str">
        <f>IF(B759&lt;&gt;"",+VLOOKUP(I759,Recursos!C:F,3,FALSE),"")</f>
        <v>hh</v>
      </c>
      <c r="L759" s="327">
        <f>IF(B759&lt;&gt;"",+VLOOKUP(I759,Recursos!C:F,4,FALSE),"")</f>
        <v>422.48042769667234</v>
      </c>
      <c r="M759" s="522"/>
      <c r="N759" s="448">
        <v>4</v>
      </c>
      <c r="O759" s="449">
        <f>+N762/M766*N759</f>
        <v>8.6666666666666663E-3</v>
      </c>
      <c r="P759" s="333">
        <f t="shared" si="315"/>
        <v>3.6614970400378266</v>
      </c>
      <c r="Q759" s="327">
        <f t="shared" si="316"/>
        <v>0</v>
      </c>
      <c r="R759" s="334">
        <f t="shared" si="317"/>
        <v>0</v>
      </c>
      <c r="S759" s="335">
        <f t="shared" si="320"/>
        <v>13.758063038268839</v>
      </c>
      <c r="T759" s="335">
        <f t="shared" si="321"/>
        <v>14.696233005555559</v>
      </c>
      <c r="U759" s="336">
        <f t="shared" si="322"/>
        <v>0</v>
      </c>
      <c r="V759" s="336">
        <f t="shared" si="323"/>
        <v>0</v>
      </c>
      <c r="W759" s="336">
        <f t="shared" si="324"/>
        <v>0</v>
      </c>
      <c r="X759" s="336">
        <f t="shared" si="325"/>
        <v>237.53319544560577</v>
      </c>
      <c r="Y759" s="320"/>
      <c r="Z759" s="321" t="str">
        <f t="shared" si="329"/>
        <v>X-TBSA</v>
      </c>
      <c r="AA759" s="321" t="str">
        <f t="shared" si="330"/>
        <v>X-TBSE</v>
      </c>
      <c r="AB759" s="321" t="str">
        <f t="shared" si="331"/>
        <v>X-TBSM</v>
      </c>
      <c r="AC759" s="321" t="str">
        <f t="shared" si="332"/>
        <v>X-TBST</v>
      </c>
      <c r="AD759" s="321" t="str">
        <f t="shared" si="333"/>
        <v>X-TBSS</v>
      </c>
      <c r="AE759" s="321" t="str">
        <f t="shared" si="334"/>
        <v>X-TBSX</v>
      </c>
      <c r="AF759" s="321" t="str">
        <f t="shared" si="335"/>
        <v>X-TBSA</v>
      </c>
      <c r="AG759" s="321">
        <f t="shared" si="326"/>
        <v>11</v>
      </c>
      <c r="AH759" s="321">
        <f>IF(B759&lt;&gt;"",IF(H759="x",VLOOKUP(I759,'AUX-NIV3'!B:AG,32,FALSE),0),"")</f>
        <v>0</v>
      </c>
      <c r="AI759" s="321" t="str">
        <f t="shared" si="336"/>
        <v>X-TBS</v>
      </c>
      <c r="AJ759" s="320"/>
      <c r="AK759" s="322">
        <f t="shared" si="327"/>
        <v>759</v>
      </c>
      <c r="AL759" s="323">
        <f t="shared" si="337"/>
        <v>769</v>
      </c>
      <c r="AM759" s="322">
        <f t="shared" si="338"/>
        <v>1</v>
      </c>
      <c r="AN759" s="380">
        <f>IF(AND(AH759&gt;0,B759&lt;&gt;""),VLOOKUP(I759,'AUX-NIV3'!$B:$AO,39,FALSE)*O759,0)</f>
        <v>0</v>
      </c>
      <c r="AO759" s="380" t="e">
        <f t="shared" si="328"/>
        <v>#N/A</v>
      </c>
      <c r="AP759" s="380"/>
    </row>
    <row r="760" spans="2:42" ht="14.4" hidden="1" thickTop="1" thickBot="1">
      <c r="B760" s="324" t="s">
        <v>2836</v>
      </c>
      <c r="C760" s="325" t="s">
        <v>2837</v>
      </c>
      <c r="D760" s="326" t="s">
        <v>501</v>
      </c>
      <c r="E760" s="327">
        <f>IF(B760&lt;&gt;"",SUMIF('AUX-NIV1'!I:I,'AUX-NIV2'!B760,'AUX-NIV1'!Q:Q),"")</f>
        <v>0</v>
      </c>
      <c r="F760" s="327">
        <f t="shared" si="318"/>
        <v>265.98749148943017</v>
      </c>
      <c r="G760" s="327">
        <f t="shared" si="319"/>
        <v>0</v>
      </c>
      <c r="H760" s="328" t="str">
        <f t="shared" si="340"/>
        <v>A</v>
      </c>
      <c r="I760" s="325" t="s">
        <v>1745</v>
      </c>
      <c r="J760" s="329" t="str">
        <f>IF(B760&lt;&gt;"",+VLOOKUP(I760,Recursos!C:F,2,FALSE),"")</f>
        <v>AYUDANTE</v>
      </c>
      <c r="K760" s="330" t="str">
        <f>IF(B760&lt;&gt;"",+VLOOKUP(I760,Recursos!C:F,3,FALSE),"")</f>
        <v>hh</v>
      </c>
      <c r="L760" s="327">
        <f>IF(B760&lt;&gt;"",+VLOOKUP(I760,Recursos!C:F,4,FALSE),"")</f>
        <v>422.48042769667234</v>
      </c>
      <c r="M760" s="511"/>
      <c r="N760" s="453">
        <v>2</v>
      </c>
      <c r="O760" s="449">
        <f>+N762/M765*N760</f>
        <v>4.3333333333333331E-3</v>
      </c>
      <c r="P760" s="333">
        <f t="shared" si="315"/>
        <v>1.8307485200189133</v>
      </c>
      <c r="Q760" s="327">
        <f t="shared" si="316"/>
        <v>0</v>
      </c>
      <c r="R760" s="334">
        <f t="shared" si="317"/>
        <v>0</v>
      </c>
      <c r="S760" s="335">
        <f t="shared" si="320"/>
        <v>13.758063038268839</v>
      </c>
      <c r="T760" s="335">
        <f t="shared" si="321"/>
        <v>14.696233005555559</v>
      </c>
      <c r="U760" s="336">
        <f t="shared" si="322"/>
        <v>0</v>
      </c>
      <c r="V760" s="336">
        <f t="shared" si="323"/>
        <v>0</v>
      </c>
      <c r="W760" s="336">
        <f t="shared" si="324"/>
        <v>0</v>
      </c>
      <c r="X760" s="336">
        <f t="shared" si="325"/>
        <v>237.53319544560577</v>
      </c>
      <c r="Y760" s="320"/>
      <c r="Z760" s="321" t="str">
        <f t="shared" si="329"/>
        <v>X-TBSA</v>
      </c>
      <c r="AA760" s="321" t="str">
        <f t="shared" si="330"/>
        <v>X-TBSE</v>
      </c>
      <c r="AB760" s="321" t="str">
        <f t="shared" si="331"/>
        <v>X-TBSM</v>
      </c>
      <c r="AC760" s="321" t="str">
        <f t="shared" si="332"/>
        <v>X-TBST</v>
      </c>
      <c r="AD760" s="321" t="str">
        <f t="shared" si="333"/>
        <v>X-TBSS</v>
      </c>
      <c r="AE760" s="321" t="str">
        <f t="shared" si="334"/>
        <v>X-TBSX</v>
      </c>
      <c r="AF760" s="321" t="str">
        <f t="shared" si="335"/>
        <v>X-TBSA</v>
      </c>
      <c r="AG760" s="321">
        <f t="shared" si="326"/>
        <v>11</v>
      </c>
      <c r="AH760" s="321">
        <f>IF(B760&lt;&gt;"",IF(H760="x",VLOOKUP(I760,'AUX-NIV3'!B:AG,32,FALSE),0),"")</f>
        <v>0</v>
      </c>
      <c r="AI760" s="321" t="str">
        <f t="shared" si="336"/>
        <v>X-TBS</v>
      </c>
      <c r="AJ760" s="320"/>
      <c r="AK760" s="322">
        <f t="shared" si="327"/>
        <v>759</v>
      </c>
      <c r="AL760" s="323">
        <f t="shared" si="337"/>
        <v>769</v>
      </c>
      <c r="AM760" s="322">
        <f t="shared" si="338"/>
        <v>2</v>
      </c>
      <c r="AN760" s="380">
        <f>IF(AND(AH760&gt;0,B760&lt;&gt;""),VLOOKUP(I760,'AUX-NIV3'!$B:$AO,39,FALSE)*O760,0)</f>
        <v>0</v>
      </c>
      <c r="AO760" s="380" t="e">
        <f t="shared" si="328"/>
        <v>#N/A</v>
      </c>
      <c r="AP760" s="380"/>
    </row>
    <row r="761" spans="2:42" ht="14.4" hidden="1" thickTop="1" thickBot="1">
      <c r="B761" s="324" t="s">
        <v>2836</v>
      </c>
      <c r="C761" s="325" t="s">
        <v>2837</v>
      </c>
      <c r="D761" s="326" t="s">
        <v>501</v>
      </c>
      <c r="E761" s="327">
        <f>IF(B761&lt;&gt;"",SUMIF('AUX-NIV1'!I:I,'AUX-NIV2'!B761,'AUX-NIV1'!Q:Q),"")</f>
        <v>0</v>
      </c>
      <c r="F761" s="327">
        <f t="shared" si="318"/>
        <v>265.98749148943017</v>
      </c>
      <c r="G761" s="327">
        <f t="shared" si="319"/>
        <v>0</v>
      </c>
      <c r="H761" s="328" t="str">
        <f t="shared" si="340"/>
        <v>A</v>
      </c>
      <c r="I761" s="325" t="s">
        <v>1746</v>
      </c>
      <c r="J761" s="329" t="str">
        <f>IF(B761&lt;&gt;"",+VLOOKUP(I761,Recursos!C:F,2,FALSE),"")</f>
        <v>OFICIAL</v>
      </c>
      <c r="K761" s="330" t="str">
        <f>IF(B761&lt;&gt;"",+VLOOKUP(I761,Recursos!C:F,3,FALSE),"")</f>
        <v>hh</v>
      </c>
      <c r="L761" s="327">
        <f>IF(B761&lt;&gt;"",+VLOOKUP(I761,Recursos!C:F,4,FALSE),"")</f>
        <v>496.91595439275824</v>
      </c>
      <c r="M761" s="511"/>
      <c r="N761" s="453">
        <f>+N765+N766</f>
        <v>2</v>
      </c>
      <c r="O761" s="449">
        <f>+N761*N762/M766</f>
        <v>4.3333333333333331E-3</v>
      </c>
      <c r="P761" s="333">
        <f t="shared" si="315"/>
        <v>2.1533024690352858</v>
      </c>
      <c r="Q761" s="327">
        <f t="shared" si="316"/>
        <v>0</v>
      </c>
      <c r="R761" s="334">
        <f t="shared" si="317"/>
        <v>0</v>
      </c>
      <c r="S761" s="335">
        <f t="shared" si="320"/>
        <v>13.758063038268839</v>
      </c>
      <c r="T761" s="335">
        <f t="shared" si="321"/>
        <v>14.696233005555559</v>
      </c>
      <c r="U761" s="336">
        <f t="shared" si="322"/>
        <v>0</v>
      </c>
      <c r="V761" s="336">
        <f t="shared" si="323"/>
        <v>0</v>
      </c>
      <c r="W761" s="336">
        <f t="shared" si="324"/>
        <v>0</v>
      </c>
      <c r="X761" s="336">
        <f t="shared" si="325"/>
        <v>237.53319544560577</v>
      </c>
      <c r="Y761" s="320"/>
      <c r="Z761" s="321" t="str">
        <f t="shared" si="329"/>
        <v>X-TBSA</v>
      </c>
      <c r="AA761" s="321" t="str">
        <f t="shared" si="330"/>
        <v>X-TBSE</v>
      </c>
      <c r="AB761" s="321" t="str">
        <f t="shared" si="331"/>
        <v>X-TBSM</v>
      </c>
      <c r="AC761" s="321" t="str">
        <f t="shared" si="332"/>
        <v>X-TBST</v>
      </c>
      <c r="AD761" s="321" t="str">
        <f t="shared" si="333"/>
        <v>X-TBSS</v>
      </c>
      <c r="AE761" s="321" t="str">
        <f t="shared" si="334"/>
        <v>X-TBSX</v>
      </c>
      <c r="AF761" s="321" t="str">
        <f t="shared" si="335"/>
        <v>X-TBSA</v>
      </c>
      <c r="AG761" s="321">
        <f t="shared" si="326"/>
        <v>11</v>
      </c>
      <c r="AH761" s="321">
        <f>IF(B761&lt;&gt;"",IF(H761="x",VLOOKUP(I761,'AUX-NIV3'!B:AG,32,FALSE),0),"")</f>
        <v>0</v>
      </c>
      <c r="AI761" s="321" t="str">
        <f t="shared" si="336"/>
        <v>X-TBS</v>
      </c>
      <c r="AJ761" s="320"/>
      <c r="AK761" s="322">
        <f t="shared" si="327"/>
        <v>759</v>
      </c>
      <c r="AL761" s="323">
        <f t="shared" si="337"/>
        <v>769</v>
      </c>
      <c r="AM761" s="322">
        <f t="shared" si="338"/>
        <v>3</v>
      </c>
      <c r="AN761" s="380">
        <f>IF(AND(AH761&gt;0,B761&lt;&gt;""),VLOOKUP(I761,'AUX-NIV3'!$B:$AO,39,FALSE)*O761,0)</f>
        <v>0</v>
      </c>
      <c r="AO761" s="380" t="e">
        <f t="shared" si="328"/>
        <v>#N/A</v>
      </c>
      <c r="AP761" s="380"/>
    </row>
    <row r="762" spans="2:42" ht="14.4" hidden="1" thickTop="1" thickBot="1">
      <c r="B762" s="324" t="s">
        <v>2836</v>
      </c>
      <c r="C762" s="325" t="s">
        <v>2837</v>
      </c>
      <c r="D762" s="326" t="s">
        <v>501</v>
      </c>
      <c r="E762" s="327">
        <f>IF(B762&lt;&gt;"",SUMIF('AUX-NIV1'!I:I,'AUX-NIV2'!B762,'AUX-NIV1'!Q:Q),"")</f>
        <v>0</v>
      </c>
      <c r="F762" s="327">
        <f t="shared" si="318"/>
        <v>265.98749148943017</v>
      </c>
      <c r="G762" s="327">
        <f t="shared" si="319"/>
        <v>0</v>
      </c>
      <c r="H762" s="328" t="str">
        <f t="shared" si="340"/>
        <v>A</v>
      </c>
      <c r="I762" s="325" t="s">
        <v>3310</v>
      </c>
      <c r="J762" s="329" t="str">
        <f>IF(B762&lt;&gt;"",+VLOOKUP(I762,Recursos!C:F,2,FALSE),"")</f>
        <v>OFICIAL ESPECIALIZADO</v>
      </c>
      <c r="K762" s="330" t="str">
        <f>IF(B762&lt;&gt;"",+VLOOKUP(I762,Recursos!C:F,3,FALSE),"")</f>
        <v>hh</v>
      </c>
      <c r="L762" s="327">
        <f>IF(B762&lt;&gt;"",+VLOOKUP(I762,Recursos!C:F,4,FALSE),"")</f>
        <v>581.06120476836554</v>
      </c>
      <c r="M762" s="454"/>
      <c r="N762" s="453">
        <v>1.3</v>
      </c>
      <c r="O762" s="449">
        <f>+N762/M766</f>
        <v>2.1666666666666666E-3</v>
      </c>
      <c r="P762" s="333">
        <f t="shared" si="315"/>
        <v>1.258965943664792</v>
      </c>
      <c r="Q762" s="327">
        <f t="shared" si="316"/>
        <v>0</v>
      </c>
      <c r="R762" s="334">
        <f t="shared" si="317"/>
        <v>0</v>
      </c>
      <c r="S762" s="335">
        <f t="shared" si="320"/>
        <v>13.758063038268839</v>
      </c>
      <c r="T762" s="335">
        <f t="shared" si="321"/>
        <v>14.696233005555559</v>
      </c>
      <c r="U762" s="336">
        <f t="shared" si="322"/>
        <v>0</v>
      </c>
      <c r="V762" s="336">
        <f t="shared" si="323"/>
        <v>0</v>
      </c>
      <c r="W762" s="336">
        <f t="shared" si="324"/>
        <v>0</v>
      </c>
      <c r="X762" s="336">
        <f t="shared" si="325"/>
        <v>237.53319544560577</v>
      </c>
      <c r="Y762" s="320"/>
      <c r="Z762" s="321" t="str">
        <f t="shared" si="329"/>
        <v>X-TBSA</v>
      </c>
      <c r="AA762" s="321" t="str">
        <f t="shared" si="330"/>
        <v>X-TBSE</v>
      </c>
      <c r="AB762" s="321" t="str">
        <f t="shared" si="331"/>
        <v>X-TBSM</v>
      </c>
      <c r="AC762" s="321" t="str">
        <f t="shared" si="332"/>
        <v>X-TBST</v>
      </c>
      <c r="AD762" s="321" t="str">
        <f t="shared" si="333"/>
        <v>X-TBSS</v>
      </c>
      <c r="AE762" s="321" t="str">
        <f t="shared" si="334"/>
        <v>X-TBSX</v>
      </c>
      <c r="AF762" s="321" t="str">
        <f t="shared" si="335"/>
        <v>X-TBSA</v>
      </c>
      <c r="AG762" s="321">
        <f t="shared" si="326"/>
        <v>11</v>
      </c>
      <c r="AH762" s="321">
        <f>IF(B762&lt;&gt;"",IF(H762="x",VLOOKUP(I762,'AUX-NIV3'!B:AG,32,FALSE),0),"")</f>
        <v>0</v>
      </c>
      <c r="AI762" s="321" t="str">
        <f t="shared" si="336"/>
        <v>X-TBS</v>
      </c>
      <c r="AJ762" s="320"/>
      <c r="AK762" s="322">
        <f t="shared" si="327"/>
        <v>759</v>
      </c>
      <c r="AL762" s="323">
        <f t="shared" si="337"/>
        <v>769</v>
      </c>
      <c r="AM762" s="322">
        <f t="shared" si="338"/>
        <v>4</v>
      </c>
      <c r="AN762" s="380">
        <f>IF(AND(AH762&gt;0,B762&lt;&gt;""),VLOOKUP(I762,'AUX-NIV3'!$B:$AO,39,FALSE)*O762,0)</f>
        <v>0</v>
      </c>
      <c r="AO762" s="380" t="e">
        <f t="shared" si="328"/>
        <v>#N/A</v>
      </c>
      <c r="AP762" s="380"/>
    </row>
    <row r="763" spans="2:42" ht="14.4" hidden="1" thickTop="1" thickBot="1">
      <c r="B763" s="324" t="s">
        <v>2836</v>
      </c>
      <c r="C763" s="325" t="s">
        <v>2837</v>
      </c>
      <c r="D763" s="326" t="s">
        <v>501</v>
      </c>
      <c r="E763" s="327">
        <f>IF(B763&lt;&gt;"",SUMIF('AUX-NIV1'!I:I,'AUX-NIV2'!B763,'AUX-NIV1'!Q:Q),"")</f>
        <v>0</v>
      </c>
      <c r="F763" s="327">
        <f t="shared" si="318"/>
        <v>265.98749148943017</v>
      </c>
      <c r="G763" s="327">
        <f t="shared" si="319"/>
        <v>0</v>
      </c>
      <c r="H763" s="328" t="str">
        <f t="shared" si="340"/>
        <v>A</v>
      </c>
      <c r="I763" s="325" t="s">
        <v>3310</v>
      </c>
      <c r="J763" s="329" t="str">
        <f>IF(B763&lt;&gt;"",+VLOOKUP(I763,Recursos!C:F,2,FALSE),"")</f>
        <v>OFICIAL ESPECIALIZADO</v>
      </c>
      <c r="K763" s="330" t="str">
        <f>IF(B763&lt;&gt;"",+VLOOKUP(I763,Recursos!C:F,3,FALSE),"")</f>
        <v>hh</v>
      </c>
      <c r="L763" s="327">
        <f>IF(B763&lt;&gt;"",+VLOOKUP(I763,Recursos!C:F,4,FALSE),"")</f>
        <v>581.06120476836554</v>
      </c>
      <c r="M763" s="454"/>
      <c r="N763" s="455"/>
      <c r="O763" s="449">
        <f>+(N765+N767+N768)/M765*N762</f>
        <v>6.5000000000000006E-3</v>
      </c>
      <c r="P763" s="333">
        <f t="shared" si="315"/>
        <v>3.7768978309943764</v>
      </c>
      <c r="Q763" s="327">
        <f t="shared" si="316"/>
        <v>0</v>
      </c>
      <c r="R763" s="334">
        <f t="shared" si="317"/>
        <v>0</v>
      </c>
      <c r="S763" s="335">
        <f t="shared" si="320"/>
        <v>13.758063038268839</v>
      </c>
      <c r="T763" s="335">
        <f t="shared" si="321"/>
        <v>14.696233005555559</v>
      </c>
      <c r="U763" s="336">
        <f t="shared" si="322"/>
        <v>0</v>
      </c>
      <c r="V763" s="336">
        <f t="shared" si="323"/>
        <v>0</v>
      </c>
      <c r="W763" s="336">
        <f t="shared" si="324"/>
        <v>0</v>
      </c>
      <c r="X763" s="336">
        <f t="shared" si="325"/>
        <v>237.53319544560577</v>
      </c>
      <c r="Y763" s="320"/>
      <c r="Z763" s="321" t="str">
        <f t="shared" si="329"/>
        <v>X-TBSA</v>
      </c>
      <c r="AA763" s="321" t="str">
        <f t="shared" si="330"/>
        <v>X-TBSE</v>
      </c>
      <c r="AB763" s="321" t="str">
        <f t="shared" si="331"/>
        <v>X-TBSM</v>
      </c>
      <c r="AC763" s="321" t="str">
        <f t="shared" si="332"/>
        <v>X-TBST</v>
      </c>
      <c r="AD763" s="321" t="str">
        <f t="shared" si="333"/>
        <v>X-TBSS</v>
      </c>
      <c r="AE763" s="321" t="str">
        <f t="shared" si="334"/>
        <v>X-TBSX</v>
      </c>
      <c r="AF763" s="321" t="str">
        <f t="shared" si="335"/>
        <v>X-TBSA</v>
      </c>
      <c r="AG763" s="321">
        <f t="shared" si="326"/>
        <v>11</v>
      </c>
      <c r="AH763" s="321">
        <f>IF(B763&lt;&gt;"",IF(H763="x",VLOOKUP(I763,'AUX-NIV3'!B:AG,32,FALSE),0),"")</f>
        <v>0</v>
      </c>
      <c r="AI763" s="321" t="str">
        <f t="shared" si="336"/>
        <v>X-TBS</v>
      </c>
      <c r="AJ763" s="320"/>
      <c r="AK763" s="322">
        <f t="shared" si="327"/>
        <v>759</v>
      </c>
      <c r="AL763" s="323">
        <f t="shared" si="337"/>
        <v>769</v>
      </c>
      <c r="AM763" s="322">
        <f t="shared" si="338"/>
        <v>5</v>
      </c>
      <c r="AN763" s="380">
        <f>IF(AND(AH763&gt;0,B763&lt;&gt;""),VLOOKUP(I763,'AUX-NIV3'!$B:$AO,39,FALSE)*O763,0)</f>
        <v>0</v>
      </c>
      <c r="AO763" s="380" t="e">
        <f t="shared" si="328"/>
        <v>#N/A</v>
      </c>
      <c r="AP763" s="380"/>
    </row>
    <row r="764" spans="2:42" ht="14.4" hidden="1" thickTop="1" thickBot="1">
      <c r="B764" s="324" t="s">
        <v>2836</v>
      </c>
      <c r="C764" s="325" t="s">
        <v>2837</v>
      </c>
      <c r="D764" s="326" t="s">
        <v>501</v>
      </c>
      <c r="E764" s="327">
        <f>IF(B764&lt;&gt;"",SUMIF('AUX-NIV1'!I:I,'AUX-NIV2'!B764,'AUX-NIV1'!Q:Q),"")</f>
        <v>0</v>
      </c>
      <c r="F764" s="327">
        <f t="shared" si="318"/>
        <v>265.98749148943017</v>
      </c>
      <c r="G764" s="327">
        <f t="shared" si="319"/>
        <v>0</v>
      </c>
      <c r="H764" s="328" t="str">
        <f t="shared" si="340"/>
        <v>A</v>
      </c>
      <c r="I764" s="325" t="s">
        <v>1746</v>
      </c>
      <c r="J764" s="329" t="str">
        <f>IF(B764&lt;&gt;"",+VLOOKUP(I764,Recursos!C:F,2,FALSE),"")</f>
        <v>OFICIAL</v>
      </c>
      <c r="K764" s="330" t="str">
        <f>IF(B764&lt;&gt;"",+VLOOKUP(I764,Recursos!C:F,3,FALSE),"")</f>
        <v>hh</v>
      </c>
      <c r="L764" s="327">
        <f>IF(B764&lt;&gt;"",+VLOOKUP(I764,Recursos!C:F,4,FALSE),"")</f>
        <v>496.91595439275824</v>
      </c>
      <c r="M764" s="454"/>
      <c r="N764" s="455"/>
      <c r="O764" s="449">
        <f>+N762/M765</f>
        <v>2.1666666666666666E-3</v>
      </c>
      <c r="P764" s="333">
        <f t="shared" si="315"/>
        <v>1.0766512345176429</v>
      </c>
      <c r="Q764" s="327">
        <f t="shared" si="316"/>
        <v>0</v>
      </c>
      <c r="R764" s="334">
        <f t="shared" si="317"/>
        <v>0</v>
      </c>
      <c r="S764" s="335">
        <f t="shared" si="320"/>
        <v>13.758063038268839</v>
      </c>
      <c r="T764" s="335">
        <f t="shared" si="321"/>
        <v>14.696233005555559</v>
      </c>
      <c r="U764" s="336">
        <f t="shared" si="322"/>
        <v>0</v>
      </c>
      <c r="V764" s="336">
        <f t="shared" si="323"/>
        <v>0</v>
      </c>
      <c r="W764" s="336">
        <f t="shared" si="324"/>
        <v>0</v>
      </c>
      <c r="X764" s="336">
        <f t="shared" si="325"/>
        <v>237.53319544560577</v>
      </c>
      <c r="Y764" s="320"/>
      <c r="Z764" s="321" t="str">
        <f t="shared" si="329"/>
        <v>X-TBSA</v>
      </c>
      <c r="AA764" s="321" t="str">
        <f t="shared" si="330"/>
        <v>X-TBSE</v>
      </c>
      <c r="AB764" s="321" t="str">
        <f t="shared" si="331"/>
        <v>X-TBSM</v>
      </c>
      <c r="AC764" s="321" t="str">
        <f t="shared" si="332"/>
        <v>X-TBST</v>
      </c>
      <c r="AD764" s="321" t="str">
        <f t="shared" si="333"/>
        <v>X-TBSS</v>
      </c>
      <c r="AE764" s="321" t="str">
        <f t="shared" si="334"/>
        <v>X-TBSX</v>
      </c>
      <c r="AF764" s="321" t="str">
        <f t="shared" si="335"/>
        <v>X-TBSA</v>
      </c>
      <c r="AG764" s="321">
        <f t="shared" si="326"/>
        <v>11</v>
      </c>
      <c r="AH764" s="321">
        <f>IF(B764&lt;&gt;"",IF(H764="x",VLOOKUP(I764,'AUX-NIV3'!B:AG,32,FALSE),0),"")</f>
        <v>0</v>
      </c>
      <c r="AI764" s="321" t="str">
        <f t="shared" si="336"/>
        <v>X-TBS</v>
      </c>
      <c r="AJ764" s="320"/>
      <c r="AK764" s="322">
        <f t="shared" si="327"/>
        <v>759</v>
      </c>
      <c r="AL764" s="323">
        <f t="shared" si="337"/>
        <v>769</v>
      </c>
      <c r="AM764" s="322">
        <f t="shared" si="338"/>
        <v>6</v>
      </c>
      <c r="AN764" s="380">
        <f>IF(AND(AH764&gt;0,B764&lt;&gt;""),VLOOKUP(I764,'AUX-NIV3'!$B:$AO,39,FALSE)*O764,0)</f>
        <v>0</v>
      </c>
      <c r="AO764" s="380" t="e">
        <f t="shared" si="328"/>
        <v>#N/A</v>
      </c>
      <c r="AP764" s="380"/>
    </row>
    <row r="765" spans="2:42" ht="14.4" hidden="1" thickTop="1" thickBot="1">
      <c r="B765" s="324" t="s">
        <v>2836</v>
      </c>
      <c r="C765" s="325" t="s">
        <v>2837</v>
      </c>
      <c r="D765" s="326" t="s">
        <v>501</v>
      </c>
      <c r="E765" s="327">
        <f>IF(B765&lt;&gt;"",SUMIF('AUX-NIV1'!I:I,'AUX-NIV2'!B765,'AUX-NIV1'!Q:Q),"")</f>
        <v>0</v>
      </c>
      <c r="F765" s="327">
        <f t="shared" si="318"/>
        <v>265.98749148943017</v>
      </c>
      <c r="G765" s="327">
        <f t="shared" si="319"/>
        <v>0</v>
      </c>
      <c r="H765" s="328" t="str">
        <f t="shared" si="340"/>
        <v>E</v>
      </c>
      <c r="I765" s="325" t="s">
        <v>1684</v>
      </c>
      <c r="J765" s="329" t="str">
        <f>IF(B765&lt;&gt;"",+VLOOKUP(I765,Recursos!C:F,2,FALSE),"")</f>
        <v>COMPACT. 2 ROD.LISOS TANDEM -11 T</v>
      </c>
      <c r="K765" s="330" t="str">
        <f>IF(B765&lt;&gt;"",+VLOOKUP(I765,Recursos!C:F,3,FALSE),"")</f>
        <v>HR</v>
      </c>
      <c r="L765" s="327">
        <f>IF(B765&lt;&gt;"",+VLOOKUP(I765,Recursos!C:F,4,FALSE),"")</f>
        <v>2080.6506600000002</v>
      </c>
      <c r="M765" s="454">
        <f>+M766</f>
        <v>600</v>
      </c>
      <c r="N765" s="455">
        <f>+N766</f>
        <v>1</v>
      </c>
      <c r="O765" s="449">
        <f>+N765/M765</f>
        <v>1.6666666666666668E-3</v>
      </c>
      <c r="P765" s="333">
        <f t="shared" si="315"/>
        <v>3.4677511000000005</v>
      </c>
      <c r="Q765" s="327">
        <f t="shared" si="316"/>
        <v>0</v>
      </c>
      <c r="R765" s="334">
        <f t="shared" si="317"/>
        <v>0</v>
      </c>
      <c r="S765" s="335">
        <f t="shared" si="320"/>
        <v>13.758063038268839</v>
      </c>
      <c r="T765" s="335">
        <f t="shared" si="321"/>
        <v>14.696233005555559</v>
      </c>
      <c r="U765" s="336">
        <f t="shared" si="322"/>
        <v>0</v>
      </c>
      <c r="V765" s="336">
        <f t="shared" si="323"/>
        <v>0</v>
      </c>
      <c r="W765" s="336">
        <f t="shared" si="324"/>
        <v>0</v>
      </c>
      <c r="X765" s="336">
        <f t="shared" si="325"/>
        <v>237.53319544560577</v>
      </c>
      <c r="Y765" s="320"/>
      <c r="Z765" s="321" t="str">
        <f t="shared" si="329"/>
        <v>X-TBSA</v>
      </c>
      <c r="AA765" s="321" t="str">
        <f t="shared" si="330"/>
        <v>X-TBSE</v>
      </c>
      <c r="AB765" s="321" t="str">
        <f t="shared" si="331"/>
        <v>X-TBSM</v>
      </c>
      <c r="AC765" s="321" t="str">
        <f t="shared" si="332"/>
        <v>X-TBST</v>
      </c>
      <c r="AD765" s="321" t="str">
        <f t="shared" si="333"/>
        <v>X-TBSS</v>
      </c>
      <c r="AE765" s="321" t="str">
        <f t="shared" si="334"/>
        <v>X-TBSX</v>
      </c>
      <c r="AF765" s="321" t="str">
        <f t="shared" si="335"/>
        <v>X-TBSE</v>
      </c>
      <c r="AG765" s="321">
        <f t="shared" si="326"/>
        <v>11</v>
      </c>
      <c r="AH765" s="321">
        <f>IF(B765&lt;&gt;"",IF(H765="x",VLOOKUP(I765,'AUX-NIV3'!B:AG,32,FALSE),0),"")</f>
        <v>0</v>
      </c>
      <c r="AI765" s="321" t="str">
        <f t="shared" si="336"/>
        <v>X-TBS</v>
      </c>
      <c r="AJ765" s="320"/>
      <c r="AK765" s="322">
        <f t="shared" si="327"/>
        <v>759</v>
      </c>
      <c r="AL765" s="323">
        <f t="shared" si="337"/>
        <v>769</v>
      </c>
      <c r="AM765" s="322">
        <f t="shared" si="338"/>
        <v>7</v>
      </c>
      <c r="AN765" s="380">
        <f>IF(AND(AH765&gt;0,B765&lt;&gt;""),VLOOKUP(I765,'AUX-NIV3'!$B:$AO,39,FALSE)*O765,0)</f>
        <v>0</v>
      </c>
      <c r="AO765" s="380" t="e">
        <f t="shared" si="328"/>
        <v>#N/A</v>
      </c>
      <c r="AP765" s="380"/>
    </row>
    <row r="766" spans="2:42" ht="14.4" hidden="1" thickTop="1" thickBot="1">
      <c r="B766" s="324" t="s">
        <v>2836</v>
      </c>
      <c r="C766" s="325" t="s">
        <v>2837</v>
      </c>
      <c r="D766" s="326" t="s">
        <v>501</v>
      </c>
      <c r="E766" s="327">
        <f>IF(B766&lt;&gt;"",SUMIF('AUX-NIV1'!I:I,'AUX-NIV2'!B766,'AUX-NIV1'!Q:Q),"")</f>
        <v>0</v>
      </c>
      <c r="F766" s="327">
        <f t="shared" si="318"/>
        <v>265.98749148943017</v>
      </c>
      <c r="G766" s="327">
        <f t="shared" si="319"/>
        <v>0</v>
      </c>
      <c r="H766" s="328" t="str">
        <f t="shared" si="340"/>
        <v>E</v>
      </c>
      <c r="I766" s="325" t="s">
        <v>1569</v>
      </c>
      <c r="J766" s="329" t="str">
        <f>IF(B766&lt;&gt;"",+VLOOKUP(I766,Recursos!C:F,2,FALSE),"")</f>
        <v>COMPACTADOR NEUMAT.AUTOPROP.(22 T)</v>
      </c>
      <c r="K766" s="330" t="str">
        <f>IF(B766&lt;&gt;"",+VLOOKUP(I766,Recursos!C:F,3,FALSE),"")</f>
        <v>HR</v>
      </c>
      <c r="L766" s="327">
        <f>IF(B766&lt;&gt;"",+VLOOKUP(I766,Recursos!C:F,4,FALSE),"")</f>
        <v>1797.6897833333335</v>
      </c>
      <c r="M766" s="452">
        <v>600</v>
      </c>
      <c r="N766" s="453">
        <v>1</v>
      </c>
      <c r="O766" s="449">
        <f>+N766/M766</f>
        <v>1.6666666666666668E-3</v>
      </c>
      <c r="P766" s="333">
        <f t="shared" si="315"/>
        <v>2.9961496388888893</v>
      </c>
      <c r="Q766" s="327">
        <f t="shared" si="316"/>
        <v>0</v>
      </c>
      <c r="R766" s="334">
        <f t="shared" si="317"/>
        <v>0</v>
      </c>
      <c r="S766" s="335">
        <f t="shared" si="320"/>
        <v>13.758063038268839</v>
      </c>
      <c r="T766" s="335">
        <f t="shared" si="321"/>
        <v>14.696233005555559</v>
      </c>
      <c r="U766" s="336">
        <f t="shared" si="322"/>
        <v>0</v>
      </c>
      <c r="V766" s="336">
        <f t="shared" si="323"/>
        <v>0</v>
      </c>
      <c r="W766" s="336">
        <f t="shared" si="324"/>
        <v>0</v>
      </c>
      <c r="X766" s="336">
        <f t="shared" si="325"/>
        <v>237.53319544560577</v>
      </c>
      <c r="Y766" s="320"/>
      <c r="Z766" s="321" t="str">
        <f t="shared" si="329"/>
        <v>X-TBSA</v>
      </c>
      <c r="AA766" s="321" t="str">
        <f t="shared" si="330"/>
        <v>X-TBSE</v>
      </c>
      <c r="AB766" s="321" t="str">
        <f t="shared" si="331"/>
        <v>X-TBSM</v>
      </c>
      <c r="AC766" s="321" t="str">
        <f t="shared" si="332"/>
        <v>X-TBST</v>
      </c>
      <c r="AD766" s="321" t="str">
        <f t="shared" si="333"/>
        <v>X-TBSS</v>
      </c>
      <c r="AE766" s="321" t="str">
        <f t="shared" si="334"/>
        <v>X-TBSX</v>
      </c>
      <c r="AF766" s="321" t="str">
        <f t="shared" si="335"/>
        <v>X-TBSE</v>
      </c>
      <c r="AG766" s="321">
        <f t="shared" si="326"/>
        <v>11</v>
      </c>
      <c r="AH766" s="321">
        <f>IF(B766&lt;&gt;"",IF(H766="x",VLOOKUP(I766,'AUX-NIV3'!B:AG,32,FALSE),0),"")</f>
        <v>0</v>
      </c>
      <c r="AI766" s="321" t="str">
        <f t="shared" si="336"/>
        <v>X-TBS</v>
      </c>
      <c r="AJ766" s="320"/>
      <c r="AK766" s="322">
        <f t="shared" si="327"/>
        <v>759</v>
      </c>
      <c r="AL766" s="323">
        <f t="shared" si="337"/>
        <v>769</v>
      </c>
      <c r="AM766" s="322">
        <f t="shared" si="338"/>
        <v>8</v>
      </c>
      <c r="AN766" s="380">
        <f>IF(AND(AH766&gt;0,B766&lt;&gt;""),VLOOKUP(I766,'AUX-NIV3'!$B:$AO,39,FALSE)*O766,0)</f>
        <v>0</v>
      </c>
      <c r="AO766" s="380" t="e">
        <f t="shared" si="328"/>
        <v>#N/A</v>
      </c>
      <c r="AP766" s="380"/>
    </row>
    <row r="767" spans="2:42" ht="14.4" hidden="1" thickTop="1" thickBot="1">
      <c r="B767" s="324" t="s">
        <v>2836</v>
      </c>
      <c r="C767" s="325" t="s">
        <v>2837</v>
      </c>
      <c r="D767" s="326" t="s">
        <v>501</v>
      </c>
      <c r="E767" s="327">
        <f>IF(B767&lt;&gt;"",SUMIF('AUX-NIV1'!I:I,'AUX-NIV2'!B767,'AUX-NIV1'!Q:Q),"")</f>
        <v>0</v>
      </c>
      <c r="F767" s="327">
        <f t="shared" si="318"/>
        <v>265.98749148943017</v>
      </c>
      <c r="G767" s="327">
        <f t="shared" si="319"/>
        <v>0</v>
      </c>
      <c r="H767" s="328" t="str">
        <f t="shared" si="340"/>
        <v>E</v>
      </c>
      <c r="I767" s="325" t="s">
        <v>1710</v>
      </c>
      <c r="J767" s="329" t="str">
        <f>IF(B767&lt;&gt;"",+VLOOKUP(I767,Recursos!C:F,2,FALSE),"")</f>
        <v>DISTRIBUIDORA DE GRAVILLA D.T.S.B.</v>
      </c>
      <c r="K767" s="330" t="str">
        <f>IF(B767&lt;&gt;"",+VLOOKUP(I767,Recursos!C:F,3,FALSE),"")</f>
        <v>HR</v>
      </c>
      <c r="L767" s="327">
        <f>IF(B767&lt;&gt;"",+VLOOKUP(I767,Recursos!C:F,4,FALSE),"")</f>
        <v>2167.6518599999999</v>
      </c>
      <c r="M767" s="454">
        <f>+M766</f>
        <v>600</v>
      </c>
      <c r="N767" s="455">
        <f>+N766</f>
        <v>1</v>
      </c>
      <c r="O767" s="449">
        <f>+N767/M767</f>
        <v>1.6666666666666668E-3</v>
      </c>
      <c r="P767" s="333">
        <f t="shared" si="315"/>
        <v>3.6127530999999999</v>
      </c>
      <c r="Q767" s="327">
        <f t="shared" si="316"/>
        <v>0</v>
      </c>
      <c r="R767" s="334">
        <f t="shared" si="317"/>
        <v>0</v>
      </c>
      <c r="S767" s="335">
        <f t="shared" si="320"/>
        <v>13.758063038268839</v>
      </c>
      <c r="T767" s="335">
        <f t="shared" si="321"/>
        <v>14.696233005555559</v>
      </c>
      <c r="U767" s="336">
        <f t="shared" si="322"/>
        <v>0</v>
      </c>
      <c r="V767" s="336">
        <f t="shared" si="323"/>
        <v>0</v>
      </c>
      <c r="W767" s="336">
        <f t="shared" si="324"/>
        <v>0</v>
      </c>
      <c r="X767" s="336">
        <f t="shared" si="325"/>
        <v>237.53319544560577</v>
      </c>
      <c r="Y767" s="320"/>
      <c r="Z767" s="321" t="str">
        <f t="shared" si="329"/>
        <v>X-TBSA</v>
      </c>
      <c r="AA767" s="321" t="str">
        <f t="shared" si="330"/>
        <v>X-TBSE</v>
      </c>
      <c r="AB767" s="321" t="str">
        <f t="shared" si="331"/>
        <v>X-TBSM</v>
      </c>
      <c r="AC767" s="321" t="str">
        <f t="shared" si="332"/>
        <v>X-TBST</v>
      </c>
      <c r="AD767" s="321" t="str">
        <f t="shared" si="333"/>
        <v>X-TBSS</v>
      </c>
      <c r="AE767" s="321" t="str">
        <f t="shared" si="334"/>
        <v>X-TBSX</v>
      </c>
      <c r="AF767" s="321" t="str">
        <f t="shared" si="335"/>
        <v>X-TBSE</v>
      </c>
      <c r="AG767" s="321">
        <f t="shared" si="326"/>
        <v>11</v>
      </c>
      <c r="AH767" s="321">
        <f>IF(B767&lt;&gt;"",IF(H767="x",VLOOKUP(I767,'AUX-NIV3'!B:AG,32,FALSE),0),"")</f>
        <v>0</v>
      </c>
      <c r="AI767" s="321" t="str">
        <f t="shared" si="336"/>
        <v>X-TBS</v>
      </c>
      <c r="AJ767" s="320"/>
      <c r="AK767" s="322">
        <f t="shared" si="327"/>
        <v>759</v>
      </c>
      <c r="AL767" s="323">
        <f t="shared" si="337"/>
        <v>769</v>
      </c>
      <c r="AM767" s="322">
        <f t="shared" si="338"/>
        <v>9</v>
      </c>
      <c r="AN767" s="380">
        <f>IF(AND(AH767&gt;0,B767&lt;&gt;""),VLOOKUP(I767,'AUX-NIV3'!$B:$AO,39,FALSE)*O767,0)</f>
        <v>0</v>
      </c>
      <c r="AO767" s="380" t="e">
        <f t="shared" si="328"/>
        <v>#N/A</v>
      </c>
      <c r="AP767" s="380"/>
    </row>
    <row r="768" spans="2:42" ht="14.4" hidden="1" thickTop="1" thickBot="1">
      <c r="B768" s="324" t="s">
        <v>2836</v>
      </c>
      <c r="C768" s="325" t="s">
        <v>2837</v>
      </c>
      <c r="D768" s="326" t="s">
        <v>501</v>
      </c>
      <c r="E768" s="327">
        <f>IF(B768&lt;&gt;"",SUMIF('AUX-NIV1'!I:I,'AUX-NIV2'!B768,'AUX-NIV1'!Q:Q),"")</f>
        <v>0</v>
      </c>
      <c r="F768" s="327">
        <f t="shared" si="318"/>
        <v>265.98749148943017</v>
      </c>
      <c r="G768" s="327">
        <f t="shared" si="319"/>
        <v>0</v>
      </c>
      <c r="H768" s="328" t="str">
        <f t="shared" si="340"/>
        <v>E</v>
      </c>
      <c r="I768" s="325" t="s">
        <v>1730</v>
      </c>
      <c r="J768" s="329" t="str">
        <f>IF(B768&lt;&gt;"",+VLOOKUP(I768,Recursos!C:F,2,FALSE),"")</f>
        <v>CAMION DISTRIBUIDOR ASFALTO 5/6 m3</v>
      </c>
      <c r="K768" s="330" t="str">
        <f>IF(B768&lt;&gt;"",+VLOOKUP(I768,Recursos!C:F,3,FALSE),"")</f>
        <v>HR</v>
      </c>
      <c r="L768" s="327">
        <f>IF(B768&lt;&gt;"",+VLOOKUP(I768,Recursos!C:F,4,FALSE),"")</f>
        <v>2771.7474999999999</v>
      </c>
      <c r="M768" s="454">
        <f>+M767</f>
        <v>600</v>
      </c>
      <c r="N768" s="455">
        <f>+N767</f>
        <v>1</v>
      </c>
      <c r="O768" s="449">
        <f>+N768/M768</f>
        <v>1.6666666666666668E-3</v>
      </c>
      <c r="P768" s="333">
        <f t="shared" si="315"/>
        <v>4.619579166666667</v>
      </c>
      <c r="Q768" s="327">
        <f t="shared" si="316"/>
        <v>0</v>
      </c>
      <c r="R768" s="334">
        <f t="shared" si="317"/>
        <v>0</v>
      </c>
      <c r="S768" s="335">
        <f t="shared" si="320"/>
        <v>13.758063038268839</v>
      </c>
      <c r="T768" s="335">
        <f t="shared" si="321"/>
        <v>14.696233005555559</v>
      </c>
      <c r="U768" s="336">
        <f t="shared" si="322"/>
        <v>0</v>
      </c>
      <c r="V768" s="336">
        <f t="shared" si="323"/>
        <v>0</v>
      </c>
      <c r="W768" s="336">
        <f t="shared" si="324"/>
        <v>0</v>
      </c>
      <c r="X768" s="336">
        <f t="shared" si="325"/>
        <v>237.53319544560577</v>
      </c>
      <c r="Y768" s="320"/>
      <c r="Z768" s="321" t="str">
        <f t="shared" si="329"/>
        <v>X-TBSA</v>
      </c>
      <c r="AA768" s="321" t="str">
        <f t="shared" si="330"/>
        <v>X-TBSE</v>
      </c>
      <c r="AB768" s="321" t="str">
        <f t="shared" si="331"/>
        <v>X-TBSM</v>
      </c>
      <c r="AC768" s="321" t="str">
        <f t="shared" si="332"/>
        <v>X-TBST</v>
      </c>
      <c r="AD768" s="321" t="str">
        <f t="shared" si="333"/>
        <v>X-TBSS</v>
      </c>
      <c r="AE768" s="321" t="str">
        <f t="shared" si="334"/>
        <v>X-TBSX</v>
      </c>
      <c r="AF768" s="321" t="str">
        <f t="shared" si="335"/>
        <v>X-TBSE</v>
      </c>
      <c r="AG768" s="321">
        <f t="shared" si="326"/>
        <v>11</v>
      </c>
      <c r="AH768" s="321">
        <f>IF(B768&lt;&gt;"",IF(H768="x",VLOOKUP(I768,'AUX-NIV3'!B:AG,32,FALSE),0),"")</f>
        <v>0</v>
      </c>
      <c r="AI768" s="321" t="str">
        <f t="shared" si="336"/>
        <v>X-TBS</v>
      </c>
      <c r="AJ768" s="320"/>
      <c r="AK768" s="322">
        <f t="shared" si="327"/>
        <v>759</v>
      </c>
      <c r="AL768" s="323">
        <f t="shared" si="337"/>
        <v>769</v>
      </c>
      <c r="AM768" s="322">
        <f t="shared" si="338"/>
        <v>10</v>
      </c>
      <c r="AN768" s="380">
        <f>IF(AND(AH768&gt;0,B768&lt;&gt;""),VLOOKUP(I768,'AUX-NIV3'!$B:$AO,39,FALSE)*O768,0)</f>
        <v>0</v>
      </c>
      <c r="AO768" s="380" t="e">
        <f t="shared" si="328"/>
        <v>#N/A</v>
      </c>
      <c r="AP768" s="380"/>
    </row>
    <row r="769" spans="2:42" ht="14.4" hidden="1" thickTop="1" thickBot="1">
      <c r="B769" s="324" t="s">
        <v>2836</v>
      </c>
      <c r="C769" s="325" t="s">
        <v>2837</v>
      </c>
      <c r="D769" s="326" t="s">
        <v>501</v>
      </c>
      <c r="E769" s="327">
        <f>IF(B769&lt;&gt;"",SUMIF('AUX-NIV1'!I:I,'AUX-NIV2'!B769,'AUX-NIV1'!Q:Q),"")</f>
        <v>0</v>
      </c>
      <c r="F769" s="327">
        <f t="shared" si="318"/>
        <v>265.98749148943017</v>
      </c>
      <c r="G769" s="327">
        <f t="shared" si="319"/>
        <v>0</v>
      </c>
      <c r="H769" s="328" t="str">
        <f t="shared" si="340"/>
        <v>X</v>
      </c>
      <c r="I769" s="324" t="s">
        <v>2843</v>
      </c>
      <c r="J769" s="329" t="str">
        <f>IF(B769&lt;&gt;"",+VLOOKUP(I769,Recursos!C:F,2,FALSE),"")</f>
        <v>Material Hormigón H32</v>
      </c>
      <c r="K769" s="330" t="str">
        <f>IF(B769&lt;&gt;"",+VLOOKUP(I769,Recursos!C:F,3,FALSE),"")</f>
        <v>m3</v>
      </c>
      <c r="L769" s="327">
        <f>IF(B769&lt;&gt;"",+VLOOKUP(I769,Recursos!C:F,4,FALSE),"")</f>
        <v>3958.8865907600962</v>
      </c>
      <c r="M769" s="450">
        <v>2.4</v>
      </c>
      <c r="N769" s="521">
        <v>2.5000000000000001E-2</v>
      </c>
      <c r="O769" s="449">
        <f>+N769*M769</f>
        <v>0.06</v>
      </c>
      <c r="P769" s="333">
        <f t="shared" si="315"/>
        <v>237.53319544560577</v>
      </c>
      <c r="Q769" s="327">
        <f t="shared" si="316"/>
        <v>0</v>
      </c>
      <c r="R769" s="334">
        <f t="shared" si="317"/>
        <v>0</v>
      </c>
      <c r="S769" s="335">
        <f t="shared" si="320"/>
        <v>13.758063038268839</v>
      </c>
      <c r="T769" s="335">
        <f t="shared" si="321"/>
        <v>14.696233005555559</v>
      </c>
      <c r="U769" s="336">
        <f t="shared" si="322"/>
        <v>0</v>
      </c>
      <c r="V769" s="336">
        <f t="shared" si="323"/>
        <v>0</v>
      </c>
      <c r="W769" s="336">
        <f t="shared" si="324"/>
        <v>0</v>
      </c>
      <c r="X769" s="336">
        <f t="shared" si="325"/>
        <v>237.53319544560577</v>
      </c>
      <c r="Y769" s="320"/>
      <c r="Z769" s="321" t="str">
        <f t="shared" si="329"/>
        <v>X-TBSA</v>
      </c>
      <c r="AA769" s="321" t="str">
        <f t="shared" si="330"/>
        <v>X-TBSE</v>
      </c>
      <c r="AB769" s="321" t="str">
        <f t="shared" si="331"/>
        <v>X-TBSM</v>
      </c>
      <c r="AC769" s="321" t="str">
        <f t="shared" si="332"/>
        <v>X-TBST</v>
      </c>
      <c r="AD769" s="321" t="str">
        <f t="shared" si="333"/>
        <v>X-TBSS</v>
      </c>
      <c r="AE769" s="321" t="str">
        <f t="shared" si="334"/>
        <v>X-TBSX</v>
      </c>
      <c r="AF769" s="321" t="str">
        <f t="shared" si="335"/>
        <v>X-TBSX</v>
      </c>
      <c r="AG769" s="321">
        <f t="shared" si="326"/>
        <v>11</v>
      </c>
      <c r="AH769" s="321" t="e">
        <f>IF(B769&lt;&gt;"",IF(H769="x",VLOOKUP(I769,'AUX-NIV3'!B:AG,32,FALSE),0),"")</f>
        <v>#N/A</v>
      </c>
      <c r="AI769" s="321" t="str">
        <f t="shared" si="336"/>
        <v>X-TBS</v>
      </c>
      <c r="AJ769" s="320"/>
      <c r="AK769" s="322">
        <f t="shared" si="327"/>
        <v>759</v>
      </c>
      <c r="AL769" s="323">
        <f t="shared" si="337"/>
        <v>769</v>
      </c>
      <c r="AM769" s="322">
        <f t="shared" si="338"/>
        <v>11</v>
      </c>
      <c r="AN769" s="380" t="e">
        <f>IF(AND(AH769&gt;0,B769&lt;&gt;""),VLOOKUP(I769,'AUX-NIV3'!$B:$AO,39,FALSE)*O769,0)</f>
        <v>#N/A</v>
      </c>
      <c r="AO769" s="380" t="e">
        <f t="shared" si="328"/>
        <v>#N/A</v>
      </c>
      <c r="AP769" s="380"/>
    </row>
    <row r="770" spans="2:42" ht="14.4" hidden="1" thickTop="1" thickBot="1">
      <c r="B770" s="324" t="s">
        <v>2843</v>
      </c>
      <c r="C770" s="325" t="s">
        <v>2844</v>
      </c>
      <c r="D770" s="326" t="s">
        <v>1160</v>
      </c>
      <c r="E770" s="327">
        <f>IF(B770&lt;&gt;"",SUMIF('AUX-NIV1'!I:I,'AUX-NIV2'!B770,'AUX-NIV1'!Q:Q),"")</f>
        <v>0</v>
      </c>
      <c r="F770" s="327">
        <f t="shared" si="318"/>
        <v>3958.8865907600962</v>
      </c>
      <c r="G770" s="327">
        <f t="shared" si="319"/>
        <v>0</v>
      </c>
      <c r="H770" s="328" t="str">
        <f t="shared" si="340"/>
        <v>M</v>
      </c>
      <c r="I770" s="325" t="s">
        <v>1854</v>
      </c>
      <c r="J770" s="329" t="str">
        <f>IF(B770&lt;&gt;"",+VLOOKUP(I770,Recursos!C:F,2,FALSE),"")</f>
        <v>MEMBRANA DE CURADO</v>
      </c>
      <c r="K770" s="330" t="str">
        <f>IF(B770&lt;&gt;"",+VLOOKUP(I770,Recursos!C:F,3,FALSE),"")</f>
        <v>Kg</v>
      </c>
      <c r="L770" s="446">
        <f>IF(B770&lt;&gt;"",+VLOOKUP(I770,Recursos!C:F,4,FALSE),"")</f>
        <v>5.8</v>
      </c>
      <c r="M770" s="447">
        <v>1</v>
      </c>
      <c r="N770" s="448">
        <v>1.25</v>
      </c>
      <c r="O770" s="449">
        <f>+N770</f>
        <v>1.25</v>
      </c>
      <c r="P770" s="333">
        <f t="shared" si="315"/>
        <v>7.25</v>
      </c>
      <c r="Q770" s="327">
        <f t="shared" si="316"/>
        <v>0</v>
      </c>
      <c r="R770" s="334">
        <f t="shared" si="317"/>
        <v>0</v>
      </c>
      <c r="S770" s="335">
        <f t="shared" si="320"/>
        <v>0</v>
      </c>
      <c r="T770" s="335">
        <f t="shared" si="321"/>
        <v>0</v>
      </c>
      <c r="U770" s="336">
        <f t="shared" si="322"/>
        <v>3890.3225616949508</v>
      </c>
      <c r="V770" s="336">
        <f t="shared" si="323"/>
        <v>0</v>
      </c>
      <c r="W770" s="336">
        <f t="shared" si="324"/>
        <v>0</v>
      </c>
      <c r="X770" s="336">
        <f t="shared" si="325"/>
        <v>68.56402906514522</v>
      </c>
      <c r="Y770" s="320"/>
      <c r="Z770" s="321" t="str">
        <f t="shared" si="329"/>
        <v>X-MATA</v>
      </c>
      <c r="AA770" s="321" t="str">
        <f t="shared" si="330"/>
        <v>X-MATE</v>
      </c>
      <c r="AB770" s="321" t="str">
        <f t="shared" si="331"/>
        <v>X-MATM</v>
      </c>
      <c r="AC770" s="321" t="str">
        <f t="shared" si="332"/>
        <v>X-MATT</v>
      </c>
      <c r="AD770" s="321" t="str">
        <f t="shared" si="333"/>
        <v>X-MATS</v>
      </c>
      <c r="AE770" s="321" t="str">
        <f t="shared" si="334"/>
        <v>X-MATX</v>
      </c>
      <c r="AF770" s="321" t="str">
        <f t="shared" si="335"/>
        <v>X-MATM</v>
      </c>
      <c r="AG770" s="321">
        <f t="shared" si="326"/>
        <v>8</v>
      </c>
      <c r="AH770" s="321">
        <f>IF(B770&lt;&gt;"",IF(H770="x",VLOOKUP(I770,'AUX-NIV3'!B:AG,32,FALSE),0),"")</f>
        <v>0</v>
      </c>
      <c r="AI770" s="321" t="str">
        <f t="shared" si="336"/>
        <v>X-MAT</v>
      </c>
      <c r="AJ770" s="320"/>
      <c r="AK770" s="322">
        <f t="shared" si="327"/>
        <v>770</v>
      </c>
      <c r="AL770" s="323">
        <f t="shared" si="337"/>
        <v>777</v>
      </c>
      <c r="AM770" s="322">
        <f t="shared" si="338"/>
        <v>1</v>
      </c>
      <c r="AN770" s="380">
        <f>IF(AND(AH770&gt;0,B770&lt;&gt;""),VLOOKUP(I770,'AUX-NIV3'!$B:$AO,39,FALSE)*O770,0)</f>
        <v>0</v>
      </c>
      <c r="AO770" s="380">
        <f t="shared" si="328"/>
        <v>2.1375000000000002E-2</v>
      </c>
      <c r="AP770" s="380"/>
    </row>
    <row r="771" spans="2:42" ht="14.4" hidden="1" thickTop="1" thickBot="1">
      <c r="B771" s="324" t="s">
        <v>2843</v>
      </c>
      <c r="C771" s="325" t="s">
        <v>2844</v>
      </c>
      <c r="D771" s="326" t="s">
        <v>1160</v>
      </c>
      <c r="E771" s="327">
        <f>IF(B771&lt;&gt;"",SUMIF('AUX-NIV1'!I:I,'AUX-NIV2'!B771,'AUX-NIV1'!Q:Q),"")</f>
        <v>0</v>
      </c>
      <c r="F771" s="327">
        <f t="shared" si="318"/>
        <v>3958.8865907600962</v>
      </c>
      <c r="G771" s="327">
        <f t="shared" si="319"/>
        <v>0</v>
      </c>
      <c r="H771" s="328" t="str">
        <f t="shared" si="340"/>
        <v>M</v>
      </c>
      <c r="I771" s="325" t="s">
        <v>1856</v>
      </c>
      <c r="J771" s="329" t="str">
        <f>IF(B771&lt;&gt;"",+VLOOKUP(I771,Recursos!C:F,2,FALSE),"")</f>
        <v>PLASTIFICANTE</v>
      </c>
      <c r="K771" s="330" t="str">
        <f>IF(B771&lt;&gt;"",+VLOOKUP(I771,Recursos!C:F,3,FALSE),"")</f>
        <v>Kg</v>
      </c>
      <c r="L771" s="446">
        <f>IF(B771&lt;&gt;"",+VLOOKUP(I771,Recursos!C:F,4,FALSE),"")</f>
        <v>108</v>
      </c>
      <c r="M771" s="452">
        <v>0.05</v>
      </c>
      <c r="N771" s="455">
        <f>+M773</f>
        <v>0.38</v>
      </c>
      <c r="O771" s="449">
        <f>+N771*M771*100</f>
        <v>1.9000000000000004</v>
      </c>
      <c r="P771" s="333">
        <f t="shared" si="315"/>
        <v>205.20000000000005</v>
      </c>
      <c r="Q771" s="327">
        <f t="shared" si="316"/>
        <v>0</v>
      </c>
      <c r="R771" s="334">
        <f t="shared" si="317"/>
        <v>0</v>
      </c>
      <c r="S771" s="335">
        <f t="shared" si="320"/>
        <v>0</v>
      </c>
      <c r="T771" s="335">
        <f t="shared" si="321"/>
        <v>0</v>
      </c>
      <c r="U771" s="336">
        <f t="shared" si="322"/>
        <v>3890.3225616949508</v>
      </c>
      <c r="V771" s="336">
        <f t="shared" si="323"/>
        <v>0</v>
      </c>
      <c r="W771" s="336">
        <f t="shared" si="324"/>
        <v>0</v>
      </c>
      <c r="X771" s="336">
        <f t="shared" si="325"/>
        <v>68.56402906514522</v>
      </c>
      <c r="Y771" s="320"/>
      <c r="Z771" s="321" t="str">
        <f t="shared" si="329"/>
        <v>X-MATA</v>
      </c>
      <c r="AA771" s="321" t="str">
        <f t="shared" si="330"/>
        <v>X-MATE</v>
      </c>
      <c r="AB771" s="321" t="str">
        <f t="shared" si="331"/>
        <v>X-MATM</v>
      </c>
      <c r="AC771" s="321" t="str">
        <f t="shared" si="332"/>
        <v>X-MATT</v>
      </c>
      <c r="AD771" s="321" t="str">
        <f t="shared" si="333"/>
        <v>X-MATS</v>
      </c>
      <c r="AE771" s="321" t="str">
        <f t="shared" si="334"/>
        <v>X-MATX</v>
      </c>
      <c r="AF771" s="321" t="str">
        <f t="shared" si="335"/>
        <v>X-MATM</v>
      </c>
      <c r="AG771" s="321">
        <f t="shared" si="326"/>
        <v>8</v>
      </c>
      <c r="AH771" s="321">
        <f>IF(B771&lt;&gt;"",IF(H771="x",VLOOKUP(I771,'AUX-NIV3'!B:AG,32,FALSE),0),"")</f>
        <v>0</v>
      </c>
      <c r="AI771" s="321" t="str">
        <f t="shared" si="336"/>
        <v>X-MAT</v>
      </c>
      <c r="AJ771" s="320"/>
      <c r="AK771" s="322">
        <f t="shared" si="327"/>
        <v>770</v>
      </c>
      <c r="AL771" s="323">
        <f t="shared" si="337"/>
        <v>777</v>
      </c>
      <c r="AM771" s="322">
        <f t="shared" si="338"/>
        <v>2</v>
      </c>
      <c r="AN771" s="380">
        <f>IF(AND(AH771&gt;0,B771&lt;&gt;""),VLOOKUP(I771,'AUX-NIV3'!$B:$AO,39,FALSE)*O771,0)</f>
        <v>0</v>
      </c>
      <c r="AO771" s="380">
        <f t="shared" si="328"/>
        <v>2.1375000000000002E-2</v>
      </c>
      <c r="AP771" s="380"/>
    </row>
    <row r="772" spans="2:42" ht="14.4" hidden="1" thickTop="1" thickBot="1">
      <c r="B772" s="324" t="s">
        <v>2843</v>
      </c>
      <c r="C772" s="325" t="s">
        <v>2844</v>
      </c>
      <c r="D772" s="326" t="s">
        <v>1160</v>
      </c>
      <c r="E772" s="327">
        <f>IF(B772&lt;&gt;"",SUMIF('AUX-NIV1'!I:I,'AUX-NIV2'!B772,'AUX-NIV1'!Q:Q),"")</f>
        <v>0</v>
      </c>
      <c r="F772" s="327">
        <f t="shared" si="318"/>
        <v>3958.8865907600962</v>
      </c>
      <c r="G772" s="327">
        <f t="shared" si="319"/>
        <v>0</v>
      </c>
      <c r="H772" s="328" t="str">
        <f t="shared" si="340"/>
        <v>M</v>
      </c>
      <c r="I772" s="325" t="s">
        <v>1859</v>
      </c>
      <c r="J772" s="329" t="str">
        <f>IF(B772&lt;&gt;"",+VLOOKUP(I772,Recursos!C:F,2,FALSE),"")</f>
        <v>INCORPORADOR DE AIRE</v>
      </c>
      <c r="K772" s="330" t="str">
        <f>IF(B772&lt;&gt;"",+VLOOKUP(I772,Recursos!C:F,3,FALSE),"")</f>
        <v>Kg</v>
      </c>
      <c r="L772" s="446">
        <f>IF(B772&lt;&gt;"",+VLOOKUP(I772,Recursos!C:F,4,FALSE),"")</f>
        <v>1.2649999999999999</v>
      </c>
      <c r="M772" s="454">
        <f>+M773</f>
        <v>0.38</v>
      </c>
      <c r="N772" s="453">
        <v>0.5</v>
      </c>
      <c r="O772" s="449">
        <f>+M772*M771*N772*100</f>
        <v>0.95000000000000018</v>
      </c>
      <c r="P772" s="333">
        <f t="shared" ref="P772:P833" si="342">IF(B772&lt;&gt;"",O772*L772,"")</f>
        <v>1.2017500000000001</v>
      </c>
      <c r="Q772" s="327">
        <f t="shared" ref="Q772:Q833" si="343">IF(B772&lt;&gt;"",+O772*E772,"")</f>
        <v>0</v>
      </c>
      <c r="R772" s="334">
        <f t="shared" ref="R772:R833" si="344">IF(B772&lt;&gt;"",Q772*L772,"")</f>
        <v>0</v>
      </c>
      <c r="S772" s="335">
        <f t="shared" si="320"/>
        <v>0</v>
      </c>
      <c r="T772" s="335">
        <f t="shared" si="321"/>
        <v>0</v>
      </c>
      <c r="U772" s="336">
        <f t="shared" si="322"/>
        <v>3890.3225616949508</v>
      </c>
      <c r="V772" s="336">
        <f t="shared" si="323"/>
        <v>0</v>
      </c>
      <c r="W772" s="336">
        <f t="shared" si="324"/>
        <v>0</v>
      </c>
      <c r="X772" s="336">
        <f t="shared" si="325"/>
        <v>68.56402906514522</v>
      </c>
      <c r="Y772" s="320"/>
      <c r="Z772" s="321" t="str">
        <f t="shared" si="329"/>
        <v>X-MATA</v>
      </c>
      <c r="AA772" s="321" t="str">
        <f t="shared" si="330"/>
        <v>X-MATE</v>
      </c>
      <c r="AB772" s="321" t="str">
        <f t="shared" si="331"/>
        <v>X-MATM</v>
      </c>
      <c r="AC772" s="321" t="str">
        <f t="shared" si="332"/>
        <v>X-MATT</v>
      </c>
      <c r="AD772" s="321" t="str">
        <f t="shared" si="333"/>
        <v>X-MATS</v>
      </c>
      <c r="AE772" s="321" t="str">
        <f t="shared" si="334"/>
        <v>X-MATX</v>
      </c>
      <c r="AF772" s="321" t="str">
        <f t="shared" si="335"/>
        <v>X-MATM</v>
      </c>
      <c r="AG772" s="321">
        <f t="shared" si="326"/>
        <v>8</v>
      </c>
      <c r="AH772" s="321">
        <f>IF(B772&lt;&gt;"",IF(H772="x",VLOOKUP(I772,'AUX-NIV3'!B:AG,32,FALSE),0),"")</f>
        <v>0</v>
      </c>
      <c r="AI772" s="321" t="str">
        <f t="shared" si="336"/>
        <v>X-MAT</v>
      </c>
      <c r="AJ772" s="320"/>
      <c r="AK772" s="322">
        <f t="shared" si="327"/>
        <v>770</v>
      </c>
      <c r="AL772" s="323">
        <f t="shared" si="337"/>
        <v>777</v>
      </c>
      <c r="AM772" s="322">
        <f t="shared" si="338"/>
        <v>3</v>
      </c>
      <c r="AN772" s="380">
        <f>IF(AND(AH772&gt;0,B772&lt;&gt;""),VLOOKUP(I772,'AUX-NIV3'!$B:$AO,39,FALSE)*O772,0)</f>
        <v>0</v>
      </c>
      <c r="AO772" s="380">
        <f t="shared" si="328"/>
        <v>2.1375000000000002E-2</v>
      </c>
      <c r="AP772" s="380"/>
    </row>
    <row r="773" spans="2:42" ht="14.4" hidden="1" thickTop="1" thickBot="1">
      <c r="B773" s="324" t="s">
        <v>2843</v>
      </c>
      <c r="C773" s="325" t="s">
        <v>2844</v>
      </c>
      <c r="D773" s="326" t="s">
        <v>1160</v>
      </c>
      <c r="E773" s="327">
        <f>IF(B773&lt;&gt;"",SUMIF('AUX-NIV1'!I:I,'AUX-NIV2'!B773,'AUX-NIV1'!Q:Q),"")</f>
        <v>0</v>
      </c>
      <c r="F773" s="327">
        <f t="shared" si="318"/>
        <v>3958.8865907600962</v>
      </c>
      <c r="G773" s="327">
        <f t="shared" si="319"/>
        <v>0</v>
      </c>
      <c r="H773" s="328" t="str">
        <f t="shared" si="340"/>
        <v>M</v>
      </c>
      <c r="I773" s="325" t="s">
        <v>1890</v>
      </c>
      <c r="J773" s="329" t="str">
        <f>IF(B773&lt;&gt;"",+VLOOKUP(I773,Recursos!C:F,2,FALSE),"")</f>
        <v>CEMENTO PORTLAND (granel,en obra)</v>
      </c>
      <c r="K773" s="330" t="str">
        <f>IF(B773&lt;&gt;"",+VLOOKUP(I773,Recursos!C:F,3,FALSE),"")</f>
        <v>Tn</v>
      </c>
      <c r="L773" s="446">
        <f>IF(B773&lt;&gt;"",+VLOOKUP(I773,Recursos!C:F,4,FALSE),"")</f>
        <v>5970</v>
      </c>
      <c r="M773" s="452">
        <v>0.38</v>
      </c>
      <c r="N773" s="453">
        <v>1.03</v>
      </c>
      <c r="O773" s="449">
        <f>+M773</f>
        <v>0.38</v>
      </c>
      <c r="P773" s="333">
        <f t="shared" si="342"/>
        <v>2268.6</v>
      </c>
      <c r="Q773" s="327">
        <f t="shared" si="343"/>
        <v>0</v>
      </c>
      <c r="R773" s="334">
        <f t="shared" si="344"/>
        <v>0</v>
      </c>
      <c r="S773" s="335">
        <f t="shared" si="320"/>
        <v>0</v>
      </c>
      <c r="T773" s="335">
        <f t="shared" si="321"/>
        <v>0</v>
      </c>
      <c r="U773" s="336">
        <f t="shared" si="322"/>
        <v>3890.3225616949508</v>
      </c>
      <c r="V773" s="336">
        <f t="shared" si="323"/>
        <v>0</v>
      </c>
      <c r="W773" s="336">
        <f t="shared" si="324"/>
        <v>0</v>
      </c>
      <c r="X773" s="336">
        <f t="shared" si="325"/>
        <v>68.56402906514522</v>
      </c>
      <c r="Y773" s="320"/>
      <c r="Z773" s="321" t="str">
        <f t="shared" si="329"/>
        <v>X-MATA</v>
      </c>
      <c r="AA773" s="321" t="str">
        <f t="shared" si="330"/>
        <v>X-MATE</v>
      </c>
      <c r="AB773" s="321" t="str">
        <f t="shared" si="331"/>
        <v>X-MATM</v>
      </c>
      <c r="AC773" s="321" t="str">
        <f t="shared" si="332"/>
        <v>X-MATT</v>
      </c>
      <c r="AD773" s="321" t="str">
        <f t="shared" si="333"/>
        <v>X-MATS</v>
      </c>
      <c r="AE773" s="321" t="str">
        <f t="shared" si="334"/>
        <v>X-MATX</v>
      </c>
      <c r="AF773" s="321" t="str">
        <f t="shared" si="335"/>
        <v>X-MATM</v>
      </c>
      <c r="AG773" s="321">
        <f t="shared" si="326"/>
        <v>8</v>
      </c>
      <c r="AH773" s="321">
        <f>IF(B773&lt;&gt;"",IF(H773="x",VLOOKUP(I773,'AUX-NIV3'!B:AG,32,FALSE),0),"")</f>
        <v>0</v>
      </c>
      <c r="AI773" s="321" t="str">
        <f t="shared" si="336"/>
        <v>X-MAT</v>
      </c>
      <c r="AJ773" s="320"/>
      <c r="AK773" s="322">
        <f t="shared" si="327"/>
        <v>770</v>
      </c>
      <c r="AL773" s="323">
        <f t="shared" si="337"/>
        <v>777</v>
      </c>
      <c r="AM773" s="322">
        <f t="shared" si="338"/>
        <v>4</v>
      </c>
      <c r="AN773" s="380">
        <f>IF(AND(AH773&gt;0,B773&lt;&gt;""),VLOOKUP(I773,'AUX-NIV3'!$B:$AO,39,FALSE)*O773,0)</f>
        <v>0</v>
      </c>
      <c r="AO773" s="380">
        <f t="shared" si="328"/>
        <v>2.1375000000000002E-2</v>
      </c>
      <c r="AP773" s="380"/>
    </row>
    <row r="774" spans="2:42" ht="14.4" hidden="1" thickTop="1" thickBot="1">
      <c r="B774" s="324" t="s">
        <v>2843</v>
      </c>
      <c r="C774" s="325" t="s">
        <v>2844</v>
      </c>
      <c r="D774" s="326" t="s">
        <v>1160</v>
      </c>
      <c r="E774" s="327">
        <f>IF(B774&lt;&gt;"",SUMIF('AUX-NIV1'!I:I,'AUX-NIV2'!B774,'AUX-NIV1'!Q:Q),"")</f>
        <v>0</v>
      </c>
      <c r="F774" s="327">
        <f t="shared" si="318"/>
        <v>3958.8865907600962</v>
      </c>
      <c r="G774" s="327">
        <f t="shared" si="319"/>
        <v>0</v>
      </c>
      <c r="H774" s="328" t="str">
        <f t="shared" si="340"/>
        <v>M</v>
      </c>
      <c r="I774" s="324" t="s">
        <v>1510</v>
      </c>
      <c r="J774" s="329" t="str">
        <f>IF(B774&lt;&gt;"",+VLOOKUP(I774,Recursos!C:F,2,FALSE),"")</f>
        <v>AGREGADO GRUESO</v>
      </c>
      <c r="K774" s="330" t="str">
        <f>IF(B774&lt;&gt;"",+VLOOKUP(I774,Recursos!C:F,3,FALSE),"")</f>
        <v>Tn</v>
      </c>
      <c r="L774" s="446">
        <f>IF(B774&lt;&gt;"",+VLOOKUP(I774,Recursos!C:F,4,FALSE),"")</f>
        <v>900</v>
      </c>
      <c r="M774" s="452">
        <v>0.6</v>
      </c>
      <c r="N774" s="453">
        <v>0.45</v>
      </c>
      <c r="O774" s="449">
        <f>+M774*(N776-(M773*(1+N774)))</f>
        <v>1.1093999999999999</v>
      </c>
      <c r="P774" s="333">
        <f t="shared" si="342"/>
        <v>998.45999999999992</v>
      </c>
      <c r="Q774" s="327">
        <f t="shared" si="343"/>
        <v>0</v>
      </c>
      <c r="R774" s="334">
        <f t="shared" si="344"/>
        <v>0</v>
      </c>
      <c r="S774" s="335">
        <f t="shared" si="320"/>
        <v>0</v>
      </c>
      <c r="T774" s="335">
        <f t="shared" si="321"/>
        <v>0</v>
      </c>
      <c r="U774" s="336">
        <f t="shared" si="322"/>
        <v>3890.3225616949508</v>
      </c>
      <c r="V774" s="336">
        <f t="shared" si="323"/>
        <v>0</v>
      </c>
      <c r="W774" s="336">
        <f t="shared" si="324"/>
        <v>0</v>
      </c>
      <c r="X774" s="336">
        <f t="shared" si="325"/>
        <v>68.56402906514522</v>
      </c>
      <c r="Y774" s="320"/>
      <c r="Z774" s="321" t="str">
        <f t="shared" si="329"/>
        <v>X-MATA</v>
      </c>
      <c r="AA774" s="321" t="str">
        <f t="shared" si="330"/>
        <v>X-MATE</v>
      </c>
      <c r="AB774" s="321" t="str">
        <f t="shared" si="331"/>
        <v>X-MATM</v>
      </c>
      <c r="AC774" s="321" t="str">
        <f t="shared" si="332"/>
        <v>X-MATT</v>
      </c>
      <c r="AD774" s="321" t="str">
        <f t="shared" si="333"/>
        <v>X-MATS</v>
      </c>
      <c r="AE774" s="321" t="str">
        <f t="shared" si="334"/>
        <v>X-MATX</v>
      </c>
      <c r="AF774" s="321" t="str">
        <f t="shared" si="335"/>
        <v>X-MATM</v>
      </c>
      <c r="AG774" s="321">
        <f t="shared" si="326"/>
        <v>8</v>
      </c>
      <c r="AH774" s="321">
        <f>IF(B774&lt;&gt;"",IF(H774="x",VLOOKUP(I774,'AUX-NIV3'!B:AG,32,FALSE),0),"")</f>
        <v>0</v>
      </c>
      <c r="AI774" s="321" t="str">
        <f t="shared" si="336"/>
        <v>X-MAT</v>
      </c>
      <c r="AJ774" s="320"/>
      <c r="AK774" s="322">
        <f t="shared" si="327"/>
        <v>770</v>
      </c>
      <c r="AL774" s="323">
        <f t="shared" si="337"/>
        <v>777</v>
      </c>
      <c r="AM774" s="322">
        <f t="shared" si="338"/>
        <v>5</v>
      </c>
      <c r="AN774" s="380">
        <f>IF(AND(AH774&gt;0,B774&lt;&gt;""),VLOOKUP(I774,'AUX-NIV3'!$B:$AO,39,FALSE)*O774,0)</f>
        <v>0</v>
      </c>
      <c r="AO774" s="380">
        <f t="shared" si="328"/>
        <v>2.1375000000000002E-2</v>
      </c>
      <c r="AP774" s="380"/>
    </row>
    <row r="775" spans="2:42" ht="14.4" hidden="1" thickTop="1" thickBot="1">
      <c r="B775" s="324" t="s">
        <v>2843</v>
      </c>
      <c r="C775" s="325" t="s">
        <v>2844</v>
      </c>
      <c r="D775" s="326" t="s">
        <v>1160</v>
      </c>
      <c r="E775" s="327">
        <f>IF(B775&lt;&gt;"",SUMIF('AUX-NIV1'!I:I,'AUX-NIV2'!B775,'AUX-NIV1'!Q:Q),"")</f>
        <v>0</v>
      </c>
      <c r="F775" s="327">
        <f t="shared" ref="F775:F838" si="345">IF(B775&lt;&gt;"",+SUMIF(B:B,B775,P:P),"")</f>
        <v>3958.8865907600962</v>
      </c>
      <c r="G775" s="327">
        <f t="shared" ref="G775:G838" si="346">IF(B775&lt;&gt;"",+SUMIF(B:B,B775,R:R),"")</f>
        <v>0</v>
      </c>
      <c r="H775" s="328" t="str">
        <f t="shared" si="340"/>
        <v>M</v>
      </c>
      <c r="I775" s="325" t="s">
        <v>1511</v>
      </c>
      <c r="J775" s="329" t="str">
        <f>IF(B775&lt;&gt;"",+VLOOKUP(I775,Recursos!C:F,2,FALSE),"")</f>
        <v>AGREGADO FINO</v>
      </c>
      <c r="K775" s="330" t="str">
        <f>IF(B775&lt;&gt;"",+VLOOKUP(I775,Recursos!C:F,3,FALSE),"")</f>
        <v>tn</v>
      </c>
      <c r="L775" s="446">
        <f>IF(B775&lt;&gt;"",+VLOOKUP(I775,Recursos!C:F,4,FALSE),"")</f>
        <v>346.12398419675657</v>
      </c>
      <c r="M775" s="452">
        <v>0.25</v>
      </c>
      <c r="N775" s="453"/>
      <c r="O775" s="449">
        <f>+M775*(N776-(M773*(1+N774)))</f>
        <v>0.46224999999999999</v>
      </c>
      <c r="P775" s="333">
        <f t="shared" si="342"/>
        <v>159.99581169495073</v>
      </c>
      <c r="Q775" s="327">
        <f t="shared" si="343"/>
        <v>0</v>
      </c>
      <c r="R775" s="334">
        <f t="shared" si="344"/>
        <v>0</v>
      </c>
      <c r="S775" s="335">
        <f t="shared" ref="S775:S838" si="347">IF(B775&lt;&gt;"",+SUMIF($AF:$AF,Z775,$P:$P),"")</f>
        <v>0</v>
      </c>
      <c r="T775" s="335">
        <f t="shared" ref="T775:T838" si="348">IF(B775&lt;&gt;"",+SUMIF($AF:$AF,AA775,$P:$P),"")</f>
        <v>0</v>
      </c>
      <c r="U775" s="336">
        <f t="shared" ref="U775:U838" si="349">IF(B775&lt;&gt;"",+SUMIF($AF:$AF,AB775,$P:$P),"")</f>
        <v>3890.3225616949508</v>
      </c>
      <c r="V775" s="336">
        <f t="shared" ref="V775:V838" si="350">IF(B775&lt;&gt;"",+SUMIF($AF:$AF,AC775,$P:$P),"")</f>
        <v>0</v>
      </c>
      <c r="W775" s="336">
        <f t="shared" ref="W775:W838" si="351">IF(B775&lt;&gt;"",+SUMIF($AF:$AF,AD775,$P:$P),"")</f>
        <v>0</v>
      </c>
      <c r="X775" s="336">
        <f t="shared" ref="X775:X838" si="352">IF(B775&lt;&gt;"",+SUMIF($AF:$AF,AE775,$P:$P),"")</f>
        <v>68.56402906514522</v>
      </c>
      <c r="Y775" s="320"/>
      <c r="Z775" s="321" t="str">
        <f t="shared" si="329"/>
        <v>X-MATA</v>
      </c>
      <c r="AA775" s="321" t="str">
        <f t="shared" si="330"/>
        <v>X-MATE</v>
      </c>
      <c r="AB775" s="321" t="str">
        <f t="shared" si="331"/>
        <v>X-MATM</v>
      </c>
      <c r="AC775" s="321" t="str">
        <f t="shared" si="332"/>
        <v>X-MATT</v>
      </c>
      <c r="AD775" s="321" t="str">
        <f t="shared" si="333"/>
        <v>X-MATS</v>
      </c>
      <c r="AE775" s="321" t="str">
        <f t="shared" si="334"/>
        <v>X-MATX</v>
      </c>
      <c r="AF775" s="321" t="str">
        <f t="shared" si="335"/>
        <v>X-MATM</v>
      </c>
      <c r="AG775" s="321">
        <f t="shared" ref="AG775:AG838" si="353">IF(B775&lt;&gt;"",+COUNTIF(B:B,B775),"")</f>
        <v>8</v>
      </c>
      <c r="AH775" s="321">
        <f>IF(B775&lt;&gt;"",IF(H775="x",VLOOKUP(I775,'AUX-NIV3'!B:AG,32,FALSE),0),"")</f>
        <v>0</v>
      </c>
      <c r="AI775" s="321" t="str">
        <f t="shared" si="336"/>
        <v>X-MAT</v>
      </c>
      <c r="AJ775" s="320"/>
      <c r="AK775" s="322">
        <f t="shared" ref="AK775:AK838" si="354">IF(B775&lt;&gt;"",+MATCH(B775,B:B,0),"")</f>
        <v>770</v>
      </c>
      <c r="AL775" s="323">
        <f t="shared" si="337"/>
        <v>777</v>
      </c>
      <c r="AM775" s="322">
        <f t="shared" si="338"/>
        <v>6</v>
      </c>
      <c r="AN775" s="380">
        <f>IF(AND(AH775&gt;0,B775&lt;&gt;""),VLOOKUP(I775,'AUX-NIV3'!$B:$AO,39,FALSE)*O775,0)</f>
        <v>0</v>
      </c>
      <c r="AO775" s="380">
        <f t="shared" ref="AO775:AO838" si="355">+IF(B775&lt;&gt;"",SUMIF(AF:AF,Z775,O:O)+SUMIF(Z:Z,Z775,AN:AN),0)</f>
        <v>2.1375000000000002E-2</v>
      </c>
      <c r="AP775" s="380"/>
    </row>
    <row r="776" spans="2:42" ht="14.4" hidden="1" thickTop="1" thickBot="1">
      <c r="B776" s="324" t="s">
        <v>2843</v>
      </c>
      <c r="C776" s="325" t="s">
        <v>2844</v>
      </c>
      <c r="D776" s="326" t="s">
        <v>1160</v>
      </c>
      <c r="E776" s="327">
        <f>IF(B776&lt;&gt;"",SUMIF('AUX-NIV1'!I:I,'AUX-NIV2'!B776,'AUX-NIV1'!Q:Q),"")</f>
        <v>0</v>
      </c>
      <c r="F776" s="327">
        <f t="shared" si="345"/>
        <v>3958.8865907600962</v>
      </c>
      <c r="G776" s="327">
        <f t="shared" si="346"/>
        <v>0</v>
      </c>
      <c r="H776" s="328" t="str">
        <f t="shared" si="340"/>
        <v>M</v>
      </c>
      <c r="I776" s="325" t="s">
        <v>1512</v>
      </c>
      <c r="J776" s="329" t="str">
        <f>IF(B776&lt;&gt;"",+VLOOKUP(I776,Recursos!C:F,2,FALSE),"")</f>
        <v>ARENA ZARANDEADA</v>
      </c>
      <c r="K776" s="330" t="str">
        <f>IF(B776&lt;&gt;"",+VLOOKUP(I776,Recursos!C:F,3,FALSE),"")</f>
        <v>Tn</v>
      </c>
      <c r="L776" s="446">
        <f>IF(B776&lt;&gt;"",+VLOOKUP(I776,Recursos!C:F,4,FALSE),"")</f>
        <v>900</v>
      </c>
      <c r="M776" s="454">
        <f>1-M774-M775</f>
        <v>0.15000000000000002</v>
      </c>
      <c r="N776" s="453">
        <v>2.4</v>
      </c>
      <c r="O776" s="449">
        <f>+M776*(N776-(M773*(1+N774)))</f>
        <v>0.27735000000000004</v>
      </c>
      <c r="P776" s="333">
        <f t="shared" si="342"/>
        <v>249.61500000000004</v>
      </c>
      <c r="Q776" s="327">
        <f t="shared" si="343"/>
        <v>0</v>
      </c>
      <c r="R776" s="334">
        <f t="shared" si="344"/>
        <v>0</v>
      </c>
      <c r="S776" s="335">
        <f t="shared" si="347"/>
        <v>0</v>
      </c>
      <c r="T776" s="335">
        <f t="shared" si="348"/>
        <v>0</v>
      </c>
      <c r="U776" s="336">
        <f t="shared" si="349"/>
        <v>3890.3225616949508</v>
      </c>
      <c r="V776" s="336">
        <f t="shared" si="350"/>
        <v>0</v>
      </c>
      <c r="W776" s="336">
        <f t="shared" si="351"/>
        <v>0</v>
      </c>
      <c r="X776" s="336">
        <f t="shared" si="352"/>
        <v>68.56402906514522</v>
      </c>
      <c r="Y776" s="320"/>
      <c r="Z776" s="321" t="str">
        <f t="shared" ref="Z776:Z839" si="356">IF(B776&lt;&gt;"",+$B776&amp;"A","")</f>
        <v>X-MATA</v>
      </c>
      <c r="AA776" s="321" t="str">
        <f t="shared" ref="AA776:AA839" si="357">IF(B776&lt;&gt;"",+$B776&amp;"E","")</f>
        <v>X-MATE</v>
      </c>
      <c r="AB776" s="321" t="str">
        <f t="shared" ref="AB776:AB839" si="358">IF(B776&lt;&gt;"",++$B776&amp;"M","")</f>
        <v>X-MATM</v>
      </c>
      <c r="AC776" s="321" t="str">
        <f t="shared" ref="AC776:AC839" si="359">IF(B776&lt;&gt;"",+$B776&amp;"T","")</f>
        <v>X-MATT</v>
      </c>
      <c r="AD776" s="321" t="str">
        <f t="shared" ref="AD776:AD839" si="360">IF(B776&lt;&gt;"",+$B776&amp;"S","")</f>
        <v>X-MATS</v>
      </c>
      <c r="AE776" s="321" t="str">
        <f t="shared" ref="AE776:AE839" si="361">IF(B776&lt;&gt;"",+$B776&amp;"X","")</f>
        <v>X-MATX</v>
      </c>
      <c r="AF776" s="321" t="str">
        <f t="shared" ref="AF776:AF839" si="362">IF(B776&lt;&gt;"",+B776&amp;H776,"")</f>
        <v>X-MATM</v>
      </c>
      <c r="AG776" s="321">
        <f t="shared" si="353"/>
        <v>8</v>
      </c>
      <c r="AH776" s="321">
        <f>IF(B776&lt;&gt;"",IF(H776="x",VLOOKUP(I776,'AUX-NIV3'!B:AG,32,FALSE),0),"")</f>
        <v>0</v>
      </c>
      <c r="AI776" s="321" t="str">
        <f t="shared" ref="AI776:AI839" si="363">IF(B776&lt;&gt;"",+B776,"")</f>
        <v>X-MAT</v>
      </c>
      <c r="AJ776" s="320"/>
      <c r="AK776" s="322">
        <f t="shared" si="354"/>
        <v>770</v>
      </c>
      <c r="AL776" s="323">
        <f t="shared" ref="AL776:AL839" si="364">IF(B776&lt;&gt;"",+AK776+AG776-1,"")</f>
        <v>777</v>
      </c>
      <c r="AM776" s="322">
        <f t="shared" ref="AM776:AM839" si="365">IF(B776&lt;&gt;"",IF(B776=B775,1+AM775,1),"")</f>
        <v>7</v>
      </c>
      <c r="AN776" s="380">
        <f>IF(AND(AH776&gt;0,B776&lt;&gt;""),VLOOKUP(I776,'AUX-NIV3'!$B:$AO,39,FALSE)*O776,0)</f>
        <v>0</v>
      </c>
      <c r="AO776" s="380">
        <f t="shared" si="355"/>
        <v>2.1375000000000002E-2</v>
      </c>
      <c r="AP776" s="380"/>
    </row>
    <row r="777" spans="2:42" ht="14.4" hidden="1" thickTop="1" thickBot="1">
      <c r="B777" s="324" t="s">
        <v>2843</v>
      </c>
      <c r="C777" s="325" t="s">
        <v>2844</v>
      </c>
      <c r="D777" s="326" t="s">
        <v>1160</v>
      </c>
      <c r="E777" s="327">
        <f>IF(B777&lt;&gt;"",SUMIF('AUX-NIV1'!I:I,'AUX-NIV2'!B777,'AUX-NIV1'!Q:Q),"")</f>
        <v>0</v>
      </c>
      <c r="F777" s="327">
        <f t="shared" si="345"/>
        <v>3958.8865907600962</v>
      </c>
      <c r="G777" s="327">
        <f t="shared" si="346"/>
        <v>0</v>
      </c>
      <c r="H777" s="328" t="str">
        <f t="shared" si="340"/>
        <v>X</v>
      </c>
      <c r="I777" s="325" t="s">
        <v>1499</v>
      </c>
      <c r="J777" s="329" t="str">
        <f>IF(B777&lt;&gt;"",+VLOOKUP(I777,Recursos!C:F,2,FALSE),"")</f>
        <v>Agua para hormigones</v>
      </c>
      <c r="K777" s="330" t="str">
        <f>IF(B777&lt;&gt;"",+VLOOKUP(I777,Recursos!C:F,3,FALSE),"")</f>
        <v>m3</v>
      </c>
      <c r="L777" s="446">
        <f>IF(B777&lt;&gt;"",+VLOOKUP(I777,Recursos!C:F,4,FALSE),"")</f>
        <v>400.95923429909482</v>
      </c>
      <c r="M777" s="456"/>
      <c r="N777" s="507"/>
      <c r="O777" s="449">
        <f>+N774*M773</f>
        <v>0.17100000000000001</v>
      </c>
      <c r="P777" s="333">
        <f t="shared" si="342"/>
        <v>68.56402906514522</v>
      </c>
      <c r="Q777" s="327">
        <f t="shared" si="343"/>
        <v>0</v>
      </c>
      <c r="R777" s="334">
        <f t="shared" si="344"/>
        <v>0</v>
      </c>
      <c r="S777" s="335">
        <f t="shared" si="347"/>
        <v>0</v>
      </c>
      <c r="T777" s="335">
        <f t="shared" si="348"/>
        <v>0</v>
      </c>
      <c r="U777" s="336">
        <f t="shared" si="349"/>
        <v>3890.3225616949508</v>
      </c>
      <c r="V777" s="336">
        <f t="shared" si="350"/>
        <v>0</v>
      </c>
      <c r="W777" s="336">
        <f t="shared" si="351"/>
        <v>0</v>
      </c>
      <c r="X777" s="336">
        <f t="shared" si="352"/>
        <v>68.56402906514522</v>
      </c>
      <c r="Y777" s="320"/>
      <c r="Z777" s="321" t="str">
        <f t="shared" si="356"/>
        <v>X-MATA</v>
      </c>
      <c r="AA777" s="321" t="str">
        <f t="shared" si="357"/>
        <v>X-MATE</v>
      </c>
      <c r="AB777" s="321" t="str">
        <f t="shared" si="358"/>
        <v>X-MATM</v>
      </c>
      <c r="AC777" s="321" t="str">
        <f t="shared" si="359"/>
        <v>X-MATT</v>
      </c>
      <c r="AD777" s="321" t="str">
        <f t="shared" si="360"/>
        <v>X-MATS</v>
      </c>
      <c r="AE777" s="321" t="str">
        <f t="shared" si="361"/>
        <v>X-MATX</v>
      </c>
      <c r="AF777" s="321" t="str">
        <f t="shared" si="362"/>
        <v>X-MATX</v>
      </c>
      <c r="AG777" s="321">
        <f t="shared" si="353"/>
        <v>8</v>
      </c>
      <c r="AH777" s="321">
        <f>IF(B777&lt;&gt;"",IF(H777="x",VLOOKUP(I777,'AUX-NIV3'!B:AG,32,FALSE),0),"")</f>
        <v>4</v>
      </c>
      <c r="AI777" s="321" t="str">
        <f t="shared" si="363"/>
        <v>X-MAT</v>
      </c>
      <c r="AJ777" s="320"/>
      <c r="AK777" s="322">
        <f t="shared" si="354"/>
        <v>770</v>
      </c>
      <c r="AL777" s="323">
        <f t="shared" si="364"/>
        <v>777</v>
      </c>
      <c r="AM777" s="322">
        <f t="shared" si="365"/>
        <v>8</v>
      </c>
      <c r="AN777" s="380">
        <f>IF(AND(AH777&gt;0,B777&lt;&gt;""),VLOOKUP(I777,'AUX-NIV3'!$B:$AO,39,FALSE)*O777,0)</f>
        <v>2.1375000000000002E-2</v>
      </c>
      <c r="AO777" s="380">
        <f t="shared" si="355"/>
        <v>2.1375000000000002E-2</v>
      </c>
      <c r="AP777" s="380"/>
    </row>
    <row r="778" spans="2:42" ht="14.4" hidden="1" thickTop="1" thickBot="1">
      <c r="B778" s="324" t="s">
        <v>2845</v>
      </c>
      <c r="C778" s="325" t="s">
        <v>2846</v>
      </c>
      <c r="D778" s="326" t="s">
        <v>1160</v>
      </c>
      <c r="E778" s="327">
        <f>IF(B778&lt;&gt;"",SUMIF('AUX-NIV1'!I:I,'AUX-NIV2'!B778,'AUX-NIV1'!Q:Q),"")</f>
        <v>0</v>
      </c>
      <c r="F778" s="327">
        <f t="shared" si="345"/>
        <v>904.61099353814541</v>
      </c>
      <c r="G778" s="327">
        <f t="shared" si="346"/>
        <v>0</v>
      </c>
      <c r="H778" s="328" t="str">
        <f t="shared" si="340"/>
        <v>A</v>
      </c>
      <c r="I778" s="325" t="s">
        <v>1745</v>
      </c>
      <c r="J778" s="329" t="str">
        <f>IF(B778&lt;&gt;"",+VLOOKUP(I778,Recursos!C:F,2,FALSE),"")</f>
        <v>AYUDANTE</v>
      </c>
      <c r="K778" s="330" t="str">
        <f>IF(B778&lt;&gt;"",+VLOOKUP(I778,Recursos!C:F,3,FALSE),"")</f>
        <v>hh</v>
      </c>
      <c r="L778" s="446">
        <f>IF(B778&lt;&gt;"",+VLOOKUP(I778,Recursos!C:F,4,FALSE),"")</f>
        <v>422.48042769667234</v>
      </c>
      <c r="M778" s="454">
        <f t="shared" ref="M778:M784" si="366">+M779</f>
        <v>15</v>
      </c>
      <c r="N778" s="453">
        <v>4</v>
      </c>
      <c r="O778" s="449">
        <f>+N779/M778*N778</f>
        <v>0.48000000000000004</v>
      </c>
      <c r="P778" s="333">
        <f t="shared" si="342"/>
        <v>202.79060529440272</v>
      </c>
      <c r="Q778" s="327">
        <f t="shared" si="343"/>
        <v>0</v>
      </c>
      <c r="R778" s="334">
        <f t="shared" si="344"/>
        <v>0</v>
      </c>
      <c r="S778" s="335">
        <f t="shared" si="347"/>
        <v>471.6025535381454</v>
      </c>
      <c r="T778" s="335">
        <f t="shared" si="348"/>
        <v>432.50843999999995</v>
      </c>
      <c r="U778" s="336">
        <f t="shared" si="349"/>
        <v>0.5</v>
      </c>
      <c r="V778" s="336">
        <f t="shared" si="350"/>
        <v>0</v>
      </c>
      <c r="W778" s="336">
        <f t="shared" si="351"/>
        <v>0</v>
      </c>
      <c r="X778" s="336">
        <f t="shared" si="352"/>
        <v>0</v>
      </c>
      <c r="Y778" s="320"/>
      <c r="Z778" s="321" t="str">
        <f t="shared" si="356"/>
        <v>X-ELHA</v>
      </c>
      <c r="AA778" s="321" t="str">
        <f t="shared" si="357"/>
        <v>X-ELHE</v>
      </c>
      <c r="AB778" s="321" t="str">
        <f t="shared" si="358"/>
        <v>X-ELHM</v>
      </c>
      <c r="AC778" s="321" t="str">
        <f t="shared" si="359"/>
        <v>X-ELHT</v>
      </c>
      <c r="AD778" s="321" t="str">
        <f t="shared" si="360"/>
        <v>X-ELHS</v>
      </c>
      <c r="AE778" s="321" t="str">
        <f t="shared" si="361"/>
        <v>X-ELHX</v>
      </c>
      <c r="AF778" s="321" t="str">
        <f t="shared" si="362"/>
        <v>X-ELHA</v>
      </c>
      <c r="AG778" s="321">
        <f t="shared" si="353"/>
        <v>9</v>
      </c>
      <c r="AH778" s="321">
        <f>IF(B778&lt;&gt;"",IF(H778="x",VLOOKUP(I778,'AUX-NIV3'!B:AG,32,FALSE),0),"")</f>
        <v>0</v>
      </c>
      <c r="AI778" s="321" t="str">
        <f t="shared" si="363"/>
        <v>X-ELH</v>
      </c>
      <c r="AJ778" s="320"/>
      <c r="AK778" s="322">
        <f t="shared" si="354"/>
        <v>778</v>
      </c>
      <c r="AL778" s="323">
        <f t="shared" si="364"/>
        <v>786</v>
      </c>
      <c r="AM778" s="322">
        <f t="shared" si="365"/>
        <v>1</v>
      </c>
      <c r="AN778" s="380">
        <f>IF(AND(AH778&gt;0,B778&lt;&gt;""),VLOOKUP(I778,'AUX-NIV3'!$B:$AO,39,FALSE)*O778,0)</f>
        <v>0</v>
      </c>
      <c r="AO778" s="380">
        <f t="shared" si="355"/>
        <v>0.96000000000000008</v>
      </c>
      <c r="AP778" s="380"/>
    </row>
    <row r="779" spans="2:42" ht="14.4" hidden="1" thickTop="1" thickBot="1">
      <c r="B779" s="324" t="s">
        <v>2845</v>
      </c>
      <c r="C779" s="325" t="s">
        <v>2846</v>
      </c>
      <c r="D779" s="326" t="s">
        <v>1160</v>
      </c>
      <c r="E779" s="327">
        <f>IF(B779&lt;&gt;"",SUMIF('AUX-NIV1'!I:I,'AUX-NIV2'!B779,'AUX-NIV1'!Q:Q),"")</f>
        <v>0</v>
      </c>
      <c r="F779" s="327">
        <f t="shared" si="345"/>
        <v>904.61099353814541</v>
      </c>
      <c r="G779" s="327">
        <f t="shared" si="346"/>
        <v>0</v>
      </c>
      <c r="H779" s="328" t="str">
        <f t="shared" si="340"/>
        <v>A</v>
      </c>
      <c r="I779" s="325" t="s">
        <v>1746</v>
      </c>
      <c r="J779" s="329" t="str">
        <f>IF(B779&lt;&gt;"",+VLOOKUP(I779,Recursos!C:F,2,FALSE),"")</f>
        <v>OFICIAL</v>
      </c>
      <c r="K779" s="330" t="str">
        <f>IF(B779&lt;&gt;"",+VLOOKUP(I779,Recursos!C:F,3,FALSE),"")</f>
        <v>hh</v>
      </c>
      <c r="L779" s="446">
        <f>IF(B779&lt;&gt;"",+VLOOKUP(I779,Recursos!C:F,4,FALSE),"")</f>
        <v>496.91595439275824</v>
      </c>
      <c r="M779" s="454">
        <f t="shared" si="366"/>
        <v>15</v>
      </c>
      <c r="N779" s="455">
        <f>+N780</f>
        <v>1.8</v>
      </c>
      <c r="O779" s="449">
        <f t="shared" ref="O779:O785" si="367">+N779/M779</f>
        <v>0.12000000000000001</v>
      </c>
      <c r="P779" s="333">
        <f t="shared" si="342"/>
        <v>59.629914527130992</v>
      </c>
      <c r="Q779" s="327">
        <f t="shared" si="343"/>
        <v>0</v>
      </c>
      <c r="R779" s="334">
        <f t="shared" si="344"/>
        <v>0</v>
      </c>
      <c r="S779" s="335">
        <f t="shared" si="347"/>
        <v>471.6025535381454</v>
      </c>
      <c r="T779" s="335">
        <f t="shared" si="348"/>
        <v>432.50843999999995</v>
      </c>
      <c r="U779" s="336">
        <f t="shared" si="349"/>
        <v>0.5</v>
      </c>
      <c r="V779" s="336">
        <f t="shared" si="350"/>
        <v>0</v>
      </c>
      <c r="W779" s="336">
        <f t="shared" si="351"/>
        <v>0</v>
      </c>
      <c r="X779" s="336">
        <f t="shared" si="352"/>
        <v>0</v>
      </c>
      <c r="Y779" s="320"/>
      <c r="Z779" s="321" t="str">
        <f t="shared" si="356"/>
        <v>X-ELHA</v>
      </c>
      <c r="AA779" s="321" t="str">
        <f t="shared" si="357"/>
        <v>X-ELHE</v>
      </c>
      <c r="AB779" s="321" t="str">
        <f t="shared" si="358"/>
        <v>X-ELHM</v>
      </c>
      <c r="AC779" s="321" t="str">
        <f t="shared" si="359"/>
        <v>X-ELHT</v>
      </c>
      <c r="AD779" s="321" t="str">
        <f t="shared" si="360"/>
        <v>X-ELHS</v>
      </c>
      <c r="AE779" s="321" t="str">
        <f t="shared" si="361"/>
        <v>X-ELHX</v>
      </c>
      <c r="AF779" s="321" t="str">
        <f t="shared" si="362"/>
        <v>X-ELHA</v>
      </c>
      <c r="AG779" s="321">
        <f t="shared" si="353"/>
        <v>9</v>
      </c>
      <c r="AH779" s="321">
        <f>IF(B779&lt;&gt;"",IF(H779="x",VLOOKUP(I779,'AUX-NIV3'!B:AG,32,FALSE),0),"")</f>
        <v>0</v>
      </c>
      <c r="AI779" s="321" t="str">
        <f t="shared" si="363"/>
        <v>X-ELH</v>
      </c>
      <c r="AJ779" s="320"/>
      <c r="AK779" s="322">
        <f t="shared" si="354"/>
        <v>778</v>
      </c>
      <c r="AL779" s="323">
        <f t="shared" si="364"/>
        <v>786</v>
      </c>
      <c r="AM779" s="322">
        <f t="shared" si="365"/>
        <v>2</v>
      </c>
      <c r="AN779" s="380">
        <f>IF(AND(AH779&gt;0,B779&lt;&gt;""),VLOOKUP(I779,'AUX-NIV3'!$B:$AO,39,FALSE)*O779,0)</f>
        <v>0</v>
      </c>
      <c r="AO779" s="380">
        <f t="shared" si="355"/>
        <v>0.96000000000000008</v>
      </c>
      <c r="AP779" s="380"/>
    </row>
    <row r="780" spans="2:42" ht="14.4" hidden="1" thickTop="1" thickBot="1">
      <c r="B780" s="324" t="s">
        <v>2845</v>
      </c>
      <c r="C780" s="325" t="s">
        <v>2846</v>
      </c>
      <c r="D780" s="326" t="s">
        <v>1160</v>
      </c>
      <c r="E780" s="327">
        <f>IF(B780&lt;&gt;"",SUMIF('AUX-NIV1'!I:I,'AUX-NIV2'!B780,'AUX-NIV1'!Q:Q),"")</f>
        <v>0</v>
      </c>
      <c r="F780" s="327">
        <f t="shared" si="345"/>
        <v>904.61099353814541</v>
      </c>
      <c r="G780" s="327">
        <f t="shared" si="346"/>
        <v>0</v>
      </c>
      <c r="H780" s="328" t="str">
        <f t="shared" si="340"/>
        <v>A</v>
      </c>
      <c r="I780" s="325" t="s">
        <v>3310</v>
      </c>
      <c r="J780" s="329" t="str">
        <f>IF(B780&lt;&gt;"",+VLOOKUP(I780,Recursos!C:F,2,FALSE),"")</f>
        <v>OFICIAL ESPECIALIZADO</v>
      </c>
      <c r="K780" s="330" t="str">
        <f>IF(B780&lt;&gt;"",+VLOOKUP(I780,Recursos!C:F,3,FALSE),"")</f>
        <v>hh</v>
      </c>
      <c r="L780" s="446">
        <f>IF(B780&lt;&gt;"",+VLOOKUP(I780,Recursos!C:F,4,FALSE),"")</f>
        <v>581.06120476836554</v>
      </c>
      <c r="M780" s="454">
        <f t="shared" si="366"/>
        <v>15</v>
      </c>
      <c r="N780" s="455">
        <f>+N781</f>
        <v>1.8</v>
      </c>
      <c r="O780" s="449">
        <f t="shared" si="367"/>
        <v>0.12000000000000001</v>
      </c>
      <c r="P780" s="333">
        <f t="shared" si="342"/>
        <v>69.727344572203876</v>
      </c>
      <c r="Q780" s="327">
        <f t="shared" si="343"/>
        <v>0</v>
      </c>
      <c r="R780" s="334">
        <f t="shared" si="344"/>
        <v>0</v>
      </c>
      <c r="S780" s="335">
        <f t="shared" si="347"/>
        <v>471.6025535381454</v>
      </c>
      <c r="T780" s="335">
        <f t="shared" si="348"/>
        <v>432.50843999999995</v>
      </c>
      <c r="U780" s="336">
        <f t="shared" si="349"/>
        <v>0.5</v>
      </c>
      <c r="V780" s="336">
        <f t="shared" si="350"/>
        <v>0</v>
      </c>
      <c r="W780" s="336">
        <f t="shared" si="351"/>
        <v>0</v>
      </c>
      <c r="X780" s="336">
        <f t="shared" si="352"/>
        <v>0</v>
      </c>
      <c r="Y780" s="320"/>
      <c r="Z780" s="321" t="str">
        <f t="shared" si="356"/>
        <v>X-ELHA</v>
      </c>
      <c r="AA780" s="321" t="str">
        <f t="shared" si="357"/>
        <v>X-ELHE</v>
      </c>
      <c r="AB780" s="321" t="str">
        <f t="shared" si="358"/>
        <v>X-ELHM</v>
      </c>
      <c r="AC780" s="321" t="str">
        <f t="shared" si="359"/>
        <v>X-ELHT</v>
      </c>
      <c r="AD780" s="321" t="str">
        <f t="shared" si="360"/>
        <v>X-ELHS</v>
      </c>
      <c r="AE780" s="321" t="str">
        <f t="shared" si="361"/>
        <v>X-ELHX</v>
      </c>
      <c r="AF780" s="321" t="str">
        <f t="shared" si="362"/>
        <v>X-ELHA</v>
      </c>
      <c r="AG780" s="321">
        <f t="shared" si="353"/>
        <v>9</v>
      </c>
      <c r="AH780" s="321">
        <f>IF(B780&lt;&gt;"",IF(H780="x",VLOOKUP(I780,'AUX-NIV3'!B:AG,32,FALSE),0),"")</f>
        <v>0</v>
      </c>
      <c r="AI780" s="321" t="str">
        <f t="shared" si="363"/>
        <v>X-ELH</v>
      </c>
      <c r="AJ780" s="320"/>
      <c r="AK780" s="322">
        <f t="shared" si="354"/>
        <v>778</v>
      </c>
      <c r="AL780" s="323">
        <f t="shared" si="364"/>
        <v>786</v>
      </c>
      <c r="AM780" s="322">
        <f t="shared" si="365"/>
        <v>3</v>
      </c>
      <c r="AN780" s="380">
        <f>IF(AND(AH780&gt;0,B780&lt;&gt;""),VLOOKUP(I780,'AUX-NIV3'!$B:$AO,39,FALSE)*O780,0)</f>
        <v>0</v>
      </c>
      <c r="AO780" s="380">
        <f t="shared" si="355"/>
        <v>0.96000000000000008</v>
      </c>
      <c r="AP780" s="380"/>
    </row>
    <row r="781" spans="2:42" ht="14.4" hidden="1" thickTop="1" thickBot="1">
      <c r="B781" s="324" t="s">
        <v>2845</v>
      </c>
      <c r="C781" s="325" t="s">
        <v>2846</v>
      </c>
      <c r="D781" s="326" t="s">
        <v>1160</v>
      </c>
      <c r="E781" s="327">
        <f>IF(B781&lt;&gt;"",SUMIF('AUX-NIV1'!I:I,'AUX-NIV2'!B781,'AUX-NIV1'!Q:Q),"")</f>
        <v>0</v>
      </c>
      <c r="F781" s="327">
        <f t="shared" si="345"/>
        <v>904.61099353814541</v>
      </c>
      <c r="G781" s="327">
        <f t="shared" si="346"/>
        <v>0</v>
      </c>
      <c r="H781" s="328" t="str">
        <f t="shared" si="340"/>
        <v>A</v>
      </c>
      <c r="I781" s="325" t="s">
        <v>3310</v>
      </c>
      <c r="J781" s="329" t="str">
        <f>IF(B781&lt;&gt;"",+VLOOKUP(I781,Recursos!C:F,2,FALSE),"")</f>
        <v>OFICIAL ESPECIALIZADO</v>
      </c>
      <c r="K781" s="330" t="str">
        <f>IF(B781&lt;&gt;"",+VLOOKUP(I781,Recursos!C:F,3,FALSE),"")</f>
        <v>hh</v>
      </c>
      <c r="L781" s="446">
        <f>IF(B781&lt;&gt;"",+VLOOKUP(I781,Recursos!C:F,4,FALSE),"")</f>
        <v>581.06120476836554</v>
      </c>
      <c r="M781" s="454">
        <f t="shared" si="366"/>
        <v>15</v>
      </c>
      <c r="N781" s="455">
        <f>+N782</f>
        <v>1.8</v>
      </c>
      <c r="O781" s="449">
        <f t="shared" si="367"/>
        <v>0.12000000000000001</v>
      </c>
      <c r="P781" s="333">
        <f t="shared" si="342"/>
        <v>69.727344572203876</v>
      </c>
      <c r="Q781" s="327">
        <f t="shared" si="343"/>
        <v>0</v>
      </c>
      <c r="R781" s="334">
        <f t="shared" si="344"/>
        <v>0</v>
      </c>
      <c r="S781" s="335">
        <f t="shared" si="347"/>
        <v>471.6025535381454</v>
      </c>
      <c r="T781" s="335">
        <f t="shared" si="348"/>
        <v>432.50843999999995</v>
      </c>
      <c r="U781" s="336">
        <f t="shared" si="349"/>
        <v>0.5</v>
      </c>
      <c r="V781" s="336">
        <f t="shared" si="350"/>
        <v>0</v>
      </c>
      <c r="W781" s="336">
        <f t="shared" si="351"/>
        <v>0</v>
      </c>
      <c r="X781" s="336">
        <f t="shared" si="352"/>
        <v>0</v>
      </c>
      <c r="Y781" s="320"/>
      <c r="Z781" s="321" t="str">
        <f t="shared" si="356"/>
        <v>X-ELHA</v>
      </c>
      <c r="AA781" s="321" t="str">
        <f t="shared" si="357"/>
        <v>X-ELHE</v>
      </c>
      <c r="AB781" s="321" t="str">
        <f t="shared" si="358"/>
        <v>X-ELHM</v>
      </c>
      <c r="AC781" s="321" t="str">
        <f t="shared" si="359"/>
        <v>X-ELHT</v>
      </c>
      <c r="AD781" s="321" t="str">
        <f t="shared" si="360"/>
        <v>X-ELHS</v>
      </c>
      <c r="AE781" s="321" t="str">
        <f t="shared" si="361"/>
        <v>X-ELHX</v>
      </c>
      <c r="AF781" s="321" t="str">
        <f t="shared" si="362"/>
        <v>X-ELHA</v>
      </c>
      <c r="AG781" s="321">
        <f t="shared" si="353"/>
        <v>9</v>
      </c>
      <c r="AH781" s="321">
        <f>IF(B781&lt;&gt;"",IF(H781="x",VLOOKUP(I781,'AUX-NIV3'!B:AG,32,FALSE),0),"")</f>
        <v>0</v>
      </c>
      <c r="AI781" s="321" t="str">
        <f t="shared" si="363"/>
        <v>X-ELH</v>
      </c>
      <c r="AJ781" s="320"/>
      <c r="AK781" s="322">
        <f t="shared" si="354"/>
        <v>778</v>
      </c>
      <c r="AL781" s="323">
        <f t="shared" si="364"/>
        <v>786</v>
      </c>
      <c r="AM781" s="322">
        <f t="shared" si="365"/>
        <v>4</v>
      </c>
      <c r="AN781" s="380">
        <f>IF(AND(AH781&gt;0,B781&lt;&gt;""),VLOOKUP(I781,'AUX-NIV3'!$B:$AO,39,FALSE)*O781,0)</f>
        <v>0</v>
      </c>
      <c r="AO781" s="380">
        <f t="shared" si="355"/>
        <v>0.96000000000000008</v>
      </c>
      <c r="AP781" s="380"/>
    </row>
    <row r="782" spans="2:42" ht="14.4" hidden="1" thickTop="1" thickBot="1">
      <c r="B782" s="324" t="s">
        <v>2845</v>
      </c>
      <c r="C782" s="325" t="s">
        <v>2846</v>
      </c>
      <c r="D782" s="326" t="s">
        <v>1160</v>
      </c>
      <c r="E782" s="327">
        <f>IF(B782&lt;&gt;"",SUMIF('AUX-NIV1'!I:I,'AUX-NIV2'!B782,'AUX-NIV1'!Q:Q),"")</f>
        <v>0</v>
      </c>
      <c r="F782" s="327">
        <f t="shared" si="345"/>
        <v>904.61099353814541</v>
      </c>
      <c r="G782" s="327">
        <f t="shared" si="346"/>
        <v>0</v>
      </c>
      <c r="H782" s="328" t="str">
        <f t="shared" si="340"/>
        <v>A</v>
      </c>
      <c r="I782" s="325" t="s">
        <v>3310</v>
      </c>
      <c r="J782" s="329" t="str">
        <f>IF(B782&lt;&gt;"",+VLOOKUP(I782,Recursos!C:F,2,FALSE),"")</f>
        <v>OFICIAL ESPECIALIZADO</v>
      </c>
      <c r="K782" s="330" t="str">
        <f>IF(B782&lt;&gt;"",+VLOOKUP(I782,Recursos!C:F,3,FALSE),"")</f>
        <v>hh</v>
      </c>
      <c r="L782" s="446">
        <f>IF(B782&lt;&gt;"",+VLOOKUP(I782,Recursos!C:F,4,FALSE),"")</f>
        <v>581.06120476836554</v>
      </c>
      <c r="M782" s="454">
        <f t="shared" si="366"/>
        <v>15</v>
      </c>
      <c r="N782" s="453">
        <v>1.8</v>
      </c>
      <c r="O782" s="449">
        <f t="shared" si="367"/>
        <v>0.12000000000000001</v>
      </c>
      <c r="P782" s="333">
        <f t="shared" si="342"/>
        <v>69.727344572203876</v>
      </c>
      <c r="Q782" s="327">
        <f t="shared" si="343"/>
        <v>0</v>
      </c>
      <c r="R782" s="334">
        <f t="shared" si="344"/>
        <v>0</v>
      </c>
      <c r="S782" s="335">
        <f t="shared" si="347"/>
        <v>471.6025535381454</v>
      </c>
      <c r="T782" s="335">
        <f t="shared" si="348"/>
        <v>432.50843999999995</v>
      </c>
      <c r="U782" s="336">
        <f t="shared" si="349"/>
        <v>0.5</v>
      </c>
      <c r="V782" s="336">
        <f t="shared" si="350"/>
        <v>0</v>
      </c>
      <c r="W782" s="336">
        <f t="shared" si="351"/>
        <v>0</v>
      </c>
      <c r="X782" s="336">
        <f t="shared" si="352"/>
        <v>0</v>
      </c>
      <c r="Y782" s="320"/>
      <c r="Z782" s="321" t="str">
        <f t="shared" si="356"/>
        <v>X-ELHA</v>
      </c>
      <c r="AA782" s="321" t="str">
        <f t="shared" si="357"/>
        <v>X-ELHE</v>
      </c>
      <c r="AB782" s="321" t="str">
        <f t="shared" si="358"/>
        <v>X-ELHM</v>
      </c>
      <c r="AC782" s="321" t="str">
        <f t="shared" si="359"/>
        <v>X-ELHT</v>
      </c>
      <c r="AD782" s="321" t="str">
        <f t="shared" si="360"/>
        <v>X-ELHS</v>
      </c>
      <c r="AE782" s="321" t="str">
        <f t="shared" si="361"/>
        <v>X-ELHX</v>
      </c>
      <c r="AF782" s="321" t="str">
        <f t="shared" si="362"/>
        <v>X-ELHA</v>
      </c>
      <c r="AG782" s="321">
        <f t="shared" si="353"/>
        <v>9</v>
      </c>
      <c r="AH782" s="321">
        <f>IF(B782&lt;&gt;"",IF(H782="x",VLOOKUP(I782,'AUX-NIV3'!B:AG,32,FALSE),0),"")</f>
        <v>0</v>
      </c>
      <c r="AI782" s="321" t="str">
        <f t="shared" si="363"/>
        <v>X-ELH</v>
      </c>
      <c r="AJ782" s="320"/>
      <c r="AK782" s="322">
        <f t="shared" si="354"/>
        <v>778</v>
      </c>
      <c r="AL782" s="323">
        <f t="shared" si="364"/>
        <v>786</v>
      </c>
      <c r="AM782" s="322">
        <f t="shared" si="365"/>
        <v>5</v>
      </c>
      <c r="AN782" s="380">
        <f>IF(AND(AH782&gt;0,B782&lt;&gt;""),VLOOKUP(I782,'AUX-NIV3'!$B:$AO,39,FALSE)*O782,0)</f>
        <v>0</v>
      </c>
      <c r="AO782" s="380">
        <f t="shared" si="355"/>
        <v>0.96000000000000008</v>
      </c>
      <c r="AP782" s="380"/>
    </row>
    <row r="783" spans="2:42" ht="14.4" hidden="1" thickTop="1" thickBot="1">
      <c r="B783" s="324" t="s">
        <v>2845</v>
      </c>
      <c r="C783" s="325" t="s">
        <v>2846</v>
      </c>
      <c r="D783" s="326" t="s">
        <v>1160</v>
      </c>
      <c r="E783" s="327">
        <f>IF(B783&lt;&gt;"",SUMIF('AUX-NIV1'!I:I,'AUX-NIV2'!B783,'AUX-NIV1'!Q:Q),"")</f>
        <v>0</v>
      </c>
      <c r="F783" s="327">
        <f t="shared" si="345"/>
        <v>904.61099353814541</v>
      </c>
      <c r="G783" s="327">
        <f t="shared" si="346"/>
        <v>0</v>
      </c>
      <c r="H783" s="328" t="str">
        <f t="shared" si="340"/>
        <v>E</v>
      </c>
      <c r="I783" s="325" t="s">
        <v>1657</v>
      </c>
      <c r="J783" s="329" t="str">
        <f>IF(B783&lt;&gt;"",+VLOOKUP(I783,Recursos!C:F,2,FALSE),"")</f>
        <v>CARGADOR FRONTAL S/NEUM. 1,8 m3</v>
      </c>
      <c r="K783" s="330" t="str">
        <f>IF(B783&lt;&gt;"",+VLOOKUP(I783,Recursos!C:F,3,FALSE),"")</f>
        <v>HR</v>
      </c>
      <c r="L783" s="446">
        <f>IF(B783&lt;&gt;"",+VLOOKUP(I783,Recursos!C:F,4,FALSE),"")</f>
        <v>2232.6505999999999</v>
      </c>
      <c r="M783" s="454">
        <f t="shared" si="366"/>
        <v>15</v>
      </c>
      <c r="N783" s="455">
        <f>+N784</f>
        <v>1</v>
      </c>
      <c r="O783" s="449">
        <f t="shared" si="367"/>
        <v>6.6666666666666666E-2</v>
      </c>
      <c r="P783" s="333">
        <f t="shared" si="342"/>
        <v>148.84337333333332</v>
      </c>
      <c r="Q783" s="327">
        <f t="shared" si="343"/>
        <v>0</v>
      </c>
      <c r="R783" s="334">
        <f t="shared" si="344"/>
        <v>0</v>
      </c>
      <c r="S783" s="335">
        <f t="shared" si="347"/>
        <v>471.6025535381454</v>
      </c>
      <c r="T783" s="335">
        <f t="shared" si="348"/>
        <v>432.50843999999995</v>
      </c>
      <c r="U783" s="336">
        <f t="shared" si="349"/>
        <v>0.5</v>
      </c>
      <c r="V783" s="336">
        <f t="shared" si="350"/>
        <v>0</v>
      </c>
      <c r="W783" s="336">
        <f t="shared" si="351"/>
        <v>0</v>
      </c>
      <c r="X783" s="336">
        <f t="shared" si="352"/>
        <v>0</v>
      </c>
      <c r="Y783" s="320"/>
      <c r="Z783" s="321" t="str">
        <f t="shared" si="356"/>
        <v>X-ELHA</v>
      </c>
      <c r="AA783" s="321" t="str">
        <f t="shared" si="357"/>
        <v>X-ELHE</v>
      </c>
      <c r="AB783" s="321" t="str">
        <f t="shared" si="358"/>
        <v>X-ELHM</v>
      </c>
      <c r="AC783" s="321" t="str">
        <f t="shared" si="359"/>
        <v>X-ELHT</v>
      </c>
      <c r="AD783" s="321" t="str">
        <f t="shared" si="360"/>
        <v>X-ELHS</v>
      </c>
      <c r="AE783" s="321" t="str">
        <f t="shared" si="361"/>
        <v>X-ELHX</v>
      </c>
      <c r="AF783" s="321" t="str">
        <f t="shared" si="362"/>
        <v>X-ELHE</v>
      </c>
      <c r="AG783" s="321">
        <f t="shared" si="353"/>
        <v>9</v>
      </c>
      <c r="AH783" s="321">
        <f>IF(B783&lt;&gt;"",IF(H783="x",VLOOKUP(I783,'AUX-NIV3'!B:AG,32,FALSE),0),"")</f>
        <v>0</v>
      </c>
      <c r="AI783" s="321" t="str">
        <f t="shared" si="363"/>
        <v>X-ELH</v>
      </c>
      <c r="AJ783" s="320"/>
      <c r="AK783" s="322">
        <f t="shared" si="354"/>
        <v>778</v>
      </c>
      <c r="AL783" s="323">
        <f t="shared" si="364"/>
        <v>786</v>
      </c>
      <c r="AM783" s="322">
        <f t="shared" si="365"/>
        <v>6</v>
      </c>
      <c r="AN783" s="380">
        <f>IF(AND(AH783&gt;0,B783&lt;&gt;""),VLOOKUP(I783,'AUX-NIV3'!$B:$AO,39,FALSE)*O783,0)</f>
        <v>0</v>
      </c>
      <c r="AO783" s="380">
        <f t="shared" si="355"/>
        <v>0.96000000000000008</v>
      </c>
      <c r="AP783" s="380"/>
    </row>
    <row r="784" spans="2:42" ht="14.4" hidden="1" thickTop="1" thickBot="1">
      <c r="B784" s="324" t="s">
        <v>2845</v>
      </c>
      <c r="C784" s="325" t="s">
        <v>2846</v>
      </c>
      <c r="D784" s="326" t="s">
        <v>1160</v>
      </c>
      <c r="E784" s="327">
        <f>IF(B784&lt;&gt;"",SUMIF('AUX-NIV1'!I:I,'AUX-NIV2'!B784,'AUX-NIV1'!Q:Q),"")</f>
        <v>0</v>
      </c>
      <c r="F784" s="327">
        <f t="shared" si="345"/>
        <v>904.61099353814541</v>
      </c>
      <c r="G784" s="327">
        <f t="shared" si="346"/>
        <v>0</v>
      </c>
      <c r="H784" s="328" t="str">
        <f t="shared" si="340"/>
        <v>E</v>
      </c>
      <c r="I784" s="325" t="s">
        <v>1585</v>
      </c>
      <c r="J784" s="329" t="str">
        <f>IF(B784&lt;&gt;"",+VLOOKUP(I784,Recursos!C:F,2,FALSE),"")</f>
        <v>GRUPO ELECTROGENO 113 KVA-90 KW</v>
      </c>
      <c r="K784" s="330" t="str">
        <f>IF(B784&lt;&gt;"",+VLOOKUP(I784,Recursos!C:F,3,FALSE),"")</f>
        <v>HR</v>
      </c>
      <c r="L784" s="446">
        <f>IF(B784&lt;&gt;"",+VLOOKUP(I784,Recursos!C:F,4,FALSE),"")</f>
        <v>1785.366</v>
      </c>
      <c r="M784" s="454">
        <f t="shared" si="366"/>
        <v>15</v>
      </c>
      <c r="N784" s="455">
        <f>+N785</f>
        <v>1</v>
      </c>
      <c r="O784" s="449">
        <f t="shared" si="367"/>
        <v>6.6666666666666666E-2</v>
      </c>
      <c r="P784" s="333">
        <f t="shared" si="342"/>
        <v>119.0244</v>
      </c>
      <c r="Q784" s="327">
        <f t="shared" si="343"/>
        <v>0</v>
      </c>
      <c r="R784" s="334">
        <f t="shared" si="344"/>
        <v>0</v>
      </c>
      <c r="S784" s="335">
        <f t="shared" si="347"/>
        <v>471.6025535381454</v>
      </c>
      <c r="T784" s="335">
        <f t="shared" si="348"/>
        <v>432.50843999999995</v>
      </c>
      <c r="U784" s="336">
        <f t="shared" si="349"/>
        <v>0.5</v>
      </c>
      <c r="V784" s="336">
        <f t="shared" si="350"/>
        <v>0</v>
      </c>
      <c r="W784" s="336">
        <f t="shared" si="351"/>
        <v>0</v>
      </c>
      <c r="X784" s="336">
        <f t="shared" si="352"/>
        <v>0</v>
      </c>
      <c r="Y784" s="320"/>
      <c r="Z784" s="321" t="str">
        <f t="shared" si="356"/>
        <v>X-ELHA</v>
      </c>
      <c r="AA784" s="321" t="str">
        <f t="shared" si="357"/>
        <v>X-ELHE</v>
      </c>
      <c r="AB784" s="321" t="str">
        <f t="shared" si="358"/>
        <v>X-ELHM</v>
      </c>
      <c r="AC784" s="321" t="str">
        <f t="shared" si="359"/>
        <v>X-ELHT</v>
      </c>
      <c r="AD784" s="321" t="str">
        <f t="shared" si="360"/>
        <v>X-ELHS</v>
      </c>
      <c r="AE784" s="321" t="str">
        <f t="shared" si="361"/>
        <v>X-ELHX</v>
      </c>
      <c r="AF784" s="321" t="str">
        <f t="shared" si="362"/>
        <v>X-ELHE</v>
      </c>
      <c r="AG784" s="321">
        <f t="shared" si="353"/>
        <v>9</v>
      </c>
      <c r="AH784" s="321">
        <f>IF(B784&lt;&gt;"",IF(H784="x",VLOOKUP(I784,'AUX-NIV3'!B:AG,32,FALSE),0),"")</f>
        <v>0</v>
      </c>
      <c r="AI784" s="321" t="str">
        <f t="shared" si="363"/>
        <v>X-ELH</v>
      </c>
      <c r="AJ784" s="320"/>
      <c r="AK784" s="322">
        <f t="shared" si="354"/>
        <v>778</v>
      </c>
      <c r="AL784" s="323">
        <f t="shared" si="364"/>
        <v>786</v>
      </c>
      <c r="AM784" s="322">
        <f t="shared" si="365"/>
        <v>7</v>
      </c>
      <c r="AN784" s="380">
        <f>IF(AND(AH784&gt;0,B784&lt;&gt;""),VLOOKUP(I784,'AUX-NIV3'!$B:$AO,39,FALSE)*O784,0)</f>
        <v>0</v>
      </c>
      <c r="AO784" s="380">
        <f t="shared" si="355"/>
        <v>0.96000000000000008</v>
      </c>
      <c r="AP784" s="380"/>
    </row>
    <row r="785" spans="2:42" ht="14.4" hidden="1" thickTop="1" thickBot="1">
      <c r="B785" s="324" t="s">
        <v>2845</v>
      </c>
      <c r="C785" s="325" t="s">
        <v>2846</v>
      </c>
      <c r="D785" s="326" t="s">
        <v>1160</v>
      </c>
      <c r="E785" s="327">
        <f>IF(B785&lt;&gt;"",SUMIF('AUX-NIV1'!I:I,'AUX-NIV2'!B785,'AUX-NIV1'!Q:Q),"")</f>
        <v>0</v>
      </c>
      <c r="F785" s="327">
        <f t="shared" si="345"/>
        <v>904.61099353814541</v>
      </c>
      <c r="G785" s="327">
        <f t="shared" si="346"/>
        <v>0</v>
      </c>
      <c r="H785" s="328" t="str">
        <f t="shared" si="340"/>
        <v>E</v>
      </c>
      <c r="I785" s="325" t="s">
        <v>1610</v>
      </c>
      <c r="J785" s="329" t="str">
        <f>IF(B785&lt;&gt;"",+VLOOKUP(I785,Recursos!C:F,2,FALSE),"")</f>
        <v>PLANTA ELAB. HORMIGON (50-90 M3/H)</v>
      </c>
      <c r="K785" s="330" t="str">
        <f>IF(B785&lt;&gt;"",+VLOOKUP(I785,Recursos!C:F,3,FALSE),"")</f>
        <v>HR</v>
      </c>
      <c r="L785" s="446">
        <f>IF(B785&lt;&gt;"",+VLOOKUP(I785,Recursos!C:F,4,FALSE),"")</f>
        <v>2469.6099999999997</v>
      </c>
      <c r="M785" s="452">
        <v>15</v>
      </c>
      <c r="N785" s="453">
        <v>1</v>
      </c>
      <c r="O785" s="449">
        <f t="shared" si="367"/>
        <v>6.6666666666666666E-2</v>
      </c>
      <c r="P785" s="333">
        <f t="shared" si="342"/>
        <v>164.64066666666665</v>
      </c>
      <c r="Q785" s="327">
        <f t="shared" si="343"/>
        <v>0</v>
      </c>
      <c r="R785" s="334">
        <f t="shared" si="344"/>
        <v>0</v>
      </c>
      <c r="S785" s="335">
        <f t="shared" si="347"/>
        <v>471.6025535381454</v>
      </c>
      <c r="T785" s="335">
        <f t="shared" si="348"/>
        <v>432.50843999999995</v>
      </c>
      <c r="U785" s="336">
        <f t="shared" si="349"/>
        <v>0.5</v>
      </c>
      <c r="V785" s="336">
        <f t="shared" si="350"/>
        <v>0</v>
      </c>
      <c r="W785" s="336">
        <f t="shared" si="351"/>
        <v>0</v>
      </c>
      <c r="X785" s="336">
        <f t="shared" si="352"/>
        <v>0</v>
      </c>
      <c r="Y785" s="320"/>
      <c r="Z785" s="321" t="str">
        <f t="shared" si="356"/>
        <v>X-ELHA</v>
      </c>
      <c r="AA785" s="321" t="str">
        <f t="shared" si="357"/>
        <v>X-ELHE</v>
      </c>
      <c r="AB785" s="321" t="str">
        <f t="shared" si="358"/>
        <v>X-ELHM</v>
      </c>
      <c r="AC785" s="321" t="str">
        <f t="shared" si="359"/>
        <v>X-ELHT</v>
      </c>
      <c r="AD785" s="321" t="str">
        <f t="shared" si="360"/>
        <v>X-ELHS</v>
      </c>
      <c r="AE785" s="321" t="str">
        <f t="shared" si="361"/>
        <v>X-ELHX</v>
      </c>
      <c r="AF785" s="321" t="str">
        <f t="shared" si="362"/>
        <v>X-ELHE</v>
      </c>
      <c r="AG785" s="321">
        <f t="shared" si="353"/>
        <v>9</v>
      </c>
      <c r="AH785" s="321">
        <f>IF(B785&lt;&gt;"",IF(H785="x",VLOOKUP(I785,'AUX-NIV3'!B:AG,32,FALSE),0),"")</f>
        <v>0</v>
      </c>
      <c r="AI785" s="321" t="str">
        <f t="shared" si="363"/>
        <v>X-ELH</v>
      </c>
      <c r="AJ785" s="320"/>
      <c r="AK785" s="322">
        <f t="shared" si="354"/>
        <v>778</v>
      </c>
      <c r="AL785" s="323">
        <f t="shared" si="364"/>
        <v>786</v>
      </c>
      <c r="AM785" s="322">
        <f t="shared" si="365"/>
        <v>8</v>
      </c>
      <c r="AN785" s="380">
        <f>IF(AND(AH785&gt;0,B785&lt;&gt;""),VLOOKUP(I785,'AUX-NIV3'!$B:$AO,39,FALSE)*O785,0)</f>
        <v>0</v>
      </c>
      <c r="AO785" s="380">
        <f t="shared" si="355"/>
        <v>0.96000000000000008</v>
      </c>
      <c r="AP785" s="380"/>
    </row>
    <row r="786" spans="2:42" ht="14.4" hidden="1" thickTop="1" thickBot="1">
      <c r="B786" s="324" t="s">
        <v>2845</v>
      </c>
      <c r="C786" s="325" t="s">
        <v>2846</v>
      </c>
      <c r="D786" s="326" t="s">
        <v>1160</v>
      </c>
      <c r="E786" s="327">
        <f>IF(B786&lt;&gt;"",SUMIF('AUX-NIV1'!I:I,'AUX-NIV2'!B786,'AUX-NIV1'!Q:Q),"")</f>
        <v>0</v>
      </c>
      <c r="F786" s="327">
        <f t="shared" si="345"/>
        <v>904.61099353814541</v>
      </c>
      <c r="G786" s="327">
        <f t="shared" si="346"/>
        <v>0</v>
      </c>
      <c r="H786" s="328" t="str">
        <f t="shared" si="340"/>
        <v>M</v>
      </c>
      <c r="I786" s="325" t="s">
        <v>621</v>
      </c>
      <c r="J786" s="329" t="str">
        <f>IF(B786&lt;&gt;"",+VLOOKUP(I786,Recursos!C:F,2,FALSE),"")</f>
        <v>MATERIALES VARIOS</v>
      </c>
      <c r="K786" s="330" t="str">
        <f>IF(B786&lt;&gt;"",+VLOOKUP(I786,Recursos!C:F,3,FALSE),"")</f>
        <v>GL</v>
      </c>
      <c r="L786" s="446">
        <f>IF(B786&lt;&gt;"",+VLOOKUP(I786,Recursos!C:F,4,FALSE),"")</f>
        <v>0.5</v>
      </c>
      <c r="M786" s="450">
        <v>1</v>
      </c>
      <c r="N786" s="507"/>
      <c r="O786" s="449">
        <f>+M786</f>
        <v>1</v>
      </c>
      <c r="P786" s="333">
        <f t="shared" si="342"/>
        <v>0.5</v>
      </c>
      <c r="Q786" s="327">
        <f t="shared" si="343"/>
        <v>0</v>
      </c>
      <c r="R786" s="334">
        <f t="shared" si="344"/>
        <v>0</v>
      </c>
      <c r="S786" s="335">
        <f t="shared" si="347"/>
        <v>471.6025535381454</v>
      </c>
      <c r="T786" s="335">
        <f t="shared" si="348"/>
        <v>432.50843999999995</v>
      </c>
      <c r="U786" s="336">
        <f t="shared" si="349"/>
        <v>0.5</v>
      </c>
      <c r="V786" s="336">
        <f t="shared" si="350"/>
        <v>0</v>
      </c>
      <c r="W786" s="336">
        <f t="shared" si="351"/>
        <v>0</v>
      </c>
      <c r="X786" s="336">
        <f t="shared" si="352"/>
        <v>0</v>
      </c>
      <c r="Y786" s="320"/>
      <c r="Z786" s="321" t="str">
        <f t="shared" si="356"/>
        <v>X-ELHA</v>
      </c>
      <c r="AA786" s="321" t="str">
        <f t="shared" si="357"/>
        <v>X-ELHE</v>
      </c>
      <c r="AB786" s="321" t="str">
        <f t="shared" si="358"/>
        <v>X-ELHM</v>
      </c>
      <c r="AC786" s="321" t="str">
        <f t="shared" si="359"/>
        <v>X-ELHT</v>
      </c>
      <c r="AD786" s="321" t="str">
        <f t="shared" si="360"/>
        <v>X-ELHS</v>
      </c>
      <c r="AE786" s="321" t="str">
        <f t="shared" si="361"/>
        <v>X-ELHX</v>
      </c>
      <c r="AF786" s="321" t="str">
        <f t="shared" si="362"/>
        <v>X-ELHM</v>
      </c>
      <c r="AG786" s="321">
        <f t="shared" si="353"/>
        <v>9</v>
      </c>
      <c r="AH786" s="321">
        <f>IF(B786&lt;&gt;"",IF(H786="x",VLOOKUP(I786,'AUX-NIV3'!B:AG,32,FALSE),0),"")</f>
        <v>0</v>
      </c>
      <c r="AI786" s="321" t="str">
        <f t="shared" si="363"/>
        <v>X-ELH</v>
      </c>
      <c r="AJ786" s="320"/>
      <c r="AK786" s="322">
        <f t="shared" si="354"/>
        <v>778</v>
      </c>
      <c r="AL786" s="323">
        <f t="shared" si="364"/>
        <v>786</v>
      </c>
      <c r="AM786" s="322">
        <f t="shared" si="365"/>
        <v>9</v>
      </c>
      <c r="AN786" s="380">
        <f>IF(AND(AH786&gt;0,B786&lt;&gt;""),VLOOKUP(I786,'AUX-NIV3'!$B:$AO,39,FALSE)*O786,0)</f>
        <v>0</v>
      </c>
      <c r="AO786" s="380">
        <f t="shared" si="355"/>
        <v>0.96000000000000008</v>
      </c>
      <c r="AP786" s="380"/>
    </row>
    <row r="787" spans="2:42" ht="14.4" hidden="1" thickTop="1" thickBot="1">
      <c r="B787" s="324" t="s">
        <v>2849</v>
      </c>
      <c r="C787" s="325" t="s">
        <v>2850</v>
      </c>
      <c r="D787" s="326" t="s">
        <v>1160</v>
      </c>
      <c r="E787" s="327">
        <f>IF(B787&lt;&gt;"",SUMIF('AUX-NIV1'!I:I,'AUX-NIV2'!B787,'AUX-NIV1'!Q:Q),"")</f>
        <v>0</v>
      </c>
      <c r="F787" s="327">
        <f t="shared" si="345"/>
        <v>762.13847790397006</v>
      </c>
      <c r="G787" s="327">
        <f t="shared" si="346"/>
        <v>0</v>
      </c>
      <c r="H787" s="328" t="str">
        <f t="shared" ref="H787:H846" si="368">IF(B787&lt;&gt;"",+LEFT(I787,1),"")</f>
        <v>A</v>
      </c>
      <c r="I787" s="325" t="s">
        <v>1745</v>
      </c>
      <c r="J787" s="329" t="str">
        <f>IF(B787&lt;&gt;"",+VLOOKUP(I787,Recursos!C:F,2,FALSE),"")</f>
        <v>AYUDANTE</v>
      </c>
      <c r="K787" s="330" t="str">
        <f>IF(B787&lt;&gt;"",+VLOOKUP(I787,Recursos!C:F,3,FALSE),"")</f>
        <v>hh</v>
      </c>
      <c r="L787" s="446">
        <f>IF(B787&lt;&gt;"",+VLOOKUP(I787,Recursos!C:F,4,FALSE),"")</f>
        <v>422.48042769667234</v>
      </c>
      <c r="M787" s="454">
        <f t="shared" ref="M787:M794" si="369">+M789</f>
        <v>30</v>
      </c>
      <c r="N787" s="453">
        <v>5</v>
      </c>
      <c r="O787" s="449">
        <f>+N789/M789*N787</f>
        <v>0.23333333333333331</v>
      </c>
      <c r="P787" s="333">
        <f t="shared" si="342"/>
        <v>98.578766462556871</v>
      </c>
      <c r="Q787" s="327">
        <f t="shared" si="343"/>
        <v>0</v>
      </c>
      <c r="R787" s="334">
        <f t="shared" si="344"/>
        <v>0</v>
      </c>
      <c r="S787" s="335">
        <f t="shared" si="347"/>
        <v>336.1931235438218</v>
      </c>
      <c r="T787" s="335">
        <f t="shared" si="348"/>
        <v>405.69307233333325</v>
      </c>
      <c r="U787" s="336">
        <f t="shared" si="349"/>
        <v>2</v>
      </c>
      <c r="V787" s="336">
        <f t="shared" si="350"/>
        <v>0</v>
      </c>
      <c r="W787" s="336">
        <f t="shared" si="351"/>
        <v>0</v>
      </c>
      <c r="X787" s="336">
        <f t="shared" si="352"/>
        <v>18.252282026815028</v>
      </c>
      <c r="Y787" s="320"/>
      <c r="Z787" s="321" t="str">
        <f t="shared" si="356"/>
        <v>X-COL4A</v>
      </c>
      <c r="AA787" s="321" t="str">
        <f t="shared" si="357"/>
        <v>X-COL4E</v>
      </c>
      <c r="AB787" s="321" t="str">
        <f t="shared" si="358"/>
        <v>X-COL4M</v>
      </c>
      <c r="AC787" s="321" t="str">
        <f t="shared" si="359"/>
        <v>X-COL4T</v>
      </c>
      <c r="AD787" s="321" t="str">
        <f t="shared" si="360"/>
        <v>X-COL4S</v>
      </c>
      <c r="AE787" s="321" t="str">
        <f t="shared" si="361"/>
        <v>X-COL4X</v>
      </c>
      <c r="AF787" s="321" t="str">
        <f t="shared" si="362"/>
        <v>X-COL4A</v>
      </c>
      <c r="AG787" s="321">
        <f t="shared" si="353"/>
        <v>14</v>
      </c>
      <c r="AH787" s="321">
        <f>IF(B787&lt;&gt;"",IF(H787="x",VLOOKUP(I787,'AUX-NIV3'!B:AG,32,FALSE),0),"")</f>
        <v>0</v>
      </c>
      <c r="AI787" s="321" t="str">
        <f t="shared" si="363"/>
        <v>X-COL4</v>
      </c>
      <c r="AJ787" s="320"/>
      <c r="AK787" s="322">
        <f t="shared" si="354"/>
        <v>787</v>
      </c>
      <c r="AL787" s="323">
        <f t="shared" si="364"/>
        <v>800</v>
      </c>
      <c r="AM787" s="322">
        <f t="shared" si="365"/>
        <v>1</v>
      </c>
      <c r="AN787" s="380">
        <f>IF(AND(AH787&gt;0,B787&lt;&gt;""),VLOOKUP(I787,'AUX-NIV3'!$B:$AO,39,FALSE)*O787,0)</f>
        <v>0</v>
      </c>
      <c r="AO787" s="380">
        <f t="shared" si="355"/>
        <v>0.67199999999999993</v>
      </c>
      <c r="AP787" s="380"/>
    </row>
    <row r="788" spans="2:42" ht="14.4" hidden="1" thickTop="1" thickBot="1">
      <c r="B788" s="324" t="s">
        <v>2849</v>
      </c>
      <c r="C788" s="325" t="s">
        <v>2850</v>
      </c>
      <c r="D788" s="326" t="s">
        <v>1160</v>
      </c>
      <c r="E788" s="327">
        <f>IF(B788&lt;&gt;"",SUMIF('AUX-NIV1'!I:I,'AUX-NIV2'!B788,'AUX-NIV1'!Q:Q),"")</f>
        <v>0</v>
      </c>
      <c r="F788" s="327">
        <f t="shared" si="345"/>
        <v>762.13847790397006</v>
      </c>
      <c r="G788" s="327">
        <f t="shared" si="346"/>
        <v>0</v>
      </c>
      <c r="H788" s="328" t="str">
        <f t="shared" si="368"/>
        <v>A</v>
      </c>
      <c r="I788" s="325" t="s">
        <v>1746</v>
      </c>
      <c r="J788" s="329" t="str">
        <f>IF(B788&lt;&gt;"",+VLOOKUP(I788,Recursos!C:F,2,FALSE),"")</f>
        <v>OFICIAL</v>
      </c>
      <c r="K788" s="330" t="str">
        <f>IF(B788&lt;&gt;"",+VLOOKUP(I788,Recursos!C:F,3,FALSE),"")</f>
        <v>hh</v>
      </c>
      <c r="L788" s="446">
        <f>IF(B788&lt;&gt;"",+VLOOKUP(I788,Recursos!C:F,4,FALSE),"")</f>
        <v>496.91595439275824</v>
      </c>
      <c r="M788" s="454">
        <f t="shared" si="369"/>
        <v>30</v>
      </c>
      <c r="N788" s="453">
        <v>2</v>
      </c>
      <c r="O788" s="449">
        <f>+N789/M788*N788</f>
        <v>9.3333333333333324E-2</v>
      </c>
      <c r="P788" s="333">
        <f t="shared" si="342"/>
        <v>46.378822409990761</v>
      </c>
      <c r="Q788" s="327">
        <f t="shared" si="343"/>
        <v>0</v>
      </c>
      <c r="R788" s="334">
        <f t="shared" si="344"/>
        <v>0</v>
      </c>
      <c r="S788" s="335">
        <f t="shared" si="347"/>
        <v>336.1931235438218</v>
      </c>
      <c r="T788" s="335">
        <f t="shared" si="348"/>
        <v>405.69307233333325</v>
      </c>
      <c r="U788" s="336">
        <f t="shared" si="349"/>
        <v>2</v>
      </c>
      <c r="V788" s="336">
        <f t="shared" si="350"/>
        <v>0</v>
      </c>
      <c r="W788" s="336">
        <f t="shared" si="351"/>
        <v>0</v>
      </c>
      <c r="X788" s="336">
        <f t="shared" si="352"/>
        <v>18.252282026815028</v>
      </c>
      <c r="Y788" s="320"/>
      <c r="Z788" s="321" t="str">
        <f t="shared" si="356"/>
        <v>X-COL4A</v>
      </c>
      <c r="AA788" s="321" t="str">
        <f t="shared" si="357"/>
        <v>X-COL4E</v>
      </c>
      <c r="AB788" s="321" t="str">
        <f t="shared" si="358"/>
        <v>X-COL4M</v>
      </c>
      <c r="AC788" s="321" t="str">
        <f t="shared" si="359"/>
        <v>X-COL4T</v>
      </c>
      <c r="AD788" s="321" t="str">
        <f t="shared" si="360"/>
        <v>X-COL4S</v>
      </c>
      <c r="AE788" s="321" t="str">
        <f t="shared" si="361"/>
        <v>X-COL4X</v>
      </c>
      <c r="AF788" s="321" t="str">
        <f t="shared" si="362"/>
        <v>X-COL4A</v>
      </c>
      <c r="AG788" s="321">
        <f t="shared" si="353"/>
        <v>14</v>
      </c>
      <c r="AH788" s="321">
        <f>IF(B788&lt;&gt;"",IF(H788="x",VLOOKUP(I788,'AUX-NIV3'!B:AG,32,FALSE),0),"")</f>
        <v>0</v>
      </c>
      <c r="AI788" s="321" t="str">
        <f t="shared" si="363"/>
        <v>X-COL4</v>
      </c>
      <c r="AJ788" s="320"/>
      <c r="AK788" s="322">
        <f t="shared" si="354"/>
        <v>787</v>
      </c>
      <c r="AL788" s="323">
        <f t="shared" si="364"/>
        <v>800</v>
      </c>
      <c r="AM788" s="322">
        <f t="shared" si="365"/>
        <v>2</v>
      </c>
      <c r="AN788" s="380">
        <f>IF(AND(AH788&gt;0,B788&lt;&gt;""),VLOOKUP(I788,'AUX-NIV3'!$B:$AO,39,FALSE)*O788,0)</f>
        <v>0</v>
      </c>
      <c r="AO788" s="380">
        <f t="shared" si="355"/>
        <v>0.67199999999999993</v>
      </c>
      <c r="AP788" s="380"/>
    </row>
    <row r="789" spans="2:42" ht="14.4" hidden="1" thickTop="1" thickBot="1">
      <c r="B789" s="324" t="s">
        <v>2849</v>
      </c>
      <c r="C789" s="325" t="s">
        <v>2850</v>
      </c>
      <c r="D789" s="326" t="s">
        <v>1160</v>
      </c>
      <c r="E789" s="327">
        <f>IF(B789&lt;&gt;"",SUMIF('AUX-NIV1'!I:I,'AUX-NIV2'!B789,'AUX-NIV1'!Q:Q),"")</f>
        <v>0</v>
      </c>
      <c r="F789" s="327">
        <f t="shared" si="345"/>
        <v>762.13847790397006</v>
      </c>
      <c r="G789" s="327">
        <f t="shared" si="346"/>
        <v>0</v>
      </c>
      <c r="H789" s="328" t="str">
        <f t="shared" si="368"/>
        <v>A</v>
      </c>
      <c r="I789" s="325" t="s">
        <v>1746</v>
      </c>
      <c r="J789" s="329" t="str">
        <f>IF(B789&lt;&gt;"",+VLOOKUP(I789,Recursos!C:F,2,FALSE),"")</f>
        <v>OFICIAL</v>
      </c>
      <c r="K789" s="330" t="str">
        <f>IF(B789&lt;&gt;"",+VLOOKUP(I789,Recursos!C:F,3,FALSE),"")</f>
        <v>hh</v>
      </c>
      <c r="L789" s="446">
        <f>IF(B789&lt;&gt;"",+VLOOKUP(I789,Recursos!C:F,4,FALSE),"")</f>
        <v>496.91595439275824</v>
      </c>
      <c r="M789" s="454">
        <f t="shared" si="369"/>
        <v>30</v>
      </c>
      <c r="N789" s="455">
        <f>+N791</f>
        <v>1.4</v>
      </c>
      <c r="O789" s="449">
        <f>+N789/M789</f>
        <v>4.6666666666666662E-2</v>
      </c>
      <c r="P789" s="333">
        <f t="shared" si="342"/>
        <v>23.18941120499538</v>
      </c>
      <c r="Q789" s="327">
        <f t="shared" si="343"/>
        <v>0</v>
      </c>
      <c r="R789" s="334">
        <f t="shared" si="344"/>
        <v>0</v>
      </c>
      <c r="S789" s="335">
        <f t="shared" si="347"/>
        <v>336.1931235438218</v>
      </c>
      <c r="T789" s="335">
        <f t="shared" si="348"/>
        <v>405.69307233333325</v>
      </c>
      <c r="U789" s="336">
        <f t="shared" si="349"/>
        <v>2</v>
      </c>
      <c r="V789" s="336">
        <f t="shared" si="350"/>
        <v>0</v>
      </c>
      <c r="W789" s="336">
        <f t="shared" si="351"/>
        <v>0</v>
      </c>
      <c r="X789" s="336">
        <f t="shared" si="352"/>
        <v>18.252282026815028</v>
      </c>
      <c r="Y789" s="320"/>
      <c r="Z789" s="321" t="str">
        <f t="shared" si="356"/>
        <v>X-COL4A</v>
      </c>
      <c r="AA789" s="321" t="str">
        <f t="shared" si="357"/>
        <v>X-COL4E</v>
      </c>
      <c r="AB789" s="321" t="str">
        <f t="shared" si="358"/>
        <v>X-COL4M</v>
      </c>
      <c r="AC789" s="321" t="str">
        <f t="shared" si="359"/>
        <v>X-COL4T</v>
      </c>
      <c r="AD789" s="321" t="str">
        <f t="shared" si="360"/>
        <v>X-COL4S</v>
      </c>
      <c r="AE789" s="321" t="str">
        <f t="shared" si="361"/>
        <v>X-COL4X</v>
      </c>
      <c r="AF789" s="321" t="str">
        <f t="shared" si="362"/>
        <v>X-COL4A</v>
      </c>
      <c r="AG789" s="321">
        <f t="shared" si="353"/>
        <v>14</v>
      </c>
      <c r="AH789" s="321">
        <f>IF(B789&lt;&gt;"",IF(H789="x",VLOOKUP(I789,'AUX-NIV3'!B:AG,32,FALSE),0),"")</f>
        <v>0</v>
      </c>
      <c r="AI789" s="321" t="str">
        <f t="shared" si="363"/>
        <v>X-COL4</v>
      </c>
      <c r="AJ789" s="320"/>
      <c r="AK789" s="322">
        <f t="shared" si="354"/>
        <v>787</v>
      </c>
      <c r="AL789" s="323">
        <f t="shared" si="364"/>
        <v>800</v>
      </c>
      <c r="AM789" s="322">
        <f t="shared" si="365"/>
        <v>3</v>
      </c>
      <c r="AN789" s="380">
        <f>IF(AND(AH789&gt;0,B789&lt;&gt;""),VLOOKUP(I789,'AUX-NIV3'!$B:$AO,39,FALSE)*O789,0)</f>
        <v>0</v>
      </c>
      <c r="AO789" s="380">
        <f t="shared" si="355"/>
        <v>0.67199999999999993</v>
      </c>
      <c r="AP789" s="380"/>
    </row>
    <row r="790" spans="2:42" ht="14.4" hidden="1" thickTop="1" thickBot="1">
      <c r="B790" s="324" t="s">
        <v>2849</v>
      </c>
      <c r="C790" s="325" t="s">
        <v>2850</v>
      </c>
      <c r="D790" s="326" t="s">
        <v>1160</v>
      </c>
      <c r="E790" s="327">
        <f>IF(B790&lt;&gt;"",SUMIF('AUX-NIV1'!I:I,'AUX-NIV2'!B790,'AUX-NIV1'!Q:Q),"")</f>
        <v>0</v>
      </c>
      <c r="F790" s="327">
        <f t="shared" si="345"/>
        <v>762.13847790397006</v>
      </c>
      <c r="G790" s="327">
        <f t="shared" si="346"/>
        <v>0</v>
      </c>
      <c r="H790" s="328" t="str">
        <f t="shared" si="368"/>
        <v>A</v>
      </c>
      <c r="I790" s="325" t="s">
        <v>3310</v>
      </c>
      <c r="J790" s="329" t="str">
        <f>IF(B790&lt;&gt;"",+VLOOKUP(I790,Recursos!C:F,2,FALSE),"")</f>
        <v>OFICIAL ESPECIALIZADO</v>
      </c>
      <c r="K790" s="330" t="str">
        <f>IF(B790&lt;&gt;"",+VLOOKUP(I790,Recursos!C:F,3,FALSE),"")</f>
        <v>hh</v>
      </c>
      <c r="L790" s="446">
        <f>IF(B790&lt;&gt;"",+VLOOKUP(I790,Recursos!C:F,4,FALSE),"")</f>
        <v>581.06120476836554</v>
      </c>
      <c r="M790" s="454">
        <f t="shared" si="369"/>
        <v>30</v>
      </c>
      <c r="N790" s="453">
        <v>2</v>
      </c>
      <c r="O790" s="449">
        <f>+N791/M790*N790</f>
        <v>9.3333333333333324E-2</v>
      </c>
      <c r="P790" s="333">
        <f t="shared" si="342"/>
        <v>54.23237911171411</v>
      </c>
      <c r="Q790" s="327">
        <f t="shared" si="343"/>
        <v>0</v>
      </c>
      <c r="R790" s="334">
        <f t="shared" si="344"/>
        <v>0</v>
      </c>
      <c r="S790" s="335">
        <f t="shared" si="347"/>
        <v>336.1931235438218</v>
      </c>
      <c r="T790" s="335">
        <f t="shared" si="348"/>
        <v>405.69307233333325</v>
      </c>
      <c r="U790" s="336">
        <f t="shared" si="349"/>
        <v>2</v>
      </c>
      <c r="V790" s="336">
        <f t="shared" si="350"/>
        <v>0</v>
      </c>
      <c r="W790" s="336">
        <f t="shared" si="351"/>
        <v>0</v>
      </c>
      <c r="X790" s="336">
        <f t="shared" si="352"/>
        <v>18.252282026815028</v>
      </c>
      <c r="Y790" s="320"/>
      <c r="Z790" s="321" t="str">
        <f t="shared" si="356"/>
        <v>X-COL4A</v>
      </c>
      <c r="AA790" s="321" t="str">
        <f t="shared" si="357"/>
        <v>X-COL4E</v>
      </c>
      <c r="AB790" s="321" t="str">
        <f t="shared" si="358"/>
        <v>X-COL4M</v>
      </c>
      <c r="AC790" s="321" t="str">
        <f t="shared" si="359"/>
        <v>X-COL4T</v>
      </c>
      <c r="AD790" s="321" t="str">
        <f t="shared" si="360"/>
        <v>X-COL4S</v>
      </c>
      <c r="AE790" s="321" t="str">
        <f t="shared" si="361"/>
        <v>X-COL4X</v>
      </c>
      <c r="AF790" s="321" t="str">
        <f t="shared" si="362"/>
        <v>X-COL4A</v>
      </c>
      <c r="AG790" s="321">
        <f t="shared" si="353"/>
        <v>14</v>
      </c>
      <c r="AH790" s="321">
        <f>IF(B790&lt;&gt;"",IF(H790="x",VLOOKUP(I790,'AUX-NIV3'!B:AG,32,FALSE),0),"")</f>
        <v>0</v>
      </c>
      <c r="AI790" s="321" t="str">
        <f t="shared" si="363"/>
        <v>X-COL4</v>
      </c>
      <c r="AJ790" s="320"/>
      <c r="AK790" s="322">
        <f t="shared" si="354"/>
        <v>787</v>
      </c>
      <c r="AL790" s="323">
        <f t="shared" si="364"/>
        <v>800</v>
      </c>
      <c r="AM790" s="322">
        <f t="shared" si="365"/>
        <v>4</v>
      </c>
      <c r="AN790" s="380">
        <f>IF(AND(AH790&gt;0,B790&lt;&gt;""),VLOOKUP(I790,'AUX-NIV3'!$B:$AO,39,FALSE)*O790,0)</f>
        <v>0</v>
      </c>
      <c r="AO790" s="380">
        <f t="shared" si="355"/>
        <v>0.67199999999999993</v>
      </c>
      <c r="AP790" s="380"/>
    </row>
    <row r="791" spans="2:42" ht="14.4" hidden="1" thickTop="1" thickBot="1">
      <c r="B791" s="324" t="s">
        <v>2849</v>
      </c>
      <c r="C791" s="325" t="s">
        <v>2850</v>
      </c>
      <c r="D791" s="326" t="s">
        <v>1160</v>
      </c>
      <c r="E791" s="327">
        <f>IF(B791&lt;&gt;"",SUMIF('AUX-NIV1'!I:I,'AUX-NIV2'!B791,'AUX-NIV1'!Q:Q),"")</f>
        <v>0</v>
      </c>
      <c r="F791" s="327">
        <f t="shared" si="345"/>
        <v>762.13847790397006</v>
      </c>
      <c r="G791" s="327">
        <f t="shared" si="346"/>
        <v>0</v>
      </c>
      <c r="H791" s="328" t="str">
        <f t="shared" si="368"/>
        <v>A</v>
      </c>
      <c r="I791" s="325" t="s">
        <v>3310</v>
      </c>
      <c r="J791" s="329" t="str">
        <f>IF(B791&lt;&gt;"",+VLOOKUP(I791,Recursos!C:F,2,FALSE),"")</f>
        <v>OFICIAL ESPECIALIZADO</v>
      </c>
      <c r="K791" s="330" t="str">
        <f>IF(B791&lt;&gt;"",+VLOOKUP(I791,Recursos!C:F,3,FALSE),"")</f>
        <v>hh</v>
      </c>
      <c r="L791" s="446">
        <f>IF(B791&lt;&gt;"",+VLOOKUP(I791,Recursos!C:F,4,FALSE),"")</f>
        <v>581.06120476836554</v>
      </c>
      <c r="M791" s="454">
        <f t="shared" si="369"/>
        <v>30</v>
      </c>
      <c r="N791" s="455">
        <f>+N792</f>
        <v>1.4</v>
      </c>
      <c r="O791" s="449">
        <f>+N791/M791</f>
        <v>4.6666666666666662E-2</v>
      </c>
      <c r="P791" s="333">
        <f t="shared" si="342"/>
        <v>27.116189555857055</v>
      </c>
      <c r="Q791" s="327">
        <f t="shared" si="343"/>
        <v>0</v>
      </c>
      <c r="R791" s="334">
        <f t="shared" si="344"/>
        <v>0</v>
      </c>
      <c r="S791" s="335">
        <f t="shared" si="347"/>
        <v>336.1931235438218</v>
      </c>
      <c r="T791" s="335">
        <f t="shared" si="348"/>
        <v>405.69307233333325</v>
      </c>
      <c r="U791" s="336">
        <f t="shared" si="349"/>
        <v>2</v>
      </c>
      <c r="V791" s="336">
        <f t="shared" si="350"/>
        <v>0</v>
      </c>
      <c r="W791" s="336">
        <f t="shared" si="351"/>
        <v>0</v>
      </c>
      <c r="X791" s="336">
        <f t="shared" si="352"/>
        <v>18.252282026815028</v>
      </c>
      <c r="Y791" s="320"/>
      <c r="Z791" s="321" t="str">
        <f t="shared" si="356"/>
        <v>X-COL4A</v>
      </c>
      <c r="AA791" s="321" t="str">
        <f t="shared" si="357"/>
        <v>X-COL4E</v>
      </c>
      <c r="AB791" s="321" t="str">
        <f t="shared" si="358"/>
        <v>X-COL4M</v>
      </c>
      <c r="AC791" s="321" t="str">
        <f t="shared" si="359"/>
        <v>X-COL4T</v>
      </c>
      <c r="AD791" s="321" t="str">
        <f t="shared" si="360"/>
        <v>X-COL4S</v>
      </c>
      <c r="AE791" s="321" t="str">
        <f t="shared" si="361"/>
        <v>X-COL4X</v>
      </c>
      <c r="AF791" s="321" t="str">
        <f t="shared" si="362"/>
        <v>X-COL4A</v>
      </c>
      <c r="AG791" s="321">
        <f t="shared" si="353"/>
        <v>14</v>
      </c>
      <c r="AH791" s="321">
        <f>IF(B791&lt;&gt;"",IF(H791="x",VLOOKUP(I791,'AUX-NIV3'!B:AG,32,FALSE),0),"")</f>
        <v>0</v>
      </c>
      <c r="AI791" s="321" t="str">
        <f t="shared" si="363"/>
        <v>X-COL4</v>
      </c>
      <c r="AJ791" s="320"/>
      <c r="AK791" s="322">
        <f t="shared" si="354"/>
        <v>787</v>
      </c>
      <c r="AL791" s="323">
        <f t="shared" si="364"/>
        <v>800</v>
      </c>
      <c r="AM791" s="322">
        <f t="shared" si="365"/>
        <v>5</v>
      </c>
      <c r="AN791" s="380">
        <f>IF(AND(AH791&gt;0,B791&lt;&gt;""),VLOOKUP(I791,'AUX-NIV3'!$B:$AO,39,FALSE)*O791,0)</f>
        <v>0</v>
      </c>
      <c r="AO791" s="380">
        <f t="shared" si="355"/>
        <v>0.67199999999999993</v>
      </c>
      <c r="AP791" s="380"/>
    </row>
    <row r="792" spans="2:42" ht="14.4" hidden="1" thickTop="1" thickBot="1">
      <c r="B792" s="324" t="s">
        <v>2849</v>
      </c>
      <c r="C792" s="325" t="s">
        <v>2850</v>
      </c>
      <c r="D792" s="326" t="s">
        <v>1160</v>
      </c>
      <c r="E792" s="327">
        <f>IF(B792&lt;&gt;"",SUMIF('AUX-NIV1'!I:I,'AUX-NIV2'!B792,'AUX-NIV1'!Q:Q),"")</f>
        <v>0</v>
      </c>
      <c r="F792" s="327">
        <f t="shared" si="345"/>
        <v>762.13847790397006</v>
      </c>
      <c r="G792" s="327">
        <f t="shared" si="346"/>
        <v>0</v>
      </c>
      <c r="H792" s="328" t="str">
        <f t="shared" si="368"/>
        <v>A</v>
      </c>
      <c r="I792" s="325" t="s">
        <v>3310</v>
      </c>
      <c r="J792" s="329" t="str">
        <f>IF(B792&lt;&gt;"",+VLOOKUP(I792,Recursos!C:F,2,FALSE),"")</f>
        <v>OFICIAL ESPECIALIZADO</v>
      </c>
      <c r="K792" s="330" t="str">
        <f>IF(B792&lt;&gt;"",+VLOOKUP(I792,Recursos!C:F,3,FALSE),"")</f>
        <v>hh</v>
      </c>
      <c r="L792" s="446">
        <f>IF(B792&lt;&gt;"",+VLOOKUP(I792,Recursos!C:F,4,FALSE),"")</f>
        <v>581.06120476836554</v>
      </c>
      <c r="M792" s="454">
        <f t="shared" si="369"/>
        <v>30</v>
      </c>
      <c r="N792" s="455">
        <f>+N793</f>
        <v>1.4</v>
      </c>
      <c r="O792" s="449">
        <f>+N792/M792</f>
        <v>4.6666666666666662E-2</v>
      </c>
      <c r="P792" s="333">
        <f t="shared" si="342"/>
        <v>27.116189555857055</v>
      </c>
      <c r="Q792" s="327">
        <f t="shared" si="343"/>
        <v>0</v>
      </c>
      <c r="R792" s="334">
        <f t="shared" si="344"/>
        <v>0</v>
      </c>
      <c r="S792" s="335">
        <f t="shared" si="347"/>
        <v>336.1931235438218</v>
      </c>
      <c r="T792" s="335">
        <f t="shared" si="348"/>
        <v>405.69307233333325</v>
      </c>
      <c r="U792" s="336">
        <f t="shared" si="349"/>
        <v>2</v>
      </c>
      <c r="V792" s="336">
        <f t="shared" si="350"/>
        <v>0</v>
      </c>
      <c r="W792" s="336">
        <f t="shared" si="351"/>
        <v>0</v>
      </c>
      <c r="X792" s="336">
        <f t="shared" si="352"/>
        <v>18.252282026815028</v>
      </c>
      <c r="Y792" s="320"/>
      <c r="Z792" s="321" t="str">
        <f t="shared" si="356"/>
        <v>X-COL4A</v>
      </c>
      <c r="AA792" s="321" t="str">
        <f t="shared" si="357"/>
        <v>X-COL4E</v>
      </c>
      <c r="AB792" s="321" t="str">
        <f t="shared" si="358"/>
        <v>X-COL4M</v>
      </c>
      <c r="AC792" s="321" t="str">
        <f t="shared" si="359"/>
        <v>X-COL4T</v>
      </c>
      <c r="AD792" s="321" t="str">
        <f t="shared" si="360"/>
        <v>X-COL4S</v>
      </c>
      <c r="AE792" s="321" t="str">
        <f t="shared" si="361"/>
        <v>X-COL4X</v>
      </c>
      <c r="AF792" s="321" t="str">
        <f t="shared" si="362"/>
        <v>X-COL4A</v>
      </c>
      <c r="AG792" s="321">
        <f t="shared" si="353"/>
        <v>14</v>
      </c>
      <c r="AH792" s="321">
        <f>IF(B792&lt;&gt;"",IF(H792="x",VLOOKUP(I792,'AUX-NIV3'!B:AG,32,FALSE),0),"")</f>
        <v>0</v>
      </c>
      <c r="AI792" s="321" t="str">
        <f t="shared" si="363"/>
        <v>X-COL4</v>
      </c>
      <c r="AJ792" s="320"/>
      <c r="AK792" s="322">
        <f t="shared" si="354"/>
        <v>787</v>
      </c>
      <c r="AL792" s="323">
        <f t="shared" si="364"/>
        <v>800</v>
      </c>
      <c r="AM792" s="322">
        <f t="shared" si="365"/>
        <v>6</v>
      </c>
      <c r="AN792" s="380">
        <f>IF(AND(AH792&gt;0,B792&lt;&gt;""),VLOOKUP(I792,'AUX-NIV3'!$B:$AO,39,FALSE)*O792,0)</f>
        <v>0</v>
      </c>
      <c r="AO792" s="380">
        <f t="shared" si="355"/>
        <v>0.67199999999999993</v>
      </c>
      <c r="AP792" s="380"/>
    </row>
    <row r="793" spans="2:42" ht="14.4" hidden="1" thickTop="1" thickBot="1">
      <c r="B793" s="324" t="s">
        <v>2849</v>
      </c>
      <c r="C793" s="325" t="s">
        <v>2850</v>
      </c>
      <c r="D793" s="326" t="s">
        <v>1160</v>
      </c>
      <c r="E793" s="327">
        <f>IF(B793&lt;&gt;"",SUMIF('AUX-NIV1'!I:I,'AUX-NIV2'!B793,'AUX-NIV1'!Q:Q),"")</f>
        <v>0</v>
      </c>
      <c r="F793" s="327">
        <f t="shared" si="345"/>
        <v>762.13847790397006</v>
      </c>
      <c r="G793" s="327">
        <f t="shared" si="346"/>
        <v>0</v>
      </c>
      <c r="H793" s="328" t="str">
        <f t="shared" si="368"/>
        <v>A</v>
      </c>
      <c r="I793" s="325" t="s">
        <v>3310</v>
      </c>
      <c r="J793" s="329" t="str">
        <f>IF(B793&lt;&gt;"",+VLOOKUP(I793,Recursos!C:F,2,FALSE),"")</f>
        <v>OFICIAL ESPECIALIZADO</v>
      </c>
      <c r="K793" s="330" t="str">
        <f>IF(B793&lt;&gt;"",+VLOOKUP(I793,Recursos!C:F,3,FALSE),"")</f>
        <v>hh</v>
      </c>
      <c r="L793" s="446">
        <f>IF(B793&lt;&gt;"",+VLOOKUP(I793,Recursos!C:F,4,FALSE),"")</f>
        <v>581.06120476836554</v>
      </c>
      <c r="M793" s="454">
        <f t="shared" si="369"/>
        <v>30</v>
      </c>
      <c r="N793" s="455">
        <f>+N794</f>
        <v>1.4</v>
      </c>
      <c r="O793" s="449">
        <f>+N793/M793</f>
        <v>4.6666666666666662E-2</v>
      </c>
      <c r="P793" s="333">
        <f t="shared" si="342"/>
        <v>27.116189555857055</v>
      </c>
      <c r="Q793" s="327">
        <f t="shared" si="343"/>
        <v>0</v>
      </c>
      <c r="R793" s="334">
        <f t="shared" si="344"/>
        <v>0</v>
      </c>
      <c r="S793" s="335">
        <f t="shared" si="347"/>
        <v>336.1931235438218</v>
      </c>
      <c r="T793" s="335">
        <f t="shared" si="348"/>
        <v>405.69307233333325</v>
      </c>
      <c r="U793" s="336">
        <f t="shared" si="349"/>
        <v>2</v>
      </c>
      <c r="V793" s="336">
        <f t="shared" si="350"/>
        <v>0</v>
      </c>
      <c r="W793" s="336">
        <f t="shared" si="351"/>
        <v>0</v>
      </c>
      <c r="X793" s="336">
        <f t="shared" si="352"/>
        <v>18.252282026815028</v>
      </c>
      <c r="Y793" s="320"/>
      <c r="Z793" s="321" t="str">
        <f t="shared" si="356"/>
        <v>X-COL4A</v>
      </c>
      <c r="AA793" s="321" t="str">
        <f t="shared" si="357"/>
        <v>X-COL4E</v>
      </c>
      <c r="AB793" s="321" t="str">
        <f t="shared" si="358"/>
        <v>X-COL4M</v>
      </c>
      <c r="AC793" s="321" t="str">
        <f t="shared" si="359"/>
        <v>X-COL4T</v>
      </c>
      <c r="AD793" s="321" t="str">
        <f t="shared" si="360"/>
        <v>X-COL4S</v>
      </c>
      <c r="AE793" s="321" t="str">
        <f t="shared" si="361"/>
        <v>X-COL4X</v>
      </c>
      <c r="AF793" s="321" t="str">
        <f t="shared" si="362"/>
        <v>X-COL4A</v>
      </c>
      <c r="AG793" s="321">
        <f t="shared" si="353"/>
        <v>14</v>
      </c>
      <c r="AH793" s="321">
        <f>IF(B793&lt;&gt;"",IF(H793="x",VLOOKUP(I793,'AUX-NIV3'!B:AG,32,FALSE),0),"")</f>
        <v>0</v>
      </c>
      <c r="AI793" s="321" t="str">
        <f t="shared" si="363"/>
        <v>X-COL4</v>
      </c>
      <c r="AJ793" s="320"/>
      <c r="AK793" s="322">
        <f t="shared" si="354"/>
        <v>787</v>
      </c>
      <c r="AL793" s="323">
        <f t="shared" si="364"/>
        <v>800</v>
      </c>
      <c r="AM793" s="322">
        <f t="shared" si="365"/>
        <v>7</v>
      </c>
      <c r="AN793" s="380">
        <f>IF(AND(AH793&gt;0,B793&lt;&gt;""),VLOOKUP(I793,'AUX-NIV3'!$B:$AO,39,FALSE)*O793,0)</f>
        <v>0</v>
      </c>
      <c r="AO793" s="380">
        <f t="shared" si="355"/>
        <v>0.67199999999999993</v>
      </c>
      <c r="AP793" s="380"/>
    </row>
    <row r="794" spans="2:42" ht="14.4" hidden="1" thickTop="1" thickBot="1">
      <c r="B794" s="324" t="s">
        <v>2849</v>
      </c>
      <c r="C794" s="325" t="s">
        <v>2850</v>
      </c>
      <c r="D794" s="326" t="s">
        <v>1160</v>
      </c>
      <c r="E794" s="327">
        <f>IF(B794&lt;&gt;"",SUMIF('AUX-NIV1'!I:I,'AUX-NIV2'!B794,'AUX-NIV1'!Q:Q),"")</f>
        <v>0</v>
      </c>
      <c r="F794" s="327">
        <f t="shared" si="345"/>
        <v>762.13847790397006</v>
      </c>
      <c r="G794" s="327">
        <f t="shared" si="346"/>
        <v>0</v>
      </c>
      <c r="H794" s="328" t="str">
        <f t="shared" si="368"/>
        <v>A</v>
      </c>
      <c r="I794" s="325" t="s">
        <v>1746</v>
      </c>
      <c r="J794" s="329" t="str">
        <f>IF(B794&lt;&gt;"",+VLOOKUP(I794,Recursos!C:F,2,FALSE),"")</f>
        <v>OFICIAL</v>
      </c>
      <c r="K794" s="330" t="str">
        <f>IF(B794&lt;&gt;"",+VLOOKUP(I794,Recursos!C:F,3,FALSE),"")</f>
        <v>hh</v>
      </c>
      <c r="L794" s="446">
        <f>IF(B794&lt;&gt;"",+VLOOKUP(I794,Recursos!C:F,4,FALSE),"")</f>
        <v>496.91595439275824</v>
      </c>
      <c r="M794" s="454">
        <f t="shared" si="369"/>
        <v>30</v>
      </c>
      <c r="N794" s="453">
        <v>1.4</v>
      </c>
      <c r="O794" s="449">
        <f>+N794/M794*(N795+N796)</f>
        <v>6.5333333333333327E-2</v>
      </c>
      <c r="P794" s="333">
        <f t="shared" si="342"/>
        <v>32.465175686993533</v>
      </c>
      <c r="Q794" s="327">
        <f t="shared" si="343"/>
        <v>0</v>
      </c>
      <c r="R794" s="334">
        <f t="shared" si="344"/>
        <v>0</v>
      </c>
      <c r="S794" s="335">
        <f t="shared" si="347"/>
        <v>336.1931235438218</v>
      </c>
      <c r="T794" s="335">
        <f t="shared" si="348"/>
        <v>405.69307233333325</v>
      </c>
      <c r="U794" s="336">
        <f t="shared" si="349"/>
        <v>2</v>
      </c>
      <c r="V794" s="336">
        <f t="shared" si="350"/>
        <v>0</v>
      </c>
      <c r="W794" s="336">
        <f t="shared" si="351"/>
        <v>0</v>
      </c>
      <c r="X794" s="336">
        <f t="shared" si="352"/>
        <v>18.252282026815028</v>
      </c>
      <c r="Y794" s="320"/>
      <c r="Z794" s="321" t="str">
        <f t="shared" si="356"/>
        <v>X-COL4A</v>
      </c>
      <c r="AA794" s="321" t="str">
        <f t="shared" si="357"/>
        <v>X-COL4E</v>
      </c>
      <c r="AB794" s="321" t="str">
        <f t="shared" si="358"/>
        <v>X-COL4M</v>
      </c>
      <c r="AC794" s="321" t="str">
        <f t="shared" si="359"/>
        <v>X-COL4T</v>
      </c>
      <c r="AD794" s="321" t="str">
        <f t="shared" si="360"/>
        <v>X-COL4S</v>
      </c>
      <c r="AE794" s="321" t="str">
        <f t="shared" si="361"/>
        <v>X-COL4X</v>
      </c>
      <c r="AF794" s="321" t="str">
        <f t="shared" si="362"/>
        <v>X-COL4A</v>
      </c>
      <c r="AG794" s="321">
        <f t="shared" si="353"/>
        <v>14</v>
      </c>
      <c r="AH794" s="321">
        <f>IF(B794&lt;&gt;"",IF(H794="x",VLOOKUP(I794,'AUX-NIV3'!B:AG,32,FALSE),0),"")</f>
        <v>0</v>
      </c>
      <c r="AI794" s="321" t="str">
        <f t="shared" si="363"/>
        <v>X-COL4</v>
      </c>
      <c r="AJ794" s="320"/>
      <c r="AK794" s="322">
        <f t="shared" si="354"/>
        <v>787</v>
      </c>
      <c r="AL794" s="323">
        <f t="shared" si="364"/>
        <v>800</v>
      </c>
      <c r="AM794" s="322">
        <f t="shared" si="365"/>
        <v>8</v>
      </c>
      <c r="AN794" s="380">
        <f>IF(AND(AH794&gt;0,B794&lt;&gt;""),VLOOKUP(I794,'AUX-NIV3'!$B:$AO,39,FALSE)*O794,0)</f>
        <v>0</v>
      </c>
      <c r="AO794" s="380">
        <f t="shared" si="355"/>
        <v>0.67199999999999993</v>
      </c>
      <c r="AP794" s="380"/>
    </row>
    <row r="795" spans="2:42" ht="14.4" hidden="1" thickTop="1" thickBot="1">
      <c r="B795" s="324" t="s">
        <v>2849</v>
      </c>
      <c r="C795" s="325" t="s">
        <v>2850</v>
      </c>
      <c r="D795" s="326" t="s">
        <v>1160</v>
      </c>
      <c r="E795" s="327">
        <f>IF(B795&lt;&gt;"",SUMIF('AUX-NIV1'!I:I,'AUX-NIV2'!B795,'AUX-NIV1'!Q:Q),"")</f>
        <v>0</v>
      </c>
      <c r="F795" s="327">
        <f t="shared" si="345"/>
        <v>762.13847790397006</v>
      </c>
      <c r="G795" s="327">
        <f t="shared" si="346"/>
        <v>0</v>
      </c>
      <c r="H795" s="328" t="str">
        <f t="shared" si="368"/>
        <v>E</v>
      </c>
      <c r="I795" s="325" t="s">
        <v>1676</v>
      </c>
      <c r="J795" s="329" t="str">
        <f>IF(B795&lt;&gt;"",+VLOOKUP(I795,Recursos!C:F,2,FALSE),"")</f>
        <v>CAMION REGADOR CAP. 8 m3</v>
      </c>
      <c r="K795" s="330" t="str">
        <f>IF(B795&lt;&gt;"",+VLOOKUP(I795,Recursos!C:F,3,FALSE),"")</f>
        <v>HR</v>
      </c>
      <c r="L795" s="446">
        <f>IF(B795&lt;&gt;"",+VLOOKUP(I795,Recursos!C:F,4,FALSE),"")</f>
        <v>2281.2949000000003</v>
      </c>
      <c r="M795" s="454">
        <f>+M796</f>
        <v>30</v>
      </c>
      <c r="N795" s="453">
        <v>0.4</v>
      </c>
      <c r="O795" s="449">
        <f>+N795/M796</f>
        <v>1.3333333333333334E-2</v>
      </c>
      <c r="P795" s="333">
        <f t="shared" si="342"/>
        <v>30.41726533333334</v>
      </c>
      <c r="Q795" s="327">
        <f t="shared" si="343"/>
        <v>0</v>
      </c>
      <c r="R795" s="334">
        <f t="shared" si="344"/>
        <v>0</v>
      </c>
      <c r="S795" s="335">
        <f t="shared" si="347"/>
        <v>336.1931235438218</v>
      </c>
      <c r="T795" s="335">
        <f t="shared" si="348"/>
        <v>405.69307233333325</v>
      </c>
      <c r="U795" s="336">
        <f t="shared" si="349"/>
        <v>2</v>
      </c>
      <c r="V795" s="336">
        <f t="shared" si="350"/>
        <v>0</v>
      </c>
      <c r="W795" s="336">
        <f t="shared" si="351"/>
        <v>0</v>
      </c>
      <c r="X795" s="336">
        <f t="shared" si="352"/>
        <v>18.252282026815028</v>
      </c>
      <c r="Y795" s="320"/>
      <c r="Z795" s="321" t="str">
        <f t="shared" si="356"/>
        <v>X-COL4A</v>
      </c>
      <c r="AA795" s="321" t="str">
        <f t="shared" si="357"/>
        <v>X-COL4E</v>
      </c>
      <c r="AB795" s="321" t="str">
        <f t="shared" si="358"/>
        <v>X-COL4M</v>
      </c>
      <c r="AC795" s="321" t="str">
        <f t="shared" si="359"/>
        <v>X-COL4T</v>
      </c>
      <c r="AD795" s="321" t="str">
        <f t="shared" si="360"/>
        <v>X-COL4S</v>
      </c>
      <c r="AE795" s="321" t="str">
        <f t="shared" si="361"/>
        <v>X-COL4X</v>
      </c>
      <c r="AF795" s="321" t="str">
        <f t="shared" si="362"/>
        <v>X-COL4E</v>
      </c>
      <c r="AG795" s="321">
        <f t="shared" si="353"/>
        <v>14</v>
      </c>
      <c r="AH795" s="321">
        <f>IF(B795&lt;&gt;"",IF(H795="x",VLOOKUP(I795,'AUX-NIV3'!B:AG,32,FALSE),0),"")</f>
        <v>0</v>
      </c>
      <c r="AI795" s="321" t="str">
        <f t="shared" si="363"/>
        <v>X-COL4</v>
      </c>
      <c r="AJ795" s="320"/>
      <c r="AK795" s="322">
        <f t="shared" si="354"/>
        <v>787</v>
      </c>
      <c r="AL795" s="323">
        <f t="shared" si="364"/>
        <v>800</v>
      </c>
      <c r="AM795" s="322">
        <f t="shared" si="365"/>
        <v>9</v>
      </c>
      <c r="AN795" s="380">
        <f>IF(AND(AH795&gt;0,B795&lt;&gt;""),VLOOKUP(I795,'AUX-NIV3'!$B:$AO,39,FALSE)*O795,0)</f>
        <v>0</v>
      </c>
      <c r="AO795" s="380">
        <f t="shared" si="355"/>
        <v>0.67199999999999993</v>
      </c>
      <c r="AP795" s="380"/>
    </row>
    <row r="796" spans="2:42" ht="14.4" hidden="1" thickTop="1" thickBot="1">
      <c r="B796" s="324" t="s">
        <v>2849</v>
      </c>
      <c r="C796" s="325" t="s">
        <v>2850</v>
      </c>
      <c r="D796" s="326" t="s">
        <v>1160</v>
      </c>
      <c r="E796" s="327">
        <f>IF(B796&lt;&gt;"",SUMIF('AUX-NIV1'!I:I,'AUX-NIV2'!B796,'AUX-NIV1'!Q:Q),"")</f>
        <v>0</v>
      </c>
      <c r="F796" s="327">
        <f t="shared" si="345"/>
        <v>762.13847790397006</v>
      </c>
      <c r="G796" s="327">
        <f t="shared" si="346"/>
        <v>0</v>
      </c>
      <c r="H796" s="328" t="str">
        <f t="shared" si="368"/>
        <v>E</v>
      </c>
      <c r="I796" s="325" t="s">
        <v>1597</v>
      </c>
      <c r="J796" s="329" t="str">
        <f>IF(B796&lt;&gt;"",+VLOOKUP(I796,Recursos!C:F,2,FALSE),"")</f>
        <v>HIDROGRUA MONTADA S/CAMION (6 T)</v>
      </c>
      <c r="K796" s="330" t="str">
        <f>IF(B796&lt;&gt;"",+VLOOKUP(I796,Recursos!C:F,3,FALSE),"")</f>
        <v>HR</v>
      </c>
      <c r="L796" s="446">
        <f>IF(B796&lt;&gt;"",+VLOOKUP(I796,Recursos!C:F,4,FALSE),"")</f>
        <v>2378.0722500000002</v>
      </c>
      <c r="M796" s="454">
        <f>+M797</f>
        <v>30</v>
      </c>
      <c r="N796" s="455">
        <f>+N797</f>
        <v>1</v>
      </c>
      <c r="O796" s="449">
        <f>+N796/M796</f>
        <v>3.3333333333333333E-2</v>
      </c>
      <c r="P796" s="333">
        <f t="shared" si="342"/>
        <v>79.269075000000001</v>
      </c>
      <c r="Q796" s="327">
        <f t="shared" si="343"/>
        <v>0</v>
      </c>
      <c r="R796" s="334">
        <f t="shared" si="344"/>
        <v>0</v>
      </c>
      <c r="S796" s="335">
        <f t="shared" si="347"/>
        <v>336.1931235438218</v>
      </c>
      <c r="T796" s="335">
        <f t="shared" si="348"/>
        <v>405.69307233333325</v>
      </c>
      <c r="U796" s="336">
        <f t="shared" si="349"/>
        <v>2</v>
      </c>
      <c r="V796" s="336">
        <f t="shared" si="350"/>
        <v>0</v>
      </c>
      <c r="W796" s="336">
        <f t="shared" si="351"/>
        <v>0</v>
      </c>
      <c r="X796" s="336">
        <f t="shared" si="352"/>
        <v>18.252282026815028</v>
      </c>
      <c r="Y796" s="320"/>
      <c r="Z796" s="321" t="str">
        <f t="shared" si="356"/>
        <v>X-COL4A</v>
      </c>
      <c r="AA796" s="321" t="str">
        <f t="shared" si="357"/>
        <v>X-COL4E</v>
      </c>
      <c r="AB796" s="321" t="str">
        <f t="shared" si="358"/>
        <v>X-COL4M</v>
      </c>
      <c r="AC796" s="321" t="str">
        <f t="shared" si="359"/>
        <v>X-COL4T</v>
      </c>
      <c r="AD796" s="321" t="str">
        <f t="shared" si="360"/>
        <v>X-COL4S</v>
      </c>
      <c r="AE796" s="321" t="str">
        <f t="shared" si="361"/>
        <v>X-COL4X</v>
      </c>
      <c r="AF796" s="321" t="str">
        <f t="shared" si="362"/>
        <v>X-COL4E</v>
      </c>
      <c r="AG796" s="321">
        <f t="shared" si="353"/>
        <v>14</v>
      </c>
      <c r="AH796" s="321">
        <f>IF(B796&lt;&gt;"",IF(H796="x",VLOOKUP(I796,'AUX-NIV3'!B:AG,32,FALSE),0),"")</f>
        <v>0</v>
      </c>
      <c r="AI796" s="321" t="str">
        <f t="shared" si="363"/>
        <v>X-COL4</v>
      </c>
      <c r="AJ796" s="320"/>
      <c r="AK796" s="322">
        <f t="shared" si="354"/>
        <v>787</v>
      </c>
      <c r="AL796" s="323">
        <f t="shared" si="364"/>
        <v>800</v>
      </c>
      <c r="AM796" s="322">
        <f t="shared" si="365"/>
        <v>10</v>
      </c>
      <c r="AN796" s="380">
        <f>IF(AND(AH796&gt;0,B796&lt;&gt;""),VLOOKUP(I796,'AUX-NIV3'!$B:$AO,39,FALSE)*O796,0)</f>
        <v>0</v>
      </c>
      <c r="AO796" s="380">
        <f t="shared" si="355"/>
        <v>0.67199999999999993</v>
      </c>
      <c r="AP796" s="380"/>
    </row>
    <row r="797" spans="2:42" ht="14.4" hidden="1" thickTop="1" thickBot="1">
      <c r="B797" s="324" t="s">
        <v>2849</v>
      </c>
      <c r="C797" s="325" t="s">
        <v>2850</v>
      </c>
      <c r="D797" s="326" t="s">
        <v>1160</v>
      </c>
      <c r="E797" s="327">
        <f>IF(B797&lt;&gt;"",SUMIF('AUX-NIV1'!I:I,'AUX-NIV2'!B797,'AUX-NIV1'!Q:Q),"")</f>
        <v>0</v>
      </c>
      <c r="F797" s="327">
        <f t="shared" si="345"/>
        <v>762.13847790397006</v>
      </c>
      <c r="G797" s="327">
        <f t="shared" si="346"/>
        <v>0</v>
      </c>
      <c r="H797" s="328" t="str">
        <f t="shared" si="368"/>
        <v>E</v>
      </c>
      <c r="I797" s="325" t="s">
        <v>1724</v>
      </c>
      <c r="J797" s="329" t="str">
        <f>IF(B797&lt;&gt;"",+VLOOKUP(I797,Recursos!C:F,2,FALSE),"")</f>
        <v>PUENTE CURADO PAVIMENTO (3,65m)</v>
      </c>
      <c r="K797" s="330" t="str">
        <f>IF(B797&lt;&gt;"",+VLOOKUP(I797,Recursos!C:F,3,FALSE),"")</f>
        <v>HR</v>
      </c>
      <c r="L797" s="446">
        <f>IF(B797&lt;&gt;"",+VLOOKUP(I797,Recursos!C:F,4,FALSE),"")</f>
        <v>407.09796000000006</v>
      </c>
      <c r="M797" s="454">
        <f>+M798</f>
        <v>30</v>
      </c>
      <c r="N797" s="455">
        <f>+N798</f>
        <v>1</v>
      </c>
      <c r="O797" s="449">
        <f>+N797/M797</f>
        <v>3.3333333333333333E-2</v>
      </c>
      <c r="P797" s="333">
        <f t="shared" si="342"/>
        <v>13.569932000000001</v>
      </c>
      <c r="Q797" s="327">
        <f t="shared" si="343"/>
        <v>0</v>
      </c>
      <c r="R797" s="334">
        <f t="shared" si="344"/>
        <v>0</v>
      </c>
      <c r="S797" s="335">
        <f t="shared" si="347"/>
        <v>336.1931235438218</v>
      </c>
      <c r="T797" s="335">
        <f t="shared" si="348"/>
        <v>405.69307233333325</v>
      </c>
      <c r="U797" s="336">
        <f t="shared" si="349"/>
        <v>2</v>
      </c>
      <c r="V797" s="336">
        <f t="shared" si="350"/>
        <v>0</v>
      </c>
      <c r="W797" s="336">
        <f t="shared" si="351"/>
        <v>0</v>
      </c>
      <c r="X797" s="336">
        <f t="shared" si="352"/>
        <v>18.252282026815028</v>
      </c>
      <c r="Y797" s="320"/>
      <c r="Z797" s="321" t="str">
        <f t="shared" si="356"/>
        <v>X-COL4A</v>
      </c>
      <c r="AA797" s="321" t="str">
        <f t="shared" si="357"/>
        <v>X-COL4E</v>
      </c>
      <c r="AB797" s="321" t="str">
        <f t="shared" si="358"/>
        <v>X-COL4M</v>
      </c>
      <c r="AC797" s="321" t="str">
        <f t="shared" si="359"/>
        <v>X-COL4T</v>
      </c>
      <c r="AD797" s="321" t="str">
        <f t="shared" si="360"/>
        <v>X-COL4S</v>
      </c>
      <c r="AE797" s="321" t="str">
        <f t="shared" si="361"/>
        <v>X-COL4X</v>
      </c>
      <c r="AF797" s="321" t="str">
        <f t="shared" si="362"/>
        <v>X-COL4E</v>
      </c>
      <c r="AG797" s="321">
        <f t="shared" si="353"/>
        <v>14</v>
      </c>
      <c r="AH797" s="321">
        <f>IF(B797&lt;&gt;"",IF(H797="x",VLOOKUP(I797,'AUX-NIV3'!B:AG,32,FALSE),0),"")</f>
        <v>0</v>
      </c>
      <c r="AI797" s="321" t="str">
        <f t="shared" si="363"/>
        <v>X-COL4</v>
      </c>
      <c r="AJ797" s="320"/>
      <c r="AK797" s="322">
        <f t="shared" si="354"/>
        <v>787</v>
      </c>
      <c r="AL797" s="323">
        <f t="shared" si="364"/>
        <v>800</v>
      </c>
      <c r="AM797" s="322">
        <f t="shared" si="365"/>
        <v>11</v>
      </c>
      <c r="AN797" s="380">
        <f>IF(AND(AH797&gt;0,B797&lt;&gt;""),VLOOKUP(I797,'AUX-NIV3'!$B:$AO,39,FALSE)*O797,0)</f>
        <v>0</v>
      </c>
      <c r="AO797" s="380">
        <f t="shared" si="355"/>
        <v>0.67199999999999993</v>
      </c>
      <c r="AP797" s="380"/>
    </row>
    <row r="798" spans="2:42" ht="14.4" hidden="1" thickTop="1" thickBot="1">
      <c r="B798" s="324" t="s">
        <v>2849</v>
      </c>
      <c r="C798" s="325" t="s">
        <v>2850</v>
      </c>
      <c r="D798" s="326" t="s">
        <v>1160</v>
      </c>
      <c r="E798" s="327">
        <f>IF(B798&lt;&gt;"",SUMIF('AUX-NIV1'!I:I,'AUX-NIV2'!B798,'AUX-NIV1'!Q:Q),"")</f>
        <v>0</v>
      </c>
      <c r="F798" s="327">
        <f t="shared" si="345"/>
        <v>762.13847790397006</v>
      </c>
      <c r="G798" s="327">
        <f t="shared" si="346"/>
        <v>0</v>
      </c>
      <c r="H798" s="328" t="str">
        <f t="shared" si="368"/>
        <v>E</v>
      </c>
      <c r="I798" s="325" t="s">
        <v>1726</v>
      </c>
      <c r="J798" s="329" t="str">
        <f>IF(B798&lt;&gt;"",+VLOOKUP(I798,Recursos!C:F,2,FALSE),"")</f>
        <v>PAVIMENTADORA CALZADA Hº- 4 ORUGAS</v>
      </c>
      <c r="K798" s="330" t="str">
        <f>IF(B798&lt;&gt;"",+VLOOKUP(I798,Recursos!C:F,3,FALSE),"")</f>
        <v>HR</v>
      </c>
      <c r="L798" s="446">
        <f>IF(B798&lt;&gt;"",+VLOOKUP(I798,Recursos!C:F,4,FALSE),"")</f>
        <v>8473.1039999999994</v>
      </c>
      <c r="M798" s="452">
        <v>30</v>
      </c>
      <c r="N798" s="453">
        <v>1</v>
      </c>
      <c r="O798" s="449">
        <f>+N798/M798</f>
        <v>3.3333333333333333E-2</v>
      </c>
      <c r="P798" s="333">
        <f t="shared" si="342"/>
        <v>282.43679999999995</v>
      </c>
      <c r="Q798" s="327">
        <f t="shared" si="343"/>
        <v>0</v>
      </c>
      <c r="R798" s="334">
        <f t="shared" si="344"/>
        <v>0</v>
      </c>
      <c r="S798" s="335">
        <f t="shared" si="347"/>
        <v>336.1931235438218</v>
      </c>
      <c r="T798" s="335">
        <f t="shared" si="348"/>
        <v>405.69307233333325</v>
      </c>
      <c r="U798" s="336">
        <f t="shared" si="349"/>
        <v>2</v>
      </c>
      <c r="V798" s="336">
        <f t="shared" si="350"/>
        <v>0</v>
      </c>
      <c r="W798" s="336">
        <f t="shared" si="351"/>
        <v>0</v>
      </c>
      <c r="X798" s="336">
        <f t="shared" si="352"/>
        <v>18.252282026815028</v>
      </c>
      <c r="Y798" s="320"/>
      <c r="Z798" s="321" t="str">
        <f t="shared" si="356"/>
        <v>X-COL4A</v>
      </c>
      <c r="AA798" s="321" t="str">
        <f t="shared" si="357"/>
        <v>X-COL4E</v>
      </c>
      <c r="AB798" s="321" t="str">
        <f t="shared" si="358"/>
        <v>X-COL4M</v>
      </c>
      <c r="AC798" s="321" t="str">
        <f t="shared" si="359"/>
        <v>X-COL4T</v>
      </c>
      <c r="AD798" s="321" t="str">
        <f t="shared" si="360"/>
        <v>X-COL4S</v>
      </c>
      <c r="AE798" s="321" t="str">
        <f t="shared" si="361"/>
        <v>X-COL4X</v>
      </c>
      <c r="AF798" s="321" t="str">
        <f t="shared" si="362"/>
        <v>X-COL4E</v>
      </c>
      <c r="AG798" s="321">
        <f t="shared" si="353"/>
        <v>14</v>
      </c>
      <c r="AH798" s="321">
        <f>IF(B798&lt;&gt;"",IF(H798="x",VLOOKUP(I798,'AUX-NIV3'!B:AG,32,FALSE),0),"")</f>
        <v>0</v>
      </c>
      <c r="AI798" s="321" t="str">
        <f t="shared" si="363"/>
        <v>X-COL4</v>
      </c>
      <c r="AJ798" s="320"/>
      <c r="AK798" s="322">
        <f t="shared" si="354"/>
        <v>787</v>
      </c>
      <c r="AL798" s="323">
        <f t="shared" si="364"/>
        <v>800</v>
      </c>
      <c r="AM798" s="322">
        <f t="shared" si="365"/>
        <v>12</v>
      </c>
      <c r="AN798" s="380">
        <f>IF(AND(AH798&gt;0,B798&lt;&gt;""),VLOOKUP(I798,'AUX-NIV3'!$B:$AO,39,FALSE)*O798,0)</f>
        <v>0</v>
      </c>
      <c r="AO798" s="380">
        <f t="shared" si="355"/>
        <v>0.67199999999999993</v>
      </c>
      <c r="AP798" s="380"/>
    </row>
    <row r="799" spans="2:42" ht="14.4" hidden="1" thickTop="1" thickBot="1">
      <c r="B799" s="324" t="s">
        <v>2849</v>
      </c>
      <c r="C799" s="325" t="s">
        <v>2850</v>
      </c>
      <c r="D799" s="326" t="s">
        <v>1160</v>
      </c>
      <c r="E799" s="327">
        <f>IF(B799&lt;&gt;"",SUMIF('AUX-NIV1'!I:I,'AUX-NIV2'!B799,'AUX-NIV1'!Q:Q),"")</f>
        <v>0</v>
      </c>
      <c r="F799" s="327">
        <f t="shared" si="345"/>
        <v>762.13847790397006</v>
      </c>
      <c r="G799" s="327">
        <f t="shared" si="346"/>
        <v>0</v>
      </c>
      <c r="H799" s="328" t="str">
        <f t="shared" si="368"/>
        <v>M</v>
      </c>
      <c r="I799" s="325" t="s">
        <v>2014</v>
      </c>
      <c r="J799" s="329" t="str">
        <f>IF(B799&lt;&gt;"",+VLOOKUP(I799,Recursos!C:F,2,FALSE),"")</f>
        <v>POLIETILENO DE 200 micrones</v>
      </c>
      <c r="K799" s="330" t="str">
        <f>IF(B799&lt;&gt;"",+VLOOKUP(I799,Recursos!C:F,3,FALSE),"")</f>
        <v>m2</v>
      </c>
      <c r="L799" s="446">
        <f>IF(B799&lt;&gt;"",+VLOOKUP(I799,Recursos!C:F,4,FALSE),"")</f>
        <v>0.5</v>
      </c>
      <c r="M799" s="452">
        <v>7.3</v>
      </c>
      <c r="N799" s="453">
        <v>4</v>
      </c>
      <c r="O799" s="449">
        <f>+N799</f>
        <v>4</v>
      </c>
      <c r="P799" s="333">
        <f t="shared" si="342"/>
        <v>2</v>
      </c>
      <c r="Q799" s="327">
        <f t="shared" si="343"/>
        <v>0</v>
      </c>
      <c r="R799" s="334">
        <f t="shared" si="344"/>
        <v>0</v>
      </c>
      <c r="S799" s="335">
        <f t="shared" si="347"/>
        <v>336.1931235438218</v>
      </c>
      <c r="T799" s="335">
        <f t="shared" si="348"/>
        <v>405.69307233333325</v>
      </c>
      <c r="U799" s="336">
        <f t="shared" si="349"/>
        <v>2</v>
      </c>
      <c r="V799" s="336">
        <f t="shared" si="350"/>
        <v>0</v>
      </c>
      <c r="W799" s="336">
        <f t="shared" si="351"/>
        <v>0</v>
      </c>
      <c r="X799" s="336">
        <f t="shared" si="352"/>
        <v>18.252282026815028</v>
      </c>
      <c r="Y799" s="320"/>
      <c r="Z799" s="321" t="str">
        <f t="shared" si="356"/>
        <v>X-COL4A</v>
      </c>
      <c r="AA799" s="321" t="str">
        <f t="shared" si="357"/>
        <v>X-COL4E</v>
      </c>
      <c r="AB799" s="321" t="str">
        <f t="shared" si="358"/>
        <v>X-COL4M</v>
      </c>
      <c r="AC799" s="321" t="str">
        <f t="shared" si="359"/>
        <v>X-COL4T</v>
      </c>
      <c r="AD799" s="321" t="str">
        <f t="shared" si="360"/>
        <v>X-COL4S</v>
      </c>
      <c r="AE799" s="321" t="str">
        <f t="shared" si="361"/>
        <v>X-COL4X</v>
      </c>
      <c r="AF799" s="321" t="str">
        <f t="shared" si="362"/>
        <v>X-COL4M</v>
      </c>
      <c r="AG799" s="321">
        <f t="shared" si="353"/>
        <v>14</v>
      </c>
      <c r="AH799" s="321">
        <f>IF(B799&lt;&gt;"",IF(H799="x",VLOOKUP(I799,'AUX-NIV3'!B:AG,32,FALSE),0),"")</f>
        <v>0</v>
      </c>
      <c r="AI799" s="321" t="str">
        <f t="shared" si="363"/>
        <v>X-COL4</v>
      </c>
      <c r="AJ799" s="320"/>
      <c r="AK799" s="322">
        <f t="shared" si="354"/>
        <v>787</v>
      </c>
      <c r="AL799" s="323">
        <f t="shared" si="364"/>
        <v>800</v>
      </c>
      <c r="AM799" s="322">
        <f t="shared" si="365"/>
        <v>13</v>
      </c>
      <c r="AN799" s="380">
        <f>IF(AND(AH799&gt;0,B799&lt;&gt;""),VLOOKUP(I799,'AUX-NIV3'!$B:$AO,39,FALSE)*O799,0)</f>
        <v>0</v>
      </c>
      <c r="AO799" s="380">
        <f t="shared" si="355"/>
        <v>0.67199999999999993</v>
      </c>
      <c r="AP799" s="380"/>
    </row>
    <row r="800" spans="2:42" ht="14.4" hidden="1" thickTop="1" thickBot="1">
      <c r="B800" s="324" t="s">
        <v>2849</v>
      </c>
      <c r="C800" s="325" t="s">
        <v>2850</v>
      </c>
      <c r="D800" s="326" t="s">
        <v>1160</v>
      </c>
      <c r="E800" s="327">
        <f>IF(B800&lt;&gt;"",SUMIF('AUX-NIV1'!I:I,'AUX-NIV2'!B800,'AUX-NIV1'!Q:Q),"")</f>
        <v>0</v>
      </c>
      <c r="F800" s="327">
        <f t="shared" si="345"/>
        <v>762.13847790397006</v>
      </c>
      <c r="G800" s="327">
        <f t="shared" si="346"/>
        <v>0</v>
      </c>
      <c r="H800" s="328" t="str">
        <f t="shared" si="368"/>
        <v>X</v>
      </c>
      <c r="I800" s="324" t="s">
        <v>2847</v>
      </c>
      <c r="J800" s="329" t="str">
        <f>IF(B800&lt;&gt;"",+VLOOKUP(I800,Recursos!C:F,2,FALSE),"")</f>
        <v>String Line</v>
      </c>
      <c r="K800" s="330" t="str">
        <f>IF(B800&lt;&gt;"",+VLOOKUP(I800,Recursos!C:F,3,FALSE),"")</f>
        <v>m</v>
      </c>
      <c r="L800" s="446">
        <f>IF(B800&lt;&gt;"",+VLOOKUP(I800,Recursos!C:F,4,FALSE),"")</f>
        <v>373.07664462809919</v>
      </c>
      <c r="M800" s="450">
        <v>0.28000000000000003</v>
      </c>
      <c r="N800" s="507"/>
      <c r="O800" s="449">
        <f>1/(M799*M800)/10</f>
        <v>4.8923679060665359E-2</v>
      </c>
      <c r="P800" s="333">
        <f t="shared" si="342"/>
        <v>18.252282026815028</v>
      </c>
      <c r="Q800" s="327">
        <f t="shared" si="343"/>
        <v>0</v>
      </c>
      <c r="R800" s="334">
        <f t="shared" si="344"/>
        <v>0</v>
      </c>
      <c r="S800" s="335">
        <f t="shared" si="347"/>
        <v>336.1931235438218</v>
      </c>
      <c r="T800" s="335">
        <f t="shared" si="348"/>
        <v>405.69307233333325</v>
      </c>
      <c r="U800" s="336">
        <f t="shared" si="349"/>
        <v>2</v>
      </c>
      <c r="V800" s="336">
        <f t="shared" si="350"/>
        <v>0</v>
      </c>
      <c r="W800" s="336">
        <f t="shared" si="351"/>
        <v>0</v>
      </c>
      <c r="X800" s="336">
        <f t="shared" si="352"/>
        <v>18.252282026815028</v>
      </c>
      <c r="Y800" s="320"/>
      <c r="Z800" s="321" t="str">
        <f t="shared" si="356"/>
        <v>X-COL4A</v>
      </c>
      <c r="AA800" s="321" t="str">
        <f t="shared" si="357"/>
        <v>X-COL4E</v>
      </c>
      <c r="AB800" s="321" t="str">
        <f t="shared" si="358"/>
        <v>X-COL4M</v>
      </c>
      <c r="AC800" s="321" t="str">
        <f t="shared" si="359"/>
        <v>X-COL4T</v>
      </c>
      <c r="AD800" s="321" t="str">
        <f t="shared" si="360"/>
        <v>X-COL4S</v>
      </c>
      <c r="AE800" s="321" t="str">
        <f t="shared" si="361"/>
        <v>X-COL4X</v>
      </c>
      <c r="AF800" s="321" t="str">
        <f t="shared" si="362"/>
        <v>X-COL4X</v>
      </c>
      <c r="AG800" s="321">
        <f t="shared" si="353"/>
        <v>14</v>
      </c>
      <c r="AH800" s="321">
        <f>IF(B800&lt;&gt;"",IF(H800="x",VLOOKUP(I800,'AUX-NIV3'!B:AG,32,FALSE),0),"")</f>
        <v>4</v>
      </c>
      <c r="AI800" s="321" t="str">
        <f t="shared" si="363"/>
        <v>X-COL4</v>
      </c>
      <c r="AJ800" s="320"/>
      <c r="AK800" s="322">
        <f t="shared" si="354"/>
        <v>787</v>
      </c>
      <c r="AL800" s="323">
        <f t="shared" si="364"/>
        <v>800</v>
      </c>
      <c r="AM800" s="322">
        <f t="shared" si="365"/>
        <v>14</v>
      </c>
      <c r="AN800" s="380">
        <f>IF(AND(AH800&gt;0,B800&lt;&gt;""),VLOOKUP(I800,'AUX-NIV3'!$B:$AO,39,FALSE)*O800,0)</f>
        <v>0</v>
      </c>
      <c r="AO800" s="380">
        <f t="shared" si="355"/>
        <v>0.67199999999999993</v>
      </c>
      <c r="AP800" s="380"/>
    </row>
    <row r="801" spans="2:42" ht="14.4" hidden="1" thickTop="1" thickBot="1">
      <c r="B801" s="324" t="s">
        <v>2851</v>
      </c>
      <c r="C801" s="325" t="s">
        <v>2852</v>
      </c>
      <c r="D801" s="326" t="s">
        <v>1160</v>
      </c>
      <c r="E801" s="327">
        <f>IF(B801&lt;&gt;"",SUMIF('AUX-NIV1'!I:I,'AUX-NIV2'!B801,'AUX-NIV1'!Q:Q),"")</f>
        <v>0</v>
      </c>
      <c r="F801" s="327">
        <f t="shared" si="345"/>
        <v>1194.8851423310371</v>
      </c>
      <c r="G801" s="327">
        <f t="shared" si="346"/>
        <v>0</v>
      </c>
      <c r="H801" s="328" t="str">
        <f t="shared" si="368"/>
        <v>A</v>
      </c>
      <c r="I801" s="325" t="s">
        <v>1745</v>
      </c>
      <c r="J801" s="329" t="str">
        <f>IF(B801&lt;&gt;"",+VLOOKUP(I801,Recursos!C:F,2,FALSE),"")</f>
        <v>AYUDANTE</v>
      </c>
      <c r="K801" s="330" t="str">
        <f>IF(B801&lt;&gt;"",+VLOOKUP(I801,Recursos!C:F,3,FALSE),"")</f>
        <v>hh</v>
      </c>
      <c r="L801" s="446">
        <f>IF(B801&lt;&gt;"",+VLOOKUP(I801,Recursos!C:F,4,FALSE),"")</f>
        <v>422.48042769667234</v>
      </c>
      <c r="M801" s="523">
        <f t="shared" ref="M801:M808" si="370">+M802</f>
        <v>7</v>
      </c>
      <c r="N801" s="448">
        <v>4</v>
      </c>
      <c r="O801" s="449">
        <f>+N801/M801*N805</f>
        <v>1.0285714285714285</v>
      </c>
      <c r="P801" s="333">
        <f t="shared" si="342"/>
        <v>434.55129705943438</v>
      </c>
      <c r="Q801" s="327">
        <f t="shared" si="343"/>
        <v>0</v>
      </c>
      <c r="R801" s="334">
        <f t="shared" si="344"/>
        <v>0</v>
      </c>
      <c r="S801" s="335">
        <f t="shared" si="347"/>
        <v>1019.0954596570443</v>
      </c>
      <c r="T801" s="335">
        <f t="shared" si="348"/>
        <v>161.68711857142858</v>
      </c>
      <c r="U801" s="336">
        <f t="shared" si="349"/>
        <v>14.102564102564102</v>
      </c>
      <c r="V801" s="336">
        <f t="shared" si="350"/>
        <v>0</v>
      </c>
      <c r="W801" s="336">
        <f t="shared" si="351"/>
        <v>0</v>
      </c>
      <c r="X801" s="336">
        <f t="shared" si="352"/>
        <v>0</v>
      </c>
      <c r="Y801" s="320"/>
      <c r="Z801" s="321" t="str">
        <f t="shared" si="356"/>
        <v>X-COL5A</v>
      </c>
      <c r="AA801" s="321" t="str">
        <f t="shared" si="357"/>
        <v>X-COL5E</v>
      </c>
      <c r="AB801" s="321" t="str">
        <f t="shared" si="358"/>
        <v>X-COL5M</v>
      </c>
      <c r="AC801" s="321" t="str">
        <f t="shared" si="359"/>
        <v>X-COL5T</v>
      </c>
      <c r="AD801" s="321" t="str">
        <f t="shared" si="360"/>
        <v>X-COL5S</v>
      </c>
      <c r="AE801" s="321" t="str">
        <f t="shared" si="361"/>
        <v>X-COL5X</v>
      </c>
      <c r="AF801" s="321" t="str">
        <f t="shared" si="362"/>
        <v>X-COL5A</v>
      </c>
      <c r="AG801" s="321">
        <f t="shared" si="353"/>
        <v>10</v>
      </c>
      <c r="AH801" s="321">
        <f>IF(B801&lt;&gt;"",IF(H801="x",VLOOKUP(I801,'AUX-NIV3'!B:AG,32,FALSE),0),"")</f>
        <v>0</v>
      </c>
      <c r="AI801" s="321" t="str">
        <f t="shared" si="363"/>
        <v>X-COL5</v>
      </c>
      <c r="AJ801" s="320"/>
      <c r="AK801" s="322">
        <f t="shared" si="354"/>
        <v>801</v>
      </c>
      <c r="AL801" s="323">
        <f t="shared" si="364"/>
        <v>810</v>
      </c>
      <c r="AM801" s="322">
        <f t="shared" si="365"/>
        <v>1</v>
      </c>
      <c r="AN801" s="380">
        <f>IF(AND(AH801&gt;0,B801&lt;&gt;""),VLOOKUP(I801,'AUX-NIV3'!$B:$AO,39,FALSE)*O801,0)</f>
        <v>0</v>
      </c>
      <c r="AO801" s="380">
        <f t="shared" si="355"/>
        <v>2.0742857142857143</v>
      </c>
      <c r="AP801" s="380"/>
    </row>
    <row r="802" spans="2:42" ht="14.4" hidden="1" thickTop="1" thickBot="1">
      <c r="B802" s="324" t="s">
        <v>2851</v>
      </c>
      <c r="C802" s="325" t="s">
        <v>2852</v>
      </c>
      <c r="D802" s="326" t="s">
        <v>1160</v>
      </c>
      <c r="E802" s="327">
        <f>IF(B802&lt;&gt;"",SUMIF('AUX-NIV1'!I:I,'AUX-NIV2'!B802,'AUX-NIV1'!Q:Q),"")</f>
        <v>0</v>
      </c>
      <c r="F802" s="327">
        <f t="shared" si="345"/>
        <v>1194.8851423310371</v>
      </c>
      <c r="G802" s="327">
        <f t="shared" si="346"/>
        <v>0</v>
      </c>
      <c r="H802" s="328" t="str">
        <f t="shared" si="368"/>
        <v>A</v>
      </c>
      <c r="I802" s="325" t="s">
        <v>1746</v>
      </c>
      <c r="J802" s="329" t="str">
        <f>IF(B802&lt;&gt;"",+VLOOKUP(I802,Recursos!C:F,2,FALSE),"")</f>
        <v>OFICIAL</v>
      </c>
      <c r="K802" s="330" t="str">
        <f>IF(B802&lt;&gt;"",+VLOOKUP(I802,Recursos!C:F,3,FALSE),"")</f>
        <v>hh</v>
      </c>
      <c r="L802" s="446">
        <f>IF(B802&lt;&gt;"",+VLOOKUP(I802,Recursos!C:F,4,FALSE),"")</f>
        <v>496.91595439275824</v>
      </c>
      <c r="M802" s="523">
        <f t="shared" si="370"/>
        <v>7</v>
      </c>
      <c r="N802" s="524">
        <f>+N803</f>
        <v>2</v>
      </c>
      <c r="O802" s="449">
        <f>+N802/M802*N806</f>
        <v>0.11428571428571428</v>
      </c>
      <c r="P802" s="333">
        <f t="shared" si="342"/>
        <v>56.7903947877438</v>
      </c>
      <c r="Q802" s="327">
        <f t="shared" si="343"/>
        <v>0</v>
      </c>
      <c r="R802" s="334">
        <f t="shared" si="344"/>
        <v>0</v>
      </c>
      <c r="S802" s="335">
        <f t="shared" si="347"/>
        <v>1019.0954596570443</v>
      </c>
      <c r="T802" s="335">
        <f t="shared" si="348"/>
        <v>161.68711857142858</v>
      </c>
      <c r="U802" s="336">
        <f t="shared" si="349"/>
        <v>14.102564102564102</v>
      </c>
      <c r="V802" s="336">
        <f t="shared" si="350"/>
        <v>0</v>
      </c>
      <c r="W802" s="336">
        <f t="shared" si="351"/>
        <v>0</v>
      </c>
      <c r="X802" s="336">
        <f t="shared" si="352"/>
        <v>0</v>
      </c>
      <c r="Y802" s="320"/>
      <c r="Z802" s="321" t="str">
        <f t="shared" si="356"/>
        <v>X-COL5A</v>
      </c>
      <c r="AA802" s="321" t="str">
        <f t="shared" si="357"/>
        <v>X-COL5E</v>
      </c>
      <c r="AB802" s="321" t="str">
        <f t="shared" si="358"/>
        <v>X-COL5M</v>
      </c>
      <c r="AC802" s="321" t="str">
        <f t="shared" si="359"/>
        <v>X-COL5T</v>
      </c>
      <c r="AD802" s="321" t="str">
        <f t="shared" si="360"/>
        <v>X-COL5S</v>
      </c>
      <c r="AE802" s="321" t="str">
        <f t="shared" si="361"/>
        <v>X-COL5X</v>
      </c>
      <c r="AF802" s="321" t="str">
        <f t="shared" si="362"/>
        <v>X-COL5A</v>
      </c>
      <c r="AG802" s="321">
        <f t="shared" si="353"/>
        <v>10</v>
      </c>
      <c r="AH802" s="321">
        <f>IF(B802&lt;&gt;"",IF(H802="x",VLOOKUP(I802,'AUX-NIV3'!B:AG,32,FALSE),0),"")</f>
        <v>0</v>
      </c>
      <c r="AI802" s="321" t="str">
        <f t="shared" si="363"/>
        <v>X-COL5</v>
      </c>
      <c r="AJ802" s="320"/>
      <c r="AK802" s="322">
        <f t="shared" si="354"/>
        <v>801</v>
      </c>
      <c r="AL802" s="323">
        <f t="shared" si="364"/>
        <v>810</v>
      </c>
      <c r="AM802" s="322">
        <f t="shared" si="365"/>
        <v>2</v>
      </c>
      <c r="AN802" s="380">
        <f>IF(AND(AH802&gt;0,B802&lt;&gt;""),VLOOKUP(I802,'AUX-NIV3'!$B:$AO,39,FALSE)*O802,0)</f>
        <v>0</v>
      </c>
      <c r="AO802" s="380">
        <f t="shared" si="355"/>
        <v>2.0742857142857143</v>
      </c>
      <c r="AP802" s="380"/>
    </row>
    <row r="803" spans="2:42" ht="14.4" hidden="1" thickTop="1" thickBot="1">
      <c r="B803" s="324" t="s">
        <v>2851</v>
      </c>
      <c r="C803" s="325" t="s">
        <v>2852</v>
      </c>
      <c r="D803" s="326" t="s">
        <v>1160</v>
      </c>
      <c r="E803" s="327">
        <f>IF(B803&lt;&gt;"",SUMIF('AUX-NIV1'!I:I,'AUX-NIV2'!B803,'AUX-NIV1'!Q:Q),"")</f>
        <v>0</v>
      </c>
      <c r="F803" s="327">
        <f t="shared" si="345"/>
        <v>1194.8851423310371</v>
      </c>
      <c r="G803" s="327">
        <f t="shared" si="346"/>
        <v>0</v>
      </c>
      <c r="H803" s="328" t="str">
        <f t="shared" si="368"/>
        <v>A</v>
      </c>
      <c r="I803" s="325" t="s">
        <v>1746</v>
      </c>
      <c r="J803" s="329" t="str">
        <f>IF(B803&lt;&gt;"",+VLOOKUP(I803,Recursos!C:F,2,FALSE),"")</f>
        <v>OFICIAL</v>
      </c>
      <c r="K803" s="330" t="str">
        <f>IF(B803&lt;&gt;"",+VLOOKUP(I803,Recursos!C:F,3,FALSE),"")</f>
        <v>hh</v>
      </c>
      <c r="L803" s="446">
        <f>IF(B803&lt;&gt;"",+VLOOKUP(I803,Recursos!C:F,4,FALSE),"")</f>
        <v>496.91595439275824</v>
      </c>
      <c r="M803" s="523">
        <f t="shared" si="370"/>
        <v>7</v>
      </c>
      <c r="N803" s="524">
        <f>+N804</f>
        <v>2</v>
      </c>
      <c r="O803" s="449">
        <f>+N803/M803*N807</f>
        <v>5.7142857142857141E-2</v>
      </c>
      <c r="P803" s="333">
        <f t="shared" si="342"/>
        <v>28.3951973938719</v>
      </c>
      <c r="Q803" s="327">
        <f t="shared" si="343"/>
        <v>0</v>
      </c>
      <c r="R803" s="334">
        <f t="shared" si="344"/>
        <v>0</v>
      </c>
      <c r="S803" s="335">
        <f t="shared" si="347"/>
        <v>1019.0954596570443</v>
      </c>
      <c r="T803" s="335">
        <f t="shared" si="348"/>
        <v>161.68711857142858</v>
      </c>
      <c r="U803" s="336">
        <f t="shared" si="349"/>
        <v>14.102564102564102</v>
      </c>
      <c r="V803" s="336">
        <f t="shared" si="350"/>
        <v>0</v>
      </c>
      <c r="W803" s="336">
        <f t="shared" si="351"/>
        <v>0</v>
      </c>
      <c r="X803" s="336">
        <f t="shared" si="352"/>
        <v>0</v>
      </c>
      <c r="Y803" s="320"/>
      <c r="Z803" s="321" t="str">
        <f t="shared" si="356"/>
        <v>X-COL5A</v>
      </c>
      <c r="AA803" s="321" t="str">
        <f t="shared" si="357"/>
        <v>X-COL5E</v>
      </c>
      <c r="AB803" s="321" t="str">
        <f t="shared" si="358"/>
        <v>X-COL5M</v>
      </c>
      <c r="AC803" s="321" t="str">
        <f t="shared" si="359"/>
        <v>X-COL5T</v>
      </c>
      <c r="AD803" s="321" t="str">
        <f t="shared" si="360"/>
        <v>X-COL5S</v>
      </c>
      <c r="AE803" s="321" t="str">
        <f t="shared" si="361"/>
        <v>X-COL5X</v>
      </c>
      <c r="AF803" s="321" t="str">
        <f t="shared" si="362"/>
        <v>X-COL5A</v>
      </c>
      <c r="AG803" s="321">
        <f t="shared" si="353"/>
        <v>10</v>
      </c>
      <c r="AH803" s="321">
        <f>IF(B803&lt;&gt;"",IF(H803="x",VLOOKUP(I803,'AUX-NIV3'!B:AG,32,FALSE),0),"")</f>
        <v>0</v>
      </c>
      <c r="AI803" s="321" t="str">
        <f t="shared" si="363"/>
        <v>X-COL5</v>
      </c>
      <c r="AJ803" s="320"/>
      <c r="AK803" s="322">
        <f t="shared" si="354"/>
        <v>801</v>
      </c>
      <c r="AL803" s="323">
        <f t="shared" si="364"/>
        <v>810</v>
      </c>
      <c r="AM803" s="322">
        <f t="shared" si="365"/>
        <v>3</v>
      </c>
      <c r="AN803" s="380">
        <f>IF(AND(AH803&gt;0,B803&lt;&gt;""),VLOOKUP(I803,'AUX-NIV3'!$B:$AO,39,FALSE)*O803,0)</f>
        <v>0</v>
      </c>
      <c r="AO803" s="380">
        <f t="shared" si="355"/>
        <v>2.0742857142857143</v>
      </c>
      <c r="AP803" s="380"/>
    </row>
    <row r="804" spans="2:42" ht="14.4" hidden="1" thickTop="1" thickBot="1">
      <c r="B804" s="324" t="s">
        <v>2851</v>
      </c>
      <c r="C804" s="325" t="s">
        <v>2852</v>
      </c>
      <c r="D804" s="326" t="s">
        <v>1160</v>
      </c>
      <c r="E804" s="327">
        <f>IF(B804&lt;&gt;"",SUMIF('AUX-NIV1'!I:I,'AUX-NIV2'!B804,'AUX-NIV1'!Q:Q),"")</f>
        <v>0</v>
      </c>
      <c r="F804" s="327">
        <f t="shared" si="345"/>
        <v>1194.8851423310371</v>
      </c>
      <c r="G804" s="327">
        <f t="shared" si="346"/>
        <v>0</v>
      </c>
      <c r="H804" s="328" t="str">
        <f t="shared" si="368"/>
        <v>A</v>
      </c>
      <c r="I804" s="325" t="s">
        <v>3310</v>
      </c>
      <c r="J804" s="329" t="str">
        <f>IF(B804&lt;&gt;"",+VLOOKUP(I804,Recursos!C:F,2,FALSE),"")</f>
        <v>OFICIAL ESPECIALIZADO</v>
      </c>
      <c r="K804" s="330" t="str">
        <f>IF(B804&lt;&gt;"",+VLOOKUP(I804,Recursos!C:F,3,FALSE),"")</f>
        <v>hh</v>
      </c>
      <c r="L804" s="446">
        <f>IF(B804&lt;&gt;"",+VLOOKUP(I804,Recursos!C:F,4,FALSE),"")</f>
        <v>581.06120476836554</v>
      </c>
      <c r="M804" s="523">
        <f t="shared" si="370"/>
        <v>7</v>
      </c>
      <c r="N804" s="525">
        <v>2</v>
      </c>
      <c r="O804" s="449">
        <f>+N804/M804*N805</f>
        <v>0.51428571428571423</v>
      </c>
      <c r="P804" s="333">
        <f t="shared" si="342"/>
        <v>298.83147673801653</v>
      </c>
      <c r="Q804" s="327">
        <f t="shared" si="343"/>
        <v>0</v>
      </c>
      <c r="R804" s="334">
        <f t="shared" si="344"/>
        <v>0</v>
      </c>
      <c r="S804" s="335">
        <f t="shared" si="347"/>
        <v>1019.0954596570443</v>
      </c>
      <c r="T804" s="335">
        <f t="shared" si="348"/>
        <v>161.68711857142858</v>
      </c>
      <c r="U804" s="336">
        <f t="shared" si="349"/>
        <v>14.102564102564102</v>
      </c>
      <c r="V804" s="336">
        <f t="shared" si="350"/>
        <v>0</v>
      </c>
      <c r="W804" s="336">
        <f t="shared" si="351"/>
        <v>0</v>
      </c>
      <c r="X804" s="336">
        <f t="shared" si="352"/>
        <v>0</v>
      </c>
      <c r="Y804" s="320"/>
      <c r="Z804" s="321" t="str">
        <f t="shared" si="356"/>
        <v>X-COL5A</v>
      </c>
      <c r="AA804" s="321" t="str">
        <f t="shared" si="357"/>
        <v>X-COL5E</v>
      </c>
      <c r="AB804" s="321" t="str">
        <f t="shared" si="358"/>
        <v>X-COL5M</v>
      </c>
      <c r="AC804" s="321" t="str">
        <f t="shared" si="359"/>
        <v>X-COL5T</v>
      </c>
      <c r="AD804" s="321" t="str">
        <f t="shared" si="360"/>
        <v>X-COL5S</v>
      </c>
      <c r="AE804" s="321" t="str">
        <f t="shared" si="361"/>
        <v>X-COL5X</v>
      </c>
      <c r="AF804" s="321" t="str">
        <f t="shared" si="362"/>
        <v>X-COL5A</v>
      </c>
      <c r="AG804" s="321">
        <f t="shared" si="353"/>
        <v>10</v>
      </c>
      <c r="AH804" s="321">
        <f>IF(B804&lt;&gt;"",IF(H804="x",VLOOKUP(I804,'AUX-NIV3'!B:AG,32,FALSE),0),"")</f>
        <v>0</v>
      </c>
      <c r="AI804" s="321" t="str">
        <f t="shared" si="363"/>
        <v>X-COL5</v>
      </c>
      <c r="AJ804" s="320"/>
      <c r="AK804" s="322">
        <f t="shared" si="354"/>
        <v>801</v>
      </c>
      <c r="AL804" s="323">
        <f t="shared" si="364"/>
        <v>810</v>
      </c>
      <c r="AM804" s="322">
        <f t="shared" si="365"/>
        <v>4</v>
      </c>
      <c r="AN804" s="380">
        <f>IF(AND(AH804&gt;0,B804&lt;&gt;""),VLOOKUP(I804,'AUX-NIV3'!$B:$AO,39,FALSE)*O804,0)</f>
        <v>0</v>
      </c>
      <c r="AO804" s="380">
        <f t="shared" si="355"/>
        <v>2.0742857142857143</v>
      </c>
      <c r="AP804" s="380"/>
    </row>
    <row r="805" spans="2:42" ht="14.4" hidden="1" thickTop="1" thickBot="1">
      <c r="B805" s="324" t="s">
        <v>2851</v>
      </c>
      <c r="C805" s="325" t="s">
        <v>2852</v>
      </c>
      <c r="D805" s="326" t="s">
        <v>1160</v>
      </c>
      <c r="E805" s="327">
        <f>IF(B805&lt;&gt;"",SUMIF('AUX-NIV1'!I:I,'AUX-NIV2'!B805,'AUX-NIV1'!Q:Q),"")</f>
        <v>0</v>
      </c>
      <c r="F805" s="327">
        <f t="shared" si="345"/>
        <v>1194.8851423310371</v>
      </c>
      <c r="G805" s="327">
        <f t="shared" si="346"/>
        <v>0</v>
      </c>
      <c r="H805" s="328" t="str">
        <f t="shared" si="368"/>
        <v>A</v>
      </c>
      <c r="I805" s="325" t="s">
        <v>3310</v>
      </c>
      <c r="J805" s="329" t="str">
        <f>IF(B805&lt;&gt;"",+VLOOKUP(I805,Recursos!C:F,2,FALSE),"")</f>
        <v>OFICIAL ESPECIALIZADO</v>
      </c>
      <c r="K805" s="330" t="str">
        <f>IF(B805&lt;&gt;"",+VLOOKUP(I805,Recursos!C:F,3,FALSE),"")</f>
        <v>hh</v>
      </c>
      <c r="L805" s="446">
        <f>IF(B805&lt;&gt;"",+VLOOKUP(I805,Recursos!C:F,4,FALSE),"")</f>
        <v>581.06120476836554</v>
      </c>
      <c r="M805" s="523">
        <f t="shared" si="370"/>
        <v>7</v>
      </c>
      <c r="N805" s="525">
        <v>1.8</v>
      </c>
      <c r="O805" s="449">
        <f>+N805/M805</f>
        <v>0.25714285714285717</v>
      </c>
      <c r="P805" s="333">
        <f t="shared" si="342"/>
        <v>149.4157383690083</v>
      </c>
      <c r="Q805" s="327">
        <f t="shared" si="343"/>
        <v>0</v>
      </c>
      <c r="R805" s="334">
        <f t="shared" si="344"/>
        <v>0</v>
      </c>
      <c r="S805" s="335">
        <f t="shared" si="347"/>
        <v>1019.0954596570443</v>
      </c>
      <c r="T805" s="335">
        <f t="shared" si="348"/>
        <v>161.68711857142858</v>
      </c>
      <c r="U805" s="336">
        <f t="shared" si="349"/>
        <v>14.102564102564102</v>
      </c>
      <c r="V805" s="336">
        <f t="shared" si="350"/>
        <v>0</v>
      </c>
      <c r="W805" s="336">
        <f t="shared" si="351"/>
        <v>0</v>
      </c>
      <c r="X805" s="336">
        <f t="shared" si="352"/>
        <v>0</v>
      </c>
      <c r="Y805" s="320"/>
      <c r="Z805" s="321" t="str">
        <f t="shared" si="356"/>
        <v>X-COL5A</v>
      </c>
      <c r="AA805" s="321" t="str">
        <f t="shared" si="357"/>
        <v>X-COL5E</v>
      </c>
      <c r="AB805" s="321" t="str">
        <f t="shared" si="358"/>
        <v>X-COL5M</v>
      </c>
      <c r="AC805" s="321" t="str">
        <f t="shared" si="359"/>
        <v>X-COL5T</v>
      </c>
      <c r="AD805" s="321" t="str">
        <f t="shared" si="360"/>
        <v>X-COL5S</v>
      </c>
      <c r="AE805" s="321" t="str">
        <f t="shared" si="361"/>
        <v>X-COL5X</v>
      </c>
      <c r="AF805" s="321" t="str">
        <f t="shared" si="362"/>
        <v>X-COL5A</v>
      </c>
      <c r="AG805" s="321">
        <f t="shared" si="353"/>
        <v>10</v>
      </c>
      <c r="AH805" s="321">
        <f>IF(B805&lt;&gt;"",IF(H805="x",VLOOKUP(I805,'AUX-NIV3'!B:AG,32,FALSE),0),"")</f>
        <v>0</v>
      </c>
      <c r="AI805" s="321" t="str">
        <f t="shared" si="363"/>
        <v>X-COL5</v>
      </c>
      <c r="AJ805" s="320"/>
      <c r="AK805" s="322">
        <f t="shared" si="354"/>
        <v>801</v>
      </c>
      <c r="AL805" s="323">
        <f t="shared" si="364"/>
        <v>810</v>
      </c>
      <c r="AM805" s="322">
        <f t="shared" si="365"/>
        <v>5</v>
      </c>
      <c r="AN805" s="380">
        <f>IF(AND(AH805&gt;0,B805&lt;&gt;""),VLOOKUP(I805,'AUX-NIV3'!$B:$AO,39,FALSE)*O805,0)</f>
        <v>0</v>
      </c>
      <c r="AO805" s="380">
        <f t="shared" si="355"/>
        <v>2.0742857142857143</v>
      </c>
      <c r="AP805" s="380"/>
    </row>
    <row r="806" spans="2:42" ht="14.4" hidden="1" thickTop="1" thickBot="1">
      <c r="B806" s="324" t="s">
        <v>2851</v>
      </c>
      <c r="C806" s="325" t="s">
        <v>2852</v>
      </c>
      <c r="D806" s="326" t="s">
        <v>1160</v>
      </c>
      <c r="E806" s="327">
        <f>IF(B806&lt;&gt;"",SUMIF('AUX-NIV1'!I:I,'AUX-NIV2'!B806,'AUX-NIV1'!Q:Q),"")</f>
        <v>0</v>
      </c>
      <c r="F806" s="327">
        <f t="shared" si="345"/>
        <v>1194.8851423310371</v>
      </c>
      <c r="G806" s="327">
        <f t="shared" si="346"/>
        <v>0</v>
      </c>
      <c r="H806" s="328" t="str">
        <f t="shared" si="368"/>
        <v>A</v>
      </c>
      <c r="I806" s="325" t="s">
        <v>1746</v>
      </c>
      <c r="J806" s="329" t="str">
        <f>IF(B806&lt;&gt;"",+VLOOKUP(I806,Recursos!C:F,2,FALSE),"")</f>
        <v>OFICIAL</v>
      </c>
      <c r="K806" s="330" t="str">
        <f>IF(B806&lt;&gt;"",+VLOOKUP(I806,Recursos!C:F,3,FALSE),"")</f>
        <v>hh</v>
      </c>
      <c r="L806" s="446">
        <f>IF(B806&lt;&gt;"",+VLOOKUP(I806,Recursos!C:F,4,FALSE),"")</f>
        <v>496.91595439275824</v>
      </c>
      <c r="M806" s="523">
        <f t="shared" si="370"/>
        <v>7</v>
      </c>
      <c r="N806" s="524">
        <f>+N808+N807</f>
        <v>0.4</v>
      </c>
      <c r="O806" s="449">
        <f>+N806/M806*N805</f>
        <v>0.10285714285714287</v>
      </c>
      <c r="P806" s="333">
        <f t="shared" si="342"/>
        <v>51.111355308969422</v>
      </c>
      <c r="Q806" s="327">
        <f t="shared" si="343"/>
        <v>0</v>
      </c>
      <c r="R806" s="334">
        <f t="shared" si="344"/>
        <v>0</v>
      </c>
      <c r="S806" s="335">
        <f t="shared" si="347"/>
        <v>1019.0954596570443</v>
      </c>
      <c r="T806" s="335">
        <f t="shared" si="348"/>
        <v>161.68711857142858</v>
      </c>
      <c r="U806" s="336">
        <f t="shared" si="349"/>
        <v>14.102564102564102</v>
      </c>
      <c r="V806" s="336">
        <f t="shared" si="350"/>
        <v>0</v>
      </c>
      <c r="W806" s="336">
        <f t="shared" si="351"/>
        <v>0</v>
      </c>
      <c r="X806" s="336">
        <f t="shared" si="352"/>
        <v>0</v>
      </c>
      <c r="Y806" s="320"/>
      <c r="Z806" s="321" t="str">
        <f t="shared" si="356"/>
        <v>X-COL5A</v>
      </c>
      <c r="AA806" s="321" t="str">
        <f t="shared" si="357"/>
        <v>X-COL5E</v>
      </c>
      <c r="AB806" s="321" t="str">
        <f t="shared" si="358"/>
        <v>X-COL5M</v>
      </c>
      <c r="AC806" s="321" t="str">
        <f t="shared" si="359"/>
        <v>X-COL5T</v>
      </c>
      <c r="AD806" s="321" t="str">
        <f t="shared" si="360"/>
        <v>X-COL5S</v>
      </c>
      <c r="AE806" s="321" t="str">
        <f t="shared" si="361"/>
        <v>X-COL5X</v>
      </c>
      <c r="AF806" s="321" t="str">
        <f t="shared" si="362"/>
        <v>X-COL5A</v>
      </c>
      <c r="AG806" s="321">
        <f t="shared" si="353"/>
        <v>10</v>
      </c>
      <c r="AH806" s="321">
        <f>IF(B806&lt;&gt;"",IF(H806="x",VLOOKUP(I806,'AUX-NIV3'!B:AG,32,FALSE),0),"")</f>
        <v>0</v>
      </c>
      <c r="AI806" s="321" t="str">
        <f t="shared" si="363"/>
        <v>X-COL5</v>
      </c>
      <c r="AJ806" s="320"/>
      <c r="AK806" s="322">
        <f t="shared" si="354"/>
        <v>801</v>
      </c>
      <c r="AL806" s="323">
        <f t="shared" si="364"/>
        <v>810</v>
      </c>
      <c r="AM806" s="322">
        <f t="shared" si="365"/>
        <v>6</v>
      </c>
      <c r="AN806" s="380">
        <f>IF(AND(AH806&gt;0,B806&lt;&gt;""),VLOOKUP(I806,'AUX-NIV3'!$B:$AO,39,FALSE)*O806,0)</f>
        <v>0</v>
      </c>
      <c r="AO806" s="380">
        <f t="shared" si="355"/>
        <v>2.0742857142857143</v>
      </c>
      <c r="AP806" s="380"/>
    </row>
    <row r="807" spans="2:42" ht="14.4" hidden="1" thickTop="1" thickBot="1">
      <c r="B807" s="324" t="s">
        <v>2851</v>
      </c>
      <c r="C807" s="325" t="s">
        <v>2852</v>
      </c>
      <c r="D807" s="326" t="s">
        <v>1160</v>
      </c>
      <c r="E807" s="327">
        <f>IF(B807&lt;&gt;"",SUMIF('AUX-NIV1'!I:I,'AUX-NIV2'!B807,'AUX-NIV1'!Q:Q),"")</f>
        <v>0</v>
      </c>
      <c r="F807" s="327">
        <f t="shared" si="345"/>
        <v>1194.8851423310371</v>
      </c>
      <c r="G807" s="327">
        <f t="shared" si="346"/>
        <v>0</v>
      </c>
      <c r="H807" s="328" t="str">
        <f t="shared" si="368"/>
        <v>E</v>
      </c>
      <c r="I807" s="325" t="s">
        <v>1676</v>
      </c>
      <c r="J807" s="329" t="str">
        <f>IF(B807&lt;&gt;"",+VLOOKUP(I807,Recursos!C:F,2,FALSE),"")</f>
        <v>CAMION REGADOR CAP. 8 m3</v>
      </c>
      <c r="K807" s="330" t="str">
        <f>IF(B807&lt;&gt;"",+VLOOKUP(I807,Recursos!C:F,3,FALSE),"")</f>
        <v>HR</v>
      </c>
      <c r="L807" s="446">
        <f>IF(B807&lt;&gt;"",+VLOOKUP(I807,Recursos!C:F,4,FALSE),"")</f>
        <v>2281.2949000000003</v>
      </c>
      <c r="M807" s="523">
        <f t="shared" si="370"/>
        <v>7</v>
      </c>
      <c r="N807" s="525">
        <v>0.2</v>
      </c>
      <c r="O807" s="449">
        <f>+N807/M807</f>
        <v>2.8571428571428574E-2</v>
      </c>
      <c r="P807" s="333">
        <f t="shared" si="342"/>
        <v>65.179854285714299</v>
      </c>
      <c r="Q807" s="327">
        <f t="shared" si="343"/>
        <v>0</v>
      </c>
      <c r="R807" s="334">
        <f t="shared" si="344"/>
        <v>0</v>
      </c>
      <c r="S807" s="335">
        <f t="shared" si="347"/>
        <v>1019.0954596570443</v>
      </c>
      <c r="T807" s="335">
        <f t="shared" si="348"/>
        <v>161.68711857142858</v>
      </c>
      <c r="U807" s="336">
        <f t="shared" si="349"/>
        <v>14.102564102564102</v>
      </c>
      <c r="V807" s="336">
        <f t="shared" si="350"/>
        <v>0</v>
      </c>
      <c r="W807" s="336">
        <f t="shared" si="351"/>
        <v>0</v>
      </c>
      <c r="X807" s="336">
        <f t="shared" si="352"/>
        <v>0</v>
      </c>
      <c r="Y807" s="320"/>
      <c r="Z807" s="321" t="str">
        <f t="shared" si="356"/>
        <v>X-COL5A</v>
      </c>
      <c r="AA807" s="321" t="str">
        <f t="shared" si="357"/>
        <v>X-COL5E</v>
      </c>
      <c r="AB807" s="321" t="str">
        <f t="shared" si="358"/>
        <v>X-COL5M</v>
      </c>
      <c r="AC807" s="321" t="str">
        <f t="shared" si="359"/>
        <v>X-COL5T</v>
      </c>
      <c r="AD807" s="321" t="str">
        <f t="shared" si="360"/>
        <v>X-COL5S</v>
      </c>
      <c r="AE807" s="321" t="str">
        <f t="shared" si="361"/>
        <v>X-COL5X</v>
      </c>
      <c r="AF807" s="321" t="str">
        <f t="shared" si="362"/>
        <v>X-COL5E</v>
      </c>
      <c r="AG807" s="321">
        <f t="shared" si="353"/>
        <v>10</v>
      </c>
      <c r="AH807" s="321">
        <f>IF(B807&lt;&gt;"",IF(H807="x",VLOOKUP(I807,'AUX-NIV3'!B:AG,32,FALSE),0),"")</f>
        <v>0</v>
      </c>
      <c r="AI807" s="321" t="str">
        <f t="shared" si="363"/>
        <v>X-COL5</v>
      </c>
      <c r="AJ807" s="320"/>
      <c r="AK807" s="322">
        <f t="shared" si="354"/>
        <v>801</v>
      </c>
      <c r="AL807" s="323">
        <f t="shared" si="364"/>
        <v>810</v>
      </c>
      <c r="AM807" s="322">
        <f t="shared" si="365"/>
        <v>7</v>
      </c>
      <c r="AN807" s="380">
        <f>IF(AND(AH807&gt;0,B807&lt;&gt;""),VLOOKUP(I807,'AUX-NIV3'!$B:$AO,39,FALSE)*O807,0)</f>
        <v>0</v>
      </c>
      <c r="AO807" s="380">
        <f t="shared" si="355"/>
        <v>2.0742857142857143</v>
      </c>
      <c r="AP807" s="380"/>
    </row>
    <row r="808" spans="2:42" ht="14.4" hidden="1" thickTop="1" thickBot="1">
      <c r="B808" s="324" t="s">
        <v>2851</v>
      </c>
      <c r="C808" s="325" t="s">
        <v>2852</v>
      </c>
      <c r="D808" s="326" t="s">
        <v>1160</v>
      </c>
      <c r="E808" s="327">
        <f>IF(B808&lt;&gt;"",SUMIF('AUX-NIV1'!I:I,'AUX-NIV2'!B808,'AUX-NIV1'!Q:Q),"")</f>
        <v>0</v>
      </c>
      <c r="F808" s="327">
        <f t="shared" si="345"/>
        <v>1194.8851423310371</v>
      </c>
      <c r="G808" s="327">
        <f t="shared" si="346"/>
        <v>0</v>
      </c>
      <c r="H808" s="328" t="str">
        <f t="shared" si="368"/>
        <v>E</v>
      </c>
      <c r="I808" s="325" t="s">
        <v>1597</v>
      </c>
      <c r="J808" s="329" t="str">
        <f>IF(B808&lt;&gt;"",+VLOOKUP(I808,Recursos!C:F,2,FALSE),"")</f>
        <v>HIDROGRUA MONTADA S/CAMION (6 T)</v>
      </c>
      <c r="K808" s="330" t="str">
        <f>IF(B808&lt;&gt;"",+VLOOKUP(I808,Recursos!C:F,3,FALSE),"")</f>
        <v>HR</v>
      </c>
      <c r="L808" s="446">
        <f>IF(B808&lt;&gt;"",+VLOOKUP(I808,Recursos!C:F,4,FALSE),"")</f>
        <v>2378.0722500000002</v>
      </c>
      <c r="M808" s="523">
        <f t="shared" si="370"/>
        <v>7</v>
      </c>
      <c r="N808" s="525">
        <v>0.2</v>
      </c>
      <c r="O808" s="449">
        <f>+N808/M808</f>
        <v>2.8571428571428574E-2</v>
      </c>
      <c r="P808" s="333">
        <f t="shared" si="342"/>
        <v>67.944921428571433</v>
      </c>
      <c r="Q808" s="327">
        <f t="shared" si="343"/>
        <v>0</v>
      </c>
      <c r="R808" s="334">
        <f t="shared" si="344"/>
        <v>0</v>
      </c>
      <c r="S808" s="335">
        <f t="shared" si="347"/>
        <v>1019.0954596570443</v>
      </c>
      <c r="T808" s="335">
        <f t="shared" si="348"/>
        <v>161.68711857142858</v>
      </c>
      <c r="U808" s="336">
        <f t="shared" si="349"/>
        <v>14.102564102564102</v>
      </c>
      <c r="V808" s="336">
        <f t="shared" si="350"/>
        <v>0</v>
      </c>
      <c r="W808" s="336">
        <f t="shared" si="351"/>
        <v>0</v>
      </c>
      <c r="X808" s="336">
        <f t="shared" si="352"/>
        <v>0</v>
      </c>
      <c r="Y808" s="320"/>
      <c r="Z808" s="321" t="str">
        <f t="shared" si="356"/>
        <v>X-COL5A</v>
      </c>
      <c r="AA808" s="321" t="str">
        <f t="shared" si="357"/>
        <v>X-COL5E</v>
      </c>
      <c r="AB808" s="321" t="str">
        <f t="shared" si="358"/>
        <v>X-COL5M</v>
      </c>
      <c r="AC808" s="321" t="str">
        <f t="shared" si="359"/>
        <v>X-COL5T</v>
      </c>
      <c r="AD808" s="321" t="str">
        <f t="shared" si="360"/>
        <v>X-COL5S</v>
      </c>
      <c r="AE808" s="321" t="str">
        <f t="shared" si="361"/>
        <v>X-COL5X</v>
      </c>
      <c r="AF808" s="321" t="str">
        <f t="shared" si="362"/>
        <v>X-COL5E</v>
      </c>
      <c r="AG808" s="321">
        <f t="shared" si="353"/>
        <v>10</v>
      </c>
      <c r="AH808" s="321">
        <f>IF(B808&lt;&gt;"",IF(H808="x",VLOOKUP(I808,'AUX-NIV3'!B:AG,32,FALSE),0),"")</f>
        <v>0</v>
      </c>
      <c r="AI808" s="321" t="str">
        <f t="shared" si="363"/>
        <v>X-COL5</v>
      </c>
      <c r="AJ808" s="320"/>
      <c r="AK808" s="322">
        <f t="shared" si="354"/>
        <v>801</v>
      </c>
      <c r="AL808" s="323">
        <f t="shared" si="364"/>
        <v>810</v>
      </c>
      <c r="AM808" s="322">
        <f t="shared" si="365"/>
        <v>8</v>
      </c>
      <c r="AN808" s="380">
        <f>IF(AND(AH808&gt;0,B808&lt;&gt;""),VLOOKUP(I808,'AUX-NIV3'!$B:$AO,39,FALSE)*O808,0)</f>
        <v>0</v>
      </c>
      <c r="AO808" s="380">
        <f t="shared" si="355"/>
        <v>2.0742857142857143</v>
      </c>
      <c r="AP808" s="380"/>
    </row>
    <row r="809" spans="2:42" ht="14.4" hidden="1" thickTop="1" thickBot="1">
      <c r="B809" s="324" t="s">
        <v>2851</v>
      </c>
      <c r="C809" s="325" t="s">
        <v>2852</v>
      </c>
      <c r="D809" s="326" t="s">
        <v>1160</v>
      </c>
      <c r="E809" s="327">
        <f>IF(B809&lt;&gt;"",SUMIF('AUX-NIV1'!I:I,'AUX-NIV2'!B809,'AUX-NIV1'!Q:Q),"")</f>
        <v>0</v>
      </c>
      <c r="F809" s="327">
        <f t="shared" si="345"/>
        <v>1194.8851423310371</v>
      </c>
      <c r="G809" s="327">
        <f t="shared" si="346"/>
        <v>0</v>
      </c>
      <c r="H809" s="328" t="str">
        <f t="shared" si="368"/>
        <v>E</v>
      </c>
      <c r="I809" s="325" t="s">
        <v>1624</v>
      </c>
      <c r="J809" s="329" t="str">
        <f>IF(B809&lt;&gt;"",+VLOOKUP(I809,Recursos!C:F,2,FALSE),"")</f>
        <v>REGLA VIBRATORIA DOBLE 5,25 M (EX)</v>
      </c>
      <c r="K809" s="330" t="str">
        <f>IF(B809&lt;&gt;"",+VLOOKUP(I809,Recursos!C:F,3,FALSE),"")</f>
        <v>HR</v>
      </c>
      <c r="L809" s="446">
        <f>IF(B809&lt;&gt;"",+VLOOKUP(I809,Recursos!C:F,4,FALSE),"")</f>
        <v>199.93639999999999</v>
      </c>
      <c r="M809" s="526">
        <v>7</v>
      </c>
      <c r="N809" s="525">
        <v>1</v>
      </c>
      <c r="O809" s="449">
        <f>+N809/M809</f>
        <v>0.14285714285714285</v>
      </c>
      <c r="P809" s="333">
        <f t="shared" si="342"/>
        <v>28.562342857142855</v>
      </c>
      <c r="Q809" s="327">
        <f t="shared" si="343"/>
        <v>0</v>
      </c>
      <c r="R809" s="334">
        <f t="shared" si="344"/>
        <v>0</v>
      </c>
      <c r="S809" s="335">
        <f t="shared" si="347"/>
        <v>1019.0954596570443</v>
      </c>
      <c r="T809" s="335">
        <f t="shared" si="348"/>
        <v>161.68711857142858</v>
      </c>
      <c r="U809" s="336">
        <f t="shared" si="349"/>
        <v>14.102564102564102</v>
      </c>
      <c r="V809" s="336">
        <f t="shared" si="350"/>
        <v>0</v>
      </c>
      <c r="W809" s="336">
        <f t="shared" si="351"/>
        <v>0</v>
      </c>
      <c r="X809" s="336">
        <f t="shared" si="352"/>
        <v>0</v>
      </c>
      <c r="Y809" s="320"/>
      <c r="Z809" s="321" t="str">
        <f t="shared" si="356"/>
        <v>X-COL5A</v>
      </c>
      <c r="AA809" s="321" t="str">
        <f t="shared" si="357"/>
        <v>X-COL5E</v>
      </c>
      <c r="AB809" s="321" t="str">
        <f t="shared" si="358"/>
        <v>X-COL5M</v>
      </c>
      <c r="AC809" s="321" t="str">
        <f t="shared" si="359"/>
        <v>X-COL5T</v>
      </c>
      <c r="AD809" s="321" t="str">
        <f t="shared" si="360"/>
        <v>X-COL5S</v>
      </c>
      <c r="AE809" s="321" t="str">
        <f t="shared" si="361"/>
        <v>X-COL5X</v>
      </c>
      <c r="AF809" s="321" t="str">
        <f t="shared" si="362"/>
        <v>X-COL5E</v>
      </c>
      <c r="AG809" s="321">
        <f t="shared" si="353"/>
        <v>10</v>
      </c>
      <c r="AH809" s="321">
        <f>IF(B809&lt;&gt;"",IF(H809="x",VLOOKUP(I809,'AUX-NIV3'!B:AG,32,FALSE),0),"")</f>
        <v>0</v>
      </c>
      <c r="AI809" s="321" t="str">
        <f t="shared" si="363"/>
        <v>X-COL5</v>
      </c>
      <c r="AJ809" s="320"/>
      <c r="AK809" s="322">
        <f t="shared" si="354"/>
        <v>801</v>
      </c>
      <c r="AL809" s="323">
        <f t="shared" si="364"/>
        <v>810</v>
      </c>
      <c r="AM809" s="322">
        <f t="shared" si="365"/>
        <v>9</v>
      </c>
      <c r="AN809" s="380">
        <f>IF(AND(AH809&gt;0,B809&lt;&gt;""),VLOOKUP(I809,'AUX-NIV3'!$B:$AO,39,FALSE)*O809,0)</f>
        <v>0</v>
      </c>
      <c r="AO809" s="380">
        <f t="shared" si="355"/>
        <v>2.0742857142857143</v>
      </c>
      <c r="AP809" s="380"/>
    </row>
    <row r="810" spans="2:42" ht="14.4" hidden="1" thickTop="1" thickBot="1">
      <c r="B810" s="324" t="s">
        <v>2851</v>
      </c>
      <c r="C810" s="325" t="s">
        <v>2852</v>
      </c>
      <c r="D810" s="326" t="s">
        <v>1160</v>
      </c>
      <c r="E810" s="327">
        <f>IF(B810&lt;&gt;"",SUMIF('AUX-NIV1'!I:I,'AUX-NIV2'!B810,'AUX-NIV1'!Q:Q),"")</f>
        <v>0</v>
      </c>
      <c r="F810" s="327">
        <f t="shared" si="345"/>
        <v>1194.8851423310371</v>
      </c>
      <c r="G810" s="327">
        <f t="shared" si="346"/>
        <v>0</v>
      </c>
      <c r="H810" s="328" t="str">
        <f t="shared" si="368"/>
        <v>M</v>
      </c>
      <c r="I810" s="325" t="s">
        <v>1922</v>
      </c>
      <c r="J810" s="329" t="str">
        <f>IF(B810&lt;&gt;"",+VLOOKUP(I810,Recursos!C:F,2,FALSE),"")</f>
        <v>MOLDE METALICO PAVIMENTOS</v>
      </c>
      <c r="K810" s="330" t="str">
        <f>IF(B810&lt;&gt;"",+VLOOKUP(I810,Recursos!C:F,3,FALSE),"")</f>
        <v>m</v>
      </c>
      <c r="L810" s="446">
        <f>IF(B810&lt;&gt;"",+VLOOKUP(I810,Recursos!C:F,4,FALSE),"")</f>
        <v>55</v>
      </c>
      <c r="M810" s="527">
        <v>7.8</v>
      </c>
      <c r="N810" s="528">
        <v>0.2</v>
      </c>
      <c r="O810" s="449">
        <f>N804/(M810/2*N810)/10</f>
        <v>0.25641025641025639</v>
      </c>
      <c r="P810" s="333">
        <f t="shared" si="342"/>
        <v>14.102564102564102</v>
      </c>
      <c r="Q810" s="327">
        <f t="shared" si="343"/>
        <v>0</v>
      </c>
      <c r="R810" s="334">
        <f t="shared" si="344"/>
        <v>0</v>
      </c>
      <c r="S810" s="335">
        <f t="shared" si="347"/>
        <v>1019.0954596570443</v>
      </c>
      <c r="T810" s="335">
        <f t="shared" si="348"/>
        <v>161.68711857142858</v>
      </c>
      <c r="U810" s="336">
        <f t="shared" si="349"/>
        <v>14.102564102564102</v>
      </c>
      <c r="V810" s="336">
        <f t="shared" si="350"/>
        <v>0</v>
      </c>
      <c r="W810" s="336">
        <f t="shared" si="351"/>
        <v>0</v>
      </c>
      <c r="X810" s="336">
        <f t="shared" si="352"/>
        <v>0</v>
      </c>
      <c r="Y810" s="320"/>
      <c r="Z810" s="321" t="str">
        <f t="shared" si="356"/>
        <v>X-COL5A</v>
      </c>
      <c r="AA810" s="321" t="str">
        <f t="shared" si="357"/>
        <v>X-COL5E</v>
      </c>
      <c r="AB810" s="321" t="str">
        <f t="shared" si="358"/>
        <v>X-COL5M</v>
      </c>
      <c r="AC810" s="321" t="str">
        <f t="shared" si="359"/>
        <v>X-COL5T</v>
      </c>
      <c r="AD810" s="321" t="str">
        <f t="shared" si="360"/>
        <v>X-COL5S</v>
      </c>
      <c r="AE810" s="321" t="str">
        <f t="shared" si="361"/>
        <v>X-COL5X</v>
      </c>
      <c r="AF810" s="321" t="str">
        <f t="shared" si="362"/>
        <v>X-COL5M</v>
      </c>
      <c r="AG810" s="321">
        <f t="shared" si="353"/>
        <v>10</v>
      </c>
      <c r="AH810" s="321">
        <f>IF(B810&lt;&gt;"",IF(H810="x",VLOOKUP(I810,'AUX-NIV3'!B:AG,32,FALSE),0),"")</f>
        <v>0</v>
      </c>
      <c r="AI810" s="321" t="str">
        <f t="shared" si="363"/>
        <v>X-COL5</v>
      </c>
      <c r="AJ810" s="320"/>
      <c r="AK810" s="322">
        <f t="shared" si="354"/>
        <v>801</v>
      </c>
      <c r="AL810" s="323">
        <f t="shared" si="364"/>
        <v>810</v>
      </c>
      <c r="AM810" s="322">
        <f t="shared" si="365"/>
        <v>10</v>
      </c>
      <c r="AN810" s="380">
        <f>IF(AND(AH810&gt;0,B810&lt;&gt;""),VLOOKUP(I810,'AUX-NIV3'!$B:$AO,39,FALSE)*O810,0)</f>
        <v>0</v>
      </c>
      <c r="AO810" s="380">
        <f t="shared" si="355"/>
        <v>2.0742857142857143</v>
      </c>
      <c r="AP810" s="380"/>
    </row>
    <row r="811" spans="2:42" ht="14.4" hidden="1" thickTop="1" thickBot="1">
      <c r="B811" s="324" t="s">
        <v>2855</v>
      </c>
      <c r="C811" s="325" t="s">
        <v>2856</v>
      </c>
      <c r="D811" s="326" t="s">
        <v>1160</v>
      </c>
      <c r="E811" s="327">
        <f>IF(B811&lt;&gt;"",SUMIF('AUX-NIV1'!I:I,'AUX-NIV2'!B811,'AUX-NIV1'!Q:Q),"")</f>
        <v>0</v>
      </c>
      <c r="F811" s="327">
        <f t="shared" si="345"/>
        <v>188.02798433490563</v>
      </c>
      <c r="G811" s="327">
        <f t="shared" si="346"/>
        <v>0</v>
      </c>
      <c r="H811" s="328" t="str">
        <f t="shared" si="368"/>
        <v>M</v>
      </c>
      <c r="I811" s="325" t="s">
        <v>1962</v>
      </c>
      <c r="J811" s="329" t="str">
        <f>IF(B811&lt;&gt;"",+VLOOKUP(I811,Recursos!C:F,2,FALSE),"")</f>
        <v>ACERO TRILOGIC AM 500</v>
      </c>
      <c r="K811" s="330" t="str">
        <f>IF(B811&lt;&gt;"",+VLOOKUP(I811,Recursos!C:F,3,FALSE),"")</f>
        <v>Tn</v>
      </c>
      <c r="L811" s="446">
        <f>IF(B811&lt;&gt;"",+VLOOKUP(I811,Recursos!C:F,4,FALSE),"")</f>
        <v>2850</v>
      </c>
      <c r="M811" s="447">
        <v>7.8</v>
      </c>
      <c r="N811" s="448">
        <v>16</v>
      </c>
      <c r="O811" s="449">
        <f>+(N813*N811)/(M811*M812*M814*1000)</f>
        <v>2.3931623931623932E-3</v>
      </c>
      <c r="P811" s="333">
        <f t="shared" si="342"/>
        <v>6.8205128205128203</v>
      </c>
      <c r="Q811" s="327">
        <f t="shared" si="343"/>
        <v>0</v>
      </c>
      <c r="R811" s="334">
        <f t="shared" si="344"/>
        <v>0</v>
      </c>
      <c r="S811" s="335">
        <f t="shared" si="347"/>
        <v>0</v>
      </c>
      <c r="T811" s="335">
        <f t="shared" si="348"/>
        <v>0</v>
      </c>
      <c r="U811" s="336">
        <f t="shared" si="349"/>
        <v>178.7103906194815</v>
      </c>
      <c r="V811" s="336">
        <f t="shared" si="350"/>
        <v>0</v>
      </c>
      <c r="W811" s="336">
        <f t="shared" si="351"/>
        <v>0</v>
      </c>
      <c r="X811" s="336">
        <f t="shared" si="352"/>
        <v>9.3175937154241115</v>
      </c>
      <c r="Y811" s="320"/>
      <c r="Z811" s="321" t="str">
        <f t="shared" si="356"/>
        <v>X-PASA</v>
      </c>
      <c r="AA811" s="321" t="str">
        <f t="shared" si="357"/>
        <v>X-PASE</v>
      </c>
      <c r="AB811" s="321" t="str">
        <f t="shared" si="358"/>
        <v>X-PASM</v>
      </c>
      <c r="AC811" s="321" t="str">
        <f t="shared" si="359"/>
        <v>X-PAST</v>
      </c>
      <c r="AD811" s="321" t="str">
        <f t="shared" si="360"/>
        <v>X-PASS</v>
      </c>
      <c r="AE811" s="321" t="str">
        <f t="shared" si="361"/>
        <v>X-PASX</v>
      </c>
      <c r="AF811" s="321" t="str">
        <f t="shared" si="362"/>
        <v>X-PASM</v>
      </c>
      <c r="AG811" s="321">
        <f t="shared" si="353"/>
        <v>4</v>
      </c>
      <c r="AH811" s="321">
        <f>IF(B811&lt;&gt;"",IF(H811="x",VLOOKUP(I811,'AUX-NIV3'!B:AG,32,FALSE),0),"")</f>
        <v>0</v>
      </c>
      <c r="AI811" s="321" t="str">
        <f t="shared" si="363"/>
        <v>X-PAS</v>
      </c>
      <c r="AJ811" s="320"/>
      <c r="AK811" s="322">
        <f t="shared" si="354"/>
        <v>811</v>
      </c>
      <c r="AL811" s="323">
        <f t="shared" si="364"/>
        <v>814</v>
      </c>
      <c r="AM811" s="322">
        <f t="shared" si="365"/>
        <v>1</v>
      </c>
      <c r="AN811" s="380">
        <f>IF(AND(AH811&gt;0,B811&lt;&gt;""),VLOOKUP(I811,'AUX-NIV3'!$B:$AO,39,FALSE)*O811,0)</f>
        <v>0</v>
      </c>
      <c r="AO811" s="380">
        <f t="shared" si="355"/>
        <v>1.8696581196581196E-2</v>
      </c>
      <c r="AP811" s="380"/>
    </row>
    <row r="812" spans="2:42" ht="14.4" hidden="1" thickTop="1" thickBot="1">
      <c r="B812" s="324" t="s">
        <v>2855</v>
      </c>
      <c r="C812" s="325" t="s">
        <v>2856</v>
      </c>
      <c r="D812" s="326" t="s">
        <v>1160</v>
      </c>
      <c r="E812" s="327">
        <f>IF(B812&lt;&gt;"",SUMIF('AUX-NIV1'!I:I,'AUX-NIV2'!B812,'AUX-NIV1'!Q:Q),"")</f>
        <v>0</v>
      </c>
      <c r="F812" s="327">
        <f t="shared" si="345"/>
        <v>188.02798433490563</v>
      </c>
      <c r="G812" s="327">
        <f t="shared" si="346"/>
        <v>0</v>
      </c>
      <c r="H812" s="328" t="str">
        <f t="shared" si="368"/>
        <v>M</v>
      </c>
      <c r="I812" s="325" t="s">
        <v>1970</v>
      </c>
      <c r="J812" s="329" t="str">
        <f>IF(B812&lt;&gt;"",+VLOOKUP(I812,Recursos!C:F,2,FALSE),"")</f>
        <v>ACERO LISO AL 220</v>
      </c>
      <c r="K812" s="330" t="str">
        <f>IF(B812&lt;&gt;"",+VLOOKUP(I812,Recursos!C:F,3,FALSE),"")</f>
        <v>Tn</v>
      </c>
      <c r="L812" s="446">
        <f>IF(B812&lt;&gt;"",+VLOOKUP(I812,Recursos!C:F,4,FALSE),"")</f>
        <v>2800</v>
      </c>
      <c r="M812" s="452">
        <v>4.5</v>
      </c>
      <c r="N812" s="453">
        <v>80</v>
      </c>
      <c r="O812" s="449">
        <f>+(N813*N812)/(M811*M812*M814*1000)</f>
        <v>1.1965811965811965E-2</v>
      </c>
      <c r="P812" s="333">
        <f t="shared" si="342"/>
        <v>33.504273504273499</v>
      </c>
      <c r="Q812" s="327">
        <f t="shared" si="343"/>
        <v>0</v>
      </c>
      <c r="R812" s="334">
        <f t="shared" si="344"/>
        <v>0</v>
      </c>
      <c r="S812" s="335">
        <f t="shared" si="347"/>
        <v>0</v>
      </c>
      <c r="T812" s="335">
        <f t="shared" si="348"/>
        <v>0</v>
      </c>
      <c r="U812" s="336">
        <f t="shared" si="349"/>
        <v>178.7103906194815</v>
      </c>
      <c r="V812" s="336">
        <f t="shared" si="350"/>
        <v>0</v>
      </c>
      <c r="W812" s="336">
        <f t="shared" si="351"/>
        <v>0</v>
      </c>
      <c r="X812" s="336">
        <f t="shared" si="352"/>
        <v>9.3175937154241115</v>
      </c>
      <c r="Y812" s="320"/>
      <c r="Z812" s="321" t="str">
        <f t="shared" si="356"/>
        <v>X-PASA</v>
      </c>
      <c r="AA812" s="321" t="str">
        <f t="shared" si="357"/>
        <v>X-PASE</v>
      </c>
      <c r="AB812" s="321" t="str">
        <f t="shared" si="358"/>
        <v>X-PASM</v>
      </c>
      <c r="AC812" s="321" t="str">
        <f t="shared" si="359"/>
        <v>X-PAST</v>
      </c>
      <c r="AD812" s="321" t="str">
        <f t="shared" si="360"/>
        <v>X-PASS</v>
      </c>
      <c r="AE812" s="321" t="str">
        <f t="shared" si="361"/>
        <v>X-PASX</v>
      </c>
      <c r="AF812" s="321" t="str">
        <f t="shared" si="362"/>
        <v>X-PASM</v>
      </c>
      <c r="AG812" s="321">
        <f t="shared" si="353"/>
        <v>4</v>
      </c>
      <c r="AH812" s="321">
        <f>IF(B812&lt;&gt;"",IF(H812="x",VLOOKUP(I812,'AUX-NIV3'!B:AG,32,FALSE),0),"")</f>
        <v>0</v>
      </c>
      <c r="AI812" s="321" t="str">
        <f t="shared" si="363"/>
        <v>X-PAS</v>
      </c>
      <c r="AJ812" s="320"/>
      <c r="AK812" s="322">
        <f t="shared" si="354"/>
        <v>811</v>
      </c>
      <c r="AL812" s="323">
        <f t="shared" si="364"/>
        <v>814</v>
      </c>
      <c r="AM812" s="322">
        <f t="shared" si="365"/>
        <v>2</v>
      </c>
      <c r="AN812" s="380">
        <f>IF(AND(AH812&gt;0,B812&lt;&gt;""),VLOOKUP(I812,'AUX-NIV3'!$B:$AO,39,FALSE)*O812,0)</f>
        <v>0</v>
      </c>
      <c r="AO812" s="380">
        <f t="shared" si="355"/>
        <v>1.8696581196581196E-2</v>
      </c>
      <c r="AP812" s="380"/>
    </row>
    <row r="813" spans="2:42" ht="14.4" hidden="1" thickTop="1" thickBot="1">
      <c r="B813" s="324" t="s">
        <v>2855</v>
      </c>
      <c r="C813" s="325" t="s">
        <v>2856</v>
      </c>
      <c r="D813" s="326" t="s">
        <v>1160</v>
      </c>
      <c r="E813" s="327">
        <f>IF(B813&lt;&gt;"",SUMIF('AUX-NIV1'!I:I,'AUX-NIV2'!B813,'AUX-NIV1'!Q:Q),"")</f>
        <v>0</v>
      </c>
      <c r="F813" s="327">
        <f t="shared" si="345"/>
        <v>188.02798433490563</v>
      </c>
      <c r="G813" s="327">
        <f t="shared" si="346"/>
        <v>0</v>
      </c>
      <c r="H813" s="328" t="str">
        <f t="shared" si="368"/>
        <v>M</v>
      </c>
      <c r="I813" s="325" t="s">
        <v>1751</v>
      </c>
      <c r="J813" s="329" t="str">
        <f>IF(B813&lt;&gt;"",+VLOOKUP(I813,Recursos!C:F,2,FALSE),"")</f>
        <v>ACERO TIPO ADN 420</v>
      </c>
      <c r="K813" s="330" t="str">
        <f>IF(B813&lt;&gt;"",+VLOOKUP(I813,Recursos!C:F,3,FALSE),"")</f>
        <v>tn</v>
      </c>
      <c r="L813" s="446">
        <f>IF(B813&lt;&gt;"",+VLOOKUP(I813,Recursos!C:F,4,FALSE),"")</f>
        <v>185041.32231404958</v>
      </c>
      <c r="M813" s="452">
        <v>5</v>
      </c>
      <c r="N813" s="453">
        <v>1.05</v>
      </c>
      <c r="O813" s="449">
        <f>+(N813*M813)/(M811*M812*M814*1000)</f>
        <v>7.4786324786324781E-4</v>
      </c>
      <c r="P813" s="333">
        <f t="shared" si="342"/>
        <v>138.38560429469518</v>
      </c>
      <c r="Q813" s="327">
        <f t="shared" si="343"/>
        <v>0</v>
      </c>
      <c r="R813" s="334">
        <f t="shared" si="344"/>
        <v>0</v>
      </c>
      <c r="S813" s="335">
        <f t="shared" si="347"/>
        <v>0</v>
      </c>
      <c r="T813" s="335">
        <f t="shared" si="348"/>
        <v>0</v>
      </c>
      <c r="U813" s="336">
        <f t="shared" si="349"/>
        <v>178.7103906194815</v>
      </c>
      <c r="V813" s="336">
        <f t="shared" si="350"/>
        <v>0</v>
      </c>
      <c r="W813" s="336">
        <f t="shared" si="351"/>
        <v>0</v>
      </c>
      <c r="X813" s="336">
        <f t="shared" si="352"/>
        <v>9.3175937154241115</v>
      </c>
      <c r="Y813" s="320"/>
      <c r="Z813" s="321" t="str">
        <f t="shared" si="356"/>
        <v>X-PASA</v>
      </c>
      <c r="AA813" s="321" t="str">
        <f t="shared" si="357"/>
        <v>X-PASE</v>
      </c>
      <c r="AB813" s="321" t="str">
        <f t="shared" si="358"/>
        <v>X-PASM</v>
      </c>
      <c r="AC813" s="321" t="str">
        <f t="shared" si="359"/>
        <v>X-PAST</v>
      </c>
      <c r="AD813" s="321" t="str">
        <f t="shared" si="360"/>
        <v>X-PASS</v>
      </c>
      <c r="AE813" s="321" t="str">
        <f t="shared" si="361"/>
        <v>X-PASX</v>
      </c>
      <c r="AF813" s="321" t="str">
        <f t="shared" si="362"/>
        <v>X-PASM</v>
      </c>
      <c r="AG813" s="321">
        <f t="shared" si="353"/>
        <v>4</v>
      </c>
      <c r="AH813" s="321">
        <f>IF(B813&lt;&gt;"",IF(H813="x",VLOOKUP(I813,'AUX-NIV3'!B:AG,32,FALSE),0),"")</f>
        <v>0</v>
      </c>
      <c r="AI813" s="321" t="str">
        <f t="shared" si="363"/>
        <v>X-PAS</v>
      </c>
      <c r="AJ813" s="320"/>
      <c r="AK813" s="322">
        <f t="shared" si="354"/>
        <v>811</v>
      </c>
      <c r="AL813" s="323">
        <f t="shared" si="364"/>
        <v>814</v>
      </c>
      <c r="AM813" s="322">
        <f t="shared" si="365"/>
        <v>3</v>
      </c>
      <c r="AN813" s="380">
        <f>IF(AND(AH813&gt;0,B813&lt;&gt;""),VLOOKUP(I813,'AUX-NIV3'!$B:$AO,39,FALSE)*O813,0)</f>
        <v>0</v>
      </c>
      <c r="AO813" s="380">
        <f t="shared" si="355"/>
        <v>1.8696581196581196E-2</v>
      </c>
      <c r="AP813" s="380"/>
    </row>
    <row r="814" spans="2:42" ht="14.4" hidden="1" thickTop="1" thickBot="1">
      <c r="B814" s="324" t="s">
        <v>2855</v>
      </c>
      <c r="C814" s="325" t="s">
        <v>2856</v>
      </c>
      <c r="D814" s="326" t="s">
        <v>1160</v>
      </c>
      <c r="E814" s="327">
        <f>IF(B814&lt;&gt;"",SUMIF('AUX-NIV1'!I:I,'AUX-NIV2'!B814,'AUX-NIV1'!Q:Q),"")</f>
        <v>0</v>
      </c>
      <c r="F814" s="327">
        <f t="shared" si="345"/>
        <v>188.02798433490563</v>
      </c>
      <c r="G814" s="327">
        <f t="shared" si="346"/>
        <v>0</v>
      </c>
      <c r="H814" s="328" t="str">
        <f t="shared" si="368"/>
        <v>X</v>
      </c>
      <c r="I814" s="325" t="s">
        <v>2853</v>
      </c>
      <c r="J814" s="329" t="str">
        <f>IF(B814&lt;&gt;"",+VLOOKUP(I814,Recursos!C:F,2,FALSE),"")</f>
        <v>Corte y doblado de acero</v>
      </c>
      <c r="K814" s="330" t="str">
        <f>IF(B814&lt;&gt;"",+VLOOKUP(I814,Recursos!C:F,3,FALSE),"")</f>
        <v>tn</v>
      </c>
      <c r="L814" s="446">
        <f>IF(B814&lt;&gt;"",+VLOOKUP(I814,Recursos!C:F,4,FALSE),"")</f>
        <v>12458.953882338526</v>
      </c>
      <c r="M814" s="450">
        <v>0.2</v>
      </c>
      <c r="N814" s="451"/>
      <c r="O814" s="449">
        <f>+(N813*M813)/(M811*M812*M814*1000)</f>
        <v>7.4786324786324781E-4</v>
      </c>
      <c r="P814" s="333">
        <f t="shared" si="342"/>
        <v>9.3175937154241115</v>
      </c>
      <c r="Q814" s="327">
        <f t="shared" si="343"/>
        <v>0</v>
      </c>
      <c r="R814" s="334">
        <f t="shared" si="344"/>
        <v>0</v>
      </c>
      <c r="S814" s="335">
        <f t="shared" si="347"/>
        <v>0</v>
      </c>
      <c r="T814" s="335">
        <f t="shared" si="348"/>
        <v>0</v>
      </c>
      <c r="U814" s="336">
        <f t="shared" si="349"/>
        <v>178.7103906194815</v>
      </c>
      <c r="V814" s="336">
        <f t="shared" si="350"/>
        <v>0</v>
      </c>
      <c r="W814" s="336">
        <f t="shared" si="351"/>
        <v>0</v>
      </c>
      <c r="X814" s="336">
        <f t="shared" si="352"/>
        <v>9.3175937154241115</v>
      </c>
      <c r="Y814" s="320"/>
      <c r="Z814" s="321" t="str">
        <f t="shared" si="356"/>
        <v>X-PASA</v>
      </c>
      <c r="AA814" s="321" t="str">
        <f t="shared" si="357"/>
        <v>X-PASE</v>
      </c>
      <c r="AB814" s="321" t="str">
        <f t="shared" si="358"/>
        <v>X-PASM</v>
      </c>
      <c r="AC814" s="321" t="str">
        <f t="shared" si="359"/>
        <v>X-PAST</v>
      </c>
      <c r="AD814" s="321" t="str">
        <f t="shared" si="360"/>
        <v>X-PASS</v>
      </c>
      <c r="AE814" s="321" t="str">
        <f t="shared" si="361"/>
        <v>X-PASX</v>
      </c>
      <c r="AF814" s="321" t="str">
        <f t="shared" si="362"/>
        <v>X-PASX</v>
      </c>
      <c r="AG814" s="321">
        <f t="shared" si="353"/>
        <v>4</v>
      </c>
      <c r="AH814" s="321">
        <f>IF(B814&lt;&gt;"",IF(H814="x",VLOOKUP(I814,'AUX-NIV3'!B:AG,32,FALSE),0),"")</f>
        <v>4</v>
      </c>
      <c r="AI814" s="321" t="str">
        <f t="shared" si="363"/>
        <v>X-PAS</v>
      </c>
      <c r="AJ814" s="320"/>
      <c r="AK814" s="322">
        <f t="shared" si="354"/>
        <v>811</v>
      </c>
      <c r="AL814" s="323">
        <f t="shared" si="364"/>
        <v>814</v>
      </c>
      <c r="AM814" s="322">
        <f t="shared" si="365"/>
        <v>4</v>
      </c>
      <c r="AN814" s="380">
        <f>IF(AND(AH814&gt;0,B814&lt;&gt;""),VLOOKUP(I814,'AUX-NIV3'!$B:$AO,39,FALSE)*O814,0)</f>
        <v>1.8696581196581196E-2</v>
      </c>
      <c r="AO814" s="380">
        <f t="shared" si="355"/>
        <v>1.8696581196581196E-2</v>
      </c>
      <c r="AP814" s="380"/>
    </row>
    <row r="815" spans="2:42" ht="14.4" hidden="1" thickTop="1" thickBot="1">
      <c r="B815" s="501" t="s">
        <v>2857</v>
      </c>
      <c r="C815" s="951" t="s">
        <v>2858</v>
      </c>
      <c r="D815" s="326" t="s">
        <v>477</v>
      </c>
      <c r="E815" s="327">
        <f>IF(B815&lt;&gt;"",SUMIF('AUX-NIV1'!I:I,'AUX-NIV2'!B815,'AUX-NIV1'!Q:Q),"")</f>
        <v>0</v>
      </c>
      <c r="F815" s="327">
        <f t="shared" si="345"/>
        <v>65.219399860621934</v>
      </c>
      <c r="G815" s="327">
        <f t="shared" si="346"/>
        <v>0</v>
      </c>
      <c r="H815" s="328" t="str">
        <f t="shared" si="368"/>
        <v>A</v>
      </c>
      <c r="I815" s="325" t="s">
        <v>1745</v>
      </c>
      <c r="J815" s="329" t="str">
        <f>IF(B815&lt;&gt;"",+VLOOKUP(I815,Recursos!C:F,2,FALSE),"")</f>
        <v>AYUDANTE</v>
      </c>
      <c r="K815" s="330" t="str">
        <f>IF(B815&lt;&gt;"",+VLOOKUP(I815,Recursos!C:F,3,FALSE),"")</f>
        <v>hh</v>
      </c>
      <c r="L815" s="446">
        <f>IF(B815&lt;&gt;"",+VLOOKUP(I815,Recursos!C:F,4,FALSE),"")</f>
        <v>422.48042769667234</v>
      </c>
      <c r="M815" s="454"/>
      <c r="N815" s="453">
        <v>2</v>
      </c>
      <c r="O815" s="449">
        <f>+N815*N816/M819</f>
        <v>0.05</v>
      </c>
      <c r="P815" s="333">
        <f t="shared" si="342"/>
        <v>21.124021384833618</v>
      </c>
      <c r="Q815" s="327">
        <f t="shared" si="343"/>
        <v>0</v>
      </c>
      <c r="R815" s="334">
        <f t="shared" si="344"/>
        <v>0</v>
      </c>
      <c r="S815" s="335">
        <f t="shared" si="347"/>
        <v>38.135131276006554</v>
      </c>
      <c r="T815" s="335">
        <f t="shared" si="348"/>
        <v>21.6996532</v>
      </c>
      <c r="U815" s="336">
        <f t="shared" si="349"/>
        <v>5.384615384615385</v>
      </c>
      <c r="V815" s="336">
        <f t="shared" si="350"/>
        <v>0</v>
      </c>
      <c r="W815" s="336">
        <f t="shared" si="351"/>
        <v>0</v>
      </c>
      <c r="X815" s="336">
        <f t="shared" si="352"/>
        <v>0</v>
      </c>
      <c r="Y815" s="320"/>
      <c r="Z815" s="321" t="str">
        <f t="shared" si="356"/>
        <v>X-ASPA</v>
      </c>
      <c r="AA815" s="321" t="str">
        <f t="shared" si="357"/>
        <v>X-ASPE</v>
      </c>
      <c r="AB815" s="321" t="str">
        <f t="shared" si="358"/>
        <v>X-ASPM</v>
      </c>
      <c r="AC815" s="321" t="str">
        <f t="shared" si="359"/>
        <v>X-ASPT</v>
      </c>
      <c r="AD815" s="321" t="str">
        <f t="shared" si="360"/>
        <v>X-ASPS</v>
      </c>
      <c r="AE815" s="321" t="str">
        <f t="shared" si="361"/>
        <v>X-ASPX</v>
      </c>
      <c r="AF815" s="321" t="str">
        <f t="shared" si="362"/>
        <v>X-ASPA</v>
      </c>
      <c r="AG815" s="321">
        <f t="shared" si="353"/>
        <v>6</v>
      </c>
      <c r="AH815" s="321">
        <f>IF(B815&lt;&gt;"",IF(H815="x",VLOOKUP(I815,'AUX-NIV3'!B:AG,32,FALSE),0),"")</f>
        <v>0</v>
      </c>
      <c r="AI815" s="321" t="str">
        <f t="shared" si="363"/>
        <v>X-ASP</v>
      </c>
      <c r="AJ815" s="320"/>
      <c r="AK815" s="322">
        <f t="shared" si="354"/>
        <v>815</v>
      </c>
      <c r="AL815" s="323">
        <f t="shared" si="364"/>
        <v>820</v>
      </c>
      <c r="AM815" s="322">
        <f t="shared" si="365"/>
        <v>1</v>
      </c>
      <c r="AN815" s="380">
        <f>IF(AND(AH815&gt;0,B815&lt;&gt;""),VLOOKUP(I815,'AUX-NIV3'!$B:$AO,39,FALSE)*O815,0)</f>
        <v>0</v>
      </c>
      <c r="AO815" s="380">
        <f t="shared" si="355"/>
        <v>8.0000000000000016E-2</v>
      </c>
      <c r="AP815" s="380"/>
    </row>
    <row r="816" spans="2:42" ht="14.4" hidden="1" thickTop="1" thickBot="1">
      <c r="B816" s="501" t="s">
        <v>2857</v>
      </c>
      <c r="C816" s="951" t="s">
        <v>2858</v>
      </c>
      <c r="D816" s="326" t="s">
        <v>477</v>
      </c>
      <c r="E816" s="327">
        <f>IF(B816&lt;&gt;"",SUMIF('AUX-NIV1'!I:I,'AUX-NIV2'!B816,'AUX-NIV1'!Q:Q),"")</f>
        <v>0</v>
      </c>
      <c r="F816" s="327">
        <f t="shared" si="345"/>
        <v>65.219399860621934</v>
      </c>
      <c r="G816" s="327">
        <f t="shared" si="346"/>
        <v>0</v>
      </c>
      <c r="H816" s="328" t="str">
        <f t="shared" si="368"/>
        <v>A</v>
      </c>
      <c r="I816" s="325" t="s">
        <v>3310</v>
      </c>
      <c r="J816" s="329" t="str">
        <f>IF(B816&lt;&gt;"",+VLOOKUP(I816,Recursos!C:F,2,FALSE),"")</f>
        <v>OFICIAL ESPECIALIZADO</v>
      </c>
      <c r="K816" s="330" t="str">
        <f>IF(B816&lt;&gt;"",+VLOOKUP(I816,Recursos!C:F,3,FALSE),"")</f>
        <v>hh</v>
      </c>
      <c r="L816" s="446">
        <f>IF(B816&lt;&gt;"",+VLOOKUP(I816,Recursos!C:F,4,FALSE),"")</f>
        <v>581.06120476836554</v>
      </c>
      <c r="M816" s="454"/>
      <c r="N816" s="455">
        <f>+N817</f>
        <v>1.25</v>
      </c>
      <c r="O816" s="449">
        <f>+N816/M819</f>
        <v>2.5000000000000001E-2</v>
      </c>
      <c r="P816" s="333">
        <f t="shared" si="342"/>
        <v>14.52653011920914</v>
      </c>
      <c r="Q816" s="327">
        <f t="shared" si="343"/>
        <v>0</v>
      </c>
      <c r="R816" s="334">
        <f t="shared" si="344"/>
        <v>0</v>
      </c>
      <c r="S816" s="335">
        <f t="shared" si="347"/>
        <v>38.135131276006554</v>
      </c>
      <c r="T816" s="335">
        <f t="shared" si="348"/>
        <v>21.6996532</v>
      </c>
      <c r="U816" s="336">
        <f t="shared" si="349"/>
        <v>5.384615384615385</v>
      </c>
      <c r="V816" s="336">
        <f t="shared" si="350"/>
        <v>0</v>
      </c>
      <c r="W816" s="336">
        <f t="shared" si="351"/>
        <v>0</v>
      </c>
      <c r="X816" s="336">
        <f t="shared" si="352"/>
        <v>0</v>
      </c>
      <c r="Y816" s="320"/>
      <c r="Z816" s="321" t="str">
        <f t="shared" si="356"/>
        <v>X-ASPA</v>
      </c>
      <c r="AA816" s="321" t="str">
        <f t="shared" si="357"/>
        <v>X-ASPE</v>
      </c>
      <c r="AB816" s="321" t="str">
        <f t="shared" si="358"/>
        <v>X-ASPM</v>
      </c>
      <c r="AC816" s="321" t="str">
        <f t="shared" si="359"/>
        <v>X-ASPT</v>
      </c>
      <c r="AD816" s="321" t="str">
        <f t="shared" si="360"/>
        <v>X-ASPS</v>
      </c>
      <c r="AE816" s="321" t="str">
        <f t="shared" si="361"/>
        <v>X-ASPX</v>
      </c>
      <c r="AF816" s="321" t="str">
        <f t="shared" si="362"/>
        <v>X-ASPA</v>
      </c>
      <c r="AG816" s="321">
        <f t="shared" si="353"/>
        <v>6</v>
      </c>
      <c r="AH816" s="321">
        <f>IF(B816&lt;&gt;"",IF(H816="x",VLOOKUP(I816,'AUX-NIV3'!B:AG,32,FALSE),0),"")</f>
        <v>0</v>
      </c>
      <c r="AI816" s="321" t="str">
        <f t="shared" si="363"/>
        <v>X-ASP</v>
      </c>
      <c r="AJ816" s="320"/>
      <c r="AK816" s="322">
        <f t="shared" si="354"/>
        <v>815</v>
      </c>
      <c r="AL816" s="323">
        <f t="shared" si="364"/>
        <v>820</v>
      </c>
      <c r="AM816" s="322">
        <f t="shared" si="365"/>
        <v>2</v>
      </c>
      <c r="AN816" s="380">
        <f>IF(AND(AH816&gt;0,B816&lt;&gt;""),VLOOKUP(I816,'AUX-NIV3'!$B:$AO,39,FALSE)*O816,0)</f>
        <v>0</v>
      </c>
      <c r="AO816" s="380">
        <f t="shared" si="355"/>
        <v>8.0000000000000016E-2</v>
      </c>
      <c r="AP816" s="380"/>
    </row>
    <row r="817" spans="2:42" ht="14.4" hidden="1" thickTop="1" thickBot="1">
      <c r="B817" s="501" t="s">
        <v>2857</v>
      </c>
      <c r="C817" s="951" t="s">
        <v>2858</v>
      </c>
      <c r="D817" s="326" t="s">
        <v>477</v>
      </c>
      <c r="E817" s="327">
        <f>IF(B817&lt;&gt;"",SUMIF('AUX-NIV1'!I:I,'AUX-NIV2'!B817,'AUX-NIV1'!Q:Q),"")</f>
        <v>0</v>
      </c>
      <c r="F817" s="327">
        <f t="shared" si="345"/>
        <v>65.219399860621934</v>
      </c>
      <c r="G817" s="327">
        <f t="shared" si="346"/>
        <v>0</v>
      </c>
      <c r="H817" s="328" t="str">
        <f t="shared" si="368"/>
        <v>A</v>
      </c>
      <c r="I817" s="325" t="s">
        <v>1746</v>
      </c>
      <c r="J817" s="329" t="str">
        <f>IF(B817&lt;&gt;"",+VLOOKUP(I817,Recursos!C:F,2,FALSE),"")</f>
        <v>OFICIAL</v>
      </c>
      <c r="K817" s="330" t="str">
        <f>IF(B817&lt;&gt;"",+VLOOKUP(I817,Recursos!C:F,3,FALSE),"")</f>
        <v>hh</v>
      </c>
      <c r="L817" s="446">
        <f>IF(B817&lt;&gt;"",+VLOOKUP(I817,Recursos!C:F,4,FALSE),"")</f>
        <v>496.91595439275824</v>
      </c>
      <c r="M817" s="454"/>
      <c r="N817" s="453">
        <v>1.25</v>
      </c>
      <c r="O817" s="449">
        <f>+N817/M819*N818</f>
        <v>5.000000000000001E-3</v>
      </c>
      <c r="P817" s="333">
        <f t="shared" si="342"/>
        <v>2.4845797719637917</v>
      </c>
      <c r="Q817" s="327">
        <f t="shared" si="343"/>
        <v>0</v>
      </c>
      <c r="R817" s="334">
        <f t="shared" si="344"/>
        <v>0</v>
      </c>
      <c r="S817" s="335">
        <f t="shared" si="347"/>
        <v>38.135131276006554</v>
      </c>
      <c r="T817" s="335">
        <f t="shared" si="348"/>
        <v>21.6996532</v>
      </c>
      <c r="U817" s="336">
        <f t="shared" si="349"/>
        <v>5.384615384615385</v>
      </c>
      <c r="V817" s="336">
        <f t="shared" si="350"/>
        <v>0</v>
      </c>
      <c r="W817" s="336">
        <f t="shared" si="351"/>
        <v>0</v>
      </c>
      <c r="X817" s="336">
        <f t="shared" si="352"/>
        <v>0</v>
      </c>
      <c r="Y817" s="320"/>
      <c r="Z817" s="321" t="str">
        <f t="shared" si="356"/>
        <v>X-ASPA</v>
      </c>
      <c r="AA817" s="321" t="str">
        <f t="shared" si="357"/>
        <v>X-ASPE</v>
      </c>
      <c r="AB817" s="321" t="str">
        <f t="shared" si="358"/>
        <v>X-ASPM</v>
      </c>
      <c r="AC817" s="321" t="str">
        <f t="shared" si="359"/>
        <v>X-ASPT</v>
      </c>
      <c r="AD817" s="321" t="str">
        <f t="shared" si="360"/>
        <v>X-ASPS</v>
      </c>
      <c r="AE817" s="321" t="str">
        <f t="shared" si="361"/>
        <v>X-ASPX</v>
      </c>
      <c r="AF817" s="321" t="str">
        <f t="shared" si="362"/>
        <v>X-ASPA</v>
      </c>
      <c r="AG817" s="321">
        <f t="shared" si="353"/>
        <v>6</v>
      </c>
      <c r="AH817" s="321">
        <f>IF(B817&lt;&gt;"",IF(H817="x",VLOOKUP(I817,'AUX-NIV3'!B:AG,32,FALSE),0),"")</f>
        <v>0</v>
      </c>
      <c r="AI817" s="321" t="str">
        <f t="shared" si="363"/>
        <v>X-ASP</v>
      </c>
      <c r="AJ817" s="320"/>
      <c r="AK817" s="322">
        <f t="shared" si="354"/>
        <v>815</v>
      </c>
      <c r="AL817" s="323">
        <f t="shared" si="364"/>
        <v>820</v>
      </c>
      <c r="AM817" s="322">
        <f t="shared" si="365"/>
        <v>3</v>
      </c>
      <c r="AN817" s="380">
        <f>IF(AND(AH817&gt;0,B817&lt;&gt;""),VLOOKUP(I817,'AUX-NIV3'!$B:$AO,39,FALSE)*O817,0)</f>
        <v>0</v>
      </c>
      <c r="AO817" s="380">
        <f t="shared" si="355"/>
        <v>8.0000000000000016E-2</v>
      </c>
      <c r="AP817" s="380"/>
    </row>
    <row r="818" spans="2:42" ht="14.4" hidden="1" thickTop="1" thickBot="1">
      <c r="B818" s="501" t="s">
        <v>2857</v>
      </c>
      <c r="C818" s="951" t="s">
        <v>2858</v>
      </c>
      <c r="D818" s="326" t="s">
        <v>477</v>
      </c>
      <c r="E818" s="327">
        <f>IF(B818&lt;&gt;"",SUMIF('AUX-NIV1'!I:I,'AUX-NIV2'!B818,'AUX-NIV1'!Q:Q),"")</f>
        <v>0</v>
      </c>
      <c r="F818" s="327">
        <f t="shared" si="345"/>
        <v>65.219399860621934</v>
      </c>
      <c r="G818" s="327">
        <f t="shared" si="346"/>
        <v>0</v>
      </c>
      <c r="H818" s="328" t="str">
        <f t="shared" si="368"/>
        <v>E</v>
      </c>
      <c r="I818" s="325" t="s">
        <v>1676</v>
      </c>
      <c r="J818" s="329" t="str">
        <f>IF(B818&lt;&gt;"",+VLOOKUP(I818,Recursos!C:F,2,FALSE),"")</f>
        <v>CAMION REGADOR CAP. 8 m3</v>
      </c>
      <c r="K818" s="330" t="str">
        <f>IF(B818&lt;&gt;"",+VLOOKUP(I818,Recursos!C:F,3,FALSE),"")</f>
        <v>HR</v>
      </c>
      <c r="L818" s="446">
        <f>IF(B818&lt;&gt;"",+VLOOKUP(I818,Recursos!C:F,4,FALSE),"")</f>
        <v>2281.2949000000003</v>
      </c>
      <c r="M818" s="454"/>
      <c r="N818" s="453">
        <v>0.2</v>
      </c>
      <c r="O818" s="449">
        <f>+N818/M819</f>
        <v>4.0000000000000001E-3</v>
      </c>
      <c r="P818" s="333">
        <f t="shared" si="342"/>
        <v>9.1251796000000009</v>
      </c>
      <c r="Q818" s="327">
        <f t="shared" si="343"/>
        <v>0</v>
      </c>
      <c r="R818" s="334">
        <f t="shared" si="344"/>
        <v>0</v>
      </c>
      <c r="S818" s="335">
        <f t="shared" si="347"/>
        <v>38.135131276006554</v>
      </c>
      <c r="T818" s="335">
        <f t="shared" si="348"/>
        <v>21.6996532</v>
      </c>
      <c r="U818" s="336">
        <f t="shared" si="349"/>
        <v>5.384615384615385</v>
      </c>
      <c r="V818" s="336">
        <f t="shared" si="350"/>
        <v>0</v>
      </c>
      <c r="W818" s="336">
        <f t="shared" si="351"/>
        <v>0</v>
      </c>
      <c r="X818" s="336">
        <f t="shared" si="352"/>
        <v>0</v>
      </c>
      <c r="Y818" s="320"/>
      <c r="Z818" s="321" t="str">
        <f t="shared" si="356"/>
        <v>X-ASPA</v>
      </c>
      <c r="AA818" s="321" t="str">
        <f t="shared" si="357"/>
        <v>X-ASPE</v>
      </c>
      <c r="AB818" s="321" t="str">
        <f t="shared" si="358"/>
        <v>X-ASPM</v>
      </c>
      <c r="AC818" s="321" t="str">
        <f t="shared" si="359"/>
        <v>X-ASPT</v>
      </c>
      <c r="AD818" s="321" t="str">
        <f t="shared" si="360"/>
        <v>X-ASPS</v>
      </c>
      <c r="AE818" s="321" t="str">
        <f t="shared" si="361"/>
        <v>X-ASPX</v>
      </c>
      <c r="AF818" s="321" t="str">
        <f t="shared" si="362"/>
        <v>X-ASPE</v>
      </c>
      <c r="AG818" s="321">
        <f t="shared" si="353"/>
        <v>6</v>
      </c>
      <c r="AH818" s="321">
        <f>IF(B818&lt;&gt;"",IF(H818="x",VLOOKUP(I818,'AUX-NIV3'!B:AG,32,FALSE),0),"")</f>
        <v>0</v>
      </c>
      <c r="AI818" s="321" t="str">
        <f t="shared" si="363"/>
        <v>X-ASP</v>
      </c>
      <c r="AJ818" s="320"/>
      <c r="AK818" s="322">
        <f t="shared" si="354"/>
        <v>815</v>
      </c>
      <c r="AL818" s="323">
        <f t="shared" si="364"/>
        <v>820</v>
      </c>
      <c r="AM818" s="322">
        <f t="shared" si="365"/>
        <v>4</v>
      </c>
      <c r="AN818" s="380">
        <f>IF(AND(AH818&gt;0,B818&lt;&gt;""),VLOOKUP(I818,'AUX-NIV3'!$B:$AO,39,FALSE)*O818,0)</f>
        <v>0</v>
      </c>
      <c r="AO818" s="380">
        <f t="shared" si="355"/>
        <v>8.0000000000000016E-2</v>
      </c>
      <c r="AP818" s="380"/>
    </row>
    <row r="819" spans="2:42" ht="14.4" hidden="1" thickTop="1" thickBot="1">
      <c r="B819" s="501" t="s">
        <v>2857</v>
      </c>
      <c r="C819" s="951" t="s">
        <v>2858</v>
      </c>
      <c r="D819" s="326" t="s">
        <v>477</v>
      </c>
      <c r="E819" s="327">
        <f>IF(B819&lt;&gt;"",SUMIF('AUX-NIV1'!I:I,'AUX-NIV2'!B819,'AUX-NIV1'!Q:Q),"")</f>
        <v>0</v>
      </c>
      <c r="F819" s="327">
        <f t="shared" si="345"/>
        <v>65.219399860621934</v>
      </c>
      <c r="G819" s="327">
        <f t="shared" si="346"/>
        <v>0</v>
      </c>
      <c r="H819" s="328" t="str">
        <f t="shared" si="368"/>
        <v>E</v>
      </c>
      <c r="I819" s="325" t="s">
        <v>1720</v>
      </c>
      <c r="J819" s="329" t="str">
        <f>IF(B819&lt;&gt;"",+VLOOKUP(I819,Recursos!C:F,2,FALSE),"")</f>
        <v>ASERRADORA DE JUNTAS</v>
      </c>
      <c r="K819" s="330" t="str">
        <f>IF(B819&lt;&gt;"",+VLOOKUP(I819,Recursos!C:F,3,FALSE),"")</f>
        <v>HR</v>
      </c>
      <c r="L819" s="446">
        <f>IF(B819&lt;&gt;"",+VLOOKUP(I819,Recursos!C:F,4,FALSE),"")</f>
        <v>628.72367999999994</v>
      </c>
      <c r="M819" s="452">
        <v>50</v>
      </c>
      <c r="N819" s="453">
        <v>1</v>
      </c>
      <c r="O819" s="449">
        <f>+N819/M819</f>
        <v>0.02</v>
      </c>
      <c r="P819" s="333">
        <f t="shared" si="342"/>
        <v>12.574473599999999</v>
      </c>
      <c r="Q819" s="327">
        <f t="shared" si="343"/>
        <v>0</v>
      </c>
      <c r="R819" s="334">
        <f t="shared" si="344"/>
        <v>0</v>
      </c>
      <c r="S819" s="335">
        <f t="shared" si="347"/>
        <v>38.135131276006554</v>
      </c>
      <c r="T819" s="335">
        <f t="shared" si="348"/>
        <v>21.6996532</v>
      </c>
      <c r="U819" s="336">
        <f t="shared" si="349"/>
        <v>5.384615384615385</v>
      </c>
      <c r="V819" s="336">
        <f t="shared" si="350"/>
        <v>0</v>
      </c>
      <c r="W819" s="336">
        <f t="shared" si="351"/>
        <v>0</v>
      </c>
      <c r="X819" s="336">
        <f t="shared" si="352"/>
        <v>0</v>
      </c>
      <c r="Y819" s="320"/>
      <c r="Z819" s="321" t="str">
        <f t="shared" si="356"/>
        <v>X-ASPA</v>
      </c>
      <c r="AA819" s="321" t="str">
        <f t="shared" si="357"/>
        <v>X-ASPE</v>
      </c>
      <c r="AB819" s="321" t="str">
        <f t="shared" si="358"/>
        <v>X-ASPM</v>
      </c>
      <c r="AC819" s="321" t="str">
        <f t="shared" si="359"/>
        <v>X-ASPT</v>
      </c>
      <c r="AD819" s="321" t="str">
        <f t="shared" si="360"/>
        <v>X-ASPS</v>
      </c>
      <c r="AE819" s="321" t="str">
        <f t="shared" si="361"/>
        <v>X-ASPX</v>
      </c>
      <c r="AF819" s="321" t="str">
        <f t="shared" si="362"/>
        <v>X-ASPE</v>
      </c>
      <c r="AG819" s="321">
        <f t="shared" si="353"/>
        <v>6</v>
      </c>
      <c r="AH819" s="321">
        <f>IF(B819&lt;&gt;"",IF(H819="x",VLOOKUP(I819,'AUX-NIV3'!B:AG,32,FALSE),0),"")</f>
        <v>0</v>
      </c>
      <c r="AI819" s="321" t="str">
        <f t="shared" si="363"/>
        <v>X-ASP</v>
      </c>
      <c r="AJ819" s="320"/>
      <c r="AK819" s="322">
        <f t="shared" si="354"/>
        <v>815</v>
      </c>
      <c r="AL819" s="323">
        <f t="shared" si="364"/>
        <v>820</v>
      </c>
      <c r="AM819" s="322">
        <f t="shared" si="365"/>
        <v>5</v>
      </c>
      <c r="AN819" s="380">
        <f>IF(AND(AH819&gt;0,B819&lt;&gt;""),VLOOKUP(I819,'AUX-NIV3'!$B:$AO,39,FALSE)*O819,0)</f>
        <v>0</v>
      </c>
      <c r="AO819" s="380">
        <f t="shared" si="355"/>
        <v>8.0000000000000016E-2</v>
      </c>
      <c r="AP819" s="380"/>
    </row>
    <row r="820" spans="2:42" ht="14.4" hidden="1" thickTop="1" thickBot="1">
      <c r="B820" s="501" t="s">
        <v>2857</v>
      </c>
      <c r="C820" s="951" t="s">
        <v>2858</v>
      </c>
      <c r="D820" s="326" t="s">
        <v>477</v>
      </c>
      <c r="E820" s="327">
        <f>IF(B820&lt;&gt;"",SUMIF('AUX-NIV1'!I:I,'AUX-NIV2'!B820,'AUX-NIV1'!Q:Q),"")</f>
        <v>0</v>
      </c>
      <c r="F820" s="327">
        <f t="shared" si="345"/>
        <v>65.219399860621934</v>
      </c>
      <c r="G820" s="327">
        <f t="shared" si="346"/>
        <v>0</v>
      </c>
      <c r="H820" s="328" t="str">
        <f t="shared" si="368"/>
        <v>M</v>
      </c>
      <c r="I820" s="325" t="s">
        <v>2058</v>
      </c>
      <c r="J820" s="329" t="str">
        <f>IF(B820&lt;&gt;"",+VLOOKUP(I820,Recursos!C:F,2,FALSE),"")</f>
        <v>DISCO DE ASERRADO D=350mm HºFRESCO</v>
      </c>
      <c r="K820" s="330" t="str">
        <f>IF(B820&lt;&gt;"",+VLOOKUP(I820,Recursos!C:F,3,FALSE),"")</f>
        <v>Un</v>
      </c>
      <c r="L820" s="446">
        <f>IF(B820&lt;&gt;"",+VLOOKUP(I820,Recursos!C:F,4,FALSE),"")</f>
        <v>6461.5384615384619</v>
      </c>
      <c r="M820" s="450">
        <v>1200</v>
      </c>
      <c r="N820" s="451">
        <v>1</v>
      </c>
      <c r="O820" s="449">
        <f>+N820/M820</f>
        <v>8.3333333333333339E-4</v>
      </c>
      <c r="P820" s="333">
        <f t="shared" si="342"/>
        <v>5.384615384615385</v>
      </c>
      <c r="Q820" s="327">
        <f t="shared" si="343"/>
        <v>0</v>
      </c>
      <c r="R820" s="334">
        <f t="shared" si="344"/>
        <v>0</v>
      </c>
      <c r="S820" s="335">
        <f t="shared" si="347"/>
        <v>38.135131276006554</v>
      </c>
      <c r="T820" s="335">
        <f t="shared" si="348"/>
        <v>21.6996532</v>
      </c>
      <c r="U820" s="336">
        <f t="shared" si="349"/>
        <v>5.384615384615385</v>
      </c>
      <c r="V820" s="336">
        <f t="shared" si="350"/>
        <v>0</v>
      </c>
      <c r="W820" s="336">
        <f t="shared" si="351"/>
        <v>0</v>
      </c>
      <c r="X820" s="336">
        <f t="shared" si="352"/>
        <v>0</v>
      </c>
      <c r="Y820" s="320"/>
      <c r="Z820" s="321" t="str">
        <f t="shared" si="356"/>
        <v>X-ASPA</v>
      </c>
      <c r="AA820" s="321" t="str">
        <f t="shared" si="357"/>
        <v>X-ASPE</v>
      </c>
      <c r="AB820" s="321" t="str">
        <f t="shared" si="358"/>
        <v>X-ASPM</v>
      </c>
      <c r="AC820" s="321" t="str">
        <f t="shared" si="359"/>
        <v>X-ASPT</v>
      </c>
      <c r="AD820" s="321" t="str">
        <f t="shared" si="360"/>
        <v>X-ASPS</v>
      </c>
      <c r="AE820" s="321" t="str">
        <f t="shared" si="361"/>
        <v>X-ASPX</v>
      </c>
      <c r="AF820" s="321" t="str">
        <f t="shared" si="362"/>
        <v>X-ASPM</v>
      </c>
      <c r="AG820" s="321">
        <f t="shared" si="353"/>
        <v>6</v>
      </c>
      <c r="AH820" s="321">
        <f>IF(B820&lt;&gt;"",IF(H820="x",VLOOKUP(I820,'AUX-NIV3'!B:AG,32,FALSE),0),"")</f>
        <v>0</v>
      </c>
      <c r="AI820" s="321" t="str">
        <f t="shared" si="363"/>
        <v>X-ASP</v>
      </c>
      <c r="AJ820" s="320"/>
      <c r="AK820" s="322">
        <f t="shared" si="354"/>
        <v>815</v>
      </c>
      <c r="AL820" s="323">
        <f t="shared" si="364"/>
        <v>820</v>
      </c>
      <c r="AM820" s="322">
        <f t="shared" si="365"/>
        <v>6</v>
      </c>
      <c r="AN820" s="380">
        <f>IF(AND(AH820&gt;0,B820&lt;&gt;""),VLOOKUP(I820,'AUX-NIV3'!$B:$AO,39,FALSE)*O820,0)</f>
        <v>0</v>
      </c>
      <c r="AO820" s="380">
        <f t="shared" si="355"/>
        <v>8.0000000000000016E-2</v>
      </c>
      <c r="AP820" s="380"/>
    </row>
    <row r="821" spans="2:42" ht="14.4" hidden="1" thickTop="1" thickBot="1">
      <c r="B821" s="324" t="s">
        <v>2859</v>
      </c>
      <c r="C821" s="325" t="s">
        <v>2860</v>
      </c>
      <c r="D821" s="326" t="s">
        <v>477</v>
      </c>
      <c r="E821" s="327">
        <f>IF(B821&lt;&gt;"",SUMIF('AUX-NIV1'!I:I,'AUX-NIV2'!B821,'AUX-NIV1'!Q:Q),"")</f>
        <v>0</v>
      </c>
      <c r="F821" s="327">
        <f t="shared" si="345"/>
        <v>36.064710248138788</v>
      </c>
      <c r="G821" s="327">
        <f t="shared" si="346"/>
        <v>0</v>
      </c>
      <c r="H821" s="328" t="str">
        <f t="shared" si="368"/>
        <v>A</v>
      </c>
      <c r="I821" s="325" t="s">
        <v>1745</v>
      </c>
      <c r="J821" s="329" t="str">
        <f>IF(B821&lt;&gt;"",+VLOOKUP(I821,Recursos!C:F,2,FALSE),"")</f>
        <v>AYUDANTE</v>
      </c>
      <c r="K821" s="330" t="str">
        <f>IF(B821&lt;&gt;"",+VLOOKUP(I821,Recursos!C:F,3,FALSE),"")</f>
        <v>hh</v>
      </c>
      <c r="L821" s="327">
        <f>IF(B821&lt;&gt;"",+VLOOKUP(I821,Recursos!C:F,4,FALSE),"")</f>
        <v>422.48042769667234</v>
      </c>
      <c r="M821" s="454">
        <f>+M822</f>
        <v>100</v>
      </c>
      <c r="N821" s="453">
        <v>2</v>
      </c>
      <c r="O821" s="449">
        <f>+N821*N822/M821</f>
        <v>2.6000000000000002E-2</v>
      </c>
      <c r="P821" s="333">
        <f t="shared" si="342"/>
        <v>10.984491120113482</v>
      </c>
      <c r="Q821" s="327">
        <f t="shared" si="343"/>
        <v>0</v>
      </c>
      <c r="R821" s="334">
        <f t="shared" si="344"/>
        <v>0</v>
      </c>
      <c r="S821" s="335">
        <f t="shared" si="347"/>
        <v>19.830268263523404</v>
      </c>
      <c r="T821" s="335">
        <f t="shared" si="348"/>
        <v>10.8498266</v>
      </c>
      <c r="U821" s="336">
        <f t="shared" si="349"/>
        <v>5.384615384615385</v>
      </c>
      <c r="V821" s="336">
        <f t="shared" si="350"/>
        <v>0</v>
      </c>
      <c r="W821" s="336">
        <f t="shared" si="351"/>
        <v>0</v>
      </c>
      <c r="X821" s="336">
        <f t="shared" si="352"/>
        <v>0</v>
      </c>
      <c r="Y821" s="320"/>
      <c r="Z821" s="321" t="str">
        <f t="shared" si="356"/>
        <v>X-ASSA</v>
      </c>
      <c r="AA821" s="321" t="str">
        <f t="shared" si="357"/>
        <v>X-ASSE</v>
      </c>
      <c r="AB821" s="321" t="str">
        <f t="shared" si="358"/>
        <v>X-ASSM</v>
      </c>
      <c r="AC821" s="321" t="str">
        <f t="shared" si="359"/>
        <v>X-ASST</v>
      </c>
      <c r="AD821" s="321" t="str">
        <f t="shared" si="360"/>
        <v>X-ASSS</v>
      </c>
      <c r="AE821" s="321" t="str">
        <f t="shared" si="361"/>
        <v>X-ASSX</v>
      </c>
      <c r="AF821" s="321" t="str">
        <f t="shared" si="362"/>
        <v>X-ASSA</v>
      </c>
      <c r="AG821" s="321">
        <f t="shared" si="353"/>
        <v>6</v>
      </c>
      <c r="AH821" s="321">
        <f>IF(B821&lt;&gt;"",IF(H821="x",VLOOKUP(I821,'AUX-NIV3'!B:AG,32,FALSE),0),"")</f>
        <v>0</v>
      </c>
      <c r="AI821" s="321" t="str">
        <f t="shared" si="363"/>
        <v>X-ASS</v>
      </c>
      <c r="AJ821" s="320"/>
      <c r="AK821" s="322">
        <f t="shared" si="354"/>
        <v>821</v>
      </c>
      <c r="AL821" s="323">
        <f t="shared" si="364"/>
        <v>826</v>
      </c>
      <c r="AM821" s="322">
        <f t="shared" si="365"/>
        <v>1</v>
      </c>
      <c r="AN821" s="380">
        <f>IF(AND(AH821&gt;0,B821&lt;&gt;""),VLOOKUP(I821,'AUX-NIV3'!$B:$AO,39,FALSE)*O821,0)</f>
        <v>0</v>
      </c>
      <c r="AO821" s="380">
        <f t="shared" si="355"/>
        <v>4.1600000000000005E-2</v>
      </c>
      <c r="AP821" s="380"/>
    </row>
    <row r="822" spans="2:42" ht="14.4" hidden="1" thickTop="1" thickBot="1">
      <c r="B822" s="324" t="s">
        <v>2859</v>
      </c>
      <c r="C822" s="325" t="s">
        <v>2860</v>
      </c>
      <c r="D822" s="326" t="s">
        <v>477</v>
      </c>
      <c r="E822" s="327">
        <f>IF(B822&lt;&gt;"",SUMIF('AUX-NIV1'!I:I,'AUX-NIV2'!B822,'AUX-NIV1'!Q:Q),"")</f>
        <v>0</v>
      </c>
      <c r="F822" s="327">
        <f t="shared" si="345"/>
        <v>36.064710248138788</v>
      </c>
      <c r="G822" s="327">
        <f t="shared" si="346"/>
        <v>0</v>
      </c>
      <c r="H822" s="328" t="str">
        <f t="shared" si="368"/>
        <v>A</v>
      </c>
      <c r="I822" s="325" t="s">
        <v>3310</v>
      </c>
      <c r="J822" s="329" t="str">
        <f>IF(B822&lt;&gt;"",+VLOOKUP(I822,Recursos!C:F,2,FALSE),"")</f>
        <v>OFICIAL ESPECIALIZADO</v>
      </c>
      <c r="K822" s="330" t="str">
        <f>IF(B822&lt;&gt;"",+VLOOKUP(I822,Recursos!C:F,3,FALSE),"")</f>
        <v>hh</v>
      </c>
      <c r="L822" s="327">
        <f>IF(B822&lt;&gt;"",+VLOOKUP(I822,Recursos!C:F,4,FALSE),"")</f>
        <v>581.06120476836554</v>
      </c>
      <c r="M822" s="454">
        <f>+M823</f>
        <v>100</v>
      </c>
      <c r="N822" s="455">
        <f>+N823</f>
        <v>1.3</v>
      </c>
      <c r="O822" s="449">
        <f>+N822/M822</f>
        <v>1.3000000000000001E-2</v>
      </c>
      <c r="P822" s="333">
        <f t="shared" si="342"/>
        <v>7.5537956619887527</v>
      </c>
      <c r="Q822" s="327">
        <f t="shared" si="343"/>
        <v>0</v>
      </c>
      <c r="R822" s="334">
        <f t="shared" si="344"/>
        <v>0</v>
      </c>
      <c r="S822" s="335">
        <f t="shared" si="347"/>
        <v>19.830268263523404</v>
      </c>
      <c r="T822" s="335">
        <f t="shared" si="348"/>
        <v>10.8498266</v>
      </c>
      <c r="U822" s="336">
        <f t="shared" si="349"/>
        <v>5.384615384615385</v>
      </c>
      <c r="V822" s="336">
        <f t="shared" si="350"/>
        <v>0</v>
      </c>
      <c r="W822" s="336">
        <f t="shared" si="351"/>
        <v>0</v>
      </c>
      <c r="X822" s="336">
        <f t="shared" si="352"/>
        <v>0</v>
      </c>
      <c r="Y822" s="320"/>
      <c r="Z822" s="321" t="str">
        <f t="shared" si="356"/>
        <v>X-ASSA</v>
      </c>
      <c r="AA822" s="321" t="str">
        <f t="shared" si="357"/>
        <v>X-ASSE</v>
      </c>
      <c r="AB822" s="321" t="str">
        <f t="shared" si="358"/>
        <v>X-ASSM</v>
      </c>
      <c r="AC822" s="321" t="str">
        <f t="shared" si="359"/>
        <v>X-ASST</v>
      </c>
      <c r="AD822" s="321" t="str">
        <f t="shared" si="360"/>
        <v>X-ASSS</v>
      </c>
      <c r="AE822" s="321" t="str">
        <f t="shared" si="361"/>
        <v>X-ASSX</v>
      </c>
      <c r="AF822" s="321" t="str">
        <f t="shared" si="362"/>
        <v>X-ASSA</v>
      </c>
      <c r="AG822" s="321">
        <f t="shared" si="353"/>
        <v>6</v>
      </c>
      <c r="AH822" s="321">
        <f>IF(B822&lt;&gt;"",IF(H822="x",VLOOKUP(I822,'AUX-NIV3'!B:AG,32,FALSE),0),"")</f>
        <v>0</v>
      </c>
      <c r="AI822" s="321" t="str">
        <f t="shared" si="363"/>
        <v>X-ASS</v>
      </c>
      <c r="AJ822" s="320"/>
      <c r="AK822" s="322">
        <f t="shared" si="354"/>
        <v>821</v>
      </c>
      <c r="AL822" s="323">
        <f t="shared" si="364"/>
        <v>826</v>
      </c>
      <c r="AM822" s="322">
        <f t="shared" si="365"/>
        <v>2</v>
      </c>
      <c r="AN822" s="380">
        <f>IF(AND(AH822&gt;0,B822&lt;&gt;""),VLOOKUP(I822,'AUX-NIV3'!$B:$AO,39,FALSE)*O822,0)</f>
        <v>0</v>
      </c>
      <c r="AO822" s="380">
        <f t="shared" si="355"/>
        <v>4.1600000000000005E-2</v>
      </c>
      <c r="AP822" s="380"/>
    </row>
    <row r="823" spans="2:42" ht="14.4" hidden="1" thickTop="1" thickBot="1">
      <c r="B823" s="324" t="s">
        <v>2859</v>
      </c>
      <c r="C823" s="325" t="s">
        <v>2860</v>
      </c>
      <c r="D823" s="326" t="s">
        <v>477</v>
      </c>
      <c r="E823" s="327">
        <f>IF(B823&lt;&gt;"",SUMIF('AUX-NIV1'!I:I,'AUX-NIV2'!B823,'AUX-NIV1'!Q:Q),"")</f>
        <v>0</v>
      </c>
      <c r="F823" s="327">
        <f t="shared" si="345"/>
        <v>36.064710248138788</v>
      </c>
      <c r="G823" s="327">
        <f t="shared" si="346"/>
        <v>0</v>
      </c>
      <c r="H823" s="328" t="str">
        <f t="shared" si="368"/>
        <v>A</v>
      </c>
      <c r="I823" s="325" t="s">
        <v>1746</v>
      </c>
      <c r="J823" s="329" t="str">
        <f>IF(B823&lt;&gt;"",+VLOOKUP(I823,Recursos!C:F,2,FALSE),"")</f>
        <v>OFICIAL</v>
      </c>
      <c r="K823" s="330" t="str">
        <f>IF(B823&lt;&gt;"",+VLOOKUP(I823,Recursos!C:F,3,FALSE),"")</f>
        <v>hh</v>
      </c>
      <c r="L823" s="327">
        <f>IF(B823&lt;&gt;"",+VLOOKUP(I823,Recursos!C:F,4,FALSE),"")</f>
        <v>496.91595439275824</v>
      </c>
      <c r="M823" s="454">
        <f>+M824</f>
        <v>100</v>
      </c>
      <c r="N823" s="453">
        <v>1.3</v>
      </c>
      <c r="O823" s="449">
        <f>+N823/M823*N824</f>
        <v>2.6000000000000003E-3</v>
      </c>
      <c r="P823" s="333">
        <f t="shared" si="342"/>
        <v>1.2919814814211716</v>
      </c>
      <c r="Q823" s="327">
        <f t="shared" si="343"/>
        <v>0</v>
      </c>
      <c r="R823" s="334">
        <f t="shared" si="344"/>
        <v>0</v>
      </c>
      <c r="S823" s="335">
        <f t="shared" si="347"/>
        <v>19.830268263523404</v>
      </c>
      <c r="T823" s="335">
        <f t="shared" si="348"/>
        <v>10.8498266</v>
      </c>
      <c r="U823" s="336">
        <f t="shared" si="349"/>
        <v>5.384615384615385</v>
      </c>
      <c r="V823" s="336">
        <f t="shared" si="350"/>
        <v>0</v>
      </c>
      <c r="W823" s="336">
        <f t="shared" si="351"/>
        <v>0</v>
      </c>
      <c r="X823" s="336">
        <f t="shared" si="352"/>
        <v>0</v>
      </c>
      <c r="Y823" s="320"/>
      <c r="Z823" s="321" t="str">
        <f t="shared" si="356"/>
        <v>X-ASSA</v>
      </c>
      <c r="AA823" s="321" t="str">
        <f t="shared" si="357"/>
        <v>X-ASSE</v>
      </c>
      <c r="AB823" s="321" t="str">
        <f t="shared" si="358"/>
        <v>X-ASSM</v>
      </c>
      <c r="AC823" s="321" t="str">
        <f t="shared" si="359"/>
        <v>X-ASST</v>
      </c>
      <c r="AD823" s="321" t="str">
        <f t="shared" si="360"/>
        <v>X-ASSS</v>
      </c>
      <c r="AE823" s="321" t="str">
        <f t="shared" si="361"/>
        <v>X-ASSX</v>
      </c>
      <c r="AF823" s="321" t="str">
        <f t="shared" si="362"/>
        <v>X-ASSA</v>
      </c>
      <c r="AG823" s="321">
        <f t="shared" si="353"/>
        <v>6</v>
      </c>
      <c r="AH823" s="321">
        <f>IF(B823&lt;&gt;"",IF(H823="x",VLOOKUP(I823,'AUX-NIV3'!B:AG,32,FALSE),0),"")</f>
        <v>0</v>
      </c>
      <c r="AI823" s="321" t="str">
        <f t="shared" si="363"/>
        <v>X-ASS</v>
      </c>
      <c r="AJ823" s="320"/>
      <c r="AK823" s="322">
        <f t="shared" si="354"/>
        <v>821</v>
      </c>
      <c r="AL823" s="323">
        <f t="shared" si="364"/>
        <v>826</v>
      </c>
      <c r="AM823" s="322">
        <f t="shared" si="365"/>
        <v>3</v>
      </c>
      <c r="AN823" s="380">
        <f>IF(AND(AH823&gt;0,B823&lt;&gt;""),VLOOKUP(I823,'AUX-NIV3'!$B:$AO,39,FALSE)*O823,0)</f>
        <v>0</v>
      </c>
      <c r="AO823" s="380">
        <f t="shared" si="355"/>
        <v>4.1600000000000005E-2</v>
      </c>
      <c r="AP823" s="380"/>
    </row>
    <row r="824" spans="2:42" ht="14.4" hidden="1" thickTop="1" thickBot="1">
      <c r="B824" s="324" t="s">
        <v>2859</v>
      </c>
      <c r="C824" s="325" t="s">
        <v>2860</v>
      </c>
      <c r="D824" s="326" t="s">
        <v>477</v>
      </c>
      <c r="E824" s="327">
        <f>IF(B824&lt;&gt;"",SUMIF('AUX-NIV1'!I:I,'AUX-NIV2'!B824,'AUX-NIV1'!Q:Q),"")</f>
        <v>0</v>
      </c>
      <c r="F824" s="327">
        <f t="shared" si="345"/>
        <v>36.064710248138788</v>
      </c>
      <c r="G824" s="327">
        <f t="shared" si="346"/>
        <v>0</v>
      </c>
      <c r="H824" s="328" t="str">
        <f t="shared" si="368"/>
        <v>E</v>
      </c>
      <c r="I824" s="325" t="s">
        <v>1676</v>
      </c>
      <c r="J824" s="329" t="str">
        <f>IF(B824&lt;&gt;"",+VLOOKUP(I824,Recursos!C:F,2,FALSE),"")</f>
        <v>CAMION REGADOR CAP. 8 m3</v>
      </c>
      <c r="K824" s="330" t="str">
        <f>IF(B824&lt;&gt;"",+VLOOKUP(I824,Recursos!C:F,3,FALSE),"")</f>
        <v>HR</v>
      </c>
      <c r="L824" s="327">
        <f>IF(B824&lt;&gt;"",+VLOOKUP(I824,Recursos!C:F,4,FALSE),"")</f>
        <v>2281.2949000000003</v>
      </c>
      <c r="M824" s="454">
        <f>+M825</f>
        <v>100</v>
      </c>
      <c r="N824" s="453">
        <v>0.2</v>
      </c>
      <c r="O824" s="449">
        <f>+N824/M824</f>
        <v>2E-3</v>
      </c>
      <c r="P824" s="333">
        <f t="shared" si="342"/>
        <v>4.5625898000000005</v>
      </c>
      <c r="Q824" s="327">
        <f t="shared" si="343"/>
        <v>0</v>
      </c>
      <c r="R824" s="334">
        <f t="shared" si="344"/>
        <v>0</v>
      </c>
      <c r="S824" s="335">
        <f t="shared" si="347"/>
        <v>19.830268263523404</v>
      </c>
      <c r="T824" s="335">
        <f t="shared" si="348"/>
        <v>10.8498266</v>
      </c>
      <c r="U824" s="336">
        <f t="shared" si="349"/>
        <v>5.384615384615385</v>
      </c>
      <c r="V824" s="336">
        <f t="shared" si="350"/>
        <v>0</v>
      </c>
      <c r="W824" s="336">
        <f t="shared" si="351"/>
        <v>0</v>
      </c>
      <c r="X824" s="336">
        <f t="shared" si="352"/>
        <v>0</v>
      </c>
      <c r="Y824" s="320"/>
      <c r="Z824" s="321" t="str">
        <f t="shared" si="356"/>
        <v>X-ASSA</v>
      </c>
      <c r="AA824" s="321" t="str">
        <f t="shared" si="357"/>
        <v>X-ASSE</v>
      </c>
      <c r="AB824" s="321" t="str">
        <f t="shared" si="358"/>
        <v>X-ASSM</v>
      </c>
      <c r="AC824" s="321" t="str">
        <f t="shared" si="359"/>
        <v>X-ASST</v>
      </c>
      <c r="AD824" s="321" t="str">
        <f t="shared" si="360"/>
        <v>X-ASSS</v>
      </c>
      <c r="AE824" s="321" t="str">
        <f t="shared" si="361"/>
        <v>X-ASSX</v>
      </c>
      <c r="AF824" s="321" t="str">
        <f t="shared" si="362"/>
        <v>X-ASSE</v>
      </c>
      <c r="AG824" s="321">
        <f t="shared" si="353"/>
        <v>6</v>
      </c>
      <c r="AH824" s="321">
        <f>IF(B824&lt;&gt;"",IF(H824="x",VLOOKUP(I824,'AUX-NIV3'!B:AG,32,FALSE),0),"")</f>
        <v>0</v>
      </c>
      <c r="AI824" s="321" t="str">
        <f t="shared" si="363"/>
        <v>X-ASS</v>
      </c>
      <c r="AJ824" s="320"/>
      <c r="AK824" s="322">
        <f t="shared" si="354"/>
        <v>821</v>
      </c>
      <c r="AL824" s="323">
        <f t="shared" si="364"/>
        <v>826</v>
      </c>
      <c r="AM824" s="322">
        <f t="shared" si="365"/>
        <v>4</v>
      </c>
      <c r="AN824" s="380">
        <f>IF(AND(AH824&gt;0,B824&lt;&gt;""),VLOOKUP(I824,'AUX-NIV3'!$B:$AO,39,FALSE)*O824,0)</f>
        <v>0</v>
      </c>
      <c r="AO824" s="380">
        <f t="shared" si="355"/>
        <v>4.1600000000000005E-2</v>
      </c>
      <c r="AP824" s="380"/>
    </row>
    <row r="825" spans="2:42" ht="14.4" hidden="1" thickTop="1" thickBot="1">
      <c r="B825" s="324" t="s">
        <v>2859</v>
      </c>
      <c r="C825" s="325" t="s">
        <v>2860</v>
      </c>
      <c r="D825" s="326" t="s">
        <v>477</v>
      </c>
      <c r="E825" s="327">
        <f>IF(B825&lt;&gt;"",SUMIF('AUX-NIV1'!I:I,'AUX-NIV2'!B825,'AUX-NIV1'!Q:Q),"")</f>
        <v>0</v>
      </c>
      <c r="F825" s="327">
        <f t="shared" si="345"/>
        <v>36.064710248138788</v>
      </c>
      <c r="G825" s="327">
        <f t="shared" si="346"/>
        <v>0</v>
      </c>
      <c r="H825" s="328" t="str">
        <f t="shared" si="368"/>
        <v>E</v>
      </c>
      <c r="I825" s="325" t="s">
        <v>1720</v>
      </c>
      <c r="J825" s="329" t="str">
        <f>IF(B825&lt;&gt;"",+VLOOKUP(I825,Recursos!C:F,2,FALSE),"")</f>
        <v>ASERRADORA DE JUNTAS</v>
      </c>
      <c r="K825" s="330" t="str">
        <f>IF(B825&lt;&gt;"",+VLOOKUP(I825,Recursos!C:F,3,FALSE),"")</f>
        <v>HR</v>
      </c>
      <c r="L825" s="327">
        <f>IF(B825&lt;&gt;"",+VLOOKUP(I825,Recursos!C:F,4,FALSE),"")</f>
        <v>628.72367999999994</v>
      </c>
      <c r="M825" s="452">
        <v>100</v>
      </c>
      <c r="N825" s="453">
        <v>1</v>
      </c>
      <c r="O825" s="449">
        <f>+N825/M825</f>
        <v>0.01</v>
      </c>
      <c r="P825" s="333">
        <f t="shared" si="342"/>
        <v>6.2872367999999996</v>
      </c>
      <c r="Q825" s="327">
        <f t="shared" si="343"/>
        <v>0</v>
      </c>
      <c r="R825" s="334">
        <f t="shared" si="344"/>
        <v>0</v>
      </c>
      <c r="S825" s="335">
        <f t="shared" si="347"/>
        <v>19.830268263523404</v>
      </c>
      <c r="T825" s="335">
        <f t="shared" si="348"/>
        <v>10.8498266</v>
      </c>
      <c r="U825" s="336">
        <f t="shared" si="349"/>
        <v>5.384615384615385</v>
      </c>
      <c r="V825" s="336">
        <f t="shared" si="350"/>
        <v>0</v>
      </c>
      <c r="W825" s="336">
        <f t="shared" si="351"/>
        <v>0</v>
      </c>
      <c r="X825" s="336">
        <f t="shared" si="352"/>
        <v>0</v>
      </c>
      <c r="Y825" s="320"/>
      <c r="Z825" s="321" t="str">
        <f t="shared" si="356"/>
        <v>X-ASSA</v>
      </c>
      <c r="AA825" s="321" t="str">
        <f t="shared" si="357"/>
        <v>X-ASSE</v>
      </c>
      <c r="AB825" s="321" t="str">
        <f t="shared" si="358"/>
        <v>X-ASSM</v>
      </c>
      <c r="AC825" s="321" t="str">
        <f t="shared" si="359"/>
        <v>X-ASST</v>
      </c>
      <c r="AD825" s="321" t="str">
        <f t="shared" si="360"/>
        <v>X-ASSS</v>
      </c>
      <c r="AE825" s="321" t="str">
        <f t="shared" si="361"/>
        <v>X-ASSX</v>
      </c>
      <c r="AF825" s="321" t="str">
        <f t="shared" si="362"/>
        <v>X-ASSE</v>
      </c>
      <c r="AG825" s="321">
        <f t="shared" si="353"/>
        <v>6</v>
      </c>
      <c r="AH825" s="321">
        <f>IF(B825&lt;&gt;"",IF(H825="x",VLOOKUP(I825,'AUX-NIV3'!B:AG,32,FALSE),0),"")</f>
        <v>0</v>
      </c>
      <c r="AI825" s="321" t="str">
        <f t="shared" si="363"/>
        <v>X-ASS</v>
      </c>
      <c r="AJ825" s="320"/>
      <c r="AK825" s="322">
        <f t="shared" si="354"/>
        <v>821</v>
      </c>
      <c r="AL825" s="323">
        <f t="shared" si="364"/>
        <v>826</v>
      </c>
      <c r="AM825" s="322">
        <f t="shared" si="365"/>
        <v>5</v>
      </c>
      <c r="AN825" s="380">
        <f>IF(AND(AH825&gt;0,B825&lt;&gt;""),VLOOKUP(I825,'AUX-NIV3'!$B:$AO,39,FALSE)*O825,0)</f>
        <v>0</v>
      </c>
      <c r="AO825" s="380">
        <f t="shared" si="355"/>
        <v>4.1600000000000005E-2</v>
      </c>
      <c r="AP825" s="380"/>
    </row>
    <row r="826" spans="2:42" ht="14.4" hidden="1" thickTop="1" thickBot="1">
      <c r="B826" s="324" t="s">
        <v>2859</v>
      </c>
      <c r="C826" s="325" t="s">
        <v>2860</v>
      </c>
      <c r="D826" s="326" t="s">
        <v>477</v>
      </c>
      <c r="E826" s="327">
        <f>IF(B826&lt;&gt;"",SUMIF('AUX-NIV1'!I:I,'AUX-NIV2'!B826,'AUX-NIV1'!Q:Q),"")</f>
        <v>0</v>
      </c>
      <c r="F826" s="327">
        <f t="shared" si="345"/>
        <v>36.064710248138788</v>
      </c>
      <c r="G826" s="327">
        <f t="shared" si="346"/>
        <v>0</v>
      </c>
      <c r="H826" s="328" t="str">
        <f t="shared" si="368"/>
        <v>M</v>
      </c>
      <c r="I826" s="325" t="s">
        <v>2058</v>
      </c>
      <c r="J826" s="329" t="str">
        <f>IF(B826&lt;&gt;"",+VLOOKUP(I826,Recursos!C:F,2,FALSE),"")</f>
        <v>DISCO DE ASERRADO D=350mm HºFRESCO</v>
      </c>
      <c r="K826" s="330" t="str">
        <f>IF(B826&lt;&gt;"",+VLOOKUP(I826,Recursos!C:F,3,FALSE),"")</f>
        <v>Un</v>
      </c>
      <c r="L826" s="327">
        <f>IF(B826&lt;&gt;"",+VLOOKUP(I826,Recursos!C:F,4,FALSE),"")</f>
        <v>6461.5384615384619</v>
      </c>
      <c r="M826" s="450">
        <v>1200</v>
      </c>
      <c r="N826" s="451">
        <v>1</v>
      </c>
      <c r="O826" s="449">
        <f>+N826/M826</f>
        <v>8.3333333333333339E-4</v>
      </c>
      <c r="P826" s="333">
        <f t="shared" si="342"/>
        <v>5.384615384615385</v>
      </c>
      <c r="Q826" s="327">
        <f t="shared" si="343"/>
        <v>0</v>
      </c>
      <c r="R826" s="334">
        <f t="shared" si="344"/>
        <v>0</v>
      </c>
      <c r="S826" s="335">
        <f t="shared" si="347"/>
        <v>19.830268263523404</v>
      </c>
      <c r="T826" s="335">
        <f t="shared" si="348"/>
        <v>10.8498266</v>
      </c>
      <c r="U826" s="336">
        <f t="shared" si="349"/>
        <v>5.384615384615385</v>
      </c>
      <c r="V826" s="336">
        <f t="shared" si="350"/>
        <v>0</v>
      </c>
      <c r="W826" s="336">
        <f t="shared" si="351"/>
        <v>0</v>
      </c>
      <c r="X826" s="336">
        <f t="shared" si="352"/>
        <v>0</v>
      </c>
      <c r="Y826" s="320"/>
      <c r="Z826" s="321" t="str">
        <f t="shared" si="356"/>
        <v>X-ASSA</v>
      </c>
      <c r="AA826" s="321" t="str">
        <f t="shared" si="357"/>
        <v>X-ASSE</v>
      </c>
      <c r="AB826" s="321" t="str">
        <f t="shared" si="358"/>
        <v>X-ASSM</v>
      </c>
      <c r="AC826" s="321" t="str">
        <f t="shared" si="359"/>
        <v>X-ASST</v>
      </c>
      <c r="AD826" s="321" t="str">
        <f t="shared" si="360"/>
        <v>X-ASSS</v>
      </c>
      <c r="AE826" s="321" t="str">
        <f t="shared" si="361"/>
        <v>X-ASSX</v>
      </c>
      <c r="AF826" s="321" t="str">
        <f t="shared" si="362"/>
        <v>X-ASSM</v>
      </c>
      <c r="AG826" s="321">
        <f t="shared" si="353"/>
        <v>6</v>
      </c>
      <c r="AH826" s="321">
        <f>IF(B826&lt;&gt;"",IF(H826="x",VLOOKUP(I826,'AUX-NIV3'!B:AG,32,FALSE),0),"")</f>
        <v>0</v>
      </c>
      <c r="AI826" s="321" t="str">
        <f t="shared" si="363"/>
        <v>X-ASS</v>
      </c>
      <c r="AJ826" s="320"/>
      <c r="AK826" s="322">
        <f t="shared" si="354"/>
        <v>821</v>
      </c>
      <c r="AL826" s="323">
        <f t="shared" si="364"/>
        <v>826</v>
      </c>
      <c r="AM826" s="322">
        <f t="shared" si="365"/>
        <v>6</v>
      </c>
      <c r="AN826" s="380">
        <f>IF(AND(AH826&gt;0,B826&lt;&gt;""),VLOOKUP(I826,'AUX-NIV3'!$B:$AO,39,FALSE)*O826,0)</f>
        <v>0</v>
      </c>
      <c r="AO826" s="380">
        <f t="shared" si="355"/>
        <v>4.1600000000000005E-2</v>
      </c>
      <c r="AP826" s="380"/>
    </row>
    <row r="827" spans="2:42" ht="14.4" hidden="1" thickTop="1" thickBot="1">
      <c r="B827" s="501" t="s">
        <v>2861</v>
      </c>
      <c r="C827" s="950" t="s">
        <v>2862</v>
      </c>
      <c r="D827" s="326" t="s">
        <v>477</v>
      </c>
      <c r="E827" s="327">
        <f>IF(B827&lt;&gt;"",SUMIF('AUX-NIV1'!I:I,'AUX-NIV2'!B827,'AUX-NIV1'!Q:Q),"")</f>
        <v>0</v>
      </c>
      <c r="F827" s="327">
        <f t="shared" si="345"/>
        <v>445.6470149795303</v>
      </c>
      <c r="G827" s="327">
        <f t="shared" si="346"/>
        <v>0</v>
      </c>
      <c r="H827" s="328" t="str">
        <f t="shared" si="368"/>
        <v>A</v>
      </c>
      <c r="I827" s="325" t="s">
        <v>1745</v>
      </c>
      <c r="J827" s="329" t="str">
        <f>IF(B827&lt;&gt;"",+VLOOKUP(I827,Recursos!C:F,2,FALSE),"")</f>
        <v>AYUDANTE</v>
      </c>
      <c r="K827" s="330" t="str">
        <f>IF(B827&lt;&gt;"",+VLOOKUP(I827,Recursos!C:F,3,FALSE),"")</f>
        <v>hh</v>
      </c>
      <c r="L827" s="446">
        <f>IF(B827&lt;&gt;"",+VLOOKUP(I827,Recursos!C:F,4,FALSE),"")</f>
        <v>422.48042769667234</v>
      </c>
      <c r="M827" s="517">
        <v>20</v>
      </c>
      <c r="N827" s="453">
        <v>3</v>
      </c>
      <c r="O827" s="449">
        <f>+N827/M827</f>
        <v>0.15</v>
      </c>
      <c r="P827" s="333">
        <f t="shared" si="342"/>
        <v>63.372064154500848</v>
      </c>
      <c r="Q827" s="327">
        <f t="shared" si="343"/>
        <v>0</v>
      </c>
      <c r="R827" s="334">
        <f t="shared" si="344"/>
        <v>0</v>
      </c>
      <c r="S827" s="335">
        <f t="shared" si="347"/>
        <v>137.90945731341458</v>
      </c>
      <c r="T827" s="335">
        <f t="shared" si="348"/>
        <v>37.712805600000003</v>
      </c>
      <c r="U827" s="336">
        <f t="shared" si="349"/>
        <v>270.0247520661157</v>
      </c>
      <c r="V827" s="336">
        <f t="shared" si="350"/>
        <v>0</v>
      </c>
      <c r="W827" s="336">
        <f t="shared" si="351"/>
        <v>0</v>
      </c>
      <c r="X827" s="336">
        <f t="shared" si="352"/>
        <v>0</v>
      </c>
      <c r="Y827" s="320"/>
      <c r="Z827" s="321" t="str">
        <f t="shared" si="356"/>
        <v>X-SELA</v>
      </c>
      <c r="AA827" s="321" t="str">
        <f t="shared" si="357"/>
        <v>X-SELE</v>
      </c>
      <c r="AB827" s="321" t="str">
        <f t="shared" si="358"/>
        <v>X-SELM</v>
      </c>
      <c r="AC827" s="321" t="str">
        <f t="shared" si="359"/>
        <v>X-SELT</v>
      </c>
      <c r="AD827" s="321" t="str">
        <f t="shared" si="360"/>
        <v>X-SELS</v>
      </c>
      <c r="AE827" s="321" t="str">
        <f t="shared" si="361"/>
        <v>X-SELX</v>
      </c>
      <c r="AF827" s="321" t="str">
        <f t="shared" si="362"/>
        <v>X-SELA</v>
      </c>
      <c r="AG827" s="321">
        <f t="shared" si="353"/>
        <v>6</v>
      </c>
      <c r="AH827" s="321">
        <f>IF(B827&lt;&gt;"",IF(H827="x",VLOOKUP(I827,'AUX-NIV3'!B:AG,32,FALSE),0),"")</f>
        <v>0</v>
      </c>
      <c r="AI827" s="321" t="str">
        <f t="shared" si="363"/>
        <v>X-SEL</v>
      </c>
      <c r="AJ827" s="320"/>
      <c r="AK827" s="322">
        <f t="shared" si="354"/>
        <v>827</v>
      </c>
      <c r="AL827" s="323">
        <f t="shared" si="364"/>
        <v>832</v>
      </c>
      <c r="AM827" s="322">
        <f t="shared" si="365"/>
        <v>1</v>
      </c>
      <c r="AN827" s="380">
        <f>IF(AND(AH827&gt;0,B827&lt;&gt;""),VLOOKUP(I827,'AUX-NIV3'!$B:$AO,39,FALSE)*O827,0)</f>
        <v>0</v>
      </c>
      <c r="AO827" s="380">
        <f t="shared" si="355"/>
        <v>0.3</v>
      </c>
      <c r="AP827" s="380"/>
    </row>
    <row r="828" spans="2:42" ht="14.4" hidden="1" thickTop="1" thickBot="1">
      <c r="B828" s="501" t="s">
        <v>2861</v>
      </c>
      <c r="C828" s="950" t="s">
        <v>2862</v>
      </c>
      <c r="D828" s="326" t="s">
        <v>477</v>
      </c>
      <c r="E828" s="327">
        <f>IF(B828&lt;&gt;"",SUMIF('AUX-NIV1'!I:I,'AUX-NIV2'!B828,'AUX-NIV1'!Q:Q),"")</f>
        <v>0</v>
      </c>
      <c r="F828" s="327">
        <f t="shared" si="345"/>
        <v>445.6470149795303</v>
      </c>
      <c r="G828" s="327">
        <f t="shared" si="346"/>
        <v>0</v>
      </c>
      <c r="H828" s="328" t="str">
        <f t="shared" si="368"/>
        <v>A</v>
      </c>
      <c r="I828" s="325" t="s">
        <v>1746</v>
      </c>
      <c r="J828" s="329" t="str">
        <f>IF(B828&lt;&gt;"",+VLOOKUP(I828,Recursos!C:F,2,FALSE),"")</f>
        <v>OFICIAL</v>
      </c>
      <c r="K828" s="330" t="str">
        <f>IF(B828&lt;&gt;"",+VLOOKUP(I828,Recursos!C:F,3,FALSE),"")</f>
        <v>hh</v>
      </c>
      <c r="L828" s="446">
        <f>IF(B828&lt;&gt;"",+VLOOKUP(I828,Recursos!C:F,4,FALSE),"")</f>
        <v>496.91595439275824</v>
      </c>
      <c r="M828" s="454"/>
      <c r="N828" s="453">
        <v>3</v>
      </c>
      <c r="O828" s="449">
        <f>+N828/M827</f>
        <v>0.15</v>
      </c>
      <c r="P828" s="333">
        <f t="shared" si="342"/>
        <v>74.53739315891373</v>
      </c>
      <c r="Q828" s="327">
        <f t="shared" si="343"/>
        <v>0</v>
      </c>
      <c r="R828" s="334">
        <f t="shared" si="344"/>
        <v>0</v>
      </c>
      <c r="S828" s="335">
        <f t="shared" si="347"/>
        <v>137.90945731341458</v>
      </c>
      <c r="T828" s="335">
        <f t="shared" si="348"/>
        <v>37.712805600000003</v>
      </c>
      <c r="U828" s="336">
        <f t="shared" si="349"/>
        <v>270.0247520661157</v>
      </c>
      <c r="V828" s="336">
        <f t="shared" si="350"/>
        <v>0</v>
      </c>
      <c r="W828" s="336">
        <f t="shared" si="351"/>
        <v>0</v>
      </c>
      <c r="X828" s="336">
        <f t="shared" si="352"/>
        <v>0</v>
      </c>
      <c r="Y828" s="320"/>
      <c r="Z828" s="321" t="str">
        <f t="shared" si="356"/>
        <v>X-SELA</v>
      </c>
      <c r="AA828" s="321" t="str">
        <f t="shared" si="357"/>
        <v>X-SELE</v>
      </c>
      <c r="AB828" s="321" t="str">
        <f t="shared" si="358"/>
        <v>X-SELM</v>
      </c>
      <c r="AC828" s="321" t="str">
        <f t="shared" si="359"/>
        <v>X-SELT</v>
      </c>
      <c r="AD828" s="321" t="str">
        <f t="shared" si="360"/>
        <v>X-SELS</v>
      </c>
      <c r="AE828" s="321" t="str">
        <f t="shared" si="361"/>
        <v>X-SELX</v>
      </c>
      <c r="AF828" s="321" t="str">
        <f t="shared" si="362"/>
        <v>X-SELA</v>
      </c>
      <c r="AG828" s="321">
        <f t="shared" si="353"/>
        <v>6</v>
      </c>
      <c r="AH828" s="321">
        <f>IF(B828&lt;&gt;"",IF(H828="x",VLOOKUP(I828,'AUX-NIV3'!B:AG,32,FALSE),0),"")</f>
        <v>0</v>
      </c>
      <c r="AI828" s="321" t="str">
        <f t="shared" si="363"/>
        <v>X-SEL</v>
      </c>
      <c r="AJ828" s="320"/>
      <c r="AK828" s="322">
        <f t="shared" si="354"/>
        <v>827</v>
      </c>
      <c r="AL828" s="323">
        <f t="shared" si="364"/>
        <v>832</v>
      </c>
      <c r="AM828" s="322">
        <f t="shared" si="365"/>
        <v>2</v>
      </c>
      <c r="AN828" s="380">
        <f>IF(AND(AH828&gt;0,B828&lt;&gt;""),VLOOKUP(I828,'AUX-NIV3'!$B:$AO,39,FALSE)*O828,0)</f>
        <v>0</v>
      </c>
      <c r="AO828" s="380">
        <f t="shared" si="355"/>
        <v>0.3</v>
      </c>
      <c r="AP828" s="380"/>
    </row>
    <row r="829" spans="2:42" ht="14.4" hidden="1" thickTop="1" thickBot="1">
      <c r="B829" s="501" t="s">
        <v>2861</v>
      </c>
      <c r="C829" s="950" t="s">
        <v>2862</v>
      </c>
      <c r="D829" s="326" t="s">
        <v>477</v>
      </c>
      <c r="E829" s="327">
        <f>IF(B829&lt;&gt;"",SUMIF('AUX-NIV1'!I:I,'AUX-NIV2'!B829,'AUX-NIV1'!Q:Q),"")</f>
        <v>0</v>
      </c>
      <c r="F829" s="327">
        <f t="shared" si="345"/>
        <v>445.6470149795303</v>
      </c>
      <c r="G829" s="327">
        <f t="shared" si="346"/>
        <v>0</v>
      </c>
      <c r="H829" s="328" t="str">
        <f t="shared" si="368"/>
        <v>E</v>
      </c>
      <c r="I829" s="325" t="s">
        <v>1692</v>
      </c>
      <c r="J829" s="329" t="str">
        <f>IF(B829&lt;&gt;"",+VLOOKUP(I829,Recursos!C:F,2,FALSE),"")</f>
        <v>MOTOCOMPRESOR 7 m3/min-250 cfm</v>
      </c>
      <c r="K829" s="330" t="str">
        <f>IF(B829&lt;&gt;"",+VLOOKUP(I829,Recursos!C:F,3,FALSE),"")</f>
        <v>HR</v>
      </c>
      <c r="L829" s="446">
        <f>IF(B829&lt;&gt;"",+VLOOKUP(I829,Recursos!C:F,4,FALSE),"")</f>
        <v>942.82014000000004</v>
      </c>
      <c r="M829" s="454"/>
      <c r="N829" s="453">
        <v>0.8</v>
      </c>
      <c r="O829" s="449">
        <f>+N829/M827</f>
        <v>0.04</v>
      </c>
      <c r="P829" s="333">
        <f t="shared" si="342"/>
        <v>37.712805600000003</v>
      </c>
      <c r="Q829" s="327">
        <f t="shared" si="343"/>
        <v>0</v>
      </c>
      <c r="R829" s="334">
        <f t="shared" si="344"/>
        <v>0</v>
      </c>
      <c r="S829" s="335">
        <f t="shared" si="347"/>
        <v>137.90945731341458</v>
      </c>
      <c r="T829" s="335">
        <f t="shared" si="348"/>
        <v>37.712805600000003</v>
      </c>
      <c r="U829" s="336">
        <f t="shared" si="349"/>
        <v>270.0247520661157</v>
      </c>
      <c r="V829" s="336">
        <f t="shared" si="350"/>
        <v>0</v>
      </c>
      <c r="W829" s="336">
        <f t="shared" si="351"/>
        <v>0</v>
      </c>
      <c r="X829" s="336">
        <f t="shared" si="352"/>
        <v>0</v>
      </c>
      <c r="Y829" s="320"/>
      <c r="Z829" s="321" t="str">
        <f t="shared" si="356"/>
        <v>X-SELA</v>
      </c>
      <c r="AA829" s="321" t="str">
        <f t="shared" si="357"/>
        <v>X-SELE</v>
      </c>
      <c r="AB829" s="321" t="str">
        <f t="shared" si="358"/>
        <v>X-SELM</v>
      </c>
      <c r="AC829" s="321" t="str">
        <f t="shared" si="359"/>
        <v>X-SELT</v>
      </c>
      <c r="AD829" s="321" t="str">
        <f t="shared" si="360"/>
        <v>X-SELS</v>
      </c>
      <c r="AE829" s="321" t="str">
        <f t="shared" si="361"/>
        <v>X-SELX</v>
      </c>
      <c r="AF829" s="321" t="str">
        <f t="shared" si="362"/>
        <v>X-SELE</v>
      </c>
      <c r="AG829" s="321">
        <f t="shared" si="353"/>
        <v>6</v>
      </c>
      <c r="AH829" s="321">
        <f>IF(B829&lt;&gt;"",IF(H829="x",VLOOKUP(I829,'AUX-NIV3'!B:AG,32,FALSE),0),"")</f>
        <v>0</v>
      </c>
      <c r="AI829" s="321" t="str">
        <f t="shared" si="363"/>
        <v>X-SEL</v>
      </c>
      <c r="AJ829" s="320"/>
      <c r="AK829" s="322">
        <f t="shared" si="354"/>
        <v>827</v>
      </c>
      <c r="AL829" s="323">
        <f t="shared" si="364"/>
        <v>832</v>
      </c>
      <c r="AM829" s="322">
        <f t="shared" si="365"/>
        <v>3</v>
      </c>
      <c r="AN829" s="380">
        <f>IF(AND(AH829&gt;0,B829&lt;&gt;""),VLOOKUP(I829,'AUX-NIV3'!$B:$AO,39,FALSE)*O829,0)</f>
        <v>0</v>
      </c>
      <c r="AO829" s="380">
        <f t="shared" si="355"/>
        <v>0.3</v>
      </c>
      <c r="AP829" s="380"/>
    </row>
    <row r="830" spans="2:42" ht="14.4" hidden="1" thickTop="1" thickBot="1">
      <c r="B830" s="501" t="s">
        <v>2861</v>
      </c>
      <c r="C830" s="950" t="s">
        <v>2862</v>
      </c>
      <c r="D830" s="326" t="s">
        <v>477</v>
      </c>
      <c r="E830" s="327">
        <f>IF(B830&lt;&gt;"",SUMIF('AUX-NIV1'!I:I,'AUX-NIV2'!B830,'AUX-NIV1'!Q:Q),"")</f>
        <v>0</v>
      </c>
      <c r="F830" s="327">
        <f t="shared" si="345"/>
        <v>445.6470149795303</v>
      </c>
      <c r="G830" s="327">
        <f t="shared" si="346"/>
        <v>0</v>
      </c>
      <c r="H830" s="328" t="str">
        <f t="shared" si="368"/>
        <v>M</v>
      </c>
      <c r="I830" s="325" t="s">
        <v>2013</v>
      </c>
      <c r="J830" s="329" t="str">
        <f>IF(B830&lt;&gt;"",+VLOOKUP(I830,Recursos!C:F,2,FALSE),"")</f>
        <v>SELLADOR SILICONADO SIKAFLEX 11 FC PLUS</v>
      </c>
      <c r="K830" s="330" t="str">
        <f>IF(B830&lt;&gt;"",+VLOOKUP(I830,Recursos!C:F,3,FALSE),"")</f>
        <v>Lt</v>
      </c>
      <c r="L830" s="446">
        <f>IF(B830&lt;&gt;"",+VLOOKUP(I830,Recursos!C:F,4,FALSE),"")</f>
        <v>3195.5922865013772</v>
      </c>
      <c r="M830" s="454"/>
      <c r="N830" s="453">
        <v>0.08</v>
      </c>
      <c r="O830" s="449">
        <f>+N830*N831</f>
        <v>8.4000000000000005E-2</v>
      </c>
      <c r="P830" s="333">
        <f t="shared" si="342"/>
        <v>268.42975206611573</v>
      </c>
      <c r="Q830" s="327">
        <f t="shared" si="343"/>
        <v>0</v>
      </c>
      <c r="R830" s="334">
        <f t="shared" si="344"/>
        <v>0</v>
      </c>
      <c r="S830" s="335">
        <f t="shared" si="347"/>
        <v>137.90945731341458</v>
      </c>
      <c r="T830" s="335">
        <f t="shared" si="348"/>
        <v>37.712805600000003</v>
      </c>
      <c r="U830" s="336">
        <f t="shared" si="349"/>
        <v>270.0247520661157</v>
      </c>
      <c r="V830" s="336">
        <f t="shared" si="350"/>
        <v>0</v>
      </c>
      <c r="W830" s="336">
        <f t="shared" si="351"/>
        <v>0</v>
      </c>
      <c r="X830" s="336">
        <f t="shared" si="352"/>
        <v>0</v>
      </c>
      <c r="Y830" s="320"/>
      <c r="Z830" s="321" t="str">
        <f t="shared" si="356"/>
        <v>X-SELA</v>
      </c>
      <c r="AA830" s="321" t="str">
        <f t="shared" si="357"/>
        <v>X-SELE</v>
      </c>
      <c r="AB830" s="321" t="str">
        <f t="shared" si="358"/>
        <v>X-SELM</v>
      </c>
      <c r="AC830" s="321" t="str">
        <f t="shared" si="359"/>
        <v>X-SELT</v>
      </c>
      <c r="AD830" s="321" t="str">
        <f t="shared" si="360"/>
        <v>X-SELS</v>
      </c>
      <c r="AE830" s="321" t="str">
        <f t="shared" si="361"/>
        <v>X-SELX</v>
      </c>
      <c r="AF830" s="321" t="str">
        <f t="shared" si="362"/>
        <v>X-SELM</v>
      </c>
      <c r="AG830" s="321">
        <f t="shared" si="353"/>
        <v>6</v>
      </c>
      <c r="AH830" s="321">
        <f>IF(B830&lt;&gt;"",IF(H830="x",VLOOKUP(I830,'AUX-NIV3'!B:AG,32,FALSE),0),"")</f>
        <v>0</v>
      </c>
      <c r="AI830" s="321" t="str">
        <f t="shared" si="363"/>
        <v>X-SEL</v>
      </c>
      <c r="AJ830" s="320"/>
      <c r="AK830" s="322">
        <f t="shared" si="354"/>
        <v>827</v>
      </c>
      <c r="AL830" s="323">
        <f t="shared" si="364"/>
        <v>832</v>
      </c>
      <c r="AM830" s="322">
        <f t="shared" si="365"/>
        <v>4</v>
      </c>
      <c r="AN830" s="380">
        <f>IF(AND(AH830&gt;0,B830&lt;&gt;""),VLOOKUP(I830,'AUX-NIV3'!$B:$AO,39,FALSE)*O830,0)</f>
        <v>0</v>
      </c>
      <c r="AO830" s="380">
        <f t="shared" si="355"/>
        <v>0.3</v>
      </c>
      <c r="AP830" s="380"/>
    </row>
    <row r="831" spans="2:42" ht="14.4" hidden="1" thickTop="1" thickBot="1">
      <c r="B831" s="501" t="s">
        <v>2861</v>
      </c>
      <c r="C831" s="950" t="s">
        <v>2862</v>
      </c>
      <c r="D831" s="326" t="s">
        <v>477</v>
      </c>
      <c r="E831" s="327">
        <f>IF(B831&lt;&gt;"",SUMIF('AUX-NIV1'!I:I,'AUX-NIV2'!B831,'AUX-NIV1'!Q:Q),"")</f>
        <v>0</v>
      </c>
      <c r="F831" s="327">
        <f t="shared" si="345"/>
        <v>445.6470149795303</v>
      </c>
      <c r="G831" s="327">
        <f t="shared" si="346"/>
        <v>0</v>
      </c>
      <c r="H831" s="328" t="str">
        <f t="shared" si="368"/>
        <v>M</v>
      </c>
      <c r="I831" s="325" t="s">
        <v>2023</v>
      </c>
      <c r="J831" s="329" t="str">
        <f>IF(B831&lt;&gt;"",+VLOOKUP(I831,Recursos!C:F,2,FALSE),"")</f>
        <v>CORDON DE SOSTEN P/ SELLADOR</v>
      </c>
      <c r="K831" s="330" t="str">
        <f>IF(B831&lt;&gt;"",+VLOOKUP(I831,Recursos!C:F,3,FALSE),"")</f>
        <v>m</v>
      </c>
      <c r="L831" s="446">
        <f>IF(B831&lt;&gt;"",+VLOOKUP(I831,Recursos!C:F,4,FALSE),"")</f>
        <v>1.5</v>
      </c>
      <c r="M831" s="452">
        <v>1.1000000000000001</v>
      </c>
      <c r="N831" s="453">
        <v>1.05</v>
      </c>
      <c r="O831" s="449">
        <f>+N831</f>
        <v>1.05</v>
      </c>
      <c r="P831" s="333">
        <f t="shared" si="342"/>
        <v>1.5750000000000002</v>
      </c>
      <c r="Q831" s="327">
        <f t="shared" si="343"/>
        <v>0</v>
      </c>
      <c r="R831" s="334">
        <f t="shared" si="344"/>
        <v>0</v>
      </c>
      <c r="S831" s="335">
        <f t="shared" si="347"/>
        <v>137.90945731341458</v>
      </c>
      <c r="T831" s="335">
        <f t="shared" si="348"/>
        <v>37.712805600000003</v>
      </c>
      <c r="U831" s="336">
        <f t="shared" si="349"/>
        <v>270.0247520661157</v>
      </c>
      <c r="V831" s="336">
        <f t="shared" si="350"/>
        <v>0</v>
      </c>
      <c r="W831" s="336">
        <f t="shared" si="351"/>
        <v>0</v>
      </c>
      <c r="X831" s="336">
        <f t="shared" si="352"/>
        <v>0</v>
      </c>
      <c r="Y831" s="320"/>
      <c r="Z831" s="321" t="str">
        <f t="shared" si="356"/>
        <v>X-SELA</v>
      </c>
      <c r="AA831" s="321" t="str">
        <f t="shared" si="357"/>
        <v>X-SELE</v>
      </c>
      <c r="AB831" s="321" t="str">
        <f t="shared" si="358"/>
        <v>X-SELM</v>
      </c>
      <c r="AC831" s="321" t="str">
        <f t="shared" si="359"/>
        <v>X-SELT</v>
      </c>
      <c r="AD831" s="321" t="str">
        <f t="shared" si="360"/>
        <v>X-SELS</v>
      </c>
      <c r="AE831" s="321" t="str">
        <f t="shared" si="361"/>
        <v>X-SELX</v>
      </c>
      <c r="AF831" s="321" t="str">
        <f t="shared" si="362"/>
        <v>X-SELM</v>
      </c>
      <c r="AG831" s="321">
        <f t="shared" si="353"/>
        <v>6</v>
      </c>
      <c r="AH831" s="321">
        <f>IF(B831&lt;&gt;"",IF(H831="x",VLOOKUP(I831,'AUX-NIV3'!B:AG,32,FALSE),0),"")</f>
        <v>0</v>
      </c>
      <c r="AI831" s="321" t="str">
        <f t="shared" si="363"/>
        <v>X-SEL</v>
      </c>
      <c r="AJ831" s="320"/>
      <c r="AK831" s="322">
        <f t="shared" si="354"/>
        <v>827</v>
      </c>
      <c r="AL831" s="323">
        <f t="shared" si="364"/>
        <v>832</v>
      </c>
      <c r="AM831" s="322">
        <f t="shared" si="365"/>
        <v>5</v>
      </c>
      <c r="AN831" s="380">
        <f>IF(AND(AH831&gt;0,B831&lt;&gt;""),VLOOKUP(I831,'AUX-NIV3'!$B:$AO,39,FALSE)*O831,0)</f>
        <v>0</v>
      </c>
      <c r="AO831" s="380">
        <f t="shared" si="355"/>
        <v>0.3</v>
      </c>
      <c r="AP831" s="380"/>
    </row>
    <row r="832" spans="2:42" ht="14.4" hidden="1" thickTop="1" thickBot="1">
      <c r="B832" s="501" t="s">
        <v>2861</v>
      </c>
      <c r="C832" s="950" t="s">
        <v>2862</v>
      </c>
      <c r="D832" s="326" t="s">
        <v>477</v>
      </c>
      <c r="E832" s="327">
        <f>IF(B832&lt;&gt;"",SUMIF('AUX-NIV1'!I:I,'AUX-NIV2'!B832,'AUX-NIV1'!Q:Q),"")</f>
        <v>0</v>
      </c>
      <c r="F832" s="327">
        <f t="shared" si="345"/>
        <v>445.6470149795303</v>
      </c>
      <c r="G832" s="327">
        <f t="shared" si="346"/>
        <v>0</v>
      </c>
      <c r="H832" s="328" t="str">
        <f t="shared" si="368"/>
        <v>M</v>
      </c>
      <c r="I832" s="325" t="s">
        <v>2142</v>
      </c>
      <c r="J832" s="329" t="str">
        <f>IF(B832&lt;&gt;"",+VLOOKUP(I832,Recursos!C:F,2,FALSE),"")</f>
        <v>HERRAMIENTAS MENORES</v>
      </c>
      <c r="K832" s="330" t="str">
        <f>IF(B832&lt;&gt;"",+VLOOKUP(I832,Recursos!C:F,3,FALSE),"")</f>
        <v>un</v>
      </c>
      <c r="L832" s="446">
        <f>IF(B832&lt;&gt;"",+VLOOKUP(I832,Recursos!C:F,4,FALSE),"")</f>
        <v>1</v>
      </c>
      <c r="M832" s="450">
        <v>0.02</v>
      </c>
      <c r="N832" s="451">
        <v>1</v>
      </c>
      <c r="O832" s="449">
        <f>+N832*M832</f>
        <v>0.02</v>
      </c>
      <c r="P832" s="333">
        <f t="shared" si="342"/>
        <v>0.02</v>
      </c>
      <c r="Q832" s="327">
        <f t="shared" si="343"/>
        <v>0</v>
      </c>
      <c r="R832" s="334">
        <f t="shared" si="344"/>
        <v>0</v>
      </c>
      <c r="S832" s="335">
        <f t="shared" si="347"/>
        <v>137.90945731341458</v>
      </c>
      <c r="T832" s="335">
        <f t="shared" si="348"/>
        <v>37.712805600000003</v>
      </c>
      <c r="U832" s="336">
        <f t="shared" si="349"/>
        <v>270.0247520661157</v>
      </c>
      <c r="V832" s="336">
        <f t="shared" si="350"/>
        <v>0</v>
      </c>
      <c r="W832" s="336">
        <f t="shared" si="351"/>
        <v>0</v>
      </c>
      <c r="X832" s="336">
        <f t="shared" si="352"/>
        <v>0</v>
      </c>
      <c r="Y832" s="320"/>
      <c r="Z832" s="321" t="str">
        <f t="shared" si="356"/>
        <v>X-SELA</v>
      </c>
      <c r="AA832" s="321" t="str">
        <f t="shared" si="357"/>
        <v>X-SELE</v>
      </c>
      <c r="AB832" s="321" t="str">
        <f t="shared" si="358"/>
        <v>X-SELM</v>
      </c>
      <c r="AC832" s="321" t="str">
        <f t="shared" si="359"/>
        <v>X-SELT</v>
      </c>
      <c r="AD832" s="321" t="str">
        <f t="shared" si="360"/>
        <v>X-SELS</v>
      </c>
      <c r="AE832" s="321" t="str">
        <f t="shared" si="361"/>
        <v>X-SELX</v>
      </c>
      <c r="AF832" s="321" t="str">
        <f t="shared" si="362"/>
        <v>X-SELM</v>
      </c>
      <c r="AG832" s="321">
        <f t="shared" si="353"/>
        <v>6</v>
      </c>
      <c r="AH832" s="321">
        <f>IF(B832&lt;&gt;"",IF(H832="x",VLOOKUP(I832,'AUX-NIV3'!B:AG,32,FALSE),0),"")</f>
        <v>0</v>
      </c>
      <c r="AI832" s="321" t="str">
        <f t="shared" si="363"/>
        <v>X-SEL</v>
      </c>
      <c r="AJ832" s="320"/>
      <c r="AK832" s="322">
        <f t="shared" si="354"/>
        <v>827</v>
      </c>
      <c r="AL832" s="323">
        <f t="shared" si="364"/>
        <v>832</v>
      </c>
      <c r="AM832" s="322">
        <f t="shared" si="365"/>
        <v>6</v>
      </c>
      <c r="AN832" s="380">
        <f>IF(AND(AH832&gt;0,B832&lt;&gt;""),VLOOKUP(I832,'AUX-NIV3'!$B:$AO,39,FALSE)*O832,0)</f>
        <v>0</v>
      </c>
      <c r="AO832" s="380">
        <f t="shared" si="355"/>
        <v>0.3</v>
      </c>
      <c r="AP832" s="380"/>
    </row>
    <row r="833" spans="2:42" ht="14.4" hidden="1" thickTop="1" thickBot="1">
      <c r="B833" s="324" t="s">
        <v>2863</v>
      </c>
      <c r="C833" s="325" t="s">
        <v>2864</v>
      </c>
      <c r="D833" s="326" t="s">
        <v>185</v>
      </c>
      <c r="E833" s="327">
        <f>IF(B833&lt;&gt;"",SUMIF('AUX-NIV1'!I:I,'AUX-NIV2'!B833,'AUX-NIV1'!Q:Q),"")</f>
        <v>0</v>
      </c>
      <c r="F833" s="327">
        <f t="shared" si="345"/>
        <v>2693.7536195722059</v>
      </c>
      <c r="G833" s="327">
        <f t="shared" si="346"/>
        <v>0</v>
      </c>
      <c r="H833" s="328" t="str">
        <f t="shared" si="368"/>
        <v>A</v>
      </c>
      <c r="I833" s="325" t="s">
        <v>1745</v>
      </c>
      <c r="J833" s="329" t="str">
        <f>IF(B833&lt;&gt;"",+VLOOKUP(I833,Recursos!C:F,2,FALSE),"")</f>
        <v>AYUDANTE</v>
      </c>
      <c r="K833" s="330" t="str">
        <f>IF(B833&lt;&gt;"",+VLOOKUP(I833,Recursos!C:F,3,FALSE),"")</f>
        <v>hh</v>
      </c>
      <c r="L833" s="446">
        <f>IF(B833&lt;&gt;"",+VLOOKUP(I833,Recursos!C:F,4,FALSE),"")</f>
        <v>422.48042769667234</v>
      </c>
      <c r="M833" s="514">
        <f>+M834</f>
        <v>1</v>
      </c>
      <c r="N833" s="448">
        <v>4</v>
      </c>
      <c r="O833" s="449">
        <f>+N833*M833</f>
        <v>4</v>
      </c>
      <c r="P833" s="333">
        <f t="shared" si="342"/>
        <v>1689.9217107866893</v>
      </c>
      <c r="Q833" s="327">
        <f t="shared" si="343"/>
        <v>0</v>
      </c>
      <c r="R833" s="334">
        <f t="shared" si="344"/>
        <v>0</v>
      </c>
      <c r="S833" s="335">
        <f t="shared" si="347"/>
        <v>2683.7536195722059</v>
      </c>
      <c r="T833" s="335">
        <f t="shared" si="348"/>
        <v>0</v>
      </c>
      <c r="U833" s="336">
        <f t="shared" si="349"/>
        <v>10</v>
      </c>
      <c r="V833" s="336">
        <f t="shared" si="350"/>
        <v>0</v>
      </c>
      <c r="W833" s="336">
        <f t="shared" si="351"/>
        <v>0</v>
      </c>
      <c r="X833" s="336">
        <f t="shared" si="352"/>
        <v>0</v>
      </c>
      <c r="Y833" s="320"/>
      <c r="Z833" s="321" t="str">
        <f t="shared" si="356"/>
        <v>X-EXTA</v>
      </c>
      <c r="AA833" s="321" t="str">
        <f t="shared" si="357"/>
        <v>X-EXTE</v>
      </c>
      <c r="AB833" s="321" t="str">
        <f t="shared" si="358"/>
        <v>X-EXTM</v>
      </c>
      <c r="AC833" s="321" t="str">
        <f t="shared" si="359"/>
        <v>X-EXTT</v>
      </c>
      <c r="AD833" s="321" t="str">
        <f t="shared" si="360"/>
        <v>X-EXTS</v>
      </c>
      <c r="AE833" s="321" t="str">
        <f t="shared" si="361"/>
        <v>X-EXTX</v>
      </c>
      <c r="AF833" s="321" t="str">
        <f t="shared" si="362"/>
        <v>X-EXTA</v>
      </c>
      <c r="AG833" s="321">
        <f t="shared" si="353"/>
        <v>3</v>
      </c>
      <c r="AH833" s="321">
        <f>IF(B833&lt;&gt;"",IF(H833="x",VLOOKUP(I833,'AUX-NIV3'!B:AG,32,FALSE),0),"")</f>
        <v>0</v>
      </c>
      <c r="AI833" s="321" t="str">
        <f t="shared" si="363"/>
        <v>X-EXT</v>
      </c>
      <c r="AJ833" s="320"/>
      <c r="AK833" s="322">
        <f t="shared" si="354"/>
        <v>833</v>
      </c>
      <c r="AL833" s="323">
        <f t="shared" si="364"/>
        <v>835</v>
      </c>
      <c r="AM833" s="322">
        <f t="shared" si="365"/>
        <v>1</v>
      </c>
      <c r="AN833" s="380">
        <f>IF(AND(AH833&gt;0,B833&lt;&gt;""),VLOOKUP(I833,'AUX-NIV3'!$B:$AO,39,FALSE)*O833,0)</f>
        <v>0</v>
      </c>
      <c r="AO833" s="380">
        <f t="shared" si="355"/>
        <v>6</v>
      </c>
      <c r="AP833" s="380"/>
    </row>
    <row r="834" spans="2:42" ht="14.4" hidden="1" thickTop="1" thickBot="1">
      <c r="B834" s="324" t="s">
        <v>2863</v>
      </c>
      <c r="C834" s="325" t="s">
        <v>2864</v>
      </c>
      <c r="D834" s="326" t="s">
        <v>185</v>
      </c>
      <c r="E834" s="327">
        <f>IF(B834&lt;&gt;"",SUMIF('AUX-NIV1'!I:I,'AUX-NIV2'!B834,'AUX-NIV1'!Q:Q),"")</f>
        <v>0</v>
      </c>
      <c r="F834" s="327">
        <f t="shared" si="345"/>
        <v>2693.7536195722059</v>
      </c>
      <c r="G834" s="327">
        <f t="shared" si="346"/>
        <v>0</v>
      </c>
      <c r="H834" s="328" t="str">
        <f t="shared" si="368"/>
        <v>A</v>
      </c>
      <c r="I834" s="325" t="s">
        <v>1746</v>
      </c>
      <c r="J834" s="329" t="str">
        <f>IF(B834&lt;&gt;"",+VLOOKUP(I834,Recursos!C:F,2,FALSE),"")</f>
        <v>OFICIAL</v>
      </c>
      <c r="K834" s="330" t="str">
        <f>IF(B834&lt;&gt;"",+VLOOKUP(I834,Recursos!C:F,3,FALSE),"")</f>
        <v>hh</v>
      </c>
      <c r="L834" s="446">
        <f>IF(B834&lt;&gt;"",+VLOOKUP(I834,Recursos!C:F,4,FALSE),"")</f>
        <v>496.91595439275824</v>
      </c>
      <c r="M834" s="454">
        <f>+M835</f>
        <v>1</v>
      </c>
      <c r="N834" s="453">
        <v>2</v>
      </c>
      <c r="O834" s="449">
        <f>+N834*M834</f>
        <v>2</v>
      </c>
      <c r="P834" s="333">
        <f t="shared" ref="P834:P895" si="371">IF(B834&lt;&gt;"",O834*L834,"")</f>
        <v>993.83190878551648</v>
      </c>
      <c r="Q834" s="327">
        <f t="shared" ref="Q834:Q895" si="372">IF(B834&lt;&gt;"",+O834*E834,"")</f>
        <v>0</v>
      </c>
      <c r="R834" s="334">
        <f t="shared" ref="R834:R895" si="373">IF(B834&lt;&gt;"",Q834*L834,"")</f>
        <v>0</v>
      </c>
      <c r="S834" s="335">
        <f t="shared" si="347"/>
        <v>2683.7536195722059</v>
      </c>
      <c r="T834" s="335">
        <f t="shared" si="348"/>
        <v>0</v>
      </c>
      <c r="U834" s="336">
        <f t="shared" si="349"/>
        <v>10</v>
      </c>
      <c r="V834" s="336">
        <f t="shared" si="350"/>
        <v>0</v>
      </c>
      <c r="W834" s="336">
        <f t="shared" si="351"/>
        <v>0</v>
      </c>
      <c r="X834" s="336">
        <f t="shared" si="352"/>
        <v>0</v>
      </c>
      <c r="Y834" s="320"/>
      <c r="Z834" s="321" t="str">
        <f t="shared" si="356"/>
        <v>X-EXTA</v>
      </c>
      <c r="AA834" s="321" t="str">
        <f t="shared" si="357"/>
        <v>X-EXTE</v>
      </c>
      <c r="AB834" s="321" t="str">
        <f t="shared" si="358"/>
        <v>X-EXTM</v>
      </c>
      <c r="AC834" s="321" t="str">
        <f t="shared" si="359"/>
        <v>X-EXTT</v>
      </c>
      <c r="AD834" s="321" t="str">
        <f t="shared" si="360"/>
        <v>X-EXTS</v>
      </c>
      <c r="AE834" s="321" t="str">
        <f t="shared" si="361"/>
        <v>X-EXTX</v>
      </c>
      <c r="AF834" s="321" t="str">
        <f t="shared" si="362"/>
        <v>X-EXTA</v>
      </c>
      <c r="AG834" s="321">
        <f t="shared" si="353"/>
        <v>3</v>
      </c>
      <c r="AH834" s="321">
        <f>IF(B834&lt;&gt;"",IF(H834="x",VLOOKUP(I834,'AUX-NIV3'!B:AG,32,FALSE),0),"")</f>
        <v>0</v>
      </c>
      <c r="AI834" s="321" t="str">
        <f t="shared" si="363"/>
        <v>X-EXT</v>
      </c>
      <c r="AJ834" s="320"/>
      <c r="AK834" s="322">
        <f t="shared" si="354"/>
        <v>833</v>
      </c>
      <c r="AL834" s="323">
        <f t="shared" si="364"/>
        <v>835</v>
      </c>
      <c r="AM834" s="322">
        <f t="shared" si="365"/>
        <v>2</v>
      </c>
      <c r="AN834" s="380">
        <f>IF(AND(AH834&gt;0,B834&lt;&gt;""),VLOOKUP(I834,'AUX-NIV3'!$B:$AO,39,FALSE)*O834,0)</f>
        <v>0</v>
      </c>
      <c r="AO834" s="380">
        <f t="shared" si="355"/>
        <v>6</v>
      </c>
      <c r="AP834" s="380"/>
    </row>
    <row r="835" spans="2:42" ht="13.8" hidden="1" thickBot="1">
      <c r="B835" s="324" t="s">
        <v>2863</v>
      </c>
      <c r="C835" s="325" t="s">
        <v>2864</v>
      </c>
      <c r="D835" s="326" t="s">
        <v>185</v>
      </c>
      <c r="E835" s="327">
        <f>IF(B835&lt;&gt;"",SUMIF('AUX-NIV1'!I:I,'AUX-NIV2'!B835,'AUX-NIV1'!Q:Q),"")</f>
        <v>0</v>
      </c>
      <c r="F835" s="327">
        <f t="shared" si="345"/>
        <v>2693.7536195722059</v>
      </c>
      <c r="G835" s="327">
        <f t="shared" si="346"/>
        <v>0</v>
      </c>
      <c r="H835" s="328" t="str">
        <f t="shared" si="368"/>
        <v>M</v>
      </c>
      <c r="I835" s="325" t="s">
        <v>2056</v>
      </c>
      <c r="J835" s="329" t="str">
        <f>IF(B835&lt;&gt;"",+VLOOKUP(I835,Recursos!C:F,2,FALSE),"")</f>
        <v>MECHA P/ SACA TESTIGOS</v>
      </c>
      <c r="K835" s="330" t="str">
        <f>IF(B835&lt;&gt;"",+VLOOKUP(I835,Recursos!C:F,3,FALSE),"")</f>
        <v>Un</v>
      </c>
      <c r="L835" s="446">
        <f>IF(B835&lt;&gt;"",+VLOOKUP(I835,Recursos!C:F,4,FALSE),"")</f>
        <v>1000</v>
      </c>
      <c r="M835" s="450">
        <v>1</v>
      </c>
      <c r="N835" s="451">
        <v>100</v>
      </c>
      <c r="O835" s="449">
        <f>+M835/N835</f>
        <v>0.01</v>
      </c>
      <c r="P835" s="333">
        <f t="shared" si="371"/>
        <v>10</v>
      </c>
      <c r="Q835" s="327">
        <f t="shared" si="372"/>
        <v>0</v>
      </c>
      <c r="R835" s="334">
        <f t="shared" si="373"/>
        <v>0</v>
      </c>
      <c r="S835" s="335">
        <f t="shared" si="347"/>
        <v>2683.7536195722059</v>
      </c>
      <c r="T835" s="335">
        <f t="shared" si="348"/>
        <v>0</v>
      </c>
      <c r="U835" s="336">
        <f t="shared" si="349"/>
        <v>10</v>
      </c>
      <c r="V835" s="336">
        <f t="shared" si="350"/>
        <v>0</v>
      </c>
      <c r="W835" s="336">
        <f t="shared" si="351"/>
        <v>0</v>
      </c>
      <c r="X835" s="336">
        <f t="shared" si="352"/>
        <v>0</v>
      </c>
      <c r="Y835" s="320"/>
      <c r="Z835" s="321" t="str">
        <f t="shared" si="356"/>
        <v>X-EXTA</v>
      </c>
      <c r="AA835" s="321" t="str">
        <f t="shared" si="357"/>
        <v>X-EXTE</v>
      </c>
      <c r="AB835" s="321" t="str">
        <f t="shared" si="358"/>
        <v>X-EXTM</v>
      </c>
      <c r="AC835" s="321" t="str">
        <f t="shared" si="359"/>
        <v>X-EXTT</v>
      </c>
      <c r="AD835" s="321" t="str">
        <f t="shared" si="360"/>
        <v>X-EXTS</v>
      </c>
      <c r="AE835" s="321" t="str">
        <f t="shared" si="361"/>
        <v>X-EXTX</v>
      </c>
      <c r="AF835" s="321" t="str">
        <f t="shared" si="362"/>
        <v>X-EXTM</v>
      </c>
      <c r="AG835" s="321">
        <f t="shared" si="353"/>
        <v>3</v>
      </c>
      <c r="AH835" s="321">
        <f>IF(B835&lt;&gt;"",IF(H835="x",VLOOKUP(I835,'AUX-NIV3'!B:AG,32,FALSE),0),"")</f>
        <v>0</v>
      </c>
      <c r="AI835" s="321" t="str">
        <f t="shared" si="363"/>
        <v>X-EXT</v>
      </c>
      <c r="AJ835" s="320"/>
      <c r="AK835" s="322">
        <f t="shared" si="354"/>
        <v>833</v>
      </c>
      <c r="AL835" s="323">
        <f t="shared" si="364"/>
        <v>835</v>
      </c>
      <c r="AM835" s="322">
        <f t="shared" si="365"/>
        <v>3</v>
      </c>
      <c r="AN835" s="380">
        <f>IF(AND(AH835&gt;0,B835&lt;&gt;""),VLOOKUP(I835,'AUX-NIV3'!$B:$AO,39,FALSE)*O835,0)</f>
        <v>0</v>
      </c>
      <c r="AO835" s="380">
        <f t="shared" si="355"/>
        <v>6</v>
      </c>
      <c r="AP835" s="380"/>
    </row>
    <row r="836" spans="2:42" ht="13.8" thickTop="1">
      <c r="B836" s="501" t="s">
        <v>2865</v>
      </c>
      <c r="C836" s="951" t="s">
        <v>2866</v>
      </c>
      <c r="D836" s="326" t="s">
        <v>1160</v>
      </c>
      <c r="E836" s="327">
        <f>IF(B836&lt;&gt;"",SUMIF('AUX-NIV1'!I:I,'AUX-NIV2'!B836,'AUX-NIV1'!Q:Q),"")</f>
        <v>0</v>
      </c>
      <c r="F836" s="327">
        <f t="shared" si="345"/>
        <v>1031.7487777591643</v>
      </c>
      <c r="G836" s="327">
        <f t="shared" si="346"/>
        <v>0</v>
      </c>
      <c r="H836" s="328" t="str">
        <f t="shared" si="368"/>
        <v>A</v>
      </c>
      <c r="I836" s="325" t="s">
        <v>1745</v>
      </c>
      <c r="J836" s="329" t="str">
        <f>IF(B836&lt;&gt;"",+VLOOKUP(I836,Recursos!C:F,2,FALSE),"")</f>
        <v>AYUDANTE</v>
      </c>
      <c r="K836" s="330" t="str">
        <f>IF(B836&lt;&gt;"",+VLOOKUP(I836,Recursos!C:F,3,FALSE),"")</f>
        <v>hh</v>
      </c>
      <c r="L836" s="446">
        <f>IF(B836&lt;&gt;"",+VLOOKUP(I836,Recursos!C:F,4,FALSE),"")</f>
        <v>422.48042769667234</v>
      </c>
      <c r="M836" s="454"/>
      <c r="N836" s="448">
        <v>3</v>
      </c>
      <c r="O836" s="449">
        <f>+N836/M842*N840</f>
        <v>0.75</v>
      </c>
      <c r="P836" s="333">
        <f t="shared" si="371"/>
        <v>316.86032077250422</v>
      </c>
      <c r="Q836" s="327">
        <f t="shared" si="372"/>
        <v>0</v>
      </c>
      <c r="R836" s="334">
        <f t="shared" si="373"/>
        <v>0</v>
      </c>
      <c r="S836" s="335">
        <f t="shared" si="347"/>
        <v>834.81258775916422</v>
      </c>
      <c r="T836" s="335">
        <f t="shared" si="348"/>
        <v>196.93618999999998</v>
      </c>
      <c r="U836" s="336">
        <f t="shared" si="349"/>
        <v>0</v>
      </c>
      <c r="V836" s="336">
        <f t="shared" si="350"/>
        <v>0</v>
      </c>
      <c r="W836" s="336">
        <f t="shared" si="351"/>
        <v>0</v>
      </c>
      <c r="X836" s="336">
        <f t="shared" si="352"/>
        <v>0</v>
      </c>
      <c r="Y836" s="320"/>
      <c r="Z836" s="321" t="str">
        <f t="shared" si="356"/>
        <v>X-COL6A</v>
      </c>
      <c r="AA836" s="321" t="str">
        <f t="shared" si="357"/>
        <v>X-COL6E</v>
      </c>
      <c r="AB836" s="321" t="str">
        <f t="shared" si="358"/>
        <v>X-COL6M</v>
      </c>
      <c r="AC836" s="321" t="str">
        <f t="shared" si="359"/>
        <v>X-COL6T</v>
      </c>
      <c r="AD836" s="321" t="str">
        <f t="shared" si="360"/>
        <v>X-COL6S</v>
      </c>
      <c r="AE836" s="321" t="str">
        <f t="shared" si="361"/>
        <v>X-COL6X</v>
      </c>
      <c r="AF836" s="321" t="str">
        <f t="shared" si="362"/>
        <v>X-COL6A</v>
      </c>
      <c r="AG836" s="321">
        <f t="shared" si="353"/>
        <v>8</v>
      </c>
      <c r="AH836" s="321">
        <f>IF(B836&lt;&gt;"",IF(H836="x",VLOOKUP(I836,'AUX-NIV3'!B:AG,32,FALSE),0),"")</f>
        <v>0</v>
      </c>
      <c r="AI836" s="321" t="str">
        <f t="shared" si="363"/>
        <v>X-COL6</v>
      </c>
      <c r="AJ836" s="320"/>
      <c r="AK836" s="322">
        <f t="shared" si="354"/>
        <v>836</v>
      </c>
      <c r="AL836" s="323">
        <f t="shared" si="364"/>
        <v>843</v>
      </c>
      <c r="AM836" s="322">
        <f t="shared" si="365"/>
        <v>1</v>
      </c>
      <c r="AN836" s="380">
        <f>IF(AND(AH836&gt;0,B836&lt;&gt;""),VLOOKUP(I836,'AUX-NIV3'!$B:$AO,39,FALSE)*O836,0)</f>
        <v>0</v>
      </c>
      <c r="AO836" s="380">
        <f t="shared" si="355"/>
        <v>1.75</v>
      </c>
      <c r="AP836" s="380"/>
    </row>
    <row r="837" spans="2:42">
      <c r="B837" s="501" t="s">
        <v>2865</v>
      </c>
      <c r="C837" s="951" t="s">
        <v>2866</v>
      </c>
      <c r="D837" s="326" t="s">
        <v>1160</v>
      </c>
      <c r="E837" s="327">
        <f>IF(B837&lt;&gt;"",SUMIF('AUX-NIV1'!I:I,'AUX-NIV2'!B837,'AUX-NIV1'!Q:Q),"")</f>
        <v>0</v>
      </c>
      <c r="F837" s="327">
        <f t="shared" si="345"/>
        <v>1031.7487777591643</v>
      </c>
      <c r="G837" s="327">
        <f t="shared" si="346"/>
        <v>0</v>
      </c>
      <c r="H837" s="328" t="str">
        <f t="shared" si="368"/>
        <v>A</v>
      </c>
      <c r="I837" s="325" t="s">
        <v>1746</v>
      </c>
      <c r="J837" s="329" t="str">
        <f>IF(B837&lt;&gt;"",+VLOOKUP(I837,Recursos!C:F,2,FALSE),"")</f>
        <v>OFICIAL</v>
      </c>
      <c r="K837" s="330" t="str">
        <f>IF(B837&lt;&gt;"",+VLOOKUP(I837,Recursos!C:F,3,FALSE),"")</f>
        <v>hh</v>
      </c>
      <c r="L837" s="446">
        <f>IF(B837&lt;&gt;"",+VLOOKUP(I837,Recursos!C:F,4,FALSE),"")</f>
        <v>496.91595439275824</v>
      </c>
      <c r="M837" s="454"/>
      <c r="N837" s="453">
        <v>3</v>
      </c>
      <c r="O837" s="449">
        <f>+N837/M842*N840</f>
        <v>0.75</v>
      </c>
      <c r="P837" s="333">
        <f t="shared" si="371"/>
        <v>372.68696579456866</v>
      </c>
      <c r="Q837" s="327">
        <f t="shared" si="372"/>
        <v>0</v>
      </c>
      <c r="R837" s="334">
        <f t="shared" si="373"/>
        <v>0</v>
      </c>
      <c r="S837" s="335">
        <f t="shared" si="347"/>
        <v>834.81258775916422</v>
      </c>
      <c r="T837" s="335">
        <f t="shared" si="348"/>
        <v>196.93618999999998</v>
      </c>
      <c r="U837" s="336">
        <f t="shared" si="349"/>
        <v>0</v>
      </c>
      <c r="V837" s="336">
        <f t="shared" si="350"/>
        <v>0</v>
      </c>
      <c r="W837" s="336">
        <f t="shared" si="351"/>
        <v>0</v>
      </c>
      <c r="X837" s="336">
        <f t="shared" si="352"/>
        <v>0</v>
      </c>
      <c r="Y837" s="320"/>
      <c r="Z837" s="321" t="str">
        <f t="shared" si="356"/>
        <v>X-COL6A</v>
      </c>
      <c r="AA837" s="321" t="str">
        <f t="shared" si="357"/>
        <v>X-COL6E</v>
      </c>
      <c r="AB837" s="321" t="str">
        <f t="shared" si="358"/>
        <v>X-COL6M</v>
      </c>
      <c r="AC837" s="321" t="str">
        <f t="shared" si="359"/>
        <v>X-COL6T</v>
      </c>
      <c r="AD837" s="321" t="str">
        <f t="shared" si="360"/>
        <v>X-COL6S</v>
      </c>
      <c r="AE837" s="321" t="str">
        <f t="shared" si="361"/>
        <v>X-COL6X</v>
      </c>
      <c r="AF837" s="321" t="str">
        <f t="shared" si="362"/>
        <v>X-COL6A</v>
      </c>
      <c r="AG837" s="321">
        <f t="shared" si="353"/>
        <v>8</v>
      </c>
      <c r="AH837" s="321">
        <f>IF(B837&lt;&gt;"",IF(H837="x",VLOOKUP(I837,'AUX-NIV3'!B:AG,32,FALSE),0),"")</f>
        <v>0</v>
      </c>
      <c r="AI837" s="321" t="str">
        <f t="shared" si="363"/>
        <v>X-COL6</v>
      </c>
      <c r="AJ837" s="320"/>
      <c r="AK837" s="322">
        <f t="shared" si="354"/>
        <v>836</v>
      </c>
      <c r="AL837" s="323">
        <f t="shared" si="364"/>
        <v>843</v>
      </c>
      <c r="AM837" s="322">
        <f t="shared" si="365"/>
        <v>2</v>
      </c>
      <c r="AN837" s="380">
        <f>IF(AND(AH837&gt;0,B837&lt;&gt;""),VLOOKUP(I837,'AUX-NIV3'!$B:$AO,39,FALSE)*O837,0)</f>
        <v>0</v>
      </c>
      <c r="AO837" s="380">
        <f t="shared" si="355"/>
        <v>1.75</v>
      </c>
      <c r="AP837" s="380"/>
    </row>
    <row r="838" spans="2:42">
      <c r="B838" s="501" t="s">
        <v>2865</v>
      </c>
      <c r="C838" s="951" t="s">
        <v>2866</v>
      </c>
      <c r="D838" s="326" t="s">
        <v>1160</v>
      </c>
      <c r="E838" s="327">
        <f>IF(B838&lt;&gt;"",SUMIF('AUX-NIV1'!I:I,'AUX-NIV2'!B838,'AUX-NIV1'!Q:Q),"")</f>
        <v>0</v>
      </c>
      <c r="F838" s="327">
        <f t="shared" si="345"/>
        <v>1031.7487777591643</v>
      </c>
      <c r="G838" s="327">
        <f t="shared" si="346"/>
        <v>0</v>
      </c>
      <c r="H838" s="328" t="str">
        <f t="shared" si="368"/>
        <v>A</v>
      </c>
      <c r="I838" s="325" t="s">
        <v>1746</v>
      </c>
      <c r="J838" s="329" t="str">
        <f>IF(B838&lt;&gt;"",+VLOOKUP(I838,Recursos!C:F,2,FALSE),"")</f>
        <v>OFICIAL</v>
      </c>
      <c r="K838" s="330" t="str">
        <f>IF(B838&lt;&gt;"",+VLOOKUP(I838,Recursos!C:F,3,FALSE),"")</f>
        <v>hh</v>
      </c>
      <c r="L838" s="446">
        <f>IF(B838&lt;&gt;"",+VLOOKUP(I838,Recursos!C:F,4,FALSE),"")</f>
        <v>496.91595439275824</v>
      </c>
      <c r="M838" s="454"/>
      <c r="N838" s="453"/>
      <c r="O838" s="449">
        <f>+N838/M842*N840</f>
        <v>0</v>
      </c>
      <c r="P838" s="333">
        <f t="shared" si="371"/>
        <v>0</v>
      </c>
      <c r="Q838" s="327">
        <f t="shared" si="372"/>
        <v>0</v>
      </c>
      <c r="R838" s="334">
        <f t="shared" si="373"/>
        <v>0</v>
      </c>
      <c r="S838" s="335">
        <f t="shared" si="347"/>
        <v>834.81258775916422</v>
      </c>
      <c r="T838" s="335">
        <f t="shared" si="348"/>
        <v>196.93618999999998</v>
      </c>
      <c r="U838" s="336">
        <f t="shared" si="349"/>
        <v>0</v>
      </c>
      <c r="V838" s="336">
        <f t="shared" si="350"/>
        <v>0</v>
      </c>
      <c r="W838" s="336">
        <f t="shared" si="351"/>
        <v>0</v>
      </c>
      <c r="X838" s="336">
        <f t="shared" si="352"/>
        <v>0</v>
      </c>
      <c r="Y838" s="320"/>
      <c r="Z838" s="321" t="str">
        <f t="shared" si="356"/>
        <v>X-COL6A</v>
      </c>
      <c r="AA838" s="321" t="str">
        <f t="shared" si="357"/>
        <v>X-COL6E</v>
      </c>
      <c r="AB838" s="321" t="str">
        <f t="shared" si="358"/>
        <v>X-COL6M</v>
      </c>
      <c r="AC838" s="321" t="str">
        <f t="shared" si="359"/>
        <v>X-COL6T</v>
      </c>
      <c r="AD838" s="321" t="str">
        <f t="shared" si="360"/>
        <v>X-COL6S</v>
      </c>
      <c r="AE838" s="321" t="str">
        <f t="shared" si="361"/>
        <v>X-COL6X</v>
      </c>
      <c r="AF838" s="321" t="str">
        <f t="shared" si="362"/>
        <v>X-COL6A</v>
      </c>
      <c r="AG838" s="321">
        <f t="shared" si="353"/>
        <v>8</v>
      </c>
      <c r="AH838" s="321">
        <f>IF(B838&lt;&gt;"",IF(H838="x",VLOOKUP(I838,'AUX-NIV3'!B:AG,32,FALSE),0),"")</f>
        <v>0</v>
      </c>
      <c r="AI838" s="321" t="str">
        <f t="shared" si="363"/>
        <v>X-COL6</v>
      </c>
      <c r="AJ838" s="320"/>
      <c r="AK838" s="322">
        <f t="shared" si="354"/>
        <v>836</v>
      </c>
      <c r="AL838" s="323">
        <f t="shared" si="364"/>
        <v>843</v>
      </c>
      <c r="AM838" s="322">
        <f t="shared" si="365"/>
        <v>3</v>
      </c>
      <c r="AN838" s="380">
        <f>IF(AND(AH838&gt;0,B838&lt;&gt;""),VLOOKUP(I838,'AUX-NIV3'!$B:$AO,39,FALSE)*O838,0)</f>
        <v>0</v>
      </c>
      <c r="AO838" s="380">
        <f t="shared" si="355"/>
        <v>1.75</v>
      </c>
      <c r="AP838" s="380"/>
    </row>
    <row r="839" spans="2:42">
      <c r="B839" s="501" t="s">
        <v>2865</v>
      </c>
      <c r="C839" s="951" t="s">
        <v>2866</v>
      </c>
      <c r="D839" s="326" t="s">
        <v>1160</v>
      </c>
      <c r="E839" s="327">
        <f>IF(B839&lt;&gt;"",SUMIF('AUX-NIV1'!I:I,'AUX-NIV2'!B839,'AUX-NIV1'!Q:Q),"")</f>
        <v>0</v>
      </c>
      <c r="F839" s="327">
        <f t="shared" ref="F839:F902" si="374">IF(B839&lt;&gt;"",+SUMIF(B:B,B839,P:P),"")</f>
        <v>1031.7487777591643</v>
      </c>
      <c r="G839" s="327">
        <f t="shared" ref="G839:G902" si="375">IF(B839&lt;&gt;"",+SUMIF(B:B,B839,R:R),"")</f>
        <v>0</v>
      </c>
      <c r="H839" s="328" t="str">
        <f t="shared" si="368"/>
        <v>A</v>
      </c>
      <c r="I839" s="325" t="s">
        <v>3310</v>
      </c>
      <c r="J839" s="329" t="str">
        <f>IF(B839&lt;&gt;"",+VLOOKUP(I839,Recursos!C:F,2,FALSE),"")</f>
        <v>OFICIAL ESPECIALIZADO</v>
      </c>
      <c r="K839" s="330" t="str">
        <f>IF(B839&lt;&gt;"",+VLOOKUP(I839,Recursos!C:F,3,FALSE),"")</f>
        <v>hh</v>
      </c>
      <c r="L839" s="446">
        <f>IF(B839&lt;&gt;"",+VLOOKUP(I839,Recursos!C:F,4,FALSE),"")</f>
        <v>581.06120476836554</v>
      </c>
      <c r="M839" s="454"/>
      <c r="N839" s="455"/>
      <c r="O839" s="449">
        <f>+N840/M842</f>
        <v>0.25</v>
      </c>
      <c r="P839" s="333">
        <f t="shared" si="371"/>
        <v>145.26530119209139</v>
      </c>
      <c r="Q839" s="327">
        <f t="shared" si="372"/>
        <v>0</v>
      </c>
      <c r="R839" s="334">
        <f t="shared" si="373"/>
        <v>0</v>
      </c>
      <c r="S839" s="335">
        <f t="shared" ref="S839:S902" si="376">IF(B839&lt;&gt;"",+SUMIF($AF:$AF,Z839,$P:$P),"")</f>
        <v>834.81258775916422</v>
      </c>
      <c r="T839" s="335">
        <f t="shared" ref="T839:T902" si="377">IF(B839&lt;&gt;"",+SUMIF($AF:$AF,AA839,$P:$P),"")</f>
        <v>196.93618999999998</v>
      </c>
      <c r="U839" s="336">
        <f t="shared" ref="U839:U902" si="378">IF(B839&lt;&gt;"",+SUMIF($AF:$AF,AB839,$P:$P),"")</f>
        <v>0</v>
      </c>
      <c r="V839" s="336">
        <f t="shared" ref="V839:V902" si="379">IF(B839&lt;&gt;"",+SUMIF($AF:$AF,AC839,$P:$P),"")</f>
        <v>0</v>
      </c>
      <c r="W839" s="336">
        <f t="shared" ref="W839:W902" si="380">IF(B839&lt;&gt;"",+SUMIF($AF:$AF,AD839,$P:$P),"")</f>
        <v>0</v>
      </c>
      <c r="X839" s="336">
        <f t="shared" ref="X839:X902" si="381">IF(B839&lt;&gt;"",+SUMIF($AF:$AF,AE839,$P:$P),"")</f>
        <v>0</v>
      </c>
      <c r="Y839" s="320"/>
      <c r="Z839" s="321" t="str">
        <f t="shared" si="356"/>
        <v>X-COL6A</v>
      </c>
      <c r="AA839" s="321" t="str">
        <f t="shared" si="357"/>
        <v>X-COL6E</v>
      </c>
      <c r="AB839" s="321" t="str">
        <f t="shared" si="358"/>
        <v>X-COL6M</v>
      </c>
      <c r="AC839" s="321" t="str">
        <f t="shared" si="359"/>
        <v>X-COL6T</v>
      </c>
      <c r="AD839" s="321" t="str">
        <f t="shared" si="360"/>
        <v>X-COL6S</v>
      </c>
      <c r="AE839" s="321" t="str">
        <f t="shared" si="361"/>
        <v>X-COL6X</v>
      </c>
      <c r="AF839" s="321" t="str">
        <f t="shared" si="362"/>
        <v>X-COL6A</v>
      </c>
      <c r="AG839" s="321">
        <f t="shared" ref="AG839:AG902" si="382">IF(B839&lt;&gt;"",+COUNTIF(B:B,B839),"")</f>
        <v>8</v>
      </c>
      <c r="AH839" s="321">
        <f>IF(B839&lt;&gt;"",IF(H839="x",VLOOKUP(I839,'AUX-NIV3'!B:AG,32,FALSE),0),"")</f>
        <v>0</v>
      </c>
      <c r="AI839" s="321" t="str">
        <f t="shared" si="363"/>
        <v>X-COL6</v>
      </c>
      <c r="AJ839" s="320"/>
      <c r="AK839" s="322">
        <f t="shared" ref="AK839:AK902" si="383">IF(B839&lt;&gt;"",+MATCH(B839,B:B,0),"")</f>
        <v>836</v>
      </c>
      <c r="AL839" s="323">
        <f t="shared" si="364"/>
        <v>843</v>
      </c>
      <c r="AM839" s="322">
        <f t="shared" si="365"/>
        <v>4</v>
      </c>
      <c r="AN839" s="380">
        <f>IF(AND(AH839&gt;0,B839&lt;&gt;""),VLOOKUP(I839,'AUX-NIV3'!$B:$AO,39,FALSE)*O839,0)</f>
        <v>0</v>
      </c>
      <c r="AO839" s="380">
        <f t="shared" ref="AO839:AO902" si="384">+IF(B839&lt;&gt;"",SUMIF(AF:AF,Z839,O:O)+SUMIF(Z:Z,Z839,AN:AN),0)</f>
        <v>1.75</v>
      </c>
      <c r="AP839" s="380"/>
    </row>
    <row r="840" spans="2:42">
      <c r="B840" s="501" t="s">
        <v>2865</v>
      </c>
      <c r="C840" s="951" t="s">
        <v>2866</v>
      </c>
      <c r="D840" s="326" t="s">
        <v>1160</v>
      </c>
      <c r="E840" s="327">
        <f>IF(B840&lt;&gt;"",SUMIF('AUX-NIV1'!I:I,'AUX-NIV2'!B840,'AUX-NIV1'!Q:Q),"")</f>
        <v>0</v>
      </c>
      <c r="F840" s="327">
        <f t="shared" si="374"/>
        <v>1031.7487777591643</v>
      </c>
      <c r="G840" s="327">
        <f t="shared" si="375"/>
        <v>0</v>
      </c>
      <c r="H840" s="328" t="str">
        <f t="shared" si="368"/>
        <v>A</v>
      </c>
      <c r="I840" s="325" t="s">
        <v>1746</v>
      </c>
      <c r="J840" s="329" t="str">
        <f>IF(B840&lt;&gt;"",+VLOOKUP(I840,Recursos!C:F,2,FALSE),"")</f>
        <v>OFICIAL</v>
      </c>
      <c r="K840" s="330" t="str">
        <f>IF(B840&lt;&gt;"",+VLOOKUP(I840,Recursos!C:F,3,FALSE),"")</f>
        <v>hh</v>
      </c>
      <c r="L840" s="446">
        <f>IF(B840&lt;&gt;"",+VLOOKUP(I840,Recursos!C:F,4,FALSE),"")</f>
        <v>496.91595439275824</v>
      </c>
      <c r="M840" s="454"/>
      <c r="N840" s="453">
        <v>1.5</v>
      </c>
      <c r="O840" s="449">
        <f>+N842/M842</f>
        <v>0</v>
      </c>
      <c r="P840" s="333">
        <f t="shared" si="371"/>
        <v>0</v>
      </c>
      <c r="Q840" s="327">
        <f t="shared" si="372"/>
        <v>0</v>
      </c>
      <c r="R840" s="334">
        <f t="shared" si="373"/>
        <v>0</v>
      </c>
      <c r="S840" s="335">
        <f t="shared" si="376"/>
        <v>834.81258775916422</v>
      </c>
      <c r="T840" s="335">
        <f t="shared" si="377"/>
        <v>196.93618999999998</v>
      </c>
      <c r="U840" s="336">
        <f t="shared" si="378"/>
        <v>0</v>
      </c>
      <c r="V840" s="336">
        <f t="shared" si="379"/>
        <v>0</v>
      </c>
      <c r="W840" s="336">
        <f t="shared" si="380"/>
        <v>0</v>
      </c>
      <c r="X840" s="336">
        <f t="shared" si="381"/>
        <v>0</v>
      </c>
      <c r="Y840" s="320"/>
      <c r="Z840" s="321" t="str">
        <f t="shared" ref="Z840:Z903" si="385">IF(B840&lt;&gt;"",+$B840&amp;"A","")</f>
        <v>X-COL6A</v>
      </c>
      <c r="AA840" s="321" t="str">
        <f t="shared" ref="AA840:AA903" si="386">IF(B840&lt;&gt;"",+$B840&amp;"E","")</f>
        <v>X-COL6E</v>
      </c>
      <c r="AB840" s="321" t="str">
        <f t="shared" ref="AB840:AB903" si="387">IF(B840&lt;&gt;"",++$B840&amp;"M","")</f>
        <v>X-COL6M</v>
      </c>
      <c r="AC840" s="321" t="str">
        <f t="shared" ref="AC840:AC903" si="388">IF(B840&lt;&gt;"",+$B840&amp;"T","")</f>
        <v>X-COL6T</v>
      </c>
      <c r="AD840" s="321" t="str">
        <f t="shared" ref="AD840:AD903" si="389">IF(B840&lt;&gt;"",+$B840&amp;"S","")</f>
        <v>X-COL6S</v>
      </c>
      <c r="AE840" s="321" t="str">
        <f t="shared" ref="AE840:AE903" si="390">IF(B840&lt;&gt;"",+$B840&amp;"X","")</f>
        <v>X-COL6X</v>
      </c>
      <c r="AF840" s="321" t="str">
        <f t="shared" ref="AF840:AF903" si="391">IF(B840&lt;&gt;"",+B840&amp;H840,"")</f>
        <v>X-COL6A</v>
      </c>
      <c r="AG840" s="321">
        <f t="shared" si="382"/>
        <v>8</v>
      </c>
      <c r="AH840" s="321">
        <f>IF(B840&lt;&gt;"",IF(H840="x",VLOOKUP(I840,'AUX-NIV3'!B:AG,32,FALSE),0),"")</f>
        <v>0</v>
      </c>
      <c r="AI840" s="321" t="str">
        <f t="shared" ref="AI840:AI903" si="392">IF(B840&lt;&gt;"",+B840,"")</f>
        <v>X-COL6</v>
      </c>
      <c r="AJ840" s="320"/>
      <c r="AK840" s="322">
        <f t="shared" si="383"/>
        <v>836</v>
      </c>
      <c r="AL840" s="323">
        <f t="shared" ref="AL840:AL903" si="393">IF(B840&lt;&gt;"",+AK840+AG840-1,"")</f>
        <v>843</v>
      </c>
      <c r="AM840" s="322">
        <f t="shared" ref="AM840:AM903" si="394">IF(B840&lt;&gt;"",IF(B840=B839,1+AM839,1),"")</f>
        <v>5</v>
      </c>
      <c r="AN840" s="380">
        <f>IF(AND(AH840&gt;0,B840&lt;&gt;""),VLOOKUP(I840,'AUX-NIV3'!$B:$AO,39,FALSE)*O840,0)</f>
        <v>0</v>
      </c>
      <c r="AO840" s="380">
        <f t="shared" si="384"/>
        <v>1.75</v>
      </c>
      <c r="AP840" s="380"/>
    </row>
    <row r="841" spans="2:42">
      <c r="B841" s="501" t="s">
        <v>2865</v>
      </c>
      <c r="C841" s="951" t="s">
        <v>2866</v>
      </c>
      <c r="D841" s="326" t="s">
        <v>1160</v>
      </c>
      <c r="E841" s="327">
        <f>IF(B841&lt;&gt;"",SUMIF('AUX-NIV1'!I:I,'AUX-NIV2'!B841,'AUX-NIV1'!Q:Q),"")</f>
        <v>0</v>
      </c>
      <c r="F841" s="327">
        <f t="shared" si="374"/>
        <v>1031.7487777591643</v>
      </c>
      <c r="G841" s="327">
        <f t="shared" si="375"/>
        <v>0</v>
      </c>
      <c r="H841" s="328" t="str">
        <f t="shared" si="368"/>
        <v>E</v>
      </c>
      <c r="I841" s="325" t="s">
        <v>1692</v>
      </c>
      <c r="J841" s="329" t="str">
        <f>IF(B841&lt;&gt;"",+VLOOKUP(I841,Recursos!C:F,2,FALSE),"")</f>
        <v>MOTOCOMPRESOR 7 m3/min-250 cfm</v>
      </c>
      <c r="K841" s="330" t="str">
        <f>IF(B841&lt;&gt;"",+VLOOKUP(I841,Recursos!C:F,3,FALSE),"")</f>
        <v>HR</v>
      </c>
      <c r="L841" s="446">
        <f>IF(B841&lt;&gt;"",+VLOOKUP(I841,Recursos!C:F,4,FALSE),"")</f>
        <v>942.82014000000004</v>
      </c>
      <c r="M841" s="454"/>
      <c r="N841" s="453">
        <v>1</v>
      </c>
      <c r="O841" s="449">
        <f>+N841/M842</f>
        <v>0.16666666666666666</v>
      </c>
      <c r="P841" s="333">
        <f t="shared" si="371"/>
        <v>157.13668999999999</v>
      </c>
      <c r="Q841" s="327">
        <f t="shared" si="372"/>
        <v>0</v>
      </c>
      <c r="R841" s="334">
        <f t="shared" si="373"/>
        <v>0</v>
      </c>
      <c r="S841" s="335">
        <f t="shared" si="376"/>
        <v>834.81258775916422</v>
      </c>
      <c r="T841" s="335">
        <f t="shared" si="377"/>
        <v>196.93618999999998</v>
      </c>
      <c r="U841" s="336">
        <f t="shared" si="378"/>
        <v>0</v>
      </c>
      <c r="V841" s="336">
        <f t="shared" si="379"/>
        <v>0</v>
      </c>
      <c r="W841" s="336">
        <f t="shared" si="380"/>
        <v>0</v>
      </c>
      <c r="X841" s="336">
        <f t="shared" si="381"/>
        <v>0</v>
      </c>
      <c r="Y841" s="320"/>
      <c r="Z841" s="321" t="str">
        <f t="shared" si="385"/>
        <v>X-COL6A</v>
      </c>
      <c r="AA841" s="321" t="str">
        <f t="shared" si="386"/>
        <v>X-COL6E</v>
      </c>
      <c r="AB841" s="321" t="str">
        <f t="shared" si="387"/>
        <v>X-COL6M</v>
      </c>
      <c r="AC841" s="321" t="str">
        <f t="shared" si="388"/>
        <v>X-COL6T</v>
      </c>
      <c r="AD841" s="321" t="str">
        <f t="shared" si="389"/>
        <v>X-COL6S</v>
      </c>
      <c r="AE841" s="321" t="str">
        <f t="shared" si="390"/>
        <v>X-COL6X</v>
      </c>
      <c r="AF841" s="321" t="str">
        <f t="shared" si="391"/>
        <v>X-COL6E</v>
      </c>
      <c r="AG841" s="321">
        <f t="shared" si="382"/>
        <v>8</v>
      </c>
      <c r="AH841" s="321">
        <f>IF(B841&lt;&gt;"",IF(H841="x",VLOOKUP(I841,'AUX-NIV3'!B:AG,32,FALSE),0),"")</f>
        <v>0</v>
      </c>
      <c r="AI841" s="321" t="str">
        <f t="shared" si="392"/>
        <v>X-COL6</v>
      </c>
      <c r="AJ841" s="320"/>
      <c r="AK841" s="322">
        <f t="shared" si="383"/>
        <v>836</v>
      </c>
      <c r="AL841" s="323">
        <f t="shared" si="393"/>
        <v>843</v>
      </c>
      <c r="AM841" s="322">
        <f t="shared" si="394"/>
        <v>6</v>
      </c>
      <c r="AN841" s="380">
        <f>IF(AND(AH841&gt;0,B841&lt;&gt;""),VLOOKUP(I841,'AUX-NIV3'!$B:$AO,39,FALSE)*O841,0)</f>
        <v>0</v>
      </c>
      <c r="AO841" s="380">
        <f t="shared" si="384"/>
        <v>1.75</v>
      </c>
      <c r="AP841" s="380"/>
    </row>
    <row r="842" spans="2:42">
      <c r="B842" s="501" t="s">
        <v>2865</v>
      </c>
      <c r="C842" s="951" t="s">
        <v>2866</v>
      </c>
      <c r="D842" s="326" t="s">
        <v>1160</v>
      </c>
      <c r="E842" s="327">
        <f>IF(B842&lt;&gt;"",SUMIF('AUX-NIV1'!I:I,'AUX-NIV2'!B842,'AUX-NIV1'!Q:Q),"")</f>
        <v>0</v>
      </c>
      <c r="F842" s="327">
        <f t="shared" si="374"/>
        <v>1031.7487777591643</v>
      </c>
      <c r="G842" s="327">
        <f t="shared" si="375"/>
        <v>0</v>
      </c>
      <c r="H842" s="328" t="str">
        <f t="shared" si="368"/>
        <v>E</v>
      </c>
      <c r="I842" s="325" t="s">
        <v>1615</v>
      </c>
      <c r="J842" s="329" t="str">
        <f>IF(B842&lt;&gt;"",+VLOOKUP(I842,Recursos!C:F,2,FALSE),"")</f>
        <v>CAMION MOTOHORMIGONERO CAP. 7 M3</v>
      </c>
      <c r="K842" s="330" t="str">
        <f>IF(B842&lt;&gt;"",+VLOOKUP(I842,Recursos!C:F,3,FALSE),"")</f>
        <v>HR</v>
      </c>
      <c r="L842" s="446">
        <f>IF(B842&lt;&gt;"",+VLOOKUP(I842,Recursos!C:F,4,FALSE),"")</f>
        <v>2415.7289999999998</v>
      </c>
      <c r="M842" s="452">
        <v>6</v>
      </c>
      <c r="N842" s="453">
        <v>0</v>
      </c>
      <c r="O842" s="449">
        <f>+N842/M842</f>
        <v>0</v>
      </c>
      <c r="P842" s="333">
        <f t="shared" si="371"/>
        <v>0</v>
      </c>
      <c r="Q842" s="327">
        <f t="shared" si="372"/>
        <v>0</v>
      </c>
      <c r="R842" s="334">
        <f t="shared" si="373"/>
        <v>0</v>
      </c>
      <c r="S842" s="335">
        <f t="shared" si="376"/>
        <v>834.81258775916422</v>
      </c>
      <c r="T842" s="335">
        <f t="shared" si="377"/>
        <v>196.93618999999998</v>
      </c>
      <c r="U842" s="336">
        <f t="shared" si="378"/>
        <v>0</v>
      </c>
      <c r="V842" s="336">
        <f t="shared" si="379"/>
        <v>0</v>
      </c>
      <c r="W842" s="336">
        <f t="shared" si="380"/>
        <v>0</v>
      </c>
      <c r="X842" s="336">
        <f t="shared" si="381"/>
        <v>0</v>
      </c>
      <c r="Y842" s="320"/>
      <c r="Z842" s="321" t="str">
        <f t="shared" si="385"/>
        <v>X-COL6A</v>
      </c>
      <c r="AA842" s="321" t="str">
        <f t="shared" si="386"/>
        <v>X-COL6E</v>
      </c>
      <c r="AB842" s="321" t="str">
        <f t="shared" si="387"/>
        <v>X-COL6M</v>
      </c>
      <c r="AC842" s="321" t="str">
        <f t="shared" si="388"/>
        <v>X-COL6T</v>
      </c>
      <c r="AD842" s="321" t="str">
        <f t="shared" si="389"/>
        <v>X-COL6S</v>
      </c>
      <c r="AE842" s="321" t="str">
        <f t="shared" si="390"/>
        <v>X-COL6X</v>
      </c>
      <c r="AF842" s="321" t="str">
        <f t="shared" si="391"/>
        <v>X-COL6E</v>
      </c>
      <c r="AG842" s="321">
        <f t="shared" si="382"/>
        <v>8</v>
      </c>
      <c r="AH842" s="321">
        <f>IF(B842&lt;&gt;"",IF(H842="x",VLOOKUP(I842,'AUX-NIV3'!B:AG,32,FALSE),0),"")</f>
        <v>0</v>
      </c>
      <c r="AI842" s="321" t="str">
        <f t="shared" si="392"/>
        <v>X-COL6</v>
      </c>
      <c r="AJ842" s="320"/>
      <c r="AK842" s="322">
        <f t="shared" si="383"/>
        <v>836</v>
      </c>
      <c r="AL842" s="323">
        <f t="shared" si="393"/>
        <v>843</v>
      </c>
      <c r="AM842" s="322">
        <f t="shared" si="394"/>
        <v>7</v>
      </c>
      <c r="AN842" s="380">
        <f>IF(AND(AH842&gt;0,B842&lt;&gt;""),VLOOKUP(I842,'AUX-NIV3'!$B:$AO,39,FALSE)*O842,0)</f>
        <v>0</v>
      </c>
      <c r="AO842" s="380">
        <f t="shared" si="384"/>
        <v>1.75</v>
      </c>
      <c r="AP842" s="380"/>
    </row>
    <row r="843" spans="2:42" ht="13.8" thickBot="1">
      <c r="B843" s="501" t="s">
        <v>2865</v>
      </c>
      <c r="C843" s="951" t="s">
        <v>2866</v>
      </c>
      <c r="D843" s="326" t="s">
        <v>1160</v>
      </c>
      <c r="E843" s="327">
        <f>IF(B843&lt;&gt;"",SUMIF('AUX-NIV1'!I:I,'AUX-NIV2'!B843,'AUX-NIV1'!Q:Q),"")</f>
        <v>0</v>
      </c>
      <c r="F843" s="327">
        <f t="shared" si="374"/>
        <v>1031.7487777591643</v>
      </c>
      <c r="G843" s="327">
        <f t="shared" si="375"/>
        <v>0</v>
      </c>
      <c r="H843" s="328" t="str">
        <f t="shared" si="368"/>
        <v>E</v>
      </c>
      <c r="I843" s="325" t="s">
        <v>1625</v>
      </c>
      <c r="J843" s="329" t="str">
        <f>IF(B843&lt;&gt;"",+VLOOKUP(I843,Recursos!C:F,2,FALSE),"")</f>
        <v>VIBRADOR DE INMERSION d=57 mm (NE)</v>
      </c>
      <c r="K843" s="330" t="str">
        <f>IF(B843&lt;&gt;"",+VLOOKUP(I843,Recursos!C:F,3,FALSE),"")</f>
        <v>HR</v>
      </c>
      <c r="L843" s="446">
        <f>IF(B843&lt;&gt;"",+VLOOKUP(I843,Recursos!C:F,4,FALSE),"")</f>
        <v>79.599000000000004</v>
      </c>
      <c r="M843" s="456"/>
      <c r="N843" s="451">
        <v>3</v>
      </c>
      <c r="O843" s="449">
        <f>+N843/M842</f>
        <v>0.5</v>
      </c>
      <c r="P843" s="333">
        <f t="shared" si="371"/>
        <v>39.799500000000002</v>
      </c>
      <c r="Q843" s="327">
        <f t="shared" si="372"/>
        <v>0</v>
      </c>
      <c r="R843" s="334">
        <f t="shared" si="373"/>
        <v>0</v>
      </c>
      <c r="S843" s="335">
        <f t="shared" si="376"/>
        <v>834.81258775916422</v>
      </c>
      <c r="T843" s="335">
        <f t="shared" si="377"/>
        <v>196.93618999999998</v>
      </c>
      <c r="U843" s="336">
        <f t="shared" si="378"/>
        <v>0</v>
      </c>
      <c r="V843" s="336">
        <f t="shared" si="379"/>
        <v>0</v>
      </c>
      <c r="W843" s="336">
        <f t="shared" si="380"/>
        <v>0</v>
      </c>
      <c r="X843" s="336">
        <f t="shared" si="381"/>
        <v>0</v>
      </c>
      <c r="Y843" s="320"/>
      <c r="Z843" s="321" t="str">
        <f t="shared" si="385"/>
        <v>X-COL6A</v>
      </c>
      <c r="AA843" s="321" t="str">
        <f t="shared" si="386"/>
        <v>X-COL6E</v>
      </c>
      <c r="AB843" s="321" t="str">
        <f t="shared" si="387"/>
        <v>X-COL6M</v>
      </c>
      <c r="AC843" s="321" t="str">
        <f t="shared" si="388"/>
        <v>X-COL6T</v>
      </c>
      <c r="AD843" s="321" t="str">
        <f t="shared" si="389"/>
        <v>X-COL6S</v>
      </c>
      <c r="AE843" s="321" t="str">
        <f t="shared" si="390"/>
        <v>X-COL6X</v>
      </c>
      <c r="AF843" s="321" t="str">
        <f t="shared" si="391"/>
        <v>X-COL6E</v>
      </c>
      <c r="AG843" s="321">
        <f t="shared" si="382"/>
        <v>8</v>
      </c>
      <c r="AH843" s="321">
        <f>IF(B843&lt;&gt;"",IF(H843="x",VLOOKUP(I843,'AUX-NIV3'!B:AG,32,FALSE),0),"")</f>
        <v>0</v>
      </c>
      <c r="AI843" s="321" t="str">
        <f t="shared" si="392"/>
        <v>X-COL6</v>
      </c>
      <c r="AJ843" s="320"/>
      <c r="AK843" s="322">
        <f t="shared" si="383"/>
        <v>836</v>
      </c>
      <c r="AL843" s="323">
        <f t="shared" si="393"/>
        <v>843</v>
      </c>
      <c r="AM843" s="322">
        <f t="shared" si="394"/>
        <v>8</v>
      </c>
      <c r="AN843" s="380">
        <f>IF(AND(AH843&gt;0,B843&lt;&gt;""),VLOOKUP(I843,'AUX-NIV3'!$B:$AO,39,FALSE)*O843,0)</f>
        <v>0</v>
      </c>
      <c r="AO843" s="380">
        <f t="shared" si="384"/>
        <v>1.75</v>
      </c>
      <c r="AP843" s="380"/>
    </row>
    <row r="844" spans="2:42" ht="13.8" hidden="1" thickTop="1">
      <c r="B844" s="501" t="s">
        <v>2867</v>
      </c>
      <c r="C844" s="950" t="s">
        <v>2868</v>
      </c>
      <c r="D844" s="326" t="s">
        <v>501</v>
      </c>
      <c r="E844" s="327">
        <f>IF(B844&lt;&gt;"",SUMIF('AUX-NIV1'!I:I,'AUX-NIV2'!B844,'AUX-NIV1'!Q:Q),"")</f>
        <v>0</v>
      </c>
      <c r="F844" s="327">
        <f t="shared" si="374"/>
        <v>2037.7255225477702</v>
      </c>
      <c r="G844" s="327">
        <f t="shared" si="375"/>
        <v>0</v>
      </c>
      <c r="H844" s="328" t="str">
        <f t="shared" si="368"/>
        <v>A</v>
      </c>
      <c r="I844" s="325" t="s">
        <v>1745</v>
      </c>
      <c r="J844" s="329" t="str">
        <f>IF(B844&lt;&gt;"",+VLOOKUP(I844,Recursos!C:F,2,FALSE),"")</f>
        <v>AYUDANTE</v>
      </c>
      <c r="K844" s="330" t="str">
        <f>IF(B844&lt;&gt;"",+VLOOKUP(I844,Recursos!C:F,3,FALSE),"")</f>
        <v>hh</v>
      </c>
      <c r="L844" s="446">
        <f>IF(B844&lt;&gt;"",+VLOOKUP(I844,Recursos!C:F,4,FALSE),"")</f>
        <v>422.48042769667234</v>
      </c>
      <c r="M844" s="447">
        <v>1.5</v>
      </c>
      <c r="N844" s="515"/>
      <c r="O844" s="449">
        <f>+M844</f>
        <v>1.5</v>
      </c>
      <c r="P844" s="333">
        <f t="shared" si="371"/>
        <v>633.72064154500845</v>
      </c>
      <c r="Q844" s="327">
        <f t="shared" si="372"/>
        <v>0</v>
      </c>
      <c r="R844" s="334">
        <f t="shared" si="373"/>
        <v>0</v>
      </c>
      <c r="S844" s="335">
        <f t="shared" si="376"/>
        <v>1705.8952095640293</v>
      </c>
      <c r="T844" s="335">
        <f t="shared" si="377"/>
        <v>118.90361250000001</v>
      </c>
      <c r="U844" s="336">
        <f t="shared" si="378"/>
        <v>212.92670048374094</v>
      </c>
      <c r="V844" s="336">
        <f t="shared" si="379"/>
        <v>0</v>
      </c>
      <c r="W844" s="336">
        <f t="shared" si="380"/>
        <v>0</v>
      </c>
      <c r="X844" s="336">
        <f t="shared" si="381"/>
        <v>0</v>
      </c>
      <c r="Y844" s="320"/>
      <c r="Z844" s="321" t="str">
        <f t="shared" si="385"/>
        <v>X-ENC1A</v>
      </c>
      <c r="AA844" s="321" t="str">
        <f t="shared" si="386"/>
        <v>X-ENC1E</v>
      </c>
      <c r="AB844" s="321" t="str">
        <f t="shared" si="387"/>
        <v>X-ENC1M</v>
      </c>
      <c r="AC844" s="321" t="str">
        <f t="shared" si="388"/>
        <v>X-ENC1T</v>
      </c>
      <c r="AD844" s="321" t="str">
        <f t="shared" si="389"/>
        <v>X-ENC1S</v>
      </c>
      <c r="AE844" s="321" t="str">
        <f t="shared" si="390"/>
        <v>X-ENC1X</v>
      </c>
      <c r="AF844" s="321" t="str">
        <f t="shared" si="391"/>
        <v>X-ENC1A</v>
      </c>
      <c r="AG844" s="321">
        <f t="shared" si="382"/>
        <v>14</v>
      </c>
      <c r="AH844" s="321">
        <f>IF(B844&lt;&gt;"",IF(H844="x",VLOOKUP(I844,'AUX-NIV3'!B:AG,32,FALSE),0),"")</f>
        <v>0</v>
      </c>
      <c r="AI844" s="321" t="str">
        <f t="shared" si="392"/>
        <v>X-ENC1</v>
      </c>
      <c r="AJ844" s="320"/>
      <c r="AK844" s="322">
        <f t="shared" si="383"/>
        <v>844</v>
      </c>
      <c r="AL844" s="323">
        <f t="shared" si="393"/>
        <v>857</v>
      </c>
      <c r="AM844" s="322">
        <f t="shared" si="394"/>
        <v>1</v>
      </c>
      <c r="AN844" s="380">
        <f>IF(AND(AH844&gt;0,B844&lt;&gt;""),VLOOKUP(I844,'AUX-NIV3'!$B:$AO,39,FALSE)*O844,0)</f>
        <v>0</v>
      </c>
      <c r="AO844" s="380">
        <f t="shared" si="384"/>
        <v>3.625</v>
      </c>
      <c r="AP844" s="380"/>
    </row>
    <row r="845" spans="2:42" ht="14.4" hidden="1" thickTop="1" thickBot="1">
      <c r="B845" s="501" t="s">
        <v>2867</v>
      </c>
      <c r="C845" s="950" t="s">
        <v>2868</v>
      </c>
      <c r="D845" s="326" t="s">
        <v>501</v>
      </c>
      <c r="E845" s="327">
        <f>IF(B845&lt;&gt;"",SUMIF('AUX-NIV1'!I:I,'AUX-NIV2'!B845,'AUX-NIV1'!Q:Q),"")</f>
        <v>0</v>
      </c>
      <c r="F845" s="327">
        <f t="shared" si="374"/>
        <v>2037.7255225477702</v>
      </c>
      <c r="G845" s="327">
        <f t="shared" si="375"/>
        <v>0</v>
      </c>
      <c r="H845" s="328" t="str">
        <f t="shared" si="368"/>
        <v>A</v>
      </c>
      <c r="I845" s="325" t="s">
        <v>1746</v>
      </c>
      <c r="J845" s="329" t="str">
        <f>IF(B845&lt;&gt;"",+VLOOKUP(I845,Recursos!C:F,2,FALSE),"")</f>
        <v>OFICIAL</v>
      </c>
      <c r="K845" s="330" t="str">
        <f>IF(B845&lt;&gt;"",+VLOOKUP(I845,Recursos!C:F,3,FALSE),"")</f>
        <v>hh</v>
      </c>
      <c r="L845" s="446">
        <f>IF(B845&lt;&gt;"",+VLOOKUP(I845,Recursos!C:F,4,FALSE),"")</f>
        <v>496.91595439275824</v>
      </c>
      <c r="M845" s="452">
        <v>1</v>
      </c>
      <c r="N845" s="455"/>
      <c r="O845" s="449">
        <f>+M845</f>
        <v>1</v>
      </c>
      <c r="P845" s="333">
        <f t="shared" si="371"/>
        <v>496.91595439275824</v>
      </c>
      <c r="Q845" s="327">
        <f t="shared" si="372"/>
        <v>0</v>
      </c>
      <c r="R845" s="334">
        <f t="shared" si="373"/>
        <v>0</v>
      </c>
      <c r="S845" s="335">
        <f t="shared" si="376"/>
        <v>1705.8952095640293</v>
      </c>
      <c r="T845" s="335">
        <f t="shared" si="377"/>
        <v>118.90361250000001</v>
      </c>
      <c r="U845" s="336">
        <f t="shared" si="378"/>
        <v>212.92670048374094</v>
      </c>
      <c r="V845" s="336">
        <f t="shared" si="379"/>
        <v>0</v>
      </c>
      <c r="W845" s="336">
        <f t="shared" si="380"/>
        <v>0</v>
      </c>
      <c r="X845" s="336">
        <f t="shared" si="381"/>
        <v>0</v>
      </c>
      <c r="Y845" s="320"/>
      <c r="Z845" s="321" t="str">
        <f t="shared" si="385"/>
        <v>X-ENC1A</v>
      </c>
      <c r="AA845" s="321" t="str">
        <f t="shared" si="386"/>
        <v>X-ENC1E</v>
      </c>
      <c r="AB845" s="321" t="str">
        <f t="shared" si="387"/>
        <v>X-ENC1M</v>
      </c>
      <c r="AC845" s="321" t="str">
        <f t="shared" si="388"/>
        <v>X-ENC1T</v>
      </c>
      <c r="AD845" s="321" t="str">
        <f t="shared" si="389"/>
        <v>X-ENC1S</v>
      </c>
      <c r="AE845" s="321" t="str">
        <f t="shared" si="390"/>
        <v>X-ENC1X</v>
      </c>
      <c r="AF845" s="321" t="str">
        <f t="shared" si="391"/>
        <v>X-ENC1A</v>
      </c>
      <c r="AG845" s="321">
        <f t="shared" si="382"/>
        <v>14</v>
      </c>
      <c r="AH845" s="321">
        <f>IF(B845&lt;&gt;"",IF(H845="x",VLOOKUP(I845,'AUX-NIV3'!B:AG,32,FALSE),0),"")</f>
        <v>0</v>
      </c>
      <c r="AI845" s="321" t="str">
        <f t="shared" si="392"/>
        <v>X-ENC1</v>
      </c>
      <c r="AJ845" s="320"/>
      <c r="AK845" s="322">
        <f t="shared" si="383"/>
        <v>844</v>
      </c>
      <c r="AL845" s="323">
        <f t="shared" si="393"/>
        <v>857</v>
      </c>
      <c r="AM845" s="322">
        <f t="shared" si="394"/>
        <v>2</v>
      </c>
      <c r="AN845" s="380">
        <f>IF(AND(AH845&gt;0,B845&lt;&gt;""),VLOOKUP(I845,'AUX-NIV3'!$B:$AO,39,FALSE)*O845,0)</f>
        <v>0</v>
      </c>
      <c r="AO845" s="380">
        <f t="shared" si="384"/>
        <v>3.625</v>
      </c>
      <c r="AP845" s="380"/>
    </row>
    <row r="846" spans="2:42" ht="14.4" hidden="1" thickTop="1" thickBot="1">
      <c r="B846" s="501" t="s">
        <v>2867</v>
      </c>
      <c r="C846" s="950" t="s">
        <v>2868</v>
      </c>
      <c r="D846" s="326" t="s">
        <v>501</v>
      </c>
      <c r="E846" s="327">
        <f>IF(B846&lt;&gt;"",SUMIF('AUX-NIV1'!I:I,'AUX-NIV2'!B846,'AUX-NIV1'!Q:Q),"")</f>
        <v>0</v>
      </c>
      <c r="F846" s="327">
        <f t="shared" si="374"/>
        <v>2037.7255225477702</v>
      </c>
      <c r="G846" s="327">
        <f t="shared" si="375"/>
        <v>0</v>
      </c>
      <c r="H846" s="328" t="str">
        <f t="shared" si="368"/>
        <v>A</v>
      </c>
      <c r="I846" s="325" t="s">
        <v>3309</v>
      </c>
      <c r="J846" s="329" t="str">
        <f>IF(B846&lt;&gt;"",+VLOOKUP(I846,Recursos!C:F,2,FALSE),"")</f>
        <v>MEDIO OFICIAL</v>
      </c>
      <c r="K846" s="330" t="str">
        <f>IF(B846&lt;&gt;"",+VLOOKUP(I846,Recursos!C:F,3,FALSE),"")</f>
        <v>hh</v>
      </c>
      <c r="L846" s="446">
        <f>IF(B846&lt;&gt;"",+VLOOKUP(I846,Recursos!C:F,4,FALSE),"")</f>
        <v>459.10093211890984</v>
      </c>
      <c r="M846" s="452">
        <v>0.6</v>
      </c>
      <c r="N846" s="455"/>
      <c r="O846" s="449">
        <f>+M846</f>
        <v>0.6</v>
      </c>
      <c r="P846" s="333">
        <f t="shared" si="371"/>
        <v>275.46055927134591</v>
      </c>
      <c r="Q846" s="327">
        <f t="shared" si="372"/>
        <v>0</v>
      </c>
      <c r="R846" s="334">
        <f t="shared" si="373"/>
        <v>0</v>
      </c>
      <c r="S846" s="335">
        <f t="shared" si="376"/>
        <v>1705.8952095640293</v>
      </c>
      <c r="T846" s="335">
        <f t="shared" si="377"/>
        <v>118.90361250000001</v>
      </c>
      <c r="U846" s="336">
        <f t="shared" si="378"/>
        <v>212.92670048374094</v>
      </c>
      <c r="V846" s="336">
        <f t="shared" si="379"/>
        <v>0</v>
      </c>
      <c r="W846" s="336">
        <f t="shared" si="380"/>
        <v>0</v>
      </c>
      <c r="X846" s="336">
        <f t="shared" si="381"/>
        <v>0</v>
      </c>
      <c r="Y846" s="320"/>
      <c r="Z846" s="321" t="str">
        <f t="shared" si="385"/>
        <v>X-ENC1A</v>
      </c>
      <c r="AA846" s="321" t="str">
        <f t="shared" si="386"/>
        <v>X-ENC1E</v>
      </c>
      <c r="AB846" s="321" t="str">
        <f t="shared" si="387"/>
        <v>X-ENC1M</v>
      </c>
      <c r="AC846" s="321" t="str">
        <f t="shared" si="388"/>
        <v>X-ENC1T</v>
      </c>
      <c r="AD846" s="321" t="str">
        <f t="shared" si="389"/>
        <v>X-ENC1S</v>
      </c>
      <c r="AE846" s="321" t="str">
        <f t="shared" si="390"/>
        <v>X-ENC1X</v>
      </c>
      <c r="AF846" s="321" t="str">
        <f t="shared" si="391"/>
        <v>X-ENC1A</v>
      </c>
      <c r="AG846" s="321">
        <f t="shared" si="382"/>
        <v>14</v>
      </c>
      <c r="AH846" s="321">
        <f>IF(B846&lt;&gt;"",IF(H846="x",VLOOKUP(I846,'AUX-NIV3'!B:AG,32,FALSE),0),"")</f>
        <v>0</v>
      </c>
      <c r="AI846" s="321" t="str">
        <f t="shared" si="392"/>
        <v>X-ENC1</v>
      </c>
      <c r="AJ846" s="320"/>
      <c r="AK846" s="322">
        <f t="shared" si="383"/>
        <v>844</v>
      </c>
      <c r="AL846" s="323">
        <f t="shared" si="393"/>
        <v>857</v>
      </c>
      <c r="AM846" s="322">
        <f t="shared" si="394"/>
        <v>3</v>
      </c>
      <c r="AN846" s="380">
        <f>IF(AND(AH846&gt;0,B846&lt;&gt;""),VLOOKUP(I846,'AUX-NIV3'!$B:$AO,39,FALSE)*O846,0)</f>
        <v>0</v>
      </c>
      <c r="AO846" s="380">
        <f t="shared" si="384"/>
        <v>3.625</v>
      </c>
      <c r="AP846" s="380"/>
    </row>
    <row r="847" spans="2:42" ht="14.4" hidden="1" thickTop="1" thickBot="1">
      <c r="B847" s="501" t="s">
        <v>2867</v>
      </c>
      <c r="C847" s="950" t="s">
        <v>2868</v>
      </c>
      <c r="D847" s="326" t="s">
        <v>501</v>
      </c>
      <c r="E847" s="327">
        <f>IF(B847&lt;&gt;"",SUMIF('AUX-NIV1'!I:I,'AUX-NIV2'!B847,'AUX-NIV1'!Q:Q),"")</f>
        <v>0</v>
      </c>
      <c r="F847" s="327">
        <f t="shared" si="374"/>
        <v>2037.7255225477702</v>
      </c>
      <c r="G847" s="327">
        <f t="shared" si="375"/>
        <v>0</v>
      </c>
      <c r="H847" s="328" t="str">
        <f t="shared" ref="H847:H912" si="395">IF(B847&lt;&gt;"",+LEFT(I847,1),"")</f>
        <v>A</v>
      </c>
      <c r="I847" s="325" t="s">
        <v>3310</v>
      </c>
      <c r="J847" s="329" t="str">
        <f>IF(B847&lt;&gt;"",+VLOOKUP(I847,Recursos!C:F,2,FALSE),"")</f>
        <v>OFICIAL ESPECIALIZADO</v>
      </c>
      <c r="K847" s="330" t="str">
        <f>IF(B847&lt;&gt;"",+VLOOKUP(I847,Recursos!C:F,3,FALSE),"")</f>
        <v>hh</v>
      </c>
      <c r="L847" s="446">
        <f>IF(B847&lt;&gt;"",+VLOOKUP(I847,Recursos!C:F,4,FALSE),"")</f>
        <v>581.06120476836554</v>
      </c>
      <c r="M847" s="452">
        <v>0.4</v>
      </c>
      <c r="N847" s="455"/>
      <c r="O847" s="449">
        <f>+M847</f>
        <v>0.4</v>
      </c>
      <c r="P847" s="333">
        <f t="shared" si="371"/>
        <v>232.42448190734623</v>
      </c>
      <c r="Q847" s="327">
        <f t="shared" si="372"/>
        <v>0</v>
      </c>
      <c r="R847" s="334">
        <f t="shared" si="373"/>
        <v>0</v>
      </c>
      <c r="S847" s="335">
        <f t="shared" si="376"/>
        <v>1705.8952095640293</v>
      </c>
      <c r="T847" s="335">
        <f t="shared" si="377"/>
        <v>118.90361250000001</v>
      </c>
      <c r="U847" s="336">
        <f t="shared" si="378"/>
        <v>212.92670048374094</v>
      </c>
      <c r="V847" s="336">
        <f t="shared" si="379"/>
        <v>0</v>
      </c>
      <c r="W847" s="336">
        <f t="shared" si="380"/>
        <v>0</v>
      </c>
      <c r="X847" s="336">
        <f t="shared" si="381"/>
        <v>0</v>
      </c>
      <c r="Y847" s="320"/>
      <c r="Z847" s="321" t="str">
        <f t="shared" si="385"/>
        <v>X-ENC1A</v>
      </c>
      <c r="AA847" s="321" t="str">
        <f t="shared" si="386"/>
        <v>X-ENC1E</v>
      </c>
      <c r="AB847" s="321" t="str">
        <f t="shared" si="387"/>
        <v>X-ENC1M</v>
      </c>
      <c r="AC847" s="321" t="str">
        <f t="shared" si="388"/>
        <v>X-ENC1T</v>
      </c>
      <c r="AD847" s="321" t="str">
        <f t="shared" si="389"/>
        <v>X-ENC1S</v>
      </c>
      <c r="AE847" s="321" t="str">
        <f t="shared" si="390"/>
        <v>X-ENC1X</v>
      </c>
      <c r="AF847" s="321" t="str">
        <f t="shared" si="391"/>
        <v>X-ENC1A</v>
      </c>
      <c r="AG847" s="321">
        <f t="shared" si="382"/>
        <v>14</v>
      </c>
      <c r="AH847" s="321">
        <f>IF(B847&lt;&gt;"",IF(H847="x",VLOOKUP(I847,'AUX-NIV3'!B:AG,32,FALSE),0),"")</f>
        <v>0</v>
      </c>
      <c r="AI847" s="321" t="str">
        <f t="shared" si="392"/>
        <v>X-ENC1</v>
      </c>
      <c r="AJ847" s="320"/>
      <c r="AK847" s="322">
        <f t="shared" si="383"/>
        <v>844</v>
      </c>
      <c r="AL847" s="323">
        <f t="shared" si="393"/>
        <v>857</v>
      </c>
      <c r="AM847" s="322">
        <f t="shared" si="394"/>
        <v>4</v>
      </c>
      <c r="AN847" s="380">
        <f>IF(AND(AH847&gt;0,B847&lt;&gt;""),VLOOKUP(I847,'AUX-NIV3'!$B:$AO,39,FALSE)*O847,0)</f>
        <v>0</v>
      </c>
      <c r="AO847" s="380">
        <f t="shared" si="384"/>
        <v>3.625</v>
      </c>
      <c r="AP847" s="380"/>
    </row>
    <row r="848" spans="2:42" ht="14.4" hidden="1" thickTop="1" thickBot="1">
      <c r="B848" s="501" t="s">
        <v>2867</v>
      </c>
      <c r="C848" s="950" t="s">
        <v>2868</v>
      </c>
      <c r="D848" s="326" t="s">
        <v>501</v>
      </c>
      <c r="E848" s="327">
        <f>IF(B848&lt;&gt;"",SUMIF('AUX-NIV1'!I:I,'AUX-NIV2'!B848,'AUX-NIV1'!Q:Q),"")</f>
        <v>0</v>
      </c>
      <c r="F848" s="327">
        <f t="shared" si="374"/>
        <v>2037.7255225477702</v>
      </c>
      <c r="G848" s="327">
        <f t="shared" si="375"/>
        <v>0</v>
      </c>
      <c r="H848" s="328" t="str">
        <f t="shared" si="395"/>
        <v>A</v>
      </c>
      <c r="I848" s="325" t="s">
        <v>1746</v>
      </c>
      <c r="J848" s="329" t="str">
        <f>IF(B848&lt;&gt;"",+VLOOKUP(I848,Recursos!C:F,2,FALSE),"")</f>
        <v>OFICIAL</v>
      </c>
      <c r="K848" s="330" t="str">
        <f>IF(B848&lt;&gt;"",+VLOOKUP(I848,Recursos!C:F,3,FALSE),"")</f>
        <v>hh</v>
      </c>
      <c r="L848" s="446">
        <f>IF(B848&lt;&gt;"",+VLOOKUP(I848,Recursos!C:F,4,FALSE),"")</f>
        <v>496.91595439275824</v>
      </c>
      <c r="M848" s="452">
        <v>0.05</v>
      </c>
      <c r="N848" s="453">
        <v>1.25</v>
      </c>
      <c r="O848" s="449">
        <f>+M848*N848</f>
        <v>6.25E-2</v>
      </c>
      <c r="P848" s="333">
        <f t="shared" si="371"/>
        <v>31.05724714954739</v>
      </c>
      <c r="Q848" s="327">
        <f t="shared" si="372"/>
        <v>0</v>
      </c>
      <c r="R848" s="334">
        <f t="shared" si="373"/>
        <v>0</v>
      </c>
      <c r="S848" s="335">
        <f t="shared" si="376"/>
        <v>1705.8952095640293</v>
      </c>
      <c r="T848" s="335">
        <f t="shared" si="377"/>
        <v>118.90361250000001</v>
      </c>
      <c r="U848" s="336">
        <f t="shared" si="378"/>
        <v>212.92670048374094</v>
      </c>
      <c r="V848" s="336">
        <f t="shared" si="379"/>
        <v>0</v>
      </c>
      <c r="W848" s="336">
        <f t="shared" si="380"/>
        <v>0</v>
      </c>
      <c r="X848" s="336">
        <f t="shared" si="381"/>
        <v>0</v>
      </c>
      <c r="Y848" s="320"/>
      <c r="Z848" s="321" t="str">
        <f t="shared" si="385"/>
        <v>X-ENC1A</v>
      </c>
      <c r="AA848" s="321" t="str">
        <f t="shared" si="386"/>
        <v>X-ENC1E</v>
      </c>
      <c r="AB848" s="321" t="str">
        <f t="shared" si="387"/>
        <v>X-ENC1M</v>
      </c>
      <c r="AC848" s="321" t="str">
        <f t="shared" si="388"/>
        <v>X-ENC1T</v>
      </c>
      <c r="AD848" s="321" t="str">
        <f t="shared" si="389"/>
        <v>X-ENC1S</v>
      </c>
      <c r="AE848" s="321" t="str">
        <f t="shared" si="390"/>
        <v>X-ENC1X</v>
      </c>
      <c r="AF848" s="321" t="str">
        <f t="shared" si="391"/>
        <v>X-ENC1A</v>
      </c>
      <c r="AG848" s="321">
        <f t="shared" si="382"/>
        <v>14</v>
      </c>
      <c r="AH848" s="321">
        <f>IF(B848&lt;&gt;"",IF(H848="x",VLOOKUP(I848,'AUX-NIV3'!B:AG,32,FALSE),0),"")</f>
        <v>0</v>
      </c>
      <c r="AI848" s="321" t="str">
        <f t="shared" si="392"/>
        <v>X-ENC1</v>
      </c>
      <c r="AJ848" s="320"/>
      <c r="AK848" s="322">
        <f t="shared" si="383"/>
        <v>844</v>
      </c>
      <c r="AL848" s="323">
        <f t="shared" si="393"/>
        <v>857</v>
      </c>
      <c r="AM848" s="322">
        <f t="shared" si="394"/>
        <v>5</v>
      </c>
      <c r="AN848" s="380">
        <f>IF(AND(AH848&gt;0,B848&lt;&gt;""),VLOOKUP(I848,'AUX-NIV3'!$B:$AO,39,FALSE)*O848,0)</f>
        <v>0</v>
      </c>
      <c r="AO848" s="380">
        <f t="shared" si="384"/>
        <v>3.625</v>
      </c>
      <c r="AP848" s="380"/>
    </row>
    <row r="849" spans="2:42" ht="14.4" hidden="1" thickTop="1" thickBot="1">
      <c r="B849" s="501" t="s">
        <v>2867</v>
      </c>
      <c r="C849" s="950" t="s">
        <v>2868</v>
      </c>
      <c r="D849" s="326" t="s">
        <v>501</v>
      </c>
      <c r="E849" s="327">
        <f>IF(B849&lt;&gt;"",SUMIF('AUX-NIV1'!I:I,'AUX-NIV2'!B849,'AUX-NIV1'!Q:Q),"")</f>
        <v>0</v>
      </c>
      <c r="F849" s="327">
        <f t="shared" si="374"/>
        <v>2037.7255225477702</v>
      </c>
      <c r="G849" s="327">
        <f t="shared" si="375"/>
        <v>0</v>
      </c>
      <c r="H849" s="328" t="str">
        <f t="shared" si="395"/>
        <v>E</v>
      </c>
      <c r="I849" s="325" t="s">
        <v>1597</v>
      </c>
      <c r="J849" s="329" t="str">
        <f>IF(B849&lt;&gt;"",+VLOOKUP(I849,Recursos!C:F,2,FALSE),"")</f>
        <v>HIDROGRUA MONTADA S/CAMION (6 T)</v>
      </c>
      <c r="K849" s="330" t="str">
        <f>IF(B849&lt;&gt;"",+VLOOKUP(I849,Recursos!C:F,3,FALSE),"")</f>
        <v>HR</v>
      </c>
      <c r="L849" s="446">
        <f>IF(B849&lt;&gt;"",+VLOOKUP(I849,Recursos!C:F,4,FALSE),"")</f>
        <v>2378.0722500000002</v>
      </c>
      <c r="M849" s="452">
        <v>0.05</v>
      </c>
      <c r="N849" s="453">
        <v>1</v>
      </c>
      <c r="O849" s="449">
        <f>+M849*N849</f>
        <v>0.05</v>
      </c>
      <c r="P849" s="333">
        <f t="shared" si="371"/>
        <v>118.90361250000001</v>
      </c>
      <c r="Q849" s="327">
        <f t="shared" si="372"/>
        <v>0</v>
      </c>
      <c r="R849" s="334">
        <f t="shared" si="373"/>
        <v>0</v>
      </c>
      <c r="S849" s="335">
        <f t="shared" si="376"/>
        <v>1705.8952095640293</v>
      </c>
      <c r="T849" s="335">
        <f t="shared" si="377"/>
        <v>118.90361250000001</v>
      </c>
      <c r="U849" s="336">
        <f t="shared" si="378"/>
        <v>212.92670048374094</v>
      </c>
      <c r="V849" s="336">
        <f t="shared" si="379"/>
        <v>0</v>
      </c>
      <c r="W849" s="336">
        <f t="shared" si="380"/>
        <v>0</v>
      </c>
      <c r="X849" s="336">
        <f t="shared" si="381"/>
        <v>0</v>
      </c>
      <c r="Y849" s="320"/>
      <c r="Z849" s="321" t="str">
        <f t="shared" si="385"/>
        <v>X-ENC1A</v>
      </c>
      <c r="AA849" s="321" t="str">
        <f t="shared" si="386"/>
        <v>X-ENC1E</v>
      </c>
      <c r="AB849" s="321" t="str">
        <f t="shared" si="387"/>
        <v>X-ENC1M</v>
      </c>
      <c r="AC849" s="321" t="str">
        <f t="shared" si="388"/>
        <v>X-ENC1T</v>
      </c>
      <c r="AD849" s="321" t="str">
        <f t="shared" si="389"/>
        <v>X-ENC1S</v>
      </c>
      <c r="AE849" s="321" t="str">
        <f t="shared" si="390"/>
        <v>X-ENC1X</v>
      </c>
      <c r="AF849" s="321" t="str">
        <f t="shared" si="391"/>
        <v>X-ENC1E</v>
      </c>
      <c r="AG849" s="321">
        <f t="shared" si="382"/>
        <v>14</v>
      </c>
      <c r="AH849" s="321">
        <f>IF(B849&lt;&gt;"",IF(H849="x",VLOOKUP(I849,'AUX-NIV3'!B:AG,32,FALSE),0),"")</f>
        <v>0</v>
      </c>
      <c r="AI849" s="321" t="str">
        <f t="shared" si="392"/>
        <v>X-ENC1</v>
      </c>
      <c r="AJ849" s="320"/>
      <c r="AK849" s="322">
        <f t="shared" si="383"/>
        <v>844</v>
      </c>
      <c r="AL849" s="323">
        <f t="shared" si="393"/>
        <v>857</v>
      </c>
      <c r="AM849" s="322">
        <f t="shared" si="394"/>
        <v>6</v>
      </c>
      <c r="AN849" s="380">
        <f>IF(AND(AH849&gt;0,B849&lt;&gt;""),VLOOKUP(I849,'AUX-NIV3'!$B:$AO,39,FALSE)*O849,0)</f>
        <v>0</v>
      </c>
      <c r="AO849" s="380">
        <f t="shared" si="384"/>
        <v>3.625</v>
      </c>
      <c r="AP849" s="380"/>
    </row>
    <row r="850" spans="2:42" ht="14.4" hidden="1" thickTop="1" thickBot="1">
      <c r="B850" s="501" t="s">
        <v>2867</v>
      </c>
      <c r="C850" s="950" t="s">
        <v>2868</v>
      </c>
      <c r="D850" s="326" t="s">
        <v>501</v>
      </c>
      <c r="E850" s="327">
        <f>IF(B850&lt;&gt;"",SUMIF('AUX-NIV1'!I:I,'AUX-NIV2'!B850,'AUX-NIV1'!Q:Q),"")</f>
        <v>0</v>
      </c>
      <c r="F850" s="327">
        <f t="shared" si="374"/>
        <v>2037.7255225477702</v>
      </c>
      <c r="G850" s="327">
        <f t="shared" si="375"/>
        <v>0</v>
      </c>
      <c r="H850" s="328" t="str">
        <f>IF(B850&lt;&gt;"",+LEFT(I850,1),"")</f>
        <v>A</v>
      </c>
      <c r="I850" s="325" t="s">
        <v>3310</v>
      </c>
      <c r="J850" s="329" t="str">
        <f>IF(B850&lt;&gt;"",+VLOOKUP(I850,Recursos!C:F,2,FALSE),"")</f>
        <v>OFICIAL ESPECIALIZADO</v>
      </c>
      <c r="K850" s="330" t="str">
        <f>IF(B850&lt;&gt;"",+VLOOKUP(I850,Recursos!C:F,3,FALSE),"")</f>
        <v>hh</v>
      </c>
      <c r="L850" s="446">
        <f>IF(B850&lt;&gt;"",+VLOOKUP(I850,Recursos!C:F,4,FALSE),"")</f>
        <v>581.06120476836554</v>
      </c>
      <c r="M850" s="934"/>
      <c r="N850" s="935"/>
      <c r="O850" s="449">
        <f>+M849*N848</f>
        <v>6.25E-2</v>
      </c>
      <c r="P850" s="333">
        <f>IF(B850&lt;&gt;"",O850*L850,"")</f>
        <v>36.316325298022846</v>
      </c>
      <c r="Q850" s="327">
        <f>IF(B850&lt;&gt;"",+O850*E850,"")</f>
        <v>0</v>
      </c>
      <c r="R850" s="334">
        <f>IF(B850&lt;&gt;"",Q850*L850,"")</f>
        <v>0</v>
      </c>
      <c r="S850" s="335">
        <f t="shared" si="376"/>
        <v>1705.8952095640293</v>
      </c>
      <c r="T850" s="335">
        <f t="shared" si="377"/>
        <v>118.90361250000001</v>
      </c>
      <c r="U850" s="336">
        <f t="shared" si="378"/>
        <v>212.92670048374094</v>
      </c>
      <c r="V850" s="336">
        <f t="shared" si="379"/>
        <v>0</v>
      </c>
      <c r="W850" s="336">
        <f t="shared" si="380"/>
        <v>0</v>
      </c>
      <c r="X850" s="336">
        <f t="shared" si="381"/>
        <v>0</v>
      </c>
      <c r="Y850" s="320"/>
      <c r="Z850" s="321" t="str">
        <f t="shared" si="385"/>
        <v>X-ENC1A</v>
      </c>
      <c r="AA850" s="321" t="str">
        <f t="shared" si="386"/>
        <v>X-ENC1E</v>
      </c>
      <c r="AB850" s="321" t="str">
        <f t="shared" si="387"/>
        <v>X-ENC1M</v>
      </c>
      <c r="AC850" s="321" t="str">
        <f t="shared" si="388"/>
        <v>X-ENC1T</v>
      </c>
      <c r="AD850" s="321" t="str">
        <f t="shared" si="389"/>
        <v>X-ENC1S</v>
      </c>
      <c r="AE850" s="321" t="str">
        <f t="shared" si="390"/>
        <v>X-ENC1X</v>
      </c>
      <c r="AF850" s="321" t="str">
        <f t="shared" si="391"/>
        <v>X-ENC1A</v>
      </c>
      <c r="AG850" s="321">
        <f t="shared" si="382"/>
        <v>14</v>
      </c>
      <c r="AH850" s="321">
        <f>IF(B850&lt;&gt;"",IF(H850="x",VLOOKUP(I850,'AUX-NIV3'!B:AG,32,FALSE),0),"")</f>
        <v>0</v>
      </c>
      <c r="AI850" s="321" t="str">
        <f t="shared" si="392"/>
        <v>X-ENC1</v>
      </c>
      <c r="AJ850" s="320"/>
      <c r="AK850" s="322">
        <f t="shared" si="383"/>
        <v>844</v>
      </c>
      <c r="AL850" s="323">
        <f t="shared" si="393"/>
        <v>857</v>
      </c>
      <c r="AM850" s="322">
        <f t="shared" si="394"/>
        <v>7</v>
      </c>
      <c r="AN850" s="380">
        <f>IF(AND(AH850&gt;0,B850&lt;&gt;""),VLOOKUP(I850,'AUX-NIV3'!$B:$AO,39,FALSE)*O850,0)</f>
        <v>0</v>
      </c>
      <c r="AO850" s="380">
        <f t="shared" si="384"/>
        <v>3.625</v>
      </c>
      <c r="AP850" s="380"/>
    </row>
    <row r="851" spans="2:42" ht="14.4" hidden="1" thickTop="1" thickBot="1">
      <c r="B851" s="501" t="s">
        <v>2867</v>
      </c>
      <c r="C851" s="950" t="s">
        <v>2868</v>
      </c>
      <c r="D851" s="326" t="s">
        <v>501</v>
      </c>
      <c r="E851" s="327">
        <f>IF(B851&lt;&gt;"",SUMIF('AUX-NIV1'!I:I,'AUX-NIV2'!B851,'AUX-NIV1'!Q:Q),"")</f>
        <v>0</v>
      </c>
      <c r="F851" s="327">
        <f t="shared" si="374"/>
        <v>2037.7255225477702</v>
      </c>
      <c r="G851" s="327">
        <f t="shared" si="375"/>
        <v>0</v>
      </c>
      <c r="H851" s="328" t="str">
        <f t="shared" si="395"/>
        <v>M</v>
      </c>
      <c r="I851" s="325" t="s">
        <v>1855</v>
      </c>
      <c r="J851" s="329" t="str">
        <f>IF(B851&lt;&gt;"",+VLOOKUP(I851,Recursos!C:F,2,FALSE),"")</f>
        <v>DESMOLDANTE</v>
      </c>
      <c r="K851" s="330" t="str">
        <f>IF(B851&lt;&gt;"",+VLOOKUP(I851,Recursos!C:F,3,FALSE),"")</f>
        <v>Kg</v>
      </c>
      <c r="L851" s="446">
        <f>IF(B851&lt;&gt;"",+VLOOKUP(I851,Recursos!C:F,4,FALSE),"")</f>
        <v>50.4</v>
      </c>
      <c r="M851" s="529">
        <v>0.1</v>
      </c>
      <c r="N851" s="455"/>
      <c r="O851" s="449">
        <f>+M851</f>
        <v>0.1</v>
      </c>
      <c r="P851" s="333">
        <f t="shared" si="371"/>
        <v>5.04</v>
      </c>
      <c r="Q851" s="327">
        <f t="shared" si="372"/>
        <v>0</v>
      </c>
      <c r="R851" s="334">
        <f t="shared" si="373"/>
        <v>0</v>
      </c>
      <c r="S851" s="335">
        <f t="shared" si="376"/>
        <v>1705.8952095640293</v>
      </c>
      <c r="T851" s="335">
        <f t="shared" si="377"/>
        <v>118.90361250000001</v>
      </c>
      <c r="U851" s="336">
        <f t="shared" si="378"/>
        <v>212.92670048374094</v>
      </c>
      <c r="V851" s="336">
        <f t="shared" si="379"/>
        <v>0</v>
      </c>
      <c r="W851" s="336">
        <f t="shared" si="380"/>
        <v>0</v>
      </c>
      <c r="X851" s="336">
        <f t="shared" si="381"/>
        <v>0</v>
      </c>
      <c r="Y851" s="320"/>
      <c r="Z851" s="321" t="str">
        <f t="shared" si="385"/>
        <v>X-ENC1A</v>
      </c>
      <c r="AA851" s="321" t="str">
        <f t="shared" si="386"/>
        <v>X-ENC1E</v>
      </c>
      <c r="AB851" s="321" t="str">
        <f t="shared" si="387"/>
        <v>X-ENC1M</v>
      </c>
      <c r="AC851" s="321" t="str">
        <f t="shared" si="388"/>
        <v>X-ENC1T</v>
      </c>
      <c r="AD851" s="321" t="str">
        <f t="shared" si="389"/>
        <v>X-ENC1S</v>
      </c>
      <c r="AE851" s="321" t="str">
        <f t="shared" si="390"/>
        <v>X-ENC1X</v>
      </c>
      <c r="AF851" s="321" t="str">
        <f t="shared" si="391"/>
        <v>X-ENC1M</v>
      </c>
      <c r="AG851" s="321">
        <f t="shared" si="382"/>
        <v>14</v>
      </c>
      <c r="AH851" s="321">
        <f>IF(B851&lt;&gt;"",IF(H851="x",VLOOKUP(I851,'AUX-NIV3'!B:AG,32,FALSE),0),"")</f>
        <v>0</v>
      </c>
      <c r="AI851" s="321" t="str">
        <f t="shared" si="392"/>
        <v>X-ENC1</v>
      </c>
      <c r="AJ851" s="320"/>
      <c r="AK851" s="322">
        <f t="shared" si="383"/>
        <v>844</v>
      </c>
      <c r="AL851" s="323">
        <f t="shared" si="393"/>
        <v>857</v>
      </c>
      <c r="AM851" s="322">
        <f t="shared" si="394"/>
        <v>8</v>
      </c>
      <c r="AN851" s="380">
        <f>IF(AND(AH851&gt;0,B851&lt;&gt;""),VLOOKUP(I851,'AUX-NIV3'!$B:$AO,39,FALSE)*O851,0)</f>
        <v>0</v>
      </c>
      <c r="AO851" s="380">
        <f t="shared" si="384"/>
        <v>3.625</v>
      </c>
      <c r="AP851" s="380"/>
    </row>
    <row r="852" spans="2:42" ht="14.4" hidden="1" thickTop="1" thickBot="1">
      <c r="B852" s="501" t="s">
        <v>2867</v>
      </c>
      <c r="C852" s="950" t="s">
        <v>2868</v>
      </c>
      <c r="D852" s="326" t="s">
        <v>501</v>
      </c>
      <c r="E852" s="327">
        <f>IF(B852&lt;&gt;"",SUMIF('AUX-NIV1'!I:I,'AUX-NIV2'!B852,'AUX-NIV1'!Q:Q),"")</f>
        <v>0</v>
      </c>
      <c r="F852" s="327">
        <f t="shared" si="374"/>
        <v>2037.7255225477702</v>
      </c>
      <c r="G852" s="327">
        <f t="shared" si="375"/>
        <v>0</v>
      </c>
      <c r="H852" s="328" t="str">
        <f t="shared" si="395"/>
        <v>M</v>
      </c>
      <c r="I852" s="325" t="s">
        <v>1911</v>
      </c>
      <c r="J852" s="329" t="str">
        <f>IF(B852&lt;&gt;"",+VLOOKUP(I852,Recursos!C:F,2,FALSE),"")</f>
        <v>LISTON TIPO PARA ENCOFRADO</v>
      </c>
      <c r="K852" s="330" t="str">
        <f>IF(B852&lt;&gt;"",+VLOOKUP(I852,Recursos!C:F,3,FALSE),"")</f>
        <v>m</v>
      </c>
      <c r="L852" s="446">
        <f>IF(B852&lt;&gt;"",+VLOOKUP(I852,Recursos!C:F,4,FALSE),"")</f>
        <v>94.5</v>
      </c>
      <c r="M852" s="452">
        <v>8</v>
      </c>
      <c r="N852" s="455"/>
      <c r="O852" s="449">
        <f>1/M852</f>
        <v>0.125</v>
      </c>
      <c r="P852" s="333">
        <f t="shared" si="371"/>
        <v>11.8125</v>
      </c>
      <c r="Q852" s="327">
        <f t="shared" si="372"/>
        <v>0</v>
      </c>
      <c r="R852" s="334">
        <f t="shared" si="373"/>
        <v>0</v>
      </c>
      <c r="S852" s="335">
        <f t="shared" si="376"/>
        <v>1705.8952095640293</v>
      </c>
      <c r="T852" s="335">
        <f t="shared" si="377"/>
        <v>118.90361250000001</v>
      </c>
      <c r="U852" s="336">
        <f t="shared" si="378"/>
        <v>212.92670048374094</v>
      </c>
      <c r="V852" s="336">
        <f t="shared" si="379"/>
        <v>0</v>
      </c>
      <c r="W852" s="336">
        <f t="shared" si="380"/>
        <v>0</v>
      </c>
      <c r="X852" s="336">
        <f t="shared" si="381"/>
        <v>0</v>
      </c>
      <c r="Y852" s="320"/>
      <c r="Z852" s="321" t="str">
        <f t="shared" si="385"/>
        <v>X-ENC1A</v>
      </c>
      <c r="AA852" s="321" t="str">
        <f t="shared" si="386"/>
        <v>X-ENC1E</v>
      </c>
      <c r="AB852" s="321" t="str">
        <f t="shared" si="387"/>
        <v>X-ENC1M</v>
      </c>
      <c r="AC852" s="321" t="str">
        <f t="shared" si="388"/>
        <v>X-ENC1T</v>
      </c>
      <c r="AD852" s="321" t="str">
        <f t="shared" si="389"/>
        <v>X-ENC1S</v>
      </c>
      <c r="AE852" s="321" t="str">
        <f t="shared" si="390"/>
        <v>X-ENC1X</v>
      </c>
      <c r="AF852" s="321" t="str">
        <f t="shared" si="391"/>
        <v>X-ENC1M</v>
      </c>
      <c r="AG852" s="321">
        <f t="shared" si="382"/>
        <v>14</v>
      </c>
      <c r="AH852" s="321">
        <f>IF(B852&lt;&gt;"",IF(H852="x",VLOOKUP(I852,'AUX-NIV3'!B:AG,32,FALSE),0),"")</f>
        <v>0</v>
      </c>
      <c r="AI852" s="321" t="str">
        <f t="shared" si="392"/>
        <v>X-ENC1</v>
      </c>
      <c r="AJ852" s="320"/>
      <c r="AK852" s="322">
        <f t="shared" si="383"/>
        <v>844</v>
      </c>
      <c r="AL852" s="323">
        <f t="shared" si="393"/>
        <v>857</v>
      </c>
      <c r="AM852" s="322">
        <f t="shared" si="394"/>
        <v>9</v>
      </c>
      <c r="AN852" s="380">
        <f>IF(AND(AH852&gt;0,B852&lt;&gt;""),VLOOKUP(I852,'AUX-NIV3'!$B:$AO,39,FALSE)*O852,0)</f>
        <v>0</v>
      </c>
      <c r="AO852" s="380">
        <f t="shared" si="384"/>
        <v>3.625</v>
      </c>
      <c r="AP852" s="380"/>
    </row>
    <row r="853" spans="2:42" ht="14.4" hidden="1" thickTop="1" thickBot="1">
      <c r="B853" s="501" t="s">
        <v>2867</v>
      </c>
      <c r="C853" s="950" t="s">
        <v>2868</v>
      </c>
      <c r="D853" s="326" t="s">
        <v>501</v>
      </c>
      <c r="E853" s="327">
        <f>IF(B853&lt;&gt;"",SUMIF('AUX-NIV1'!I:I,'AUX-NIV2'!B853,'AUX-NIV1'!Q:Q),"")</f>
        <v>0</v>
      </c>
      <c r="F853" s="327">
        <f t="shared" si="374"/>
        <v>2037.7255225477702</v>
      </c>
      <c r="G853" s="327">
        <f t="shared" si="375"/>
        <v>0</v>
      </c>
      <c r="H853" s="328" t="str">
        <f t="shared" si="395"/>
        <v>M</v>
      </c>
      <c r="I853" s="325" t="s">
        <v>1912</v>
      </c>
      <c r="J853" s="329" t="str">
        <f>IF(B853&lt;&gt;"",+VLOOKUP(I853,Recursos!C:F,2,FALSE),"")</f>
        <v>FENOLICO ESP.= 19 MM (3/4")</v>
      </c>
      <c r="K853" s="330" t="str">
        <f>IF(B853&lt;&gt;"",+VLOOKUP(I853,Recursos!C:F,3,FALSE),"")</f>
        <v>m2</v>
      </c>
      <c r="L853" s="446">
        <f>IF(B853&lt;&gt;"",+VLOOKUP(I853,Recursos!C:F,4,FALSE),"")</f>
        <v>916.17600351811598</v>
      </c>
      <c r="M853" s="454"/>
      <c r="N853" s="453">
        <v>1.1000000000000001</v>
      </c>
      <c r="O853" s="449">
        <f>+N853/M852</f>
        <v>0.13750000000000001</v>
      </c>
      <c r="P853" s="333">
        <f t="shared" si="371"/>
        <v>125.97420048374096</v>
      </c>
      <c r="Q853" s="327">
        <f t="shared" si="372"/>
        <v>0</v>
      </c>
      <c r="R853" s="334">
        <f t="shared" si="373"/>
        <v>0</v>
      </c>
      <c r="S853" s="335">
        <f t="shared" si="376"/>
        <v>1705.8952095640293</v>
      </c>
      <c r="T853" s="335">
        <f t="shared" si="377"/>
        <v>118.90361250000001</v>
      </c>
      <c r="U853" s="336">
        <f t="shared" si="378"/>
        <v>212.92670048374094</v>
      </c>
      <c r="V853" s="336">
        <f t="shared" si="379"/>
        <v>0</v>
      </c>
      <c r="W853" s="336">
        <f t="shared" si="380"/>
        <v>0</v>
      </c>
      <c r="X853" s="336">
        <f t="shared" si="381"/>
        <v>0</v>
      </c>
      <c r="Y853" s="320"/>
      <c r="Z853" s="321" t="str">
        <f t="shared" si="385"/>
        <v>X-ENC1A</v>
      </c>
      <c r="AA853" s="321" t="str">
        <f t="shared" si="386"/>
        <v>X-ENC1E</v>
      </c>
      <c r="AB853" s="321" t="str">
        <f t="shared" si="387"/>
        <v>X-ENC1M</v>
      </c>
      <c r="AC853" s="321" t="str">
        <f t="shared" si="388"/>
        <v>X-ENC1T</v>
      </c>
      <c r="AD853" s="321" t="str">
        <f t="shared" si="389"/>
        <v>X-ENC1S</v>
      </c>
      <c r="AE853" s="321" t="str">
        <f t="shared" si="390"/>
        <v>X-ENC1X</v>
      </c>
      <c r="AF853" s="321" t="str">
        <f t="shared" si="391"/>
        <v>X-ENC1M</v>
      </c>
      <c r="AG853" s="321">
        <f t="shared" si="382"/>
        <v>14</v>
      </c>
      <c r="AH853" s="321">
        <f>IF(B853&lt;&gt;"",IF(H853="x",VLOOKUP(I853,'AUX-NIV3'!B:AG,32,FALSE),0),"")</f>
        <v>0</v>
      </c>
      <c r="AI853" s="321" t="str">
        <f t="shared" si="392"/>
        <v>X-ENC1</v>
      </c>
      <c r="AJ853" s="320"/>
      <c r="AK853" s="322">
        <f t="shared" si="383"/>
        <v>844</v>
      </c>
      <c r="AL853" s="323">
        <f t="shared" si="393"/>
        <v>857</v>
      </c>
      <c r="AM853" s="322">
        <f t="shared" si="394"/>
        <v>10</v>
      </c>
      <c r="AN853" s="380">
        <f>IF(AND(AH853&gt;0,B853&lt;&gt;""),VLOOKUP(I853,'AUX-NIV3'!$B:$AO,39,FALSE)*O853,0)</f>
        <v>0</v>
      </c>
      <c r="AO853" s="380">
        <f t="shared" si="384"/>
        <v>3.625</v>
      </c>
      <c r="AP853" s="380"/>
    </row>
    <row r="854" spans="2:42" ht="14.4" hidden="1" thickTop="1" thickBot="1">
      <c r="B854" s="501" t="s">
        <v>2867</v>
      </c>
      <c r="C854" s="950" t="s">
        <v>2868</v>
      </c>
      <c r="D854" s="326" t="s">
        <v>501</v>
      </c>
      <c r="E854" s="327">
        <f>IF(B854&lt;&gt;"",SUMIF('AUX-NIV1'!I:I,'AUX-NIV2'!B854,'AUX-NIV1'!Q:Q),"")</f>
        <v>0</v>
      </c>
      <c r="F854" s="327">
        <f t="shared" si="374"/>
        <v>2037.7255225477702</v>
      </c>
      <c r="G854" s="327">
        <f t="shared" si="375"/>
        <v>0</v>
      </c>
      <c r="H854" s="328" t="str">
        <f t="shared" si="395"/>
        <v>M</v>
      </c>
      <c r="I854" s="325" t="s">
        <v>1914</v>
      </c>
      <c r="J854" s="329" t="str">
        <f>IF(B854&lt;&gt;"",+VLOOKUP(I854,Recursos!C:F,2,FALSE),"")</f>
        <v>PUNTAL DE MADERA</v>
      </c>
      <c r="K854" s="330" t="str">
        <f>IF(B854&lt;&gt;"",+VLOOKUP(I854,Recursos!C:F,3,FALSE),"")</f>
        <v>m</v>
      </c>
      <c r="L854" s="446">
        <f>IF(B854&lt;&gt;"",+VLOOKUP(I854,Recursos!C:F,4,FALSE),"")</f>
        <v>200</v>
      </c>
      <c r="M854" s="454"/>
      <c r="N854" s="453">
        <v>1</v>
      </c>
      <c r="O854" s="449">
        <f>+N854/M852</f>
        <v>0.125</v>
      </c>
      <c r="P854" s="333">
        <f t="shared" si="371"/>
        <v>25</v>
      </c>
      <c r="Q854" s="327">
        <f t="shared" si="372"/>
        <v>0</v>
      </c>
      <c r="R854" s="334">
        <f t="shared" si="373"/>
        <v>0</v>
      </c>
      <c r="S854" s="335">
        <f t="shared" si="376"/>
        <v>1705.8952095640293</v>
      </c>
      <c r="T854" s="335">
        <f t="shared" si="377"/>
        <v>118.90361250000001</v>
      </c>
      <c r="U854" s="336">
        <f t="shared" si="378"/>
        <v>212.92670048374094</v>
      </c>
      <c r="V854" s="336">
        <f t="shared" si="379"/>
        <v>0</v>
      </c>
      <c r="W854" s="336">
        <f t="shared" si="380"/>
        <v>0</v>
      </c>
      <c r="X854" s="336">
        <f t="shared" si="381"/>
        <v>0</v>
      </c>
      <c r="Y854" s="320"/>
      <c r="Z854" s="321" t="str">
        <f t="shared" si="385"/>
        <v>X-ENC1A</v>
      </c>
      <c r="AA854" s="321" t="str">
        <f t="shared" si="386"/>
        <v>X-ENC1E</v>
      </c>
      <c r="AB854" s="321" t="str">
        <f t="shared" si="387"/>
        <v>X-ENC1M</v>
      </c>
      <c r="AC854" s="321" t="str">
        <f t="shared" si="388"/>
        <v>X-ENC1T</v>
      </c>
      <c r="AD854" s="321" t="str">
        <f t="shared" si="389"/>
        <v>X-ENC1S</v>
      </c>
      <c r="AE854" s="321" t="str">
        <f t="shared" si="390"/>
        <v>X-ENC1X</v>
      </c>
      <c r="AF854" s="321" t="str">
        <f t="shared" si="391"/>
        <v>X-ENC1M</v>
      </c>
      <c r="AG854" s="321">
        <f t="shared" si="382"/>
        <v>14</v>
      </c>
      <c r="AH854" s="321">
        <f>IF(B854&lt;&gt;"",IF(H854="x",VLOOKUP(I854,'AUX-NIV3'!B:AG,32,FALSE),0),"")</f>
        <v>0</v>
      </c>
      <c r="AI854" s="321" t="str">
        <f t="shared" si="392"/>
        <v>X-ENC1</v>
      </c>
      <c r="AJ854" s="320"/>
      <c r="AK854" s="322">
        <f t="shared" si="383"/>
        <v>844</v>
      </c>
      <c r="AL854" s="323">
        <f t="shared" si="393"/>
        <v>857</v>
      </c>
      <c r="AM854" s="322">
        <f t="shared" si="394"/>
        <v>11</v>
      </c>
      <c r="AN854" s="380">
        <f>IF(AND(AH854&gt;0,B854&lt;&gt;""),VLOOKUP(I854,'AUX-NIV3'!$B:$AO,39,FALSE)*O854,0)</f>
        <v>0</v>
      </c>
      <c r="AO854" s="380">
        <f t="shared" si="384"/>
        <v>3.625</v>
      </c>
      <c r="AP854" s="380"/>
    </row>
    <row r="855" spans="2:42" ht="14.4" hidden="1" thickTop="1" thickBot="1">
      <c r="B855" s="501" t="s">
        <v>2867</v>
      </c>
      <c r="C855" s="950" t="s">
        <v>2868</v>
      </c>
      <c r="D855" s="326" t="s">
        <v>501</v>
      </c>
      <c r="E855" s="327">
        <f>IF(B855&lt;&gt;"",SUMIF('AUX-NIV1'!I:I,'AUX-NIV2'!B855,'AUX-NIV1'!Q:Q),"")</f>
        <v>0</v>
      </c>
      <c r="F855" s="327">
        <f t="shared" si="374"/>
        <v>2037.7255225477702</v>
      </c>
      <c r="G855" s="327">
        <f t="shared" si="375"/>
        <v>0</v>
      </c>
      <c r="H855" s="328" t="str">
        <f t="shared" si="395"/>
        <v>M</v>
      </c>
      <c r="I855" s="325" t="s">
        <v>1924</v>
      </c>
      <c r="J855" s="329" t="str">
        <f>IF(B855&lt;&gt;"",+VLOOKUP(I855,Recursos!C:F,2,FALSE),"")</f>
        <v>CLAVO DE 2 A 4"</v>
      </c>
      <c r="K855" s="330" t="str">
        <f>IF(B855&lt;&gt;"",+VLOOKUP(I855,Recursos!C:F,3,FALSE),"")</f>
        <v>Kg</v>
      </c>
      <c r="L855" s="446">
        <f>IF(B855&lt;&gt;"",+VLOOKUP(I855,Recursos!C:F,4,FALSE),"")</f>
        <v>98.5</v>
      </c>
      <c r="M855" s="452">
        <v>0.1</v>
      </c>
      <c r="N855" s="453"/>
      <c r="O855" s="449">
        <f>+M855</f>
        <v>0.1</v>
      </c>
      <c r="P855" s="333">
        <f t="shared" si="371"/>
        <v>9.8500000000000014</v>
      </c>
      <c r="Q855" s="327">
        <f t="shared" si="372"/>
        <v>0</v>
      </c>
      <c r="R855" s="334">
        <f t="shared" si="373"/>
        <v>0</v>
      </c>
      <c r="S855" s="335">
        <f t="shared" si="376"/>
        <v>1705.8952095640293</v>
      </c>
      <c r="T855" s="335">
        <f t="shared" si="377"/>
        <v>118.90361250000001</v>
      </c>
      <c r="U855" s="336">
        <f t="shared" si="378"/>
        <v>212.92670048374094</v>
      </c>
      <c r="V855" s="336">
        <f t="shared" si="379"/>
        <v>0</v>
      </c>
      <c r="W855" s="336">
        <f t="shared" si="380"/>
        <v>0</v>
      </c>
      <c r="X855" s="336">
        <f t="shared" si="381"/>
        <v>0</v>
      </c>
      <c r="Y855" s="320"/>
      <c r="Z855" s="321" t="str">
        <f t="shared" si="385"/>
        <v>X-ENC1A</v>
      </c>
      <c r="AA855" s="321" t="str">
        <f t="shared" si="386"/>
        <v>X-ENC1E</v>
      </c>
      <c r="AB855" s="321" t="str">
        <f t="shared" si="387"/>
        <v>X-ENC1M</v>
      </c>
      <c r="AC855" s="321" t="str">
        <f t="shared" si="388"/>
        <v>X-ENC1T</v>
      </c>
      <c r="AD855" s="321" t="str">
        <f t="shared" si="389"/>
        <v>X-ENC1S</v>
      </c>
      <c r="AE855" s="321" t="str">
        <f t="shared" si="390"/>
        <v>X-ENC1X</v>
      </c>
      <c r="AF855" s="321" t="str">
        <f t="shared" si="391"/>
        <v>X-ENC1M</v>
      </c>
      <c r="AG855" s="321">
        <f t="shared" si="382"/>
        <v>14</v>
      </c>
      <c r="AH855" s="321">
        <f>IF(B855&lt;&gt;"",IF(H855="x",VLOOKUP(I855,'AUX-NIV3'!B:AG,32,FALSE),0),"")</f>
        <v>0</v>
      </c>
      <c r="AI855" s="321" t="str">
        <f t="shared" si="392"/>
        <v>X-ENC1</v>
      </c>
      <c r="AJ855" s="320"/>
      <c r="AK855" s="322">
        <f t="shared" si="383"/>
        <v>844</v>
      </c>
      <c r="AL855" s="323">
        <f t="shared" si="393"/>
        <v>857</v>
      </c>
      <c r="AM855" s="322">
        <f t="shared" si="394"/>
        <v>12</v>
      </c>
      <c r="AN855" s="380">
        <f>IF(AND(AH855&gt;0,B855&lt;&gt;""),VLOOKUP(I855,'AUX-NIV3'!$B:$AO,39,FALSE)*O855,0)</f>
        <v>0</v>
      </c>
      <c r="AO855" s="380">
        <f t="shared" si="384"/>
        <v>3.625</v>
      </c>
      <c r="AP855" s="380"/>
    </row>
    <row r="856" spans="2:42" ht="14.4" hidden="1" thickTop="1" thickBot="1">
      <c r="B856" s="501" t="s">
        <v>2867</v>
      </c>
      <c r="C856" s="950" t="s">
        <v>2868</v>
      </c>
      <c r="D856" s="326" t="s">
        <v>501</v>
      </c>
      <c r="E856" s="327">
        <f>IF(B856&lt;&gt;"",SUMIF('AUX-NIV1'!I:I,'AUX-NIV2'!B856,'AUX-NIV1'!Q:Q),"")</f>
        <v>0</v>
      </c>
      <c r="F856" s="327">
        <f t="shared" si="374"/>
        <v>2037.7255225477702</v>
      </c>
      <c r="G856" s="327">
        <f t="shared" si="375"/>
        <v>0</v>
      </c>
      <c r="H856" s="328" t="str">
        <f t="shared" si="395"/>
        <v>M</v>
      </c>
      <c r="I856" s="325" t="s">
        <v>1926</v>
      </c>
      <c r="J856" s="329" t="str">
        <f>IF(B856&lt;&gt;"",+VLOOKUP(I856,Recursos!C:F,2,FALSE),"")</f>
        <v>ALAMBRE RECOCIDO #16</v>
      </c>
      <c r="K856" s="330" t="str">
        <f>IF(B856&lt;&gt;"",+VLOOKUP(I856,Recursos!C:F,3,FALSE),"")</f>
        <v>Kg</v>
      </c>
      <c r="L856" s="446">
        <f>IF(B856&lt;&gt;"",+VLOOKUP(I856,Recursos!C:F,4,FALSE),"")</f>
        <v>175</v>
      </c>
      <c r="M856" s="452">
        <v>0.2</v>
      </c>
      <c r="N856" s="453"/>
      <c r="O856" s="449">
        <f>+M856</f>
        <v>0.2</v>
      </c>
      <c r="P856" s="333">
        <f t="shared" si="371"/>
        <v>35</v>
      </c>
      <c r="Q856" s="327">
        <f t="shared" si="372"/>
        <v>0</v>
      </c>
      <c r="R856" s="334">
        <f t="shared" si="373"/>
        <v>0</v>
      </c>
      <c r="S856" s="335">
        <f t="shared" si="376"/>
        <v>1705.8952095640293</v>
      </c>
      <c r="T856" s="335">
        <f t="shared" si="377"/>
        <v>118.90361250000001</v>
      </c>
      <c r="U856" s="336">
        <f t="shared" si="378"/>
        <v>212.92670048374094</v>
      </c>
      <c r="V856" s="336">
        <f t="shared" si="379"/>
        <v>0</v>
      </c>
      <c r="W856" s="336">
        <f t="shared" si="380"/>
        <v>0</v>
      </c>
      <c r="X856" s="336">
        <f t="shared" si="381"/>
        <v>0</v>
      </c>
      <c r="Y856" s="320"/>
      <c r="Z856" s="321" t="str">
        <f t="shared" si="385"/>
        <v>X-ENC1A</v>
      </c>
      <c r="AA856" s="321" t="str">
        <f t="shared" si="386"/>
        <v>X-ENC1E</v>
      </c>
      <c r="AB856" s="321" t="str">
        <f t="shared" si="387"/>
        <v>X-ENC1M</v>
      </c>
      <c r="AC856" s="321" t="str">
        <f t="shared" si="388"/>
        <v>X-ENC1T</v>
      </c>
      <c r="AD856" s="321" t="str">
        <f t="shared" si="389"/>
        <v>X-ENC1S</v>
      </c>
      <c r="AE856" s="321" t="str">
        <f t="shared" si="390"/>
        <v>X-ENC1X</v>
      </c>
      <c r="AF856" s="321" t="str">
        <f t="shared" si="391"/>
        <v>X-ENC1M</v>
      </c>
      <c r="AG856" s="321">
        <f t="shared" si="382"/>
        <v>14</v>
      </c>
      <c r="AH856" s="321">
        <f>IF(B856&lt;&gt;"",IF(H856="x",VLOOKUP(I856,'AUX-NIV3'!B:AG,32,FALSE),0),"")</f>
        <v>0</v>
      </c>
      <c r="AI856" s="321" t="str">
        <f t="shared" si="392"/>
        <v>X-ENC1</v>
      </c>
      <c r="AJ856" s="320"/>
      <c r="AK856" s="322">
        <f t="shared" si="383"/>
        <v>844</v>
      </c>
      <c r="AL856" s="323">
        <f t="shared" si="393"/>
        <v>857</v>
      </c>
      <c r="AM856" s="322">
        <f t="shared" si="394"/>
        <v>13</v>
      </c>
      <c r="AN856" s="380">
        <f>IF(AND(AH856&gt;0,B856&lt;&gt;""),VLOOKUP(I856,'AUX-NIV3'!$B:$AO,39,FALSE)*O856,0)</f>
        <v>0</v>
      </c>
      <c r="AO856" s="380">
        <f t="shared" si="384"/>
        <v>3.625</v>
      </c>
      <c r="AP856" s="380"/>
    </row>
    <row r="857" spans="2:42" ht="14.4" hidden="1" thickTop="1" thickBot="1">
      <c r="B857" s="501" t="s">
        <v>2867</v>
      </c>
      <c r="C857" s="950" t="s">
        <v>2868</v>
      </c>
      <c r="D857" s="326" t="s">
        <v>501</v>
      </c>
      <c r="E857" s="327">
        <f>IF(B857&lt;&gt;"",SUMIF('AUX-NIV1'!I:I,'AUX-NIV2'!B857,'AUX-NIV1'!Q:Q),"")</f>
        <v>0</v>
      </c>
      <c r="F857" s="327">
        <f t="shared" si="374"/>
        <v>2037.7255225477702</v>
      </c>
      <c r="G857" s="327">
        <f t="shared" si="375"/>
        <v>0</v>
      </c>
      <c r="H857" s="328" t="str">
        <f t="shared" si="395"/>
        <v>M</v>
      </c>
      <c r="I857" s="325" t="s">
        <v>621</v>
      </c>
      <c r="J857" s="329" t="str">
        <f>IF(B857&lt;&gt;"",+VLOOKUP(I857,Recursos!C:F,2,FALSE),"")</f>
        <v>MATERIALES VARIOS</v>
      </c>
      <c r="K857" s="330" t="str">
        <f>IF(B857&lt;&gt;"",+VLOOKUP(I857,Recursos!C:F,3,FALSE),"")</f>
        <v>GL</v>
      </c>
      <c r="L857" s="446">
        <f>IF(B857&lt;&gt;"",+VLOOKUP(I857,Recursos!C:F,4,FALSE),"")</f>
        <v>0.5</v>
      </c>
      <c r="M857" s="450">
        <v>0.5</v>
      </c>
      <c r="N857" s="451"/>
      <c r="O857" s="449">
        <f>+M857</f>
        <v>0.5</v>
      </c>
      <c r="P857" s="333">
        <f t="shared" si="371"/>
        <v>0.25</v>
      </c>
      <c r="Q857" s="327">
        <f t="shared" si="372"/>
        <v>0</v>
      </c>
      <c r="R857" s="334">
        <f t="shared" si="373"/>
        <v>0</v>
      </c>
      <c r="S857" s="335">
        <f t="shared" si="376"/>
        <v>1705.8952095640293</v>
      </c>
      <c r="T857" s="335">
        <f t="shared" si="377"/>
        <v>118.90361250000001</v>
      </c>
      <c r="U857" s="336">
        <f t="shared" si="378"/>
        <v>212.92670048374094</v>
      </c>
      <c r="V857" s="336">
        <f t="shared" si="379"/>
        <v>0</v>
      </c>
      <c r="W857" s="336">
        <f t="shared" si="380"/>
        <v>0</v>
      </c>
      <c r="X857" s="336">
        <f t="shared" si="381"/>
        <v>0</v>
      </c>
      <c r="Y857" s="320"/>
      <c r="Z857" s="321" t="str">
        <f t="shared" si="385"/>
        <v>X-ENC1A</v>
      </c>
      <c r="AA857" s="321" t="str">
        <f t="shared" si="386"/>
        <v>X-ENC1E</v>
      </c>
      <c r="AB857" s="321" t="str">
        <f t="shared" si="387"/>
        <v>X-ENC1M</v>
      </c>
      <c r="AC857" s="321" t="str">
        <f t="shared" si="388"/>
        <v>X-ENC1T</v>
      </c>
      <c r="AD857" s="321" t="str">
        <f t="shared" si="389"/>
        <v>X-ENC1S</v>
      </c>
      <c r="AE857" s="321" t="str">
        <f t="shared" si="390"/>
        <v>X-ENC1X</v>
      </c>
      <c r="AF857" s="321" t="str">
        <f t="shared" si="391"/>
        <v>X-ENC1M</v>
      </c>
      <c r="AG857" s="321">
        <f t="shared" si="382"/>
        <v>14</v>
      </c>
      <c r="AH857" s="321">
        <f>IF(B857&lt;&gt;"",IF(H857="x",VLOOKUP(I857,'AUX-NIV3'!B:AG,32,FALSE),0),"")</f>
        <v>0</v>
      </c>
      <c r="AI857" s="321" t="str">
        <f t="shared" si="392"/>
        <v>X-ENC1</v>
      </c>
      <c r="AJ857" s="320"/>
      <c r="AK857" s="322">
        <f t="shared" si="383"/>
        <v>844</v>
      </c>
      <c r="AL857" s="323">
        <f t="shared" si="393"/>
        <v>857</v>
      </c>
      <c r="AM857" s="322">
        <f t="shared" si="394"/>
        <v>14</v>
      </c>
      <c r="AN857" s="380">
        <f>IF(AND(AH857&gt;0,B857&lt;&gt;""),VLOOKUP(I857,'AUX-NIV3'!$B:$AO,39,FALSE)*O857,0)</f>
        <v>0</v>
      </c>
      <c r="AO857" s="380">
        <f t="shared" si="384"/>
        <v>3.625</v>
      </c>
      <c r="AP857" s="380"/>
    </row>
    <row r="858" spans="2:42" ht="14.4" hidden="1" thickTop="1" thickBot="1">
      <c r="B858" s="324" t="s">
        <v>2869</v>
      </c>
      <c r="C858" s="325" t="s">
        <v>2870</v>
      </c>
      <c r="D858" s="326" t="s">
        <v>1160</v>
      </c>
      <c r="E858" s="327">
        <f>IF(B858&lt;&gt;"",SUMIF('AUX-NIV1'!I:I,'AUX-NIV2'!B858,'AUX-NIV1'!Q:Q),"")</f>
        <v>0</v>
      </c>
      <c r="F858" s="327">
        <f t="shared" si="374"/>
        <v>4858.5124331852494</v>
      </c>
      <c r="G858" s="327">
        <f t="shared" si="375"/>
        <v>0</v>
      </c>
      <c r="H858" s="328" t="str">
        <f t="shared" si="395"/>
        <v>M</v>
      </c>
      <c r="I858" s="325" t="s">
        <v>1856</v>
      </c>
      <c r="J858" s="329" t="str">
        <f>IF(B858&lt;&gt;"",+VLOOKUP(I858,Recursos!C:F,2,FALSE),"")</f>
        <v>PLASTIFICANTE</v>
      </c>
      <c r="K858" s="330" t="str">
        <f>IF(B858&lt;&gt;"",+VLOOKUP(I858,Recursos!C:F,3,FALSE),"")</f>
        <v>Kg</v>
      </c>
      <c r="L858" s="446">
        <f>IF(B858&lt;&gt;"",+VLOOKUP(I858,Recursos!C:F,4,FALSE),"")</f>
        <v>108</v>
      </c>
      <c r="M858" s="447">
        <v>0.5</v>
      </c>
      <c r="N858" s="448"/>
      <c r="O858" s="449">
        <f>+M859*M861/100</f>
        <v>1.6</v>
      </c>
      <c r="P858" s="333">
        <f t="shared" si="371"/>
        <v>172.8</v>
      </c>
      <c r="Q858" s="327">
        <f t="shared" si="372"/>
        <v>0</v>
      </c>
      <c r="R858" s="334">
        <f t="shared" si="373"/>
        <v>0</v>
      </c>
      <c r="S858" s="335">
        <f t="shared" si="376"/>
        <v>0</v>
      </c>
      <c r="T858" s="335">
        <f t="shared" si="377"/>
        <v>0</v>
      </c>
      <c r="U858" s="336">
        <f t="shared" si="378"/>
        <v>3769.797190428133</v>
      </c>
      <c r="V858" s="336">
        <f t="shared" si="379"/>
        <v>0</v>
      </c>
      <c r="W858" s="336">
        <f t="shared" si="380"/>
        <v>0</v>
      </c>
      <c r="X858" s="336">
        <f t="shared" si="381"/>
        <v>1088.7152427571161</v>
      </c>
      <c r="Y858" s="320"/>
      <c r="Z858" s="321" t="str">
        <f t="shared" si="385"/>
        <v>X-ELA1A</v>
      </c>
      <c r="AA858" s="321" t="str">
        <f t="shared" si="386"/>
        <v>X-ELA1E</v>
      </c>
      <c r="AB858" s="321" t="str">
        <f t="shared" si="387"/>
        <v>X-ELA1M</v>
      </c>
      <c r="AC858" s="321" t="str">
        <f t="shared" si="388"/>
        <v>X-ELA1T</v>
      </c>
      <c r="AD858" s="321" t="str">
        <f t="shared" si="389"/>
        <v>X-ELA1S</v>
      </c>
      <c r="AE858" s="321" t="str">
        <f t="shared" si="390"/>
        <v>X-ELA1X</v>
      </c>
      <c r="AF858" s="321" t="str">
        <f t="shared" si="391"/>
        <v>X-ELA1M</v>
      </c>
      <c r="AG858" s="321">
        <f t="shared" si="382"/>
        <v>7</v>
      </c>
      <c r="AH858" s="321">
        <f>IF(B858&lt;&gt;"",IF(H858="x",VLOOKUP(I858,'AUX-NIV3'!B:AG,32,FALSE),0),"")</f>
        <v>0</v>
      </c>
      <c r="AI858" s="321" t="str">
        <f t="shared" si="392"/>
        <v>X-ELA1</v>
      </c>
      <c r="AJ858" s="320"/>
      <c r="AK858" s="322">
        <f t="shared" si="383"/>
        <v>858</v>
      </c>
      <c r="AL858" s="323">
        <f t="shared" si="393"/>
        <v>864</v>
      </c>
      <c r="AM858" s="322">
        <f t="shared" si="394"/>
        <v>1</v>
      </c>
      <c r="AN858" s="380">
        <f>IF(AND(AH858&gt;0,B858&lt;&gt;""),VLOOKUP(I858,'AUX-NIV3'!$B:$AO,39,FALSE)*O858,0)</f>
        <v>0</v>
      </c>
      <c r="AO858" s="380">
        <f t="shared" si="384"/>
        <v>0.93099999999999994</v>
      </c>
      <c r="AP858" s="380"/>
    </row>
    <row r="859" spans="2:42" ht="14.4" hidden="1" thickTop="1" thickBot="1">
      <c r="B859" s="324" t="s">
        <v>2869</v>
      </c>
      <c r="C859" s="325" t="s">
        <v>2870</v>
      </c>
      <c r="D859" s="326" t="s">
        <v>1160</v>
      </c>
      <c r="E859" s="327">
        <f>IF(B859&lt;&gt;"",SUMIF('AUX-NIV1'!I:I,'AUX-NIV2'!B859,'AUX-NIV1'!Q:Q),"")</f>
        <v>0</v>
      </c>
      <c r="F859" s="327">
        <f t="shared" si="374"/>
        <v>4858.5124331852494</v>
      </c>
      <c r="G859" s="327">
        <f t="shared" si="375"/>
        <v>0</v>
      </c>
      <c r="H859" s="328" t="str">
        <f t="shared" si="395"/>
        <v>M</v>
      </c>
      <c r="I859" s="325" t="s">
        <v>1890</v>
      </c>
      <c r="J859" s="329" t="str">
        <f>IF(B859&lt;&gt;"",+VLOOKUP(I859,Recursos!C:F,2,FALSE),"")</f>
        <v>CEMENTO PORTLAND (granel,en obra)</v>
      </c>
      <c r="K859" s="330" t="str">
        <f>IF(B859&lt;&gt;"",+VLOOKUP(I859,Recursos!C:F,3,FALSE),"")</f>
        <v>Tn</v>
      </c>
      <c r="L859" s="446">
        <f>IF(B859&lt;&gt;"",+VLOOKUP(I859,Recursos!C:F,4,FALSE),"")</f>
        <v>5970</v>
      </c>
      <c r="M859" s="452">
        <v>320</v>
      </c>
      <c r="N859" s="453"/>
      <c r="O859" s="449">
        <f>+M859/1000*M862</f>
        <v>0.33600000000000002</v>
      </c>
      <c r="P859" s="333">
        <f t="shared" si="371"/>
        <v>2005.92</v>
      </c>
      <c r="Q859" s="327">
        <f t="shared" si="372"/>
        <v>0</v>
      </c>
      <c r="R859" s="334">
        <f t="shared" si="373"/>
        <v>0</v>
      </c>
      <c r="S859" s="335">
        <f t="shared" si="376"/>
        <v>0</v>
      </c>
      <c r="T859" s="335">
        <f t="shared" si="377"/>
        <v>0</v>
      </c>
      <c r="U859" s="336">
        <f t="shared" si="378"/>
        <v>3769.797190428133</v>
      </c>
      <c r="V859" s="336">
        <f t="shared" si="379"/>
        <v>0</v>
      </c>
      <c r="W859" s="336">
        <f t="shared" si="380"/>
        <v>0</v>
      </c>
      <c r="X859" s="336">
        <f t="shared" si="381"/>
        <v>1088.7152427571161</v>
      </c>
      <c r="Y859" s="320"/>
      <c r="Z859" s="321" t="str">
        <f t="shared" si="385"/>
        <v>X-ELA1A</v>
      </c>
      <c r="AA859" s="321" t="str">
        <f t="shared" si="386"/>
        <v>X-ELA1E</v>
      </c>
      <c r="AB859" s="321" t="str">
        <f t="shared" si="387"/>
        <v>X-ELA1M</v>
      </c>
      <c r="AC859" s="321" t="str">
        <f t="shared" si="388"/>
        <v>X-ELA1T</v>
      </c>
      <c r="AD859" s="321" t="str">
        <f t="shared" si="389"/>
        <v>X-ELA1S</v>
      </c>
      <c r="AE859" s="321" t="str">
        <f t="shared" si="390"/>
        <v>X-ELA1X</v>
      </c>
      <c r="AF859" s="321" t="str">
        <f t="shared" si="391"/>
        <v>X-ELA1M</v>
      </c>
      <c r="AG859" s="321">
        <f t="shared" si="382"/>
        <v>7</v>
      </c>
      <c r="AH859" s="321">
        <f>IF(B859&lt;&gt;"",IF(H859="x",VLOOKUP(I859,'AUX-NIV3'!B:AG,32,FALSE),0),"")</f>
        <v>0</v>
      </c>
      <c r="AI859" s="321" t="str">
        <f t="shared" si="392"/>
        <v>X-ELA1</v>
      </c>
      <c r="AJ859" s="320"/>
      <c r="AK859" s="322">
        <f t="shared" si="383"/>
        <v>858</v>
      </c>
      <c r="AL859" s="323">
        <f t="shared" si="393"/>
        <v>864</v>
      </c>
      <c r="AM859" s="322">
        <f t="shared" si="394"/>
        <v>2</v>
      </c>
      <c r="AN859" s="380">
        <f>IF(AND(AH859&gt;0,B859&lt;&gt;""),VLOOKUP(I859,'AUX-NIV3'!$B:$AO,39,FALSE)*O859,0)</f>
        <v>0</v>
      </c>
      <c r="AO859" s="380">
        <f t="shared" si="384"/>
        <v>0.93099999999999994</v>
      </c>
      <c r="AP859" s="380"/>
    </row>
    <row r="860" spans="2:42" ht="14.4" hidden="1" thickTop="1" thickBot="1">
      <c r="B860" s="324" t="s">
        <v>2869</v>
      </c>
      <c r="C860" s="325" t="s">
        <v>2870</v>
      </c>
      <c r="D860" s="326" t="s">
        <v>1160</v>
      </c>
      <c r="E860" s="327">
        <f>IF(B860&lt;&gt;"",SUMIF('AUX-NIV1'!I:I,'AUX-NIV2'!B860,'AUX-NIV1'!Q:Q),"")</f>
        <v>0</v>
      </c>
      <c r="F860" s="327">
        <f t="shared" si="374"/>
        <v>4858.5124331852494</v>
      </c>
      <c r="G860" s="327">
        <f t="shared" si="375"/>
        <v>0</v>
      </c>
      <c r="H860" s="328" t="str">
        <f t="shared" si="395"/>
        <v>M</v>
      </c>
      <c r="I860" s="324" t="s">
        <v>1510</v>
      </c>
      <c r="J860" s="329" t="str">
        <f>IF(B860&lt;&gt;"",+VLOOKUP(I860,Recursos!C:F,2,FALSE),"")</f>
        <v>AGREGADO GRUESO</v>
      </c>
      <c r="K860" s="330" t="str">
        <f>IF(B860&lt;&gt;"",+VLOOKUP(I860,Recursos!C:F,3,FALSE),"")</f>
        <v>Tn</v>
      </c>
      <c r="L860" s="446">
        <f>IF(B860&lt;&gt;"",+VLOOKUP(I860,Recursos!C:F,4,FALSE),"")</f>
        <v>900</v>
      </c>
      <c r="M860" s="452">
        <v>20</v>
      </c>
      <c r="N860" s="453">
        <v>0.6</v>
      </c>
      <c r="O860" s="449">
        <f>+N860*(M863-(M859*(1+M858)/1000))*M862</f>
        <v>1.2096</v>
      </c>
      <c r="P860" s="333">
        <f t="shared" si="371"/>
        <v>1088.6400000000001</v>
      </c>
      <c r="Q860" s="327">
        <f t="shared" si="372"/>
        <v>0</v>
      </c>
      <c r="R860" s="334">
        <f t="shared" si="373"/>
        <v>0</v>
      </c>
      <c r="S860" s="335">
        <f t="shared" si="376"/>
        <v>0</v>
      </c>
      <c r="T860" s="335">
        <f t="shared" si="377"/>
        <v>0</v>
      </c>
      <c r="U860" s="336">
        <f t="shared" si="378"/>
        <v>3769.797190428133</v>
      </c>
      <c r="V860" s="336">
        <f t="shared" si="379"/>
        <v>0</v>
      </c>
      <c r="W860" s="336">
        <f t="shared" si="380"/>
        <v>0</v>
      </c>
      <c r="X860" s="336">
        <f t="shared" si="381"/>
        <v>1088.7152427571161</v>
      </c>
      <c r="Y860" s="320"/>
      <c r="Z860" s="321" t="str">
        <f t="shared" si="385"/>
        <v>X-ELA1A</v>
      </c>
      <c r="AA860" s="321" t="str">
        <f t="shared" si="386"/>
        <v>X-ELA1E</v>
      </c>
      <c r="AB860" s="321" t="str">
        <f t="shared" si="387"/>
        <v>X-ELA1M</v>
      </c>
      <c r="AC860" s="321" t="str">
        <f t="shared" si="388"/>
        <v>X-ELA1T</v>
      </c>
      <c r="AD860" s="321" t="str">
        <f t="shared" si="389"/>
        <v>X-ELA1S</v>
      </c>
      <c r="AE860" s="321" t="str">
        <f t="shared" si="390"/>
        <v>X-ELA1X</v>
      </c>
      <c r="AF860" s="321" t="str">
        <f t="shared" si="391"/>
        <v>X-ELA1M</v>
      </c>
      <c r="AG860" s="321">
        <f t="shared" si="382"/>
        <v>7</v>
      </c>
      <c r="AH860" s="321">
        <f>IF(B860&lt;&gt;"",IF(H860="x",VLOOKUP(I860,'AUX-NIV3'!B:AG,32,FALSE),0),"")</f>
        <v>0</v>
      </c>
      <c r="AI860" s="321" t="str">
        <f t="shared" si="392"/>
        <v>X-ELA1</v>
      </c>
      <c r="AJ860" s="320"/>
      <c r="AK860" s="322">
        <f t="shared" si="383"/>
        <v>858</v>
      </c>
      <c r="AL860" s="323">
        <f t="shared" si="393"/>
        <v>864</v>
      </c>
      <c r="AM860" s="322">
        <f t="shared" si="394"/>
        <v>3</v>
      </c>
      <c r="AN860" s="380">
        <f>IF(AND(AH860&gt;0,B860&lt;&gt;""),VLOOKUP(I860,'AUX-NIV3'!$B:$AO,39,FALSE)*O860,0)</f>
        <v>0</v>
      </c>
      <c r="AO860" s="380">
        <f t="shared" si="384"/>
        <v>0.93099999999999994</v>
      </c>
      <c r="AP860" s="380"/>
    </row>
    <row r="861" spans="2:42" ht="14.4" hidden="1" thickTop="1" thickBot="1">
      <c r="B861" s="324" t="s">
        <v>2869</v>
      </c>
      <c r="C861" s="325" t="s">
        <v>2870</v>
      </c>
      <c r="D861" s="326" t="s">
        <v>1160</v>
      </c>
      <c r="E861" s="327">
        <f>IF(B861&lt;&gt;"",SUMIF('AUX-NIV1'!I:I,'AUX-NIV2'!B861,'AUX-NIV1'!Q:Q),"")</f>
        <v>0</v>
      </c>
      <c r="F861" s="327">
        <f t="shared" si="374"/>
        <v>4858.5124331852494</v>
      </c>
      <c r="G861" s="327">
        <f t="shared" si="375"/>
        <v>0</v>
      </c>
      <c r="H861" s="328" t="str">
        <f t="shared" si="395"/>
        <v>M</v>
      </c>
      <c r="I861" s="325" t="s">
        <v>1511</v>
      </c>
      <c r="J861" s="329" t="str">
        <f>IF(B861&lt;&gt;"",+VLOOKUP(I861,Recursos!C:F,2,FALSE),"")</f>
        <v>AGREGADO FINO</v>
      </c>
      <c r="K861" s="330" t="str">
        <f>IF(B861&lt;&gt;"",+VLOOKUP(I861,Recursos!C:F,3,FALSE),"")</f>
        <v>tn</v>
      </c>
      <c r="L861" s="446">
        <f>IF(B861&lt;&gt;"",+VLOOKUP(I861,Recursos!C:F,4,FALSE),"")</f>
        <v>346.12398419675657</v>
      </c>
      <c r="M861" s="452">
        <v>0.5</v>
      </c>
      <c r="N861" s="453">
        <v>0.2</v>
      </c>
      <c r="O861" s="449">
        <f>+N861*(M863-(M859*(1+M858)/1000))*M862</f>
        <v>0.4032</v>
      </c>
      <c r="P861" s="333">
        <f t="shared" si="371"/>
        <v>139.55719042813226</v>
      </c>
      <c r="Q861" s="327">
        <f t="shared" si="372"/>
        <v>0</v>
      </c>
      <c r="R861" s="334">
        <f t="shared" si="373"/>
        <v>0</v>
      </c>
      <c r="S861" s="335">
        <f t="shared" si="376"/>
        <v>0</v>
      </c>
      <c r="T861" s="335">
        <f t="shared" si="377"/>
        <v>0</v>
      </c>
      <c r="U861" s="336">
        <f t="shared" si="378"/>
        <v>3769.797190428133</v>
      </c>
      <c r="V861" s="336">
        <f t="shared" si="379"/>
        <v>0</v>
      </c>
      <c r="W861" s="336">
        <f t="shared" si="380"/>
        <v>0</v>
      </c>
      <c r="X861" s="336">
        <f t="shared" si="381"/>
        <v>1088.7152427571161</v>
      </c>
      <c r="Y861" s="320"/>
      <c r="Z861" s="321" t="str">
        <f t="shared" si="385"/>
        <v>X-ELA1A</v>
      </c>
      <c r="AA861" s="321" t="str">
        <f t="shared" si="386"/>
        <v>X-ELA1E</v>
      </c>
      <c r="AB861" s="321" t="str">
        <f t="shared" si="387"/>
        <v>X-ELA1M</v>
      </c>
      <c r="AC861" s="321" t="str">
        <f t="shared" si="388"/>
        <v>X-ELA1T</v>
      </c>
      <c r="AD861" s="321" t="str">
        <f t="shared" si="389"/>
        <v>X-ELA1S</v>
      </c>
      <c r="AE861" s="321" t="str">
        <f t="shared" si="390"/>
        <v>X-ELA1X</v>
      </c>
      <c r="AF861" s="321" t="str">
        <f t="shared" si="391"/>
        <v>X-ELA1M</v>
      </c>
      <c r="AG861" s="321">
        <f t="shared" si="382"/>
        <v>7</v>
      </c>
      <c r="AH861" s="321">
        <f>IF(B861&lt;&gt;"",IF(H861="x",VLOOKUP(I861,'AUX-NIV3'!B:AG,32,FALSE),0),"")</f>
        <v>0</v>
      </c>
      <c r="AI861" s="321" t="str">
        <f t="shared" si="392"/>
        <v>X-ELA1</v>
      </c>
      <c r="AJ861" s="320"/>
      <c r="AK861" s="322">
        <f t="shared" si="383"/>
        <v>858</v>
      </c>
      <c r="AL861" s="323">
        <f t="shared" si="393"/>
        <v>864</v>
      </c>
      <c r="AM861" s="322">
        <f t="shared" si="394"/>
        <v>4</v>
      </c>
      <c r="AN861" s="380">
        <f>IF(AND(AH861&gt;0,B861&lt;&gt;""),VLOOKUP(I861,'AUX-NIV3'!$B:$AO,39,FALSE)*O861,0)</f>
        <v>0</v>
      </c>
      <c r="AO861" s="380">
        <f t="shared" si="384"/>
        <v>0.93099999999999994</v>
      </c>
      <c r="AP861" s="380"/>
    </row>
    <row r="862" spans="2:42" ht="14.4" hidden="1" thickTop="1" thickBot="1">
      <c r="B862" s="324" t="s">
        <v>2869</v>
      </c>
      <c r="C862" s="325" t="s">
        <v>2870</v>
      </c>
      <c r="D862" s="326" t="s">
        <v>1160</v>
      </c>
      <c r="E862" s="327">
        <f>IF(B862&lt;&gt;"",SUMIF('AUX-NIV1'!I:I,'AUX-NIV2'!B862,'AUX-NIV1'!Q:Q),"")</f>
        <v>0</v>
      </c>
      <c r="F862" s="327">
        <f t="shared" si="374"/>
        <v>4858.5124331852494</v>
      </c>
      <c r="G862" s="327">
        <f t="shared" si="375"/>
        <v>0</v>
      </c>
      <c r="H862" s="328" t="str">
        <f t="shared" si="395"/>
        <v>M</v>
      </c>
      <c r="I862" s="325" t="s">
        <v>1512</v>
      </c>
      <c r="J862" s="329" t="str">
        <f>IF(B862&lt;&gt;"",+VLOOKUP(I862,Recursos!C:F,2,FALSE),"")</f>
        <v>ARENA ZARANDEADA</v>
      </c>
      <c r="K862" s="330" t="str">
        <f>IF(B862&lt;&gt;"",+VLOOKUP(I862,Recursos!C:F,3,FALSE),"")</f>
        <v>Tn</v>
      </c>
      <c r="L862" s="446">
        <f>IF(B862&lt;&gt;"",+VLOOKUP(I862,Recursos!C:F,4,FALSE),"")</f>
        <v>900</v>
      </c>
      <c r="M862" s="452">
        <v>1.05</v>
      </c>
      <c r="N862" s="453">
        <v>0.2</v>
      </c>
      <c r="O862" s="449">
        <f>+N862*(M863-(M859*(1+M858)/1000))*M862</f>
        <v>0.4032</v>
      </c>
      <c r="P862" s="333">
        <f t="shared" si="371"/>
        <v>362.88</v>
      </c>
      <c r="Q862" s="327">
        <f t="shared" si="372"/>
        <v>0</v>
      </c>
      <c r="R862" s="334">
        <f t="shared" si="373"/>
        <v>0</v>
      </c>
      <c r="S862" s="335">
        <f t="shared" si="376"/>
        <v>0</v>
      </c>
      <c r="T862" s="335">
        <f t="shared" si="377"/>
        <v>0</v>
      </c>
      <c r="U862" s="336">
        <f t="shared" si="378"/>
        <v>3769.797190428133</v>
      </c>
      <c r="V862" s="336">
        <f t="shared" si="379"/>
        <v>0</v>
      </c>
      <c r="W862" s="336">
        <f t="shared" si="380"/>
        <v>0</v>
      </c>
      <c r="X862" s="336">
        <f t="shared" si="381"/>
        <v>1088.7152427571161</v>
      </c>
      <c r="Y862" s="320"/>
      <c r="Z862" s="321" t="str">
        <f t="shared" si="385"/>
        <v>X-ELA1A</v>
      </c>
      <c r="AA862" s="321" t="str">
        <f t="shared" si="386"/>
        <v>X-ELA1E</v>
      </c>
      <c r="AB862" s="321" t="str">
        <f t="shared" si="387"/>
        <v>X-ELA1M</v>
      </c>
      <c r="AC862" s="321" t="str">
        <f t="shared" si="388"/>
        <v>X-ELA1T</v>
      </c>
      <c r="AD862" s="321" t="str">
        <f t="shared" si="389"/>
        <v>X-ELA1S</v>
      </c>
      <c r="AE862" s="321" t="str">
        <f t="shared" si="390"/>
        <v>X-ELA1X</v>
      </c>
      <c r="AF862" s="321" t="str">
        <f t="shared" si="391"/>
        <v>X-ELA1M</v>
      </c>
      <c r="AG862" s="321">
        <f t="shared" si="382"/>
        <v>7</v>
      </c>
      <c r="AH862" s="321">
        <f>IF(B862&lt;&gt;"",IF(H862="x",VLOOKUP(I862,'AUX-NIV3'!B:AG,32,FALSE),0),"")</f>
        <v>0</v>
      </c>
      <c r="AI862" s="321" t="str">
        <f t="shared" si="392"/>
        <v>X-ELA1</v>
      </c>
      <c r="AJ862" s="320"/>
      <c r="AK862" s="322">
        <f t="shared" si="383"/>
        <v>858</v>
      </c>
      <c r="AL862" s="323">
        <f t="shared" si="393"/>
        <v>864</v>
      </c>
      <c r="AM862" s="322">
        <f t="shared" si="394"/>
        <v>5</v>
      </c>
      <c r="AN862" s="380">
        <f>IF(AND(AH862&gt;0,B862&lt;&gt;""),VLOOKUP(I862,'AUX-NIV3'!$B:$AO,39,FALSE)*O862,0)</f>
        <v>0</v>
      </c>
      <c r="AO862" s="380">
        <f t="shared" si="384"/>
        <v>0.93099999999999994</v>
      </c>
      <c r="AP862" s="380"/>
    </row>
    <row r="863" spans="2:42" ht="14.4" hidden="1" thickTop="1" thickBot="1">
      <c r="B863" s="324" t="s">
        <v>2869</v>
      </c>
      <c r="C863" s="325" t="s">
        <v>2870</v>
      </c>
      <c r="D863" s="326" t="s">
        <v>1160</v>
      </c>
      <c r="E863" s="327">
        <f>IF(B863&lt;&gt;"",SUMIF('AUX-NIV1'!I:I,'AUX-NIV2'!B863,'AUX-NIV1'!Q:Q),"")</f>
        <v>0</v>
      </c>
      <c r="F863" s="327">
        <f t="shared" si="374"/>
        <v>4858.5124331852494</v>
      </c>
      <c r="G863" s="327">
        <f t="shared" si="375"/>
        <v>0</v>
      </c>
      <c r="H863" s="328" t="str">
        <f t="shared" si="395"/>
        <v>X</v>
      </c>
      <c r="I863" s="325" t="s">
        <v>1499</v>
      </c>
      <c r="J863" s="329" t="str">
        <f>IF(B863&lt;&gt;"",+VLOOKUP(I863,Recursos!C:F,2,FALSE),"")</f>
        <v>Agua para hormigones</v>
      </c>
      <c r="K863" s="330" t="str">
        <f>IF(B863&lt;&gt;"",+VLOOKUP(I863,Recursos!C:F,3,FALSE),"")</f>
        <v>m3</v>
      </c>
      <c r="L863" s="446">
        <f>IF(B863&lt;&gt;"",+VLOOKUP(I863,Recursos!C:F,4,FALSE),"")</f>
        <v>400.95923429909482</v>
      </c>
      <c r="M863" s="452">
        <v>2.4</v>
      </c>
      <c r="N863" s="453"/>
      <c r="O863" s="449">
        <f>+M858*M859/1000*M862</f>
        <v>0.16800000000000001</v>
      </c>
      <c r="P863" s="333">
        <f t="shared" si="371"/>
        <v>67.361151362247938</v>
      </c>
      <c r="Q863" s="327">
        <f t="shared" si="372"/>
        <v>0</v>
      </c>
      <c r="R863" s="334">
        <f t="shared" si="373"/>
        <v>0</v>
      </c>
      <c r="S863" s="335">
        <f t="shared" si="376"/>
        <v>0</v>
      </c>
      <c r="T863" s="335">
        <f t="shared" si="377"/>
        <v>0</v>
      </c>
      <c r="U863" s="336">
        <f t="shared" si="378"/>
        <v>3769.797190428133</v>
      </c>
      <c r="V863" s="336">
        <f t="shared" si="379"/>
        <v>0</v>
      </c>
      <c r="W863" s="336">
        <f t="shared" si="380"/>
        <v>0</v>
      </c>
      <c r="X863" s="336">
        <f t="shared" si="381"/>
        <v>1088.7152427571161</v>
      </c>
      <c r="Y863" s="320"/>
      <c r="Z863" s="321" t="str">
        <f t="shared" si="385"/>
        <v>X-ELA1A</v>
      </c>
      <c r="AA863" s="321" t="str">
        <f t="shared" si="386"/>
        <v>X-ELA1E</v>
      </c>
      <c r="AB863" s="321" t="str">
        <f t="shared" si="387"/>
        <v>X-ELA1M</v>
      </c>
      <c r="AC863" s="321" t="str">
        <f t="shared" si="388"/>
        <v>X-ELA1T</v>
      </c>
      <c r="AD863" s="321" t="str">
        <f t="shared" si="389"/>
        <v>X-ELA1S</v>
      </c>
      <c r="AE863" s="321" t="str">
        <f t="shared" si="390"/>
        <v>X-ELA1X</v>
      </c>
      <c r="AF863" s="321" t="str">
        <f t="shared" si="391"/>
        <v>X-ELA1X</v>
      </c>
      <c r="AG863" s="321">
        <f t="shared" si="382"/>
        <v>7</v>
      </c>
      <c r="AH863" s="321">
        <f>IF(B863&lt;&gt;"",IF(H863="x",VLOOKUP(I863,'AUX-NIV3'!B:AG,32,FALSE),0),"")</f>
        <v>4</v>
      </c>
      <c r="AI863" s="321" t="str">
        <f t="shared" si="392"/>
        <v>X-ELA1</v>
      </c>
      <c r="AJ863" s="320"/>
      <c r="AK863" s="322">
        <f t="shared" si="383"/>
        <v>858</v>
      </c>
      <c r="AL863" s="323">
        <f t="shared" si="393"/>
        <v>864</v>
      </c>
      <c r="AM863" s="322">
        <f t="shared" si="394"/>
        <v>6</v>
      </c>
      <c r="AN863" s="380">
        <f>IF(AND(AH863&gt;0,B863&lt;&gt;""),VLOOKUP(I863,'AUX-NIV3'!$B:$AO,39,FALSE)*O863,0)</f>
        <v>2.1000000000000001E-2</v>
      </c>
      <c r="AO863" s="380">
        <f t="shared" si="384"/>
        <v>0.93099999999999994</v>
      </c>
      <c r="AP863" s="380"/>
    </row>
    <row r="864" spans="2:42" ht="14.4" hidden="1" thickTop="1" thickBot="1">
      <c r="B864" s="324" t="s">
        <v>2869</v>
      </c>
      <c r="C864" s="325" t="s">
        <v>2870</v>
      </c>
      <c r="D864" s="326" t="s">
        <v>1160</v>
      </c>
      <c r="E864" s="327">
        <f>IF(B864&lt;&gt;"",SUMIF('AUX-NIV1'!I:I,'AUX-NIV2'!B864,'AUX-NIV1'!Q:Q),"")</f>
        <v>0</v>
      </c>
      <c r="F864" s="327">
        <f t="shared" si="374"/>
        <v>4858.5124331852494</v>
      </c>
      <c r="G864" s="327">
        <f t="shared" si="375"/>
        <v>0</v>
      </c>
      <c r="H864" s="328" t="str">
        <f t="shared" si="395"/>
        <v>X</v>
      </c>
      <c r="I864" s="324" t="s">
        <v>1502</v>
      </c>
      <c r="J864" s="329" t="str">
        <f>IF(B864&lt;&gt;"",+VLOOKUP(I864,Recursos!C:F,2,FALSE),"")</f>
        <v>Producción de Hormigón en Planta</v>
      </c>
      <c r="K864" s="330" t="str">
        <f>IF(B864&lt;&gt;"",+VLOOKUP(I864,Recursos!C:F,3,FALSE),"")</f>
        <v>m3</v>
      </c>
      <c r="L864" s="446">
        <f>IF(B864&lt;&gt;"",+VLOOKUP(I864,Recursos!C:F,4,FALSE),"")</f>
        <v>972.7181822808268</v>
      </c>
      <c r="M864" s="450"/>
      <c r="N864" s="451"/>
      <c r="O864" s="449">
        <f>+M862</f>
        <v>1.05</v>
      </c>
      <c r="P864" s="333">
        <f t="shared" si="371"/>
        <v>1021.3540913948682</v>
      </c>
      <c r="Q864" s="327">
        <f t="shared" si="372"/>
        <v>0</v>
      </c>
      <c r="R864" s="334">
        <f t="shared" si="373"/>
        <v>0</v>
      </c>
      <c r="S864" s="335">
        <f t="shared" si="376"/>
        <v>0</v>
      </c>
      <c r="T864" s="335">
        <f t="shared" si="377"/>
        <v>0</v>
      </c>
      <c r="U864" s="336">
        <f t="shared" si="378"/>
        <v>3769.797190428133</v>
      </c>
      <c r="V864" s="336">
        <f t="shared" si="379"/>
        <v>0</v>
      </c>
      <c r="W864" s="336">
        <f t="shared" si="380"/>
        <v>0</v>
      </c>
      <c r="X864" s="336">
        <f t="shared" si="381"/>
        <v>1088.7152427571161</v>
      </c>
      <c r="Y864" s="320"/>
      <c r="Z864" s="321" t="str">
        <f t="shared" si="385"/>
        <v>X-ELA1A</v>
      </c>
      <c r="AA864" s="321" t="str">
        <f t="shared" si="386"/>
        <v>X-ELA1E</v>
      </c>
      <c r="AB864" s="321" t="str">
        <f t="shared" si="387"/>
        <v>X-ELA1M</v>
      </c>
      <c r="AC864" s="321" t="str">
        <f t="shared" si="388"/>
        <v>X-ELA1T</v>
      </c>
      <c r="AD864" s="321" t="str">
        <f t="shared" si="389"/>
        <v>X-ELA1S</v>
      </c>
      <c r="AE864" s="321" t="str">
        <f t="shared" si="390"/>
        <v>X-ELA1X</v>
      </c>
      <c r="AF864" s="321" t="str">
        <f t="shared" si="391"/>
        <v>X-ELA1X</v>
      </c>
      <c r="AG864" s="321">
        <f t="shared" si="382"/>
        <v>7</v>
      </c>
      <c r="AH864" s="321">
        <f>IF(B864&lt;&gt;"",IF(H864="x",VLOOKUP(I864,'AUX-NIV3'!B:AG,32,FALSE),0),"")</f>
        <v>8</v>
      </c>
      <c r="AI864" s="321" t="str">
        <f t="shared" si="392"/>
        <v>X-ELA1</v>
      </c>
      <c r="AJ864" s="320"/>
      <c r="AK864" s="322">
        <f t="shared" si="383"/>
        <v>858</v>
      </c>
      <c r="AL864" s="323">
        <f t="shared" si="393"/>
        <v>864</v>
      </c>
      <c r="AM864" s="322">
        <f t="shared" si="394"/>
        <v>7</v>
      </c>
      <c r="AN864" s="380">
        <f>IF(AND(AH864&gt;0,B864&lt;&gt;""),VLOOKUP(I864,'AUX-NIV3'!$B:$AO,39,FALSE)*O864,0)</f>
        <v>0.90999999999999992</v>
      </c>
      <c r="AO864" s="380">
        <f t="shared" si="384"/>
        <v>0.93099999999999994</v>
      </c>
      <c r="AP864" s="380"/>
    </row>
    <row r="865" spans="2:42" ht="14.4" hidden="1" thickTop="1" thickBot="1">
      <c r="B865" s="501" t="s">
        <v>2871</v>
      </c>
      <c r="C865" s="951" t="s">
        <v>2872</v>
      </c>
      <c r="D865" s="326" t="s">
        <v>501</v>
      </c>
      <c r="E865" s="327">
        <f>IF(B865&lt;&gt;"",SUMIF('AUX-NIV1'!I:I,'AUX-NIV2'!B865,'AUX-NIV1'!Q:Q),"")</f>
        <v>0</v>
      </c>
      <c r="F865" s="327">
        <f t="shared" si="374"/>
        <v>3798.3281004967002</v>
      </c>
      <c r="G865" s="327">
        <f t="shared" si="375"/>
        <v>0</v>
      </c>
      <c r="H865" s="328" t="str">
        <f t="shared" si="395"/>
        <v>A</v>
      </c>
      <c r="I865" s="325" t="s">
        <v>1745</v>
      </c>
      <c r="J865" s="329" t="str">
        <f>IF(B865&lt;&gt;"",+VLOOKUP(I865,Recursos!C:F,2,FALSE),"")</f>
        <v>AYUDANTE</v>
      </c>
      <c r="K865" s="330" t="str">
        <f>IF(B865&lt;&gt;"",+VLOOKUP(I865,Recursos!C:F,3,FALSE),"")</f>
        <v>hh</v>
      </c>
      <c r="L865" s="327">
        <f>IF(B865&lt;&gt;"",+VLOOKUP(I865,Recursos!C:F,4,FALSE),"")</f>
        <v>422.48042769667234</v>
      </c>
      <c r="M865" s="447">
        <v>2</v>
      </c>
      <c r="N865" s="515"/>
      <c r="O865" s="449">
        <f>+M865</f>
        <v>2</v>
      </c>
      <c r="P865" s="333">
        <f t="shared" si="371"/>
        <v>844.96085539334467</v>
      </c>
      <c r="Q865" s="327">
        <f t="shared" si="372"/>
        <v>0</v>
      </c>
      <c r="R865" s="334">
        <f t="shared" si="373"/>
        <v>0</v>
      </c>
      <c r="S865" s="335">
        <f t="shared" si="376"/>
        <v>3338.0558331850461</v>
      </c>
      <c r="T865" s="335">
        <f t="shared" si="377"/>
        <v>0</v>
      </c>
      <c r="U865" s="336">
        <f t="shared" si="378"/>
        <v>460.27226731165462</v>
      </c>
      <c r="V865" s="336">
        <f t="shared" si="379"/>
        <v>0</v>
      </c>
      <c r="W865" s="336">
        <f t="shared" si="380"/>
        <v>0</v>
      </c>
      <c r="X865" s="336">
        <f t="shared" si="381"/>
        <v>0</v>
      </c>
      <c r="Y865" s="320"/>
      <c r="Z865" s="321" t="str">
        <f t="shared" si="385"/>
        <v>X-ENC2A</v>
      </c>
      <c r="AA865" s="321" t="str">
        <f t="shared" si="386"/>
        <v>X-ENC2E</v>
      </c>
      <c r="AB865" s="321" t="str">
        <f t="shared" si="387"/>
        <v>X-ENC2M</v>
      </c>
      <c r="AC865" s="321" t="str">
        <f t="shared" si="388"/>
        <v>X-ENC2T</v>
      </c>
      <c r="AD865" s="321" t="str">
        <f t="shared" si="389"/>
        <v>X-ENC2S</v>
      </c>
      <c r="AE865" s="321" t="str">
        <f t="shared" si="390"/>
        <v>X-ENC2X</v>
      </c>
      <c r="AF865" s="321" t="str">
        <f t="shared" si="391"/>
        <v>X-ENC2A</v>
      </c>
      <c r="AG865" s="321">
        <f t="shared" si="382"/>
        <v>13</v>
      </c>
      <c r="AH865" s="321">
        <f>IF(B865&lt;&gt;"",IF(H865="x",VLOOKUP(I865,'AUX-NIV3'!B:AG,32,FALSE),0),"")</f>
        <v>0</v>
      </c>
      <c r="AI865" s="321" t="str">
        <f t="shared" si="392"/>
        <v>X-ENC2</v>
      </c>
      <c r="AJ865" s="320"/>
      <c r="AK865" s="322">
        <f t="shared" si="383"/>
        <v>865</v>
      </c>
      <c r="AL865" s="323">
        <f t="shared" si="393"/>
        <v>877</v>
      </c>
      <c r="AM865" s="322">
        <f t="shared" si="394"/>
        <v>1</v>
      </c>
      <c r="AN865" s="380">
        <f>IF(AND(AH865&gt;0,B865&lt;&gt;""),VLOOKUP(I865,'AUX-NIV3'!$B:$AO,39,FALSE)*O865,0)</f>
        <v>0</v>
      </c>
      <c r="AO865" s="380">
        <f t="shared" si="384"/>
        <v>7</v>
      </c>
      <c r="AP865" s="380"/>
    </row>
    <row r="866" spans="2:42" ht="14.4" hidden="1" thickTop="1" thickBot="1">
      <c r="B866" s="501" t="s">
        <v>2871</v>
      </c>
      <c r="C866" s="951" t="s">
        <v>2872</v>
      </c>
      <c r="D866" s="326" t="s">
        <v>501</v>
      </c>
      <c r="E866" s="327">
        <f>IF(B866&lt;&gt;"",SUMIF('AUX-NIV1'!I:I,'AUX-NIV2'!B866,'AUX-NIV1'!Q:Q),"")</f>
        <v>0</v>
      </c>
      <c r="F866" s="327">
        <f t="shared" si="374"/>
        <v>3798.3281004967002</v>
      </c>
      <c r="G866" s="327">
        <f t="shared" si="375"/>
        <v>0</v>
      </c>
      <c r="H866" s="328" t="str">
        <f t="shared" si="395"/>
        <v>A</v>
      </c>
      <c r="I866" s="325" t="s">
        <v>1746</v>
      </c>
      <c r="J866" s="329" t="str">
        <f>IF(B866&lt;&gt;"",+VLOOKUP(I866,Recursos!C:F,2,FALSE),"")</f>
        <v>OFICIAL</v>
      </c>
      <c r="K866" s="330" t="str">
        <f>IF(B866&lt;&gt;"",+VLOOKUP(I866,Recursos!C:F,3,FALSE),"")</f>
        <v>hh</v>
      </c>
      <c r="L866" s="327">
        <f>IF(B866&lt;&gt;"",+VLOOKUP(I866,Recursos!C:F,4,FALSE),"")</f>
        <v>496.91595439275824</v>
      </c>
      <c r="M866" s="452">
        <v>2</v>
      </c>
      <c r="N866" s="455"/>
      <c r="O866" s="449">
        <f>+M866</f>
        <v>2</v>
      </c>
      <c r="P866" s="333">
        <f t="shared" si="371"/>
        <v>993.83190878551648</v>
      </c>
      <c r="Q866" s="327">
        <f t="shared" si="372"/>
        <v>0</v>
      </c>
      <c r="R866" s="334">
        <f t="shared" si="373"/>
        <v>0</v>
      </c>
      <c r="S866" s="335">
        <f t="shared" si="376"/>
        <v>3338.0558331850461</v>
      </c>
      <c r="T866" s="335">
        <f t="shared" si="377"/>
        <v>0</v>
      </c>
      <c r="U866" s="336">
        <f t="shared" si="378"/>
        <v>460.27226731165462</v>
      </c>
      <c r="V866" s="336">
        <f t="shared" si="379"/>
        <v>0</v>
      </c>
      <c r="W866" s="336">
        <f t="shared" si="380"/>
        <v>0</v>
      </c>
      <c r="X866" s="336">
        <f t="shared" si="381"/>
        <v>0</v>
      </c>
      <c r="Y866" s="320"/>
      <c r="Z866" s="321" t="str">
        <f t="shared" si="385"/>
        <v>X-ENC2A</v>
      </c>
      <c r="AA866" s="321" t="str">
        <f t="shared" si="386"/>
        <v>X-ENC2E</v>
      </c>
      <c r="AB866" s="321" t="str">
        <f t="shared" si="387"/>
        <v>X-ENC2M</v>
      </c>
      <c r="AC866" s="321" t="str">
        <f t="shared" si="388"/>
        <v>X-ENC2T</v>
      </c>
      <c r="AD866" s="321" t="str">
        <f t="shared" si="389"/>
        <v>X-ENC2S</v>
      </c>
      <c r="AE866" s="321" t="str">
        <f t="shared" si="390"/>
        <v>X-ENC2X</v>
      </c>
      <c r="AF866" s="321" t="str">
        <f t="shared" si="391"/>
        <v>X-ENC2A</v>
      </c>
      <c r="AG866" s="321">
        <f t="shared" si="382"/>
        <v>13</v>
      </c>
      <c r="AH866" s="321">
        <f>IF(B866&lt;&gt;"",IF(H866="x",VLOOKUP(I866,'AUX-NIV3'!B:AG,32,FALSE),0),"")</f>
        <v>0</v>
      </c>
      <c r="AI866" s="321" t="str">
        <f t="shared" si="392"/>
        <v>X-ENC2</v>
      </c>
      <c r="AJ866" s="320"/>
      <c r="AK866" s="322">
        <f t="shared" si="383"/>
        <v>865</v>
      </c>
      <c r="AL866" s="323">
        <f t="shared" si="393"/>
        <v>877</v>
      </c>
      <c r="AM866" s="322">
        <f t="shared" si="394"/>
        <v>2</v>
      </c>
      <c r="AN866" s="380">
        <f>IF(AND(AH866&gt;0,B866&lt;&gt;""),VLOOKUP(I866,'AUX-NIV3'!$B:$AO,39,FALSE)*O866,0)</f>
        <v>0</v>
      </c>
      <c r="AO866" s="380">
        <f t="shared" si="384"/>
        <v>7</v>
      </c>
      <c r="AP866" s="380"/>
    </row>
    <row r="867" spans="2:42" ht="14.4" hidden="1" thickTop="1" thickBot="1">
      <c r="B867" s="501" t="s">
        <v>2871</v>
      </c>
      <c r="C867" s="951" t="s">
        <v>2872</v>
      </c>
      <c r="D867" s="326" t="s">
        <v>501</v>
      </c>
      <c r="E867" s="327">
        <f>IF(B867&lt;&gt;"",SUMIF('AUX-NIV1'!I:I,'AUX-NIV2'!B867,'AUX-NIV1'!Q:Q),"")</f>
        <v>0</v>
      </c>
      <c r="F867" s="327">
        <f t="shared" si="374"/>
        <v>3798.3281004967002</v>
      </c>
      <c r="G867" s="327">
        <f t="shared" si="375"/>
        <v>0</v>
      </c>
      <c r="H867" s="328" t="str">
        <f t="shared" si="395"/>
        <v>A</v>
      </c>
      <c r="I867" s="325" t="s">
        <v>3309</v>
      </c>
      <c r="J867" s="329" t="str">
        <f>IF(B867&lt;&gt;"",+VLOOKUP(I867,Recursos!C:F,2,FALSE),"")</f>
        <v>MEDIO OFICIAL</v>
      </c>
      <c r="K867" s="330" t="str">
        <f>IF(B867&lt;&gt;"",+VLOOKUP(I867,Recursos!C:F,3,FALSE),"")</f>
        <v>hh</v>
      </c>
      <c r="L867" s="327">
        <f>IF(B867&lt;&gt;"",+VLOOKUP(I867,Recursos!C:F,4,FALSE),"")</f>
        <v>459.10093211890984</v>
      </c>
      <c r="M867" s="452">
        <v>2</v>
      </c>
      <c r="N867" s="455"/>
      <c r="O867" s="449">
        <f>+M867</f>
        <v>2</v>
      </c>
      <c r="P867" s="333">
        <f t="shared" si="371"/>
        <v>918.20186423781968</v>
      </c>
      <c r="Q867" s="327">
        <f t="shared" si="372"/>
        <v>0</v>
      </c>
      <c r="R867" s="334">
        <f t="shared" si="373"/>
        <v>0</v>
      </c>
      <c r="S867" s="335">
        <f t="shared" si="376"/>
        <v>3338.0558331850461</v>
      </c>
      <c r="T867" s="335">
        <f t="shared" si="377"/>
        <v>0</v>
      </c>
      <c r="U867" s="336">
        <f t="shared" si="378"/>
        <v>460.27226731165462</v>
      </c>
      <c r="V867" s="336">
        <f t="shared" si="379"/>
        <v>0</v>
      </c>
      <c r="W867" s="336">
        <f t="shared" si="380"/>
        <v>0</v>
      </c>
      <c r="X867" s="336">
        <f t="shared" si="381"/>
        <v>0</v>
      </c>
      <c r="Y867" s="320"/>
      <c r="Z867" s="321" t="str">
        <f t="shared" si="385"/>
        <v>X-ENC2A</v>
      </c>
      <c r="AA867" s="321" t="str">
        <f t="shared" si="386"/>
        <v>X-ENC2E</v>
      </c>
      <c r="AB867" s="321" t="str">
        <f t="shared" si="387"/>
        <v>X-ENC2M</v>
      </c>
      <c r="AC867" s="321" t="str">
        <f t="shared" si="388"/>
        <v>X-ENC2T</v>
      </c>
      <c r="AD867" s="321" t="str">
        <f t="shared" si="389"/>
        <v>X-ENC2S</v>
      </c>
      <c r="AE867" s="321" t="str">
        <f t="shared" si="390"/>
        <v>X-ENC2X</v>
      </c>
      <c r="AF867" s="321" t="str">
        <f t="shared" si="391"/>
        <v>X-ENC2A</v>
      </c>
      <c r="AG867" s="321">
        <f t="shared" si="382"/>
        <v>13</v>
      </c>
      <c r="AH867" s="321">
        <f>IF(B867&lt;&gt;"",IF(H867="x",VLOOKUP(I867,'AUX-NIV3'!B:AG,32,FALSE),0),"")</f>
        <v>0</v>
      </c>
      <c r="AI867" s="321" t="str">
        <f t="shared" si="392"/>
        <v>X-ENC2</v>
      </c>
      <c r="AJ867" s="320"/>
      <c r="AK867" s="322">
        <f t="shared" si="383"/>
        <v>865</v>
      </c>
      <c r="AL867" s="323">
        <f t="shared" si="393"/>
        <v>877</v>
      </c>
      <c r="AM867" s="322">
        <f t="shared" si="394"/>
        <v>3</v>
      </c>
      <c r="AN867" s="380">
        <f>IF(AND(AH867&gt;0,B867&lt;&gt;""),VLOOKUP(I867,'AUX-NIV3'!$B:$AO,39,FALSE)*O867,0)</f>
        <v>0</v>
      </c>
      <c r="AO867" s="380">
        <f t="shared" si="384"/>
        <v>7</v>
      </c>
      <c r="AP867" s="380"/>
    </row>
    <row r="868" spans="2:42" ht="14.4" hidden="1" thickTop="1" thickBot="1">
      <c r="B868" s="501" t="s">
        <v>2871</v>
      </c>
      <c r="C868" s="951" t="s">
        <v>2872</v>
      </c>
      <c r="D868" s="326" t="s">
        <v>501</v>
      </c>
      <c r="E868" s="327">
        <f>IF(B868&lt;&gt;"",SUMIF('AUX-NIV1'!I:I,'AUX-NIV2'!B868,'AUX-NIV1'!Q:Q),"")</f>
        <v>0</v>
      </c>
      <c r="F868" s="327">
        <f t="shared" si="374"/>
        <v>3798.3281004967002</v>
      </c>
      <c r="G868" s="327">
        <f t="shared" si="375"/>
        <v>0</v>
      </c>
      <c r="H868" s="328" t="str">
        <f t="shared" si="395"/>
        <v>A</v>
      </c>
      <c r="I868" s="325" t="s">
        <v>3310</v>
      </c>
      <c r="J868" s="329" t="str">
        <f>IF(B868&lt;&gt;"",+VLOOKUP(I868,Recursos!C:F,2,FALSE),"")</f>
        <v>OFICIAL ESPECIALIZADO</v>
      </c>
      <c r="K868" s="330" t="str">
        <f>IF(B868&lt;&gt;"",+VLOOKUP(I868,Recursos!C:F,3,FALSE),"")</f>
        <v>hh</v>
      </c>
      <c r="L868" s="327">
        <f>IF(B868&lt;&gt;"",+VLOOKUP(I868,Recursos!C:F,4,FALSE),"")</f>
        <v>581.06120476836554</v>
      </c>
      <c r="M868" s="452">
        <v>1</v>
      </c>
      <c r="N868" s="455"/>
      <c r="O868" s="449">
        <f>+M868</f>
        <v>1</v>
      </c>
      <c r="P868" s="333">
        <f t="shared" si="371"/>
        <v>581.06120476836554</v>
      </c>
      <c r="Q868" s="327">
        <f t="shared" si="372"/>
        <v>0</v>
      </c>
      <c r="R868" s="334">
        <f t="shared" si="373"/>
        <v>0</v>
      </c>
      <c r="S868" s="335">
        <f t="shared" si="376"/>
        <v>3338.0558331850461</v>
      </c>
      <c r="T868" s="335">
        <f t="shared" si="377"/>
        <v>0</v>
      </c>
      <c r="U868" s="336">
        <f t="shared" si="378"/>
        <v>460.27226731165462</v>
      </c>
      <c r="V868" s="336">
        <f t="shared" si="379"/>
        <v>0</v>
      </c>
      <c r="W868" s="336">
        <f t="shared" si="380"/>
        <v>0</v>
      </c>
      <c r="X868" s="336">
        <f t="shared" si="381"/>
        <v>0</v>
      </c>
      <c r="Y868" s="320"/>
      <c r="Z868" s="321" t="str">
        <f t="shared" si="385"/>
        <v>X-ENC2A</v>
      </c>
      <c r="AA868" s="321" t="str">
        <f t="shared" si="386"/>
        <v>X-ENC2E</v>
      </c>
      <c r="AB868" s="321" t="str">
        <f t="shared" si="387"/>
        <v>X-ENC2M</v>
      </c>
      <c r="AC868" s="321" t="str">
        <f t="shared" si="388"/>
        <v>X-ENC2T</v>
      </c>
      <c r="AD868" s="321" t="str">
        <f t="shared" si="389"/>
        <v>X-ENC2S</v>
      </c>
      <c r="AE868" s="321" t="str">
        <f t="shared" si="390"/>
        <v>X-ENC2X</v>
      </c>
      <c r="AF868" s="321" t="str">
        <f t="shared" si="391"/>
        <v>X-ENC2A</v>
      </c>
      <c r="AG868" s="321">
        <f t="shared" si="382"/>
        <v>13</v>
      </c>
      <c r="AH868" s="321">
        <f>IF(B868&lt;&gt;"",IF(H868="x",VLOOKUP(I868,'AUX-NIV3'!B:AG,32,FALSE),0),"")</f>
        <v>0</v>
      </c>
      <c r="AI868" s="321" t="str">
        <f t="shared" si="392"/>
        <v>X-ENC2</v>
      </c>
      <c r="AJ868" s="320"/>
      <c r="AK868" s="322">
        <f t="shared" si="383"/>
        <v>865</v>
      </c>
      <c r="AL868" s="323">
        <f t="shared" si="393"/>
        <v>877</v>
      </c>
      <c r="AM868" s="322">
        <f t="shared" si="394"/>
        <v>4</v>
      </c>
      <c r="AN868" s="380">
        <f>IF(AND(AH868&gt;0,B868&lt;&gt;""),VLOOKUP(I868,'AUX-NIV3'!$B:$AO,39,FALSE)*O868,0)</f>
        <v>0</v>
      </c>
      <c r="AO868" s="380">
        <f t="shared" si="384"/>
        <v>7</v>
      </c>
      <c r="AP868" s="380"/>
    </row>
    <row r="869" spans="2:42" ht="14.4" hidden="1" thickTop="1" thickBot="1">
      <c r="B869" s="501" t="s">
        <v>2871</v>
      </c>
      <c r="C869" s="951" t="s">
        <v>2872</v>
      </c>
      <c r="D869" s="326" t="s">
        <v>501</v>
      </c>
      <c r="E869" s="327">
        <f>IF(B869&lt;&gt;"",SUMIF('AUX-NIV1'!I:I,'AUX-NIV2'!B869,'AUX-NIV1'!Q:Q),"")</f>
        <v>0</v>
      </c>
      <c r="F869" s="327">
        <f t="shared" si="374"/>
        <v>3798.3281004967002</v>
      </c>
      <c r="G869" s="327">
        <f t="shared" si="375"/>
        <v>0</v>
      </c>
      <c r="H869" s="328" t="str">
        <f t="shared" si="395"/>
        <v>A</v>
      </c>
      <c r="I869" s="325" t="s">
        <v>1746</v>
      </c>
      <c r="J869" s="329" t="str">
        <f>IF(B869&lt;&gt;"",+VLOOKUP(I869,Recursos!C:F,2,FALSE),"")</f>
        <v>OFICIAL</v>
      </c>
      <c r="K869" s="330" t="str">
        <f>IF(B869&lt;&gt;"",+VLOOKUP(I869,Recursos!C:F,3,FALSE),"")</f>
        <v>hh</v>
      </c>
      <c r="L869" s="327">
        <f>IF(B869&lt;&gt;"",+VLOOKUP(I869,Recursos!C:F,4,FALSE),"")</f>
        <v>496.91595439275824</v>
      </c>
      <c r="M869" s="511"/>
      <c r="N869" s="453">
        <v>1.25</v>
      </c>
      <c r="O869" s="449">
        <f>+M870*N869*N870</f>
        <v>0</v>
      </c>
      <c r="P869" s="333">
        <f t="shared" si="371"/>
        <v>0</v>
      </c>
      <c r="Q869" s="327">
        <f t="shared" si="372"/>
        <v>0</v>
      </c>
      <c r="R869" s="334">
        <f t="shared" si="373"/>
        <v>0</v>
      </c>
      <c r="S869" s="335">
        <f t="shared" si="376"/>
        <v>3338.0558331850461</v>
      </c>
      <c r="T869" s="335">
        <f t="shared" si="377"/>
        <v>0</v>
      </c>
      <c r="U869" s="336">
        <f t="shared" si="378"/>
        <v>460.27226731165462</v>
      </c>
      <c r="V869" s="336">
        <f t="shared" si="379"/>
        <v>0</v>
      </c>
      <c r="W869" s="336">
        <f t="shared" si="380"/>
        <v>0</v>
      </c>
      <c r="X869" s="336">
        <f t="shared" si="381"/>
        <v>0</v>
      </c>
      <c r="Y869" s="320"/>
      <c r="Z869" s="321" t="str">
        <f t="shared" si="385"/>
        <v>X-ENC2A</v>
      </c>
      <c r="AA869" s="321" t="str">
        <f t="shared" si="386"/>
        <v>X-ENC2E</v>
      </c>
      <c r="AB869" s="321" t="str">
        <f t="shared" si="387"/>
        <v>X-ENC2M</v>
      </c>
      <c r="AC869" s="321" t="str">
        <f t="shared" si="388"/>
        <v>X-ENC2T</v>
      </c>
      <c r="AD869" s="321" t="str">
        <f t="shared" si="389"/>
        <v>X-ENC2S</v>
      </c>
      <c r="AE869" s="321" t="str">
        <f t="shared" si="390"/>
        <v>X-ENC2X</v>
      </c>
      <c r="AF869" s="321" t="str">
        <f t="shared" si="391"/>
        <v>X-ENC2A</v>
      </c>
      <c r="AG869" s="321">
        <f t="shared" si="382"/>
        <v>13</v>
      </c>
      <c r="AH869" s="321">
        <f>IF(B869&lt;&gt;"",IF(H869="x",VLOOKUP(I869,'AUX-NIV3'!B:AG,32,FALSE),0),"")</f>
        <v>0</v>
      </c>
      <c r="AI869" s="321" t="str">
        <f t="shared" si="392"/>
        <v>X-ENC2</v>
      </c>
      <c r="AJ869" s="320"/>
      <c r="AK869" s="322">
        <f t="shared" si="383"/>
        <v>865</v>
      </c>
      <c r="AL869" s="323">
        <f t="shared" si="393"/>
        <v>877</v>
      </c>
      <c r="AM869" s="322">
        <f t="shared" si="394"/>
        <v>5</v>
      </c>
      <c r="AN869" s="380">
        <f>IF(AND(AH869&gt;0,B869&lt;&gt;""),VLOOKUP(I869,'AUX-NIV3'!$B:$AO,39,FALSE)*O869,0)</f>
        <v>0</v>
      </c>
      <c r="AO869" s="380">
        <f t="shared" si="384"/>
        <v>7</v>
      </c>
      <c r="AP869" s="380"/>
    </row>
    <row r="870" spans="2:42" ht="14.4" hidden="1" thickTop="1" thickBot="1">
      <c r="B870" s="501" t="s">
        <v>2871</v>
      </c>
      <c r="C870" s="951" t="s">
        <v>2872</v>
      </c>
      <c r="D870" s="326" t="s">
        <v>501</v>
      </c>
      <c r="E870" s="327">
        <f>IF(B870&lt;&gt;"",SUMIF('AUX-NIV1'!I:I,'AUX-NIV2'!B870,'AUX-NIV1'!Q:Q),"")</f>
        <v>0</v>
      </c>
      <c r="F870" s="327">
        <f t="shared" si="374"/>
        <v>3798.3281004967002</v>
      </c>
      <c r="G870" s="327">
        <f t="shared" si="375"/>
        <v>0</v>
      </c>
      <c r="H870" s="328" t="str">
        <f t="shared" si="395"/>
        <v>E</v>
      </c>
      <c r="I870" s="325" t="s">
        <v>1597</v>
      </c>
      <c r="J870" s="329" t="str">
        <f>IF(B870&lt;&gt;"",+VLOOKUP(I870,Recursos!C:F,2,FALSE),"")</f>
        <v>HIDROGRUA MONTADA S/CAMION (6 T)</v>
      </c>
      <c r="K870" s="330" t="str">
        <f>IF(B870&lt;&gt;"",+VLOOKUP(I870,Recursos!C:F,3,FALSE),"")</f>
        <v>HR</v>
      </c>
      <c r="L870" s="327">
        <f>IF(B870&lt;&gt;"",+VLOOKUP(I870,Recursos!C:F,4,FALSE),"")</f>
        <v>2378.0722500000002</v>
      </c>
      <c r="M870" s="452">
        <v>0.02</v>
      </c>
      <c r="N870" s="453">
        <v>0</v>
      </c>
      <c r="O870" s="449">
        <f>+M870*N870</f>
        <v>0</v>
      </c>
      <c r="P870" s="333">
        <f t="shared" si="371"/>
        <v>0</v>
      </c>
      <c r="Q870" s="327">
        <f t="shared" si="372"/>
        <v>0</v>
      </c>
      <c r="R870" s="334">
        <f t="shared" si="373"/>
        <v>0</v>
      </c>
      <c r="S870" s="335">
        <f t="shared" si="376"/>
        <v>3338.0558331850461</v>
      </c>
      <c r="T870" s="335">
        <f t="shared" si="377"/>
        <v>0</v>
      </c>
      <c r="U870" s="336">
        <f t="shared" si="378"/>
        <v>460.27226731165462</v>
      </c>
      <c r="V870" s="336">
        <f t="shared" si="379"/>
        <v>0</v>
      </c>
      <c r="W870" s="336">
        <f t="shared" si="380"/>
        <v>0</v>
      </c>
      <c r="X870" s="336">
        <f t="shared" si="381"/>
        <v>0</v>
      </c>
      <c r="Y870" s="320"/>
      <c r="Z870" s="321" t="str">
        <f t="shared" si="385"/>
        <v>X-ENC2A</v>
      </c>
      <c r="AA870" s="321" t="str">
        <f t="shared" si="386"/>
        <v>X-ENC2E</v>
      </c>
      <c r="AB870" s="321" t="str">
        <f t="shared" si="387"/>
        <v>X-ENC2M</v>
      </c>
      <c r="AC870" s="321" t="str">
        <f t="shared" si="388"/>
        <v>X-ENC2T</v>
      </c>
      <c r="AD870" s="321" t="str">
        <f t="shared" si="389"/>
        <v>X-ENC2S</v>
      </c>
      <c r="AE870" s="321" t="str">
        <f t="shared" si="390"/>
        <v>X-ENC2X</v>
      </c>
      <c r="AF870" s="321" t="str">
        <f t="shared" si="391"/>
        <v>X-ENC2E</v>
      </c>
      <c r="AG870" s="321">
        <f t="shared" si="382"/>
        <v>13</v>
      </c>
      <c r="AH870" s="321">
        <f>IF(B870&lt;&gt;"",IF(H870="x",VLOOKUP(I870,'AUX-NIV3'!B:AG,32,FALSE),0),"")</f>
        <v>0</v>
      </c>
      <c r="AI870" s="321" t="str">
        <f t="shared" si="392"/>
        <v>X-ENC2</v>
      </c>
      <c r="AJ870" s="320"/>
      <c r="AK870" s="322">
        <f t="shared" si="383"/>
        <v>865</v>
      </c>
      <c r="AL870" s="323">
        <f t="shared" si="393"/>
        <v>877</v>
      </c>
      <c r="AM870" s="322">
        <f t="shared" si="394"/>
        <v>6</v>
      </c>
      <c r="AN870" s="380">
        <f>IF(AND(AH870&gt;0,B870&lt;&gt;""),VLOOKUP(I870,'AUX-NIV3'!$B:$AO,39,FALSE)*O870,0)</f>
        <v>0</v>
      </c>
      <c r="AO870" s="380">
        <f t="shared" si="384"/>
        <v>7</v>
      </c>
      <c r="AP870" s="380"/>
    </row>
    <row r="871" spans="2:42" ht="14.4" hidden="1" thickTop="1" thickBot="1">
      <c r="B871" s="501" t="s">
        <v>2871</v>
      </c>
      <c r="C871" s="951" t="s">
        <v>2872</v>
      </c>
      <c r="D871" s="326" t="s">
        <v>501</v>
      </c>
      <c r="E871" s="327">
        <f>IF(B871&lt;&gt;"",SUMIF('AUX-NIV1'!I:I,'AUX-NIV2'!B871,'AUX-NIV1'!Q:Q),"")</f>
        <v>0</v>
      </c>
      <c r="F871" s="327">
        <f t="shared" si="374"/>
        <v>3798.3281004967002</v>
      </c>
      <c r="G871" s="327">
        <f t="shared" si="375"/>
        <v>0</v>
      </c>
      <c r="H871" s="328" t="str">
        <f t="shared" si="395"/>
        <v>M</v>
      </c>
      <c r="I871" s="325" t="s">
        <v>1855</v>
      </c>
      <c r="J871" s="329" t="str">
        <f>IF(B871&lt;&gt;"",+VLOOKUP(I871,Recursos!C:F,2,FALSE),"")</f>
        <v>DESMOLDANTE</v>
      </c>
      <c r="K871" s="330" t="str">
        <f>IF(B871&lt;&gt;"",+VLOOKUP(I871,Recursos!C:F,3,FALSE),"")</f>
        <v>Kg</v>
      </c>
      <c r="L871" s="327">
        <f>IF(B871&lt;&gt;"",+VLOOKUP(I871,Recursos!C:F,4,FALSE),"")</f>
        <v>50.4</v>
      </c>
      <c r="M871" s="529">
        <v>0.1</v>
      </c>
      <c r="N871" s="455"/>
      <c r="O871" s="449">
        <f>+M871</f>
        <v>0.1</v>
      </c>
      <c r="P871" s="333">
        <f t="shared" si="371"/>
        <v>5.04</v>
      </c>
      <c r="Q871" s="327">
        <f t="shared" si="372"/>
        <v>0</v>
      </c>
      <c r="R871" s="334">
        <f t="shared" si="373"/>
        <v>0</v>
      </c>
      <c r="S871" s="335">
        <f t="shared" si="376"/>
        <v>3338.0558331850461</v>
      </c>
      <c r="T871" s="335">
        <f t="shared" si="377"/>
        <v>0</v>
      </c>
      <c r="U871" s="336">
        <f t="shared" si="378"/>
        <v>460.27226731165462</v>
      </c>
      <c r="V871" s="336">
        <f t="shared" si="379"/>
        <v>0</v>
      </c>
      <c r="W871" s="336">
        <f t="shared" si="380"/>
        <v>0</v>
      </c>
      <c r="X871" s="336">
        <f t="shared" si="381"/>
        <v>0</v>
      </c>
      <c r="Y871" s="320"/>
      <c r="Z871" s="321" t="str">
        <f t="shared" si="385"/>
        <v>X-ENC2A</v>
      </c>
      <c r="AA871" s="321" t="str">
        <f t="shared" si="386"/>
        <v>X-ENC2E</v>
      </c>
      <c r="AB871" s="321" t="str">
        <f t="shared" si="387"/>
        <v>X-ENC2M</v>
      </c>
      <c r="AC871" s="321" t="str">
        <f t="shared" si="388"/>
        <v>X-ENC2T</v>
      </c>
      <c r="AD871" s="321" t="str">
        <f t="shared" si="389"/>
        <v>X-ENC2S</v>
      </c>
      <c r="AE871" s="321" t="str">
        <f t="shared" si="390"/>
        <v>X-ENC2X</v>
      </c>
      <c r="AF871" s="321" t="str">
        <f t="shared" si="391"/>
        <v>X-ENC2M</v>
      </c>
      <c r="AG871" s="321">
        <f t="shared" si="382"/>
        <v>13</v>
      </c>
      <c r="AH871" s="321">
        <f>IF(B871&lt;&gt;"",IF(H871="x",VLOOKUP(I871,'AUX-NIV3'!B:AG,32,FALSE),0),"")</f>
        <v>0</v>
      </c>
      <c r="AI871" s="321" t="str">
        <f t="shared" si="392"/>
        <v>X-ENC2</v>
      </c>
      <c r="AJ871" s="320"/>
      <c r="AK871" s="322">
        <f t="shared" si="383"/>
        <v>865</v>
      </c>
      <c r="AL871" s="323">
        <f t="shared" si="393"/>
        <v>877</v>
      </c>
      <c r="AM871" s="322">
        <f t="shared" si="394"/>
        <v>7</v>
      </c>
      <c r="AN871" s="380">
        <f>IF(AND(AH871&gt;0,B871&lt;&gt;""),VLOOKUP(I871,'AUX-NIV3'!$B:$AO,39,FALSE)*O871,0)</f>
        <v>0</v>
      </c>
      <c r="AO871" s="380">
        <f t="shared" si="384"/>
        <v>7</v>
      </c>
      <c r="AP871" s="380"/>
    </row>
    <row r="872" spans="2:42" ht="14.4" hidden="1" thickTop="1" thickBot="1">
      <c r="B872" s="501" t="s">
        <v>2871</v>
      </c>
      <c r="C872" s="951" t="s">
        <v>2872</v>
      </c>
      <c r="D872" s="326" t="s">
        <v>501</v>
      </c>
      <c r="E872" s="327">
        <f>IF(B872&lt;&gt;"",SUMIF('AUX-NIV1'!I:I,'AUX-NIV2'!B872,'AUX-NIV1'!Q:Q),"")</f>
        <v>0</v>
      </c>
      <c r="F872" s="327">
        <f t="shared" si="374"/>
        <v>3798.3281004967002</v>
      </c>
      <c r="G872" s="327">
        <f t="shared" si="375"/>
        <v>0</v>
      </c>
      <c r="H872" s="328" t="str">
        <f t="shared" si="395"/>
        <v>M</v>
      </c>
      <c r="I872" s="325" t="s">
        <v>1911</v>
      </c>
      <c r="J872" s="329" t="str">
        <f>IF(B872&lt;&gt;"",+VLOOKUP(I872,Recursos!C:F,2,FALSE),"")</f>
        <v>LISTON TIPO PARA ENCOFRADO</v>
      </c>
      <c r="K872" s="330" t="str">
        <f>IF(B872&lt;&gt;"",+VLOOKUP(I872,Recursos!C:F,3,FALSE),"")</f>
        <v>m</v>
      </c>
      <c r="L872" s="327">
        <f>IF(B872&lt;&gt;"",+VLOOKUP(I872,Recursos!C:F,4,FALSE),"")</f>
        <v>94.5</v>
      </c>
      <c r="M872" s="452">
        <v>6</v>
      </c>
      <c r="N872" s="455"/>
      <c r="O872" s="449">
        <f>1/M872</f>
        <v>0.16666666666666666</v>
      </c>
      <c r="P872" s="333">
        <f t="shared" si="371"/>
        <v>15.75</v>
      </c>
      <c r="Q872" s="327">
        <f t="shared" si="372"/>
        <v>0</v>
      </c>
      <c r="R872" s="334">
        <f t="shared" si="373"/>
        <v>0</v>
      </c>
      <c r="S872" s="335">
        <f t="shared" si="376"/>
        <v>3338.0558331850461</v>
      </c>
      <c r="T872" s="335">
        <f t="shared" si="377"/>
        <v>0</v>
      </c>
      <c r="U872" s="336">
        <f t="shared" si="378"/>
        <v>460.27226731165462</v>
      </c>
      <c r="V872" s="336">
        <f t="shared" si="379"/>
        <v>0</v>
      </c>
      <c r="W872" s="336">
        <f t="shared" si="380"/>
        <v>0</v>
      </c>
      <c r="X872" s="336">
        <f t="shared" si="381"/>
        <v>0</v>
      </c>
      <c r="Y872" s="320"/>
      <c r="Z872" s="321" t="str">
        <f t="shared" si="385"/>
        <v>X-ENC2A</v>
      </c>
      <c r="AA872" s="321" t="str">
        <f t="shared" si="386"/>
        <v>X-ENC2E</v>
      </c>
      <c r="AB872" s="321" t="str">
        <f t="shared" si="387"/>
        <v>X-ENC2M</v>
      </c>
      <c r="AC872" s="321" t="str">
        <f t="shared" si="388"/>
        <v>X-ENC2T</v>
      </c>
      <c r="AD872" s="321" t="str">
        <f t="shared" si="389"/>
        <v>X-ENC2S</v>
      </c>
      <c r="AE872" s="321" t="str">
        <f t="shared" si="390"/>
        <v>X-ENC2X</v>
      </c>
      <c r="AF872" s="321" t="str">
        <f t="shared" si="391"/>
        <v>X-ENC2M</v>
      </c>
      <c r="AG872" s="321">
        <f t="shared" si="382"/>
        <v>13</v>
      </c>
      <c r="AH872" s="321">
        <f>IF(B872&lt;&gt;"",IF(H872="x",VLOOKUP(I872,'AUX-NIV3'!B:AG,32,FALSE),0),"")</f>
        <v>0</v>
      </c>
      <c r="AI872" s="321" t="str">
        <f t="shared" si="392"/>
        <v>X-ENC2</v>
      </c>
      <c r="AJ872" s="320"/>
      <c r="AK872" s="322">
        <f t="shared" si="383"/>
        <v>865</v>
      </c>
      <c r="AL872" s="323">
        <f t="shared" si="393"/>
        <v>877</v>
      </c>
      <c r="AM872" s="322">
        <f t="shared" si="394"/>
        <v>8</v>
      </c>
      <c r="AN872" s="380">
        <f>IF(AND(AH872&gt;0,B872&lt;&gt;""),VLOOKUP(I872,'AUX-NIV3'!$B:$AO,39,FALSE)*O872,0)</f>
        <v>0</v>
      </c>
      <c r="AO872" s="380">
        <f t="shared" si="384"/>
        <v>7</v>
      </c>
      <c r="AP872" s="380"/>
    </row>
    <row r="873" spans="2:42" ht="14.4" hidden="1" thickTop="1" thickBot="1">
      <c r="B873" s="501" t="s">
        <v>2871</v>
      </c>
      <c r="C873" s="951" t="s">
        <v>2872</v>
      </c>
      <c r="D873" s="326" t="s">
        <v>501</v>
      </c>
      <c r="E873" s="327">
        <f>IF(B873&lt;&gt;"",SUMIF('AUX-NIV1'!I:I,'AUX-NIV2'!B873,'AUX-NIV1'!Q:Q),"")</f>
        <v>0</v>
      </c>
      <c r="F873" s="327">
        <f t="shared" si="374"/>
        <v>3798.3281004967002</v>
      </c>
      <c r="G873" s="327">
        <f t="shared" si="375"/>
        <v>0</v>
      </c>
      <c r="H873" s="328" t="str">
        <f t="shared" si="395"/>
        <v>M</v>
      </c>
      <c r="I873" s="325" t="s">
        <v>1912</v>
      </c>
      <c r="J873" s="329" t="str">
        <f>IF(B873&lt;&gt;"",+VLOOKUP(I873,Recursos!C:F,2,FALSE),"")</f>
        <v>FENOLICO ESP.= 19 MM (3/4")</v>
      </c>
      <c r="K873" s="330" t="str">
        <f>IF(B873&lt;&gt;"",+VLOOKUP(I873,Recursos!C:F,3,FALSE),"")</f>
        <v>m2</v>
      </c>
      <c r="L873" s="327">
        <f>IF(B873&lt;&gt;"",+VLOOKUP(I873,Recursos!C:F,4,FALSE),"")</f>
        <v>916.17600351811598</v>
      </c>
      <c r="M873" s="454"/>
      <c r="N873" s="453">
        <v>1.1000000000000001</v>
      </c>
      <c r="O873" s="449">
        <f>+N873/M872</f>
        <v>0.18333333333333335</v>
      </c>
      <c r="P873" s="333">
        <f t="shared" si="371"/>
        <v>167.96560064498794</v>
      </c>
      <c r="Q873" s="327">
        <f t="shared" si="372"/>
        <v>0</v>
      </c>
      <c r="R873" s="334">
        <f t="shared" si="373"/>
        <v>0</v>
      </c>
      <c r="S873" s="335">
        <f t="shared" si="376"/>
        <v>3338.0558331850461</v>
      </c>
      <c r="T873" s="335">
        <f t="shared" si="377"/>
        <v>0</v>
      </c>
      <c r="U873" s="336">
        <f t="shared" si="378"/>
        <v>460.27226731165462</v>
      </c>
      <c r="V873" s="336">
        <f t="shared" si="379"/>
        <v>0</v>
      </c>
      <c r="W873" s="336">
        <f t="shared" si="380"/>
        <v>0</v>
      </c>
      <c r="X873" s="336">
        <f t="shared" si="381"/>
        <v>0</v>
      </c>
      <c r="Y873" s="320"/>
      <c r="Z873" s="321" t="str">
        <f t="shared" si="385"/>
        <v>X-ENC2A</v>
      </c>
      <c r="AA873" s="321" t="str">
        <f t="shared" si="386"/>
        <v>X-ENC2E</v>
      </c>
      <c r="AB873" s="321" t="str">
        <f t="shared" si="387"/>
        <v>X-ENC2M</v>
      </c>
      <c r="AC873" s="321" t="str">
        <f t="shared" si="388"/>
        <v>X-ENC2T</v>
      </c>
      <c r="AD873" s="321" t="str">
        <f t="shared" si="389"/>
        <v>X-ENC2S</v>
      </c>
      <c r="AE873" s="321" t="str">
        <f t="shared" si="390"/>
        <v>X-ENC2X</v>
      </c>
      <c r="AF873" s="321" t="str">
        <f t="shared" si="391"/>
        <v>X-ENC2M</v>
      </c>
      <c r="AG873" s="321">
        <f t="shared" si="382"/>
        <v>13</v>
      </c>
      <c r="AH873" s="321">
        <f>IF(B873&lt;&gt;"",IF(H873="x",VLOOKUP(I873,'AUX-NIV3'!B:AG,32,FALSE),0),"")</f>
        <v>0</v>
      </c>
      <c r="AI873" s="321" t="str">
        <f t="shared" si="392"/>
        <v>X-ENC2</v>
      </c>
      <c r="AJ873" s="320"/>
      <c r="AK873" s="322">
        <f t="shared" si="383"/>
        <v>865</v>
      </c>
      <c r="AL873" s="323">
        <f t="shared" si="393"/>
        <v>877</v>
      </c>
      <c r="AM873" s="322">
        <f t="shared" si="394"/>
        <v>9</v>
      </c>
      <c r="AN873" s="380">
        <f>IF(AND(AH873&gt;0,B873&lt;&gt;""),VLOOKUP(I873,'AUX-NIV3'!$B:$AO,39,FALSE)*O873,0)</f>
        <v>0</v>
      </c>
      <c r="AO873" s="380">
        <f t="shared" si="384"/>
        <v>7</v>
      </c>
      <c r="AP873" s="380"/>
    </row>
    <row r="874" spans="2:42" ht="14.4" hidden="1" thickTop="1" thickBot="1">
      <c r="B874" s="501" t="s">
        <v>2871</v>
      </c>
      <c r="C874" s="951" t="s">
        <v>2872</v>
      </c>
      <c r="D874" s="326" t="s">
        <v>501</v>
      </c>
      <c r="E874" s="327">
        <f>IF(B874&lt;&gt;"",SUMIF('AUX-NIV1'!I:I,'AUX-NIV2'!B874,'AUX-NIV1'!Q:Q),"")</f>
        <v>0</v>
      </c>
      <c r="F874" s="327">
        <f t="shared" si="374"/>
        <v>3798.3281004967002</v>
      </c>
      <c r="G874" s="327">
        <f t="shared" si="375"/>
        <v>0</v>
      </c>
      <c r="H874" s="328" t="str">
        <f t="shared" si="395"/>
        <v>M</v>
      </c>
      <c r="I874" s="325" t="s">
        <v>1914</v>
      </c>
      <c r="J874" s="329" t="str">
        <f>IF(B874&lt;&gt;"",+VLOOKUP(I874,Recursos!C:F,2,FALSE),"")</f>
        <v>PUNTAL DE MADERA</v>
      </c>
      <c r="K874" s="330" t="str">
        <f>IF(B874&lt;&gt;"",+VLOOKUP(I874,Recursos!C:F,3,FALSE),"")</f>
        <v>m</v>
      </c>
      <c r="L874" s="327">
        <f>IF(B874&lt;&gt;"",+VLOOKUP(I874,Recursos!C:F,4,FALSE),"")</f>
        <v>200</v>
      </c>
      <c r="M874" s="454"/>
      <c r="N874" s="453">
        <v>2</v>
      </c>
      <c r="O874" s="449">
        <f>+N874/M872</f>
        <v>0.33333333333333331</v>
      </c>
      <c r="P874" s="333">
        <f t="shared" si="371"/>
        <v>66.666666666666657</v>
      </c>
      <c r="Q874" s="327">
        <f t="shared" si="372"/>
        <v>0</v>
      </c>
      <c r="R874" s="334">
        <f t="shared" si="373"/>
        <v>0</v>
      </c>
      <c r="S874" s="335">
        <f t="shared" si="376"/>
        <v>3338.0558331850461</v>
      </c>
      <c r="T874" s="335">
        <f t="shared" si="377"/>
        <v>0</v>
      </c>
      <c r="U874" s="336">
        <f t="shared" si="378"/>
        <v>460.27226731165462</v>
      </c>
      <c r="V874" s="336">
        <f t="shared" si="379"/>
        <v>0</v>
      </c>
      <c r="W874" s="336">
        <f t="shared" si="380"/>
        <v>0</v>
      </c>
      <c r="X874" s="336">
        <f t="shared" si="381"/>
        <v>0</v>
      </c>
      <c r="Y874" s="320"/>
      <c r="Z874" s="321" t="str">
        <f t="shared" si="385"/>
        <v>X-ENC2A</v>
      </c>
      <c r="AA874" s="321" t="str">
        <f t="shared" si="386"/>
        <v>X-ENC2E</v>
      </c>
      <c r="AB874" s="321" t="str">
        <f t="shared" si="387"/>
        <v>X-ENC2M</v>
      </c>
      <c r="AC874" s="321" t="str">
        <f t="shared" si="388"/>
        <v>X-ENC2T</v>
      </c>
      <c r="AD874" s="321" t="str">
        <f t="shared" si="389"/>
        <v>X-ENC2S</v>
      </c>
      <c r="AE874" s="321" t="str">
        <f t="shared" si="390"/>
        <v>X-ENC2X</v>
      </c>
      <c r="AF874" s="321" t="str">
        <f t="shared" si="391"/>
        <v>X-ENC2M</v>
      </c>
      <c r="AG874" s="321">
        <f t="shared" si="382"/>
        <v>13</v>
      </c>
      <c r="AH874" s="321">
        <f>IF(B874&lt;&gt;"",IF(H874="x",VLOOKUP(I874,'AUX-NIV3'!B:AG,32,FALSE),0),"")</f>
        <v>0</v>
      </c>
      <c r="AI874" s="321" t="str">
        <f t="shared" si="392"/>
        <v>X-ENC2</v>
      </c>
      <c r="AJ874" s="320"/>
      <c r="AK874" s="322">
        <f t="shared" si="383"/>
        <v>865</v>
      </c>
      <c r="AL874" s="323">
        <f t="shared" si="393"/>
        <v>877</v>
      </c>
      <c r="AM874" s="322">
        <f t="shared" si="394"/>
        <v>10</v>
      </c>
      <c r="AN874" s="380">
        <f>IF(AND(AH874&gt;0,B874&lt;&gt;""),VLOOKUP(I874,'AUX-NIV3'!$B:$AO,39,FALSE)*O874,0)</f>
        <v>0</v>
      </c>
      <c r="AO874" s="380">
        <f t="shared" si="384"/>
        <v>7</v>
      </c>
      <c r="AP874" s="380"/>
    </row>
    <row r="875" spans="2:42" ht="14.4" hidden="1" thickTop="1" thickBot="1">
      <c r="B875" s="501" t="s">
        <v>2871</v>
      </c>
      <c r="C875" s="951" t="s">
        <v>2872</v>
      </c>
      <c r="D875" s="326" t="s">
        <v>501</v>
      </c>
      <c r="E875" s="327">
        <f>IF(B875&lt;&gt;"",SUMIF('AUX-NIV1'!I:I,'AUX-NIV2'!B875,'AUX-NIV1'!Q:Q),"")</f>
        <v>0</v>
      </c>
      <c r="F875" s="327">
        <f t="shared" si="374"/>
        <v>3798.3281004967002</v>
      </c>
      <c r="G875" s="327">
        <f t="shared" si="375"/>
        <v>0</v>
      </c>
      <c r="H875" s="328" t="str">
        <f t="shared" si="395"/>
        <v>M</v>
      </c>
      <c r="I875" s="325" t="s">
        <v>1924</v>
      </c>
      <c r="J875" s="329" t="str">
        <f>IF(B875&lt;&gt;"",+VLOOKUP(I875,Recursos!C:F,2,FALSE),"")</f>
        <v>CLAVO DE 2 A 4"</v>
      </c>
      <c r="K875" s="330" t="str">
        <f>IF(B875&lt;&gt;"",+VLOOKUP(I875,Recursos!C:F,3,FALSE),"")</f>
        <v>Kg</v>
      </c>
      <c r="L875" s="327">
        <f>IF(B875&lt;&gt;"",+VLOOKUP(I875,Recursos!C:F,4,FALSE),"")</f>
        <v>98.5</v>
      </c>
      <c r="M875" s="452">
        <v>0.1</v>
      </c>
      <c r="N875" s="453"/>
      <c r="O875" s="449">
        <f>+M875</f>
        <v>0.1</v>
      </c>
      <c r="P875" s="333">
        <f t="shared" si="371"/>
        <v>9.8500000000000014</v>
      </c>
      <c r="Q875" s="327">
        <f t="shared" si="372"/>
        <v>0</v>
      </c>
      <c r="R875" s="334">
        <f t="shared" si="373"/>
        <v>0</v>
      </c>
      <c r="S875" s="335">
        <f t="shared" si="376"/>
        <v>3338.0558331850461</v>
      </c>
      <c r="T875" s="335">
        <f t="shared" si="377"/>
        <v>0</v>
      </c>
      <c r="U875" s="336">
        <f t="shared" si="378"/>
        <v>460.27226731165462</v>
      </c>
      <c r="V875" s="336">
        <f t="shared" si="379"/>
        <v>0</v>
      </c>
      <c r="W875" s="336">
        <f t="shared" si="380"/>
        <v>0</v>
      </c>
      <c r="X875" s="336">
        <f t="shared" si="381"/>
        <v>0</v>
      </c>
      <c r="Y875" s="320"/>
      <c r="Z875" s="321" t="str">
        <f t="shared" si="385"/>
        <v>X-ENC2A</v>
      </c>
      <c r="AA875" s="321" t="str">
        <f t="shared" si="386"/>
        <v>X-ENC2E</v>
      </c>
      <c r="AB875" s="321" t="str">
        <f t="shared" si="387"/>
        <v>X-ENC2M</v>
      </c>
      <c r="AC875" s="321" t="str">
        <f t="shared" si="388"/>
        <v>X-ENC2T</v>
      </c>
      <c r="AD875" s="321" t="str">
        <f t="shared" si="389"/>
        <v>X-ENC2S</v>
      </c>
      <c r="AE875" s="321" t="str">
        <f t="shared" si="390"/>
        <v>X-ENC2X</v>
      </c>
      <c r="AF875" s="321" t="str">
        <f t="shared" si="391"/>
        <v>X-ENC2M</v>
      </c>
      <c r="AG875" s="321">
        <f t="shared" si="382"/>
        <v>13</v>
      </c>
      <c r="AH875" s="321">
        <f>IF(B875&lt;&gt;"",IF(H875="x",VLOOKUP(I875,'AUX-NIV3'!B:AG,32,FALSE),0),"")</f>
        <v>0</v>
      </c>
      <c r="AI875" s="321" t="str">
        <f t="shared" si="392"/>
        <v>X-ENC2</v>
      </c>
      <c r="AJ875" s="320"/>
      <c r="AK875" s="322">
        <f t="shared" si="383"/>
        <v>865</v>
      </c>
      <c r="AL875" s="323">
        <f t="shared" si="393"/>
        <v>877</v>
      </c>
      <c r="AM875" s="322">
        <f t="shared" si="394"/>
        <v>11</v>
      </c>
      <c r="AN875" s="380">
        <f>IF(AND(AH875&gt;0,B875&lt;&gt;""),VLOOKUP(I875,'AUX-NIV3'!$B:$AO,39,FALSE)*O875,0)</f>
        <v>0</v>
      </c>
      <c r="AO875" s="380">
        <f t="shared" si="384"/>
        <v>7</v>
      </c>
      <c r="AP875" s="380"/>
    </row>
    <row r="876" spans="2:42" ht="14.4" hidden="1" thickTop="1" thickBot="1">
      <c r="B876" s="501" t="s">
        <v>2871</v>
      </c>
      <c r="C876" s="951" t="s">
        <v>2872</v>
      </c>
      <c r="D876" s="326" t="s">
        <v>501</v>
      </c>
      <c r="E876" s="327">
        <f>IF(B876&lt;&gt;"",SUMIF('AUX-NIV1'!I:I,'AUX-NIV2'!B876,'AUX-NIV1'!Q:Q),"")</f>
        <v>0</v>
      </c>
      <c r="F876" s="327">
        <f t="shared" si="374"/>
        <v>3798.3281004967002</v>
      </c>
      <c r="G876" s="327">
        <f t="shared" si="375"/>
        <v>0</v>
      </c>
      <c r="H876" s="328" t="str">
        <f t="shared" si="395"/>
        <v>M</v>
      </c>
      <c r="I876" s="325" t="s">
        <v>1926</v>
      </c>
      <c r="J876" s="329" t="str">
        <f>IF(B876&lt;&gt;"",+VLOOKUP(I876,Recursos!C:F,2,FALSE),"")</f>
        <v>ALAMBRE RECOCIDO #16</v>
      </c>
      <c r="K876" s="330" t="str">
        <f>IF(B876&lt;&gt;"",+VLOOKUP(I876,Recursos!C:F,3,FALSE),"")</f>
        <v>Kg</v>
      </c>
      <c r="L876" s="327">
        <f>IF(B876&lt;&gt;"",+VLOOKUP(I876,Recursos!C:F,4,FALSE),"")</f>
        <v>175</v>
      </c>
      <c r="M876" s="452">
        <v>0.2</v>
      </c>
      <c r="N876" s="453"/>
      <c r="O876" s="449">
        <f>+M876</f>
        <v>0.2</v>
      </c>
      <c r="P876" s="333">
        <f t="shared" si="371"/>
        <v>35</v>
      </c>
      <c r="Q876" s="327">
        <f t="shared" si="372"/>
        <v>0</v>
      </c>
      <c r="R876" s="334">
        <f t="shared" si="373"/>
        <v>0</v>
      </c>
      <c r="S876" s="335">
        <f t="shared" si="376"/>
        <v>3338.0558331850461</v>
      </c>
      <c r="T876" s="335">
        <f t="shared" si="377"/>
        <v>0</v>
      </c>
      <c r="U876" s="336">
        <f t="shared" si="378"/>
        <v>460.27226731165462</v>
      </c>
      <c r="V876" s="336">
        <f t="shared" si="379"/>
        <v>0</v>
      </c>
      <c r="W876" s="336">
        <f t="shared" si="380"/>
        <v>0</v>
      </c>
      <c r="X876" s="336">
        <f t="shared" si="381"/>
        <v>0</v>
      </c>
      <c r="Y876" s="320"/>
      <c r="Z876" s="321" t="str">
        <f t="shared" si="385"/>
        <v>X-ENC2A</v>
      </c>
      <c r="AA876" s="321" t="str">
        <f t="shared" si="386"/>
        <v>X-ENC2E</v>
      </c>
      <c r="AB876" s="321" t="str">
        <f t="shared" si="387"/>
        <v>X-ENC2M</v>
      </c>
      <c r="AC876" s="321" t="str">
        <f t="shared" si="388"/>
        <v>X-ENC2T</v>
      </c>
      <c r="AD876" s="321" t="str">
        <f t="shared" si="389"/>
        <v>X-ENC2S</v>
      </c>
      <c r="AE876" s="321" t="str">
        <f t="shared" si="390"/>
        <v>X-ENC2X</v>
      </c>
      <c r="AF876" s="321" t="str">
        <f t="shared" si="391"/>
        <v>X-ENC2M</v>
      </c>
      <c r="AG876" s="321">
        <f t="shared" si="382"/>
        <v>13</v>
      </c>
      <c r="AH876" s="321">
        <f>IF(B876&lt;&gt;"",IF(H876="x",VLOOKUP(I876,'AUX-NIV3'!B:AG,32,FALSE),0),"")</f>
        <v>0</v>
      </c>
      <c r="AI876" s="321" t="str">
        <f t="shared" si="392"/>
        <v>X-ENC2</v>
      </c>
      <c r="AJ876" s="320"/>
      <c r="AK876" s="322">
        <f t="shared" si="383"/>
        <v>865</v>
      </c>
      <c r="AL876" s="323">
        <f t="shared" si="393"/>
        <v>877</v>
      </c>
      <c r="AM876" s="322">
        <f t="shared" si="394"/>
        <v>12</v>
      </c>
      <c r="AN876" s="380">
        <f>IF(AND(AH876&gt;0,B876&lt;&gt;""),VLOOKUP(I876,'AUX-NIV3'!$B:$AO,39,FALSE)*O876,0)</f>
        <v>0</v>
      </c>
      <c r="AO876" s="380">
        <f t="shared" si="384"/>
        <v>7</v>
      </c>
      <c r="AP876" s="380"/>
    </row>
    <row r="877" spans="2:42" ht="14.4" hidden="1" thickTop="1" thickBot="1">
      <c r="B877" s="501" t="s">
        <v>2871</v>
      </c>
      <c r="C877" s="951" t="s">
        <v>2872</v>
      </c>
      <c r="D877" s="326" t="s">
        <v>501</v>
      </c>
      <c r="E877" s="327">
        <f>IF(B877&lt;&gt;"",SUMIF('AUX-NIV1'!I:I,'AUX-NIV2'!B877,'AUX-NIV1'!Q:Q),"")</f>
        <v>0</v>
      </c>
      <c r="F877" s="327">
        <f t="shared" si="374"/>
        <v>3798.3281004967002</v>
      </c>
      <c r="G877" s="327">
        <f t="shared" si="375"/>
        <v>0</v>
      </c>
      <c r="H877" s="328" t="str">
        <f t="shared" si="395"/>
        <v>M</v>
      </c>
      <c r="I877" s="325" t="s">
        <v>621</v>
      </c>
      <c r="J877" s="329" t="str">
        <f>IF(B877&lt;&gt;"",+VLOOKUP(I877,Recursos!C:F,2,FALSE),"")</f>
        <v>MATERIALES VARIOS</v>
      </c>
      <c r="K877" s="330" t="str">
        <f>IF(B877&lt;&gt;"",+VLOOKUP(I877,Recursos!C:F,3,FALSE),"")</f>
        <v>GL</v>
      </c>
      <c r="L877" s="327">
        <f>IF(B877&lt;&gt;"",+VLOOKUP(I877,Recursos!C:F,4,FALSE),"")</f>
        <v>0.5</v>
      </c>
      <c r="M877" s="450">
        <f>3200*10%</f>
        <v>320</v>
      </c>
      <c r="N877" s="451"/>
      <c r="O877" s="449">
        <f>+M877</f>
        <v>320</v>
      </c>
      <c r="P877" s="333">
        <f t="shared" si="371"/>
        <v>160</v>
      </c>
      <c r="Q877" s="327">
        <f t="shared" si="372"/>
        <v>0</v>
      </c>
      <c r="R877" s="334">
        <f t="shared" si="373"/>
        <v>0</v>
      </c>
      <c r="S877" s="335">
        <f t="shared" si="376"/>
        <v>3338.0558331850461</v>
      </c>
      <c r="T877" s="335">
        <f t="shared" si="377"/>
        <v>0</v>
      </c>
      <c r="U877" s="336">
        <f t="shared" si="378"/>
        <v>460.27226731165462</v>
      </c>
      <c r="V877" s="336">
        <f t="shared" si="379"/>
        <v>0</v>
      </c>
      <c r="W877" s="336">
        <f t="shared" si="380"/>
        <v>0</v>
      </c>
      <c r="X877" s="336">
        <f t="shared" si="381"/>
        <v>0</v>
      </c>
      <c r="Y877" s="320"/>
      <c r="Z877" s="321" t="str">
        <f t="shared" si="385"/>
        <v>X-ENC2A</v>
      </c>
      <c r="AA877" s="321" t="str">
        <f t="shared" si="386"/>
        <v>X-ENC2E</v>
      </c>
      <c r="AB877" s="321" t="str">
        <f t="shared" si="387"/>
        <v>X-ENC2M</v>
      </c>
      <c r="AC877" s="321" t="str">
        <f t="shared" si="388"/>
        <v>X-ENC2T</v>
      </c>
      <c r="AD877" s="321" t="str">
        <f t="shared" si="389"/>
        <v>X-ENC2S</v>
      </c>
      <c r="AE877" s="321" t="str">
        <f t="shared" si="390"/>
        <v>X-ENC2X</v>
      </c>
      <c r="AF877" s="321" t="str">
        <f t="shared" si="391"/>
        <v>X-ENC2M</v>
      </c>
      <c r="AG877" s="321">
        <f t="shared" si="382"/>
        <v>13</v>
      </c>
      <c r="AH877" s="321">
        <f>IF(B877&lt;&gt;"",IF(H877="x",VLOOKUP(I877,'AUX-NIV3'!B:AG,32,FALSE),0),"")</f>
        <v>0</v>
      </c>
      <c r="AI877" s="321" t="str">
        <f t="shared" si="392"/>
        <v>X-ENC2</v>
      </c>
      <c r="AJ877" s="320"/>
      <c r="AK877" s="322">
        <f t="shared" si="383"/>
        <v>865</v>
      </c>
      <c r="AL877" s="323">
        <f t="shared" si="393"/>
        <v>877</v>
      </c>
      <c r="AM877" s="322">
        <f t="shared" si="394"/>
        <v>13</v>
      </c>
      <c r="AN877" s="380">
        <f>IF(AND(AH877&gt;0,B877&lt;&gt;""),VLOOKUP(I877,'AUX-NIV3'!$B:$AO,39,FALSE)*O877,0)</f>
        <v>0</v>
      </c>
      <c r="AO877" s="380">
        <f t="shared" si="384"/>
        <v>7</v>
      </c>
      <c r="AP877" s="380"/>
    </row>
    <row r="878" spans="2:42" ht="14.4" hidden="1" thickTop="1" thickBot="1">
      <c r="B878" s="324" t="s">
        <v>2873</v>
      </c>
      <c r="C878" s="325" t="s">
        <v>2874</v>
      </c>
      <c r="D878" s="326" t="s">
        <v>1160</v>
      </c>
      <c r="E878" s="327">
        <f>IF(B878&lt;&gt;"",SUMIF('AUX-NIV1'!I:I,'AUX-NIV2'!B878,'AUX-NIV1'!Q:Q),"")</f>
        <v>0</v>
      </c>
      <c r="F878" s="327">
        <f t="shared" si="374"/>
        <v>4165.395488027043</v>
      </c>
      <c r="G878" s="327">
        <f t="shared" si="375"/>
        <v>0</v>
      </c>
      <c r="H878" s="328" t="str">
        <f t="shared" si="395"/>
        <v>M</v>
      </c>
      <c r="I878" s="325" t="s">
        <v>1856</v>
      </c>
      <c r="J878" s="329" t="str">
        <f>IF(B878&lt;&gt;"",+VLOOKUP(I878,Recursos!C:F,2,FALSE),"")</f>
        <v>PLASTIFICANTE</v>
      </c>
      <c r="K878" s="330" t="str">
        <f>IF(B878&lt;&gt;"",+VLOOKUP(I878,Recursos!C:F,3,FALSE),"")</f>
        <v>Kg</v>
      </c>
      <c r="L878" s="327">
        <f>IF(B878&lt;&gt;"",+VLOOKUP(I878,Recursos!C:F,4,FALSE),"")</f>
        <v>108</v>
      </c>
      <c r="M878" s="447">
        <v>0.5</v>
      </c>
      <c r="N878" s="448"/>
      <c r="O878" s="449">
        <f>+M879*M881/100</f>
        <v>1</v>
      </c>
      <c r="P878" s="333">
        <f t="shared" si="371"/>
        <v>108</v>
      </c>
      <c r="Q878" s="327">
        <f t="shared" si="372"/>
        <v>0</v>
      </c>
      <c r="R878" s="334">
        <f t="shared" si="373"/>
        <v>0</v>
      </c>
      <c r="S878" s="335">
        <f t="shared" si="376"/>
        <v>0</v>
      </c>
      <c r="T878" s="335">
        <f t="shared" si="377"/>
        <v>0</v>
      </c>
      <c r="U878" s="336">
        <f t="shared" si="378"/>
        <v>3101.9406770307701</v>
      </c>
      <c r="V878" s="336">
        <f t="shared" si="379"/>
        <v>0</v>
      </c>
      <c r="W878" s="336">
        <f t="shared" si="380"/>
        <v>0</v>
      </c>
      <c r="X878" s="336">
        <f t="shared" si="381"/>
        <v>1063.4548109962732</v>
      </c>
      <c r="Y878" s="320"/>
      <c r="Z878" s="321" t="str">
        <f t="shared" si="385"/>
        <v>X-ELA2A</v>
      </c>
      <c r="AA878" s="321" t="str">
        <f t="shared" si="386"/>
        <v>X-ELA2E</v>
      </c>
      <c r="AB878" s="321" t="str">
        <f t="shared" si="387"/>
        <v>X-ELA2M</v>
      </c>
      <c r="AC878" s="321" t="str">
        <f t="shared" si="388"/>
        <v>X-ELA2T</v>
      </c>
      <c r="AD878" s="321" t="str">
        <f t="shared" si="389"/>
        <v>X-ELA2S</v>
      </c>
      <c r="AE878" s="321" t="str">
        <f t="shared" si="390"/>
        <v>X-ELA2X</v>
      </c>
      <c r="AF878" s="321" t="str">
        <f t="shared" si="391"/>
        <v>X-ELA2M</v>
      </c>
      <c r="AG878" s="321">
        <f t="shared" si="382"/>
        <v>7</v>
      </c>
      <c r="AH878" s="321">
        <f>IF(B878&lt;&gt;"",IF(H878="x",VLOOKUP(I878,'AUX-NIV3'!B:AG,32,FALSE),0),"")</f>
        <v>0</v>
      </c>
      <c r="AI878" s="321" t="str">
        <f t="shared" si="392"/>
        <v>X-ELA2</v>
      </c>
      <c r="AJ878" s="320"/>
      <c r="AK878" s="322">
        <f t="shared" si="383"/>
        <v>878</v>
      </c>
      <c r="AL878" s="323">
        <f t="shared" si="393"/>
        <v>884</v>
      </c>
      <c r="AM878" s="322">
        <f t="shared" si="394"/>
        <v>1</v>
      </c>
      <c r="AN878" s="380">
        <f>IF(AND(AH878&gt;0,B878&lt;&gt;""),VLOOKUP(I878,'AUX-NIV3'!$B:$AO,39,FALSE)*O878,0)</f>
        <v>0</v>
      </c>
      <c r="AO878" s="380">
        <f t="shared" si="384"/>
        <v>0.92312499999999997</v>
      </c>
      <c r="AP878" s="380"/>
    </row>
    <row r="879" spans="2:42" ht="14.4" hidden="1" thickTop="1" thickBot="1">
      <c r="B879" s="324" t="s">
        <v>2873</v>
      </c>
      <c r="C879" s="325" t="s">
        <v>2874</v>
      </c>
      <c r="D879" s="326" t="s">
        <v>1160</v>
      </c>
      <c r="E879" s="327">
        <f>IF(B879&lt;&gt;"",SUMIF('AUX-NIV1'!I:I,'AUX-NIV2'!B879,'AUX-NIV1'!Q:Q),"")</f>
        <v>0</v>
      </c>
      <c r="F879" s="327">
        <f t="shared" si="374"/>
        <v>4165.395488027043</v>
      </c>
      <c r="G879" s="327">
        <f t="shared" si="375"/>
        <v>0</v>
      </c>
      <c r="H879" s="328" t="str">
        <f t="shared" si="395"/>
        <v>M</v>
      </c>
      <c r="I879" s="325" t="s">
        <v>1890</v>
      </c>
      <c r="J879" s="329" t="str">
        <f>IF(B879&lt;&gt;"",+VLOOKUP(I879,Recursos!C:F,2,FALSE),"")</f>
        <v>CEMENTO PORTLAND (granel,en obra)</v>
      </c>
      <c r="K879" s="330" t="str">
        <f>IF(B879&lt;&gt;"",+VLOOKUP(I879,Recursos!C:F,3,FALSE),"")</f>
        <v>Tn</v>
      </c>
      <c r="L879" s="327">
        <f>IF(B879&lt;&gt;"",+VLOOKUP(I879,Recursos!C:F,4,FALSE),"")</f>
        <v>5970</v>
      </c>
      <c r="M879" s="452">
        <v>200</v>
      </c>
      <c r="N879" s="453"/>
      <c r="O879" s="449">
        <f>+M879/1000*M882</f>
        <v>0.21000000000000002</v>
      </c>
      <c r="P879" s="333">
        <f t="shared" si="371"/>
        <v>1253.7</v>
      </c>
      <c r="Q879" s="327">
        <f t="shared" si="372"/>
        <v>0</v>
      </c>
      <c r="R879" s="334">
        <f t="shared" si="373"/>
        <v>0</v>
      </c>
      <c r="S879" s="335">
        <f t="shared" si="376"/>
        <v>0</v>
      </c>
      <c r="T879" s="335">
        <f t="shared" si="377"/>
        <v>0</v>
      </c>
      <c r="U879" s="336">
        <f t="shared" si="378"/>
        <v>3101.9406770307701</v>
      </c>
      <c r="V879" s="336">
        <f t="shared" si="379"/>
        <v>0</v>
      </c>
      <c r="W879" s="336">
        <f t="shared" si="380"/>
        <v>0</v>
      </c>
      <c r="X879" s="336">
        <f t="shared" si="381"/>
        <v>1063.4548109962732</v>
      </c>
      <c r="Y879" s="320"/>
      <c r="Z879" s="321" t="str">
        <f t="shared" si="385"/>
        <v>X-ELA2A</v>
      </c>
      <c r="AA879" s="321" t="str">
        <f t="shared" si="386"/>
        <v>X-ELA2E</v>
      </c>
      <c r="AB879" s="321" t="str">
        <f t="shared" si="387"/>
        <v>X-ELA2M</v>
      </c>
      <c r="AC879" s="321" t="str">
        <f t="shared" si="388"/>
        <v>X-ELA2T</v>
      </c>
      <c r="AD879" s="321" t="str">
        <f t="shared" si="389"/>
        <v>X-ELA2S</v>
      </c>
      <c r="AE879" s="321" t="str">
        <f t="shared" si="390"/>
        <v>X-ELA2X</v>
      </c>
      <c r="AF879" s="321" t="str">
        <f t="shared" si="391"/>
        <v>X-ELA2M</v>
      </c>
      <c r="AG879" s="321">
        <f t="shared" si="382"/>
        <v>7</v>
      </c>
      <c r="AH879" s="321">
        <f>IF(B879&lt;&gt;"",IF(H879="x",VLOOKUP(I879,'AUX-NIV3'!B:AG,32,FALSE),0),"")</f>
        <v>0</v>
      </c>
      <c r="AI879" s="321" t="str">
        <f t="shared" si="392"/>
        <v>X-ELA2</v>
      </c>
      <c r="AJ879" s="320"/>
      <c r="AK879" s="322">
        <f t="shared" si="383"/>
        <v>878</v>
      </c>
      <c r="AL879" s="323">
        <f t="shared" si="393"/>
        <v>884</v>
      </c>
      <c r="AM879" s="322">
        <f t="shared" si="394"/>
        <v>2</v>
      </c>
      <c r="AN879" s="380">
        <f>IF(AND(AH879&gt;0,B879&lt;&gt;""),VLOOKUP(I879,'AUX-NIV3'!$B:$AO,39,FALSE)*O879,0)</f>
        <v>0</v>
      </c>
      <c r="AO879" s="380">
        <f t="shared" si="384"/>
        <v>0.92312499999999997</v>
      </c>
      <c r="AP879" s="380"/>
    </row>
    <row r="880" spans="2:42" ht="14.4" hidden="1" thickTop="1" thickBot="1">
      <c r="B880" s="324" t="s">
        <v>2873</v>
      </c>
      <c r="C880" s="325" t="s">
        <v>2874</v>
      </c>
      <c r="D880" s="326" t="s">
        <v>1160</v>
      </c>
      <c r="E880" s="327">
        <f>IF(B880&lt;&gt;"",SUMIF('AUX-NIV1'!I:I,'AUX-NIV2'!B880,'AUX-NIV1'!Q:Q),"")</f>
        <v>0</v>
      </c>
      <c r="F880" s="327">
        <f t="shared" si="374"/>
        <v>4165.395488027043</v>
      </c>
      <c r="G880" s="327">
        <f t="shared" si="375"/>
        <v>0</v>
      </c>
      <c r="H880" s="328" t="str">
        <f t="shared" si="395"/>
        <v>M</v>
      </c>
      <c r="I880" s="324" t="s">
        <v>1510</v>
      </c>
      <c r="J880" s="329" t="str">
        <f>IF(B880&lt;&gt;"",+VLOOKUP(I880,Recursos!C:F,2,FALSE),"")</f>
        <v>AGREGADO GRUESO</v>
      </c>
      <c r="K880" s="330" t="str">
        <f>IF(B880&lt;&gt;"",+VLOOKUP(I880,Recursos!C:F,3,FALSE),"")</f>
        <v>Tn</v>
      </c>
      <c r="L880" s="327">
        <f>IF(B880&lt;&gt;"",+VLOOKUP(I880,Recursos!C:F,4,FALSE),"")</f>
        <v>900</v>
      </c>
      <c r="M880" s="452">
        <v>2</v>
      </c>
      <c r="N880" s="453">
        <v>0.6</v>
      </c>
      <c r="O880" s="449">
        <f>+N880*(M883-(M879*(1+M878)/1000))*M882</f>
        <v>1.3230000000000002</v>
      </c>
      <c r="P880" s="333">
        <f t="shared" si="371"/>
        <v>1190.7</v>
      </c>
      <c r="Q880" s="327">
        <f t="shared" si="372"/>
        <v>0</v>
      </c>
      <c r="R880" s="334">
        <f t="shared" si="373"/>
        <v>0</v>
      </c>
      <c r="S880" s="335">
        <f t="shared" si="376"/>
        <v>0</v>
      </c>
      <c r="T880" s="335">
        <f t="shared" si="377"/>
        <v>0</v>
      </c>
      <c r="U880" s="336">
        <f t="shared" si="378"/>
        <v>3101.9406770307701</v>
      </c>
      <c r="V880" s="336">
        <f t="shared" si="379"/>
        <v>0</v>
      </c>
      <c r="W880" s="336">
        <f t="shared" si="380"/>
        <v>0</v>
      </c>
      <c r="X880" s="336">
        <f t="shared" si="381"/>
        <v>1063.4548109962732</v>
      </c>
      <c r="Y880" s="320"/>
      <c r="Z880" s="321" t="str">
        <f t="shared" si="385"/>
        <v>X-ELA2A</v>
      </c>
      <c r="AA880" s="321" t="str">
        <f t="shared" si="386"/>
        <v>X-ELA2E</v>
      </c>
      <c r="AB880" s="321" t="str">
        <f t="shared" si="387"/>
        <v>X-ELA2M</v>
      </c>
      <c r="AC880" s="321" t="str">
        <f t="shared" si="388"/>
        <v>X-ELA2T</v>
      </c>
      <c r="AD880" s="321" t="str">
        <f t="shared" si="389"/>
        <v>X-ELA2S</v>
      </c>
      <c r="AE880" s="321" t="str">
        <f t="shared" si="390"/>
        <v>X-ELA2X</v>
      </c>
      <c r="AF880" s="321" t="str">
        <f t="shared" si="391"/>
        <v>X-ELA2M</v>
      </c>
      <c r="AG880" s="321">
        <f t="shared" si="382"/>
        <v>7</v>
      </c>
      <c r="AH880" s="321">
        <f>IF(B880&lt;&gt;"",IF(H880="x",VLOOKUP(I880,'AUX-NIV3'!B:AG,32,FALSE),0),"")</f>
        <v>0</v>
      </c>
      <c r="AI880" s="321" t="str">
        <f t="shared" si="392"/>
        <v>X-ELA2</v>
      </c>
      <c r="AJ880" s="320"/>
      <c r="AK880" s="322">
        <f t="shared" si="383"/>
        <v>878</v>
      </c>
      <c r="AL880" s="323">
        <f t="shared" si="393"/>
        <v>884</v>
      </c>
      <c r="AM880" s="322">
        <f t="shared" si="394"/>
        <v>3</v>
      </c>
      <c r="AN880" s="380">
        <f>IF(AND(AH880&gt;0,B880&lt;&gt;""),VLOOKUP(I880,'AUX-NIV3'!$B:$AO,39,FALSE)*O880,0)</f>
        <v>0</v>
      </c>
      <c r="AO880" s="380">
        <f t="shared" si="384"/>
        <v>0.92312499999999997</v>
      </c>
      <c r="AP880" s="380"/>
    </row>
    <row r="881" spans="1:42" ht="14.4" hidden="1" thickTop="1" thickBot="1">
      <c r="B881" s="324" t="s">
        <v>2873</v>
      </c>
      <c r="C881" s="325" t="s">
        <v>2874</v>
      </c>
      <c r="D881" s="326" t="s">
        <v>1160</v>
      </c>
      <c r="E881" s="327">
        <f>IF(B881&lt;&gt;"",SUMIF('AUX-NIV1'!I:I,'AUX-NIV2'!B881,'AUX-NIV1'!Q:Q),"")</f>
        <v>0</v>
      </c>
      <c r="F881" s="327">
        <f t="shared" si="374"/>
        <v>4165.395488027043</v>
      </c>
      <c r="G881" s="327">
        <f t="shared" si="375"/>
        <v>0</v>
      </c>
      <c r="H881" s="328" t="str">
        <f t="shared" si="395"/>
        <v>M</v>
      </c>
      <c r="I881" s="325" t="s">
        <v>1511</v>
      </c>
      <c r="J881" s="329" t="str">
        <f>IF(B881&lt;&gt;"",+VLOOKUP(I881,Recursos!C:F,2,FALSE),"")</f>
        <v>AGREGADO FINO</v>
      </c>
      <c r="K881" s="330" t="str">
        <f>IF(B881&lt;&gt;"",+VLOOKUP(I881,Recursos!C:F,3,FALSE),"")</f>
        <v>tn</v>
      </c>
      <c r="L881" s="327">
        <f>IF(B881&lt;&gt;"",+VLOOKUP(I881,Recursos!C:F,4,FALSE),"")</f>
        <v>346.12398419675657</v>
      </c>
      <c r="M881" s="452">
        <v>0.5</v>
      </c>
      <c r="N881" s="453">
        <v>0.2</v>
      </c>
      <c r="O881" s="449">
        <f>+N881*(M883-(M879*(1+M878)/1000))*M882</f>
        <v>0.44100000000000006</v>
      </c>
      <c r="P881" s="333">
        <f t="shared" si="371"/>
        <v>152.64067703076967</v>
      </c>
      <c r="Q881" s="327">
        <f t="shared" si="372"/>
        <v>0</v>
      </c>
      <c r="R881" s="334">
        <f t="shared" si="373"/>
        <v>0</v>
      </c>
      <c r="S881" s="335">
        <f t="shared" si="376"/>
        <v>0</v>
      </c>
      <c r="T881" s="335">
        <f t="shared" si="377"/>
        <v>0</v>
      </c>
      <c r="U881" s="336">
        <f t="shared" si="378"/>
        <v>3101.9406770307701</v>
      </c>
      <c r="V881" s="336">
        <f t="shared" si="379"/>
        <v>0</v>
      </c>
      <c r="W881" s="336">
        <f t="shared" si="380"/>
        <v>0</v>
      </c>
      <c r="X881" s="336">
        <f t="shared" si="381"/>
        <v>1063.4548109962732</v>
      </c>
      <c r="Y881" s="320"/>
      <c r="Z881" s="321" t="str">
        <f t="shared" si="385"/>
        <v>X-ELA2A</v>
      </c>
      <c r="AA881" s="321" t="str">
        <f t="shared" si="386"/>
        <v>X-ELA2E</v>
      </c>
      <c r="AB881" s="321" t="str">
        <f t="shared" si="387"/>
        <v>X-ELA2M</v>
      </c>
      <c r="AC881" s="321" t="str">
        <f t="shared" si="388"/>
        <v>X-ELA2T</v>
      </c>
      <c r="AD881" s="321" t="str">
        <f t="shared" si="389"/>
        <v>X-ELA2S</v>
      </c>
      <c r="AE881" s="321" t="str">
        <f t="shared" si="390"/>
        <v>X-ELA2X</v>
      </c>
      <c r="AF881" s="321" t="str">
        <f t="shared" si="391"/>
        <v>X-ELA2M</v>
      </c>
      <c r="AG881" s="321">
        <f t="shared" si="382"/>
        <v>7</v>
      </c>
      <c r="AH881" s="321">
        <f>IF(B881&lt;&gt;"",IF(H881="x",VLOOKUP(I881,'AUX-NIV3'!B:AG,32,FALSE),0),"")</f>
        <v>0</v>
      </c>
      <c r="AI881" s="321" t="str">
        <f t="shared" si="392"/>
        <v>X-ELA2</v>
      </c>
      <c r="AJ881" s="320"/>
      <c r="AK881" s="322">
        <f t="shared" si="383"/>
        <v>878</v>
      </c>
      <c r="AL881" s="323">
        <f t="shared" si="393"/>
        <v>884</v>
      </c>
      <c r="AM881" s="322">
        <f t="shared" si="394"/>
        <v>4</v>
      </c>
      <c r="AN881" s="380">
        <f>IF(AND(AH881&gt;0,B881&lt;&gt;""),VLOOKUP(I881,'AUX-NIV3'!$B:$AO,39,FALSE)*O881,0)</f>
        <v>0</v>
      </c>
      <c r="AO881" s="380">
        <f t="shared" si="384"/>
        <v>0.92312499999999997</v>
      </c>
      <c r="AP881" s="380"/>
    </row>
    <row r="882" spans="1:42" ht="14.4" hidden="1" thickTop="1" thickBot="1">
      <c r="B882" s="324" t="s">
        <v>2873</v>
      </c>
      <c r="C882" s="325" t="s">
        <v>2874</v>
      </c>
      <c r="D882" s="326" t="s">
        <v>1160</v>
      </c>
      <c r="E882" s="327">
        <f>IF(B882&lt;&gt;"",SUMIF('AUX-NIV1'!I:I,'AUX-NIV2'!B882,'AUX-NIV1'!Q:Q),"")</f>
        <v>0</v>
      </c>
      <c r="F882" s="327">
        <f t="shared" si="374"/>
        <v>4165.395488027043</v>
      </c>
      <c r="G882" s="327">
        <f t="shared" si="375"/>
        <v>0</v>
      </c>
      <c r="H882" s="328" t="str">
        <f t="shared" si="395"/>
        <v>M</v>
      </c>
      <c r="I882" s="325" t="s">
        <v>1512</v>
      </c>
      <c r="J882" s="329" t="str">
        <f>IF(B882&lt;&gt;"",+VLOOKUP(I882,Recursos!C:F,2,FALSE),"")</f>
        <v>ARENA ZARANDEADA</v>
      </c>
      <c r="K882" s="330" t="str">
        <f>IF(B882&lt;&gt;"",+VLOOKUP(I882,Recursos!C:F,3,FALSE),"")</f>
        <v>Tn</v>
      </c>
      <c r="L882" s="327">
        <f>IF(B882&lt;&gt;"",+VLOOKUP(I882,Recursos!C:F,4,FALSE),"")</f>
        <v>900</v>
      </c>
      <c r="M882" s="452">
        <v>1.05</v>
      </c>
      <c r="N882" s="453">
        <v>0.2</v>
      </c>
      <c r="O882" s="449">
        <f>+N882*(M883-(M879*(1+M878)/1000))*M882</f>
        <v>0.44100000000000006</v>
      </c>
      <c r="P882" s="333">
        <f t="shared" si="371"/>
        <v>396.90000000000003</v>
      </c>
      <c r="Q882" s="327">
        <f t="shared" si="372"/>
        <v>0</v>
      </c>
      <c r="R882" s="334">
        <f t="shared" si="373"/>
        <v>0</v>
      </c>
      <c r="S882" s="335">
        <f t="shared" si="376"/>
        <v>0</v>
      </c>
      <c r="T882" s="335">
        <f t="shared" si="377"/>
        <v>0</v>
      </c>
      <c r="U882" s="336">
        <f t="shared" si="378"/>
        <v>3101.9406770307701</v>
      </c>
      <c r="V882" s="336">
        <f t="shared" si="379"/>
        <v>0</v>
      </c>
      <c r="W882" s="336">
        <f t="shared" si="380"/>
        <v>0</v>
      </c>
      <c r="X882" s="336">
        <f t="shared" si="381"/>
        <v>1063.4548109962732</v>
      </c>
      <c r="Y882" s="320"/>
      <c r="Z882" s="321" t="str">
        <f t="shared" si="385"/>
        <v>X-ELA2A</v>
      </c>
      <c r="AA882" s="321" t="str">
        <f t="shared" si="386"/>
        <v>X-ELA2E</v>
      </c>
      <c r="AB882" s="321" t="str">
        <f t="shared" si="387"/>
        <v>X-ELA2M</v>
      </c>
      <c r="AC882" s="321" t="str">
        <f t="shared" si="388"/>
        <v>X-ELA2T</v>
      </c>
      <c r="AD882" s="321" t="str">
        <f t="shared" si="389"/>
        <v>X-ELA2S</v>
      </c>
      <c r="AE882" s="321" t="str">
        <f t="shared" si="390"/>
        <v>X-ELA2X</v>
      </c>
      <c r="AF882" s="321" t="str">
        <f t="shared" si="391"/>
        <v>X-ELA2M</v>
      </c>
      <c r="AG882" s="321">
        <f t="shared" si="382"/>
        <v>7</v>
      </c>
      <c r="AH882" s="321">
        <f>IF(B882&lt;&gt;"",IF(H882="x",VLOOKUP(I882,'AUX-NIV3'!B:AG,32,FALSE),0),"")</f>
        <v>0</v>
      </c>
      <c r="AI882" s="321" t="str">
        <f t="shared" si="392"/>
        <v>X-ELA2</v>
      </c>
      <c r="AJ882" s="320"/>
      <c r="AK882" s="322">
        <f t="shared" si="383"/>
        <v>878</v>
      </c>
      <c r="AL882" s="323">
        <f t="shared" si="393"/>
        <v>884</v>
      </c>
      <c r="AM882" s="322">
        <f t="shared" si="394"/>
        <v>5</v>
      </c>
      <c r="AN882" s="380">
        <f>IF(AND(AH882&gt;0,B882&lt;&gt;""),VLOOKUP(I882,'AUX-NIV3'!$B:$AO,39,FALSE)*O882,0)</f>
        <v>0</v>
      </c>
      <c r="AO882" s="380">
        <f t="shared" si="384"/>
        <v>0.92312499999999997</v>
      </c>
      <c r="AP882" s="380"/>
    </row>
    <row r="883" spans="1:42" ht="14.4" hidden="1" thickTop="1" thickBot="1">
      <c r="B883" s="324" t="s">
        <v>2873</v>
      </c>
      <c r="C883" s="325" t="s">
        <v>2874</v>
      </c>
      <c r="D883" s="326" t="s">
        <v>1160</v>
      </c>
      <c r="E883" s="327">
        <f>IF(B883&lt;&gt;"",SUMIF('AUX-NIV1'!I:I,'AUX-NIV2'!B883,'AUX-NIV1'!Q:Q),"")</f>
        <v>0</v>
      </c>
      <c r="F883" s="327">
        <f t="shared" si="374"/>
        <v>4165.395488027043</v>
      </c>
      <c r="G883" s="327">
        <f t="shared" si="375"/>
        <v>0</v>
      </c>
      <c r="H883" s="328" t="str">
        <f t="shared" si="395"/>
        <v>X</v>
      </c>
      <c r="I883" s="325" t="s">
        <v>1499</v>
      </c>
      <c r="J883" s="329" t="str">
        <f>IF(B883&lt;&gt;"",+VLOOKUP(I883,Recursos!C:F,2,FALSE),"")</f>
        <v>Agua para hormigones</v>
      </c>
      <c r="K883" s="330" t="str">
        <f>IF(B883&lt;&gt;"",+VLOOKUP(I883,Recursos!C:F,3,FALSE),"")</f>
        <v>m3</v>
      </c>
      <c r="L883" s="327">
        <f>IF(B883&lt;&gt;"",+VLOOKUP(I883,Recursos!C:F,4,FALSE),"")</f>
        <v>400.95923429909482</v>
      </c>
      <c r="M883" s="452">
        <v>2.4</v>
      </c>
      <c r="N883" s="453"/>
      <c r="O883" s="449">
        <f>+M878*M879/1000*M882</f>
        <v>0.10500000000000001</v>
      </c>
      <c r="P883" s="333">
        <f t="shared" si="371"/>
        <v>42.100719601404961</v>
      </c>
      <c r="Q883" s="327">
        <f t="shared" si="372"/>
        <v>0</v>
      </c>
      <c r="R883" s="334">
        <f t="shared" si="373"/>
        <v>0</v>
      </c>
      <c r="S883" s="335">
        <f t="shared" si="376"/>
        <v>0</v>
      </c>
      <c r="T883" s="335">
        <f t="shared" si="377"/>
        <v>0</v>
      </c>
      <c r="U883" s="336">
        <f t="shared" si="378"/>
        <v>3101.9406770307701</v>
      </c>
      <c r="V883" s="336">
        <f t="shared" si="379"/>
        <v>0</v>
      </c>
      <c r="W883" s="336">
        <f t="shared" si="380"/>
        <v>0</v>
      </c>
      <c r="X883" s="336">
        <f t="shared" si="381"/>
        <v>1063.4548109962732</v>
      </c>
      <c r="Y883" s="320"/>
      <c r="Z883" s="321" t="str">
        <f t="shared" si="385"/>
        <v>X-ELA2A</v>
      </c>
      <c r="AA883" s="321" t="str">
        <f t="shared" si="386"/>
        <v>X-ELA2E</v>
      </c>
      <c r="AB883" s="321" t="str">
        <f t="shared" si="387"/>
        <v>X-ELA2M</v>
      </c>
      <c r="AC883" s="321" t="str">
        <f t="shared" si="388"/>
        <v>X-ELA2T</v>
      </c>
      <c r="AD883" s="321" t="str">
        <f t="shared" si="389"/>
        <v>X-ELA2S</v>
      </c>
      <c r="AE883" s="321" t="str">
        <f t="shared" si="390"/>
        <v>X-ELA2X</v>
      </c>
      <c r="AF883" s="321" t="str">
        <f t="shared" si="391"/>
        <v>X-ELA2X</v>
      </c>
      <c r="AG883" s="321">
        <f t="shared" si="382"/>
        <v>7</v>
      </c>
      <c r="AH883" s="321">
        <f>IF(B883&lt;&gt;"",IF(H883="x",VLOOKUP(I883,'AUX-NIV3'!B:AG,32,FALSE),0),"")</f>
        <v>4</v>
      </c>
      <c r="AI883" s="321" t="str">
        <f t="shared" si="392"/>
        <v>X-ELA2</v>
      </c>
      <c r="AJ883" s="320"/>
      <c r="AK883" s="322">
        <f t="shared" si="383"/>
        <v>878</v>
      </c>
      <c r="AL883" s="323">
        <f t="shared" si="393"/>
        <v>884</v>
      </c>
      <c r="AM883" s="322">
        <f t="shared" si="394"/>
        <v>6</v>
      </c>
      <c r="AN883" s="380">
        <f>IF(AND(AH883&gt;0,B883&lt;&gt;""),VLOOKUP(I883,'AUX-NIV3'!$B:$AO,39,FALSE)*O883,0)</f>
        <v>1.3125000000000001E-2</v>
      </c>
      <c r="AO883" s="380">
        <f t="shared" si="384"/>
        <v>0.92312499999999997</v>
      </c>
      <c r="AP883" s="380"/>
    </row>
    <row r="884" spans="1:42" ht="14.4" hidden="1" thickTop="1" thickBot="1">
      <c r="B884" s="324" t="s">
        <v>2873</v>
      </c>
      <c r="C884" s="325" t="s">
        <v>2874</v>
      </c>
      <c r="D884" s="326" t="s">
        <v>1160</v>
      </c>
      <c r="E884" s="327">
        <f>IF(B884&lt;&gt;"",SUMIF('AUX-NIV1'!I:I,'AUX-NIV2'!B884,'AUX-NIV1'!Q:Q),"")</f>
        <v>0</v>
      </c>
      <c r="F884" s="327">
        <f t="shared" si="374"/>
        <v>4165.395488027043</v>
      </c>
      <c r="G884" s="327">
        <f t="shared" si="375"/>
        <v>0</v>
      </c>
      <c r="H884" s="328" t="str">
        <f t="shared" si="395"/>
        <v>X</v>
      </c>
      <c r="I884" s="324" t="s">
        <v>1502</v>
      </c>
      <c r="J884" s="329" t="str">
        <f>IF(B884&lt;&gt;"",+VLOOKUP(I884,Recursos!C:F,2,FALSE),"")</f>
        <v>Producción de Hormigón en Planta</v>
      </c>
      <c r="K884" s="330" t="str">
        <f>IF(B884&lt;&gt;"",+VLOOKUP(I884,Recursos!C:F,3,FALSE),"")</f>
        <v>m3</v>
      </c>
      <c r="L884" s="327">
        <f>IF(B884&lt;&gt;"",+VLOOKUP(I884,Recursos!C:F,4,FALSE),"")</f>
        <v>972.7181822808268</v>
      </c>
      <c r="M884" s="450"/>
      <c r="N884" s="451"/>
      <c r="O884" s="449">
        <f>+M882</f>
        <v>1.05</v>
      </c>
      <c r="P884" s="333">
        <f t="shared" si="371"/>
        <v>1021.3540913948682</v>
      </c>
      <c r="Q884" s="327">
        <f t="shared" si="372"/>
        <v>0</v>
      </c>
      <c r="R884" s="334">
        <f t="shared" si="373"/>
        <v>0</v>
      </c>
      <c r="S884" s="335">
        <f t="shared" si="376"/>
        <v>0</v>
      </c>
      <c r="T884" s="335">
        <f t="shared" si="377"/>
        <v>0</v>
      </c>
      <c r="U884" s="336">
        <f t="shared" si="378"/>
        <v>3101.9406770307701</v>
      </c>
      <c r="V884" s="336">
        <f t="shared" si="379"/>
        <v>0</v>
      </c>
      <c r="W884" s="336">
        <f t="shared" si="380"/>
        <v>0</v>
      </c>
      <c r="X884" s="336">
        <f t="shared" si="381"/>
        <v>1063.4548109962732</v>
      </c>
      <c r="Y884" s="320"/>
      <c r="Z884" s="321" t="str">
        <f t="shared" si="385"/>
        <v>X-ELA2A</v>
      </c>
      <c r="AA884" s="321" t="str">
        <f t="shared" si="386"/>
        <v>X-ELA2E</v>
      </c>
      <c r="AB884" s="321" t="str">
        <f t="shared" si="387"/>
        <v>X-ELA2M</v>
      </c>
      <c r="AC884" s="321" t="str">
        <f t="shared" si="388"/>
        <v>X-ELA2T</v>
      </c>
      <c r="AD884" s="321" t="str">
        <f t="shared" si="389"/>
        <v>X-ELA2S</v>
      </c>
      <c r="AE884" s="321" t="str">
        <f t="shared" si="390"/>
        <v>X-ELA2X</v>
      </c>
      <c r="AF884" s="321" t="str">
        <f t="shared" si="391"/>
        <v>X-ELA2X</v>
      </c>
      <c r="AG884" s="321">
        <f t="shared" si="382"/>
        <v>7</v>
      </c>
      <c r="AH884" s="321">
        <f>IF(B884&lt;&gt;"",IF(H884="x",VLOOKUP(I884,'AUX-NIV3'!B:AG,32,FALSE),0),"")</f>
        <v>8</v>
      </c>
      <c r="AI884" s="321" t="str">
        <f t="shared" si="392"/>
        <v>X-ELA2</v>
      </c>
      <c r="AJ884" s="320"/>
      <c r="AK884" s="322">
        <f t="shared" si="383"/>
        <v>878</v>
      </c>
      <c r="AL884" s="323">
        <f t="shared" si="393"/>
        <v>884</v>
      </c>
      <c r="AM884" s="322">
        <f t="shared" si="394"/>
        <v>7</v>
      </c>
      <c r="AN884" s="380">
        <f>IF(AND(AH884&gt;0,B884&lt;&gt;""),VLOOKUP(I884,'AUX-NIV3'!$B:$AO,39,FALSE)*O884,0)</f>
        <v>0.90999999999999992</v>
      </c>
      <c r="AO884" s="380">
        <f t="shared" si="384"/>
        <v>0.92312499999999997</v>
      </c>
      <c r="AP884" s="380"/>
    </row>
    <row r="885" spans="1:42" ht="14.4" hidden="1" thickTop="1" thickBot="1">
      <c r="B885" s="324" t="s">
        <v>2875</v>
      </c>
      <c r="C885" s="325" t="s">
        <v>2876</v>
      </c>
      <c r="D885" s="326" t="s">
        <v>477</v>
      </c>
      <c r="E885" s="327">
        <f>IF(B885&lt;&gt;"",SUMIF('AUX-NIV1'!I:I,'AUX-NIV2'!B885,'AUX-NIV1'!Q:Q),"")</f>
        <v>0</v>
      </c>
      <c r="F885" s="327">
        <f t="shared" si="374"/>
        <v>4108.1310078167726</v>
      </c>
      <c r="G885" s="327">
        <f t="shared" si="375"/>
        <v>0</v>
      </c>
      <c r="H885" s="328" t="str">
        <f t="shared" si="395"/>
        <v>A</v>
      </c>
      <c r="I885" s="325" t="s">
        <v>1745</v>
      </c>
      <c r="J885" s="329" t="str">
        <f>IF(B885&lt;&gt;"",+VLOOKUP(I885,Recursos!C:F,2,FALSE),"")</f>
        <v>AYUDANTE</v>
      </c>
      <c r="K885" s="330" t="str">
        <f>IF(B885&lt;&gt;"",+VLOOKUP(I885,Recursos!C:F,3,FALSE),"")</f>
        <v>hh</v>
      </c>
      <c r="L885" s="446">
        <f>IF(B885&lt;&gt;"",+VLOOKUP(I885,Recursos!C:F,4,FALSE),"")</f>
        <v>422.48042769667234</v>
      </c>
      <c r="M885" s="454">
        <f t="shared" ref="M885:M893" si="396">+M886</f>
        <v>3</v>
      </c>
      <c r="N885" s="448">
        <v>2</v>
      </c>
      <c r="O885" s="449">
        <f>+N885/M885*N887</f>
        <v>0.8666666666666667</v>
      </c>
      <c r="P885" s="333">
        <f t="shared" si="371"/>
        <v>366.14970400378269</v>
      </c>
      <c r="Q885" s="327">
        <f t="shared" si="372"/>
        <v>0</v>
      </c>
      <c r="R885" s="334">
        <f t="shared" si="373"/>
        <v>0</v>
      </c>
      <c r="S885" s="335">
        <f t="shared" si="376"/>
        <v>1982.8502578167725</v>
      </c>
      <c r="T885" s="335">
        <f t="shared" si="377"/>
        <v>1707.0307499999999</v>
      </c>
      <c r="U885" s="336">
        <f t="shared" si="378"/>
        <v>418.25</v>
      </c>
      <c r="V885" s="336">
        <f t="shared" si="379"/>
        <v>0</v>
      </c>
      <c r="W885" s="336">
        <f t="shared" si="380"/>
        <v>0</v>
      </c>
      <c r="X885" s="336">
        <f t="shared" si="381"/>
        <v>0</v>
      </c>
      <c r="Y885" s="320"/>
      <c r="Z885" s="321" t="str">
        <f t="shared" si="385"/>
        <v>X-ALCA</v>
      </c>
      <c r="AA885" s="321" t="str">
        <f t="shared" si="386"/>
        <v>X-ALCE</v>
      </c>
      <c r="AB885" s="321" t="str">
        <f t="shared" si="387"/>
        <v>X-ALCM</v>
      </c>
      <c r="AC885" s="321" t="str">
        <f t="shared" si="388"/>
        <v>X-ALCT</v>
      </c>
      <c r="AD885" s="321" t="str">
        <f t="shared" si="389"/>
        <v>X-ALCS</v>
      </c>
      <c r="AE885" s="321" t="str">
        <f t="shared" si="390"/>
        <v>X-ALCX</v>
      </c>
      <c r="AF885" s="321" t="str">
        <f t="shared" si="391"/>
        <v>X-ALCA</v>
      </c>
      <c r="AG885" s="321">
        <f t="shared" si="382"/>
        <v>11</v>
      </c>
      <c r="AH885" s="321">
        <f>IF(B885&lt;&gt;"",IF(H885="x",VLOOKUP(I885,'AUX-NIV3'!B:AG,32,FALSE),0),"")</f>
        <v>0</v>
      </c>
      <c r="AI885" s="321" t="str">
        <f t="shared" si="392"/>
        <v>X-ALC</v>
      </c>
      <c r="AJ885" s="320"/>
      <c r="AK885" s="322">
        <f t="shared" si="383"/>
        <v>885</v>
      </c>
      <c r="AL885" s="323">
        <f t="shared" si="393"/>
        <v>895</v>
      </c>
      <c r="AM885" s="322">
        <f t="shared" si="394"/>
        <v>1</v>
      </c>
      <c r="AN885" s="380">
        <f>IF(AND(AH885&gt;0,B885&lt;&gt;""),VLOOKUP(I885,'AUX-NIV3'!$B:$AO,39,FALSE)*O885,0)</f>
        <v>0</v>
      </c>
      <c r="AO885" s="380">
        <f t="shared" si="384"/>
        <v>3.9000000000000012</v>
      </c>
      <c r="AP885" s="380"/>
    </row>
    <row r="886" spans="1:42" ht="14.4" hidden="1" thickTop="1" thickBot="1">
      <c r="B886" s="324" t="s">
        <v>2875</v>
      </c>
      <c r="C886" s="325" t="s">
        <v>2876</v>
      </c>
      <c r="D886" s="326" t="s">
        <v>477</v>
      </c>
      <c r="E886" s="327">
        <f>IF(B886&lt;&gt;"",SUMIF('AUX-NIV1'!I:I,'AUX-NIV2'!B886,'AUX-NIV1'!Q:Q),"")</f>
        <v>0</v>
      </c>
      <c r="F886" s="327">
        <f t="shared" si="374"/>
        <v>4108.1310078167726</v>
      </c>
      <c r="G886" s="327">
        <f t="shared" si="375"/>
        <v>0</v>
      </c>
      <c r="H886" s="328" t="str">
        <f t="shared" si="395"/>
        <v>A</v>
      </c>
      <c r="I886" s="325" t="s">
        <v>1746</v>
      </c>
      <c r="J886" s="329" t="str">
        <f>IF(B886&lt;&gt;"",+VLOOKUP(I886,Recursos!C:F,2,FALSE),"")</f>
        <v>OFICIAL</v>
      </c>
      <c r="K886" s="330" t="str">
        <f>IF(B886&lt;&gt;"",+VLOOKUP(I886,Recursos!C:F,3,FALSE),"")</f>
        <v>hh</v>
      </c>
      <c r="L886" s="446">
        <f>IF(B886&lt;&gt;"",+VLOOKUP(I886,Recursos!C:F,4,FALSE),"")</f>
        <v>496.91595439275824</v>
      </c>
      <c r="M886" s="454">
        <f t="shared" si="396"/>
        <v>3</v>
      </c>
      <c r="N886" s="453">
        <v>2</v>
      </c>
      <c r="O886" s="449">
        <f>+N886/M886*N887</f>
        <v>0.8666666666666667</v>
      </c>
      <c r="P886" s="333">
        <f t="shared" si="371"/>
        <v>430.66049380705715</v>
      </c>
      <c r="Q886" s="327">
        <f t="shared" si="372"/>
        <v>0</v>
      </c>
      <c r="R886" s="334">
        <f t="shared" si="373"/>
        <v>0</v>
      </c>
      <c r="S886" s="335">
        <f t="shared" si="376"/>
        <v>1982.8502578167725</v>
      </c>
      <c r="T886" s="335">
        <f t="shared" si="377"/>
        <v>1707.0307499999999</v>
      </c>
      <c r="U886" s="336">
        <f t="shared" si="378"/>
        <v>418.25</v>
      </c>
      <c r="V886" s="336">
        <f t="shared" si="379"/>
        <v>0</v>
      </c>
      <c r="W886" s="336">
        <f t="shared" si="380"/>
        <v>0</v>
      </c>
      <c r="X886" s="336">
        <f t="shared" si="381"/>
        <v>0</v>
      </c>
      <c r="Y886" s="320"/>
      <c r="Z886" s="321" t="str">
        <f t="shared" si="385"/>
        <v>X-ALCA</v>
      </c>
      <c r="AA886" s="321" t="str">
        <f t="shared" si="386"/>
        <v>X-ALCE</v>
      </c>
      <c r="AB886" s="321" t="str">
        <f t="shared" si="387"/>
        <v>X-ALCM</v>
      </c>
      <c r="AC886" s="321" t="str">
        <f t="shared" si="388"/>
        <v>X-ALCT</v>
      </c>
      <c r="AD886" s="321" t="str">
        <f t="shared" si="389"/>
        <v>X-ALCS</v>
      </c>
      <c r="AE886" s="321" t="str">
        <f t="shared" si="390"/>
        <v>X-ALCX</v>
      </c>
      <c r="AF886" s="321" t="str">
        <f t="shared" si="391"/>
        <v>X-ALCA</v>
      </c>
      <c r="AG886" s="321">
        <f t="shared" si="382"/>
        <v>11</v>
      </c>
      <c r="AH886" s="321">
        <f>IF(B886&lt;&gt;"",IF(H886="x",VLOOKUP(I886,'AUX-NIV3'!B:AG,32,FALSE),0),"")</f>
        <v>0</v>
      </c>
      <c r="AI886" s="321" t="str">
        <f t="shared" si="392"/>
        <v>X-ALC</v>
      </c>
      <c r="AJ886" s="320"/>
      <c r="AK886" s="322">
        <f t="shared" si="383"/>
        <v>885</v>
      </c>
      <c r="AL886" s="323">
        <f t="shared" si="393"/>
        <v>895</v>
      </c>
      <c r="AM886" s="322">
        <f t="shared" si="394"/>
        <v>2</v>
      </c>
      <c r="AN886" s="380">
        <f>IF(AND(AH886&gt;0,B886&lt;&gt;""),VLOOKUP(I886,'AUX-NIV3'!$B:$AO,39,FALSE)*O886,0)</f>
        <v>0</v>
      </c>
      <c r="AO886" s="380">
        <f t="shared" si="384"/>
        <v>3.9000000000000012</v>
      </c>
      <c r="AP886" s="380"/>
    </row>
    <row r="887" spans="1:42" ht="14.4" hidden="1" thickTop="1" thickBot="1">
      <c r="B887" s="324" t="s">
        <v>2875</v>
      </c>
      <c r="C887" s="325" t="s">
        <v>2876</v>
      </c>
      <c r="D887" s="326" t="s">
        <v>477</v>
      </c>
      <c r="E887" s="327">
        <f>IF(B887&lt;&gt;"",SUMIF('AUX-NIV1'!I:I,'AUX-NIV2'!B887,'AUX-NIV1'!Q:Q),"")</f>
        <v>0</v>
      </c>
      <c r="F887" s="327">
        <f t="shared" si="374"/>
        <v>4108.1310078167726</v>
      </c>
      <c r="G887" s="327">
        <f t="shared" si="375"/>
        <v>0</v>
      </c>
      <c r="H887" s="328" t="str">
        <f t="shared" si="395"/>
        <v>A</v>
      </c>
      <c r="I887" s="325" t="s">
        <v>1746</v>
      </c>
      <c r="J887" s="329" t="str">
        <f>IF(B887&lt;&gt;"",+VLOOKUP(I887,Recursos!C:F,2,FALSE),"")</f>
        <v>OFICIAL</v>
      </c>
      <c r="K887" s="330" t="str">
        <f>IF(B887&lt;&gt;"",+VLOOKUP(I887,Recursos!C:F,3,FALSE),"")</f>
        <v>hh</v>
      </c>
      <c r="L887" s="446">
        <f>IF(B887&lt;&gt;"",+VLOOKUP(I887,Recursos!C:F,4,FALSE),"")</f>
        <v>496.91595439275824</v>
      </c>
      <c r="M887" s="454">
        <f t="shared" si="396"/>
        <v>3</v>
      </c>
      <c r="N887" s="455">
        <f>+N888</f>
        <v>1.3</v>
      </c>
      <c r="O887" s="449">
        <f t="shared" ref="O887:O893" si="397">+N887/M887</f>
        <v>0.43333333333333335</v>
      </c>
      <c r="P887" s="333">
        <f t="shared" si="371"/>
        <v>215.33024690352858</v>
      </c>
      <c r="Q887" s="327">
        <f t="shared" si="372"/>
        <v>0</v>
      </c>
      <c r="R887" s="334">
        <f t="shared" si="373"/>
        <v>0</v>
      </c>
      <c r="S887" s="335">
        <f t="shared" si="376"/>
        <v>1982.8502578167725</v>
      </c>
      <c r="T887" s="335">
        <f t="shared" si="377"/>
        <v>1707.0307499999999</v>
      </c>
      <c r="U887" s="336">
        <f t="shared" si="378"/>
        <v>418.25</v>
      </c>
      <c r="V887" s="336">
        <f t="shared" si="379"/>
        <v>0</v>
      </c>
      <c r="W887" s="336">
        <f t="shared" si="380"/>
        <v>0</v>
      </c>
      <c r="X887" s="336">
        <f t="shared" si="381"/>
        <v>0</v>
      </c>
      <c r="Y887" s="320"/>
      <c r="Z887" s="321" t="str">
        <f t="shared" si="385"/>
        <v>X-ALCA</v>
      </c>
      <c r="AA887" s="321" t="str">
        <f t="shared" si="386"/>
        <v>X-ALCE</v>
      </c>
      <c r="AB887" s="321" t="str">
        <f t="shared" si="387"/>
        <v>X-ALCM</v>
      </c>
      <c r="AC887" s="321" t="str">
        <f t="shared" si="388"/>
        <v>X-ALCT</v>
      </c>
      <c r="AD887" s="321" t="str">
        <f t="shared" si="389"/>
        <v>X-ALCS</v>
      </c>
      <c r="AE887" s="321" t="str">
        <f t="shared" si="390"/>
        <v>X-ALCX</v>
      </c>
      <c r="AF887" s="321" t="str">
        <f t="shared" si="391"/>
        <v>X-ALCA</v>
      </c>
      <c r="AG887" s="321">
        <f t="shared" si="382"/>
        <v>11</v>
      </c>
      <c r="AH887" s="321">
        <f>IF(B887&lt;&gt;"",IF(H887="x",VLOOKUP(I887,'AUX-NIV3'!B:AG,32,FALSE),0),"")</f>
        <v>0</v>
      </c>
      <c r="AI887" s="321" t="str">
        <f t="shared" si="392"/>
        <v>X-ALC</v>
      </c>
      <c r="AJ887" s="320"/>
      <c r="AK887" s="322">
        <f t="shared" si="383"/>
        <v>885</v>
      </c>
      <c r="AL887" s="323">
        <f t="shared" si="393"/>
        <v>895</v>
      </c>
      <c r="AM887" s="322">
        <f t="shared" si="394"/>
        <v>3</v>
      </c>
      <c r="AN887" s="380">
        <f>IF(AND(AH887&gt;0,B887&lt;&gt;""),VLOOKUP(I887,'AUX-NIV3'!$B:$AO,39,FALSE)*O887,0)</f>
        <v>0</v>
      </c>
      <c r="AO887" s="380">
        <f t="shared" si="384"/>
        <v>3.9000000000000012</v>
      </c>
      <c r="AP887" s="380"/>
    </row>
    <row r="888" spans="1:42" ht="14.4" hidden="1" thickTop="1" thickBot="1">
      <c r="B888" s="324" t="s">
        <v>2875</v>
      </c>
      <c r="C888" s="325" t="s">
        <v>2876</v>
      </c>
      <c r="D888" s="326" t="s">
        <v>477</v>
      </c>
      <c r="E888" s="327">
        <f>IF(B888&lt;&gt;"",SUMIF('AUX-NIV1'!I:I,'AUX-NIV2'!B888,'AUX-NIV1'!Q:Q),"")</f>
        <v>0</v>
      </c>
      <c r="F888" s="327">
        <f t="shared" si="374"/>
        <v>4108.1310078167726</v>
      </c>
      <c r="G888" s="327">
        <f t="shared" si="375"/>
        <v>0</v>
      </c>
      <c r="H888" s="328" t="str">
        <f t="shared" si="395"/>
        <v>A</v>
      </c>
      <c r="I888" s="325" t="s">
        <v>3310</v>
      </c>
      <c r="J888" s="329" t="str">
        <f>IF(B888&lt;&gt;"",+VLOOKUP(I888,Recursos!C:F,2,FALSE),"")</f>
        <v>OFICIAL ESPECIALIZADO</v>
      </c>
      <c r="K888" s="330" t="str">
        <f>IF(B888&lt;&gt;"",+VLOOKUP(I888,Recursos!C:F,3,FALSE),"")</f>
        <v>hh</v>
      </c>
      <c r="L888" s="446">
        <f>IF(B888&lt;&gt;"",+VLOOKUP(I888,Recursos!C:F,4,FALSE),"")</f>
        <v>581.06120476836554</v>
      </c>
      <c r="M888" s="454">
        <f t="shared" si="396"/>
        <v>3</v>
      </c>
      <c r="N888" s="455">
        <f>+N889</f>
        <v>1.3</v>
      </c>
      <c r="O888" s="449">
        <f t="shared" si="397"/>
        <v>0.43333333333333335</v>
      </c>
      <c r="P888" s="333">
        <f t="shared" si="371"/>
        <v>251.79318873295841</v>
      </c>
      <c r="Q888" s="327">
        <f t="shared" si="372"/>
        <v>0</v>
      </c>
      <c r="R888" s="334">
        <f t="shared" si="373"/>
        <v>0</v>
      </c>
      <c r="S888" s="335">
        <f t="shared" si="376"/>
        <v>1982.8502578167725</v>
      </c>
      <c r="T888" s="335">
        <f t="shared" si="377"/>
        <v>1707.0307499999999</v>
      </c>
      <c r="U888" s="336">
        <f t="shared" si="378"/>
        <v>418.25</v>
      </c>
      <c r="V888" s="336">
        <f t="shared" si="379"/>
        <v>0</v>
      </c>
      <c r="W888" s="336">
        <f t="shared" si="380"/>
        <v>0</v>
      </c>
      <c r="X888" s="336">
        <f t="shared" si="381"/>
        <v>0</v>
      </c>
      <c r="Y888" s="320"/>
      <c r="Z888" s="321" t="str">
        <f t="shared" si="385"/>
        <v>X-ALCA</v>
      </c>
      <c r="AA888" s="321" t="str">
        <f t="shared" si="386"/>
        <v>X-ALCE</v>
      </c>
      <c r="AB888" s="321" t="str">
        <f t="shared" si="387"/>
        <v>X-ALCM</v>
      </c>
      <c r="AC888" s="321" t="str">
        <f t="shared" si="388"/>
        <v>X-ALCT</v>
      </c>
      <c r="AD888" s="321" t="str">
        <f t="shared" si="389"/>
        <v>X-ALCS</v>
      </c>
      <c r="AE888" s="321" t="str">
        <f t="shared" si="390"/>
        <v>X-ALCX</v>
      </c>
      <c r="AF888" s="321" t="str">
        <f t="shared" si="391"/>
        <v>X-ALCA</v>
      </c>
      <c r="AG888" s="321">
        <f t="shared" si="382"/>
        <v>11</v>
      </c>
      <c r="AH888" s="321">
        <f>IF(B888&lt;&gt;"",IF(H888="x",VLOOKUP(I888,'AUX-NIV3'!B:AG,32,FALSE),0),"")</f>
        <v>0</v>
      </c>
      <c r="AI888" s="321" t="str">
        <f t="shared" si="392"/>
        <v>X-ALC</v>
      </c>
      <c r="AJ888" s="320"/>
      <c r="AK888" s="322">
        <f t="shared" si="383"/>
        <v>885</v>
      </c>
      <c r="AL888" s="323">
        <f t="shared" si="393"/>
        <v>895</v>
      </c>
      <c r="AM888" s="322">
        <f t="shared" si="394"/>
        <v>4</v>
      </c>
      <c r="AN888" s="380">
        <f>IF(AND(AH888&gt;0,B888&lt;&gt;""),VLOOKUP(I888,'AUX-NIV3'!$B:$AO,39,FALSE)*O888,0)</f>
        <v>0</v>
      </c>
      <c r="AO888" s="380">
        <f t="shared" si="384"/>
        <v>3.9000000000000012</v>
      </c>
      <c r="AP888" s="380"/>
    </row>
    <row r="889" spans="1:42" ht="14.4" hidden="1" thickTop="1" thickBot="1">
      <c r="B889" s="324" t="s">
        <v>2875</v>
      </c>
      <c r="C889" s="325" t="s">
        <v>2876</v>
      </c>
      <c r="D889" s="326" t="s">
        <v>477</v>
      </c>
      <c r="E889" s="327">
        <f>IF(B889&lt;&gt;"",SUMIF('AUX-NIV1'!I:I,'AUX-NIV2'!B889,'AUX-NIV1'!Q:Q),"")</f>
        <v>0</v>
      </c>
      <c r="F889" s="327">
        <f t="shared" si="374"/>
        <v>4108.1310078167726</v>
      </c>
      <c r="G889" s="327">
        <f t="shared" si="375"/>
        <v>0</v>
      </c>
      <c r="H889" s="328" t="str">
        <f t="shared" si="395"/>
        <v>A</v>
      </c>
      <c r="I889" s="325" t="s">
        <v>3310</v>
      </c>
      <c r="J889" s="329" t="str">
        <f>IF(B889&lt;&gt;"",+VLOOKUP(I889,Recursos!C:F,2,FALSE),"")</f>
        <v>OFICIAL ESPECIALIZADO</v>
      </c>
      <c r="K889" s="330" t="str">
        <f>IF(B889&lt;&gt;"",+VLOOKUP(I889,Recursos!C:F,3,FALSE),"")</f>
        <v>hh</v>
      </c>
      <c r="L889" s="446">
        <f>IF(B889&lt;&gt;"",+VLOOKUP(I889,Recursos!C:F,4,FALSE),"")</f>
        <v>581.06120476836554</v>
      </c>
      <c r="M889" s="454">
        <f t="shared" si="396"/>
        <v>3</v>
      </c>
      <c r="N889" s="455">
        <f>+N890</f>
        <v>1.3</v>
      </c>
      <c r="O889" s="449">
        <f t="shared" si="397"/>
        <v>0.43333333333333335</v>
      </c>
      <c r="P889" s="333">
        <f t="shared" si="371"/>
        <v>251.79318873295841</v>
      </c>
      <c r="Q889" s="327">
        <f t="shared" si="372"/>
        <v>0</v>
      </c>
      <c r="R889" s="334">
        <f t="shared" si="373"/>
        <v>0</v>
      </c>
      <c r="S889" s="335">
        <f t="shared" si="376"/>
        <v>1982.8502578167725</v>
      </c>
      <c r="T889" s="335">
        <f t="shared" si="377"/>
        <v>1707.0307499999999</v>
      </c>
      <c r="U889" s="336">
        <f t="shared" si="378"/>
        <v>418.25</v>
      </c>
      <c r="V889" s="336">
        <f t="shared" si="379"/>
        <v>0</v>
      </c>
      <c r="W889" s="336">
        <f t="shared" si="380"/>
        <v>0</v>
      </c>
      <c r="X889" s="336">
        <f t="shared" si="381"/>
        <v>0</v>
      </c>
      <c r="Y889" s="320"/>
      <c r="Z889" s="321" t="str">
        <f t="shared" si="385"/>
        <v>X-ALCA</v>
      </c>
      <c r="AA889" s="321" t="str">
        <f t="shared" si="386"/>
        <v>X-ALCE</v>
      </c>
      <c r="AB889" s="321" t="str">
        <f t="shared" si="387"/>
        <v>X-ALCM</v>
      </c>
      <c r="AC889" s="321" t="str">
        <f t="shared" si="388"/>
        <v>X-ALCT</v>
      </c>
      <c r="AD889" s="321" t="str">
        <f t="shared" si="389"/>
        <v>X-ALCS</v>
      </c>
      <c r="AE889" s="321" t="str">
        <f t="shared" si="390"/>
        <v>X-ALCX</v>
      </c>
      <c r="AF889" s="321" t="str">
        <f t="shared" si="391"/>
        <v>X-ALCA</v>
      </c>
      <c r="AG889" s="321">
        <f t="shared" si="382"/>
        <v>11</v>
      </c>
      <c r="AH889" s="321">
        <f>IF(B889&lt;&gt;"",IF(H889="x",VLOOKUP(I889,'AUX-NIV3'!B:AG,32,FALSE),0),"")</f>
        <v>0</v>
      </c>
      <c r="AI889" s="321" t="str">
        <f t="shared" si="392"/>
        <v>X-ALC</v>
      </c>
      <c r="AJ889" s="320"/>
      <c r="AK889" s="322">
        <f t="shared" si="383"/>
        <v>885</v>
      </c>
      <c r="AL889" s="323">
        <f t="shared" si="393"/>
        <v>895</v>
      </c>
      <c r="AM889" s="322">
        <f t="shared" si="394"/>
        <v>5</v>
      </c>
      <c r="AN889" s="380">
        <f>IF(AND(AH889&gt;0,B889&lt;&gt;""),VLOOKUP(I889,'AUX-NIV3'!$B:$AO,39,FALSE)*O889,0)</f>
        <v>0</v>
      </c>
      <c r="AO889" s="380">
        <f t="shared" si="384"/>
        <v>3.9000000000000012</v>
      </c>
      <c r="AP889" s="380"/>
    </row>
    <row r="890" spans="1:42" ht="14.4" hidden="1" thickTop="1" thickBot="1">
      <c r="B890" s="324" t="s">
        <v>2875</v>
      </c>
      <c r="C890" s="325" t="s">
        <v>2876</v>
      </c>
      <c r="D890" s="326" t="s">
        <v>477</v>
      </c>
      <c r="E890" s="327">
        <f>IF(B890&lt;&gt;"",SUMIF('AUX-NIV1'!I:I,'AUX-NIV2'!B890,'AUX-NIV1'!Q:Q),"")</f>
        <v>0</v>
      </c>
      <c r="F890" s="327">
        <f t="shared" si="374"/>
        <v>4108.1310078167726</v>
      </c>
      <c r="G890" s="327">
        <f t="shared" si="375"/>
        <v>0</v>
      </c>
      <c r="H890" s="328" t="str">
        <f t="shared" si="395"/>
        <v>A</v>
      </c>
      <c r="I890" s="325" t="s">
        <v>3310</v>
      </c>
      <c r="J890" s="329" t="str">
        <f>IF(B890&lt;&gt;"",+VLOOKUP(I890,Recursos!C:F,2,FALSE),"")</f>
        <v>OFICIAL ESPECIALIZADO</v>
      </c>
      <c r="K890" s="330" t="str">
        <f>IF(B890&lt;&gt;"",+VLOOKUP(I890,Recursos!C:F,3,FALSE),"")</f>
        <v>hh</v>
      </c>
      <c r="L890" s="446">
        <f>IF(B890&lt;&gt;"",+VLOOKUP(I890,Recursos!C:F,4,FALSE),"")</f>
        <v>581.06120476836554</v>
      </c>
      <c r="M890" s="454">
        <f t="shared" si="396"/>
        <v>3</v>
      </c>
      <c r="N890" s="455">
        <f>+N891</f>
        <v>1.3</v>
      </c>
      <c r="O890" s="449">
        <f t="shared" si="397"/>
        <v>0.43333333333333335</v>
      </c>
      <c r="P890" s="333">
        <f t="shared" si="371"/>
        <v>251.79318873295841</v>
      </c>
      <c r="Q890" s="327">
        <f t="shared" si="372"/>
        <v>0</v>
      </c>
      <c r="R890" s="334">
        <f t="shared" si="373"/>
        <v>0</v>
      </c>
      <c r="S890" s="335">
        <f t="shared" si="376"/>
        <v>1982.8502578167725</v>
      </c>
      <c r="T890" s="335">
        <f t="shared" si="377"/>
        <v>1707.0307499999999</v>
      </c>
      <c r="U890" s="336">
        <f t="shared" si="378"/>
        <v>418.25</v>
      </c>
      <c r="V890" s="336">
        <f t="shared" si="379"/>
        <v>0</v>
      </c>
      <c r="W890" s="336">
        <f t="shared" si="380"/>
        <v>0</v>
      </c>
      <c r="X890" s="336">
        <f t="shared" si="381"/>
        <v>0</v>
      </c>
      <c r="Y890" s="320"/>
      <c r="Z890" s="321" t="str">
        <f t="shared" si="385"/>
        <v>X-ALCA</v>
      </c>
      <c r="AA890" s="321" t="str">
        <f t="shared" si="386"/>
        <v>X-ALCE</v>
      </c>
      <c r="AB890" s="321" t="str">
        <f t="shared" si="387"/>
        <v>X-ALCM</v>
      </c>
      <c r="AC890" s="321" t="str">
        <f t="shared" si="388"/>
        <v>X-ALCT</v>
      </c>
      <c r="AD890" s="321" t="str">
        <f t="shared" si="389"/>
        <v>X-ALCS</v>
      </c>
      <c r="AE890" s="321" t="str">
        <f t="shared" si="390"/>
        <v>X-ALCX</v>
      </c>
      <c r="AF890" s="321" t="str">
        <f t="shared" si="391"/>
        <v>X-ALCA</v>
      </c>
      <c r="AG890" s="321">
        <f t="shared" si="382"/>
        <v>11</v>
      </c>
      <c r="AH890" s="321">
        <f>IF(B890&lt;&gt;"",IF(H890="x",VLOOKUP(I890,'AUX-NIV3'!B:AG,32,FALSE),0),"")</f>
        <v>0</v>
      </c>
      <c r="AI890" s="321" t="str">
        <f t="shared" si="392"/>
        <v>X-ALC</v>
      </c>
      <c r="AJ890" s="320"/>
      <c r="AK890" s="322">
        <f t="shared" si="383"/>
        <v>885</v>
      </c>
      <c r="AL890" s="323">
        <f t="shared" si="393"/>
        <v>895</v>
      </c>
      <c r="AM890" s="322">
        <f t="shared" si="394"/>
        <v>6</v>
      </c>
      <c r="AN890" s="380">
        <f>IF(AND(AH890&gt;0,B890&lt;&gt;""),VLOOKUP(I890,'AUX-NIV3'!$B:$AO,39,FALSE)*O890,0)</f>
        <v>0</v>
      </c>
      <c r="AO890" s="380">
        <f t="shared" si="384"/>
        <v>3.9000000000000012</v>
      </c>
      <c r="AP890" s="380"/>
    </row>
    <row r="891" spans="1:42" ht="14.4" hidden="1" thickTop="1" thickBot="1">
      <c r="B891" s="324" t="s">
        <v>2875</v>
      </c>
      <c r="C891" s="325" t="s">
        <v>2876</v>
      </c>
      <c r="D891" s="326" t="s">
        <v>477</v>
      </c>
      <c r="E891" s="327">
        <f>IF(B891&lt;&gt;"",SUMIF('AUX-NIV1'!I:I,'AUX-NIV2'!B891,'AUX-NIV1'!Q:Q),"")</f>
        <v>0</v>
      </c>
      <c r="F891" s="327">
        <f t="shared" si="374"/>
        <v>4108.1310078167726</v>
      </c>
      <c r="G891" s="327">
        <f t="shared" si="375"/>
        <v>0</v>
      </c>
      <c r="H891" s="328" t="str">
        <f t="shared" si="395"/>
        <v>A</v>
      </c>
      <c r="I891" s="325" t="s">
        <v>1746</v>
      </c>
      <c r="J891" s="329" t="str">
        <f>IF(B891&lt;&gt;"",+VLOOKUP(I891,Recursos!C:F,2,FALSE),"")</f>
        <v>OFICIAL</v>
      </c>
      <c r="K891" s="330" t="str">
        <f>IF(B891&lt;&gt;"",+VLOOKUP(I891,Recursos!C:F,3,FALSE),"")</f>
        <v>hh</v>
      </c>
      <c r="L891" s="446">
        <f>IF(B891&lt;&gt;"",+VLOOKUP(I891,Recursos!C:F,4,FALSE),"")</f>
        <v>496.91595439275824</v>
      </c>
      <c r="M891" s="454">
        <f t="shared" si="396"/>
        <v>3</v>
      </c>
      <c r="N891" s="453">
        <v>1.3</v>
      </c>
      <c r="O891" s="449">
        <f t="shared" si="397"/>
        <v>0.43333333333333335</v>
      </c>
      <c r="P891" s="333">
        <f t="shared" si="371"/>
        <v>215.33024690352858</v>
      </c>
      <c r="Q891" s="327">
        <f t="shared" si="372"/>
        <v>0</v>
      </c>
      <c r="R891" s="334">
        <f t="shared" si="373"/>
        <v>0</v>
      </c>
      <c r="S891" s="335">
        <f t="shared" si="376"/>
        <v>1982.8502578167725</v>
      </c>
      <c r="T891" s="335">
        <f t="shared" si="377"/>
        <v>1707.0307499999999</v>
      </c>
      <c r="U891" s="336">
        <f t="shared" si="378"/>
        <v>418.25</v>
      </c>
      <c r="V891" s="336">
        <f t="shared" si="379"/>
        <v>0</v>
      </c>
      <c r="W891" s="336">
        <f t="shared" si="380"/>
        <v>0</v>
      </c>
      <c r="X891" s="336">
        <f t="shared" si="381"/>
        <v>0</v>
      </c>
      <c r="Y891" s="320"/>
      <c r="Z891" s="321" t="str">
        <f t="shared" si="385"/>
        <v>X-ALCA</v>
      </c>
      <c r="AA891" s="321" t="str">
        <f t="shared" si="386"/>
        <v>X-ALCE</v>
      </c>
      <c r="AB891" s="321" t="str">
        <f t="shared" si="387"/>
        <v>X-ALCM</v>
      </c>
      <c r="AC891" s="321" t="str">
        <f t="shared" si="388"/>
        <v>X-ALCT</v>
      </c>
      <c r="AD891" s="321" t="str">
        <f t="shared" si="389"/>
        <v>X-ALCS</v>
      </c>
      <c r="AE891" s="321" t="str">
        <f t="shared" si="390"/>
        <v>X-ALCX</v>
      </c>
      <c r="AF891" s="321" t="str">
        <f t="shared" si="391"/>
        <v>X-ALCA</v>
      </c>
      <c r="AG891" s="321">
        <f t="shared" si="382"/>
        <v>11</v>
      </c>
      <c r="AH891" s="321">
        <f>IF(B891&lt;&gt;"",IF(H891="x",VLOOKUP(I891,'AUX-NIV3'!B:AG,32,FALSE),0),"")</f>
        <v>0</v>
      </c>
      <c r="AI891" s="321" t="str">
        <f t="shared" si="392"/>
        <v>X-ALC</v>
      </c>
      <c r="AJ891" s="320"/>
      <c r="AK891" s="322">
        <f t="shared" si="383"/>
        <v>885</v>
      </c>
      <c r="AL891" s="323">
        <f t="shared" si="393"/>
        <v>895</v>
      </c>
      <c r="AM891" s="322">
        <f t="shared" si="394"/>
        <v>7</v>
      </c>
      <c r="AN891" s="380">
        <f>IF(AND(AH891&gt;0,B891&lt;&gt;""),VLOOKUP(I891,'AUX-NIV3'!$B:$AO,39,FALSE)*O891,0)</f>
        <v>0</v>
      </c>
      <c r="AO891" s="380">
        <f t="shared" si="384"/>
        <v>3.9000000000000012</v>
      </c>
      <c r="AP891" s="380"/>
    </row>
    <row r="892" spans="1:42" ht="14.4" hidden="1" thickTop="1" thickBot="1">
      <c r="B892" s="324" t="s">
        <v>2875</v>
      </c>
      <c r="C892" s="325" t="s">
        <v>2876</v>
      </c>
      <c r="D892" s="326" t="s">
        <v>477</v>
      </c>
      <c r="E892" s="327">
        <f>IF(B892&lt;&gt;"",SUMIF('AUX-NIV1'!I:I,'AUX-NIV2'!B892,'AUX-NIV1'!Q:Q),"")</f>
        <v>0</v>
      </c>
      <c r="F892" s="327">
        <f t="shared" si="374"/>
        <v>4108.1310078167726</v>
      </c>
      <c r="G892" s="327">
        <f t="shared" si="375"/>
        <v>0</v>
      </c>
      <c r="H892" s="328" t="str">
        <f t="shared" si="395"/>
        <v>E</v>
      </c>
      <c r="I892" s="325" t="s">
        <v>1552</v>
      </c>
      <c r="J892" s="329" t="str">
        <f>IF(B892&lt;&gt;"",+VLOOKUP(I892,Recursos!C:F,2,FALSE),"")</f>
        <v>RETROEXCAVADORA S/CARRILES  0,9 M2</v>
      </c>
      <c r="K892" s="330" t="str">
        <f>IF(B892&lt;&gt;"",+VLOOKUP(I892,Recursos!C:F,3,FALSE),"")</f>
        <v>HR</v>
      </c>
      <c r="L892" s="446">
        <f>IF(B892&lt;&gt;"",+VLOOKUP(I892,Recursos!C:F,4,FALSE),"")</f>
        <v>2743.02</v>
      </c>
      <c r="M892" s="454">
        <f t="shared" si="396"/>
        <v>3</v>
      </c>
      <c r="N892" s="453">
        <v>1</v>
      </c>
      <c r="O892" s="449">
        <f t="shared" si="397"/>
        <v>0.33333333333333331</v>
      </c>
      <c r="P892" s="333">
        <f t="shared" si="371"/>
        <v>914.33999999999992</v>
      </c>
      <c r="Q892" s="327">
        <f t="shared" si="372"/>
        <v>0</v>
      </c>
      <c r="R892" s="334">
        <f t="shared" si="373"/>
        <v>0</v>
      </c>
      <c r="S892" s="335">
        <f t="shared" si="376"/>
        <v>1982.8502578167725</v>
      </c>
      <c r="T892" s="335">
        <f t="shared" si="377"/>
        <v>1707.0307499999999</v>
      </c>
      <c r="U892" s="336">
        <f t="shared" si="378"/>
        <v>418.25</v>
      </c>
      <c r="V892" s="336">
        <f t="shared" si="379"/>
        <v>0</v>
      </c>
      <c r="W892" s="336">
        <f t="shared" si="380"/>
        <v>0</v>
      </c>
      <c r="X892" s="336">
        <f t="shared" si="381"/>
        <v>0</v>
      </c>
      <c r="Y892" s="320"/>
      <c r="Z892" s="321" t="str">
        <f t="shared" si="385"/>
        <v>X-ALCA</v>
      </c>
      <c r="AA892" s="321" t="str">
        <f t="shared" si="386"/>
        <v>X-ALCE</v>
      </c>
      <c r="AB892" s="321" t="str">
        <f t="shared" si="387"/>
        <v>X-ALCM</v>
      </c>
      <c r="AC892" s="321" t="str">
        <f t="shared" si="388"/>
        <v>X-ALCT</v>
      </c>
      <c r="AD892" s="321" t="str">
        <f t="shared" si="389"/>
        <v>X-ALCS</v>
      </c>
      <c r="AE892" s="321" t="str">
        <f t="shared" si="390"/>
        <v>X-ALCX</v>
      </c>
      <c r="AF892" s="321" t="str">
        <f t="shared" si="391"/>
        <v>X-ALCE</v>
      </c>
      <c r="AG892" s="321">
        <f t="shared" si="382"/>
        <v>11</v>
      </c>
      <c r="AH892" s="321">
        <f>IF(B892&lt;&gt;"",IF(H892="x",VLOOKUP(I892,'AUX-NIV3'!B:AG,32,FALSE),0),"")</f>
        <v>0</v>
      </c>
      <c r="AI892" s="321" t="str">
        <f t="shared" si="392"/>
        <v>X-ALC</v>
      </c>
      <c r="AJ892" s="320"/>
      <c r="AK892" s="322">
        <f t="shared" si="383"/>
        <v>885</v>
      </c>
      <c r="AL892" s="323">
        <f t="shared" si="393"/>
        <v>895</v>
      </c>
      <c r="AM892" s="322">
        <f t="shared" si="394"/>
        <v>8</v>
      </c>
      <c r="AN892" s="380">
        <f>IF(AND(AH892&gt;0,B892&lt;&gt;""),VLOOKUP(I892,'AUX-NIV3'!$B:$AO,39,FALSE)*O892,0)</f>
        <v>0</v>
      </c>
      <c r="AO892" s="380">
        <f t="shared" si="384"/>
        <v>3.9000000000000012</v>
      </c>
      <c r="AP892" s="380"/>
    </row>
    <row r="893" spans="1:42" ht="14.4" hidden="1" thickTop="1" thickBot="1">
      <c r="B893" s="324" t="s">
        <v>2875</v>
      </c>
      <c r="C893" s="325" t="s">
        <v>2876</v>
      </c>
      <c r="D893" s="326" t="s">
        <v>477</v>
      </c>
      <c r="E893" s="327">
        <f>IF(B893&lt;&gt;"",SUMIF('AUX-NIV1'!I:I,'AUX-NIV2'!B893,'AUX-NIV1'!Q:Q),"")</f>
        <v>0</v>
      </c>
      <c r="F893" s="327">
        <f t="shared" si="374"/>
        <v>4108.1310078167726</v>
      </c>
      <c r="G893" s="327">
        <f t="shared" si="375"/>
        <v>0</v>
      </c>
      <c r="H893" s="328" t="str">
        <f t="shared" si="395"/>
        <v>E</v>
      </c>
      <c r="I893" s="325" t="s">
        <v>1597</v>
      </c>
      <c r="J893" s="329" t="str">
        <f>IF(B893&lt;&gt;"",+VLOOKUP(I893,Recursos!C:F,2,FALSE),"")</f>
        <v>HIDROGRUA MONTADA S/CAMION (6 T)</v>
      </c>
      <c r="K893" s="330" t="str">
        <f>IF(B893&lt;&gt;"",+VLOOKUP(I893,Recursos!C:F,3,FALSE),"")</f>
        <v>HR</v>
      </c>
      <c r="L893" s="446">
        <f>IF(B893&lt;&gt;"",+VLOOKUP(I893,Recursos!C:F,4,FALSE),"")</f>
        <v>2378.0722500000002</v>
      </c>
      <c r="M893" s="454">
        <f t="shared" si="396"/>
        <v>3</v>
      </c>
      <c r="N893" s="453">
        <v>1</v>
      </c>
      <c r="O893" s="449">
        <f t="shared" si="397"/>
        <v>0.33333333333333331</v>
      </c>
      <c r="P893" s="333">
        <f t="shared" si="371"/>
        <v>792.69074999999998</v>
      </c>
      <c r="Q893" s="327">
        <f t="shared" si="372"/>
        <v>0</v>
      </c>
      <c r="R893" s="334">
        <f t="shared" si="373"/>
        <v>0</v>
      </c>
      <c r="S893" s="335">
        <f t="shared" si="376"/>
        <v>1982.8502578167725</v>
      </c>
      <c r="T893" s="335">
        <f t="shared" si="377"/>
        <v>1707.0307499999999</v>
      </c>
      <c r="U893" s="336">
        <f t="shared" si="378"/>
        <v>418.25</v>
      </c>
      <c r="V893" s="336">
        <f t="shared" si="379"/>
        <v>0</v>
      </c>
      <c r="W893" s="336">
        <f t="shared" si="380"/>
        <v>0</v>
      </c>
      <c r="X893" s="336">
        <f t="shared" si="381"/>
        <v>0</v>
      </c>
      <c r="Y893" s="320"/>
      <c r="Z893" s="321" t="str">
        <f t="shared" si="385"/>
        <v>X-ALCA</v>
      </c>
      <c r="AA893" s="321" t="str">
        <f t="shared" si="386"/>
        <v>X-ALCE</v>
      </c>
      <c r="AB893" s="321" t="str">
        <f t="shared" si="387"/>
        <v>X-ALCM</v>
      </c>
      <c r="AC893" s="321" t="str">
        <f t="shared" si="388"/>
        <v>X-ALCT</v>
      </c>
      <c r="AD893" s="321" t="str">
        <f t="shared" si="389"/>
        <v>X-ALCS</v>
      </c>
      <c r="AE893" s="321" t="str">
        <f t="shared" si="390"/>
        <v>X-ALCX</v>
      </c>
      <c r="AF893" s="321" t="str">
        <f t="shared" si="391"/>
        <v>X-ALCE</v>
      </c>
      <c r="AG893" s="321">
        <f t="shared" si="382"/>
        <v>11</v>
      </c>
      <c r="AH893" s="321">
        <f>IF(B893&lt;&gt;"",IF(H893="x",VLOOKUP(I893,'AUX-NIV3'!B:AG,32,FALSE),0),"")</f>
        <v>0</v>
      </c>
      <c r="AI893" s="321" t="str">
        <f t="shared" si="392"/>
        <v>X-ALC</v>
      </c>
      <c r="AJ893" s="320"/>
      <c r="AK893" s="322">
        <f t="shared" si="383"/>
        <v>885</v>
      </c>
      <c r="AL893" s="323">
        <f t="shared" si="393"/>
        <v>895</v>
      </c>
      <c r="AM893" s="322">
        <f t="shared" si="394"/>
        <v>9</v>
      </c>
      <c r="AN893" s="380">
        <f>IF(AND(AH893&gt;0,B893&lt;&gt;""),VLOOKUP(I893,'AUX-NIV3'!$B:$AO,39,FALSE)*O893,0)</f>
        <v>0</v>
      </c>
      <c r="AO893" s="380">
        <f t="shared" si="384"/>
        <v>3.9000000000000012</v>
      </c>
      <c r="AP893" s="380"/>
    </row>
    <row r="894" spans="1:42" ht="14.4" hidden="1" thickTop="1" thickBot="1">
      <c r="B894" s="324" t="s">
        <v>2875</v>
      </c>
      <c r="C894" s="325" t="s">
        <v>2876</v>
      </c>
      <c r="D894" s="326" t="s">
        <v>477</v>
      </c>
      <c r="E894" s="327">
        <f>IF(B894&lt;&gt;"",SUMIF('AUX-NIV1'!I:I,'AUX-NIV2'!B894,'AUX-NIV1'!Q:Q),"")</f>
        <v>0</v>
      </c>
      <c r="F894" s="327">
        <f t="shared" si="374"/>
        <v>4108.1310078167726</v>
      </c>
      <c r="G894" s="327">
        <f t="shared" si="375"/>
        <v>0</v>
      </c>
      <c r="H894" s="328" t="str">
        <f t="shared" si="395"/>
        <v>M</v>
      </c>
      <c r="I894" s="325" t="s">
        <v>1838</v>
      </c>
      <c r="J894" s="329" t="str">
        <f>IF(B894&lt;&gt;"",+VLOOKUP(I894,Recursos!C:F,2,FALSE),"")</f>
        <v>CAÑO DE HºAº D=1.00m</v>
      </c>
      <c r="K894" s="330" t="str">
        <f>IF(B894&lt;&gt;"",+VLOOKUP(I894,Recursos!C:F,3,FALSE),"")</f>
        <v>ml</v>
      </c>
      <c r="L894" s="446">
        <f>IF(B894&lt;&gt;"",+VLOOKUP(I894,Recursos!C:F,4,FALSE),"")</f>
        <v>415.75</v>
      </c>
      <c r="M894" s="452">
        <v>3</v>
      </c>
      <c r="N894" s="453">
        <v>1</v>
      </c>
      <c r="O894" s="449">
        <f>+N894</f>
        <v>1</v>
      </c>
      <c r="P894" s="333">
        <f t="shared" si="371"/>
        <v>415.75</v>
      </c>
      <c r="Q894" s="327">
        <f t="shared" si="372"/>
        <v>0</v>
      </c>
      <c r="R894" s="334">
        <f t="shared" si="373"/>
        <v>0</v>
      </c>
      <c r="S894" s="335">
        <f t="shared" si="376"/>
        <v>1982.8502578167725</v>
      </c>
      <c r="T894" s="335">
        <f t="shared" si="377"/>
        <v>1707.0307499999999</v>
      </c>
      <c r="U894" s="336">
        <f t="shared" si="378"/>
        <v>418.25</v>
      </c>
      <c r="V894" s="336">
        <f t="shared" si="379"/>
        <v>0</v>
      </c>
      <c r="W894" s="336">
        <f t="shared" si="380"/>
        <v>0</v>
      </c>
      <c r="X894" s="336">
        <f t="shared" si="381"/>
        <v>0</v>
      </c>
      <c r="Y894" s="320"/>
      <c r="Z894" s="321" t="str">
        <f t="shared" si="385"/>
        <v>X-ALCA</v>
      </c>
      <c r="AA894" s="321" t="str">
        <f t="shared" si="386"/>
        <v>X-ALCE</v>
      </c>
      <c r="AB894" s="321" t="str">
        <f t="shared" si="387"/>
        <v>X-ALCM</v>
      </c>
      <c r="AC894" s="321" t="str">
        <f t="shared" si="388"/>
        <v>X-ALCT</v>
      </c>
      <c r="AD894" s="321" t="str">
        <f t="shared" si="389"/>
        <v>X-ALCS</v>
      </c>
      <c r="AE894" s="321" t="str">
        <f t="shared" si="390"/>
        <v>X-ALCX</v>
      </c>
      <c r="AF894" s="321" t="str">
        <f t="shared" si="391"/>
        <v>X-ALCM</v>
      </c>
      <c r="AG894" s="321">
        <f t="shared" si="382"/>
        <v>11</v>
      </c>
      <c r="AH894" s="321">
        <f>IF(B894&lt;&gt;"",IF(H894="x",VLOOKUP(I894,'AUX-NIV3'!B:AG,32,FALSE),0),"")</f>
        <v>0</v>
      </c>
      <c r="AI894" s="321" t="str">
        <f t="shared" si="392"/>
        <v>X-ALC</v>
      </c>
      <c r="AJ894" s="320"/>
      <c r="AK894" s="322">
        <f t="shared" si="383"/>
        <v>885</v>
      </c>
      <c r="AL894" s="323">
        <f t="shared" si="393"/>
        <v>895</v>
      </c>
      <c r="AM894" s="322">
        <f t="shared" si="394"/>
        <v>10</v>
      </c>
      <c r="AN894" s="380">
        <f>IF(AND(AH894&gt;0,B894&lt;&gt;""),VLOOKUP(I894,'AUX-NIV3'!$B:$AO,39,FALSE)*O894,0)</f>
        <v>0</v>
      </c>
      <c r="AO894" s="380">
        <f t="shared" si="384"/>
        <v>3.9000000000000012</v>
      </c>
      <c r="AP894" s="380"/>
    </row>
    <row r="895" spans="1:42" ht="14.4" hidden="1" thickTop="1" thickBot="1">
      <c r="A895" s="191"/>
      <c r="B895" s="324" t="s">
        <v>2875</v>
      </c>
      <c r="C895" s="325" t="s">
        <v>2876</v>
      </c>
      <c r="D895" s="326" t="s">
        <v>477</v>
      </c>
      <c r="E895" s="327">
        <f>IF(B895&lt;&gt;"",SUMIF('AUX-NIV1'!I:I,'AUX-NIV2'!B895,'AUX-NIV1'!Q:Q),"")</f>
        <v>0</v>
      </c>
      <c r="F895" s="327">
        <f t="shared" si="374"/>
        <v>4108.1310078167726</v>
      </c>
      <c r="G895" s="327">
        <f t="shared" si="375"/>
        <v>0</v>
      </c>
      <c r="H895" s="328" t="str">
        <f t="shared" si="395"/>
        <v>M</v>
      </c>
      <c r="I895" s="325" t="s">
        <v>621</v>
      </c>
      <c r="J895" s="329" t="str">
        <f>IF(B895&lt;&gt;"",+VLOOKUP(I895,Recursos!C:F,2,FALSE),"")</f>
        <v>MATERIALES VARIOS</v>
      </c>
      <c r="K895" s="330" t="str">
        <f>IF(B895&lt;&gt;"",+VLOOKUP(I895,Recursos!C:F,3,FALSE),"")</f>
        <v>GL</v>
      </c>
      <c r="L895" s="446">
        <f>IF(B895&lt;&gt;"",+VLOOKUP(I895,Recursos!C:F,4,FALSE),"")</f>
        <v>0.5</v>
      </c>
      <c r="M895" s="450">
        <v>5</v>
      </c>
      <c r="N895" s="451">
        <v>1</v>
      </c>
      <c r="O895" s="449">
        <f>+M895*N895</f>
        <v>5</v>
      </c>
      <c r="P895" s="333">
        <f t="shared" si="371"/>
        <v>2.5</v>
      </c>
      <c r="Q895" s="327">
        <f t="shared" si="372"/>
        <v>0</v>
      </c>
      <c r="R895" s="334">
        <f t="shared" si="373"/>
        <v>0</v>
      </c>
      <c r="S895" s="335">
        <f t="shared" si="376"/>
        <v>1982.8502578167725</v>
      </c>
      <c r="T895" s="335">
        <f t="shared" si="377"/>
        <v>1707.0307499999999</v>
      </c>
      <c r="U895" s="336">
        <f t="shared" si="378"/>
        <v>418.25</v>
      </c>
      <c r="V895" s="336">
        <f t="shared" si="379"/>
        <v>0</v>
      </c>
      <c r="W895" s="336">
        <f t="shared" si="380"/>
        <v>0</v>
      </c>
      <c r="X895" s="336">
        <f t="shared" si="381"/>
        <v>0</v>
      </c>
      <c r="Y895" s="320"/>
      <c r="Z895" s="321" t="str">
        <f t="shared" si="385"/>
        <v>X-ALCA</v>
      </c>
      <c r="AA895" s="321" t="str">
        <f t="shared" si="386"/>
        <v>X-ALCE</v>
      </c>
      <c r="AB895" s="321" t="str">
        <f t="shared" si="387"/>
        <v>X-ALCM</v>
      </c>
      <c r="AC895" s="321" t="str">
        <f t="shared" si="388"/>
        <v>X-ALCT</v>
      </c>
      <c r="AD895" s="321" t="str">
        <f t="shared" si="389"/>
        <v>X-ALCS</v>
      </c>
      <c r="AE895" s="321" t="str">
        <f t="shared" si="390"/>
        <v>X-ALCX</v>
      </c>
      <c r="AF895" s="321" t="str">
        <f t="shared" si="391"/>
        <v>X-ALCM</v>
      </c>
      <c r="AG895" s="321">
        <f t="shared" si="382"/>
        <v>11</v>
      </c>
      <c r="AH895" s="321">
        <f>IF(B895&lt;&gt;"",IF(H895="x",VLOOKUP(I895,'AUX-NIV3'!B:AG,32,FALSE),0),"")</f>
        <v>0</v>
      </c>
      <c r="AI895" s="321" t="str">
        <f t="shared" si="392"/>
        <v>X-ALC</v>
      </c>
      <c r="AJ895" s="320"/>
      <c r="AK895" s="322">
        <f t="shared" si="383"/>
        <v>885</v>
      </c>
      <c r="AL895" s="323">
        <f t="shared" si="393"/>
        <v>895</v>
      </c>
      <c r="AM895" s="322">
        <f t="shared" si="394"/>
        <v>11</v>
      </c>
      <c r="AN895" s="380">
        <f>IF(AND(AH895&gt;0,B895&lt;&gt;""),VLOOKUP(I895,'AUX-NIV3'!$B:$AO,39,FALSE)*O895,0)</f>
        <v>0</v>
      </c>
      <c r="AO895" s="380">
        <f t="shared" si="384"/>
        <v>3.9000000000000012</v>
      </c>
      <c r="AP895" s="380"/>
    </row>
    <row r="896" spans="1:42" ht="14.4" hidden="1" thickTop="1" thickBot="1">
      <c r="A896" s="191"/>
      <c r="B896" s="501" t="s">
        <v>2877</v>
      </c>
      <c r="C896" s="325" t="s">
        <v>2878</v>
      </c>
      <c r="D896" s="326" t="s">
        <v>1160</v>
      </c>
      <c r="E896" s="327">
        <f>IF(B896&lt;&gt;"",SUMIF('AUX-NIV1'!I:I,'AUX-NIV2'!B896,'AUX-NIV1'!Q:Q),"")</f>
        <v>0</v>
      </c>
      <c r="F896" s="327">
        <f t="shared" si="374"/>
        <v>7131.1848146570273</v>
      </c>
      <c r="G896" s="327">
        <f t="shared" si="375"/>
        <v>0</v>
      </c>
      <c r="H896" s="328" t="str">
        <f t="shared" si="395"/>
        <v>M</v>
      </c>
      <c r="I896" s="325" t="s">
        <v>1856</v>
      </c>
      <c r="J896" s="329" t="str">
        <f>IF(B896&lt;&gt;"",+VLOOKUP(I896,Recursos!C:F,2,FALSE),"")</f>
        <v>PLASTIFICANTE</v>
      </c>
      <c r="K896" s="330" t="str">
        <f>IF(B896&lt;&gt;"",+VLOOKUP(I896,Recursos!C:F,3,FALSE),"")</f>
        <v>Kg</v>
      </c>
      <c r="L896" s="327">
        <f>IF(B896&lt;&gt;"",+VLOOKUP(I896,Recursos!C:F,4,FALSE),"")</f>
        <v>108</v>
      </c>
      <c r="M896" s="447">
        <v>0.5</v>
      </c>
      <c r="N896" s="448"/>
      <c r="O896" s="449">
        <f>+M897*M899/100*(1-N905)</f>
        <v>0</v>
      </c>
      <c r="P896" s="333">
        <f t="shared" ref="P896:P959" si="398">IF(B896&lt;&gt;"",O896*L896,"")</f>
        <v>0</v>
      </c>
      <c r="Q896" s="327">
        <f t="shared" ref="Q896:Q959" si="399">IF(B896&lt;&gt;"",+O896*E896,"")</f>
        <v>0</v>
      </c>
      <c r="R896" s="334">
        <f t="shared" ref="R896:R959" si="400">IF(B896&lt;&gt;"",Q896*L896,"")</f>
        <v>0</v>
      </c>
      <c r="S896" s="335">
        <f t="shared" si="376"/>
        <v>846.77959152802896</v>
      </c>
      <c r="T896" s="335">
        <f t="shared" si="377"/>
        <v>119.71410300000001</v>
      </c>
      <c r="U896" s="336">
        <f t="shared" si="378"/>
        <v>6164.6911201289977</v>
      </c>
      <c r="V896" s="336">
        <f t="shared" si="379"/>
        <v>0</v>
      </c>
      <c r="W896" s="336">
        <f t="shared" si="380"/>
        <v>0</v>
      </c>
      <c r="X896" s="336">
        <f t="shared" si="381"/>
        <v>0</v>
      </c>
      <c r="Y896" s="320"/>
      <c r="Z896" s="321" t="str">
        <f t="shared" si="385"/>
        <v>X-HGOA</v>
      </c>
      <c r="AA896" s="321" t="str">
        <f t="shared" si="386"/>
        <v>X-HGOE</v>
      </c>
      <c r="AB896" s="321" t="str">
        <f t="shared" si="387"/>
        <v>X-HGOM</v>
      </c>
      <c r="AC896" s="321" t="str">
        <f t="shared" si="388"/>
        <v>X-HGOT</v>
      </c>
      <c r="AD896" s="321" t="str">
        <f t="shared" si="389"/>
        <v>X-HGOS</v>
      </c>
      <c r="AE896" s="321" t="str">
        <f t="shared" si="390"/>
        <v>X-HGOX</v>
      </c>
      <c r="AF896" s="321" t="str">
        <f t="shared" si="391"/>
        <v>X-HGOM</v>
      </c>
      <c r="AG896" s="321">
        <f t="shared" si="382"/>
        <v>30</v>
      </c>
      <c r="AH896" s="321">
        <f>IF(B896&lt;&gt;"",IF(H896="x",VLOOKUP(I896,'AUX-NIV3'!B:AG,32,FALSE),0),"")</f>
        <v>0</v>
      </c>
      <c r="AI896" s="321" t="str">
        <f t="shared" si="392"/>
        <v>X-HGO</v>
      </c>
      <c r="AJ896" s="320"/>
      <c r="AK896" s="322">
        <f t="shared" si="383"/>
        <v>896</v>
      </c>
      <c r="AL896" s="323">
        <f t="shared" si="393"/>
        <v>925</v>
      </c>
      <c r="AM896" s="322">
        <f t="shared" si="394"/>
        <v>1</v>
      </c>
      <c r="AN896" s="380">
        <f>IF(AND(AH896&gt;0,B896&lt;&gt;""),VLOOKUP(I896,'AUX-NIV3'!$B:$AO,39,FALSE)*O896,0)</f>
        <v>0</v>
      </c>
      <c r="AO896" s="380">
        <f t="shared" si="384"/>
        <v>1.7549999999999999</v>
      </c>
      <c r="AP896" s="380"/>
    </row>
    <row r="897" spans="1:42" ht="14.4" hidden="1" thickTop="1" thickBot="1">
      <c r="A897" s="191"/>
      <c r="B897" s="501" t="s">
        <v>2877</v>
      </c>
      <c r="C897" s="325" t="s">
        <v>2878</v>
      </c>
      <c r="D897" s="326" t="s">
        <v>1160</v>
      </c>
      <c r="E897" s="327">
        <f>IF(B897&lt;&gt;"",SUMIF('AUX-NIV1'!I:I,'AUX-NIV2'!B897,'AUX-NIV1'!Q:Q),"")</f>
        <v>0</v>
      </c>
      <c r="F897" s="327">
        <f t="shared" si="374"/>
        <v>7131.1848146570273</v>
      </c>
      <c r="G897" s="327">
        <f t="shared" si="375"/>
        <v>0</v>
      </c>
      <c r="H897" s="328" t="str">
        <f t="shared" si="395"/>
        <v>M</v>
      </c>
      <c r="I897" s="325" t="s">
        <v>1890</v>
      </c>
      <c r="J897" s="329" t="str">
        <f>IF(B897&lt;&gt;"",+VLOOKUP(I897,Recursos!C:F,2,FALSE),"")</f>
        <v>CEMENTO PORTLAND (granel,en obra)</v>
      </c>
      <c r="K897" s="330" t="str">
        <f>IF(B897&lt;&gt;"",+VLOOKUP(I897,Recursos!C:F,3,FALSE),"")</f>
        <v>Tn</v>
      </c>
      <c r="L897" s="327">
        <f>IF(B897&lt;&gt;"",+VLOOKUP(I897,Recursos!C:F,4,FALSE),"")</f>
        <v>5970</v>
      </c>
      <c r="M897" s="452">
        <v>280</v>
      </c>
      <c r="N897" s="453"/>
      <c r="O897" s="449">
        <f>+M897/1000*M900*(1-N905)</f>
        <v>0</v>
      </c>
      <c r="P897" s="333">
        <f t="shared" si="398"/>
        <v>0</v>
      </c>
      <c r="Q897" s="327">
        <f t="shared" si="399"/>
        <v>0</v>
      </c>
      <c r="R897" s="334">
        <f t="shared" si="400"/>
        <v>0</v>
      </c>
      <c r="S897" s="335">
        <f t="shared" si="376"/>
        <v>846.77959152802896</v>
      </c>
      <c r="T897" s="335">
        <f t="shared" si="377"/>
        <v>119.71410300000001</v>
      </c>
      <c r="U897" s="336">
        <f t="shared" si="378"/>
        <v>6164.6911201289977</v>
      </c>
      <c r="V897" s="336">
        <f t="shared" si="379"/>
        <v>0</v>
      </c>
      <c r="W897" s="336">
        <f t="shared" si="380"/>
        <v>0</v>
      </c>
      <c r="X897" s="336">
        <f t="shared" si="381"/>
        <v>0</v>
      </c>
      <c r="Y897" s="320"/>
      <c r="Z897" s="321" t="str">
        <f t="shared" si="385"/>
        <v>X-HGOA</v>
      </c>
      <c r="AA897" s="321" t="str">
        <f t="shared" si="386"/>
        <v>X-HGOE</v>
      </c>
      <c r="AB897" s="321" t="str">
        <f t="shared" si="387"/>
        <v>X-HGOM</v>
      </c>
      <c r="AC897" s="321" t="str">
        <f t="shared" si="388"/>
        <v>X-HGOT</v>
      </c>
      <c r="AD897" s="321" t="str">
        <f t="shared" si="389"/>
        <v>X-HGOS</v>
      </c>
      <c r="AE897" s="321" t="str">
        <f t="shared" si="390"/>
        <v>X-HGOX</v>
      </c>
      <c r="AF897" s="321" t="str">
        <f t="shared" si="391"/>
        <v>X-HGOM</v>
      </c>
      <c r="AG897" s="321">
        <f t="shared" si="382"/>
        <v>30</v>
      </c>
      <c r="AH897" s="321">
        <f>IF(B897&lt;&gt;"",IF(H897="x",VLOOKUP(I897,'AUX-NIV3'!B:AG,32,FALSE),0),"")</f>
        <v>0</v>
      </c>
      <c r="AI897" s="321" t="str">
        <f t="shared" si="392"/>
        <v>X-HGO</v>
      </c>
      <c r="AJ897" s="320"/>
      <c r="AK897" s="322">
        <f t="shared" si="383"/>
        <v>896</v>
      </c>
      <c r="AL897" s="323">
        <f t="shared" si="393"/>
        <v>925</v>
      </c>
      <c r="AM897" s="322">
        <f t="shared" si="394"/>
        <v>2</v>
      </c>
      <c r="AN897" s="380">
        <f>IF(AND(AH897&gt;0,B897&lt;&gt;""),VLOOKUP(I897,'AUX-NIV3'!$B:$AO,39,FALSE)*O897,0)</f>
        <v>0</v>
      </c>
      <c r="AO897" s="380">
        <f t="shared" si="384"/>
        <v>1.7549999999999999</v>
      </c>
      <c r="AP897" s="380"/>
    </row>
    <row r="898" spans="1:42" ht="14.4" hidden="1" thickTop="1" thickBot="1">
      <c r="A898" s="191"/>
      <c r="B898" s="501" t="s">
        <v>2877</v>
      </c>
      <c r="C898" s="325" t="s">
        <v>2878</v>
      </c>
      <c r="D898" s="326" t="s">
        <v>1160</v>
      </c>
      <c r="E898" s="327">
        <f>IF(B898&lt;&gt;"",SUMIF('AUX-NIV1'!I:I,'AUX-NIV2'!B898,'AUX-NIV1'!Q:Q),"")</f>
        <v>0</v>
      </c>
      <c r="F898" s="327">
        <f t="shared" si="374"/>
        <v>7131.1848146570273</v>
      </c>
      <c r="G898" s="327">
        <f t="shared" si="375"/>
        <v>0</v>
      </c>
      <c r="H898" s="328" t="str">
        <f t="shared" si="395"/>
        <v>M</v>
      </c>
      <c r="I898" s="324" t="s">
        <v>1510</v>
      </c>
      <c r="J898" s="329" t="str">
        <f>IF(B898&lt;&gt;"",+VLOOKUP(I898,Recursos!C:F,2,FALSE),"")</f>
        <v>AGREGADO GRUESO</v>
      </c>
      <c r="K898" s="330" t="str">
        <f>IF(B898&lt;&gt;"",+VLOOKUP(I898,Recursos!C:F,3,FALSE),"")</f>
        <v>Tn</v>
      </c>
      <c r="L898" s="327">
        <f>IF(B898&lt;&gt;"",+VLOOKUP(I898,Recursos!C:F,4,FALSE),"")</f>
        <v>900</v>
      </c>
      <c r="M898" s="452">
        <v>10</v>
      </c>
      <c r="N898" s="453">
        <v>0.6</v>
      </c>
      <c r="O898" s="449">
        <f>+N898*(M901-(M897*(1+M896)/1000))*M900*(1-N905)</f>
        <v>0</v>
      </c>
      <c r="P898" s="333">
        <f t="shared" si="398"/>
        <v>0</v>
      </c>
      <c r="Q898" s="327">
        <f t="shared" si="399"/>
        <v>0</v>
      </c>
      <c r="R898" s="334">
        <f t="shared" si="400"/>
        <v>0</v>
      </c>
      <c r="S898" s="335">
        <f t="shared" si="376"/>
        <v>846.77959152802896</v>
      </c>
      <c r="T898" s="335">
        <f t="shared" si="377"/>
        <v>119.71410300000001</v>
      </c>
      <c r="U898" s="336">
        <f t="shared" si="378"/>
        <v>6164.6911201289977</v>
      </c>
      <c r="V898" s="336">
        <f t="shared" si="379"/>
        <v>0</v>
      </c>
      <c r="W898" s="336">
        <f t="shared" si="380"/>
        <v>0</v>
      </c>
      <c r="X898" s="336">
        <f t="shared" si="381"/>
        <v>0</v>
      </c>
      <c r="Y898" s="320"/>
      <c r="Z898" s="321" t="str">
        <f t="shared" si="385"/>
        <v>X-HGOA</v>
      </c>
      <c r="AA898" s="321" t="str">
        <f t="shared" si="386"/>
        <v>X-HGOE</v>
      </c>
      <c r="AB898" s="321" t="str">
        <f t="shared" si="387"/>
        <v>X-HGOM</v>
      </c>
      <c r="AC898" s="321" t="str">
        <f t="shared" si="388"/>
        <v>X-HGOT</v>
      </c>
      <c r="AD898" s="321" t="str">
        <f t="shared" si="389"/>
        <v>X-HGOS</v>
      </c>
      <c r="AE898" s="321" t="str">
        <f t="shared" si="390"/>
        <v>X-HGOX</v>
      </c>
      <c r="AF898" s="321" t="str">
        <f t="shared" si="391"/>
        <v>X-HGOM</v>
      </c>
      <c r="AG898" s="321">
        <f t="shared" si="382"/>
        <v>30</v>
      </c>
      <c r="AH898" s="321">
        <f>IF(B898&lt;&gt;"",IF(H898="x",VLOOKUP(I898,'AUX-NIV3'!B:AG,32,FALSE),0),"")</f>
        <v>0</v>
      </c>
      <c r="AI898" s="321" t="str">
        <f t="shared" si="392"/>
        <v>X-HGO</v>
      </c>
      <c r="AJ898" s="320"/>
      <c r="AK898" s="322">
        <f t="shared" si="383"/>
        <v>896</v>
      </c>
      <c r="AL898" s="323">
        <f t="shared" si="393"/>
        <v>925</v>
      </c>
      <c r="AM898" s="322">
        <f t="shared" si="394"/>
        <v>3</v>
      </c>
      <c r="AN898" s="380">
        <f>IF(AND(AH898&gt;0,B898&lt;&gt;""),VLOOKUP(I898,'AUX-NIV3'!$B:$AO,39,FALSE)*O898,0)</f>
        <v>0</v>
      </c>
      <c r="AO898" s="380">
        <f t="shared" si="384"/>
        <v>1.7549999999999999</v>
      </c>
      <c r="AP898" s="380"/>
    </row>
    <row r="899" spans="1:42" ht="14.4" hidden="1" thickTop="1" thickBot="1">
      <c r="A899" s="191"/>
      <c r="B899" s="501" t="s">
        <v>2877</v>
      </c>
      <c r="C899" s="325" t="s">
        <v>2878</v>
      </c>
      <c r="D899" s="326" t="s">
        <v>1160</v>
      </c>
      <c r="E899" s="327">
        <f>IF(B899&lt;&gt;"",SUMIF('AUX-NIV1'!I:I,'AUX-NIV2'!B899,'AUX-NIV1'!Q:Q),"")</f>
        <v>0</v>
      </c>
      <c r="F899" s="327">
        <f t="shared" si="374"/>
        <v>7131.1848146570273</v>
      </c>
      <c r="G899" s="327">
        <f t="shared" si="375"/>
        <v>0</v>
      </c>
      <c r="H899" s="328" t="str">
        <f t="shared" si="395"/>
        <v>M</v>
      </c>
      <c r="I899" s="325" t="s">
        <v>1511</v>
      </c>
      <c r="J899" s="329" t="str">
        <f>IF(B899&lt;&gt;"",+VLOOKUP(I899,Recursos!C:F,2,FALSE),"")</f>
        <v>AGREGADO FINO</v>
      </c>
      <c r="K899" s="330" t="str">
        <f>IF(B899&lt;&gt;"",+VLOOKUP(I899,Recursos!C:F,3,FALSE),"")</f>
        <v>tn</v>
      </c>
      <c r="L899" s="327">
        <f>IF(B899&lt;&gt;"",+VLOOKUP(I899,Recursos!C:F,4,FALSE),"")</f>
        <v>346.12398419675657</v>
      </c>
      <c r="M899" s="452">
        <v>0.5</v>
      </c>
      <c r="N899" s="453">
        <v>0.2</v>
      </c>
      <c r="O899" s="449">
        <f>+N899*(M901-(M897*(1+M896)/1000))*M900*(1-N905)</f>
        <v>0</v>
      </c>
      <c r="P899" s="333">
        <f t="shared" si="398"/>
        <v>0</v>
      </c>
      <c r="Q899" s="327">
        <f t="shared" si="399"/>
        <v>0</v>
      </c>
      <c r="R899" s="334">
        <f t="shared" si="400"/>
        <v>0</v>
      </c>
      <c r="S899" s="335">
        <f t="shared" si="376"/>
        <v>846.77959152802896</v>
      </c>
      <c r="T899" s="335">
        <f t="shared" si="377"/>
        <v>119.71410300000001</v>
      </c>
      <c r="U899" s="336">
        <f t="shared" si="378"/>
        <v>6164.6911201289977</v>
      </c>
      <c r="V899" s="336">
        <f t="shared" si="379"/>
        <v>0</v>
      </c>
      <c r="W899" s="336">
        <f t="shared" si="380"/>
        <v>0</v>
      </c>
      <c r="X899" s="336">
        <f t="shared" si="381"/>
        <v>0</v>
      </c>
      <c r="Y899" s="320"/>
      <c r="Z899" s="321" t="str">
        <f t="shared" si="385"/>
        <v>X-HGOA</v>
      </c>
      <c r="AA899" s="321" t="str">
        <f t="shared" si="386"/>
        <v>X-HGOE</v>
      </c>
      <c r="AB899" s="321" t="str">
        <f t="shared" si="387"/>
        <v>X-HGOM</v>
      </c>
      <c r="AC899" s="321" t="str">
        <f t="shared" si="388"/>
        <v>X-HGOT</v>
      </c>
      <c r="AD899" s="321" t="str">
        <f t="shared" si="389"/>
        <v>X-HGOS</v>
      </c>
      <c r="AE899" s="321" t="str">
        <f t="shared" si="390"/>
        <v>X-HGOX</v>
      </c>
      <c r="AF899" s="321" t="str">
        <f t="shared" si="391"/>
        <v>X-HGOM</v>
      </c>
      <c r="AG899" s="321">
        <f t="shared" si="382"/>
        <v>30</v>
      </c>
      <c r="AH899" s="321">
        <f>IF(B899&lt;&gt;"",IF(H899="x",VLOOKUP(I899,'AUX-NIV3'!B:AG,32,FALSE),0),"")</f>
        <v>0</v>
      </c>
      <c r="AI899" s="321" t="str">
        <f t="shared" si="392"/>
        <v>X-HGO</v>
      </c>
      <c r="AJ899" s="320"/>
      <c r="AK899" s="322">
        <f t="shared" si="383"/>
        <v>896</v>
      </c>
      <c r="AL899" s="323">
        <f t="shared" si="393"/>
        <v>925</v>
      </c>
      <c r="AM899" s="322">
        <f t="shared" si="394"/>
        <v>4</v>
      </c>
      <c r="AN899" s="380">
        <f>IF(AND(AH899&gt;0,B899&lt;&gt;""),VLOOKUP(I899,'AUX-NIV3'!$B:$AO,39,FALSE)*O899,0)</f>
        <v>0</v>
      </c>
      <c r="AO899" s="380">
        <f t="shared" si="384"/>
        <v>1.7549999999999999</v>
      </c>
      <c r="AP899" s="380"/>
    </row>
    <row r="900" spans="1:42" ht="14.4" hidden="1" thickTop="1" thickBot="1">
      <c r="A900" s="191"/>
      <c r="B900" s="501" t="s">
        <v>2877</v>
      </c>
      <c r="C900" s="325" t="s">
        <v>2878</v>
      </c>
      <c r="D900" s="326" t="s">
        <v>1160</v>
      </c>
      <c r="E900" s="327">
        <f>IF(B900&lt;&gt;"",SUMIF('AUX-NIV1'!I:I,'AUX-NIV2'!B900,'AUX-NIV1'!Q:Q),"")</f>
        <v>0</v>
      </c>
      <c r="F900" s="327">
        <f t="shared" si="374"/>
        <v>7131.1848146570273</v>
      </c>
      <c r="G900" s="327">
        <f t="shared" si="375"/>
        <v>0</v>
      </c>
      <c r="H900" s="328" t="str">
        <f t="shared" si="395"/>
        <v>M</v>
      </c>
      <c r="I900" s="325" t="s">
        <v>1512</v>
      </c>
      <c r="J900" s="329" t="str">
        <f>IF(B900&lt;&gt;"",+VLOOKUP(I900,Recursos!C:F,2,FALSE),"")</f>
        <v>ARENA ZARANDEADA</v>
      </c>
      <c r="K900" s="330" t="str">
        <f>IF(B900&lt;&gt;"",+VLOOKUP(I900,Recursos!C:F,3,FALSE),"")</f>
        <v>Tn</v>
      </c>
      <c r="L900" s="327">
        <f>IF(B900&lt;&gt;"",+VLOOKUP(I900,Recursos!C:F,4,FALSE),"")</f>
        <v>900</v>
      </c>
      <c r="M900" s="452">
        <v>1.05</v>
      </c>
      <c r="N900" s="453">
        <v>0.2</v>
      </c>
      <c r="O900" s="449">
        <f>+N900*(M901-(M897*(1+M896)/1000))*M900*(1-N905)</f>
        <v>0</v>
      </c>
      <c r="P900" s="333">
        <f t="shared" si="398"/>
        <v>0</v>
      </c>
      <c r="Q900" s="327">
        <f t="shared" si="399"/>
        <v>0</v>
      </c>
      <c r="R900" s="334">
        <f t="shared" si="400"/>
        <v>0</v>
      </c>
      <c r="S900" s="335">
        <f t="shared" si="376"/>
        <v>846.77959152802896</v>
      </c>
      <c r="T900" s="335">
        <f t="shared" si="377"/>
        <v>119.71410300000001</v>
      </c>
      <c r="U900" s="336">
        <f t="shared" si="378"/>
        <v>6164.6911201289977</v>
      </c>
      <c r="V900" s="336">
        <f t="shared" si="379"/>
        <v>0</v>
      </c>
      <c r="W900" s="336">
        <f t="shared" si="380"/>
        <v>0</v>
      </c>
      <c r="X900" s="336">
        <f t="shared" si="381"/>
        <v>0</v>
      </c>
      <c r="Y900" s="320"/>
      <c r="Z900" s="321" t="str">
        <f t="shared" si="385"/>
        <v>X-HGOA</v>
      </c>
      <c r="AA900" s="321" t="str">
        <f t="shared" si="386"/>
        <v>X-HGOE</v>
      </c>
      <c r="AB900" s="321" t="str">
        <f t="shared" si="387"/>
        <v>X-HGOM</v>
      </c>
      <c r="AC900" s="321" t="str">
        <f t="shared" si="388"/>
        <v>X-HGOT</v>
      </c>
      <c r="AD900" s="321" t="str">
        <f t="shared" si="389"/>
        <v>X-HGOS</v>
      </c>
      <c r="AE900" s="321" t="str">
        <f t="shared" si="390"/>
        <v>X-HGOX</v>
      </c>
      <c r="AF900" s="321" t="str">
        <f t="shared" si="391"/>
        <v>X-HGOM</v>
      </c>
      <c r="AG900" s="321">
        <f t="shared" si="382"/>
        <v>30</v>
      </c>
      <c r="AH900" s="321">
        <f>IF(B900&lt;&gt;"",IF(H900="x",VLOOKUP(I900,'AUX-NIV3'!B:AG,32,FALSE),0),"")</f>
        <v>0</v>
      </c>
      <c r="AI900" s="321" t="str">
        <f t="shared" si="392"/>
        <v>X-HGO</v>
      </c>
      <c r="AJ900" s="320"/>
      <c r="AK900" s="322">
        <f t="shared" si="383"/>
        <v>896</v>
      </c>
      <c r="AL900" s="323">
        <f t="shared" si="393"/>
        <v>925</v>
      </c>
      <c r="AM900" s="322">
        <f t="shared" si="394"/>
        <v>5</v>
      </c>
      <c r="AN900" s="380">
        <f>IF(AND(AH900&gt;0,B900&lt;&gt;""),VLOOKUP(I900,'AUX-NIV3'!$B:$AO,39,FALSE)*O900,0)</f>
        <v>0</v>
      </c>
      <c r="AO900" s="380">
        <f t="shared" si="384"/>
        <v>1.7549999999999999</v>
      </c>
      <c r="AP900" s="380"/>
    </row>
    <row r="901" spans="1:42" ht="14.4" hidden="1" thickTop="1" thickBot="1">
      <c r="A901" s="191"/>
      <c r="B901" s="501" t="s">
        <v>2877</v>
      </c>
      <c r="C901" s="325" t="s">
        <v>2878</v>
      </c>
      <c r="D901" s="326" t="s">
        <v>1160</v>
      </c>
      <c r="E901" s="327">
        <f>IF(B901&lt;&gt;"",SUMIF('AUX-NIV1'!I:I,'AUX-NIV2'!B901,'AUX-NIV1'!Q:Q),"")</f>
        <v>0</v>
      </c>
      <c r="F901" s="327">
        <f t="shared" si="374"/>
        <v>7131.1848146570273</v>
      </c>
      <c r="G901" s="327">
        <f t="shared" si="375"/>
        <v>0</v>
      </c>
      <c r="H901" s="328" t="str">
        <f t="shared" si="395"/>
        <v>X</v>
      </c>
      <c r="I901" s="325" t="s">
        <v>1499</v>
      </c>
      <c r="J901" s="329" t="str">
        <f>IF(B901&lt;&gt;"",+VLOOKUP(I901,Recursos!C:F,2,FALSE),"")</f>
        <v>Agua para hormigones</v>
      </c>
      <c r="K901" s="330" t="str">
        <f>IF(B901&lt;&gt;"",+VLOOKUP(I901,Recursos!C:F,3,FALSE),"")</f>
        <v>m3</v>
      </c>
      <c r="L901" s="327">
        <f>IF(B901&lt;&gt;"",+VLOOKUP(I901,Recursos!C:F,4,FALSE),"")</f>
        <v>400.95923429909482</v>
      </c>
      <c r="M901" s="452">
        <v>2.4</v>
      </c>
      <c r="N901" s="453"/>
      <c r="O901" s="449">
        <f>+M896*M897/1000*M900*(1-N905)</f>
        <v>0</v>
      </c>
      <c r="P901" s="333">
        <f t="shared" si="398"/>
        <v>0</v>
      </c>
      <c r="Q901" s="327">
        <f t="shared" si="399"/>
        <v>0</v>
      </c>
      <c r="R901" s="334">
        <f t="shared" si="400"/>
        <v>0</v>
      </c>
      <c r="S901" s="335">
        <f t="shared" si="376"/>
        <v>846.77959152802896</v>
      </c>
      <c r="T901" s="335">
        <f t="shared" si="377"/>
        <v>119.71410300000001</v>
      </c>
      <c r="U901" s="336">
        <f t="shared" si="378"/>
        <v>6164.6911201289977</v>
      </c>
      <c r="V901" s="336">
        <f t="shared" si="379"/>
        <v>0</v>
      </c>
      <c r="W901" s="336">
        <f t="shared" si="380"/>
        <v>0</v>
      </c>
      <c r="X901" s="336">
        <f t="shared" si="381"/>
        <v>0</v>
      </c>
      <c r="Y901" s="320"/>
      <c r="Z901" s="321" t="str">
        <f t="shared" si="385"/>
        <v>X-HGOA</v>
      </c>
      <c r="AA901" s="321" t="str">
        <f t="shared" si="386"/>
        <v>X-HGOE</v>
      </c>
      <c r="AB901" s="321" t="str">
        <f t="shared" si="387"/>
        <v>X-HGOM</v>
      </c>
      <c r="AC901" s="321" t="str">
        <f t="shared" si="388"/>
        <v>X-HGOT</v>
      </c>
      <c r="AD901" s="321" t="str">
        <f t="shared" si="389"/>
        <v>X-HGOS</v>
      </c>
      <c r="AE901" s="321" t="str">
        <f t="shared" si="390"/>
        <v>X-HGOX</v>
      </c>
      <c r="AF901" s="321" t="str">
        <f t="shared" si="391"/>
        <v>X-HGOX</v>
      </c>
      <c r="AG901" s="321">
        <f t="shared" si="382"/>
        <v>30</v>
      </c>
      <c r="AH901" s="321">
        <f>IF(B901&lt;&gt;"",IF(H901="x",VLOOKUP(I901,'AUX-NIV3'!B:AG,32,FALSE),0),"")</f>
        <v>4</v>
      </c>
      <c r="AI901" s="321" t="str">
        <f t="shared" si="392"/>
        <v>X-HGO</v>
      </c>
      <c r="AJ901" s="320"/>
      <c r="AK901" s="322">
        <f t="shared" si="383"/>
        <v>896</v>
      </c>
      <c r="AL901" s="323">
        <f t="shared" si="393"/>
        <v>925</v>
      </c>
      <c r="AM901" s="322">
        <f t="shared" si="394"/>
        <v>6</v>
      </c>
      <c r="AN901" s="380">
        <f>IF(AND(AH901&gt;0,B901&lt;&gt;""),VLOOKUP(I901,'AUX-NIV3'!$B:$AO,39,FALSE)*O901,0)</f>
        <v>0</v>
      </c>
      <c r="AO901" s="380">
        <f t="shared" si="384"/>
        <v>1.7549999999999999</v>
      </c>
      <c r="AP901" s="380"/>
    </row>
    <row r="902" spans="1:42" ht="14.4" hidden="1" thickTop="1" thickBot="1">
      <c r="A902" s="191"/>
      <c r="B902" s="501" t="s">
        <v>2877</v>
      </c>
      <c r="C902" s="325" t="s">
        <v>2878</v>
      </c>
      <c r="D902" s="326" t="s">
        <v>1160</v>
      </c>
      <c r="E902" s="327">
        <f>IF(B902&lt;&gt;"",SUMIF('AUX-NIV1'!I:I,'AUX-NIV2'!B902,'AUX-NIV1'!Q:Q),"")</f>
        <v>0</v>
      </c>
      <c r="F902" s="327">
        <f t="shared" si="374"/>
        <v>7131.1848146570273</v>
      </c>
      <c r="G902" s="327">
        <f t="shared" si="375"/>
        <v>0</v>
      </c>
      <c r="H902" s="328" t="str">
        <f t="shared" si="395"/>
        <v>X</v>
      </c>
      <c r="I902" s="324" t="s">
        <v>1502</v>
      </c>
      <c r="J902" s="329" t="str">
        <f>IF(B902&lt;&gt;"",+VLOOKUP(I902,Recursos!C:F,2,FALSE),"")</f>
        <v>Producción de Hormigón en Planta</v>
      </c>
      <c r="K902" s="330" t="str">
        <f>IF(B902&lt;&gt;"",+VLOOKUP(I902,Recursos!C:F,3,FALSE),"")</f>
        <v>m3</v>
      </c>
      <c r="L902" s="327">
        <f>IF(B902&lt;&gt;"",+VLOOKUP(I902,Recursos!C:F,4,FALSE),"")</f>
        <v>972.7181822808268</v>
      </c>
      <c r="M902" s="1031"/>
      <c r="N902" s="1032"/>
      <c r="O902" s="449">
        <f>+M900*(1-N905)</f>
        <v>0</v>
      </c>
      <c r="P902" s="333">
        <f t="shared" si="398"/>
        <v>0</v>
      </c>
      <c r="Q902" s="327">
        <f t="shared" si="399"/>
        <v>0</v>
      </c>
      <c r="R902" s="334">
        <f t="shared" si="400"/>
        <v>0</v>
      </c>
      <c r="S902" s="335">
        <f t="shared" si="376"/>
        <v>846.77959152802896</v>
      </c>
      <c r="T902" s="335">
        <f t="shared" si="377"/>
        <v>119.71410300000001</v>
      </c>
      <c r="U902" s="336">
        <f t="shared" si="378"/>
        <v>6164.6911201289977</v>
      </c>
      <c r="V902" s="336">
        <f t="shared" si="379"/>
        <v>0</v>
      </c>
      <c r="W902" s="336">
        <f t="shared" si="380"/>
        <v>0</v>
      </c>
      <c r="X902" s="336">
        <f t="shared" si="381"/>
        <v>0</v>
      </c>
      <c r="Y902" s="320"/>
      <c r="Z902" s="321" t="str">
        <f t="shared" si="385"/>
        <v>X-HGOA</v>
      </c>
      <c r="AA902" s="321" t="str">
        <f t="shared" si="386"/>
        <v>X-HGOE</v>
      </c>
      <c r="AB902" s="321" t="str">
        <f t="shared" si="387"/>
        <v>X-HGOM</v>
      </c>
      <c r="AC902" s="321" t="str">
        <f t="shared" si="388"/>
        <v>X-HGOT</v>
      </c>
      <c r="AD902" s="321" t="str">
        <f t="shared" si="389"/>
        <v>X-HGOS</v>
      </c>
      <c r="AE902" s="321" t="str">
        <f t="shared" si="390"/>
        <v>X-HGOX</v>
      </c>
      <c r="AF902" s="321" t="str">
        <f t="shared" si="391"/>
        <v>X-HGOX</v>
      </c>
      <c r="AG902" s="321">
        <f t="shared" si="382"/>
        <v>30</v>
      </c>
      <c r="AH902" s="321">
        <f>IF(B902&lt;&gt;"",IF(H902="x",VLOOKUP(I902,'AUX-NIV3'!B:AG,32,FALSE),0),"")</f>
        <v>8</v>
      </c>
      <c r="AI902" s="321" t="str">
        <f t="shared" si="392"/>
        <v>X-HGO</v>
      </c>
      <c r="AJ902" s="320"/>
      <c r="AK902" s="322">
        <f t="shared" si="383"/>
        <v>896</v>
      </c>
      <c r="AL902" s="323">
        <f t="shared" si="393"/>
        <v>925</v>
      </c>
      <c r="AM902" s="322">
        <f t="shared" si="394"/>
        <v>7</v>
      </c>
      <c r="AN902" s="380">
        <f>IF(AND(AH902&gt;0,B902&lt;&gt;""),VLOOKUP(I902,'AUX-NIV3'!$B:$AO,39,FALSE)*O902,0)</f>
        <v>0</v>
      </c>
      <c r="AO902" s="380">
        <f t="shared" si="384"/>
        <v>1.7549999999999999</v>
      </c>
      <c r="AP902" s="380"/>
    </row>
    <row r="903" spans="1:42" ht="14.4" hidden="1" thickTop="1" thickBot="1">
      <c r="A903" s="191"/>
      <c r="B903" s="501" t="s">
        <v>2877</v>
      </c>
      <c r="C903" s="325" t="s">
        <v>2878</v>
      </c>
      <c r="D903" s="326" t="s">
        <v>1160</v>
      </c>
      <c r="E903" s="327">
        <f>IF(B903&lt;&gt;"",SUMIF('AUX-NIV1'!I:I,'AUX-NIV2'!B903,'AUX-NIV1'!Q:Q),"")</f>
        <v>0</v>
      </c>
      <c r="F903" s="327">
        <f t="shared" ref="F903:F966" si="401">IF(B903&lt;&gt;"",+SUMIF(B:B,B903,P:P),"")</f>
        <v>7131.1848146570273</v>
      </c>
      <c r="G903" s="327">
        <f t="shared" ref="G903:G966" si="402">IF(B903&lt;&gt;"",+SUMIF(B:B,B903,R:R),"")</f>
        <v>0</v>
      </c>
      <c r="H903" s="328" t="str">
        <f t="shared" si="395"/>
        <v>A</v>
      </c>
      <c r="I903" s="325" t="s">
        <v>1746</v>
      </c>
      <c r="J903" s="329" t="str">
        <f>IF(B903&lt;&gt;"",+VLOOKUP(I903,Recursos!C:F,2,FALSE),"")</f>
        <v>OFICIAL</v>
      </c>
      <c r="K903" s="330" t="str">
        <f>IF(B903&lt;&gt;"",+VLOOKUP(I903,Recursos!C:F,3,FALSE),"")</f>
        <v>hh</v>
      </c>
      <c r="L903" s="327">
        <f>IF(B903&lt;&gt;"",+VLOOKUP(I903,Recursos!C:F,4,FALSE),"")</f>
        <v>496.91595439275824</v>
      </c>
      <c r="M903" s="1033">
        <v>10</v>
      </c>
      <c r="N903" s="1034">
        <v>1.3</v>
      </c>
      <c r="O903" s="449">
        <f>+(0.0833333333333333/M903+1/M904+1/N904+0.133333333333333/M903)/6*N903*(1-N905)</f>
        <v>0</v>
      </c>
      <c r="P903" s="333">
        <f t="shared" si="398"/>
        <v>0</v>
      </c>
      <c r="Q903" s="327">
        <f t="shared" si="399"/>
        <v>0</v>
      </c>
      <c r="R903" s="334">
        <f t="shared" si="400"/>
        <v>0</v>
      </c>
      <c r="S903" s="335">
        <f t="shared" ref="S903:S966" si="403">IF(B903&lt;&gt;"",+SUMIF($AF:$AF,Z903,$P:$P),"")</f>
        <v>846.77959152802896</v>
      </c>
      <c r="T903" s="335">
        <f t="shared" ref="T903:T966" si="404">IF(B903&lt;&gt;"",+SUMIF($AF:$AF,AA903,$P:$P),"")</f>
        <v>119.71410300000001</v>
      </c>
      <c r="U903" s="336">
        <f t="shared" ref="U903:U966" si="405">IF(B903&lt;&gt;"",+SUMIF($AF:$AF,AB903,$P:$P),"")</f>
        <v>6164.6911201289977</v>
      </c>
      <c r="V903" s="336">
        <f t="shared" ref="V903:V966" si="406">IF(B903&lt;&gt;"",+SUMIF($AF:$AF,AC903,$P:$P),"")</f>
        <v>0</v>
      </c>
      <c r="W903" s="336">
        <f t="shared" ref="W903:W966" si="407">IF(B903&lt;&gt;"",+SUMIF($AF:$AF,AD903,$P:$P),"")</f>
        <v>0</v>
      </c>
      <c r="X903" s="336">
        <f t="shared" ref="X903:X966" si="408">IF(B903&lt;&gt;"",+SUMIF($AF:$AF,AE903,$P:$P),"")</f>
        <v>0</v>
      </c>
      <c r="Y903" s="320"/>
      <c r="Z903" s="321" t="str">
        <f t="shared" si="385"/>
        <v>X-HGOA</v>
      </c>
      <c r="AA903" s="321" t="str">
        <f t="shared" si="386"/>
        <v>X-HGOE</v>
      </c>
      <c r="AB903" s="321" t="str">
        <f t="shared" si="387"/>
        <v>X-HGOM</v>
      </c>
      <c r="AC903" s="321" t="str">
        <f t="shared" si="388"/>
        <v>X-HGOT</v>
      </c>
      <c r="AD903" s="321" t="str">
        <f t="shared" si="389"/>
        <v>X-HGOS</v>
      </c>
      <c r="AE903" s="321" t="str">
        <f t="shared" si="390"/>
        <v>X-HGOX</v>
      </c>
      <c r="AF903" s="321" t="str">
        <f t="shared" si="391"/>
        <v>X-HGOA</v>
      </c>
      <c r="AG903" s="321">
        <f t="shared" ref="AG903:AG966" si="409">IF(B903&lt;&gt;"",+COUNTIF(B:B,B903),"")</f>
        <v>30</v>
      </c>
      <c r="AH903" s="321">
        <f>IF(B903&lt;&gt;"",IF(H903="x",VLOOKUP(I903,'AUX-NIV3'!B:AG,32,FALSE),0),"")</f>
        <v>0</v>
      </c>
      <c r="AI903" s="321" t="str">
        <f t="shared" si="392"/>
        <v>X-HGO</v>
      </c>
      <c r="AJ903" s="320"/>
      <c r="AK903" s="322">
        <f t="shared" ref="AK903:AK966" si="410">IF(B903&lt;&gt;"",+MATCH(B903,B:B,0),"")</f>
        <v>896</v>
      </c>
      <c r="AL903" s="323">
        <f t="shared" si="393"/>
        <v>925</v>
      </c>
      <c r="AM903" s="322">
        <f t="shared" si="394"/>
        <v>8</v>
      </c>
      <c r="AN903" s="380">
        <f>IF(AND(AH903&gt;0,B903&lt;&gt;""),VLOOKUP(I903,'AUX-NIV3'!$B:$AO,39,FALSE)*O903,0)</f>
        <v>0</v>
      </c>
      <c r="AO903" s="380">
        <f t="shared" ref="AO903:AO966" si="411">+IF(B903&lt;&gt;"",SUMIF(AF:AF,Z903,O:O)+SUMIF(Z:Z,Z903,AN:AN),0)</f>
        <v>1.7549999999999999</v>
      </c>
      <c r="AP903" s="380"/>
    </row>
    <row r="904" spans="1:42" ht="14.4" hidden="1" thickTop="1" thickBot="1">
      <c r="A904" s="191"/>
      <c r="B904" s="501" t="s">
        <v>2877</v>
      </c>
      <c r="C904" s="325" t="s">
        <v>2878</v>
      </c>
      <c r="D904" s="326" t="s">
        <v>1160</v>
      </c>
      <c r="E904" s="327">
        <f>IF(B904&lt;&gt;"",SUMIF('AUX-NIV1'!I:I,'AUX-NIV2'!B904,'AUX-NIV1'!Q:Q),"")</f>
        <v>0</v>
      </c>
      <c r="F904" s="327">
        <f t="shared" si="401"/>
        <v>7131.1848146570273</v>
      </c>
      <c r="G904" s="327">
        <f t="shared" si="402"/>
        <v>0</v>
      </c>
      <c r="H904" s="328" t="str">
        <f t="shared" si="395"/>
        <v>E</v>
      </c>
      <c r="I904" s="325" t="s">
        <v>1615</v>
      </c>
      <c r="J904" s="329" t="str">
        <f>IF(B904&lt;&gt;"",+VLOOKUP(I904,Recursos!C:F,2,FALSE),"")</f>
        <v>CAMION MOTOHORMIGONERO CAP. 7 M3</v>
      </c>
      <c r="K904" s="330" t="str">
        <f>IF(B904&lt;&gt;"",+VLOOKUP(I904,Recursos!C:F,3,FALSE),"")</f>
        <v>HR</v>
      </c>
      <c r="L904" s="327">
        <f>IF(B904&lt;&gt;"",+VLOOKUP(I904,Recursos!C:F,4,FALSE),"")</f>
        <v>2415.7289999999998</v>
      </c>
      <c r="M904" s="1031">
        <v>30</v>
      </c>
      <c r="N904" s="1032">
        <v>45</v>
      </c>
      <c r="O904" s="449">
        <f>+(0.0833333333333333/M903+1/M904+1/N904+0.133333333333333/M903)/6*(1-N905)</f>
        <v>0</v>
      </c>
      <c r="P904" s="333">
        <f t="shared" si="398"/>
        <v>0</v>
      </c>
      <c r="Q904" s="327">
        <f t="shared" si="399"/>
        <v>0</v>
      </c>
      <c r="R904" s="334">
        <f t="shared" si="400"/>
        <v>0</v>
      </c>
      <c r="S904" s="335">
        <f t="shared" si="403"/>
        <v>846.77959152802896</v>
      </c>
      <c r="T904" s="335">
        <f t="shared" si="404"/>
        <v>119.71410300000001</v>
      </c>
      <c r="U904" s="336">
        <f t="shared" si="405"/>
        <v>6164.6911201289977</v>
      </c>
      <c r="V904" s="336">
        <f t="shared" si="406"/>
        <v>0</v>
      </c>
      <c r="W904" s="336">
        <f t="shared" si="407"/>
        <v>0</v>
      </c>
      <c r="X904" s="336">
        <f t="shared" si="408"/>
        <v>0</v>
      </c>
      <c r="Y904" s="320"/>
      <c r="Z904" s="321" t="str">
        <f t="shared" ref="Z904:Z967" si="412">IF(B904&lt;&gt;"",+$B904&amp;"A","")</f>
        <v>X-HGOA</v>
      </c>
      <c r="AA904" s="321" t="str">
        <f t="shared" ref="AA904:AA967" si="413">IF(B904&lt;&gt;"",+$B904&amp;"E","")</f>
        <v>X-HGOE</v>
      </c>
      <c r="AB904" s="321" t="str">
        <f t="shared" ref="AB904:AB967" si="414">IF(B904&lt;&gt;"",++$B904&amp;"M","")</f>
        <v>X-HGOM</v>
      </c>
      <c r="AC904" s="321" t="str">
        <f t="shared" ref="AC904:AC967" si="415">IF(B904&lt;&gt;"",+$B904&amp;"T","")</f>
        <v>X-HGOT</v>
      </c>
      <c r="AD904" s="321" t="str">
        <f t="shared" ref="AD904:AD967" si="416">IF(B904&lt;&gt;"",+$B904&amp;"S","")</f>
        <v>X-HGOS</v>
      </c>
      <c r="AE904" s="321" t="str">
        <f t="shared" ref="AE904:AE967" si="417">IF(B904&lt;&gt;"",+$B904&amp;"X","")</f>
        <v>X-HGOX</v>
      </c>
      <c r="AF904" s="321" t="str">
        <f t="shared" ref="AF904:AF967" si="418">IF(B904&lt;&gt;"",+B904&amp;H904,"")</f>
        <v>X-HGOE</v>
      </c>
      <c r="AG904" s="321">
        <f t="shared" si="409"/>
        <v>30</v>
      </c>
      <c r="AH904" s="321">
        <f>IF(B904&lt;&gt;"",IF(H904="x",VLOOKUP(I904,'AUX-NIV3'!B:AG,32,FALSE),0),"")</f>
        <v>0</v>
      </c>
      <c r="AI904" s="321" t="str">
        <f t="shared" ref="AI904:AI967" si="419">IF(B904&lt;&gt;"",+B904,"")</f>
        <v>X-HGO</v>
      </c>
      <c r="AJ904" s="320"/>
      <c r="AK904" s="322">
        <f t="shared" si="410"/>
        <v>896</v>
      </c>
      <c r="AL904" s="323">
        <f t="shared" ref="AL904:AL967" si="420">IF(B904&lt;&gt;"",+AK904+AG904-1,"")</f>
        <v>925</v>
      </c>
      <c r="AM904" s="322">
        <f t="shared" ref="AM904:AM967" si="421">IF(B904&lt;&gt;"",IF(B904=B903,1+AM903,1),"")</f>
        <v>9</v>
      </c>
      <c r="AN904" s="380">
        <f>IF(AND(AH904&gt;0,B904&lt;&gt;""),VLOOKUP(I904,'AUX-NIV3'!$B:$AO,39,FALSE)*O904,0)</f>
        <v>0</v>
      </c>
      <c r="AO904" s="380">
        <f t="shared" si="411"/>
        <v>1.7549999999999999</v>
      </c>
      <c r="AP904" s="380"/>
    </row>
    <row r="905" spans="1:42" ht="14.4" hidden="1" thickTop="1" thickBot="1">
      <c r="A905" s="191"/>
      <c r="B905" s="501" t="s">
        <v>2877</v>
      </c>
      <c r="C905" s="325" t="s">
        <v>2878</v>
      </c>
      <c r="D905" s="326" t="s">
        <v>1160</v>
      </c>
      <c r="E905" s="327">
        <f>IF(B905&lt;&gt;"",SUMIF('AUX-NIV1'!I:I,'AUX-NIV2'!B905,'AUX-NIV1'!Q:Q),"")</f>
        <v>0</v>
      </c>
      <c r="F905" s="327">
        <f t="shared" si="401"/>
        <v>7131.1848146570273</v>
      </c>
      <c r="G905" s="327">
        <f t="shared" si="402"/>
        <v>0</v>
      </c>
      <c r="H905" s="328" t="str">
        <f>IF(B905&lt;&gt;"",+LEFT(I905,1),"")</f>
        <v>M</v>
      </c>
      <c r="I905" s="325" t="s">
        <v>3213</v>
      </c>
      <c r="J905" s="329" t="str">
        <f>IF(B905&lt;&gt;"",+VLOOKUP(I905,Recursos!C:F,2,FALSE),"")</f>
        <v>HORMIGON ELABORADO H25 TRANSPORTADO</v>
      </c>
      <c r="K905" s="330" t="str">
        <f>IF(B905&lt;&gt;"",+VLOOKUP(I905,Recursos!C:F,3,FALSE),"")</f>
        <v>m3</v>
      </c>
      <c r="L905" s="327">
        <f>IF(B905&lt;&gt;"",+VLOOKUP(I905,Recursos!C:F,4,FALSE),"")</f>
        <v>6117.95</v>
      </c>
      <c r="M905" s="1038"/>
      <c r="N905" s="1039">
        <v>1</v>
      </c>
      <c r="O905" s="449">
        <f>N905</f>
        <v>1</v>
      </c>
      <c r="P905" s="333">
        <f>IF(B905&lt;&gt;"",O905*L905,"")</f>
        <v>6117.95</v>
      </c>
      <c r="Q905" s="327">
        <f>IF(B905&lt;&gt;"",+O905*E905,"")</f>
        <v>0</v>
      </c>
      <c r="R905" s="334">
        <f>IF(B905&lt;&gt;"",Q905*L905,"")</f>
        <v>0</v>
      </c>
      <c r="S905" s="335">
        <f t="shared" si="403"/>
        <v>846.77959152802896</v>
      </c>
      <c r="T905" s="335">
        <f t="shared" si="404"/>
        <v>119.71410300000001</v>
      </c>
      <c r="U905" s="336">
        <f t="shared" si="405"/>
        <v>6164.6911201289977</v>
      </c>
      <c r="V905" s="336">
        <f t="shared" si="406"/>
        <v>0</v>
      </c>
      <c r="W905" s="336">
        <f t="shared" si="407"/>
        <v>0</v>
      </c>
      <c r="X905" s="336">
        <f t="shared" si="408"/>
        <v>0</v>
      </c>
      <c r="Y905" s="320"/>
      <c r="Z905" s="321" t="str">
        <f t="shared" si="412"/>
        <v>X-HGOA</v>
      </c>
      <c r="AA905" s="321" t="str">
        <f t="shared" si="413"/>
        <v>X-HGOE</v>
      </c>
      <c r="AB905" s="321" t="str">
        <f t="shared" si="414"/>
        <v>X-HGOM</v>
      </c>
      <c r="AC905" s="321" t="str">
        <f t="shared" si="415"/>
        <v>X-HGOT</v>
      </c>
      <c r="AD905" s="321" t="str">
        <f t="shared" si="416"/>
        <v>X-HGOS</v>
      </c>
      <c r="AE905" s="321" t="str">
        <f t="shared" si="417"/>
        <v>X-HGOX</v>
      </c>
      <c r="AF905" s="321" t="str">
        <f t="shared" si="418"/>
        <v>X-HGOM</v>
      </c>
      <c r="AG905" s="321">
        <f t="shared" si="409"/>
        <v>30</v>
      </c>
      <c r="AH905" s="321">
        <f>IF(B905&lt;&gt;"",IF(H905="x",VLOOKUP(I905,'AUX-NIV3'!B:AG,32,FALSE),0),"")</f>
        <v>0</v>
      </c>
      <c r="AI905" s="321" t="str">
        <f t="shared" si="419"/>
        <v>X-HGO</v>
      </c>
      <c r="AJ905" s="320"/>
      <c r="AK905" s="322">
        <f t="shared" si="410"/>
        <v>896</v>
      </c>
      <c r="AL905" s="323">
        <f t="shared" si="420"/>
        <v>925</v>
      </c>
      <c r="AM905" s="322">
        <f t="shared" si="421"/>
        <v>10</v>
      </c>
      <c r="AN905" s="380">
        <f>IF(AND(AH905&gt;0,B905&lt;&gt;""),VLOOKUP(I905,'AUX-NIV3'!$B:$AO,39,FALSE)*O905,0)</f>
        <v>0</v>
      </c>
      <c r="AO905" s="380">
        <f t="shared" si="411"/>
        <v>1.7549999999999999</v>
      </c>
      <c r="AP905" s="380"/>
    </row>
    <row r="906" spans="1:42" ht="14.4" hidden="1" thickTop="1" thickBot="1">
      <c r="A906" s="191"/>
      <c r="B906" s="501" t="s">
        <v>2877</v>
      </c>
      <c r="C906" s="325" t="s">
        <v>2878</v>
      </c>
      <c r="D906" s="326" t="s">
        <v>1160</v>
      </c>
      <c r="E906" s="327">
        <f>IF(B906&lt;&gt;"",SUMIF('AUX-NIV1'!I:I,'AUX-NIV2'!B906,'AUX-NIV1'!Q:Q),"")</f>
        <v>0</v>
      </c>
      <c r="F906" s="327">
        <f t="shared" si="401"/>
        <v>7131.1848146570273</v>
      </c>
      <c r="G906" s="327">
        <f t="shared" si="402"/>
        <v>0</v>
      </c>
      <c r="H906" s="328" t="str">
        <f t="shared" si="395"/>
        <v>A</v>
      </c>
      <c r="I906" s="325" t="s">
        <v>1745</v>
      </c>
      <c r="J906" s="329" t="str">
        <f>IF(B906&lt;&gt;"",+VLOOKUP(I906,Recursos!C:F,2,FALSE),"")</f>
        <v>AYUDANTE</v>
      </c>
      <c r="K906" s="330" t="str">
        <f>IF(B906&lt;&gt;"",+VLOOKUP(I906,Recursos!C:F,3,FALSE),"")</f>
        <v>hh</v>
      </c>
      <c r="L906" s="327">
        <f>IF(B906&lt;&gt;"",+VLOOKUP(I906,Recursos!C:F,4,FALSE),"")</f>
        <v>422.48042769667234</v>
      </c>
      <c r="M906" s="1035"/>
      <c r="N906" s="1034">
        <v>2</v>
      </c>
      <c r="O906" s="449">
        <f>+N906/M912*N910</f>
        <v>0.30000000000000004</v>
      </c>
      <c r="P906" s="333">
        <f t="shared" si="398"/>
        <v>126.74412830900172</v>
      </c>
      <c r="Q906" s="327">
        <f t="shared" si="399"/>
        <v>0</v>
      </c>
      <c r="R906" s="334">
        <f t="shared" si="400"/>
        <v>0</v>
      </c>
      <c r="S906" s="335">
        <f t="shared" si="403"/>
        <v>846.77959152802896</v>
      </c>
      <c r="T906" s="335">
        <f t="shared" si="404"/>
        <v>119.71410300000001</v>
      </c>
      <c r="U906" s="336">
        <f t="shared" si="405"/>
        <v>6164.6911201289977</v>
      </c>
      <c r="V906" s="336">
        <f t="shared" si="406"/>
        <v>0</v>
      </c>
      <c r="W906" s="336">
        <f t="shared" si="407"/>
        <v>0</v>
      </c>
      <c r="X906" s="336">
        <f t="shared" si="408"/>
        <v>0</v>
      </c>
      <c r="Y906" s="320"/>
      <c r="Z906" s="321" t="str">
        <f t="shared" si="412"/>
        <v>X-HGOA</v>
      </c>
      <c r="AA906" s="321" t="str">
        <f t="shared" si="413"/>
        <v>X-HGOE</v>
      </c>
      <c r="AB906" s="321" t="str">
        <f t="shared" si="414"/>
        <v>X-HGOM</v>
      </c>
      <c r="AC906" s="321" t="str">
        <f t="shared" si="415"/>
        <v>X-HGOT</v>
      </c>
      <c r="AD906" s="321" t="str">
        <f t="shared" si="416"/>
        <v>X-HGOS</v>
      </c>
      <c r="AE906" s="321" t="str">
        <f t="shared" si="417"/>
        <v>X-HGOX</v>
      </c>
      <c r="AF906" s="321" t="str">
        <f t="shared" si="418"/>
        <v>X-HGOA</v>
      </c>
      <c r="AG906" s="321">
        <f t="shared" si="409"/>
        <v>30</v>
      </c>
      <c r="AH906" s="321">
        <f>IF(B906&lt;&gt;"",IF(H906="x",VLOOKUP(I906,'AUX-NIV3'!B:AG,32,FALSE),0),"")</f>
        <v>0</v>
      </c>
      <c r="AI906" s="321" t="str">
        <f t="shared" si="419"/>
        <v>X-HGO</v>
      </c>
      <c r="AJ906" s="320"/>
      <c r="AK906" s="322">
        <f t="shared" si="410"/>
        <v>896</v>
      </c>
      <c r="AL906" s="323">
        <f t="shared" si="420"/>
        <v>925</v>
      </c>
      <c r="AM906" s="322">
        <f t="shared" si="421"/>
        <v>11</v>
      </c>
      <c r="AN906" s="380">
        <f>IF(AND(AH906&gt;0,B906&lt;&gt;""),VLOOKUP(I906,'AUX-NIV3'!$B:$AO,39,FALSE)*O906,0)</f>
        <v>0</v>
      </c>
      <c r="AO906" s="380">
        <f t="shared" si="411"/>
        <v>1.7549999999999999</v>
      </c>
      <c r="AP906" s="380"/>
    </row>
    <row r="907" spans="1:42" ht="14.4" hidden="1" thickTop="1" thickBot="1">
      <c r="A907" s="191"/>
      <c r="B907" s="501" t="s">
        <v>2877</v>
      </c>
      <c r="C907" s="325" t="s">
        <v>2878</v>
      </c>
      <c r="D907" s="326" t="s">
        <v>1160</v>
      </c>
      <c r="E907" s="327">
        <f>IF(B907&lt;&gt;"",SUMIF('AUX-NIV1'!I:I,'AUX-NIV2'!B907,'AUX-NIV1'!Q:Q),"")</f>
        <v>0</v>
      </c>
      <c r="F907" s="327">
        <f t="shared" si="401"/>
        <v>7131.1848146570273</v>
      </c>
      <c r="G907" s="327">
        <f t="shared" si="402"/>
        <v>0</v>
      </c>
      <c r="H907" s="328" t="str">
        <f t="shared" si="395"/>
        <v>A</v>
      </c>
      <c r="I907" s="325" t="s">
        <v>1746</v>
      </c>
      <c r="J907" s="329" t="str">
        <f>IF(B907&lt;&gt;"",+VLOOKUP(I907,Recursos!C:F,2,FALSE),"")</f>
        <v>OFICIAL</v>
      </c>
      <c r="K907" s="330" t="str">
        <f>IF(B907&lt;&gt;"",+VLOOKUP(I907,Recursos!C:F,3,FALSE),"")</f>
        <v>hh</v>
      </c>
      <c r="L907" s="327">
        <f>IF(B907&lt;&gt;"",+VLOOKUP(I907,Recursos!C:F,4,FALSE),"")</f>
        <v>496.91595439275824</v>
      </c>
      <c r="M907" s="454"/>
      <c r="N907" s="453">
        <v>2</v>
      </c>
      <c r="O907" s="449">
        <f>+N907/M912*N910</f>
        <v>0.30000000000000004</v>
      </c>
      <c r="P907" s="333">
        <f t="shared" si="398"/>
        <v>149.07478631782749</v>
      </c>
      <c r="Q907" s="327">
        <f t="shared" si="399"/>
        <v>0</v>
      </c>
      <c r="R907" s="334">
        <f t="shared" si="400"/>
        <v>0</v>
      </c>
      <c r="S907" s="335">
        <f t="shared" si="403"/>
        <v>846.77959152802896</v>
      </c>
      <c r="T907" s="335">
        <f t="shared" si="404"/>
        <v>119.71410300000001</v>
      </c>
      <c r="U907" s="336">
        <f t="shared" si="405"/>
        <v>6164.6911201289977</v>
      </c>
      <c r="V907" s="336">
        <f t="shared" si="406"/>
        <v>0</v>
      </c>
      <c r="W907" s="336">
        <f t="shared" si="407"/>
        <v>0</v>
      </c>
      <c r="X907" s="336">
        <f t="shared" si="408"/>
        <v>0</v>
      </c>
      <c r="Y907" s="320"/>
      <c r="Z907" s="321" t="str">
        <f t="shared" si="412"/>
        <v>X-HGOA</v>
      </c>
      <c r="AA907" s="321" t="str">
        <f t="shared" si="413"/>
        <v>X-HGOE</v>
      </c>
      <c r="AB907" s="321" t="str">
        <f t="shared" si="414"/>
        <v>X-HGOM</v>
      </c>
      <c r="AC907" s="321" t="str">
        <f t="shared" si="415"/>
        <v>X-HGOT</v>
      </c>
      <c r="AD907" s="321" t="str">
        <f t="shared" si="416"/>
        <v>X-HGOS</v>
      </c>
      <c r="AE907" s="321" t="str">
        <f t="shared" si="417"/>
        <v>X-HGOX</v>
      </c>
      <c r="AF907" s="321" t="str">
        <f t="shared" si="418"/>
        <v>X-HGOA</v>
      </c>
      <c r="AG907" s="321">
        <f t="shared" si="409"/>
        <v>30</v>
      </c>
      <c r="AH907" s="321">
        <f>IF(B907&lt;&gt;"",IF(H907="x",VLOOKUP(I907,'AUX-NIV3'!B:AG,32,FALSE),0),"")</f>
        <v>0</v>
      </c>
      <c r="AI907" s="321" t="str">
        <f t="shared" si="419"/>
        <v>X-HGO</v>
      </c>
      <c r="AJ907" s="320"/>
      <c r="AK907" s="322">
        <f t="shared" si="410"/>
        <v>896</v>
      </c>
      <c r="AL907" s="323">
        <f t="shared" si="420"/>
        <v>925</v>
      </c>
      <c r="AM907" s="322">
        <f t="shared" si="421"/>
        <v>12</v>
      </c>
      <c r="AN907" s="380">
        <f>IF(AND(AH907&gt;0,B907&lt;&gt;""),VLOOKUP(I907,'AUX-NIV3'!$B:$AO,39,FALSE)*O907,0)</f>
        <v>0</v>
      </c>
      <c r="AO907" s="380">
        <f t="shared" si="411"/>
        <v>1.7549999999999999</v>
      </c>
      <c r="AP907" s="380"/>
    </row>
    <row r="908" spans="1:42" ht="14.4" hidden="1" thickTop="1" thickBot="1">
      <c r="A908" s="191"/>
      <c r="B908" s="501" t="s">
        <v>2877</v>
      </c>
      <c r="C908" s="325" t="s">
        <v>2878</v>
      </c>
      <c r="D908" s="326" t="s">
        <v>1160</v>
      </c>
      <c r="E908" s="327">
        <f>IF(B908&lt;&gt;"",SUMIF('AUX-NIV1'!I:I,'AUX-NIV2'!B908,'AUX-NIV1'!Q:Q),"")</f>
        <v>0</v>
      </c>
      <c r="F908" s="327">
        <f t="shared" si="401"/>
        <v>7131.1848146570273</v>
      </c>
      <c r="G908" s="327">
        <f t="shared" si="402"/>
        <v>0</v>
      </c>
      <c r="H908" s="328" t="str">
        <f t="shared" si="395"/>
        <v>A</v>
      </c>
      <c r="I908" s="325" t="s">
        <v>1746</v>
      </c>
      <c r="J908" s="329" t="str">
        <f>IF(B908&lt;&gt;"",+VLOOKUP(I908,Recursos!C:F,2,FALSE),"")</f>
        <v>OFICIAL</v>
      </c>
      <c r="K908" s="330" t="str">
        <f>IF(B908&lt;&gt;"",+VLOOKUP(I908,Recursos!C:F,3,FALSE),"")</f>
        <v>hh</v>
      </c>
      <c r="L908" s="327">
        <f>IF(B908&lt;&gt;"",+VLOOKUP(I908,Recursos!C:F,4,FALSE),"")</f>
        <v>496.91595439275824</v>
      </c>
      <c r="M908" s="454"/>
      <c r="N908" s="453">
        <v>1</v>
      </c>
      <c r="O908" s="449">
        <f>+N908/M912*N910</f>
        <v>0.15000000000000002</v>
      </c>
      <c r="P908" s="333">
        <f t="shared" si="398"/>
        <v>74.537393158913744</v>
      </c>
      <c r="Q908" s="327">
        <f t="shared" si="399"/>
        <v>0</v>
      </c>
      <c r="R908" s="334">
        <f t="shared" si="400"/>
        <v>0</v>
      </c>
      <c r="S908" s="335">
        <f t="shared" si="403"/>
        <v>846.77959152802896</v>
      </c>
      <c r="T908" s="335">
        <f t="shared" si="404"/>
        <v>119.71410300000001</v>
      </c>
      <c r="U908" s="336">
        <f t="shared" si="405"/>
        <v>6164.6911201289977</v>
      </c>
      <c r="V908" s="336">
        <f t="shared" si="406"/>
        <v>0</v>
      </c>
      <c r="W908" s="336">
        <f t="shared" si="407"/>
        <v>0</v>
      </c>
      <c r="X908" s="336">
        <f t="shared" si="408"/>
        <v>0</v>
      </c>
      <c r="Y908" s="320"/>
      <c r="Z908" s="321" t="str">
        <f t="shared" si="412"/>
        <v>X-HGOA</v>
      </c>
      <c r="AA908" s="321" t="str">
        <f t="shared" si="413"/>
        <v>X-HGOE</v>
      </c>
      <c r="AB908" s="321" t="str">
        <f t="shared" si="414"/>
        <v>X-HGOM</v>
      </c>
      <c r="AC908" s="321" t="str">
        <f t="shared" si="415"/>
        <v>X-HGOT</v>
      </c>
      <c r="AD908" s="321" t="str">
        <f t="shared" si="416"/>
        <v>X-HGOS</v>
      </c>
      <c r="AE908" s="321" t="str">
        <f t="shared" si="417"/>
        <v>X-HGOX</v>
      </c>
      <c r="AF908" s="321" t="str">
        <f t="shared" si="418"/>
        <v>X-HGOA</v>
      </c>
      <c r="AG908" s="321">
        <f t="shared" si="409"/>
        <v>30</v>
      </c>
      <c r="AH908" s="321">
        <f>IF(B908&lt;&gt;"",IF(H908="x",VLOOKUP(I908,'AUX-NIV3'!B:AG,32,FALSE),0),"")</f>
        <v>0</v>
      </c>
      <c r="AI908" s="321" t="str">
        <f t="shared" si="419"/>
        <v>X-HGO</v>
      </c>
      <c r="AJ908" s="320"/>
      <c r="AK908" s="322">
        <f t="shared" si="410"/>
        <v>896</v>
      </c>
      <c r="AL908" s="323">
        <f t="shared" si="420"/>
        <v>925</v>
      </c>
      <c r="AM908" s="322">
        <f t="shared" si="421"/>
        <v>13</v>
      </c>
      <c r="AN908" s="380">
        <f>IF(AND(AH908&gt;0,B908&lt;&gt;""),VLOOKUP(I908,'AUX-NIV3'!$B:$AO,39,FALSE)*O908,0)</f>
        <v>0</v>
      </c>
      <c r="AO908" s="380">
        <f t="shared" si="411"/>
        <v>1.7549999999999999</v>
      </c>
      <c r="AP908" s="380"/>
    </row>
    <row r="909" spans="1:42" ht="14.4" hidden="1" thickTop="1" thickBot="1">
      <c r="A909" s="191"/>
      <c r="B909" s="501" t="s">
        <v>2877</v>
      </c>
      <c r="C909" s="325" t="s">
        <v>2878</v>
      </c>
      <c r="D909" s="326" t="s">
        <v>1160</v>
      </c>
      <c r="E909" s="327">
        <f>IF(B909&lt;&gt;"",SUMIF('AUX-NIV1'!I:I,'AUX-NIV2'!B909,'AUX-NIV1'!Q:Q),"")</f>
        <v>0</v>
      </c>
      <c r="F909" s="327">
        <f t="shared" si="401"/>
        <v>7131.1848146570273</v>
      </c>
      <c r="G909" s="327">
        <f t="shared" si="402"/>
        <v>0</v>
      </c>
      <c r="H909" s="328" t="str">
        <f t="shared" si="395"/>
        <v>A</v>
      </c>
      <c r="I909" s="325" t="s">
        <v>3310</v>
      </c>
      <c r="J909" s="329" t="str">
        <f>IF(B909&lt;&gt;"",+VLOOKUP(I909,Recursos!C:F,2,FALSE),"")</f>
        <v>OFICIAL ESPECIALIZADO</v>
      </c>
      <c r="K909" s="330" t="str">
        <f>IF(B909&lt;&gt;"",+VLOOKUP(I909,Recursos!C:F,3,FALSE),"")</f>
        <v>hh</v>
      </c>
      <c r="L909" s="327">
        <f>IF(B909&lt;&gt;"",+VLOOKUP(I909,Recursos!C:F,4,FALSE),"")</f>
        <v>581.06120476836554</v>
      </c>
      <c r="M909" s="454"/>
      <c r="N909" s="455"/>
      <c r="O909" s="449">
        <f>+N910/M912</f>
        <v>0.15</v>
      </c>
      <c r="P909" s="333">
        <f t="shared" si="398"/>
        <v>87.159180715254834</v>
      </c>
      <c r="Q909" s="327">
        <f t="shared" si="399"/>
        <v>0</v>
      </c>
      <c r="R909" s="334">
        <f t="shared" si="400"/>
        <v>0</v>
      </c>
      <c r="S909" s="335">
        <f t="shared" si="403"/>
        <v>846.77959152802896</v>
      </c>
      <c r="T909" s="335">
        <f t="shared" si="404"/>
        <v>119.71410300000001</v>
      </c>
      <c r="U909" s="336">
        <f t="shared" si="405"/>
        <v>6164.6911201289977</v>
      </c>
      <c r="V909" s="336">
        <f t="shared" si="406"/>
        <v>0</v>
      </c>
      <c r="W909" s="336">
        <f t="shared" si="407"/>
        <v>0</v>
      </c>
      <c r="X909" s="336">
        <f t="shared" si="408"/>
        <v>0</v>
      </c>
      <c r="Y909" s="320"/>
      <c r="Z909" s="321" t="str">
        <f t="shared" si="412"/>
        <v>X-HGOA</v>
      </c>
      <c r="AA909" s="321" t="str">
        <f t="shared" si="413"/>
        <v>X-HGOE</v>
      </c>
      <c r="AB909" s="321" t="str">
        <f t="shared" si="414"/>
        <v>X-HGOM</v>
      </c>
      <c r="AC909" s="321" t="str">
        <f t="shared" si="415"/>
        <v>X-HGOT</v>
      </c>
      <c r="AD909" s="321" t="str">
        <f t="shared" si="416"/>
        <v>X-HGOS</v>
      </c>
      <c r="AE909" s="321" t="str">
        <f t="shared" si="417"/>
        <v>X-HGOX</v>
      </c>
      <c r="AF909" s="321" t="str">
        <f t="shared" si="418"/>
        <v>X-HGOA</v>
      </c>
      <c r="AG909" s="321">
        <f t="shared" si="409"/>
        <v>30</v>
      </c>
      <c r="AH909" s="321">
        <f>IF(B909&lt;&gt;"",IF(H909="x",VLOOKUP(I909,'AUX-NIV3'!B:AG,32,FALSE),0),"")</f>
        <v>0</v>
      </c>
      <c r="AI909" s="321" t="str">
        <f t="shared" si="419"/>
        <v>X-HGO</v>
      </c>
      <c r="AJ909" s="320"/>
      <c r="AK909" s="322">
        <f t="shared" si="410"/>
        <v>896</v>
      </c>
      <c r="AL909" s="323">
        <f t="shared" si="420"/>
        <v>925</v>
      </c>
      <c r="AM909" s="322">
        <f t="shared" si="421"/>
        <v>14</v>
      </c>
      <c r="AN909" s="380">
        <f>IF(AND(AH909&gt;0,B909&lt;&gt;""),VLOOKUP(I909,'AUX-NIV3'!$B:$AO,39,FALSE)*O909,0)</f>
        <v>0</v>
      </c>
      <c r="AO909" s="380">
        <f t="shared" si="411"/>
        <v>1.7549999999999999</v>
      </c>
      <c r="AP909" s="380"/>
    </row>
    <row r="910" spans="1:42" ht="14.4" hidden="1" thickTop="1" thickBot="1">
      <c r="A910" s="191"/>
      <c r="B910" s="501" t="s">
        <v>2877</v>
      </c>
      <c r="C910" s="325" t="s">
        <v>2878</v>
      </c>
      <c r="D910" s="326" t="s">
        <v>1160</v>
      </c>
      <c r="E910" s="327">
        <f>IF(B910&lt;&gt;"",SUMIF('AUX-NIV1'!I:I,'AUX-NIV2'!B910,'AUX-NIV1'!Q:Q),"")</f>
        <v>0</v>
      </c>
      <c r="F910" s="327">
        <f t="shared" si="401"/>
        <v>7131.1848146570273</v>
      </c>
      <c r="G910" s="327">
        <f t="shared" si="402"/>
        <v>0</v>
      </c>
      <c r="H910" s="328" t="str">
        <f t="shared" si="395"/>
        <v>A</v>
      </c>
      <c r="I910" s="325" t="s">
        <v>1746</v>
      </c>
      <c r="J910" s="329" t="str">
        <f>IF(B910&lt;&gt;"",+VLOOKUP(I910,Recursos!C:F,2,FALSE),"")</f>
        <v>OFICIAL</v>
      </c>
      <c r="K910" s="330" t="str">
        <f>IF(B910&lt;&gt;"",+VLOOKUP(I910,Recursos!C:F,3,FALSE),"")</f>
        <v>hh</v>
      </c>
      <c r="L910" s="327">
        <f>IF(B910&lt;&gt;"",+VLOOKUP(I910,Recursos!C:F,4,FALSE),"")</f>
        <v>496.91595439275824</v>
      </c>
      <c r="M910" s="454"/>
      <c r="N910" s="453">
        <v>1.5</v>
      </c>
      <c r="O910" s="449">
        <f>+N910/M912</f>
        <v>0.15</v>
      </c>
      <c r="P910" s="333">
        <f t="shared" si="398"/>
        <v>74.53739315891373</v>
      </c>
      <c r="Q910" s="327">
        <f t="shared" si="399"/>
        <v>0</v>
      </c>
      <c r="R910" s="334">
        <f t="shared" si="400"/>
        <v>0</v>
      </c>
      <c r="S910" s="335">
        <f t="shared" si="403"/>
        <v>846.77959152802896</v>
      </c>
      <c r="T910" s="335">
        <f t="shared" si="404"/>
        <v>119.71410300000001</v>
      </c>
      <c r="U910" s="336">
        <f t="shared" si="405"/>
        <v>6164.6911201289977</v>
      </c>
      <c r="V910" s="336">
        <f t="shared" si="406"/>
        <v>0</v>
      </c>
      <c r="W910" s="336">
        <f t="shared" si="407"/>
        <v>0</v>
      </c>
      <c r="X910" s="336">
        <f t="shared" si="408"/>
        <v>0</v>
      </c>
      <c r="Y910" s="320"/>
      <c r="Z910" s="321" t="str">
        <f t="shared" si="412"/>
        <v>X-HGOA</v>
      </c>
      <c r="AA910" s="321" t="str">
        <f t="shared" si="413"/>
        <v>X-HGOE</v>
      </c>
      <c r="AB910" s="321" t="str">
        <f t="shared" si="414"/>
        <v>X-HGOM</v>
      </c>
      <c r="AC910" s="321" t="str">
        <f t="shared" si="415"/>
        <v>X-HGOT</v>
      </c>
      <c r="AD910" s="321" t="str">
        <f t="shared" si="416"/>
        <v>X-HGOS</v>
      </c>
      <c r="AE910" s="321" t="str">
        <f t="shared" si="417"/>
        <v>X-HGOX</v>
      </c>
      <c r="AF910" s="321" t="str">
        <f t="shared" si="418"/>
        <v>X-HGOA</v>
      </c>
      <c r="AG910" s="321">
        <f t="shared" si="409"/>
        <v>30</v>
      </c>
      <c r="AH910" s="321">
        <f>IF(B910&lt;&gt;"",IF(H910="x",VLOOKUP(I910,'AUX-NIV3'!B:AG,32,FALSE),0),"")</f>
        <v>0</v>
      </c>
      <c r="AI910" s="321" t="str">
        <f t="shared" si="419"/>
        <v>X-HGO</v>
      </c>
      <c r="AJ910" s="320"/>
      <c r="AK910" s="322">
        <f t="shared" si="410"/>
        <v>896</v>
      </c>
      <c r="AL910" s="323">
        <f t="shared" si="420"/>
        <v>925</v>
      </c>
      <c r="AM910" s="322">
        <f t="shared" si="421"/>
        <v>15</v>
      </c>
      <c r="AN910" s="380">
        <f>IF(AND(AH910&gt;0,B910&lt;&gt;""),VLOOKUP(I910,'AUX-NIV3'!$B:$AO,39,FALSE)*O910,0)</f>
        <v>0</v>
      </c>
      <c r="AO910" s="380">
        <f t="shared" si="411"/>
        <v>1.7549999999999999</v>
      </c>
      <c r="AP910" s="380"/>
    </row>
    <row r="911" spans="1:42" ht="14.4" hidden="1" thickTop="1" thickBot="1">
      <c r="A911" s="191"/>
      <c r="B911" s="501" t="s">
        <v>2877</v>
      </c>
      <c r="C911" s="325" t="s">
        <v>2878</v>
      </c>
      <c r="D911" s="326" t="s">
        <v>1160</v>
      </c>
      <c r="E911" s="327">
        <f>IF(B911&lt;&gt;"",SUMIF('AUX-NIV1'!I:I,'AUX-NIV2'!B911,'AUX-NIV1'!Q:Q),"")</f>
        <v>0</v>
      </c>
      <c r="F911" s="327">
        <f t="shared" si="401"/>
        <v>7131.1848146570273</v>
      </c>
      <c r="G911" s="327">
        <f t="shared" si="402"/>
        <v>0</v>
      </c>
      <c r="H911" s="328" t="str">
        <f t="shared" si="395"/>
        <v>E</v>
      </c>
      <c r="I911" s="325" t="s">
        <v>1692</v>
      </c>
      <c r="J911" s="329" t="str">
        <f>IF(B911&lt;&gt;"",+VLOOKUP(I911,Recursos!C:F,2,FALSE),"")</f>
        <v>MOTOCOMPRESOR 7 m3/min-250 cfm</v>
      </c>
      <c r="K911" s="330" t="str">
        <f>IF(B911&lt;&gt;"",+VLOOKUP(I911,Recursos!C:F,3,FALSE),"")</f>
        <v>HR</v>
      </c>
      <c r="L911" s="327">
        <f>IF(B911&lt;&gt;"",+VLOOKUP(I911,Recursos!C:F,4,FALSE),"")</f>
        <v>942.82014000000004</v>
      </c>
      <c r="M911" s="454"/>
      <c r="N911" s="1040">
        <v>1</v>
      </c>
      <c r="O911" s="449">
        <f>+N911/M912</f>
        <v>0.1</v>
      </c>
      <c r="P911" s="333">
        <f t="shared" si="398"/>
        <v>94.282014000000004</v>
      </c>
      <c r="Q911" s="327">
        <f t="shared" si="399"/>
        <v>0</v>
      </c>
      <c r="R911" s="334">
        <f t="shared" si="400"/>
        <v>0</v>
      </c>
      <c r="S911" s="335">
        <f t="shared" si="403"/>
        <v>846.77959152802896</v>
      </c>
      <c r="T911" s="335">
        <f t="shared" si="404"/>
        <v>119.71410300000001</v>
      </c>
      <c r="U911" s="336">
        <f t="shared" si="405"/>
        <v>6164.6911201289977</v>
      </c>
      <c r="V911" s="336">
        <f t="shared" si="406"/>
        <v>0</v>
      </c>
      <c r="W911" s="336">
        <f t="shared" si="407"/>
        <v>0</v>
      </c>
      <c r="X911" s="336">
        <f t="shared" si="408"/>
        <v>0</v>
      </c>
      <c r="Y911" s="320"/>
      <c r="Z911" s="321" t="str">
        <f t="shared" si="412"/>
        <v>X-HGOA</v>
      </c>
      <c r="AA911" s="321" t="str">
        <f t="shared" si="413"/>
        <v>X-HGOE</v>
      </c>
      <c r="AB911" s="321" t="str">
        <f t="shared" si="414"/>
        <v>X-HGOM</v>
      </c>
      <c r="AC911" s="321" t="str">
        <f t="shared" si="415"/>
        <v>X-HGOT</v>
      </c>
      <c r="AD911" s="321" t="str">
        <f t="shared" si="416"/>
        <v>X-HGOS</v>
      </c>
      <c r="AE911" s="321" t="str">
        <f t="shared" si="417"/>
        <v>X-HGOX</v>
      </c>
      <c r="AF911" s="321" t="str">
        <f t="shared" si="418"/>
        <v>X-HGOE</v>
      </c>
      <c r="AG911" s="321">
        <f t="shared" si="409"/>
        <v>30</v>
      </c>
      <c r="AH911" s="321">
        <f>IF(B911&lt;&gt;"",IF(H911="x",VLOOKUP(I911,'AUX-NIV3'!B:AG,32,FALSE),0),"")</f>
        <v>0</v>
      </c>
      <c r="AI911" s="321" t="str">
        <f t="shared" si="419"/>
        <v>X-HGO</v>
      </c>
      <c r="AJ911" s="320"/>
      <c r="AK911" s="322">
        <f t="shared" si="410"/>
        <v>896</v>
      </c>
      <c r="AL911" s="323">
        <f t="shared" si="420"/>
        <v>925</v>
      </c>
      <c r="AM911" s="322">
        <f t="shared" si="421"/>
        <v>16</v>
      </c>
      <c r="AN911" s="380">
        <f>IF(AND(AH911&gt;0,B911&lt;&gt;""),VLOOKUP(I911,'AUX-NIV3'!$B:$AO,39,FALSE)*O911,0)</f>
        <v>0</v>
      </c>
      <c r="AO911" s="380">
        <f t="shared" si="411"/>
        <v>1.7549999999999999</v>
      </c>
      <c r="AP911" s="380"/>
    </row>
    <row r="912" spans="1:42" ht="14.4" hidden="1" thickTop="1" thickBot="1">
      <c r="A912" s="191"/>
      <c r="B912" s="501" t="s">
        <v>2877</v>
      </c>
      <c r="C912" s="325" t="s">
        <v>2878</v>
      </c>
      <c r="D912" s="326" t="s">
        <v>1160</v>
      </c>
      <c r="E912" s="327">
        <f>IF(B912&lt;&gt;"",SUMIF('AUX-NIV1'!I:I,'AUX-NIV2'!B912,'AUX-NIV1'!Q:Q),"")</f>
        <v>0</v>
      </c>
      <c r="F912" s="327">
        <f t="shared" si="401"/>
        <v>7131.1848146570273</v>
      </c>
      <c r="G912" s="327">
        <f t="shared" si="402"/>
        <v>0</v>
      </c>
      <c r="H912" s="328" t="str">
        <f t="shared" si="395"/>
        <v>E</v>
      </c>
      <c r="I912" s="325" t="s">
        <v>1615</v>
      </c>
      <c r="J912" s="329" t="str">
        <f>IF(B912&lt;&gt;"",+VLOOKUP(I912,Recursos!C:F,2,FALSE),"")</f>
        <v>CAMION MOTOHORMIGONERO CAP. 7 M3</v>
      </c>
      <c r="K912" s="330" t="str">
        <f>IF(B912&lt;&gt;"",+VLOOKUP(I912,Recursos!C:F,3,FALSE),"")</f>
        <v>HR</v>
      </c>
      <c r="L912" s="327">
        <f>IF(B912&lt;&gt;"",+VLOOKUP(I912,Recursos!C:F,4,FALSE),"")</f>
        <v>2415.7289999999998</v>
      </c>
      <c r="M912" s="452">
        <v>10</v>
      </c>
      <c r="N912" s="453">
        <v>1</v>
      </c>
      <c r="O912" s="449">
        <f>+N912/M912*(1-N905)</f>
        <v>0</v>
      </c>
      <c r="P912" s="333">
        <f t="shared" si="398"/>
        <v>0</v>
      </c>
      <c r="Q912" s="327">
        <f t="shared" si="399"/>
        <v>0</v>
      </c>
      <c r="R912" s="334">
        <f t="shared" si="400"/>
        <v>0</v>
      </c>
      <c r="S912" s="335">
        <f t="shared" si="403"/>
        <v>846.77959152802896</v>
      </c>
      <c r="T912" s="335">
        <f t="shared" si="404"/>
        <v>119.71410300000001</v>
      </c>
      <c r="U912" s="336">
        <f t="shared" si="405"/>
        <v>6164.6911201289977</v>
      </c>
      <c r="V912" s="336">
        <f t="shared" si="406"/>
        <v>0</v>
      </c>
      <c r="W912" s="336">
        <f t="shared" si="407"/>
        <v>0</v>
      </c>
      <c r="X912" s="336">
        <f t="shared" si="408"/>
        <v>0</v>
      </c>
      <c r="Y912" s="320"/>
      <c r="Z912" s="321" t="str">
        <f t="shared" si="412"/>
        <v>X-HGOA</v>
      </c>
      <c r="AA912" s="321" t="str">
        <f t="shared" si="413"/>
        <v>X-HGOE</v>
      </c>
      <c r="AB912" s="321" t="str">
        <f t="shared" si="414"/>
        <v>X-HGOM</v>
      </c>
      <c r="AC912" s="321" t="str">
        <f t="shared" si="415"/>
        <v>X-HGOT</v>
      </c>
      <c r="AD912" s="321" t="str">
        <f t="shared" si="416"/>
        <v>X-HGOS</v>
      </c>
      <c r="AE912" s="321" t="str">
        <f t="shared" si="417"/>
        <v>X-HGOX</v>
      </c>
      <c r="AF912" s="321" t="str">
        <f t="shared" si="418"/>
        <v>X-HGOE</v>
      </c>
      <c r="AG912" s="321">
        <f t="shared" si="409"/>
        <v>30</v>
      </c>
      <c r="AH912" s="321">
        <f>IF(B912&lt;&gt;"",IF(H912="x",VLOOKUP(I912,'AUX-NIV3'!B:AG,32,FALSE),0),"")</f>
        <v>0</v>
      </c>
      <c r="AI912" s="321" t="str">
        <f t="shared" si="419"/>
        <v>X-HGO</v>
      </c>
      <c r="AJ912" s="320"/>
      <c r="AK912" s="322">
        <f t="shared" si="410"/>
        <v>896</v>
      </c>
      <c r="AL912" s="323">
        <f t="shared" si="420"/>
        <v>925</v>
      </c>
      <c r="AM912" s="322">
        <f t="shared" si="421"/>
        <v>17</v>
      </c>
      <c r="AN912" s="380">
        <f>IF(AND(AH912&gt;0,B912&lt;&gt;""),VLOOKUP(I912,'AUX-NIV3'!$B:$AO,39,FALSE)*O912,0)</f>
        <v>0</v>
      </c>
      <c r="AO912" s="380">
        <f t="shared" si="411"/>
        <v>1.7549999999999999</v>
      </c>
      <c r="AP912" s="380"/>
    </row>
    <row r="913" spans="1:42" ht="14.4" hidden="1" thickTop="1" thickBot="1">
      <c r="A913" s="191"/>
      <c r="B913" s="501" t="s">
        <v>2877</v>
      </c>
      <c r="C913" s="325" t="s">
        <v>2878</v>
      </c>
      <c r="D913" s="326" t="s">
        <v>1160</v>
      </c>
      <c r="E913" s="327">
        <f>IF(B913&lt;&gt;"",SUMIF('AUX-NIV1'!I:I,'AUX-NIV2'!B913,'AUX-NIV1'!Q:Q),"")</f>
        <v>0</v>
      </c>
      <c r="F913" s="327">
        <f t="shared" si="401"/>
        <v>7131.1848146570273</v>
      </c>
      <c r="G913" s="327">
        <f t="shared" si="402"/>
        <v>0</v>
      </c>
      <c r="H913" s="328" t="str">
        <f t="shared" ref="H913:H975" si="422">IF(B913&lt;&gt;"",+LEFT(I913,1),"")</f>
        <v>E</v>
      </c>
      <c r="I913" s="325" t="s">
        <v>1625</v>
      </c>
      <c r="J913" s="329" t="str">
        <f>IF(B913&lt;&gt;"",+VLOOKUP(I913,Recursos!C:F,2,FALSE),"")</f>
        <v>VIBRADOR DE INMERSION d=57 mm (NE)</v>
      </c>
      <c r="K913" s="330" t="str">
        <f>IF(B913&lt;&gt;"",+VLOOKUP(I913,Recursos!C:F,3,FALSE),"")</f>
        <v>HR</v>
      </c>
      <c r="L913" s="327">
        <f>IF(B913&lt;&gt;"",+VLOOKUP(I913,Recursos!C:F,4,FALSE),"")</f>
        <v>79.599000000000004</v>
      </c>
      <c r="M913" s="1036"/>
      <c r="N913" s="1032">
        <v>2</v>
      </c>
      <c r="O913" s="449">
        <f>+N913/M912</f>
        <v>0.2</v>
      </c>
      <c r="P913" s="333">
        <f t="shared" si="398"/>
        <v>15.919800000000002</v>
      </c>
      <c r="Q913" s="327">
        <f t="shared" si="399"/>
        <v>0</v>
      </c>
      <c r="R913" s="334">
        <f t="shared" si="400"/>
        <v>0</v>
      </c>
      <c r="S913" s="335">
        <f t="shared" si="403"/>
        <v>846.77959152802896</v>
      </c>
      <c r="T913" s="335">
        <f t="shared" si="404"/>
        <v>119.71410300000001</v>
      </c>
      <c r="U913" s="336">
        <f t="shared" si="405"/>
        <v>6164.6911201289977</v>
      </c>
      <c r="V913" s="336">
        <f t="shared" si="406"/>
        <v>0</v>
      </c>
      <c r="W913" s="336">
        <f t="shared" si="407"/>
        <v>0</v>
      </c>
      <c r="X913" s="336">
        <f t="shared" si="408"/>
        <v>0</v>
      </c>
      <c r="Y913" s="320"/>
      <c r="Z913" s="321" t="str">
        <f t="shared" si="412"/>
        <v>X-HGOA</v>
      </c>
      <c r="AA913" s="321" t="str">
        <f t="shared" si="413"/>
        <v>X-HGOE</v>
      </c>
      <c r="AB913" s="321" t="str">
        <f t="shared" si="414"/>
        <v>X-HGOM</v>
      </c>
      <c r="AC913" s="321" t="str">
        <f t="shared" si="415"/>
        <v>X-HGOT</v>
      </c>
      <c r="AD913" s="321" t="str">
        <f t="shared" si="416"/>
        <v>X-HGOS</v>
      </c>
      <c r="AE913" s="321" t="str">
        <f t="shared" si="417"/>
        <v>X-HGOX</v>
      </c>
      <c r="AF913" s="321" t="str">
        <f t="shared" si="418"/>
        <v>X-HGOE</v>
      </c>
      <c r="AG913" s="321">
        <f t="shared" si="409"/>
        <v>30</v>
      </c>
      <c r="AH913" s="321">
        <f>IF(B913&lt;&gt;"",IF(H913="x",VLOOKUP(I913,'AUX-NIV3'!B:AG,32,FALSE),0),"")</f>
        <v>0</v>
      </c>
      <c r="AI913" s="321" t="str">
        <f t="shared" si="419"/>
        <v>X-HGO</v>
      </c>
      <c r="AJ913" s="320"/>
      <c r="AK913" s="322">
        <f t="shared" si="410"/>
        <v>896</v>
      </c>
      <c r="AL913" s="323">
        <f t="shared" si="420"/>
        <v>925</v>
      </c>
      <c r="AM913" s="322">
        <f t="shared" si="421"/>
        <v>18</v>
      </c>
      <c r="AN913" s="380">
        <f>IF(AND(AH913&gt;0,B913&lt;&gt;""),VLOOKUP(I913,'AUX-NIV3'!$B:$AO,39,FALSE)*O913,0)</f>
        <v>0</v>
      </c>
      <c r="AO913" s="380">
        <f t="shared" si="411"/>
        <v>1.7549999999999999</v>
      </c>
      <c r="AP913" s="380"/>
    </row>
    <row r="914" spans="1:42" ht="14.4" hidden="1" thickTop="1" thickBot="1">
      <c r="A914" s="191"/>
      <c r="B914" s="501" t="s">
        <v>2877</v>
      </c>
      <c r="C914" s="325" t="s">
        <v>2878</v>
      </c>
      <c r="D914" s="326" t="s">
        <v>1160</v>
      </c>
      <c r="E914" s="327">
        <f>IF(B914&lt;&gt;"",SUMIF('AUX-NIV1'!I:I,'AUX-NIV2'!B914,'AUX-NIV1'!Q:Q),"")</f>
        <v>0</v>
      </c>
      <c r="F914" s="327">
        <f t="shared" si="401"/>
        <v>7131.1848146570273</v>
      </c>
      <c r="G914" s="327">
        <f t="shared" si="402"/>
        <v>0</v>
      </c>
      <c r="H914" s="328" t="str">
        <f t="shared" si="422"/>
        <v>A</v>
      </c>
      <c r="I914" s="325" t="s">
        <v>1745</v>
      </c>
      <c r="J914" s="329" t="str">
        <f>IF(B914&lt;&gt;"",+VLOOKUP(I914,Recursos!C:F,2,FALSE),"")</f>
        <v>AYUDANTE</v>
      </c>
      <c r="K914" s="330" t="str">
        <f>IF(B914&lt;&gt;"",+VLOOKUP(I914,Recursos!C:F,3,FALSE),"")</f>
        <v>hh</v>
      </c>
      <c r="L914" s="327">
        <f>IF(B914&lt;&gt;"",+VLOOKUP(I914,Recursos!C:F,4,FALSE),"")</f>
        <v>422.48042769667234</v>
      </c>
      <c r="M914" s="1033">
        <v>1.5</v>
      </c>
      <c r="N914" s="1037"/>
      <c r="O914" s="449">
        <f>+M914*M922</f>
        <v>0.30000000000000004</v>
      </c>
      <c r="P914" s="333">
        <f t="shared" si="398"/>
        <v>126.74412830900172</v>
      </c>
      <c r="Q914" s="327">
        <f t="shared" si="399"/>
        <v>0</v>
      </c>
      <c r="R914" s="334">
        <f t="shared" si="400"/>
        <v>0</v>
      </c>
      <c r="S914" s="335">
        <f t="shared" si="403"/>
        <v>846.77959152802896</v>
      </c>
      <c r="T914" s="335">
        <f t="shared" si="404"/>
        <v>119.71410300000001</v>
      </c>
      <c r="U914" s="336">
        <f t="shared" si="405"/>
        <v>6164.6911201289977</v>
      </c>
      <c r="V914" s="336">
        <f t="shared" si="406"/>
        <v>0</v>
      </c>
      <c r="W914" s="336">
        <f t="shared" si="407"/>
        <v>0</v>
      </c>
      <c r="X914" s="336">
        <f t="shared" si="408"/>
        <v>0</v>
      </c>
      <c r="Y914" s="320"/>
      <c r="Z914" s="321" t="str">
        <f t="shared" si="412"/>
        <v>X-HGOA</v>
      </c>
      <c r="AA914" s="321" t="str">
        <f t="shared" si="413"/>
        <v>X-HGOE</v>
      </c>
      <c r="AB914" s="321" t="str">
        <f t="shared" si="414"/>
        <v>X-HGOM</v>
      </c>
      <c r="AC914" s="321" t="str">
        <f t="shared" si="415"/>
        <v>X-HGOT</v>
      </c>
      <c r="AD914" s="321" t="str">
        <f t="shared" si="416"/>
        <v>X-HGOS</v>
      </c>
      <c r="AE914" s="321" t="str">
        <f t="shared" si="417"/>
        <v>X-HGOX</v>
      </c>
      <c r="AF914" s="321" t="str">
        <f t="shared" si="418"/>
        <v>X-HGOA</v>
      </c>
      <c r="AG914" s="321">
        <f t="shared" si="409"/>
        <v>30</v>
      </c>
      <c r="AH914" s="321">
        <f>IF(B914&lt;&gt;"",IF(H914="x",VLOOKUP(I914,'AUX-NIV3'!B:AG,32,FALSE),0),"")</f>
        <v>0</v>
      </c>
      <c r="AI914" s="321" t="str">
        <f t="shared" si="419"/>
        <v>X-HGO</v>
      </c>
      <c r="AJ914" s="320"/>
      <c r="AK914" s="322">
        <f t="shared" si="410"/>
        <v>896</v>
      </c>
      <c r="AL914" s="323">
        <f t="shared" si="420"/>
        <v>925</v>
      </c>
      <c r="AM914" s="322">
        <f t="shared" si="421"/>
        <v>19</v>
      </c>
      <c r="AN914" s="380">
        <f>IF(AND(AH914&gt;0,B914&lt;&gt;""),VLOOKUP(I914,'AUX-NIV3'!$B:$AO,39,FALSE)*O914,0)</f>
        <v>0</v>
      </c>
      <c r="AO914" s="380">
        <f t="shared" si="411"/>
        <v>1.7549999999999999</v>
      </c>
      <c r="AP914" s="380"/>
    </row>
    <row r="915" spans="1:42" ht="14.4" hidden="1" thickTop="1" thickBot="1">
      <c r="A915" s="191"/>
      <c r="B915" s="501" t="s">
        <v>2877</v>
      </c>
      <c r="C915" s="325" t="s">
        <v>2878</v>
      </c>
      <c r="D915" s="326" t="s">
        <v>1160</v>
      </c>
      <c r="E915" s="327">
        <f>IF(B915&lt;&gt;"",SUMIF('AUX-NIV1'!I:I,'AUX-NIV2'!B915,'AUX-NIV1'!Q:Q),"")</f>
        <v>0</v>
      </c>
      <c r="F915" s="327">
        <f t="shared" si="401"/>
        <v>7131.1848146570273</v>
      </c>
      <c r="G915" s="327">
        <f t="shared" si="402"/>
        <v>0</v>
      </c>
      <c r="H915" s="328" t="str">
        <f t="shared" si="422"/>
        <v>A</v>
      </c>
      <c r="I915" s="325" t="s">
        <v>1746</v>
      </c>
      <c r="J915" s="329" t="str">
        <f>IF(B915&lt;&gt;"",+VLOOKUP(I915,Recursos!C:F,2,FALSE),"")</f>
        <v>OFICIAL</v>
      </c>
      <c r="K915" s="330" t="str">
        <f>IF(B915&lt;&gt;"",+VLOOKUP(I915,Recursos!C:F,3,FALSE),"")</f>
        <v>hh</v>
      </c>
      <c r="L915" s="327">
        <f>IF(B915&lt;&gt;"",+VLOOKUP(I915,Recursos!C:F,4,FALSE),"")</f>
        <v>496.91595439275824</v>
      </c>
      <c r="M915" s="452">
        <v>1</v>
      </c>
      <c r="N915" s="455"/>
      <c r="O915" s="449">
        <f>+M915*M922</f>
        <v>0.2</v>
      </c>
      <c r="P915" s="333">
        <f t="shared" si="398"/>
        <v>99.383190878551659</v>
      </c>
      <c r="Q915" s="327">
        <f t="shared" si="399"/>
        <v>0</v>
      </c>
      <c r="R915" s="334">
        <f t="shared" si="400"/>
        <v>0</v>
      </c>
      <c r="S915" s="335">
        <f t="shared" si="403"/>
        <v>846.77959152802896</v>
      </c>
      <c r="T915" s="335">
        <f t="shared" si="404"/>
        <v>119.71410300000001</v>
      </c>
      <c r="U915" s="336">
        <f t="shared" si="405"/>
        <v>6164.6911201289977</v>
      </c>
      <c r="V915" s="336">
        <f t="shared" si="406"/>
        <v>0</v>
      </c>
      <c r="W915" s="336">
        <f t="shared" si="407"/>
        <v>0</v>
      </c>
      <c r="X915" s="336">
        <f t="shared" si="408"/>
        <v>0</v>
      </c>
      <c r="Y915" s="320"/>
      <c r="Z915" s="321" t="str">
        <f t="shared" si="412"/>
        <v>X-HGOA</v>
      </c>
      <c r="AA915" s="321" t="str">
        <f t="shared" si="413"/>
        <v>X-HGOE</v>
      </c>
      <c r="AB915" s="321" t="str">
        <f t="shared" si="414"/>
        <v>X-HGOM</v>
      </c>
      <c r="AC915" s="321" t="str">
        <f t="shared" si="415"/>
        <v>X-HGOT</v>
      </c>
      <c r="AD915" s="321" t="str">
        <f t="shared" si="416"/>
        <v>X-HGOS</v>
      </c>
      <c r="AE915" s="321" t="str">
        <f t="shared" si="417"/>
        <v>X-HGOX</v>
      </c>
      <c r="AF915" s="321" t="str">
        <f t="shared" si="418"/>
        <v>X-HGOA</v>
      </c>
      <c r="AG915" s="321">
        <f t="shared" si="409"/>
        <v>30</v>
      </c>
      <c r="AH915" s="321">
        <f>IF(B915&lt;&gt;"",IF(H915="x",VLOOKUP(I915,'AUX-NIV3'!B:AG,32,FALSE),0),"")</f>
        <v>0</v>
      </c>
      <c r="AI915" s="321" t="str">
        <f t="shared" si="419"/>
        <v>X-HGO</v>
      </c>
      <c r="AJ915" s="320"/>
      <c r="AK915" s="322">
        <f t="shared" si="410"/>
        <v>896</v>
      </c>
      <c r="AL915" s="323">
        <f t="shared" si="420"/>
        <v>925</v>
      </c>
      <c r="AM915" s="322">
        <f t="shared" si="421"/>
        <v>20</v>
      </c>
      <c r="AN915" s="380">
        <f>IF(AND(AH915&gt;0,B915&lt;&gt;""),VLOOKUP(I915,'AUX-NIV3'!$B:$AO,39,FALSE)*O915,0)</f>
        <v>0</v>
      </c>
      <c r="AO915" s="380">
        <f t="shared" si="411"/>
        <v>1.7549999999999999</v>
      </c>
      <c r="AP915" s="380"/>
    </row>
    <row r="916" spans="1:42" ht="14.4" hidden="1" thickTop="1" thickBot="1">
      <c r="A916" s="191"/>
      <c r="B916" s="501" t="s">
        <v>2877</v>
      </c>
      <c r="C916" s="325" t="s">
        <v>2878</v>
      </c>
      <c r="D916" s="326" t="s">
        <v>1160</v>
      </c>
      <c r="E916" s="327">
        <f>IF(B916&lt;&gt;"",SUMIF('AUX-NIV1'!I:I,'AUX-NIV2'!B916,'AUX-NIV1'!Q:Q),"")</f>
        <v>0</v>
      </c>
      <c r="F916" s="327">
        <f t="shared" si="401"/>
        <v>7131.1848146570273</v>
      </c>
      <c r="G916" s="327">
        <f t="shared" si="402"/>
        <v>0</v>
      </c>
      <c r="H916" s="328" t="str">
        <f t="shared" si="422"/>
        <v>A</v>
      </c>
      <c r="I916" s="325" t="s">
        <v>1746</v>
      </c>
      <c r="J916" s="329" t="str">
        <f>IF(B916&lt;&gt;"",+VLOOKUP(I916,Recursos!C:F,2,FALSE),"")</f>
        <v>OFICIAL</v>
      </c>
      <c r="K916" s="330" t="str">
        <f>IF(B916&lt;&gt;"",+VLOOKUP(I916,Recursos!C:F,3,FALSE),"")</f>
        <v>hh</v>
      </c>
      <c r="L916" s="327">
        <f>IF(B916&lt;&gt;"",+VLOOKUP(I916,Recursos!C:F,4,FALSE),"")</f>
        <v>496.91595439275824</v>
      </c>
      <c r="M916" s="452">
        <v>0.6</v>
      </c>
      <c r="N916" s="455"/>
      <c r="O916" s="449">
        <f>+M916*M922</f>
        <v>0.12</v>
      </c>
      <c r="P916" s="333">
        <f t="shared" si="398"/>
        <v>59.629914527130985</v>
      </c>
      <c r="Q916" s="327">
        <f t="shared" si="399"/>
        <v>0</v>
      </c>
      <c r="R916" s="334">
        <f t="shared" si="400"/>
        <v>0</v>
      </c>
      <c r="S916" s="335">
        <f t="shared" si="403"/>
        <v>846.77959152802896</v>
      </c>
      <c r="T916" s="335">
        <f t="shared" si="404"/>
        <v>119.71410300000001</v>
      </c>
      <c r="U916" s="336">
        <f t="shared" si="405"/>
        <v>6164.6911201289977</v>
      </c>
      <c r="V916" s="336">
        <f t="shared" si="406"/>
        <v>0</v>
      </c>
      <c r="W916" s="336">
        <f t="shared" si="407"/>
        <v>0</v>
      </c>
      <c r="X916" s="336">
        <f t="shared" si="408"/>
        <v>0</v>
      </c>
      <c r="Y916" s="320"/>
      <c r="Z916" s="321" t="str">
        <f t="shared" si="412"/>
        <v>X-HGOA</v>
      </c>
      <c r="AA916" s="321" t="str">
        <f t="shared" si="413"/>
        <v>X-HGOE</v>
      </c>
      <c r="AB916" s="321" t="str">
        <f t="shared" si="414"/>
        <v>X-HGOM</v>
      </c>
      <c r="AC916" s="321" t="str">
        <f t="shared" si="415"/>
        <v>X-HGOT</v>
      </c>
      <c r="AD916" s="321" t="str">
        <f t="shared" si="416"/>
        <v>X-HGOS</v>
      </c>
      <c r="AE916" s="321" t="str">
        <f t="shared" si="417"/>
        <v>X-HGOX</v>
      </c>
      <c r="AF916" s="321" t="str">
        <f t="shared" si="418"/>
        <v>X-HGOA</v>
      </c>
      <c r="AG916" s="321">
        <f t="shared" si="409"/>
        <v>30</v>
      </c>
      <c r="AH916" s="321">
        <f>IF(B916&lt;&gt;"",IF(H916="x",VLOOKUP(I916,'AUX-NIV3'!B:AG,32,FALSE),0),"")</f>
        <v>0</v>
      </c>
      <c r="AI916" s="321" t="str">
        <f t="shared" si="419"/>
        <v>X-HGO</v>
      </c>
      <c r="AJ916" s="320"/>
      <c r="AK916" s="322">
        <f t="shared" si="410"/>
        <v>896</v>
      </c>
      <c r="AL916" s="323">
        <f t="shared" si="420"/>
        <v>925</v>
      </c>
      <c r="AM916" s="322">
        <f t="shared" si="421"/>
        <v>21</v>
      </c>
      <c r="AN916" s="380">
        <f>IF(AND(AH916&gt;0,B916&lt;&gt;""),VLOOKUP(I916,'AUX-NIV3'!$B:$AO,39,FALSE)*O916,0)</f>
        <v>0</v>
      </c>
      <c r="AO916" s="380">
        <f t="shared" si="411"/>
        <v>1.7549999999999999</v>
      </c>
      <c r="AP916" s="380"/>
    </row>
    <row r="917" spans="1:42" ht="14.4" hidden="1" thickTop="1" thickBot="1">
      <c r="A917" s="191"/>
      <c r="B917" s="501" t="s">
        <v>2877</v>
      </c>
      <c r="C917" s="325" t="s">
        <v>2878</v>
      </c>
      <c r="D917" s="326" t="s">
        <v>1160</v>
      </c>
      <c r="E917" s="327">
        <f>IF(B917&lt;&gt;"",SUMIF('AUX-NIV1'!I:I,'AUX-NIV2'!B917,'AUX-NIV1'!Q:Q),"")</f>
        <v>0</v>
      </c>
      <c r="F917" s="327">
        <f t="shared" si="401"/>
        <v>7131.1848146570273</v>
      </c>
      <c r="G917" s="327">
        <f t="shared" si="402"/>
        <v>0</v>
      </c>
      <c r="H917" s="328" t="str">
        <f t="shared" si="422"/>
        <v>A</v>
      </c>
      <c r="I917" s="325" t="s">
        <v>3310</v>
      </c>
      <c r="J917" s="329" t="str">
        <f>IF(B917&lt;&gt;"",+VLOOKUP(I917,Recursos!C:F,2,FALSE),"")</f>
        <v>OFICIAL ESPECIALIZADO</v>
      </c>
      <c r="K917" s="330" t="str">
        <f>IF(B917&lt;&gt;"",+VLOOKUP(I917,Recursos!C:F,3,FALSE),"")</f>
        <v>hh</v>
      </c>
      <c r="L917" s="327">
        <f>IF(B917&lt;&gt;"",+VLOOKUP(I917,Recursos!C:F,4,FALSE),"")</f>
        <v>581.06120476836554</v>
      </c>
      <c r="M917" s="452">
        <v>0.4</v>
      </c>
      <c r="N917" s="455"/>
      <c r="O917" s="449">
        <f>+M917*M922</f>
        <v>8.0000000000000016E-2</v>
      </c>
      <c r="P917" s="333">
        <f t="shared" si="398"/>
        <v>46.484896381469255</v>
      </c>
      <c r="Q917" s="327">
        <f t="shared" si="399"/>
        <v>0</v>
      </c>
      <c r="R917" s="334">
        <f t="shared" si="400"/>
        <v>0</v>
      </c>
      <c r="S917" s="335">
        <f t="shared" si="403"/>
        <v>846.77959152802896</v>
      </c>
      <c r="T917" s="335">
        <f t="shared" si="404"/>
        <v>119.71410300000001</v>
      </c>
      <c r="U917" s="336">
        <f t="shared" si="405"/>
        <v>6164.6911201289977</v>
      </c>
      <c r="V917" s="336">
        <f t="shared" si="406"/>
        <v>0</v>
      </c>
      <c r="W917" s="336">
        <f t="shared" si="407"/>
        <v>0</v>
      </c>
      <c r="X917" s="336">
        <f t="shared" si="408"/>
        <v>0</v>
      </c>
      <c r="Y917" s="320"/>
      <c r="Z917" s="321" t="str">
        <f t="shared" si="412"/>
        <v>X-HGOA</v>
      </c>
      <c r="AA917" s="321" t="str">
        <f t="shared" si="413"/>
        <v>X-HGOE</v>
      </c>
      <c r="AB917" s="321" t="str">
        <f t="shared" si="414"/>
        <v>X-HGOM</v>
      </c>
      <c r="AC917" s="321" t="str">
        <f t="shared" si="415"/>
        <v>X-HGOT</v>
      </c>
      <c r="AD917" s="321" t="str">
        <f t="shared" si="416"/>
        <v>X-HGOS</v>
      </c>
      <c r="AE917" s="321" t="str">
        <f t="shared" si="417"/>
        <v>X-HGOX</v>
      </c>
      <c r="AF917" s="321" t="str">
        <f t="shared" si="418"/>
        <v>X-HGOA</v>
      </c>
      <c r="AG917" s="321">
        <f t="shared" si="409"/>
        <v>30</v>
      </c>
      <c r="AH917" s="321">
        <f>IF(B917&lt;&gt;"",IF(H917="x",VLOOKUP(I917,'AUX-NIV3'!B:AG,32,FALSE),0),"")</f>
        <v>0</v>
      </c>
      <c r="AI917" s="321" t="str">
        <f t="shared" si="419"/>
        <v>X-HGO</v>
      </c>
      <c r="AJ917" s="320"/>
      <c r="AK917" s="322">
        <f t="shared" si="410"/>
        <v>896</v>
      </c>
      <c r="AL917" s="323">
        <f t="shared" si="420"/>
        <v>925</v>
      </c>
      <c r="AM917" s="322">
        <f t="shared" si="421"/>
        <v>22</v>
      </c>
      <c r="AN917" s="380">
        <f>IF(AND(AH917&gt;0,B917&lt;&gt;""),VLOOKUP(I917,'AUX-NIV3'!$B:$AO,39,FALSE)*O917,0)</f>
        <v>0</v>
      </c>
      <c r="AO917" s="380">
        <f t="shared" si="411"/>
        <v>1.7549999999999999</v>
      </c>
      <c r="AP917" s="380"/>
    </row>
    <row r="918" spans="1:42" ht="14.4" hidden="1" thickTop="1" thickBot="1">
      <c r="A918" s="191"/>
      <c r="B918" s="501" t="s">
        <v>2877</v>
      </c>
      <c r="C918" s="325" t="s">
        <v>2878</v>
      </c>
      <c r="D918" s="326" t="s">
        <v>1160</v>
      </c>
      <c r="E918" s="327">
        <f>IF(B918&lt;&gt;"",SUMIF('AUX-NIV1'!I:I,'AUX-NIV2'!B918,'AUX-NIV1'!Q:Q),"")</f>
        <v>0</v>
      </c>
      <c r="F918" s="327">
        <f t="shared" si="401"/>
        <v>7131.1848146570273</v>
      </c>
      <c r="G918" s="327">
        <f t="shared" si="402"/>
        <v>0</v>
      </c>
      <c r="H918" s="328" t="str">
        <f t="shared" si="422"/>
        <v>A</v>
      </c>
      <c r="I918" s="325" t="s">
        <v>1746</v>
      </c>
      <c r="J918" s="329" t="str">
        <f>IF(B918&lt;&gt;"",+VLOOKUP(I918,Recursos!C:F,2,FALSE),"")</f>
        <v>OFICIAL</v>
      </c>
      <c r="K918" s="330" t="str">
        <f>IF(B918&lt;&gt;"",+VLOOKUP(I918,Recursos!C:F,3,FALSE),"")</f>
        <v>hh</v>
      </c>
      <c r="L918" s="327">
        <f>IF(B918&lt;&gt;"",+VLOOKUP(I918,Recursos!C:F,4,FALSE),"")</f>
        <v>496.91595439275824</v>
      </c>
      <c r="M918" s="511"/>
      <c r="N918" s="453">
        <v>1.25</v>
      </c>
      <c r="O918" s="449">
        <f>+M919*N918*M922</f>
        <v>5.000000000000001E-3</v>
      </c>
      <c r="P918" s="333">
        <f t="shared" si="398"/>
        <v>2.4845797719637917</v>
      </c>
      <c r="Q918" s="327">
        <f t="shared" si="399"/>
        <v>0</v>
      </c>
      <c r="R918" s="334">
        <f t="shared" si="400"/>
        <v>0</v>
      </c>
      <c r="S918" s="335">
        <f t="shared" si="403"/>
        <v>846.77959152802896</v>
      </c>
      <c r="T918" s="335">
        <f t="shared" si="404"/>
        <v>119.71410300000001</v>
      </c>
      <c r="U918" s="336">
        <f t="shared" si="405"/>
        <v>6164.6911201289977</v>
      </c>
      <c r="V918" s="336">
        <f t="shared" si="406"/>
        <v>0</v>
      </c>
      <c r="W918" s="336">
        <f t="shared" si="407"/>
        <v>0</v>
      </c>
      <c r="X918" s="336">
        <f t="shared" si="408"/>
        <v>0</v>
      </c>
      <c r="Y918" s="320"/>
      <c r="Z918" s="321" t="str">
        <f t="shared" si="412"/>
        <v>X-HGOA</v>
      </c>
      <c r="AA918" s="321" t="str">
        <f t="shared" si="413"/>
        <v>X-HGOE</v>
      </c>
      <c r="AB918" s="321" t="str">
        <f t="shared" si="414"/>
        <v>X-HGOM</v>
      </c>
      <c r="AC918" s="321" t="str">
        <f t="shared" si="415"/>
        <v>X-HGOT</v>
      </c>
      <c r="AD918" s="321" t="str">
        <f t="shared" si="416"/>
        <v>X-HGOS</v>
      </c>
      <c r="AE918" s="321" t="str">
        <f t="shared" si="417"/>
        <v>X-HGOX</v>
      </c>
      <c r="AF918" s="321" t="str">
        <f t="shared" si="418"/>
        <v>X-HGOA</v>
      </c>
      <c r="AG918" s="321">
        <f t="shared" si="409"/>
        <v>30</v>
      </c>
      <c r="AH918" s="321">
        <f>IF(B918&lt;&gt;"",IF(H918="x",VLOOKUP(I918,'AUX-NIV3'!B:AG,32,FALSE),0),"")</f>
        <v>0</v>
      </c>
      <c r="AI918" s="321" t="str">
        <f t="shared" si="419"/>
        <v>X-HGO</v>
      </c>
      <c r="AJ918" s="320"/>
      <c r="AK918" s="322">
        <f t="shared" si="410"/>
        <v>896</v>
      </c>
      <c r="AL918" s="323">
        <f t="shared" si="420"/>
        <v>925</v>
      </c>
      <c r="AM918" s="322">
        <f t="shared" si="421"/>
        <v>23</v>
      </c>
      <c r="AN918" s="380">
        <f>IF(AND(AH918&gt;0,B918&lt;&gt;""),VLOOKUP(I918,'AUX-NIV3'!$B:$AO,39,FALSE)*O918,0)</f>
        <v>0</v>
      </c>
      <c r="AO918" s="380">
        <f t="shared" si="411"/>
        <v>1.7549999999999999</v>
      </c>
      <c r="AP918" s="380"/>
    </row>
    <row r="919" spans="1:42" ht="14.4" hidden="1" thickTop="1" thickBot="1">
      <c r="A919" s="191"/>
      <c r="B919" s="501" t="s">
        <v>2877</v>
      </c>
      <c r="C919" s="325" t="s">
        <v>2878</v>
      </c>
      <c r="D919" s="326" t="s">
        <v>1160</v>
      </c>
      <c r="E919" s="327">
        <f>IF(B919&lt;&gt;"",SUMIF('AUX-NIV1'!I:I,'AUX-NIV2'!B919,'AUX-NIV1'!Q:Q),"")</f>
        <v>0</v>
      </c>
      <c r="F919" s="327">
        <f t="shared" si="401"/>
        <v>7131.1848146570273</v>
      </c>
      <c r="G919" s="327">
        <f t="shared" si="402"/>
        <v>0</v>
      </c>
      <c r="H919" s="328" t="str">
        <f t="shared" si="422"/>
        <v>E</v>
      </c>
      <c r="I919" s="325" t="s">
        <v>1597</v>
      </c>
      <c r="J919" s="329" t="str">
        <f>IF(B919&lt;&gt;"",+VLOOKUP(I919,Recursos!C:F,2,FALSE),"")</f>
        <v>HIDROGRUA MONTADA S/CAMION (6 T)</v>
      </c>
      <c r="K919" s="330" t="str">
        <f>IF(B919&lt;&gt;"",+VLOOKUP(I919,Recursos!C:F,3,FALSE),"")</f>
        <v>HR</v>
      </c>
      <c r="L919" s="327">
        <f>IF(B919&lt;&gt;"",+VLOOKUP(I919,Recursos!C:F,4,FALSE),"")</f>
        <v>2378.0722500000002</v>
      </c>
      <c r="M919" s="452">
        <v>0.02</v>
      </c>
      <c r="N919" s="453">
        <v>1</v>
      </c>
      <c r="O919" s="449">
        <f>+M919*N919*M922</f>
        <v>4.0000000000000001E-3</v>
      </c>
      <c r="P919" s="333">
        <f t="shared" si="398"/>
        <v>9.5122890000000009</v>
      </c>
      <c r="Q919" s="327">
        <f t="shared" si="399"/>
        <v>0</v>
      </c>
      <c r="R919" s="334">
        <f t="shared" si="400"/>
        <v>0</v>
      </c>
      <c r="S919" s="335">
        <f t="shared" si="403"/>
        <v>846.77959152802896</v>
      </c>
      <c r="T919" s="335">
        <f t="shared" si="404"/>
        <v>119.71410300000001</v>
      </c>
      <c r="U919" s="336">
        <f t="shared" si="405"/>
        <v>6164.6911201289977</v>
      </c>
      <c r="V919" s="336">
        <f t="shared" si="406"/>
        <v>0</v>
      </c>
      <c r="W919" s="336">
        <f t="shared" si="407"/>
        <v>0</v>
      </c>
      <c r="X919" s="336">
        <f t="shared" si="408"/>
        <v>0</v>
      </c>
      <c r="Y919" s="320"/>
      <c r="Z919" s="321" t="str">
        <f t="shared" si="412"/>
        <v>X-HGOA</v>
      </c>
      <c r="AA919" s="321" t="str">
        <f t="shared" si="413"/>
        <v>X-HGOE</v>
      </c>
      <c r="AB919" s="321" t="str">
        <f t="shared" si="414"/>
        <v>X-HGOM</v>
      </c>
      <c r="AC919" s="321" t="str">
        <f t="shared" si="415"/>
        <v>X-HGOT</v>
      </c>
      <c r="AD919" s="321" t="str">
        <f t="shared" si="416"/>
        <v>X-HGOS</v>
      </c>
      <c r="AE919" s="321" t="str">
        <f t="shared" si="417"/>
        <v>X-HGOX</v>
      </c>
      <c r="AF919" s="321" t="str">
        <f t="shared" si="418"/>
        <v>X-HGOE</v>
      </c>
      <c r="AG919" s="321">
        <f t="shared" si="409"/>
        <v>30</v>
      </c>
      <c r="AH919" s="321">
        <f>IF(B919&lt;&gt;"",IF(H919="x",VLOOKUP(I919,'AUX-NIV3'!B:AG,32,FALSE),0),"")</f>
        <v>0</v>
      </c>
      <c r="AI919" s="321" t="str">
        <f t="shared" si="419"/>
        <v>X-HGO</v>
      </c>
      <c r="AJ919" s="320"/>
      <c r="AK919" s="322">
        <f t="shared" si="410"/>
        <v>896</v>
      </c>
      <c r="AL919" s="323">
        <f t="shared" si="420"/>
        <v>925</v>
      </c>
      <c r="AM919" s="322">
        <f t="shared" si="421"/>
        <v>24</v>
      </c>
      <c r="AN919" s="380">
        <f>IF(AND(AH919&gt;0,B919&lt;&gt;""),VLOOKUP(I919,'AUX-NIV3'!$B:$AO,39,FALSE)*O919,0)</f>
        <v>0</v>
      </c>
      <c r="AO919" s="380">
        <f t="shared" si="411"/>
        <v>1.7549999999999999</v>
      </c>
      <c r="AP919" s="380"/>
    </row>
    <row r="920" spans="1:42" ht="14.4" hidden="1" thickTop="1" thickBot="1">
      <c r="A920" s="191"/>
      <c r="B920" s="501" t="s">
        <v>2877</v>
      </c>
      <c r="C920" s="325" t="s">
        <v>2878</v>
      </c>
      <c r="D920" s="326" t="s">
        <v>1160</v>
      </c>
      <c r="E920" s="327">
        <f>IF(B920&lt;&gt;"",SUMIF('AUX-NIV1'!I:I,'AUX-NIV2'!B920,'AUX-NIV1'!Q:Q),"")</f>
        <v>0</v>
      </c>
      <c r="F920" s="327">
        <f t="shared" si="401"/>
        <v>7131.1848146570273</v>
      </c>
      <c r="G920" s="327">
        <f t="shared" si="402"/>
        <v>0</v>
      </c>
      <c r="H920" s="328" t="str">
        <f t="shared" si="422"/>
        <v>M</v>
      </c>
      <c r="I920" s="325" t="s">
        <v>1855</v>
      </c>
      <c r="J920" s="329" t="str">
        <f>IF(B920&lt;&gt;"",+VLOOKUP(I920,Recursos!C:F,2,FALSE),"")</f>
        <v>DESMOLDANTE</v>
      </c>
      <c r="K920" s="330" t="str">
        <f>IF(B920&lt;&gt;"",+VLOOKUP(I920,Recursos!C:F,3,FALSE),"")</f>
        <v>Kg</v>
      </c>
      <c r="L920" s="327">
        <f>IF(B920&lt;&gt;"",+VLOOKUP(I920,Recursos!C:F,4,FALSE),"")</f>
        <v>50.4</v>
      </c>
      <c r="M920" s="529">
        <v>0.1</v>
      </c>
      <c r="N920" s="455"/>
      <c r="O920" s="449">
        <f>+M920*M922</f>
        <v>2.0000000000000004E-2</v>
      </c>
      <c r="P920" s="333">
        <f t="shared" si="398"/>
        <v>1.0080000000000002</v>
      </c>
      <c r="Q920" s="327">
        <f t="shared" si="399"/>
        <v>0</v>
      </c>
      <c r="R920" s="334">
        <f t="shared" si="400"/>
        <v>0</v>
      </c>
      <c r="S920" s="335">
        <f t="shared" si="403"/>
        <v>846.77959152802896</v>
      </c>
      <c r="T920" s="335">
        <f t="shared" si="404"/>
        <v>119.71410300000001</v>
      </c>
      <c r="U920" s="336">
        <f t="shared" si="405"/>
        <v>6164.6911201289977</v>
      </c>
      <c r="V920" s="336">
        <f t="shared" si="406"/>
        <v>0</v>
      </c>
      <c r="W920" s="336">
        <f t="shared" si="407"/>
        <v>0</v>
      </c>
      <c r="X920" s="336">
        <f t="shared" si="408"/>
        <v>0</v>
      </c>
      <c r="Y920" s="320"/>
      <c r="Z920" s="321" t="str">
        <f t="shared" si="412"/>
        <v>X-HGOA</v>
      </c>
      <c r="AA920" s="321" t="str">
        <f t="shared" si="413"/>
        <v>X-HGOE</v>
      </c>
      <c r="AB920" s="321" t="str">
        <f t="shared" si="414"/>
        <v>X-HGOM</v>
      </c>
      <c r="AC920" s="321" t="str">
        <f t="shared" si="415"/>
        <v>X-HGOT</v>
      </c>
      <c r="AD920" s="321" t="str">
        <f t="shared" si="416"/>
        <v>X-HGOS</v>
      </c>
      <c r="AE920" s="321" t="str">
        <f t="shared" si="417"/>
        <v>X-HGOX</v>
      </c>
      <c r="AF920" s="321" t="str">
        <f t="shared" si="418"/>
        <v>X-HGOM</v>
      </c>
      <c r="AG920" s="321">
        <f t="shared" si="409"/>
        <v>30</v>
      </c>
      <c r="AH920" s="321">
        <f>IF(B920&lt;&gt;"",IF(H920="x",VLOOKUP(I920,'AUX-NIV3'!B:AG,32,FALSE),0),"")</f>
        <v>0</v>
      </c>
      <c r="AI920" s="321" t="str">
        <f t="shared" si="419"/>
        <v>X-HGO</v>
      </c>
      <c r="AJ920" s="320"/>
      <c r="AK920" s="322">
        <f t="shared" si="410"/>
        <v>896</v>
      </c>
      <c r="AL920" s="323">
        <f t="shared" si="420"/>
        <v>925</v>
      </c>
      <c r="AM920" s="322">
        <f t="shared" si="421"/>
        <v>25</v>
      </c>
      <c r="AN920" s="380">
        <f>IF(AND(AH920&gt;0,B920&lt;&gt;""),VLOOKUP(I920,'AUX-NIV3'!$B:$AO,39,FALSE)*O920,0)</f>
        <v>0</v>
      </c>
      <c r="AO920" s="380">
        <f t="shared" si="411"/>
        <v>1.7549999999999999</v>
      </c>
      <c r="AP920" s="380"/>
    </row>
    <row r="921" spans="1:42" ht="14.4" hidden="1" thickTop="1" thickBot="1">
      <c r="A921" s="191"/>
      <c r="B921" s="501" t="s">
        <v>2877</v>
      </c>
      <c r="C921" s="325" t="s">
        <v>2878</v>
      </c>
      <c r="D921" s="326" t="s">
        <v>1160</v>
      </c>
      <c r="E921" s="327">
        <f>IF(B921&lt;&gt;"",SUMIF('AUX-NIV1'!I:I,'AUX-NIV2'!B921,'AUX-NIV1'!Q:Q),"")</f>
        <v>0</v>
      </c>
      <c r="F921" s="327">
        <f t="shared" si="401"/>
        <v>7131.1848146570273</v>
      </c>
      <c r="G921" s="327">
        <f t="shared" si="402"/>
        <v>0</v>
      </c>
      <c r="H921" s="328" t="str">
        <f t="shared" si="422"/>
        <v>M</v>
      </c>
      <c r="I921" s="325" t="s">
        <v>1911</v>
      </c>
      <c r="J921" s="329" t="str">
        <f>IF(B921&lt;&gt;"",+VLOOKUP(I921,Recursos!C:F,2,FALSE),"")</f>
        <v>LISTON TIPO PARA ENCOFRADO</v>
      </c>
      <c r="K921" s="330" t="str">
        <f>IF(B921&lt;&gt;"",+VLOOKUP(I921,Recursos!C:F,3,FALSE),"")</f>
        <v>m</v>
      </c>
      <c r="L921" s="327">
        <f>IF(B921&lt;&gt;"",+VLOOKUP(I921,Recursos!C:F,4,FALSE),"")</f>
        <v>94.5</v>
      </c>
      <c r="M921" s="452">
        <v>6</v>
      </c>
      <c r="N921" s="455"/>
      <c r="O921" s="449">
        <f>1/M921*M922</f>
        <v>3.3333333333333333E-2</v>
      </c>
      <c r="P921" s="333">
        <f t="shared" si="398"/>
        <v>3.15</v>
      </c>
      <c r="Q921" s="327">
        <f t="shared" si="399"/>
        <v>0</v>
      </c>
      <c r="R921" s="334">
        <f t="shared" si="400"/>
        <v>0</v>
      </c>
      <c r="S921" s="335">
        <f t="shared" si="403"/>
        <v>846.77959152802896</v>
      </c>
      <c r="T921" s="335">
        <f t="shared" si="404"/>
        <v>119.71410300000001</v>
      </c>
      <c r="U921" s="336">
        <f t="shared" si="405"/>
        <v>6164.6911201289977</v>
      </c>
      <c r="V921" s="336">
        <f t="shared" si="406"/>
        <v>0</v>
      </c>
      <c r="W921" s="336">
        <f t="shared" si="407"/>
        <v>0</v>
      </c>
      <c r="X921" s="336">
        <f t="shared" si="408"/>
        <v>0</v>
      </c>
      <c r="Y921" s="320"/>
      <c r="Z921" s="321" t="str">
        <f t="shared" si="412"/>
        <v>X-HGOA</v>
      </c>
      <c r="AA921" s="321" t="str">
        <f t="shared" si="413"/>
        <v>X-HGOE</v>
      </c>
      <c r="AB921" s="321" t="str">
        <f t="shared" si="414"/>
        <v>X-HGOM</v>
      </c>
      <c r="AC921" s="321" t="str">
        <f t="shared" si="415"/>
        <v>X-HGOT</v>
      </c>
      <c r="AD921" s="321" t="str">
        <f t="shared" si="416"/>
        <v>X-HGOS</v>
      </c>
      <c r="AE921" s="321" t="str">
        <f t="shared" si="417"/>
        <v>X-HGOX</v>
      </c>
      <c r="AF921" s="321" t="str">
        <f t="shared" si="418"/>
        <v>X-HGOM</v>
      </c>
      <c r="AG921" s="321">
        <f t="shared" si="409"/>
        <v>30</v>
      </c>
      <c r="AH921" s="321">
        <f>IF(B921&lt;&gt;"",IF(H921="x",VLOOKUP(I921,'AUX-NIV3'!B:AG,32,FALSE),0),"")</f>
        <v>0</v>
      </c>
      <c r="AI921" s="321" t="str">
        <f t="shared" si="419"/>
        <v>X-HGO</v>
      </c>
      <c r="AJ921" s="320"/>
      <c r="AK921" s="322">
        <f t="shared" si="410"/>
        <v>896</v>
      </c>
      <c r="AL921" s="323">
        <f t="shared" si="420"/>
        <v>925</v>
      </c>
      <c r="AM921" s="322">
        <f t="shared" si="421"/>
        <v>26</v>
      </c>
      <c r="AN921" s="380">
        <f>IF(AND(AH921&gt;0,B921&lt;&gt;""),VLOOKUP(I921,'AUX-NIV3'!$B:$AO,39,FALSE)*O921,0)</f>
        <v>0</v>
      </c>
      <c r="AO921" s="380">
        <f t="shared" si="411"/>
        <v>1.7549999999999999</v>
      </c>
      <c r="AP921" s="380"/>
    </row>
    <row r="922" spans="1:42" ht="14.4" hidden="1" thickTop="1" thickBot="1">
      <c r="A922" s="191"/>
      <c r="B922" s="501" t="s">
        <v>2877</v>
      </c>
      <c r="C922" s="325" t="s">
        <v>2878</v>
      </c>
      <c r="D922" s="326" t="s">
        <v>1160</v>
      </c>
      <c r="E922" s="327">
        <f>IF(B922&lt;&gt;"",SUMIF('AUX-NIV1'!I:I,'AUX-NIV2'!B922,'AUX-NIV1'!Q:Q),"")</f>
        <v>0</v>
      </c>
      <c r="F922" s="327">
        <f t="shared" si="401"/>
        <v>7131.1848146570273</v>
      </c>
      <c r="G922" s="327">
        <f t="shared" si="402"/>
        <v>0</v>
      </c>
      <c r="H922" s="328" t="str">
        <f t="shared" si="422"/>
        <v>M</v>
      </c>
      <c r="I922" s="325" t="s">
        <v>1912</v>
      </c>
      <c r="J922" s="329" t="str">
        <f>IF(B922&lt;&gt;"",+VLOOKUP(I922,Recursos!C:F,2,FALSE),"")</f>
        <v>FENOLICO ESP.= 19 MM (3/4")</v>
      </c>
      <c r="K922" s="330" t="str">
        <f>IF(B922&lt;&gt;"",+VLOOKUP(I922,Recursos!C:F,3,FALSE),"")</f>
        <v>m2</v>
      </c>
      <c r="L922" s="327">
        <f>IF(B922&lt;&gt;"",+VLOOKUP(I922,Recursos!C:F,4,FALSE),"")</f>
        <v>916.17600351811598</v>
      </c>
      <c r="M922" s="1041">
        <v>0.2</v>
      </c>
      <c r="N922" s="453">
        <v>1.1000000000000001</v>
      </c>
      <c r="O922" s="449">
        <f>+N922/M921*M922</f>
        <v>3.6666666666666674E-2</v>
      </c>
      <c r="P922" s="333">
        <f t="shared" si="398"/>
        <v>33.59312012899759</v>
      </c>
      <c r="Q922" s="327">
        <f t="shared" si="399"/>
        <v>0</v>
      </c>
      <c r="R922" s="334">
        <f t="shared" si="400"/>
        <v>0</v>
      </c>
      <c r="S922" s="335">
        <f t="shared" si="403"/>
        <v>846.77959152802896</v>
      </c>
      <c r="T922" s="335">
        <f t="shared" si="404"/>
        <v>119.71410300000001</v>
      </c>
      <c r="U922" s="336">
        <f t="shared" si="405"/>
        <v>6164.6911201289977</v>
      </c>
      <c r="V922" s="336">
        <f t="shared" si="406"/>
        <v>0</v>
      </c>
      <c r="W922" s="336">
        <f t="shared" si="407"/>
        <v>0</v>
      </c>
      <c r="X922" s="336">
        <f t="shared" si="408"/>
        <v>0</v>
      </c>
      <c r="Y922" s="320"/>
      <c r="Z922" s="321" t="str">
        <f t="shared" si="412"/>
        <v>X-HGOA</v>
      </c>
      <c r="AA922" s="321" t="str">
        <f t="shared" si="413"/>
        <v>X-HGOE</v>
      </c>
      <c r="AB922" s="321" t="str">
        <f t="shared" si="414"/>
        <v>X-HGOM</v>
      </c>
      <c r="AC922" s="321" t="str">
        <f t="shared" si="415"/>
        <v>X-HGOT</v>
      </c>
      <c r="AD922" s="321" t="str">
        <f t="shared" si="416"/>
        <v>X-HGOS</v>
      </c>
      <c r="AE922" s="321" t="str">
        <f t="shared" si="417"/>
        <v>X-HGOX</v>
      </c>
      <c r="AF922" s="321" t="str">
        <f t="shared" si="418"/>
        <v>X-HGOM</v>
      </c>
      <c r="AG922" s="321">
        <f t="shared" si="409"/>
        <v>30</v>
      </c>
      <c r="AH922" s="321">
        <f>IF(B922&lt;&gt;"",IF(H922="x",VLOOKUP(I922,'AUX-NIV3'!B:AG,32,FALSE),0),"")</f>
        <v>0</v>
      </c>
      <c r="AI922" s="321" t="str">
        <f t="shared" si="419"/>
        <v>X-HGO</v>
      </c>
      <c r="AJ922" s="320"/>
      <c r="AK922" s="322">
        <f t="shared" si="410"/>
        <v>896</v>
      </c>
      <c r="AL922" s="323">
        <f t="shared" si="420"/>
        <v>925</v>
      </c>
      <c r="AM922" s="322">
        <f t="shared" si="421"/>
        <v>27</v>
      </c>
      <c r="AN922" s="380">
        <f>IF(AND(AH922&gt;0,B922&lt;&gt;""),VLOOKUP(I922,'AUX-NIV3'!$B:$AO,39,FALSE)*O922,0)</f>
        <v>0</v>
      </c>
      <c r="AO922" s="380">
        <f t="shared" si="411"/>
        <v>1.7549999999999999</v>
      </c>
      <c r="AP922" s="380"/>
    </row>
    <row r="923" spans="1:42" ht="14.4" hidden="1" thickTop="1" thickBot="1">
      <c r="A923" s="191"/>
      <c r="B923" s="501" t="s">
        <v>2877</v>
      </c>
      <c r="C923" s="325" t="s">
        <v>2878</v>
      </c>
      <c r="D923" s="326" t="s">
        <v>1160</v>
      </c>
      <c r="E923" s="327">
        <f>IF(B923&lt;&gt;"",SUMIF('AUX-NIV1'!I:I,'AUX-NIV2'!B923,'AUX-NIV1'!Q:Q),"")</f>
        <v>0</v>
      </c>
      <c r="F923" s="327">
        <f t="shared" si="401"/>
        <v>7131.1848146570273</v>
      </c>
      <c r="G923" s="327">
        <f t="shared" si="402"/>
        <v>0</v>
      </c>
      <c r="H923" s="328" t="str">
        <f t="shared" si="422"/>
        <v>M</v>
      </c>
      <c r="I923" s="325" t="s">
        <v>1924</v>
      </c>
      <c r="J923" s="329" t="str">
        <f>IF(B923&lt;&gt;"",+VLOOKUP(I923,Recursos!C:F,2,FALSE),"")</f>
        <v>CLAVO DE 2 A 4"</v>
      </c>
      <c r="K923" s="330" t="str">
        <f>IF(B923&lt;&gt;"",+VLOOKUP(I923,Recursos!C:F,3,FALSE),"")</f>
        <v>Kg</v>
      </c>
      <c r="L923" s="327">
        <f>IF(B923&lt;&gt;"",+VLOOKUP(I923,Recursos!C:F,4,FALSE),"")</f>
        <v>98.5</v>
      </c>
      <c r="M923" s="452">
        <v>0.1</v>
      </c>
      <c r="N923" s="453"/>
      <c r="O923" s="449">
        <f>+M923*M922</f>
        <v>2.0000000000000004E-2</v>
      </c>
      <c r="P923" s="333">
        <f t="shared" si="398"/>
        <v>1.9700000000000004</v>
      </c>
      <c r="Q923" s="327">
        <f t="shared" si="399"/>
        <v>0</v>
      </c>
      <c r="R923" s="334">
        <f t="shared" si="400"/>
        <v>0</v>
      </c>
      <c r="S923" s="335">
        <f t="shared" si="403"/>
        <v>846.77959152802896</v>
      </c>
      <c r="T923" s="335">
        <f t="shared" si="404"/>
        <v>119.71410300000001</v>
      </c>
      <c r="U923" s="336">
        <f t="shared" si="405"/>
        <v>6164.6911201289977</v>
      </c>
      <c r="V923" s="336">
        <f t="shared" si="406"/>
        <v>0</v>
      </c>
      <c r="W923" s="336">
        <f t="shared" si="407"/>
        <v>0</v>
      </c>
      <c r="X923" s="336">
        <f t="shared" si="408"/>
        <v>0</v>
      </c>
      <c r="Y923" s="320"/>
      <c r="Z923" s="321" t="str">
        <f t="shared" si="412"/>
        <v>X-HGOA</v>
      </c>
      <c r="AA923" s="321" t="str">
        <f t="shared" si="413"/>
        <v>X-HGOE</v>
      </c>
      <c r="AB923" s="321" t="str">
        <f t="shared" si="414"/>
        <v>X-HGOM</v>
      </c>
      <c r="AC923" s="321" t="str">
        <f t="shared" si="415"/>
        <v>X-HGOT</v>
      </c>
      <c r="AD923" s="321" t="str">
        <f t="shared" si="416"/>
        <v>X-HGOS</v>
      </c>
      <c r="AE923" s="321" t="str">
        <f t="shared" si="417"/>
        <v>X-HGOX</v>
      </c>
      <c r="AF923" s="321" t="str">
        <f t="shared" si="418"/>
        <v>X-HGOM</v>
      </c>
      <c r="AG923" s="321">
        <f t="shared" si="409"/>
        <v>30</v>
      </c>
      <c r="AH923" s="321">
        <f>IF(B923&lt;&gt;"",IF(H923="x",VLOOKUP(I923,'AUX-NIV3'!B:AG,32,FALSE),0),"")</f>
        <v>0</v>
      </c>
      <c r="AI923" s="321" t="str">
        <f t="shared" si="419"/>
        <v>X-HGO</v>
      </c>
      <c r="AJ923" s="320"/>
      <c r="AK923" s="322">
        <f t="shared" si="410"/>
        <v>896</v>
      </c>
      <c r="AL923" s="323">
        <f t="shared" si="420"/>
        <v>925</v>
      </c>
      <c r="AM923" s="322">
        <f t="shared" si="421"/>
        <v>28</v>
      </c>
      <c r="AN923" s="380">
        <f>IF(AND(AH923&gt;0,B923&lt;&gt;""),VLOOKUP(I923,'AUX-NIV3'!$B:$AO,39,FALSE)*O923,0)</f>
        <v>0</v>
      </c>
      <c r="AO923" s="380">
        <f t="shared" si="411"/>
        <v>1.7549999999999999</v>
      </c>
      <c r="AP923" s="380"/>
    </row>
    <row r="924" spans="1:42" ht="14.4" hidden="1" thickTop="1" thickBot="1">
      <c r="A924" s="191"/>
      <c r="B924" s="501" t="s">
        <v>2877</v>
      </c>
      <c r="C924" s="325" t="s">
        <v>2878</v>
      </c>
      <c r="D924" s="326" t="s">
        <v>1160</v>
      </c>
      <c r="E924" s="327">
        <f>IF(B924&lt;&gt;"",SUMIF('AUX-NIV1'!I:I,'AUX-NIV2'!B924,'AUX-NIV1'!Q:Q),"")</f>
        <v>0</v>
      </c>
      <c r="F924" s="327">
        <f t="shared" si="401"/>
        <v>7131.1848146570273</v>
      </c>
      <c r="G924" s="327">
        <f t="shared" si="402"/>
        <v>0</v>
      </c>
      <c r="H924" s="328" t="str">
        <f t="shared" si="422"/>
        <v>M</v>
      </c>
      <c r="I924" s="325" t="s">
        <v>1926</v>
      </c>
      <c r="J924" s="329" t="str">
        <f>IF(B924&lt;&gt;"",+VLOOKUP(I924,Recursos!C:F,2,FALSE),"")</f>
        <v>ALAMBRE RECOCIDO #16</v>
      </c>
      <c r="K924" s="330" t="str">
        <f>IF(B924&lt;&gt;"",+VLOOKUP(I924,Recursos!C:F,3,FALSE),"")</f>
        <v>Kg</v>
      </c>
      <c r="L924" s="327">
        <f>IF(B924&lt;&gt;"",+VLOOKUP(I924,Recursos!C:F,4,FALSE),"")</f>
        <v>175</v>
      </c>
      <c r="M924" s="452">
        <v>0.2</v>
      </c>
      <c r="N924" s="453"/>
      <c r="O924" s="449">
        <f>+M924*M922</f>
        <v>4.0000000000000008E-2</v>
      </c>
      <c r="P924" s="333">
        <f t="shared" si="398"/>
        <v>7.0000000000000018</v>
      </c>
      <c r="Q924" s="327">
        <f t="shared" si="399"/>
        <v>0</v>
      </c>
      <c r="R924" s="334">
        <f t="shared" si="400"/>
        <v>0</v>
      </c>
      <c r="S924" s="335">
        <f t="shared" si="403"/>
        <v>846.77959152802896</v>
      </c>
      <c r="T924" s="335">
        <f t="shared" si="404"/>
        <v>119.71410300000001</v>
      </c>
      <c r="U924" s="336">
        <f t="shared" si="405"/>
        <v>6164.6911201289977</v>
      </c>
      <c r="V924" s="336">
        <f t="shared" si="406"/>
        <v>0</v>
      </c>
      <c r="W924" s="336">
        <f t="shared" si="407"/>
        <v>0</v>
      </c>
      <c r="X924" s="336">
        <f t="shared" si="408"/>
        <v>0</v>
      </c>
      <c r="Y924" s="320"/>
      <c r="Z924" s="321" t="str">
        <f t="shared" si="412"/>
        <v>X-HGOA</v>
      </c>
      <c r="AA924" s="321" t="str">
        <f t="shared" si="413"/>
        <v>X-HGOE</v>
      </c>
      <c r="AB924" s="321" t="str">
        <f t="shared" si="414"/>
        <v>X-HGOM</v>
      </c>
      <c r="AC924" s="321" t="str">
        <f t="shared" si="415"/>
        <v>X-HGOT</v>
      </c>
      <c r="AD924" s="321" t="str">
        <f t="shared" si="416"/>
        <v>X-HGOS</v>
      </c>
      <c r="AE924" s="321" t="str">
        <f t="shared" si="417"/>
        <v>X-HGOX</v>
      </c>
      <c r="AF924" s="321" t="str">
        <f t="shared" si="418"/>
        <v>X-HGOM</v>
      </c>
      <c r="AG924" s="321">
        <f t="shared" si="409"/>
        <v>30</v>
      </c>
      <c r="AH924" s="321">
        <f>IF(B924&lt;&gt;"",IF(H924="x",VLOOKUP(I924,'AUX-NIV3'!B:AG,32,FALSE),0),"")</f>
        <v>0</v>
      </c>
      <c r="AI924" s="321" t="str">
        <f t="shared" si="419"/>
        <v>X-HGO</v>
      </c>
      <c r="AJ924" s="320"/>
      <c r="AK924" s="322">
        <f t="shared" si="410"/>
        <v>896</v>
      </c>
      <c r="AL924" s="323">
        <f t="shared" si="420"/>
        <v>925</v>
      </c>
      <c r="AM924" s="322">
        <f t="shared" si="421"/>
        <v>29</v>
      </c>
      <c r="AN924" s="380">
        <f>IF(AND(AH924&gt;0,B924&lt;&gt;""),VLOOKUP(I924,'AUX-NIV3'!$B:$AO,39,FALSE)*O924,0)</f>
        <v>0</v>
      </c>
      <c r="AO924" s="380">
        <f t="shared" si="411"/>
        <v>1.7549999999999999</v>
      </c>
      <c r="AP924" s="380"/>
    </row>
    <row r="925" spans="1:42" ht="13.8" hidden="1" thickBot="1">
      <c r="A925" s="191"/>
      <c r="B925" s="501" t="s">
        <v>2877</v>
      </c>
      <c r="C925" s="325" t="s">
        <v>2878</v>
      </c>
      <c r="D925" s="326" t="s">
        <v>1160</v>
      </c>
      <c r="E925" s="327">
        <f>IF(B925&lt;&gt;"",SUMIF('AUX-NIV1'!I:I,'AUX-NIV2'!B925,'AUX-NIV1'!Q:Q),"")</f>
        <v>0</v>
      </c>
      <c r="F925" s="327">
        <f t="shared" si="401"/>
        <v>7131.1848146570273</v>
      </c>
      <c r="G925" s="327">
        <f t="shared" si="402"/>
        <v>0</v>
      </c>
      <c r="H925" s="328" t="str">
        <f t="shared" si="422"/>
        <v>M</v>
      </c>
      <c r="I925" s="325" t="s">
        <v>621</v>
      </c>
      <c r="J925" s="329" t="str">
        <f>IF(B925&lt;&gt;"",+VLOOKUP(I925,Recursos!C:F,2,FALSE),"")</f>
        <v>MATERIALES VARIOS</v>
      </c>
      <c r="K925" s="330" t="str">
        <f>IF(B925&lt;&gt;"",+VLOOKUP(I925,Recursos!C:F,3,FALSE),"")</f>
        <v>GL</v>
      </c>
      <c r="L925" s="327">
        <f>IF(B925&lt;&gt;"",+VLOOKUP(I925,Recursos!C:F,4,FALSE),"")</f>
        <v>0.5</v>
      </c>
      <c r="M925" s="450">
        <v>0.2</v>
      </c>
      <c r="N925" s="451"/>
      <c r="O925" s="449">
        <f>+M925*M922</f>
        <v>4.0000000000000008E-2</v>
      </c>
      <c r="P925" s="333">
        <f t="shared" si="398"/>
        <v>2.0000000000000004E-2</v>
      </c>
      <c r="Q925" s="327">
        <f t="shared" si="399"/>
        <v>0</v>
      </c>
      <c r="R925" s="334">
        <f t="shared" si="400"/>
        <v>0</v>
      </c>
      <c r="S925" s="335">
        <f t="shared" si="403"/>
        <v>846.77959152802896</v>
      </c>
      <c r="T925" s="335">
        <f t="shared" si="404"/>
        <v>119.71410300000001</v>
      </c>
      <c r="U925" s="336">
        <f t="shared" si="405"/>
        <v>6164.6911201289977</v>
      </c>
      <c r="V925" s="336">
        <f t="shared" si="406"/>
        <v>0</v>
      </c>
      <c r="W925" s="336">
        <f t="shared" si="407"/>
        <v>0</v>
      </c>
      <c r="X925" s="336">
        <f t="shared" si="408"/>
        <v>0</v>
      </c>
      <c r="Y925" s="320"/>
      <c r="Z925" s="321" t="str">
        <f t="shared" si="412"/>
        <v>X-HGOA</v>
      </c>
      <c r="AA925" s="321" t="str">
        <f t="shared" si="413"/>
        <v>X-HGOE</v>
      </c>
      <c r="AB925" s="321" t="str">
        <f t="shared" si="414"/>
        <v>X-HGOM</v>
      </c>
      <c r="AC925" s="321" t="str">
        <f t="shared" si="415"/>
        <v>X-HGOT</v>
      </c>
      <c r="AD925" s="321" t="str">
        <f t="shared" si="416"/>
        <v>X-HGOS</v>
      </c>
      <c r="AE925" s="321" t="str">
        <f t="shared" si="417"/>
        <v>X-HGOX</v>
      </c>
      <c r="AF925" s="321" t="str">
        <f t="shared" si="418"/>
        <v>X-HGOM</v>
      </c>
      <c r="AG925" s="321">
        <f t="shared" si="409"/>
        <v>30</v>
      </c>
      <c r="AH925" s="321">
        <f>IF(B925&lt;&gt;"",IF(H925="x",VLOOKUP(I925,'AUX-NIV3'!B:AG,32,FALSE),0),"")</f>
        <v>0</v>
      </c>
      <c r="AI925" s="321" t="str">
        <f t="shared" si="419"/>
        <v>X-HGO</v>
      </c>
      <c r="AJ925" s="320"/>
      <c r="AK925" s="322">
        <f t="shared" si="410"/>
        <v>896</v>
      </c>
      <c r="AL925" s="323">
        <f t="shared" si="420"/>
        <v>925</v>
      </c>
      <c r="AM925" s="322">
        <f t="shared" si="421"/>
        <v>30</v>
      </c>
      <c r="AN925" s="380">
        <f>IF(AND(AH925&gt;0,B925&lt;&gt;""),VLOOKUP(I925,'AUX-NIV3'!$B:$AO,39,FALSE)*O925,0)</f>
        <v>0</v>
      </c>
      <c r="AO925" s="380">
        <f t="shared" si="411"/>
        <v>1.7549999999999999</v>
      </c>
      <c r="AP925" s="380"/>
    </row>
    <row r="926" spans="1:42" ht="13.8" thickTop="1">
      <c r="B926" s="501" t="s">
        <v>2879</v>
      </c>
      <c r="C926" s="951" t="s">
        <v>2880</v>
      </c>
      <c r="D926" s="326" t="s">
        <v>1160</v>
      </c>
      <c r="E926" s="327">
        <f>IF(B926&lt;&gt;"",SUMIF('AUX-NIV1'!I:I,'AUX-NIV2'!B926,'AUX-NIV1'!Q:Q),"")</f>
        <v>3.62</v>
      </c>
      <c r="F926" s="327">
        <f t="shared" si="401"/>
        <v>974.30124392919117</v>
      </c>
      <c r="G926" s="327">
        <f t="shared" si="402"/>
        <v>3526.9705030236723</v>
      </c>
      <c r="H926" s="328" t="str">
        <f t="shared" si="422"/>
        <v>A</v>
      </c>
      <c r="I926" s="325" t="s">
        <v>1745</v>
      </c>
      <c r="J926" s="329" t="str">
        <f>IF(B926&lt;&gt;"",+VLOOKUP(I926,Recursos!C:F,2,FALSE),"")</f>
        <v>AYUDANTE</v>
      </c>
      <c r="K926" s="330" t="str">
        <f>IF(B926&lt;&gt;"",+VLOOKUP(I926,Recursos!C:F,3,FALSE),"")</f>
        <v>hh</v>
      </c>
      <c r="L926" s="446">
        <f>IF(B926&lt;&gt;"",+VLOOKUP(I926,Recursos!C:F,4,FALSE),"")</f>
        <v>422.48042769667234</v>
      </c>
      <c r="M926" s="514"/>
      <c r="N926" s="453">
        <v>3</v>
      </c>
      <c r="O926" s="449">
        <f>+N926/M928*N927</f>
        <v>1.5</v>
      </c>
      <c r="P926" s="333">
        <f t="shared" si="398"/>
        <v>633.72064154500845</v>
      </c>
      <c r="Q926" s="327">
        <f t="shared" si="399"/>
        <v>5.43</v>
      </c>
      <c r="R926" s="334">
        <f t="shared" si="400"/>
        <v>2294.0687223929308</v>
      </c>
      <c r="S926" s="335">
        <f t="shared" si="403"/>
        <v>924.25124392919122</v>
      </c>
      <c r="T926" s="335">
        <f t="shared" si="404"/>
        <v>0</v>
      </c>
      <c r="U926" s="336">
        <f t="shared" si="405"/>
        <v>50.05</v>
      </c>
      <c r="V926" s="336">
        <f t="shared" si="406"/>
        <v>0</v>
      </c>
      <c r="W926" s="336">
        <f t="shared" si="407"/>
        <v>0</v>
      </c>
      <c r="X926" s="336">
        <f t="shared" si="408"/>
        <v>0</v>
      </c>
      <c r="Y926" s="320"/>
      <c r="Z926" s="321" t="str">
        <f t="shared" si="412"/>
        <v>X-EMMA</v>
      </c>
      <c r="AA926" s="321" t="str">
        <f t="shared" si="413"/>
        <v>X-EMME</v>
      </c>
      <c r="AB926" s="321" t="str">
        <f t="shared" si="414"/>
        <v>X-EMMM</v>
      </c>
      <c r="AC926" s="321" t="str">
        <f t="shared" si="415"/>
        <v>X-EMMT</v>
      </c>
      <c r="AD926" s="321" t="str">
        <f t="shared" si="416"/>
        <v>X-EMMS</v>
      </c>
      <c r="AE926" s="321" t="str">
        <f t="shared" si="417"/>
        <v>X-EMMX</v>
      </c>
      <c r="AF926" s="321" t="str">
        <f t="shared" si="418"/>
        <v>X-EMMA</v>
      </c>
      <c r="AG926" s="321">
        <f t="shared" si="409"/>
        <v>4</v>
      </c>
      <c r="AH926" s="321">
        <f>IF(B926&lt;&gt;"",IF(H926="x",VLOOKUP(I926,'AUX-NIV3'!B:AG,32,FALSE),0),"")</f>
        <v>0</v>
      </c>
      <c r="AI926" s="321" t="str">
        <f t="shared" si="419"/>
        <v>X-EMM</v>
      </c>
      <c r="AJ926" s="320"/>
      <c r="AK926" s="322">
        <f t="shared" si="410"/>
        <v>926</v>
      </c>
      <c r="AL926" s="323">
        <f t="shared" si="420"/>
        <v>929</v>
      </c>
      <c r="AM926" s="322">
        <f t="shared" si="421"/>
        <v>1</v>
      </c>
      <c r="AN926" s="380">
        <f>IF(AND(AH926&gt;0,B926&lt;&gt;""),VLOOKUP(I926,'AUX-NIV3'!$B:$AO,39,FALSE)*O926,0)</f>
        <v>0</v>
      </c>
      <c r="AO926" s="380">
        <f t="shared" si="411"/>
        <v>2</v>
      </c>
      <c r="AP926" s="380"/>
    </row>
    <row r="927" spans="1:42">
      <c r="B927" s="501" t="s">
        <v>2879</v>
      </c>
      <c r="C927" s="951" t="s">
        <v>2880</v>
      </c>
      <c r="D927" s="326" t="s">
        <v>1160</v>
      </c>
      <c r="E927" s="327">
        <f>IF(B927&lt;&gt;"",SUMIF('AUX-NIV1'!I:I,'AUX-NIV2'!B927,'AUX-NIV1'!Q:Q),"")</f>
        <v>3.62</v>
      </c>
      <c r="F927" s="327">
        <f t="shared" si="401"/>
        <v>974.30124392919117</v>
      </c>
      <c r="G927" s="327">
        <f t="shared" si="402"/>
        <v>3526.9705030236723</v>
      </c>
      <c r="H927" s="328" t="str">
        <f t="shared" si="422"/>
        <v>A</v>
      </c>
      <c r="I927" s="325" t="s">
        <v>3310</v>
      </c>
      <c r="J927" s="329" t="str">
        <f>IF(B927&lt;&gt;"",+VLOOKUP(I927,Recursos!C:F,2,FALSE),"")</f>
        <v>OFICIAL ESPECIALIZADO</v>
      </c>
      <c r="K927" s="330" t="str">
        <f>IF(B927&lt;&gt;"",+VLOOKUP(I927,Recursos!C:F,3,FALSE),"")</f>
        <v>hh</v>
      </c>
      <c r="L927" s="446">
        <f>IF(B927&lt;&gt;"",+VLOOKUP(I927,Recursos!C:F,4,FALSE),"")</f>
        <v>581.06120476836554</v>
      </c>
      <c r="M927" s="454"/>
      <c r="N927" s="453">
        <v>2</v>
      </c>
      <c r="O927" s="449">
        <f>+N927/M928</f>
        <v>0.5</v>
      </c>
      <c r="P927" s="333">
        <f t="shared" si="398"/>
        <v>290.53060238418277</v>
      </c>
      <c r="Q927" s="327">
        <f t="shared" si="399"/>
        <v>1.81</v>
      </c>
      <c r="R927" s="334">
        <f t="shared" si="400"/>
        <v>1051.7207806307417</v>
      </c>
      <c r="S927" s="335">
        <f t="shared" si="403"/>
        <v>924.25124392919122</v>
      </c>
      <c r="T927" s="335">
        <f t="shared" si="404"/>
        <v>0</v>
      </c>
      <c r="U927" s="336">
        <f t="shared" si="405"/>
        <v>50.05</v>
      </c>
      <c r="V927" s="336">
        <f t="shared" si="406"/>
        <v>0</v>
      </c>
      <c r="W927" s="336">
        <f t="shared" si="407"/>
        <v>0</v>
      </c>
      <c r="X927" s="336">
        <f t="shared" si="408"/>
        <v>0</v>
      </c>
      <c r="Y927" s="320"/>
      <c r="Z927" s="321" t="str">
        <f t="shared" si="412"/>
        <v>X-EMMA</v>
      </c>
      <c r="AA927" s="321" t="str">
        <f t="shared" si="413"/>
        <v>X-EMME</v>
      </c>
      <c r="AB927" s="321" t="str">
        <f t="shared" si="414"/>
        <v>X-EMMM</v>
      </c>
      <c r="AC927" s="321" t="str">
        <f t="shared" si="415"/>
        <v>X-EMMT</v>
      </c>
      <c r="AD927" s="321" t="str">
        <f t="shared" si="416"/>
        <v>X-EMMS</v>
      </c>
      <c r="AE927" s="321" t="str">
        <f t="shared" si="417"/>
        <v>X-EMMX</v>
      </c>
      <c r="AF927" s="321" t="str">
        <f t="shared" si="418"/>
        <v>X-EMMA</v>
      </c>
      <c r="AG927" s="321">
        <f t="shared" si="409"/>
        <v>4</v>
      </c>
      <c r="AH927" s="321">
        <f>IF(B927&lt;&gt;"",IF(H927="x",VLOOKUP(I927,'AUX-NIV3'!B:AG,32,FALSE),0),"")</f>
        <v>0</v>
      </c>
      <c r="AI927" s="321" t="str">
        <f t="shared" si="419"/>
        <v>X-EMM</v>
      </c>
      <c r="AJ927" s="320"/>
      <c r="AK927" s="322">
        <f t="shared" si="410"/>
        <v>926</v>
      </c>
      <c r="AL927" s="323">
        <f t="shared" si="420"/>
        <v>929</v>
      </c>
      <c r="AM927" s="322">
        <f t="shared" si="421"/>
        <v>2</v>
      </c>
      <c r="AN927" s="380">
        <f>IF(AND(AH927&gt;0,B927&lt;&gt;""),VLOOKUP(I927,'AUX-NIV3'!$B:$AO,39,FALSE)*O927,0)</f>
        <v>0</v>
      </c>
      <c r="AO927" s="380">
        <f t="shared" si="411"/>
        <v>2</v>
      </c>
      <c r="AP927" s="380"/>
    </row>
    <row r="928" spans="1:42">
      <c r="B928" s="501" t="s">
        <v>2879</v>
      </c>
      <c r="C928" s="951" t="s">
        <v>2880</v>
      </c>
      <c r="D928" s="326" t="s">
        <v>1160</v>
      </c>
      <c r="E928" s="327">
        <f>IF(B928&lt;&gt;"",SUMIF('AUX-NIV1'!I:I,'AUX-NIV2'!B928,'AUX-NIV1'!Q:Q),"")</f>
        <v>3.62</v>
      </c>
      <c r="F928" s="327">
        <f t="shared" si="401"/>
        <v>974.30124392919117</v>
      </c>
      <c r="G928" s="327">
        <f t="shared" si="402"/>
        <v>3526.9705030236723</v>
      </c>
      <c r="H928" s="328" t="str">
        <f t="shared" si="422"/>
        <v>M</v>
      </c>
      <c r="I928" s="325" t="s">
        <v>2142</v>
      </c>
      <c r="J928" s="329" t="str">
        <f>IF(B928&lt;&gt;"",+VLOOKUP(I928,Recursos!C:F,2,FALSE),"")</f>
        <v>HERRAMIENTAS MENORES</v>
      </c>
      <c r="K928" s="330" t="str">
        <f>IF(B928&lt;&gt;"",+VLOOKUP(I928,Recursos!C:F,3,FALSE),"")</f>
        <v>un</v>
      </c>
      <c r="L928" s="446">
        <f>IF(B928&lt;&gt;"",+VLOOKUP(I928,Recursos!C:F,4,FALSE),"")</f>
        <v>1</v>
      </c>
      <c r="M928" s="452">
        <v>4</v>
      </c>
      <c r="N928" s="453">
        <v>0.2</v>
      </c>
      <c r="O928" s="449">
        <f>+N928/M928</f>
        <v>0.05</v>
      </c>
      <c r="P928" s="333">
        <f t="shared" si="398"/>
        <v>0.05</v>
      </c>
      <c r="Q928" s="327">
        <f t="shared" si="399"/>
        <v>0.18100000000000002</v>
      </c>
      <c r="R928" s="334">
        <f t="shared" si="400"/>
        <v>0.18100000000000002</v>
      </c>
      <c r="S928" s="335">
        <f t="shared" si="403"/>
        <v>924.25124392919122</v>
      </c>
      <c r="T928" s="335">
        <f t="shared" si="404"/>
        <v>0</v>
      </c>
      <c r="U928" s="336">
        <f t="shared" si="405"/>
        <v>50.05</v>
      </c>
      <c r="V928" s="336">
        <f t="shared" si="406"/>
        <v>0</v>
      </c>
      <c r="W928" s="336">
        <f t="shared" si="407"/>
        <v>0</v>
      </c>
      <c r="X928" s="336">
        <f t="shared" si="408"/>
        <v>0</v>
      </c>
      <c r="Y928" s="320"/>
      <c r="Z928" s="321" t="str">
        <f t="shared" si="412"/>
        <v>X-EMMA</v>
      </c>
      <c r="AA928" s="321" t="str">
        <f t="shared" si="413"/>
        <v>X-EMME</v>
      </c>
      <c r="AB928" s="321" t="str">
        <f t="shared" si="414"/>
        <v>X-EMMM</v>
      </c>
      <c r="AC928" s="321" t="str">
        <f t="shared" si="415"/>
        <v>X-EMMT</v>
      </c>
      <c r="AD928" s="321" t="str">
        <f t="shared" si="416"/>
        <v>X-EMMS</v>
      </c>
      <c r="AE928" s="321" t="str">
        <f t="shared" si="417"/>
        <v>X-EMMX</v>
      </c>
      <c r="AF928" s="321" t="str">
        <f t="shared" si="418"/>
        <v>X-EMMM</v>
      </c>
      <c r="AG928" s="321">
        <f t="shared" si="409"/>
        <v>4</v>
      </c>
      <c r="AH928" s="321">
        <f>IF(B928&lt;&gt;"",IF(H928="x",VLOOKUP(I928,'AUX-NIV3'!B:AG,32,FALSE),0),"")</f>
        <v>0</v>
      </c>
      <c r="AI928" s="321" t="str">
        <f t="shared" si="419"/>
        <v>X-EMM</v>
      </c>
      <c r="AJ928" s="320"/>
      <c r="AK928" s="322">
        <f t="shared" si="410"/>
        <v>926</v>
      </c>
      <c r="AL928" s="323">
        <f t="shared" si="420"/>
        <v>929</v>
      </c>
      <c r="AM928" s="322">
        <f t="shared" si="421"/>
        <v>3</v>
      </c>
      <c r="AN928" s="380">
        <f>IF(AND(AH928&gt;0,B928&lt;&gt;""),VLOOKUP(I928,'AUX-NIV3'!$B:$AO,39,FALSE)*O928,0)</f>
        <v>0</v>
      </c>
      <c r="AO928" s="380">
        <f t="shared" si="411"/>
        <v>2</v>
      </c>
      <c r="AP928" s="380"/>
    </row>
    <row r="929" spans="2:42" ht="13.8" thickBot="1">
      <c r="B929" s="501" t="s">
        <v>2879</v>
      </c>
      <c r="C929" s="951" t="s">
        <v>2880</v>
      </c>
      <c r="D929" s="326" t="s">
        <v>1160</v>
      </c>
      <c r="E929" s="327">
        <f>IF(B929&lt;&gt;"",SUMIF('AUX-NIV1'!I:I,'AUX-NIV2'!B929,'AUX-NIV1'!Q:Q),"")</f>
        <v>3.62</v>
      </c>
      <c r="F929" s="327">
        <f t="shared" si="401"/>
        <v>974.30124392919117</v>
      </c>
      <c r="G929" s="327">
        <f t="shared" si="402"/>
        <v>3526.9705030236723</v>
      </c>
      <c r="H929" s="328" t="str">
        <f t="shared" si="422"/>
        <v>M</v>
      </c>
      <c r="I929" s="325" t="s">
        <v>621</v>
      </c>
      <c r="J929" s="329" t="str">
        <f>IF(B929&lt;&gt;"",+VLOOKUP(I929,Recursos!C:F,2,FALSE),"")</f>
        <v>MATERIALES VARIOS</v>
      </c>
      <c r="K929" s="330" t="str">
        <f>IF(B929&lt;&gt;"",+VLOOKUP(I929,Recursos!C:F,3,FALSE),"")</f>
        <v>GL</v>
      </c>
      <c r="L929" s="446">
        <f>IF(B929&lt;&gt;"",+VLOOKUP(I929,Recursos!C:F,4,FALSE),"")</f>
        <v>0.5</v>
      </c>
      <c r="M929" s="450">
        <f>1000*10%</f>
        <v>100</v>
      </c>
      <c r="N929" s="451"/>
      <c r="O929" s="449">
        <f>+M929</f>
        <v>100</v>
      </c>
      <c r="P929" s="333">
        <f t="shared" si="398"/>
        <v>50</v>
      </c>
      <c r="Q929" s="327">
        <f t="shared" si="399"/>
        <v>362</v>
      </c>
      <c r="R929" s="334">
        <f t="shared" si="400"/>
        <v>181</v>
      </c>
      <c r="S929" s="335">
        <f t="shared" si="403"/>
        <v>924.25124392919122</v>
      </c>
      <c r="T929" s="335">
        <f t="shared" si="404"/>
        <v>0</v>
      </c>
      <c r="U929" s="336">
        <f t="shared" si="405"/>
        <v>50.05</v>
      </c>
      <c r="V929" s="336">
        <f t="shared" si="406"/>
        <v>0</v>
      </c>
      <c r="W929" s="336">
        <f t="shared" si="407"/>
        <v>0</v>
      </c>
      <c r="X929" s="336">
        <f t="shared" si="408"/>
        <v>0</v>
      </c>
      <c r="Y929" s="320"/>
      <c r="Z929" s="321" t="str">
        <f t="shared" si="412"/>
        <v>X-EMMA</v>
      </c>
      <c r="AA929" s="321" t="str">
        <f t="shared" si="413"/>
        <v>X-EMME</v>
      </c>
      <c r="AB929" s="321" t="str">
        <f t="shared" si="414"/>
        <v>X-EMMM</v>
      </c>
      <c r="AC929" s="321" t="str">
        <f t="shared" si="415"/>
        <v>X-EMMT</v>
      </c>
      <c r="AD929" s="321" t="str">
        <f t="shared" si="416"/>
        <v>X-EMMS</v>
      </c>
      <c r="AE929" s="321" t="str">
        <f t="shared" si="417"/>
        <v>X-EMMX</v>
      </c>
      <c r="AF929" s="321" t="str">
        <f t="shared" si="418"/>
        <v>X-EMMM</v>
      </c>
      <c r="AG929" s="321">
        <f t="shared" si="409"/>
        <v>4</v>
      </c>
      <c r="AH929" s="321">
        <f>IF(B929&lt;&gt;"",IF(H929="x",VLOOKUP(I929,'AUX-NIV3'!B:AG,32,FALSE),0),"")</f>
        <v>0</v>
      </c>
      <c r="AI929" s="321" t="str">
        <f t="shared" si="419"/>
        <v>X-EMM</v>
      </c>
      <c r="AJ929" s="320"/>
      <c r="AK929" s="322">
        <f t="shared" si="410"/>
        <v>926</v>
      </c>
      <c r="AL929" s="323">
        <f t="shared" si="420"/>
        <v>929</v>
      </c>
      <c r="AM929" s="322">
        <f t="shared" si="421"/>
        <v>4</v>
      </c>
      <c r="AN929" s="380">
        <f>IF(AND(AH929&gt;0,B929&lt;&gt;""),VLOOKUP(I929,'AUX-NIV3'!$B:$AO,39,FALSE)*O929,0)</f>
        <v>0</v>
      </c>
      <c r="AO929" s="380">
        <f t="shared" si="411"/>
        <v>2</v>
      </c>
      <c r="AP929" s="380"/>
    </row>
    <row r="930" spans="2:42" ht="13.8" hidden="1" thickTop="1">
      <c r="B930" s="949" t="s">
        <v>2881</v>
      </c>
      <c r="C930" s="325" t="s">
        <v>2882</v>
      </c>
      <c r="D930" s="326" t="s">
        <v>1160</v>
      </c>
      <c r="E930" s="327">
        <f>IF(B930&lt;&gt;"",SUMIF('AUX-NIV1'!I:I,'AUX-NIV2'!B930,'AUX-NIV1'!Q:Q),"")</f>
        <v>0</v>
      </c>
      <c r="F930" s="327">
        <f t="shared" si="401"/>
        <v>17.808108019312606</v>
      </c>
      <c r="G930" s="327">
        <f t="shared" si="402"/>
        <v>0</v>
      </c>
      <c r="H930" s="328" t="str">
        <f t="shared" si="422"/>
        <v>A</v>
      </c>
      <c r="I930" s="325" t="s">
        <v>1745</v>
      </c>
      <c r="J930" s="329" t="str">
        <f>IF(B930&lt;&gt;"",+VLOOKUP(I930,Recursos!C:F,2,FALSE),"")</f>
        <v>AYUDANTE</v>
      </c>
      <c r="K930" s="330" t="str">
        <f>IF(B930&lt;&gt;"",+VLOOKUP(I930,Recursos!C:F,3,FALSE),"")</f>
        <v>hh</v>
      </c>
      <c r="L930" s="446">
        <f>IF(B930&lt;&gt;"",+VLOOKUP(I930,Recursos!C:F,4,FALSE),"")</f>
        <v>422.48042769667234</v>
      </c>
      <c r="M930" s="514">
        <f>+M931</f>
        <v>20</v>
      </c>
      <c r="N930" s="448">
        <f>1.25*0.3</f>
        <v>0.375</v>
      </c>
      <c r="O930" s="449">
        <f>+N930/M930</f>
        <v>1.8749999999999999E-2</v>
      </c>
      <c r="P930" s="333">
        <f t="shared" si="398"/>
        <v>7.921508019312606</v>
      </c>
      <c r="Q930" s="327">
        <f t="shared" si="399"/>
        <v>0</v>
      </c>
      <c r="R930" s="334">
        <f t="shared" si="400"/>
        <v>0</v>
      </c>
      <c r="S930" s="335">
        <f t="shared" si="403"/>
        <v>7.921508019312606</v>
      </c>
      <c r="T930" s="335">
        <f t="shared" si="404"/>
        <v>9.7866</v>
      </c>
      <c r="U930" s="336">
        <f t="shared" si="405"/>
        <v>0.1</v>
      </c>
      <c r="V930" s="336">
        <f t="shared" si="406"/>
        <v>0</v>
      </c>
      <c r="W930" s="336">
        <f t="shared" si="407"/>
        <v>0</v>
      </c>
      <c r="X930" s="336">
        <f t="shared" si="408"/>
        <v>0</v>
      </c>
      <c r="Y930" s="320"/>
      <c r="Z930" s="321" t="str">
        <f t="shared" si="412"/>
        <v>X-BOMA</v>
      </c>
      <c r="AA930" s="321" t="str">
        <f t="shared" si="413"/>
        <v>X-BOME</v>
      </c>
      <c r="AB930" s="321" t="str">
        <f t="shared" si="414"/>
        <v>X-BOMM</v>
      </c>
      <c r="AC930" s="321" t="str">
        <f t="shared" si="415"/>
        <v>X-BOMT</v>
      </c>
      <c r="AD930" s="321" t="str">
        <f t="shared" si="416"/>
        <v>X-BOMS</v>
      </c>
      <c r="AE930" s="321" t="str">
        <f t="shared" si="417"/>
        <v>X-BOMX</v>
      </c>
      <c r="AF930" s="321" t="str">
        <f t="shared" si="418"/>
        <v>X-BOMA</v>
      </c>
      <c r="AG930" s="321">
        <f t="shared" si="409"/>
        <v>3</v>
      </c>
      <c r="AH930" s="321">
        <f>IF(B930&lt;&gt;"",IF(H930="x",VLOOKUP(I930,'AUX-NIV3'!B:AG,32,FALSE),0),"")</f>
        <v>0</v>
      </c>
      <c r="AI930" s="321" t="str">
        <f t="shared" si="419"/>
        <v>X-BOM</v>
      </c>
      <c r="AJ930" s="320"/>
      <c r="AK930" s="322">
        <f t="shared" si="410"/>
        <v>930</v>
      </c>
      <c r="AL930" s="323">
        <f t="shared" si="420"/>
        <v>932</v>
      </c>
      <c r="AM930" s="322">
        <f t="shared" si="421"/>
        <v>1</v>
      </c>
      <c r="AN930" s="380">
        <f>IF(AND(AH930&gt;0,B930&lt;&gt;""),VLOOKUP(I930,'AUX-NIV3'!$B:$AO,39,FALSE)*O930,0)</f>
        <v>0</v>
      </c>
      <c r="AO930" s="380">
        <f t="shared" si="411"/>
        <v>1.8749999999999999E-2</v>
      </c>
      <c r="AP930" s="380"/>
    </row>
    <row r="931" spans="2:42" ht="14.4" hidden="1" thickTop="1" thickBot="1">
      <c r="B931" s="949" t="s">
        <v>2881</v>
      </c>
      <c r="C931" s="325" t="s">
        <v>2882</v>
      </c>
      <c r="D931" s="326" t="s">
        <v>1160</v>
      </c>
      <c r="E931" s="327">
        <f>IF(B931&lt;&gt;"",SUMIF('AUX-NIV1'!I:I,'AUX-NIV2'!B931,'AUX-NIV1'!Q:Q),"")</f>
        <v>0</v>
      </c>
      <c r="F931" s="327">
        <f t="shared" si="401"/>
        <v>17.808108019312606</v>
      </c>
      <c r="G931" s="327">
        <f t="shared" si="402"/>
        <v>0</v>
      </c>
      <c r="H931" s="328" t="str">
        <f t="shared" si="422"/>
        <v>E</v>
      </c>
      <c r="I931" s="325" t="s">
        <v>1602</v>
      </c>
      <c r="J931" s="329" t="str">
        <f>IF(B931&lt;&gt;"",+VLOOKUP(I931,Recursos!C:F,2,FALSE),"")</f>
        <v>MOTOBOMBA 10 HP (100 M3/HORA)</v>
      </c>
      <c r="K931" s="330" t="str">
        <f>IF(B931&lt;&gt;"",+VLOOKUP(I931,Recursos!C:F,3,FALSE),"")</f>
        <v>HR</v>
      </c>
      <c r="L931" s="446">
        <f>IF(B931&lt;&gt;"",+VLOOKUP(I931,Recursos!C:F,4,FALSE),"")</f>
        <v>195.732</v>
      </c>
      <c r="M931" s="452">
        <v>20</v>
      </c>
      <c r="N931" s="453">
        <v>1</v>
      </c>
      <c r="O931" s="449">
        <f>+N931/M931</f>
        <v>0.05</v>
      </c>
      <c r="P931" s="333">
        <f t="shared" si="398"/>
        <v>9.7866</v>
      </c>
      <c r="Q931" s="327">
        <f t="shared" si="399"/>
        <v>0</v>
      </c>
      <c r="R931" s="334">
        <f t="shared" si="400"/>
        <v>0</v>
      </c>
      <c r="S931" s="335">
        <f t="shared" si="403"/>
        <v>7.921508019312606</v>
      </c>
      <c r="T931" s="335">
        <f t="shared" si="404"/>
        <v>9.7866</v>
      </c>
      <c r="U931" s="336">
        <f t="shared" si="405"/>
        <v>0.1</v>
      </c>
      <c r="V931" s="336">
        <f t="shared" si="406"/>
        <v>0</v>
      </c>
      <c r="W931" s="336">
        <f t="shared" si="407"/>
        <v>0</v>
      </c>
      <c r="X931" s="336">
        <f t="shared" si="408"/>
        <v>0</v>
      </c>
      <c r="Y931" s="320"/>
      <c r="Z931" s="321" t="str">
        <f t="shared" si="412"/>
        <v>X-BOMA</v>
      </c>
      <c r="AA931" s="321" t="str">
        <f t="shared" si="413"/>
        <v>X-BOME</v>
      </c>
      <c r="AB931" s="321" t="str">
        <f t="shared" si="414"/>
        <v>X-BOMM</v>
      </c>
      <c r="AC931" s="321" t="str">
        <f t="shared" si="415"/>
        <v>X-BOMT</v>
      </c>
      <c r="AD931" s="321" t="str">
        <f t="shared" si="416"/>
        <v>X-BOMS</v>
      </c>
      <c r="AE931" s="321" t="str">
        <f t="shared" si="417"/>
        <v>X-BOMX</v>
      </c>
      <c r="AF931" s="321" t="str">
        <f t="shared" si="418"/>
        <v>X-BOME</v>
      </c>
      <c r="AG931" s="321">
        <f t="shared" si="409"/>
        <v>3</v>
      </c>
      <c r="AH931" s="321">
        <f>IF(B931&lt;&gt;"",IF(H931="x",VLOOKUP(I931,'AUX-NIV3'!B:AG,32,FALSE),0),"")</f>
        <v>0</v>
      </c>
      <c r="AI931" s="321" t="str">
        <f t="shared" si="419"/>
        <v>X-BOM</v>
      </c>
      <c r="AJ931" s="320"/>
      <c r="AK931" s="322">
        <f t="shared" si="410"/>
        <v>930</v>
      </c>
      <c r="AL931" s="323">
        <f t="shared" si="420"/>
        <v>932</v>
      </c>
      <c r="AM931" s="322">
        <f t="shared" si="421"/>
        <v>2</v>
      </c>
      <c r="AN931" s="380">
        <f>IF(AND(AH931&gt;0,B931&lt;&gt;""),VLOOKUP(I931,'AUX-NIV3'!$B:$AO,39,FALSE)*O931,0)</f>
        <v>0</v>
      </c>
      <c r="AO931" s="380">
        <f t="shared" si="411"/>
        <v>1.8749999999999999E-2</v>
      </c>
      <c r="AP931" s="380"/>
    </row>
    <row r="932" spans="2:42" ht="13.8" hidden="1" thickBot="1">
      <c r="B932" s="949" t="s">
        <v>2881</v>
      </c>
      <c r="C932" s="325" t="s">
        <v>2882</v>
      </c>
      <c r="D932" s="326" t="s">
        <v>1160</v>
      </c>
      <c r="E932" s="327">
        <f>IF(B932&lt;&gt;"",SUMIF('AUX-NIV1'!I:I,'AUX-NIV2'!B932,'AUX-NIV1'!Q:Q),"")</f>
        <v>0</v>
      </c>
      <c r="F932" s="327">
        <f t="shared" si="401"/>
        <v>17.808108019312606</v>
      </c>
      <c r="G932" s="327">
        <f t="shared" si="402"/>
        <v>0</v>
      </c>
      <c r="H932" s="328" t="str">
        <f t="shared" si="422"/>
        <v>M</v>
      </c>
      <c r="I932" s="325" t="s">
        <v>621</v>
      </c>
      <c r="J932" s="329" t="str">
        <f>IF(B932&lt;&gt;"",+VLOOKUP(I932,Recursos!C:F,2,FALSE),"")</f>
        <v>MATERIALES VARIOS</v>
      </c>
      <c r="K932" s="330" t="str">
        <f>IF(B932&lt;&gt;"",+VLOOKUP(I932,Recursos!C:F,3,FALSE),"")</f>
        <v>GL</v>
      </c>
      <c r="L932" s="446">
        <f>IF(B932&lt;&gt;"",+VLOOKUP(I932,Recursos!C:F,4,FALSE),"")</f>
        <v>0.5</v>
      </c>
      <c r="M932" s="450">
        <v>0.2</v>
      </c>
      <c r="N932" s="451">
        <v>1</v>
      </c>
      <c r="O932" s="449">
        <f>+M932*N932</f>
        <v>0.2</v>
      </c>
      <c r="P932" s="333">
        <f t="shared" si="398"/>
        <v>0.1</v>
      </c>
      <c r="Q932" s="327">
        <f t="shared" si="399"/>
        <v>0</v>
      </c>
      <c r="R932" s="334">
        <f t="shared" si="400"/>
        <v>0</v>
      </c>
      <c r="S932" s="335">
        <f t="shared" si="403"/>
        <v>7.921508019312606</v>
      </c>
      <c r="T932" s="335">
        <f t="shared" si="404"/>
        <v>9.7866</v>
      </c>
      <c r="U932" s="336">
        <f t="shared" si="405"/>
        <v>0.1</v>
      </c>
      <c r="V932" s="336">
        <f t="shared" si="406"/>
        <v>0</v>
      </c>
      <c r="W932" s="336">
        <f t="shared" si="407"/>
        <v>0</v>
      </c>
      <c r="X932" s="336">
        <f t="shared" si="408"/>
        <v>0</v>
      </c>
      <c r="Y932" s="320"/>
      <c r="Z932" s="321" t="str">
        <f t="shared" si="412"/>
        <v>X-BOMA</v>
      </c>
      <c r="AA932" s="321" t="str">
        <f t="shared" si="413"/>
        <v>X-BOME</v>
      </c>
      <c r="AB932" s="321" t="str">
        <f t="shared" si="414"/>
        <v>X-BOMM</v>
      </c>
      <c r="AC932" s="321" t="str">
        <f t="shared" si="415"/>
        <v>X-BOMT</v>
      </c>
      <c r="AD932" s="321" t="str">
        <f t="shared" si="416"/>
        <v>X-BOMS</v>
      </c>
      <c r="AE932" s="321" t="str">
        <f t="shared" si="417"/>
        <v>X-BOMX</v>
      </c>
      <c r="AF932" s="321" t="str">
        <f t="shared" si="418"/>
        <v>X-BOMM</v>
      </c>
      <c r="AG932" s="321">
        <f t="shared" si="409"/>
        <v>3</v>
      </c>
      <c r="AH932" s="321">
        <f>IF(B932&lt;&gt;"",IF(H932="x",VLOOKUP(I932,'AUX-NIV3'!B:AG,32,FALSE),0),"")</f>
        <v>0</v>
      </c>
      <c r="AI932" s="321" t="str">
        <f t="shared" si="419"/>
        <v>X-BOM</v>
      </c>
      <c r="AJ932" s="320"/>
      <c r="AK932" s="322">
        <f t="shared" si="410"/>
        <v>930</v>
      </c>
      <c r="AL932" s="323">
        <f t="shared" si="420"/>
        <v>932</v>
      </c>
      <c r="AM932" s="322">
        <f t="shared" si="421"/>
        <v>3</v>
      </c>
      <c r="AN932" s="380">
        <f>IF(AND(AH932&gt;0,B932&lt;&gt;""),VLOOKUP(I932,'AUX-NIV3'!$B:$AO,39,FALSE)*O932,0)</f>
        <v>0</v>
      </c>
      <c r="AO932" s="380">
        <f t="shared" si="411"/>
        <v>1.8749999999999999E-2</v>
      </c>
      <c r="AP932" s="380"/>
    </row>
    <row r="933" spans="2:42" ht="13.8" thickTop="1">
      <c r="B933" s="501" t="s">
        <v>2883</v>
      </c>
      <c r="C933" s="951" t="s">
        <v>2854</v>
      </c>
      <c r="D933" s="326" t="s">
        <v>441</v>
      </c>
      <c r="E933" s="327">
        <f>IF(B933&lt;&gt;"",SUMIF('AUX-NIV1'!I:I,'AUX-NIV2'!B933,'AUX-NIV1'!Q:Q),"")</f>
        <v>0.23030263157894737</v>
      </c>
      <c r="F933" s="327">
        <f t="shared" si="401"/>
        <v>17428.113426266111</v>
      </c>
      <c r="G933" s="327">
        <f t="shared" si="402"/>
        <v>4013.7403855254697</v>
      </c>
      <c r="H933" s="328" t="str">
        <f t="shared" si="422"/>
        <v>A</v>
      </c>
      <c r="I933" s="325" t="s">
        <v>1745</v>
      </c>
      <c r="J933" s="329" t="str">
        <f>IF(B933&lt;&gt;"",+VLOOKUP(I933,Recursos!C:F,2,FALSE),"")</f>
        <v>AYUDANTE</v>
      </c>
      <c r="K933" s="330" t="str">
        <f>IF(B933&lt;&gt;"",+VLOOKUP(I933,Recursos!C:F,3,FALSE),"")</f>
        <v>hh</v>
      </c>
      <c r="L933" s="327">
        <f>IF(B933&lt;&gt;"",+VLOOKUP(I933,Recursos!C:F,4,FALSE),"")</f>
        <v>422.48042769667234</v>
      </c>
      <c r="M933" s="514"/>
      <c r="N933" s="453">
        <v>5</v>
      </c>
      <c r="O933" s="449">
        <f>+N933</f>
        <v>5</v>
      </c>
      <c r="P933" s="333">
        <f t="shared" si="398"/>
        <v>2112.4021384833618</v>
      </c>
      <c r="Q933" s="327">
        <f t="shared" si="399"/>
        <v>1.1515131578947368</v>
      </c>
      <c r="R933" s="334">
        <f t="shared" si="400"/>
        <v>486.49177144571422</v>
      </c>
      <c r="S933" s="335">
        <f t="shared" si="403"/>
        <v>17019.880770266111</v>
      </c>
      <c r="T933" s="335">
        <f t="shared" si="404"/>
        <v>408.23265599999996</v>
      </c>
      <c r="U933" s="336">
        <f t="shared" si="405"/>
        <v>0</v>
      </c>
      <c r="V933" s="336">
        <f t="shared" si="406"/>
        <v>0</v>
      </c>
      <c r="W933" s="336">
        <f t="shared" si="407"/>
        <v>0</v>
      </c>
      <c r="X933" s="336">
        <f t="shared" si="408"/>
        <v>0</v>
      </c>
      <c r="Y933" s="320"/>
      <c r="Z933" s="321" t="str">
        <f t="shared" si="412"/>
        <v>X-CDAA</v>
      </c>
      <c r="AA933" s="321" t="str">
        <f t="shared" si="413"/>
        <v>X-CDAE</v>
      </c>
      <c r="AB933" s="321" t="str">
        <f t="shared" si="414"/>
        <v>X-CDAM</v>
      </c>
      <c r="AC933" s="321" t="str">
        <f t="shared" si="415"/>
        <v>X-CDAT</v>
      </c>
      <c r="AD933" s="321" t="str">
        <f t="shared" si="416"/>
        <v>X-CDAS</v>
      </c>
      <c r="AE933" s="321" t="str">
        <f t="shared" si="417"/>
        <v>X-CDAX</v>
      </c>
      <c r="AF933" s="321" t="str">
        <f t="shared" si="418"/>
        <v>X-CDAA</v>
      </c>
      <c r="AG933" s="321">
        <f t="shared" si="409"/>
        <v>4</v>
      </c>
      <c r="AH933" s="321">
        <f>IF(B933&lt;&gt;"",IF(H933="x",VLOOKUP(I933,'AUX-NIV3'!B:AG,32,FALSE),0),"")</f>
        <v>0</v>
      </c>
      <c r="AI933" s="321" t="str">
        <f t="shared" si="419"/>
        <v>X-CDA</v>
      </c>
      <c r="AJ933" s="320"/>
      <c r="AK933" s="322">
        <f t="shared" si="410"/>
        <v>933</v>
      </c>
      <c r="AL933" s="323">
        <f t="shared" si="420"/>
        <v>936</v>
      </c>
      <c r="AM933" s="322">
        <f t="shared" si="421"/>
        <v>1</v>
      </c>
      <c r="AN933" s="380">
        <f>IF(AND(AH933&gt;0,B933&lt;&gt;""),VLOOKUP(I933,'AUX-NIV3'!$B:$AO,39,FALSE)*O933,0)</f>
        <v>0</v>
      </c>
      <c r="AO933" s="380">
        <f t="shared" si="411"/>
        <v>35</v>
      </c>
      <c r="AP933" s="380"/>
    </row>
    <row r="934" spans="2:42">
      <c r="B934" s="501" t="s">
        <v>2883</v>
      </c>
      <c r="C934" s="951" t="s">
        <v>2854</v>
      </c>
      <c r="D934" s="326" t="s">
        <v>441</v>
      </c>
      <c r="E934" s="327">
        <f>IF(B934&lt;&gt;"",SUMIF('AUX-NIV1'!I:I,'AUX-NIV2'!B934,'AUX-NIV1'!Q:Q),"")</f>
        <v>0.23030263157894737</v>
      </c>
      <c r="F934" s="327">
        <f t="shared" si="401"/>
        <v>17428.113426266111</v>
      </c>
      <c r="G934" s="327">
        <f t="shared" si="402"/>
        <v>4013.7403855254697</v>
      </c>
      <c r="H934" s="328" t="str">
        <f t="shared" si="422"/>
        <v>A</v>
      </c>
      <c r="I934" s="325" t="s">
        <v>1746</v>
      </c>
      <c r="J934" s="329" t="str">
        <f>IF(B934&lt;&gt;"",+VLOOKUP(I934,Recursos!C:F,2,FALSE),"")</f>
        <v>OFICIAL</v>
      </c>
      <c r="K934" s="330" t="str">
        <f>IF(B934&lt;&gt;"",+VLOOKUP(I934,Recursos!C:F,3,FALSE),"")</f>
        <v>hh</v>
      </c>
      <c r="L934" s="327">
        <f>IF(B934&lt;&gt;"",+VLOOKUP(I934,Recursos!C:F,4,FALSE),"")</f>
        <v>496.91595439275824</v>
      </c>
      <c r="M934" s="454"/>
      <c r="N934" s="453">
        <v>15</v>
      </c>
      <c r="O934" s="449">
        <f>+N934</f>
        <v>15</v>
      </c>
      <c r="P934" s="333">
        <f t="shared" si="398"/>
        <v>7453.7393158913737</v>
      </c>
      <c r="Q934" s="327">
        <f t="shared" si="399"/>
        <v>3.4545394736842105</v>
      </c>
      <c r="R934" s="334">
        <f t="shared" si="400"/>
        <v>1716.6157795532463</v>
      </c>
      <c r="S934" s="335">
        <f t="shared" si="403"/>
        <v>17019.880770266111</v>
      </c>
      <c r="T934" s="335">
        <f t="shared" si="404"/>
        <v>408.23265599999996</v>
      </c>
      <c r="U934" s="336">
        <f t="shared" si="405"/>
        <v>0</v>
      </c>
      <c r="V934" s="336">
        <f t="shared" si="406"/>
        <v>0</v>
      </c>
      <c r="W934" s="336">
        <f t="shared" si="407"/>
        <v>0</v>
      </c>
      <c r="X934" s="336">
        <f t="shared" si="408"/>
        <v>0</v>
      </c>
      <c r="Y934" s="320"/>
      <c r="Z934" s="321" t="str">
        <f t="shared" si="412"/>
        <v>X-CDAA</v>
      </c>
      <c r="AA934" s="321" t="str">
        <f t="shared" si="413"/>
        <v>X-CDAE</v>
      </c>
      <c r="AB934" s="321" t="str">
        <f t="shared" si="414"/>
        <v>X-CDAM</v>
      </c>
      <c r="AC934" s="321" t="str">
        <f t="shared" si="415"/>
        <v>X-CDAT</v>
      </c>
      <c r="AD934" s="321" t="str">
        <f t="shared" si="416"/>
        <v>X-CDAS</v>
      </c>
      <c r="AE934" s="321" t="str">
        <f t="shared" si="417"/>
        <v>X-CDAX</v>
      </c>
      <c r="AF934" s="321" t="str">
        <f t="shared" si="418"/>
        <v>X-CDAA</v>
      </c>
      <c r="AG934" s="321">
        <f t="shared" si="409"/>
        <v>4</v>
      </c>
      <c r="AH934" s="321">
        <f>IF(B934&lt;&gt;"",IF(H934="x",VLOOKUP(I934,'AUX-NIV3'!B:AG,32,FALSE),0),"")</f>
        <v>0</v>
      </c>
      <c r="AI934" s="321" t="str">
        <f t="shared" si="419"/>
        <v>X-CDA</v>
      </c>
      <c r="AJ934" s="320"/>
      <c r="AK934" s="322">
        <f t="shared" si="410"/>
        <v>933</v>
      </c>
      <c r="AL934" s="323">
        <f t="shared" si="420"/>
        <v>936</v>
      </c>
      <c r="AM934" s="322">
        <f t="shared" si="421"/>
        <v>2</v>
      </c>
      <c r="AN934" s="380">
        <f>IF(AND(AH934&gt;0,B934&lt;&gt;""),VLOOKUP(I934,'AUX-NIV3'!$B:$AO,39,FALSE)*O934,0)</f>
        <v>0</v>
      </c>
      <c r="AO934" s="380">
        <f t="shared" si="411"/>
        <v>35</v>
      </c>
      <c r="AP934" s="380"/>
    </row>
    <row r="935" spans="2:42">
      <c r="B935" s="501" t="s">
        <v>2883</v>
      </c>
      <c r="C935" s="951" t="s">
        <v>2854</v>
      </c>
      <c r="D935" s="326" t="s">
        <v>441</v>
      </c>
      <c r="E935" s="327">
        <f>IF(B935&lt;&gt;"",SUMIF('AUX-NIV1'!I:I,'AUX-NIV2'!B935,'AUX-NIV1'!Q:Q),"")</f>
        <v>0.23030263157894737</v>
      </c>
      <c r="F935" s="327">
        <f t="shared" si="401"/>
        <v>17428.113426266111</v>
      </c>
      <c r="G935" s="327">
        <f t="shared" si="402"/>
        <v>4013.7403855254697</v>
      </c>
      <c r="H935" s="328" t="str">
        <f t="shared" si="422"/>
        <v>A</v>
      </c>
      <c r="I935" s="325" t="s">
        <v>1746</v>
      </c>
      <c r="J935" s="329" t="str">
        <f>IF(B935&lt;&gt;"",+VLOOKUP(I935,Recursos!C:F,2,FALSE),"")</f>
        <v>OFICIAL</v>
      </c>
      <c r="K935" s="330" t="str">
        <f>IF(B935&lt;&gt;"",+VLOOKUP(I935,Recursos!C:F,3,FALSE),"")</f>
        <v>hh</v>
      </c>
      <c r="L935" s="327">
        <f>IF(B935&lt;&gt;"",+VLOOKUP(I935,Recursos!C:F,4,FALSE),"")</f>
        <v>496.91595439275824</v>
      </c>
      <c r="M935" s="454"/>
      <c r="N935" s="453">
        <v>15</v>
      </c>
      <c r="O935" s="449">
        <f>+N935</f>
        <v>15</v>
      </c>
      <c r="P935" s="333">
        <f t="shared" si="398"/>
        <v>7453.7393158913737</v>
      </c>
      <c r="Q935" s="327">
        <f t="shared" si="399"/>
        <v>3.4545394736842105</v>
      </c>
      <c r="R935" s="334">
        <f t="shared" si="400"/>
        <v>1716.6157795532463</v>
      </c>
      <c r="S935" s="335">
        <f t="shared" si="403"/>
        <v>17019.880770266111</v>
      </c>
      <c r="T935" s="335">
        <f t="shared" si="404"/>
        <v>408.23265599999996</v>
      </c>
      <c r="U935" s="336">
        <f t="shared" si="405"/>
        <v>0</v>
      </c>
      <c r="V935" s="336">
        <f t="shared" si="406"/>
        <v>0</v>
      </c>
      <c r="W935" s="336">
        <f t="shared" si="407"/>
        <v>0</v>
      </c>
      <c r="X935" s="336">
        <f t="shared" si="408"/>
        <v>0</v>
      </c>
      <c r="Y935" s="320"/>
      <c r="Z935" s="321" t="str">
        <f t="shared" si="412"/>
        <v>X-CDAA</v>
      </c>
      <c r="AA935" s="321" t="str">
        <f t="shared" si="413"/>
        <v>X-CDAE</v>
      </c>
      <c r="AB935" s="321" t="str">
        <f t="shared" si="414"/>
        <v>X-CDAM</v>
      </c>
      <c r="AC935" s="321" t="str">
        <f t="shared" si="415"/>
        <v>X-CDAT</v>
      </c>
      <c r="AD935" s="321" t="str">
        <f t="shared" si="416"/>
        <v>X-CDAS</v>
      </c>
      <c r="AE935" s="321" t="str">
        <f t="shared" si="417"/>
        <v>X-CDAX</v>
      </c>
      <c r="AF935" s="321" t="str">
        <f t="shared" si="418"/>
        <v>X-CDAA</v>
      </c>
      <c r="AG935" s="321">
        <f t="shared" si="409"/>
        <v>4</v>
      </c>
      <c r="AH935" s="321">
        <f>IF(B935&lt;&gt;"",IF(H935="x",VLOOKUP(I935,'AUX-NIV3'!B:AG,32,FALSE),0),"")</f>
        <v>0</v>
      </c>
      <c r="AI935" s="321" t="str">
        <f t="shared" si="419"/>
        <v>X-CDA</v>
      </c>
      <c r="AJ935" s="320"/>
      <c r="AK935" s="322">
        <f t="shared" si="410"/>
        <v>933</v>
      </c>
      <c r="AL935" s="323">
        <f t="shared" si="420"/>
        <v>936</v>
      </c>
      <c r="AM935" s="322">
        <f t="shared" si="421"/>
        <v>3</v>
      </c>
      <c r="AN935" s="380">
        <f>IF(AND(AH935&gt;0,B935&lt;&gt;""),VLOOKUP(I935,'AUX-NIV3'!$B:$AO,39,FALSE)*O935,0)</f>
        <v>0</v>
      </c>
      <c r="AO935" s="380">
        <f t="shared" si="411"/>
        <v>35</v>
      </c>
      <c r="AP935" s="380"/>
    </row>
    <row r="936" spans="2:42" ht="13.8" thickBot="1">
      <c r="B936" s="501" t="s">
        <v>2883</v>
      </c>
      <c r="C936" s="951" t="s">
        <v>2854</v>
      </c>
      <c r="D936" s="326" t="s">
        <v>441</v>
      </c>
      <c r="E936" s="327">
        <f>IF(B936&lt;&gt;"",SUMIF('AUX-NIV1'!I:I,'AUX-NIV2'!B936,'AUX-NIV1'!Q:Q),"")</f>
        <v>0.23030263157894737</v>
      </c>
      <c r="F936" s="327">
        <f t="shared" si="401"/>
        <v>17428.113426266111</v>
      </c>
      <c r="G936" s="327">
        <f t="shared" si="402"/>
        <v>4013.7403855254697</v>
      </c>
      <c r="H936" s="328" t="str">
        <f t="shared" si="422"/>
        <v>E</v>
      </c>
      <c r="I936" s="325" t="s">
        <v>1740</v>
      </c>
      <c r="J936" s="329" t="str">
        <f>IF(B936&lt;&gt;"",+VLOOKUP(I936,Recursos!C:F,2,FALSE),"")</f>
        <v>CORTADORA Y DOBLADORA Fe 1 T/h</v>
      </c>
      <c r="K936" s="330" t="str">
        <f>IF(B936&lt;&gt;"",+VLOOKUP(I936,Recursos!C:F,3,FALSE),"")</f>
        <v>HR</v>
      </c>
      <c r="L936" s="327">
        <f>IF(B936&lt;&gt;"",+VLOOKUP(I936,Recursos!C:F,4,FALSE),"")</f>
        <v>340.19387999999998</v>
      </c>
      <c r="M936" s="456"/>
      <c r="N936" s="451">
        <v>1.2</v>
      </c>
      <c r="O936" s="449">
        <f>+N936</f>
        <v>1.2</v>
      </c>
      <c r="P936" s="333">
        <f t="shared" si="398"/>
        <v>408.23265599999996</v>
      </c>
      <c r="Q936" s="327">
        <f t="shared" si="399"/>
        <v>0.27636315789473681</v>
      </c>
      <c r="R936" s="334">
        <f t="shared" si="400"/>
        <v>94.017054973263143</v>
      </c>
      <c r="S936" s="335">
        <f t="shared" si="403"/>
        <v>17019.880770266111</v>
      </c>
      <c r="T936" s="335">
        <f t="shared" si="404"/>
        <v>408.23265599999996</v>
      </c>
      <c r="U936" s="336">
        <f t="shared" si="405"/>
        <v>0</v>
      </c>
      <c r="V936" s="336">
        <f t="shared" si="406"/>
        <v>0</v>
      </c>
      <c r="W936" s="336">
        <f t="shared" si="407"/>
        <v>0</v>
      </c>
      <c r="X936" s="336">
        <f t="shared" si="408"/>
        <v>0</v>
      </c>
      <c r="Y936" s="320"/>
      <c r="Z936" s="321" t="str">
        <f t="shared" si="412"/>
        <v>X-CDAA</v>
      </c>
      <c r="AA936" s="321" t="str">
        <f t="shared" si="413"/>
        <v>X-CDAE</v>
      </c>
      <c r="AB936" s="321" t="str">
        <f t="shared" si="414"/>
        <v>X-CDAM</v>
      </c>
      <c r="AC936" s="321" t="str">
        <f t="shared" si="415"/>
        <v>X-CDAT</v>
      </c>
      <c r="AD936" s="321" t="str">
        <f t="shared" si="416"/>
        <v>X-CDAS</v>
      </c>
      <c r="AE936" s="321" t="str">
        <f t="shared" si="417"/>
        <v>X-CDAX</v>
      </c>
      <c r="AF936" s="321" t="str">
        <f t="shared" si="418"/>
        <v>X-CDAE</v>
      </c>
      <c r="AG936" s="321">
        <f t="shared" si="409"/>
        <v>4</v>
      </c>
      <c r="AH936" s="321">
        <f>IF(B936&lt;&gt;"",IF(H936="x",VLOOKUP(I936,'AUX-NIV3'!B:AG,32,FALSE),0),"")</f>
        <v>0</v>
      </c>
      <c r="AI936" s="321" t="str">
        <f t="shared" si="419"/>
        <v>X-CDA</v>
      </c>
      <c r="AJ936" s="320"/>
      <c r="AK936" s="322">
        <f t="shared" si="410"/>
        <v>933</v>
      </c>
      <c r="AL936" s="323">
        <f t="shared" si="420"/>
        <v>936</v>
      </c>
      <c r="AM936" s="322">
        <f t="shared" si="421"/>
        <v>4</v>
      </c>
      <c r="AN936" s="380">
        <f>IF(AND(AH936&gt;0,B936&lt;&gt;""),VLOOKUP(I936,'AUX-NIV3'!$B:$AO,39,FALSE)*O936,0)</f>
        <v>0</v>
      </c>
      <c r="AO936" s="380">
        <f t="shared" si="411"/>
        <v>35</v>
      </c>
      <c r="AP936" s="380"/>
    </row>
    <row r="937" spans="2:42" ht="13.8" thickTop="1">
      <c r="B937" s="501" t="s">
        <v>2884</v>
      </c>
      <c r="C937" s="951" t="s">
        <v>2885</v>
      </c>
      <c r="D937" s="326" t="s">
        <v>441</v>
      </c>
      <c r="E937" s="327">
        <f>IF(B937&lt;&gt;"",SUMIF('AUX-NIV1'!I:I,'AUX-NIV2'!B937,'AUX-NIV1'!Q:Q),"")</f>
        <v>0</v>
      </c>
      <c r="F937" s="327">
        <f t="shared" si="401"/>
        <v>51380.730969341719</v>
      </c>
      <c r="G937" s="327">
        <f t="shared" si="402"/>
        <v>0</v>
      </c>
      <c r="H937" s="328" t="str">
        <f t="shared" si="422"/>
        <v>A</v>
      </c>
      <c r="I937" s="325" t="s">
        <v>1745</v>
      </c>
      <c r="J937" s="329" t="str">
        <f>IF(B937&lt;&gt;"",+VLOOKUP(I937,Recursos!C:F,2,FALSE),"")</f>
        <v>AYUDANTE</v>
      </c>
      <c r="K937" s="330" t="str">
        <f>IF(B937&lt;&gt;"",+VLOOKUP(I937,Recursos!C:F,3,FALSE),"")</f>
        <v>hh</v>
      </c>
      <c r="L937" s="446">
        <f>IF(B937&lt;&gt;"",+VLOOKUP(I937,Recursos!C:F,4,FALSE),"")</f>
        <v>422.48042769667234</v>
      </c>
      <c r="M937" s="447">
        <v>25</v>
      </c>
      <c r="N937" s="515"/>
      <c r="O937" s="449">
        <f t="shared" ref="O937:O953" si="423">+M937</f>
        <v>25</v>
      </c>
      <c r="P937" s="333">
        <f t="shared" si="398"/>
        <v>10562.010692416809</v>
      </c>
      <c r="Q937" s="327">
        <f t="shared" si="399"/>
        <v>0</v>
      </c>
      <c r="R937" s="334">
        <f t="shared" si="400"/>
        <v>0</v>
      </c>
      <c r="S937" s="335">
        <f t="shared" si="403"/>
        <v>36669.987167688829</v>
      </c>
      <c r="T937" s="335">
        <f t="shared" si="404"/>
        <v>0</v>
      </c>
      <c r="U937" s="336">
        <f t="shared" si="405"/>
        <v>14710.743801652894</v>
      </c>
      <c r="V937" s="336">
        <f t="shared" si="406"/>
        <v>0</v>
      </c>
      <c r="W937" s="336">
        <f t="shared" si="407"/>
        <v>0</v>
      </c>
      <c r="X937" s="336">
        <f t="shared" si="408"/>
        <v>0</v>
      </c>
      <c r="Y937" s="320"/>
      <c r="Z937" s="321" t="str">
        <f t="shared" si="412"/>
        <v>X-CAMA</v>
      </c>
      <c r="AA937" s="321" t="str">
        <f t="shared" si="413"/>
        <v>X-CAME</v>
      </c>
      <c r="AB937" s="321" t="str">
        <f t="shared" si="414"/>
        <v>X-CAMM</v>
      </c>
      <c r="AC937" s="321" t="str">
        <f t="shared" si="415"/>
        <v>X-CAMT</v>
      </c>
      <c r="AD937" s="321" t="str">
        <f t="shared" si="416"/>
        <v>X-CAMS</v>
      </c>
      <c r="AE937" s="321" t="str">
        <f t="shared" si="417"/>
        <v>X-CAMX</v>
      </c>
      <c r="AF937" s="321" t="str">
        <f t="shared" si="418"/>
        <v>X-CAMA</v>
      </c>
      <c r="AG937" s="321">
        <f t="shared" si="409"/>
        <v>8</v>
      </c>
      <c r="AH937" s="321">
        <f>IF(B937&lt;&gt;"",IF(H937="x",VLOOKUP(I937,'AUX-NIV3'!B:AG,32,FALSE),0),"")</f>
        <v>0</v>
      </c>
      <c r="AI937" s="321" t="str">
        <f t="shared" si="419"/>
        <v>X-CAM</v>
      </c>
      <c r="AJ937" s="320"/>
      <c r="AK937" s="322">
        <f t="shared" si="410"/>
        <v>937</v>
      </c>
      <c r="AL937" s="323">
        <f t="shared" si="420"/>
        <v>944</v>
      </c>
      <c r="AM937" s="322">
        <f t="shared" si="421"/>
        <v>1</v>
      </c>
      <c r="AN937" s="380">
        <f>IF(AND(AH937&gt;0,B937&lt;&gt;""),VLOOKUP(I937,'AUX-NIV3'!$B:$AO,39,FALSE)*O937,0)</f>
        <v>0</v>
      </c>
      <c r="AO937" s="380">
        <f t="shared" si="411"/>
        <v>75</v>
      </c>
      <c r="AP937" s="380"/>
    </row>
    <row r="938" spans="2:42">
      <c r="B938" s="501" t="s">
        <v>2884</v>
      </c>
      <c r="C938" s="951" t="s">
        <v>2885</v>
      </c>
      <c r="D938" s="326" t="s">
        <v>441</v>
      </c>
      <c r="E938" s="327">
        <f>IF(B938&lt;&gt;"",SUMIF('AUX-NIV1'!I:I,'AUX-NIV2'!B938,'AUX-NIV1'!Q:Q),"")</f>
        <v>0</v>
      </c>
      <c r="F938" s="327">
        <f t="shared" si="401"/>
        <v>51380.730969341719</v>
      </c>
      <c r="G938" s="327">
        <f t="shared" si="402"/>
        <v>0</v>
      </c>
      <c r="H938" s="328" t="str">
        <f t="shared" si="422"/>
        <v>A</v>
      </c>
      <c r="I938" s="325" t="s">
        <v>1746</v>
      </c>
      <c r="J938" s="329" t="str">
        <f>IF(B938&lt;&gt;"",+VLOOKUP(I938,Recursos!C:F,2,FALSE),"")</f>
        <v>OFICIAL</v>
      </c>
      <c r="K938" s="330" t="str">
        <f>IF(B938&lt;&gt;"",+VLOOKUP(I938,Recursos!C:F,3,FALSE),"")</f>
        <v>hh</v>
      </c>
      <c r="L938" s="446">
        <f>IF(B938&lt;&gt;"",+VLOOKUP(I938,Recursos!C:F,4,FALSE),"")</f>
        <v>496.91595439275824</v>
      </c>
      <c r="M938" s="452">
        <v>20</v>
      </c>
      <c r="N938" s="455"/>
      <c r="O938" s="449">
        <f t="shared" si="423"/>
        <v>20</v>
      </c>
      <c r="P938" s="333">
        <f t="shared" si="398"/>
        <v>9938.319087855165</v>
      </c>
      <c r="Q938" s="327">
        <f t="shared" si="399"/>
        <v>0</v>
      </c>
      <c r="R938" s="334">
        <f t="shared" si="400"/>
        <v>0</v>
      </c>
      <c r="S938" s="335">
        <f t="shared" si="403"/>
        <v>36669.987167688829</v>
      </c>
      <c r="T938" s="335">
        <f t="shared" si="404"/>
        <v>0</v>
      </c>
      <c r="U938" s="336">
        <f t="shared" si="405"/>
        <v>14710.743801652894</v>
      </c>
      <c r="V938" s="336">
        <f t="shared" si="406"/>
        <v>0</v>
      </c>
      <c r="W938" s="336">
        <f t="shared" si="407"/>
        <v>0</v>
      </c>
      <c r="X938" s="336">
        <f t="shared" si="408"/>
        <v>0</v>
      </c>
      <c r="Y938" s="320"/>
      <c r="Z938" s="321" t="str">
        <f t="shared" si="412"/>
        <v>X-CAMA</v>
      </c>
      <c r="AA938" s="321" t="str">
        <f t="shared" si="413"/>
        <v>X-CAME</v>
      </c>
      <c r="AB938" s="321" t="str">
        <f t="shared" si="414"/>
        <v>X-CAMM</v>
      </c>
      <c r="AC938" s="321" t="str">
        <f t="shared" si="415"/>
        <v>X-CAMT</v>
      </c>
      <c r="AD938" s="321" t="str">
        <f t="shared" si="416"/>
        <v>X-CAMS</v>
      </c>
      <c r="AE938" s="321" t="str">
        <f t="shared" si="417"/>
        <v>X-CAMX</v>
      </c>
      <c r="AF938" s="321" t="str">
        <f t="shared" si="418"/>
        <v>X-CAMA</v>
      </c>
      <c r="AG938" s="321">
        <f t="shared" si="409"/>
        <v>8</v>
      </c>
      <c r="AH938" s="321">
        <f>IF(B938&lt;&gt;"",IF(H938="x",VLOOKUP(I938,'AUX-NIV3'!B:AG,32,FALSE),0),"")</f>
        <v>0</v>
      </c>
      <c r="AI938" s="321" t="str">
        <f t="shared" si="419"/>
        <v>X-CAM</v>
      </c>
      <c r="AJ938" s="320"/>
      <c r="AK938" s="322">
        <f t="shared" si="410"/>
        <v>937</v>
      </c>
      <c r="AL938" s="323">
        <f t="shared" si="420"/>
        <v>944</v>
      </c>
      <c r="AM938" s="322">
        <f t="shared" si="421"/>
        <v>2</v>
      </c>
      <c r="AN938" s="380">
        <f>IF(AND(AH938&gt;0,B938&lt;&gt;""),VLOOKUP(I938,'AUX-NIV3'!$B:$AO,39,FALSE)*O938,0)</f>
        <v>0</v>
      </c>
      <c r="AO938" s="380">
        <f t="shared" si="411"/>
        <v>75</v>
      </c>
      <c r="AP938" s="380"/>
    </row>
    <row r="939" spans="2:42">
      <c r="B939" s="501" t="s">
        <v>2884</v>
      </c>
      <c r="C939" s="951" t="s">
        <v>2885</v>
      </c>
      <c r="D939" s="326" t="s">
        <v>441</v>
      </c>
      <c r="E939" s="327">
        <f>IF(B939&lt;&gt;"",SUMIF('AUX-NIV1'!I:I,'AUX-NIV2'!B939,'AUX-NIV1'!Q:Q),"")</f>
        <v>0</v>
      </c>
      <c r="F939" s="327">
        <f t="shared" si="401"/>
        <v>51380.730969341719</v>
      </c>
      <c r="G939" s="327">
        <f t="shared" si="402"/>
        <v>0</v>
      </c>
      <c r="H939" s="328" t="str">
        <f t="shared" si="422"/>
        <v>A</v>
      </c>
      <c r="I939" s="325" t="s">
        <v>1746</v>
      </c>
      <c r="J939" s="329" t="str">
        <f>IF(B939&lt;&gt;"",+VLOOKUP(I939,Recursos!C:F,2,FALSE),"")</f>
        <v>OFICIAL</v>
      </c>
      <c r="K939" s="330" t="str">
        <f>IF(B939&lt;&gt;"",+VLOOKUP(I939,Recursos!C:F,3,FALSE),"")</f>
        <v>hh</v>
      </c>
      <c r="L939" s="446">
        <f>IF(B939&lt;&gt;"",+VLOOKUP(I939,Recursos!C:F,4,FALSE),"")</f>
        <v>496.91595439275824</v>
      </c>
      <c r="M939" s="452">
        <v>15</v>
      </c>
      <c r="N939" s="455"/>
      <c r="O939" s="449">
        <f t="shared" si="423"/>
        <v>15</v>
      </c>
      <c r="P939" s="333">
        <f t="shared" si="398"/>
        <v>7453.7393158913737</v>
      </c>
      <c r="Q939" s="327">
        <f t="shared" si="399"/>
        <v>0</v>
      </c>
      <c r="R939" s="334">
        <f t="shared" si="400"/>
        <v>0</v>
      </c>
      <c r="S939" s="335">
        <f t="shared" si="403"/>
        <v>36669.987167688829</v>
      </c>
      <c r="T939" s="335">
        <f t="shared" si="404"/>
        <v>0</v>
      </c>
      <c r="U939" s="336">
        <f t="shared" si="405"/>
        <v>14710.743801652894</v>
      </c>
      <c r="V939" s="336">
        <f t="shared" si="406"/>
        <v>0</v>
      </c>
      <c r="W939" s="336">
        <f t="shared" si="407"/>
        <v>0</v>
      </c>
      <c r="X939" s="336">
        <f t="shared" si="408"/>
        <v>0</v>
      </c>
      <c r="Y939" s="320"/>
      <c r="Z939" s="321" t="str">
        <f t="shared" si="412"/>
        <v>X-CAMA</v>
      </c>
      <c r="AA939" s="321" t="str">
        <f t="shared" si="413"/>
        <v>X-CAME</v>
      </c>
      <c r="AB939" s="321" t="str">
        <f t="shared" si="414"/>
        <v>X-CAMM</v>
      </c>
      <c r="AC939" s="321" t="str">
        <f t="shared" si="415"/>
        <v>X-CAMT</v>
      </c>
      <c r="AD939" s="321" t="str">
        <f t="shared" si="416"/>
        <v>X-CAMS</v>
      </c>
      <c r="AE939" s="321" t="str">
        <f t="shared" si="417"/>
        <v>X-CAMX</v>
      </c>
      <c r="AF939" s="321" t="str">
        <f t="shared" si="418"/>
        <v>X-CAMA</v>
      </c>
      <c r="AG939" s="321">
        <f t="shared" si="409"/>
        <v>8</v>
      </c>
      <c r="AH939" s="321">
        <f>IF(B939&lt;&gt;"",IF(H939="x",VLOOKUP(I939,'AUX-NIV3'!B:AG,32,FALSE),0),"")</f>
        <v>0</v>
      </c>
      <c r="AI939" s="321" t="str">
        <f t="shared" si="419"/>
        <v>X-CAM</v>
      </c>
      <c r="AJ939" s="320"/>
      <c r="AK939" s="322">
        <f t="shared" si="410"/>
        <v>937</v>
      </c>
      <c r="AL939" s="323">
        <f t="shared" si="420"/>
        <v>944</v>
      </c>
      <c r="AM939" s="322">
        <f t="shared" si="421"/>
        <v>3</v>
      </c>
      <c r="AN939" s="380">
        <f>IF(AND(AH939&gt;0,B939&lt;&gt;""),VLOOKUP(I939,'AUX-NIV3'!$B:$AO,39,FALSE)*O939,0)</f>
        <v>0</v>
      </c>
      <c r="AO939" s="380">
        <f t="shared" si="411"/>
        <v>75</v>
      </c>
      <c r="AP939" s="380"/>
    </row>
    <row r="940" spans="2:42">
      <c r="B940" s="501" t="s">
        <v>2884</v>
      </c>
      <c r="C940" s="951" t="s">
        <v>2885</v>
      </c>
      <c r="D940" s="326" t="s">
        <v>441</v>
      </c>
      <c r="E940" s="327">
        <f>IF(B940&lt;&gt;"",SUMIF('AUX-NIV1'!I:I,'AUX-NIV2'!B940,'AUX-NIV1'!Q:Q),"")</f>
        <v>0</v>
      </c>
      <c r="F940" s="327">
        <f t="shared" si="401"/>
        <v>51380.730969341719</v>
      </c>
      <c r="G940" s="327">
        <f t="shared" si="402"/>
        <v>0</v>
      </c>
      <c r="H940" s="328" t="str">
        <f t="shared" si="422"/>
        <v>A</v>
      </c>
      <c r="I940" s="325" t="s">
        <v>3310</v>
      </c>
      <c r="J940" s="329" t="str">
        <f>IF(B940&lt;&gt;"",+VLOOKUP(I940,Recursos!C:F,2,FALSE),"")</f>
        <v>OFICIAL ESPECIALIZADO</v>
      </c>
      <c r="K940" s="330" t="str">
        <f>IF(B940&lt;&gt;"",+VLOOKUP(I940,Recursos!C:F,3,FALSE),"")</f>
        <v>hh</v>
      </c>
      <c r="L940" s="446">
        <f>IF(B940&lt;&gt;"",+VLOOKUP(I940,Recursos!C:F,4,FALSE),"")</f>
        <v>581.06120476836554</v>
      </c>
      <c r="M940" s="452">
        <v>10</v>
      </c>
      <c r="N940" s="455"/>
      <c r="O940" s="449">
        <f t="shared" si="423"/>
        <v>10</v>
      </c>
      <c r="P940" s="333">
        <f t="shared" si="398"/>
        <v>5810.612047683655</v>
      </c>
      <c r="Q940" s="327">
        <f t="shared" si="399"/>
        <v>0</v>
      </c>
      <c r="R940" s="334">
        <f t="shared" si="400"/>
        <v>0</v>
      </c>
      <c r="S940" s="335">
        <f t="shared" si="403"/>
        <v>36669.987167688829</v>
      </c>
      <c r="T940" s="335">
        <f t="shared" si="404"/>
        <v>0</v>
      </c>
      <c r="U940" s="336">
        <f t="shared" si="405"/>
        <v>14710.743801652894</v>
      </c>
      <c r="V940" s="336">
        <f t="shared" si="406"/>
        <v>0</v>
      </c>
      <c r="W940" s="336">
        <f t="shared" si="407"/>
        <v>0</v>
      </c>
      <c r="X940" s="336">
        <f t="shared" si="408"/>
        <v>0</v>
      </c>
      <c r="Y940" s="320"/>
      <c r="Z940" s="321" t="str">
        <f t="shared" si="412"/>
        <v>X-CAMA</v>
      </c>
      <c r="AA940" s="321" t="str">
        <f t="shared" si="413"/>
        <v>X-CAME</v>
      </c>
      <c r="AB940" s="321" t="str">
        <f t="shared" si="414"/>
        <v>X-CAMM</v>
      </c>
      <c r="AC940" s="321" t="str">
        <f t="shared" si="415"/>
        <v>X-CAMT</v>
      </c>
      <c r="AD940" s="321" t="str">
        <f t="shared" si="416"/>
        <v>X-CAMS</v>
      </c>
      <c r="AE940" s="321" t="str">
        <f t="shared" si="417"/>
        <v>X-CAMX</v>
      </c>
      <c r="AF940" s="321" t="str">
        <f t="shared" si="418"/>
        <v>X-CAMA</v>
      </c>
      <c r="AG940" s="321">
        <f t="shared" si="409"/>
        <v>8</v>
      </c>
      <c r="AH940" s="321">
        <f>IF(B940&lt;&gt;"",IF(H940="x",VLOOKUP(I940,'AUX-NIV3'!B:AG,32,FALSE),0),"")</f>
        <v>0</v>
      </c>
      <c r="AI940" s="321" t="str">
        <f t="shared" si="419"/>
        <v>X-CAM</v>
      </c>
      <c r="AJ940" s="320"/>
      <c r="AK940" s="322">
        <f t="shared" si="410"/>
        <v>937</v>
      </c>
      <c r="AL940" s="323">
        <f t="shared" si="420"/>
        <v>944</v>
      </c>
      <c r="AM940" s="322">
        <f t="shared" si="421"/>
        <v>4</v>
      </c>
      <c r="AN940" s="380">
        <f>IF(AND(AH940&gt;0,B940&lt;&gt;""),VLOOKUP(I940,'AUX-NIV3'!$B:$AO,39,FALSE)*O940,0)</f>
        <v>0</v>
      </c>
      <c r="AO940" s="380">
        <f t="shared" si="411"/>
        <v>75</v>
      </c>
      <c r="AP940" s="380"/>
    </row>
    <row r="941" spans="2:42">
      <c r="B941" s="501" t="s">
        <v>2884</v>
      </c>
      <c r="C941" s="951" t="s">
        <v>2885</v>
      </c>
      <c r="D941" s="326" t="s">
        <v>441</v>
      </c>
      <c r="E941" s="327">
        <f>IF(B941&lt;&gt;"",SUMIF('AUX-NIV1'!I:I,'AUX-NIV2'!B941,'AUX-NIV1'!Q:Q),"")</f>
        <v>0</v>
      </c>
      <c r="F941" s="327">
        <f t="shared" si="401"/>
        <v>51380.730969341719</v>
      </c>
      <c r="G941" s="327">
        <f t="shared" si="402"/>
        <v>0</v>
      </c>
      <c r="H941" s="328" t="str">
        <f t="shared" si="422"/>
        <v>A</v>
      </c>
      <c r="I941" s="325" t="s">
        <v>3310</v>
      </c>
      <c r="J941" s="329" t="str">
        <f>IF(B941&lt;&gt;"",+VLOOKUP(I941,Recursos!C:F,2,FALSE),"")</f>
        <v>OFICIAL ESPECIALIZADO</v>
      </c>
      <c r="K941" s="330" t="str">
        <f>IF(B941&lt;&gt;"",+VLOOKUP(I941,Recursos!C:F,3,FALSE),"")</f>
        <v>hh</v>
      </c>
      <c r="L941" s="446">
        <f>IF(B941&lt;&gt;"",+VLOOKUP(I941,Recursos!C:F,4,FALSE),"")</f>
        <v>581.06120476836554</v>
      </c>
      <c r="M941" s="452">
        <v>5</v>
      </c>
      <c r="N941" s="455"/>
      <c r="O941" s="449">
        <f t="shared" si="423"/>
        <v>5</v>
      </c>
      <c r="P941" s="333">
        <f t="shared" si="398"/>
        <v>2905.3060238418275</v>
      </c>
      <c r="Q941" s="327">
        <f t="shared" si="399"/>
        <v>0</v>
      </c>
      <c r="R941" s="334">
        <f t="shared" si="400"/>
        <v>0</v>
      </c>
      <c r="S941" s="335">
        <f t="shared" si="403"/>
        <v>36669.987167688829</v>
      </c>
      <c r="T941" s="335">
        <f t="shared" si="404"/>
        <v>0</v>
      </c>
      <c r="U941" s="336">
        <f t="shared" si="405"/>
        <v>14710.743801652894</v>
      </c>
      <c r="V941" s="336">
        <f t="shared" si="406"/>
        <v>0</v>
      </c>
      <c r="W941" s="336">
        <f t="shared" si="407"/>
        <v>0</v>
      </c>
      <c r="X941" s="336">
        <f t="shared" si="408"/>
        <v>0</v>
      </c>
      <c r="Y941" s="320"/>
      <c r="Z941" s="321" t="str">
        <f t="shared" si="412"/>
        <v>X-CAMA</v>
      </c>
      <c r="AA941" s="321" t="str">
        <f t="shared" si="413"/>
        <v>X-CAME</v>
      </c>
      <c r="AB941" s="321" t="str">
        <f t="shared" si="414"/>
        <v>X-CAMM</v>
      </c>
      <c r="AC941" s="321" t="str">
        <f t="shared" si="415"/>
        <v>X-CAMT</v>
      </c>
      <c r="AD941" s="321" t="str">
        <f t="shared" si="416"/>
        <v>X-CAMS</v>
      </c>
      <c r="AE941" s="321" t="str">
        <f t="shared" si="417"/>
        <v>X-CAMX</v>
      </c>
      <c r="AF941" s="321" t="str">
        <f t="shared" si="418"/>
        <v>X-CAMA</v>
      </c>
      <c r="AG941" s="321">
        <f t="shared" si="409"/>
        <v>8</v>
      </c>
      <c r="AH941" s="321">
        <f>IF(B941&lt;&gt;"",IF(H941="x",VLOOKUP(I941,'AUX-NIV3'!B:AG,32,FALSE),0),"")</f>
        <v>0</v>
      </c>
      <c r="AI941" s="321" t="str">
        <f t="shared" si="419"/>
        <v>X-CAM</v>
      </c>
      <c r="AJ941" s="320"/>
      <c r="AK941" s="322">
        <f t="shared" si="410"/>
        <v>937</v>
      </c>
      <c r="AL941" s="323">
        <f t="shared" si="420"/>
        <v>944</v>
      </c>
      <c r="AM941" s="322">
        <f t="shared" si="421"/>
        <v>5</v>
      </c>
      <c r="AN941" s="380">
        <f>IF(AND(AH941&gt;0,B941&lt;&gt;""),VLOOKUP(I941,'AUX-NIV3'!$B:$AO,39,FALSE)*O941,0)</f>
        <v>0</v>
      </c>
      <c r="AO941" s="380">
        <f t="shared" si="411"/>
        <v>75</v>
      </c>
      <c r="AP941" s="380"/>
    </row>
    <row r="942" spans="2:42">
      <c r="B942" s="501" t="s">
        <v>2884</v>
      </c>
      <c r="C942" s="951" t="s">
        <v>2885</v>
      </c>
      <c r="D942" s="326" t="s">
        <v>441</v>
      </c>
      <c r="E942" s="327">
        <f>IF(B942&lt;&gt;"",SUMIF('AUX-NIV1'!I:I,'AUX-NIV2'!B942,'AUX-NIV1'!Q:Q),"")</f>
        <v>0</v>
      </c>
      <c r="F942" s="327">
        <f t="shared" si="401"/>
        <v>51380.730969341719</v>
      </c>
      <c r="G942" s="327">
        <f t="shared" si="402"/>
        <v>0</v>
      </c>
      <c r="H942" s="328" t="str">
        <f t="shared" si="422"/>
        <v>A</v>
      </c>
      <c r="I942" s="325" t="s">
        <v>1746</v>
      </c>
      <c r="J942" s="329" t="str">
        <f>IF(B942&lt;&gt;"",+VLOOKUP(I942,Recursos!C:F,2,FALSE),"")</f>
        <v>OFICIAL</v>
      </c>
      <c r="K942" s="330" t="str">
        <f>IF(B942&lt;&gt;"",+VLOOKUP(I942,Recursos!C:F,3,FALSE),"")</f>
        <v>hh</v>
      </c>
      <c r="L942" s="446">
        <f>IF(B942&lt;&gt;"",+VLOOKUP(I942,Recursos!C:F,4,FALSE),"")</f>
        <v>496.91595439275824</v>
      </c>
      <c r="M942" s="452">
        <f>M943*1.25</f>
        <v>0</v>
      </c>
      <c r="N942" s="455"/>
      <c r="O942" s="449">
        <f>+M942</f>
        <v>0</v>
      </c>
      <c r="P942" s="333">
        <f t="shared" si="398"/>
        <v>0</v>
      </c>
      <c r="Q942" s="327">
        <f t="shared" si="399"/>
        <v>0</v>
      </c>
      <c r="R942" s="334">
        <f t="shared" si="400"/>
        <v>0</v>
      </c>
      <c r="S942" s="335">
        <f t="shared" si="403"/>
        <v>36669.987167688829</v>
      </c>
      <c r="T942" s="335">
        <f t="shared" si="404"/>
        <v>0</v>
      </c>
      <c r="U942" s="336">
        <f t="shared" si="405"/>
        <v>14710.743801652894</v>
      </c>
      <c r="V942" s="336">
        <f t="shared" si="406"/>
        <v>0</v>
      </c>
      <c r="W942" s="336">
        <f t="shared" si="407"/>
        <v>0</v>
      </c>
      <c r="X942" s="336">
        <f t="shared" si="408"/>
        <v>0</v>
      </c>
      <c r="Y942" s="320"/>
      <c r="Z942" s="321" t="str">
        <f t="shared" si="412"/>
        <v>X-CAMA</v>
      </c>
      <c r="AA942" s="321" t="str">
        <f t="shared" si="413"/>
        <v>X-CAME</v>
      </c>
      <c r="AB942" s="321" t="str">
        <f t="shared" si="414"/>
        <v>X-CAMM</v>
      </c>
      <c r="AC942" s="321" t="str">
        <f t="shared" si="415"/>
        <v>X-CAMT</v>
      </c>
      <c r="AD942" s="321" t="str">
        <f t="shared" si="416"/>
        <v>X-CAMS</v>
      </c>
      <c r="AE942" s="321" t="str">
        <f t="shared" si="417"/>
        <v>X-CAMX</v>
      </c>
      <c r="AF942" s="321" t="str">
        <f t="shared" si="418"/>
        <v>X-CAMA</v>
      </c>
      <c r="AG942" s="321">
        <f t="shared" si="409"/>
        <v>8</v>
      </c>
      <c r="AH942" s="321">
        <f>IF(B942&lt;&gt;"",IF(H942="x",VLOOKUP(I942,'AUX-NIV3'!B:AG,32,FALSE),0),"")</f>
        <v>0</v>
      </c>
      <c r="AI942" s="321" t="str">
        <f t="shared" si="419"/>
        <v>X-CAM</v>
      </c>
      <c r="AJ942" s="320"/>
      <c r="AK942" s="322">
        <f t="shared" si="410"/>
        <v>937</v>
      </c>
      <c r="AL942" s="323">
        <f t="shared" si="420"/>
        <v>944</v>
      </c>
      <c r="AM942" s="322">
        <f t="shared" si="421"/>
        <v>6</v>
      </c>
      <c r="AN942" s="380">
        <f>IF(AND(AH942&gt;0,B942&lt;&gt;""),VLOOKUP(I942,'AUX-NIV3'!$B:$AO,39,FALSE)*O942,0)</f>
        <v>0</v>
      </c>
      <c r="AO942" s="380">
        <f t="shared" si="411"/>
        <v>75</v>
      </c>
      <c r="AP942" s="380"/>
    </row>
    <row r="943" spans="2:42">
      <c r="B943" s="501" t="s">
        <v>2884</v>
      </c>
      <c r="C943" s="951" t="s">
        <v>2885</v>
      </c>
      <c r="D943" s="326" t="s">
        <v>441</v>
      </c>
      <c r="E943" s="327">
        <f>IF(B943&lt;&gt;"",SUMIF('AUX-NIV1'!I:I,'AUX-NIV2'!B943,'AUX-NIV1'!Q:Q),"")</f>
        <v>0</v>
      </c>
      <c r="F943" s="327">
        <f t="shared" si="401"/>
        <v>51380.730969341719</v>
      </c>
      <c r="G943" s="327">
        <f t="shared" si="402"/>
        <v>0</v>
      </c>
      <c r="H943" s="328" t="str">
        <f t="shared" si="422"/>
        <v>E</v>
      </c>
      <c r="I943" s="325" t="s">
        <v>1597</v>
      </c>
      <c r="J943" s="329" t="str">
        <f>IF(B943&lt;&gt;"",+VLOOKUP(I943,Recursos!C:F,2,FALSE),"")</f>
        <v>HIDROGRUA MONTADA S/CAMION (6 T)</v>
      </c>
      <c r="K943" s="330" t="str">
        <f>IF(B943&lt;&gt;"",+VLOOKUP(I943,Recursos!C:F,3,FALSE),"")</f>
        <v>HR</v>
      </c>
      <c r="L943" s="446">
        <f>IF(B943&lt;&gt;"",+VLOOKUP(I943,Recursos!C:F,4,FALSE),"")</f>
        <v>2378.0722500000002</v>
      </c>
      <c r="M943" s="452">
        <f>0.2*0</f>
        <v>0</v>
      </c>
      <c r="N943" s="455"/>
      <c r="O943" s="449">
        <f t="shared" si="423"/>
        <v>0</v>
      </c>
      <c r="P943" s="333">
        <f t="shared" si="398"/>
        <v>0</v>
      </c>
      <c r="Q943" s="327">
        <f t="shared" si="399"/>
        <v>0</v>
      </c>
      <c r="R943" s="334">
        <f t="shared" si="400"/>
        <v>0</v>
      </c>
      <c r="S943" s="335">
        <f t="shared" si="403"/>
        <v>36669.987167688829</v>
      </c>
      <c r="T943" s="335">
        <f t="shared" si="404"/>
        <v>0</v>
      </c>
      <c r="U943" s="336">
        <f t="shared" si="405"/>
        <v>14710.743801652894</v>
      </c>
      <c r="V943" s="336">
        <f t="shared" si="406"/>
        <v>0</v>
      </c>
      <c r="W943" s="336">
        <f t="shared" si="407"/>
        <v>0</v>
      </c>
      <c r="X943" s="336">
        <f t="shared" si="408"/>
        <v>0</v>
      </c>
      <c r="Y943" s="320"/>
      <c r="Z943" s="321" t="str">
        <f t="shared" si="412"/>
        <v>X-CAMA</v>
      </c>
      <c r="AA943" s="321" t="str">
        <f t="shared" si="413"/>
        <v>X-CAME</v>
      </c>
      <c r="AB943" s="321" t="str">
        <f t="shared" si="414"/>
        <v>X-CAMM</v>
      </c>
      <c r="AC943" s="321" t="str">
        <f t="shared" si="415"/>
        <v>X-CAMT</v>
      </c>
      <c r="AD943" s="321" t="str">
        <f t="shared" si="416"/>
        <v>X-CAMS</v>
      </c>
      <c r="AE943" s="321" t="str">
        <f t="shared" si="417"/>
        <v>X-CAMX</v>
      </c>
      <c r="AF943" s="321" t="str">
        <f t="shared" si="418"/>
        <v>X-CAME</v>
      </c>
      <c r="AG943" s="321">
        <f t="shared" si="409"/>
        <v>8</v>
      </c>
      <c r="AH943" s="321">
        <f>IF(B943&lt;&gt;"",IF(H943="x",VLOOKUP(I943,'AUX-NIV3'!B:AG,32,FALSE),0),"")</f>
        <v>0</v>
      </c>
      <c r="AI943" s="321" t="str">
        <f t="shared" si="419"/>
        <v>X-CAM</v>
      </c>
      <c r="AJ943" s="320"/>
      <c r="AK943" s="322">
        <f t="shared" si="410"/>
        <v>937</v>
      </c>
      <c r="AL943" s="323">
        <f t="shared" si="420"/>
        <v>944</v>
      </c>
      <c r="AM943" s="322">
        <f t="shared" si="421"/>
        <v>7</v>
      </c>
      <c r="AN943" s="380">
        <f>IF(AND(AH943&gt;0,B943&lt;&gt;""),VLOOKUP(I943,'AUX-NIV3'!$B:$AO,39,FALSE)*O943,0)</f>
        <v>0</v>
      </c>
      <c r="AO943" s="380">
        <f t="shared" si="411"/>
        <v>75</v>
      </c>
      <c r="AP943" s="380"/>
    </row>
    <row r="944" spans="2:42" ht="13.8" thickBot="1">
      <c r="B944" s="501" t="s">
        <v>2884</v>
      </c>
      <c r="C944" s="951" t="s">
        <v>2885</v>
      </c>
      <c r="D944" s="326" t="s">
        <v>441</v>
      </c>
      <c r="E944" s="327">
        <f>IF(B944&lt;&gt;"",SUMIF('AUX-NIV1'!I:I,'AUX-NIV2'!B944,'AUX-NIV1'!Q:Q),"")</f>
        <v>0</v>
      </c>
      <c r="F944" s="327">
        <f t="shared" si="401"/>
        <v>51380.730969341719</v>
      </c>
      <c r="G944" s="327">
        <f t="shared" si="402"/>
        <v>0</v>
      </c>
      <c r="H944" s="328" t="str">
        <f t="shared" si="422"/>
        <v>M</v>
      </c>
      <c r="I944" s="325" t="s">
        <v>1799</v>
      </c>
      <c r="J944" s="329" t="str">
        <f>IF(B944&lt;&gt;"",+VLOOKUP(I944,Recursos!C:F,2,FALSE),"")</f>
        <v>ALAMBRE DE ATAR</v>
      </c>
      <c r="K944" s="330" t="str">
        <f>IF(B944&lt;&gt;"",+VLOOKUP(I944,Recursos!C:F,3,FALSE),"")</f>
        <v>kg</v>
      </c>
      <c r="L944" s="446">
        <f>IF(B944&lt;&gt;"",+VLOOKUP(I944,Recursos!C:F,4,FALSE),"")</f>
        <v>735.53719008264466</v>
      </c>
      <c r="M944" s="450">
        <v>20</v>
      </c>
      <c r="N944" s="507"/>
      <c r="O944" s="449">
        <f t="shared" si="423"/>
        <v>20</v>
      </c>
      <c r="P944" s="333">
        <f t="shared" si="398"/>
        <v>14710.743801652894</v>
      </c>
      <c r="Q944" s="327">
        <f t="shared" si="399"/>
        <v>0</v>
      </c>
      <c r="R944" s="334">
        <f t="shared" si="400"/>
        <v>0</v>
      </c>
      <c r="S944" s="335">
        <f t="shared" si="403"/>
        <v>36669.987167688829</v>
      </c>
      <c r="T944" s="335">
        <f t="shared" si="404"/>
        <v>0</v>
      </c>
      <c r="U944" s="336">
        <f t="shared" si="405"/>
        <v>14710.743801652894</v>
      </c>
      <c r="V944" s="336">
        <f t="shared" si="406"/>
        <v>0</v>
      </c>
      <c r="W944" s="336">
        <f t="shared" si="407"/>
        <v>0</v>
      </c>
      <c r="X944" s="336">
        <f t="shared" si="408"/>
        <v>0</v>
      </c>
      <c r="Y944" s="320"/>
      <c r="Z944" s="321" t="str">
        <f t="shared" si="412"/>
        <v>X-CAMA</v>
      </c>
      <c r="AA944" s="321" t="str">
        <f t="shared" si="413"/>
        <v>X-CAME</v>
      </c>
      <c r="AB944" s="321" t="str">
        <f t="shared" si="414"/>
        <v>X-CAMM</v>
      </c>
      <c r="AC944" s="321" t="str">
        <f t="shared" si="415"/>
        <v>X-CAMT</v>
      </c>
      <c r="AD944" s="321" t="str">
        <f t="shared" si="416"/>
        <v>X-CAMS</v>
      </c>
      <c r="AE944" s="321" t="str">
        <f t="shared" si="417"/>
        <v>X-CAMX</v>
      </c>
      <c r="AF944" s="321" t="str">
        <f t="shared" si="418"/>
        <v>X-CAMM</v>
      </c>
      <c r="AG944" s="321">
        <f t="shared" si="409"/>
        <v>8</v>
      </c>
      <c r="AH944" s="321">
        <f>IF(B944&lt;&gt;"",IF(H944="x",VLOOKUP(I944,'AUX-NIV3'!B:AG,32,FALSE),0),"")</f>
        <v>0</v>
      </c>
      <c r="AI944" s="321" t="str">
        <f t="shared" si="419"/>
        <v>X-CAM</v>
      </c>
      <c r="AJ944" s="320"/>
      <c r="AK944" s="322">
        <f t="shared" si="410"/>
        <v>937</v>
      </c>
      <c r="AL944" s="323">
        <f t="shared" si="420"/>
        <v>944</v>
      </c>
      <c r="AM944" s="322">
        <f t="shared" si="421"/>
        <v>8</v>
      </c>
      <c r="AN944" s="380">
        <f>IF(AND(AH944&gt;0,B944&lt;&gt;""),VLOOKUP(I944,'AUX-NIV3'!$B:$AO,39,FALSE)*O944,0)</f>
        <v>0</v>
      </c>
      <c r="AO944" s="380">
        <f t="shared" si="411"/>
        <v>75</v>
      </c>
      <c r="AP944" s="380"/>
    </row>
    <row r="945" spans="2:42" ht="13.8" hidden="1" thickTop="1">
      <c r="B945" s="949" t="s">
        <v>2886</v>
      </c>
      <c r="C945" s="325" t="s">
        <v>2887</v>
      </c>
      <c r="D945" s="326" t="s">
        <v>441</v>
      </c>
      <c r="E945" s="327">
        <f>IF(B945&lt;&gt;"",SUMIF('AUX-NIV1'!I:I,'AUX-NIV2'!B945,'AUX-NIV1'!Q:Q),"")</f>
        <v>0</v>
      </c>
      <c r="F945" s="327">
        <f t="shared" si="401"/>
        <v>40888.822227420533</v>
      </c>
      <c r="G945" s="327">
        <f t="shared" si="402"/>
        <v>0</v>
      </c>
      <c r="H945" s="328" t="str">
        <f t="shared" si="422"/>
        <v>A</v>
      </c>
      <c r="I945" s="325" t="s">
        <v>1745</v>
      </c>
      <c r="J945" s="329" t="str">
        <f>IF(B945&lt;&gt;"",+VLOOKUP(I945,Recursos!C:F,2,FALSE),"")</f>
        <v>AYUDANTE</v>
      </c>
      <c r="K945" s="330" t="str">
        <f>IF(B945&lt;&gt;"",+VLOOKUP(I945,Recursos!C:F,3,FALSE),"")</f>
        <v>hh</v>
      </c>
      <c r="L945" s="327">
        <f>IF(B945&lt;&gt;"",+VLOOKUP(I945,Recursos!C:F,4,FALSE),"")</f>
        <v>422.48042769667234</v>
      </c>
      <c r="M945" s="447">
        <v>15</v>
      </c>
      <c r="N945" s="515"/>
      <c r="O945" s="449">
        <f t="shared" si="423"/>
        <v>15</v>
      </c>
      <c r="P945" s="333">
        <f t="shared" si="398"/>
        <v>6337.2064154500849</v>
      </c>
      <c r="Q945" s="327">
        <f t="shared" si="399"/>
        <v>0</v>
      </c>
      <c r="R945" s="334">
        <f t="shared" si="400"/>
        <v>0</v>
      </c>
      <c r="S945" s="335">
        <f t="shared" si="403"/>
        <v>24933.880575932926</v>
      </c>
      <c r="T945" s="335">
        <f t="shared" si="404"/>
        <v>2715.2722299999996</v>
      </c>
      <c r="U945" s="336">
        <f t="shared" si="405"/>
        <v>13239.669421487604</v>
      </c>
      <c r="V945" s="336">
        <f t="shared" si="406"/>
        <v>0</v>
      </c>
      <c r="W945" s="336">
        <f t="shared" si="407"/>
        <v>0</v>
      </c>
      <c r="X945" s="336">
        <f t="shared" si="408"/>
        <v>0</v>
      </c>
      <c r="Y945" s="320"/>
      <c r="Z945" s="321" t="str">
        <f t="shared" si="412"/>
        <v>X-CAGA</v>
      </c>
      <c r="AA945" s="321" t="str">
        <f t="shared" si="413"/>
        <v>X-CAGE</v>
      </c>
      <c r="AB945" s="321" t="str">
        <f t="shared" si="414"/>
        <v>X-CAGM</v>
      </c>
      <c r="AC945" s="321" t="str">
        <f t="shared" si="415"/>
        <v>X-CAGT</v>
      </c>
      <c r="AD945" s="321" t="str">
        <f t="shared" si="416"/>
        <v>X-CAGS</v>
      </c>
      <c r="AE945" s="321" t="str">
        <f t="shared" si="417"/>
        <v>X-CAGX</v>
      </c>
      <c r="AF945" s="321" t="str">
        <f t="shared" si="418"/>
        <v>X-CAGA</v>
      </c>
      <c r="AG945" s="321">
        <f t="shared" si="409"/>
        <v>8</v>
      </c>
      <c r="AH945" s="321">
        <f>IF(B945&lt;&gt;"",IF(H945="x",VLOOKUP(I945,'AUX-NIV3'!B:AG,32,FALSE),0),"")</f>
        <v>0</v>
      </c>
      <c r="AI945" s="321" t="str">
        <f t="shared" si="419"/>
        <v>X-CAG</v>
      </c>
      <c r="AJ945" s="320"/>
      <c r="AK945" s="322">
        <f t="shared" si="410"/>
        <v>945</v>
      </c>
      <c r="AL945" s="323">
        <f t="shared" si="420"/>
        <v>952</v>
      </c>
      <c r="AM945" s="322">
        <f t="shared" si="421"/>
        <v>1</v>
      </c>
      <c r="AN945" s="380">
        <f>IF(AND(AH945&gt;0,B945&lt;&gt;""),VLOOKUP(I945,'AUX-NIV3'!$B:$AO,39,FALSE)*O945,0)</f>
        <v>0</v>
      </c>
      <c r="AO945" s="380">
        <f t="shared" si="411"/>
        <v>50.625</v>
      </c>
      <c r="AP945" s="380"/>
    </row>
    <row r="946" spans="2:42" ht="14.4" hidden="1" thickTop="1" thickBot="1">
      <c r="B946" s="949" t="s">
        <v>2886</v>
      </c>
      <c r="C946" s="325" t="s">
        <v>2887</v>
      </c>
      <c r="D946" s="326" t="s">
        <v>441</v>
      </c>
      <c r="E946" s="327">
        <f>IF(B946&lt;&gt;"",SUMIF('AUX-NIV1'!I:I,'AUX-NIV2'!B946,'AUX-NIV1'!Q:Q),"")</f>
        <v>0</v>
      </c>
      <c r="F946" s="327">
        <f t="shared" si="401"/>
        <v>40888.822227420533</v>
      </c>
      <c r="G946" s="327">
        <f t="shared" si="402"/>
        <v>0</v>
      </c>
      <c r="H946" s="328" t="str">
        <f t="shared" si="422"/>
        <v>A</v>
      </c>
      <c r="I946" s="325" t="s">
        <v>1746</v>
      </c>
      <c r="J946" s="329" t="str">
        <f>IF(B946&lt;&gt;"",+VLOOKUP(I946,Recursos!C:F,2,FALSE),"")</f>
        <v>OFICIAL</v>
      </c>
      <c r="K946" s="330" t="str">
        <f>IF(B946&lt;&gt;"",+VLOOKUP(I946,Recursos!C:F,3,FALSE),"")</f>
        <v>hh</v>
      </c>
      <c r="L946" s="327">
        <f>IF(B946&lt;&gt;"",+VLOOKUP(I946,Recursos!C:F,4,FALSE),"")</f>
        <v>496.91595439275824</v>
      </c>
      <c r="M946" s="452">
        <v>15</v>
      </c>
      <c r="N946" s="455"/>
      <c r="O946" s="449">
        <f t="shared" si="423"/>
        <v>15</v>
      </c>
      <c r="P946" s="333">
        <f t="shared" si="398"/>
        <v>7453.7393158913737</v>
      </c>
      <c r="Q946" s="327">
        <f t="shared" si="399"/>
        <v>0</v>
      </c>
      <c r="R946" s="334">
        <f t="shared" si="400"/>
        <v>0</v>
      </c>
      <c r="S946" s="335">
        <f t="shared" si="403"/>
        <v>24933.880575932926</v>
      </c>
      <c r="T946" s="335">
        <f t="shared" si="404"/>
        <v>2715.2722299999996</v>
      </c>
      <c r="U946" s="336">
        <f t="shared" si="405"/>
        <v>13239.669421487604</v>
      </c>
      <c r="V946" s="336">
        <f t="shared" si="406"/>
        <v>0</v>
      </c>
      <c r="W946" s="336">
        <f t="shared" si="407"/>
        <v>0</v>
      </c>
      <c r="X946" s="336">
        <f t="shared" si="408"/>
        <v>0</v>
      </c>
      <c r="Y946" s="320"/>
      <c r="Z946" s="321" t="str">
        <f t="shared" si="412"/>
        <v>X-CAGA</v>
      </c>
      <c r="AA946" s="321" t="str">
        <f t="shared" si="413"/>
        <v>X-CAGE</v>
      </c>
      <c r="AB946" s="321" t="str">
        <f t="shared" si="414"/>
        <v>X-CAGM</v>
      </c>
      <c r="AC946" s="321" t="str">
        <f t="shared" si="415"/>
        <v>X-CAGT</v>
      </c>
      <c r="AD946" s="321" t="str">
        <f t="shared" si="416"/>
        <v>X-CAGS</v>
      </c>
      <c r="AE946" s="321" t="str">
        <f t="shared" si="417"/>
        <v>X-CAGX</v>
      </c>
      <c r="AF946" s="321" t="str">
        <f t="shared" si="418"/>
        <v>X-CAGA</v>
      </c>
      <c r="AG946" s="321">
        <f t="shared" si="409"/>
        <v>8</v>
      </c>
      <c r="AH946" s="321">
        <f>IF(B946&lt;&gt;"",IF(H946="x",VLOOKUP(I946,'AUX-NIV3'!B:AG,32,FALSE),0),"")</f>
        <v>0</v>
      </c>
      <c r="AI946" s="321" t="str">
        <f t="shared" si="419"/>
        <v>X-CAG</v>
      </c>
      <c r="AJ946" s="320"/>
      <c r="AK946" s="322">
        <f t="shared" si="410"/>
        <v>945</v>
      </c>
      <c r="AL946" s="323">
        <f t="shared" si="420"/>
        <v>952</v>
      </c>
      <c r="AM946" s="322">
        <f t="shared" si="421"/>
        <v>2</v>
      </c>
      <c r="AN946" s="380">
        <f>IF(AND(AH946&gt;0,B946&lt;&gt;""),VLOOKUP(I946,'AUX-NIV3'!$B:$AO,39,FALSE)*O946,0)</f>
        <v>0</v>
      </c>
      <c r="AO946" s="380">
        <f t="shared" si="411"/>
        <v>50.625</v>
      </c>
      <c r="AP946" s="380"/>
    </row>
    <row r="947" spans="2:42" ht="14.4" hidden="1" thickTop="1" thickBot="1">
      <c r="B947" s="949" t="s">
        <v>2886</v>
      </c>
      <c r="C947" s="325" t="s">
        <v>2887</v>
      </c>
      <c r="D947" s="326" t="s">
        <v>441</v>
      </c>
      <c r="E947" s="327">
        <f>IF(B947&lt;&gt;"",SUMIF('AUX-NIV1'!I:I,'AUX-NIV2'!B947,'AUX-NIV1'!Q:Q),"")</f>
        <v>0</v>
      </c>
      <c r="F947" s="327">
        <f t="shared" si="401"/>
        <v>40888.822227420533</v>
      </c>
      <c r="G947" s="327">
        <f t="shared" si="402"/>
        <v>0</v>
      </c>
      <c r="H947" s="328" t="str">
        <f t="shared" si="422"/>
        <v>A</v>
      </c>
      <c r="I947" s="325" t="s">
        <v>1746</v>
      </c>
      <c r="J947" s="329" t="str">
        <f>IF(B947&lt;&gt;"",+VLOOKUP(I947,Recursos!C:F,2,FALSE),"")</f>
        <v>OFICIAL</v>
      </c>
      <c r="K947" s="330" t="str">
        <f>IF(B947&lt;&gt;"",+VLOOKUP(I947,Recursos!C:F,3,FALSE),"")</f>
        <v>hh</v>
      </c>
      <c r="L947" s="327">
        <f>IF(B947&lt;&gt;"",+VLOOKUP(I947,Recursos!C:F,4,FALSE),"")</f>
        <v>496.91595439275824</v>
      </c>
      <c r="M947" s="452">
        <v>10</v>
      </c>
      <c r="N947" s="455"/>
      <c r="O947" s="449">
        <f t="shared" si="423"/>
        <v>10</v>
      </c>
      <c r="P947" s="333">
        <f t="shared" si="398"/>
        <v>4969.1595439275825</v>
      </c>
      <c r="Q947" s="327">
        <f t="shared" si="399"/>
        <v>0</v>
      </c>
      <c r="R947" s="334">
        <f t="shared" si="400"/>
        <v>0</v>
      </c>
      <c r="S947" s="335">
        <f t="shared" si="403"/>
        <v>24933.880575932926</v>
      </c>
      <c r="T947" s="335">
        <f t="shared" si="404"/>
        <v>2715.2722299999996</v>
      </c>
      <c r="U947" s="336">
        <f t="shared" si="405"/>
        <v>13239.669421487604</v>
      </c>
      <c r="V947" s="336">
        <f t="shared" si="406"/>
        <v>0</v>
      </c>
      <c r="W947" s="336">
        <f t="shared" si="407"/>
        <v>0</v>
      </c>
      <c r="X947" s="336">
        <f t="shared" si="408"/>
        <v>0</v>
      </c>
      <c r="Y947" s="320"/>
      <c r="Z947" s="321" t="str">
        <f t="shared" si="412"/>
        <v>X-CAGA</v>
      </c>
      <c r="AA947" s="321" t="str">
        <f t="shared" si="413"/>
        <v>X-CAGE</v>
      </c>
      <c r="AB947" s="321" t="str">
        <f t="shared" si="414"/>
        <v>X-CAGM</v>
      </c>
      <c r="AC947" s="321" t="str">
        <f t="shared" si="415"/>
        <v>X-CAGT</v>
      </c>
      <c r="AD947" s="321" t="str">
        <f t="shared" si="416"/>
        <v>X-CAGS</v>
      </c>
      <c r="AE947" s="321" t="str">
        <f t="shared" si="417"/>
        <v>X-CAGX</v>
      </c>
      <c r="AF947" s="321" t="str">
        <f t="shared" si="418"/>
        <v>X-CAGA</v>
      </c>
      <c r="AG947" s="321">
        <f t="shared" si="409"/>
        <v>8</v>
      </c>
      <c r="AH947" s="321">
        <f>IF(B947&lt;&gt;"",IF(H947="x",VLOOKUP(I947,'AUX-NIV3'!B:AG,32,FALSE),0),"")</f>
        <v>0</v>
      </c>
      <c r="AI947" s="321" t="str">
        <f t="shared" si="419"/>
        <v>X-CAG</v>
      </c>
      <c r="AJ947" s="320"/>
      <c r="AK947" s="322">
        <f t="shared" si="410"/>
        <v>945</v>
      </c>
      <c r="AL947" s="323">
        <f t="shared" si="420"/>
        <v>952</v>
      </c>
      <c r="AM947" s="322">
        <f t="shared" si="421"/>
        <v>3</v>
      </c>
      <c r="AN947" s="380">
        <f>IF(AND(AH947&gt;0,B947&lt;&gt;""),VLOOKUP(I947,'AUX-NIV3'!$B:$AO,39,FALSE)*O947,0)</f>
        <v>0</v>
      </c>
      <c r="AO947" s="380">
        <f t="shared" si="411"/>
        <v>50.625</v>
      </c>
      <c r="AP947" s="380"/>
    </row>
    <row r="948" spans="2:42" ht="14.4" hidden="1" thickTop="1" thickBot="1">
      <c r="B948" s="949" t="s">
        <v>2886</v>
      </c>
      <c r="C948" s="325" t="s">
        <v>2887</v>
      </c>
      <c r="D948" s="326" t="s">
        <v>441</v>
      </c>
      <c r="E948" s="327">
        <f>IF(B948&lt;&gt;"",SUMIF('AUX-NIV1'!I:I,'AUX-NIV2'!B948,'AUX-NIV1'!Q:Q),"")</f>
        <v>0</v>
      </c>
      <c r="F948" s="327">
        <f t="shared" si="401"/>
        <v>40888.822227420533</v>
      </c>
      <c r="G948" s="327">
        <f t="shared" si="402"/>
        <v>0</v>
      </c>
      <c r="H948" s="328" t="str">
        <f t="shared" si="422"/>
        <v>A</v>
      </c>
      <c r="I948" s="325" t="s">
        <v>3310</v>
      </c>
      <c r="J948" s="329" t="str">
        <f>IF(B948&lt;&gt;"",+VLOOKUP(I948,Recursos!C:F,2,FALSE),"")</f>
        <v>OFICIAL ESPECIALIZADO</v>
      </c>
      <c r="K948" s="330" t="str">
        <f>IF(B948&lt;&gt;"",+VLOOKUP(I948,Recursos!C:F,3,FALSE),"")</f>
        <v>hh</v>
      </c>
      <c r="L948" s="327">
        <f>IF(B948&lt;&gt;"",+VLOOKUP(I948,Recursos!C:F,4,FALSE),"")</f>
        <v>581.06120476836554</v>
      </c>
      <c r="M948" s="452">
        <v>5</v>
      </c>
      <c r="N948" s="455"/>
      <c r="O948" s="449">
        <f t="shared" si="423"/>
        <v>5</v>
      </c>
      <c r="P948" s="333">
        <f t="shared" si="398"/>
        <v>2905.3060238418275</v>
      </c>
      <c r="Q948" s="327">
        <f t="shared" si="399"/>
        <v>0</v>
      </c>
      <c r="R948" s="334">
        <f t="shared" si="400"/>
        <v>0</v>
      </c>
      <c r="S948" s="335">
        <f t="shared" si="403"/>
        <v>24933.880575932926</v>
      </c>
      <c r="T948" s="335">
        <f t="shared" si="404"/>
        <v>2715.2722299999996</v>
      </c>
      <c r="U948" s="336">
        <f t="shared" si="405"/>
        <v>13239.669421487604</v>
      </c>
      <c r="V948" s="336">
        <f t="shared" si="406"/>
        <v>0</v>
      </c>
      <c r="W948" s="336">
        <f t="shared" si="407"/>
        <v>0</v>
      </c>
      <c r="X948" s="336">
        <f t="shared" si="408"/>
        <v>0</v>
      </c>
      <c r="Y948" s="320"/>
      <c r="Z948" s="321" t="str">
        <f t="shared" si="412"/>
        <v>X-CAGA</v>
      </c>
      <c r="AA948" s="321" t="str">
        <f t="shared" si="413"/>
        <v>X-CAGE</v>
      </c>
      <c r="AB948" s="321" t="str">
        <f t="shared" si="414"/>
        <v>X-CAGM</v>
      </c>
      <c r="AC948" s="321" t="str">
        <f t="shared" si="415"/>
        <v>X-CAGT</v>
      </c>
      <c r="AD948" s="321" t="str">
        <f t="shared" si="416"/>
        <v>X-CAGS</v>
      </c>
      <c r="AE948" s="321" t="str">
        <f t="shared" si="417"/>
        <v>X-CAGX</v>
      </c>
      <c r="AF948" s="321" t="str">
        <f t="shared" si="418"/>
        <v>X-CAGA</v>
      </c>
      <c r="AG948" s="321">
        <f t="shared" si="409"/>
        <v>8</v>
      </c>
      <c r="AH948" s="321">
        <f>IF(B948&lt;&gt;"",IF(H948="x",VLOOKUP(I948,'AUX-NIV3'!B:AG,32,FALSE),0),"")</f>
        <v>0</v>
      </c>
      <c r="AI948" s="321" t="str">
        <f t="shared" si="419"/>
        <v>X-CAG</v>
      </c>
      <c r="AJ948" s="320"/>
      <c r="AK948" s="322">
        <f t="shared" si="410"/>
        <v>945</v>
      </c>
      <c r="AL948" s="323">
        <f t="shared" si="420"/>
        <v>952</v>
      </c>
      <c r="AM948" s="322">
        <f t="shared" si="421"/>
        <v>4</v>
      </c>
      <c r="AN948" s="380">
        <f>IF(AND(AH948&gt;0,B948&lt;&gt;""),VLOOKUP(I948,'AUX-NIV3'!$B:$AO,39,FALSE)*O948,0)</f>
        <v>0</v>
      </c>
      <c r="AO948" s="380">
        <f t="shared" si="411"/>
        <v>50.625</v>
      </c>
      <c r="AP948" s="380"/>
    </row>
    <row r="949" spans="2:42" ht="14.4" hidden="1" thickTop="1" thickBot="1">
      <c r="B949" s="949" t="s">
        <v>2886</v>
      </c>
      <c r="C949" s="325" t="s">
        <v>2887</v>
      </c>
      <c r="D949" s="326" t="s">
        <v>441</v>
      </c>
      <c r="E949" s="327">
        <f>IF(B949&lt;&gt;"",SUMIF('AUX-NIV1'!I:I,'AUX-NIV2'!B949,'AUX-NIV1'!Q:Q),"")</f>
        <v>0</v>
      </c>
      <c r="F949" s="327">
        <f t="shared" si="401"/>
        <v>40888.822227420533</v>
      </c>
      <c r="G949" s="327">
        <f t="shared" si="402"/>
        <v>0</v>
      </c>
      <c r="H949" s="328" t="str">
        <f t="shared" si="422"/>
        <v>A</v>
      </c>
      <c r="I949" s="325" t="s">
        <v>3310</v>
      </c>
      <c r="J949" s="329" t="str">
        <f>IF(B949&lt;&gt;"",+VLOOKUP(I949,Recursos!C:F,2,FALSE),"")</f>
        <v>OFICIAL ESPECIALIZADO</v>
      </c>
      <c r="K949" s="330" t="str">
        <f>IF(B949&lt;&gt;"",+VLOOKUP(I949,Recursos!C:F,3,FALSE),"")</f>
        <v>hh</v>
      </c>
      <c r="L949" s="327">
        <f>IF(B949&lt;&gt;"",+VLOOKUP(I949,Recursos!C:F,4,FALSE),"")</f>
        <v>581.06120476836554</v>
      </c>
      <c r="M949" s="452">
        <v>5</v>
      </c>
      <c r="N949" s="455"/>
      <c r="O949" s="449">
        <f t="shared" si="423"/>
        <v>5</v>
      </c>
      <c r="P949" s="333">
        <f t="shared" si="398"/>
        <v>2905.3060238418275</v>
      </c>
      <c r="Q949" s="327">
        <f t="shared" si="399"/>
        <v>0</v>
      </c>
      <c r="R949" s="334">
        <f t="shared" si="400"/>
        <v>0</v>
      </c>
      <c r="S949" s="335">
        <f t="shared" si="403"/>
        <v>24933.880575932926</v>
      </c>
      <c r="T949" s="335">
        <f t="shared" si="404"/>
        <v>2715.2722299999996</v>
      </c>
      <c r="U949" s="336">
        <f t="shared" si="405"/>
        <v>13239.669421487604</v>
      </c>
      <c r="V949" s="336">
        <f t="shared" si="406"/>
        <v>0</v>
      </c>
      <c r="W949" s="336">
        <f t="shared" si="407"/>
        <v>0</v>
      </c>
      <c r="X949" s="336">
        <f t="shared" si="408"/>
        <v>0</v>
      </c>
      <c r="Y949" s="320"/>
      <c r="Z949" s="321" t="str">
        <f t="shared" si="412"/>
        <v>X-CAGA</v>
      </c>
      <c r="AA949" s="321" t="str">
        <f t="shared" si="413"/>
        <v>X-CAGE</v>
      </c>
      <c r="AB949" s="321" t="str">
        <f t="shared" si="414"/>
        <v>X-CAGM</v>
      </c>
      <c r="AC949" s="321" t="str">
        <f t="shared" si="415"/>
        <v>X-CAGT</v>
      </c>
      <c r="AD949" s="321" t="str">
        <f t="shared" si="416"/>
        <v>X-CAGS</v>
      </c>
      <c r="AE949" s="321" t="str">
        <f t="shared" si="417"/>
        <v>X-CAGX</v>
      </c>
      <c r="AF949" s="321" t="str">
        <f t="shared" si="418"/>
        <v>X-CAGA</v>
      </c>
      <c r="AG949" s="321">
        <f t="shared" si="409"/>
        <v>8</v>
      </c>
      <c r="AH949" s="321">
        <f>IF(B949&lt;&gt;"",IF(H949="x",VLOOKUP(I949,'AUX-NIV3'!B:AG,32,FALSE),0),"")</f>
        <v>0</v>
      </c>
      <c r="AI949" s="321" t="str">
        <f t="shared" si="419"/>
        <v>X-CAG</v>
      </c>
      <c r="AJ949" s="320"/>
      <c r="AK949" s="322">
        <f t="shared" si="410"/>
        <v>945</v>
      </c>
      <c r="AL949" s="323">
        <f t="shared" si="420"/>
        <v>952</v>
      </c>
      <c r="AM949" s="322">
        <f t="shared" si="421"/>
        <v>5</v>
      </c>
      <c r="AN949" s="380">
        <f>IF(AND(AH949&gt;0,B949&lt;&gt;""),VLOOKUP(I949,'AUX-NIV3'!$B:$AO,39,FALSE)*O949,0)</f>
        <v>0</v>
      </c>
      <c r="AO949" s="380">
        <f t="shared" si="411"/>
        <v>50.625</v>
      </c>
      <c r="AP949" s="380"/>
    </row>
    <row r="950" spans="2:42" ht="14.4" hidden="1" thickTop="1" thickBot="1">
      <c r="B950" s="949" t="s">
        <v>2886</v>
      </c>
      <c r="C950" s="325" t="s">
        <v>2887</v>
      </c>
      <c r="D950" s="326" t="s">
        <v>441</v>
      </c>
      <c r="E950" s="327">
        <f>IF(B950&lt;&gt;"",SUMIF('AUX-NIV1'!I:I,'AUX-NIV2'!B950,'AUX-NIV1'!Q:Q),"")</f>
        <v>0</v>
      </c>
      <c r="F950" s="327">
        <f t="shared" si="401"/>
        <v>40888.822227420533</v>
      </c>
      <c r="G950" s="327">
        <f t="shared" si="402"/>
        <v>0</v>
      </c>
      <c r="H950" s="328" t="str">
        <f t="shared" si="422"/>
        <v>A</v>
      </c>
      <c r="I950" s="325" t="s">
        <v>3310</v>
      </c>
      <c r="J950" s="329" t="str">
        <f>IF(B950&lt;&gt;"",+VLOOKUP(I950,Recursos!C:F,2,FALSE),"")</f>
        <v>OFICIAL ESPECIALIZADO</v>
      </c>
      <c r="K950" s="330" t="str">
        <f>IF(B950&lt;&gt;"",+VLOOKUP(I950,Recursos!C:F,3,FALSE),"")</f>
        <v>hh</v>
      </c>
      <c r="L950" s="327">
        <f>IF(B950&lt;&gt;"",+VLOOKUP(I950,Recursos!C:F,4,FALSE),"")</f>
        <v>581.06120476836554</v>
      </c>
      <c r="M950" s="452">
        <f>M951*1.25</f>
        <v>0.625</v>
      </c>
      <c r="N950" s="455"/>
      <c r="O950" s="449">
        <f t="shared" si="423"/>
        <v>0.625</v>
      </c>
      <c r="P950" s="333">
        <f t="shared" si="398"/>
        <v>363.16325298022844</v>
      </c>
      <c r="Q950" s="327">
        <f t="shared" si="399"/>
        <v>0</v>
      </c>
      <c r="R950" s="334">
        <f t="shared" si="400"/>
        <v>0</v>
      </c>
      <c r="S950" s="335">
        <f t="shared" si="403"/>
        <v>24933.880575932926</v>
      </c>
      <c r="T950" s="335">
        <f t="shared" si="404"/>
        <v>2715.2722299999996</v>
      </c>
      <c r="U950" s="336">
        <f t="shared" si="405"/>
        <v>13239.669421487604</v>
      </c>
      <c r="V950" s="336">
        <f t="shared" si="406"/>
        <v>0</v>
      </c>
      <c r="W950" s="336">
        <f t="shared" si="407"/>
        <v>0</v>
      </c>
      <c r="X950" s="336">
        <f t="shared" si="408"/>
        <v>0</v>
      </c>
      <c r="Y950" s="320"/>
      <c r="Z950" s="321" t="str">
        <f t="shared" si="412"/>
        <v>X-CAGA</v>
      </c>
      <c r="AA950" s="321" t="str">
        <f t="shared" si="413"/>
        <v>X-CAGE</v>
      </c>
      <c r="AB950" s="321" t="str">
        <f t="shared" si="414"/>
        <v>X-CAGM</v>
      </c>
      <c r="AC950" s="321" t="str">
        <f t="shared" si="415"/>
        <v>X-CAGT</v>
      </c>
      <c r="AD950" s="321" t="str">
        <f t="shared" si="416"/>
        <v>X-CAGS</v>
      </c>
      <c r="AE950" s="321" t="str">
        <f t="shared" si="417"/>
        <v>X-CAGX</v>
      </c>
      <c r="AF950" s="321" t="str">
        <f t="shared" si="418"/>
        <v>X-CAGA</v>
      </c>
      <c r="AG950" s="321">
        <f t="shared" si="409"/>
        <v>8</v>
      </c>
      <c r="AH950" s="321">
        <f>IF(B950&lt;&gt;"",IF(H950="x",VLOOKUP(I950,'AUX-NIV3'!B:AG,32,FALSE),0),"")</f>
        <v>0</v>
      </c>
      <c r="AI950" s="321" t="str">
        <f t="shared" si="419"/>
        <v>X-CAG</v>
      </c>
      <c r="AJ950" s="320"/>
      <c r="AK950" s="322">
        <f t="shared" si="410"/>
        <v>945</v>
      </c>
      <c r="AL950" s="323">
        <f t="shared" si="420"/>
        <v>952</v>
      </c>
      <c r="AM950" s="322">
        <f t="shared" si="421"/>
        <v>6</v>
      </c>
      <c r="AN950" s="380">
        <f>IF(AND(AH950&gt;0,B950&lt;&gt;""),VLOOKUP(I950,'AUX-NIV3'!$B:$AO,39,FALSE)*O950,0)</f>
        <v>0</v>
      </c>
      <c r="AO950" s="380">
        <f t="shared" si="411"/>
        <v>50.625</v>
      </c>
      <c r="AP950" s="380"/>
    </row>
    <row r="951" spans="2:42" ht="14.4" hidden="1" thickTop="1" thickBot="1">
      <c r="B951" s="949" t="s">
        <v>2886</v>
      </c>
      <c r="C951" s="325" t="s">
        <v>2887</v>
      </c>
      <c r="D951" s="326" t="s">
        <v>441</v>
      </c>
      <c r="E951" s="327">
        <f>IF(B951&lt;&gt;"",SUMIF('AUX-NIV1'!I:I,'AUX-NIV2'!B951,'AUX-NIV1'!Q:Q),"")</f>
        <v>0</v>
      </c>
      <c r="F951" s="327">
        <f t="shared" si="401"/>
        <v>40888.822227420533</v>
      </c>
      <c r="G951" s="327">
        <f t="shared" si="402"/>
        <v>0</v>
      </c>
      <c r="H951" s="328" t="str">
        <f t="shared" si="422"/>
        <v>E</v>
      </c>
      <c r="I951" s="325" t="s">
        <v>1696</v>
      </c>
      <c r="J951" s="329" t="str">
        <f>IF(B951&lt;&gt;"",+VLOOKUP(I951,Recursos!C:F,2,FALSE),"")</f>
        <v>GRUA MOVIL TODO TERRENO 36 T</v>
      </c>
      <c r="K951" s="330" t="str">
        <f>IF(B951&lt;&gt;"",+VLOOKUP(I951,Recursos!C:F,3,FALSE),"")</f>
        <v>HR</v>
      </c>
      <c r="L951" s="327">
        <f>IF(B951&lt;&gt;"",+VLOOKUP(I951,Recursos!C:F,4,FALSE),"")</f>
        <v>5430.5444599999992</v>
      </c>
      <c r="M951" s="452">
        <v>0.5</v>
      </c>
      <c r="N951" s="455"/>
      <c r="O951" s="449">
        <f t="shared" si="423"/>
        <v>0.5</v>
      </c>
      <c r="P951" s="333">
        <f t="shared" si="398"/>
        <v>2715.2722299999996</v>
      </c>
      <c r="Q951" s="327">
        <f t="shared" si="399"/>
        <v>0</v>
      </c>
      <c r="R951" s="334">
        <f t="shared" si="400"/>
        <v>0</v>
      </c>
      <c r="S951" s="335">
        <f t="shared" si="403"/>
        <v>24933.880575932926</v>
      </c>
      <c r="T951" s="335">
        <f t="shared" si="404"/>
        <v>2715.2722299999996</v>
      </c>
      <c r="U951" s="336">
        <f t="shared" si="405"/>
        <v>13239.669421487604</v>
      </c>
      <c r="V951" s="336">
        <f t="shared" si="406"/>
        <v>0</v>
      </c>
      <c r="W951" s="336">
        <f t="shared" si="407"/>
        <v>0</v>
      </c>
      <c r="X951" s="336">
        <f t="shared" si="408"/>
        <v>0</v>
      </c>
      <c r="Y951" s="320"/>
      <c r="Z951" s="321" t="str">
        <f t="shared" si="412"/>
        <v>X-CAGA</v>
      </c>
      <c r="AA951" s="321" t="str">
        <f t="shared" si="413"/>
        <v>X-CAGE</v>
      </c>
      <c r="AB951" s="321" t="str">
        <f t="shared" si="414"/>
        <v>X-CAGM</v>
      </c>
      <c r="AC951" s="321" t="str">
        <f t="shared" si="415"/>
        <v>X-CAGT</v>
      </c>
      <c r="AD951" s="321" t="str">
        <f t="shared" si="416"/>
        <v>X-CAGS</v>
      </c>
      <c r="AE951" s="321" t="str">
        <f t="shared" si="417"/>
        <v>X-CAGX</v>
      </c>
      <c r="AF951" s="321" t="str">
        <f t="shared" si="418"/>
        <v>X-CAGE</v>
      </c>
      <c r="AG951" s="321">
        <f t="shared" si="409"/>
        <v>8</v>
      </c>
      <c r="AH951" s="321">
        <f>IF(B951&lt;&gt;"",IF(H951="x",VLOOKUP(I951,'AUX-NIV3'!B:AG,32,FALSE),0),"")</f>
        <v>0</v>
      </c>
      <c r="AI951" s="321" t="str">
        <f t="shared" si="419"/>
        <v>X-CAG</v>
      </c>
      <c r="AJ951" s="320"/>
      <c r="AK951" s="322">
        <f t="shared" si="410"/>
        <v>945</v>
      </c>
      <c r="AL951" s="323">
        <f t="shared" si="420"/>
        <v>952</v>
      </c>
      <c r="AM951" s="322">
        <f t="shared" si="421"/>
        <v>7</v>
      </c>
      <c r="AN951" s="380">
        <f>IF(AND(AH951&gt;0,B951&lt;&gt;""),VLOOKUP(I951,'AUX-NIV3'!$B:$AO,39,FALSE)*O951,0)</f>
        <v>0</v>
      </c>
      <c r="AO951" s="380">
        <f t="shared" si="411"/>
        <v>50.625</v>
      </c>
      <c r="AP951" s="380"/>
    </row>
    <row r="952" spans="2:42" ht="14.4" hidden="1" thickTop="1" thickBot="1">
      <c r="B952" s="949" t="s">
        <v>2886</v>
      </c>
      <c r="C952" s="325" t="s">
        <v>2887</v>
      </c>
      <c r="D952" s="326" t="s">
        <v>441</v>
      </c>
      <c r="E952" s="327">
        <f>IF(B952&lt;&gt;"",SUMIF('AUX-NIV1'!I:I,'AUX-NIV2'!B952,'AUX-NIV1'!Q:Q),"")</f>
        <v>0</v>
      </c>
      <c r="F952" s="327">
        <f t="shared" si="401"/>
        <v>40888.822227420533</v>
      </c>
      <c r="G952" s="327">
        <f t="shared" si="402"/>
        <v>0</v>
      </c>
      <c r="H952" s="328" t="str">
        <f t="shared" si="422"/>
        <v>M</v>
      </c>
      <c r="I952" s="325" t="s">
        <v>1799</v>
      </c>
      <c r="J952" s="329" t="str">
        <f>IF(B952&lt;&gt;"",+VLOOKUP(I952,Recursos!C:F,2,FALSE),"")</f>
        <v>ALAMBRE DE ATAR</v>
      </c>
      <c r="K952" s="330" t="str">
        <f>IF(B952&lt;&gt;"",+VLOOKUP(I952,Recursos!C:F,3,FALSE),"")</f>
        <v>kg</v>
      </c>
      <c r="L952" s="327">
        <f>IF(B952&lt;&gt;"",+VLOOKUP(I952,Recursos!C:F,4,FALSE),"")</f>
        <v>735.53719008264466</v>
      </c>
      <c r="M952" s="450">
        <v>18</v>
      </c>
      <c r="N952" s="507"/>
      <c r="O952" s="449">
        <f t="shared" si="423"/>
        <v>18</v>
      </c>
      <c r="P952" s="333">
        <f t="shared" si="398"/>
        <v>13239.669421487604</v>
      </c>
      <c r="Q952" s="327">
        <f t="shared" si="399"/>
        <v>0</v>
      </c>
      <c r="R952" s="334">
        <f t="shared" si="400"/>
        <v>0</v>
      </c>
      <c r="S952" s="335">
        <f t="shared" si="403"/>
        <v>24933.880575932926</v>
      </c>
      <c r="T952" s="335">
        <f t="shared" si="404"/>
        <v>2715.2722299999996</v>
      </c>
      <c r="U952" s="336">
        <f t="shared" si="405"/>
        <v>13239.669421487604</v>
      </c>
      <c r="V952" s="336">
        <f t="shared" si="406"/>
        <v>0</v>
      </c>
      <c r="W952" s="336">
        <f t="shared" si="407"/>
        <v>0</v>
      </c>
      <c r="X952" s="336">
        <f t="shared" si="408"/>
        <v>0</v>
      </c>
      <c r="Y952" s="320"/>
      <c r="Z952" s="321" t="str">
        <f t="shared" si="412"/>
        <v>X-CAGA</v>
      </c>
      <c r="AA952" s="321" t="str">
        <f t="shared" si="413"/>
        <v>X-CAGE</v>
      </c>
      <c r="AB952" s="321" t="str">
        <f t="shared" si="414"/>
        <v>X-CAGM</v>
      </c>
      <c r="AC952" s="321" t="str">
        <f t="shared" si="415"/>
        <v>X-CAGT</v>
      </c>
      <c r="AD952" s="321" t="str">
        <f t="shared" si="416"/>
        <v>X-CAGS</v>
      </c>
      <c r="AE952" s="321" t="str">
        <f t="shared" si="417"/>
        <v>X-CAGX</v>
      </c>
      <c r="AF952" s="321" t="str">
        <f t="shared" si="418"/>
        <v>X-CAGM</v>
      </c>
      <c r="AG952" s="321">
        <f t="shared" si="409"/>
        <v>8</v>
      </c>
      <c r="AH952" s="321">
        <f>IF(B952&lt;&gt;"",IF(H952="x",VLOOKUP(I952,'AUX-NIV3'!B:AG,32,FALSE),0),"")</f>
        <v>0</v>
      </c>
      <c r="AI952" s="321" t="str">
        <f t="shared" si="419"/>
        <v>X-CAG</v>
      </c>
      <c r="AJ952" s="320"/>
      <c r="AK952" s="322">
        <f t="shared" si="410"/>
        <v>945</v>
      </c>
      <c r="AL952" s="323">
        <f t="shared" si="420"/>
        <v>952</v>
      </c>
      <c r="AM952" s="322">
        <f t="shared" si="421"/>
        <v>8</v>
      </c>
      <c r="AN952" s="380">
        <f>IF(AND(AH952&gt;0,B952&lt;&gt;""),VLOOKUP(I952,'AUX-NIV3'!$B:$AO,39,FALSE)*O952,0)</f>
        <v>0</v>
      </c>
      <c r="AO952" s="380">
        <f t="shared" si="411"/>
        <v>50.625</v>
      </c>
      <c r="AP952" s="380"/>
    </row>
    <row r="953" spans="2:42" ht="14.4" hidden="1" thickTop="1" thickBot="1">
      <c r="B953" s="324" t="s">
        <v>2888</v>
      </c>
      <c r="C953" s="325" t="s">
        <v>1305</v>
      </c>
      <c r="D953" s="326" t="s">
        <v>441</v>
      </c>
      <c r="E953" s="327">
        <f>IF(B953&lt;&gt;"",SUMIF('AUX-NIV1'!I:I,'AUX-NIV2'!B953,'AUX-NIV1'!Q:Q),"")</f>
        <v>0</v>
      </c>
      <c r="F953" s="327">
        <f t="shared" si="401"/>
        <v>225630.6407481379</v>
      </c>
      <c r="G953" s="327">
        <f t="shared" si="402"/>
        <v>0</v>
      </c>
      <c r="H953" s="328" t="str">
        <f t="shared" si="422"/>
        <v>M</v>
      </c>
      <c r="I953" s="325" t="s">
        <v>1751</v>
      </c>
      <c r="J953" s="329" t="str">
        <f>IF(B953&lt;&gt;"",+VLOOKUP(I953,Recursos!C:F,2,FALSE),"")</f>
        <v>ACERO TIPO ADN 420</v>
      </c>
      <c r="K953" s="330" t="str">
        <f>IF(B953&lt;&gt;"",+VLOOKUP(I953,Recursos!C:F,3,FALSE),"")</f>
        <v>tn</v>
      </c>
      <c r="L953" s="446">
        <f>IF(B953&lt;&gt;"",+VLOOKUP(I953,Recursos!C:F,4,FALSE),"")</f>
        <v>185041.32231404958</v>
      </c>
      <c r="M953" s="531">
        <v>1</v>
      </c>
      <c r="N953" s="448"/>
      <c r="O953" s="449">
        <f t="shared" si="423"/>
        <v>1</v>
      </c>
      <c r="P953" s="333">
        <f t="shared" si="398"/>
        <v>185041.32231404958</v>
      </c>
      <c r="Q953" s="327">
        <f t="shared" si="399"/>
        <v>0</v>
      </c>
      <c r="R953" s="334">
        <f t="shared" si="400"/>
        <v>0</v>
      </c>
      <c r="S953" s="335">
        <f t="shared" si="403"/>
        <v>25921.84749088866</v>
      </c>
      <c r="T953" s="335">
        <f t="shared" si="404"/>
        <v>-1514.3472386184994</v>
      </c>
      <c r="U953" s="336">
        <f t="shared" si="405"/>
        <v>201223.14049586776</v>
      </c>
      <c r="V953" s="336">
        <f t="shared" si="406"/>
        <v>0</v>
      </c>
      <c r="W953" s="336">
        <f t="shared" si="407"/>
        <v>0</v>
      </c>
      <c r="X953" s="336">
        <f t="shared" si="408"/>
        <v>0</v>
      </c>
      <c r="Y953" s="320"/>
      <c r="Z953" s="321" t="str">
        <f t="shared" si="412"/>
        <v>X-ADNA</v>
      </c>
      <c r="AA953" s="321" t="str">
        <f t="shared" si="413"/>
        <v>X-ADNE</v>
      </c>
      <c r="AB953" s="321" t="str">
        <f t="shared" si="414"/>
        <v>X-ADNM</v>
      </c>
      <c r="AC953" s="321" t="str">
        <f t="shared" si="415"/>
        <v>X-ADNT</v>
      </c>
      <c r="AD953" s="321" t="str">
        <f t="shared" si="416"/>
        <v>X-ADNS</v>
      </c>
      <c r="AE953" s="321" t="str">
        <f t="shared" si="417"/>
        <v>X-ADNX</v>
      </c>
      <c r="AF953" s="321" t="str">
        <f t="shared" si="418"/>
        <v>X-ADNM</v>
      </c>
      <c r="AG953" s="321">
        <f t="shared" si="409"/>
        <v>21</v>
      </c>
      <c r="AH953" s="321">
        <f>IF(B953&lt;&gt;"",IF(H953="x",VLOOKUP(I953,'AUX-NIV3'!B:AG,32,FALSE),0),"")</f>
        <v>0</v>
      </c>
      <c r="AI953" s="321" t="str">
        <f t="shared" si="419"/>
        <v>X-ADN</v>
      </c>
      <c r="AJ953" s="320"/>
      <c r="AK953" s="322">
        <f t="shared" si="410"/>
        <v>953</v>
      </c>
      <c r="AL953" s="323">
        <f t="shared" si="420"/>
        <v>973</v>
      </c>
      <c r="AM953" s="322">
        <f t="shared" si="421"/>
        <v>1</v>
      </c>
      <c r="AN953" s="380">
        <f>IF(AND(AH953&gt;0,B953&lt;&gt;""),VLOOKUP(I953,'AUX-NIV3'!$B:$AO,39,FALSE)*O953,0)</f>
        <v>0</v>
      </c>
      <c r="AO953" s="380">
        <f t="shared" si="411"/>
        <v>49.841666000000004</v>
      </c>
      <c r="AP953" s="380"/>
    </row>
    <row r="954" spans="2:42" ht="14.4" hidden="1" thickTop="1" thickBot="1">
      <c r="B954" s="324" t="s">
        <v>2888</v>
      </c>
      <c r="C954" s="325" t="s">
        <v>1305</v>
      </c>
      <c r="D954" s="326" t="s">
        <v>441</v>
      </c>
      <c r="E954" s="327">
        <f>IF(B954&lt;&gt;"",SUMIF('AUX-NIV1'!I:I,'AUX-NIV2'!B954,'AUX-NIV1'!Q:Q),"")</f>
        <v>0</v>
      </c>
      <c r="F954" s="327">
        <f t="shared" si="401"/>
        <v>225630.6407481379</v>
      </c>
      <c r="G954" s="327">
        <f t="shared" si="402"/>
        <v>0</v>
      </c>
      <c r="H954" s="328" t="str">
        <f t="shared" si="422"/>
        <v>A</v>
      </c>
      <c r="I954" s="325" t="s">
        <v>1745</v>
      </c>
      <c r="J954" s="329" t="str">
        <f>IF(B954&lt;&gt;"",+VLOOKUP(I954,Recursos!C:F,2,FALSE),"")</f>
        <v>AYUDANTE</v>
      </c>
      <c r="K954" s="330" t="str">
        <f>IF(B954&lt;&gt;"",+VLOOKUP(I954,Recursos!C:F,3,FALSE),"")</f>
        <v>hh</v>
      </c>
      <c r="L954" s="446">
        <f>IF(B954&lt;&gt;"",+VLOOKUP(I954,Recursos!C:F,4,FALSE),"")</f>
        <v>422.48042769667234</v>
      </c>
      <c r="M954" s="523"/>
      <c r="N954" s="453">
        <v>5</v>
      </c>
      <c r="O954" s="449">
        <f>+N954</f>
        <v>5</v>
      </c>
      <c r="P954" s="333">
        <f t="shared" si="398"/>
        <v>2112.4021384833618</v>
      </c>
      <c r="Q954" s="327">
        <f t="shared" si="399"/>
        <v>0</v>
      </c>
      <c r="R954" s="334">
        <f t="shared" si="400"/>
        <v>0</v>
      </c>
      <c r="S954" s="335">
        <f t="shared" si="403"/>
        <v>25921.84749088866</v>
      </c>
      <c r="T954" s="335">
        <f t="shared" si="404"/>
        <v>-1514.3472386184994</v>
      </c>
      <c r="U954" s="336">
        <f t="shared" si="405"/>
        <v>201223.14049586776</v>
      </c>
      <c r="V954" s="336">
        <f t="shared" si="406"/>
        <v>0</v>
      </c>
      <c r="W954" s="336">
        <f t="shared" si="407"/>
        <v>0</v>
      </c>
      <c r="X954" s="336">
        <f t="shared" si="408"/>
        <v>0</v>
      </c>
      <c r="Y954" s="320"/>
      <c r="Z954" s="321" t="str">
        <f t="shared" si="412"/>
        <v>X-ADNA</v>
      </c>
      <c r="AA954" s="321" t="str">
        <f t="shared" si="413"/>
        <v>X-ADNE</v>
      </c>
      <c r="AB954" s="321" t="str">
        <f t="shared" si="414"/>
        <v>X-ADNM</v>
      </c>
      <c r="AC954" s="321" t="str">
        <f t="shared" si="415"/>
        <v>X-ADNT</v>
      </c>
      <c r="AD954" s="321" t="str">
        <f t="shared" si="416"/>
        <v>X-ADNS</v>
      </c>
      <c r="AE954" s="321" t="str">
        <f t="shared" si="417"/>
        <v>X-ADNX</v>
      </c>
      <c r="AF954" s="321" t="str">
        <f t="shared" si="418"/>
        <v>X-ADNA</v>
      </c>
      <c r="AG954" s="321">
        <f t="shared" si="409"/>
        <v>21</v>
      </c>
      <c r="AH954" s="321">
        <f>IF(B954&lt;&gt;"",IF(H954="x",VLOOKUP(I954,'AUX-NIV3'!B:AG,32,FALSE),0),"")</f>
        <v>0</v>
      </c>
      <c r="AI954" s="321" t="str">
        <f t="shared" si="419"/>
        <v>X-ADN</v>
      </c>
      <c r="AJ954" s="320"/>
      <c r="AK954" s="322">
        <f t="shared" si="410"/>
        <v>953</v>
      </c>
      <c r="AL954" s="323">
        <f t="shared" si="420"/>
        <v>973</v>
      </c>
      <c r="AM954" s="322">
        <f t="shared" si="421"/>
        <v>2</v>
      </c>
      <c r="AN954" s="380">
        <f>IF(AND(AH954&gt;0,B954&lt;&gt;""),VLOOKUP(I954,'AUX-NIV3'!$B:$AO,39,FALSE)*O954,0)</f>
        <v>0</v>
      </c>
      <c r="AO954" s="380">
        <f t="shared" si="411"/>
        <v>49.841666000000004</v>
      </c>
      <c r="AP954" s="380"/>
    </row>
    <row r="955" spans="2:42" ht="14.4" hidden="1" thickTop="1" thickBot="1">
      <c r="B955" s="324" t="s">
        <v>2888</v>
      </c>
      <c r="C955" s="325" t="s">
        <v>1305</v>
      </c>
      <c r="D955" s="326" t="s">
        <v>441</v>
      </c>
      <c r="E955" s="327">
        <f>IF(B955&lt;&gt;"",SUMIF('AUX-NIV1'!I:I,'AUX-NIV2'!B955,'AUX-NIV1'!Q:Q),"")</f>
        <v>0</v>
      </c>
      <c r="F955" s="327">
        <f t="shared" si="401"/>
        <v>225630.6407481379</v>
      </c>
      <c r="G955" s="327">
        <f t="shared" si="402"/>
        <v>0</v>
      </c>
      <c r="H955" s="328" t="str">
        <f t="shared" si="422"/>
        <v>A</v>
      </c>
      <c r="I955" s="325" t="s">
        <v>1746</v>
      </c>
      <c r="J955" s="329" t="str">
        <f>IF(B955&lt;&gt;"",+VLOOKUP(I955,Recursos!C:F,2,FALSE),"")</f>
        <v>OFICIAL</v>
      </c>
      <c r="K955" s="330" t="str">
        <f>IF(B955&lt;&gt;"",+VLOOKUP(I955,Recursos!C:F,3,FALSE),"")</f>
        <v>hh</v>
      </c>
      <c r="L955" s="446">
        <f>IF(B955&lt;&gt;"",+VLOOKUP(I955,Recursos!C:F,4,FALSE),"")</f>
        <v>496.91595439275824</v>
      </c>
      <c r="M955" s="454"/>
      <c r="N955" s="453">
        <v>10</v>
      </c>
      <c r="O955" s="449">
        <f>+N955</f>
        <v>10</v>
      </c>
      <c r="P955" s="333">
        <f t="shared" si="398"/>
        <v>4969.1595439275825</v>
      </c>
      <c r="Q955" s="327">
        <f t="shared" si="399"/>
        <v>0</v>
      </c>
      <c r="R955" s="334">
        <f t="shared" si="400"/>
        <v>0</v>
      </c>
      <c r="S955" s="335">
        <f t="shared" si="403"/>
        <v>25921.84749088866</v>
      </c>
      <c r="T955" s="335">
        <f t="shared" si="404"/>
        <v>-1514.3472386184994</v>
      </c>
      <c r="U955" s="336">
        <f t="shared" si="405"/>
        <v>201223.14049586776</v>
      </c>
      <c r="V955" s="336">
        <f t="shared" si="406"/>
        <v>0</v>
      </c>
      <c r="W955" s="336">
        <f t="shared" si="407"/>
        <v>0</v>
      </c>
      <c r="X955" s="336">
        <f t="shared" si="408"/>
        <v>0</v>
      </c>
      <c r="Y955" s="320"/>
      <c r="Z955" s="321" t="str">
        <f t="shared" si="412"/>
        <v>X-ADNA</v>
      </c>
      <c r="AA955" s="321" t="str">
        <f t="shared" si="413"/>
        <v>X-ADNE</v>
      </c>
      <c r="AB955" s="321" t="str">
        <f t="shared" si="414"/>
        <v>X-ADNM</v>
      </c>
      <c r="AC955" s="321" t="str">
        <f t="shared" si="415"/>
        <v>X-ADNT</v>
      </c>
      <c r="AD955" s="321" t="str">
        <f t="shared" si="416"/>
        <v>X-ADNS</v>
      </c>
      <c r="AE955" s="321" t="str">
        <f t="shared" si="417"/>
        <v>X-ADNX</v>
      </c>
      <c r="AF955" s="321" t="str">
        <f t="shared" si="418"/>
        <v>X-ADNA</v>
      </c>
      <c r="AG955" s="321">
        <f t="shared" si="409"/>
        <v>21</v>
      </c>
      <c r="AH955" s="321">
        <f>IF(B955&lt;&gt;"",IF(H955="x",VLOOKUP(I955,'AUX-NIV3'!B:AG,32,FALSE),0),"")</f>
        <v>0</v>
      </c>
      <c r="AI955" s="321" t="str">
        <f t="shared" si="419"/>
        <v>X-ADN</v>
      </c>
      <c r="AJ955" s="320"/>
      <c r="AK955" s="322">
        <f t="shared" si="410"/>
        <v>953</v>
      </c>
      <c r="AL955" s="323">
        <f t="shared" si="420"/>
        <v>973</v>
      </c>
      <c r="AM955" s="322">
        <f t="shared" si="421"/>
        <v>3</v>
      </c>
      <c r="AN955" s="380">
        <f>IF(AND(AH955&gt;0,B955&lt;&gt;""),VLOOKUP(I955,'AUX-NIV3'!$B:$AO,39,FALSE)*O955,0)</f>
        <v>0</v>
      </c>
      <c r="AO955" s="380">
        <f t="shared" si="411"/>
        <v>49.841666000000004</v>
      </c>
      <c r="AP955" s="380"/>
    </row>
    <row r="956" spans="2:42" ht="14.4" hidden="1" thickTop="1" thickBot="1">
      <c r="B956" s="324" t="s">
        <v>2888</v>
      </c>
      <c r="C956" s="325" t="s">
        <v>1305</v>
      </c>
      <c r="D956" s="326" t="s">
        <v>441</v>
      </c>
      <c r="E956" s="327">
        <f>IF(B956&lt;&gt;"",SUMIF('AUX-NIV1'!I:I,'AUX-NIV2'!B956,'AUX-NIV1'!Q:Q),"")</f>
        <v>0</v>
      </c>
      <c r="F956" s="327">
        <f t="shared" si="401"/>
        <v>225630.6407481379</v>
      </c>
      <c r="G956" s="327">
        <f t="shared" si="402"/>
        <v>0</v>
      </c>
      <c r="H956" s="328" t="str">
        <f t="shared" si="422"/>
        <v>A</v>
      </c>
      <c r="I956" s="325" t="s">
        <v>1746</v>
      </c>
      <c r="J956" s="329" t="str">
        <f>IF(B956&lt;&gt;"",+VLOOKUP(I956,Recursos!C:F,2,FALSE),"")</f>
        <v>OFICIAL</v>
      </c>
      <c r="K956" s="330" t="str">
        <f>IF(B956&lt;&gt;"",+VLOOKUP(I956,Recursos!C:F,3,FALSE),"")</f>
        <v>hh</v>
      </c>
      <c r="L956" s="446">
        <f>IF(B956&lt;&gt;"",+VLOOKUP(I956,Recursos!C:F,4,FALSE),"")</f>
        <v>496.91595439275824</v>
      </c>
      <c r="M956" s="454"/>
      <c r="N956" s="453">
        <v>10</v>
      </c>
      <c r="O956" s="449">
        <f>+N956</f>
        <v>10</v>
      </c>
      <c r="P956" s="333">
        <f t="shared" si="398"/>
        <v>4969.1595439275825</v>
      </c>
      <c r="Q956" s="327">
        <f t="shared" si="399"/>
        <v>0</v>
      </c>
      <c r="R956" s="334">
        <f t="shared" si="400"/>
        <v>0</v>
      </c>
      <c r="S956" s="335">
        <f t="shared" si="403"/>
        <v>25921.84749088866</v>
      </c>
      <c r="T956" s="335">
        <f t="shared" si="404"/>
        <v>-1514.3472386184994</v>
      </c>
      <c r="U956" s="336">
        <f t="shared" si="405"/>
        <v>201223.14049586776</v>
      </c>
      <c r="V956" s="336">
        <f t="shared" si="406"/>
        <v>0</v>
      </c>
      <c r="W956" s="336">
        <f t="shared" si="407"/>
        <v>0</v>
      </c>
      <c r="X956" s="336">
        <f t="shared" si="408"/>
        <v>0</v>
      </c>
      <c r="Y956" s="320"/>
      <c r="Z956" s="321" t="str">
        <f t="shared" si="412"/>
        <v>X-ADNA</v>
      </c>
      <c r="AA956" s="321" t="str">
        <f t="shared" si="413"/>
        <v>X-ADNE</v>
      </c>
      <c r="AB956" s="321" t="str">
        <f t="shared" si="414"/>
        <v>X-ADNM</v>
      </c>
      <c r="AC956" s="321" t="str">
        <f t="shared" si="415"/>
        <v>X-ADNT</v>
      </c>
      <c r="AD956" s="321" t="str">
        <f t="shared" si="416"/>
        <v>X-ADNS</v>
      </c>
      <c r="AE956" s="321" t="str">
        <f t="shared" si="417"/>
        <v>X-ADNX</v>
      </c>
      <c r="AF956" s="321" t="str">
        <f t="shared" si="418"/>
        <v>X-ADNA</v>
      </c>
      <c r="AG956" s="321">
        <f t="shared" si="409"/>
        <v>21</v>
      </c>
      <c r="AH956" s="321">
        <f>IF(B956&lt;&gt;"",IF(H956="x",VLOOKUP(I956,'AUX-NIV3'!B:AG,32,FALSE),0),"")</f>
        <v>0</v>
      </c>
      <c r="AI956" s="321" t="str">
        <f t="shared" si="419"/>
        <v>X-ADN</v>
      </c>
      <c r="AJ956" s="320"/>
      <c r="AK956" s="322">
        <f t="shared" si="410"/>
        <v>953</v>
      </c>
      <c r="AL956" s="323">
        <f t="shared" si="420"/>
        <v>973</v>
      </c>
      <c r="AM956" s="322">
        <f t="shared" si="421"/>
        <v>4</v>
      </c>
      <c r="AN956" s="380">
        <f>IF(AND(AH956&gt;0,B956&lt;&gt;""),VLOOKUP(I956,'AUX-NIV3'!$B:$AO,39,FALSE)*O956,0)</f>
        <v>0</v>
      </c>
      <c r="AO956" s="380">
        <f t="shared" si="411"/>
        <v>49.841666000000004</v>
      </c>
      <c r="AP956" s="380"/>
    </row>
    <row r="957" spans="2:42" ht="14.4" hidden="1" thickTop="1" thickBot="1">
      <c r="B957" s="324" t="s">
        <v>2888</v>
      </c>
      <c r="C957" s="325" t="s">
        <v>1305</v>
      </c>
      <c r="D957" s="326" t="s">
        <v>441</v>
      </c>
      <c r="E957" s="327">
        <f>IF(B957&lt;&gt;"",SUMIF('AUX-NIV1'!I:I,'AUX-NIV2'!B957,'AUX-NIV1'!Q:Q),"")</f>
        <v>0</v>
      </c>
      <c r="F957" s="327">
        <f t="shared" si="401"/>
        <v>225630.6407481379</v>
      </c>
      <c r="G957" s="327">
        <f t="shared" si="402"/>
        <v>0</v>
      </c>
      <c r="H957" s="328" t="str">
        <f t="shared" si="422"/>
        <v>E</v>
      </c>
      <c r="I957" s="325" t="s">
        <v>1740</v>
      </c>
      <c r="J957" s="329" t="str">
        <f>IF(B957&lt;&gt;"",+VLOOKUP(I957,Recursos!C:F,2,FALSE),"")</f>
        <v>CORTADORA Y DOBLADORA Fe 1 T/h</v>
      </c>
      <c r="K957" s="330" t="str">
        <f>IF(B957&lt;&gt;"",+VLOOKUP(I957,Recursos!C:F,3,FALSE),"")</f>
        <v>HR</v>
      </c>
      <c r="L957" s="446">
        <f>IF(B957&lt;&gt;"",+VLOOKUP(I957,Recursos!C:F,4,FALSE),"")</f>
        <v>340.19387999999998</v>
      </c>
      <c r="M957" s="530"/>
      <c r="N957" s="451">
        <v>1.2</v>
      </c>
      <c r="O957" s="449">
        <f>+N957</f>
        <v>1.2</v>
      </c>
      <c r="P957" s="333">
        <f t="shared" si="398"/>
        <v>408.23265599999996</v>
      </c>
      <c r="Q957" s="327">
        <f t="shared" si="399"/>
        <v>0</v>
      </c>
      <c r="R957" s="334">
        <f t="shared" si="400"/>
        <v>0</v>
      </c>
      <c r="S957" s="335">
        <f t="shared" si="403"/>
        <v>25921.84749088866</v>
      </c>
      <c r="T957" s="335">
        <f t="shared" si="404"/>
        <v>-1514.3472386184994</v>
      </c>
      <c r="U957" s="336">
        <f t="shared" si="405"/>
        <v>201223.14049586776</v>
      </c>
      <c r="V957" s="336">
        <f t="shared" si="406"/>
        <v>0</v>
      </c>
      <c r="W957" s="336">
        <f t="shared" si="407"/>
        <v>0</v>
      </c>
      <c r="X957" s="336">
        <f t="shared" si="408"/>
        <v>0</v>
      </c>
      <c r="Y957" s="320"/>
      <c r="Z957" s="321" t="str">
        <f t="shared" si="412"/>
        <v>X-ADNA</v>
      </c>
      <c r="AA957" s="321" t="str">
        <f t="shared" si="413"/>
        <v>X-ADNE</v>
      </c>
      <c r="AB957" s="321" t="str">
        <f t="shared" si="414"/>
        <v>X-ADNM</v>
      </c>
      <c r="AC957" s="321" t="str">
        <f t="shared" si="415"/>
        <v>X-ADNT</v>
      </c>
      <c r="AD957" s="321" t="str">
        <f t="shared" si="416"/>
        <v>X-ADNS</v>
      </c>
      <c r="AE957" s="321" t="str">
        <f t="shared" si="417"/>
        <v>X-ADNX</v>
      </c>
      <c r="AF957" s="321" t="str">
        <f t="shared" si="418"/>
        <v>X-ADNE</v>
      </c>
      <c r="AG957" s="321">
        <f t="shared" si="409"/>
        <v>21</v>
      </c>
      <c r="AH957" s="321">
        <f>IF(B957&lt;&gt;"",IF(H957="x",VLOOKUP(I957,'AUX-NIV3'!B:AG,32,FALSE),0),"")</f>
        <v>0</v>
      </c>
      <c r="AI957" s="321" t="str">
        <f t="shared" si="419"/>
        <v>X-ADN</v>
      </c>
      <c r="AJ957" s="320"/>
      <c r="AK957" s="322">
        <f t="shared" si="410"/>
        <v>953</v>
      </c>
      <c r="AL957" s="323">
        <f t="shared" si="420"/>
        <v>973</v>
      </c>
      <c r="AM957" s="322">
        <f t="shared" si="421"/>
        <v>5</v>
      </c>
      <c r="AN957" s="380">
        <f>IF(AND(AH957&gt;0,B957&lt;&gt;""),VLOOKUP(I957,'AUX-NIV3'!$B:$AO,39,FALSE)*O957,0)</f>
        <v>0</v>
      </c>
      <c r="AO957" s="380">
        <f t="shared" si="411"/>
        <v>49.841666000000004</v>
      </c>
      <c r="AP957" s="380"/>
    </row>
    <row r="958" spans="2:42" ht="14.4" hidden="1" thickTop="1" thickBot="1">
      <c r="B958" s="324" t="s">
        <v>2888</v>
      </c>
      <c r="C958" s="325" t="s">
        <v>1305</v>
      </c>
      <c r="D958" s="326" t="s">
        <v>441</v>
      </c>
      <c r="E958" s="327">
        <f>IF(B958&lt;&gt;"",SUMIF('AUX-NIV1'!I:I,'AUX-NIV2'!B958,'AUX-NIV1'!Q:Q),"")</f>
        <v>0</v>
      </c>
      <c r="F958" s="327">
        <f t="shared" si="401"/>
        <v>225630.6407481379</v>
      </c>
      <c r="G958" s="327">
        <f t="shared" si="402"/>
        <v>0</v>
      </c>
      <c r="H958" s="328" t="str">
        <f t="shared" si="422"/>
        <v>A</v>
      </c>
      <c r="I958" s="325" t="s">
        <v>1745</v>
      </c>
      <c r="J958" s="329" t="str">
        <f>IF(B958&lt;&gt;"",+VLOOKUP(I958,Recursos!C:F,2,FALSE),"")</f>
        <v>AYUDANTE</v>
      </c>
      <c r="K958" s="330" t="str">
        <f>IF(B958&lt;&gt;"",+VLOOKUP(I958,Recursos!C:F,3,FALSE),"")</f>
        <v>hh</v>
      </c>
      <c r="L958" s="446">
        <f>IF(B958&lt;&gt;"",+VLOOKUP(I958,Recursos!C:F,4,FALSE),"")</f>
        <v>422.48042769667234</v>
      </c>
      <c r="M958" s="526">
        <v>20</v>
      </c>
      <c r="N958" s="448">
        <v>0.25</v>
      </c>
      <c r="O958" s="449">
        <f>+M958*N958</f>
        <v>5</v>
      </c>
      <c r="P958" s="333">
        <f t="shared" si="398"/>
        <v>2112.4021384833618</v>
      </c>
      <c r="Q958" s="327">
        <f t="shared" si="399"/>
        <v>0</v>
      </c>
      <c r="R958" s="334">
        <f t="shared" si="400"/>
        <v>0</v>
      </c>
      <c r="S958" s="335">
        <f t="shared" si="403"/>
        <v>25921.84749088866</v>
      </c>
      <c r="T958" s="335">
        <f t="shared" si="404"/>
        <v>-1514.3472386184994</v>
      </c>
      <c r="U958" s="336">
        <f t="shared" si="405"/>
        <v>201223.14049586776</v>
      </c>
      <c r="V958" s="336">
        <f t="shared" si="406"/>
        <v>0</v>
      </c>
      <c r="W958" s="336">
        <f t="shared" si="407"/>
        <v>0</v>
      </c>
      <c r="X958" s="336">
        <f t="shared" si="408"/>
        <v>0</v>
      </c>
      <c r="Y958" s="320"/>
      <c r="Z958" s="321" t="str">
        <f t="shared" si="412"/>
        <v>X-ADNA</v>
      </c>
      <c r="AA958" s="321" t="str">
        <f t="shared" si="413"/>
        <v>X-ADNE</v>
      </c>
      <c r="AB958" s="321" t="str">
        <f t="shared" si="414"/>
        <v>X-ADNM</v>
      </c>
      <c r="AC958" s="321" t="str">
        <f t="shared" si="415"/>
        <v>X-ADNT</v>
      </c>
      <c r="AD958" s="321" t="str">
        <f t="shared" si="416"/>
        <v>X-ADNS</v>
      </c>
      <c r="AE958" s="321" t="str">
        <f t="shared" si="417"/>
        <v>X-ADNX</v>
      </c>
      <c r="AF958" s="321" t="str">
        <f t="shared" si="418"/>
        <v>X-ADNA</v>
      </c>
      <c r="AG958" s="321">
        <f t="shared" si="409"/>
        <v>21</v>
      </c>
      <c r="AH958" s="321">
        <f>IF(B958&lt;&gt;"",IF(H958="x",VLOOKUP(I958,'AUX-NIV3'!B:AG,32,FALSE),0),"")</f>
        <v>0</v>
      </c>
      <c r="AI958" s="321" t="str">
        <f t="shared" si="419"/>
        <v>X-ADN</v>
      </c>
      <c r="AJ958" s="320"/>
      <c r="AK958" s="322">
        <f t="shared" si="410"/>
        <v>953</v>
      </c>
      <c r="AL958" s="323">
        <f t="shared" si="420"/>
        <v>973</v>
      </c>
      <c r="AM958" s="322">
        <f t="shared" si="421"/>
        <v>6</v>
      </c>
      <c r="AN958" s="380">
        <f>IF(AND(AH958&gt;0,B958&lt;&gt;""),VLOOKUP(I958,'AUX-NIV3'!$B:$AO,39,FALSE)*O958,0)</f>
        <v>0</v>
      </c>
      <c r="AO958" s="380">
        <f t="shared" si="411"/>
        <v>49.841666000000004</v>
      </c>
      <c r="AP958" s="380"/>
    </row>
    <row r="959" spans="2:42" ht="14.4" hidden="1" thickTop="1" thickBot="1">
      <c r="B959" s="324" t="s">
        <v>2888</v>
      </c>
      <c r="C959" s="325" t="s">
        <v>1305</v>
      </c>
      <c r="D959" s="326" t="s">
        <v>441</v>
      </c>
      <c r="E959" s="327">
        <f>IF(B959&lt;&gt;"",SUMIF('AUX-NIV1'!I:I,'AUX-NIV2'!B959,'AUX-NIV1'!Q:Q),"")</f>
        <v>0</v>
      </c>
      <c r="F959" s="327">
        <f t="shared" si="401"/>
        <v>225630.6407481379</v>
      </c>
      <c r="G959" s="327">
        <f t="shared" si="402"/>
        <v>0</v>
      </c>
      <c r="H959" s="328" t="str">
        <f t="shared" si="422"/>
        <v>A</v>
      </c>
      <c r="I959" s="325" t="s">
        <v>1746</v>
      </c>
      <c r="J959" s="329" t="str">
        <f>IF(B959&lt;&gt;"",+VLOOKUP(I959,Recursos!C:F,2,FALSE),"")</f>
        <v>OFICIAL</v>
      </c>
      <c r="K959" s="330" t="str">
        <f>IF(B959&lt;&gt;"",+VLOOKUP(I959,Recursos!C:F,3,FALSE),"")</f>
        <v>hh</v>
      </c>
      <c r="L959" s="446">
        <f>IF(B959&lt;&gt;"",+VLOOKUP(I959,Recursos!C:F,4,FALSE),"")</f>
        <v>496.91595439275824</v>
      </c>
      <c r="M959" s="452">
        <v>15</v>
      </c>
      <c r="N959" s="455"/>
      <c r="O959" s="449">
        <f t="shared" ref="O959:O965" si="424">+M959*$N$407</f>
        <v>30</v>
      </c>
      <c r="P959" s="333">
        <f t="shared" si="398"/>
        <v>14907.478631782747</v>
      </c>
      <c r="Q959" s="327">
        <f t="shared" si="399"/>
        <v>0</v>
      </c>
      <c r="R959" s="334">
        <f t="shared" si="400"/>
        <v>0</v>
      </c>
      <c r="S959" s="335">
        <f t="shared" si="403"/>
        <v>25921.84749088866</v>
      </c>
      <c r="T959" s="335">
        <f t="shared" si="404"/>
        <v>-1514.3472386184994</v>
      </c>
      <c r="U959" s="336">
        <f t="shared" si="405"/>
        <v>201223.14049586776</v>
      </c>
      <c r="V959" s="336">
        <f t="shared" si="406"/>
        <v>0</v>
      </c>
      <c r="W959" s="336">
        <f t="shared" si="407"/>
        <v>0</v>
      </c>
      <c r="X959" s="336">
        <f t="shared" si="408"/>
        <v>0</v>
      </c>
      <c r="Y959" s="320"/>
      <c r="Z959" s="321" t="str">
        <f t="shared" si="412"/>
        <v>X-ADNA</v>
      </c>
      <c r="AA959" s="321" t="str">
        <f t="shared" si="413"/>
        <v>X-ADNE</v>
      </c>
      <c r="AB959" s="321" t="str">
        <f t="shared" si="414"/>
        <v>X-ADNM</v>
      </c>
      <c r="AC959" s="321" t="str">
        <f t="shared" si="415"/>
        <v>X-ADNT</v>
      </c>
      <c r="AD959" s="321" t="str">
        <f t="shared" si="416"/>
        <v>X-ADNS</v>
      </c>
      <c r="AE959" s="321" t="str">
        <f t="shared" si="417"/>
        <v>X-ADNX</v>
      </c>
      <c r="AF959" s="321" t="str">
        <f t="shared" si="418"/>
        <v>X-ADNA</v>
      </c>
      <c r="AG959" s="321">
        <f t="shared" si="409"/>
        <v>21</v>
      </c>
      <c r="AH959" s="321">
        <f>IF(B959&lt;&gt;"",IF(H959="x",VLOOKUP(I959,'AUX-NIV3'!B:AG,32,FALSE),0),"")</f>
        <v>0</v>
      </c>
      <c r="AI959" s="321" t="str">
        <f t="shared" si="419"/>
        <v>X-ADN</v>
      </c>
      <c r="AJ959" s="320"/>
      <c r="AK959" s="322">
        <f t="shared" si="410"/>
        <v>953</v>
      </c>
      <c r="AL959" s="323">
        <f t="shared" si="420"/>
        <v>973</v>
      </c>
      <c r="AM959" s="322">
        <f t="shared" si="421"/>
        <v>7</v>
      </c>
      <c r="AN959" s="380">
        <f>IF(AND(AH959&gt;0,B959&lt;&gt;""),VLOOKUP(I959,'AUX-NIV3'!$B:$AO,39,FALSE)*O959,0)</f>
        <v>0</v>
      </c>
      <c r="AO959" s="380">
        <f t="shared" si="411"/>
        <v>49.841666000000004</v>
      </c>
      <c r="AP959" s="380"/>
    </row>
    <row r="960" spans="2:42" ht="14.4" hidden="1" thickTop="1" thickBot="1">
      <c r="B960" s="324" t="s">
        <v>2888</v>
      </c>
      <c r="C960" s="325" t="s">
        <v>1305</v>
      </c>
      <c r="D960" s="326" t="s">
        <v>441</v>
      </c>
      <c r="E960" s="327">
        <f>IF(B960&lt;&gt;"",SUMIF('AUX-NIV1'!I:I,'AUX-NIV2'!B960,'AUX-NIV1'!Q:Q),"")</f>
        <v>0</v>
      </c>
      <c r="F960" s="327">
        <f t="shared" si="401"/>
        <v>225630.6407481379</v>
      </c>
      <c r="G960" s="327">
        <f t="shared" si="402"/>
        <v>0</v>
      </c>
      <c r="H960" s="328" t="str">
        <f t="shared" si="422"/>
        <v>A</v>
      </c>
      <c r="I960" s="325" t="s">
        <v>1746</v>
      </c>
      <c r="J960" s="329" t="str">
        <f>IF(B960&lt;&gt;"",+VLOOKUP(I960,Recursos!C:F,2,FALSE),"")</f>
        <v>OFICIAL</v>
      </c>
      <c r="K960" s="330" t="str">
        <f>IF(B960&lt;&gt;"",+VLOOKUP(I960,Recursos!C:F,3,FALSE),"")</f>
        <v>hh</v>
      </c>
      <c r="L960" s="446">
        <f>IF(B960&lt;&gt;"",+VLOOKUP(I960,Recursos!C:F,4,FALSE),"")</f>
        <v>496.91595439275824</v>
      </c>
      <c r="M960" s="452">
        <v>10</v>
      </c>
      <c r="N960" s="455"/>
      <c r="O960" s="449">
        <f t="shared" si="424"/>
        <v>20</v>
      </c>
      <c r="P960" s="333">
        <f t="shared" ref="P960:P1016" si="425">IF(B960&lt;&gt;"",O960*L960,"")</f>
        <v>9938.319087855165</v>
      </c>
      <c r="Q960" s="327">
        <f t="shared" ref="Q960:Q1016" si="426">IF(B960&lt;&gt;"",+O960*E960,"")</f>
        <v>0</v>
      </c>
      <c r="R960" s="334">
        <f t="shared" ref="R960:R1016" si="427">IF(B960&lt;&gt;"",Q960*L960,"")</f>
        <v>0</v>
      </c>
      <c r="S960" s="335">
        <f t="shared" si="403"/>
        <v>25921.84749088866</v>
      </c>
      <c r="T960" s="335">
        <f t="shared" si="404"/>
        <v>-1514.3472386184994</v>
      </c>
      <c r="U960" s="336">
        <f t="shared" si="405"/>
        <v>201223.14049586776</v>
      </c>
      <c r="V960" s="336">
        <f t="shared" si="406"/>
        <v>0</v>
      </c>
      <c r="W960" s="336">
        <f t="shared" si="407"/>
        <v>0</v>
      </c>
      <c r="X960" s="336">
        <f t="shared" si="408"/>
        <v>0</v>
      </c>
      <c r="Y960" s="320"/>
      <c r="Z960" s="321" t="str">
        <f t="shared" si="412"/>
        <v>X-ADNA</v>
      </c>
      <c r="AA960" s="321" t="str">
        <f t="shared" si="413"/>
        <v>X-ADNE</v>
      </c>
      <c r="AB960" s="321" t="str">
        <f t="shared" si="414"/>
        <v>X-ADNM</v>
      </c>
      <c r="AC960" s="321" t="str">
        <f t="shared" si="415"/>
        <v>X-ADNT</v>
      </c>
      <c r="AD960" s="321" t="str">
        <f t="shared" si="416"/>
        <v>X-ADNS</v>
      </c>
      <c r="AE960" s="321" t="str">
        <f t="shared" si="417"/>
        <v>X-ADNX</v>
      </c>
      <c r="AF960" s="321" t="str">
        <f t="shared" si="418"/>
        <v>X-ADNA</v>
      </c>
      <c r="AG960" s="321">
        <f t="shared" si="409"/>
        <v>21</v>
      </c>
      <c r="AH960" s="321">
        <f>IF(B960&lt;&gt;"",IF(H960="x",VLOOKUP(I960,'AUX-NIV3'!B:AG,32,FALSE),0),"")</f>
        <v>0</v>
      </c>
      <c r="AI960" s="321" t="str">
        <f t="shared" si="419"/>
        <v>X-ADN</v>
      </c>
      <c r="AJ960" s="320"/>
      <c r="AK960" s="322">
        <f t="shared" si="410"/>
        <v>953</v>
      </c>
      <c r="AL960" s="323">
        <f t="shared" si="420"/>
        <v>973</v>
      </c>
      <c r="AM960" s="322">
        <f t="shared" si="421"/>
        <v>8</v>
      </c>
      <c r="AN960" s="380">
        <f>IF(AND(AH960&gt;0,B960&lt;&gt;""),VLOOKUP(I960,'AUX-NIV3'!$B:$AO,39,FALSE)*O960,0)</f>
        <v>0</v>
      </c>
      <c r="AO960" s="380">
        <f t="shared" si="411"/>
        <v>49.841666000000004</v>
      </c>
      <c r="AP960" s="380"/>
    </row>
    <row r="961" spans="2:42" ht="14.4" hidden="1" thickTop="1" thickBot="1">
      <c r="B961" s="324" t="s">
        <v>2888</v>
      </c>
      <c r="C961" s="325" t="s">
        <v>1305</v>
      </c>
      <c r="D961" s="326" t="s">
        <v>441</v>
      </c>
      <c r="E961" s="327">
        <f>IF(B961&lt;&gt;"",SUMIF('AUX-NIV1'!I:I,'AUX-NIV2'!B961,'AUX-NIV1'!Q:Q),"")</f>
        <v>0</v>
      </c>
      <c r="F961" s="327">
        <f t="shared" si="401"/>
        <v>225630.6407481379</v>
      </c>
      <c r="G961" s="327">
        <f t="shared" si="402"/>
        <v>0</v>
      </c>
      <c r="H961" s="328" t="str">
        <f t="shared" si="422"/>
        <v>A</v>
      </c>
      <c r="I961" s="325" t="s">
        <v>3310</v>
      </c>
      <c r="J961" s="329" t="str">
        <f>IF(B961&lt;&gt;"",+VLOOKUP(I961,Recursos!C:F,2,FALSE),"")</f>
        <v>OFICIAL ESPECIALIZADO</v>
      </c>
      <c r="K961" s="330" t="str">
        <f>IF(B961&lt;&gt;"",+VLOOKUP(I961,Recursos!C:F,3,FALSE),"")</f>
        <v>hh</v>
      </c>
      <c r="L961" s="446">
        <f>IF(B961&lt;&gt;"",+VLOOKUP(I961,Recursos!C:F,4,FALSE),"")</f>
        <v>581.06120476836554</v>
      </c>
      <c r="M961" s="452">
        <v>5</v>
      </c>
      <c r="N961" s="455"/>
      <c r="O961" s="449">
        <f t="shared" si="424"/>
        <v>10</v>
      </c>
      <c r="P961" s="333">
        <f t="shared" si="425"/>
        <v>5810.612047683655</v>
      </c>
      <c r="Q961" s="327">
        <f t="shared" si="426"/>
        <v>0</v>
      </c>
      <c r="R961" s="334">
        <f t="shared" si="427"/>
        <v>0</v>
      </c>
      <c r="S961" s="335">
        <f t="shared" si="403"/>
        <v>25921.84749088866</v>
      </c>
      <c r="T961" s="335">
        <f t="shared" si="404"/>
        <v>-1514.3472386184994</v>
      </c>
      <c r="U961" s="336">
        <f t="shared" si="405"/>
        <v>201223.14049586776</v>
      </c>
      <c r="V961" s="336">
        <f t="shared" si="406"/>
        <v>0</v>
      </c>
      <c r="W961" s="336">
        <f t="shared" si="407"/>
        <v>0</v>
      </c>
      <c r="X961" s="336">
        <f t="shared" si="408"/>
        <v>0</v>
      </c>
      <c r="Y961" s="320"/>
      <c r="Z961" s="321" t="str">
        <f t="shared" si="412"/>
        <v>X-ADNA</v>
      </c>
      <c r="AA961" s="321" t="str">
        <f t="shared" si="413"/>
        <v>X-ADNE</v>
      </c>
      <c r="AB961" s="321" t="str">
        <f t="shared" si="414"/>
        <v>X-ADNM</v>
      </c>
      <c r="AC961" s="321" t="str">
        <f t="shared" si="415"/>
        <v>X-ADNT</v>
      </c>
      <c r="AD961" s="321" t="str">
        <f t="shared" si="416"/>
        <v>X-ADNS</v>
      </c>
      <c r="AE961" s="321" t="str">
        <f t="shared" si="417"/>
        <v>X-ADNX</v>
      </c>
      <c r="AF961" s="321" t="str">
        <f t="shared" si="418"/>
        <v>X-ADNA</v>
      </c>
      <c r="AG961" s="321">
        <f t="shared" si="409"/>
        <v>21</v>
      </c>
      <c r="AH961" s="321">
        <f>IF(B961&lt;&gt;"",IF(H961="x",VLOOKUP(I961,'AUX-NIV3'!B:AG,32,FALSE),0),"")</f>
        <v>0</v>
      </c>
      <c r="AI961" s="321" t="str">
        <f t="shared" si="419"/>
        <v>X-ADN</v>
      </c>
      <c r="AJ961" s="320"/>
      <c r="AK961" s="322">
        <f t="shared" si="410"/>
        <v>953</v>
      </c>
      <c r="AL961" s="323">
        <f t="shared" si="420"/>
        <v>973</v>
      </c>
      <c r="AM961" s="322">
        <f t="shared" si="421"/>
        <v>9</v>
      </c>
      <c r="AN961" s="380">
        <f>IF(AND(AH961&gt;0,B961&lt;&gt;""),VLOOKUP(I961,'AUX-NIV3'!$B:$AO,39,FALSE)*O961,0)</f>
        <v>0</v>
      </c>
      <c r="AO961" s="380">
        <f t="shared" si="411"/>
        <v>49.841666000000004</v>
      </c>
      <c r="AP961" s="380"/>
    </row>
    <row r="962" spans="2:42" ht="14.4" hidden="1" thickTop="1" thickBot="1">
      <c r="B962" s="324" t="s">
        <v>2888</v>
      </c>
      <c r="C962" s="325" t="s">
        <v>1305</v>
      </c>
      <c r="D962" s="326" t="s">
        <v>441</v>
      </c>
      <c r="E962" s="327">
        <f>IF(B962&lt;&gt;"",SUMIF('AUX-NIV1'!I:I,'AUX-NIV2'!B962,'AUX-NIV1'!Q:Q),"")</f>
        <v>0</v>
      </c>
      <c r="F962" s="327">
        <f t="shared" si="401"/>
        <v>225630.6407481379</v>
      </c>
      <c r="G962" s="327">
        <f t="shared" si="402"/>
        <v>0</v>
      </c>
      <c r="H962" s="328" t="str">
        <f t="shared" si="422"/>
        <v>A</v>
      </c>
      <c r="I962" s="325" t="s">
        <v>3310</v>
      </c>
      <c r="J962" s="329" t="str">
        <f>IF(B962&lt;&gt;"",+VLOOKUP(I962,Recursos!C:F,2,FALSE),"")</f>
        <v>OFICIAL ESPECIALIZADO</v>
      </c>
      <c r="K962" s="330" t="str">
        <f>IF(B962&lt;&gt;"",+VLOOKUP(I962,Recursos!C:F,3,FALSE),"")</f>
        <v>hh</v>
      </c>
      <c r="L962" s="446">
        <f>IF(B962&lt;&gt;"",+VLOOKUP(I962,Recursos!C:F,4,FALSE),"")</f>
        <v>581.06120476836554</v>
      </c>
      <c r="M962" s="452">
        <v>5</v>
      </c>
      <c r="N962" s="455"/>
      <c r="O962" s="449">
        <f t="shared" si="424"/>
        <v>10</v>
      </c>
      <c r="P962" s="333">
        <f t="shared" si="425"/>
        <v>5810.612047683655</v>
      </c>
      <c r="Q962" s="327">
        <f t="shared" si="426"/>
        <v>0</v>
      </c>
      <c r="R962" s="334">
        <f t="shared" si="427"/>
        <v>0</v>
      </c>
      <c r="S962" s="335">
        <f t="shared" si="403"/>
        <v>25921.84749088866</v>
      </c>
      <c r="T962" s="335">
        <f t="shared" si="404"/>
        <v>-1514.3472386184994</v>
      </c>
      <c r="U962" s="336">
        <f t="shared" si="405"/>
        <v>201223.14049586776</v>
      </c>
      <c r="V962" s="336">
        <f t="shared" si="406"/>
        <v>0</v>
      </c>
      <c r="W962" s="336">
        <f t="shared" si="407"/>
        <v>0</v>
      </c>
      <c r="X962" s="336">
        <f t="shared" si="408"/>
        <v>0</v>
      </c>
      <c r="Y962" s="320"/>
      <c r="Z962" s="321" t="str">
        <f t="shared" si="412"/>
        <v>X-ADNA</v>
      </c>
      <c r="AA962" s="321" t="str">
        <f t="shared" si="413"/>
        <v>X-ADNE</v>
      </c>
      <c r="AB962" s="321" t="str">
        <f t="shared" si="414"/>
        <v>X-ADNM</v>
      </c>
      <c r="AC962" s="321" t="str">
        <f t="shared" si="415"/>
        <v>X-ADNT</v>
      </c>
      <c r="AD962" s="321" t="str">
        <f t="shared" si="416"/>
        <v>X-ADNS</v>
      </c>
      <c r="AE962" s="321" t="str">
        <f t="shared" si="417"/>
        <v>X-ADNX</v>
      </c>
      <c r="AF962" s="321" t="str">
        <f t="shared" si="418"/>
        <v>X-ADNA</v>
      </c>
      <c r="AG962" s="321">
        <f t="shared" si="409"/>
        <v>21</v>
      </c>
      <c r="AH962" s="321">
        <f>IF(B962&lt;&gt;"",IF(H962="x",VLOOKUP(I962,'AUX-NIV3'!B:AG,32,FALSE),0),"")</f>
        <v>0</v>
      </c>
      <c r="AI962" s="321" t="str">
        <f t="shared" si="419"/>
        <v>X-ADN</v>
      </c>
      <c r="AJ962" s="320"/>
      <c r="AK962" s="322">
        <f t="shared" si="410"/>
        <v>953</v>
      </c>
      <c r="AL962" s="323">
        <f t="shared" si="420"/>
        <v>973</v>
      </c>
      <c r="AM962" s="322">
        <f t="shared" si="421"/>
        <v>10</v>
      </c>
      <c r="AN962" s="380">
        <f>IF(AND(AH962&gt;0,B962&lt;&gt;""),VLOOKUP(I962,'AUX-NIV3'!$B:$AO,39,FALSE)*O962,0)</f>
        <v>0</v>
      </c>
      <c r="AO962" s="380">
        <f t="shared" si="411"/>
        <v>49.841666000000004</v>
      </c>
      <c r="AP962" s="380"/>
    </row>
    <row r="963" spans="2:42" ht="14.4" hidden="1" thickTop="1" thickBot="1">
      <c r="B963" s="324" t="s">
        <v>2888</v>
      </c>
      <c r="C963" s="325" t="s">
        <v>1305</v>
      </c>
      <c r="D963" s="326" t="s">
        <v>441</v>
      </c>
      <c r="E963" s="327">
        <f>IF(B963&lt;&gt;"",SUMIF('AUX-NIV1'!I:I,'AUX-NIV2'!B963,'AUX-NIV1'!Q:Q),"")</f>
        <v>0</v>
      </c>
      <c r="F963" s="327">
        <f t="shared" si="401"/>
        <v>225630.6407481379</v>
      </c>
      <c r="G963" s="327">
        <f t="shared" si="402"/>
        <v>0</v>
      </c>
      <c r="H963" s="328" t="str">
        <f t="shared" si="422"/>
        <v>A</v>
      </c>
      <c r="I963" s="325" t="s">
        <v>1746</v>
      </c>
      <c r="J963" s="329" t="str">
        <f>IF(B963&lt;&gt;"",+VLOOKUP(I963,Recursos!C:F,2,FALSE),"")</f>
        <v>OFICIAL</v>
      </c>
      <c r="K963" s="330" t="str">
        <f>IF(B963&lt;&gt;"",+VLOOKUP(I963,Recursos!C:F,3,FALSE),"")</f>
        <v>hh</v>
      </c>
      <c r="L963" s="446">
        <f>IF(B963&lt;&gt;"",+VLOOKUP(I963,Recursos!C:F,4,FALSE),"")</f>
        <v>496.91595439275824</v>
      </c>
      <c r="M963" s="452">
        <v>0.27083299999999999</v>
      </c>
      <c r="N963" s="455"/>
      <c r="O963" s="449">
        <f t="shared" si="424"/>
        <v>0.54166599999999998</v>
      </c>
      <c r="P963" s="333">
        <f t="shared" si="425"/>
        <v>269.16247735210777</v>
      </c>
      <c r="Q963" s="327">
        <f t="shared" si="426"/>
        <v>0</v>
      </c>
      <c r="R963" s="334">
        <f t="shared" si="427"/>
        <v>0</v>
      </c>
      <c r="S963" s="335">
        <f t="shared" si="403"/>
        <v>25921.84749088866</v>
      </c>
      <c r="T963" s="335">
        <f t="shared" si="404"/>
        <v>-1514.3472386184994</v>
      </c>
      <c r="U963" s="336">
        <f t="shared" si="405"/>
        <v>201223.14049586776</v>
      </c>
      <c r="V963" s="336">
        <f t="shared" si="406"/>
        <v>0</v>
      </c>
      <c r="W963" s="336">
        <f t="shared" si="407"/>
        <v>0</v>
      </c>
      <c r="X963" s="336">
        <f t="shared" si="408"/>
        <v>0</v>
      </c>
      <c r="Y963" s="320"/>
      <c r="Z963" s="321" t="str">
        <f t="shared" si="412"/>
        <v>X-ADNA</v>
      </c>
      <c r="AA963" s="321" t="str">
        <f t="shared" si="413"/>
        <v>X-ADNE</v>
      </c>
      <c r="AB963" s="321" t="str">
        <f t="shared" si="414"/>
        <v>X-ADNM</v>
      </c>
      <c r="AC963" s="321" t="str">
        <f t="shared" si="415"/>
        <v>X-ADNT</v>
      </c>
      <c r="AD963" s="321" t="str">
        <f t="shared" si="416"/>
        <v>X-ADNS</v>
      </c>
      <c r="AE963" s="321" t="str">
        <f t="shared" si="417"/>
        <v>X-ADNX</v>
      </c>
      <c r="AF963" s="321" t="str">
        <f t="shared" si="418"/>
        <v>X-ADNA</v>
      </c>
      <c r="AG963" s="321">
        <f t="shared" si="409"/>
        <v>21</v>
      </c>
      <c r="AH963" s="321">
        <f>IF(B963&lt;&gt;"",IF(H963="x",VLOOKUP(I963,'AUX-NIV3'!B:AG,32,FALSE),0),"")</f>
        <v>0</v>
      </c>
      <c r="AI963" s="321" t="str">
        <f t="shared" si="419"/>
        <v>X-ADN</v>
      </c>
      <c r="AJ963" s="320"/>
      <c r="AK963" s="322">
        <f t="shared" si="410"/>
        <v>953</v>
      </c>
      <c r="AL963" s="323">
        <f t="shared" si="420"/>
        <v>973</v>
      </c>
      <c r="AM963" s="322">
        <f t="shared" si="421"/>
        <v>11</v>
      </c>
      <c r="AN963" s="380">
        <f>IF(AND(AH963&gt;0,B963&lt;&gt;""),VLOOKUP(I963,'AUX-NIV3'!$B:$AO,39,FALSE)*O963,0)</f>
        <v>0</v>
      </c>
      <c r="AO963" s="380">
        <f t="shared" si="411"/>
        <v>49.841666000000004</v>
      </c>
      <c r="AP963" s="380"/>
    </row>
    <row r="964" spans="2:42" ht="14.4" hidden="1" thickTop="1" thickBot="1">
      <c r="B964" s="324" t="s">
        <v>2888</v>
      </c>
      <c r="C964" s="325" t="s">
        <v>1305</v>
      </c>
      <c r="D964" s="326" t="s">
        <v>441</v>
      </c>
      <c r="E964" s="327">
        <f>IF(B964&lt;&gt;"",SUMIF('AUX-NIV1'!I:I,'AUX-NIV2'!B964,'AUX-NIV1'!Q:Q),"")</f>
        <v>0</v>
      </c>
      <c r="F964" s="327">
        <f t="shared" si="401"/>
        <v>225630.6407481379</v>
      </c>
      <c r="G964" s="327">
        <f t="shared" si="402"/>
        <v>0</v>
      </c>
      <c r="H964" s="328" t="str">
        <f t="shared" si="422"/>
        <v>E</v>
      </c>
      <c r="I964" s="325" t="s">
        <v>1597</v>
      </c>
      <c r="J964" s="329" t="str">
        <f>IF(B964&lt;&gt;"",+VLOOKUP(I964,Recursos!C:F,2,FALSE),"")</f>
        <v>HIDROGRUA MONTADA S/CAMION (6 T)</v>
      </c>
      <c r="K964" s="330" t="str">
        <f>IF(B964&lt;&gt;"",+VLOOKUP(I964,Recursos!C:F,3,FALSE),"")</f>
        <v>HR</v>
      </c>
      <c r="L964" s="446">
        <f>IF(B964&lt;&gt;"",+VLOOKUP(I964,Recursos!C:F,4,FALSE),"")</f>
        <v>2378.0722500000002</v>
      </c>
      <c r="M964" s="452">
        <v>0.16666700000000001</v>
      </c>
      <c r="N964" s="455"/>
      <c r="O964" s="449">
        <f t="shared" si="424"/>
        <v>0.33333400000000002</v>
      </c>
      <c r="P964" s="333">
        <f t="shared" si="425"/>
        <v>792.69233538150013</v>
      </c>
      <c r="Q964" s="327">
        <f t="shared" si="426"/>
        <v>0</v>
      </c>
      <c r="R964" s="334">
        <f t="shared" si="427"/>
        <v>0</v>
      </c>
      <c r="S964" s="335">
        <f t="shared" si="403"/>
        <v>25921.84749088866</v>
      </c>
      <c r="T964" s="335">
        <f t="shared" si="404"/>
        <v>-1514.3472386184994</v>
      </c>
      <c r="U964" s="336">
        <f t="shared" si="405"/>
        <v>201223.14049586776</v>
      </c>
      <c r="V964" s="336">
        <f t="shared" si="406"/>
        <v>0</v>
      </c>
      <c r="W964" s="336">
        <f t="shared" si="407"/>
        <v>0</v>
      </c>
      <c r="X964" s="336">
        <f t="shared" si="408"/>
        <v>0</v>
      </c>
      <c r="Y964" s="320"/>
      <c r="Z964" s="321" t="str">
        <f t="shared" si="412"/>
        <v>X-ADNA</v>
      </c>
      <c r="AA964" s="321" t="str">
        <f t="shared" si="413"/>
        <v>X-ADNE</v>
      </c>
      <c r="AB964" s="321" t="str">
        <f t="shared" si="414"/>
        <v>X-ADNM</v>
      </c>
      <c r="AC964" s="321" t="str">
        <f t="shared" si="415"/>
        <v>X-ADNT</v>
      </c>
      <c r="AD964" s="321" t="str">
        <f t="shared" si="416"/>
        <v>X-ADNS</v>
      </c>
      <c r="AE964" s="321" t="str">
        <f t="shared" si="417"/>
        <v>X-ADNX</v>
      </c>
      <c r="AF964" s="321" t="str">
        <f t="shared" si="418"/>
        <v>X-ADNE</v>
      </c>
      <c r="AG964" s="321">
        <f t="shared" si="409"/>
        <v>21</v>
      </c>
      <c r="AH964" s="321">
        <f>IF(B964&lt;&gt;"",IF(H964="x",VLOOKUP(I964,'AUX-NIV3'!B:AG,32,FALSE),0),"")</f>
        <v>0</v>
      </c>
      <c r="AI964" s="321" t="str">
        <f t="shared" si="419"/>
        <v>X-ADN</v>
      </c>
      <c r="AJ964" s="320"/>
      <c r="AK964" s="322">
        <f t="shared" si="410"/>
        <v>953</v>
      </c>
      <c r="AL964" s="323">
        <f t="shared" si="420"/>
        <v>973</v>
      </c>
      <c r="AM964" s="322">
        <f t="shared" si="421"/>
        <v>12</v>
      </c>
      <c r="AN964" s="380">
        <f>IF(AND(AH964&gt;0,B964&lt;&gt;""),VLOOKUP(I964,'AUX-NIV3'!$B:$AO,39,FALSE)*O964,0)</f>
        <v>0</v>
      </c>
      <c r="AO964" s="380">
        <f t="shared" si="411"/>
        <v>49.841666000000004</v>
      </c>
      <c r="AP964" s="380"/>
    </row>
    <row r="965" spans="2:42" ht="14.4" hidden="1" thickTop="1" thickBot="1">
      <c r="B965" s="324" t="s">
        <v>2888</v>
      </c>
      <c r="C965" s="325" t="s">
        <v>1305</v>
      </c>
      <c r="D965" s="326" t="s">
        <v>441</v>
      </c>
      <c r="E965" s="327">
        <f>IF(B965&lt;&gt;"",SUMIF('AUX-NIV1'!I:I,'AUX-NIV2'!B965,'AUX-NIV1'!Q:Q),"")</f>
        <v>0</v>
      </c>
      <c r="F965" s="327">
        <f t="shared" si="401"/>
        <v>225630.6407481379</v>
      </c>
      <c r="G965" s="327">
        <f t="shared" si="402"/>
        <v>0</v>
      </c>
      <c r="H965" s="328" t="str">
        <f t="shared" si="422"/>
        <v>M</v>
      </c>
      <c r="I965" s="325" t="s">
        <v>1799</v>
      </c>
      <c r="J965" s="329" t="str">
        <f>IF(B965&lt;&gt;"",+VLOOKUP(I965,Recursos!C:F,2,FALSE),"")</f>
        <v>ALAMBRE DE ATAR</v>
      </c>
      <c r="K965" s="330" t="str">
        <f>IF(B965&lt;&gt;"",+VLOOKUP(I965,Recursos!C:F,3,FALSE),"")</f>
        <v>kg</v>
      </c>
      <c r="L965" s="446">
        <f>IF(B965&lt;&gt;"",+VLOOKUP(I965,Recursos!C:F,4,FALSE),"")</f>
        <v>735.53719008264466</v>
      </c>
      <c r="M965" s="532">
        <v>20</v>
      </c>
      <c r="N965" s="507"/>
      <c r="O965" s="449">
        <f t="shared" si="424"/>
        <v>40</v>
      </c>
      <c r="P965" s="333">
        <f t="shared" si="425"/>
        <v>29421.487603305788</v>
      </c>
      <c r="Q965" s="327">
        <f t="shared" si="426"/>
        <v>0</v>
      </c>
      <c r="R965" s="334">
        <f t="shared" si="427"/>
        <v>0</v>
      </c>
      <c r="S965" s="335">
        <f t="shared" si="403"/>
        <v>25921.84749088866</v>
      </c>
      <c r="T965" s="335">
        <f t="shared" si="404"/>
        <v>-1514.3472386184994</v>
      </c>
      <c r="U965" s="336">
        <f t="shared" si="405"/>
        <v>201223.14049586776</v>
      </c>
      <c r="V965" s="336">
        <f t="shared" si="406"/>
        <v>0</v>
      </c>
      <c r="W965" s="336">
        <f t="shared" si="407"/>
        <v>0</v>
      </c>
      <c r="X965" s="336">
        <f t="shared" si="408"/>
        <v>0</v>
      </c>
      <c r="Y965" s="320"/>
      <c r="Z965" s="321" t="str">
        <f t="shared" si="412"/>
        <v>X-ADNA</v>
      </c>
      <c r="AA965" s="321" t="str">
        <f t="shared" si="413"/>
        <v>X-ADNE</v>
      </c>
      <c r="AB965" s="321" t="str">
        <f t="shared" si="414"/>
        <v>X-ADNM</v>
      </c>
      <c r="AC965" s="321" t="str">
        <f t="shared" si="415"/>
        <v>X-ADNT</v>
      </c>
      <c r="AD965" s="321" t="str">
        <f t="shared" si="416"/>
        <v>X-ADNS</v>
      </c>
      <c r="AE965" s="321" t="str">
        <f t="shared" si="417"/>
        <v>X-ADNX</v>
      </c>
      <c r="AF965" s="321" t="str">
        <f t="shared" si="418"/>
        <v>X-ADNM</v>
      </c>
      <c r="AG965" s="321">
        <f t="shared" si="409"/>
        <v>21</v>
      </c>
      <c r="AH965" s="321">
        <f>IF(B965&lt;&gt;"",IF(H965="x",VLOOKUP(I965,'AUX-NIV3'!B:AG,32,FALSE),0),"")</f>
        <v>0</v>
      </c>
      <c r="AI965" s="321" t="str">
        <f t="shared" si="419"/>
        <v>X-ADN</v>
      </c>
      <c r="AJ965" s="320"/>
      <c r="AK965" s="322">
        <f t="shared" si="410"/>
        <v>953</v>
      </c>
      <c r="AL965" s="323">
        <f t="shared" si="420"/>
        <v>973</v>
      </c>
      <c r="AM965" s="322">
        <f t="shared" si="421"/>
        <v>13</v>
      </c>
      <c r="AN965" s="380">
        <f>IF(AND(AH965&gt;0,B965&lt;&gt;""),VLOOKUP(I965,'AUX-NIV3'!$B:$AO,39,FALSE)*O965,0)</f>
        <v>0</v>
      </c>
      <c r="AO965" s="380">
        <f t="shared" si="411"/>
        <v>49.841666000000004</v>
      </c>
      <c r="AP965" s="380"/>
    </row>
    <row r="966" spans="2:42" ht="14.4" hidden="1" thickTop="1" thickBot="1">
      <c r="B966" s="324" t="s">
        <v>2888</v>
      </c>
      <c r="C966" s="325" t="s">
        <v>1305</v>
      </c>
      <c r="D966" s="326" t="s">
        <v>441</v>
      </c>
      <c r="E966" s="327">
        <f>IF(B966&lt;&gt;"",SUMIF('AUX-NIV1'!I:I,'AUX-NIV2'!B966,'AUX-NIV1'!Q:Q),"")</f>
        <v>0</v>
      </c>
      <c r="F966" s="327">
        <f t="shared" si="401"/>
        <v>225630.6407481379</v>
      </c>
      <c r="G966" s="327">
        <f t="shared" si="402"/>
        <v>0</v>
      </c>
      <c r="H966" s="328" t="str">
        <f t="shared" si="422"/>
        <v>A</v>
      </c>
      <c r="I966" s="325" t="s">
        <v>1745</v>
      </c>
      <c r="J966" s="329" t="str">
        <f>IF(B966&lt;&gt;"",+VLOOKUP(I966,Recursos!C:F,2,FALSE),"")</f>
        <v>AYUDANTE</v>
      </c>
      <c r="K966" s="330" t="str">
        <f>IF(B966&lt;&gt;"",+VLOOKUP(I966,Recursos!C:F,3,FALSE),"")</f>
        <v>hh</v>
      </c>
      <c r="L966" s="446">
        <f>IF(B966&lt;&gt;"",+VLOOKUP(I966,Recursos!C:F,4,FALSE),"")</f>
        <v>422.48042769667234</v>
      </c>
      <c r="M966" s="526">
        <v>15</v>
      </c>
      <c r="N966" s="515"/>
      <c r="O966" s="449">
        <f t="shared" ref="O966:O973" si="428">+M966*(1-$N$407)</f>
        <v>-15</v>
      </c>
      <c r="P966" s="333">
        <f t="shared" si="425"/>
        <v>-6337.2064154500849</v>
      </c>
      <c r="Q966" s="327">
        <f t="shared" si="426"/>
        <v>0</v>
      </c>
      <c r="R966" s="334">
        <f t="shared" si="427"/>
        <v>0</v>
      </c>
      <c r="S966" s="335">
        <f t="shared" si="403"/>
        <v>25921.84749088866</v>
      </c>
      <c r="T966" s="335">
        <f t="shared" si="404"/>
        <v>-1514.3472386184994</v>
      </c>
      <c r="U966" s="336">
        <f t="shared" si="405"/>
        <v>201223.14049586776</v>
      </c>
      <c r="V966" s="336">
        <f t="shared" si="406"/>
        <v>0</v>
      </c>
      <c r="W966" s="336">
        <f t="shared" si="407"/>
        <v>0</v>
      </c>
      <c r="X966" s="336">
        <f t="shared" si="408"/>
        <v>0</v>
      </c>
      <c r="Y966" s="320"/>
      <c r="Z966" s="321" t="str">
        <f t="shared" si="412"/>
        <v>X-ADNA</v>
      </c>
      <c r="AA966" s="321" t="str">
        <f t="shared" si="413"/>
        <v>X-ADNE</v>
      </c>
      <c r="AB966" s="321" t="str">
        <f t="shared" si="414"/>
        <v>X-ADNM</v>
      </c>
      <c r="AC966" s="321" t="str">
        <f t="shared" si="415"/>
        <v>X-ADNT</v>
      </c>
      <c r="AD966" s="321" t="str">
        <f t="shared" si="416"/>
        <v>X-ADNS</v>
      </c>
      <c r="AE966" s="321" t="str">
        <f t="shared" si="417"/>
        <v>X-ADNX</v>
      </c>
      <c r="AF966" s="321" t="str">
        <f t="shared" si="418"/>
        <v>X-ADNA</v>
      </c>
      <c r="AG966" s="321">
        <f t="shared" si="409"/>
        <v>21</v>
      </c>
      <c r="AH966" s="321">
        <f>IF(B966&lt;&gt;"",IF(H966="x",VLOOKUP(I966,'AUX-NIV3'!B:AG,32,FALSE),0),"")</f>
        <v>0</v>
      </c>
      <c r="AI966" s="321" t="str">
        <f t="shared" si="419"/>
        <v>X-ADN</v>
      </c>
      <c r="AJ966" s="320"/>
      <c r="AK966" s="322">
        <f t="shared" si="410"/>
        <v>953</v>
      </c>
      <c r="AL966" s="323">
        <f t="shared" si="420"/>
        <v>973</v>
      </c>
      <c r="AM966" s="322">
        <f t="shared" si="421"/>
        <v>14</v>
      </c>
      <c r="AN966" s="380">
        <f>IF(AND(AH966&gt;0,B966&lt;&gt;""),VLOOKUP(I966,'AUX-NIV3'!$B:$AO,39,FALSE)*O966,0)</f>
        <v>0</v>
      </c>
      <c r="AO966" s="380">
        <f t="shared" si="411"/>
        <v>49.841666000000004</v>
      </c>
      <c r="AP966" s="380"/>
    </row>
    <row r="967" spans="2:42" ht="14.4" hidden="1" thickTop="1" thickBot="1">
      <c r="B967" s="324" t="s">
        <v>2888</v>
      </c>
      <c r="C967" s="325" t="s">
        <v>1305</v>
      </c>
      <c r="D967" s="326" t="s">
        <v>441</v>
      </c>
      <c r="E967" s="327">
        <f>IF(B967&lt;&gt;"",SUMIF('AUX-NIV1'!I:I,'AUX-NIV2'!B967,'AUX-NIV1'!Q:Q),"")</f>
        <v>0</v>
      </c>
      <c r="F967" s="327">
        <f t="shared" ref="F967:F1030" si="429">IF(B967&lt;&gt;"",+SUMIF(B:B,B967,P:P),"")</f>
        <v>225630.6407481379</v>
      </c>
      <c r="G967" s="327">
        <f t="shared" ref="G967:G1030" si="430">IF(B967&lt;&gt;"",+SUMIF(B:B,B967,R:R),"")</f>
        <v>0</v>
      </c>
      <c r="H967" s="328" t="str">
        <f t="shared" si="422"/>
        <v>A</v>
      </c>
      <c r="I967" s="325" t="s">
        <v>1746</v>
      </c>
      <c r="J967" s="329" t="str">
        <f>IF(B967&lt;&gt;"",+VLOOKUP(I967,Recursos!C:F,2,FALSE),"")</f>
        <v>OFICIAL</v>
      </c>
      <c r="K967" s="330" t="str">
        <f>IF(B967&lt;&gt;"",+VLOOKUP(I967,Recursos!C:F,3,FALSE),"")</f>
        <v>hh</v>
      </c>
      <c r="L967" s="446">
        <f>IF(B967&lt;&gt;"",+VLOOKUP(I967,Recursos!C:F,4,FALSE),"")</f>
        <v>496.91595439275824</v>
      </c>
      <c r="M967" s="452">
        <v>15</v>
      </c>
      <c r="N967" s="455"/>
      <c r="O967" s="449">
        <f t="shared" si="428"/>
        <v>-15</v>
      </c>
      <c r="P967" s="333">
        <f t="shared" si="425"/>
        <v>-7453.7393158913737</v>
      </c>
      <c r="Q967" s="327">
        <f t="shared" si="426"/>
        <v>0</v>
      </c>
      <c r="R967" s="334">
        <f t="shared" si="427"/>
        <v>0</v>
      </c>
      <c r="S967" s="335">
        <f t="shared" ref="S967:S1030" si="431">IF(B967&lt;&gt;"",+SUMIF($AF:$AF,Z967,$P:$P),"")</f>
        <v>25921.84749088866</v>
      </c>
      <c r="T967" s="335">
        <f t="shared" ref="T967:T1030" si="432">IF(B967&lt;&gt;"",+SUMIF($AF:$AF,AA967,$P:$P),"")</f>
        <v>-1514.3472386184994</v>
      </c>
      <c r="U967" s="336">
        <f t="shared" ref="U967:U1030" si="433">IF(B967&lt;&gt;"",+SUMIF($AF:$AF,AB967,$P:$P),"")</f>
        <v>201223.14049586776</v>
      </c>
      <c r="V967" s="336">
        <f t="shared" ref="V967:V1030" si="434">IF(B967&lt;&gt;"",+SUMIF($AF:$AF,AC967,$P:$P),"")</f>
        <v>0</v>
      </c>
      <c r="W967" s="336">
        <f t="shared" ref="W967:W1030" si="435">IF(B967&lt;&gt;"",+SUMIF($AF:$AF,AD967,$P:$P),"")</f>
        <v>0</v>
      </c>
      <c r="X967" s="336">
        <f t="shared" ref="X967:X1030" si="436">IF(B967&lt;&gt;"",+SUMIF($AF:$AF,AE967,$P:$P),"")</f>
        <v>0</v>
      </c>
      <c r="Y967" s="320"/>
      <c r="Z967" s="321" t="str">
        <f t="shared" si="412"/>
        <v>X-ADNA</v>
      </c>
      <c r="AA967" s="321" t="str">
        <f t="shared" si="413"/>
        <v>X-ADNE</v>
      </c>
      <c r="AB967" s="321" t="str">
        <f t="shared" si="414"/>
        <v>X-ADNM</v>
      </c>
      <c r="AC967" s="321" t="str">
        <f t="shared" si="415"/>
        <v>X-ADNT</v>
      </c>
      <c r="AD967" s="321" t="str">
        <f t="shared" si="416"/>
        <v>X-ADNS</v>
      </c>
      <c r="AE967" s="321" t="str">
        <f t="shared" si="417"/>
        <v>X-ADNX</v>
      </c>
      <c r="AF967" s="321" t="str">
        <f t="shared" si="418"/>
        <v>X-ADNA</v>
      </c>
      <c r="AG967" s="321">
        <f t="shared" ref="AG967:AG1030" si="437">IF(B967&lt;&gt;"",+COUNTIF(B:B,B967),"")</f>
        <v>21</v>
      </c>
      <c r="AH967" s="321">
        <f>IF(B967&lt;&gt;"",IF(H967="x",VLOOKUP(I967,'AUX-NIV3'!B:AG,32,FALSE),0),"")</f>
        <v>0</v>
      </c>
      <c r="AI967" s="321" t="str">
        <f t="shared" si="419"/>
        <v>X-ADN</v>
      </c>
      <c r="AJ967" s="320"/>
      <c r="AK967" s="322">
        <f t="shared" ref="AK967:AK1030" si="438">IF(B967&lt;&gt;"",+MATCH(B967,B:B,0),"")</f>
        <v>953</v>
      </c>
      <c r="AL967" s="323">
        <f t="shared" si="420"/>
        <v>973</v>
      </c>
      <c r="AM967" s="322">
        <f t="shared" si="421"/>
        <v>15</v>
      </c>
      <c r="AN967" s="380">
        <f>IF(AND(AH967&gt;0,B967&lt;&gt;""),VLOOKUP(I967,'AUX-NIV3'!$B:$AO,39,FALSE)*O967,0)</f>
        <v>0</v>
      </c>
      <c r="AO967" s="380">
        <f t="shared" ref="AO967:AO1030" si="439">+IF(B967&lt;&gt;"",SUMIF(AF:AF,Z967,O:O)+SUMIF(Z:Z,Z967,AN:AN),0)</f>
        <v>49.841666000000004</v>
      </c>
      <c r="AP967" s="380"/>
    </row>
    <row r="968" spans="2:42" ht="14.4" hidden="1" thickTop="1" thickBot="1">
      <c r="B968" s="324" t="s">
        <v>2888</v>
      </c>
      <c r="C968" s="325" t="s">
        <v>1305</v>
      </c>
      <c r="D968" s="326" t="s">
        <v>441</v>
      </c>
      <c r="E968" s="327">
        <f>IF(B968&lt;&gt;"",SUMIF('AUX-NIV1'!I:I,'AUX-NIV2'!B968,'AUX-NIV1'!Q:Q),"")</f>
        <v>0</v>
      </c>
      <c r="F968" s="327">
        <f t="shared" si="429"/>
        <v>225630.6407481379</v>
      </c>
      <c r="G968" s="327">
        <f t="shared" si="430"/>
        <v>0</v>
      </c>
      <c r="H968" s="328" t="str">
        <f t="shared" si="422"/>
        <v>A</v>
      </c>
      <c r="I968" s="325" t="s">
        <v>1746</v>
      </c>
      <c r="J968" s="329" t="str">
        <f>IF(B968&lt;&gt;"",+VLOOKUP(I968,Recursos!C:F,2,FALSE),"")</f>
        <v>OFICIAL</v>
      </c>
      <c r="K968" s="330" t="str">
        <f>IF(B968&lt;&gt;"",+VLOOKUP(I968,Recursos!C:F,3,FALSE),"")</f>
        <v>hh</v>
      </c>
      <c r="L968" s="446">
        <f>IF(B968&lt;&gt;"",+VLOOKUP(I968,Recursos!C:F,4,FALSE),"")</f>
        <v>496.91595439275824</v>
      </c>
      <c r="M968" s="452">
        <v>10</v>
      </c>
      <c r="N968" s="455"/>
      <c r="O968" s="449">
        <f t="shared" si="428"/>
        <v>-10</v>
      </c>
      <c r="P968" s="333">
        <f t="shared" si="425"/>
        <v>-4969.1595439275825</v>
      </c>
      <c r="Q968" s="327">
        <f t="shared" si="426"/>
        <v>0</v>
      </c>
      <c r="R968" s="334">
        <f t="shared" si="427"/>
        <v>0</v>
      </c>
      <c r="S968" s="335">
        <f t="shared" si="431"/>
        <v>25921.84749088866</v>
      </c>
      <c r="T968" s="335">
        <f t="shared" si="432"/>
        <v>-1514.3472386184994</v>
      </c>
      <c r="U968" s="336">
        <f t="shared" si="433"/>
        <v>201223.14049586776</v>
      </c>
      <c r="V968" s="336">
        <f t="shared" si="434"/>
        <v>0</v>
      </c>
      <c r="W968" s="336">
        <f t="shared" si="435"/>
        <v>0</v>
      </c>
      <c r="X968" s="336">
        <f t="shared" si="436"/>
        <v>0</v>
      </c>
      <c r="Y968" s="320"/>
      <c r="Z968" s="321" t="str">
        <f t="shared" ref="Z968:Z1031" si="440">IF(B968&lt;&gt;"",+$B968&amp;"A","")</f>
        <v>X-ADNA</v>
      </c>
      <c r="AA968" s="321" t="str">
        <f t="shared" ref="AA968:AA1031" si="441">IF(B968&lt;&gt;"",+$B968&amp;"E","")</f>
        <v>X-ADNE</v>
      </c>
      <c r="AB968" s="321" t="str">
        <f t="shared" ref="AB968:AB1031" si="442">IF(B968&lt;&gt;"",++$B968&amp;"M","")</f>
        <v>X-ADNM</v>
      </c>
      <c r="AC968" s="321" t="str">
        <f t="shared" ref="AC968:AC1031" si="443">IF(B968&lt;&gt;"",+$B968&amp;"T","")</f>
        <v>X-ADNT</v>
      </c>
      <c r="AD968" s="321" t="str">
        <f t="shared" ref="AD968:AD1031" si="444">IF(B968&lt;&gt;"",+$B968&amp;"S","")</f>
        <v>X-ADNS</v>
      </c>
      <c r="AE968" s="321" t="str">
        <f t="shared" ref="AE968:AE1031" si="445">IF(B968&lt;&gt;"",+$B968&amp;"X","")</f>
        <v>X-ADNX</v>
      </c>
      <c r="AF968" s="321" t="str">
        <f t="shared" ref="AF968:AF1031" si="446">IF(B968&lt;&gt;"",+B968&amp;H968,"")</f>
        <v>X-ADNA</v>
      </c>
      <c r="AG968" s="321">
        <f t="shared" si="437"/>
        <v>21</v>
      </c>
      <c r="AH968" s="321">
        <f>IF(B968&lt;&gt;"",IF(H968="x",VLOOKUP(I968,'AUX-NIV3'!B:AG,32,FALSE),0),"")</f>
        <v>0</v>
      </c>
      <c r="AI968" s="321" t="str">
        <f t="shared" ref="AI968:AI1031" si="447">IF(B968&lt;&gt;"",+B968,"")</f>
        <v>X-ADN</v>
      </c>
      <c r="AJ968" s="320"/>
      <c r="AK968" s="322">
        <f t="shared" si="438"/>
        <v>953</v>
      </c>
      <c r="AL968" s="323">
        <f t="shared" ref="AL968:AL1031" si="448">IF(B968&lt;&gt;"",+AK968+AG968-1,"")</f>
        <v>973</v>
      </c>
      <c r="AM968" s="322">
        <f t="shared" ref="AM968:AM1031" si="449">IF(B968&lt;&gt;"",IF(B968=B967,1+AM967,1),"")</f>
        <v>16</v>
      </c>
      <c r="AN968" s="380">
        <f>IF(AND(AH968&gt;0,B968&lt;&gt;""),VLOOKUP(I968,'AUX-NIV3'!$B:$AO,39,FALSE)*O968,0)</f>
        <v>0</v>
      </c>
      <c r="AO968" s="380">
        <f t="shared" si="439"/>
        <v>49.841666000000004</v>
      </c>
      <c r="AP968" s="380"/>
    </row>
    <row r="969" spans="2:42" ht="14.4" hidden="1" thickTop="1" thickBot="1">
      <c r="B969" s="324" t="s">
        <v>2888</v>
      </c>
      <c r="C969" s="325" t="s">
        <v>1305</v>
      </c>
      <c r="D969" s="326" t="s">
        <v>441</v>
      </c>
      <c r="E969" s="327">
        <f>IF(B969&lt;&gt;"",SUMIF('AUX-NIV1'!I:I,'AUX-NIV2'!B969,'AUX-NIV1'!Q:Q),"")</f>
        <v>0</v>
      </c>
      <c r="F969" s="327">
        <f t="shared" si="429"/>
        <v>225630.6407481379</v>
      </c>
      <c r="G969" s="327">
        <f t="shared" si="430"/>
        <v>0</v>
      </c>
      <c r="H969" s="328" t="str">
        <f t="shared" si="422"/>
        <v>A</v>
      </c>
      <c r="I969" s="325" t="s">
        <v>3310</v>
      </c>
      <c r="J969" s="329" t="str">
        <f>IF(B969&lt;&gt;"",+VLOOKUP(I969,Recursos!C:F,2,FALSE),"")</f>
        <v>OFICIAL ESPECIALIZADO</v>
      </c>
      <c r="K969" s="330" t="str">
        <f>IF(B969&lt;&gt;"",+VLOOKUP(I969,Recursos!C:F,3,FALSE),"")</f>
        <v>hh</v>
      </c>
      <c r="L969" s="446">
        <f>IF(B969&lt;&gt;"",+VLOOKUP(I969,Recursos!C:F,4,FALSE),"")</f>
        <v>581.06120476836554</v>
      </c>
      <c r="M969" s="452">
        <v>5</v>
      </c>
      <c r="N969" s="455"/>
      <c r="O969" s="449">
        <f t="shared" si="428"/>
        <v>-5</v>
      </c>
      <c r="P969" s="333">
        <f t="shared" si="425"/>
        <v>-2905.3060238418275</v>
      </c>
      <c r="Q969" s="327">
        <f t="shared" si="426"/>
        <v>0</v>
      </c>
      <c r="R969" s="334">
        <f t="shared" si="427"/>
        <v>0</v>
      </c>
      <c r="S969" s="335">
        <f t="shared" si="431"/>
        <v>25921.84749088866</v>
      </c>
      <c r="T969" s="335">
        <f t="shared" si="432"/>
        <v>-1514.3472386184994</v>
      </c>
      <c r="U969" s="336">
        <f t="shared" si="433"/>
        <v>201223.14049586776</v>
      </c>
      <c r="V969" s="336">
        <f t="shared" si="434"/>
        <v>0</v>
      </c>
      <c r="W969" s="336">
        <f t="shared" si="435"/>
        <v>0</v>
      </c>
      <c r="X969" s="336">
        <f t="shared" si="436"/>
        <v>0</v>
      </c>
      <c r="Y969" s="320"/>
      <c r="Z969" s="321" t="str">
        <f t="shared" si="440"/>
        <v>X-ADNA</v>
      </c>
      <c r="AA969" s="321" t="str">
        <f t="shared" si="441"/>
        <v>X-ADNE</v>
      </c>
      <c r="AB969" s="321" t="str">
        <f t="shared" si="442"/>
        <v>X-ADNM</v>
      </c>
      <c r="AC969" s="321" t="str">
        <f t="shared" si="443"/>
        <v>X-ADNT</v>
      </c>
      <c r="AD969" s="321" t="str">
        <f t="shared" si="444"/>
        <v>X-ADNS</v>
      </c>
      <c r="AE969" s="321" t="str">
        <f t="shared" si="445"/>
        <v>X-ADNX</v>
      </c>
      <c r="AF969" s="321" t="str">
        <f t="shared" si="446"/>
        <v>X-ADNA</v>
      </c>
      <c r="AG969" s="321">
        <f t="shared" si="437"/>
        <v>21</v>
      </c>
      <c r="AH969" s="321">
        <f>IF(B969&lt;&gt;"",IF(H969="x",VLOOKUP(I969,'AUX-NIV3'!B:AG,32,FALSE),0),"")</f>
        <v>0</v>
      </c>
      <c r="AI969" s="321" t="str">
        <f t="shared" si="447"/>
        <v>X-ADN</v>
      </c>
      <c r="AJ969" s="320"/>
      <c r="AK969" s="322">
        <f t="shared" si="438"/>
        <v>953</v>
      </c>
      <c r="AL969" s="323">
        <f t="shared" si="448"/>
        <v>973</v>
      </c>
      <c r="AM969" s="322">
        <f t="shared" si="449"/>
        <v>17</v>
      </c>
      <c r="AN969" s="380">
        <f>IF(AND(AH969&gt;0,B969&lt;&gt;""),VLOOKUP(I969,'AUX-NIV3'!$B:$AO,39,FALSE)*O969,0)</f>
        <v>0</v>
      </c>
      <c r="AO969" s="380">
        <f t="shared" si="439"/>
        <v>49.841666000000004</v>
      </c>
      <c r="AP969" s="380"/>
    </row>
    <row r="970" spans="2:42" ht="14.4" hidden="1" thickTop="1" thickBot="1">
      <c r="B970" s="324" t="s">
        <v>2888</v>
      </c>
      <c r="C970" s="325" t="s">
        <v>1305</v>
      </c>
      <c r="D970" s="326" t="s">
        <v>441</v>
      </c>
      <c r="E970" s="327">
        <f>IF(B970&lt;&gt;"",SUMIF('AUX-NIV1'!I:I,'AUX-NIV2'!B970,'AUX-NIV1'!Q:Q),"")</f>
        <v>0</v>
      </c>
      <c r="F970" s="327">
        <f t="shared" si="429"/>
        <v>225630.6407481379</v>
      </c>
      <c r="G970" s="327">
        <f t="shared" si="430"/>
        <v>0</v>
      </c>
      <c r="H970" s="328" t="str">
        <f t="shared" si="422"/>
        <v>A</v>
      </c>
      <c r="I970" s="325" t="s">
        <v>3310</v>
      </c>
      <c r="J970" s="329" t="str">
        <f>IF(B970&lt;&gt;"",+VLOOKUP(I970,Recursos!C:F,2,FALSE),"")</f>
        <v>OFICIAL ESPECIALIZADO</v>
      </c>
      <c r="K970" s="330" t="str">
        <f>IF(B970&lt;&gt;"",+VLOOKUP(I970,Recursos!C:F,3,FALSE),"")</f>
        <v>hh</v>
      </c>
      <c r="L970" s="446">
        <f>IF(B970&lt;&gt;"",+VLOOKUP(I970,Recursos!C:F,4,FALSE),"")</f>
        <v>581.06120476836554</v>
      </c>
      <c r="M970" s="452">
        <v>5</v>
      </c>
      <c r="N970" s="455"/>
      <c r="O970" s="449">
        <f t="shared" si="428"/>
        <v>-5</v>
      </c>
      <c r="P970" s="333">
        <f t="shared" si="425"/>
        <v>-2905.3060238418275</v>
      </c>
      <c r="Q970" s="327">
        <f t="shared" si="426"/>
        <v>0</v>
      </c>
      <c r="R970" s="334">
        <f t="shared" si="427"/>
        <v>0</v>
      </c>
      <c r="S970" s="335">
        <f t="shared" si="431"/>
        <v>25921.84749088866</v>
      </c>
      <c r="T970" s="335">
        <f t="shared" si="432"/>
        <v>-1514.3472386184994</v>
      </c>
      <c r="U970" s="336">
        <f t="shared" si="433"/>
        <v>201223.14049586776</v>
      </c>
      <c r="V970" s="336">
        <f t="shared" si="434"/>
        <v>0</v>
      </c>
      <c r="W970" s="336">
        <f t="shared" si="435"/>
        <v>0</v>
      </c>
      <c r="X970" s="336">
        <f t="shared" si="436"/>
        <v>0</v>
      </c>
      <c r="Y970" s="320"/>
      <c r="Z970" s="321" t="str">
        <f t="shared" si="440"/>
        <v>X-ADNA</v>
      </c>
      <c r="AA970" s="321" t="str">
        <f t="shared" si="441"/>
        <v>X-ADNE</v>
      </c>
      <c r="AB970" s="321" t="str">
        <f t="shared" si="442"/>
        <v>X-ADNM</v>
      </c>
      <c r="AC970" s="321" t="str">
        <f t="shared" si="443"/>
        <v>X-ADNT</v>
      </c>
      <c r="AD970" s="321" t="str">
        <f t="shared" si="444"/>
        <v>X-ADNS</v>
      </c>
      <c r="AE970" s="321" t="str">
        <f t="shared" si="445"/>
        <v>X-ADNX</v>
      </c>
      <c r="AF970" s="321" t="str">
        <f t="shared" si="446"/>
        <v>X-ADNA</v>
      </c>
      <c r="AG970" s="321">
        <f t="shared" si="437"/>
        <v>21</v>
      </c>
      <c r="AH970" s="321">
        <f>IF(B970&lt;&gt;"",IF(H970="x",VLOOKUP(I970,'AUX-NIV3'!B:AG,32,FALSE),0),"")</f>
        <v>0</v>
      </c>
      <c r="AI970" s="321" t="str">
        <f t="shared" si="447"/>
        <v>X-ADN</v>
      </c>
      <c r="AJ970" s="320"/>
      <c r="AK970" s="322">
        <f t="shared" si="438"/>
        <v>953</v>
      </c>
      <c r="AL970" s="323">
        <f t="shared" si="448"/>
        <v>973</v>
      </c>
      <c r="AM970" s="322">
        <f t="shared" si="449"/>
        <v>18</v>
      </c>
      <c r="AN970" s="380">
        <f>IF(AND(AH970&gt;0,B970&lt;&gt;""),VLOOKUP(I970,'AUX-NIV3'!$B:$AO,39,FALSE)*O970,0)</f>
        <v>0</v>
      </c>
      <c r="AO970" s="380">
        <f t="shared" si="439"/>
        <v>49.841666000000004</v>
      </c>
      <c r="AP970" s="380"/>
    </row>
    <row r="971" spans="2:42" ht="14.4" hidden="1" thickTop="1" thickBot="1">
      <c r="B971" s="324" t="s">
        <v>2888</v>
      </c>
      <c r="C971" s="325" t="s">
        <v>1305</v>
      </c>
      <c r="D971" s="326" t="s">
        <v>441</v>
      </c>
      <c r="E971" s="327">
        <f>IF(B971&lt;&gt;"",SUMIF('AUX-NIV1'!I:I,'AUX-NIV2'!B971,'AUX-NIV1'!Q:Q),"")</f>
        <v>0</v>
      </c>
      <c r="F971" s="327">
        <f t="shared" si="429"/>
        <v>225630.6407481379</v>
      </c>
      <c r="G971" s="327">
        <f t="shared" si="430"/>
        <v>0</v>
      </c>
      <c r="H971" s="328" t="str">
        <f t="shared" si="422"/>
        <v>A</v>
      </c>
      <c r="I971" s="325" t="s">
        <v>3310</v>
      </c>
      <c r="J971" s="329" t="str">
        <f>IF(B971&lt;&gt;"",+VLOOKUP(I971,Recursos!C:F,2,FALSE),"")</f>
        <v>OFICIAL ESPECIALIZADO</v>
      </c>
      <c r="K971" s="330" t="str">
        <f>IF(B971&lt;&gt;"",+VLOOKUP(I971,Recursos!C:F,3,FALSE),"")</f>
        <v>hh</v>
      </c>
      <c r="L971" s="446">
        <f>IF(B971&lt;&gt;"",+VLOOKUP(I971,Recursos!C:F,4,FALSE),"")</f>
        <v>581.06120476836554</v>
      </c>
      <c r="M971" s="452">
        <v>0.7</v>
      </c>
      <c r="N971" s="455"/>
      <c r="O971" s="449">
        <f t="shared" si="428"/>
        <v>-0.7</v>
      </c>
      <c r="P971" s="333">
        <f t="shared" si="425"/>
        <v>-406.74284333785585</v>
      </c>
      <c r="Q971" s="327">
        <f t="shared" si="426"/>
        <v>0</v>
      </c>
      <c r="R971" s="334">
        <f t="shared" si="427"/>
        <v>0</v>
      </c>
      <c r="S971" s="335">
        <f t="shared" si="431"/>
        <v>25921.84749088866</v>
      </c>
      <c r="T971" s="335">
        <f t="shared" si="432"/>
        <v>-1514.3472386184994</v>
      </c>
      <c r="U971" s="336">
        <f t="shared" si="433"/>
        <v>201223.14049586776</v>
      </c>
      <c r="V971" s="336">
        <f t="shared" si="434"/>
        <v>0</v>
      </c>
      <c r="W971" s="336">
        <f t="shared" si="435"/>
        <v>0</v>
      </c>
      <c r="X971" s="336">
        <f t="shared" si="436"/>
        <v>0</v>
      </c>
      <c r="Y971" s="320"/>
      <c r="Z971" s="321" t="str">
        <f t="shared" si="440"/>
        <v>X-ADNA</v>
      </c>
      <c r="AA971" s="321" t="str">
        <f t="shared" si="441"/>
        <v>X-ADNE</v>
      </c>
      <c r="AB971" s="321" t="str">
        <f t="shared" si="442"/>
        <v>X-ADNM</v>
      </c>
      <c r="AC971" s="321" t="str">
        <f t="shared" si="443"/>
        <v>X-ADNT</v>
      </c>
      <c r="AD971" s="321" t="str">
        <f t="shared" si="444"/>
        <v>X-ADNS</v>
      </c>
      <c r="AE971" s="321" t="str">
        <f t="shared" si="445"/>
        <v>X-ADNX</v>
      </c>
      <c r="AF971" s="321" t="str">
        <f t="shared" si="446"/>
        <v>X-ADNA</v>
      </c>
      <c r="AG971" s="321">
        <f t="shared" si="437"/>
        <v>21</v>
      </c>
      <c r="AH971" s="321">
        <f>IF(B971&lt;&gt;"",IF(H971="x",VLOOKUP(I971,'AUX-NIV3'!B:AG,32,FALSE),0),"")</f>
        <v>0</v>
      </c>
      <c r="AI971" s="321" t="str">
        <f t="shared" si="447"/>
        <v>X-ADN</v>
      </c>
      <c r="AJ971" s="320"/>
      <c r="AK971" s="322">
        <f t="shared" si="438"/>
        <v>953</v>
      </c>
      <c r="AL971" s="323">
        <f t="shared" si="448"/>
        <v>973</v>
      </c>
      <c r="AM971" s="322">
        <f t="shared" si="449"/>
        <v>19</v>
      </c>
      <c r="AN971" s="380">
        <f>IF(AND(AH971&gt;0,B971&lt;&gt;""),VLOOKUP(I971,'AUX-NIV3'!$B:$AO,39,FALSE)*O971,0)</f>
        <v>0</v>
      </c>
      <c r="AO971" s="380">
        <f t="shared" si="439"/>
        <v>49.841666000000004</v>
      </c>
      <c r="AP971" s="380"/>
    </row>
    <row r="972" spans="2:42" ht="14.4" hidden="1" thickTop="1" thickBot="1">
      <c r="B972" s="324" t="s">
        <v>2888</v>
      </c>
      <c r="C972" s="325" t="s">
        <v>1305</v>
      </c>
      <c r="D972" s="326" t="s">
        <v>441</v>
      </c>
      <c r="E972" s="327">
        <f>IF(B972&lt;&gt;"",SUMIF('AUX-NIV1'!I:I,'AUX-NIV2'!B972,'AUX-NIV1'!Q:Q),"")</f>
        <v>0</v>
      </c>
      <c r="F972" s="327">
        <f t="shared" si="429"/>
        <v>225630.6407481379</v>
      </c>
      <c r="G972" s="327">
        <f t="shared" si="430"/>
        <v>0</v>
      </c>
      <c r="H972" s="328" t="str">
        <f t="shared" si="422"/>
        <v>E</v>
      </c>
      <c r="I972" s="325" t="s">
        <v>1696</v>
      </c>
      <c r="J972" s="329" t="str">
        <f>IF(B972&lt;&gt;"",+VLOOKUP(I972,Recursos!C:F,2,FALSE),"")</f>
        <v>GRUA MOVIL TODO TERRENO 36 T</v>
      </c>
      <c r="K972" s="330" t="str">
        <f>IF(B972&lt;&gt;"",+VLOOKUP(I972,Recursos!C:F,3,FALSE),"")</f>
        <v>HR</v>
      </c>
      <c r="L972" s="446">
        <f>IF(B972&lt;&gt;"",+VLOOKUP(I972,Recursos!C:F,4,FALSE),"")</f>
        <v>5430.5444599999992</v>
      </c>
      <c r="M972" s="452">
        <v>0.5</v>
      </c>
      <c r="N972" s="455"/>
      <c r="O972" s="449">
        <f t="shared" si="428"/>
        <v>-0.5</v>
      </c>
      <c r="P972" s="333">
        <f t="shared" si="425"/>
        <v>-2715.2722299999996</v>
      </c>
      <c r="Q972" s="327">
        <f t="shared" si="426"/>
        <v>0</v>
      </c>
      <c r="R972" s="334">
        <f t="shared" si="427"/>
        <v>0</v>
      </c>
      <c r="S972" s="335">
        <f t="shared" si="431"/>
        <v>25921.84749088866</v>
      </c>
      <c r="T972" s="335">
        <f t="shared" si="432"/>
        <v>-1514.3472386184994</v>
      </c>
      <c r="U972" s="336">
        <f t="shared" si="433"/>
        <v>201223.14049586776</v>
      </c>
      <c r="V972" s="336">
        <f t="shared" si="434"/>
        <v>0</v>
      </c>
      <c r="W972" s="336">
        <f t="shared" si="435"/>
        <v>0</v>
      </c>
      <c r="X972" s="336">
        <f t="shared" si="436"/>
        <v>0</v>
      </c>
      <c r="Y972" s="320"/>
      <c r="Z972" s="321" t="str">
        <f t="shared" si="440"/>
        <v>X-ADNA</v>
      </c>
      <c r="AA972" s="321" t="str">
        <f t="shared" si="441"/>
        <v>X-ADNE</v>
      </c>
      <c r="AB972" s="321" t="str">
        <f t="shared" si="442"/>
        <v>X-ADNM</v>
      </c>
      <c r="AC972" s="321" t="str">
        <f t="shared" si="443"/>
        <v>X-ADNT</v>
      </c>
      <c r="AD972" s="321" t="str">
        <f t="shared" si="444"/>
        <v>X-ADNS</v>
      </c>
      <c r="AE972" s="321" t="str">
        <f t="shared" si="445"/>
        <v>X-ADNX</v>
      </c>
      <c r="AF972" s="321" t="str">
        <f t="shared" si="446"/>
        <v>X-ADNE</v>
      </c>
      <c r="AG972" s="321">
        <f t="shared" si="437"/>
        <v>21</v>
      </c>
      <c r="AH972" s="321">
        <f>IF(B972&lt;&gt;"",IF(H972="x",VLOOKUP(I972,'AUX-NIV3'!B:AG,32,FALSE),0),"")</f>
        <v>0</v>
      </c>
      <c r="AI972" s="321" t="str">
        <f t="shared" si="447"/>
        <v>X-ADN</v>
      </c>
      <c r="AJ972" s="320"/>
      <c r="AK972" s="322">
        <f t="shared" si="438"/>
        <v>953</v>
      </c>
      <c r="AL972" s="323">
        <f t="shared" si="448"/>
        <v>973</v>
      </c>
      <c r="AM972" s="322">
        <f t="shared" si="449"/>
        <v>20</v>
      </c>
      <c r="AN972" s="380">
        <f>IF(AND(AH972&gt;0,B972&lt;&gt;""),VLOOKUP(I972,'AUX-NIV3'!$B:$AO,39,FALSE)*O972,0)</f>
        <v>0</v>
      </c>
      <c r="AO972" s="380">
        <f t="shared" si="439"/>
        <v>49.841666000000004</v>
      </c>
      <c r="AP972" s="380"/>
    </row>
    <row r="973" spans="2:42" ht="14.4" hidden="1" thickTop="1" thickBot="1">
      <c r="B973" s="324" t="s">
        <v>2888</v>
      </c>
      <c r="C973" s="325" t="s">
        <v>1305</v>
      </c>
      <c r="D973" s="326" t="s">
        <v>441</v>
      </c>
      <c r="E973" s="327">
        <f>IF(B973&lt;&gt;"",SUMIF('AUX-NIV1'!I:I,'AUX-NIV2'!B973,'AUX-NIV1'!Q:Q),"")</f>
        <v>0</v>
      </c>
      <c r="F973" s="327">
        <f t="shared" si="429"/>
        <v>225630.6407481379</v>
      </c>
      <c r="G973" s="327">
        <f t="shared" si="430"/>
        <v>0</v>
      </c>
      <c r="H973" s="328" t="str">
        <f t="shared" si="422"/>
        <v>M</v>
      </c>
      <c r="I973" s="325" t="s">
        <v>1799</v>
      </c>
      <c r="J973" s="329" t="str">
        <f>IF(B973&lt;&gt;"",+VLOOKUP(I973,Recursos!C:F,2,FALSE),"")</f>
        <v>ALAMBRE DE ATAR</v>
      </c>
      <c r="K973" s="330" t="str">
        <f>IF(B973&lt;&gt;"",+VLOOKUP(I973,Recursos!C:F,3,FALSE),"")</f>
        <v>kg</v>
      </c>
      <c r="L973" s="446">
        <f>IF(B973&lt;&gt;"",+VLOOKUP(I973,Recursos!C:F,4,FALSE),"")</f>
        <v>735.53719008264466</v>
      </c>
      <c r="M973" s="450">
        <v>18</v>
      </c>
      <c r="N973" s="507"/>
      <c r="O973" s="449">
        <f t="shared" si="428"/>
        <v>-18</v>
      </c>
      <c r="P973" s="333">
        <f t="shared" si="425"/>
        <v>-13239.669421487604</v>
      </c>
      <c r="Q973" s="327">
        <f t="shared" si="426"/>
        <v>0</v>
      </c>
      <c r="R973" s="334">
        <f t="shared" si="427"/>
        <v>0</v>
      </c>
      <c r="S973" s="335">
        <f t="shared" si="431"/>
        <v>25921.84749088866</v>
      </c>
      <c r="T973" s="335">
        <f t="shared" si="432"/>
        <v>-1514.3472386184994</v>
      </c>
      <c r="U973" s="336">
        <f t="shared" si="433"/>
        <v>201223.14049586776</v>
      </c>
      <c r="V973" s="336">
        <f t="shared" si="434"/>
        <v>0</v>
      </c>
      <c r="W973" s="336">
        <f t="shared" si="435"/>
        <v>0</v>
      </c>
      <c r="X973" s="336">
        <f t="shared" si="436"/>
        <v>0</v>
      </c>
      <c r="Y973" s="320"/>
      <c r="Z973" s="321" t="str">
        <f t="shared" si="440"/>
        <v>X-ADNA</v>
      </c>
      <c r="AA973" s="321" t="str">
        <f t="shared" si="441"/>
        <v>X-ADNE</v>
      </c>
      <c r="AB973" s="321" t="str">
        <f t="shared" si="442"/>
        <v>X-ADNM</v>
      </c>
      <c r="AC973" s="321" t="str">
        <f t="shared" si="443"/>
        <v>X-ADNT</v>
      </c>
      <c r="AD973" s="321" t="str">
        <f t="shared" si="444"/>
        <v>X-ADNS</v>
      </c>
      <c r="AE973" s="321" t="str">
        <f t="shared" si="445"/>
        <v>X-ADNX</v>
      </c>
      <c r="AF973" s="321" t="str">
        <f t="shared" si="446"/>
        <v>X-ADNM</v>
      </c>
      <c r="AG973" s="321">
        <f t="shared" si="437"/>
        <v>21</v>
      </c>
      <c r="AH973" s="321">
        <f>IF(B973&lt;&gt;"",IF(H973="x",VLOOKUP(I973,'AUX-NIV3'!B:AG,32,FALSE),0),"")</f>
        <v>0</v>
      </c>
      <c r="AI973" s="321" t="str">
        <f t="shared" si="447"/>
        <v>X-ADN</v>
      </c>
      <c r="AJ973" s="320"/>
      <c r="AK973" s="322">
        <f t="shared" si="438"/>
        <v>953</v>
      </c>
      <c r="AL973" s="323">
        <f t="shared" si="448"/>
        <v>973</v>
      </c>
      <c r="AM973" s="322">
        <f t="shared" si="449"/>
        <v>21</v>
      </c>
      <c r="AN973" s="380">
        <f>IF(AND(AH973&gt;0,B973&lt;&gt;""),VLOOKUP(I973,'AUX-NIV3'!$B:$AO,39,FALSE)*O973,0)</f>
        <v>0</v>
      </c>
      <c r="AO973" s="380">
        <f t="shared" si="439"/>
        <v>49.841666000000004</v>
      </c>
      <c r="AP973" s="380"/>
    </row>
    <row r="974" spans="2:42" ht="14.4" hidden="1" thickTop="1" thickBot="1">
      <c r="B974" s="324" t="s">
        <v>2889</v>
      </c>
      <c r="C974" s="325" t="s">
        <v>2890</v>
      </c>
      <c r="D974" s="326" t="s">
        <v>1160</v>
      </c>
      <c r="E974" s="327">
        <f>IF(B974&lt;&gt;"",SUMIF('AUX-NIV1'!I:I,'AUX-NIV2'!B974,'AUX-NIV1'!Q:Q),"")</f>
        <v>0</v>
      </c>
      <c r="F974" s="327">
        <f t="shared" si="429"/>
        <v>658.25650396847084</v>
      </c>
      <c r="G974" s="327">
        <f t="shared" si="430"/>
        <v>0</v>
      </c>
      <c r="H974" s="328" t="str">
        <f t="shared" si="422"/>
        <v>A</v>
      </c>
      <c r="I974" s="325" t="s">
        <v>1745</v>
      </c>
      <c r="J974" s="329" t="str">
        <f>IF(B974&lt;&gt;"",+VLOOKUP(I974,Recursos!C:F,2,FALSE),"")</f>
        <v>AYUDANTE</v>
      </c>
      <c r="K974" s="330" t="str">
        <f>IF(B974&lt;&gt;"",+VLOOKUP(I974,Recursos!C:F,3,FALSE),"")</f>
        <v>hh</v>
      </c>
      <c r="L974" s="446">
        <f>IF(B974&lt;&gt;"",+VLOOKUP(I974,Recursos!C:F,4,FALSE),"")</f>
        <v>422.48042769667234</v>
      </c>
      <c r="M974" s="454">
        <f t="shared" ref="M974:M979" si="450">+M975</f>
        <v>15</v>
      </c>
      <c r="N974" s="515">
        <f>+N981</f>
        <v>3</v>
      </c>
      <c r="O974" s="449">
        <f t="shared" ref="O974:O980" si="451">+N974/M974</f>
        <v>0.2</v>
      </c>
      <c r="P974" s="333">
        <f t="shared" si="425"/>
        <v>84.496085539334473</v>
      </c>
      <c r="Q974" s="327">
        <f t="shared" si="426"/>
        <v>0</v>
      </c>
      <c r="R974" s="334">
        <f t="shared" si="427"/>
        <v>0</v>
      </c>
      <c r="S974" s="335">
        <f t="shared" si="431"/>
        <v>307.83900010180412</v>
      </c>
      <c r="T974" s="335">
        <f t="shared" si="432"/>
        <v>350.41750386666672</v>
      </c>
      <c r="U974" s="336">
        <f t="shared" si="433"/>
        <v>0</v>
      </c>
      <c r="V974" s="336">
        <f t="shared" si="434"/>
        <v>0</v>
      </c>
      <c r="W974" s="336">
        <f t="shared" si="435"/>
        <v>0</v>
      </c>
      <c r="X974" s="336">
        <f t="shared" si="436"/>
        <v>0</v>
      </c>
      <c r="Y974" s="320"/>
      <c r="Z974" s="321" t="str">
        <f t="shared" si="440"/>
        <v>X-TMTA</v>
      </c>
      <c r="AA974" s="321" t="str">
        <f t="shared" si="441"/>
        <v>X-TMTE</v>
      </c>
      <c r="AB974" s="321" t="str">
        <f t="shared" si="442"/>
        <v>X-TMTM</v>
      </c>
      <c r="AC974" s="321" t="str">
        <f t="shared" si="443"/>
        <v>X-TMTT</v>
      </c>
      <c r="AD974" s="321" t="str">
        <f t="shared" si="444"/>
        <v>X-TMTS</v>
      </c>
      <c r="AE974" s="321" t="str">
        <f t="shared" si="445"/>
        <v>X-TMTX</v>
      </c>
      <c r="AF974" s="321" t="str">
        <f t="shared" si="446"/>
        <v>X-TMTA</v>
      </c>
      <c r="AG974" s="321">
        <f t="shared" si="437"/>
        <v>8</v>
      </c>
      <c r="AH974" s="321">
        <f>IF(B974&lt;&gt;"",IF(H974="x",VLOOKUP(I974,'AUX-NIV3'!B:AG,32,FALSE),0),"")</f>
        <v>0</v>
      </c>
      <c r="AI974" s="321" t="str">
        <f t="shared" si="447"/>
        <v>X-TMT</v>
      </c>
      <c r="AJ974" s="320"/>
      <c r="AK974" s="322">
        <f t="shared" si="438"/>
        <v>974</v>
      </c>
      <c r="AL974" s="323">
        <f t="shared" si="448"/>
        <v>981</v>
      </c>
      <c r="AM974" s="322">
        <f t="shared" si="449"/>
        <v>1</v>
      </c>
      <c r="AN974" s="380">
        <f>IF(AND(AH974&gt;0,B974&lt;&gt;""),VLOOKUP(I974,'AUX-NIV3'!$B:$AO,39,FALSE)*O974,0)</f>
        <v>0</v>
      </c>
      <c r="AO974" s="380">
        <f t="shared" si="439"/>
        <v>0.61333333333333329</v>
      </c>
      <c r="AP974" s="380"/>
    </row>
    <row r="975" spans="2:42" ht="14.4" hidden="1" thickTop="1" thickBot="1">
      <c r="B975" s="324" t="s">
        <v>2889</v>
      </c>
      <c r="C975" s="325" t="s">
        <v>2890</v>
      </c>
      <c r="D975" s="326" t="s">
        <v>1160</v>
      </c>
      <c r="E975" s="327">
        <f>IF(B975&lt;&gt;"",SUMIF('AUX-NIV1'!I:I,'AUX-NIV2'!B975,'AUX-NIV1'!Q:Q),"")</f>
        <v>0</v>
      </c>
      <c r="F975" s="327">
        <f t="shared" si="429"/>
        <v>658.25650396847084</v>
      </c>
      <c r="G975" s="327">
        <f t="shared" si="430"/>
        <v>0</v>
      </c>
      <c r="H975" s="328" t="str">
        <f t="shared" si="422"/>
        <v>A</v>
      </c>
      <c r="I975" s="325" t="s">
        <v>1746</v>
      </c>
      <c r="J975" s="329" t="str">
        <f>IF(B975&lt;&gt;"",+VLOOKUP(I975,Recursos!C:F,2,FALSE),"")</f>
        <v>OFICIAL</v>
      </c>
      <c r="K975" s="330" t="str">
        <f>IF(B975&lt;&gt;"",+VLOOKUP(I975,Recursos!C:F,3,FALSE),"")</f>
        <v>hh</v>
      </c>
      <c r="L975" s="446">
        <f>IF(B975&lt;&gt;"",+VLOOKUP(I975,Recursos!C:F,4,FALSE),"")</f>
        <v>496.91595439275824</v>
      </c>
      <c r="M975" s="454">
        <f t="shared" si="450"/>
        <v>15</v>
      </c>
      <c r="N975" s="455">
        <f>+N981</f>
        <v>3</v>
      </c>
      <c r="O975" s="449">
        <f t="shared" si="451"/>
        <v>0.2</v>
      </c>
      <c r="P975" s="333">
        <f t="shared" si="425"/>
        <v>99.383190878551659</v>
      </c>
      <c r="Q975" s="327">
        <f t="shared" si="426"/>
        <v>0</v>
      </c>
      <c r="R975" s="334">
        <f t="shared" si="427"/>
        <v>0</v>
      </c>
      <c r="S975" s="335">
        <f t="shared" si="431"/>
        <v>307.83900010180412</v>
      </c>
      <c r="T975" s="335">
        <f t="shared" si="432"/>
        <v>350.41750386666672</v>
      </c>
      <c r="U975" s="336">
        <f t="shared" si="433"/>
        <v>0</v>
      </c>
      <c r="V975" s="336">
        <f t="shared" si="434"/>
        <v>0</v>
      </c>
      <c r="W975" s="336">
        <f t="shared" si="435"/>
        <v>0</v>
      </c>
      <c r="X975" s="336">
        <f t="shared" si="436"/>
        <v>0</v>
      </c>
      <c r="Y975" s="320"/>
      <c r="Z975" s="321" t="str">
        <f t="shared" si="440"/>
        <v>X-TMTA</v>
      </c>
      <c r="AA975" s="321" t="str">
        <f t="shared" si="441"/>
        <v>X-TMTE</v>
      </c>
      <c r="AB975" s="321" t="str">
        <f t="shared" si="442"/>
        <v>X-TMTM</v>
      </c>
      <c r="AC975" s="321" t="str">
        <f t="shared" si="443"/>
        <v>X-TMTT</v>
      </c>
      <c r="AD975" s="321" t="str">
        <f t="shared" si="444"/>
        <v>X-TMTS</v>
      </c>
      <c r="AE975" s="321" t="str">
        <f t="shared" si="445"/>
        <v>X-TMTX</v>
      </c>
      <c r="AF975" s="321" t="str">
        <f t="shared" si="446"/>
        <v>X-TMTA</v>
      </c>
      <c r="AG975" s="321">
        <f t="shared" si="437"/>
        <v>8</v>
      </c>
      <c r="AH975" s="321">
        <f>IF(B975&lt;&gt;"",IF(H975="x",VLOOKUP(I975,'AUX-NIV3'!B:AG,32,FALSE),0),"")</f>
        <v>0</v>
      </c>
      <c r="AI975" s="321" t="str">
        <f t="shared" si="447"/>
        <v>X-TMT</v>
      </c>
      <c r="AJ975" s="320"/>
      <c r="AK975" s="322">
        <f t="shared" si="438"/>
        <v>974</v>
      </c>
      <c r="AL975" s="323">
        <f t="shared" si="448"/>
        <v>981</v>
      </c>
      <c r="AM975" s="322">
        <f t="shared" si="449"/>
        <v>2</v>
      </c>
      <c r="AN975" s="380">
        <f>IF(AND(AH975&gt;0,B975&lt;&gt;""),VLOOKUP(I975,'AUX-NIV3'!$B:$AO,39,FALSE)*O975,0)</f>
        <v>0</v>
      </c>
      <c r="AO975" s="380">
        <f t="shared" si="439"/>
        <v>0.61333333333333329</v>
      </c>
      <c r="AP975" s="380"/>
    </row>
    <row r="976" spans="2:42" ht="14.4" hidden="1" thickTop="1" thickBot="1">
      <c r="B976" s="324" t="s">
        <v>2889</v>
      </c>
      <c r="C976" s="325" t="s">
        <v>2890</v>
      </c>
      <c r="D976" s="326" t="s">
        <v>1160</v>
      </c>
      <c r="E976" s="327">
        <f>IF(B976&lt;&gt;"",SUMIF('AUX-NIV1'!I:I,'AUX-NIV2'!B976,'AUX-NIV1'!Q:Q),"")</f>
        <v>0</v>
      </c>
      <c r="F976" s="327">
        <f t="shared" si="429"/>
        <v>658.25650396847084</v>
      </c>
      <c r="G976" s="327">
        <f t="shared" si="430"/>
        <v>0</v>
      </c>
      <c r="H976" s="328" t="str">
        <f t="shared" ref="H976:H1032" si="452">IF(B976&lt;&gt;"",+LEFT(I976,1),"")</f>
        <v>A</v>
      </c>
      <c r="I976" s="325" t="s">
        <v>3310</v>
      </c>
      <c r="J976" s="329" t="str">
        <f>IF(B976&lt;&gt;"",+VLOOKUP(I976,Recursos!C:F,2,FALSE),"")</f>
        <v>OFICIAL ESPECIALIZADO</v>
      </c>
      <c r="K976" s="330" t="str">
        <f>IF(B976&lt;&gt;"",+VLOOKUP(I976,Recursos!C:F,3,FALSE),"")</f>
        <v>hh</v>
      </c>
      <c r="L976" s="446">
        <f>IF(B976&lt;&gt;"",+VLOOKUP(I976,Recursos!C:F,4,FALSE),"")</f>
        <v>581.06120476836554</v>
      </c>
      <c r="M976" s="454">
        <f t="shared" si="450"/>
        <v>15</v>
      </c>
      <c r="N976" s="453">
        <v>0.6</v>
      </c>
      <c r="O976" s="449">
        <f t="shared" si="451"/>
        <v>0.04</v>
      </c>
      <c r="P976" s="333">
        <f t="shared" si="425"/>
        <v>23.242448190734621</v>
      </c>
      <c r="Q976" s="327">
        <f t="shared" si="426"/>
        <v>0</v>
      </c>
      <c r="R976" s="334">
        <f t="shared" si="427"/>
        <v>0</v>
      </c>
      <c r="S976" s="335">
        <f t="shared" si="431"/>
        <v>307.83900010180412</v>
      </c>
      <c r="T976" s="335">
        <f t="shared" si="432"/>
        <v>350.41750386666672</v>
      </c>
      <c r="U976" s="336">
        <f t="shared" si="433"/>
        <v>0</v>
      </c>
      <c r="V976" s="336">
        <f t="shared" si="434"/>
        <v>0</v>
      </c>
      <c r="W976" s="336">
        <f t="shared" si="435"/>
        <v>0</v>
      </c>
      <c r="X976" s="336">
        <f t="shared" si="436"/>
        <v>0</v>
      </c>
      <c r="Y976" s="320"/>
      <c r="Z976" s="321" t="str">
        <f t="shared" si="440"/>
        <v>X-TMTA</v>
      </c>
      <c r="AA976" s="321" t="str">
        <f t="shared" si="441"/>
        <v>X-TMTE</v>
      </c>
      <c r="AB976" s="321" t="str">
        <f t="shared" si="442"/>
        <v>X-TMTM</v>
      </c>
      <c r="AC976" s="321" t="str">
        <f t="shared" si="443"/>
        <v>X-TMTT</v>
      </c>
      <c r="AD976" s="321" t="str">
        <f t="shared" si="444"/>
        <v>X-TMTS</v>
      </c>
      <c r="AE976" s="321" t="str">
        <f t="shared" si="445"/>
        <v>X-TMTX</v>
      </c>
      <c r="AF976" s="321" t="str">
        <f t="shared" si="446"/>
        <v>X-TMTA</v>
      </c>
      <c r="AG976" s="321">
        <f t="shared" si="437"/>
        <v>8</v>
      </c>
      <c r="AH976" s="321">
        <f>IF(B976&lt;&gt;"",IF(H976="x",VLOOKUP(I976,'AUX-NIV3'!B:AG,32,FALSE),0),"")</f>
        <v>0</v>
      </c>
      <c r="AI976" s="321" t="str">
        <f t="shared" si="447"/>
        <v>X-TMT</v>
      </c>
      <c r="AJ976" s="320"/>
      <c r="AK976" s="322">
        <f t="shared" si="438"/>
        <v>974</v>
      </c>
      <c r="AL976" s="323">
        <f t="shared" si="448"/>
        <v>981</v>
      </c>
      <c r="AM976" s="322">
        <f t="shared" si="449"/>
        <v>3</v>
      </c>
      <c r="AN976" s="380">
        <f>IF(AND(AH976&gt;0,B976&lt;&gt;""),VLOOKUP(I976,'AUX-NIV3'!$B:$AO,39,FALSE)*O976,0)</f>
        <v>0</v>
      </c>
      <c r="AO976" s="380">
        <f t="shared" si="439"/>
        <v>0.61333333333333329</v>
      </c>
      <c r="AP976" s="380"/>
    </row>
    <row r="977" spans="2:42" ht="14.4" hidden="1" thickTop="1" thickBot="1">
      <c r="B977" s="324" t="s">
        <v>2889</v>
      </c>
      <c r="C977" s="325" t="s">
        <v>2890</v>
      </c>
      <c r="D977" s="326" t="s">
        <v>1160</v>
      </c>
      <c r="E977" s="327">
        <f>IF(B977&lt;&gt;"",SUMIF('AUX-NIV1'!I:I,'AUX-NIV2'!B977,'AUX-NIV1'!Q:Q),"")</f>
        <v>0</v>
      </c>
      <c r="F977" s="327">
        <f t="shared" si="429"/>
        <v>658.25650396847084</v>
      </c>
      <c r="G977" s="327">
        <f t="shared" si="430"/>
        <v>0</v>
      </c>
      <c r="H977" s="328" t="str">
        <f t="shared" si="452"/>
        <v>A</v>
      </c>
      <c r="I977" s="325" t="s">
        <v>3310</v>
      </c>
      <c r="J977" s="329" t="str">
        <f>IF(B977&lt;&gt;"",+VLOOKUP(I977,Recursos!C:F,2,FALSE),"")</f>
        <v>OFICIAL ESPECIALIZADO</v>
      </c>
      <c r="K977" s="330" t="str">
        <f>IF(B977&lt;&gt;"",+VLOOKUP(I977,Recursos!C:F,3,FALSE),"")</f>
        <v>hh</v>
      </c>
      <c r="L977" s="446">
        <f>IF(B977&lt;&gt;"",+VLOOKUP(I977,Recursos!C:F,4,FALSE),"")</f>
        <v>581.06120476836554</v>
      </c>
      <c r="M977" s="454">
        <f t="shared" si="450"/>
        <v>15</v>
      </c>
      <c r="N977" s="455">
        <f>+N978</f>
        <v>1.3</v>
      </c>
      <c r="O977" s="533">
        <f t="shared" si="451"/>
        <v>8.666666666666667E-2</v>
      </c>
      <c r="P977" s="333">
        <f t="shared" si="425"/>
        <v>50.358637746591683</v>
      </c>
      <c r="Q977" s="327">
        <f t="shared" si="426"/>
        <v>0</v>
      </c>
      <c r="R977" s="334">
        <f t="shared" si="427"/>
        <v>0</v>
      </c>
      <c r="S977" s="335">
        <f t="shared" si="431"/>
        <v>307.83900010180412</v>
      </c>
      <c r="T977" s="335">
        <f t="shared" si="432"/>
        <v>350.41750386666672</v>
      </c>
      <c r="U977" s="336">
        <f t="shared" si="433"/>
        <v>0</v>
      </c>
      <c r="V977" s="336">
        <f t="shared" si="434"/>
        <v>0</v>
      </c>
      <c r="W977" s="336">
        <f t="shared" si="435"/>
        <v>0</v>
      </c>
      <c r="X977" s="336">
        <f t="shared" si="436"/>
        <v>0</v>
      </c>
      <c r="Y977" s="320"/>
      <c r="Z977" s="321" t="str">
        <f t="shared" si="440"/>
        <v>X-TMTA</v>
      </c>
      <c r="AA977" s="321" t="str">
        <f t="shared" si="441"/>
        <v>X-TMTE</v>
      </c>
      <c r="AB977" s="321" t="str">
        <f t="shared" si="442"/>
        <v>X-TMTM</v>
      </c>
      <c r="AC977" s="321" t="str">
        <f t="shared" si="443"/>
        <v>X-TMTT</v>
      </c>
      <c r="AD977" s="321" t="str">
        <f t="shared" si="444"/>
        <v>X-TMTS</v>
      </c>
      <c r="AE977" s="321" t="str">
        <f t="shared" si="445"/>
        <v>X-TMTX</v>
      </c>
      <c r="AF977" s="321" t="str">
        <f t="shared" si="446"/>
        <v>X-TMTA</v>
      </c>
      <c r="AG977" s="321">
        <f t="shared" si="437"/>
        <v>8</v>
      </c>
      <c r="AH977" s="321">
        <f>IF(B977&lt;&gt;"",IF(H977="x",VLOOKUP(I977,'AUX-NIV3'!B:AG,32,FALSE),0),"")</f>
        <v>0</v>
      </c>
      <c r="AI977" s="321" t="str">
        <f t="shared" si="447"/>
        <v>X-TMT</v>
      </c>
      <c r="AJ977" s="320"/>
      <c r="AK977" s="322">
        <f t="shared" si="438"/>
        <v>974</v>
      </c>
      <c r="AL977" s="323">
        <f t="shared" si="448"/>
        <v>981</v>
      </c>
      <c r="AM977" s="322">
        <f t="shared" si="449"/>
        <v>4</v>
      </c>
      <c r="AN977" s="380">
        <f>IF(AND(AH977&gt;0,B977&lt;&gt;""),VLOOKUP(I977,'AUX-NIV3'!$B:$AO,39,FALSE)*O977,0)</f>
        <v>0</v>
      </c>
      <c r="AO977" s="380">
        <f t="shared" si="439"/>
        <v>0.61333333333333329</v>
      </c>
      <c r="AP977" s="380"/>
    </row>
    <row r="978" spans="2:42" ht="14.4" hidden="1" thickTop="1" thickBot="1">
      <c r="B978" s="324" t="s">
        <v>2889</v>
      </c>
      <c r="C978" s="325" t="s">
        <v>2890</v>
      </c>
      <c r="D978" s="326" t="s">
        <v>1160</v>
      </c>
      <c r="E978" s="327">
        <f>IF(B978&lt;&gt;"",SUMIF('AUX-NIV1'!I:I,'AUX-NIV2'!B978,'AUX-NIV1'!Q:Q),"")</f>
        <v>0</v>
      </c>
      <c r="F978" s="327">
        <f t="shared" si="429"/>
        <v>658.25650396847084</v>
      </c>
      <c r="G978" s="327">
        <f t="shared" si="430"/>
        <v>0</v>
      </c>
      <c r="H978" s="328" t="str">
        <f t="shared" si="452"/>
        <v>A</v>
      </c>
      <c r="I978" s="325" t="s">
        <v>3310</v>
      </c>
      <c r="J978" s="329" t="str">
        <f>IF(B978&lt;&gt;"",+VLOOKUP(I978,Recursos!C:F,2,FALSE),"")</f>
        <v>OFICIAL ESPECIALIZADO</v>
      </c>
      <c r="K978" s="330" t="str">
        <f>IF(B978&lt;&gt;"",+VLOOKUP(I978,Recursos!C:F,3,FALSE),"")</f>
        <v>hh</v>
      </c>
      <c r="L978" s="446">
        <f>IF(B978&lt;&gt;"",+VLOOKUP(I978,Recursos!C:F,4,FALSE),"")</f>
        <v>581.06120476836554</v>
      </c>
      <c r="M978" s="454">
        <f t="shared" si="450"/>
        <v>15</v>
      </c>
      <c r="N978" s="453">
        <v>1.3</v>
      </c>
      <c r="O978" s="533">
        <f t="shared" si="451"/>
        <v>8.666666666666667E-2</v>
      </c>
      <c r="P978" s="333">
        <f t="shared" si="425"/>
        <v>50.358637746591683</v>
      </c>
      <c r="Q978" s="327">
        <f t="shared" si="426"/>
        <v>0</v>
      </c>
      <c r="R978" s="334">
        <f t="shared" si="427"/>
        <v>0</v>
      </c>
      <c r="S978" s="335">
        <f t="shared" si="431"/>
        <v>307.83900010180412</v>
      </c>
      <c r="T978" s="335">
        <f t="shared" si="432"/>
        <v>350.41750386666672</v>
      </c>
      <c r="U978" s="336">
        <f t="shared" si="433"/>
        <v>0</v>
      </c>
      <c r="V978" s="336">
        <f t="shared" si="434"/>
        <v>0</v>
      </c>
      <c r="W978" s="336">
        <f t="shared" si="435"/>
        <v>0</v>
      </c>
      <c r="X978" s="336">
        <f t="shared" si="436"/>
        <v>0</v>
      </c>
      <c r="Y978" s="320"/>
      <c r="Z978" s="321" t="str">
        <f t="shared" si="440"/>
        <v>X-TMTA</v>
      </c>
      <c r="AA978" s="321" t="str">
        <f t="shared" si="441"/>
        <v>X-TMTE</v>
      </c>
      <c r="AB978" s="321" t="str">
        <f t="shared" si="442"/>
        <v>X-TMTM</v>
      </c>
      <c r="AC978" s="321" t="str">
        <f t="shared" si="443"/>
        <v>X-TMTT</v>
      </c>
      <c r="AD978" s="321" t="str">
        <f t="shared" si="444"/>
        <v>X-TMTS</v>
      </c>
      <c r="AE978" s="321" t="str">
        <f t="shared" si="445"/>
        <v>X-TMTX</v>
      </c>
      <c r="AF978" s="321" t="str">
        <f t="shared" si="446"/>
        <v>X-TMTA</v>
      </c>
      <c r="AG978" s="321">
        <f t="shared" si="437"/>
        <v>8</v>
      </c>
      <c r="AH978" s="321">
        <f>IF(B978&lt;&gt;"",IF(H978="x",VLOOKUP(I978,'AUX-NIV3'!B:AG,32,FALSE),0),"")</f>
        <v>0</v>
      </c>
      <c r="AI978" s="321" t="str">
        <f t="shared" si="447"/>
        <v>X-TMT</v>
      </c>
      <c r="AJ978" s="320"/>
      <c r="AK978" s="322">
        <f t="shared" si="438"/>
        <v>974</v>
      </c>
      <c r="AL978" s="323">
        <f t="shared" si="448"/>
        <v>981</v>
      </c>
      <c r="AM978" s="322">
        <f t="shared" si="449"/>
        <v>5</v>
      </c>
      <c r="AN978" s="380">
        <f>IF(AND(AH978&gt;0,B978&lt;&gt;""),VLOOKUP(I978,'AUX-NIV3'!$B:$AO,39,FALSE)*O978,0)</f>
        <v>0</v>
      </c>
      <c r="AO978" s="380">
        <f t="shared" si="439"/>
        <v>0.61333333333333329</v>
      </c>
      <c r="AP978" s="380"/>
    </row>
    <row r="979" spans="2:42" ht="14.4" hidden="1" thickTop="1" thickBot="1">
      <c r="B979" s="324" t="s">
        <v>2889</v>
      </c>
      <c r="C979" s="325" t="s">
        <v>2890</v>
      </c>
      <c r="D979" s="326" t="s">
        <v>1160</v>
      </c>
      <c r="E979" s="327">
        <f>IF(B979&lt;&gt;"",SUMIF('AUX-NIV1'!I:I,'AUX-NIV2'!B979,'AUX-NIV1'!Q:Q),"")</f>
        <v>0</v>
      </c>
      <c r="F979" s="327">
        <f t="shared" si="429"/>
        <v>658.25650396847084</v>
      </c>
      <c r="G979" s="327">
        <f t="shared" si="430"/>
        <v>0</v>
      </c>
      <c r="H979" s="328" t="str">
        <f t="shared" si="452"/>
        <v>E</v>
      </c>
      <c r="I979" s="325" t="s">
        <v>1659</v>
      </c>
      <c r="J979" s="329" t="str">
        <f>IF(B979&lt;&gt;"",+VLOOKUP(I979,Recursos!C:F,2,FALSE),"")</f>
        <v>CARGADOR FRONTAL S/NEUM. 2,4 m3</v>
      </c>
      <c r="K979" s="330" t="str">
        <f>IF(B979&lt;&gt;"",+VLOOKUP(I979,Recursos!C:F,3,FALSE),"")</f>
        <v>HR</v>
      </c>
      <c r="L979" s="446">
        <f>IF(B979&lt;&gt;"",+VLOOKUP(I979,Recursos!C:F,4,FALSE),"")</f>
        <v>3724.9622000000004</v>
      </c>
      <c r="M979" s="454">
        <f t="shared" si="450"/>
        <v>15</v>
      </c>
      <c r="N979" s="453">
        <v>1</v>
      </c>
      <c r="O979" s="449">
        <f t="shared" si="451"/>
        <v>6.6666666666666666E-2</v>
      </c>
      <c r="P979" s="333">
        <f t="shared" si="425"/>
        <v>248.33081333333337</v>
      </c>
      <c r="Q979" s="327">
        <f t="shared" si="426"/>
        <v>0</v>
      </c>
      <c r="R979" s="334">
        <f t="shared" si="427"/>
        <v>0</v>
      </c>
      <c r="S979" s="335">
        <f t="shared" si="431"/>
        <v>307.83900010180412</v>
      </c>
      <c r="T979" s="335">
        <f t="shared" si="432"/>
        <v>350.41750386666672</v>
      </c>
      <c r="U979" s="336">
        <f t="shared" si="433"/>
        <v>0</v>
      </c>
      <c r="V979" s="336">
        <f t="shared" si="434"/>
        <v>0</v>
      </c>
      <c r="W979" s="336">
        <f t="shared" si="435"/>
        <v>0</v>
      </c>
      <c r="X979" s="336">
        <f t="shared" si="436"/>
        <v>0</v>
      </c>
      <c r="Y979" s="320"/>
      <c r="Z979" s="321" t="str">
        <f t="shared" si="440"/>
        <v>X-TMTA</v>
      </c>
      <c r="AA979" s="321" t="str">
        <f t="shared" si="441"/>
        <v>X-TMTE</v>
      </c>
      <c r="AB979" s="321" t="str">
        <f t="shared" si="442"/>
        <v>X-TMTM</v>
      </c>
      <c r="AC979" s="321" t="str">
        <f t="shared" si="443"/>
        <v>X-TMTT</v>
      </c>
      <c r="AD979" s="321" t="str">
        <f t="shared" si="444"/>
        <v>X-TMTS</v>
      </c>
      <c r="AE979" s="321" t="str">
        <f t="shared" si="445"/>
        <v>X-TMTX</v>
      </c>
      <c r="AF979" s="321" t="str">
        <f t="shared" si="446"/>
        <v>X-TMTE</v>
      </c>
      <c r="AG979" s="321">
        <f t="shared" si="437"/>
        <v>8</v>
      </c>
      <c r="AH979" s="321">
        <f>IF(B979&lt;&gt;"",IF(H979="x",VLOOKUP(I979,'AUX-NIV3'!B:AG,32,FALSE),0),"")</f>
        <v>0</v>
      </c>
      <c r="AI979" s="321" t="str">
        <f t="shared" si="447"/>
        <v>X-TMT</v>
      </c>
      <c r="AJ979" s="320"/>
      <c r="AK979" s="322">
        <f t="shared" si="438"/>
        <v>974</v>
      </c>
      <c r="AL979" s="323">
        <f t="shared" si="448"/>
        <v>981</v>
      </c>
      <c r="AM979" s="322">
        <f t="shared" si="449"/>
        <v>6</v>
      </c>
      <c r="AN979" s="380">
        <f>IF(AND(AH979&gt;0,B979&lt;&gt;""),VLOOKUP(I979,'AUX-NIV3'!$B:$AO,39,FALSE)*O979,0)</f>
        <v>0</v>
      </c>
      <c r="AO979" s="380">
        <f t="shared" si="439"/>
        <v>0.61333333333333329</v>
      </c>
      <c r="AP979" s="380"/>
    </row>
    <row r="980" spans="2:42" ht="14.4" hidden="1" thickTop="1" thickBot="1">
      <c r="B980" s="324" t="s">
        <v>2889</v>
      </c>
      <c r="C980" s="325" t="s">
        <v>2890</v>
      </c>
      <c r="D980" s="326" t="s">
        <v>1160</v>
      </c>
      <c r="E980" s="327">
        <f>IF(B980&lt;&gt;"",SUMIF('AUX-NIV1'!I:I,'AUX-NIV2'!B980,'AUX-NIV1'!Q:Q),"")</f>
        <v>0</v>
      </c>
      <c r="F980" s="327">
        <f t="shared" si="429"/>
        <v>658.25650396847084</v>
      </c>
      <c r="G980" s="327">
        <f t="shared" si="430"/>
        <v>0</v>
      </c>
      <c r="H980" s="328" t="str">
        <f t="shared" si="452"/>
        <v>E</v>
      </c>
      <c r="I980" s="325" t="s">
        <v>1682</v>
      </c>
      <c r="J980" s="329" t="str">
        <f>IF(B980&lt;&gt;"",+VLOOKUP(I980,Recursos!C:F,2,FALSE),"")</f>
        <v>COMPACT. LISO VIBR. AUTOP.-11 T</v>
      </c>
      <c r="K980" s="330" t="str">
        <f>IF(B980&lt;&gt;"",+VLOOKUP(I980,Recursos!C:F,3,FALSE),"")</f>
        <v>HR</v>
      </c>
      <c r="L980" s="446">
        <f>IF(B980&lt;&gt;"",+VLOOKUP(I980,Recursos!C:F,4,FALSE),"")</f>
        <v>2026.0471399999999</v>
      </c>
      <c r="M980" s="452">
        <v>15</v>
      </c>
      <c r="N980" s="455">
        <f>1-M981</f>
        <v>0.7</v>
      </c>
      <c r="O980" s="449">
        <f t="shared" si="451"/>
        <v>4.6666666666666662E-2</v>
      </c>
      <c r="P980" s="333">
        <f t="shared" si="425"/>
        <v>94.548866533333324</v>
      </c>
      <c r="Q980" s="327">
        <f t="shared" si="426"/>
        <v>0</v>
      </c>
      <c r="R980" s="334">
        <f t="shared" si="427"/>
        <v>0</v>
      </c>
      <c r="S980" s="335">
        <f t="shared" si="431"/>
        <v>307.83900010180412</v>
      </c>
      <c r="T980" s="335">
        <f t="shared" si="432"/>
        <v>350.41750386666672</v>
      </c>
      <c r="U980" s="336">
        <f t="shared" si="433"/>
        <v>0</v>
      </c>
      <c r="V980" s="336">
        <f t="shared" si="434"/>
        <v>0</v>
      </c>
      <c r="W980" s="336">
        <f t="shared" si="435"/>
        <v>0</v>
      </c>
      <c r="X980" s="336">
        <f t="shared" si="436"/>
        <v>0</v>
      </c>
      <c r="Y980" s="320"/>
      <c r="Z980" s="321" t="str">
        <f t="shared" si="440"/>
        <v>X-TMTA</v>
      </c>
      <c r="AA980" s="321" t="str">
        <f t="shared" si="441"/>
        <v>X-TMTE</v>
      </c>
      <c r="AB980" s="321" t="str">
        <f t="shared" si="442"/>
        <v>X-TMTM</v>
      </c>
      <c r="AC980" s="321" t="str">
        <f t="shared" si="443"/>
        <v>X-TMTT</v>
      </c>
      <c r="AD980" s="321" t="str">
        <f t="shared" si="444"/>
        <v>X-TMTS</v>
      </c>
      <c r="AE980" s="321" t="str">
        <f t="shared" si="445"/>
        <v>X-TMTX</v>
      </c>
      <c r="AF980" s="321" t="str">
        <f t="shared" si="446"/>
        <v>X-TMTE</v>
      </c>
      <c r="AG980" s="321">
        <f t="shared" si="437"/>
        <v>8</v>
      </c>
      <c r="AH980" s="321">
        <f>IF(B980&lt;&gt;"",IF(H980="x",VLOOKUP(I980,'AUX-NIV3'!B:AG,32,FALSE),0),"")</f>
        <v>0</v>
      </c>
      <c r="AI980" s="321" t="str">
        <f t="shared" si="447"/>
        <v>X-TMT</v>
      </c>
      <c r="AJ980" s="320"/>
      <c r="AK980" s="322">
        <f t="shared" si="438"/>
        <v>974</v>
      </c>
      <c r="AL980" s="323">
        <f t="shared" si="448"/>
        <v>981</v>
      </c>
      <c r="AM980" s="322">
        <f t="shared" si="449"/>
        <v>7</v>
      </c>
      <c r="AN980" s="380">
        <f>IF(AND(AH980&gt;0,B980&lt;&gt;""),VLOOKUP(I980,'AUX-NIV3'!$B:$AO,39,FALSE)*O980,0)</f>
        <v>0</v>
      </c>
      <c r="AO980" s="380">
        <f t="shared" si="439"/>
        <v>0.61333333333333329</v>
      </c>
      <c r="AP980" s="380"/>
    </row>
    <row r="981" spans="2:42" ht="14.4" hidden="1" thickTop="1" thickBot="1">
      <c r="B981" s="324" t="s">
        <v>2889</v>
      </c>
      <c r="C981" s="325" t="s">
        <v>2890</v>
      </c>
      <c r="D981" s="326" t="s">
        <v>1160</v>
      </c>
      <c r="E981" s="327">
        <f>IF(B981&lt;&gt;"",SUMIF('AUX-NIV1'!I:I,'AUX-NIV2'!B981,'AUX-NIV1'!Q:Q),"")</f>
        <v>0</v>
      </c>
      <c r="F981" s="327">
        <f t="shared" si="429"/>
        <v>658.25650396847084</v>
      </c>
      <c r="G981" s="327">
        <f t="shared" si="430"/>
        <v>0</v>
      </c>
      <c r="H981" s="328" t="str">
        <f t="shared" si="452"/>
        <v>E</v>
      </c>
      <c r="I981" s="325" t="s">
        <v>1570</v>
      </c>
      <c r="J981" s="329" t="str">
        <f>IF(B981&lt;&gt;"",+VLOOKUP(I981,Recursos!C:F,2,FALSE),"")</f>
        <v>PLANCHA VIBRATORIA 32x28 cm-68 Kg</v>
      </c>
      <c r="K981" s="330" t="str">
        <f>IF(B981&lt;&gt;"",+VLOOKUP(I981,Recursos!C:F,3,FALSE),"")</f>
        <v>HR</v>
      </c>
      <c r="L981" s="446">
        <f>IF(B981&lt;&gt;"",+VLOOKUP(I981,Recursos!C:F,4,FALSE),"")</f>
        <v>125.63040000000001</v>
      </c>
      <c r="M981" s="450">
        <v>0.3</v>
      </c>
      <c r="N981" s="451">
        <v>3</v>
      </c>
      <c r="O981" s="449">
        <f>+N981*M981/M980</f>
        <v>5.9999999999999991E-2</v>
      </c>
      <c r="P981" s="333">
        <f t="shared" si="425"/>
        <v>7.5378239999999996</v>
      </c>
      <c r="Q981" s="327">
        <f t="shared" si="426"/>
        <v>0</v>
      </c>
      <c r="R981" s="334">
        <f t="shared" si="427"/>
        <v>0</v>
      </c>
      <c r="S981" s="335">
        <f t="shared" si="431"/>
        <v>307.83900010180412</v>
      </c>
      <c r="T981" s="335">
        <f t="shared" si="432"/>
        <v>350.41750386666672</v>
      </c>
      <c r="U981" s="336">
        <f t="shared" si="433"/>
        <v>0</v>
      </c>
      <c r="V981" s="336">
        <f t="shared" si="434"/>
        <v>0</v>
      </c>
      <c r="W981" s="336">
        <f t="shared" si="435"/>
        <v>0</v>
      </c>
      <c r="X981" s="336">
        <f t="shared" si="436"/>
        <v>0</v>
      </c>
      <c r="Y981" s="320"/>
      <c r="Z981" s="321" t="str">
        <f t="shared" si="440"/>
        <v>X-TMTA</v>
      </c>
      <c r="AA981" s="321" t="str">
        <f t="shared" si="441"/>
        <v>X-TMTE</v>
      </c>
      <c r="AB981" s="321" t="str">
        <f t="shared" si="442"/>
        <v>X-TMTM</v>
      </c>
      <c r="AC981" s="321" t="str">
        <f t="shared" si="443"/>
        <v>X-TMTT</v>
      </c>
      <c r="AD981" s="321" t="str">
        <f t="shared" si="444"/>
        <v>X-TMTS</v>
      </c>
      <c r="AE981" s="321" t="str">
        <f t="shared" si="445"/>
        <v>X-TMTX</v>
      </c>
      <c r="AF981" s="321" t="str">
        <f t="shared" si="446"/>
        <v>X-TMTE</v>
      </c>
      <c r="AG981" s="321">
        <f t="shared" si="437"/>
        <v>8</v>
      </c>
      <c r="AH981" s="321">
        <f>IF(B981&lt;&gt;"",IF(H981="x",VLOOKUP(I981,'AUX-NIV3'!B:AG,32,FALSE),0),"")</f>
        <v>0</v>
      </c>
      <c r="AI981" s="321" t="str">
        <f t="shared" si="447"/>
        <v>X-TMT</v>
      </c>
      <c r="AJ981" s="320"/>
      <c r="AK981" s="322">
        <f t="shared" si="438"/>
        <v>974</v>
      </c>
      <c r="AL981" s="323">
        <f t="shared" si="448"/>
        <v>981</v>
      </c>
      <c r="AM981" s="322">
        <f t="shared" si="449"/>
        <v>8</v>
      </c>
      <c r="AN981" s="380">
        <f>IF(AND(AH981&gt;0,B981&lt;&gt;""),VLOOKUP(I981,'AUX-NIV3'!$B:$AO,39,FALSE)*O981,0)</f>
        <v>0</v>
      </c>
      <c r="AO981" s="380">
        <f t="shared" si="439"/>
        <v>0.61333333333333329</v>
      </c>
      <c r="AP981" s="380"/>
    </row>
    <row r="982" spans="2:42" ht="14.4" hidden="1" thickTop="1" thickBot="1">
      <c r="B982" s="324" t="s">
        <v>2891</v>
      </c>
      <c r="C982" s="325" t="s">
        <v>2892</v>
      </c>
      <c r="D982" s="326" t="s">
        <v>1172</v>
      </c>
      <c r="E982" s="327">
        <f>IF(B982&lt;&gt;"",SUMIF('AUX-NIV1'!I:I,'AUX-NIV2'!B982,'AUX-NIV1'!Q:Q),"")</f>
        <v>0</v>
      </c>
      <c r="F982" s="327">
        <f t="shared" si="429"/>
        <v>6292998.9193429258</v>
      </c>
      <c r="G982" s="327">
        <f t="shared" si="430"/>
        <v>0</v>
      </c>
      <c r="H982" s="328" t="str">
        <f t="shared" si="452"/>
        <v>A</v>
      </c>
      <c r="I982" s="325" t="s">
        <v>1745</v>
      </c>
      <c r="J982" s="329" t="str">
        <f>IF(B982&lt;&gt;"",+VLOOKUP(I982,Recursos!C:F,2,FALSE),"")</f>
        <v>AYUDANTE</v>
      </c>
      <c r="K982" s="330" t="str">
        <f>IF(B982&lt;&gt;"",+VLOOKUP(I982,Recursos!C:F,3,FALSE),"")</f>
        <v>hh</v>
      </c>
      <c r="L982" s="446">
        <f>IF(B982&lt;&gt;"",+VLOOKUP(I982,Recursos!C:F,4,FALSE),"")</f>
        <v>422.48042769667234</v>
      </c>
      <c r="M982" s="514"/>
      <c r="N982" s="515">
        <f>+N983</f>
        <v>2</v>
      </c>
      <c r="O982" s="534">
        <f>+N982*M984*M985</f>
        <v>2940</v>
      </c>
      <c r="P982" s="333">
        <f t="shared" si="425"/>
        <v>1242092.4574282167</v>
      </c>
      <c r="Q982" s="327">
        <f t="shared" si="426"/>
        <v>0</v>
      </c>
      <c r="R982" s="334">
        <f t="shared" si="427"/>
        <v>0</v>
      </c>
      <c r="S982" s="335">
        <f t="shared" si="431"/>
        <v>2703025.3633429259</v>
      </c>
      <c r="T982" s="335">
        <f t="shared" si="432"/>
        <v>3574973.5559999999</v>
      </c>
      <c r="U982" s="336">
        <f t="shared" si="433"/>
        <v>7500</v>
      </c>
      <c r="V982" s="336">
        <f t="shared" si="434"/>
        <v>0</v>
      </c>
      <c r="W982" s="336">
        <f t="shared" si="435"/>
        <v>7500</v>
      </c>
      <c r="X982" s="336">
        <f t="shared" si="436"/>
        <v>0</v>
      </c>
      <c r="Y982" s="320"/>
      <c r="Z982" s="321" t="str">
        <f t="shared" si="440"/>
        <v>X-AGPA</v>
      </c>
      <c r="AA982" s="321" t="str">
        <f t="shared" si="441"/>
        <v>X-AGPE</v>
      </c>
      <c r="AB982" s="321" t="str">
        <f t="shared" si="442"/>
        <v>X-AGPM</v>
      </c>
      <c r="AC982" s="321" t="str">
        <f t="shared" si="443"/>
        <v>X-AGPT</v>
      </c>
      <c r="AD982" s="321" t="str">
        <f t="shared" si="444"/>
        <v>X-AGPS</v>
      </c>
      <c r="AE982" s="321" t="str">
        <f t="shared" si="445"/>
        <v>X-AGPX</v>
      </c>
      <c r="AF982" s="321" t="str">
        <f t="shared" si="446"/>
        <v>X-AGPA</v>
      </c>
      <c r="AG982" s="321">
        <f t="shared" si="437"/>
        <v>6</v>
      </c>
      <c r="AH982" s="321">
        <f>IF(B982&lt;&gt;"",IF(H982="x",VLOOKUP(I982,'AUX-NIV3'!B:AG,32,FALSE),0),"")</f>
        <v>0</v>
      </c>
      <c r="AI982" s="321" t="str">
        <f t="shared" si="447"/>
        <v>X-AGP</v>
      </c>
      <c r="AJ982" s="320"/>
      <c r="AK982" s="322">
        <f t="shared" si="438"/>
        <v>982</v>
      </c>
      <c r="AL982" s="323">
        <f t="shared" si="448"/>
        <v>987</v>
      </c>
      <c r="AM982" s="322">
        <f t="shared" si="449"/>
        <v>1</v>
      </c>
      <c r="AN982" s="380">
        <f>IF(AND(AH982&gt;0,B982&lt;&gt;""),VLOOKUP(I982,'AUX-NIV3'!$B:$AO,39,FALSE)*O982,0)</f>
        <v>0</v>
      </c>
      <c r="AO982" s="380">
        <f t="shared" si="439"/>
        <v>5880</v>
      </c>
      <c r="AP982" s="380"/>
    </row>
    <row r="983" spans="2:42" ht="14.4" hidden="1" thickTop="1" thickBot="1">
      <c r="B983" s="324" t="s">
        <v>2891</v>
      </c>
      <c r="C983" s="325" t="s">
        <v>2892</v>
      </c>
      <c r="D983" s="326" t="s">
        <v>1172</v>
      </c>
      <c r="E983" s="327">
        <f>IF(B983&lt;&gt;"",SUMIF('AUX-NIV1'!I:I,'AUX-NIV2'!B983,'AUX-NIV1'!Q:Q),"")</f>
        <v>0</v>
      </c>
      <c r="F983" s="327">
        <f t="shared" si="429"/>
        <v>6292998.9193429258</v>
      </c>
      <c r="G983" s="327">
        <f t="shared" si="430"/>
        <v>0</v>
      </c>
      <c r="H983" s="328" t="str">
        <f t="shared" si="452"/>
        <v>A</v>
      </c>
      <c r="I983" s="325" t="s">
        <v>1746</v>
      </c>
      <c r="J983" s="329" t="str">
        <f>IF(B983&lt;&gt;"",+VLOOKUP(I983,Recursos!C:F,2,FALSE),"")</f>
        <v>OFICIAL</v>
      </c>
      <c r="K983" s="330" t="str">
        <f>IF(B983&lt;&gt;"",+VLOOKUP(I983,Recursos!C:F,3,FALSE),"")</f>
        <v>hh</v>
      </c>
      <c r="L983" s="446">
        <f>IF(B983&lt;&gt;"",+VLOOKUP(I983,Recursos!C:F,4,FALSE),"")</f>
        <v>496.91595439275824</v>
      </c>
      <c r="M983" s="454"/>
      <c r="N983" s="455">
        <f>+N985</f>
        <v>2</v>
      </c>
      <c r="O983" s="534">
        <f>+N983*M984*M985</f>
        <v>2940</v>
      </c>
      <c r="P983" s="333">
        <f t="shared" si="425"/>
        <v>1460932.9059147092</v>
      </c>
      <c r="Q983" s="327">
        <f t="shared" si="426"/>
        <v>0</v>
      </c>
      <c r="R983" s="334">
        <f t="shared" si="427"/>
        <v>0</v>
      </c>
      <c r="S983" s="335">
        <f t="shared" si="431"/>
        <v>2703025.3633429259</v>
      </c>
      <c r="T983" s="335">
        <f t="shared" si="432"/>
        <v>3574973.5559999999</v>
      </c>
      <c r="U983" s="336">
        <f t="shared" si="433"/>
        <v>7500</v>
      </c>
      <c r="V983" s="336">
        <f t="shared" si="434"/>
        <v>0</v>
      </c>
      <c r="W983" s="336">
        <f t="shared" si="435"/>
        <v>7500</v>
      </c>
      <c r="X983" s="336">
        <f t="shared" si="436"/>
        <v>0</v>
      </c>
      <c r="Y983" s="320"/>
      <c r="Z983" s="321" t="str">
        <f t="shared" si="440"/>
        <v>X-AGPA</v>
      </c>
      <c r="AA983" s="321" t="str">
        <f t="shared" si="441"/>
        <v>X-AGPE</v>
      </c>
      <c r="AB983" s="321" t="str">
        <f t="shared" si="442"/>
        <v>X-AGPM</v>
      </c>
      <c r="AC983" s="321" t="str">
        <f t="shared" si="443"/>
        <v>X-AGPT</v>
      </c>
      <c r="AD983" s="321" t="str">
        <f t="shared" si="444"/>
        <v>X-AGPS</v>
      </c>
      <c r="AE983" s="321" t="str">
        <f t="shared" si="445"/>
        <v>X-AGPX</v>
      </c>
      <c r="AF983" s="321" t="str">
        <f t="shared" si="446"/>
        <v>X-AGPA</v>
      </c>
      <c r="AG983" s="321">
        <f t="shared" si="437"/>
        <v>6</v>
      </c>
      <c r="AH983" s="321">
        <f>IF(B983&lt;&gt;"",IF(H983="x",VLOOKUP(I983,'AUX-NIV3'!B:AG,32,FALSE),0),"")</f>
        <v>0</v>
      </c>
      <c r="AI983" s="321" t="str">
        <f t="shared" si="447"/>
        <v>X-AGP</v>
      </c>
      <c r="AJ983" s="320"/>
      <c r="AK983" s="322">
        <f t="shared" si="438"/>
        <v>982</v>
      </c>
      <c r="AL983" s="323">
        <f t="shared" si="448"/>
        <v>987</v>
      </c>
      <c r="AM983" s="322">
        <f t="shared" si="449"/>
        <v>2</v>
      </c>
      <c r="AN983" s="380">
        <f>IF(AND(AH983&gt;0,B983&lt;&gt;""),VLOOKUP(I983,'AUX-NIV3'!$B:$AO,39,FALSE)*O983,0)</f>
        <v>0</v>
      </c>
      <c r="AO983" s="380">
        <f t="shared" si="439"/>
        <v>5880</v>
      </c>
      <c r="AP983" s="380"/>
    </row>
    <row r="984" spans="2:42" ht="14.4" hidden="1" thickTop="1" thickBot="1">
      <c r="B984" s="324" t="s">
        <v>2891</v>
      </c>
      <c r="C984" s="325" t="s">
        <v>2892</v>
      </c>
      <c r="D984" s="326" t="s">
        <v>1172</v>
      </c>
      <c r="E984" s="327">
        <f>IF(B984&lt;&gt;"",SUMIF('AUX-NIV1'!I:I,'AUX-NIV2'!B984,'AUX-NIV1'!Q:Q),"")</f>
        <v>0</v>
      </c>
      <c r="F984" s="327">
        <f t="shared" si="429"/>
        <v>6292998.9193429258</v>
      </c>
      <c r="G984" s="327">
        <f t="shared" si="430"/>
        <v>0</v>
      </c>
      <c r="H984" s="328" t="str">
        <f t="shared" si="452"/>
        <v>E</v>
      </c>
      <c r="I984" s="325" t="s">
        <v>1585</v>
      </c>
      <c r="J984" s="329" t="str">
        <f>IF(B984&lt;&gt;"",+VLOOKUP(I984,Recursos!C:F,2,FALSE),"")</f>
        <v>GRUPO ELECTROGENO 113 KVA-90 KW</v>
      </c>
      <c r="K984" s="330" t="str">
        <f>IF(B984&lt;&gt;"",+VLOOKUP(I984,Recursos!C:F,3,FALSE),"")</f>
        <v>HR</v>
      </c>
      <c r="L984" s="446">
        <f>IF(B984&lt;&gt;"",+VLOOKUP(I984,Recursos!C:F,4,FALSE),"")</f>
        <v>1785.366</v>
      </c>
      <c r="M984" s="452">
        <v>7</v>
      </c>
      <c r="N984" s="453">
        <v>1</v>
      </c>
      <c r="O984" s="534">
        <f>+N984*M984*M985</f>
        <v>1470</v>
      </c>
      <c r="P984" s="333">
        <f t="shared" si="425"/>
        <v>2624488.02</v>
      </c>
      <c r="Q984" s="327">
        <f t="shared" si="426"/>
        <v>0</v>
      </c>
      <c r="R984" s="334">
        <f t="shared" si="427"/>
        <v>0</v>
      </c>
      <c r="S984" s="335">
        <f t="shared" si="431"/>
        <v>2703025.3633429259</v>
      </c>
      <c r="T984" s="335">
        <f t="shared" si="432"/>
        <v>3574973.5559999999</v>
      </c>
      <c r="U984" s="336">
        <f t="shared" si="433"/>
        <v>7500</v>
      </c>
      <c r="V984" s="336">
        <f t="shared" si="434"/>
        <v>0</v>
      </c>
      <c r="W984" s="336">
        <f t="shared" si="435"/>
        <v>7500</v>
      </c>
      <c r="X984" s="336">
        <f t="shared" si="436"/>
        <v>0</v>
      </c>
      <c r="Y984" s="320"/>
      <c r="Z984" s="321" t="str">
        <f t="shared" si="440"/>
        <v>X-AGPA</v>
      </c>
      <c r="AA984" s="321" t="str">
        <f t="shared" si="441"/>
        <v>X-AGPE</v>
      </c>
      <c r="AB984" s="321" t="str">
        <f t="shared" si="442"/>
        <v>X-AGPM</v>
      </c>
      <c r="AC984" s="321" t="str">
        <f t="shared" si="443"/>
        <v>X-AGPT</v>
      </c>
      <c r="AD984" s="321" t="str">
        <f t="shared" si="444"/>
        <v>X-AGPS</v>
      </c>
      <c r="AE984" s="321" t="str">
        <f t="shared" si="445"/>
        <v>X-AGPX</v>
      </c>
      <c r="AF984" s="321" t="str">
        <f t="shared" si="446"/>
        <v>X-AGPE</v>
      </c>
      <c r="AG984" s="321">
        <f t="shared" si="437"/>
        <v>6</v>
      </c>
      <c r="AH984" s="321">
        <f>IF(B984&lt;&gt;"",IF(H984="x",VLOOKUP(I984,'AUX-NIV3'!B:AG,32,FALSE),0),"")</f>
        <v>0</v>
      </c>
      <c r="AI984" s="321" t="str">
        <f t="shared" si="447"/>
        <v>X-AGP</v>
      </c>
      <c r="AJ984" s="320"/>
      <c r="AK984" s="322">
        <f t="shared" si="438"/>
        <v>982</v>
      </c>
      <c r="AL984" s="323">
        <f t="shared" si="448"/>
        <v>987</v>
      </c>
      <c r="AM984" s="322">
        <f t="shared" si="449"/>
        <v>3</v>
      </c>
      <c r="AN984" s="380">
        <f>IF(AND(AH984&gt;0,B984&lt;&gt;""),VLOOKUP(I984,'AUX-NIV3'!$B:$AO,39,FALSE)*O984,0)</f>
        <v>0</v>
      </c>
      <c r="AO984" s="380">
        <f t="shared" si="439"/>
        <v>5880</v>
      </c>
      <c r="AP984" s="380"/>
    </row>
    <row r="985" spans="2:42" ht="14.4" hidden="1" thickTop="1" thickBot="1">
      <c r="B985" s="324" t="s">
        <v>2891</v>
      </c>
      <c r="C985" s="325" t="s">
        <v>2892</v>
      </c>
      <c r="D985" s="326" t="s">
        <v>1172</v>
      </c>
      <c r="E985" s="327">
        <f>IF(B985&lt;&gt;"",SUMIF('AUX-NIV1'!I:I,'AUX-NIV2'!B985,'AUX-NIV1'!Q:Q),"")</f>
        <v>0</v>
      </c>
      <c r="F985" s="327">
        <f t="shared" si="429"/>
        <v>6292998.9193429258</v>
      </c>
      <c r="G985" s="327">
        <f t="shared" si="430"/>
        <v>0</v>
      </c>
      <c r="H985" s="328" t="str">
        <f t="shared" si="452"/>
        <v>E</v>
      </c>
      <c r="I985" s="325" t="s">
        <v>1545</v>
      </c>
      <c r="J985" s="329" t="str">
        <f>IF(B985&lt;&gt;"",+VLOOKUP(I985,Recursos!C:F,2,FALSE),"")</f>
        <v>TORRE DE ILUMINACION</v>
      </c>
      <c r="K985" s="330" t="str">
        <f>IF(B985&lt;&gt;"",+VLOOKUP(I985,Recursos!C:F,3,FALSE),"")</f>
        <v>HR</v>
      </c>
      <c r="L985" s="446">
        <f>IF(B985&lt;&gt;"",+VLOOKUP(I985,Recursos!C:F,4,FALSE),"")</f>
        <v>323.2944</v>
      </c>
      <c r="M985" s="452">
        <v>210</v>
      </c>
      <c r="N985" s="453">
        <v>2</v>
      </c>
      <c r="O985" s="534">
        <f>+N985*M984*M985</f>
        <v>2940</v>
      </c>
      <c r="P985" s="333">
        <f t="shared" si="425"/>
        <v>950485.53599999996</v>
      </c>
      <c r="Q985" s="327">
        <f t="shared" si="426"/>
        <v>0</v>
      </c>
      <c r="R985" s="334">
        <f t="shared" si="427"/>
        <v>0</v>
      </c>
      <c r="S985" s="335">
        <f t="shared" si="431"/>
        <v>2703025.3633429259</v>
      </c>
      <c r="T985" s="335">
        <f t="shared" si="432"/>
        <v>3574973.5559999999</v>
      </c>
      <c r="U985" s="336">
        <f t="shared" si="433"/>
        <v>7500</v>
      </c>
      <c r="V985" s="336">
        <f t="shared" si="434"/>
        <v>0</v>
      </c>
      <c r="W985" s="336">
        <f t="shared" si="435"/>
        <v>7500</v>
      </c>
      <c r="X985" s="336">
        <f t="shared" si="436"/>
        <v>0</v>
      </c>
      <c r="Y985" s="320"/>
      <c r="Z985" s="321" t="str">
        <f t="shared" si="440"/>
        <v>X-AGPA</v>
      </c>
      <c r="AA985" s="321" t="str">
        <f t="shared" si="441"/>
        <v>X-AGPE</v>
      </c>
      <c r="AB985" s="321" t="str">
        <f t="shared" si="442"/>
        <v>X-AGPM</v>
      </c>
      <c r="AC985" s="321" t="str">
        <f t="shared" si="443"/>
        <v>X-AGPT</v>
      </c>
      <c r="AD985" s="321" t="str">
        <f t="shared" si="444"/>
        <v>X-AGPS</v>
      </c>
      <c r="AE985" s="321" t="str">
        <f t="shared" si="445"/>
        <v>X-AGPX</v>
      </c>
      <c r="AF985" s="321" t="str">
        <f t="shared" si="446"/>
        <v>X-AGPE</v>
      </c>
      <c r="AG985" s="321">
        <f t="shared" si="437"/>
        <v>6</v>
      </c>
      <c r="AH985" s="321">
        <f>IF(B985&lt;&gt;"",IF(H985="x",VLOOKUP(I985,'AUX-NIV3'!B:AG,32,FALSE),0),"")</f>
        <v>0</v>
      </c>
      <c r="AI985" s="321" t="str">
        <f t="shared" si="447"/>
        <v>X-AGP</v>
      </c>
      <c r="AJ985" s="320"/>
      <c r="AK985" s="322">
        <f t="shared" si="438"/>
        <v>982</v>
      </c>
      <c r="AL985" s="323">
        <f t="shared" si="448"/>
        <v>987</v>
      </c>
      <c r="AM985" s="322">
        <f t="shared" si="449"/>
        <v>4</v>
      </c>
      <c r="AN985" s="380">
        <f>IF(AND(AH985&gt;0,B985&lt;&gt;""),VLOOKUP(I985,'AUX-NIV3'!$B:$AO,39,FALSE)*O985,0)</f>
        <v>0</v>
      </c>
      <c r="AO985" s="380">
        <f t="shared" si="439"/>
        <v>5880</v>
      </c>
      <c r="AP985" s="380"/>
    </row>
    <row r="986" spans="2:42" ht="14.4" hidden="1" thickTop="1" thickBot="1">
      <c r="B986" s="324" t="s">
        <v>2891</v>
      </c>
      <c r="C986" s="325" t="s">
        <v>2892</v>
      </c>
      <c r="D986" s="326" t="s">
        <v>1172</v>
      </c>
      <c r="E986" s="327">
        <f>IF(B986&lt;&gt;"",SUMIF('AUX-NIV1'!I:I,'AUX-NIV2'!B986,'AUX-NIV1'!Q:Q),"")</f>
        <v>0</v>
      </c>
      <c r="F986" s="327">
        <f t="shared" si="429"/>
        <v>6292998.9193429258</v>
      </c>
      <c r="G986" s="327">
        <f t="shared" si="430"/>
        <v>0</v>
      </c>
      <c r="H986" s="328" t="str">
        <f t="shared" si="452"/>
        <v>M</v>
      </c>
      <c r="I986" s="325" t="s">
        <v>621</v>
      </c>
      <c r="J986" s="329" t="str">
        <f>IF(B986&lt;&gt;"",+VLOOKUP(I986,Recursos!C:F,2,FALSE),"")</f>
        <v>MATERIALES VARIOS</v>
      </c>
      <c r="K986" s="330" t="str">
        <f>IF(B986&lt;&gt;"",+VLOOKUP(I986,Recursos!C:F,3,FALSE),"")</f>
        <v>GL</v>
      </c>
      <c r="L986" s="446">
        <f>IF(B986&lt;&gt;"",+VLOOKUP(I986,Recursos!C:F,4,FALSE),"")</f>
        <v>0.5</v>
      </c>
      <c r="M986" s="452">
        <v>15000</v>
      </c>
      <c r="N986" s="455"/>
      <c r="O986" s="534">
        <f>+M986</f>
        <v>15000</v>
      </c>
      <c r="P986" s="333">
        <f t="shared" si="425"/>
        <v>7500</v>
      </c>
      <c r="Q986" s="327">
        <f t="shared" si="426"/>
        <v>0</v>
      </c>
      <c r="R986" s="334">
        <f t="shared" si="427"/>
        <v>0</v>
      </c>
      <c r="S986" s="335">
        <f t="shared" si="431"/>
        <v>2703025.3633429259</v>
      </c>
      <c r="T986" s="335">
        <f t="shared" si="432"/>
        <v>3574973.5559999999</v>
      </c>
      <c r="U986" s="336">
        <f t="shared" si="433"/>
        <v>7500</v>
      </c>
      <c r="V986" s="336">
        <f t="shared" si="434"/>
        <v>0</v>
      </c>
      <c r="W986" s="336">
        <f t="shared" si="435"/>
        <v>7500</v>
      </c>
      <c r="X986" s="336">
        <f t="shared" si="436"/>
        <v>0</v>
      </c>
      <c r="Y986" s="320"/>
      <c r="Z986" s="321" t="str">
        <f t="shared" si="440"/>
        <v>X-AGPA</v>
      </c>
      <c r="AA986" s="321" t="str">
        <f t="shared" si="441"/>
        <v>X-AGPE</v>
      </c>
      <c r="AB986" s="321" t="str">
        <f t="shared" si="442"/>
        <v>X-AGPM</v>
      </c>
      <c r="AC986" s="321" t="str">
        <f t="shared" si="443"/>
        <v>X-AGPT</v>
      </c>
      <c r="AD986" s="321" t="str">
        <f t="shared" si="444"/>
        <v>X-AGPS</v>
      </c>
      <c r="AE986" s="321" t="str">
        <f t="shared" si="445"/>
        <v>X-AGPX</v>
      </c>
      <c r="AF986" s="321" t="str">
        <f t="shared" si="446"/>
        <v>X-AGPM</v>
      </c>
      <c r="AG986" s="321">
        <f t="shared" si="437"/>
        <v>6</v>
      </c>
      <c r="AH986" s="321">
        <f>IF(B986&lt;&gt;"",IF(H986="x",VLOOKUP(I986,'AUX-NIV3'!B:AG,32,FALSE),0),"")</f>
        <v>0</v>
      </c>
      <c r="AI986" s="321" t="str">
        <f t="shared" si="447"/>
        <v>X-AGP</v>
      </c>
      <c r="AJ986" s="320"/>
      <c r="AK986" s="322">
        <f t="shared" si="438"/>
        <v>982</v>
      </c>
      <c r="AL986" s="323">
        <f t="shared" si="448"/>
        <v>987</v>
      </c>
      <c r="AM986" s="322">
        <f t="shared" si="449"/>
        <v>5</v>
      </c>
      <c r="AN986" s="380">
        <f>IF(AND(AH986&gt;0,B986&lt;&gt;""),VLOOKUP(I986,'AUX-NIV3'!$B:$AO,39,FALSE)*O986,0)</f>
        <v>0</v>
      </c>
      <c r="AO986" s="380">
        <f t="shared" si="439"/>
        <v>5880</v>
      </c>
      <c r="AP986" s="380"/>
    </row>
    <row r="987" spans="2:42" ht="14.4" hidden="1" thickTop="1" thickBot="1">
      <c r="B987" s="324" t="s">
        <v>2891</v>
      </c>
      <c r="C987" s="325" t="s">
        <v>2892</v>
      </c>
      <c r="D987" s="326" t="s">
        <v>1172</v>
      </c>
      <c r="E987" s="327">
        <f>IF(B987&lt;&gt;"",SUMIF('AUX-NIV1'!I:I,'AUX-NIV2'!B987,'AUX-NIV1'!Q:Q),"")</f>
        <v>0</v>
      </c>
      <c r="F987" s="327">
        <f t="shared" si="429"/>
        <v>6292998.9193429258</v>
      </c>
      <c r="G987" s="327">
        <f t="shared" si="430"/>
        <v>0</v>
      </c>
      <c r="H987" s="328" t="str">
        <f t="shared" si="452"/>
        <v>S</v>
      </c>
      <c r="I987" s="325" t="s">
        <v>2528</v>
      </c>
      <c r="J987" s="329" t="str">
        <f>IF(B987&lt;&gt;"",+VLOOKUP(I987,Recursos!C:F,2,FALSE),"")</f>
        <v>TRASLADO EQUIPO DE PILOTAJE</v>
      </c>
      <c r="K987" s="330" t="str">
        <f>IF(B987&lt;&gt;"",+VLOOKUP(I987,Recursos!C:F,3,FALSE),"")</f>
        <v>gl</v>
      </c>
      <c r="L987" s="446">
        <f>IF(B987&lt;&gt;"",+VLOOKUP(I987,Recursos!C:F,4,FALSE),"")</f>
        <v>7500</v>
      </c>
      <c r="M987" s="450">
        <v>1</v>
      </c>
      <c r="N987" s="507"/>
      <c r="O987" s="534">
        <f>+M987</f>
        <v>1</v>
      </c>
      <c r="P987" s="333">
        <f t="shared" si="425"/>
        <v>7500</v>
      </c>
      <c r="Q987" s="327">
        <f t="shared" si="426"/>
        <v>0</v>
      </c>
      <c r="R987" s="334">
        <f t="shared" si="427"/>
        <v>0</v>
      </c>
      <c r="S987" s="335">
        <f t="shared" si="431"/>
        <v>2703025.3633429259</v>
      </c>
      <c r="T987" s="335">
        <f t="shared" si="432"/>
        <v>3574973.5559999999</v>
      </c>
      <c r="U987" s="336">
        <f t="shared" si="433"/>
        <v>7500</v>
      </c>
      <c r="V987" s="336">
        <f t="shared" si="434"/>
        <v>0</v>
      </c>
      <c r="W987" s="336">
        <f t="shared" si="435"/>
        <v>7500</v>
      </c>
      <c r="X987" s="336">
        <f t="shared" si="436"/>
        <v>0</v>
      </c>
      <c r="Y987" s="320"/>
      <c r="Z987" s="321" t="str">
        <f t="shared" si="440"/>
        <v>X-AGPA</v>
      </c>
      <c r="AA987" s="321" t="str">
        <f t="shared" si="441"/>
        <v>X-AGPE</v>
      </c>
      <c r="AB987" s="321" t="str">
        <f t="shared" si="442"/>
        <v>X-AGPM</v>
      </c>
      <c r="AC987" s="321" t="str">
        <f t="shared" si="443"/>
        <v>X-AGPT</v>
      </c>
      <c r="AD987" s="321" t="str">
        <f t="shared" si="444"/>
        <v>X-AGPS</v>
      </c>
      <c r="AE987" s="321" t="str">
        <f t="shared" si="445"/>
        <v>X-AGPX</v>
      </c>
      <c r="AF987" s="321" t="str">
        <f t="shared" si="446"/>
        <v>X-AGPS</v>
      </c>
      <c r="AG987" s="321">
        <f t="shared" si="437"/>
        <v>6</v>
      </c>
      <c r="AH987" s="321">
        <f>IF(B987&lt;&gt;"",IF(H987="x",VLOOKUP(I987,'AUX-NIV3'!B:AG,32,FALSE),0),"")</f>
        <v>0</v>
      </c>
      <c r="AI987" s="321" t="str">
        <f t="shared" si="447"/>
        <v>X-AGP</v>
      </c>
      <c r="AJ987" s="320"/>
      <c r="AK987" s="322">
        <f t="shared" si="438"/>
        <v>982</v>
      </c>
      <c r="AL987" s="323">
        <f t="shared" si="448"/>
        <v>987</v>
      </c>
      <c r="AM987" s="322">
        <f t="shared" si="449"/>
        <v>6</v>
      </c>
      <c r="AN987" s="380">
        <f>IF(AND(AH987&gt;0,B987&lt;&gt;""),VLOOKUP(I987,'AUX-NIV3'!$B:$AO,39,FALSE)*O987,0)</f>
        <v>0</v>
      </c>
      <c r="AO987" s="380">
        <f t="shared" si="439"/>
        <v>5880</v>
      </c>
      <c r="AP987" s="380"/>
    </row>
    <row r="988" spans="2:42" ht="14.4" hidden="1" thickTop="1" thickBot="1">
      <c r="B988" s="501" t="s">
        <v>2893</v>
      </c>
      <c r="C988" s="951" t="s">
        <v>2894</v>
      </c>
      <c r="D988" s="326" t="s">
        <v>1160</v>
      </c>
      <c r="E988" s="327">
        <f>IF(B988&lt;&gt;"",SUMIF('AUX-NIV1'!I:I,'AUX-NIV2'!B988,'AUX-NIV1'!Q:Q),"")</f>
        <v>0</v>
      </c>
      <c r="F988" s="327">
        <f t="shared" si="429"/>
        <v>4831.7757986200932</v>
      </c>
      <c r="G988" s="327">
        <f t="shared" si="430"/>
        <v>0</v>
      </c>
      <c r="H988" s="328" t="str">
        <f t="shared" si="452"/>
        <v>A</v>
      </c>
      <c r="I988" s="325" t="s">
        <v>3310</v>
      </c>
      <c r="J988" s="329" t="str">
        <f>IF(B988&lt;&gt;"",+VLOOKUP(I988,Recursos!C:F,2,FALSE),"")</f>
        <v>OFICIAL ESPECIALIZADO</v>
      </c>
      <c r="K988" s="330" t="str">
        <f>IF(B988&lt;&gt;"",+VLOOKUP(I988,Recursos!C:F,3,FALSE),"")</f>
        <v>hh</v>
      </c>
      <c r="L988" s="327">
        <f>IF(B988&lt;&gt;"",+VLOOKUP(I988,Recursos!C:F,4,FALSE),"")</f>
        <v>581.06120476836554</v>
      </c>
      <c r="M988" s="443"/>
      <c r="N988" s="438"/>
      <c r="O988" s="439">
        <f>+N990/M994*N997</f>
        <v>0.05</v>
      </c>
      <c r="P988" s="333">
        <f t="shared" si="425"/>
        <v>29.053060238418279</v>
      </c>
      <c r="Q988" s="327">
        <f t="shared" si="426"/>
        <v>0</v>
      </c>
      <c r="R988" s="334">
        <f t="shared" si="427"/>
        <v>0</v>
      </c>
      <c r="S988" s="335">
        <f t="shared" si="431"/>
        <v>3418.7246173700933</v>
      </c>
      <c r="T988" s="335">
        <f t="shared" si="432"/>
        <v>913.0511812499999</v>
      </c>
      <c r="U988" s="336">
        <f t="shared" si="433"/>
        <v>500</v>
      </c>
      <c r="V988" s="336">
        <f t="shared" si="434"/>
        <v>0</v>
      </c>
      <c r="W988" s="336">
        <f t="shared" si="435"/>
        <v>0</v>
      </c>
      <c r="X988" s="336">
        <f t="shared" si="436"/>
        <v>0</v>
      </c>
      <c r="Y988" s="320"/>
      <c r="Z988" s="321" t="str">
        <f t="shared" si="440"/>
        <v>X-DEHA</v>
      </c>
      <c r="AA988" s="321" t="str">
        <f t="shared" si="441"/>
        <v>X-DEHE</v>
      </c>
      <c r="AB988" s="321" t="str">
        <f t="shared" si="442"/>
        <v>X-DEHM</v>
      </c>
      <c r="AC988" s="321" t="str">
        <f t="shared" si="443"/>
        <v>X-DEHT</v>
      </c>
      <c r="AD988" s="321" t="str">
        <f t="shared" si="444"/>
        <v>X-DEHS</v>
      </c>
      <c r="AE988" s="321" t="str">
        <f t="shared" si="445"/>
        <v>X-DEHX</v>
      </c>
      <c r="AF988" s="321" t="str">
        <f t="shared" si="446"/>
        <v>X-DEHA</v>
      </c>
      <c r="AG988" s="321">
        <f t="shared" si="437"/>
        <v>12</v>
      </c>
      <c r="AH988" s="321">
        <f>IF(B988&lt;&gt;"",IF(H988="x",VLOOKUP(I988,'AUX-NIV3'!B:AG,32,FALSE),0),"")</f>
        <v>0</v>
      </c>
      <c r="AI988" s="321" t="str">
        <f t="shared" si="447"/>
        <v>X-DEH</v>
      </c>
      <c r="AJ988" s="320"/>
      <c r="AK988" s="322">
        <f t="shared" si="438"/>
        <v>988</v>
      </c>
      <c r="AL988" s="323">
        <f t="shared" si="448"/>
        <v>999</v>
      </c>
      <c r="AM988" s="322">
        <f t="shared" si="449"/>
        <v>1</v>
      </c>
      <c r="AN988" s="380">
        <f>IF(AND(AH988&gt;0,B988&lt;&gt;""),VLOOKUP(I988,'AUX-NIV3'!$B:$AO,39,FALSE)*O988,0)</f>
        <v>0</v>
      </c>
      <c r="AO988" s="380">
        <f t="shared" si="439"/>
        <v>6.875</v>
      </c>
      <c r="AP988" s="380"/>
    </row>
    <row r="989" spans="2:42" ht="14.4" hidden="1" thickTop="1" thickBot="1">
      <c r="B989" s="501" t="s">
        <v>2893</v>
      </c>
      <c r="C989" s="951" t="s">
        <v>2894</v>
      </c>
      <c r="D989" s="326" t="s">
        <v>1160</v>
      </c>
      <c r="E989" s="327">
        <f>IF(B989&lt;&gt;"",SUMIF('AUX-NIV1'!I:I,'AUX-NIV2'!B989,'AUX-NIV1'!Q:Q),"")</f>
        <v>0</v>
      </c>
      <c r="F989" s="327">
        <f t="shared" si="429"/>
        <v>4831.7757986200932</v>
      </c>
      <c r="G989" s="327">
        <f t="shared" si="430"/>
        <v>0</v>
      </c>
      <c r="H989" s="328" t="str">
        <f t="shared" si="452"/>
        <v>A</v>
      </c>
      <c r="I989" s="325" t="s">
        <v>1745</v>
      </c>
      <c r="J989" s="329" t="str">
        <f>IF(B989&lt;&gt;"",+VLOOKUP(I989,Recursos!C:F,2,FALSE),"")</f>
        <v>AYUDANTE</v>
      </c>
      <c r="K989" s="330" t="str">
        <f>IF(B989&lt;&gt;"",+VLOOKUP(I989,Recursos!C:F,3,FALSE),"")</f>
        <v>hh</v>
      </c>
      <c r="L989" s="327">
        <f>IF(B989&lt;&gt;"",+VLOOKUP(I989,Recursos!C:F,4,FALSE),"")</f>
        <v>422.48042769667234</v>
      </c>
      <c r="M989" s="443"/>
      <c r="N989" s="442"/>
      <c r="O989" s="439">
        <f>+N990/M994*N993</f>
        <v>0.25</v>
      </c>
      <c r="P989" s="333">
        <f t="shared" si="425"/>
        <v>105.62010692416808</v>
      </c>
      <c r="Q989" s="327">
        <f t="shared" si="426"/>
        <v>0</v>
      </c>
      <c r="R989" s="334">
        <f t="shared" si="427"/>
        <v>0</v>
      </c>
      <c r="S989" s="335">
        <f t="shared" si="431"/>
        <v>3418.7246173700933</v>
      </c>
      <c r="T989" s="335">
        <f t="shared" si="432"/>
        <v>913.0511812499999</v>
      </c>
      <c r="U989" s="336">
        <f t="shared" si="433"/>
        <v>500</v>
      </c>
      <c r="V989" s="336">
        <f t="shared" si="434"/>
        <v>0</v>
      </c>
      <c r="W989" s="336">
        <f t="shared" si="435"/>
        <v>0</v>
      </c>
      <c r="X989" s="336">
        <f t="shared" si="436"/>
        <v>0</v>
      </c>
      <c r="Y989" s="320"/>
      <c r="Z989" s="321" t="str">
        <f t="shared" si="440"/>
        <v>X-DEHA</v>
      </c>
      <c r="AA989" s="321" t="str">
        <f t="shared" si="441"/>
        <v>X-DEHE</v>
      </c>
      <c r="AB989" s="321" t="str">
        <f t="shared" si="442"/>
        <v>X-DEHM</v>
      </c>
      <c r="AC989" s="321" t="str">
        <f t="shared" si="443"/>
        <v>X-DEHT</v>
      </c>
      <c r="AD989" s="321" t="str">
        <f t="shared" si="444"/>
        <v>X-DEHS</v>
      </c>
      <c r="AE989" s="321" t="str">
        <f t="shared" si="445"/>
        <v>X-DEHX</v>
      </c>
      <c r="AF989" s="321" t="str">
        <f t="shared" si="446"/>
        <v>X-DEHA</v>
      </c>
      <c r="AG989" s="321">
        <f t="shared" si="437"/>
        <v>12</v>
      </c>
      <c r="AH989" s="321">
        <f>IF(B989&lt;&gt;"",IF(H989="x",VLOOKUP(I989,'AUX-NIV3'!B:AG,32,FALSE),0),"")</f>
        <v>0</v>
      </c>
      <c r="AI989" s="321" t="str">
        <f t="shared" si="447"/>
        <v>X-DEH</v>
      </c>
      <c r="AJ989" s="320"/>
      <c r="AK989" s="322">
        <f t="shared" si="438"/>
        <v>988</v>
      </c>
      <c r="AL989" s="323">
        <f t="shared" si="448"/>
        <v>999</v>
      </c>
      <c r="AM989" s="322">
        <f t="shared" si="449"/>
        <v>2</v>
      </c>
      <c r="AN989" s="380">
        <f>IF(AND(AH989&gt;0,B989&lt;&gt;""),VLOOKUP(I989,'AUX-NIV3'!$B:$AO,39,FALSE)*O989,0)</f>
        <v>0</v>
      </c>
      <c r="AO989" s="380">
        <f t="shared" si="439"/>
        <v>6.875</v>
      </c>
      <c r="AP989" s="380"/>
    </row>
    <row r="990" spans="2:42" ht="14.4" hidden="1" thickTop="1" thickBot="1">
      <c r="B990" s="501" t="s">
        <v>2893</v>
      </c>
      <c r="C990" s="951" t="s">
        <v>2894</v>
      </c>
      <c r="D990" s="326" t="s">
        <v>1160</v>
      </c>
      <c r="E990" s="327">
        <f>IF(B990&lt;&gt;"",SUMIF('AUX-NIV1'!I:I,'AUX-NIV2'!B990,'AUX-NIV1'!Q:Q),"")</f>
        <v>0</v>
      </c>
      <c r="F990" s="327">
        <f t="shared" si="429"/>
        <v>4831.7757986200932</v>
      </c>
      <c r="G990" s="327">
        <f t="shared" si="430"/>
        <v>0</v>
      </c>
      <c r="H990" s="328" t="str">
        <f t="shared" si="452"/>
        <v>A</v>
      </c>
      <c r="I990" s="325" t="s">
        <v>3310</v>
      </c>
      <c r="J990" s="329" t="str">
        <f>IF(B990&lt;&gt;"",+VLOOKUP(I990,Recursos!C:F,2,FALSE),"")</f>
        <v>OFICIAL ESPECIALIZADO</v>
      </c>
      <c r="K990" s="330" t="str">
        <f>IF(B990&lt;&gt;"",+VLOOKUP(I990,Recursos!C:F,3,FALSE),"")</f>
        <v>hh</v>
      </c>
      <c r="L990" s="327">
        <f>IF(B990&lt;&gt;"",+VLOOKUP(I990,Recursos!C:F,4,FALSE),"")</f>
        <v>581.06120476836554</v>
      </c>
      <c r="M990" s="443"/>
      <c r="N990" s="497">
        <v>2</v>
      </c>
      <c r="O990" s="439">
        <f>+N990/M994</f>
        <v>0.2</v>
      </c>
      <c r="P990" s="333">
        <f t="shared" si="425"/>
        <v>116.21224095367312</v>
      </c>
      <c r="Q990" s="327">
        <f t="shared" si="426"/>
        <v>0</v>
      </c>
      <c r="R990" s="334">
        <f t="shared" si="427"/>
        <v>0</v>
      </c>
      <c r="S990" s="335">
        <f t="shared" si="431"/>
        <v>3418.7246173700933</v>
      </c>
      <c r="T990" s="335">
        <f t="shared" si="432"/>
        <v>913.0511812499999</v>
      </c>
      <c r="U990" s="336">
        <f t="shared" si="433"/>
        <v>500</v>
      </c>
      <c r="V990" s="336">
        <f t="shared" si="434"/>
        <v>0</v>
      </c>
      <c r="W990" s="336">
        <f t="shared" si="435"/>
        <v>0</v>
      </c>
      <c r="X990" s="336">
        <f t="shared" si="436"/>
        <v>0</v>
      </c>
      <c r="Y990" s="320"/>
      <c r="Z990" s="321" t="str">
        <f t="shared" si="440"/>
        <v>X-DEHA</v>
      </c>
      <c r="AA990" s="321" t="str">
        <f t="shared" si="441"/>
        <v>X-DEHE</v>
      </c>
      <c r="AB990" s="321" t="str">
        <f t="shared" si="442"/>
        <v>X-DEHM</v>
      </c>
      <c r="AC990" s="321" t="str">
        <f t="shared" si="443"/>
        <v>X-DEHT</v>
      </c>
      <c r="AD990" s="321" t="str">
        <f t="shared" si="444"/>
        <v>X-DEHS</v>
      </c>
      <c r="AE990" s="321" t="str">
        <f t="shared" si="445"/>
        <v>X-DEHX</v>
      </c>
      <c r="AF990" s="321" t="str">
        <f t="shared" si="446"/>
        <v>X-DEHA</v>
      </c>
      <c r="AG990" s="321">
        <f t="shared" si="437"/>
        <v>12</v>
      </c>
      <c r="AH990" s="321">
        <f>IF(B990&lt;&gt;"",IF(H990="x",VLOOKUP(I990,'AUX-NIV3'!B:AG,32,FALSE),0),"")</f>
        <v>0</v>
      </c>
      <c r="AI990" s="321" t="str">
        <f t="shared" si="447"/>
        <v>X-DEH</v>
      </c>
      <c r="AJ990" s="320"/>
      <c r="AK990" s="322">
        <f t="shared" si="438"/>
        <v>988</v>
      </c>
      <c r="AL990" s="323">
        <f t="shared" si="448"/>
        <v>999</v>
      </c>
      <c r="AM990" s="322">
        <f t="shared" si="449"/>
        <v>3</v>
      </c>
      <c r="AN990" s="380">
        <f>IF(AND(AH990&gt;0,B990&lt;&gt;""),VLOOKUP(I990,'AUX-NIV3'!$B:$AO,39,FALSE)*O990,0)</f>
        <v>0</v>
      </c>
      <c r="AO990" s="380">
        <f t="shared" si="439"/>
        <v>6.875</v>
      </c>
      <c r="AP990" s="380"/>
    </row>
    <row r="991" spans="2:42" ht="14.4" hidden="1" thickTop="1" thickBot="1">
      <c r="B991" s="501" t="s">
        <v>2893</v>
      </c>
      <c r="C991" s="951" t="s">
        <v>2894</v>
      </c>
      <c r="D991" s="326" t="s">
        <v>1160</v>
      </c>
      <c r="E991" s="327">
        <f>IF(B991&lt;&gt;"",SUMIF('AUX-NIV1'!I:I,'AUX-NIV2'!B991,'AUX-NIV1'!Q:Q),"")</f>
        <v>0</v>
      </c>
      <c r="F991" s="327">
        <f t="shared" si="429"/>
        <v>4831.7757986200932</v>
      </c>
      <c r="G991" s="327">
        <f t="shared" si="430"/>
        <v>0</v>
      </c>
      <c r="H991" s="328" t="str">
        <f t="shared" si="452"/>
        <v>A</v>
      </c>
      <c r="I991" s="325" t="s">
        <v>1746</v>
      </c>
      <c r="J991" s="329" t="str">
        <f>IF(B991&lt;&gt;"",+VLOOKUP(I991,Recursos!C:F,2,FALSE),"")</f>
        <v>OFICIAL</v>
      </c>
      <c r="K991" s="330" t="str">
        <f>IF(B991&lt;&gt;"",+VLOOKUP(I991,Recursos!C:F,3,FALSE),"")</f>
        <v>hh</v>
      </c>
      <c r="L991" s="327">
        <f>IF(B991&lt;&gt;"",+VLOOKUP(I991,Recursos!C:F,4,FALSE),"")</f>
        <v>496.91595439275824</v>
      </c>
      <c r="M991" s="443"/>
      <c r="N991" s="442"/>
      <c r="O991" s="439">
        <f>+N993/M994</f>
        <v>0.125</v>
      </c>
      <c r="P991" s="333">
        <f t="shared" si="425"/>
        <v>62.11449429909478</v>
      </c>
      <c r="Q991" s="327">
        <f t="shared" si="426"/>
        <v>0</v>
      </c>
      <c r="R991" s="334">
        <f t="shared" si="427"/>
        <v>0</v>
      </c>
      <c r="S991" s="335">
        <f t="shared" si="431"/>
        <v>3418.7246173700933</v>
      </c>
      <c r="T991" s="335">
        <f t="shared" si="432"/>
        <v>913.0511812499999</v>
      </c>
      <c r="U991" s="336">
        <f t="shared" si="433"/>
        <v>500</v>
      </c>
      <c r="V991" s="336">
        <f t="shared" si="434"/>
        <v>0</v>
      </c>
      <c r="W991" s="336">
        <f t="shared" si="435"/>
        <v>0</v>
      </c>
      <c r="X991" s="336">
        <f t="shared" si="436"/>
        <v>0</v>
      </c>
      <c r="Y991" s="320"/>
      <c r="Z991" s="321" t="str">
        <f t="shared" si="440"/>
        <v>X-DEHA</v>
      </c>
      <c r="AA991" s="321" t="str">
        <f t="shared" si="441"/>
        <v>X-DEHE</v>
      </c>
      <c r="AB991" s="321" t="str">
        <f t="shared" si="442"/>
        <v>X-DEHM</v>
      </c>
      <c r="AC991" s="321" t="str">
        <f t="shared" si="443"/>
        <v>X-DEHT</v>
      </c>
      <c r="AD991" s="321" t="str">
        <f t="shared" si="444"/>
        <v>X-DEHS</v>
      </c>
      <c r="AE991" s="321" t="str">
        <f t="shared" si="445"/>
        <v>X-DEHX</v>
      </c>
      <c r="AF991" s="321" t="str">
        <f t="shared" si="446"/>
        <v>X-DEHA</v>
      </c>
      <c r="AG991" s="321">
        <f t="shared" si="437"/>
        <v>12</v>
      </c>
      <c r="AH991" s="321">
        <f>IF(B991&lt;&gt;"",IF(H991="x",VLOOKUP(I991,'AUX-NIV3'!B:AG,32,FALSE),0),"")</f>
        <v>0</v>
      </c>
      <c r="AI991" s="321" t="str">
        <f t="shared" si="447"/>
        <v>X-DEH</v>
      </c>
      <c r="AJ991" s="320"/>
      <c r="AK991" s="322">
        <f t="shared" si="438"/>
        <v>988</v>
      </c>
      <c r="AL991" s="323">
        <f t="shared" si="448"/>
        <v>999</v>
      </c>
      <c r="AM991" s="322">
        <f t="shared" si="449"/>
        <v>4</v>
      </c>
      <c r="AN991" s="380">
        <f>IF(AND(AH991&gt;0,B991&lt;&gt;""),VLOOKUP(I991,'AUX-NIV3'!$B:$AO,39,FALSE)*O991,0)</f>
        <v>0</v>
      </c>
      <c r="AO991" s="380">
        <f t="shared" si="439"/>
        <v>6.875</v>
      </c>
      <c r="AP991" s="380"/>
    </row>
    <row r="992" spans="2:42" ht="14.4" hidden="1" thickTop="1" thickBot="1">
      <c r="B992" s="501" t="s">
        <v>2893</v>
      </c>
      <c r="C992" s="951" t="s">
        <v>2894</v>
      </c>
      <c r="D992" s="326" t="s">
        <v>1160</v>
      </c>
      <c r="E992" s="327">
        <f>IF(B992&lt;&gt;"",SUMIF('AUX-NIV1'!I:I,'AUX-NIV2'!B992,'AUX-NIV1'!Q:Q),"")</f>
        <v>0</v>
      </c>
      <c r="F992" s="327">
        <f t="shared" si="429"/>
        <v>4831.7757986200932</v>
      </c>
      <c r="G992" s="327">
        <f t="shared" si="430"/>
        <v>0</v>
      </c>
      <c r="H992" s="328" t="str">
        <f t="shared" si="452"/>
        <v>A</v>
      </c>
      <c r="I992" s="325" t="s">
        <v>1746</v>
      </c>
      <c r="J992" s="329" t="str">
        <f>IF(B992&lt;&gt;"",+VLOOKUP(I992,Recursos!C:F,2,FALSE),"")</f>
        <v>OFICIAL</v>
      </c>
      <c r="K992" s="330" t="str">
        <f>IF(B992&lt;&gt;"",+VLOOKUP(I992,Recursos!C:F,3,FALSE),"")</f>
        <v>hh</v>
      </c>
      <c r="L992" s="327">
        <f>IF(B992&lt;&gt;"",+VLOOKUP(I992,Recursos!C:F,4,FALSE),"")</f>
        <v>496.91595439275824</v>
      </c>
      <c r="M992" s="443"/>
      <c r="N992" s="442"/>
      <c r="O992" s="439">
        <f>+N993/M996*M993</f>
        <v>3.125</v>
      </c>
      <c r="P992" s="333">
        <f t="shared" si="425"/>
        <v>1552.8623574773694</v>
      </c>
      <c r="Q992" s="327">
        <f t="shared" si="426"/>
        <v>0</v>
      </c>
      <c r="R992" s="334">
        <f t="shared" si="427"/>
        <v>0</v>
      </c>
      <c r="S992" s="335">
        <f t="shared" si="431"/>
        <v>3418.7246173700933</v>
      </c>
      <c r="T992" s="335">
        <f t="shared" si="432"/>
        <v>913.0511812499999</v>
      </c>
      <c r="U992" s="336">
        <f t="shared" si="433"/>
        <v>500</v>
      </c>
      <c r="V992" s="336">
        <f t="shared" si="434"/>
        <v>0</v>
      </c>
      <c r="W992" s="336">
        <f t="shared" si="435"/>
        <v>0</v>
      </c>
      <c r="X992" s="336">
        <f t="shared" si="436"/>
        <v>0</v>
      </c>
      <c r="Y992" s="320"/>
      <c r="Z992" s="321" t="str">
        <f t="shared" si="440"/>
        <v>X-DEHA</v>
      </c>
      <c r="AA992" s="321" t="str">
        <f t="shared" si="441"/>
        <v>X-DEHE</v>
      </c>
      <c r="AB992" s="321" t="str">
        <f t="shared" si="442"/>
        <v>X-DEHM</v>
      </c>
      <c r="AC992" s="321" t="str">
        <f t="shared" si="443"/>
        <v>X-DEHT</v>
      </c>
      <c r="AD992" s="321" t="str">
        <f t="shared" si="444"/>
        <v>X-DEHS</v>
      </c>
      <c r="AE992" s="321" t="str">
        <f t="shared" si="445"/>
        <v>X-DEHX</v>
      </c>
      <c r="AF992" s="321" t="str">
        <f t="shared" si="446"/>
        <v>X-DEHA</v>
      </c>
      <c r="AG992" s="321">
        <f t="shared" si="437"/>
        <v>12</v>
      </c>
      <c r="AH992" s="321">
        <f>IF(B992&lt;&gt;"",IF(H992="x",VLOOKUP(I992,'AUX-NIV3'!B:AG,32,FALSE),0),"")</f>
        <v>0</v>
      </c>
      <c r="AI992" s="321" t="str">
        <f t="shared" si="447"/>
        <v>X-DEH</v>
      </c>
      <c r="AJ992" s="320"/>
      <c r="AK992" s="322">
        <f t="shared" si="438"/>
        <v>988</v>
      </c>
      <c r="AL992" s="323">
        <f t="shared" si="448"/>
        <v>999</v>
      </c>
      <c r="AM992" s="322">
        <f t="shared" si="449"/>
        <v>5</v>
      </c>
      <c r="AN992" s="380">
        <f>IF(AND(AH992&gt;0,B992&lt;&gt;""),VLOOKUP(I992,'AUX-NIV3'!$B:$AO,39,FALSE)*O992,0)</f>
        <v>0</v>
      </c>
      <c r="AO992" s="380">
        <f t="shared" si="439"/>
        <v>6.875</v>
      </c>
      <c r="AP992" s="380"/>
    </row>
    <row r="993" spans="2:42" ht="14.4" hidden="1" thickTop="1" thickBot="1">
      <c r="B993" s="501" t="s">
        <v>2893</v>
      </c>
      <c r="C993" s="951" t="s">
        <v>2894</v>
      </c>
      <c r="D993" s="326" t="s">
        <v>1160</v>
      </c>
      <c r="E993" s="327">
        <f>IF(B993&lt;&gt;"",SUMIF('AUX-NIV1'!I:I,'AUX-NIV2'!B993,'AUX-NIV1'!Q:Q),"")</f>
        <v>0</v>
      </c>
      <c r="F993" s="327">
        <f t="shared" si="429"/>
        <v>4831.7757986200932</v>
      </c>
      <c r="G993" s="327">
        <f t="shared" si="430"/>
        <v>0</v>
      </c>
      <c r="H993" s="328" t="str">
        <f t="shared" si="452"/>
        <v>A</v>
      </c>
      <c r="I993" s="325" t="s">
        <v>1746</v>
      </c>
      <c r="J993" s="329" t="str">
        <f>IF(B993&lt;&gt;"",+VLOOKUP(I993,Recursos!C:F,2,FALSE),"")</f>
        <v>OFICIAL</v>
      </c>
      <c r="K993" s="330" t="str">
        <f>IF(B993&lt;&gt;"",+VLOOKUP(I993,Recursos!C:F,3,FALSE),"")</f>
        <v>hh</v>
      </c>
      <c r="L993" s="327">
        <f>IF(B993&lt;&gt;"",+VLOOKUP(I993,Recursos!C:F,4,FALSE),"")</f>
        <v>496.91595439275824</v>
      </c>
      <c r="M993" s="441">
        <v>2</v>
      </c>
      <c r="N993" s="497">
        <v>1.25</v>
      </c>
      <c r="O993" s="439">
        <f>+M993*N993/M996</f>
        <v>3.125</v>
      </c>
      <c r="P993" s="333">
        <f t="shared" si="425"/>
        <v>1552.8623574773694</v>
      </c>
      <c r="Q993" s="327">
        <f t="shared" si="426"/>
        <v>0</v>
      </c>
      <c r="R993" s="334">
        <f t="shared" si="427"/>
        <v>0</v>
      </c>
      <c r="S993" s="335">
        <f t="shared" si="431"/>
        <v>3418.7246173700933</v>
      </c>
      <c r="T993" s="335">
        <f t="shared" si="432"/>
        <v>913.0511812499999</v>
      </c>
      <c r="U993" s="336">
        <f t="shared" si="433"/>
        <v>500</v>
      </c>
      <c r="V993" s="336">
        <f t="shared" si="434"/>
        <v>0</v>
      </c>
      <c r="W993" s="336">
        <f t="shared" si="435"/>
        <v>0</v>
      </c>
      <c r="X993" s="336">
        <f t="shared" si="436"/>
        <v>0</v>
      </c>
      <c r="Y993" s="320"/>
      <c r="Z993" s="321" t="str">
        <f t="shared" si="440"/>
        <v>X-DEHA</v>
      </c>
      <c r="AA993" s="321" t="str">
        <f t="shared" si="441"/>
        <v>X-DEHE</v>
      </c>
      <c r="AB993" s="321" t="str">
        <f t="shared" si="442"/>
        <v>X-DEHM</v>
      </c>
      <c r="AC993" s="321" t="str">
        <f t="shared" si="443"/>
        <v>X-DEHT</v>
      </c>
      <c r="AD993" s="321" t="str">
        <f t="shared" si="444"/>
        <v>X-DEHS</v>
      </c>
      <c r="AE993" s="321" t="str">
        <f t="shared" si="445"/>
        <v>X-DEHX</v>
      </c>
      <c r="AF993" s="321" t="str">
        <f t="shared" si="446"/>
        <v>X-DEHA</v>
      </c>
      <c r="AG993" s="321">
        <f t="shared" si="437"/>
        <v>12</v>
      </c>
      <c r="AH993" s="321">
        <f>IF(B993&lt;&gt;"",IF(H993="x",VLOOKUP(I993,'AUX-NIV3'!B:AG,32,FALSE),0),"")</f>
        <v>0</v>
      </c>
      <c r="AI993" s="321" t="str">
        <f t="shared" si="447"/>
        <v>X-DEH</v>
      </c>
      <c r="AJ993" s="320"/>
      <c r="AK993" s="322">
        <f t="shared" si="438"/>
        <v>988</v>
      </c>
      <c r="AL993" s="323">
        <f t="shared" si="448"/>
        <v>999</v>
      </c>
      <c r="AM993" s="322">
        <f t="shared" si="449"/>
        <v>6</v>
      </c>
      <c r="AN993" s="380">
        <f>IF(AND(AH993&gt;0,B993&lt;&gt;""),VLOOKUP(I993,'AUX-NIV3'!$B:$AO,39,FALSE)*O993,0)</f>
        <v>0</v>
      </c>
      <c r="AO993" s="380">
        <f t="shared" si="439"/>
        <v>6.875</v>
      </c>
      <c r="AP993" s="380"/>
    </row>
    <row r="994" spans="2:42" ht="14.4" hidden="1" thickTop="1" thickBot="1">
      <c r="B994" s="501" t="s">
        <v>2893</v>
      </c>
      <c r="C994" s="951" t="s">
        <v>2894</v>
      </c>
      <c r="D994" s="326" t="s">
        <v>1160</v>
      </c>
      <c r="E994" s="327">
        <f>IF(B994&lt;&gt;"",SUMIF('AUX-NIV1'!I:I,'AUX-NIV2'!B994,'AUX-NIV1'!Q:Q),"")</f>
        <v>0</v>
      </c>
      <c r="F994" s="327">
        <f t="shared" si="429"/>
        <v>4831.7757986200932</v>
      </c>
      <c r="G994" s="327">
        <f t="shared" si="430"/>
        <v>0</v>
      </c>
      <c r="H994" s="328" t="str">
        <f t="shared" si="452"/>
        <v>E</v>
      </c>
      <c r="I994" s="325" t="s">
        <v>1552</v>
      </c>
      <c r="J994" s="329" t="str">
        <f>IF(B994&lt;&gt;"",+VLOOKUP(I994,Recursos!C:F,2,FALSE),"")</f>
        <v>RETROEXCAVADORA S/CARRILES  0,9 M2</v>
      </c>
      <c r="K994" s="330" t="str">
        <f>IF(B994&lt;&gt;"",+VLOOKUP(I994,Recursos!C:F,3,FALSE),"")</f>
        <v>HR</v>
      </c>
      <c r="L994" s="327">
        <f>IF(B994&lt;&gt;"",+VLOOKUP(I994,Recursos!C:F,4,FALSE),"")</f>
        <v>2743.02</v>
      </c>
      <c r="M994" s="441">
        <v>10</v>
      </c>
      <c r="N994" s="442"/>
      <c r="O994" s="439">
        <f>1/M994</f>
        <v>0.1</v>
      </c>
      <c r="P994" s="333">
        <f t="shared" si="425"/>
        <v>274.30200000000002</v>
      </c>
      <c r="Q994" s="327">
        <f t="shared" si="426"/>
        <v>0</v>
      </c>
      <c r="R994" s="334">
        <f t="shared" si="427"/>
        <v>0</v>
      </c>
      <c r="S994" s="335">
        <f t="shared" si="431"/>
        <v>3418.7246173700933</v>
      </c>
      <c r="T994" s="335">
        <f t="shared" si="432"/>
        <v>913.0511812499999</v>
      </c>
      <c r="U994" s="336">
        <f t="shared" si="433"/>
        <v>500</v>
      </c>
      <c r="V994" s="336">
        <f t="shared" si="434"/>
        <v>0</v>
      </c>
      <c r="W994" s="336">
        <f t="shared" si="435"/>
        <v>0</v>
      </c>
      <c r="X994" s="336">
        <f t="shared" si="436"/>
        <v>0</v>
      </c>
      <c r="Y994" s="320"/>
      <c r="Z994" s="321" t="str">
        <f t="shared" si="440"/>
        <v>X-DEHA</v>
      </c>
      <c r="AA994" s="321" t="str">
        <f t="shared" si="441"/>
        <v>X-DEHE</v>
      </c>
      <c r="AB994" s="321" t="str">
        <f t="shared" si="442"/>
        <v>X-DEHM</v>
      </c>
      <c r="AC994" s="321" t="str">
        <f t="shared" si="443"/>
        <v>X-DEHT</v>
      </c>
      <c r="AD994" s="321" t="str">
        <f t="shared" si="444"/>
        <v>X-DEHS</v>
      </c>
      <c r="AE994" s="321" t="str">
        <f t="shared" si="445"/>
        <v>X-DEHX</v>
      </c>
      <c r="AF994" s="321" t="str">
        <f t="shared" si="446"/>
        <v>X-DEHE</v>
      </c>
      <c r="AG994" s="321">
        <f t="shared" si="437"/>
        <v>12</v>
      </c>
      <c r="AH994" s="321">
        <f>IF(B994&lt;&gt;"",IF(H994="x",VLOOKUP(I994,'AUX-NIV3'!B:AG,32,FALSE),0),"")</f>
        <v>0</v>
      </c>
      <c r="AI994" s="321" t="str">
        <f t="shared" si="447"/>
        <v>X-DEH</v>
      </c>
      <c r="AJ994" s="320"/>
      <c r="AK994" s="322">
        <f t="shared" si="438"/>
        <v>988</v>
      </c>
      <c r="AL994" s="323">
        <f t="shared" si="448"/>
        <v>999</v>
      </c>
      <c r="AM994" s="322">
        <f t="shared" si="449"/>
        <v>7</v>
      </c>
      <c r="AN994" s="380">
        <f>IF(AND(AH994&gt;0,B994&lt;&gt;""),VLOOKUP(I994,'AUX-NIV3'!$B:$AO,39,FALSE)*O994,0)</f>
        <v>0</v>
      </c>
      <c r="AO994" s="380">
        <f t="shared" si="439"/>
        <v>6.875</v>
      </c>
      <c r="AP994" s="380"/>
    </row>
    <row r="995" spans="2:42" ht="14.4" hidden="1" thickTop="1" thickBot="1">
      <c r="B995" s="501" t="s">
        <v>2893</v>
      </c>
      <c r="C995" s="951" t="s">
        <v>2894</v>
      </c>
      <c r="D995" s="326" t="s">
        <v>1160</v>
      </c>
      <c r="E995" s="327">
        <f>IF(B995&lt;&gt;"",SUMIF('AUX-NIV1'!I:I,'AUX-NIV2'!B995,'AUX-NIV1'!Q:Q),"")</f>
        <v>0</v>
      </c>
      <c r="F995" s="327">
        <f t="shared" si="429"/>
        <v>4831.7757986200932</v>
      </c>
      <c r="G995" s="327">
        <f t="shared" si="430"/>
        <v>0</v>
      </c>
      <c r="H995" s="328" t="str">
        <f t="shared" si="452"/>
        <v>E</v>
      </c>
      <c r="I995" s="325" t="s">
        <v>1555</v>
      </c>
      <c r="J995" s="329" t="str">
        <f>IF(B995&lt;&gt;"",+VLOOKUP(I995,Recursos!C:F,2,FALSE),"")</f>
        <v>CAMION VOLCADOR 6x4 CAP. 24 T=15 m3</v>
      </c>
      <c r="K995" s="330" t="str">
        <f>IF(B995&lt;&gt;"",+VLOOKUP(I995,Recursos!C:F,3,FALSE),"")</f>
        <v>HR</v>
      </c>
      <c r="L995" s="327">
        <f>IF(B995&lt;&gt;"",+VLOOKUP(I995,Recursos!C:F,4,FALSE),"")</f>
        <v>3333.261</v>
      </c>
      <c r="M995" s="443"/>
      <c r="N995" s="442"/>
      <c r="O995" s="439">
        <f>1/M994</f>
        <v>0.1</v>
      </c>
      <c r="P995" s="333">
        <f t="shared" si="425"/>
        <v>333.3261</v>
      </c>
      <c r="Q995" s="327">
        <f t="shared" si="426"/>
        <v>0</v>
      </c>
      <c r="R995" s="334">
        <f t="shared" si="427"/>
        <v>0</v>
      </c>
      <c r="S995" s="335">
        <f t="shared" si="431"/>
        <v>3418.7246173700933</v>
      </c>
      <c r="T995" s="335">
        <f t="shared" si="432"/>
        <v>913.0511812499999</v>
      </c>
      <c r="U995" s="336">
        <f t="shared" si="433"/>
        <v>500</v>
      </c>
      <c r="V995" s="336">
        <f t="shared" si="434"/>
        <v>0</v>
      </c>
      <c r="W995" s="336">
        <f t="shared" si="435"/>
        <v>0</v>
      </c>
      <c r="X995" s="336">
        <f t="shared" si="436"/>
        <v>0</v>
      </c>
      <c r="Y995" s="320"/>
      <c r="Z995" s="321" t="str">
        <f t="shared" si="440"/>
        <v>X-DEHA</v>
      </c>
      <c r="AA995" s="321" t="str">
        <f t="shared" si="441"/>
        <v>X-DEHE</v>
      </c>
      <c r="AB995" s="321" t="str">
        <f t="shared" si="442"/>
        <v>X-DEHM</v>
      </c>
      <c r="AC995" s="321" t="str">
        <f t="shared" si="443"/>
        <v>X-DEHT</v>
      </c>
      <c r="AD995" s="321" t="str">
        <f t="shared" si="444"/>
        <v>X-DEHS</v>
      </c>
      <c r="AE995" s="321" t="str">
        <f t="shared" si="445"/>
        <v>X-DEHX</v>
      </c>
      <c r="AF995" s="321" t="str">
        <f t="shared" si="446"/>
        <v>X-DEHE</v>
      </c>
      <c r="AG995" s="321">
        <f t="shared" si="437"/>
        <v>12</v>
      </c>
      <c r="AH995" s="321">
        <f>IF(B995&lt;&gt;"",IF(H995="x",VLOOKUP(I995,'AUX-NIV3'!B:AG,32,FALSE),0),"")</f>
        <v>0</v>
      </c>
      <c r="AI995" s="321" t="str">
        <f t="shared" si="447"/>
        <v>X-DEH</v>
      </c>
      <c r="AJ995" s="320"/>
      <c r="AK995" s="322">
        <f t="shared" si="438"/>
        <v>988</v>
      </c>
      <c r="AL995" s="323">
        <f t="shared" si="448"/>
        <v>999</v>
      </c>
      <c r="AM995" s="322">
        <f t="shared" si="449"/>
        <v>8</v>
      </c>
      <c r="AN995" s="380">
        <f>IF(AND(AH995&gt;0,B995&lt;&gt;""),VLOOKUP(I995,'AUX-NIV3'!$B:$AO,39,FALSE)*O995,0)</f>
        <v>0</v>
      </c>
      <c r="AO995" s="380">
        <f t="shared" si="439"/>
        <v>6.875</v>
      </c>
      <c r="AP995" s="380"/>
    </row>
    <row r="996" spans="2:42" ht="14.4" hidden="1" thickTop="1" thickBot="1">
      <c r="B996" s="501" t="s">
        <v>2893</v>
      </c>
      <c r="C996" s="951" t="s">
        <v>2894</v>
      </c>
      <c r="D996" s="326" t="s">
        <v>1160</v>
      </c>
      <c r="E996" s="327">
        <f>IF(B996&lt;&gt;"",SUMIF('AUX-NIV1'!I:I,'AUX-NIV2'!B996,'AUX-NIV1'!Q:Q),"")</f>
        <v>0</v>
      </c>
      <c r="F996" s="327">
        <f t="shared" si="429"/>
        <v>4831.7757986200932</v>
      </c>
      <c r="G996" s="327">
        <f t="shared" si="430"/>
        <v>0</v>
      </c>
      <c r="H996" s="328" t="str">
        <f t="shared" si="452"/>
        <v>E</v>
      </c>
      <c r="I996" s="325" t="s">
        <v>1690</v>
      </c>
      <c r="J996" s="329" t="str">
        <f>IF(B996&lt;&gt;"",+VLOOKUP(I996,Recursos!C:F,2,FALSE),"")</f>
        <v>MARTILLO NEUMATICO DEMOLEDOR 22 Kg</v>
      </c>
      <c r="K996" s="330" t="str">
        <f>IF(B996&lt;&gt;"",+VLOOKUP(I996,Recursos!C:F,3,FALSE),"")</f>
        <v>HR</v>
      </c>
      <c r="L996" s="327">
        <f>IF(B996&lt;&gt;"",+VLOOKUP(I996,Recursos!C:F,4,FALSE),"")</f>
        <v>17.266859999999998</v>
      </c>
      <c r="M996" s="441">
        <v>0.8</v>
      </c>
      <c r="N996" s="497">
        <v>2</v>
      </c>
      <c r="O996" s="439">
        <f>+N996/M996*N997</f>
        <v>0.625</v>
      </c>
      <c r="P996" s="333">
        <f t="shared" si="425"/>
        <v>10.791787499999998</v>
      </c>
      <c r="Q996" s="327">
        <f t="shared" si="426"/>
        <v>0</v>
      </c>
      <c r="R996" s="334">
        <f t="shared" si="427"/>
        <v>0</v>
      </c>
      <c r="S996" s="335">
        <f t="shared" si="431"/>
        <v>3418.7246173700933</v>
      </c>
      <c r="T996" s="335">
        <f t="shared" si="432"/>
        <v>913.0511812499999</v>
      </c>
      <c r="U996" s="336">
        <f t="shared" si="433"/>
        <v>500</v>
      </c>
      <c r="V996" s="336">
        <f t="shared" si="434"/>
        <v>0</v>
      </c>
      <c r="W996" s="336">
        <f t="shared" si="435"/>
        <v>0</v>
      </c>
      <c r="X996" s="336">
        <f t="shared" si="436"/>
        <v>0</v>
      </c>
      <c r="Y996" s="320"/>
      <c r="Z996" s="321" t="str">
        <f t="shared" si="440"/>
        <v>X-DEHA</v>
      </c>
      <c r="AA996" s="321" t="str">
        <f t="shared" si="441"/>
        <v>X-DEHE</v>
      </c>
      <c r="AB996" s="321" t="str">
        <f t="shared" si="442"/>
        <v>X-DEHM</v>
      </c>
      <c r="AC996" s="321" t="str">
        <f t="shared" si="443"/>
        <v>X-DEHT</v>
      </c>
      <c r="AD996" s="321" t="str">
        <f t="shared" si="444"/>
        <v>X-DEHS</v>
      </c>
      <c r="AE996" s="321" t="str">
        <f t="shared" si="445"/>
        <v>X-DEHX</v>
      </c>
      <c r="AF996" s="321" t="str">
        <f t="shared" si="446"/>
        <v>X-DEHE</v>
      </c>
      <c r="AG996" s="321">
        <f t="shared" si="437"/>
        <v>12</v>
      </c>
      <c r="AH996" s="321">
        <f>IF(B996&lt;&gt;"",IF(H996="x",VLOOKUP(I996,'AUX-NIV3'!B:AG,32,FALSE),0),"")</f>
        <v>0</v>
      </c>
      <c r="AI996" s="321" t="str">
        <f t="shared" si="447"/>
        <v>X-DEH</v>
      </c>
      <c r="AJ996" s="320"/>
      <c r="AK996" s="322">
        <f t="shared" si="438"/>
        <v>988</v>
      </c>
      <c r="AL996" s="323">
        <f t="shared" si="448"/>
        <v>999</v>
      </c>
      <c r="AM996" s="322">
        <f t="shared" si="449"/>
        <v>9</v>
      </c>
      <c r="AN996" s="380">
        <f>IF(AND(AH996&gt;0,B996&lt;&gt;""),VLOOKUP(I996,'AUX-NIV3'!$B:$AO,39,FALSE)*O996,0)</f>
        <v>0</v>
      </c>
      <c r="AO996" s="380">
        <f t="shared" si="439"/>
        <v>6.875</v>
      </c>
      <c r="AP996" s="380"/>
    </row>
    <row r="997" spans="2:42" ht="14.4" hidden="1" thickTop="1" thickBot="1">
      <c r="B997" s="501" t="s">
        <v>2893</v>
      </c>
      <c r="C997" s="951" t="s">
        <v>2894</v>
      </c>
      <c r="D997" s="326" t="s">
        <v>1160</v>
      </c>
      <c r="E997" s="327">
        <f>IF(B997&lt;&gt;"",SUMIF('AUX-NIV1'!I:I,'AUX-NIV2'!B997,'AUX-NIV1'!Q:Q),"")</f>
        <v>0</v>
      </c>
      <c r="F997" s="327">
        <f t="shared" si="429"/>
        <v>4831.7757986200932</v>
      </c>
      <c r="G997" s="327">
        <f t="shared" si="430"/>
        <v>0</v>
      </c>
      <c r="H997" s="328" t="str">
        <f t="shared" si="452"/>
        <v>E</v>
      </c>
      <c r="I997" s="325" t="s">
        <v>1692</v>
      </c>
      <c r="J997" s="329" t="str">
        <f>IF(B997&lt;&gt;"",+VLOOKUP(I997,Recursos!C:F,2,FALSE),"")</f>
        <v>MOTOCOMPRESOR 7 m3/min-250 cfm</v>
      </c>
      <c r="K997" s="330" t="str">
        <f>IF(B997&lt;&gt;"",+VLOOKUP(I997,Recursos!C:F,3,FALSE),"")</f>
        <v>HR</v>
      </c>
      <c r="L997" s="327">
        <f>IF(B997&lt;&gt;"",+VLOOKUP(I997,Recursos!C:F,4,FALSE),"")</f>
        <v>942.82014000000004</v>
      </c>
      <c r="M997" s="443"/>
      <c r="N997" s="497">
        <v>0.25</v>
      </c>
      <c r="O997" s="439">
        <f>+N997/M996</f>
        <v>0.3125</v>
      </c>
      <c r="P997" s="333">
        <f t="shared" si="425"/>
        <v>294.63129375</v>
      </c>
      <c r="Q997" s="327">
        <f t="shared" si="426"/>
        <v>0</v>
      </c>
      <c r="R997" s="334">
        <f t="shared" si="427"/>
        <v>0</v>
      </c>
      <c r="S997" s="335">
        <f t="shared" si="431"/>
        <v>3418.7246173700933</v>
      </c>
      <c r="T997" s="335">
        <f t="shared" si="432"/>
        <v>913.0511812499999</v>
      </c>
      <c r="U997" s="336">
        <f t="shared" si="433"/>
        <v>500</v>
      </c>
      <c r="V997" s="336">
        <f t="shared" si="434"/>
        <v>0</v>
      </c>
      <c r="W997" s="336">
        <f t="shared" si="435"/>
        <v>0</v>
      </c>
      <c r="X997" s="336">
        <f t="shared" si="436"/>
        <v>0</v>
      </c>
      <c r="Y997" s="320"/>
      <c r="Z997" s="321" t="str">
        <f t="shared" si="440"/>
        <v>X-DEHA</v>
      </c>
      <c r="AA997" s="321" t="str">
        <f t="shared" si="441"/>
        <v>X-DEHE</v>
      </c>
      <c r="AB997" s="321" t="str">
        <f t="shared" si="442"/>
        <v>X-DEHM</v>
      </c>
      <c r="AC997" s="321" t="str">
        <f t="shared" si="443"/>
        <v>X-DEHT</v>
      </c>
      <c r="AD997" s="321" t="str">
        <f t="shared" si="444"/>
        <v>X-DEHS</v>
      </c>
      <c r="AE997" s="321" t="str">
        <f t="shared" si="445"/>
        <v>X-DEHX</v>
      </c>
      <c r="AF997" s="321" t="str">
        <f t="shared" si="446"/>
        <v>X-DEHE</v>
      </c>
      <c r="AG997" s="321">
        <f t="shared" si="437"/>
        <v>12</v>
      </c>
      <c r="AH997" s="321">
        <f>IF(B997&lt;&gt;"",IF(H997="x",VLOOKUP(I997,'AUX-NIV3'!B:AG,32,FALSE),0),"")</f>
        <v>0</v>
      </c>
      <c r="AI997" s="321" t="str">
        <f t="shared" si="447"/>
        <v>X-DEH</v>
      </c>
      <c r="AJ997" s="320"/>
      <c r="AK997" s="322">
        <f t="shared" si="438"/>
        <v>988</v>
      </c>
      <c r="AL997" s="323">
        <f t="shared" si="448"/>
        <v>999</v>
      </c>
      <c r="AM997" s="322">
        <f t="shared" si="449"/>
        <v>10</v>
      </c>
      <c r="AN997" s="380">
        <f>IF(AND(AH997&gt;0,B997&lt;&gt;""),VLOOKUP(I997,'AUX-NIV3'!$B:$AO,39,FALSE)*O997,0)</f>
        <v>0</v>
      </c>
      <c r="AO997" s="380">
        <f t="shared" si="439"/>
        <v>6.875</v>
      </c>
      <c r="AP997" s="380"/>
    </row>
    <row r="998" spans="2:42" ht="14.4" hidden="1" thickTop="1" thickBot="1">
      <c r="B998" s="501" t="s">
        <v>2893</v>
      </c>
      <c r="C998" s="951" t="s">
        <v>2894</v>
      </c>
      <c r="D998" s="326" t="s">
        <v>1160</v>
      </c>
      <c r="E998" s="327">
        <f>IF(B998&lt;&gt;"",SUMIF('AUX-NIV1'!I:I,'AUX-NIV2'!B998,'AUX-NIV1'!Q:Q),"")</f>
        <v>0</v>
      </c>
      <c r="F998" s="327">
        <f t="shared" si="429"/>
        <v>4831.7757986200932</v>
      </c>
      <c r="G998" s="327">
        <f t="shared" si="430"/>
        <v>0</v>
      </c>
      <c r="H998" s="328" t="str">
        <f t="shared" si="452"/>
        <v>M</v>
      </c>
      <c r="I998" s="325" t="s">
        <v>2142</v>
      </c>
      <c r="J998" s="329" t="str">
        <f>IF(B998&lt;&gt;"",+VLOOKUP(I998,Recursos!C:F,2,FALSE),"")</f>
        <v>HERRAMIENTAS MENORES</v>
      </c>
      <c r="K998" s="330" t="str">
        <f>IF(B998&lt;&gt;"",+VLOOKUP(I998,Recursos!C:F,3,FALSE),"")</f>
        <v>un</v>
      </c>
      <c r="L998" s="327">
        <f>IF(B998&lt;&gt;"",+VLOOKUP(I998,Recursos!C:F,4,FALSE),"")</f>
        <v>1</v>
      </c>
      <c r="M998" s="441">
        <f>4000*10%</f>
        <v>400</v>
      </c>
      <c r="N998" s="497"/>
      <c r="O998" s="439">
        <f>+M998</f>
        <v>400</v>
      </c>
      <c r="P998" s="333">
        <f t="shared" si="425"/>
        <v>400</v>
      </c>
      <c r="Q998" s="327">
        <f t="shared" si="426"/>
        <v>0</v>
      </c>
      <c r="R998" s="334">
        <f t="shared" si="427"/>
        <v>0</v>
      </c>
      <c r="S998" s="335">
        <f t="shared" si="431"/>
        <v>3418.7246173700933</v>
      </c>
      <c r="T998" s="335">
        <f t="shared" si="432"/>
        <v>913.0511812499999</v>
      </c>
      <c r="U998" s="336">
        <f t="shared" si="433"/>
        <v>500</v>
      </c>
      <c r="V998" s="336">
        <f t="shared" si="434"/>
        <v>0</v>
      </c>
      <c r="W998" s="336">
        <f t="shared" si="435"/>
        <v>0</v>
      </c>
      <c r="X998" s="336">
        <f t="shared" si="436"/>
        <v>0</v>
      </c>
      <c r="Y998" s="320"/>
      <c r="Z998" s="321" t="str">
        <f t="shared" si="440"/>
        <v>X-DEHA</v>
      </c>
      <c r="AA998" s="321" t="str">
        <f t="shared" si="441"/>
        <v>X-DEHE</v>
      </c>
      <c r="AB998" s="321" t="str">
        <f t="shared" si="442"/>
        <v>X-DEHM</v>
      </c>
      <c r="AC998" s="321" t="str">
        <f t="shared" si="443"/>
        <v>X-DEHT</v>
      </c>
      <c r="AD998" s="321" t="str">
        <f t="shared" si="444"/>
        <v>X-DEHS</v>
      </c>
      <c r="AE998" s="321" t="str">
        <f t="shared" si="445"/>
        <v>X-DEHX</v>
      </c>
      <c r="AF998" s="321" t="str">
        <f t="shared" si="446"/>
        <v>X-DEHM</v>
      </c>
      <c r="AG998" s="321">
        <f t="shared" si="437"/>
        <v>12</v>
      </c>
      <c r="AH998" s="321">
        <f>IF(B998&lt;&gt;"",IF(H998="x",VLOOKUP(I998,'AUX-NIV3'!B:AG,32,FALSE),0),"")</f>
        <v>0</v>
      </c>
      <c r="AI998" s="321" t="str">
        <f t="shared" si="447"/>
        <v>X-DEH</v>
      </c>
      <c r="AJ998" s="320"/>
      <c r="AK998" s="322">
        <f t="shared" si="438"/>
        <v>988</v>
      </c>
      <c r="AL998" s="323">
        <f t="shared" si="448"/>
        <v>999</v>
      </c>
      <c r="AM998" s="322">
        <f t="shared" si="449"/>
        <v>11</v>
      </c>
      <c r="AN998" s="380">
        <f>IF(AND(AH998&gt;0,B998&lt;&gt;""),VLOOKUP(I998,'AUX-NIV3'!$B:$AO,39,FALSE)*O998,0)</f>
        <v>0</v>
      </c>
      <c r="AO998" s="380">
        <f t="shared" si="439"/>
        <v>6.875</v>
      </c>
      <c r="AP998" s="380"/>
    </row>
    <row r="999" spans="2:42" ht="14.4" hidden="1" thickTop="1" thickBot="1">
      <c r="B999" s="501" t="s">
        <v>2893</v>
      </c>
      <c r="C999" s="951" t="s">
        <v>2894</v>
      </c>
      <c r="D999" s="326" t="s">
        <v>1160</v>
      </c>
      <c r="E999" s="327">
        <f>IF(B999&lt;&gt;"",SUMIF('AUX-NIV1'!I:I,'AUX-NIV2'!B999,'AUX-NIV1'!Q:Q),"")</f>
        <v>0</v>
      </c>
      <c r="F999" s="327">
        <f t="shared" si="429"/>
        <v>4831.7757986200932</v>
      </c>
      <c r="G999" s="327">
        <f t="shared" si="430"/>
        <v>0</v>
      </c>
      <c r="H999" s="328" t="str">
        <f t="shared" si="452"/>
        <v>M</v>
      </c>
      <c r="I999" s="325" t="s">
        <v>621</v>
      </c>
      <c r="J999" s="329" t="str">
        <f>IF(B999&lt;&gt;"",+VLOOKUP(I999,Recursos!C:F,2,FALSE),"")</f>
        <v>MATERIALES VARIOS</v>
      </c>
      <c r="K999" s="330" t="str">
        <f>IF(B999&lt;&gt;"",+VLOOKUP(I999,Recursos!C:F,3,FALSE),"")</f>
        <v>GL</v>
      </c>
      <c r="L999" s="327">
        <f>IF(B999&lt;&gt;"",+VLOOKUP(I999,Recursos!C:F,4,FALSE),"")</f>
        <v>0.5</v>
      </c>
      <c r="M999" s="535">
        <f>4000*5%</f>
        <v>200</v>
      </c>
      <c r="N999" s="536"/>
      <c r="O999" s="439">
        <f>+M999</f>
        <v>200</v>
      </c>
      <c r="P999" s="333">
        <f t="shared" si="425"/>
        <v>100</v>
      </c>
      <c r="Q999" s="327">
        <f t="shared" si="426"/>
        <v>0</v>
      </c>
      <c r="R999" s="334">
        <f t="shared" si="427"/>
        <v>0</v>
      </c>
      <c r="S999" s="335">
        <f t="shared" si="431"/>
        <v>3418.7246173700933</v>
      </c>
      <c r="T999" s="335">
        <f t="shared" si="432"/>
        <v>913.0511812499999</v>
      </c>
      <c r="U999" s="336">
        <f t="shared" si="433"/>
        <v>500</v>
      </c>
      <c r="V999" s="336">
        <f t="shared" si="434"/>
        <v>0</v>
      </c>
      <c r="W999" s="336">
        <f t="shared" si="435"/>
        <v>0</v>
      </c>
      <c r="X999" s="336">
        <f t="shared" si="436"/>
        <v>0</v>
      </c>
      <c r="Y999" s="320"/>
      <c r="Z999" s="321" t="str">
        <f t="shared" si="440"/>
        <v>X-DEHA</v>
      </c>
      <c r="AA999" s="321" t="str">
        <f t="shared" si="441"/>
        <v>X-DEHE</v>
      </c>
      <c r="AB999" s="321" t="str">
        <f t="shared" si="442"/>
        <v>X-DEHM</v>
      </c>
      <c r="AC999" s="321" t="str">
        <f t="shared" si="443"/>
        <v>X-DEHT</v>
      </c>
      <c r="AD999" s="321" t="str">
        <f t="shared" si="444"/>
        <v>X-DEHS</v>
      </c>
      <c r="AE999" s="321" t="str">
        <f t="shared" si="445"/>
        <v>X-DEHX</v>
      </c>
      <c r="AF999" s="321" t="str">
        <f t="shared" si="446"/>
        <v>X-DEHM</v>
      </c>
      <c r="AG999" s="321">
        <f t="shared" si="437"/>
        <v>12</v>
      </c>
      <c r="AH999" s="321">
        <f>IF(B999&lt;&gt;"",IF(H999="x",VLOOKUP(I999,'AUX-NIV3'!B:AG,32,FALSE),0),"")</f>
        <v>0</v>
      </c>
      <c r="AI999" s="321" t="str">
        <f t="shared" si="447"/>
        <v>X-DEH</v>
      </c>
      <c r="AJ999" s="320"/>
      <c r="AK999" s="322">
        <f t="shared" si="438"/>
        <v>988</v>
      </c>
      <c r="AL999" s="323">
        <f t="shared" si="448"/>
        <v>999</v>
      </c>
      <c r="AM999" s="322">
        <f t="shared" si="449"/>
        <v>12</v>
      </c>
      <c r="AN999" s="380">
        <f>IF(AND(AH999&gt;0,B999&lt;&gt;""),VLOOKUP(I999,'AUX-NIV3'!$B:$AO,39,FALSE)*O999,0)</f>
        <v>0</v>
      </c>
      <c r="AO999" s="380">
        <f t="shared" si="439"/>
        <v>6.875</v>
      </c>
      <c r="AP999" s="380"/>
    </row>
    <row r="1000" spans="2:42" ht="14.4" hidden="1" thickTop="1" thickBot="1">
      <c r="B1000" s="324" t="s">
        <v>2895</v>
      </c>
      <c r="C1000" s="325" t="s">
        <v>2896</v>
      </c>
      <c r="D1000" s="326" t="s">
        <v>501</v>
      </c>
      <c r="E1000" s="327">
        <f>IF(B1000&lt;&gt;"",SUMIF('AUX-NIV1'!I:I,'AUX-NIV2'!B1000,'AUX-NIV1'!Q:Q),"")</f>
        <v>0</v>
      </c>
      <c r="F1000" s="327">
        <f t="shared" si="429"/>
        <v>1729.8931583605372</v>
      </c>
      <c r="G1000" s="327">
        <f t="shared" si="430"/>
        <v>0</v>
      </c>
      <c r="H1000" s="328" t="str">
        <f t="shared" si="452"/>
        <v>A</v>
      </c>
      <c r="I1000" s="325" t="s">
        <v>1745</v>
      </c>
      <c r="J1000" s="329" t="str">
        <f>IF(B1000&lt;&gt;"",+VLOOKUP(I1000,Recursos!C:F,2,FALSE),"")</f>
        <v>AYUDANTE</v>
      </c>
      <c r="K1000" s="330" t="str">
        <f>IF(B1000&lt;&gt;"",+VLOOKUP(I1000,Recursos!C:F,3,FALSE),"")</f>
        <v>hh</v>
      </c>
      <c r="L1000" s="446">
        <f>IF(B1000&lt;&gt;"",+VLOOKUP(I1000,Recursos!C:F,4,FALSE),"")</f>
        <v>422.48042769667234</v>
      </c>
      <c r="M1000" s="447">
        <v>1</v>
      </c>
      <c r="N1000" s="515"/>
      <c r="O1000" s="449">
        <f t="shared" ref="O1000:O1009" si="453">+M1000</f>
        <v>1</v>
      </c>
      <c r="P1000" s="333">
        <f t="shared" si="425"/>
        <v>422.48042769667234</v>
      </c>
      <c r="Q1000" s="327">
        <f t="shared" si="426"/>
        <v>0</v>
      </c>
      <c r="R1000" s="334">
        <f t="shared" si="427"/>
        <v>0</v>
      </c>
      <c r="S1000" s="335">
        <f t="shared" si="431"/>
        <v>1477.0868198753572</v>
      </c>
      <c r="T1000" s="335">
        <f t="shared" si="432"/>
        <v>181.01633848517997</v>
      </c>
      <c r="U1000" s="336">
        <f t="shared" si="433"/>
        <v>71.789999999999992</v>
      </c>
      <c r="V1000" s="336">
        <f t="shared" si="434"/>
        <v>0</v>
      </c>
      <c r="W1000" s="336">
        <f t="shared" si="435"/>
        <v>0</v>
      </c>
      <c r="X1000" s="336">
        <f t="shared" si="436"/>
        <v>0</v>
      </c>
      <c r="Y1000" s="320"/>
      <c r="Z1000" s="321" t="str">
        <f t="shared" si="440"/>
        <v>X-ENC3A</v>
      </c>
      <c r="AA1000" s="321" t="str">
        <f t="shared" si="441"/>
        <v>X-ENC3E</v>
      </c>
      <c r="AB1000" s="321" t="str">
        <f t="shared" si="442"/>
        <v>X-ENC3M</v>
      </c>
      <c r="AC1000" s="321" t="str">
        <f t="shared" si="443"/>
        <v>X-ENC3T</v>
      </c>
      <c r="AD1000" s="321" t="str">
        <f t="shared" si="444"/>
        <v>X-ENC3S</v>
      </c>
      <c r="AE1000" s="321" t="str">
        <f t="shared" si="445"/>
        <v>X-ENC3X</v>
      </c>
      <c r="AF1000" s="321" t="str">
        <f t="shared" si="446"/>
        <v>X-ENC3A</v>
      </c>
      <c r="AG1000" s="321">
        <f t="shared" si="437"/>
        <v>10</v>
      </c>
      <c r="AH1000" s="321">
        <f>IF(B1000&lt;&gt;"",IF(H1000="x",VLOOKUP(I1000,'AUX-NIV3'!B:AG,32,FALSE),0),"")</f>
        <v>0</v>
      </c>
      <c r="AI1000" s="321" t="str">
        <f t="shared" si="447"/>
        <v>X-ENC3</v>
      </c>
      <c r="AJ1000" s="320"/>
      <c r="AK1000" s="322">
        <f t="shared" si="438"/>
        <v>1000</v>
      </c>
      <c r="AL1000" s="323">
        <f t="shared" si="448"/>
        <v>1009</v>
      </c>
      <c r="AM1000" s="322">
        <f t="shared" si="449"/>
        <v>1</v>
      </c>
      <c r="AN1000" s="380">
        <f>IF(AND(AH1000&gt;0,B1000&lt;&gt;""),VLOOKUP(I1000,'AUX-NIV3'!$B:$AO,39,FALSE)*O1000,0)</f>
        <v>0</v>
      </c>
      <c r="AO1000" s="380">
        <f t="shared" si="439"/>
        <v>3.0466669999999998</v>
      </c>
      <c r="AP1000" s="380"/>
    </row>
    <row r="1001" spans="2:42" ht="14.4" hidden="1" thickTop="1" thickBot="1">
      <c r="B1001" s="324" t="s">
        <v>2895</v>
      </c>
      <c r="C1001" s="325" t="s">
        <v>2896</v>
      </c>
      <c r="D1001" s="326" t="s">
        <v>501</v>
      </c>
      <c r="E1001" s="327">
        <f>IF(B1001&lt;&gt;"",SUMIF('AUX-NIV1'!I:I,'AUX-NIV2'!B1001,'AUX-NIV1'!Q:Q),"")</f>
        <v>0</v>
      </c>
      <c r="F1001" s="327">
        <f t="shared" si="429"/>
        <v>1729.8931583605372</v>
      </c>
      <c r="G1001" s="327">
        <f t="shared" si="430"/>
        <v>0</v>
      </c>
      <c r="H1001" s="328" t="str">
        <f t="shared" si="452"/>
        <v>A</v>
      </c>
      <c r="I1001" s="325" t="s">
        <v>1746</v>
      </c>
      <c r="J1001" s="329" t="str">
        <f>IF(B1001&lt;&gt;"",+VLOOKUP(I1001,Recursos!C:F,2,FALSE),"")</f>
        <v>OFICIAL</v>
      </c>
      <c r="K1001" s="330" t="str">
        <f>IF(B1001&lt;&gt;"",+VLOOKUP(I1001,Recursos!C:F,3,FALSE),"")</f>
        <v>hh</v>
      </c>
      <c r="L1001" s="446">
        <f>IF(B1001&lt;&gt;"",+VLOOKUP(I1001,Recursos!C:F,4,FALSE),"")</f>
        <v>496.91595439275824</v>
      </c>
      <c r="M1001" s="452">
        <v>1</v>
      </c>
      <c r="N1001" s="455"/>
      <c r="O1001" s="449">
        <f t="shared" si="453"/>
        <v>1</v>
      </c>
      <c r="P1001" s="333">
        <f t="shared" si="425"/>
        <v>496.91595439275824</v>
      </c>
      <c r="Q1001" s="327">
        <f t="shared" si="426"/>
        <v>0</v>
      </c>
      <c r="R1001" s="334">
        <f t="shared" si="427"/>
        <v>0</v>
      </c>
      <c r="S1001" s="335">
        <f t="shared" si="431"/>
        <v>1477.0868198753572</v>
      </c>
      <c r="T1001" s="335">
        <f t="shared" si="432"/>
        <v>181.01633848517997</v>
      </c>
      <c r="U1001" s="336">
        <f t="shared" si="433"/>
        <v>71.789999999999992</v>
      </c>
      <c r="V1001" s="336">
        <f t="shared" si="434"/>
        <v>0</v>
      </c>
      <c r="W1001" s="336">
        <f t="shared" si="435"/>
        <v>0</v>
      </c>
      <c r="X1001" s="336">
        <f t="shared" si="436"/>
        <v>0</v>
      </c>
      <c r="Y1001" s="320"/>
      <c r="Z1001" s="321" t="str">
        <f t="shared" si="440"/>
        <v>X-ENC3A</v>
      </c>
      <c r="AA1001" s="321" t="str">
        <f t="shared" si="441"/>
        <v>X-ENC3E</v>
      </c>
      <c r="AB1001" s="321" t="str">
        <f t="shared" si="442"/>
        <v>X-ENC3M</v>
      </c>
      <c r="AC1001" s="321" t="str">
        <f t="shared" si="443"/>
        <v>X-ENC3T</v>
      </c>
      <c r="AD1001" s="321" t="str">
        <f t="shared" si="444"/>
        <v>X-ENC3S</v>
      </c>
      <c r="AE1001" s="321" t="str">
        <f t="shared" si="445"/>
        <v>X-ENC3X</v>
      </c>
      <c r="AF1001" s="321" t="str">
        <f t="shared" si="446"/>
        <v>X-ENC3A</v>
      </c>
      <c r="AG1001" s="321">
        <f t="shared" si="437"/>
        <v>10</v>
      </c>
      <c r="AH1001" s="321">
        <f>IF(B1001&lt;&gt;"",IF(H1001="x",VLOOKUP(I1001,'AUX-NIV3'!B:AG,32,FALSE),0),"")</f>
        <v>0</v>
      </c>
      <c r="AI1001" s="321" t="str">
        <f t="shared" si="447"/>
        <v>X-ENC3</v>
      </c>
      <c r="AJ1001" s="320"/>
      <c r="AK1001" s="322">
        <f t="shared" si="438"/>
        <v>1000</v>
      </c>
      <c r="AL1001" s="323">
        <f t="shared" si="448"/>
        <v>1009</v>
      </c>
      <c r="AM1001" s="322">
        <f t="shared" si="449"/>
        <v>2</v>
      </c>
      <c r="AN1001" s="380">
        <f>IF(AND(AH1001&gt;0,B1001&lt;&gt;""),VLOOKUP(I1001,'AUX-NIV3'!$B:$AO,39,FALSE)*O1001,0)</f>
        <v>0</v>
      </c>
      <c r="AO1001" s="380">
        <f t="shared" si="439"/>
        <v>3.0466669999999998</v>
      </c>
      <c r="AP1001" s="380"/>
    </row>
    <row r="1002" spans="2:42" ht="14.4" hidden="1" thickTop="1" thickBot="1">
      <c r="B1002" s="324" t="s">
        <v>2895</v>
      </c>
      <c r="C1002" s="325" t="s">
        <v>2896</v>
      </c>
      <c r="D1002" s="326" t="s">
        <v>501</v>
      </c>
      <c r="E1002" s="327">
        <f>IF(B1002&lt;&gt;"",SUMIF('AUX-NIV1'!I:I,'AUX-NIV2'!B1002,'AUX-NIV1'!Q:Q),"")</f>
        <v>0</v>
      </c>
      <c r="F1002" s="327">
        <f t="shared" si="429"/>
        <v>1729.8931583605372</v>
      </c>
      <c r="G1002" s="327">
        <f t="shared" si="430"/>
        <v>0</v>
      </c>
      <c r="H1002" s="328" t="str">
        <f t="shared" si="452"/>
        <v>A</v>
      </c>
      <c r="I1002" s="325" t="s">
        <v>1746</v>
      </c>
      <c r="J1002" s="329" t="str">
        <f>IF(B1002&lt;&gt;"",+VLOOKUP(I1002,Recursos!C:F,2,FALSE),"")</f>
        <v>OFICIAL</v>
      </c>
      <c r="K1002" s="330" t="str">
        <f>IF(B1002&lt;&gt;"",+VLOOKUP(I1002,Recursos!C:F,3,FALSE),"")</f>
        <v>hh</v>
      </c>
      <c r="L1002" s="446">
        <f>IF(B1002&lt;&gt;"",+VLOOKUP(I1002,Recursos!C:F,4,FALSE),"")</f>
        <v>496.91595439275824</v>
      </c>
      <c r="M1002" s="452">
        <v>0.6</v>
      </c>
      <c r="N1002" s="455"/>
      <c r="O1002" s="449">
        <f t="shared" si="453"/>
        <v>0.6</v>
      </c>
      <c r="P1002" s="333">
        <f t="shared" si="425"/>
        <v>298.14957263565492</v>
      </c>
      <c r="Q1002" s="327">
        <f t="shared" si="426"/>
        <v>0</v>
      </c>
      <c r="R1002" s="334">
        <f t="shared" si="427"/>
        <v>0</v>
      </c>
      <c r="S1002" s="335">
        <f t="shared" si="431"/>
        <v>1477.0868198753572</v>
      </c>
      <c r="T1002" s="335">
        <f t="shared" si="432"/>
        <v>181.01633848517997</v>
      </c>
      <c r="U1002" s="336">
        <f t="shared" si="433"/>
        <v>71.789999999999992</v>
      </c>
      <c r="V1002" s="336">
        <f t="shared" si="434"/>
        <v>0</v>
      </c>
      <c r="W1002" s="336">
        <f t="shared" si="435"/>
        <v>0</v>
      </c>
      <c r="X1002" s="336">
        <f t="shared" si="436"/>
        <v>0</v>
      </c>
      <c r="Y1002" s="320"/>
      <c r="Z1002" s="321" t="str">
        <f t="shared" si="440"/>
        <v>X-ENC3A</v>
      </c>
      <c r="AA1002" s="321" t="str">
        <f t="shared" si="441"/>
        <v>X-ENC3E</v>
      </c>
      <c r="AB1002" s="321" t="str">
        <f t="shared" si="442"/>
        <v>X-ENC3M</v>
      </c>
      <c r="AC1002" s="321" t="str">
        <f t="shared" si="443"/>
        <v>X-ENC3T</v>
      </c>
      <c r="AD1002" s="321" t="str">
        <f t="shared" si="444"/>
        <v>X-ENC3S</v>
      </c>
      <c r="AE1002" s="321" t="str">
        <f t="shared" si="445"/>
        <v>X-ENC3X</v>
      </c>
      <c r="AF1002" s="321" t="str">
        <f t="shared" si="446"/>
        <v>X-ENC3A</v>
      </c>
      <c r="AG1002" s="321">
        <f t="shared" si="437"/>
        <v>10</v>
      </c>
      <c r="AH1002" s="321">
        <f>IF(B1002&lt;&gt;"",IF(H1002="x",VLOOKUP(I1002,'AUX-NIV3'!B:AG,32,FALSE),0),"")</f>
        <v>0</v>
      </c>
      <c r="AI1002" s="321" t="str">
        <f t="shared" si="447"/>
        <v>X-ENC3</v>
      </c>
      <c r="AJ1002" s="320"/>
      <c r="AK1002" s="322">
        <f t="shared" si="438"/>
        <v>1000</v>
      </c>
      <c r="AL1002" s="323">
        <f t="shared" si="448"/>
        <v>1009</v>
      </c>
      <c r="AM1002" s="322">
        <f t="shared" si="449"/>
        <v>3</v>
      </c>
      <c r="AN1002" s="380">
        <f>IF(AND(AH1002&gt;0,B1002&lt;&gt;""),VLOOKUP(I1002,'AUX-NIV3'!$B:$AO,39,FALSE)*O1002,0)</f>
        <v>0</v>
      </c>
      <c r="AO1002" s="380">
        <f t="shared" si="439"/>
        <v>3.0466669999999998</v>
      </c>
      <c r="AP1002" s="380"/>
    </row>
    <row r="1003" spans="2:42" ht="14.4" hidden="1" thickTop="1" thickBot="1">
      <c r="B1003" s="324" t="s">
        <v>2895</v>
      </c>
      <c r="C1003" s="325" t="s">
        <v>2896</v>
      </c>
      <c r="D1003" s="326" t="s">
        <v>501</v>
      </c>
      <c r="E1003" s="327">
        <f>IF(B1003&lt;&gt;"",SUMIF('AUX-NIV1'!I:I,'AUX-NIV2'!B1003,'AUX-NIV1'!Q:Q),"")</f>
        <v>0</v>
      </c>
      <c r="F1003" s="327">
        <f t="shared" si="429"/>
        <v>1729.8931583605372</v>
      </c>
      <c r="G1003" s="327">
        <f t="shared" si="430"/>
        <v>0</v>
      </c>
      <c r="H1003" s="328" t="str">
        <f t="shared" si="452"/>
        <v>A</v>
      </c>
      <c r="I1003" s="325" t="s">
        <v>3310</v>
      </c>
      <c r="J1003" s="329" t="str">
        <f>IF(B1003&lt;&gt;"",+VLOOKUP(I1003,Recursos!C:F,2,FALSE),"")</f>
        <v>OFICIAL ESPECIALIZADO</v>
      </c>
      <c r="K1003" s="330" t="str">
        <f>IF(B1003&lt;&gt;"",+VLOOKUP(I1003,Recursos!C:F,3,FALSE),"")</f>
        <v>hh</v>
      </c>
      <c r="L1003" s="446">
        <f>IF(B1003&lt;&gt;"",+VLOOKUP(I1003,Recursos!C:F,4,FALSE),"")</f>
        <v>581.06120476836554</v>
      </c>
      <c r="M1003" s="452">
        <v>0.4</v>
      </c>
      <c r="N1003" s="455"/>
      <c r="O1003" s="449">
        <f t="shared" si="453"/>
        <v>0.4</v>
      </c>
      <c r="P1003" s="333">
        <f t="shared" si="425"/>
        <v>232.42448190734623</v>
      </c>
      <c r="Q1003" s="327">
        <f t="shared" si="426"/>
        <v>0</v>
      </c>
      <c r="R1003" s="334">
        <f t="shared" si="427"/>
        <v>0</v>
      </c>
      <c r="S1003" s="335">
        <f t="shared" si="431"/>
        <v>1477.0868198753572</v>
      </c>
      <c r="T1003" s="335">
        <f t="shared" si="432"/>
        <v>181.01633848517997</v>
      </c>
      <c r="U1003" s="336">
        <f t="shared" si="433"/>
        <v>71.789999999999992</v>
      </c>
      <c r="V1003" s="336">
        <f t="shared" si="434"/>
        <v>0</v>
      </c>
      <c r="W1003" s="336">
        <f t="shared" si="435"/>
        <v>0</v>
      </c>
      <c r="X1003" s="336">
        <f t="shared" si="436"/>
        <v>0</v>
      </c>
      <c r="Y1003" s="320"/>
      <c r="Z1003" s="321" t="str">
        <f t="shared" si="440"/>
        <v>X-ENC3A</v>
      </c>
      <c r="AA1003" s="321" t="str">
        <f t="shared" si="441"/>
        <v>X-ENC3E</v>
      </c>
      <c r="AB1003" s="321" t="str">
        <f t="shared" si="442"/>
        <v>X-ENC3M</v>
      </c>
      <c r="AC1003" s="321" t="str">
        <f t="shared" si="443"/>
        <v>X-ENC3T</v>
      </c>
      <c r="AD1003" s="321" t="str">
        <f t="shared" si="444"/>
        <v>X-ENC3S</v>
      </c>
      <c r="AE1003" s="321" t="str">
        <f t="shared" si="445"/>
        <v>X-ENC3X</v>
      </c>
      <c r="AF1003" s="321" t="str">
        <f t="shared" si="446"/>
        <v>X-ENC3A</v>
      </c>
      <c r="AG1003" s="321">
        <f t="shared" si="437"/>
        <v>10</v>
      </c>
      <c r="AH1003" s="321">
        <f>IF(B1003&lt;&gt;"",IF(H1003="x",VLOOKUP(I1003,'AUX-NIV3'!B:AG,32,FALSE),0),"")</f>
        <v>0</v>
      </c>
      <c r="AI1003" s="321" t="str">
        <f t="shared" si="447"/>
        <v>X-ENC3</v>
      </c>
      <c r="AJ1003" s="320"/>
      <c r="AK1003" s="322">
        <f t="shared" si="438"/>
        <v>1000</v>
      </c>
      <c r="AL1003" s="323">
        <f t="shared" si="448"/>
        <v>1009</v>
      </c>
      <c r="AM1003" s="322">
        <f t="shared" si="449"/>
        <v>4</v>
      </c>
      <c r="AN1003" s="380">
        <f>IF(AND(AH1003&gt;0,B1003&lt;&gt;""),VLOOKUP(I1003,'AUX-NIV3'!$B:$AO,39,FALSE)*O1003,0)</f>
        <v>0</v>
      </c>
      <c r="AO1003" s="380">
        <f t="shared" si="439"/>
        <v>3.0466669999999998</v>
      </c>
      <c r="AP1003" s="380"/>
    </row>
    <row r="1004" spans="2:42" ht="14.4" hidden="1" thickTop="1" thickBot="1">
      <c r="B1004" s="324" t="s">
        <v>2895</v>
      </c>
      <c r="C1004" s="325" t="s">
        <v>2896</v>
      </c>
      <c r="D1004" s="326" t="s">
        <v>501</v>
      </c>
      <c r="E1004" s="327">
        <f>IF(B1004&lt;&gt;"",SUMIF('AUX-NIV1'!I:I,'AUX-NIV2'!B1004,'AUX-NIV1'!Q:Q),"")</f>
        <v>0</v>
      </c>
      <c r="F1004" s="327">
        <f t="shared" si="429"/>
        <v>1729.8931583605372</v>
      </c>
      <c r="G1004" s="327">
        <f t="shared" si="430"/>
        <v>0</v>
      </c>
      <c r="H1004" s="328" t="str">
        <f t="shared" si="452"/>
        <v>A</v>
      </c>
      <c r="I1004" s="325" t="s">
        <v>3310</v>
      </c>
      <c r="J1004" s="329" t="str">
        <f>IF(B1004&lt;&gt;"",+VLOOKUP(I1004,Recursos!C:F,2,FALSE),"")</f>
        <v>OFICIAL ESPECIALIZADO</v>
      </c>
      <c r="K1004" s="330" t="str">
        <f>IF(B1004&lt;&gt;"",+VLOOKUP(I1004,Recursos!C:F,3,FALSE),"")</f>
        <v>hh</v>
      </c>
      <c r="L1004" s="446">
        <f>IF(B1004&lt;&gt;"",+VLOOKUP(I1004,Recursos!C:F,4,FALSE),"")</f>
        <v>581.06120476836554</v>
      </c>
      <c r="M1004" s="452">
        <v>4.6667E-2</v>
      </c>
      <c r="N1004" s="455"/>
      <c r="O1004" s="449">
        <f t="shared" si="453"/>
        <v>4.6667E-2</v>
      </c>
      <c r="P1004" s="333">
        <f t="shared" si="425"/>
        <v>27.116383242925316</v>
      </c>
      <c r="Q1004" s="327">
        <f t="shared" si="426"/>
        <v>0</v>
      </c>
      <c r="R1004" s="334">
        <f t="shared" si="427"/>
        <v>0</v>
      </c>
      <c r="S1004" s="335">
        <f t="shared" si="431"/>
        <v>1477.0868198753572</v>
      </c>
      <c r="T1004" s="335">
        <f t="shared" si="432"/>
        <v>181.01633848517997</v>
      </c>
      <c r="U1004" s="336">
        <f t="shared" si="433"/>
        <v>71.789999999999992</v>
      </c>
      <c r="V1004" s="336">
        <f t="shared" si="434"/>
        <v>0</v>
      </c>
      <c r="W1004" s="336">
        <f t="shared" si="435"/>
        <v>0</v>
      </c>
      <c r="X1004" s="336">
        <f t="shared" si="436"/>
        <v>0</v>
      </c>
      <c r="Y1004" s="320"/>
      <c r="Z1004" s="321" t="str">
        <f t="shared" si="440"/>
        <v>X-ENC3A</v>
      </c>
      <c r="AA1004" s="321" t="str">
        <f t="shared" si="441"/>
        <v>X-ENC3E</v>
      </c>
      <c r="AB1004" s="321" t="str">
        <f t="shared" si="442"/>
        <v>X-ENC3M</v>
      </c>
      <c r="AC1004" s="321" t="str">
        <f t="shared" si="443"/>
        <v>X-ENC3T</v>
      </c>
      <c r="AD1004" s="321" t="str">
        <f t="shared" si="444"/>
        <v>X-ENC3S</v>
      </c>
      <c r="AE1004" s="321" t="str">
        <f t="shared" si="445"/>
        <v>X-ENC3X</v>
      </c>
      <c r="AF1004" s="321" t="str">
        <f t="shared" si="446"/>
        <v>X-ENC3A</v>
      </c>
      <c r="AG1004" s="321">
        <f t="shared" si="437"/>
        <v>10</v>
      </c>
      <c r="AH1004" s="321">
        <f>IF(B1004&lt;&gt;"",IF(H1004="x",VLOOKUP(I1004,'AUX-NIV3'!B:AG,32,FALSE),0),"")</f>
        <v>0</v>
      </c>
      <c r="AI1004" s="321" t="str">
        <f t="shared" si="447"/>
        <v>X-ENC3</v>
      </c>
      <c r="AJ1004" s="320"/>
      <c r="AK1004" s="322">
        <f t="shared" si="438"/>
        <v>1000</v>
      </c>
      <c r="AL1004" s="323">
        <f t="shared" si="448"/>
        <v>1009</v>
      </c>
      <c r="AM1004" s="322">
        <f t="shared" si="449"/>
        <v>5</v>
      </c>
      <c r="AN1004" s="380">
        <f>IF(AND(AH1004&gt;0,B1004&lt;&gt;""),VLOOKUP(I1004,'AUX-NIV3'!$B:$AO,39,FALSE)*O1004,0)</f>
        <v>0</v>
      </c>
      <c r="AO1004" s="380">
        <f t="shared" si="439"/>
        <v>3.0466669999999998</v>
      </c>
      <c r="AP1004" s="380"/>
    </row>
    <row r="1005" spans="2:42" ht="14.4" hidden="1" thickTop="1" thickBot="1">
      <c r="B1005" s="324" t="s">
        <v>2895</v>
      </c>
      <c r="C1005" s="325" t="s">
        <v>2896</v>
      </c>
      <c r="D1005" s="326" t="s">
        <v>501</v>
      </c>
      <c r="E1005" s="327">
        <f>IF(B1005&lt;&gt;"",SUMIF('AUX-NIV1'!I:I,'AUX-NIV2'!B1005,'AUX-NIV1'!Q:Q),"")</f>
        <v>0</v>
      </c>
      <c r="F1005" s="327">
        <f t="shared" si="429"/>
        <v>1729.8931583605372</v>
      </c>
      <c r="G1005" s="327">
        <f t="shared" si="430"/>
        <v>0</v>
      </c>
      <c r="H1005" s="328" t="str">
        <f t="shared" si="452"/>
        <v>E</v>
      </c>
      <c r="I1005" s="325" t="s">
        <v>1696</v>
      </c>
      <c r="J1005" s="329" t="str">
        <f>IF(B1005&lt;&gt;"",+VLOOKUP(I1005,Recursos!C:F,2,FALSE),"")</f>
        <v>GRUA MOVIL TODO TERRENO 36 T</v>
      </c>
      <c r="K1005" s="330" t="str">
        <f>IF(B1005&lt;&gt;"",+VLOOKUP(I1005,Recursos!C:F,3,FALSE),"")</f>
        <v>HR</v>
      </c>
      <c r="L1005" s="446">
        <f>IF(B1005&lt;&gt;"",+VLOOKUP(I1005,Recursos!C:F,4,FALSE),"")</f>
        <v>5430.5444599999992</v>
      </c>
      <c r="M1005" s="452">
        <v>3.3333000000000002E-2</v>
      </c>
      <c r="N1005" s="455"/>
      <c r="O1005" s="449">
        <f t="shared" si="453"/>
        <v>3.3333000000000002E-2</v>
      </c>
      <c r="P1005" s="333">
        <f t="shared" si="425"/>
        <v>181.01633848517997</v>
      </c>
      <c r="Q1005" s="327">
        <f t="shared" si="426"/>
        <v>0</v>
      </c>
      <c r="R1005" s="334">
        <f t="shared" si="427"/>
        <v>0</v>
      </c>
      <c r="S1005" s="335">
        <f t="shared" si="431"/>
        <v>1477.0868198753572</v>
      </c>
      <c r="T1005" s="335">
        <f t="shared" si="432"/>
        <v>181.01633848517997</v>
      </c>
      <c r="U1005" s="336">
        <f t="shared" si="433"/>
        <v>71.789999999999992</v>
      </c>
      <c r="V1005" s="336">
        <f t="shared" si="434"/>
        <v>0</v>
      </c>
      <c r="W1005" s="336">
        <f t="shared" si="435"/>
        <v>0</v>
      </c>
      <c r="X1005" s="336">
        <f t="shared" si="436"/>
        <v>0</v>
      </c>
      <c r="Y1005" s="320"/>
      <c r="Z1005" s="321" t="str">
        <f t="shared" si="440"/>
        <v>X-ENC3A</v>
      </c>
      <c r="AA1005" s="321" t="str">
        <f t="shared" si="441"/>
        <v>X-ENC3E</v>
      </c>
      <c r="AB1005" s="321" t="str">
        <f t="shared" si="442"/>
        <v>X-ENC3M</v>
      </c>
      <c r="AC1005" s="321" t="str">
        <f t="shared" si="443"/>
        <v>X-ENC3T</v>
      </c>
      <c r="AD1005" s="321" t="str">
        <f t="shared" si="444"/>
        <v>X-ENC3S</v>
      </c>
      <c r="AE1005" s="321" t="str">
        <f t="shared" si="445"/>
        <v>X-ENC3X</v>
      </c>
      <c r="AF1005" s="321" t="str">
        <f t="shared" si="446"/>
        <v>X-ENC3E</v>
      </c>
      <c r="AG1005" s="321">
        <f t="shared" si="437"/>
        <v>10</v>
      </c>
      <c r="AH1005" s="321">
        <f>IF(B1005&lt;&gt;"",IF(H1005="x",VLOOKUP(I1005,'AUX-NIV3'!B:AG,32,FALSE),0),"")</f>
        <v>0</v>
      </c>
      <c r="AI1005" s="321" t="str">
        <f t="shared" si="447"/>
        <v>X-ENC3</v>
      </c>
      <c r="AJ1005" s="320"/>
      <c r="AK1005" s="322">
        <f t="shared" si="438"/>
        <v>1000</v>
      </c>
      <c r="AL1005" s="323">
        <f t="shared" si="448"/>
        <v>1009</v>
      </c>
      <c r="AM1005" s="322">
        <f t="shared" si="449"/>
        <v>6</v>
      </c>
      <c r="AN1005" s="380">
        <f>IF(AND(AH1005&gt;0,B1005&lt;&gt;""),VLOOKUP(I1005,'AUX-NIV3'!$B:$AO,39,FALSE)*O1005,0)</f>
        <v>0</v>
      </c>
      <c r="AO1005" s="380">
        <f t="shared" si="439"/>
        <v>3.0466669999999998</v>
      </c>
      <c r="AP1005" s="380"/>
    </row>
    <row r="1006" spans="2:42" ht="14.4" hidden="1" thickTop="1" thickBot="1">
      <c r="B1006" s="324" t="s">
        <v>2895</v>
      </c>
      <c r="C1006" s="325" t="s">
        <v>2896</v>
      </c>
      <c r="D1006" s="326" t="s">
        <v>501</v>
      </c>
      <c r="E1006" s="327">
        <f>IF(B1006&lt;&gt;"",SUMIF('AUX-NIV1'!I:I,'AUX-NIV2'!B1006,'AUX-NIV1'!Q:Q),"")</f>
        <v>0</v>
      </c>
      <c r="F1006" s="327">
        <f t="shared" si="429"/>
        <v>1729.8931583605372</v>
      </c>
      <c r="G1006" s="327">
        <f t="shared" si="430"/>
        <v>0</v>
      </c>
      <c r="H1006" s="328" t="str">
        <f t="shared" si="452"/>
        <v>M</v>
      </c>
      <c r="I1006" s="325" t="s">
        <v>1855</v>
      </c>
      <c r="J1006" s="329" t="str">
        <f>IF(B1006&lt;&gt;"",+VLOOKUP(I1006,Recursos!C:F,2,FALSE),"")</f>
        <v>DESMOLDANTE</v>
      </c>
      <c r="K1006" s="330" t="str">
        <f>IF(B1006&lt;&gt;"",+VLOOKUP(I1006,Recursos!C:F,3,FALSE),"")</f>
        <v>Kg</v>
      </c>
      <c r="L1006" s="446">
        <f>IF(B1006&lt;&gt;"",+VLOOKUP(I1006,Recursos!C:F,4,FALSE),"")</f>
        <v>50.4</v>
      </c>
      <c r="M1006" s="452">
        <v>0.1</v>
      </c>
      <c r="N1006" s="455"/>
      <c r="O1006" s="449">
        <f t="shared" si="453"/>
        <v>0.1</v>
      </c>
      <c r="P1006" s="333">
        <f t="shared" si="425"/>
        <v>5.04</v>
      </c>
      <c r="Q1006" s="327">
        <f t="shared" si="426"/>
        <v>0</v>
      </c>
      <c r="R1006" s="334">
        <f t="shared" si="427"/>
        <v>0</v>
      </c>
      <c r="S1006" s="335">
        <f t="shared" si="431"/>
        <v>1477.0868198753572</v>
      </c>
      <c r="T1006" s="335">
        <f t="shared" si="432"/>
        <v>181.01633848517997</v>
      </c>
      <c r="U1006" s="336">
        <f t="shared" si="433"/>
        <v>71.789999999999992</v>
      </c>
      <c r="V1006" s="336">
        <f t="shared" si="434"/>
        <v>0</v>
      </c>
      <c r="W1006" s="336">
        <f t="shared" si="435"/>
        <v>0</v>
      </c>
      <c r="X1006" s="336">
        <f t="shared" si="436"/>
        <v>0</v>
      </c>
      <c r="Y1006" s="320"/>
      <c r="Z1006" s="321" t="str">
        <f t="shared" si="440"/>
        <v>X-ENC3A</v>
      </c>
      <c r="AA1006" s="321" t="str">
        <f t="shared" si="441"/>
        <v>X-ENC3E</v>
      </c>
      <c r="AB1006" s="321" t="str">
        <f t="shared" si="442"/>
        <v>X-ENC3M</v>
      </c>
      <c r="AC1006" s="321" t="str">
        <f t="shared" si="443"/>
        <v>X-ENC3T</v>
      </c>
      <c r="AD1006" s="321" t="str">
        <f t="shared" si="444"/>
        <v>X-ENC3S</v>
      </c>
      <c r="AE1006" s="321" t="str">
        <f t="shared" si="445"/>
        <v>X-ENC3X</v>
      </c>
      <c r="AF1006" s="321" t="str">
        <f t="shared" si="446"/>
        <v>X-ENC3M</v>
      </c>
      <c r="AG1006" s="321">
        <f t="shared" si="437"/>
        <v>10</v>
      </c>
      <c r="AH1006" s="321">
        <f>IF(B1006&lt;&gt;"",IF(H1006="x",VLOOKUP(I1006,'AUX-NIV3'!B:AG,32,FALSE),0),"")</f>
        <v>0</v>
      </c>
      <c r="AI1006" s="321" t="str">
        <f t="shared" si="447"/>
        <v>X-ENC3</v>
      </c>
      <c r="AJ1006" s="320"/>
      <c r="AK1006" s="322">
        <f t="shared" si="438"/>
        <v>1000</v>
      </c>
      <c r="AL1006" s="323">
        <f t="shared" si="448"/>
        <v>1009</v>
      </c>
      <c r="AM1006" s="322">
        <f t="shared" si="449"/>
        <v>7</v>
      </c>
      <c r="AN1006" s="380">
        <f>IF(AND(AH1006&gt;0,B1006&lt;&gt;""),VLOOKUP(I1006,'AUX-NIV3'!$B:$AO,39,FALSE)*O1006,0)</f>
        <v>0</v>
      </c>
      <c r="AO1006" s="380">
        <f t="shared" si="439"/>
        <v>3.0466669999999998</v>
      </c>
      <c r="AP1006" s="380"/>
    </row>
    <row r="1007" spans="2:42" ht="14.4" hidden="1" thickTop="1" thickBot="1">
      <c r="B1007" s="324" t="s">
        <v>2895</v>
      </c>
      <c r="C1007" s="325" t="s">
        <v>2896</v>
      </c>
      <c r="D1007" s="326" t="s">
        <v>501</v>
      </c>
      <c r="E1007" s="327">
        <f>IF(B1007&lt;&gt;"",SUMIF('AUX-NIV1'!I:I,'AUX-NIV2'!B1007,'AUX-NIV1'!Q:Q),"")</f>
        <v>0</v>
      </c>
      <c r="F1007" s="327">
        <f t="shared" si="429"/>
        <v>1729.8931583605372</v>
      </c>
      <c r="G1007" s="327">
        <f t="shared" si="430"/>
        <v>0</v>
      </c>
      <c r="H1007" s="328" t="str">
        <f t="shared" si="452"/>
        <v>M</v>
      </c>
      <c r="I1007" s="325" t="s">
        <v>1926</v>
      </c>
      <c r="J1007" s="329" t="str">
        <f>IF(B1007&lt;&gt;"",+VLOOKUP(I1007,Recursos!C:F,2,FALSE),"")</f>
        <v>ALAMBRE RECOCIDO #16</v>
      </c>
      <c r="K1007" s="330" t="str">
        <f>IF(B1007&lt;&gt;"",+VLOOKUP(I1007,Recursos!C:F,3,FALSE),"")</f>
        <v>Kg</v>
      </c>
      <c r="L1007" s="446">
        <f>IF(B1007&lt;&gt;"",+VLOOKUP(I1007,Recursos!C:F,4,FALSE),"")</f>
        <v>175</v>
      </c>
      <c r="M1007" s="452">
        <v>0.2</v>
      </c>
      <c r="N1007" s="455"/>
      <c r="O1007" s="449">
        <f t="shared" si="453"/>
        <v>0.2</v>
      </c>
      <c r="P1007" s="333">
        <f t="shared" si="425"/>
        <v>35</v>
      </c>
      <c r="Q1007" s="327">
        <f t="shared" si="426"/>
        <v>0</v>
      </c>
      <c r="R1007" s="334">
        <f t="shared" si="427"/>
        <v>0</v>
      </c>
      <c r="S1007" s="335">
        <f t="shared" si="431"/>
        <v>1477.0868198753572</v>
      </c>
      <c r="T1007" s="335">
        <f t="shared" si="432"/>
        <v>181.01633848517997</v>
      </c>
      <c r="U1007" s="336">
        <f t="shared" si="433"/>
        <v>71.789999999999992</v>
      </c>
      <c r="V1007" s="336">
        <f t="shared" si="434"/>
        <v>0</v>
      </c>
      <c r="W1007" s="336">
        <f t="shared" si="435"/>
        <v>0</v>
      </c>
      <c r="X1007" s="336">
        <f t="shared" si="436"/>
        <v>0</v>
      </c>
      <c r="Y1007" s="320"/>
      <c r="Z1007" s="321" t="str">
        <f t="shared" si="440"/>
        <v>X-ENC3A</v>
      </c>
      <c r="AA1007" s="321" t="str">
        <f t="shared" si="441"/>
        <v>X-ENC3E</v>
      </c>
      <c r="AB1007" s="321" t="str">
        <f t="shared" si="442"/>
        <v>X-ENC3M</v>
      </c>
      <c r="AC1007" s="321" t="str">
        <f t="shared" si="443"/>
        <v>X-ENC3T</v>
      </c>
      <c r="AD1007" s="321" t="str">
        <f t="shared" si="444"/>
        <v>X-ENC3S</v>
      </c>
      <c r="AE1007" s="321" t="str">
        <f t="shared" si="445"/>
        <v>X-ENC3X</v>
      </c>
      <c r="AF1007" s="321" t="str">
        <f t="shared" si="446"/>
        <v>X-ENC3M</v>
      </c>
      <c r="AG1007" s="321">
        <f t="shared" si="437"/>
        <v>10</v>
      </c>
      <c r="AH1007" s="321">
        <f>IF(B1007&lt;&gt;"",IF(H1007="x",VLOOKUP(I1007,'AUX-NIV3'!B:AG,32,FALSE),0),"")</f>
        <v>0</v>
      </c>
      <c r="AI1007" s="321" t="str">
        <f t="shared" si="447"/>
        <v>X-ENC3</v>
      </c>
      <c r="AJ1007" s="320"/>
      <c r="AK1007" s="322">
        <f t="shared" si="438"/>
        <v>1000</v>
      </c>
      <c r="AL1007" s="323">
        <f t="shared" si="448"/>
        <v>1009</v>
      </c>
      <c r="AM1007" s="322">
        <f t="shared" si="449"/>
        <v>8</v>
      </c>
      <c r="AN1007" s="380">
        <f>IF(AND(AH1007&gt;0,B1007&lt;&gt;""),VLOOKUP(I1007,'AUX-NIV3'!$B:$AO,39,FALSE)*O1007,0)</f>
        <v>0</v>
      </c>
      <c r="AO1007" s="380">
        <f t="shared" si="439"/>
        <v>3.0466669999999998</v>
      </c>
      <c r="AP1007" s="380"/>
    </row>
    <row r="1008" spans="2:42" ht="14.4" hidden="1" thickTop="1" thickBot="1">
      <c r="B1008" s="324" t="s">
        <v>2895</v>
      </c>
      <c r="C1008" s="325" t="s">
        <v>2896</v>
      </c>
      <c r="D1008" s="326" t="s">
        <v>501</v>
      </c>
      <c r="E1008" s="327">
        <f>IF(B1008&lt;&gt;"",SUMIF('AUX-NIV1'!I:I,'AUX-NIV2'!B1008,'AUX-NIV1'!Q:Q),"")</f>
        <v>0</v>
      </c>
      <c r="F1008" s="327">
        <f t="shared" si="429"/>
        <v>1729.8931583605372</v>
      </c>
      <c r="G1008" s="327">
        <f t="shared" si="430"/>
        <v>0</v>
      </c>
      <c r="H1008" s="328" t="str">
        <f t="shared" si="452"/>
        <v>M</v>
      </c>
      <c r="I1008" s="325" t="s">
        <v>1986</v>
      </c>
      <c r="J1008" s="329" t="str">
        <f>IF(B1008&lt;&gt;"",+VLOOKUP(I1008,Recursos!C:F,2,FALSE),"")</f>
        <v>MOLDE MET.VIGAS PREFAB. H=1.5m</v>
      </c>
      <c r="K1008" s="330" t="str">
        <f>IF(B1008&lt;&gt;"",+VLOOKUP(I1008,Recursos!C:F,3,FALSE),"")</f>
        <v>Kg</v>
      </c>
      <c r="L1008" s="446">
        <f>IF(B1008&lt;&gt;"",+VLOOKUP(I1008,Recursos!C:F,4,FALSE),"")</f>
        <v>6.25</v>
      </c>
      <c r="M1008" s="452">
        <v>5</v>
      </c>
      <c r="N1008" s="455"/>
      <c r="O1008" s="449">
        <f t="shared" si="453"/>
        <v>5</v>
      </c>
      <c r="P1008" s="333">
        <f t="shared" si="425"/>
        <v>31.25</v>
      </c>
      <c r="Q1008" s="327">
        <f t="shared" si="426"/>
        <v>0</v>
      </c>
      <c r="R1008" s="334">
        <f t="shared" si="427"/>
        <v>0</v>
      </c>
      <c r="S1008" s="335">
        <f t="shared" si="431"/>
        <v>1477.0868198753572</v>
      </c>
      <c r="T1008" s="335">
        <f t="shared" si="432"/>
        <v>181.01633848517997</v>
      </c>
      <c r="U1008" s="336">
        <f t="shared" si="433"/>
        <v>71.789999999999992</v>
      </c>
      <c r="V1008" s="336">
        <f t="shared" si="434"/>
        <v>0</v>
      </c>
      <c r="W1008" s="336">
        <f t="shared" si="435"/>
        <v>0</v>
      </c>
      <c r="X1008" s="336">
        <f t="shared" si="436"/>
        <v>0</v>
      </c>
      <c r="Y1008" s="320"/>
      <c r="Z1008" s="321" t="str">
        <f t="shared" si="440"/>
        <v>X-ENC3A</v>
      </c>
      <c r="AA1008" s="321" t="str">
        <f t="shared" si="441"/>
        <v>X-ENC3E</v>
      </c>
      <c r="AB1008" s="321" t="str">
        <f t="shared" si="442"/>
        <v>X-ENC3M</v>
      </c>
      <c r="AC1008" s="321" t="str">
        <f t="shared" si="443"/>
        <v>X-ENC3T</v>
      </c>
      <c r="AD1008" s="321" t="str">
        <f t="shared" si="444"/>
        <v>X-ENC3S</v>
      </c>
      <c r="AE1008" s="321" t="str">
        <f t="shared" si="445"/>
        <v>X-ENC3X</v>
      </c>
      <c r="AF1008" s="321" t="str">
        <f t="shared" si="446"/>
        <v>X-ENC3M</v>
      </c>
      <c r="AG1008" s="321">
        <f t="shared" si="437"/>
        <v>10</v>
      </c>
      <c r="AH1008" s="321">
        <f>IF(B1008&lt;&gt;"",IF(H1008="x",VLOOKUP(I1008,'AUX-NIV3'!B:AG,32,FALSE),0),"")</f>
        <v>0</v>
      </c>
      <c r="AI1008" s="321" t="str">
        <f t="shared" si="447"/>
        <v>X-ENC3</v>
      </c>
      <c r="AJ1008" s="320"/>
      <c r="AK1008" s="322">
        <f t="shared" si="438"/>
        <v>1000</v>
      </c>
      <c r="AL1008" s="323">
        <f t="shared" si="448"/>
        <v>1009</v>
      </c>
      <c r="AM1008" s="322">
        <f t="shared" si="449"/>
        <v>9</v>
      </c>
      <c r="AN1008" s="380">
        <f>IF(AND(AH1008&gt;0,B1008&lt;&gt;""),VLOOKUP(I1008,'AUX-NIV3'!$B:$AO,39,FALSE)*O1008,0)</f>
        <v>0</v>
      </c>
      <c r="AO1008" s="380">
        <f t="shared" si="439"/>
        <v>3.0466669999999998</v>
      </c>
      <c r="AP1008" s="380"/>
    </row>
    <row r="1009" spans="2:42" ht="14.4" hidden="1" thickTop="1" thickBot="1">
      <c r="B1009" s="324" t="s">
        <v>2895</v>
      </c>
      <c r="C1009" s="325" t="s">
        <v>2896</v>
      </c>
      <c r="D1009" s="326" t="s">
        <v>501</v>
      </c>
      <c r="E1009" s="327">
        <f>IF(B1009&lt;&gt;"",SUMIF('AUX-NIV1'!I:I,'AUX-NIV2'!B1009,'AUX-NIV1'!Q:Q),"")</f>
        <v>0</v>
      </c>
      <c r="F1009" s="327">
        <f t="shared" si="429"/>
        <v>1729.8931583605372</v>
      </c>
      <c r="G1009" s="327">
        <f t="shared" si="430"/>
        <v>0</v>
      </c>
      <c r="H1009" s="328" t="str">
        <f t="shared" si="452"/>
        <v>M</v>
      </c>
      <c r="I1009" s="325" t="s">
        <v>621</v>
      </c>
      <c r="J1009" s="329" t="str">
        <f>IF(B1009&lt;&gt;"",+VLOOKUP(I1009,Recursos!C:F,2,FALSE),"")</f>
        <v>MATERIALES VARIOS</v>
      </c>
      <c r="K1009" s="330" t="str">
        <f>IF(B1009&lt;&gt;"",+VLOOKUP(I1009,Recursos!C:F,3,FALSE),"")</f>
        <v>GL</v>
      </c>
      <c r="L1009" s="446">
        <f>IF(B1009&lt;&gt;"",+VLOOKUP(I1009,Recursos!C:F,4,FALSE),"")</f>
        <v>0.5</v>
      </c>
      <c r="M1009" s="450">
        <v>1</v>
      </c>
      <c r="N1009" s="507"/>
      <c r="O1009" s="449">
        <f t="shared" si="453"/>
        <v>1</v>
      </c>
      <c r="P1009" s="333">
        <f t="shared" si="425"/>
        <v>0.5</v>
      </c>
      <c r="Q1009" s="327">
        <f t="shared" si="426"/>
        <v>0</v>
      </c>
      <c r="R1009" s="334">
        <f t="shared" si="427"/>
        <v>0</v>
      </c>
      <c r="S1009" s="335">
        <f t="shared" si="431"/>
        <v>1477.0868198753572</v>
      </c>
      <c r="T1009" s="335">
        <f t="shared" si="432"/>
        <v>181.01633848517997</v>
      </c>
      <c r="U1009" s="336">
        <f t="shared" si="433"/>
        <v>71.789999999999992</v>
      </c>
      <c r="V1009" s="336">
        <f t="shared" si="434"/>
        <v>0</v>
      </c>
      <c r="W1009" s="336">
        <f t="shared" si="435"/>
        <v>0</v>
      </c>
      <c r="X1009" s="336">
        <f t="shared" si="436"/>
        <v>0</v>
      </c>
      <c r="Y1009" s="320"/>
      <c r="Z1009" s="321" t="str">
        <f t="shared" si="440"/>
        <v>X-ENC3A</v>
      </c>
      <c r="AA1009" s="321" t="str">
        <f t="shared" si="441"/>
        <v>X-ENC3E</v>
      </c>
      <c r="AB1009" s="321" t="str">
        <f t="shared" si="442"/>
        <v>X-ENC3M</v>
      </c>
      <c r="AC1009" s="321" t="str">
        <f t="shared" si="443"/>
        <v>X-ENC3T</v>
      </c>
      <c r="AD1009" s="321" t="str">
        <f t="shared" si="444"/>
        <v>X-ENC3S</v>
      </c>
      <c r="AE1009" s="321" t="str">
        <f t="shared" si="445"/>
        <v>X-ENC3X</v>
      </c>
      <c r="AF1009" s="321" t="str">
        <f t="shared" si="446"/>
        <v>X-ENC3M</v>
      </c>
      <c r="AG1009" s="321">
        <f t="shared" si="437"/>
        <v>10</v>
      </c>
      <c r="AH1009" s="321">
        <f>IF(B1009&lt;&gt;"",IF(H1009="x",VLOOKUP(I1009,'AUX-NIV3'!B:AG,32,FALSE),0),"")</f>
        <v>0</v>
      </c>
      <c r="AI1009" s="321" t="str">
        <f t="shared" si="447"/>
        <v>X-ENC3</v>
      </c>
      <c r="AJ1009" s="320"/>
      <c r="AK1009" s="322">
        <f t="shared" si="438"/>
        <v>1000</v>
      </c>
      <c r="AL1009" s="323">
        <f t="shared" si="448"/>
        <v>1009</v>
      </c>
      <c r="AM1009" s="322">
        <f t="shared" si="449"/>
        <v>10</v>
      </c>
      <c r="AN1009" s="380">
        <f>IF(AND(AH1009&gt;0,B1009&lt;&gt;""),VLOOKUP(I1009,'AUX-NIV3'!$B:$AO,39,FALSE)*O1009,0)</f>
        <v>0</v>
      </c>
      <c r="AO1009" s="380">
        <f t="shared" si="439"/>
        <v>3.0466669999999998</v>
      </c>
      <c r="AP1009" s="380"/>
    </row>
    <row r="1010" spans="2:42" ht="14.4" hidden="1" thickTop="1" thickBot="1">
      <c r="B1010" s="501" t="s">
        <v>2897</v>
      </c>
      <c r="C1010" s="951" t="s">
        <v>2898</v>
      </c>
      <c r="D1010" s="326" t="s">
        <v>1160</v>
      </c>
      <c r="E1010" s="327">
        <f>IF(B1010&lt;&gt;"",SUMIF('AUX-NIV1'!I:I,'AUX-NIV2'!B1010,'AUX-NIV1'!Q:Q),"")</f>
        <v>0</v>
      </c>
      <c r="F1010" s="327">
        <f t="shared" si="429"/>
        <v>4223.8879328752682</v>
      </c>
      <c r="G1010" s="327">
        <f t="shared" si="430"/>
        <v>0</v>
      </c>
      <c r="H1010" s="328" t="str">
        <f t="shared" si="452"/>
        <v>A</v>
      </c>
      <c r="I1010" s="325" t="s">
        <v>1745</v>
      </c>
      <c r="J1010" s="329" t="str">
        <f>IF(B1010&lt;&gt;"",+VLOOKUP(I1010,Recursos!C:F,2,FALSE),"")</f>
        <v>AYUDANTE</v>
      </c>
      <c r="K1010" s="330" t="str">
        <f>IF(B1010&lt;&gt;"",+VLOOKUP(I1010,Recursos!C:F,3,FALSE),"")</f>
        <v>hh</v>
      </c>
      <c r="L1010" s="327">
        <f>IF(B1010&lt;&gt;"",+VLOOKUP(I1010,Recursos!C:F,4,FALSE),"")</f>
        <v>422.48042769667234</v>
      </c>
      <c r="M1010" s="454"/>
      <c r="N1010" s="448">
        <v>6</v>
      </c>
      <c r="O1010" s="449">
        <f>+N1010/M1018*$N$1015</f>
        <v>1.6</v>
      </c>
      <c r="P1010" s="333">
        <f t="shared" si="425"/>
        <v>675.96868431467578</v>
      </c>
      <c r="Q1010" s="327">
        <f t="shared" si="426"/>
        <v>0</v>
      </c>
      <c r="R1010" s="334">
        <f t="shared" si="427"/>
        <v>0</v>
      </c>
      <c r="S1010" s="335">
        <f t="shared" si="431"/>
        <v>1803.3722539863793</v>
      </c>
      <c r="T1010" s="335">
        <f t="shared" si="432"/>
        <v>2420.5156788888889</v>
      </c>
      <c r="U1010" s="336">
        <f t="shared" si="433"/>
        <v>0</v>
      </c>
      <c r="V1010" s="336">
        <f t="shared" si="434"/>
        <v>0</v>
      </c>
      <c r="W1010" s="336">
        <f t="shared" si="435"/>
        <v>0</v>
      </c>
      <c r="X1010" s="336">
        <f t="shared" si="436"/>
        <v>0</v>
      </c>
      <c r="Y1010" s="320"/>
      <c r="Z1010" s="321" t="str">
        <f t="shared" si="440"/>
        <v>X-COLA</v>
      </c>
      <c r="AA1010" s="321" t="str">
        <f t="shared" si="441"/>
        <v>X-COLE</v>
      </c>
      <c r="AB1010" s="321" t="str">
        <f t="shared" si="442"/>
        <v>X-COLM</v>
      </c>
      <c r="AC1010" s="321" t="str">
        <f t="shared" si="443"/>
        <v>X-COLT</v>
      </c>
      <c r="AD1010" s="321" t="str">
        <f t="shared" si="444"/>
        <v>X-COLS</v>
      </c>
      <c r="AE1010" s="321" t="str">
        <f t="shared" si="445"/>
        <v>X-COLX</v>
      </c>
      <c r="AF1010" s="321" t="str">
        <f t="shared" si="446"/>
        <v>X-COLA</v>
      </c>
      <c r="AG1010" s="321">
        <f t="shared" si="437"/>
        <v>10</v>
      </c>
      <c r="AH1010" s="321">
        <f>IF(B1010&lt;&gt;"",IF(H1010="x",VLOOKUP(I1010,'AUX-NIV3'!B:AG,32,FALSE),0),"")</f>
        <v>0</v>
      </c>
      <c r="AI1010" s="321" t="str">
        <f t="shared" si="447"/>
        <v>X-COL</v>
      </c>
      <c r="AJ1010" s="320"/>
      <c r="AK1010" s="322">
        <f t="shared" si="438"/>
        <v>1010</v>
      </c>
      <c r="AL1010" s="323">
        <f t="shared" si="448"/>
        <v>1019</v>
      </c>
      <c r="AM1010" s="322">
        <f t="shared" si="449"/>
        <v>1</v>
      </c>
      <c r="AN1010" s="380">
        <f>IF(AND(AH1010&gt;0,B1010&lt;&gt;""),VLOOKUP(I1010,'AUX-NIV3'!$B:$AO,39,FALSE)*O1010,0)</f>
        <v>0</v>
      </c>
      <c r="AO1010" s="380">
        <f t="shared" si="439"/>
        <v>3.7333333333333329</v>
      </c>
      <c r="AP1010" s="380"/>
    </row>
    <row r="1011" spans="2:42" ht="14.4" hidden="1" thickTop="1" thickBot="1">
      <c r="B1011" s="501" t="s">
        <v>2897</v>
      </c>
      <c r="C1011" s="951" t="s">
        <v>2898</v>
      </c>
      <c r="D1011" s="326" t="s">
        <v>1160</v>
      </c>
      <c r="E1011" s="327">
        <f>IF(B1011&lt;&gt;"",SUMIF('AUX-NIV1'!I:I,'AUX-NIV2'!B1011,'AUX-NIV1'!Q:Q),"")</f>
        <v>0</v>
      </c>
      <c r="F1011" s="327">
        <f t="shared" si="429"/>
        <v>4223.8879328752682</v>
      </c>
      <c r="G1011" s="327">
        <f t="shared" si="430"/>
        <v>0</v>
      </c>
      <c r="H1011" s="328" t="str">
        <f t="shared" si="452"/>
        <v>A</v>
      </c>
      <c r="I1011" s="325" t="s">
        <v>1746</v>
      </c>
      <c r="J1011" s="329" t="str">
        <f>IF(B1011&lt;&gt;"",+VLOOKUP(I1011,Recursos!C:F,2,FALSE),"")</f>
        <v>OFICIAL</v>
      </c>
      <c r="K1011" s="330" t="str">
        <f>IF(B1011&lt;&gt;"",+VLOOKUP(I1011,Recursos!C:F,3,FALSE),"")</f>
        <v>hh</v>
      </c>
      <c r="L1011" s="327">
        <f>IF(B1011&lt;&gt;"",+VLOOKUP(I1011,Recursos!C:F,4,FALSE),"")</f>
        <v>496.91595439275824</v>
      </c>
      <c r="M1011" s="454"/>
      <c r="N1011" s="453">
        <v>2</v>
      </c>
      <c r="O1011" s="449">
        <f>+N1011/M1018*N1015</f>
        <v>0.53333333333333333</v>
      </c>
      <c r="P1011" s="333">
        <f t="shared" si="425"/>
        <v>265.0218423428044</v>
      </c>
      <c r="Q1011" s="327">
        <f t="shared" si="426"/>
        <v>0</v>
      </c>
      <c r="R1011" s="334">
        <f t="shared" si="427"/>
        <v>0</v>
      </c>
      <c r="S1011" s="335">
        <f t="shared" si="431"/>
        <v>1803.3722539863793</v>
      </c>
      <c r="T1011" s="335">
        <f t="shared" si="432"/>
        <v>2420.5156788888889</v>
      </c>
      <c r="U1011" s="336">
        <f t="shared" si="433"/>
        <v>0</v>
      </c>
      <c r="V1011" s="336">
        <f t="shared" si="434"/>
        <v>0</v>
      </c>
      <c r="W1011" s="336">
        <f t="shared" si="435"/>
        <v>0</v>
      </c>
      <c r="X1011" s="336">
        <f t="shared" si="436"/>
        <v>0</v>
      </c>
      <c r="Y1011" s="320"/>
      <c r="Z1011" s="321" t="str">
        <f t="shared" si="440"/>
        <v>X-COLA</v>
      </c>
      <c r="AA1011" s="321" t="str">
        <f t="shared" si="441"/>
        <v>X-COLE</v>
      </c>
      <c r="AB1011" s="321" t="str">
        <f t="shared" si="442"/>
        <v>X-COLM</v>
      </c>
      <c r="AC1011" s="321" t="str">
        <f t="shared" si="443"/>
        <v>X-COLT</v>
      </c>
      <c r="AD1011" s="321" t="str">
        <f t="shared" si="444"/>
        <v>X-COLS</v>
      </c>
      <c r="AE1011" s="321" t="str">
        <f t="shared" si="445"/>
        <v>X-COLX</v>
      </c>
      <c r="AF1011" s="321" t="str">
        <f t="shared" si="446"/>
        <v>X-COLA</v>
      </c>
      <c r="AG1011" s="321">
        <f t="shared" si="437"/>
        <v>10</v>
      </c>
      <c r="AH1011" s="321">
        <f>IF(B1011&lt;&gt;"",IF(H1011="x",VLOOKUP(I1011,'AUX-NIV3'!B:AG,32,FALSE),0),"")</f>
        <v>0</v>
      </c>
      <c r="AI1011" s="321" t="str">
        <f t="shared" si="447"/>
        <v>X-COL</v>
      </c>
      <c r="AJ1011" s="320"/>
      <c r="AK1011" s="322">
        <f t="shared" si="438"/>
        <v>1010</v>
      </c>
      <c r="AL1011" s="323">
        <f t="shared" si="448"/>
        <v>1019</v>
      </c>
      <c r="AM1011" s="322">
        <f t="shared" si="449"/>
        <v>2</v>
      </c>
      <c r="AN1011" s="380">
        <f>IF(AND(AH1011&gt;0,B1011&lt;&gt;""),VLOOKUP(I1011,'AUX-NIV3'!$B:$AO,39,FALSE)*O1011,0)</f>
        <v>0</v>
      </c>
      <c r="AO1011" s="380">
        <f t="shared" si="439"/>
        <v>3.7333333333333329</v>
      </c>
      <c r="AP1011" s="380"/>
    </row>
    <row r="1012" spans="2:42" ht="14.4" hidden="1" thickTop="1" thickBot="1">
      <c r="B1012" s="501" t="s">
        <v>2897</v>
      </c>
      <c r="C1012" s="951" t="s">
        <v>2898</v>
      </c>
      <c r="D1012" s="326" t="s">
        <v>1160</v>
      </c>
      <c r="E1012" s="327">
        <f>IF(B1012&lt;&gt;"",SUMIF('AUX-NIV1'!I:I,'AUX-NIV2'!B1012,'AUX-NIV1'!Q:Q),"")</f>
        <v>0</v>
      </c>
      <c r="F1012" s="327">
        <f t="shared" si="429"/>
        <v>4223.8879328752682</v>
      </c>
      <c r="G1012" s="327">
        <f t="shared" si="430"/>
        <v>0</v>
      </c>
      <c r="H1012" s="328" t="str">
        <f t="shared" si="452"/>
        <v>A</v>
      </c>
      <c r="I1012" s="325" t="s">
        <v>1746</v>
      </c>
      <c r="J1012" s="329" t="str">
        <f>IF(B1012&lt;&gt;"",+VLOOKUP(I1012,Recursos!C:F,2,FALSE),"")</f>
        <v>OFICIAL</v>
      </c>
      <c r="K1012" s="330" t="str">
        <f>IF(B1012&lt;&gt;"",+VLOOKUP(I1012,Recursos!C:F,3,FALSE),"")</f>
        <v>hh</v>
      </c>
      <c r="L1012" s="327">
        <f>IF(B1012&lt;&gt;"",+VLOOKUP(I1012,Recursos!C:F,4,FALSE),"")</f>
        <v>496.91595439275824</v>
      </c>
      <c r="M1012" s="454"/>
      <c r="N1012" s="453">
        <v>2</v>
      </c>
      <c r="O1012" s="449">
        <f>+N1012/M1018*N1015</f>
        <v>0.53333333333333333</v>
      </c>
      <c r="P1012" s="333">
        <f t="shared" si="425"/>
        <v>265.0218423428044</v>
      </c>
      <c r="Q1012" s="327">
        <f t="shared" si="426"/>
        <v>0</v>
      </c>
      <c r="R1012" s="334">
        <f t="shared" si="427"/>
        <v>0</v>
      </c>
      <c r="S1012" s="335">
        <f t="shared" si="431"/>
        <v>1803.3722539863793</v>
      </c>
      <c r="T1012" s="335">
        <f t="shared" si="432"/>
        <v>2420.5156788888889</v>
      </c>
      <c r="U1012" s="336">
        <f t="shared" si="433"/>
        <v>0</v>
      </c>
      <c r="V1012" s="336">
        <f t="shared" si="434"/>
        <v>0</v>
      </c>
      <c r="W1012" s="336">
        <f t="shared" si="435"/>
        <v>0</v>
      </c>
      <c r="X1012" s="336">
        <f t="shared" si="436"/>
        <v>0</v>
      </c>
      <c r="Y1012" s="320"/>
      <c r="Z1012" s="321" t="str">
        <f t="shared" si="440"/>
        <v>X-COLA</v>
      </c>
      <c r="AA1012" s="321" t="str">
        <f t="shared" si="441"/>
        <v>X-COLE</v>
      </c>
      <c r="AB1012" s="321" t="str">
        <f t="shared" si="442"/>
        <v>X-COLM</v>
      </c>
      <c r="AC1012" s="321" t="str">
        <f t="shared" si="443"/>
        <v>X-COLT</v>
      </c>
      <c r="AD1012" s="321" t="str">
        <f t="shared" si="444"/>
        <v>X-COLS</v>
      </c>
      <c r="AE1012" s="321" t="str">
        <f t="shared" si="445"/>
        <v>X-COLX</v>
      </c>
      <c r="AF1012" s="321" t="str">
        <f t="shared" si="446"/>
        <v>X-COLA</v>
      </c>
      <c r="AG1012" s="321">
        <f t="shared" si="437"/>
        <v>10</v>
      </c>
      <c r="AH1012" s="321">
        <f>IF(B1012&lt;&gt;"",IF(H1012="x",VLOOKUP(I1012,'AUX-NIV3'!B:AG,32,FALSE),0),"")</f>
        <v>0</v>
      </c>
      <c r="AI1012" s="321" t="str">
        <f t="shared" si="447"/>
        <v>X-COL</v>
      </c>
      <c r="AJ1012" s="320"/>
      <c r="AK1012" s="322">
        <f t="shared" si="438"/>
        <v>1010</v>
      </c>
      <c r="AL1012" s="323">
        <f t="shared" si="448"/>
        <v>1019</v>
      </c>
      <c r="AM1012" s="322">
        <f t="shared" si="449"/>
        <v>3</v>
      </c>
      <c r="AN1012" s="380">
        <f>IF(AND(AH1012&gt;0,B1012&lt;&gt;""),VLOOKUP(I1012,'AUX-NIV3'!$B:$AO,39,FALSE)*O1012,0)</f>
        <v>0</v>
      </c>
      <c r="AO1012" s="380">
        <f t="shared" si="439"/>
        <v>3.7333333333333329</v>
      </c>
      <c r="AP1012" s="380"/>
    </row>
    <row r="1013" spans="2:42" ht="14.4" hidden="1" thickTop="1" thickBot="1">
      <c r="B1013" s="501" t="s">
        <v>2897</v>
      </c>
      <c r="C1013" s="951" t="s">
        <v>2898</v>
      </c>
      <c r="D1013" s="326" t="s">
        <v>1160</v>
      </c>
      <c r="E1013" s="327">
        <f>IF(B1013&lt;&gt;"",SUMIF('AUX-NIV1'!I:I,'AUX-NIV2'!B1013,'AUX-NIV1'!Q:Q),"")</f>
        <v>0</v>
      </c>
      <c r="F1013" s="327">
        <f t="shared" si="429"/>
        <v>4223.8879328752682</v>
      </c>
      <c r="G1013" s="327">
        <f t="shared" si="430"/>
        <v>0</v>
      </c>
      <c r="H1013" s="328" t="str">
        <f t="shared" si="452"/>
        <v>A</v>
      </c>
      <c r="I1013" s="325" t="s">
        <v>3310</v>
      </c>
      <c r="J1013" s="329" t="str">
        <f>IF(B1013&lt;&gt;"",+VLOOKUP(I1013,Recursos!C:F,2,FALSE),"")</f>
        <v>OFICIAL ESPECIALIZADO</v>
      </c>
      <c r="K1013" s="330" t="str">
        <f>IF(B1013&lt;&gt;"",+VLOOKUP(I1013,Recursos!C:F,3,FALSE),"")</f>
        <v>hh</v>
      </c>
      <c r="L1013" s="327">
        <f>IF(B1013&lt;&gt;"",+VLOOKUP(I1013,Recursos!C:F,4,FALSE),"")</f>
        <v>581.06120476836554</v>
      </c>
      <c r="M1013" s="454"/>
      <c r="N1013" s="453">
        <v>2</v>
      </c>
      <c r="O1013" s="449">
        <f>+N1013/M1018*N1015</f>
        <v>0.53333333333333333</v>
      </c>
      <c r="P1013" s="333">
        <f t="shared" si="425"/>
        <v>309.89930920979498</v>
      </c>
      <c r="Q1013" s="327">
        <f t="shared" si="426"/>
        <v>0</v>
      </c>
      <c r="R1013" s="334">
        <f t="shared" si="427"/>
        <v>0</v>
      </c>
      <c r="S1013" s="335">
        <f t="shared" si="431"/>
        <v>1803.3722539863793</v>
      </c>
      <c r="T1013" s="335">
        <f t="shared" si="432"/>
        <v>2420.5156788888889</v>
      </c>
      <c r="U1013" s="336">
        <f t="shared" si="433"/>
        <v>0</v>
      </c>
      <c r="V1013" s="336">
        <f t="shared" si="434"/>
        <v>0</v>
      </c>
      <c r="W1013" s="336">
        <f t="shared" si="435"/>
        <v>0</v>
      </c>
      <c r="X1013" s="336">
        <f t="shared" si="436"/>
        <v>0</v>
      </c>
      <c r="Y1013" s="320"/>
      <c r="Z1013" s="321" t="str">
        <f t="shared" si="440"/>
        <v>X-COLA</v>
      </c>
      <c r="AA1013" s="321" t="str">
        <f t="shared" si="441"/>
        <v>X-COLE</v>
      </c>
      <c r="AB1013" s="321" t="str">
        <f t="shared" si="442"/>
        <v>X-COLM</v>
      </c>
      <c r="AC1013" s="321" t="str">
        <f t="shared" si="443"/>
        <v>X-COLT</v>
      </c>
      <c r="AD1013" s="321" t="str">
        <f t="shared" si="444"/>
        <v>X-COLS</v>
      </c>
      <c r="AE1013" s="321" t="str">
        <f t="shared" si="445"/>
        <v>X-COLX</v>
      </c>
      <c r="AF1013" s="321" t="str">
        <f t="shared" si="446"/>
        <v>X-COLA</v>
      </c>
      <c r="AG1013" s="321">
        <f t="shared" si="437"/>
        <v>10</v>
      </c>
      <c r="AH1013" s="321">
        <f>IF(B1013&lt;&gt;"",IF(H1013="x",VLOOKUP(I1013,'AUX-NIV3'!B:AG,32,FALSE),0),"")</f>
        <v>0</v>
      </c>
      <c r="AI1013" s="321" t="str">
        <f t="shared" si="447"/>
        <v>X-COL</v>
      </c>
      <c r="AJ1013" s="320"/>
      <c r="AK1013" s="322">
        <f t="shared" si="438"/>
        <v>1010</v>
      </c>
      <c r="AL1013" s="323">
        <f t="shared" si="448"/>
        <v>1019</v>
      </c>
      <c r="AM1013" s="322">
        <f t="shared" si="449"/>
        <v>4</v>
      </c>
      <c r="AN1013" s="380">
        <f>IF(AND(AH1013&gt;0,B1013&lt;&gt;""),VLOOKUP(I1013,'AUX-NIV3'!$B:$AO,39,FALSE)*O1013,0)</f>
        <v>0</v>
      </c>
      <c r="AO1013" s="380">
        <f t="shared" si="439"/>
        <v>3.7333333333333329</v>
      </c>
      <c r="AP1013" s="380"/>
    </row>
    <row r="1014" spans="2:42" ht="14.4" hidden="1" thickTop="1" thickBot="1">
      <c r="B1014" s="501" t="s">
        <v>2897</v>
      </c>
      <c r="C1014" s="951" t="s">
        <v>2898</v>
      </c>
      <c r="D1014" s="326" t="s">
        <v>1160</v>
      </c>
      <c r="E1014" s="327">
        <f>IF(B1014&lt;&gt;"",SUMIF('AUX-NIV1'!I:I,'AUX-NIV2'!B1014,'AUX-NIV1'!Q:Q),"")</f>
        <v>0</v>
      </c>
      <c r="F1014" s="327">
        <f t="shared" si="429"/>
        <v>4223.8879328752682</v>
      </c>
      <c r="G1014" s="327">
        <f t="shared" si="430"/>
        <v>0</v>
      </c>
      <c r="H1014" s="328" t="str">
        <f t="shared" si="452"/>
        <v>A</v>
      </c>
      <c r="I1014" s="325" t="s">
        <v>3310</v>
      </c>
      <c r="J1014" s="329" t="str">
        <f>IF(B1014&lt;&gt;"",+VLOOKUP(I1014,Recursos!C:F,2,FALSE),"")</f>
        <v>OFICIAL ESPECIALIZADO</v>
      </c>
      <c r="K1014" s="330" t="str">
        <f>IF(B1014&lt;&gt;"",+VLOOKUP(I1014,Recursos!C:F,3,FALSE),"")</f>
        <v>hh</v>
      </c>
      <c r="L1014" s="327">
        <f>IF(B1014&lt;&gt;"",+VLOOKUP(I1014,Recursos!C:F,4,FALSE),"")</f>
        <v>581.06120476836554</v>
      </c>
      <c r="M1014" s="454"/>
      <c r="N1014" s="453">
        <v>1</v>
      </c>
      <c r="O1014" s="449">
        <f>+N1014/M1018*N1015</f>
        <v>0.26666666666666666</v>
      </c>
      <c r="P1014" s="333">
        <f t="shared" si="425"/>
        <v>154.94965460489749</v>
      </c>
      <c r="Q1014" s="327">
        <f t="shared" si="426"/>
        <v>0</v>
      </c>
      <c r="R1014" s="334">
        <f t="shared" si="427"/>
        <v>0</v>
      </c>
      <c r="S1014" s="335">
        <f t="shared" si="431"/>
        <v>1803.3722539863793</v>
      </c>
      <c r="T1014" s="335">
        <f t="shared" si="432"/>
        <v>2420.5156788888889</v>
      </c>
      <c r="U1014" s="336">
        <f t="shared" si="433"/>
        <v>0</v>
      </c>
      <c r="V1014" s="336">
        <f t="shared" si="434"/>
        <v>0</v>
      </c>
      <c r="W1014" s="336">
        <f t="shared" si="435"/>
        <v>0</v>
      </c>
      <c r="X1014" s="336">
        <f t="shared" si="436"/>
        <v>0</v>
      </c>
      <c r="Y1014" s="320"/>
      <c r="Z1014" s="321" t="str">
        <f t="shared" si="440"/>
        <v>X-COLA</v>
      </c>
      <c r="AA1014" s="321" t="str">
        <f t="shared" si="441"/>
        <v>X-COLE</v>
      </c>
      <c r="AB1014" s="321" t="str">
        <f t="shared" si="442"/>
        <v>X-COLM</v>
      </c>
      <c r="AC1014" s="321" t="str">
        <f t="shared" si="443"/>
        <v>X-COLT</v>
      </c>
      <c r="AD1014" s="321" t="str">
        <f t="shared" si="444"/>
        <v>X-COLS</v>
      </c>
      <c r="AE1014" s="321" t="str">
        <f t="shared" si="445"/>
        <v>X-COLX</v>
      </c>
      <c r="AF1014" s="321" t="str">
        <f t="shared" si="446"/>
        <v>X-COLA</v>
      </c>
      <c r="AG1014" s="321">
        <f t="shared" si="437"/>
        <v>10</v>
      </c>
      <c r="AH1014" s="321">
        <f>IF(B1014&lt;&gt;"",IF(H1014="x",VLOOKUP(I1014,'AUX-NIV3'!B:AG,32,FALSE),0),"")</f>
        <v>0</v>
      </c>
      <c r="AI1014" s="321" t="str">
        <f t="shared" si="447"/>
        <v>X-COL</v>
      </c>
      <c r="AJ1014" s="320"/>
      <c r="AK1014" s="322">
        <f t="shared" si="438"/>
        <v>1010</v>
      </c>
      <c r="AL1014" s="323">
        <f t="shared" si="448"/>
        <v>1019</v>
      </c>
      <c r="AM1014" s="322">
        <f t="shared" si="449"/>
        <v>5</v>
      </c>
      <c r="AN1014" s="380">
        <f>IF(AND(AH1014&gt;0,B1014&lt;&gt;""),VLOOKUP(I1014,'AUX-NIV3'!$B:$AO,39,FALSE)*O1014,0)</f>
        <v>0</v>
      </c>
      <c r="AO1014" s="380">
        <f t="shared" si="439"/>
        <v>3.7333333333333329</v>
      </c>
      <c r="AP1014" s="380"/>
    </row>
    <row r="1015" spans="2:42" ht="14.4" hidden="1" thickTop="1" thickBot="1">
      <c r="B1015" s="501" t="s">
        <v>2897</v>
      </c>
      <c r="C1015" s="951" t="s">
        <v>2898</v>
      </c>
      <c r="D1015" s="326" t="s">
        <v>1160</v>
      </c>
      <c r="E1015" s="327">
        <f>IF(B1015&lt;&gt;"",SUMIF('AUX-NIV1'!I:I,'AUX-NIV2'!B1015,'AUX-NIV1'!Q:Q),"")</f>
        <v>0</v>
      </c>
      <c r="F1015" s="327">
        <f t="shared" si="429"/>
        <v>4223.8879328752682</v>
      </c>
      <c r="G1015" s="327">
        <f t="shared" si="430"/>
        <v>0</v>
      </c>
      <c r="H1015" s="328" t="str">
        <f t="shared" si="452"/>
        <v>A</v>
      </c>
      <c r="I1015" s="325" t="s">
        <v>1746</v>
      </c>
      <c r="J1015" s="329" t="str">
        <f>IF(B1015&lt;&gt;"",+VLOOKUP(I1015,Recursos!C:F,2,FALSE),"")</f>
        <v>OFICIAL</v>
      </c>
      <c r="K1015" s="330" t="str">
        <f>IF(B1015&lt;&gt;"",+VLOOKUP(I1015,Recursos!C:F,3,FALSE),"")</f>
        <v>hh</v>
      </c>
      <c r="L1015" s="327">
        <f>IF(B1015&lt;&gt;"",+VLOOKUP(I1015,Recursos!C:F,4,FALSE),"")</f>
        <v>496.91595439275824</v>
      </c>
      <c r="M1015" s="454"/>
      <c r="N1015" s="453">
        <v>1.6</v>
      </c>
      <c r="O1015" s="449">
        <f>+N1015/M1018</f>
        <v>0.26666666666666666</v>
      </c>
      <c r="P1015" s="333">
        <f t="shared" si="425"/>
        <v>132.5109211714022</v>
      </c>
      <c r="Q1015" s="327">
        <f t="shared" si="426"/>
        <v>0</v>
      </c>
      <c r="R1015" s="334">
        <f t="shared" si="427"/>
        <v>0</v>
      </c>
      <c r="S1015" s="335">
        <f t="shared" si="431"/>
        <v>1803.3722539863793</v>
      </c>
      <c r="T1015" s="335">
        <f t="shared" si="432"/>
        <v>2420.5156788888889</v>
      </c>
      <c r="U1015" s="336">
        <f t="shared" si="433"/>
        <v>0</v>
      </c>
      <c r="V1015" s="336">
        <f t="shared" si="434"/>
        <v>0</v>
      </c>
      <c r="W1015" s="336">
        <f t="shared" si="435"/>
        <v>0</v>
      </c>
      <c r="X1015" s="336">
        <f t="shared" si="436"/>
        <v>0</v>
      </c>
      <c r="Y1015" s="320"/>
      <c r="Z1015" s="321" t="str">
        <f t="shared" si="440"/>
        <v>X-COLA</v>
      </c>
      <c r="AA1015" s="321" t="str">
        <f t="shared" si="441"/>
        <v>X-COLE</v>
      </c>
      <c r="AB1015" s="321" t="str">
        <f t="shared" si="442"/>
        <v>X-COLM</v>
      </c>
      <c r="AC1015" s="321" t="str">
        <f t="shared" si="443"/>
        <v>X-COLT</v>
      </c>
      <c r="AD1015" s="321" t="str">
        <f t="shared" si="444"/>
        <v>X-COLS</v>
      </c>
      <c r="AE1015" s="321" t="str">
        <f t="shared" si="445"/>
        <v>X-COLX</v>
      </c>
      <c r="AF1015" s="321" t="str">
        <f t="shared" si="446"/>
        <v>X-COLA</v>
      </c>
      <c r="AG1015" s="321">
        <f t="shared" si="437"/>
        <v>10</v>
      </c>
      <c r="AH1015" s="321">
        <f>IF(B1015&lt;&gt;"",IF(H1015="x",VLOOKUP(I1015,'AUX-NIV3'!B:AG,32,FALSE),0),"")</f>
        <v>0</v>
      </c>
      <c r="AI1015" s="321" t="str">
        <f t="shared" si="447"/>
        <v>X-COL</v>
      </c>
      <c r="AJ1015" s="320"/>
      <c r="AK1015" s="322">
        <f t="shared" si="438"/>
        <v>1010</v>
      </c>
      <c r="AL1015" s="323">
        <f t="shared" si="448"/>
        <v>1019</v>
      </c>
      <c r="AM1015" s="322">
        <f t="shared" si="449"/>
        <v>6</v>
      </c>
      <c r="AN1015" s="380">
        <f>IF(AND(AH1015&gt;0,B1015&lt;&gt;""),VLOOKUP(I1015,'AUX-NIV3'!$B:$AO,39,FALSE)*O1015,0)</f>
        <v>0</v>
      </c>
      <c r="AO1015" s="380">
        <f t="shared" si="439"/>
        <v>3.7333333333333329</v>
      </c>
      <c r="AP1015" s="380"/>
    </row>
    <row r="1016" spans="2:42" ht="14.4" hidden="1" thickTop="1" thickBot="1">
      <c r="B1016" s="501" t="s">
        <v>2897</v>
      </c>
      <c r="C1016" s="951" t="s">
        <v>2898</v>
      </c>
      <c r="D1016" s="326" t="s">
        <v>1160</v>
      </c>
      <c r="E1016" s="327">
        <f>IF(B1016&lt;&gt;"",SUMIF('AUX-NIV1'!I:I,'AUX-NIV2'!B1016,'AUX-NIV1'!Q:Q),"")</f>
        <v>0</v>
      </c>
      <c r="F1016" s="327">
        <f t="shared" si="429"/>
        <v>4223.8879328752682</v>
      </c>
      <c r="G1016" s="327">
        <f t="shared" si="430"/>
        <v>0</v>
      </c>
      <c r="H1016" s="328" t="str">
        <f t="shared" si="452"/>
        <v>E</v>
      </c>
      <c r="I1016" s="325" t="s">
        <v>1692</v>
      </c>
      <c r="J1016" s="329" t="str">
        <f>IF(B1016&lt;&gt;"",+VLOOKUP(I1016,Recursos!C:F,2,FALSE),"")</f>
        <v>MOTOCOMPRESOR 7 m3/min-250 cfm</v>
      </c>
      <c r="K1016" s="330" t="str">
        <f>IF(B1016&lt;&gt;"",+VLOOKUP(I1016,Recursos!C:F,3,FALSE),"")</f>
        <v>HR</v>
      </c>
      <c r="L1016" s="327">
        <f>IF(B1016&lt;&gt;"",+VLOOKUP(I1016,Recursos!C:F,4,FALSE),"")</f>
        <v>942.82014000000004</v>
      </c>
      <c r="M1016" s="454"/>
      <c r="N1016" s="455"/>
      <c r="O1016" s="449">
        <f>1/M1018</f>
        <v>0.16666666666666666</v>
      </c>
      <c r="P1016" s="333">
        <f t="shared" si="425"/>
        <v>157.13668999999999</v>
      </c>
      <c r="Q1016" s="327">
        <f t="shared" si="426"/>
        <v>0</v>
      </c>
      <c r="R1016" s="334">
        <f t="shared" si="427"/>
        <v>0</v>
      </c>
      <c r="S1016" s="335">
        <f t="shared" si="431"/>
        <v>1803.3722539863793</v>
      </c>
      <c r="T1016" s="335">
        <f t="shared" si="432"/>
        <v>2420.5156788888889</v>
      </c>
      <c r="U1016" s="336">
        <f t="shared" si="433"/>
        <v>0</v>
      </c>
      <c r="V1016" s="336">
        <f t="shared" si="434"/>
        <v>0</v>
      </c>
      <c r="W1016" s="336">
        <f t="shared" si="435"/>
        <v>0</v>
      </c>
      <c r="X1016" s="336">
        <f t="shared" si="436"/>
        <v>0</v>
      </c>
      <c r="Y1016" s="320"/>
      <c r="Z1016" s="321" t="str">
        <f t="shared" si="440"/>
        <v>X-COLA</v>
      </c>
      <c r="AA1016" s="321" t="str">
        <f t="shared" si="441"/>
        <v>X-COLE</v>
      </c>
      <c r="AB1016" s="321" t="str">
        <f t="shared" si="442"/>
        <v>X-COLM</v>
      </c>
      <c r="AC1016" s="321" t="str">
        <f t="shared" si="443"/>
        <v>X-COLT</v>
      </c>
      <c r="AD1016" s="321" t="str">
        <f t="shared" si="444"/>
        <v>X-COLS</v>
      </c>
      <c r="AE1016" s="321" t="str">
        <f t="shared" si="445"/>
        <v>X-COLX</v>
      </c>
      <c r="AF1016" s="321" t="str">
        <f t="shared" si="446"/>
        <v>X-COLE</v>
      </c>
      <c r="AG1016" s="321">
        <f t="shared" si="437"/>
        <v>10</v>
      </c>
      <c r="AH1016" s="321">
        <f>IF(B1016&lt;&gt;"",IF(H1016="x",VLOOKUP(I1016,'AUX-NIV3'!B:AG,32,FALSE),0),"")</f>
        <v>0</v>
      </c>
      <c r="AI1016" s="321" t="str">
        <f t="shared" si="447"/>
        <v>X-COL</v>
      </c>
      <c r="AJ1016" s="320"/>
      <c r="AK1016" s="322">
        <f t="shared" si="438"/>
        <v>1010</v>
      </c>
      <c r="AL1016" s="323">
        <f t="shared" si="448"/>
        <v>1019</v>
      </c>
      <c r="AM1016" s="322">
        <f t="shared" si="449"/>
        <v>7</v>
      </c>
      <c r="AN1016" s="380">
        <f>IF(AND(AH1016&gt;0,B1016&lt;&gt;""),VLOOKUP(I1016,'AUX-NIV3'!$B:$AO,39,FALSE)*O1016,0)</f>
        <v>0</v>
      </c>
      <c r="AO1016" s="380">
        <f t="shared" si="439"/>
        <v>3.7333333333333329</v>
      </c>
      <c r="AP1016" s="380"/>
    </row>
    <row r="1017" spans="2:42" ht="14.4" hidden="1" thickTop="1" thickBot="1">
      <c r="B1017" s="501" t="s">
        <v>2897</v>
      </c>
      <c r="C1017" s="951" t="s">
        <v>2898</v>
      </c>
      <c r="D1017" s="326" t="s">
        <v>1160</v>
      </c>
      <c r="E1017" s="327">
        <f>IF(B1017&lt;&gt;"",SUMIF('AUX-NIV1'!I:I,'AUX-NIV2'!B1017,'AUX-NIV1'!Q:Q),"")</f>
        <v>0</v>
      </c>
      <c r="F1017" s="327">
        <f t="shared" si="429"/>
        <v>4223.8879328752682</v>
      </c>
      <c r="G1017" s="327">
        <f t="shared" si="430"/>
        <v>0</v>
      </c>
      <c r="H1017" s="328" t="str">
        <f t="shared" si="452"/>
        <v>E</v>
      </c>
      <c r="I1017" s="325" t="s">
        <v>1615</v>
      </c>
      <c r="J1017" s="329" t="str">
        <f>IF(B1017&lt;&gt;"",+VLOOKUP(I1017,Recursos!C:F,2,FALSE),"")</f>
        <v>CAMION MOTOHORMIGONERO CAP. 7 M3</v>
      </c>
      <c r="K1017" s="330" t="str">
        <f>IF(B1017&lt;&gt;"",+VLOOKUP(I1017,Recursos!C:F,3,FALSE),"")</f>
        <v>HR</v>
      </c>
      <c r="L1017" s="327">
        <f>IF(B1017&lt;&gt;"",+VLOOKUP(I1017,Recursos!C:F,4,FALSE),"")</f>
        <v>2415.7289999999998</v>
      </c>
      <c r="M1017" s="454"/>
      <c r="N1017" s="1531"/>
      <c r="O1017" s="449">
        <f>1/M1018*N1017</f>
        <v>0</v>
      </c>
      <c r="P1017" s="333">
        <f t="shared" ref="P1017:P1080" si="454">IF(B1017&lt;&gt;"",O1017*L1017,"")</f>
        <v>0</v>
      </c>
      <c r="Q1017" s="327">
        <f t="shared" ref="Q1017:Q1080" si="455">IF(B1017&lt;&gt;"",+O1017*E1017,"")</f>
        <v>0</v>
      </c>
      <c r="R1017" s="334">
        <f t="shared" ref="R1017:R1080" si="456">IF(B1017&lt;&gt;"",Q1017*L1017,"")</f>
        <v>0</v>
      </c>
      <c r="S1017" s="335">
        <f t="shared" si="431"/>
        <v>1803.3722539863793</v>
      </c>
      <c r="T1017" s="335">
        <f t="shared" si="432"/>
        <v>2420.5156788888889</v>
      </c>
      <c r="U1017" s="336">
        <f t="shared" si="433"/>
        <v>0</v>
      </c>
      <c r="V1017" s="336">
        <f t="shared" si="434"/>
        <v>0</v>
      </c>
      <c r="W1017" s="336">
        <f t="shared" si="435"/>
        <v>0</v>
      </c>
      <c r="X1017" s="336">
        <f t="shared" si="436"/>
        <v>0</v>
      </c>
      <c r="Y1017" s="320"/>
      <c r="Z1017" s="321" t="str">
        <f t="shared" si="440"/>
        <v>X-COLA</v>
      </c>
      <c r="AA1017" s="321" t="str">
        <f t="shared" si="441"/>
        <v>X-COLE</v>
      </c>
      <c r="AB1017" s="321" t="str">
        <f t="shared" si="442"/>
        <v>X-COLM</v>
      </c>
      <c r="AC1017" s="321" t="str">
        <f t="shared" si="443"/>
        <v>X-COLT</v>
      </c>
      <c r="AD1017" s="321" t="str">
        <f t="shared" si="444"/>
        <v>X-COLS</v>
      </c>
      <c r="AE1017" s="321" t="str">
        <f t="shared" si="445"/>
        <v>X-COLX</v>
      </c>
      <c r="AF1017" s="321" t="str">
        <f t="shared" si="446"/>
        <v>X-COLE</v>
      </c>
      <c r="AG1017" s="321">
        <f t="shared" si="437"/>
        <v>10</v>
      </c>
      <c r="AH1017" s="321">
        <f>IF(B1017&lt;&gt;"",IF(H1017="x",VLOOKUP(I1017,'AUX-NIV3'!B:AG,32,FALSE),0),"")</f>
        <v>0</v>
      </c>
      <c r="AI1017" s="321" t="str">
        <f t="shared" si="447"/>
        <v>X-COL</v>
      </c>
      <c r="AJ1017" s="320"/>
      <c r="AK1017" s="322">
        <f t="shared" si="438"/>
        <v>1010</v>
      </c>
      <c r="AL1017" s="323">
        <f t="shared" si="448"/>
        <v>1019</v>
      </c>
      <c r="AM1017" s="322">
        <f t="shared" si="449"/>
        <v>8</v>
      </c>
      <c r="AN1017" s="380">
        <f>IF(AND(AH1017&gt;0,B1017&lt;&gt;""),VLOOKUP(I1017,'AUX-NIV3'!$B:$AO,39,FALSE)*O1017,0)</f>
        <v>0</v>
      </c>
      <c r="AO1017" s="380">
        <f t="shared" si="439"/>
        <v>3.7333333333333329</v>
      </c>
      <c r="AP1017" s="380"/>
    </row>
    <row r="1018" spans="2:42" ht="14.4" hidden="1" thickTop="1" thickBot="1">
      <c r="B1018" s="501" t="s">
        <v>2897</v>
      </c>
      <c r="C1018" s="951" t="s">
        <v>2898</v>
      </c>
      <c r="D1018" s="326" t="s">
        <v>1160</v>
      </c>
      <c r="E1018" s="327">
        <f>IF(B1018&lt;&gt;"",SUMIF('AUX-NIV1'!I:I,'AUX-NIV2'!B1018,'AUX-NIV1'!Q:Q),"")</f>
        <v>0</v>
      </c>
      <c r="F1018" s="327">
        <f t="shared" si="429"/>
        <v>4223.8879328752682</v>
      </c>
      <c r="G1018" s="327">
        <f t="shared" si="430"/>
        <v>0</v>
      </c>
      <c r="H1018" s="328" t="str">
        <f t="shared" si="452"/>
        <v>E</v>
      </c>
      <c r="I1018" s="325" t="s">
        <v>1718</v>
      </c>
      <c r="J1018" s="329" t="str">
        <f>IF(B1018&lt;&gt;"",+VLOOKUP(I1018,Recursos!C:F,2,FALSE),"")</f>
        <v>BOMBA Hº S/CAMION C/PLUMA 90 m3/h</v>
      </c>
      <c r="K1018" s="330" t="str">
        <f>IF(B1018&lt;&gt;"",+VLOOKUP(I1018,Recursos!C:F,3,FALSE),"")</f>
        <v>HR</v>
      </c>
      <c r="L1018" s="327">
        <f>IF(B1018&lt;&gt;"",+VLOOKUP(I1018,Recursos!C:F,4,FALSE),"")</f>
        <v>4447.1589777777781</v>
      </c>
      <c r="M1018" s="452">
        <v>6</v>
      </c>
      <c r="N1018" s="1040">
        <v>3</v>
      </c>
      <c r="O1018" s="449">
        <f>1/M1018*N1018</f>
        <v>0.5</v>
      </c>
      <c r="P1018" s="333">
        <f t="shared" si="454"/>
        <v>2223.579488888889</v>
      </c>
      <c r="Q1018" s="327">
        <f t="shared" si="455"/>
        <v>0</v>
      </c>
      <c r="R1018" s="334">
        <f t="shared" si="456"/>
        <v>0</v>
      </c>
      <c r="S1018" s="335">
        <f t="shared" si="431"/>
        <v>1803.3722539863793</v>
      </c>
      <c r="T1018" s="335">
        <f t="shared" si="432"/>
        <v>2420.5156788888889</v>
      </c>
      <c r="U1018" s="336">
        <f t="shared" si="433"/>
        <v>0</v>
      </c>
      <c r="V1018" s="336">
        <f t="shared" si="434"/>
        <v>0</v>
      </c>
      <c r="W1018" s="336">
        <f t="shared" si="435"/>
        <v>0</v>
      </c>
      <c r="X1018" s="336">
        <f t="shared" si="436"/>
        <v>0</v>
      </c>
      <c r="Y1018" s="320"/>
      <c r="Z1018" s="321" t="str">
        <f t="shared" si="440"/>
        <v>X-COLA</v>
      </c>
      <c r="AA1018" s="321" t="str">
        <f t="shared" si="441"/>
        <v>X-COLE</v>
      </c>
      <c r="AB1018" s="321" t="str">
        <f t="shared" si="442"/>
        <v>X-COLM</v>
      </c>
      <c r="AC1018" s="321" t="str">
        <f t="shared" si="443"/>
        <v>X-COLT</v>
      </c>
      <c r="AD1018" s="321" t="str">
        <f t="shared" si="444"/>
        <v>X-COLS</v>
      </c>
      <c r="AE1018" s="321" t="str">
        <f t="shared" si="445"/>
        <v>X-COLX</v>
      </c>
      <c r="AF1018" s="321" t="str">
        <f t="shared" si="446"/>
        <v>X-COLE</v>
      </c>
      <c r="AG1018" s="321">
        <f t="shared" si="437"/>
        <v>10</v>
      </c>
      <c r="AH1018" s="321">
        <f>IF(B1018&lt;&gt;"",IF(H1018="x",VLOOKUP(I1018,'AUX-NIV3'!B:AG,32,FALSE),0),"")</f>
        <v>0</v>
      </c>
      <c r="AI1018" s="321" t="str">
        <f t="shared" si="447"/>
        <v>X-COL</v>
      </c>
      <c r="AJ1018" s="320"/>
      <c r="AK1018" s="322">
        <f t="shared" si="438"/>
        <v>1010</v>
      </c>
      <c r="AL1018" s="323">
        <f t="shared" si="448"/>
        <v>1019</v>
      </c>
      <c r="AM1018" s="322">
        <f t="shared" si="449"/>
        <v>9</v>
      </c>
      <c r="AN1018" s="380">
        <f>IF(AND(AH1018&gt;0,B1018&lt;&gt;""),VLOOKUP(I1018,'AUX-NIV3'!$B:$AO,39,FALSE)*O1018,0)</f>
        <v>0</v>
      </c>
      <c r="AO1018" s="380">
        <f t="shared" si="439"/>
        <v>3.7333333333333329</v>
      </c>
      <c r="AP1018" s="380"/>
    </row>
    <row r="1019" spans="2:42" ht="14.4" hidden="1" thickTop="1" thickBot="1">
      <c r="B1019" s="501" t="s">
        <v>2897</v>
      </c>
      <c r="C1019" s="951" t="s">
        <v>2898</v>
      </c>
      <c r="D1019" s="326" t="s">
        <v>1160</v>
      </c>
      <c r="E1019" s="327">
        <f>IF(B1019&lt;&gt;"",SUMIF('AUX-NIV1'!I:I,'AUX-NIV2'!B1019,'AUX-NIV1'!Q:Q),"")</f>
        <v>0</v>
      </c>
      <c r="F1019" s="327">
        <f t="shared" si="429"/>
        <v>4223.8879328752682</v>
      </c>
      <c r="G1019" s="327">
        <f t="shared" si="430"/>
        <v>0</v>
      </c>
      <c r="H1019" s="328" t="str">
        <f t="shared" si="452"/>
        <v>E</v>
      </c>
      <c r="I1019" s="325" t="s">
        <v>1625</v>
      </c>
      <c r="J1019" s="329" t="str">
        <f>IF(B1019&lt;&gt;"",+VLOOKUP(I1019,Recursos!C:F,2,FALSE),"")</f>
        <v>VIBRADOR DE INMERSION d=57 mm (NE)</v>
      </c>
      <c r="K1019" s="330" t="str">
        <f>IF(B1019&lt;&gt;"",+VLOOKUP(I1019,Recursos!C:F,3,FALSE),"")</f>
        <v>HR</v>
      </c>
      <c r="L1019" s="327">
        <f>IF(B1019&lt;&gt;"",+VLOOKUP(I1019,Recursos!C:F,4,FALSE),"")</f>
        <v>79.599000000000004</v>
      </c>
      <c r="M1019" s="456"/>
      <c r="N1019" s="451">
        <v>3</v>
      </c>
      <c r="O1019" s="449">
        <f>+N1019/M1018</f>
        <v>0.5</v>
      </c>
      <c r="P1019" s="333">
        <f t="shared" si="454"/>
        <v>39.799500000000002</v>
      </c>
      <c r="Q1019" s="327">
        <f t="shared" si="455"/>
        <v>0</v>
      </c>
      <c r="R1019" s="334">
        <f t="shared" si="456"/>
        <v>0</v>
      </c>
      <c r="S1019" s="335">
        <f t="shared" si="431"/>
        <v>1803.3722539863793</v>
      </c>
      <c r="T1019" s="335">
        <f t="shared" si="432"/>
        <v>2420.5156788888889</v>
      </c>
      <c r="U1019" s="336">
        <f t="shared" si="433"/>
        <v>0</v>
      </c>
      <c r="V1019" s="336">
        <f t="shared" si="434"/>
        <v>0</v>
      </c>
      <c r="W1019" s="336">
        <f t="shared" si="435"/>
        <v>0</v>
      </c>
      <c r="X1019" s="336">
        <f t="shared" si="436"/>
        <v>0</v>
      </c>
      <c r="Y1019" s="320"/>
      <c r="Z1019" s="321" t="str">
        <f t="shared" si="440"/>
        <v>X-COLA</v>
      </c>
      <c r="AA1019" s="321" t="str">
        <f t="shared" si="441"/>
        <v>X-COLE</v>
      </c>
      <c r="AB1019" s="321" t="str">
        <f t="shared" si="442"/>
        <v>X-COLM</v>
      </c>
      <c r="AC1019" s="321" t="str">
        <f t="shared" si="443"/>
        <v>X-COLT</v>
      </c>
      <c r="AD1019" s="321" t="str">
        <f t="shared" si="444"/>
        <v>X-COLS</v>
      </c>
      <c r="AE1019" s="321" t="str">
        <f t="shared" si="445"/>
        <v>X-COLX</v>
      </c>
      <c r="AF1019" s="321" t="str">
        <f t="shared" si="446"/>
        <v>X-COLE</v>
      </c>
      <c r="AG1019" s="321">
        <f t="shared" si="437"/>
        <v>10</v>
      </c>
      <c r="AH1019" s="321">
        <f>IF(B1019&lt;&gt;"",IF(H1019="x",VLOOKUP(I1019,'AUX-NIV3'!B:AG,32,FALSE),0),"")</f>
        <v>0</v>
      </c>
      <c r="AI1019" s="321" t="str">
        <f t="shared" si="447"/>
        <v>X-COL</v>
      </c>
      <c r="AJ1019" s="320"/>
      <c r="AK1019" s="322">
        <f t="shared" si="438"/>
        <v>1010</v>
      </c>
      <c r="AL1019" s="323">
        <f t="shared" si="448"/>
        <v>1019</v>
      </c>
      <c r="AM1019" s="322">
        <f t="shared" si="449"/>
        <v>10</v>
      </c>
      <c r="AN1019" s="380">
        <f>IF(AND(AH1019&gt;0,B1019&lt;&gt;""),VLOOKUP(I1019,'AUX-NIV3'!$B:$AO,39,FALSE)*O1019,0)</f>
        <v>0</v>
      </c>
      <c r="AO1019" s="380">
        <f t="shared" si="439"/>
        <v>3.7333333333333329</v>
      </c>
      <c r="AP1019" s="380"/>
    </row>
    <row r="1020" spans="2:42" ht="14.4" hidden="1" thickTop="1" thickBot="1">
      <c r="B1020" s="324" t="s">
        <v>2899</v>
      </c>
      <c r="C1020" s="325" t="s">
        <v>2900</v>
      </c>
      <c r="D1020" s="326" t="s">
        <v>501</v>
      </c>
      <c r="E1020" s="327">
        <f>IF(B1020&lt;&gt;"",SUMIF('AUX-NIV1'!I:I,'AUX-NIV2'!B1020,'AUX-NIV1'!Q:Q),"")</f>
        <v>0</v>
      </c>
      <c r="F1020" s="327">
        <f t="shared" si="429"/>
        <v>5273.5946945936521</v>
      </c>
      <c r="G1020" s="327">
        <f t="shared" si="430"/>
        <v>0</v>
      </c>
      <c r="H1020" s="328" t="str">
        <f t="shared" si="452"/>
        <v>A</v>
      </c>
      <c r="I1020" s="325" t="s">
        <v>1745</v>
      </c>
      <c r="J1020" s="329" t="str">
        <f>IF(B1020&lt;&gt;"",+VLOOKUP(I1020,Recursos!C:F,2,FALSE),"")</f>
        <v>AYUDANTE</v>
      </c>
      <c r="K1020" s="330" t="str">
        <f>IF(B1020&lt;&gt;"",+VLOOKUP(I1020,Recursos!C:F,3,FALSE),"")</f>
        <v>hh</v>
      </c>
      <c r="L1020" s="446">
        <f>IF(B1020&lt;&gt;"",+VLOOKUP(I1020,Recursos!C:F,4,FALSE),"")</f>
        <v>422.48042769667234</v>
      </c>
      <c r="M1020" s="447">
        <v>2</v>
      </c>
      <c r="N1020" s="510"/>
      <c r="O1020" s="449">
        <f t="shared" ref="O1020:O1033" si="457">+M1020</f>
        <v>2</v>
      </c>
      <c r="P1020" s="333">
        <f t="shared" si="454"/>
        <v>844.96085539334467</v>
      </c>
      <c r="Q1020" s="327">
        <f t="shared" si="455"/>
        <v>0</v>
      </c>
      <c r="R1020" s="334">
        <f t="shared" si="456"/>
        <v>0</v>
      </c>
      <c r="S1020" s="335">
        <f t="shared" si="431"/>
        <v>3369.1130803345936</v>
      </c>
      <c r="T1020" s="335">
        <f t="shared" si="432"/>
        <v>118.90361250000001</v>
      </c>
      <c r="U1020" s="336">
        <f t="shared" si="433"/>
        <v>1785.578001759058</v>
      </c>
      <c r="V1020" s="336">
        <f t="shared" si="434"/>
        <v>0</v>
      </c>
      <c r="W1020" s="336">
        <f t="shared" si="435"/>
        <v>0</v>
      </c>
      <c r="X1020" s="336">
        <f t="shared" si="436"/>
        <v>0</v>
      </c>
      <c r="Y1020" s="320"/>
      <c r="Z1020" s="321" t="str">
        <f t="shared" si="440"/>
        <v>X-ENCA</v>
      </c>
      <c r="AA1020" s="321" t="str">
        <f t="shared" si="441"/>
        <v>X-ENCE</v>
      </c>
      <c r="AB1020" s="321" t="str">
        <f t="shared" si="442"/>
        <v>X-ENCM</v>
      </c>
      <c r="AC1020" s="321" t="str">
        <f t="shared" si="443"/>
        <v>X-ENCT</v>
      </c>
      <c r="AD1020" s="321" t="str">
        <f t="shared" si="444"/>
        <v>X-ENCS</v>
      </c>
      <c r="AE1020" s="321" t="str">
        <f t="shared" si="445"/>
        <v>X-ENCX</v>
      </c>
      <c r="AF1020" s="321" t="str">
        <f t="shared" si="446"/>
        <v>X-ENCA</v>
      </c>
      <c r="AG1020" s="321">
        <f t="shared" si="437"/>
        <v>14</v>
      </c>
      <c r="AH1020" s="321">
        <f>IF(B1020&lt;&gt;"",IF(H1020="x",VLOOKUP(I1020,'AUX-NIV3'!B:AG,32,FALSE),0),"")</f>
        <v>0</v>
      </c>
      <c r="AI1020" s="321" t="str">
        <f t="shared" si="447"/>
        <v>X-ENC</v>
      </c>
      <c r="AJ1020" s="320"/>
      <c r="AK1020" s="322">
        <f t="shared" si="438"/>
        <v>1020</v>
      </c>
      <c r="AL1020" s="323">
        <f t="shared" si="448"/>
        <v>1033</v>
      </c>
      <c r="AM1020" s="322">
        <f t="shared" si="449"/>
        <v>1</v>
      </c>
      <c r="AN1020" s="380">
        <f>IF(AND(AH1020&gt;0,B1020&lt;&gt;""),VLOOKUP(I1020,'AUX-NIV3'!$B:$AO,39,FALSE)*O1020,0)</f>
        <v>0</v>
      </c>
      <c r="AO1020" s="380">
        <f t="shared" si="439"/>
        <v>7.0625</v>
      </c>
      <c r="AP1020" s="380"/>
    </row>
    <row r="1021" spans="2:42" ht="14.4" hidden="1" thickTop="1" thickBot="1">
      <c r="B1021" s="324" t="s">
        <v>2899</v>
      </c>
      <c r="C1021" s="325" t="s">
        <v>2900</v>
      </c>
      <c r="D1021" s="326" t="s">
        <v>501</v>
      </c>
      <c r="E1021" s="327">
        <f>IF(B1021&lt;&gt;"",SUMIF('AUX-NIV1'!I:I,'AUX-NIV2'!B1021,'AUX-NIV1'!Q:Q),"")</f>
        <v>0</v>
      </c>
      <c r="F1021" s="327">
        <f t="shared" si="429"/>
        <v>5273.5946945936521</v>
      </c>
      <c r="G1021" s="327">
        <f t="shared" si="430"/>
        <v>0</v>
      </c>
      <c r="H1021" s="328" t="str">
        <f t="shared" si="452"/>
        <v>A</v>
      </c>
      <c r="I1021" s="325" t="s">
        <v>1746</v>
      </c>
      <c r="J1021" s="329" t="str">
        <f>IF(B1021&lt;&gt;"",+VLOOKUP(I1021,Recursos!C:F,2,FALSE),"")</f>
        <v>OFICIAL</v>
      </c>
      <c r="K1021" s="330" t="str">
        <f>IF(B1021&lt;&gt;"",+VLOOKUP(I1021,Recursos!C:F,3,FALSE),"")</f>
        <v>hh</v>
      </c>
      <c r="L1021" s="446">
        <f>IF(B1021&lt;&gt;"",+VLOOKUP(I1021,Recursos!C:F,4,FALSE),"")</f>
        <v>496.91595439275824</v>
      </c>
      <c r="M1021" s="452">
        <v>2</v>
      </c>
      <c r="N1021" s="508"/>
      <c r="O1021" s="449">
        <f t="shared" si="457"/>
        <v>2</v>
      </c>
      <c r="P1021" s="333">
        <f t="shared" si="454"/>
        <v>993.83190878551648</v>
      </c>
      <c r="Q1021" s="327">
        <f t="shared" si="455"/>
        <v>0</v>
      </c>
      <c r="R1021" s="334">
        <f t="shared" si="456"/>
        <v>0</v>
      </c>
      <c r="S1021" s="335">
        <f t="shared" si="431"/>
        <v>3369.1130803345936</v>
      </c>
      <c r="T1021" s="335">
        <f t="shared" si="432"/>
        <v>118.90361250000001</v>
      </c>
      <c r="U1021" s="336">
        <f t="shared" si="433"/>
        <v>1785.578001759058</v>
      </c>
      <c r="V1021" s="336">
        <f t="shared" si="434"/>
        <v>0</v>
      </c>
      <c r="W1021" s="336">
        <f t="shared" si="435"/>
        <v>0</v>
      </c>
      <c r="X1021" s="336">
        <f t="shared" si="436"/>
        <v>0</v>
      </c>
      <c r="Y1021" s="320"/>
      <c r="Z1021" s="321" t="str">
        <f t="shared" si="440"/>
        <v>X-ENCA</v>
      </c>
      <c r="AA1021" s="321" t="str">
        <f t="shared" si="441"/>
        <v>X-ENCE</v>
      </c>
      <c r="AB1021" s="321" t="str">
        <f t="shared" si="442"/>
        <v>X-ENCM</v>
      </c>
      <c r="AC1021" s="321" t="str">
        <f t="shared" si="443"/>
        <v>X-ENCT</v>
      </c>
      <c r="AD1021" s="321" t="str">
        <f t="shared" si="444"/>
        <v>X-ENCS</v>
      </c>
      <c r="AE1021" s="321" t="str">
        <f t="shared" si="445"/>
        <v>X-ENCX</v>
      </c>
      <c r="AF1021" s="321" t="str">
        <f t="shared" si="446"/>
        <v>X-ENCA</v>
      </c>
      <c r="AG1021" s="321">
        <f t="shared" si="437"/>
        <v>14</v>
      </c>
      <c r="AH1021" s="321">
        <f>IF(B1021&lt;&gt;"",IF(H1021="x",VLOOKUP(I1021,'AUX-NIV3'!B:AG,32,FALSE),0),"")</f>
        <v>0</v>
      </c>
      <c r="AI1021" s="321" t="str">
        <f t="shared" si="447"/>
        <v>X-ENC</v>
      </c>
      <c r="AJ1021" s="320"/>
      <c r="AK1021" s="322">
        <f t="shared" si="438"/>
        <v>1020</v>
      </c>
      <c r="AL1021" s="323">
        <f t="shared" si="448"/>
        <v>1033</v>
      </c>
      <c r="AM1021" s="322">
        <f t="shared" si="449"/>
        <v>2</v>
      </c>
      <c r="AN1021" s="380">
        <f>IF(AND(AH1021&gt;0,B1021&lt;&gt;""),VLOOKUP(I1021,'AUX-NIV3'!$B:$AO,39,FALSE)*O1021,0)</f>
        <v>0</v>
      </c>
      <c r="AO1021" s="380">
        <f t="shared" si="439"/>
        <v>7.0625</v>
      </c>
      <c r="AP1021" s="380"/>
    </row>
    <row r="1022" spans="2:42" ht="14.4" hidden="1" thickTop="1" thickBot="1">
      <c r="B1022" s="324" t="s">
        <v>2899</v>
      </c>
      <c r="C1022" s="325" t="s">
        <v>2900</v>
      </c>
      <c r="D1022" s="326" t="s">
        <v>501</v>
      </c>
      <c r="E1022" s="327">
        <f>IF(B1022&lt;&gt;"",SUMIF('AUX-NIV1'!I:I,'AUX-NIV2'!B1022,'AUX-NIV1'!Q:Q),"")</f>
        <v>0</v>
      </c>
      <c r="F1022" s="327">
        <f t="shared" si="429"/>
        <v>5273.5946945936521</v>
      </c>
      <c r="G1022" s="327">
        <f t="shared" si="430"/>
        <v>0</v>
      </c>
      <c r="H1022" s="328" t="str">
        <f t="shared" si="452"/>
        <v>A</v>
      </c>
      <c r="I1022" s="325" t="s">
        <v>3309</v>
      </c>
      <c r="J1022" s="329" t="str">
        <f>IF(B1022&lt;&gt;"",+VLOOKUP(I1022,Recursos!C:F,2,FALSE),"")</f>
        <v>MEDIO OFICIAL</v>
      </c>
      <c r="K1022" s="330" t="str">
        <f>IF(B1022&lt;&gt;"",+VLOOKUP(I1022,Recursos!C:F,3,FALSE),"")</f>
        <v>hh</v>
      </c>
      <c r="L1022" s="446">
        <f>IF(B1022&lt;&gt;"",+VLOOKUP(I1022,Recursos!C:F,4,FALSE),"")</f>
        <v>459.10093211890984</v>
      </c>
      <c r="M1022" s="452">
        <v>2</v>
      </c>
      <c r="N1022" s="508"/>
      <c r="O1022" s="449">
        <f t="shared" si="457"/>
        <v>2</v>
      </c>
      <c r="P1022" s="333">
        <f t="shared" si="454"/>
        <v>918.20186423781968</v>
      </c>
      <c r="Q1022" s="327">
        <f t="shared" si="455"/>
        <v>0</v>
      </c>
      <c r="R1022" s="334">
        <f t="shared" si="456"/>
        <v>0</v>
      </c>
      <c r="S1022" s="335">
        <f t="shared" si="431"/>
        <v>3369.1130803345936</v>
      </c>
      <c r="T1022" s="335">
        <f t="shared" si="432"/>
        <v>118.90361250000001</v>
      </c>
      <c r="U1022" s="336">
        <f t="shared" si="433"/>
        <v>1785.578001759058</v>
      </c>
      <c r="V1022" s="336">
        <f t="shared" si="434"/>
        <v>0</v>
      </c>
      <c r="W1022" s="336">
        <f t="shared" si="435"/>
        <v>0</v>
      </c>
      <c r="X1022" s="336">
        <f t="shared" si="436"/>
        <v>0</v>
      </c>
      <c r="Y1022" s="320"/>
      <c r="Z1022" s="321" t="str">
        <f t="shared" si="440"/>
        <v>X-ENCA</v>
      </c>
      <c r="AA1022" s="321" t="str">
        <f t="shared" si="441"/>
        <v>X-ENCE</v>
      </c>
      <c r="AB1022" s="321" t="str">
        <f t="shared" si="442"/>
        <v>X-ENCM</v>
      </c>
      <c r="AC1022" s="321" t="str">
        <f t="shared" si="443"/>
        <v>X-ENCT</v>
      </c>
      <c r="AD1022" s="321" t="str">
        <f t="shared" si="444"/>
        <v>X-ENCS</v>
      </c>
      <c r="AE1022" s="321" t="str">
        <f t="shared" si="445"/>
        <v>X-ENCX</v>
      </c>
      <c r="AF1022" s="321" t="str">
        <f t="shared" si="446"/>
        <v>X-ENCA</v>
      </c>
      <c r="AG1022" s="321">
        <f t="shared" si="437"/>
        <v>14</v>
      </c>
      <c r="AH1022" s="321">
        <f>IF(B1022&lt;&gt;"",IF(H1022="x",VLOOKUP(I1022,'AUX-NIV3'!B:AG,32,FALSE),0),"")</f>
        <v>0</v>
      </c>
      <c r="AI1022" s="321" t="str">
        <f t="shared" si="447"/>
        <v>X-ENC</v>
      </c>
      <c r="AJ1022" s="320"/>
      <c r="AK1022" s="322">
        <f t="shared" si="438"/>
        <v>1020</v>
      </c>
      <c r="AL1022" s="323">
        <f t="shared" si="448"/>
        <v>1033</v>
      </c>
      <c r="AM1022" s="322">
        <f t="shared" si="449"/>
        <v>3</v>
      </c>
      <c r="AN1022" s="380">
        <f>IF(AND(AH1022&gt;0,B1022&lt;&gt;""),VLOOKUP(I1022,'AUX-NIV3'!$B:$AO,39,FALSE)*O1022,0)</f>
        <v>0</v>
      </c>
      <c r="AO1022" s="380">
        <f t="shared" si="439"/>
        <v>7.0625</v>
      </c>
      <c r="AP1022" s="380"/>
    </row>
    <row r="1023" spans="2:42" ht="14.4" hidden="1" thickTop="1" thickBot="1">
      <c r="B1023" s="324" t="s">
        <v>2899</v>
      </c>
      <c r="C1023" s="325" t="s">
        <v>2900</v>
      </c>
      <c r="D1023" s="326" t="s">
        <v>501</v>
      </c>
      <c r="E1023" s="327">
        <f>IF(B1023&lt;&gt;"",SUMIF('AUX-NIV1'!I:I,'AUX-NIV2'!B1023,'AUX-NIV1'!Q:Q),"")</f>
        <v>0</v>
      </c>
      <c r="F1023" s="327">
        <f t="shared" si="429"/>
        <v>5273.5946945936521</v>
      </c>
      <c r="G1023" s="327">
        <f t="shared" si="430"/>
        <v>0</v>
      </c>
      <c r="H1023" s="328" t="str">
        <f t="shared" si="452"/>
        <v>A</v>
      </c>
      <c r="I1023" s="325" t="s">
        <v>3310</v>
      </c>
      <c r="J1023" s="329" t="str">
        <f>IF(B1023&lt;&gt;"",+VLOOKUP(I1023,Recursos!C:F,2,FALSE),"")</f>
        <v>OFICIAL ESPECIALIZADO</v>
      </c>
      <c r="K1023" s="330" t="str">
        <f>IF(B1023&lt;&gt;"",+VLOOKUP(I1023,Recursos!C:F,3,FALSE),"")</f>
        <v>hh</v>
      </c>
      <c r="L1023" s="446">
        <f>IF(B1023&lt;&gt;"",+VLOOKUP(I1023,Recursos!C:F,4,FALSE),"")</f>
        <v>581.06120476836554</v>
      </c>
      <c r="M1023" s="452">
        <v>1</v>
      </c>
      <c r="N1023" s="508"/>
      <c r="O1023" s="449">
        <f t="shared" si="457"/>
        <v>1</v>
      </c>
      <c r="P1023" s="333">
        <f t="shared" si="454"/>
        <v>581.06120476836554</v>
      </c>
      <c r="Q1023" s="327">
        <f t="shared" si="455"/>
        <v>0</v>
      </c>
      <c r="R1023" s="334">
        <f t="shared" si="456"/>
        <v>0</v>
      </c>
      <c r="S1023" s="335">
        <f t="shared" si="431"/>
        <v>3369.1130803345936</v>
      </c>
      <c r="T1023" s="335">
        <f t="shared" si="432"/>
        <v>118.90361250000001</v>
      </c>
      <c r="U1023" s="336">
        <f t="shared" si="433"/>
        <v>1785.578001759058</v>
      </c>
      <c r="V1023" s="336">
        <f t="shared" si="434"/>
        <v>0</v>
      </c>
      <c r="W1023" s="336">
        <f t="shared" si="435"/>
        <v>0</v>
      </c>
      <c r="X1023" s="336">
        <f t="shared" si="436"/>
        <v>0</v>
      </c>
      <c r="Y1023" s="320"/>
      <c r="Z1023" s="321" t="str">
        <f t="shared" si="440"/>
        <v>X-ENCA</v>
      </c>
      <c r="AA1023" s="321" t="str">
        <f t="shared" si="441"/>
        <v>X-ENCE</v>
      </c>
      <c r="AB1023" s="321" t="str">
        <f t="shared" si="442"/>
        <v>X-ENCM</v>
      </c>
      <c r="AC1023" s="321" t="str">
        <f t="shared" si="443"/>
        <v>X-ENCT</v>
      </c>
      <c r="AD1023" s="321" t="str">
        <f t="shared" si="444"/>
        <v>X-ENCS</v>
      </c>
      <c r="AE1023" s="321" t="str">
        <f t="shared" si="445"/>
        <v>X-ENCX</v>
      </c>
      <c r="AF1023" s="321" t="str">
        <f t="shared" si="446"/>
        <v>X-ENCA</v>
      </c>
      <c r="AG1023" s="321">
        <f t="shared" si="437"/>
        <v>14</v>
      </c>
      <c r="AH1023" s="321">
        <f>IF(B1023&lt;&gt;"",IF(H1023="x",VLOOKUP(I1023,'AUX-NIV3'!B:AG,32,FALSE),0),"")</f>
        <v>0</v>
      </c>
      <c r="AI1023" s="321" t="str">
        <f t="shared" si="447"/>
        <v>X-ENC</v>
      </c>
      <c r="AJ1023" s="320"/>
      <c r="AK1023" s="322">
        <f t="shared" si="438"/>
        <v>1020</v>
      </c>
      <c r="AL1023" s="323">
        <f t="shared" si="448"/>
        <v>1033</v>
      </c>
      <c r="AM1023" s="322">
        <f t="shared" si="449"/>
        <v>4</v>
      </c>
      <c r="AN1023" s="380">
        <f>IF(AND(AH1023&gt;0,B1023&lt;&gt;""),VLOOKUP(I1023,'AUX-NIV3'!$B:$AO,39,FALSE)*O1023,0)</f>
        <v>0</v>
      </c>
      <c r="AO1023" s="380">
        <f t="shared" si="439"/>
        <v>7.0625</v>
      </c>
      <c r="AP1023" s="380"/>
    </row>
    <row r="1024" spans="2:42" ht="14.4" hidden="1" thickTop="1" thickBot="1">
      <c r="B1024" s="324" t="s">
        <v>2899</v>
      </c>
      <c r="C1024" s="325" t="s">
        <v>2900</v>
      </c>
      <c r="D1024" s="326" t="s">
        <v>501</v>
      </c>
      <c r="E1024" s="327">
        <f>IF(B1024&lt;&gt;"",SUMIF('AUX-NIV1'!I:I,'AUX-NIV2'!B1024,'AUX-NIV1'!Q:Q),"")</f>
        <v>0</v>
      </c>
      <c r="F1024" s="327">
        <f t="shared" si="429"/>
        <v>5273.5946945936521</v>
      </c>
      <c r="G1024" s="327">
        <f t="shared" si="430"/>
        <v>0</v>
      </c>
      <c r="H1024" s="328" t="str">
        <f t="shared" si="452"/>
        <v>A</v>
      </c>
      <c r="I1024" s="325" t="s">
        <v>1746</v>
      </c>
      <c r="J1024" s="329" t="str">
        <f>IF(B1024&lt;&gt;"",+VLOOKUP(I1024,Recursos!C:F,2,FALSE),"")</f>
        <v>OFICIAL</v>
      </c>
      <c r="K1024" s="330" t="str">
        <f>IF(B1024&lt;&gt;"",+VLOOKUP(I1024,Recursos!C:F,3,FALSE),"")</f>
        <v>hh</v>
      </c>
      <c r="L1024" s="446">
        <f>IF(B1024&lt;&gt;"",+VLOOKUP(I1024,Recursos!C:F,4,FALSE),"")</f>
        <v>496.91595439275824</v>
      </c>
      <c r="M1024" s="511"/>
      <c r="N1024" s="994">
        <v>1.25</v>
      </c>
      <c r="O1024" s="449">
        <f>N1024*M1025</f>
        <v>6.25E-2</v>
      </c>
      <c r="P1024" s="333">
        <f t="shared" si="454"/>
        <v>31.05724714954739</v>
      </c>
      <c r="Q1024" s="327">
        <f t="shared" si="455"/>
        <v>0</v>
      </c>
      <c r="R1024" s="334">
        <f t="shared" si="456"/>
        <v>0</v>
      </c>
      <c r="S1024" s="335">
        <f t="shared" si="431"/>
        <v>3369.1130803345936</v>
      </c>
      <c r="T1024" s="335">
        <f t="shared" si="432"/>
        <v>118.90361250000001</v>
      </c>
      <c r="U1024" s="336">
        <f t="shared" si="433"/>
        <v>1785.578001759058</v>
      </c>
      <c r="V1024" s="336">
        <f t="shared" si="434"/>
        <v>0</v>
      </c>
      <c r="W1024" s="336">
        <f t="shared" si="435"/>
        <v>0</v>
      </c>
      <c r="X1024" s="336">
        <f t="shared" si="436"/>
        <v>0</v>
      </c>
      <c r="Y1024" s="320"/>
      <c r="Z1024" s="321" t="str">
        <f t="shared" si="440"/>
        <v>X-ENCA</v>
      </c>
      <c r="AA1024" s="321" t="str">
        <f t="shared" si="441"/>
        <v>X-ENCE</v>
      </c>
      <c r="AB1024" s="321" t="str">
        <f t="shared" si="442"/>
        <v>X-ENCM</v>
      </c>
      <c r="AC1024" s="321" t="str">
        <f t="shared" si="443"/>
        <v>X-ENCT</v>
      </c>
      <c r="AD1024" s="321" t="str">
        <f t="shared" si="444"/>
        <v>X-ENCS</v>
      </c>
      <c r="AE1024" s="321" t="str">
        <f t="shared" si="445"/>
        <v>X-ENCX</v>
      </c>
      <c r="AF1024" s="321" t="str">
        <f t="shared" si="446"/>
        <v>X-ENCA</v>
      </c>
      <c r="AG1024" s="321">
        <f t="shared" si="437"/>
        <v>14</v>
      </c>
      <c r="AH1024" s="321">
        <f>IF(B1024&lt;&gt;"",IF(H1024="x",VLOOKUP(I1024,'AUX-NIV3'!B:AG,32,FALSE),0),"")</f>
        <v>0</v>
      </c>
      <c r="AI1024" s="321" t="str">
        <f t="shared" si="447"/>
        <v>X-ENC</v>
      </c>
      <c r="AJ1024" s="320"/>
      <c r="AK1024" s="322">
        <f t="shared" si="438"/>
        <v>1020</v>
      </c>
      <c r="AL1024" s="323">
        <f t="shared" si="448"/>
        <v>1033</v>
      </c>
      <c r="AM1024" s="322">
        <f t="shared" si="449"/>
        <v>5</v>
      </c>
      <c r="AN1024" s="380">
        <f>IF(AND(AH1024&gt;0,B1024&lt;&gt;""),VLOOKUP(I1024,'AUX-NIV3'!$B:$AO,39,FALSE)*O1024,0)</f>
        <v>0</v>
      </c>
      <c r="AO1024" s="380">
        <f t="shared" si="439"/>
        <v>7.0625</v>
      </c>
      <c r="AP1024" s="380"/>
    </row>
    <row r="1025" spans="2:42" ht="14.4" hidden="1" thickTop="1" thickBot="1">
      <c r="B1025" s="324" t="s">
        <v>2899</v>
      </c>
      <c r="C1025" s="325" t="s">
        <v>2900</v>
      </c>
      <c r="D1025" s="326" t="s">
        <v>501</v>
      </c>
      <c r="E1025" s="327">
        <f>IF(B1025&lt;&gt;"",SUMIF('AUX-NIV1'!I:I,'AUX-NIV2'!B1025,'AUX-NIV1'!Q:Q),"")</f>
        <v>0</v>
      </c>
      <c r="F1025" s="327">
        <f t="shared" si="429"/>
        <v>5273.5946945936521</v>
      </c>
      <c r="G1025" s="327">
        <f t="shared" si="430"/>
        <v>0</v>
      </c>
      <c r="H1025" s="328" t="str">
        <f t="shared" si="452"/>
        <v>E</v>
      </c>
      <c r="I1025" s="325" t="s">
        <v>1597</v>
      </c>
      <c r="J1025" s="329" t="str">
        <f>IF(B1025&lt;&gt;"",+VLOOKUP(I1025,Recursos!C:F,2,FALSE),"")</f>
        <v>HIDROGRUA MONTADA S/CAMION (6 T)</v>
      </c>
      <c r="K1025" s="330" t="str">
        <f>IF(B1025&lt;&gt;"",+VLOOKUP(I1025,Recursos!C:F,3,FALSE),"")</f>
        <v>HR</v>
      </c>
      <c r="L1025" s="446">
        <f>IF(B1025&lt;&gt;"",+VLOOKUP(I1025,Recursos!C:F,4,FALSE),"")</f>
        <v>2378.0722500000002</v>
      </c>
      <c r="M1025" s="452">
        <v>0.05</v>
      </c>
      <c r="N1025" s="994">
        <v>1</v>
      </c>
      <c r="O1025" s="449">
        <f>N1025*M1025</f>
        <v>0.05</v>
      </c>
      <c r="P1025" s="333">
        <f t="shared" si="454"/>
        <v>118.90361250000001</v>
      </c>
      <c r="Q1025" s="327">
        <f t="shared" si="455"/>
        <v>0</v>
      </c>
      <c r="R1025" s="334">
        <f t="shared" si="456"/>
        <v>0</v>
      </c>
      <c r="S1025" s="335">
        <f t="shared" si="431"/>
        <v>3369.1130803345936</v>
      </c>
      <c r="T1025" s="335">
        <f t="shared" si="432"/>
        <v>118.90361250000001</v>
      </c>
      <c r="U1025" s="336">
        <f t="shared" si="433"/>
        <v>1785.578001759058</v>
      </c>
      <c r="V1025" s="336">
        <f t="shared" si="434"/>
        <v>0</v>
      </c>
      <c r="W1025" s="336">
        <f t="shared" si="435"/>
        <v>0</v>
      </c>
      <c r="X1025" s="336">
        <f t="shared" si="436"/>
        <v>0</v>
      </c>
      <c r="Y1025" s="320"/>
      <c r="Z1025" s="321" t="str">
        <f t="shared" si="440"/>
        <v>X-ENCA</v>
      </c>
      <c r="AA1025" s="321" t="str">
        <f t="shared" si="441"/>
        <v>X-ENCE</v>
      </c>
      <c r="AB1025" s="321" t="str">
        <f t="shared" si="442"/>
        <v>X-ENCM</v>
      </c>
      <c r="AC1025" s="321" t="str">
        <f t="shared" si="443"/>
        <v>X-ENCT</v>
      </c>
      <c r="AD1025" s="321" t="str">
        <f t="shared" si="444"/>
        <v>X-ENCS</v>
      </c>
      <c r="AE1025" s="321" t="str">
        <f t="shared" si="445"/>
        <v>X-ENCX</v>
      </c>
      <c r="AF1025" s="321" t="str">
        <f t="shared" si="446"/>
        <v>X-ENCE</v>
      </c>
      <c r="AG1025" s="321">
        <f t="shared" si="437"/>
        <v>14</v>
      </c>
      <c r="AH1025" s="321">
        <f>IF(B1025&lt;&gt;"",IF(H1025="x",VLOOKUP(I1025,'AUX-NIV3'!B:AG,32,FALSE),0),"")</f>
        <v>0</v>
      </c>
      <c r="AI1025" s="321" t="str">
        <f t="shared" si="447"/>
        <v>X-ENC</v>
      </c>
      <c r="AJ1025" s="320"/>
      <c r="AK1025" s="322">
        <f t="shared" si="438"/>
        <v>1020</v>
      </c>
      <c r="AL1025" s="323">
        <f t="shared" si="448"/>
        <v>1033</v>
      </c>
      <c r="AM1025" s="322">
        <f t="shared" si="449"/>
        <v>6</v>
      </c>
      <c r="AN1025" s="380">
        <f>IF(AND(AH1025&gt;0,B1025&lt;&gt;""),VLOOKUP(I1025,'AUX-NIV3'!$B:$AO,39,FALSE)*O1025,0)</f>
        <v>0</v>
      </c>
      <c r="AO1025" s="380">
        <f t="shared" si="439"/>
        <v>7.0625</v>
      </c>
      <c r="AP1025" s="380"/>
    </row>
    <row r="1026" spans="2:42" ht="14.4" hidden="1" thickTop="1" thickBot="1">
      <c r="B1026" s="324" t="s">
        <v>2899</v>
      </c>
      <c r="C1026" s="325" t="s">
        <v>2900</v>
      </c>
      <c r="D1026" s="326" t="s">
        <v>501</v>
      </c>
      <c r="E1026" s="327">
        <f>IF(B1026&lt;&gt;"",SUMIF('AUX-NIV1'!I:I,'AUX-NIV2'!B1026,'AUX-NIV1'!Q:Q),"")</f>
        <v>0</v>
      </c>
      <c r="F1026" s="327">
        <f t="shared" si="429"/>
        <v>5273.5946945936521</v>
      </c>
      <c r="G1026" s="327">
        <f t="shared" si="430"/>
        <v>0</v>
      </c>
      <c r="H1026" s="328" t="str">
        <f t="shared" si="452"/>
        <v>M</v>
      </c>
      <c r="I1026" s="325" t="s">
        <v>1855</v>
      </c>
      <c r="J1026" s="329" t="str">
        <f>IF(B1026&lt;&gt;"",+VLOOKUP(I1026,Recursos!C:F,2,FALSE),"")</f>
        <v>DESMOLDANTE</v>
      </c>
      <c r="K1026" s="330" t="str">
        <f>IF(B1026&lt;&gt;"",+VLOOKUP(I1026,Recursos!C:F,3,FALSE),"")</f>
        <v>Kg</v>
      </c>
      <c r="L1026" s="446">
        <f>IF(B1026&lt;&gt;"",+VLOOKUP(I1026,Recursos!C:F,4,FALSE),"")</f>
        <v>50.4</v>
      </c>
      <c r="M1026" s="452">
        <v>0.1</v>
      </c>
      <c r="N1026" s="508"/>
      <c r="O1026" s="449">
        <f t="shared" si="457"/>
        <v>0.1</v>
      </c>
      <c r="P1026" s="333">
        <f t="shared" si="454"/>
        <v>5.04</v>
      </c>
      <c r="Q1026" s="327">
        <f t="shared" si="455"/>
        <v>0</v>
      </c>
      <c r="R1026" s="334">
        <f t="shared" si="456"/>
        <v>0</v>
      </c>
      <c r="S1026" s="335">
        <f t="shared" si="431"/>
        <v>3369.1130803345936</v>
      </c>
      <c r="T1026" s="335">
        <f t="shared" si="432"/>
        <v>118.90361250000001</v>
      </c>
      <c r="U1026" s="336">
        <f t="shared" si="433"/>
        <v>1785.578001759058</v>
      </c>
      <c r="V1026" s="336">
        <f t="shared" si="434"/>
        <v>0</v>
      </c>
      <c r="W1026" s="336">
        <f t="shared" si="435"/>
        <v>0</v>
      </c>
      <c r="X1026" s="336">
        <f t="shared" si="436"/>
        <v>0</v>
      </c>
      <c r="Y1026" s="320"/>
      <c r="Z1026" s="321" t="str">
        <f t="shared" si="440"/>
        <v>X-ENCA</v>
      </c>
      <c r="AA1026" s="321" t="str">
        <f t="shared" si="441"/>
        <v>X-ENCE</v>
      </c>
      <c r="AB1026" s="321" t="str">
        <f t="shared" si="442"/>
        <v>X-ENCM</v>
      </c>
      <c r="AC1026" s="321" t="str">
        <f t="shared" si="443"/>
        <v>X-ENCT</v>
      </c>
      <c r="AD1026" s="321" t="str">
        <f t="shared" si="444"/>
        <v>X-ENCS</v>
      </c>
      <c r="AE1026" s="321" t="str">
        <f t="shared" si="445"/>
        <v>X-ENCX</v>
      </c>
      <c r="AF1026" s="321" t="str">
        <f t="shared" si="446"/>
        <v>X-ENCM</v>
      </c>
      <c r="AG1026" s="321">
        <f t="shared" si="437"/>
        <v>14</v>
      </c>
      <c r="AH1026" s="321">
        <f>IF(B1026&lt;&gt;"",IF(H1026="x",VLOOKUP(I1026,'AUX-NIV3'!B:AG,32,FALSE),0),"")</f>
        <v>0</v>
      </c>
      <c r="AI1026" s="321" t="str">
        <f t="shared" si="447"/>
        <v>X-ENC</v>
      </c>
      <c r="AJ1026" s="320"/>
      <c r="AK1026" s="322">
        <f t="shared" si="438"/>
        <v>1020</v>
      </c>
      <c r="AL1026" s="323">
        <f t="shared" si="448"/>
        <v>1033</v>
      </c>
      <c r="AM1026" s="322">
        <f t="shared" si="449"/>
        <v>7</v>
      </c>
      <c r="AN1026" s="380">
        <f>IF(AND(AH1026&gt;0,B1026&lt;&gt;""),VLOOKUP(I1026,'AUX-NIV3'!$B:$AO,39,FALSE)*O1026,0)</f>
        <v>0</v>
      </c>
      <c r="AO1026" s="380">
        <f t="shared" si="439"/>
        <v>7.0625</v>
      </c>
      <c r="AP1026" s="380"/>
    </row>
    <row r="1027" spans="2:42" ht="14.4" hidden="1" thickTop="1" thickBot="1">
      <c r="B1027" s="324" t="s">
        <v>2899</v>
      </c>
      <c r="C1027" s="325" t="s">
        <v>2900</v>
      </c>
      <c r="D1027" s="326" t="s">
        <v>501</v>
      </c>
      <c r="E1027" s="327">
        <f>IF(B1027&lt;&gt;"",SUMIF('AUX-NIV1'!I:I,'AUX-NIV2'!B1027,'AUX-NIV1'!Q:Q),"")</f>
        <v>0</v>
      </c>
      <c r="F1027" s="327">
        <f t="shared" si="429"/>
        <v>5273.5946945936521</v>
      </c>
      <c r="G1027" s="327">
        <f t="shared" si="430"/>
        <v>0</v>
      </c>
      <c r="H1027" s="328" t="str">
        <f t="shared" si="452"/>
        <v>M</v>
      </c>
      <c r="I1027" s="325" t="s">
        <v>1912</v>
      </c>
      <c r="J1027" s="329" t="str">
        <f>IF(B1027&lt;&gt;"",+VLOOKUP(I1027,Recursos!C:F,2,FALSE),"")</f>
        <v>FENOLICO ESP.= 19 MM (3/4")</v>
      </c>
      <c r="K1027" s="330" t="str">
        <f>IF(B1027&lt;&gt;"",+VLOOKUP(I1027,Recursos!C:F,3,FALSE),"")</f>
        <v>m2</v>
      </c>
      <c r="L1027" s="446">
        <f>IF(B1027&lt;&gt;"",+VLOOKUP(I1027,Recursos!C:F,4,FALSE),"")</f>
        <v>916.17600351811598</v>
      </c>
      <c r="M1027" s="452">
        <v>0.5</v>
      </c>
      <c r="N1027" s="508"/>
      <c r="O1027" s="449">
        <f t="shared" si="457"/>
        <v>0.5</v>
      </c>
      <c r="P1027" s="333">
        <f t="shared" si="454"/>
        <v>458.08800175905799</v>
      </c>
      <c r="Q1027" s="327">
        <f t="shared" si="455"/>
        <v>0</v>
      </c>
      <c r="R1027" s="334">
        <f t="shared" si="456"/>
        <v>0</v>
      </c>
      <c r="S1027" s="335">
        <f t="shared" si="431"/>
        <v>3369.1130803345936</v>
      </c>
      <c r="T1027" s="335">
        <f t="shared" si="432"/>
        <v>118.90361250000001</v>
      </c>
      <c r="U1027" s="336">
        <f t="shared" si="433"/>
        <v>1785.578001759058</v>
      </c>
      <c r="V1027" s="336">
        <f t="shared" si="434"/>
        <v>0</v>
      </c>
      <c r="W1027" s="336">
        <f t="shared" si="435"/>
        <v>0</v>
      </c>
      <c r="X1027" s="336">
        <f t="shared" si="436"/>
        <v>0</v>
      </c>
      <c r="Y1027" s="320"/>
      <c r="Z1027" s="321" t="str">
        <f t="shared" si="440"/>
        <v>X-ENCA</v>
      </c>
      <c r="AA1027" s="321" t="str">
        <f t="shared" si="441"/>
        <v>X-ENCE</v>
      </c>
      <c r="AB1027" s="321" t="str">
        <f t="shared" si="442"/>
        <v>X-ENCM</v>
      </c>
      <c r="AC1027" s="321" t="str">
        <f t="shared" si="443"/>
        <v>X-ENCT</v>
      </c>
      <c r="AD1027" s="321" t="str">
        <f t="shared" si="444"/>
        <v>X-ENCS</v>
      </c>
      <c r="AE1027" s="321" t="str">
        <f t="shared" si="445"/>
        <v>X-ENCX</v>
      </c>
      <c r="AF1027" s="321" t="str">
        <f t="shared" si="446"/>
        <v>X-ENCM</v>
      </c>
      <c r="AG1027" s="321">
        <f t="shared" si="437"/>
        <v>14</v>
      </c>
      <c r="AH1027" s="321">
        <f>IF(B1027&lt;&gt;"",IF(H1027="x",VLOOKUP(I1027,'AUX-NIV3'!B:AG,32,FALSE),0),"")</f>
        <v>0</v>
      </c>
      <c r="AI1027" s="321" t="str">
        <f t="shared" si="447"/>
        <v>X-ENC</v>
      </c>
      <c r="AJ1027" s="320"/>
      <c r="AK1027" s="322">
        <f t="shared" si="438"/>
        <v>1020</v>
      </c>
      <c r="AL1027" s="323">
        <f t="shared" si="448"/>
        <v>1033</v>
      </c>
      <c r="AM1027" s="322">
        <f t="shared" si="449"/>
        <v>8</v>
      </c>
      <c r="AN1027" s="380">
        <f>IF(AND(AH1027&gt;0,B1027&lt;&gt;""),VLOOKUP(I1027,'AUX-NIV3'!$B:$AO,39,FALSE)*O1027,0)</f>
        <v>0</v>
      </c>
      <c r="AO1027" s="380">
        <f t="shared" si="439"/>
        <v>7.0625</v>
      </c>
      <c r="AP1027" s="380"/>
    </row>
    <row r="1028" spans="2:42" ht="14.4" hidden="1" thickTop="1" thickBot="1">
      <c r="B1028" s="324" t="s">
        <v>2899</v>
      </c>
      <c r="C1028" s="325" t="s">
        <v>2900</v>
      </c>
      <c r="D1028" s="326" t="s">
        <v>501</v>
      </c>
      <c r="E1028" s="327">
        <f>IF(B1028&lt;&gt;"",SUMIF('AUX-NIV1'!I:I,'AUX-NIV2'!B1028,'AUX-NIV1'!Q:Q),"")</f>
        <v>0</v>
      </c>
      <c r="F1028" s="327">
        <f t="shared" si="429"/>
        <v>5273.5946945936521</v>
      </c>
      <c r="G1028" s="327">
        <f t="shared" si="430"/>
        <v>0</v>
      </c>
      <c r="H1028" s="328" t="str">
        <f t="shared" si="452"/>
        <v>M</v>
      </c>
      <c r="I1028" s="325" t="s">
        <v>1924</v>
      </c>
      <c r="J1028" s="329" t="str">
        <f>IF(B1028&lt;&gt;"",+VLOOKUP(I1028,Recursos!C:F,2,FALSE),"")</f>
        <v>CLAVO DE 2 A 4"</v>
      </c>
      <c r="K1028" s="330" t="str">
        <f>IF(B1028&lt;&gt;"",+VLOOKUP(I1028,Recursos!C:F,3,FALSE),"")</f>
        <v>Kg</v>
      </c>
      <c r="L1028" s="446">
        <f>IF(B1028&lt;&gt;"",+VLOOKUP(I1028,Recursos!C:F,4,FALSE),"")</f>
        <v>98.5</v>
      </c>
      <c r="M1028" s="452">
        <v>0.1</v>
      </c>
      <c r="N1028" s="508"/>
      <c r="O1028" s="449">
        <f t="shared" si="457"/>
        <v>0.1</v>
      </c>
      <c r="P1028" s="333">
        <f t="shared" si="454"/>
        <v>9.8500000000000014</v>
      </c>
      <c r="Q1028" s="327">
        <f t="shared" si="455"/>
        <v>0</v>
      </c>
      <c r="R1028" s="334">
        <f t="shared" si="456"/>
        <v>0</v>
      </c>
      <c r="S1028" s="335">
        <f t="shared" si="431"/>
        <v>3369.1130803345936</v>
      </c>
      <c r="T1028" s="335">
        <f t="shared" si="432"/>
        <v>118.90361250000001</v>
      </c>
      <c r="U1028" s="336">
        <f t="shared" si="433"/>
        <v>1785.578001759058</v>
      </c>
      <c r="V1028" s="336">
        <f t="shared" si="434"/>
        <v>0</v>
      </c>
      <c r="W1028" s="336">
        <f t="shared" si="435"/>
        <v>0</v>
      </c>
      <c r="X1028" s="336">
        <f t="shared" si="436"/>
        <v>0</v>
      </c>
      <c r="Y1028" s="320"/>
      <c r="Z1028" s="321" t="str">
        <f t="shared" si="440"/>
        <v>X-ENCA</v>
      </c>
      <c r="AA1028" s="321" t="str">
        <f t="shared" si="441"/>
        <v>X-ENCE</v>
      </c>
      <c r="AB1028" s="321" t="str">
        <f t="shared" si="442"/>
        <v>X-ENCM</v>
      </c>
      <c r="AC1028" s="321" t="str">
        <f t="shared" si="443"/>
        <v>X-ENCT</v>
      </c>
      <c r="AD1028" s="321" t="str">
        <f t="shared" si="444"/>
        <v>X-ENCS</v>
      </c>
      <c r="AE1028" s="321" t="str">
        <f t="shared" si="445"/>
        <v>X-ENCX</v>
      </c>
      <c r="AF1028" s="321" t="str">
        <f t="shared" si="446"/>
        <v>X-ENCM</v>
      </c>
      <c r="AG1028" s="321">
        <f t="shared" si="437"/>
        <v>14</v>
      </c>
      <c r="AH1028" s="321">
        <f>IF(B1028&lt;&gt;"",IF(H1028="x",VLOOKUP(I1028,'AUX-NIV3'!B:AG,32,FALSE),0),"")</f>
        <v>0</v>
      </c>
      <c r="AI1028" s="321" t="str">
        <f t="shared" si="447"/>
        <v>X-ENC</v>
      </c>
      <c r="AJ1028" s="320"/>
      <c r="AK1028" s="322">
        <f t="shared" si="438"/>
        <v>1020</v>
      </c>
      <c r="AL1028" s="323">
        <f t="shared" si="448"/>
        <v>1033</v>
      </c>
      <c r="AM1028" s="322">
        <f t="shared" si="449"/>
        <v>9</v>
      </c>
      <c r="AN1028" s="380">
        <f>IF(AND(AH1028&gt;0,B1028&lt;&gt;""),VLOOKUP(I1028,'AUX-NIV3'!$B:$AO,39,FALSE)*O1028,0)</f>
        <v>0</v>
      </c>
      <c r="AO1028" s="380">
        <f t="shared" si="439"/>
        <v>7.0625</v>
      </c>
      <c r="AP1028" s="380"/>
    </row>
    <row r="1029" spans="2:42" ht="14.4" hidden="1" thickTop="1" thickBot="1">
      <c r="B1029" s="324" t="s">
        <v>2899</v>
      </c>
      <c r="C1029" s="325" t="s">
        <v>2900</v>
      </c>
      <c r="D1029" s="326" t="s">
        <v>501</v>
      </c>
      <c r="E1029" s="327">
        <f>IF(B1029&lt;&gt;"",SUMIF('AUX-NIV1'!I:I,'AUX-NIV2'!B1029,'AUX-NIV1'!Q:Q),"")</f>
        <v>0</v>
      </c>
      <c r="F1029" s="327">
        <f t="shared" si="429"/>
        <v>5273.5946945936521</v>
      </c>
      <c r="G1029" s="327">
        <f t="shared" si="430"/>
        <v>0</v>
      </c>
      <c r="H1029" s="328" t="str">
        <f t="shared" si="452"/>
        <v>M</v>
      </c>
      <c r="I1029" s="325" t="s">
        <v>1926</v>
      </c>
      <c r="J1029" s="329" t="str">
        <f>IF(B1029&lt;&gt;"",+VLOOKUP(I1029,Recursos!C:F,2,FALSE),"")</f>
        <v>ALAMBRE RECOCIDO #16</v>
      </c>
      <c r="K1029" s="330" t="str">
        <f>IF(B1029&lt;&gt;"",+VLOOKUP(I1029,Recursos!C:F,3,FALSE),"")</f>
        <v>Kg</v>
      </c>
      <c r="L1029" s="446">
        <f>IF(B1029&lt;&gt;"",+VLOOKUP(I1029,Recursos!C:F,4,FALSE),"")</f>
        <v>175</v>
      </c>
      <c r="M1029" s="452">
        <v>0.2</v>
      </c>
      <c r="N1029" s="508"/>
      <c r="O1029" s="449">
        <f t="shared" si="457"/>
        <v>0.2</v>
      </c>
      <c r="P1029" s="333">
        <f t="shared" si="454"/>
        <v>35</v>
      </c>
      <c r="Q1029" s="327">
        <f t="shared" si="455"/>
        <v>0</v>
      </c>
      <c r="R1029" s="334">
        <f t="shared" si="456"/>
        <v>0</v>
      </c>
      <c r="S1029" s="335">
        <f t="shared" si="431"/>
        <v>3369.1130803345936</v>
      </c>
      <c r="T1029" s="335">
        <f t="shared" si="432"/>
        <v>118.90361250000001</v>
      </c>
      <c r="U1029" s="336">
        <f t="shared" si="433"/>
        <v>1785.578001759058</v>
      </c>
      <c r="V1029" s="336">
        <f t="shared" si="434"/>
        <v>0</v>
      </c>
      <c r="W1029" s="336">
        <f t="shared" si="435"/>
        <v>0</v>
      </c>
      <c r="X1029" s="336">
        <f t="shared" si="436"/>
        <v>0</v>
      </c>
      <c r="Y1029" s="320"/>
      <c r="Z1029" s="321" t="str">
        <f t="shared" si="440"/>
        <v>X-ENCA</v>
      </c>
      <c r="AA1029" s="321" t="str">
        <f t="shared" si="441"/>
        <v>X-ENCE</v>
      </c>
      <c r="AB1029" s="321" t="str">
        <f t="shared" si="442"/>
        <v>X-ENCM</v>
      </c>
      <c r="AC1029" s="321" t="str">
        <f t="shared" si="443"/>
        <v>X-ENCT</v>
      </c>
      <c r="AD1029" s="321" t="str">
        <f t="shared" si="444"/>
        <v>X-ENCS</v>
      </c>
      <c r="AE1029" s="321" t="str">
        <f t="shared" si="445"/>
        <v>X-ENCX</v>
      </c>
      <c r="AF1029" s="321" t="str">
        <f t="shared" si="446"/>
        <v>X-ENCM</v>
      </c>
      <c r="AG1029" s="321">
        <f t="shared" si="437"/>
        <v>14</v>
      </c>
      <c r="AH1029" s="321">
        <f>IF(B1029&lt;&gt;"",IF(H1029="x",VLOOKUP(I1029,'AUX-NIV3'!B:AG,32,FALSE),0),"")</f>
        <v>0</v>
      </c>
      <c r="AI1029" s="321" t="str">
        <f t="shared" si="447"/>
        <v>X-ENC</v>
      </c>
      <c r="AJ1029" s="320"/>
      <c r="AK1029" s="322">
        <f t="shared" si="438"/>
        <v>1020</v>
      </c>
      <c r="AL1029" s="323">
        <f t="shared" si="448"/>
        <v>1033</v>
      </c>
      <c r="AM1029" s="322">
        <f t="shared" si="449"/>
        <v>10</v>
      </c>
      <c r="AN1029" s="380">
        <f>IF(AND(AH1029&gt;0,B1029&lt;&gt;""),VLOOKUP(I1029,'AUX-NIV3'!$B:$AO,39,FALSE)*O1029,0)</f>
        <v>0</v>
      </c>
      <c r="AO1029" s="380">
        <f t="shared" si="439"/>
        <v>7.0625</v>
      </c>
      <c r="AP1029" s="380"/>
    </row>
    <row r="1030" spans="2:42" ht="14.4" hidden="1" thickTop="1" thickBot="1">
      <c r="B1030" s="324" t="s">
        <v>2899</v>
      </c>
      <c r="C1030" s="325" t="s">
        <v>2900</v>
      </c>
      <c r="D1030" s="326" t="s">
        <v>501</v>
      </c>
      <c r="E1030" s="327">
        <f>IF(B1030&lt;&gt;"",SUMIF('AUX-NIV1'!I:I,'AUX-NIV2'!B1030,'AUX-NIV1'!Q:Q),"")</f>
        <v>0</v>
      </c>
      <c r="F1030" s="327">
        <f t="shared" si="429"/>
        <v>5273.5946945936521</v>
      </c>
      <c r="G1030" s="327">
        <f t="shared" si="430"/>
        <v>0</v>
      </c>
      <c r="H1030" s="328" t="str">
        <f t="shared" si="452"/>
        <v>M</v>
      </c>
      <c r="I1030" s="325" t="s">
        <v>1940</v>
      </c>
      <c r="J1030" s="329" t="str">
        <f>IF(B1030&lt;&gt;"",+VLOOKUP(I1030,Recursos!C:F,2,FALSE),"")</f>
        <v>TORRE DE APUNTALAMIENTO 1,5x1,5</v>
      </c>
      <c r="K1030" s="330" t="str">
        <f>IF(B1030&lt;&gt;"",+VLOOKUP(I1030,Recursos!C:F,3,FALSE),"")</f>
        <v>m</v>
      </c>
      <c r="L1030" s="446">
        <f>IF(B1030&lt;&gt;"",+VLOOKUP(I1030,Recursos!C:F,4,FALSE),"")</f>
        <v>1500</v>
      </c>
      <c r="M1030" s="452">
        <v>0.01</v>
      </c>
      <c r="N1030" s="508"/>
      <c r="O1030" s="449">
        <f t="shared" si="457"/>
        <v>0.01</v>
      </c>
      <c r="P1030" s="333">
        <f t="shared" si="454"/>
        <v>15</v>
      </c>
      <c r="Q1030" s="327">
        <f t="shared" si="455"/>
        <v>0</v>
      </c>
      <c r="R1030" s="334">
        <f t="shared" si="456"/>
        <v>0</v>
      </c>
      <c r="S1030" s="335">
        <f t="shared" si="431"/>
        <v>3369.1130803345936</v>
      </c>
      <c r="T1030" s="335">
        <f t="shared" si="432"/>
        <v>118.90361250000001</v>
      </c>
      <c r="U1030" s="336">
        <f t="shared" si="433"/>
        <v>1785.578001759058</v>
      </c>
      <c r="V1030" s="336">
        <f t="shared" si="434"/>
        <v>0</v>
      </c>
      <c r="W1030" s="336">
        <f t="shared" si="435"/>
        <v>0</v>
      </c>
      <c r="X1030" s="336">
        <f t="shared" si="436"/>
        <v>0</v>
      </c>
      <c r="Y1030" s="320"/>
      <c r="Z1030" s="321" t="str">
        <f t="shared" si="440"/>
        <v>X-ENCA</v>
      </c>
      <c r="AA1030" s="321" t="str">
        <f t="shared" si="441"/>
        <v>X-ENCE</v>
      </c>
      <c r="AB1030" s="321" t="str">
        <f t="shared" si="442"/>
        <v>X-ENCM</v>
      </c>
      <c r="AC1030" s="321" t="str">
        <f t="shared" si="443"/>
        <v>X-ENCT</v>
      </c>
      <c r="AD1030" s="321" t="str">
        <f t="shared" si="444"/>
        <v>X-ENCS</v>
      </c>
      <c r="AE1030" s="321" t="str">
        <f t="shared" si="445"/>
        <v>X-ENCX</v>
      </c>
      <c r="AF1030" s="321" t="str">
        <f t="shared" si="446"/>
        <v>X-ENCM</v>
      </c>
      <c r="AG1030" s="321">
        <f t="shared" si="437"/>
        <v>14</v>
      </c>
      <c r="AH1030" s="321">
        <f>IF(B1030&lt;&gt;"",IF(H1030="x",VLOOKUP(I1030,'AUX-NIV3'!B:AG,32,FALSE),0),"")</f>
        <v>0</v>
      </c>
      <c r="AI1030" s="321" t="str">
        <f t="shared" si="447"/>
        <v>X-ENC</v>
      </c>
      <c r="AJ1030" s="320"/>
      <c r="AK1030" s="322">
        <f t="shared" si="438"/>
        <v>1020</v>
      </c>
      <c r="AL1030" s="323">
        <f t="shared" si="448"/>
        <v>1033</v>
      </c>
      <c r="AM1030" s="322">
        <f t="shared" si="449"/>
        <v>11</v>
      </c>
      <c r="AN1030" s="380">
        <f>IF(AND(AH1030&gt;0,B1030&lt;&gt;""),VLOOKUP(I1030,'AUX-NIV3'!$B:$AO,39,FALSE)*O1030,0)</f>
        <v>0</v>
      </c>
      <c r="AO1030" s="380">
        <f t="shared" si="439"/>
        <v>7.0625</v>
      </c>
      <c r="AP1030" s="380"/>
    </row>
    <row r="1031" spans="2:42" ht="14.4" hidden="1" thickTop="1" thickBot="1">
      <c r="B1031" s="324" t="s">
        <v>2899</v>
      </c>
      <c r="C1031" s="325" t="s">
        <v>2900</v>
      </c>
      <c r="D1031" s="326" t="s">
        <v>501</v>
      </c>
      <c r="E1031" s="327">
        <f>IF(B1031&lt;&gt;"",SUMIF('AUX-NIV1'!I:I,'AUX-NIV2'!B1031,'AUX-NIV1'!Q:Q),"")</f>
        <v>0</v>
      </c>
      <c r="F1031" s="327">
        <f t="shared" ref="F1031:F1094" si="458">IF(B1031&lt;&gt;"",+SUMIF(B:B,B1031,P:P),"")</f>
        <v>5273.5946945936521</v>
      </c>
      <c r="G1031" s="327">
        <f t="shared" ref="G1031:G1094" si="459">IF(B1031&lt;&gt;"",+SUMIF(B:B,B1031,R:R),"")</f>
        <v>0</v>
      </c>
      <c r="H1031" s="328" t="str">
        <f t="shared" si="452"/>
        <v>M</v>
      </c>
      <c r="I1031" s="325" t="s">
        <v>1948</v>
      </c>
      <c r="J1031" s="329" t="str">
        <f>IF(B1031&lt;&gt;"",+VLOOKUP(I1031,Recursos!C:F,2,FALSE),"")</f>
        <v>ACCESORIOS METAL. ENCOF. MODULAR</v>
      </c>
      <c r="K1031" s="330" t="str">
        <f>IF(B1031&lt;&gt;"",+VLOOKUP(I1031,Recursos!C:F,3,FALSE),"")</f>
        <v>Kg</v>
      </c>
      <c r="L1031" s="446">
        <f>IF(B1031&lt;&gt;"",+VLOOKUP(I1031,Recursos!C:F,4,FALSE),"")</f>
        <v>25</v>
      </c>
      <c r="M1031" s="452">
        <v>0.5</v>
      </c>
      <c r="N1031" s="508"/>
      <c r="O1031" s="449">
        <f t="shared" si="457"/>
        <v>0.5</v>
      </c>
      <c r="P1031" s="333">
        <f t="shared" si="454"/>
        <v>12.5</v>
      </c>
      <c r="Q1031" s="327">
        <f t="shared" si="455"/>
        <v>0</v>
      </c>
      <c r="R1031" s="334">
        <f t="shared" si="456"/>
        <v>0</v>
      </c>
      <c r="S1031" s="335">
        <f t="shared" ref="S1031:S1094" si="460">IF(B1031&lt;&gt;"",+SUMIF($AF:$AF,Z1031,$P:$P),"")</f>
        <v>3369.1130803345936</v>
      </c>
      <c r="T1031" s="335">
        <f t="shared" ref="T1031:T1094" si="461">IF(B1031&lt;&gt;"",+SUMIF($AF:$AF,AA1031,$P:$P),"")</f>
        <v>118.90361250000001</v>
      </c>
      <c r="U1031" s="336">
        <f t="shared" ref="U1031:U1094" si="462">IF(B1031&lt;&gt;"",+SUMIF($AF:$AF,AB1031,$P:$P),"")</f>
        <v>1785.578001759058</v>
      </c>
      <c r="V1031" s="336">
        <f t="shared" ref="V1031:V1094" si="463">IF(B1031&lt;&gt;"",+SUMIF($AF:$AF,AC1031,$P:$P),"")</f>
        <v>0</v>
      </c>
      <c r="W1031" s="336">
        <f t="shared" ref="W1031:W1094" si="464">IF(B1031&lt;&gt;"",+SUMIF($AF:$AF,AD1031,$P:$P),"")</f>
        <v>0</v>
      </c>
      <c r="X1031" s="336">
        <f t="shared" ref="X1031:X1094" si="465">IF(B1031&lt;&gt;"",+SUMIF($AF:$AF,AE1031,$P:$P),"")</f>
        <v>0</v>
      </c>
      <c r="Y1031" s="320"/>
      <c r="Z1031" s="321" t="str">
        <f t="shared" si="440"/>
        <v>X-ENCA</v>
      </c>
      <c r="AA1031" s="321" t="str">
        <f t="shared" si="441"/>
        <v>X-ENCE</v>
      </c>
      <c r="AB1031" s="321" t="str">
        <f t="shared" si="442"/>
        <v>X-ENCM</v>
      </c>
      <c r="AC1031" s="321" t="str">
        <f t="shared" si="443"/>
        <v>X-ENCT</v>
      </c>
      <c r="AD1031" s="321" t="str">
        <f t="shared" si="444"/>
        <v>X-ENCS</v>
      </c>
      <c r="AE1031" s="321" t="str">
        <f t="shared" si="445"/>
        <v>X-ENCX</v>
      </c>
      <c r="AF1031" s="321" t="str">
        <f t="shared" si="446"/>
        <v>X-ENCM</v>
      </c>
      <c r="AG1031" s="321">
        <f t="shared" ref="AG1031:AG1094" si="466">IF(B1031&lt;&gt;"",+COUNTIF(B:B,B1031),"")</f>
        <v>14</v>
      </c>
      <c r="AH1031" s="321">
        <f>IF(B1031&lt;&gt;"",IF(H1031="x",VLOOKUP(I1031,'AUX-NIV3'!B:AG,32,FALSE),0),"")</f>
        <v>0</v>
      </c>
      <c r="AI1031" s="321" t="str">
        <f t="shared" si="447"/>
        <v>X-ENC</v>
      </c>
      <c r="AJ1031" s="320"/>
      <c r="AK1031" s="322">
        <f t="shared" ref="AK1031:AK1094" si="467">IF(B1031&lt;&gt;"",+MATCH(B1031,B:B,0),"")</f>
        <v>1020</v>
      </c>
      <c r="AL1031" s="323">
        <f t="shared" si="448"/>
        <v>1033</v>
      </c>
      <c r="AM1031" s="322">
        <f t="shared" si="449"/>
        <v>12</v>
      </c>
      <c r="AN1031" s="380">
        <f>IF(AND(AH1031&gt;0,B1031&lt;&gt;""),VLOOKUP(I1031,'AUX-NIV3'!$B:$AO,39,FALSE)*O1031,0)</f>
        <v>0</v>
      </c>
      <c r="AO1031" s="380">
        <f t="shared" ref="AO1031:AO1094" si="468">+IF(B1031&lt;&gt;"",SUMIF(AF:AF,Z1031,O:O)+SUMIF(Z:Z,Z1031,AN:AN),0)</f>
        <v>7.0625</v>
      </c>
      <c r="AP1031" s="380"/>
    </row>
    <row r="1032" spans="2:42" ht="14.4" hidden="1" thickTop="1" thickBot="1">
      <c r="B1032" s="324" t="s">
        <v>2899</v>
      </c>
      <c r="C1032" s="325" t="s">
        <v>2900</v>
      </c>
      <c r="D1032" s="326" t="s">
        <v>501</v>
      </c>
      <c r="E1032" s="327">
        <f>IF(B1032&lt;&gt;"",SUMIF('AUX-NIV1'!I:I,'AUX-NIV2'!B1032,'AUX-NIV1'!Q:Q),"")</f>
        <v>0</v>
      </c>
      <c r="F1032" s="327">
        <f t="shared" si="458"/>
        <v>5273.5946945936521</v>
      </c>
      <c r="G1032" s="327">
        <f t="shared" si="459"/>
        <v>0</v>
      </c>
      <c r="H1032" s="328" t="str">
        <f t="shared" si="452"/>
        <v>M</v>
      </c>
      <c r="I1032" s="325" t="s">
        <v>1952</v>
      </c>
      <c r="J1032" s="329" t="str">
        <f>IF(B1032&lt;&gt;"",+VLOOKUP(I1032,Recursos!C:F,2,FALSE),"")</f>
        <v>BASTIDOR ENCOF. MODULAR</v>
      </c>
      <c r="K1032" s="330" t="str">
        <f>IF(B1032&lt;&gt;"",+VLOOKUP(I1032,Recursos!C:F,3,FALSE),"")</f>
        <v>m2</v>
      </c>
      <c r="L1032" s="446">
        <f>IF(B1032&lt;&gt;"",+VLOOKUP(I1032,Recursos!C:F,4,FALSE),"")</f>
        <v>2500</v>
      </c>
      <c r="M1032" s="452">
        <v>0.5</v>
      </c>
      <c r="N1032" s="508"/>
      <c r="O1032" s="449">
        <f t="shared" si="457"/>
        <v>0.5</v>
      </c>
      <c r="P1032" s="333">
        <f t="shared" si="454"/>
        <v>1250</v>
      </c>
      <c r="Q1032" s="327">
        <f t="shared" si="455"/>
        <v>0</v>
      </c>
      <c r="R1032" s="334">
        <f t="shared" si="456"/>
        <v>0</v>
      </c>
      <c r="S1032" s="335">
        <f t="shared" si="460"/>
        <v>3369.1130803345936</v>
      </c>
      <c r="T1032" s="335">
        <f t="shared" si="461"/>
        <v>118.90361250000001</v>
      </c>
      <c r="U1032" s="336">
        <f t="shared" si="462"/>
        <v>1785.578001759058</v>
      </c>
      <c r="V1032" s="336">
        <f t="shared" si="463"/>
        <v>0</v>
      </c>
      <c r="W1032" s="336">
        <f t="shared" si="464"/>
        <v>0</v>
      </c>
      <c r="X1032" s="336">
        <f t="shared" si="465"/>
        <v>0</v>
      </c>
      <c r="Y1032" s="320"/>
      <c r="Z1032" s="321" t="str">
        <f t="shared" ref="Z1032:Z1095" si="469">IF(B1032&lt;&gt;"",+$B1032&amp;"A","")</f>
        <v>X-ENCA</v>
      </c>
      <c r="AA1032" s="321" t="str">
        <f t="shared" ref="AA1032:AA1095" si="470">IF(B1032&lt;&gt;"",+$B1032&amp;"E","")</f>
        <v>X-ENCE</v>
      </c>
      <c r="AB1032" s="321" t="str">
        <f t="shared" ref="AB1032:AB1095" si="471">IF(B1032&lt;&gt;"",++$B1032&amp;"M","")</f>
        <v>X-ENCM</v>
      </c>
      <c r="AC1032" s="321" t="str">
        <f t="shared" ref="AC1032:AC1095" si="472">IF(B1032&lt;&gt;"",+$B1032&amp;"T","")</f>
        <v>X-ENCT</v>
      </c>
      <c r="AD1032" s="321" t="str">
        <f t="shared" ref="AD1032:AD1095" si="473">IF(B1032&lt;&gt;"",+$B1032&amp;"S","")</f>
        <v>X-ENCS</v>
      </c>
      <c r="AE1032" s="321" t="str">
        <f t="shared" ref="AE1032:AE1095" si="474">IF(B1032&lt;&gt;"",+$B1032&amp;"X","")</f>
        <v>X-ENCX</v>
      </c>
      <c r="AF1032" s="321" t="str">
        <f t="shared" ref="AF1032:AF1095" si="475">IF(B1032&lt;&gt;"",+B1032&amp;H1032,"")</f>
        <v>X-ENCM</v>
      </c>
      <c r="AG1032" s="321">
        <f t="shared" si="466"/>
        <v>14</v>
      </c>
      <c r="AH1032" s="321">
        <f>IF(B1032&lt;&gt;"",IF(H1032="x",VLOOKUP(I1032,'AUX-NIV3'!B:AG,32,FALSE),0),"")</f>
        <v>0</v>
      </c>
      <c r="AI1032" s="321" t="str">
        <f t="shared" ref="AI1032:AI1095" si="476">IF(B1032&lt;&gt;"",+B1032,"")</f>
        <v>X-ENC</v>
      </c>
      <c r="AJ1032" s="320"/>
      <c r="AK1032" s="322">
        <f t="shared" si="467"/>
        <v>1020</v>
      </c>
      <c r="AL1032" s="323">
        <f t="shared" ref="AL1032:AL1095" si="477">IF(B1032&lt;&gt;"",+AK1032+AG1032-1,"")</f>
        <v>1033</v>
      </c>
      <c r="AM1032" s="322">
        <f t="shared" ref="AM1032:AM1095" si="478">IF(B1032&lt;&gt;"",IF(B1032=B1031,1+AM1031,1),"")</f>
        <v>13</v>
      </c>
      <c r="AN1032" s="380">
        <f>IF(AND(AH1032&gt;0,B1032&lt;&gt;""),VLOOKUP(I1032,'AUX-NIV3'!$B:$AO,39,FALSE)*O1032,0)</f>
        <v>0</v>
      </c>
      <c r="AO1032" s="380">
        <f t="shared" si="468"/>
        <v>7.0625</v>
      </c>
      <c r="AP1032" s="380"/>
    </row>
    <row r="1033" spans="2:42" ht="14.4" hidden="1" thickTop="1" thickBot="1">
      <c r="B1033" s="324" t="s">
        <v>2899</v>
      </c>
      <c r="C1033" s="325" t="s">
        <v>2900</v>
      </c>
      <c r="D1033" s="326" t="s">
        <v>501</v>
      </c>
      <c r="E1033" s="327">
        <f>IF(B1033&lt;&gt;"",SUMIF('AUX-NIV1'!I:I,'AUX-NIV2'!B1033,'AUX-NIV1'!Q:Q),"")</f>
        <v>0</v>
      </c>
      <c r="F1033" s="327">
        <f t="shared" si="458"/>
        <v>5273.5946945936521</v>
      </c>
      <c r="G1033" s="327">
        <f t="shared" si="459"/>
        <v>0</v>
      </c>
      <c r="H1033" s="328" t="str">
        <f t="shared" ref="H1033:H1096" si="479">IF(B1033&lt;&gt;"",+LEFT(I1033,1),"")</f>
        <v>M</v>
      </c>
      <c r="I1033" s="325" t="s">
        <v>621</v>
      </c>
      <c r="J1033" s="329" t="str">
        <f>IF(B1033&lt;&gt;"",+VLOOKUP(I1033,Recursos!C:F,2,FALSE),"")</f>
        <v>MATERIALES VARIOS</v>
      </c>
      <c r="K1033" s="330" t="str">
        <f>IF(B1033&lt;&gt;"",+VLOOKUP(I1033,Recursos!C:F,3,FALSE),"")</f>
        <v>GL</v>
      </c>
      <c r="L1033" s="446">
        <f>IF(B1033&lt;&gt;"",+VLOOKUP(I1033,Recursos!C:F,4,FALSE),"")</f>
        <v>0.5</v>
      </c>
      <c r="M1033" s="450">
        <v>0.2</v>
      </c>
      <c r="N1033" s="513"/>
      <c r="O1033" s="449">
        <f t="shared" si="457"/>
        <v>0.2</v>
      </c>
      <c r="P1033" s="333">
        <f t="shared" si="454"/>
        <v>0.1</v>
      </c>
      <c r="Q1033" s="327">
        <f t="shared" si="455"/>
        <v>0</v>
      </c>
      <c r="R1033" s="334">
        <f t="shared" si="456"/>
        <v>0</v>
      </c>
      <c r="S1033" s="335">
        <f t="shared" si="460"/>
        <v>3369.1130803345936</v>
      </c>
      <c r="T1033" s="335">
        <f t="shared" si="461"/>
        <v>118.90361250000001</v>
      </c>
      <c r="U1033" s="336">
        <f t="shared" si="462"/>
        <v>1785.578001759058</v>
      </c>
      <c r="V1033" s="336">
        <f t="shared" si="463"/>
        <v>0</v>
      </c>
      <c r="W1033" s="336">
        <f t="shared" si="464"/>
        <v>0</v>
      </c>
      <c r="X1033" s="336">
        <f t="shared" si="465"/>
        <v>0</v>
      </c>
      <c r="Y1033" s="320"/>
      <c r="Z1033" s="321" t="str">
        <f t="shared" si="469"/>
        <v>X-ENCA</v>
      </c>
      <c r="AA1033" s="321" t="str">
        <f t="shared" si="470"/>
        <v>X-ENCE</v>
      </c>
      <c r="AB1033" s="321" t="str">
        <f t="shared" si="471"/>
        <v>X-ENCM</v>
      </c>
      <c r="AC1033" s="321" t="str">
        <f t="shared" si="472"/>
        <v>X-ENCT</v>
      </c>
      <c r="AD1033" s="321" t="str">
        <f t="shared" si="473"/>
        <v>X-ENCS</v>
      </c>
      <c r="AE1033" s="321" t="str">
        <f t="shared" si="474"/>
        <v>X-ENCX</v>
      </c>
      <c r="AF1033" s="321" t="str">
        <f t="shared" si="475"/>
        <v>X-ENCM</v>
      </c>
      <c r="AG1033" s="321">
        <f t="shared" si="466"/>
        <v>14</v>
      </c>
      <c r="AH1033" s="321">
        <f>IF(B1033&lt;&gt;"",IF(H1033="x",VLOOKUP(I1033,'AUX-NIV3'!B:AG,32,FALSE),0),"")</f>
        <v>0</v>
      </c>
      <c r="AI1033" s="321" t="str">
        <f t="shared" si="476"/>
        <v>X-ENC</v>
      </c>
      <c r="AJ1033" s="320"/>
      <c r="AK1033" s="322">
        <f t="shared" si="467"/>
        <v>1020</v>
      </c>
      <c r="AL1033" s="323">
        <f t="shared" si="477"/>
        <v>1033</v>
      </c>
      <c r="AM1033" s="322">
        <f t="shared" si="478"/>
        <v>14</v>
      </c>
      <c r="AN1033" s="380">
        <f>IF(AND(AH1033&gt;0,B1033&lt;&gt;""),VLOOKUP(I1033,'AUX-NIV3'!$B:$AO,39,FALSE)*O1033,0)</f>
        <v>0</v>
      </c>
      <c r="AO1033" s="380">
        <f t="shared" si="468"/>
        <v>7.0625</v>
      </c>
      <c r="AP1033" s="380"/>
    </row>
    <row r="1034" spans="2:42" ht="14.4" hidden="1" thickTop="1" thickBot="1">
      <c r="B1034" s="324" t="s">
        <v>2901</v>
      </c>
      <c r="C1034" s="325" t="s">
        <v>2902</v>
      </c>
      <c r="D1034" s="326" t="s">
        <v>501</v>
      </c>
      <c r="E1034" s="327">
        <f>IF(B1034&lt;&gt;"",SUMIF('AUX-NIV1'!I:I,'AUX-NIV2'!B1034,'AUX-NIV1'!Q:Q),"")</f>
        <v>0</v>
      </c>
      <c r="F1034" s="327">
        <f t="shared" si="458"/>
        <v>39.037924349120765</v>
      </c>
      <c r="G1034" s="327">
        <f t="shared" si="459"/>
        <v>0</v>
      </c>
      <c r="H1034" s="328" t="str">
        <f t="shared" si="479"/>
        <v>A</v>
      </c>
      <c r="I1034" s="325" t="s">
        <v>1745</v>
      </c>
      <c r="J1034" s="329" t="str">
        <f>IF(B1034&lt;&gt;"",+VLOOKUP(I1034,Recursos!C:F,2,FALSE),"")</f>
        <v>AYUDANTE</v>
      </c>
      <c r="K1034" s="330" t="str">
        <f>IF(B1034&lt;&gt;"",+VLOOKUP(I1034,Recursos!C:F,3,FALSE),"")</f>
        <v>hh</v>
      </c>
      <c r="L1034" s="327">
        <f>IF(B1034&lt;&gt;"",+VLOOKUP(I1034,Recursos!C:F,4,FALSE),"")</f>
        <v>422.48042769667234</v>
      </c>
      <c r="M1034" s="457">
        <f>+M1035</f>
        <v>600</v>
      </c>
      <c r="N1034" s="458">
        <v>2</v>
      </c>
      <c r="O1034" s="439">
        <f>+N1034/M1034*N1036</f>
        <v>5.333333333333334E-3</v>
      </c>
      <c r="P1034" s="333">
        <f t="shared" si="454"/>
        <v>2.253228947715586</v>
      </c>
      <c r="Q1034" s="327">
        <f t="shared" si="455"/>
        <v>0</v>
      </c>
      <c r="R1034" s="334">
        <f t="shared" si="456"/>
        <v>0</v>
      </c>
      <c r="S1034" s="335">
        <f t="shared" si="460"/>
        <v>4.353086432454095</v>
      </c>
      <c r="T1034" s="335">
        <f t="shared" si="461"/>
        <v>5.4965179166666669</v>
      </c>
      <c r="U1034" s="336">
        <f t="shared" si="462"/>
        <v>29.188320000000004</v>
      </c>
      <c r="V1034" s="336">
        <f t="shared" si="463"/>
        <v>0</v>
      </c>
      <c r="W1034" s="336">
        <f t="shared" si="464"/>
        <v>0</v>
      </c>
      <c r="X1034" s="336">
        <f t="shared" si="465"/>
        <v>0</v>
      </c>
      <c r="Y1034" s="320"/>
      <c r="Z1034" s="321" t="str">
        <f t="shared" si="469"/>
        <v>X-RLIA</v>
      </c>
      <c r="AA1034" s="321" t="str">
        <f t="shared" si="470"/>
        <v>X-RLIE</v>
      </c>
      <c r="AB1034" s="321" t="str">
        <f t="shared" si="471"/>
        <v>X-RLIM</v>
      </c>
      <c r="AC1034" s="321" t="str">
        <f t="shared" si="472"/>
        <v>X-RLIT</v>
      </c>
      <c r="AD1034" s="321" t="str">
        <f t="shared" si="473"/>
        <v>X-RLIS</v>
      </c>
      <c r="AE1034" s="321" t="str">
        <f t="shared" si="474"/>
        <v>X-RLIX</v>
      </c>
      <c r="AF1034" s="321" t="str">
        <f t="shared" si="475"/>
        <v>X-RLIA</v>
      </c>
      <c r="AG1034" s="321">
        <f t="shared" si="466"/>
        <v>6</v>
      </c>
      <c r="AH1034" s="321">
        <f>IF(B1034&lt;&gt;"",IF(H1034="x",VLOOKUP(I1034,'AUX-NIV3'!B:AG,32,FALSE),0),"")</f>
        <v>0</v>
      </c>
      <c r="AI1034" s="321" t="str">
        <f t="shared" si="476"/>
        <v>X-RLI</v>
      </c>
      <c r="AJ1034" s="320"/>
      <c r="AK1034" s="322">
        <f t="shared" si="467"/>
        <v>1034</v>
      </c>
      <c r="AL1034" s="323">
        <f t="shared" si="477"/>
        <v>1039</v>
      </c>
      <c r="AM1034" s="322">
        <f t="shared" si="478"/>
        <v>1</v>
      </c>
      <c r="AN1034" s="380">
        <f>IF(AND(AH1034&gt;0,B1034&lt;&gt;""),VLOOKUP(I1034,'AUX-NIV3'!$B:$AO,39,FALSE)*O1034,0)</f>
        <v>0</v>
      </c>
      <c r="AO1034" s="380">
        <f t="shared" si="468"/>
        <v>9.3333333333333358E-3</v>
      </c>
      <c r="AP1034" s="380"/>
    </row>
    <row r="1035" spans="2:42" ht="14.4" hidden="1" thickTop="1" thickBot="1">
      <c r="B1035" s="324" t="s">
        <v>2901</v>
      </c>
      <c r="C1035" s="325" t="s">
        <v>2902</v>
      </c>
      <c r="D1035" s="326" t="s">
        <v>501</v>
      </c>
      <c r="E1035" s="327">
        <f>IF(B1035&lt;&gt;"",SUMIF('AUX-NIV1'!I:I,'AUX-NIV2'!B1035,'AUX-NIV1'!Q:Q),"")</f>
        <v>0</v>
      </c>
      <c r="F1035" s="327">
        <f t="shared" si="458"/>
        <v>39.037924349120765</v>
      </c>
      <c r="G1035" s="327">
        <f t="shared" si="459"/>
        <v>0</v>
      </c>
      <c r="H1035" s="328" t="str">
        <f t="shared" si="479"/>
        <v>A</v>
      </c>
      <c r="I1035" s="325" t="s">
        <v>3310</v>
      </c>
      <c r="J1035" s="329" t="str">
        <f>IF(B1035&lt;&gt;"",+VLOOKUP(I1035,Recursos!C:F,2,FALSE),"")</f>
        <v>OFICIAL ESPECIALIZADO</v>
      </c>
      <c r="K1035" s="330" t="str">
        <f>IF(B1035&lt;&gt;"",+VLOOKUP(I1035,Recursos!C:F,3,FALSE),"")</f>
        <v>hh</v>
      </c>
      <c r="L1035" s="327">
        <f>IF(B1035&lt;&gt;"",+VLOOKUP(I1035,Recursos!C:F,4,FALSE),"")</f>
        <v>581.06120476836554</v>
      </c>
      <c r="M1035" s="460">
        <f>+M1036</f>
        <v>600</v>
      </c>
      <c r="N1035" s="466">
        <f>+N1036</f>
        <v>1.6</v>
      </c>
      <c r="O1035" s="439">
        <f>+N1035/M1035*N1037</f>
        <v>1.3333333333333335E-3</v>
      </c>
      <c r="P1035" s="333">
        <f t="shared" si="454"/>
        <v>0.77474827302448745</v>
      </c>
      <c r="Q1035" s="327">
        <f t="shared" si="455"/>
        <v>0</v>
      </c>
      <c r="R1035" s="334">
        <f t="shared" si="456"/>
        <v>0</v>
      </c>
      <c r="S1035" s="335">
        <f t="shared" si="460"/>
        <v>4.353086432454095</v>
      </c>
      <c r="T1035" s="335">
        <f t="shared" si="461"/>
        <v>5.4965179166666669</v>
      </c>
      <c r="U1035" s="336">
        <f t="shared" si="462"/>
        <v>29.188320000000004</v>
      </c>
      <c r="V1035" s="336">
        <f t="shared" si="463"/>
        <v>0</v>
      </c>
      <c r="W1035" s="336">
        <f t="shared" si="464"/>
        <v>0</v>
      </c>
      <c r="X1035" s="336">
        <f t="shared" si="465"/>
        <v>0</v>
      </c>
      <c r="Y1035" s="320"/>
      <c r="Z1035" s="321" t="str">
        <f t="shared" si="469"/>
        <v>X-RLIA</v>
      </c>
      <c r="AA1035" s="321" t="str">
        <f t="shared" si="470"/>
        <v>X-RLIE</v>
      </c>
      <c r="AB1035" s="321" t="str">
        <f t="shared" si="471"/>
        <v>X-RLIM</v>
      </c>
      <c r="AC1035" s="321" t="str">
        <f t="shared" si="472"/>
        <v>X-RLIT</v>
      </c>
      <c r="AD1035" s="321" t="str">
        <f t="shared" si="473"/>
        <v>X-RLIS</v>
      </c>
      <c r="AE1035" s="321" t="str">
        <f t="shared" si="474"/>
        <v>X-RLIX</v>
      </c>
      <c r="AF1035" s="321" t="str">
        <f t="shared" si="475"/>
        <v>X-RLIA</v>
      </c>
      <c r="AG1035" s="321">
        <f t="shared" si="466"/>
        <v>6</v>
      </c>
      <c r="AH1035" s="321">
        <f>IF(B1035&lt;&gt;"",IF(H1035="x",VLOOKUP(I1035,'AUX-NIV3'!B:AG,32,FALSE),0),"")</f>
        <v>0</v>
      </c>
      <c r="AI1035" s="321" t="str">
        <f t="shared" si="476"/>
        <v>X-RLI</v>
      </c>
      <c r="AJ1035" s="320"/>
      <c r="AK1035" s="322">
        <f t="shared" si="467"/>
        <v>1034</v>
      </c>
      <c r="AL1035" s="323">
        <f t="shared" si="477"/>
        <v>1039</v>
      </c>
      <c r="AM1035" s="322">
        <f t="shared" si="478"/>
        <v>2</v>
      </c>
      <c r="AN1035" s="380">
        <f>IF(AND(AH1035&gt;0,B1035&lt;&gt;""),VLOOKUP(I1035,'AUX-NIV3'!$B:$AO,39,FALSE)*O1035,0)</f>
        <v>0</v>
      </c>
      <c r="AO1035" s="380">
        <f t="shared" si="468"/>
        <v>9.3333333333333358E-3</v>
      </c>
      <c r="AP1035" s="380"/>
    </row>
    <row r="1036" spans="2:42" ht="14.4" hidden="1" thickTop="1" thickBot="1">
      <c r="B1036" s="324" t="s">
        <v>2901</v>
      </c>
      <c r="C1036" s="325" t="s">
        <v>2902</v>
      </c>
      <c r="D1036" s="326" t="s">
        <v>501</v>
      </c>
      <c r="E1036" s="327">
        <f>IF(B1036&lt;&gt;"",SUMIF('AUX-NIV1'!I:I,'AUX-NIV2'!B1036,'AUX-NIV1'!Q:Q),"")</f>
        <v>0</v>
      </c>
      <c r="F1036" s="327">
        <f t="shared" si="458"/>
        <v>39.037924349120765</v>
      </c>
      <c r="G1036" s="327">
        <f t="shared" si="459"/>
        <v>0</v>
      </c>
      <c r="H1036" s="328" t="str">
        <f t="shared" si="479"/>
        <v>A</v>
      </c>
      <c r="I1036" s="325" t="s">
        <v>1746</v>
      </c>
      <c r="J1036" s="329" t="str">
        <f>IF(B1036&lt;&gt;"",+VLOOKUP(I1036,Recursos!C:F,2,FALSE),"")</f>
        <v>OFICIAL</v>
      </c>
      <c r="K1036" s="330" t="str">
        <f>IF(B1036&lt;&gt;"",+VLOOKUP(I1036,Recursos!C:F,3,FALSE),"")</f>
        <v>hh</v>
      </c>
      <c r="L1036" s="327">
        <f>IF(B1036&lt;&gt;"",+VLOOKUP(I1036,Recursos!C:F,4,FALSE),"")</f>
        <v>496.91595439275824</v>
      </c>
      <c r="M1036" s="460">
        <f>+M1037</f>
        <v>600</v>
      </c>
      <c r="N1036" s="463">
        <v>1.6</v>
      </c>
      <c r="O1036" s="439">
        <f>+N1036/M1036</f>
        <v>2.666666666666667E-3</v>
      </c>
      <c r="P1036" s="333">
        <f t="shared" si="454"/>
        <v>1.3251092117140222</v>
      </c>
      <c r="Q1036" s="327">
        <f t="shared" si="455"/>
        <v>0</v>
      </c>
      <c r="R1036" s="334">
        <f t="shared" si="456"/>
        <v>0</v>
      </c>
      <c r="S1036" s="335">
        <f t="shared" si="460"/>
        <v>4.353086432454095</v>
      </c>
      <c r="T1036" s="335">
        <f t="shared" si="461"/>
        <v>5.4965179166666669</v>
      </c>
      <c r="U1036" s="336">
        <f t="shared" si="462"/>
        <v>29.188320000000004</v>
      </c>
      <c r="V1036" s="336">
        <f t="shared" si="463"/>
        <v>0</v>
      </c>
      <c r="W1036" s="336">
        <f t="shared" si="464"/>
        <v>0</v>
      </c>
      <c r="X1036" s="336">
        <f t="shared" si="465"/>
        <v>0</v>
      </c>
      <c r="Y1036" s="320"/>
      <c r="Z1036" s="321" t="str">
        <f t="shared" si="469"/>
        <v>X-RLIA</v>
      </c>
      <c r="AA1036" s="321" t="str">
        <f t="shared" si="470"/>
        <v>X-RLIE</v>
      </c>
      <c r="AB1036" s="321" t="str">
        <f t="shared" si="471"/>
        <v>X-RLIM</v>
      </c>
      <c r="AC1036" s="321" t="str">
        <f t="shared" si="472"/>
        <v>X-RLIT</v>
      </c>
      <c r="AD1036" s="321" t="str">
        <f t="shared" si="473"/>
        <v>X-RLIS</v>
      </c>
      <c r="AE1036" s="321" t="str">
        <f t="shared" si="474"/>
        <v>X-RLIX</v>
      </c>
      <c r="AF1036" s="321" t="str">
        <f t="shared" si="475"/>
        <v>X-RLIA</v>
      </c>
      <c r="AG1036" s="321">
        <f t="shared" si="466"/>
        <v>6</v>
      </c>
      <c r="AH1036" s="321">
        <f>IF(B1036&lt;&gt;"",IF(H1036="x",VLOOKUP(I1036,'AUX-NIV3'!B:AG,32,FALSE),0),"")</f>
        <v>0</v>
      </c>
      <c r="AI1036" s="321" t="str">
        <f t="shared" si="476"/>
        <v>X-RLI</v>
      </c>
      <c r="AJ1036" s="320"/>
      <c r="AK1036" s="322">
        <f t="shared" si="467"/>
        <v>1034</v>
      </c>
      <c r="AL1036" s="323">
        <f t="shared" si="477"/>
        <v>1039</v>
      </c>
      <c r="AM1036" s="322">
        <f t="shared" si="478"/>
        <v>3</v>
      </c>
      <c r="AN1036" s="380">
        <f>IF(AND(AH1036&gt;0,B1036&lt;&gt;""),VLOOKUP(I1036,'AUX-NIV3'!$B:$AO,39,FALSE)*O1036,0)</f>
        <v>0</v>
      </c>
      <c r="AO1036" s="380">
        <f t="shared" si="468"/>
        <v>9.3333333333333358E-3</v>
      </c>
      <c r="AP1036" s="380"/>
    </row>
    <row r="1037" spans="2:42" ht="14.4" hidden="1" thickTop="1" thickBot="1">
      <c r="B1037" s="324" t="s">
        <v>2901</v>
      </c>
      <c r="C1037" s="325" t="s">
        <v>2902</v>
      </c>
      <c r="D1037" s="326" t="s">
        <v>501</v>
      </c>
      <c r="E1037" s="327">
        <f>IF(B1037&lt;&gt;"",SUMIF('AUX-NIV1'!I:I,'AUX-NIV2'!B1037,'AUX-NIV1'!Q:Q),"")</f>
        <v>0</v>
      </c>
      <c r="F1037" s="327">
        <f t="shared" si="458"/>
        <v>39.037924349120765</v>
      </c>
      <c r="G1037" s="327">
        <f t="shared" si="459"/>
        <v>0</v>
      </c>
      <c r="H1037" s="328" t="str">
        <f t="shared" si="479"/>
        <v>E</v>
      </c>
      <c r="I1037" s="325" t="s">
        <v>1716</v>
      </c>
      <c r="J1037" s="329" t="str">
        <f>IF(B1037&lt;&gt;"",+VLOOKUP(I1037,Recursos!C:F,2,FALSE),"")</f>
        <v>BARREDORA SOPLADORA AUTOP.</v>
      </c>
      <c r="K1037" s="330" t="str">
        <f>IF(B1037&lt;&gt;"",+VLOOKUP(I1037,Recursos!C:F,3,FALSE),"")</f>
        <v>HR</v>
      </c>
      <c r="L1037" s="327">
        <f>IF(B1037&lt;&gt;"",+VLOOKUP(I1037,Recursos!C:F,4,FALSE),"")</f>
        <v>1052.3264999999999</v>
      </c>
      <c r="M1037" s="460">
        <f>+M1038</f>
        <v>600</v>
      </c>
      <c r="N1037" s="463">
        <v>0.5</v>
      </c>
      <c r="O1037" s="439">
        <f>+N1037/M1037</f>
        <v>8.3333333333333339E-4</v>
      </c>
      <c r="P1037" s="333">
        <f t="shared" si="454"/>
        <v>0.87693874999999999</v>
      </c>
      <c r="Q1037" s="327">
        <f t="shared" si="455"/>
        <v>0</v>
      </c>
      <c r="R1037" s="334">
        <f t="shared" si="456"/>
        <v>0</v>
      </c>
      <c r="S1037" s="335">
        <f t="shared" si="460"/>
        <v>4.353086432454095</v>
      </c>
      <c r="T1037" s="335">
        <f t="shared" si="461"/>
        <v>5.4965179166666669</v>
      </c>
      <c r="U1037" s="336">
        <f t="shared" si="462"/>
        <v>29.188320000000004</v>
      </c>
      <c r="V1037" s="336">
        <f t="shared" si="463"/>
        <v>0</v>
      </c>
      <c r="W1037" s="336">
        <f t="shared" si="464"/>
        <v>0</v>
      </c>
      <c r="X1037" s="336">
        <f t="shared" si="465"/>
        <v>0</v>
      </c>
      <c r="Y1037" s="320"/>
      <c r="Z1037" s="321" t="str">
        <f t="shared" si="469"/>
        <v>X-RLIA</v>
      </c>
      <c r="AA1037" s="321" t="str">
        <f t="shared" si="470"/>
        <v>X-RLIE</v>
      </c>
      <c r="AB1037" s="321" t="str">
        <f t="shared" si="471"/>
        <v>X-RLIM</v>
      </c>
      <c r="AC1037" s="321" t="str">
        <f t="shared" si="472"/>
        <v>X-RLIT</v>
      </c>
      <c r="AD1037" s="321" t="str">
        <f t="shared" si="473"/>
        <v>X-RLIS</v>
      </c>
      <c r="AE1037" s="321" t="str">
        <f t="shared" si="474"/>
        <v>X-RLIX</v>
      </c>
      <c r="AF1037" s="321" t="str">
        <f t="shared" si="475"/>
        <v>X-RLIE</v>
      </c>
      <c r="AG1037" s="321">
        <f t="shared" si="466"/>
        <v>6</v>
      </c>
      <c r="AH1037" s="321">
        <f>IF(B1037&lt;&gt;"",IF(H1037="x",VLOOKUP(I1037,'AUX-NIV3'!B:AG,32,FALSE),0),"")</f>
        <v>0</v>
      </c>
      <c r="AI1037" s="321" t="str">
        <f t="shared" si="476"/>
        <v>X-RLI</v>
      </c>
      <c r="AJ1037" s="320"/>
      <c r="AK1037" s="322">
        <f t="shared" si="467"/>
        <v>1034</v>
      </c>
      <c r="AL1037" s="323">
        <f t="shared" si="477"/>
        <v>1039</v>
      </c>
      <c r="AM1037" s="322">
        <f t="shared" si="478"/>
        <v>4</v>
      </c>
      <c r="AN1037" s="380">
        <f>IF(AND(AH1037&gt;0,B1037&lt;&gt;""),VLOOKUP(I1037,'AUX-NIV3'!$B:$AO,39,FALSE)*O1037,0)</f>
        <v>0</v>
      </c>
      <c r="AO1037" s="380">
        <f t="shared" si="468"/>
        <v>9.3333333333333358E-3</v>
      </c>
      <c r="AP1037" s="380"/>
    </row>
    <row r="1038" spans="2:42" ht="14.4" hidden="1" thickTop="1" thickBot="1">
      <c r="B1038" s="324" t="s">
        <v>2901</v>
      </c>
      <c r="C1038" s="325" t="s">
        <v>2902</v>
      </c>
      <c r="D1038" s="326" t="s">
        <v>501</v>
      </c>
      <c r="E1038" s="327">
        <f>IF(B1038&lt;&gt;"",SUMIF('AUX-NIV1'!I:I,'AUX-NIV2'!B1038,'AUX-NIV1'!Q:Q),"")</f>
        <v>0</v>
      </c>
      <c r="F1038" s="327">
        <f t="shared" si="458"/>
        <v>39.037924349120765</v>
      </c>
      <c r="G1038" s="327">
        <f t="shared" si="459"/>
        <v>0</v>
      </c>
      <c r="H1038" s="328" t="str">
        <f t="shared" si="479"/>
        <v>E</v>
      </c>
      <c r="I1038" s="325" t="s">
        <v>1730</v>
      </c>
      <c r="J1038" s="329" t="str">
        <f>IF(B1038&lt;&gt;"",+VLOOKUP(I1038,Recursos!C:F,2,FALSE),"")</f>
        <v>CAMION DISTRIBUIDOR ASFALTO 5/6 m3</v>
      </c>
      <c r="K1038" s="330" t="str">
        <f>IF(B1038&lt;&gt;"",+VLOOKUP(I1038,Recursos!C:F,3,FALSE),"")</f>
        <v>HR</v>
      </c>
      <c r="L1038" s="327">
        <f>IF(B1038&lt;&gt;"",+VLOOKUP(I1038,Recursos!C:F,4,FALSE),"")</f>
        <v>2771.7474999999999</v>
      </c>
      <c r="M1038" s="462">
        <v>600</v>
      </c>
      <c r="N1038" s="463">
        <v>1</v>
      </c>
      <c r="O1038" s="439">
        <f>+N1038/M1038</f>
        <v>1.6666666666666668E-3</v>
      </c>
      <c r="P1038" s="333">
        <f t="shared" si="454"/>
        <v>4.619579166666667</v>
      </c>
      <c r="Q1038" s="327">
        <f t="shared" si="455"/>
        <v>0</v>
      </c>
      <c r="R1038" s="334">
        <f t="shared" si="456"/>
        <v>0</v>
      </c>
      <c r="S1038" s="335">
        <f t="shared" si="460"/>
        <v>4.353086432454095</v>
      </c>
      <c r="T1038" s="335">
        <f t="shared" si="461"/>
        <v>5.4965179166666669</v>
      </c>
      <c r="U1038" s="336">
        <f t="shared" si="462"/>
        <v>29.188320000000004</v>
      </c>
      <c r="V1038" s="336">
        <f t="shared" si="463"/>
        <v>0</v>
      </c>
      <c r="W1038" s="336">
        <f t="shared" si="464"/>
        <v>0</v>
      </c>
      <c r="X1038" s="336">
        <f t="shared" si="465"/>
        <v>0</v>
      </c>
      <c r="Y1038" s="320"/>
      <c r="Z1038" s="321" t="str">
        <f t="shared" si="469"/>
        <v>X-RLIA</v>
      </c>
      <c r="AA1038" s="321" t="str">
        <f t="shared" si="470"/>
        <v>X-RLIE</v>
      </c>
      <c r="AB1038" s="321" t="str">
        <f t="shared" si="471"/>
        <v>X-RLIM</v>
      </c>
      <c r="AC1038" s="321" t="str">
        <f t="shared" si="472"/>
        <v>X-RLIT</v>
      </c>
      <c r="AD1038" s="321" t="str">
        <f t="shared" si="473"/>
        <v>X-RLIS</v>
      </c>
      <c r="AE1038" s="321" t="str">
        <f t="shared" si="474"/>
        <v>X-RLIX</v>
      </c>
      <c r="AF1038" s="321" t="str">
        <f t="shared" si="475"/>
        <v>X-RLIE</v>
      </c>
      <c r="AG1038" s="321">
        <f t="shared" si="466"/>
        <v>6</v>
      </c>
      <c r="AH1038" s="321">
        <f>IF(B1038&lt;&gt;"",IF(H1038="x",VLOOKUP(I1038,'AUX-NIV3'!B:AG,32,FALSE),0),"")</f>
        <v>0</v>
      </c>
      <c r="AI1038" s="321" t="str">
        <f t="shared" si="476"/>
        <v>X-RLI</v>
      </c>
      <c r="AJ1038" s="320"/>
      <c r="AK1038" s="322">
        <f t="shared" si="467"/>
        <v>1034</v>
      </c>
      <c r="AL1038" s="323">
        <f t="shared" si="477"/>
        <v>1039</v>
      </c>
      <c r="AM1038" s="322">
        <f t="shared" si="478"/>
        <v>5</v>
      </c>
      <c r="AN1038" s="380">
        <f>IF(AND(AH1038&gt;0,B1038&lt;&gt;""),VLOOKUP(I1038,'AUX-NIV3'!$B:$AO,39,FALSE)*O1038,0)</f>
        <v>0</v>
      </c>
      <c r="AO1038" s="380">
        <f t="shared" si="468"/>
        <v>9.3333333333333358E-3</v>
      </c>
      <c r="AP1038" s="380"/>
    </row>
    <row r="1039" spans="2:42" ht="14.4" hidden="1" thickTop="1" thickBot="1">
      <c r="B1039" s="324" t="s">
        <v>2901</v>
      </c>
      <c r="C1039" s="325" t="s">
        <v>2902</v>
      </c>
      <c r="D1039" s="326" t="s">
        <v>501</v>
      </c>
      <c r="E1039" s="327">
        <f>IF(B1039&lt;&gt;"",SUMIF('AUX-NIV1'!I:I,'AUX-NIV2'!B1039,'AUX-NIV1'!Q:Q),"")</f>
        <v>0</v>
      </c>
      <c r="F1039" s="327">
        <f t="shared" si="458"/>
        <v>39.037924349120765</v>
      </c>
      <c r="G1039" s="327">
        <f t="shared" si="459"/>
        <v>0</v>
      </c>
      <c r="H1039" s="328" t="str">
        <f t="shared" si="479"/>
        <v>M</v>
      </c>
      <c r="I1039" s="325" t="s">
        <v>2001</v>
      </c>
      <c r="J1039" s="329" t="str">
        <f>IF(B1039&lt;&gt;"",+VLOOKUP(I1039,Recursos!C:F,2,FALSE),"")</f>
        <v>EMULSION BITUMINOSA EBCR (LIGA)</v>
      </c>
      <c r="K1039" s="330" t="str">
        <f>IF(B1039&lt;&gt;"",+VLOOKUP(I1039,Recursos!C:F,3,FALSE),"")</f>
        <v>Tn</v>
      </c>
      <c r="L1039" s="327">
        <f>IF(B1039&lt;&gt;"",+VLOOKUP(I1039,Recursos!C:F,4,FALSE),"")</f>
        <v>52122</v>
      </c>
      <c r="M1039" s="464">
        <v>0.56000000000000005</v>
      </c>
      <c r="N1039" s="465">
        <v>1000</v>
      </c>
      <c r="O1039" s="439">
        <f>+M1039/N1039</f>
        <v>5.6000000000000006E-4</v>
      </c>
      <c r="P1039" s="333">
        <f t="shared" si="454"/>
        <v>29.188320000000004</v>
      </c>
      <c r="Q1039" s="327">
        <f t="shared" si="455"/>
        <v>0</v>
      </c>
      <c r="R1039" s="334">
        <f t="shared" si="456"/>
        <v>0</v>
      </c>
      <c r="S1039" s="335">
        <f t="shared" si="460"/>
        <v>4.353086432454095</v>
      </c>
      <c r="T1039" s="335">
        <f t="shared" si="461"/>
        <v>5.4965179166666669</v>
      </c>
      <c r="U1039" s="336">
        <f t="shared" si="462"/>
        <v>29.188320000000004</v>
      </c>
      <c r="V1039" s="336">
        <f t="shared" si="463"/>
        <v>0</v>
      </c>
      <c r="W1039" s="336">
        <f t="shared" si="464"/>
        <v>0</v>
      </c>
      <c r="X1039" s="336">
        <f t="shared" si="465"/>
        <v>0</v>
      </c>
      <c r="Y1039" s="320"/>
      <c r="Z1039" s="321" t="str">
        <f t="shared" si="469"/>
        <v>X-RLIA</v>
      </c>
      <c r="AA1039" s="321" t="str">
        <f t="shared" si="470"/>
        <v>X-RLIE</v>
      </c>
      <c r="AB1039" s="321" t="str">
        <f t="shared" si="471"/>
        <v>X-RLIM</v>
      </c>
      <c r="AC1039" s="321" t="str">
        <f t="shared" si="472"/>
        <v>X-RLIT</v>
      </c>
      <c r="AD1039" s="321" t="str">
        <f t="shared" si="473"/>
        <v>X-RLIS</v>
      </c>
      <c r="AE1039" s="321" t="str">
        <f t="shared" si="474"/>
        <v>X-RLIX</v>
      </c>
      <c r="AF1039" s="321" t="str">
        <f t="shared" si="475"/>
        <v>X-RLIM</v>
      </c>
      <c r="AG1039" s="321">
        <f t="shared" si="466"/>
        <v>6</v>
      </c>
      <c r="AH1039" s="321">
        <f>IF(B1039&lt;&gt;"",IF(H1039="x",VLOOKUP(I1039,'AUX-NIV3'!B:AG,32,FALSE),0),"")</f>
        <v>0</v>
      </c>
      <c r="AI1039" s="321" t="str">
        <f t="shared" si="476"/>
        <v>X-RLI</v>
      </c>
      <c r="AJ1039" s="320"/>
      <c r="AK1039" s="322">
        <f t="shared" si="467"/>
        <v>1034</v>
      </c>
      <c r="AL1039" s="323">
        <f t="shared" si="477"/>
        <v>1039</v>
      </c>
      <c r="AM1039" s="322">
        <f t="shared" si="478"/>
        <v>6</v>
      </c>
      <c r="AN1039" s="380">
        <f>IF(AND(AH1039&gt;0,B1039&lt;&gt;""),VLOOKUP(I1039,'AUX-NIV3'!$B:$AO,39,FALSE)*O1039,0)</f>
        <v>0</v>
      </c>
      <c r="AO1039" s="380">
        <f t="shared" si="468"/>
        <v>9.3333333333333358E-3</v>
      </c>
      <c r="AP1039" s="380"/>
    </row>
    <row r="1040" spans="2:42" ht="14.4" hidden="1" thickTop="1" thickBot="1">
      <c r="B1040" s="324" t="s">
        <v>2903</v>
      </c>
      <c r="C1040" s="325" t="s">
        <v>2904</v>
      </c>
      <c r="D1040" s="326" t="s">
        <v>441</v>
      </c>
      <c r="E1040" s="327">
        <f>IF(B1040&lt;&gt;"",SUMIF('AUX-NIV1'!I:I,'AUX-NIV2'!B1040,'AUX-NIV1'!Q:Q),"")</f>
        <v>0</v>
      </c>
      <c r="F1040" s="327">
        <f t="shared" si="458"/>
        <v>3463.189353612167</v>
      </c>
      <c r="G1040" s="327">
        <f t="shared" si="459"/>
        <v>0</v>
      </c>
      <c r="H1040" s="328" t="str">
        <f t="shared" si="479"/>
        <v>M</v>
      </c>
      <c r="I1040" s="325" t="s">
        <v>1861</v>
      </c>
      <c r="J1040" s="329" t="str">
        <f>IF(B1040&lt;&gt;"",+VLOOKUP(I1040,Recursos!C:F,2,FALSE),"")</f>
        <v>EXPANSOR-PLASTIFICANTE</v>
      </c>
      <c r="K1040" s="330" t="str">
        <f>IF(B1040&lt;&gt;"",+VLOOKUP(I1040,Recursos!C:F,3,FALSE),"")</f>
        <v>Kg</v>
      </c>
      <c r="L1040" s="446">
        <f>IF(B1040&lt;&gt;"",+VLOOKUP(I1040,Recursos!C:F,4,FALSE),"")</f>
        <v>3</v>
      </c>
      <c r="M1040" s="537">
        <v>8.0000000000000002E-3</v>
      </c>
      <c r="N1040" s="448"/>
      <c r="O1040" s="449">
        <f>+M1040*M1041</f>
        <v>3.2</v>
      </c>
      <c r="P1040" s="333">
        <f t="shared" si="454"/>
        <v>9.6000000000000014</v>
      </c>
      <c r="Q1040" s="327">
        <f t="shared" si="455"/>
        <v>0</v>
      </c>
      <c r="R1040" s="334">
        <f t="shared" si="456"/>
        <v>0</v>
      </c>
      <c r="S1040" s="335">
        <f t="shared" si="460"/>
        <v>0</v>
      </c>
      <c r="T1040" s="335">
        <f t="shared" si="461"/>
        <v>0</v>
      </c>
      <c r="U1040" s="336">
        <f t="shared" si="462"/>
        <v>2397.6</v>
      </c>
      <c r="V1040" s="336">
        <f t="shared" si="463"/>
        <v>0</v>
      </c>
      <c r="W1040" s="336">
        <f t="shared" si="464"/>
        <v>1065.5893536121675</v>
      </c>
      <c r="X1040" s="336">
        <f t="shared" si="465"/>
        <v>0</v>
      </c>
      <c r="Y1040" s="320"/>
      <c r="Z1040" s="321" t="str">
        <f t="shared" si="469"/>
        <v>X-TESA</v>
      </c>
      <c r="AA1040" s="321" t="str">
        <f t="shared" si="470"/>
        <v>X-TESE</v>
      </c>
      <c r="AB1040" s="321" t="str">
        <f t="shared" si="471"/>
        <v>X-TESM</v>
      </c>
      <c r="AC1040" s="321" t="str">
        <f t="shared" si="472"/>
        <v>X-TEST</v>
      </c>
      <c r="AD1040" s="321" t="str">
        <f t="shared" si="473"/>
        <v>X-TESS</v>
      </c>
      <c r="AE1040" s="321" t="str">
        <f t="shared" si="474"/>
        <v>X-TESX</v>
      </c>
      <c r="AF1040" s="321" t="str">
        <f t="shared" si="475"/>
        <v>X-TESM</v>
      </c>
      <c r="AG1040" s="321">
        <f t="shared" si="466"/>
        <v>4</v>
      </c>
      <c r="AH1040" s="321">
        <f>IF(B1040&lt;&gt;"",IF(H1040="x",VLOOKUP(I1040,'AUX-NIV3'!B:AG,32,FALSE),0),"")</f>
        <v>0</v>
      </c>
      <c r="AI1040" s="321" t="str">
        <f t="shared" si="476"/>
        <v>X-TES</v>
      </c>
      <c r="AJ1040" s="320"/>
      <c r="AK1040" s="322">
        <f t="shared" si="467"/>
        <v>1040</v>
      </c>
      <c r="AL1040" s="323">
        <f t="shared" si="477"/>
        <v>1043</v>
      </c>
      <c r="AM1040" s="322">
        <f t="shared" si="478"/>
        <v>1</v>
      </c>
      <c r="AN1040" s="380">
        <f>IF(AND(AH1040&gt;0,B1040&lt;&gt;""),VLOOKUP(I1040,'AUX-NIV3'!$B:$AO,39,FALSE)*O1040,0)</f>
        <v>0</v>
      </c>
      <c r="AO1040" s="380">
        <f t="shared" si="468"/>
        <v>0</v>
      </c>
      <c r="AP1040" s="380"/>
    </row>
    <row r="1041" spans="2:42" ht="14.4" hidden="1" thickTop="1" thickBot="1">
      <c r="B1041" s="324" t="s">
        <v>2903</v>
      </c>
      <c r="C1041" s="325" t="s">
        <v>2904</v>
      </c>
      <c r="D1041" s="326" t="s">
        <v>441</v>
      </c>
      <c r="E1041" s="327">
        <f>IF(B1041&lt;&gt;"",SUMIF('AUX-NIV1'!I:I,'AUX-NIV2'!B1041,'AUX-NIV1'!Q:Q),"")</f>
        <v>0</v>
      </c>
      <c r="F1041" s="327">
        <f t="shared" si="458"/>
        <v>3463.189353612167</v>
      </c>
      <c r="G1041" s="327">
        <f t="shared" si="459"/>
        <v>0</v>
      </c>
      <c r="H1041" s="328" t="str">
        <f t="shared" si="479"/>
        <v>M</v>
      </c>
      <c r="I1041" s="325" t="s">
        <v>1890</v>
      </c>
      <c r="J1041" s="329" t="str">
        <f>IF(B1041&lt;&gt;"",+VLOOKUP(I1041,Recursos!C:F,2,FALSE),"")</f>
        <v>CEMENTO PORTLAND (granel,en obra)</v>
      </c>
      <c r="K1041" s="330" t="str">
        <f>IF(B1041&lt;&gt;"",+VLOOKUP(I1041,Recursos!C:F,3,FALSE),"")</f>
        <v>Tn</v>
      </c>
      <c r="L1041" s="446">
        <f>IF(B1041&lt;&gt;"",+VLOOKUP(I1041,Recursos!C:F,4,FALSE),"")</f>
        <v>5970</v>
      </c>
      <c r="M1041" s="452">
        <v>400</v>
      </c>
      <c r="N1041" s="453"/>
      <c r="O1041" s="449">
        <f>+M1041/1000</f>
        <v>0.4</v>
      </c>
      <c r="P1041" s="333">
        <f t="shared" si="454"/>
        <v>2388</v>
      </c>
      <c r="Q1041" s="327">
        <f t="shared" si="455"/>
        <v>0</v>
      </c>
      <c r="R1041" s="334">
        <f t="shared" si="456"/>
        <v>0</v>
      </c>
      <c r="S1041" s="335">
        <f t="shared" si="460"/>
        <v>0</v>
      </c>
      <c r="T1041" s="335">
        <f t="shared" si="461"/>
        <v>0</v>
      </c>
      <c r="U1041" s="336">
        <f t="shared" si="462"/>
        <v>2397.6</v>
      </c>
      <c r="V1041" s="336">
        <f t="shared" si="463"/>
        <v>0</v>
      </c>
      <c r="W1041" s="336">
        <f t="shared" si="464"/>
        <v>1065.5893536121675</v>
      </c>
      <c r="X1041" s="336">
        <f t="shared" si="465"/>
        <v>0</v>
      </c>
      <c r="Y1041" s="320"/>
      <c r="Z1041" s="321" t="str">
        <f t="shared" si="469"/>
        <v>X-TESA</v>
      </c>
      <c r="AA1041" s="321" t="str">
        <f t="shared" si="470"/>
        <v>X-TESE</v>
      </c>
      <c r="AB1041" s="321" t="str">
        <f t="shared" si="471"/>
        <v>X-TESM</v>
      </c>
      <c r="AC1041" s="321" t="str">
        <f t="shared" si="472"/>
        <v>X-TEST</v>
      </c>
      <c r="AD1041" s="321" t="str">
        <f t="shared" si="473"/>
        <v>X-TESS</v>
      </c>
      <c r="AE1041" s="321" t="str">
        <f t="shared" si="474"/>
        <v>X-TESX</v>
      </c>
      <c r="AF1041" s="321" t="str">
        <f t="shared" si="475"/>
        <v>X-TESM</v>
      </c>
      <c r="AG1041" s="321">
        <f t="shared" si="466"/>
        <v>4</v>
      </c>
      <c r="AH1041" s="321">
        <f>IF(B1041&lt;&gt;"",IF(H1041="x",VLOOKUP(I1041,'AUX-NIV3'!B:AG,32,FALSE),0),"")</f>
        <v>0</v>
      </c>
      <c r="AI1041" s="321" t="str">
        <f t="shared" si="476"/>
        <v>X-TES</v>
      </c>
      <c r="AJ1041" s="320"/>
      <c r="AK1041" s="322">
        <f t="shared" si="467"/>
        <v>1040</v>
      </c>
      <c r="AL1041" s="323">
        <f t="shared" si="477"/>
        <v>1043</v>
      </c>
      <c r="AM1041" s="322">
        <f t="shared" si="478"/>
        <v>2</v>
      </c>
      <c r="AN1041" s="380">
        <f>IF(AND(AH1041&gt;0,B1041&lt;&gt;""),VLOOKUP(I1041,'AUX-NIV3'!$B:$AO,39,FALSE)*O1041,0)</f>
        <v>0</v>
      </c>
      <c r="AO1041" s="380">
        <f t="shared" si="468"/>
        <v>0</v>
      </c>
      <c r="AP1041" s="380"/>
    </row>
    <row r="1042" spans="2:42" ht="14.4" hidden="1" thickTop="1" thickBot="1">
      <c r="B1042" s="324" t="s">
        <v>2903</v>
      </c>
      <c r="C1042" s="325" t="s">
        <v>2904</v>
      </c>
      <c r="D1042" s="326" t="s">
        <v>441</v>
      </c>
      <c r="E1042" s="327">
        <f>IF(B1042&lt;&gt;"",SUMIF('AUX-NIV1'!I:I,'AUX-NIV2'!B1042,'AUX-NIV1'!Q:Q),"")</f>
        <v>0</v>
      </c>
      <c r="F1042" s="327">
        <f t="shared" si="458"/>
        <v>3463.189353612167</v>
      </c>
      <c r="G1042" s="327">
        <f t="shared" si="459"/>
        <v>0</v>
      </c>
      <c r="H1042" s="328" t="str">
        <f t="shared" si="479"/>
        <v>S</v>
      </c>
      <c r="I1042" s="325" t="s">
        <v>2653</v>
      </c>
      <c r="J1042" s="329" t="str">
        <f>IF(B1042&lt;&gt;"",+VLOOKUP(I1042,Recursos!C:F,2,FALSE),"")</f>
        <v>SUBCONTRATO TESADO CABLES</v>
      </c>
      <c r="K1042" s="330" t="str">
        <f>IF(B1042&lt;&gt;"",+VLOOKUP(I1042,Recursos!C:F,3,FALSE),"")</f>
        <v>día</v>
      </c>
      <c r="L1042" s="446">
        <f>IF(B1042&lt;&gt;"",+VLOOKUP(I1042,Recursos!C:F,4,FALSE),"")</f>
        <v>690</v>
      </c>
      <c r="M1042" s="452">
        <v>2</v>
      </c>
      <c r="N1042" s="453">
        <v>31.56</v>
      </c>
      <c r="O1042" s="449">
        <f>+M1043/(M1042*N1042)</f>
        <v>0.9347275031685679</v>
      </c>
      <c r="P1042" s="333">
        <f t="shared" si="454"/>
        <v>644.96197718631186</v>
      </c>
      <c r="Q1042" s="327">
        <f t="shared" si="455"/>
        <v>0</v>
      </c>
      <c r="R1042" s="334">
        <f t="shared" si="456"/>
        <v>0</v>
      </c>
      <c r="S1042" s="335">
        <f t="shared" si="460"/>
        <v>0</v>
      </c>
      <c r="T1042" s="335">
        <f t="shared" si="461"/>
        <v>0</v>
      </c>
      <c r="U1042" s="336">
        <f t="shared" si="462"/>
        <v>2397.6</v>
      </c>
      <c r="V1042" s="336">
        <f t="shared" si="463"/>
        <v>0</v>
      </c>
      <c r="W1042" s="336">
        <f t="shared" si="464"/>
        <v>1065.5893536121675</v>
      </c>
      <c r="X1042" s="336">
        <f t="shared" si="465"/>
        <v>0</v>
      </c>
      <c r="Y1042" s="320"/>
      <c r="Z1042" s="321" t="str">
        <f t="shared" si="469"/>
        <v>X-TESA</v>
      </c>
      <c r="AA1042" s="321" t="str">
        <f t="shared" si="470"/>
        <v>X-TESE</v>
      </c>
      <c r="AB1042" s="321" t="str">
        <f t="shared" si="471"/>
        <v>X-TESM</v>
      </c>
      <c r="AC1042" s="321" t="str">
        <f t="shared" si="472"/>
        <v>X-TEST</v>
      </c>
      <c r="AD1042" s="321" t="str">
        <f t="shared" si="473"/>
        <v>X-TESS</v>
      </c>
      <c r="AE1042" s="321" t="str">
        <f t="shared" si="474"/>
        <v>X-TESX</v>
      </c>
      <c r="AF1042" s="321" t="str">
        <f t="shared" si="475"/>
        <v>X-TESS</v>
      </c>
      <c r="AG1042" s="321">
        <f t="shared" si="466"/>
        <v>4</v>
      </c>
      <c r="AH1042" s="321">
        <f>IF(B1042&lt;&gt;"",IF(H1042="x",VLOOKUP(I1042,'AUX-NIV3'!B:AG,32,FALSE),0),"")</f>
        <v>0</v>
      </c>
      <c r="AI1042" s="321" t="str">
        <f t="shared" si="476"/>
        <v>X-TES</v>
      </c>
      <c r="AJ1042" s="320"/>
      <c r="AK1042" s="322">
        <f t="shared" si="467"/>
        <v>1040</v>
      </c>
      <c r="AL1042" s="323">
        <f t="shared" si="477"/>
        <v>1043</v>
      </c>
      <c r="AM1042" s="322">
        <f t="shared" si="478"/>
        <v>3</v>
      </c>
      <c r="AN1042" s="380">
        <f>IF(AND(AH1042&gt;0,B1042&lt;&gt;""),VLOOKUP(I1042,'AUX-NIV3'!$B:$AO,39,FALSE)*O1042,0)</f>
        <v>0</v>
      </c>
      <c r="AO1042" s="380">
        <f t="shared" si="468"/>
        <v>0</v>
      </c>
      <c r="AP1042" s="380"/>
    </row>
    <row r="1043" spans="2:42" ht="14.4" hidden="1" thickTop="1" thickBot="1">
      <c r="B1043" s="324" t="s">
        <v>2903</v>
      </c>
      <c r="C1043" s="325" t="s">
        <v>2904</v>
      </c>
      <c r="D1043" s="326" t="s">
        <v>441</v>
      </c>
      <c r="E1043" s="327">
        <f>IF(B1043&lt;&gt;"",SUMIF('AUX-NIV1'!I:I,'AUX-NIV2'!B1043,'AUX-NIV1'!Q:Q),"")</f>
        <v>0</v>
      </c>
      <c r="F1043" s="327">
        <f t="shared" si="458"/>
        <v>3463.189353612167</v>
      </c>
      <c r="G1043" s="327">
        <f t="shared" si="459"/>
        <v>0</v>
      </c>
      <c r="H1043" s="328" t="str">
        <f t="shared" si="479"/>
        <v>S</v>
      </c>
      <c r="I1043" s="325" t="s">
        <v>2656</v>
      </c>
      <c r="J1043" s="329" t="str">
        <f>IF(B1043&lt;&gt;"",+VLOOKUP(I1043,Recursos!C:F,2,FALSE),"")</f>
        <v>VARIOS SERVICIO TESADO CABLES</v>
      </c>
      <c r="K1043" s="330" t="str">
        <f>IF(B1043&lt;&gt;"",+VLOOKUP(I1043,Recursos!C:F,3,FALSE),"")</f>
        <v>día</v>
      </c>
      <c r="L1043" s="446">
        <f>IF(B1043&lt;&gt;"",+VLOOKUP(I1043,Recursos!C:F,4,FALSE),"")</f>
        <v>450</v>
      </c>
      <c r="M1043" s="450">
        <v>59</v>
      </c>
      <c r="N1043" s="451"/>
      <c r="O1043" s="449">
        <f>+M1043/(M1042*N1042)</f>
        <v>0.9347275031685679</v>
      </c>
      <c r="P1043" s="333">
        <f t="shared" si="454"/>
        <v>420.62737642585557</v>
      </c>
      <c r="Q1043" s="327">
        <f t="shared" si="455"/>
        <v>0</v>
      </c>
      <c r="R1043" s="334">
        <f t="shared" si="456"/>
        <v>0</v>
      </c>
      <c r="S1043" s="335">
        <f t="shared" si="460"/>
        <v>0</v>
      </c>
      <c r="T1043" s="335">
        <f t="shared" si="461"/>
        <v>0</v>
      </c>
      <c r="U1043" s="336">
        <f t="shared" si="462"/>
        <v>2397.6</v>
      </c>
      <c r="V1043" s="336">
        <f t="shared" si="463"/>
        <v>0</v>
      </c>
      <c r="W1043" s="336">
        <f t="shared" si="464"/>
        <v>1065.5893536121675</v>
      </c>
      <c r="X1043" s="336">
        <f t="shared" si="465"/>
        <v>0</v>
      </c>
      <c r="Y1043" s="320"/>
      <c r="Z1043" s="321" t="str">
        <f t="shared" si="469"/>
        <v>X-TESA</v>
      </c>
      <c r="AA1043" s="321" t="str">
        <f t="shared" si="470"/>
        <v>X-TESE</v>
      </c>
      <c r="AB1043" s="321" t="str">
        <f t="shared" si="471"/>
        <v>X-TESM</v>
      </c>
      <c r="AC1043" s="321" t="str">
        <f t="shared" si="472"/>
        <v>X-TEST</v>
      </c>
      <c r="AD1043" s="321" t="str">
        <f t="shared" si="473"/>
        <v>X-TESS</v>
      </c>
      <c r="AE1043" s="321" t="str">
        <f t="shared" si="474"/>
        <v>X-TESX</v>
      </c>
      <c r="AF1043" s="321" t="str">
        <f t="shared" si="475"/>
        <v>X-TESS</v>
      </c>
      <c r="AG1043" s="321">
        <f t="shared" si="466"/>
        <v>4</v>
      </c>
      <c r="AH1043" s="321">
        <f>IF(B1043&lt;&gt;"",IF(H1043="x",VLOOKUP(I1043,'AUX-NIV3'!B:AG,32,FALSE),0),"")</f>
        <v>0</v>
      </c>
      <c r="AI1043" s="321" t="str">
        <f t="shared" si="476"/>
        <v>X-TES</v>
      </c>
      <c r="AJ1043" s="320"/>
      <c r="AK1043" s="322">
        <f t="shared" si="467"/>
        <v>1040</v>
      </c>
      <c r="AL1043" s="323">
        <f t="shared" si="477"/>
        <v>1043</v>
      </c>
      <c r="AM1043" s="322">
        <f t="shared" si="478"/>
        <v>4</v>
      </c>
      <c r="AN1043" s="380">
        <f>IF(AND(AH1043&gt;0,B1043&lt;&gt;""),VLOOKUP(I1043,'AUX-NIV3'!$B:$AO,39,FALSE)*O1043,0)</f>
        <v>0</v>
      </c>
      <c r="AO1043" s="380">
        <f t="shared" si="468"/>
        <v>0</v>
      </c>
      <c r="AP1043" s="380"/>
    </row>
    <row r="1044" spans="2:42" ht="14.4" hidden="1" thickTop="1" thickBot="1">
      <c r="B1044" s="324" t="s">
        <v>2905</v>
      </c>
      <c r="C1044" s="325" t="s">
        <v>2906</v>
      </c>
      <c r="D1044" s="326" t="s">
        <v>185</v>
      </c>
      <c r="E1044" s="327">
        <f>IF(B1044&lt;&gt;"",SUMIF('AUX-NIV1'!I:I,'AUX-NIV2'!B1044,'AUX-NIV1'!Q:Q),"")</f>
        <v>0</v>
      </c>
      <c r="F1044" s="327">
        <f t="shared" si="458"/>
        <v>12925.983848951404</v>
      </c>
      <c r="G1044" s="327">
        <f t="shared" si="459"/>
        <v>0</v>
      </c>
      <c r="H1044" s="328" t="str">
        <f t="shared" si="479"/>
        <v>A</v>
      </c>
      <c r="I1044" s="325" t="s">
        <v>3310</v>
      </c>
      <c r="J1044" s="329" t="str">
        <f>IF(B1044&lt;&gt;"",+VLOOKUP(I1044,Recursos!C:F,2,FALSE),"")</f>
        <v>OFICIAL ESPECIALIZADO</v>
      </c>
      <c r="K1044" s="330" t="str">
        <f>IF(B1044&lt;&gt;"",+VLOOKUP(I1044,Recursos!C:F,3,FALSE),"")</f>
        <v>hh</v>
      </c>
      <c r="L1044" s="446">
        <f>IF(B1044&lt;&gt;"",+VLOOKUP(I1044,Recursos!C:F,4,FALSE),"")</f>
        <v>581.06120476836554</v>
      </c>
      <c r="M1044" s="447">
        <v>1</v>
      </c>
      <c r="N1044" s="448">
        <v>1.25</v>
      </c>
      <c r="O1044" s="449">
        <f>+N1044*M1044</f>
        <v>1.25</v>
      </c>
      <c r="P1044" s="333">
        <f t="shared" si="454"/>
        <v>726.32650596045687</v>
      </c>
      <c r="Q1044" s="327">
        <f t="shared" si="455"/>
        <v>0</v>
      </c>
      <c r="R1044" s="334">
        <f t="shared" si="456"/>
        <v>0</v>
      </c>
      <c r="S1044" s="335">
        <f t="shared" si="460"/>
        <v>1347.4714489514047</v>
      </c>
      <c r="T1044" s="335">
        <f t="shared" si="461"/>
        <v>11576.0124</v>
      </c>
      <c r="U1044" s="336">
        <f t="shared" si="462"/>
        <v>2.5</v>
      </c>
      <c r="V1044" s="336">
        <f t="shared" si="463"/>
        <v>0</v>
      </c>
      <c r="W1044" s="336">
        <f t="shared" si="464"/>
        <v>0</v>
      </c>
      <c r="X1044" s="336">
        <f t="shared" si="465"/>
        <v>0</v>
      </c>
      <c r="Y1044" s="320"/>
      <c r="Z1044" s="321" t="str">
        <f t="shared" si="469"/>
        <v>X-CVA</v>
      </c>
      <c r="AA1044" s="321" t="str">
        <f t="shared" si="470"/>
        <v>X-CVE</v>
      </c>
      <c r="AB1044" s="321" t="str">
        <f t="shared" si="471"/>
        <v>X-CVM</v>
      </c>
      <c r="AC1044" s="321" t="str">
        <f t="shared" si="472"/>
        <v>X-CVT</v>
      </c>
      <c r="AD1044" s="321" t="str">
        <f t="shared" si="473"/>
        <v>X-CVS</v>
      </c>
      <c r="AE1044" s="321" t="str">
        <f t="shared" si="474"/>
        <v>X-CVX</v>
      </c>
      <c r="AF1044" s="321" t="str">
        <f t="shared" si="475"/>
        <v>X-CVA</v>
      </c>
      <c r="AG1044" s="321">
        <f t="shared" si="466"/>
        <v>5</v>
      </c>
      <c r="AH1044" s="321">
        <f>IF(B1044&lt;&gt;"",IF(H1044="x",VLOOKUP(I1044,'AUX-NIV3'!B:AG,32,FALSE),0),"")</f>
        <v>0</v>
      </c>
      <c r="AI1044" s="321" t="str">
        <f t="shared" si="476"/>
        <v>X-CV</v>
      </c>
      <c r="AJ1044" s="320"/>
      <c r="AK1044" s="322">
        <f t="shared" si="467"/>
        <v>1044</v>
      </c>
      <c r="AL1044" s="323">
        <f t="shared" si="477"/>
        <v>1048</v>
      </c>
      <c r="AM1044" s="322">
        <f t="shared" si="478"/>
        <v>1</v>
      </c>
      <c r="AN1044" s="380">
        <f>IF(AND(AH1044&gt;0,B1044&lt;&gt;""),VLOOKUP(I1044,'AUX-NIV3'!$B:$AO,39,FALSE)*O1044,0)</f>
        <v>0</v>
      </c>
      <c r="AO1044" s="380">
        <f t="shared" si="468"/>
        <v>2.5</v>
      </c>
      <c r="AP1044" s="380"/>
    </row>
    <row r="1045" spans="2:42" ht="14.4" hidden="1" thickTop="1" thickBot="1">
      <c r="B1045" s="324" t="s">
        <v>2905</v>
      </c>
      <c r="C1045" s="325" t="s">
        <v>2906</v>
      </c>
      <c r="D1045" s="326" t="s">
        <v>185</v>
      </c>
      <c r="E1045" s="327">
        <f>IF(B1045&lt;&gt;"",SUMIF('AUX-NIV1'!I:I,'AUX-NIV2'!B1045,'AUX-NIV1'!Q:Q),"")</f>
        <v>0</v>
      </c>
      <c r="F1045" s="327">
        <f t="shared" si="458"/>
        <v>12925.983848951404</v>
      </c>
      <c r="G1045" s="327">
        <f t="shared" si="459"/>
        <v>0</v>
      </c>
      <c r="H1045" s="328" t="str">
        <f t="shared" si="479"/>
        <v>A</v>
      </c>
      <c r="I1045" s="325" t="s">
        <v>1746</v>
      </c>
      <c r="J1045" s="329" t="str">
        <f>IF(B1045&lt;&gt;"",+VLOOKUP(I1045,Recursos!C:F,2,FALSE),"")</f>
        <v>OFICIAL</v>
      </c>
      <c r="K1045" s="330" t="str">
        <f>IF(B1045&lt;&gt;"",+VLOOKUP(I1045,Recursos!C:F,3,FALSE),"")</f>
        <v>hh</v>
      </c>
      <c r="L1045" s="446">
        <f>IF(B1045&lt;&gt;"",+VLOOKUP(I1045,Recursos!C:F,4,FALSE),"")</f>
        <v>496.91595439275824</v>
      </c>
      <c r="M1045" s="454"/>
      <c r="N1045" s="455"/>
      <c r="O1045" s="449">
        <f>+N1044*M1044</f>
        <v>1.25</v>
      </c>
      <c r="P1045" s="333">
        <f t="shared" si="454"/>
        <v>621.14494299094781</v>
      </c>
      <c r="Q1045" s="327">
        <f t="shared" si="455"/>
        <v>0</v>
      </c>
      <c r="R1045" s="334">
        <f t="shared" si="456"/>
        <v>0</v>
      </c>
      <c r="S1045" s="335">
        <f t="shared" si="460"/>
        <v>1347.4714489514047</v>
      </c>
      <c r="T1045" s="335">
        <f t="shared" si="461"/>
        <v>11576.0124</v>
      </c>
      <c r="U1045" s="336">
        <f t="shared" si="462"/>
        <v>2.5</v>
      </c>
      <c r="V1045" s="336">
        <f t="shared" si="463"/>
        <v>0</v>
      </c>
      <c r="W1045" s="336">
        <f t="shared" si="464"/>
        <v>0</v>
      </c>
      <c r="X1045" s="336">
        <f t="shared" si="465"/>
        <v>0</v>
      </c>
      <c r="Y1045" s="320"/>
      <c r="Z1045" s="321" t="str">
        <f t="shared" si="469"/>
        <v>X-CVA</v>
      </c>
      <c r="AA1045" s="321" t="str">
        <f t="shared" si="470"/>
        <v>X-CVE</v>
      </c>
      <c r="AB1045" s="321" t="str">
        <f t="shared" si="471"/>
        <v>X-CVM</v>
      </c>
      <c r="AC1045" s="321" t="str">
        <f t="shared" si="472"/>
        <v>X-CVT</v>
      </c>
      <c r="AD1045" s="321" t="str">
        <f t="shared" si="473"/>
        <v>X-CVS</v>
      </c>
      <c r="AE1045" s="321" t="str">
        <f t="shared" si="474"/>
        <v>X-CVX</v>
      </c>
      <c r="AF1045" s="321" t="str">
        <f t="shared" si="475"/>
        <v>X-CVA</v>
      </c>
      <c r="AG1045" s="321">
        <f t="shared" si="466"/>
        <v>5</v>
      </c>
      <c r="AH1045" s="321">
        <f>IF(B1045&lt;&gt;"",IF(H1045="x",VLOOKUP(I1045,'AUX-NIV3'!B:AG,32,FALSE),0),"")</f>
        <v>0</v>
      </c>
      <c r="AI1045" s="321" t="str">
        <f t="shared" si="476"/>
        <v>X-CV</v>
      </c>
      <c r="AJ1045" s="320"/>
      <c r="AK1045" s="322">
        <f t="shared" si="467"/>
        <v>1044</v>
      </c>
      <c r="AL1045" s="323">
        <f t="shared" si="477"/>
        <v>1048</v>
      </c>
      <c r="AM1045" s="322">
        <f t="shared" si="478"/>
        <v>2</v>
      </c>
      <c r="AN1045" s="380">
        <f>IF(AND(AH1045&gt;0,B1045&lt;&gt;""),VLOOKUP(I1045,'AUX-NIV3'!$B:$AO,39,FALSE)*O1045,0)</f>
        <v>0</v>
      </c>
      <c r="AO1045" s="380">
        <f t="shared" si="468"/>
        <v>2.5</v>
      </c>
      <c r="AP1045" s="380"/>
    </row>
    <row r="1046" spans="2:42" ht="14.4" hidden="1" thickTop="1" thickBot="1">
      <c r="B1046" s="324" t="s">
        <v>2905</v>
      </c>
      <c r="C1046" s="325" t="s">
        <v>2906</v>
      </c>
      <c r="D1046" s="326" t="s">
        <v>185</v>
      </c>
      <c r="E1046" s="327">
        <f>IF(B1046&lt;&gt;"",SUMIF('AUX-NIV1'!I:I,'AUX-NIV2'!B1046,'AUX-NIV1'!Q:Q),"")</f>
        <v>0</v>
      </c>
      <c r="F1046" s="327">
        <f t="shared" si="458"/>
        <v>12925.983848951404</v>
      </c>
      <c r="G1046" s="327">
        <f t="shared" si="459"/>
        <v>0</v>
      </c>
      <c r="H1046" s="328" t="str">
        <f t="shared" si="479"/>
        <v>E</v>
      </c>
      <c r="I1046" s="325" t="s">
        <v>1678</v>
      </c>
      <c r="J1046" s="329" t="str">
        <f>IF(B1046&lt;&gt;"",+VLOOKUP(I1046,Recursos!C:F,2,FALSE),"")</f>
        <v>CAMION SEMIRREMOLQUE CAP. 35 T</v>
      </c>
      <c r="K1046" s="330" t="str">
        <f>IF(B1046&lt;&gt;"",+VLOOKUP(I1046,Recursos!C:F,3,FALSE),"")</f>
        <v>HR</v>
      </c>
      <c r="L1046" s="446">
        <f>IF(B1046&lt;&gt;"",+VLOOKUP(I1046,Recursos!C:F,4,FALSE),"")</f>
        <v>5017.3932999999997</v>
      </c>
      <c r="M1046" s="454"/>
      <c r="N1046" s="455"/>
      <c r="O1046" s="449">
        <f>+M1044</f>
        <v>1</v>
      </c>
      <c r="P1046" s="333">
        <f t="shared" si="454"/>
        <v>5017.3932999999997</v>
      </c>
      <c r="Q1046" s="327">
        <f t="shared" si="455"/>
        <v>0</v>
      </c>
      <c r="R1046" s="334">
        <f t="shared" si="456"/>
        <v>0</v>
      </c>
      <c r="S1046" s="335">
        <f t="shared" si="460"/>
        <v>1347.4714489514047</v>
      </c>
      <c r="T1046" s="335">
        <f t="shared" si="461"/>
        <v>11576.0124</v>
      </c>
      <c r="U1046" s="336">
        <f t="shared" si="462"/>
        <v>2.5</v>
      </c>
      <c r="V1046" s="336">
        <f t="shared" si="463"/>
        <v>0</v>
      </c>
      <c r="W1046" s="336">
        <f t="shared" si="464"/>
        <v>0</v>
      </c>
      <c r="X1046" s="336">
        <f t="shared" si="465"/>
        <v>0</v>
      </c>
      <c r="Y1046" s="320"/>
      <c r="Z1046" s="321" t="str">
        <f t="shared" si="469"/>
        <v>X-CVA</v>
      </c>
      <c r="AA1046" s="321" t="str">
        <f t="shared" si="470"/>
        <v>X-CVE</v>
      </c>
      <c r="AB1046" s="321" t="str">
        <f t="shared" si="471"/>
        <v>X-CVM</v>
      </c>
      <c r="AC1046" s="321" t="str">
        <f t="shared" si="472"/>
        <v>X-CVT</v>
      </c>
      <c r="AD1046" s="321" t="str">
        <f t="shared" si="473"/>
        <v>X-CVS</v>
      </c>
      <c r="AE1046" s="321" t="str">
        <f t="shared" si="474"/>
        <v>X-CVX</v>
      </c>
      <c r="AF1046" s="321" t="str">
        <f t="shared" si="475"/>
        <v>X-CVE</v>
      </c>
      <c r="AG1046" s="321">
        <f t="shared" si="466"/>
        <v>5</v>
      </c>
      <c r="AH1046" s="321">
        <f>IF(B1046&lt;&gt;"",IF(H1046="x",VLOOKUP(I1046,'AUX-NIV3'!B:AG,32,FALSE),0),"")</f>
        <v>0</v>
      </c>
      <c r="AI1046" s="321" t="str">
        <f t="shared" si="476"/>
        <v>X-CV</v>
      </c>
      <c r="AJ1046" s="320"/>
      <c r="AK1046" s="322">
        <f t="shared" si="467"/>
        <v>1044</v>
      </c>
      <c r="AL1046" s="323">
        <f t="shared" si="477"/>
        <v>1048</v>
      </c>
      <c r="AM1046" s="322">
        <f t="shared" si="478"/>
        <v>3</v>
      </c>
      <c r="AN1046" s="380">
        <f>IF(AND(AH1046&gt;0,B1046&lt;&gt;""),VLOOKUP(I1046,'AUX-NIV3'!$B:$AO,39,FALSE)*O1046,0)</f>
        <v>0</v>
      </c>
      <c r="AO1046" s="380">
        <f t="shared" si="468"/>
        <v>2.5</v>
      </c>
      <c r="AP1046" s="380"/>
    </row>
    <row r="1047" spans="2:42" ht="14.4" hidden="1" thickTop="1" thickBot="1">
      <c r="B1047" s="324" t="s">
        <v>2905</v>
      </c>
      <c r="C1047" s="325" t="s">
        <v>2906</v>
      </c>
      <c r="D1047" s="326" t="s">
        <v>185</v>
      </c>
      <c r="E1047" s="327">
        <f>IF(B1047&lt;&gt;"",SUMIF('AUX-NIV1'!I:I,'AUX-NIV2'!B1047,'AUX-NIV1'!Q:Q),"")</f>
        <v>0</v>
      </c>
      <c r="F1047" s="327">
        <f t="shared" si="458"/>
        <v>12925.983848951404</v>
      </c>
      <c r="G1047" s="327">
        <f t="shared" si="459"/>
        <v>0</v>
      </c>
      <c r="H1047" s="328" t="str">
        <f t="shared" si="479"/>
        <v>E</v>
      </c>
      <c r="I1047" s="325" t="s">
        <v>1698</v>
      </c>
      <c r="J1047" s="329" t="str">
        <f>IF(B1047&lt;&gt;"",+VLOOKUP(I1047,Recursos!C:F,2,FALSE),"")</f>
        <v>GRUA MOVIL TODO TERRENO 55 T</v>
      </c>
      <c r="K1047" s="330" t="str">
        <f>IF(B1047&lt;&gt;"",+VLOOKUP(I1047,Recursos!C:F,3,FALSE),"")</f>
        <v>HR</v>
      </c>
      <c r="L1047" s="446">
        <f>IF(B1047&lt;&gt;"",+VLOOKUP(I1047,Recursos!C:F,4,FALSE),"")</f>
        <v>6558.6190999999999</v>
      </c>
      <c r="M1047" s="454"/>
      <c r="N1047" s="455"/>
      <c r="O1047" s="449">
        <f>+M1044</f>
        <v>1</v>
      </c>
      <c r="P1047" s="333">
        <f t="shared" si="454"/>
        <v>6558.6190999999999</v>
      </c>
      <c r="Q1047" s="327">
        <f t="shared" si="455"/>
        <v>0</v>
      </c>
      <c r="R1047" s="334">
        <f t="shared" si="456"/>
        <v>0</v>
      </c>
      <c r="S1047" s="335">
        <f t="shared" si="460"/>
        <v>1347.4714489514047</v>
      </c>
      <c r="T1047" s="335">
        <f t="shared" si="461"/>
        <v>11576.0124</v>
      </c>
      <c r="U1047" s="336">
        <f t="shared" si="462"/>
        <v>2.5</v>
      </c>
      <c r="V1047" s="336">
        <f t="shared" si="463"/>
        <v>0</v>
      </c>
      <c r="W1047" s="336">
        <f t="shared" si="464"/>
        <v>0</v>
      </c>
      <c r="X1047" s="336">
        <f t="shared" si="465"/>
        <v>0</v>
      </c>
      <c r="Y1047" s="320"/>
      <c r="Z1047" s="321" t="str">
        <f t="shared" si="469"/>
        <v>X-CVA</v>
      </c>
      <c r="AA1047" s="321" t="str">
        <f t="shared" si="470"/>
        <v>X-CVE</v>
      </c>
      <c r="AB1047" s="321" t="str">
        <f t="shared" si="471"/>
        <v>X-CVM</v>
      </c>
      <c r="AC1047" s="321" t="str">
        <f t="shared" si="472"/>
        <v>X-CVT</v>
      </c>
      <c r="AD1047" s="321" t="str">
        <f t="shared" si="473"/>
        <v>X-CVS</v>
      </c>
      <c r="AE1047" s="321" t="str">
        <f t="shared" si="474"/>
        <v>X-CVX</v>
      </c>
      <c r="AF1047" s="321" t="str">
        <f t="shared" si="475"/>
        <v>X-CVE</v>
      </c>
      <c r="AG1047" s="321">
        <f t="shared" si="466"/>
        <v>5</v>
      </c>
      <c r="AH1047" s="321">
        <f>IF(B1047&lt;&gt;"",IF(H1047="x",VLOOKUP(I1047,'AUX-NIV3'!B:AG,32,FALSE),0),"")</f>
        <v>0</v>
      </c>
      <c r="AI1047" s="321" t="str">
        <f t="shared" si="476"/>
        <v>X-CV</v>
      </c>
      <c r="AJ1047" s="320"/>
      <c r="AK1047" s="322">
        <f t="shared" si="467"/>
        <v>1044</v>
      </c>
      <c r="AL1047" s="323">
        <f t="shared" si="477"/>
        <v>1048</v>
      </c>
      <c r="AM1047" s="322">
        <f t="shared" si="478"/>
        <v>4</v>
      </c>
      <c r="AN1047" s="380">
        <f>IF(AND(AH1047&gt;0,B1047&lt;&gt;""),VLOOKUP(I1047,'AUX-NIV3'!$B:$AO,39,FALSE)*O1047,0)</f>
        <v>0</v>
      </c>
      <c r="AO1047" s="380">
        <f t="shared" si="468"/>
        <v>2.5</v>
      </c>
      <c r="AP1047" s="380"/>
    </row>
    <row r="1048" spans="2:42" ht="14.4" hidden="1" thickTop="1" thickBot="1">
      <c r="B1048" s="324" t="s">
        <v>2905</v>
      </c>
      <c r="C1048" s="325" t="s">
        <v>2906</v>
      </c>
      <c r="D1048" s="326" t="s">
        <v>185</v>
      </c>
      <c r="E1048" s="327">
        <f>IF(B1048&lt;&gt;"",SUMIF('AUX-NIV1'!I:I,'AUX-NIV2'!B1048,'AUX-NIV1'!Q:Q),"")</f>
        <v>0</v>
      </c>
      <c r="F1048" s="327">
        <f t="shared" si="458"/>
        <v>12925.983848951404</v>
      </c>
      <c r="G1048" s="327">
        <f t="shared" si="459"/>
        <v>0</v>
      </c>
      <c r="H1048" s="328" t="str">
        <f t="shared" si="479"/>
        <v>M</v>
      </c>
      <c r="I1048" s="325" t="s">
        <v>621</v>
      </c>
      <c r="J1048" s="329" t="str">
        <f>IF(B1048&lt;&gt;"",+VLOOKUP(I1048,Recursos!C:F,2,FALSE),"")</f>
        <v>MATERIALES VARIOS</v>
      </c>
      <c r="K1048" s="330" t="str">
        <f>IF(B1048&lt;&gt;"",+VLOOKUP(I1048,Recursos!C:F,3,FALSE),"")</f>
        <v>GL</v>
      </c>
      <c r="L1048" s="446">
        <f>IF(B1048&lt;&gt;"",+VLOOKUP(I1048,Recursos!C:F,4,FALSE),"")</f>
        <v>0.5</v>
      </c>
      <c r="M1048" s="456"/>
      <c r="N1048" s="451">
        <v>5</v>
      </c>
      <c r="O1048" s="449">
        <f>+N1048</f>
        <v>5</v>
      </c>
      <c r="P1048" s="333">
        <f t="shared" si="454"/>
        <v>2.5</v>
      </c>
      <c r="Q1048" s="327">
        <f t="shared" si="455"/>
        <v>0</v>
      </c>
      <c r="R1048" s="334">
        <f t="shared" si="456"/>
        <v>0</v>
      </c>
      <c r="S1048" s="335">
        <f t="shared" si="460"/>
        <v>1347.4714489514047</v>
      </c>
      <c r="T1048" s="335">
        <f t="shared" si="461"/>
        <v>11576.0124</v>
      </c>
      <c r="U1048" s="336">
        <f t="shared" si="462"/>
        <v>2.5</v>
      </c>
      <c r="V1048" s="336">
        <f t="shared" si="463"/>
        <v>0</v>
      </c>
      <c r="W1048" s="336">
        <f t="shared" si="464"/>
        <v>0</v>
      </c>
      <c r="X1048" s="336">
        <f t="shared" si="465"/>
        <v>0</v>
      </c>
      <c r="Y1048" s="320"/>
      <c r="Z1048" s="321" t="str">
        <f t="shared" si="469"/>
        <v>X-CVA</v>
      </c>
      <c r="AA1048" s="321" t="str">
        <f t="shared" si="470"/>
        <v>X-CVE</v>
      </c>
      <c r="AB1048" s="321" t="str">
        <f t="shared" si="471"/>
        <v>X-CVM</v>
      </c>
      <c r="AC1048" s="321" t="str">
        <f t="shared" si="472"/>
        <v>X-CVT</v>
      </c>
      <c r="AD1048" s="321" t="str">
        <f t="shared" si="473"/>
        <v>X-CVS</v>
      </c>
      <c r="AE1048" s="321" t="str">
        <f t="shared" si="474"/>
        <v>X-CVX</v>
      </c>
      <c r="AF1048" s="321" t="str">
        <f t="shared" si="475"/>
        <v>X-CVM</v>
      </c>
      <c r="AG1048" s="321">
        <f t="shared" si="466"/>
        <v>5</v>
      </c>
      <c r="AH1048" s="321">
        <f>IF(B1048&lt;&gt;"",IF(H1048="x",VLOOKUP(I1048,'AUX-NIV3'!B:AG,32,FALSE),0),"")</f>
        <v>0</v>
      </c>
      <c r="AI1048" s="321" t="str">
        <f t="shared" si="476"/>
        <v>X-CV</v>
      </c>
      <c r="AJ1048" s="320"/>
      <c r="AK1048" s="322">
        <f t="shared" si="467"/>
        <v>1044</v>
      </c>
      <c r="AL1048" s="323">
        <f t="shared" si="477"/>
        <v>1048</v>
      </c>
      <c r="AM1048" s="322">
        <f t="shared" si="478"/>
        <v>5</v>
      </c>
      <c r="AN1048" s="380">
        <f>IF(AND(AH1048&gt;0,B1048&lt;&gt;""),VLOOKUP(I1048,'AUX-NIV3'!$B:$AO,39,FALSE)*O1048,0)</f>
        <v>0</v>
      </c>
      <c r="AO1048" s="380">
        <f t="shared" si="468"/>
        <v>2.5</v>
      </c>
      <c r="AP1048" s="380"/>
    </row>
    <row r="1049" spans="2:42" ht="14.4" hidden="1" thickTop="1" thickBot="1">
      <c r="B1049" s="324" t="s">
        <v>2907</v>
      </c>
      <c r="C1049" s="325" t="s">
        <v>2908</v>
      </c>
      <c r="D1049" s="326" t="s">
        <v>185</v>
      </c>
      <c r="E1049" s="327">
        <f>IF(B1049&lt;&gt;"",SUMIF('AUX-NIV1'!I:I,'AUX-NIV2'!B1049,'AUX-NIV1'!Q:Q),"")</f>
        <v>0</v>
      </c>
      <c r="F1049" s="327">
        <f t="shared" si="458"/>
        <v>22555.652971963791</v>
      </c>
      <c r="G1049" s="327">
        <f t="shared" si="459"/>
        <v>0</v>
      </c>
      <c r="H1049" s="328" t="str">
        <f t="shared" si="479"/>
        <v>A</v>
      </c>
      <c r="I1049" s="325" t="s">
        <v>1746</v>
      </c>
      <c r="J1049" s="329" t="str">
        <f>IF(B1049&lt;&gt;"",+VLOOKUP(I1049,Recursos!C:F,2,FALSE),"")</f>
        <v>OFICIAL</v>
      </c>
      <c r="K1049" s="330" t="str">
        <f>IF(B1049&lt;&gt;"",+VLOOKUP(I1049,Recursos!C:F,3,FALSE),"")</f>
        <v>hh</v>
      </c>
      <c r="L1049" s="446">
        <f>IF(B1049&lt;&gt;"",+VLOOKUP(I1049,Recursos!C:F,4,FALSE),"")</f>
        <v>496.91595439275824</v>
      </c>
      <c r="M1049" s="447">
        <v>4</v>
      </c>
      <c r="N1049" s="515"/>
      <c r="O1049" s="449">
        <f>+M1051*M1049/M1050</f>
        <v>5</v>
      </c>
      <c r="P1049" s="333">
        <f t="shared" si="454"/>
        <v>2484.5797719637912</v>
      </c>
      <c r="Q1049" s="327">
        <f t="shared" si="455"/>
        <v>0</v>
      </c>
      <c r="R1049" s="334">
        <f t="shared" si="456"/>
        <v>0</v>
      </c>
      <c r="S1049" s="335">
        <f t="shared" si="460"/>
        <v>2484.5797719637912</v>
      </c>
      <c r="T1049" s="335">
        <f t="shared" si="461"/>
        <v>20069.573199999999</v>
      </c>
      <c r="U1049" s="336">
        <f t="shared" si="462"/>
        <v>1.5</v>
      </c>
      <c r="V1049" s="336">
        <f t="shared" si="463"/>
        <v>0</v>
      </c>
      <c r="W1049" s="336">
        <f t="shared" si="464"/>
        <v>0</v>
      </c>
      <c r="X1049" s="336">
        <f t="shared" si="465"/>
        <v>0</v>
      </c>
      <c r="Y1049" s="320"/>
      <c r="Z1049" s="321" t="str">
        <f t="shared" si="469"/>
        <v>X-TVA</v>
      </c>
      <c r="AA1049" s="321" t="str">
        <f t="shared" si="470"/>
        <v>X-TVE</v>
      </c>
      <c r="AB1049" s="321" t="str">
        <f t="shared" si="471"/>
        <v>X-TVM</v>
      </c>
      <c r="AC1049" s="321" t="str">
        <f t="shared" si="472"/>
        <v>X-TVT</v>
      </c>
      <c r="AD1049" s="321" t="str">
        <f t="shared" si="473"/>
        <v>X-TVS</v>
      </c>
      <c r="AE1049" s="321" t="str">
        <f t="shared" si="474"/>
        <v>X-TVX</v>
      </c>
      <c r="AF1049" s="321" t="str">
        <f t="shared" si="475"/>
        <v>X-TVA</v>
      </c>
      <c r="AG1049" s="321">
        <f t="shared" si="466"/>
        <v>4</v>
      </c>
      <c r="AH1049" s="321">
        <f>IF(B1049&lt;&gt;"",IF(H1049="x",VLOOKUP(I1049,'AUX-NIV3'!B:AG,32,FALSE),0),"")</f>
        <v>0</v>
      </c>
      <c r="AI1049" s="321" t="str">
        <f t="shared" si="476"/>
        <v>X-TV</v>
      </c>
      <c r="AJ1049" s="320"/>
      <c r="AK1049" s="322">
        <f t="shared" si="467"/>
        <v>1049</v>
      </c>
      <c r="AL1049" s="323">
        <f t="shared" si="477"/>
        <v>1052</v>
      </c>
      <c r="AM1049" s="322">
        <f t="shared" si="478"/>
        <v>1</v>
      </c>
      <c r="AN1049" s="380">
        <f>IF(AND(AH1049&gt;0,B1049&lt;&gt;""),VLOOKUP(I1049,'AUX-NIV3'!$B:$AO,39,FALSE)*O1049,0)</f>
        <v>0</v>
      </c>
      <c r="AO1049" s="380">
        <f t="shared" si="468"/>
        <v>5</v>
      </c>
      <c r="AP1049" s="380"/>
    </row>
    <row r="1050" spans="2:42" ht="14.4" hidden="1" thickTop="1" thickBot="1">
      <c r="B1050" s="324" t="s">
        <v>2907</v>
      </c>
      <c r="C1050" s="325" t="s">
        <v>2908</v>
      </c>
      <c r="D1050" s="326" t="s">
        <v>185</v>
      </c>
      <c r="E1050" s="327">
        <f>IF(B1050&lt;&gt;"",SUMIF('AUX-NIV1'!I:I,'AUX-NIV2'!B1050,'AUX-NIV1'!Q:Q),"")</f>
        <v>0</v>
      </c>
      <c r="F1050" s="327">
        <f t="shared" si="458"/>
        <v>22555.652971963791</v>
      </c>
      <c r="G1050" s="327">
        <f t="shared" si="459"/>
        <v>0</v>
      </c>
      <c r="H1050" s="328" t="str">
        <f t="shared" si="479"/>
        <v>E</v>
      </c>
      <c r="I1050" s="325" t="s">
        <v>1678</v>
      </c>
      <c r="J1050" s="329" t="str">
        <f>IF(B1050&lt;&gt;"",+VLOOKUP(I1050,Recursos!C:F,2,FALSE),"")</f>
        <v>CAMION SEMIRREMOLQUE CAP. 35 T</v>
      </c>
      <c r="K1050" s="330" t="str">
        <f>IF(B1050&lt;&gt;"",+VLOOKUP(I1050,Recursos!C:F,3,FALSE),"")</f>
        <v>HR</v>
      </c>
      <c r="L1050" s="446">
        <f>IF(B1050&lt;&gt;"",+VLOOKUP(I1050,Recursos!C:F,4,FALSE),"")</f>
        <v>5017.3932999999997</v>
      </c>
      <c r="M1050" s="452">
        <v>1</v>
      </c>
      <c r="N1050" s="455"/>
      <c r="O1050" s="449">
        <f>+M1049/M1050</f>
        <v>4</v>
      </c>
      <c r="P1050" s="333">
        <f t="shared" si="454"/>
        <v>20069.573199999999</v>
      </c>
      <c r="Q1050" s="327">
        <f t="shared" si="455"/>
        <v>0</v>
      </c>
      <c r="R1050" s="334">
        <f t="shared" si="456"/>
        <v>0</v>
      </c>
      <c r="S1050" s="335">
        <f t="shared" si="460"/>
        <v>2484.5797719637912</v>
      </c>
      <c r="T1050" s="335">
        <f t="shared" si="461"/>
        <v>20069.573199999999</v>
      </c>
      <c r="U1050" s="336">
        <f t="shared" si="462"/>
        <v>1.5</v>
      </c>
      <c r="V1050" s="336">
        <f t="shared" si="463"/>
        <v>0</v>
      </c>
      <c r="W1050" s="336">
        <f t="shared" si="464"/>
        <v>0</v>
      </c>
      <c r="X1050" s="336">
        <f t="shared" si="465"/>
        <v>0</v>
      </c>
      <c r="Y1050" s="320"/>
      <c r="Z1050" s="321" t="str">
        <f t="shared" si="469"/>
        <v>X-TVA</v>
      </c>
      <c r="AA1050" s="321" t="str">
        <f t="shared" si="470"/>
        <v>X-TVE</v>
      </c>
      <c r="AB1050" s="321" t="str">
        <f t="shared" si="471"/>
        <v>X-TVM</v>
      </c>
      <c r="AC1050" s="321" t="str">
        <f t="shared" si="472"/>
        <v>X-TVT</v>
      </c>
      <c r="AD1050" s="321" t="str">
        <f t="shared" si="473"/>
        <v>X-TVS</v>
      </c>
      <c r="AE1050" s="321" t="str">
        <f t="shared" si="474"/>
        <v>X-TVX</v>
      </c>
      <c r="AF1050" s="321" t="str">
        <f t="shared" si="475"/>
        <v>X-TVE</v>
      </c>
      <c r="AG1050" s="321">
        <f t="shared" si="466"/>
        <v>4</v>
      </c>
      <c r="AH1050" s="321">
        <f>IF(B1050&lt;&gt;"",IF(H1050="x",VLOOKUP(I1050,'AUX-NIV3'!B:AG,32,FALSE),0),"")</f>
        <v>0</v>
      </c>
      <c r="AI1050" s="321" t="str">
        <f t="shared" si="476"/>
        <v>X-TV</v>
      </c>
      <c r="AJ1050" s="320"/>
      <c r="AK1050" s="322">
        <f t="shared" si="467"/>
        <v>1049</v>
      </c>
      <c r="AL1050" s="323">
        <f t="shared" si="477"/>
        <v>1052</v>
      </c>
      <c r="AM1050" s="322">
        <f t="shared" si="478"/>
        <v>2</v>
      </c>
      <c r="AN1050" s="380">
        <f>IF(AND(AH1050&gt;0,B1050&lt;&gt;""),VLOOKUP(I1050,'AUX-NIV3'!$B:$AO,39,FALSE)*O1050,0)</f>
        <v>0</v>
      </c>
      <c r="AO1050" s="380">
        <f t="shared" si="468"/>
        <v>5</v>
      </c>
      <c r="AP1050" s="380"/>
    </row>
    <row r="1051" spans="2:42" ht="14.4" hidden="1" thickTop="1" thickBot="1">
      <c r="B1051" s="324" t="s">
        <v>2907</v>
      </c>
      <c r="C1051" s="325" t="s">
        <v>2908</v>
      </c>
      <c r="D1051" s="326" t="s">
        <v>185</v>
      </c>
      <c r="E1051" s="327">
        <f>IF(B1051&lt;&gt;"",SUMIF('AUX-NIV1'!I:I,'AUX-NIV2'!B1051,'AUX-NIV1'!Q:Q),"")</f>
        <v>0</v>
      </c>
      <c r="F1051" s="327">
        <f t="shared" si="458"/>
        <v>22555.652971963791</v>
      </c>
      <c r="G1051" s="327">
        <f t="shared" si="459"/>
        <v>0</v>
      </c>
      <c r="H1051" s="328" t="str">
        <f t="shared" si="479"/>
        <v>M</v>
      </c>
      <c r="I1051" s="325" t="s">
        <v>2142</v>
      </c>
      <c r="J1051" s="329" t="str">
        <f>IF(B1051&lt;&gt;"",+VLOOKUP(I1051,Recursos!C:F,2,FALSE),"")</f>
        <v>HERRAMIENTAS MENORES</v>
      </c>
      <c r="K1051" s="330" t="str">
        <f>IF(B1051&lt;&gt;"",+VLOOKUP(I1051,Recursos!C:F,3,FALSE),"")</f>
        <v>un</v>
      </c>
      <c r="L1051" s="446">
        <f>IF(B1051&lt;&gt;"",+VLOOKUP(I1051,Recursos!C:F,4,FALSE),"")</f>
        <v>1</v>
      </c>
      <c r="M1051" s="452">
        <v>1.25</v>
      </c>
      <c r="N1051" s="453">
        <v>0.5</v>
      </c>
      <c r="O1051" s="449">
        <f>+N1051</f>
        <v>0.5</v>
      </c>
      <c r="P1051" s="333">
        <f t="shared" si="454"/>
        <v>0.5</v>
      </c>
      <c r="Q1051" s="327">
        <f t="shared" si="455"/>
        <v>0</v>
      </c>
      <c r="R1051" s="334">
        <f t="shared" si="456"/>
        <v>0</v>
      </c>
      <c r="S1051" s="335">
        <f t="shared" si="460"/>
        <v>2484.5797719637912</v>
      </c>
      <c r="T1051" s="335">
        <f t="shared" si="461"/>
        <v>20069.573199999999</v>
      </c>
      <c r="U1051" s="336">
        <f t="shared" si="462"/>
        <v>1.5</v>
      </c>
      <c r="V1051" s="336">
        <f t="shared" si="463"/>
        <v>0</v>
      </c>
      <c r="W1051" s="336">
        <f t="shared" si="464"/>
        <v>0</v>
      </c>
      <c r="X1051" s="336">
        <f t="shared" si="465"/>
        <v>0</v>
      </c>
      <c r="Y1051" s="320"/>
      <c r="Z1051" s="321" t="str">
        <f t="shared" si="469"/>
        <v>X-TVA</v>
      </c>
      <c r="AA1051" s="321" t="str">
        <f t="shared" si="470"/>
        <v>X-TVE</v>
      </c>
      <c r="AB1051" s="321" t="str">
        <f t="shared" si="471"/>
        <v>X-TVM</v>
      </c>
      <c r="AC1051" s="321" t="str">
        <f t="shared" si="472"/>
        <v>X-TVT</v>
      </c>
      <c r="AD1051" s="321" t="str">
        <f t="shared" si="473"/>
        <v>X-TVS</v>
      </c>
      <c r="AE1051" s="321" t="str">
        <f t="shared" si="474"/>
        <v>X-TVX</v>
      </c>
      <c r="AF1051" s="321" t="str">
        <f t="shared" si="475"/>
        <v>X-TVM</v>
      </c>
      <c r="AG1051" s="321">
        <f t="shared" si="466"/>
        <v>4</v>
      </c>
      <c r="AH1051" s="321">
        <f>IF(B1051&lt;&gt;"",IF(H1051="x",VLOOKUP(I1051,'AUX-NIV3'!B:AG,32,FALSE),0),"")</f>
        <v>0</v>
      </c>
      <c r="AI1051" s="321" t="str">
        <f t="shared" si="476"/>
        <v>X-TV</v>
      </c>
      <c r="AJ1051" s="320"/>
      <c r="AK1051" s="322">
        <f t="shared" si="467"/>
        <v>1049</v>
      </c>
      <c r="AL1051" s="323">
        <f t="shared" si="477"/>
        <v>1052</v>
      </c>
      <c r="AM1051" s="322">
        <f t="shared" si="478"/>
        <v>3</v>
      </c>
      <c r="AN1051" s="380">
        <f>IF(AND(AH1051&gt;0,B1051&lt;&gt;""),VLOOKUP(I1051,'AUX-NIV3'!$B:$AO,39,FALSE)*O1051,0)</f>
        <v>0</v>
      </c>
      <c r="AO1051" s="380">
        <f t="shared" si="468"/>
        <v>5</v>
      </c>
      <c r="AP1051" s="380"/>
    </row>
    <row r="1052" spans="2:42" ht="14.4" hidden="1" thickTop="1" thickBot="1">
      <c r="B1052" s="324" t="s">
        <v>2907</v>
      </c>
      <c r="C1052" s="325" t="s">
        <v>2908</v>
      </c>
      <c r="D1052" s="326" t="s">
        <v>185</v>
      </c>
      <c r="E1052" s="327">
        <f>IF(B1052&lt;&gt;"",SUMIF('AUX-NIV1'!I:I,'AUX-NIV2'!B1052,'AUX-NIV1'!Q:Q),"")</f>
        <v>0</v>
      </c>
      <c r="F1052" s="327">
        <f t="shared" si="458"/>
        <v>22555.652971963791</v>
      </c>
      <c r="G1052" s="327">
        <f t="shared" si="459"/>
        <v>0</v>
      </c>
      <c r="H1052" s="328" t="str">
        <f t="shared" si="479"/>
        <v>M</v>
      </c>
      <c r="I1052" s="325" t="s">
        <v>621</v>
      </c>
      <c r="J1052" s="329" t="str">
        <f>IF(B1052&lt;&gt;"",+VLOOKUP(I1052,Recursos!C:F,2,FALSE),"")</f>
        <v>MATERIALES VARIOS</v>
      </c>
      <c r="K1052" s="330" t="str">
        <f>IF(B1052&lt;&gt;"",+VLOOKUP(I1052,Recursos!C:F,3,FALSE),"")</f>
        <v>GL</v>
      </c>
      <c r="L1052" s="446">
        <f>IF(B1052&lt;&gt;"",+VLOOKUP(I1052,Recursos!C:F,4,FALSE),"")</f>
        <v>0.5</v>
      </c>
      <c r="M1052" s="450">
        <v>2</v>
      </c>
      <c r="N1052" s="507"/>
      <c r="O1052" s="449">
        <f>+M1052</f>
        <v>2</v>
      </c>
      <c r="P1052" s="333">
        <f t="shared" si="454"/>
        <v>1</v>
      </c>
      <c r="Q1052" s="327">
        <f t="shared" si="455"/>
        <v>0</v>
      </c>
      <c r="R1052" s="334">
        <f t="shared" si="456"/>
        <v>0</v>
      </c>
      <c r="S1052" s="335">
        <f t="shared" si="460"/>
        <v>2484.5797719637912</v>
      </c>
      <c r="T1052" s="335">
        <f t="shared" si="461"/>
        <v>20069.573199999999</v>
      </c>
      <c r="U1052" s="336">
        <f t="shared" si="462"/>
        <v>1.5</v>
      </c>
      <c r="V1052" s="336">
        <f t="shared" si="463"/>
        <v>0</v>
      </c>
      <c r="W1052" s="336">
        <f t="shared" si="464"/>
        <v>0</v>
      </c>
      <c r="X1052" s="336">
        <f t="shared" si="465"/>
        <v>0</v>
      </c>
      <c r="Y1052" s="320"/>
      <c r="Z1052" s="321" t="str">
        <f t="shared" si="469"/>
        <v>X-TVA</v>
      </c>
      <c r="AA1052" s="321" t="str">
        <f t="shared" si="470"/>
        <v>X-TVE</v>
      </c>
      <c r="AB1052" s="321" t="str">
        <f t="shared" si="471"/>
        <v>X-TVM</v>
      </c>
      <c r="AC1052" s="321" t="str">
        <f t="shared" si="472"/>
        <v>X-TVT</v>
      </c>
      <c r="AD1052" s="321" t="str">
        <f t="shared" si="473"/>
        <v>X-TVS</v>
      </c>
      <c r="AE1052" s="321" t="str">
        <f t="shared" si="474"/>
        <v>X-TVX</v>
      </c>
      <c r="AF1052" s="321" t="str">
        <f t="shared" si="475"/>
        <v>X-TVM</v>
      </c>
      <c r="AG1052" s="321">
        <f t="shared" si="466"/>
        <v>4</v>
      </c>
      <c r="AH1052" s="321">
        <f>IF(B1052&lt;&gt;"",IF(H1052="x",VLOOKUP(I1052,'AUX-NIV3'!B:AG,32,FALSE),0),"")</f>
        <v>0</v>
      </c>
      <c r="AI1052" s="321" t="str">
        <f t="shared" si="476"/>
        <v>X-TV</v>
      </c>
      <c r="AJ1052" s="320"/>
      <c r="AK1052" s="322">
        <f t="shared" si="467"/>
        <v>1049</v>
      </c>
      <c r="AL1052" s="323">
        <f t="shared" si="477"/>
        <v>1052</v>
      </c>
      <c r="AM1052" s="322">
        <f t="shared" si="478"/>
        <v>4</v>
      </c>
      <c r="AN1052" s="380">
        <f>IF(AND(AH1052&gt;0,B1052&lt;&gt;""),VLOOKUP(I1052,'AUX-NIV3'!$B:$AO,39,FALSE)*O1052,0)</f>
        <v>0</v>
      </c>
      <c r="AO1052" s="380">
        <f t="shared" si="468"/>
        <v>5</v>
      </c>
      <c r="AP1052" s="380"/>
    </row>
    <row r="1053" spans="2:42" ht="14.4" hidden="1" thickTop="1" thickBot="1">
      <c r="B1053" s="324" t="s">
        <v>2909</v>
      </c>
      <c r="C1053" s="325" t="s">
        <v>2910</v>
      </c>
      <c r="D1053" s="326" t="s">
        <v>185</v>
      </c>
      <c r="E1053" s="327">
        <f>IF(B1053&lt;&gt;"",SUMIF('AUX-NIV1'!I:I,'AUX-NIV2'!B1053,'AUX-NIV1'!Q:Q),"")</f>
        <v>0</v>
      </c>
      <c r="F1053" s="327">
        <f t="shared" si="458"/>
        <v>52409.522552776834</v>
      </c>
      <c r="G1053" s="327">
        <f t="shared" si="459"/>
        <v>0</v>
      </c>
      <c r="H1053" s="328" t="str">
        <f t="shared" si="479"/>
        <v>A</v>
      </c>
      <c r="I1053" s="325" t="s">
        <v>1745</v>
      </c>
      <c r="J1053" s="329" t="str">
        <f>IF(B1053&lt;&gt;"",+VLOOKUP(I1053,Recursos!C:F,2,FALSE),"")</f>
        <v>AYUDANTE</v>
      </c>
      <c r="K1053" s="330" t="str">
        <f>IF(B1053&lt;&gt;"",+VLOOKUP(I1053,Recursos!C:F,3,FALSE),"")</f>
        <v>hh</v>
      </c>
      <c r="L1053" s="446">
        <f>IF(B1053&lt;&gt;"",+VLOOKUP(I1053,Recursos!C:F,4,FALSE),"")</f>
        <v>422.48042769667234</v>
      </c>
      <c r="M1053" s="514"/>
      <c r="N1053" s="448">
        <v>4</v>
      </c>
      <c r="O1053" s="449">
        <f>+$M$481*$N$482*N1053</f>
        <v>0</v>
      </c>
      <c r="P1053" s="333">
        <f t="shared" si="454"/>
        <v>0</v>
      </c>
      <c r="Q1053" s="327">
        <f t="shared" si="455"/>
        <v>0</v>
      </c>
      <c r="R1053" s="334">
        <f t="shared" si="456"/>
        <v>0</v>
      </c>
      <c r="S1053" s="335">
        <f t="shared" si="460"/>
        <v>7072.9438027768419</v>
      </c>
      <c r="T1053" s="335">
        <f t="shared" si="461"/>
        <v>45336.578749999993</v>
      </c>
      <c r="U1053" s="336">
        <f t="shared" si="462"/>
        <v>0</v>
      </c>
      <c r="V1053" s="336">
        <f t="shared" si="463"/>
        <v>0</v>
      </c>
      <c r="W1053" s="336">
        <f t="shared" si="464"/>
        <v>0</v>
      </c>
      <c r="X1053" s="336">
        <f t="shared" si="465"/>
        <v>0</v>
      </c>
      <c r="Y1053" s="320"/>
      <c r="Z1053" s="321" t="str">
        <f t="shared" si="469"/>
        <v>X-MVA</v>
      </c>
      <c r="AA1053" s="321" t="str">
        <f t="shared" si="470"/>
        <v>X-MVE</v>
      </c>
      <c r="AB1053" s="321" t="str">
        <f t="shared" si="471"/>
        <v>X-MVM</v>
      </c>
      <c r="AC1053" s="321" t="str">
        <f t="shared" si="472"/>
        <v>X-MVT</v>
      </c>
      <c r="AD1053" s="321" t="str">
        <f t="shared" si="473"/>
        <v>X-MVS</v>
      </c>
      <c r="AE1053" s="321" t="str">
        <f t="shared" si="474"/>
        <v>X-MVX</v>
      </c>
      <c r="AF1053" s="321" t="str">
        <f t="shared" si="475"/>
        <v>X-MVA</v>
      </c>
      <c r="AG1053" s="321">
        <f t="shared" si="466"/>
        <v>9</v>
      </c>
      <c r="AH1053" s="321">
        <f>IF(B1053&lt;&gt;"",IF(H1053="x",VLOOKUP(I1053,'AUX-NIV3'!B:AG,32,FALSE),0),"")</f>
        <v>0</v>
      </c>
      <c r="AI1053" s="321" t="str">
        <f t="shared" si="476"/>
        <v>X-MV</v>
      </c>
      <c r="AJ1053" s="320"/>
      <c r="AK1053" s="322">
        <f t="shared" si="467"/>
        <v>1053</v>
      </c>
      <c r="AL1053" s="323">
        <f t="shared" si="477"/>
        <v>1061</v>
      </c>
      <c r="AM1053" s="322">
        <f t="shared" si="478"/>
        <v>1</v>
      </c>
      <c r="AN1053" s="380">
        <f>IF(AND(AH1053&gt;0,B1053&lt;&gt;""),VLOOKUP(I1053,'AUX-NIV3'!$B:$AO,39,FALSE)*O1053,0)</f>
        <v>0</v>
      </c>
      <c r="AO1053" s="380">
        <f t="shared" si="468"/>
        <v>12.625</v>
      </c>
      <c r="AP1053" s="380"/>
    </row>
    <row r="1054" spans="2:42" ht="14.4" hidden="1" thickTop="1" thickBot="1">
      <c r="B1054" s="324" t="s">
        <v>2909</v>
      </c>
      <c r="C1054" s="325" t="s">
        <v>2910</v>
      </c>
      <c r="D1054" s="326" t="s">
        <v>185</v>
      </c>
      <c r="E1054" s="327">
        <f>IF(B1054&lt;&gt;"",SUMIF('AUX-NIV1'!I:I,'AUX-NIV2'!B1054,'AUX-NIV1'!Q:Q),"")</f>
        <v>0</v>
      </c>
      <c r="F1054" s="327">
        <f t="shared" si="458"/>
        <v>52409.522552776834</v>
      </c>
      <c r="G1054" s="327">
        <f t="shared" si="459"/>
        <v>0</v>
      </c>
      <c r="H1054" s="328" t="str">
        <f t="shared" si="479"/>
        <v>A</v>
      </c>
      <c r="I1054" s="325" t="s">
        <v>1746</v>
      </c>
      <c r="J1054" s="329" t="str">
        <f>IF(B1054&lt;&gt;"",+VLOOKUP(I1054,Recursos!C:F,2,FALSE),"")</f>
        <v>OFICIAL</v>
      </c>
      <c r="K1054" s="330" t="str">
        <f>IF(B1054&lt;&gt;"",+VLOOKUP(I1054,Recursos!C:F,3,FALSE),"")</f>
        <v>hh</v>
      </c>
      <c r="L1054" s="446">
        <f>IF(B1054&lt;&gt;"",+VLOOKUP(I1054,Recursos!C:F,4,FALSE),"")</f>
        <v>496.91595439275824</v>
      </c>
      <c r="M1054" s="454"/>
      <c r="N1054" s="453">
        <v>2</v>
      </c>
      <c r="O1054" s="449">
        <f>+$M$481*$N$482*N1054</f>
        <v>0</v>
      </c>
      <c r="P1054" s="333">
        <f t="shared" si="454"/>
        <v>0</v>
      </c>
      <c r="Q1054" s="327">
        <f t="shared" si="455"/>
        <v>0</v>
      </c>
      <c r="R1054" s="334">
        <f t="shared" si="456"/>
        <v>0</v>
      </c>
      <c r="S1054" s="335">
        <f t="shared" si="460"/>
        <v>7072.9438027768419</v>
      </c>
      <c r="T1054" s="335">
        <f t="shared" si="461"/>
        <v>45336.578749999993</v>
      </c>
      <c r="U1054" s="336">
        <f t="shared" si="462"/>
        <v>0</v>
      </c>
      <c r="V1054" s="336">
        <f t="shared" si="463"/>
        <v>0</v>
      </c>
      <c r="W1054" s="336">
        <f t="shared" si="464"/>
        <v>0</v>
      </c>
      <c r="X1054" s="336">
        <f t="shared" si="465"/>
        <v>0</v>
      </c>
      <c r="Y1054" s="320"/>
      <c r="Z1054" s="321" t="str">
        <f t="shared" si="469"/>
        <v>X-MVA</v>
      </c>
      <c r="AA1054" s="321" t="str">
        <f t="shared" si="470"/>
        <v>X-MVE</v>
      </c>
      <c r="AB1054" s="321" t="str">
        <f t="shared" si="471"/>
        <v>X-MVM</v>
      </c>
      <c r="AC1054" s="321" t="str">
        <f t="shared" si="472"/>
        <v>X-MVT</v>
      </c>
      <c r="AD1054" s="321" t="str">
        <f t="shared" si="473"/>
        <v>X-MVS</v>
      </c>
      <c r="AE1054" s="321" t="str">
        <f t="shared" si="474"/>
        <v>X-MVX</v>
      </c>
      <c r="AF1054" s="321" t="str">
        <f t="shared" si="475"/>
        <v>X-MVA</v>
      </c>
      <c r="AG1054" s="321">
        <f t="shared" si="466"/>
        <v>9</v>
      </c>
      <c r="AH1054" s="321">
        <f>IF(B1054&lt;&gt;"",IF(H1054="x",VLOOKUP(I1054,'AUX-NIV3'!B:AG,32,FALSE),0),"")</f>
        <v>0</v>
      </c>
      <c r="AI1054" s="321" t="str">
        <f t="shared" si="476"/>
        <v>X-MV</v>
      </c>
      <c r="AJ1054" s="320"/>
      <c r="AK1054" s="322">
        <f t="shared" si="467"/>
        <v>1053</v>
      </c>
      <c r="AL1054" s="323">
        <f t="shared" si="477"/>
        <v>1061</v>
      </c>
      <c r="AM1054" s="322">
        <f t="shared" si="478"/>
        <v>2</v>
      </c>
      <c r="AN1054" s="380">
        <f>IF(AND(AH1054&gt;0,B1054&lt;&gt;""),VLOOKUP(I1054,'AUX-NIV3'!$B:$AO,39,FALSE)*O1054,0)</f>
        <v>0</v>
      </c>
      <c r="AO1054" s="380">
        <f t="shared" si="468"/>
        <v>12.625</v>
      </c>
      <c r="AP1054" s="380"/>
    </row>
    <row r="1055" spans="2:42" ht="14.4" hidden="1" thickTop="1" thickBot="1">
      <c r="B1055" s="324" t="s">
        <v>2909</v>
      </c>
      <c r="C1055" s="325" t="s">
        <v>2910</v>
      </c>
      <c r="D1055" s="326" t="s">
        <v>185</v>
      </c>
      <c r="E1055" s="327">
        <f>IF(B1055&lt;&gt;"",SUMIF('AUX-NIV1'!I:I,'AUX-NIV2'!B1055,'AUX-NIV1'!Q:Q),"")</f>
        <v>0</v>
      </c>
      <c r="F1055" s="327">
        <f t="shared" si="458"/>
        <v>52409.522552776834</v>
      </c>
      <c r="G1055" s="327">
        <f t="shared" si="459"/>
        <v>0</v>
      </c>
      <c r="H1055" s="328" t="str">
        <f t="shared" si="479"/>
        <v>A</v>
      </c>
      <c r="I1055" s="325" t="s">
        <v>1746</v>
      </c>
      <c r="J1055" s="329" t="str">
        <f>IF(B1055&lt;&gt;"",+VLOOKUP(I1055,Recursos!C:F,2,FALSE),"")</f>
        <v>OFICIAL</v>
      </c>
      <c r="K1055" s="330" t="str">
        <f>IF(B1055&lt;&gt;"",+VLOOKUP(I1055,Recursos!C:F,3,FALSE),"")</f>
        <v>hh</v>
      </c>
      <c r="L1055" s="446">
        <f>IF(B1055&lt;&gt;"",+VLOOKUP(I1055,Recursos!C:F,4,FALSE),"")</f>
        <v>496.91595439275824</v>
      </c>
      <c r="M1055" s="454"/>
      <c r="N1055" s="453">
        <v>2</v>
      </c>
      <c r="O1055" s="449">
        <f>+$M$481*$N$482*N1055</f>
        <v>0</v>
      </c>
      <c r="P1055" s="333">
        <f t="shared" si="454"/>
        <v>0</v>
      </c>
      <c r="Q1055" s="327">
        <f t="shared" si="455"/>
        <v>0</v>
      </c>
      <c r="R1055" s="334">
        <f t="shared" si="456"/>
        <v>0</v>
      </c>
      <c r="S1055" s="335">
        <f t="shared" si="460"/>
        <v>7072.9438027768419</v>
      </c>
      <c r="T1055" s="335">
        <f t="shared" si="461"/>
        <v>45336.578749999993</v>
      </c>
      <c r="U1055" s="336">
        <f t="shared" si="462"/>
        <v>0</v>
      </c>
      <c r="V1055" s="336">
        <f t="shared" si="463"/>
        <v>0</v>
      </c>
      <c r="W1055" s="336">
        <f t="shared" si="464"/>
        <v>0</v>
      </c>
      <c r="X1055" s="336">
        <f t="shared" si="465"/>
        <v>0</v>
      </c>
      <c r="Y1055" s="320"/>
      <c r="Z1055" s="321" t="str">
        <f t="shared" si="469"/>
        <v>X-MVA</v>
      </c>
      <c r="AA1055" s="321" t="str">
        <f t="shared" si="470"/>
        <v>X-MVE</v>
      </c>
      <c r="AB1055" s="321" t="str">
        <f t="shared" si="471"/>
        <v>X-MVM</v>
      </c>
      <c r="AC1055" s="321" t="str">
        <f t="shared" si="472"/>
        <v>X-MVT</v>
      </c>
      <c r="AD1055" s="321" t="str">
        <f t="shared" si="473"/>
        <v>X-MVS</v>
      </c>
      <c r="AE1055" s="321" t="str">
        <f t="shared" si="474"/>
        <v>X-MVX</v>
      </c>
      <c r="AF1055" s="321" t="str">
        <f t="shared" si="475"/>
        <v>X-MVA</v>
      </c>
      <c r="AG1055" s="321">
        <f t="shared" si="466"/>
        <v>9</v>
      </c>
      <c r="AH1055" s="321">
        <f>IF(B1055&lt;&gt;"",IF(H1055="x",VLOOKUP(I1055,'AUX-NIV3'!B:AG,32,FALSE),0),"")</f>
        <v>0</v>
      </c>
      <c r="AI1055" s="321" t="str">
        <f t="shared" si="476"/>
        <v>X-MV</v>
      </c>
      <c r="AJ1055" s="320"/>
      <c r="AK1055" s="322">
        <f t="shared" si="467"/>
        <v>1053</v>
      </c>
      <c r="AL1055" s="323">
        <f t="shared" si="477"/>
        <v>1061</v>
      </c>
      <c r="AM1055" s="322">
        <f t="shared" si="478"/>
        <v>3</v>
      </c>
      <c r="AN1055" s="380">
        <f>IF(AND(AH1055&gt;0,B1055&lt;&gt;""),VLOOKUP(I1055,'AUX-NIV3'!$B:$AO,39,FALSE)*O1055,0)</f>
        <v>0</v>
      </c>
      <c r="AO1055" s="380">
        <f t="shared" si="468"/>
        <v>12.625</v>
      </c>
      <c r="AP1055" s="380"/>
    </row>
    <row r="1056" spans="2:42" ht="14.4" hidden="1" thickTop="1" thickBot="1">
      <c r="B1056" s="324" t="s">
        <v>2909</v>
      </c>
      <c r="C1056" s="325" t="s">
        <v>2910</v>
      </c>
      <c r="D1056" s="326" t="s">
        <v>185</v>
      </c>
      <c r="E1056" s="327">
        <f>IF(B1056&lt;&gt;"",SUMIF('AUX-NIV1'!I:I,'AUX-NIV2'!B1056,'AUX-NIV1'!Q:Q),"")</f>
        <v>0</v>
      </c>
      <c r="F1056" s="327">
        <f t="shared" si="458"/>
        <v>52409.522552776834</v>
      </c>
      <c r="G1056" s="327">
        <f t="shared" si="459"/>
        <v>0</v>
      </c>
      <c r="H1056" s="328" t="str">
        <f t="shared" si="479"/>
        <v>A</v>
      </c>
      <c r="I1056" s="325" t="s">
        <v>3310</v>
      </c>
      <c r="J1056" s="329" t="str">
        <f>IF(B1056&lt;&gt;"",+VLOOKUP(I1056,Recursos!C:F,2,FALSE),"")</f>
        <v>OFICIAL ESPECIALIZADO</v>
      </c>
      <c r="K1056" s="330" t="str">
        <f>IF(B1056&lt;&gt;"",+VLOOKUP(I1056,Recursos!C:F,3,FALSE),"")</f>
        <v>hh</v>
      </c>
      <c r="L1056" s="446">
        <f>IF(B1056&lt;&gt;"",+VLOOKUP(I1056,Recursos!C:F,4,FALSE),"")</f>
        <v>581.06120476836554</v>
      </c>
      <c r="M1056" s="454"/>
      <c r="N1056" s="453">
        <v>2</v>
      </c>
      <c r="O1056" s="449">
        <f>+$M$481*$N$482*N1056</f>
        <v>0</v>
      </c>
      <c r="P1056" s="333">
        <f t="shared" si="454"/>
        <v>0</v>
      </c>
      <c r="Q1056" s="327">
        <f t="shared" si="455"/>
        <v>0</v>
      </c>
      <c r="R1056" s="334">
        <f t="shared" si="456"/>
        <v>0</v>
      </c>
      <c r="S1056" s="335">
        <f t="shared" si="460"/>
        <v>7072.9438027768419</v>
      </c>
      <c r="T1056" s="335">
        <f t="shared" si="461"/>
        <v>45336.578749999993</v>
      </c>
      <c r="U1056" s="336">
        <f t="shared" si="462"/>
        <v>0</v>
      </c>
      <c r="V1056" s="336">
        <f t="shared" si="463"/>
        <v>0</v>
      </c>
      <c r="W1056" s="336">
        <f t="shared" si="464"/>
        <v>0</v>
      </c>
      <c r="X1056" s="336">
        <f t="shared" si="465"/>
        <v>0</v>
      </c>
      <c r="Y1056" s="320"/>
      <c r="Z1056" s="321" t="str">
        <f t="shared" si="469"/>
        <v>X-MVA</v>
      </c>
      <c r="AA1056" s="321" t="str">
        <f t="shared" si="470"/>
        <v>X-MVE</v>
      </c>
      <c r="AB1056" s="321" t="str">
        <f t="shared" si="471"/>
        <v>X-MVM</v>
      </c>
      <c r="AC1056" s="321" t="str">
        <f t="shared" si="472"/>
        <v>X-MVT</v>
      </c>
      <c r="AD1056" s="321" t="str">
        <f t="shared" si="473"/>
        <v>X-MVS</v>
      </c>
      <c r="AE1056" s="321" t="str">
        <f t="shared" si="474"/>
        <v>X-MVX</v>
      </c>
      <c r="AF1056" s="321" t="str">
        <f t="shared" si="475"/>
        <v>X-MVA</v>
      </c>
      <c r="AG1056" s="321">
        <f t="shared" si="466"/>
        <v>9</v>
      </c>
      <c r="AH1056" s="321">
        <f>IF(B1056&lt;&gt;"",IF(H1056="x",VLOOKUP(I1056,'AUX-NIV3'!B:AG,32,FALSE),0),"")</f>
        <v>0</v>
      </c>
      <c r="AI1056" s="321" t="str">
        <f t="shared" si="476"/>
        <v>X-MV</v>
      </c>
      <c r="AJ1056" s="320"/>
      <c r="AK1056" s="322">
        <f t="shared" si="467"/>
        <v>1053</v>
      </c>
      <c r="AL1056" s="323">
        <f t="shared" si="477"/>
        <v>1061</v>
      </c>
      <c r="AM1056" s="322">
        <f t="shared" si="478"/>
        <v>4</v>
      </c>
      <c r="AN1056" s="380">
        <f>IF(AND(AH1056&gt;0,B1056&lt;&gt;""),VLOOKUP(I1056,'AUX-NIV3'!$B:$AO,39,FALSE)*O1056,0)</f>
        <v>0</v>
      </c>
      <c r="AO1056" s="380">
        <f t="shared" si="468"/>
        <v>12.625</v>
      </c>
      <c r="AP1056" s="380"/>
    </row>
    <row r="1057" spans="2:42" ht="14.4" hidden="1" thickTop="1" thickBot="1">
      <c r="B1057" s="324" t="s">
        <v>2909</v>
      </c>
      <c r="C1057" s="325" t="s">
        <v>2910</v>
      </c>
      <c r="D1057" s="326" t="s">
        <v>185</v>
      </c>
      <c r="E1057" s="327">
        <f>IF(B1057&lt;&gt;"",SUMIF('AUX-NIV1'!I:I,'AUX-NIV2'!B1057,'AUX-NIV1'!Q:Q),"")</f>
        <v>0</v>
      </c>
      <c r="F1057" s="327">
        <f t="shared" si="458"/>
        <v>52409.522552776834</v>
      </c>
      <c r="G1057" s="327">
        <f t="shared" si="459"/>
        <v>0</v>
      </c>
      <c r="H1057" s="328" t="str">
        <f t="shared" si="479"/>
        <v>A</v>
      </c>
      <c r="I1057" s="325" t="s">
        <v>3310</v>
      </c>
      <c r="J1057" s="329" t="str">
        <f>IF(B1057&lt;&gt;"",+VLOOKUP(I1057,Recursos!C:F,2,FALSE),"")</f>
        <v>OFICIAL ESPECIALIZADO</v>
      </c>
      <c r="K1057" s="330" t="str">
        <f>IF(B1057&lt;&gt;"",+VLOOKUP(I1057,Recursos!C:F,3,FALSE),"")</f>
        <v>hh</v>
      </c>
      <c r="L1057" s="446">
        <f>IF(B1057&lt;&gt;"",+VLOOKUP(I1057,Recursos!C:F,4,FALSE),"")</f>
        <v>581.06120476836554</v>
      </c>
      <c r="M1057" s="454"/>
      <c r="N1057" s="453">
        <v>1</v>
      </c>
      <c r="O1057" s="449">
        <f>+$M$481*N1061</f>
        <v>3.25</v>
      </c>
      <c r="P1057" s="333">
        <f t="shared" si="454"/>
        <v>1888.448915497188</v>
      </c>
      <c r="Q1057" s="327">
        <f t="shared" si="455"/>
        <v>0</v>
      </c>
      <c r="R1057" s="334">
        <f t="shared" si="456"/>
        <v>0</v>
      </c>
      <c r="S1057" s="335">
        <f t="shared" si="460"/>
        <v>7072.9438027768419</v>
      </c>
      <c r="T1057" s="335">
        <f t="shared" si="461"/>
        <v>45336.578749999993</v>
      </c>
      <c r="U1057" s="336">
        <f t="shared" si="462"/>
        <v>0</v>
      </c>
      <c r="V1057" s="336">
        <f t="shared" si="463"/>
        <v>0</v>
      </c>
      <c r="W1057" s="336">
        <f t="shared" si="464"/>
        <v>0</v>
      </c>
      <c r="X1057" s="336">
        <f t="shared" si="465"/>
        <v>0</v>
      </c>
      <c r="Y1057" s="320"/>
      <c r="Z1057" s="321" t="str">
        <f t="shared" si="469"/>
        <v>X-MVA</v>
      </c>
      <c r="AA1057" s="321" t="str">
        <f t="shared" si="470"/>
        <v>X-MVE</v>
      </c>
      <c r="AB1057" s="321" t="str">
        <f t="shared" si="471"/>
        <v>X-MVM</v>
      </c>
      <c r="AC1057" s="321" t="str">
        <f t="shared" si="472"/>
        <v>X-MVT</v>
      </c>
      <c r="AD1057" s="321" t="str">
        <f t="shared" si="473"/>
        <v>X-MVS</v>
      </c>
      <c r="AE1057" s="321" t="str">
        <f t="shared" si="474"/>
        <v>X-MVX</v>
      </c>
      <c r="AF1057" s="321" t="str">
        <f t="shared" si="475"/>
        <v>X-MVA</v>
      </c>
      <c r="AG1057" s="321">
        <f t="shared" si="466"/>
        <v>9</v>
      </c>
      <c r="AH1057" s="321">
        <f>IF(B1057&lt;&gt;"",IF(H1057="x",VLOOKUP(I1057,'AUX-NIV3'!B:AG,32,FALSE),0),"")</f>
        <v>0</v>
      </c>
      <c r="AI1057" s="321" t="str">
        <f t="shared" si="476"/>
        <v>X-MV</v>
      </c>
      <c r="AJ1057" s="320"/>
      <c r="AK1057" s="322">
        <f t="shared" si="467"/>
        <v>1053</v>
      </c>
      <c r="AL1057" s="323">
        <f t="shared" si="477"/>
        <v>1061</v>
      </c>
      <c r="AM1057" s="322">
        <f t="shared" si="478"/>
        <v>5</v>
      </c>
      <c r="AN1057" s="380">
        <f>IF(AND(AH1057&gt;0,B1057&lt;&gt;""),VLOOKUP(I1057,'AUX-NIV3'!$B:$AO,39,FALSE)*O1057,0)</f>
        <v>0</v>
      </c>
      <c r="AO1057" s="380">
        <f t="shared" si="468"/>
        <v>12.625</v>
      </c>
      <c r="AP1057" s="380"/>
    </row>
    <row r="1058" spans="2:42" ht="14.4" hidden="1" thickTop="1" thickBot="1">
      <c r="B1058" s="324" t="s">
        <v>2909</v>
      </c>
      <c r="C1058" s="325" t="s">
        <v>2910</v>
      </c>
      <c r="D1058" s="326" t="s">
        <v>185</v>
      </c>
      <c r="E1058" s="327">
        <f>IF(B1058&lt;&gt;"",SUMIF('AUX-NIV1'!I:I,'AUX-NIV2'!B1058,'AUX-NIV1'!Q:Q),"")</f>
        <v>0</v>
      </c>
      <c r="F1058" s="327">
        <f t="shared" si="458"/>
        <v>52409.522552776834</v>
      </c>
      <c r="G1058" s="327">
        <f t="shared" si="459"/>
        <v>0</v>
      </c>
      <c r="H1058" s="328" t="str">
        <f t="shared" si="479"/>
        <v>A</v>
      </c>
      <c r="I1058" s="325" t="s">
        <v>3310</v>
      </c>
      <c r="J1058" s="329" t="str">
        <f>IF(B1058&lt;&gt;"",+VLOOKUP(I1058,Recursos!C:F,2,FALSE),"")</f>
        <v>OFICIAL ESPECIALIZADO</v>
      </c>
      <c r="K1058" s="330" t="str">
        <f>IF(B1058&lt;&gt;"",+VLOOKUP(I1058,Recursos!C:F,3,FALSE),"")</f>
        <v>hh</v>
      </c>
      <c r="L1058" s="446">
        <f>IF(B1058&lt;&gt;"",+VLOOKUP(I1058,Recursos!C:F,4,FALSE),"")</f>
        <v>581.06120476836554</v>
      </c>
      <c r="M1058" s="454"/>
      <c r="N1058" s="453">
        <v>1.25</v>
      </c>
      <c r="O1058" s="449">
        <f>+M1061*N1061*N1058</f>
        <v>6.25</v>
      </c>
      <c r="P1058" s="333">
        <f t="shared" si="454"/>
        <v>3631.6325298022848</v>
      </c>
      <c r="Q1058" s="327">
        <f t="shared" si="455"/>
        <v>0</v>
      </c>
      <c r="R1058" s="334">
        <f t="shared" si="456"/>
        <v>0</v>
      </c>
      <c r="S1058" s="335">
        <f t="shared" si="460"/>
        <v>7072.9438027768419</v>
      </c>
      <c r="T1058" s="335">
        <f t="shared" si="461"/>
        <v>45336.578749999993</v>
      </c>
      <c r="U1058" s="336">
        <f t="shared" si="462"/>
        <v>0</v>
      </c>
      <c r="V1058" s="336">
        <f t="shared" si="463"/>
        <v>0</v>
      </c>
      <c r="W1058" s="336">
        <f t="shared" si="464"/>
        <v>0</v>
      </c>
      <c r="X1058" s="336">
        <f t="shared" si="465"/>
        <v>0</v>
      </c>
      <c r="Y1058" s="320"/>
      <c r="Z1058" s="321" t="str">
        <f t="shared" si="469"/>
        <v>X-MVA</v>
      </c>
      <c r="AA1058" s="321" t="str">
        <f t="shared" si="470"/>
        <v>X-MVE</v>
      </c>
      <c r="AB1058" s="321" t="str">
        <f t="shared" si="471"/>
        <v>X-MVM</v>
      </c>
      <c r="AC1058" s="321" t="str">
        <f t="shared" si="472"/>
        <v>X-MVT</v>
      </c>
      <c r="AD1058" s="321" t="str">
        <f t="shared" si="473"/>
        <v>X-MVS</v>
      </c>
      <c r="AE1058" s="321" t="str">
        <f t="shared" si="474"/>
        <v>X-MVX</v>
      </c>
      <c r="AF1058" s="321" t="str">
        <f t="shared" si="475"/>
        <v>X-MVA</v>
      </c>
      <c r="AG1058" s="321">
        <f t="shared" si="466"/>
        <v>9</v>
      </c>
      <c r="AH1058" s="321">
        <f>IF(B1058&lt;&gt;"",IF(H1058="x",VLOOKUP(I1058,'AUX-NIV3'!B:AG,32,FALSE),0),"")</f>
        <v>0</v>
      </c>
      <c r="AI1058" s="321" t="str">
        <f t="shared" si="476"/>
        <v>X-MV</v>
      </c>
      <c r="AJ1058" s="320"/>
      <c r="AK1058" s="322">
        <f t="shared" si="467"/>
        <v>1053</v>
      </c>
      <c r="AL1058" s="323">
        <f t="shared" si="477"/>
        <v>1061</v>
      </c>
      <c r="AM1058" s="322">
        <f t="shared" si="478"/>
        <v>6</v>
      </c>
      <c r="AN1058" s="380">
        <f>IF(AND(AH1058&gt;0,B1058&lt;&gt;""),VLOOKUP(I1058,'AUX-NIV3'!$B:$AO,39,FALSE)*O1058,0)</f>
        <v>0</v>
      </c>
      <c r="AO1058" s="380">
        <f t="shared" si="468"/>
        <v>12.625</v>
      </c>
      <c r="AP1058" s="380"/>
    </row>
    <row r="1059" spans="2:42" ht="14.4" hidden="1" thickTop="1" thickBot="1">
      <c r="B1059" s="324" t="s">
        <v>2909</v>
      </c>
      <c r="C1059" s="325" t="s">
        <v>2910</v>
      </c>
      <c r="D1059" s="326" t="s">
        <v>185</v>
      </c>
      <c r="E1059" s="327">
        <f>IF(B1059&lt;&gt;"",SUMIF('AUX-NIV1'!I:I,'AUX-NIV2'!B1059,'AUX-NIV1'!Q:Q),"")</f>
        <v>0</v>
      </c>
      <c r="F1059" s="327">
        <f t="shared" si="458"/>
        <v>52409.522552776834</v>
      </c>
      <c r="G1059" s="327">
        <f t="shared" si="459"/>
        <v>0</v>
      </c>
      <c r="H1059" s="328" t="str">
        <f t="shared" si="479"/>
        <v>A</v>
      </c>
      <c r="I1059" s="325" t="s">
        <v>1746</v>
      </c>
      <c r="J1059" s="329" t="str">
        <f>IF(B1059&lt;&gt;"",+VLOOKUP(I1059,Recursos!C:F,2,FALSE),"")</f>
        <v>OFICIAL</v>
      </c>
      <c r="K1059" s="330" t="str">
        <f>IF(B1059&lt;&gt;"",+VLOOKUP(I1059,Recursos!C:F,3,FALSE),"")</f>
        <v>hh</v>
      </c>
      <c r="L1059" s="446">
        <f>IF(B1059&lt;&gt;"",+VLOOKUP(I1059,Recursos!C:F,4,FALSE),"")</f>
        <v>496.91595439275824</v>
      </c>
      <c r="M1059" s="454"/>
      <c r="N1059" s="455"/>
      <c r="O1059" s="449">
        <f>+M1060*N1061</f>
        <v>3.125</v>
      </c>
      <c r="P1059" s="333">
        <f t="shared" si="454"/>
        <v>1552.8623574773694</v>
      </c>
      <c r="Q1059" s="327">
        <f t="shared" si="455"/>
        <v>0</v>
      </c>
      <c r="R1059" s="334">
        <f t="shared" si="456"/>
        <v>0</v>
      </c>
      <c r="S1059" s="335">
        <f t="shared" si="460"/>
        <v>7072.9438027768419</v>
      </c>
      <c r="T1059" s="335">
        <f t="shared" si="461"/>
        <v>45336.578749999993</v>
      </c>
      <c r="U1059" s="336">
        <f t="shared" si="462"/>
        <v>0</v>
      </c>
      <c r="V1059" s="336">
        <f t="shared" si="463"/>
        <v>0</v>
      </c>
      <c r="W1059" s="336">
        <f t="shared" si="464"/>
        <v>0</v>
      </c>
      <c r="X1059" s="336">
        <f t="shared" si="465"/>
        <v>0</v>
      </c>
      <c r="Y1059" s="320"/>
      <c r="Z1059" s="321" t="str">
        <f t="shared" si="469"/>
        <v>X-MVA</v>
      </c>
      <c r="AA1059" s="321" t="str">
        <f t="shared" si="470"/>
        <v>X-MVE</v>
      </c>
      <c r="AB1059" s="321" t="str">
        <f t="shared" si="471"/>
        <v>X-MVM</v>
      </c>
      <c r="AC1059" s="321" t="str">
        <f t="shared" si="472"/>
        <v>X-MVT</v>
      </c>
      <c r="AD1059" s="321" t="str">
        <f t="shared" si="473"/>
        <v>X-MVS</v>
      </c>
      <c r="AE1059" s="321" t="str">
        <f t="shared" si="474"/>
        <v>X-MVX</v>
      </c>
      <c r="AF1059" s="321" t="str">
        <f t="shared" si="475"/>
        <v>X-MVA</v>
      </c>
      <c r="AG1059" s="321">
        <f t="shared" si="466"/>
        <v>9</v>
      </c>
      <c r="AH1059" s="321">
        <f>IF(B1059&lt;&gt;"",IF(H1059="x",VLOOKUP(I1059,'AUX-NIV3'!B:AG,32,FALSE),0),"")</f>
        <v>0</v>
      </c>
      <c r="AI1059" s="321" t="str">
        <f t="shared" si="476"/>
        <v>X-MV</v>
      </c>
      <c r="AJ1059" s="320"/>
      <c r="AK1059" s="322">
        <f t="shared" si="467"/>
        <v>1053</v>
      </c>
      <c r="AL1059" s="323">
        <f t="shared" si="477"/>
        <v>1061</v>
      </c>
      <c r="AM1059" s="322">
        <f t="shared" si="478"/>
        <v>7</v>
      </c>
      <c r="AN1059" s="380">
        <f>IF(AND(AH1059&gt;0,B1059&lt;&gt;""),VLOOKUP(I1059,'AUX-NIV3'!$B:$AO,39,FALSE)*O1059,0)</f>
        <v>0</v>
      </c>
      <c r="AO1059" s="380">
        <f t="shared" si="468"/>
        <v>12.625</v>
      </c>
      <c r="AP1059" s="380"/>
    </row>
    <row r="1060" spans="2:42" ht="14.4" hidden="1" thickTop="1" thickBot="1">
      <c r="B1060" s="324" t="s">
        <v>2909</v>
      </c>
      <c r="C1060" s="325" t="s">
        <v>2910</v>
      </c>
      <c r="D1060" s="326" t="s">
        <v>185</v>
      </c>
      <c r="E1060" s="327">
        <f>IF(B1060&lt;&gt;"",SUMIF('AUX-NIV1'!I:I,'AUX-NIV2'!B1060,'AUX-NIV1'!Q:Q),"")</f>
        <v>0</v>
      </c>
      <c r="F1060" s="327">
        <f t="shared" si="458"/>
        <v>52409.522552776834</v>
      </c>
      <c r="G1060" s="327">
        <f t="shared" si="459"/>
        <v>0</v>
      </c>
      <c r="H1060" s="328" t="str">
        <f t="shared" si="479"/>
        <v>E</v>
      </c>
      <c r="I1060" s="325" t="s">
        <v>1678</v>
      </c>
      <c r="J1060" s="329" t="str">
        <f>IF(B1060&lt;&gt;"",+VLOOKUP(I1060,Recursos!C:F,2,FALSE),"")</f>
        <v>CAMION SEMIRREMOLQUE CAP. 35 T</v>
      </c>
      <c r="K1060" s="330" t="str">
        <f>IF(B1060&lt;&gt;"",+VLOOKUP(I1060,Recursos!C:F,3,FALSE),"")</f>
        <v>HR</v>
      </c>
      <c r="L1060" s="446">
        <f>IF(B1060&lt;&gt;"",+VLOOKUP(I1060,Recursos!C:F,4,FALSE),"")</f>
        <v>5017.3932999999997</v>
      </c>
      <c r="M1060" s="452">
        <v>1.25</v>
      </c>
      <c r="N1060" s="455"/>
      <c r="O1060" s="449">
        <f>+N1061</f>
        <v>2.5</v>
      </c>
      <c r="P1060" s="333">
        <f t="shared" si="454"/>
        <v>12543.483249999999</v>
      </c>
      <c r="Q1060" s="327">
        <f t="shared" si="455"/>
        <v>0</v>
      </c>
      <c r="R1060" s="334">
        <f t="shared" si="456"/>
        <v>0</v>
      </c>
      <c r="S1060" s="335">
        <f t="shared" si="460"/>
        <v>7072.9438027768419</v>
      </c>
      <c r="T1060" s="335">
        <f t="shared" si="461"/>
        <v>45336.578749999993</v>
      </c>
      <c r="U1060" s="336">
        <f t="shared" si="462"/>
        <v>0</v>
      </c>
      <c r="V1060" s="336">
        <f t="shared" si="463"/>
        <v>0</v>
      </c>
      <c r="W1060" s="336">
        <f t="shared" si="464"/>
        <v>0</v>
      </c>
      <c r="X1060" s="336">
        <f t="shared" si="465"/>
        <v>0</v>
      </c>
      <c r="Y1060" s="320"/>
      <c r="Z1060" s="321" t="str">
        <f t="shared" si="469"/>
        <v>X-MVA</v>
      </c>
      <c r="AA1060" s="321" t="str">
        <f t="shared" si="470"/>
        <v>X-MVE</v>
      </c>
      <c r="AB1060" s="321" t="str">
        <f t="shared" si="471"/>
        <v>X-MVM</v>
      </c>
      <c r="AC1060" s="321" t="str">
        <f t="shared" si="472"/>
        <v>X-MVT</v>
      </c>
      <c r="AD1060" s="321" t="str">
        <f t="shared" si="473"/>
        <v>X-MVS</v>
      </c>
      <c r="AE1060" s="321" t="str">
        <f t="shared" si="474"/>
        <v>X-MVX</v>
      </c>
      <c r="AF1060" s="321" t="str">
        <f t="shared" si="475"/>
        <v>X-MVE</v>
      </c>
      <c r="AG1060" s="321">
        <f t="shared" si="466"/>
        <v>9</v>
      </c>
      <c r="AH1060" s="321">
        <f>IF(B1060&lt;&gt;"",IF(H1060="x",VLOOKUP(I1060,'AUX-NIV3'!B:AG,32,FALSE),0),"")</f>
        <v>0</v>
      </c>
      <c r="AI1060" s="321" t="str">
        <f t="shared" si="476"/>
        <v>X-MV</v>
      </c>
      <c r="AJ1060" s="320"/>
      <c r="AK1060" s="322">
        <f t="shared" si="467"/>
        <v>1053</v>
      </c>
      <c r="AL1060" s="323">
        <f t="shared" si="477"/>
        <v>1061</v>
      </c>
      <c r="AM1060" s="322">
        <f t="shared" si="478"/>
        <v>8</v>
      </c>
      <c r="AN1060" s="380">
        <f>IF(AND(AH1060&gt;0,B1060&lt;&gt;""),VLOOKUP(I1060,'AUX-NIV3'!$B:$AO,39,FALSE)*O1060,0)</f>
        <v>0</v>
      </c>
      <c r="AO1060" s="380">
        <f t="shared" si="468"/>
        <v>12.625</v>
      </c>
      <c r="AP1060" s="380"/>
    </row>
    <row r="1061" spans="2:42" ht="14.4" hidden="1" thickTop="1" thickBot="1">
      <c r="B1061" s="324" t="s">
        <v>2909</v>
      </c>
      <c r="C1061" s="325" t="s">
        <v>2910</v>
      </c>
      <c r="D1061" s="326" t="s">
        <v>185</v>
      </c>
      <c r="E1061" s="327">
        <f>IF(B1061&lt;&gt;"",SUMIF('AUX-NIV1'!I:I,'AUX-NIV2'!B1061,'AUX-NIV1'!Q:Q),"")</f>
        <v>0</v>
      </c>
      <c r="F1061" s="327">
        <f t="shared" si="458"/>
        <v>52409.522552776834</v>
      </c>
      <c r="G1061" s="327">
        <f t="shared" si="459"/>
        <v>0</v>
      </c>
      <c r="H1061" s="328" t="str">
        <f t="shared" si="479"/>
        <v>E</v>
      </c>
      <c r="I1061" s="325" t="s">
        <v>1698</v>
      </c>
      <c r="J1061" s="329" t="str">
        <f>IF(B1061&lt;&gt;"",+VLOOKUP(I1061,Recursos!C:F,2,FALSE),"")</f>
        <v>GRUA MOVIL TODO TERRENO 55 T</v>
      </c>
      <c r="K1061" s="330" t="str">
        <f>IF(B1061&lt;&gt;"",+VLOOKUP(I1061,Recursos!C:F,3,FALSE),"")</f>
        <v>HR</v>
      </c>
      <c r="L1061" s="446">
        <f>IF(B1061&lt;&gt;"",+VLOOKUP(I1061,Recursos!C:F,4,FALSE),"")</f>
        <v>6558.6190999999999</v>
      </c>
      <c r="M1061" s="450">
        <v>2</v>
      </c>
      <c r="N1061" s="451">
        <v>2.5</v>
      </c>
      <c r="O1061" s="449">
        <f>+M1061*N1061</f>
        <v>5</v>
      </c>
      <c r="P1061" s="333">
        <f t="shared" si="454"/>
        <v>32793.095499999996</v>
      </c>
      <c r="Q1061" s="327">
        <f t="shared" si="455"/>
        <v>0</v>
      </c>
      <c r="R1061" s="334">
        <f t="shared" si="456"/>
        <v>0</v>
      </c>
      <c r="S1061" s="335">
        <f t="shared" si="460"/>
        <v>7072.9438027768419</v>
      </c>
      <c r="T1061" s="335">
        <f t="shared" si="461"/>
        <v>45336.578749999993</v>
      </c>
      <c r="U1061" s="336">
        <f t="shared" si="462"/>
        <v>0</v>
      </c>
      <c r="V1061" s="336">
        <f t="shared" si="463"/>
        <v>0</v>
      </c>
      <c r="W1061" s="336">
        <f t="shared" si="464"/>
        <v>0</v>
      </c>
      <c r="X1061" s="336">
        <f t="shared" si="465"/>
        <v>0</v>
      </c>
      <c r="Y1061" s="320"/>
      <c r="Z1061" s="321" t="str">
        <f t="shared" si="469"/>
        <v>X-MVA</v>
      </c>
      <c r="AA1061" s="321" t="str">
        <f t="shared" si="470"/>
        <v>X-MVE</v>
      </c>
      <c r="AB1061" s="321" t="str">
        <f t="shared" si="471"/>
        <v>X-MVM</v>
      </c>
      <c r="AC1061" s="321" t="str">
        <f t="shared" si="472"/>
        <v>X-MVT</v>
      </c>
      <c r="AD1061" s="321" t="str">
        <f t="shared" si="473"/>
        <v>X-MVS</v>
      </c>
      <c r="AE1061" s="321" t="str">
        <f t="shared" si="474"/>
        <v>X-MVX</v>
      </c>
      <c r="AF1061" s="321" t="str">
        <f t="shared" si="475"/>
        <v>X-MVE</v>
      </c>
      <c r="AG1061" s="321">
        <f t="shared" si="466"/>
        <v>9</v>
      </c>
      <c r="AH1061" s="321">
        <f>IF(B1061&lt;&gt;"",IF(H1061="x",VLOOKUP(I1061,'AUX-NIV3'!B:AG,32,FALSE),0),"")</f>
        <v>0</v>
      </c>
      <c r="AI1061" s="321" t="str">
        <f t="shared" si="476"/>
        <v>X-MV</v>
      </c>
      <c r="AJ1061" s="320"/>
      <c r="AK1061" s="322">
        <f t="shared" si="467"/>
        <v>1053</v>
      </c>
      <c r="AL1061" s="323">
        <f t="shared" si="477"/>
        <v>1061</v>
      </c>
      <c r="AM1061" s="322">
        <f t="shared" si="478"/>
        <v>9</v>
      </c>
      <c r="AN1061" s="380">
        <f>IF(AND(AH1061&gt;0,B1061&lt;&gt;""),VLOOKUP(I1061,'AUX-NIV3'!$B:$AO,39,FALSE)*O1061,0)</f>
        <v>0</v>
      </c>
      <c r="AO1061" s="380">
        <f t="shared" si="468"/>
        <v>12.625</v>
      </c>
      <c r="AP1061" s="380"/>
    </row>
    <row r="1062" spans="2:42" ht="14.4" hidden="1" thickTop="1" thickBot="1">
      <c r="B1062" s="324" t="s">
        <v>2911</v>
      </c>
      <c r="C1062" s="325" t="s">
        <v>2912</v>
      </c>
      <c r="D1062" s="326" t="s">
        <v>1386</v>
      </c>
      <c r="E1062" s="327">
        <f>IF(B1062&lt;&gt;"",SUMIF('AUX-NIV1'!I:I,'AUX-NIV2'!B1062,'AUX-NIV1'!Q:Q),"")</f>
        <v>0</v>
      </c>
      <c r="F1062" s="327">
        <f t="shared" si="458"/>
        <v>132.87103287021205</v>
      </c>
      <c r="G1062" s="327">
        <f t="shared" si="459"/>
        <v>0</v>
      </c>
      <c r="H1062" s="328" t="str">
        <f t="shared" si="479"/>
        <v>X</v>
      </c>
      <c r="I1062" s="325" t="s">
        <v>2762</v>
      </c>
      <c r="J1062" s="329" t="str">
        <f>IF(B1062&lt;&gt;"",+VLOOKUP(I1062,Recursos!C:F,2,FALSE),"")</f>
        <v>Excavación suelo lateral con topadora</v>
      </c>
      <c r="K1062" s="330" t="str">
        <f>IF(B1062&lt;&gt;"",+VLOOKUP(I1062,Recursos!C:F,3,FALSE),"")</f>
        <v>m3b</v>
      </c>
      <c r="L1062" s="446">
        <f>IF(B1062&lt;&gt;"",+VLOOKUP(I1062,Recursos!C:F,4,FALSE),"")</f>
        <v>52.347526405812978</v>
      </c>
      <c r="M1062" s="447">
        <v>1.35</v>
      </c>
      <c r="N1062" s="448">
        <v>1</v>
      </c>
      <c r="O1062" s="449">
        <f>+M1062*N1062</f>
        <v>1.35</v>
      </c>
      <c r="P1062" s="333">
        <f t="shared" si="454"/>
        <v>70.669160647847519</v>
      </c>
      <c r="Q1062" s="327">
        <f t="shared" si="455"/>
        <v>0</v>
      </c>
      <c r="R1062" s="334">
        <f t="shared" si="456"/>
        <v>0</v>
      </c>
      <c r="S1062" s="335">
        <f t="shared" si="460"/>
        <v>0</v>
      </c>
      <c r="T1062" s="335">
        <f t="shared" si="461"/>
        <v>0</v>
      </c>
      <c r="U1062" s="336">
        <f t="shared" si="462"/>
        <v>0</v>
      </c>
      <c r="V1062" s="336">
        <f t="shared" si="463"/>
        <v>0</v>
      </c>
      <c r="W1062" s="336">
        <f t="shared" si="464"/>
        <v>0</v>
      </c>
      <c r="X1062" s="336">
        <f t="shared" si="465"/>
        <v>132.87103287021205</v>
      </c>
      <c r="Y1062" s="320"/>
      <c r="Z1062" s="321" t="str">
        <f t="shared" si="469"/>
        <v>X-TEA1A</v>
      </c>
      <c r="AA1062" s="321" t="str">
        <f t="shared" si="470"/>
        <v>X-TEA1E</v>
      </c>
      <c r="AB1062" s="321" t="str">
        <f t="shared" si="471"/>
        <v>X-TEA1M</v>
      </c>
      <c r="AC1062" s="321" t="str">
        <f t="shared" si="472"/>
        <v>X-TEA1T</v>
      </c>
      <c r="AD1062" s="321" t="str">
        <f t="shared" si="473"/>
        <v>X-TEA1S</v>
      </c>
      <c r="AE1062" s="321" t="str">
        <f t="shared" si="474"/>
        <v>X-TEA1X</v>
      </c>
      <c r="AF1062" s="321" t="str">
        <f t="shared" si="475"/>
        <v>X-TEA1X</v>
      </c>
      <c r="AG1062" s="321">
        <f t="shared" si="466"/>
        <v>7</v>
      </c>
      <c r="AH1062" s="321">
        <f>IF(B1062&lt;&gt;"",IF(H1062="x",VLOOKUP(I1062,'AUX-NIV3'!B:AG,32,FALSE),0),"")</f>
        <v>3</v>
      </c>
      <c r="AI1062" s="321" t="str">
        <f t="shared" si="476"/>
        <v>X-TEA1</v>
      </c>
      <c r="AJ1062" s="320"/>
      <c r="AK1062" s="322">
        <f t="shared" si="467"/>
        <v>1062</v>
      </c>
      <c r="AL1062" s="323">
        <f t="shared" si="477"/>
        <v>1068</v>
      </c>
      <c r="AM1062" s="322">
        <f t="shared" si="478"/>
        <v>1</v>
      </c>
      <c r="AN1062" s="380">
        <f>IF(AND(AH1062&gt;0,B1062&lt;&gt;""),VLOOKUP(I1062,'AUX-NIV3'!$B:$AO,39,FALSE)*O1062,0)</f>
        <v>3.3750000000000002E-2</v>
      </c>
      <c r="AO1062" s="380">
        <f t="shared" si="468"/>
        <v>6.0986309523809533E-2</v>
      </c>
      <c r="AP1062" s="380"/>
    </row>
    <row r="1063" spans="2:42" ht="14.4" hidden="1" thickTop="1" thickBot="1">
      <c r="B1063" s="324" t="s">
        <v>2911</v>
      </c>
      <c r="C1063" s="325" t="s">
        <v>2912</v>
      </c>
      <c r="D1063" s="326" t="s">
        <v>1386</v>
      </c>
      <c r="E1063" s="327">
        <f>IF(B1063&lt;&gt;"",SUMIF('AUX-NIV1'!I:I,'AUX-NIV2'!B1063,'AUX-NIV1'!Q:Q),"")</f>
        <v>0</v>
      </c>
      <c r="F1063" s="327">
        <f t="shared" si="458"/>
        <v>132.87103287021205</v>
      </c>
      <c r="G1063" s="327">
        <f t="shared" si="459"/>
        <v>0</v>
      </c>
      <c r="H1063" s="328" t="str">
        <f t="shared" si="479"/>
        <v>X</v>
      </c>
      <c r="I1063" s="325" t="s">
        <v>2764</v>
      </c>
      <c r="J1063" s="329" t="str">
        <f>IF(B1063&lt;&gt;"",+VLOOKUP(I1063,Recursos!C:F,2,FALSE),"")</f>
        <v>Distribución de material terraplén</v>
      </c>
      <c r="K1063" s="330" t="str">
        <f>IF(B1063&lt;&gt;"",+VLOOKUP(I1063,Recursos!C:F,3,FALSE),"")</f>
        <v>m3s</v>
      </c>
      <c r="L1063" s="446">
        <f>IF(B1063&lt;&gt;"",+VLOOKUP(I1063,Recursos!C:F,4,FALSE),"")</f>
        <v>17.888012535270992</v>
      </c>
      <c r="M1063" s="454">
        <f>+M1062</f>
        <v>1.35</v>
      </c>
      <c r="N1063" s="508"/>
      <c r="O1063" s="449">
        <f>+M1063</f>
        <v>1.35</v>
      </c>
      <c r="P1063" s="333">
        <f t="shared" si="454"/>
        <v>24.14881692261584</v>
      </c>
      <c r="Q1063" s="327">
        <f t="shared" si="455"/>
        <v>0</v>
      </c>
      <c r="R1063" s="334">
        <f t="shared" si="456"/>
        <v>0</v>
      </c>
      <c r="S1063" s="335">
        <f t="shared" si="460"/>
        <v>0</v>
      </c>
      <c r="T1063" s="335">
        <f t="shared" si="461"/>
        <v>0</v>
      </c>
      <c r="U1063" s="336">
        <f t="shared" si="462"/>
        <v>0</v>
      </c>
      <c r="V1063" s="336">
        <f t="shared" si="463"/>
        <v>0</v>
      </c>
      <c r="W1063" s="336">
        <f t="shared" si="464"/>
        <v>0</v>
      </c>
      <c r="X1063" s="336">
        <f t="shared" si="465"/>
        <v>132.87103287021205</v>
      </c>
      <c r="Y1063" s="320"/>
      <c r="Z1063" s="321" t="str">
        <f t="shared" si="469"/>
        <v>X-TEA1A</v>
      </c>
      <c r="AA1063" s="321" t="str">
        <f t="shared" si="470"/>
        <v>X-TEA1E</v>
      </c>
      <c r="AB1063" s="321" t="str">
        <f t="shared" si="471"/>
        <v>X-TEA1M</v>
      </c>
      <c r="AC1063" s="321" t="str">
        <f t="shared" si="472"/>
        <v>X-TEA1T</v>
      </c>
      <c r="AD1063" s="321" t="str">
        <f t="shared" si="473"/>
        <v>X-TEA1S</v>
      </c>
      <c r="AE1063" s="321" t="str">
        <f t="shared" si="474"/>
        <v>X-TEA1X</v>
      </c>
      <c r="AF1063" s="321" t="str">
        <f t="shared" si="475"/>
        <v>X-TEA1X</v>
      </c>
      <c r="AG1063" s="321">
        <f t="shared" si="466"/>
        <v>7</v>
      </c>
      <c r="AH1063" s="321">
        <f>IF(B1063&lt;&gt;"",IF(H1063="x",VLOOKUP(I1063,'AUX-NIV3'!B:AG,32,FALSE),0),"")</f>
        <v>3</v>
      </c>
      <c r="AI1063" s="321" t="str">
        <f t="shared" si="476"/>
        <v>X-TEA1</v>
      </c>
      <c r="AJ1063" s="320"/>
      <c r="AK1063" s="322">
        <f t="shared" si="467"/>
        <v>1062</v>
      </c>
      <c r="AL1063" s="323">
        <f t="shared" si="477"/>
        <v>1068</v>
      </c>
      <c r="AM1063" s="322">
        <f t="shared" si="478"/>
        <v>2</v>
      </c>
      <c r="AN1063" s="380">
        <f>IF(AND(AH1063&gt;0,B1063&lt;&gt;""),VLOOKUP(I1063,'AUX-NIV3'!$B:$AO,39,FALSE)*O1063,0)</f>
        <v>1.1250000000000001E-2</v>
      </c>
      <c r="AO1063" s="380">
        <f t="shared" si="468"/>
        <v>6.0986309523809533E-2</v>
      </c>
      <c r="AP1063" s="380"/>
    </row>
    <row r="1064" spans="2:42" ht="14.4" hidden="1" thickTop="1" thickBot="1">
      <c r="B1064" s="324" t="s">
        <v>2911</v>
      </c>
      <c r="C1064" s="325" t="s">
        <v>2912</v>
      </c>
      <c r="D1064" s="326" t="s">
        <v>1386</v>
      </c>
      <c r="E1064" s="327">
        <f>IF(B1064&lt;&gt;"",SUMIF('AUX-NIV1'!I:I,'AUX-NIV2'!B1064,'AUX-NIV1'!Q:Q),"")</f>
        <v>0</v>
      </c>
      <c r="F1064" s="327">
        <f t="shared" si="458"/>
        <v>132.87103287021205</v>
      </c>
      <c r="G1064" s="327">
        <f t="shared" si="459"/>
        <v>0</v>
      </c>
      <c r="H1064" s="328" t="str">
        <f t="shared" si="479"/>
        <v>X</v>
      </c>
      <c r="I1064" s="325" t="s">
        <v>2746</v>
      </c>
      <c r="J1064" s="329" t="str">
        <f>IF(B1064&lt;&gt;"",+VLOOKUP(I1064,Recursos!C:F,2,FALSE),"")</f>
        <v>Obtención de Agua para Riego</v>
      </c>
      <c r="K1064" s="330" t="str">
        <f>IF(B1064&lt;&gt;"",+VLOOKUP(I1064,Recursos!C:F,3,FALSE),"")</f>
        <v>m3</v>
      </c>
      <c r="L1064" s="446">
        <f>IF(B1064&lt;&gt;"",+VLOOKUP(I1064,Recursos!C:F,4,FALSE),"")</f>
        <v>148.35029836815718</v>
      </c>
      <c r="M1064" s="452">
        <v>1</v>
      </c>
      <c r="N1064" s="453">
        <v>1</v>
      </c>
      <c r="O1064" s="449">
        <f>+N1064*M1064*N1065</f>
        <v>0.06</v>
      </c>
      <c r="P1064" s="333">
        <f t="shared" si="454"/>
        <v>8.9010179020894302</v>
      </c>
      <c r="Q1064" s="327">
        <f t="shared" si="455"/>
        <v>0</v>
      </c>
      <c r="R1064" s="334">
        <f t="shared" si="456"/>
        <v>0</v>
      </c>
      <c r="S1064" s="335">
        <f t="shared" si="460"/>
        <v>0</v>
      </c>
      <c r="T1064" s="335">
        <f t="shared" si="461"/>
        <v>0</v>
      </c>
      <c r="U1064" s="336">
        <f t="shared" si="462"/>
        <v>0</v>
      </c>
      <c r="V1064" s="336">
        <f t="shared" si="463"/>
        <v>0</v>
      </c>
      <c r="W1064" s="336">
        <f t="shared" si="464"/>
        <v>0</v>
      </c>
      <c r="X1064" s="336">
        <f t="shared" si="465"/>
        <v>132.87103287021205</v>
      </c>
      <c r="Y1064" s="320"/>
      <c r="Z1064" s="321" t="str">
        <f t="shared" si="469"/>
        <v>X-TEA1A</v>
      </c>
      <c r="AA1064" s="321" t="str">
        <f t="shared" si="470"/>
        <v>X-TEA1E</v>
      </c>
      <c r="AB1064" s="321" t="str">
        <f t="shared" si="471"/>
        <v>X-TEA1M</v>
      </c>
      <c r="AC1064" s="321" t="str">
        <f t="shared" si="472"/>
        <v>X-TEA1T</v>
      </c>
      <c r="AD1064" s="321" t="str">
        <f t="shared" si="473"/>
        <v>X-TEA1S</v>
      </c>
      <c r="AE1064" s="321" t="str">
        <f t="shared" si="474"/>
        <v>X-TEA1X</v>
      </c>
      <c r="AF1064" s="321" t="str">
        <f t="shared" si="475"/>
        <v>X-TEA1X</v>
      </c>
      <c r="AG1064" s="321">
        <f t="shared" si="466"/>
        <v>7</v>
      </c>
      <c r="AH1064" s="321">
        <f>IF(B1064&lt;&gt;"",IF(H1064="x",VLOOKUP(I1064,'AUX-NIV3'!B:AG,32,FALSE),0),"")</f>
        <v>5</v>
      </c>
      <c r="AI1064" s="321" t="str">
        <f t="shared" si="476"/>
        <v>X-TEA1</v>
      </c>
      <c r="AJ1064" s="320"/>
      <c r="AK1064" s="322">
        <f t="shared" si="467"/>
        <v>1062</v>
      </c>
      <c r="AL1064" s="323">
        <f t="shared" si="477"/>
        <v>1068</v>
      </c>
      <c r="AM1064" s="322">
        <f t="shared" si="478"/>
        <v>3</v>
      </c>
      <c r="AN1064" s="380">
        <f>IF(AND(AH1064&gt;0,B1064&lt;&gt;""),VLOOKUP(I1064,'AUX-NIV3'!$B:$AO,39,FALSE)*O1064,0)</f>
        <v>2E-3</v>
      </c>
      <c r="AO1064" s="380">
        <f t="shared" si="468"/>
        <v>6.0986309523809533E-2</v>
      </c>
      <c r="AP1064" s="380"/>
    </row>
    <row r="1065" spans="2:42" ht="14.4" hidden="1" thickTop="1" thickBot="1">
      <c r="B1065" s="324" t="s">
        <v>2911</v>
      </c>
      <c r="C1065" s="325" t="s">
        <v>2912</v>
      </c>
      <c r="D1065" s="326" t="s">
        <v>1386</v>
      </c>
      <c r="E1065" s="327">
        <f>IF(B1065&lt;&gt;"",SUMIF('AUX-NIV1'!I:I,'AUX-NIV2'!B1065,'AUX-NIV1'!Q:Q),"")</f>
        <v>0</v>
      </c>
      <c r="F1065" s="327">
        <f t="shared" si="458"/>
        <v>132.87103287021205</v>
      </c>
      <c r="G1065" s="327">
        <f t="shared" si="459"/>
        <v>0</v>
      </c>
      <c r="H1065" s="328" t="str">
        <f t="shared" si="479"/>
        <v>X</v>
      </c>
      <c r="I1065" s="325" t="s">
        <v>2748</v>
      </c>
      <c r="J1065" s="329" t="str">
        <f>IF(B1065&lt;&gt;"",+VLOOKUP(I1065,Recursos!C:F,2,FALSE),"")</f>
        <v>Transporte de Agua para riego</v>
      </c>
      <c r="K1065" s="330" t="str">
        <f>IF(B1065&lt;&gt;"",+VLOOKUP(I1065,Recursos!C:F,3,FALSE),"")</f>
        <v>m3</v>
      </c>
      <c r="L1065" s="446">
        <f>IF(B1065&lt;&gt;"",+VLOOKUP(I1065,Recursos!C:F,4,FALSE),"")</f>
        <v>368.5637895861521</v>
      </c>
      <c r="M1065" s="452">
        <v>0</v>
      </c>
      <c r="N1065" s="453">
        <v>0.06</v>
      </c>
      <c r="O1065" s="449">
        <f>M1064*N1065</f>
        <v>0.06</v>
      </c>
      <c r="P1065" s="333">
        <f t="shared" si="454"/>
        <v>22.113827375169127</v>
      </c>
      <c r="Q1065" s="327">
        <f t="shared" si="455"/>
        <v>0</v>
      </c>
      <c r="R1065" s="334">
        <f t="shared" si="456"/>
        <v>0</v>
      </c>
      <c r="S1065" s="335">
        <f t="shared" si="460"/>
        <v>0</v>
      </c>
      <c r="T1065" s="335">
        <f t="shared" si="461"/>
        <v>0</v>
      </c>
      <c r="U1065" s="336">
        <f t="shared" si="462"/>
        <v>0</v>
      </c>
      <c r="V1065" s="336">
        <f t="shared" si="463"/>
        <v>0</v>
      </c>
      <c r="W1065" s="336">
        <f t="shared" si="464"/>
        <v>0</v>
      </c>
      <c r="X1065" s="336">
        <f t="shared" si="465"/>
        <v>132.87103287021205</v>
      </c>
      <c r="Y1065" s="320"/>
      <c r="Z1065" s="321" t="str">
        <f t="shared" si="469"/>
        <v>X-TEA1A</v>
      </c>
      <c r="AA1065" s="321" t="str">
        <f t="shared" si="470"/>
        <v>X-TEA1E</v>
      </c>
      <c r="AB1065" s="321" t="str">
        <f t="shared" si="471"/>
        <v>X-TEA1M</v>
      </c>
      <c r="AC1065" s="321" t="str">
        <f t="shared" si="472"/>
        <v>X-TEA1T</v>
      </c>
      <c r="AD1065" s="321" t="str">
        <f t="shared" si="473"/>
        <v>X-TEA1S</v>
      </c>
      <c r="AE1065" s="321" t="str">
        <f t="shared" si="474"/>
        <v>X-TEA1X</v>
      </c>
      <c r="AF1065" s="321" t="str">
        <f t="shared" si="475"/>
        <v>X-TEA1X</v>
      </c>
      <c r="AG1065" s="321">
        <f t="shared" si="466"/>
        <v>7</v>
      </c>
      <c r="AH1065" s="321">
        <f>IF(B1065&lt;&gt;"",IF(H1065="x",VLOOKUP(I1065,'AUX-NIV3'!B:AG,32,FALSE),0),"")</f>
        <v>2</v>
      </c>
      <c r="AI1065" s="321" t="str">
        <f t="shared" si="476"/>
        <v>X-TEA1</v>
      </c>
      <c r="AJ1065" s="320"/>
      <c r="AK1065" s="322">
        <f t="shared" si="467"/>
        <v>1062</v>
      </c>
      <c r="AL1065" s="323">
        <f t="shared" si="477"/>
        <v>1068</v>
      </c>
      <c r="AM1065" s="322">
        <f t="shared" si="478"/>
        <v>4</v>
      </c>
      <c r="AN1065" s="380">
        <f>IF(AND(AH1065&gt;0,B1065&lt;&gt;""),VLOOKUP(I1065,'AUX-NIV3'!$B:$AO,39,FALSE)*O1065,0)</f>
        <v>9.5238095238095229E-3</v>
      </c>
      <c r="AO1065" s="380">
        <f t="shared" si="468"/>
        <v>6.0986309523809533E-2</v>
      </c>
      <c r="AP1065" s="380"/>
    </row>
    <row r="1066" spans="2:42" ht="14.4" hidden="1" thickTop="1" thickBot="1">
      <c r="B1066" s="324" t="s">
        <v>2911</v>
      </c>
      <c r="C1066" s="325" t="s">
        <v>2912</v>
      </c>
      <c r="D1066" s="326" t="s">
        <v>1386</v>
      </c>
      <c r="E1066" s="327">
        <f>IF(B1066&lt;&gt;"",SUMIF('AUX-NIV1'!I:I,'AUX-NIV2'!B1066,'AUX-NIV1'!Q:Q),"")</f>
        <v>0</v>
      </c>
      <c r="F1066" s="327">
        <f t="shared" si="458"/>
        <v>132.87103287021205</v>
      </c>
      <c r="G1066" s="327">
        <f t="shared" si="459"/>
        <v>0</v>
      </c>
      <c r="H1066" s="328" t="str">
        <f t="shared" si="479"/>
        <v>X</v>
      </c>
      <c r="I1066" s="325" t="s">
        <v>2750</v>
      </c>
      <c r="J1066" s="329" t="str">
        <f>IF(B1066&lt;&gt;"",+VLOOKUP(I1066,Recursos!C:F,2,FALSE),"")</f>
        <v>Riego para terraplen</v>
      </c>
      <c r="K1066" s="330" t="str">
        <f>IF(B1066&lt;&gt;"",+VLOOKUP(I1066,Recursos!C:F,3,FALSE),"")</f>
        <v>m3</v>
      </c>
      <c r="L1066" s="446">
        <f>IF(B1066&lt;&gt;"",+VLOOKUP(I1066,Recursos!C:F,4,FALSE),"")</f>
        <v>214.40877360073679</v>
      </c>
      <c r="M1066" s="454">
        <f>+N1065</f>
        <v>0.06</v>
      </c>
      <c r="N1066" s="453">
        <v>0.35</v>
      </c>
      <c r="O1066" s="449">
        <f>M1064*M1066*N1066</f>
        <v>2.0999999999999998E-2</v>
      </c>
      <c r="P1066" s="333">
        <f t="shared" si="454"/>
        <v>4.5025842456154725</v>
      </c>
      <c r="Q1066" s="327">
        <f t="shared" si="455"/>
        <v>0</v>
      </c>
      <c r="R1066" s="334">
        <f t="shared" si="456"/>
        <v>0</v>
      </c>
      <c r="S1066" s="335">
        <f t="shared" si="460"/>
        <v>0</v>
      </c>
      <c r="T1066" s="335">
        <f t="shared" si="461"/>
        <v>0</v>
      </c>
      <c r="U1066" s="336">
        <f t="shared" si="462"/>
        <v>0</v>
      </c>
      <c r="V1066" s="336">
        <f t="shared" si="463"/>
        <v>0</v>
      </c>
      <c r="W1066" s="336">
        <f t="shared" si="464"/>
        <v>0</v>
      </c>
      <c r="X1066" s="336">
        <f t="shared" si="465"/>
        <v>132.87103287021205</v>
      </c>
      <c r="Y1066" s="320"/>
      <c r="Z1066" s="321" t="str">
        <f t="shared" si="469"/>
        <v>X-TEA1A</v>
      </c>
      <c r="AA1066" s="321" t="str">
        <f t="shared" si="470"/>
        <v>X-TEA1E</v>
      </c>
      <c r="AB1066" s="321" t="str">
        <f t="shared" si="471"/>
        <v>X-TEA1M</v>
      </c>
      <c r="AC1066" s="321" t="str">
        <f t="shared" si="472"/>
        <v>X-TEA1T</v>
      </c>
      <c r="AD1066" s="321" t="str">
        <f t="shared" si="473"/>
        <v>X-TEA1S</v>
      </c>
      <c r="AE1066" s="321" t="str">
        <f t="shared" si="474"/>
        <v>X-TEA1X</v>
      </c>
      <c r="AF1066" s="321" t="str">
        <f t="shared" si="475"/>
        <v>X-TEA1X</v>
      </c>
      <c r="AG1066" s="321">
        <f t="shared" si="466"/>
        <v>7</v>
      </c>
      <c r="AH1066" s="321">
        <f>IF(B1066&lt;&gt;"",IF(H1066="x",VLOOKUP(I1066,'AUX-NIV3'!B:AG,32,FALSE),0),"")</f>
        <v>3</v>
      </c>
      <c r="AI1066" s="321" t="str">
        <f t="shared" si="476"/>
        <v>X-TEA1</v>
      </c>
      <c r="AJ1066" s="320"/>
      <c r="AK1066" s="322">
        <f t="shared" si="467"/>
        <v>1062</v>
      </c>
      <c r="AL1066" s="323">
        <f t="shared" si="477"/>
        <v>1068</v>
      </c>
      <c r="AM1066" s="322">
        <f t="shared" si="478"/>
        <v>5</v>
      </c>
      <c r="AN1066" s="380">
        <f>IF(AND(AH1066&gt;0,B1066&lt;&gt;""),VLOOKUP(I1066,'AUX-NIV3'!$B:$AO,39,FALSE)*O1066,0)</f>
        <v>3.2812499999999994E-3</v>
      </c>
      <c r="AO1066" s="380">
        <f t="shared" si="468"/>
        <v>6.0986309523809533E-2</v>
      </c>
      <c r="AP1066" s="380"/>
    </row>
    <row r="1067" spans="2:42" ht="14.4" hidden="1" thickTop="1" thickBot="1">
      <c r="B1067" s="324" t="s">
        <v>2911</v>
      </c>
      <c r="C1067" s="325" t="s">
        <v>2912</v>
      </c>
      <c r="D1067" s="326" t="s">
        <v>1386</v>
      </c>
      <c r="E1067" s="327">
        <f>IF(B1067&lt;&gt;"",SUMIF('AUX-NIV1'!I:I,'AUX-NIV2'!B1067,'AUX-NIV1'!Q:Q),"")</f>
        <v>0</v>
      </c>
      <c r="F1067" s="327">
        <f t="shared" si="458"/>
        <v>132.87103287021205</v>
      </c>
      <c r="G1067" s="327">
        <f t="shared" si="459"/>
        <v>0</v>
      </c>
      <c r="H1067" s="328" t="str">
        <f t="shared" si="479"/>
        <v>X</v>
      </c>
      <c r="I1067" s="325" t="s">
        <v>2752</v>
      </c>
      <c r="J1067" s="329" t="str">
        <f>IF(B1067&lt;&gt;"",+VLOOKUP(I1067,Recursos!C:F,2,FALSE),"")</f>
        <v>Homogeinización del Material</v>
      </c>
      <c r="K1067" s="330" t="str">
        <f>IF(B1067&lt;&gt;"",+VLOOKUP(I1067,Recursos!C:F,3,FALSE),"")</f>
        <v>m2</v>
      </c>
      <c r="L1067" s="446">
        <f>IF(B1067&lt;&gt;"",+VLOOKUP(I1067,Recursos!C:F,4,FALSE),"")</f>
        <v>5.3664037605812966</v>
      </c>
      <c r="M1067" s="454">
        <f>+M1062</f>
        <v>1.35</v>
      </c>
      <c r="N1067" s="453">
        <v>0.35</v>
      </c>
      <c r="O1067" s="449">
        <f>+M1067*N1067</f>
        <v>0.47249999999999998</v>
      </c>
      <c r="P1067" s="333">
        <f t="shared" si="454"/>
        <v>2.5356257768746624</v>
      </c>
      <c r="Q1067" s="327">
        <f t="shared" si="455"/>
        <v>0</v>
      </c>
      <c r="R1067" s="334">
        <f t="shared" si="456"/>
        <v>0</v>
      </c>
      <c r="S1067" s="335">
        <f t="shared" si="460"/>
        <v>0</v>
      </c>
      <c r="T1067" s="335">
        <f t="shared" si="461"/>
        <v>0</v>
      </c>
      <c r="U1067" s="336">
        <f t="shared" si="462"/>
        <v>0</v>
      </c>
      <c r="V1067" s="336">
        <f t="shared" si="463"/>
        <v>0</v>
      </c>
      <c r="W1067" s="336">
        <f t="shared" si="464"/>
        <v>0</v>
      </c>
      <c r="X1067" s="336">
        <f t="shared" si="465"/>
        <v>132.87103287021205</v>
      </c>
      <c r="Y1067" s="320"/>
      <c r="Z1067" s="321" t="str">
        <f t="shared" si="469"/>
        <v>X-TEA1A</v>
      </c>
      <c r="AA1067" s="321" t="str">
        <f t="shared" si="470"/>
        <v>X-TEA1E</v>
      </c>
      <c r="AB1067" s="321" t="str">
        <f t="shared" si="471"/>
        <v>X-TEA1M</v>
      </c>
      <c r="AC1067" s="321" t="str">
        <f t="shared" si="472"/>
        <v>X-TEA1T</v>
      </c>
      <c r="AD1067" s="321" t="str">
        <f t="shared" si="473"/>
        <v>X-TEA1S</v>
      </c>
      <c r="AE1067" s="321" t="str">
        <f t="shared" si="474"/>
        <v>X-TEA1X</v>
      </c>
      <c r="AF1067" s="321" t="str">
        <f t="shared" si="475"/>
        <v>X-TEA1X</v>
      </c>
      <c r="AG1067" s="321">
        <f t="shared" si="466"/>
        <v>7</v>
      </c>
      <c r="AH1067" s="321">
        <f>IF(B1067&lt;&gt;"",IF(H1067="x",VLOOKUP(I1067,'AUX-NIV3'!B:AG,32,FALSE),0),"")</f>
        <v>3</v>
      </c>
      <c r="AI1067" s="321" t="str">
        <f t="shared" si="476"/>
        <v>X-TEA1</v>
      </c>
      <c r="AJ1067" s="320"/>
      <c r="AK1067" s="322">
        <f t="shared" si="467"/>
        <v>1062</v>
      </c>
      <c r="AL1067" s="323">
        <f t="shared" si="477"/>
        <v>1068</v>
      </c>
      <c r="AM1067" s="322">
        <f t="shared" si="478"/>
        <v>6</v>
      </c>
      <c r="AN1067" s="380">
        <f>IF(AND(AH1067&gt;0,B1067&lt;&gt;""),VLOOKUP(I1067,'AUX-NIV3'!$B:$AO,39,FALSE)*O1067,0)</f>
        <v>1.18125E-3</v>
      </c>
      <c r="AO1067" s="380">
        <f t="shared" si="468"/>
        <v>6.0986309523809533E-2</v>
      </c>
      <c r="AP1067" s="380"/>
    </row>
    <row r="1068" spans="2:42" ht="14.4" hidden="1" thickTop="1" thickBot="1">
      <c r="B1068" s="324" t="s">
        <v>2911</v>
      </c>
      <c r="C1068" s="325" t="s">
        <v>2912</v>
      </c>
      <c r="D1068" s="326" t="s">
        <v>1386</v>
      </c>
      <c r="E1068" s="327">
        <f>IF(B1068&lt;&gt;"",SUMIF('AUX-NIV1'!I:I,'AUX-NIV2'!B1068,'AUX-NIV1'!Q:Q),"")</f>
        <v>0</v>
      </c>
      <c r="F1068" s="327">
        <f t="shared" si="458"/>
        <v>132.87103287021205</v>
      </c>
      <c r="G1068" s="327">
        <f t="shared" si="459"/>
        <v>0</v>
      </c>
      <c r="H1068" s="328" t="str">
        <f t="shared" si="479"/>
        <v>X</v>
      </c>
      <c r="I1068" s="325" t="s">
        <v>2768</v>
      </c>
      <c r="J1068" s="329" t="str">
        <f>IF(B1068&lt;&gt;"",+VLOOKUP(I1068,Recursos!C:F,2,FALSE),"")</f>
        <v>Compactación de terraplen</v>
      </c>
      <c r="K1068" s="330" t="str">
        <f>IF(B1068&lt;&gt;"",+VLOOKUP(I1068,Recursos!C:F,3,FALSE),"")</f>
        <v>m3c</v>
      </c>
      <c r="L1068" s="446">
        <f>IF(B1068&lt;&gt;"",+VLOOKUP(I1068,Recursos!C:F,4,FALSE),"")</f>
        <v>46.720032694329319</v>
      </c>
      <c r="M1068" s="450">
        <v>0</v>
      </c>
      <c r="N1068" s="451">
        <v>1</v>
      </c>
      <c r="O1068" s="449">
        <f>+M1068</f>
        <v>0</v>
      </c>
      <c r="P1068" s="333">
        <f t="shared" si="454"/>
        <v>0</v>
      </c>
      <c r="Q1068" s="327">
        <f t="shared" si="455"/>
        <v>0</v>
      </c>
      <c r="R1068" s="334">
        <f t="shared" si="456"/>
        <v>0</v>
      </c>
      <c r="S1068" s="335">
        <f t="shared" si="460"/>
        <v>0</v>
      </c>
      <c r="T1068" s="335">
        <f t="shared" si="461"/>
        <v>0</v>
      </c>
      <c r="U1068" s="336">
        <f t="shared" si="462"/>
        <v>0</v>
      </c>
      <c r="V1068" s="336">
        <f t="shared" si="463"/>
        <v>0</v>
      </c>
      <c r="W1068" s="336">
        <f t="shared" si="464"/>
        <v>0</v>
      </c>
      <c r="X1068" s="336">
        <f t="shared" si="465"/>
        <v>132.87103287021205</v>
      </c>
      <c r="Y1068" s="320"/>
      <c r="Z1068" s="321" t="str">
        <f t="shared" si="469"/>
        <v>X-TEA1A</v>
      </c>
      <c r="AA1068" s="321" t="str">
        <f t="shared" si="470"/>
        <v>X-TEA1E</v>
      </c>
      <c r="AB1068" s="321" t="str">
        <f t="shared" si="471"/>
        <v>X-TEA1M</v>
      </c>
      <c r="AC1068" s="321" t="str">
        <f t="shared" si="472"/>
        <v>X-TEA1T</v>
      </c>
      <c r="AD1068" s="321" t="str">
        <f t="shared" si="473"/>
        <v>X-TEA1S</v>
      </c>
      <c r="AE1068" s="321" t="str">
        <f t="shared" si="474"/>
        <v>X-TEA1X</v>
      </c>
      <c r="AF1068" s="321" t="str">
        <f t="shared" si="475"/>
        <v>X-TEA1X</v>
      </c>
      <c r="AG1068" s="321">
        <f t="shared" si="466"/>
        <v>7</v>
      </c>
      <c r="AH1068" s="321">
        <f>IF(B1068&lt;&gt;"",IF(H1068="x",VLOOKUP(I1068,'AUX-NIV3'!B:AG,32,FALSE),0),"")</f>
        <v>6</v>
      </c>
      <c r="AI1068" s="321" t="str">
        <f t="shared" si="476"/>
        <v>X-TEA1</v>
      </c>
      <c r="AJ1068" s="320"/>
      <c r="AK1068" s="322">
        <f t="shared" si="467"/>
        <v>1062</v>
      </c>
      <c r="AL1068" s="323">
        <f t="shared" si="477"/>
        <v>1068</v>
      </c>
      <c r="AM1068" s="322">
        <f t="shared" si="478"/>
        <v>7</v>
      </c>
      <c r="AN1068" s="380">
        <f>IF(AND(AH1068&gt;0,B1068&lt;&gt;""),VLOOKUP(I1068,'AUX-NIV3'!$B:$AO,39,FALSE)*O1068,0)</f>
        <v>0</v>
      </c>
      <c r="AO1068" s="380">
        <f t="shared" si="468"/>
        <v>6.0986309523809533E-2</v>
      </c>
      <c r="AP1068" s="380"/>
    </row>
    <row r="1069" spans="2:42" ht="14.4" hidden="1" thickTop="1" thickBot="1">
      <c r="B1069" s="324" t="s">
        <v>2942</v>
      </c>
      <c r="C1069" s="325" t="s">
        <v>2914</v>
      </c>
      <c r="D1069" s="326" t="s">
        <v>1386</v>
      </c>
      <c r="E1069" s="327">
        <f>IF(B1069&lt;&gt;"",SUMIF('AUX-NIV1'!I:I,'AUX-NIV2'!B1069,'AUX-NIV1'!Q:Q),"")</f>
        <v>0</v>
      </c>
      <c r="F1069" s="327">
        <f t="shared" si="458"/>
        <v>305.63523198067901</v>
      </c>
      <c r="G1069" s="327">
        <f t="shared" si="459"/>
        <v>0</v>
      </c>
      <c r="H1069" s="328" t="str">
        <f t="shared" si="479"/>
        <v>X</v>
      </c>
      <c r="I1069" s="325" t="s">
        <v>2756</v>
      </c>
      <c r="J1069" s="329" t="str">
        <f>IF(B1069&lt;&gt;"",+VLOOKUP(I1069,Recursos!C:F,2,FALSE),"")</f>
        <v>Explotación préstamo con Retro</v>
      </c>
      <c r="K1069" s="330" t="str">
        <f>IF(B1069&lt;&gt;"",+VLOOKUP(I1069,Recursos!C:F,3,FALSE),"")</f>
        <v>m3</v>
      </c>
      <c r="L1069" s="446">
        <f>IF(B1069&lt;&gt;"",+VLOOKUP(I1069,Recursos!C:F,4,FALSE),"")</f>
        <v>62.271140341608451</v>
      </c>
      <c r="M1069" s="447">
        <v>1.2</v>
      </c>
      <c r="N1069" s="448">
        <v>1</v>
      </c>
      <c r="O1069" s="449">
        <f>+M1069</f>
        <v>1.2</v>
      </c>
      <c r="P1069" s="333">
        <f t="shared" si="454"/>
        <v>74.725368409930141</v>
      </c>
      <c r="Q1069" s="327">
        <f t="shared" si="455"/>
        <v>0</v>
      </c>
      <c r="R1069" s="334">
        <f t="shared" si="456"/>
        <v>0</v>
      </c>
      <c r="S1069" s="335">
        <f t="shared" si="460"/>
        <v>0</v>
      </c>
      <c r="T1069" s="335">
        <f t="shared" si="461"/>
        <v>0</v>
      </c>
      <c r="U1069" s="336">
        <f t="shared" si="462"/>
        <v>0</v>
      </c>
      <c r="V1069" s="336">
        <f t="shared" si="463"/>
        <v>0</v>
      </c>
      <c r="W1069" s="336">
        <f t="shared" si="464"/>
        <v>0</v>
      </c>
      <c r="X1069" s="336">
        <f t="shared" si="465"/>
        <v>305.63523198067901</v>
      </c>
      <c r="Y1069" s="320"/>
      <c r="Z1069" s="321" t="str">
        <f t="shared" si="469"/>
        <v>X-TERSCA</v>
      </c>
      <c r="AA1069" s="321" t="str">
        <f t="shared" si="470"/>
        <v>X-TERSCE</v>
      </c>
      <c r="AB1069" s="321" t="str">
        <f t="shared" si="471"/>
        <v>X-TERSCM</v>
      </c>
      <c r="AC1069" s="321" t="str">
        <f t="shared" si="472"/>
        <v>X-TERSCT</v>
      </c>
      <c r="AD1069" s="321" t="str">
        <f t="shared" si="473"/>
        <v>X-TERSCS</v>
      </c>
      <c r="AE1069" s="321" t="str">
        <f t="shared" si="474"/>
        <v>X-TERSCX</v>
      </c>
      <c r="AF1069" s="321" t="str">
        <f t="shared" si="475"/>
        <v>X-TERSCX</v>
      </c>
      <c r="AG1069" s="321">
        <f t="shared" si="466"/>
        <v>8</v>
      </c>
      <c r="AH1069" s="321">
        <f>IF(B1069&lt;&gt;"",IF(H1069="x",VLOOKUP(I1069,'AUX-NIV3'!B:AG,32,FALSE),0),"")</f>
        <v>4</v>
      </c>
      <c r="AI1069" s="321" t="str">
        <f t="shared" si="476"/>
        <v>X-TERSC</v>
      </c>
      <c r="AJ1069" s="320"/>
      <c r="AK1069" s="322">
        <f t="shared" si="467"/>
        <v>1069</v>
      </c>
      <c r="AL1069" s="323">
        <f t="shared" si="477"/>
        <v>1076</v>
      </c>
      <c r="AM1069" s="322">
        <f t="shared" si="478"/>
        <v>1</v>
      </c>
      <c r="AN1069" s="380">
        <f>IF(AND(AH1069&gt;0,B1069&lt;&gt;""),VLOOKUP(I1069,'AUX-NIV3'!$B:$AO,39,FALSE)*O1069,0)</f>
        <v>4.8000000000000001E-2</v>
      </c>
      <c r="AO1069" s="380">
        <f t="shared" si="468"/>
        <v>0.12850094954648525</v>
      </c>
      <c r="AP1069" s="380"/>
    </row>
    <row r="1070" spans="2:42" ht="14.4" hidden="1" thickTop="1" thickBot="1">
      <c r="B1070" s="324" t="s">
        <v>2942</v>
      </c>
      <c r="C1070" s="325" t="s">
        <v>2914</v>
      </c>
      <c r="D1070" s="326" t="s">
        <v>1386</v>
      </c>
      <c r="E1070" s="327">
        <f>IF(B1070&lt;&gt;"",SUMIF('AUX-NIV1'!I:I,'AUX-NIV2'!B1070,'AUX-NIV1'!Q:Q),"")</f>
        <v>0</v>
      </c>
      <c r="F1070" s="327">
        <f t="shared" si="458"/>
        <v>305.63523198067901</v>
      </c>
      <c r="G1070" s="327">
        <f t="shared" si="459"/>
        <v>0</v>
      </c>
      <c r="H1070" s="328" t="str">
        <f t="shared" si="479"/>
        <v>X</v>
      </c>
      <c r="I1070" s="325" t="s">
        <v>2758</v>
      </c>
      <c r="J1070" s="329" t="str">
        <f>IF(B1070&lt;&gt;"",+VLOOKUP(I1070,Recursos!C:F,2,FALSE),"")</f>
        <v>Transporte de Suelo DMT 5 km</v>
      </c>
      <c r="K1070" s="330" t="str">
        <f>IF(B1070&lt;&gt;"",+VLOOKUP(I1070,Recursos!C:F,3,FALSE),"")</f>
        <v>m3s.km</v>
      </c>
      <c r="L1070" s="446">
        <f>IF(B1070&lt;&gt;"",+VLOOKUP(I1070,Recursos!C:F,4,FALSE),"")</f>
        <v>25.080438599876832</v>
      </c>
      <c r="M1070" s="454">
        <f>+M1069</f>
        <v>1.2</v>
      </c>
      <c r="N1070" s="508"/>
      <c r="O1070" s="449">
        <f>+M1072*M1075</f>
        <v>7.25</v>
      </c>
      <c r="P1070" s="333">
        <f t="shared" si="454"/>
        <v>181.83317984910704</v>
      </c>
      <c r="Q1070" s="327">
        <f t="shared" si="455"/>
        <v>0</v>
      </c>
      <c r="R1070" s="334">
        <f t="shared" si="456"/>
        <v>0</v>
      </c>
      <c r="S1070" s="335">
        <f t="shared" si="460"/>
        <v>0</v>
      </c>
      <c r="T1070" s="335">
        <f t="shared" si="461"/>
        <v>0</v>
      </c>
      <c r="U1070" s="336">
        <f t="shared" si="462"/>
        <v>0</v>
      </c>
      <c r="V1070" s="336">
        <f t="shared" si="463"/>
        <v>0</v>
      </c>
      <c r="W1070" s="336">
        <f t="shared" si="464"/>
        <v>0</v>
      </c>
      <c r="X1070" s="336">
        <f t="shared" si="465"/>
        <v>305.63523198067901</v>
      </c>
      <c r="Y1070" s="320"/>
      <c r="Z1070" s="321" t="str">
        <f t="shared" si="469"/>
        <v>X-TERSCA</v>
      </c>
      <c r="AA1070" s="321" t="str">
        <f t="shared" si="470"/>
        <v>X-TERSCE</v>
      </c>
      <c r="AB1070" s="321" t="str">
        <f t="shared" si="471"/>
        <v>X-TERSCM</v>
      </c>
      <c r="AC1070" s="321" t="str">
        <f t="shared" si="472"/>
        <v>X-TERSCT</v>
      </c>
      <c r="AD1070" s="321" t="str">
        <f t="shared" si="473"/>
        <v>X-TERSCS</v>
      </c>
      <c r="AE1070" s="321" t="str">
        <f t="shared" si="474"/>
        <v>X-TERSCX</v>
      </c>
      <c r="AF1070" s="321" t="str">
        <f t="shared" si="475"/>
        <v>X-TERSCX</v>
      </c>
      <c r="AG1070" s="321">
        <f t="shared" si="466"/>
        <v>8</v>
      </c>
      <c r="AH1070" s="321">
        <f>IF(B1070&lt;&gt;"",IF(H1070="x",VLOOKUP(I1070,'AUX-NIV3'!B:AG,32,FALSE),0),"")</f>
        <v>2</v>
      </c>
      <c r="AI1070" s="321" t="str">
        <f t="shared" si="476"/>
        <v>X-TERSC</v>
      </c>
      <c r="AJ1070" s="320"/>
      <c r="AK1070" s="322">
        <f t="shared" si="467"/>
        <v>1069</v>
      </c>
      <c r="AL1070" s="323">
        <f t="shared" si="477"/>
        <v>1076</v>
      </c>
      <c r="AM1070" s="322">
        <f t="shared" si="478"/>
        <v>2</v>
      </c>
      <c r="AN1070" s="380">
        <f>IF(AND(AH1070&gt;0,B1070&lt;&gt;""),VLOOKUP(I1070,'AUX-NIV3'!$B:$AO,39,FALSE)*O1070,0)</f>
        <v>5.7478032879818591E-2</v>
      </c>
      <c r="AO1070" s="380">
        <f t="shared" si="468"/>
        <v>0.12850094954648525</v>
      </c>
      <c r="AP1070" s="380"/>
    </row>
    <row r="1071" spans="2:42" ht="14.4" hidden="1" thickTop="1" thickBot="1">
      <c r="B1071" s="324" t="s">
        <v>2942</v>
      </c>
      <c r="C1071" s="325" t="s">
        <v>2914</v>
      </c>
      <c r="D1071" s="326" t="s">
        <v>1386</v>
      </c>
      <c r="E1071" s="327">
        <f>IF(B1071&lt;&gt;"",SUMIF('AUX-NIV1'!I:I,'AUX-NIV2'!B1071,'AUX-NIV1'!Q:Q),"")</f>
        <v>0</v>
      </c>
      <c r="F1071" s="327">
        <f t="shared" si="458"/>
        <v>305.63523198067901</v>
      </c>
      <c r="G1071" s="327">
        <f t="shared" si="459"/>
        <v>0</v>
      </c>
      <c r="H1071" s="328" t="str">
        <f t="shared" si="479"/>
        <v>X</v>
      </c>
      <c r="I1071" s="325" t="s">
        <v>2764</v>
      </c>
      <c r="J1071" s="329" t="str">
        <f>IF(B1071&lt;&gt;"",+VLOOKUP(I1071,Recursos!C:F,2,FALSE),"")</f>
        <v>Distribución de material terraplén</v>
      </c>
      <c r="K1071" s="330" t="str">
        <f>IF(B1071&lt;&gt;"",+VLOOKUP(I1071,Recursos!C:F,3,FALSE),"")</f>
        <v>m3s</v>
      </c>
      <c r="L1071" s="446">
        <f>IF(B1071&lt;&gt;"",+VLOOKUP(I1071,Recursos!C:F,4,FALSE),"")</f>
        <v>17.888012535270992</v>
      </c>
      <c r="M1071" s="454">
        <f>+M1075</f>
        <v>1.45</v>
      </c>
      <c r="N1071" s="453">
        <v>1</v>
      </c>
      <c r="O1071" s="449">
        <f>+M1071</f>
        <v>1.45</v>
      </c>
      <c r="P1071" s="333">
        <f t="shared" si="454"/>
        <v>25.937618176142937</v>
      </c>
      <c r="Q1071" s="327">
        <f t="shared" si="455"/>
        <v>0</v>
      </c>
      <c r="R1071" s="334">
        <f t="shared" si="456"/>
        <v>0</v>
      </c>
      <c r="S1071" s="335">
        <f t="shared" si="460"/>
        <v>0</v>
      </c>
      <c r="T1071" s="335">
        <f t="shared" si="461"/>
        <v>0</v>
      </c>
      <c r="U1071" s="336">
        <f t="shared" si="462"/>
        <v>0</v>
      </c>
      <c r="V1071" s="336">
        <f t="shared" si="463"/>
        <v>0</v>
      </c>
      <c r="W1071" s="336">
        <f t="shared" si="464"/>
        <v>0</v>
      </c>
      <c r="X1071" s="336">
        <f t="shared" si="465"/>
        <v>305.63523198067901</v>
      </c>
      <c r="Y1071" s="320"/>
      <c r="Z1071" s="321" t="str">
        <f t="shared" si="469"/>
        <v>X-TERSCA</v>
      </c>
      <c r="AA1071" s="321" t="str">
        <f t="shared" si="470"/>
        <v>X-TERSCE</v>
      </c>
      <c r="AB1071" s="321" t="str">
        <f t="shared" si="471"/>
        <v>X-TERSCM</v>
      </c>
      <c r="AC1071" s="321" t="str">
        <f t="shared" si="472"/>
        <v>X-TERSCT</v>
      </c>
      <c r="AD1071" s="321" t="str">
        <f t="shared" si="473"/>
        <v>X-TERSCS</v>
      </c>
      <c r="AE1071" s="321" t="str">
        <f t="shared" si="474"/>
        <v>X-TERSCX</v>
      </c>
      <c r="AF1071" s="321" t="str">
        <f t="shared" si="475"/>
        <v>X-TERSCX</v>
      </c>
      <c r="AG1071" s="321">
        <f t="shared" si="466"/>
        <v>8</v>
      </c>
      <c r="AH1071" s="321">
        <f>IF(B1071&lt;&gt;"",IF(H1071="x",VLOOKUP(I1071,'AUX-NIV3'!B:AG,32,FALSE),0),"")</f>
        <v>3</v>
      </c>
      <c r="AI1071" s="321" t="str">
        <f t="shared" si="476"/>
        <v>X-TERSC</v>
      </c>
      <c r="AJ1071" s="320"/>
      <c r="AK1071" s="322">
        <f t="shared" si="467"/>
        <v>1069</v>
      </c>
      <c r="AL1071" s="323">
        <f t="shared" si="477"/>
        <v>1076</v>
      </c>
      <c r="AM1071" s="322">
        <f t="shared" si="478"/>
        <v>3</v>
      </c>
      <c r="AN1071" s="380">
        <f>IF(AND(AH1071&gt;0,B1071&lt;&gt;""),VLOOKUP(I1071,'AUX-NIV3'!$B:$AO,39,FALSE)*O1071,0)</f>
        <v>1.2083333333333333E-2</v>
      </c>
      <c r="AO1071" s="380">
        <f t="shared" si="468"/>
        <v>0.12850094954648525</v>
      </c>
      <c r="AP1071" s="380"/>
    </row>
    <row r="1072" spans="2:42" ht="14.4" hidden="1" thickTop="1" thickBot="1">
      <c r="B1072" s="324" t="s">
        <v>2942</v>
      </c>
      <c r="C1072" s="325" t="s">
        <v>2914</v>
      </c>
      <c r="D1072" s="326" t="s">
        <v>1386</v>
      </c>
      <c r="E1072" s="327">
        <f>IF(B1072&lt;&gt;"",SUMIF('AUX-NIV1'!I:I,'AUX-NIV2'!B1072,'AUX-NIV1'!Q:Q),"")</f>
        <v>0</v>
      </c>
      <c r="F1072" s="327">
        <f t="shared" si="458"/>
        <v>305.63523198067901</v>
      </c>
      <c r="G1072" s="327">
        <f t="shared" si="459"/>
        <v>0</v>
      </c>
      <c r="H1072" s="328" t="str">
        <f t="shared" si="479"/>
        <v>X</v>
      </c>
      <c r="I1072" s="325" t="s">
        <v>2746</v>
      </c>
      <c r="J1072" s="329" t="str">
        <f>IF(B1072&lt;&gt;"",+VLOOKUP(I1072,Recursos!C:F,2,FALSE),"")</f>
        <v>Obtención de Agua para Riego</v>
      </c>
      <c r="K1072" s="330" t="str">
        <f>IF(B1072&lt;&gt;"",+VLOOKUP(I1072,Recursos!C:F,3,FALSE),"")</f>
        <v>m3</v>
      </c>
      <c r="L1072" s="446">
        <f>IF(B1072&lt;&gt;"",+VLOOKUP(I1072,Recursos!C:F,4,FALSE),"")</f>
        <v>148.35029836815718</v>
      </c>
      <c r="M1072" s="452">
        <v>5</v>
      </c>
      <c r="N1072" s="453">
        <v>0.06</v>
      </c>
      <c r="O1072" s="449">
        <f>+N1071*N1072*N1073</f>
        <v>2.0999999999999998E-2</v>
      </c>
      <c r="P1072" s="333">
        <f t="shared" si="454"/>
        <v>3.1153562657313003</v>
      </c>
      <c r="Q1072" s="327">
        <f t="shared" si="455"/>
        <v>0</v>
      </c>
      <c r="R1072" s="334">
        <f t="shared" si="456"/>
        <v>0</v>
      </c>
      <c r="S1072" s="335">
        <f t="shared" si="460"/>
        <v>0</v>
      </c>
      <c r="T1072" s="335">
        <f t="shared" si="461"/>
        <v>0</v>
      </c>
      <c r="U1072" s="336">
        <f t="shared" si="462"/>
        <v>0</v>
      </c>
      <c r="V1072" s="336">
        <f t="shared" si="463"/>
        <v>0</v>
      </c>
      <c r="W1072" s="336">
        <f t="shared" si="464"/>
        <v>0</v>
      </c>
      <c r="X1072" s="336">
        <f t="shared" si="465"/>
        <v>305.63523198067901</v>
      </c>
      <c r="Y1072" s="320"/>
      <c r="Z1072" s="321" t="str">
        <f t="shared" si="469"/>
        <v>X-TERSCA</v>
      </c>
      <c r="AA1072" s="321" t="str">
        <f t="shared" si="470"/>
        <v>X-TERSCE</v>
      </c>
      <c r="AB1072" s="321" t="str">
        <f t="shared" si="471"/>
        <v>X-TERSCM</v>
      </c>
      <c r="AC1072" s="321" t="str">
        <f t="shared" si="472"/>
        <v>X-TERSCT</v>
      </c>
      <c r="AD1072" s="321" t="str">
        <f t="shared" si="473"/>
        <v>X-TERSCS</v>
      </c>
      <c r="AE1072" s="321" t="str">
        <f t="shared" si="474"/>
        <v>X-TERSCX</v>
      </c>
      <c r="AF1072" s="321" t="str">
        <f t="shared" si="475"/>
        <v>X-TERSCX</v>
      </c>
      <c r="AG1072" s="321">
        <f t="shared" si="466"/>
        <v>8</v>
      </c>
      <c r="AH1072" s="321">
        <f>IF(B1072&lt;&gt;"",IF(H1072="x",VLOOKUP(I1072,'AUX-NIV3'!B:AG,32,FALSE),0),"")</f>
        <v>5</v>
      </c>
      <c r="AI1072" s="321" t="str">
        <f t="shared" si="476"/>
        <v>X-TERSC</v>
      </c>
      <c r="AJ1072" s="320"/>
      <c r="AK1072" s="322">
        <f t="shared" si="467"/>
        <v>1069</v>
      </c>
      <c r="AL1072" s="323">
        <f t="shared" si="477"/>
        <v>1076</v>
      </c>
      <c r="AM1072" s="322">
        <f t="shared" si="478"/>
        <v>4</v>
      </c>
      <c r="AN1072" s="380">
        <f>IF(AND(AH1072&gt;0,B1072&lt;&gt;""),VLOOKUP(I1072,'AUX-NIV3'!$B:$AO,39,FALSE)*O1072,0)</f>
        <v>6.9999999999999988E-4</v>
      </c>
      <c r="AO1072" s="380">
        <f t="shared" si="468"/>
        <v>0.12850094954648525</v>
      </c>
      <c r="AP1072" s="380"/>
    </row>
    <row r="1073" spans="2:42" ht="14.4" hidden="1" thickTop="1" thickBot="1">
      <c r="B1073" s="324" t="s">
        <v>2942</v>
      </c>
      <c r="C1073" s="325" t="s">
        <v>2914</v>
      </c>
      <c r="D1073" s="326" t="s">
        <v>1386</v>
      </c>
      <c r="E1073" s="327">
        <f>IF(B1073&lt;&gt;"",SUMIF('AUX-NIV1'!I:I,'AUX-NIV2'!B1073,'AUX-NIV1'!Q:Q),"")</f>
        <v>0</v>
      </c>
      <c r="F1073" s="327">
        <f t="shared" si="458"/>
        <v>305.63523198067901</v>
      </c>
      <c r="G1073" s="327">
        <f t="shared" si="459"/>
        <v>0</v>
      </c>
      <c r="H1073" s="328" t="str">
        <f t="shared" si="479"/>
        <v>X</v>
      </c>
      <c r="I1073" s="325" t="s">
        <v>2748</v>
      </c>
      <c r="J1073" s="329" t="str">
        <f>IF(B1073&lt;&gt;"",+VLOOKUP(I1073,Recursos!C:F,2,FALSE),"")</f>
        <v>Transporte de Agua para riego</v>
      </c>
      <c r="K1073" s="330" t="str">
        <f>IF(B1073&lt;&gt;"",+VLOOKUP(I1073,Recursos!C:F,3,FALSE),"")</f>
        <v>m3</v>
      </c>
      <c r="L1073" s="446">
        <f>IF(B1073&lt;&gt;"",+VLOOKUP(I1073,Recursos!C:F,4,FALSE),"")</f>
        <v>368.5637895861521</v>
      </c>
      <c r="M1073" s="454">
        <f>+N1072</f>
        <v>0.06</v>
      </c>
      <c r="N1073" s="453">
        <v>0.35</v>
      </c>
      <c r="O1073" s="449">
        <f>+N1071*N1072*N1073</f>
        <v>2.0999999999999998E-2</v>
      </c>
      <c r="P1073" s="333">
        <f t="shared" si="454"/>
        <v>7.7398395813091936</v>
      </c>
      <c r="Q1073" s="327">
        <f t="shared" si="455"/>
        <v>0</v>
      </c>
      <c r="R1073" s="334">
        <f t="shared" si="456"/>
        <v>0</v>
      </c>
      <c r="S1073" s="335">
        <f t="shared" si="460"/>
        <v>0</v>
      </c>
      <c r="T1073" s="335">
        <f t="shared" si="461"/>
        <v>0</v>
      </c>
      <c r="U1073" s="336">
        <f t="shared" si="462"/>
        <v>0</v>
      </c>
      <c r="V1073" s="336">
        <f t="shared" si="463"/>
        <v>0</v>
      </c>
      <c r="W1073" s="336">
        <f t="shared" si="464"/>
        <v>0</v>
      </c>
      <c r="X1073" s="336">
        <f t="shared" si="465"/>
        <v>305.63523198067901</v>
      </c>
      <c r="Y1073" s="320"/>
      <c r="Z1073" s="321" t="str">
        <f t="shared" si="469"/>
        <v>X-TERSCA</v>
      </c>
      <c r="AA1073" s="321" t="str">
        <f t="shared" si="470"/>
        <v>X-TERSCE</v>
      </c>
      <c r="AB1073" s="321" t="str">
        <f t="shared" si="471"/>
        <v>X-TERSCM</v>
      </c>
      <c r="AC1073" s="321" t="str">
        <f t="shared" si="472"/>
        <v>X-TERSCT</v>
      </c>
      <c r="AD1073" s="321" t="str">
        <f t="shared" si="473"/>
        <v>X-TERSCS</v>
      </c>
      <c r="AE1073" s="321" t="str">
        <f t="shared" si="474"/>
        <v>X-TERSCX</v>
      </c>
      <c r="AF1073" s="321" t="str">
        <f t="shared" si="475"/>
        <v>X-TERSCX</v>
      </c>
      <c r="AG1073" s="321">
        <f t="shared" si="466"/>
        <v>8</v>
      </c>
      <c r="AH1073" s="321">
        <f>IF(B1073&lt;&gt;"",IF(H1073="x",VLOOKUP(I1073,'AUX-NIV3'!B:AG,32,FALSE),0),"")</f>
        <v>2</v>
      </c>
      <c r="AI1073" s="321" t="str">
        <f t="shared" si="476"/>
        <v>X-TERSC</v>
      </c>
      <c r="AJ1073" s="320"/>
      <c r="AK1073" s="322">
        <f t="shared" si="467"/>
        <v>1069</v>
      </c>
      <c r="AL1073" s="323">
        <f t="shared" si="477"/>
        <v>1076</v>
      </c>
      <c r="AM1073" s="322">
        <f t="shared" si="478"/>
        <v>5</v>
      </c>
      <c r="AN1073" s="380">
        <f>IF(AND(AH1073&gt;0,B1073&lt;&gt;""),VLOOKUP(I1073,'AUX-NIV3'!$B:$AO,39,FALSE)*O1073,0)</f>
        <v>3.3333333333333327E-3</v>
      </c>
      <c r="AO1073" s="380">
        <f t="shared" si="468"/>
        <v>0.12850094954648525</v>
      </c>
      <c r="AP1073" s="380"/>
    </row>
    <row r="1074" spans="2:42" ht="14.4" hidden="1" thickTop="1" thickBot="1">
      <c r="B1074" s="324" t="s">
        <v>2942</v>
      </c>
      <c r="C1074" s="325" t="s">
        <v>2914</v>
      </c>
      <c r="D1074" s="326" t="s">
        <v>1386</v>
      </c>
      <c r="E1074" s="327">
        <f>IF(B1074&lt;&gt;"",SUMIF('AUX-NIV1'!I:I,'AUX-NIV2'!B1074,'AUX-NIV1'!Q:Q),"")</f>
        <v>0</v>
      </c>
      <c r="F1074" s="327">
        <f t="shared" si="458"/>
        <v>305.63523198067901</v>
      </c>
      <c r="G1074" s="327">
        <f t="shared" si="459"/>
        <v>0</v>
      </c>
      <c r="H1074" s="328" t="str">
        <f t="shared" si="479"/>
        <v>X</v>
      </c>
      <c r="I1074" s="325" t="s">
        <v>2750</v>
      </c>
      <c r="J1074" s="329" t="str">
        <f>IF(B1074&lt;&gt;"",+VLOOKUP(I1074,Recursos!C:F,2,FALSE),"")</f>
        <v>Riego para terraplen</v>
      </c>
      <c r="K1074" s="330" t="str">
        <f>IF(B1074&lt;&gt;"",+VLOOKUP(I1074,Recursos!C:F,3,FALSE),"")</f>
        <v>m3</v>
      </c>
      <c r="L1074" s="446">
        <f>IF(B1074&lt;&gt;"",+VLOOKUP(I1074,Recursos!C:F,4,FALSE),"")</f>
        <v>214.40877360073679</v>
      </c>
      <c r="M1074" s="454">
        <f>+M1069</f>
        <v>1.2</v>
      </c>
      <c r="N1074" s="453">
        <v>0.35</v>
      </c>
      <c r="O1074" s="449">
        <f>+N1071*N1072*N1074</f>
        <v>2.0999999999999998E-2</v>
      </c>
      <c r="P1074" s="333">
        <f t="shared" si="454"/>
        <v>4.5025842456154725</v>
      </c>
      <c r="Q1074" s="327">
        <f t="shared" si="455"/>
        <v>0</v>
      </c>
      <c r="R1074" s="334">
        <f t="shared" si="456"/>
        <v>0</v>
      </c>
      <c r="S1074" s="335">
        <f t="shared" si="460"/>
        <v>0</v>
      </c>
      <c r="T1074" s="335">
        <f t="shared" si="461"/>
        <v>0</v>
      </c>
      <c r="U1074" s="336">
        <f t="shared" si="462"/>
        <v>0</v>
      </c>
      <c r="V1074" s="336">
        <f t="shared" si="463"/>
        <v>0</v>
      </c>
      <c r="W1074" s="336">
        <f t="shared" si="464"/>
        <v>0</v>
      </c>
      <c r="X1074" s="336">
        <f t="shared" si="465"/>
        <v>305.63523198067901</v>
      </c>
      <c r="Y1074" s="320"/>
      <c r="Z1074" s="321" t="str">
        <f t="shared" si="469"/>
        <v>X-TERSCA</v>
      </c>
      <c r="AA1074" s="321" t="str">
        <f t="shared" si="470"/>
        <v>X-TERSCE</v>
      </c>
      <c r="AB1074" s="321" t="str">
        <f t="shared" si="471"/>
        <v>X-TERSCM</v>
      </c>
      <c r="AC1074" s="321" t="str">
        <f t="shared" si="472"/>
        <v>X-TERSCT</v>
      </c>
      <c r="AD1074" s="321" t="str">
        <f t="shared" si="473"/>
        <v>X-TERSCS</v>
      </c>
      <c r="AE1074" s="321" t="str">
        <f t="shared" si="474"/>
        <v>X-TERSCX</v>
      </c>
      <c r="AF1074" s="321" t="str">
        <f t="shared" si="475"/>
        <v>X-TERSCX</v>
      </c>
      <c r="AG1074" s="321">
        <f t="shared" si="466"/>
        <v>8</v>
      </c>
      <c r="AH1074" s="321">
        <f>IF(B1074&lt;&gt;"",IF(H1074="x",VLOOKUP(I1074,'AUX-NIV3'!B:AG,32,FALSE),0),"")</f>
        <v>3</v>
      </c>
      <c r="AI1074" s="321" t="str">
        <f t="shared" si="476"/>
        <v>X-TERSC</v>
      </c>
      <c r="AJ1074" s="320"/>
      <c r="AK1074" s="322">
        <f t="shared" si="467"/>
        <v>1069</v>
      </c>
      <c r="AL1074" s="323">
        <f t="shared" si="477"/>
        <v>1076</v>
      </c>
      <c r="AM1074" s="322">
        <f t="shared" si="478"/>
        <v>6</v>
      </c>
      <c r="AN1074" s="380">
        <f>IF(AND(AH1074&gt;0,B1074&lt;&gt;""),VLOOKUP(I1074,'AUX-NIV3'!$B:$AO,39,FALSE)*O1074,0)</f>
        <v>3.2812499999999994E-3</v>
      </c>
      <c r="AO1074" s="380">
        <f t="shared" si="468"/>
        <v>0.12850094954648525</v>
      </c>
      <c r="AP1074" s="380"/>
    </row>
    <row r="1075" spans="2:42" ht="14.4" hidden="1" thickTop="1" thickBot="1">
      <c r="B1075" s="324" t="s">
        <v>2942</v>
      </c>
      <c r="C1075" s="325" t="s">
        <v>2914</v>
      </c>
      <c r="D1075" s="326" t="s">
        <v>1386</v>
      </c>
      <c r="E1075" s="327">
        <f>IF(B1075&lt;&gt;"",SUMIF('AUX-NIV1'!I:I,'AUX-NIV2'!B1075,'AUX-NIV1'!Q:Q),"")</f>
        <v>0</v>
      </c>
      <c r="F1075" s="327">
        <f t="shared" si="458"/>
        <v>305.63523198067901</v>
      </c>
      <c r="G1075" s="327">
        <f t="shared" si="459"/>
        <v>0</v>
      </c>
      <c r="H1075" s="328" t="str">
        <f t="shared" si="479"/>
        <v>X</v>
      </c>
      <c r="I1075" s="325" t="s">
        <v>2752</v>
      </c>
      <c r="J1075" s="329" t="str">
        <f>IF(B1075&lt;&gt;"",+VLOOKUP(I1075,Recursos!C:F,2,FALSE),"")</f>
        <v>Homogeinización del Material</v>
      </c>
      <c r="K1075" s="330" t="str">
        <f>IF(B1075&lt;&gt;"",+VLOOKUP(I1075,Recursos!C:F,3,FALSE),"")</f>
        <v>m2</v>
      </c>
      <c r="L1075" s="446">
        <f>IF(B1075&lt;&gt;"",+VLOOKUP(I1075,Recursos!C:F,4,FALSE),"")</f>
        <v>5.3664037605812966</v>
      </c>
      <c r="M1075" s="452">
        <v>1.45</v>
      </c>
      <c r="N1075" s="453">
        <v>1</v>
      </c>
      <c r="O1075" s="449">
        <f>+M1075</f>
        <v>1.45</v>
      </c>
      <c r="P1075" s="333">
        <f t="shared" si="454"/>
        <v>7.7812854528428801</v>
      </c>
      <c r="Q1075" s="327">
        <f t="shared" si="455"/>
        <v>0</v>
      </c>
      <c r="R1075" s="334">
        <f t="shared" si="456"/>
        <v>0</v>
      </c>
      <c r="S1075" s="335">
        <f t="shared" si="460"/>
        <v>0</v>
      </c>
      <c r="T1075" s="335">
        <f t="shared" si="461"/>
        <v>0</v>
      </c>
      <c r="U1075" s="336">
        <f t="shared" si="462"/>
        <v>0</v>
      </c>
      <c r="V1075" s="336">
        <f t="shared" si="463"/>
        <v>0</v>
      </c>
      <c r="W1075" s="336">
        <f t="shared" si="464"/>
        <v>0</v>
      </c>
      <c r="X1075" s="336">
        <f t="shared" si="465"/>
        <v>305.63523198067901</v>
      </c>
      <c r="Y1075" s="320"/>
      <c r="Z1075" s="321" t="str">
        <f t="shared" si="469"/>
        <v>X-TERSCA</v>
      </c>
      <c r="AA1075" s="321" t="str">
        <f t="shared" si="470"/>
        <v>X-TERSCE</v>
      </c>
      <c r="AB1075" s="321" t="str">
        <f t="shared" si="471"/>
        <v>X-TERSCM</v>
      </c>
      <c r="AC1075" s="321" t="str">
        <f t="shared" si="472"/>
        <v>X-TERSCT</v>
      </c>
      <c r="AD1075" s="321" t="str">
        <f t="shared" si="473"/>
        <v>X-TERSCS</v>
      </c>
      <c r="AE1075" s="321" t="str">
        <f t="shared" si="474"/>
        <v>X-TERSCX</v>
      </c>
      <c r="AF1075" s="321" t="str">
        <f t="shared" si="475"/>
        <v>X-TERSCX</v>
      </c>
      <c r="AG1075" s="321">
        <f t="shared" si="466"/>
        <v>8</v>
      </c>
      <c r="AH1075" s="321">
        <f>IF(B1075&lt;&gt;"",IF(H1075="x",VLOOKUP(I1075,'AUX-NIV3'!B:AG,32,FALSE),0),"")</f>
        <v>3</v>
      </c>
      <c r="AI1075" s="321" t="str">
        <f t="shared" si="476"/>
        <v>X-TERSC</v>
      </c>
      <c r="AJ1075" s="320"/>
      <c r="AK1075" s="322">
        <f t="shared" si="467"/>
        <v>1069</v>
      </c>
      <c r="AL1075" s="323">
        <f t="shared" si="477"/>
        <v>1076</v>
      </c>
      <c r="AM1075" s="322">
        <f t="shared" si="478"/>
        <v>7</v>
      </c>
      <c r="AN1075" s="380">
        <f>IF(AND(AH1075&gt;0,B1075&lt;&gt;""),VLOOKUP(I1075,'AUX-NIV3'!$B:$AO,39,FALSE)*O1075,0)</f>
        <v>3.6249999999999998E-3</v>
      </c>
      <c r="AO1075" s="380">
        <f t="shared" si="468"/>
        <v>0.12850094954648525</v>
      </c>
      <c r="AP1075" s="380"/>
    </row>
    <row r="1076" spans="2:42" ht="14.4" hidden="1" thickTop="1" thickBot="1">
      <c r="B1076" s="324" t="s">
        <v>2942</v>
      </c>
      <c r="C1076" s="325" t="s">
        <v>2914</v>
      </c>
      <c r="D1076" s="326" t="s">
        <v>1386</v>
      </c>
      <c r="E1076" s="327">
        <f>IF(B1076&lt;&gt;"",SUMIF('AUX-NIV1'!I:I,'AUX-NIV2'!B1076,'AUX-NIV1'!Q:Q),"")</f>
        <v>0</v>
      </c>
      <c r="F1076" s="327">
        <f t="shared" si="458"/>
        <v>305.63523198067901</v>
      </c>
      <c r="G1076" s="327">
        <f t="shared" si="459"/>
        <v>0</v>
      </c>
      <c r="H1076" s="328" t="str">
        <f t="shared" si="479"/>
        <v>X</v>
      </c>
      <c r="I1076" s="325" t="s">
        <v>2768</v>
      </c>
      <c r="J1076" s="329" t="str">
        <f>IF(B1076&lt;&gt;"",+VLOOKUP(I1076,Recursos!C:F,2,FALSE),"")</f>
        <v>Compactación de terraplen</v>
      </c>
      <c r="K1076" s="330" t="str">
        <f>IF(B1076&lt;&gt;"",+VLOOKUP(I1076,Recursos!C:F,3,FALSE),"")</f>
        <v>m3c</v>
      </c>
      <c r="L1076" s="446">
        <f>IF(B1076&lt;&gt;"",+VLOOKUP(I1076,Recursos!C:F,4,FALSE),"")</f>
        <v>46.720032694329319</v>
      </c>
      <c r="M1076" s="450">
        <v>0</v>
      </c>
      <c r="N1076" s="451">
        <v>1</v>
      </c>
      <c r="O1076" s="449">
        <f>+M1076</f>
        <v>0</v>
      </c>
      <c r="P1076" s="333">
        <f t="shared" si="454"/>
        <v>0</v>
      </c>
      <c r="Q1076" s="327">
        <f t="shared" si="455"/>
        <v>0</v>
      </c>
      <c r="R1076" s="334">
        <f t="shared" si="456"/>
        <v>0</v>
      </c>
      <c r="S1076" s="335">
        <f t="shared" si="460"/>
        <v>0</v>
      </c>
      <c r="T1076" s="335">
        <f t="shared" si="461"/>
        <v>0</v>
      </c>
      <c r="U1076" s="336">
        <f t="shared" si="462"/>
        <v>0</v>
      </c>
      <c r="V1076" s="336">
        <f t="shared" si="463"/>
        <v>0</v>
      </c>
      <c r="W1076" s="336">
        <f t="shared" si="464"/>
        <v>0</v>
      </c>
      <c r="X1076" s="336">
        <f t="shared" si="465"/>
        <v>305.63523198067901</v>
      </c>
      <c r="Y1076" s="320"/>
      <c r="Z1076" s="321" t="str">
        <f t="shared" si="469"/>
        <v>X-TERSCA</v>
      </c>
      <c r="AA1076" s="321" t="str">
        <f t="shared" si="470"/>
        <v>X-TERSCE</v>
      </c>
      <c r="AB1076" s="321" t="str">
        <f t="shared" si="471"/>
        <v>X-TERSCM</v>
      </c>
      <c r="AC1076" s="321" t="str">
        <f t="shared" si="472"/>
        <v>X-TERSCT</v>
      </c>
      <c r="AD1076" s="321" t="str">
        <f t="shared" si="473"/>
        <v>X-TERSCS</v>
      </c>
      <c r="AE1076" s="321" t="str">
        <f t="shared" si="474"/>
        <v>X-TERSCX</v>
      </c>
      <c r="AF1076" s="321" t="str">
        <f t="shared" si="475"/>
        <v>X-TERSCX</v>
      </c>
      <c r="AG1076" s="321">
        <f t="shared" si="466"/>
        <v>8</v>
      </c>
      <c r="AH1076" s="321">
        <f>IF(B1076&lt;&gt;"",IF(H1076="x",VLOOKUP(I1076,'AUX-NIV3'!B:AG,32,FALSE),0),"")</f>
        <v>6</v>
      </c>
      <c r="AI1076" s="321" t="str">
        <f t="shared" si="476"/>
        <v>X-TERSC</v>
      </c>
      <c r="AJ1076" s="320"/>
      <c r="AK1076" s="322">
        <f t="shared" si="467"/>
        <v>1069</v>
      </c>
      <c r="AL1076" s="323">
        <f t="shared" si="477"/>
        <v>1076</v>
      </c>
      <c r="AM1076" s="322">
        <f t="shared" si="478"/>
        <v>8</v>
      </c>
      <c r="AN1076" s="380">
        <f>IF(AND(AH1076&gt;0,B1076&lt;&gt;""),VLOOKUP(I1076,'AUX-NIV3'!$B:$AO,39,FALSE)*O1076,0)</f>
        <v>0</v>
      </c>
      <c r="AO1076" s="380">
        <f t="shared" si="468"/>
        <v>0.12850094954648525</v>
      </c>
      <c r="AP1076" s="380"/>
    </row>
    <row r="1077" spans="2:42" ht="14.4" hidden="1" thickTop="1" thickBot="1">
      <c r="B1077" s="324" t="s">
        <v>2943</v>
      </c>
      <c r="C1077" s="325" t="s">
        <v>2915</v>
      </c>
      <c r="D1077" s="326" t="s">
        <v>1411</v>
      </c>
      <c r="E1077" s="327">
        <f>IF(B1077&lt;&gt;"",SUMIF('AUX-NIV1'!I:I,'AUX-NIV2'!B1077,'AUX-NIV1'!Q:Q),"")</f>
        <v>0</v>
      </c>
      <c r="F1077" s="327">
        <f t="shared" si="458"/>
        <v>583.70995691995984</v>
      </c>
      <c r="G1077" s="327">
        <f t="shared" si="459"/>
        <v>0</v>
      </c>
      <c r="H1077" s="328" t="str">
        <f t="shared" si="479"/>
        <v>A</v>
      </c>
      <c r="I1077" s="325" t="s">
        <v>1746</v>
      </c>
      <c r="J1077" s="329" t="str">
        <f>IF(B1077&lt;&gt;"",+VLOOKUP(I1077,Recursos!C:F,2,FALSE),"")</f>
        <v>OFICIAL</v>
      </c>
      <c r="K1077" s="330" t="str">
        <f>IF(B1077&lt;&gt;"",+VLOOKUP(I1077,Recursos!C:F,3,FALSE),"")</f>
        <v>hh</v>
      </c>
      <c r="L1077" s="446">
        <f>IF(B1077&lt;&gt;"",+VLOOKUP(I1077,Recursos!C:F,4,FALSE),"")</f>
        <v>496.91595439275824</v>
      </c>
      <c r="M1077" s="447">
        <v>40</v>
      </c>
      <c r="N1077" s="448">
        <v>12</v>
      </c>
      <c r="O1077" s="449">
        <f>(0.0166666666666667+N1077/N1078+M1078/M1077+0.5/60+M1078/M1077*1.1+1/60)/N1077*1.25</f>
        <v>0.14939236111111109</v>
      </c>
      <c r="P1077" s="333">
        <f t="shared" si="454"/>
        <v>74.235447700515351</v>
      </c>
      <c r="Q1077" s="327">
        <f t="shared" si="455"/>
        <v>0</v>
      </c>
      <c r="R1077" s="334">
        <f t="shared" si="456"/>
        <v>0</v>
      </c>
      <c r="S1077" s="335">
        <f t="shared" si="460"/>
        <v>74.235447700515351</v>
      </c>
      <c r="T1077" s="335">
        <f t="shared" si="461"/>
        <v>509.47450921944449</v>
      </c>
      <c r="U1077" s="336">
        <f t="shared" si="462"/>
        <v>0</v>
      </c>
      <c r="V1077" s="336">
        <f t="shared" si="463"/>
        <v>0</v>
      </c>
      <c r="W1077" s="336">
        <f t="shared" si="464"/>
        <v>0</v>
      </c>
      <c r="X1077" s="336">
        <f t="shared" si="465"/>
        <v>0</v>
      </c>
      <c r="Y1077" s="320"/>
      <c r="Z1077" s="321" t="str">
        <f t="shared" si="469"/>
        <v>X-TRA25kmA</v>
      </c>
      <c r="AA1077" s="321" t="str">
        <f t="shared" si="470"/>
        <v>X-TRA25kmE</v>
      </c>
      <c r="AB1077" s="321" t="str">
        <f t="shared" si="471"/>
        <v>X-TRA25kmM</v>
      </c>
      <c r="AC1077" s="321" t="str">
        <f t="shared" si="472"/>
        <v>X-TRA25kmT</v>
      </c>
      <c r="AD1077" s="321" t="str">
        <f t="shared" si="473"/>
        <v>X-TRA25kmS</v>
      </c>
      <c r="AE1077" s="321" t="str">
        <f t="shared" si="474"/>
        <v>X-TRA25kmX</v>
      </c>
      <c r="AF1077" s="321" t="str">
        <f t="shared" si="475"/>
        <v>X-TRA25kmA</v>
      </c>
      <c r="AG1077" s="321">
        <f t="shared" si="466"/>
        <v>2</v>
      </c>
      <c r="AH1077" s="321">
        <f>IF(B1077&lt;&gt;"",IF(H1077="x",VLOOKUP(I1077,'AUX-NIV3'!B:AG,32,FALSE),0),"")</f>
        <v>0</v>
      </c>
      <c r="AI1077" s="321" t="str">
        <f t="shared" si="476"/>
        <v>X-TRA25km</v>
      </c>
      <c r="AJ1077" s="320"/>
      <c r="AK1077" s="322">
        <f t="shared" si="467"/>
        <v>1077</v>
      </c>
      <c r="AL1077" s="323">
        <f t="shared" si="477"/>
        <v>1078</v>
      </c>
      <c r="AM1077" s="322">
        <f t="shared" si="478"/>
        <v>1</v>
      </c>
      <c r="AN1077" s="380">
        <f>IF(AND(AH1077&gt;0,B1077&lt;&gt;""),VLOOKUP(I1077,'AUX-NIV3'!$B:$AO,39,FALSE)*O1077,0)</f>
        <v>0</v>
      </c>
      <c r="AO1077" s="380">
        <f t="shared" si="468"/>
        <v>0.14939236111111109</v>
      </c>
      <c r="AP1077" s="380"/>
    </row>
    <row r="1078" spans="2:42" ht="14.4" hidden="1" thickTop="1" thickBot="1">
      <c r="B1078" s="324" t="s">
        <v>2943</v>
      </c>
      <c r="C1078" s="325" t="s">
        <v>2915</v>
      </c>
      <c r="D1078" s="326" t="s">
        <v>1411</v>
      </c>
      <c r="E1078" s="327">
        <f>IF(B1078&lt;&gt;"",SUMIF('AUX-NIV1'!I:I,'AUX-NIV2'!B1078,'AUX-NIV1'!Q:Q),"")</f>
        <v>0</v>
      </c>
      <c r="F1078" s="327">
        <f t="shared" si="458"/>
        <v>583.70995691995984</v>
      </c>
      <c r="G1078" s="327">
        <f t="shared" si="459"/>
        <v>0</v>
      </c>
      <c r="H1078" s="328" t="str">
        <f t="shared" si="479"/>
        <v>E</v>
      </c>
      <c r="I1078" s="325" t="s">
        <v>1672</v>
      </c>
      <c r="J1078" s="329" t="str">
        <f>IF(B1078&lt;&gt;"",+VLOOKUP(I1078,Recursos!C:F,2,FALSE),"")</f>
        <v>CAMION VOLCADOR CAP. 24 T=15 m3</v>
      </c>
      <c r="K1078" s="330" t="str">
        <f>IF(B1078&lt;&gt;"",+VLOOKUP(I1078,Recursos!C:F,3,FALSE),"")</f>
        <v>HR</v>
      </c>
      <c r="L1078" s="446">
        <f>IF(B1078&lt;&gt;"",+VLOOKUP(I1078,Recursos!C:F,4,FALSE),"")</f>
        <v>4262.8895600000005</v>
      </c>
      <c r="M1078" s="450">
        <v>25</v>
      </c>
      <c r="N1078" s="451">
        <v>150</v>
      </c>
      <c r="O1078" s="449">
        <f>(0.0166666666666667+N1077/N1078+M1078/M1077+0.5/60+M1078/M1077*1.1+1/60)/N1077</f>
        <v>0.11951388888888888</v>
      </c>
      <c r="P1078" s="333">
        <f t="shared" si="454"/>
        <v>509.47450921944449</v>
      </c>
      <c r="Q1078" s="327">
        <f t="shared" si="455"/>
        <v>0</v>
      </c>
      <c r="R1078" s="334">
        <f t="shared" si="456"/>
        <v>0</v>
      </c>
      <c r="S1078" s="335">
        <f t="shared" si="460"/>
        <v>74.235447700515351</v>
      </c>
      <c r="T1078" s="335">
        <f t="shared" si="461"/>
        <v>509.47450921944449</v>
      </c>
      <c r="U1078" s="336">
        <f t="shared" si="462"/>
        <v>0</v>
      </c>
      <c r="V1078" s="336">
        <f t="shared" si="463"/>
        <v>0</v>
      </c>
      <c r="W1078" s="336">
        <f t="shared" si="464"/>
        <v>0</v>
      </c>
      <c r="X1078" s="336">
        <f t="shared" si="465"/>
        <v>0</v>
      </c>
      <c r="Y1078" s="320"/>
      <c r="Z1078" s="321" t="str">
        <f t="shared" si="469"/>
        <v>X-TRA25kmA</v>
      </c>
      <c r="AA1078" s="321" t="str">
        <f t="shared" si="470"/>
        <v>X-TRA25kmE</v>
      </c>
      <c r="AB1078" s="321" t="str">
        <f t="shared" si="471"/>
        <v>X-TRA25kmM</v>
      </c>
      <c r="AC1078" s="321" t="str">
        <f t="shared" si="472"/>
        <v>X-TRA25kmT</v>
      </c>
      <c r="AD1078" s="321" t="str">
        <f t="shared" si="473"/>
        <v>X-TRA25kmS</v>
      </c>
      <c r="AE1078" s="321" t="str">
        <f t="shared" si="474"/>
        <v>X-TRA25kmX</v>
      </c>
      <c r="AF1078" s="321" t="str">
        <f t="shared" si="475"/>
        <v>X-TRA25kmE</v>
      </c>
      <c r="AG1078" s="321">
        <f t="shared" si="466"/>
        <v>2</v>
      </c>
      <c r="AH1078" s="321">
        <f>IF(B1078&lt;&gt;"",IF(H1078="x",VLOOKUP(I1078,'AUX-NIV3'!B:AG,32,FALSE),0),"")</f>
        <v>0</v>
      </c>
      <c r="AI1078" s="321" t="str">
        <f t="shared" si="476"/>
        <v>X-TRA25km</v>
      </c>
      <c r="AJ1078" s="320"/>
      <c r="AK1078" s="322">
        <f t="shared" si="467"/>
        <v>1077</v>
      </c>
      <c r="AL1078" s="323">
        <f t="shared" si="477"/>
        <v>1078</v>
      </c>
      <c r="AM1078" s="322">
        <f t="shared" si="478"/>
        <v>2</v>
      </c>
      <c r="AN1078" s="380">
        <f>IF(AND(AH1078&gt;0,B1078&lt;&gt;""),VLOOKUP(I1078,'AUX-NIV3'!$B:$AO,39,FALSE)*O1078,0)</f>
        <v>0</v>
      </c>
      <c r="AO1078" s="380">
        <f t="shared" si="468"/>
        <v>0.14939236111111109</v>
      </c>
      <c r="AP1078" s="380"/>
    </row>
    <row r="1079" spans="2:42" ht="14.4" hidden="1" thickTop="1" thickBot="1">
      <c r="B1079" s="324" t="s">
        <v>2916</v>
      </c>
      <c r="C1079" s="325" t="s">
        <v>2917</v>
      </c>
      <c r="D1079" s="326" t="s">
        <v>501</v>
      </c>
      <c r="E1079" s="327">
        <f>IF(B1079&lt;&gt;"",SUMIF('AUX-NIV1'!I:I,'AUX-NIV2'!B1079,'AUX-NIV1'!Q:Q),"")</f>
        <v>0</v>
      </c>
      <c r="F1079" s="327">
        <f t="shared" si="458"/>
        <v>13855.182863929491</v>
      </c>
      <c r="G1079" s="327">
        <f t="shared" si="459"/>
        <v>0</v>
      </c>
      <c r="H1079" s="328" t="str">
        <f t="shared" si="479"/>
        <v>A</v>
      </c>
      <c r="I1079" s="325" t="s">
        <v>1746</v>
      </c>
      <c r="J1079" s="329" t="str">
        <f>IF(B1079&lt;&gt;"",+VLOOKUP(I1079,Recursos!C:F,2,FALSE),"")</f>
        <v>OFICIAL</v>
      </c>
      <c r="K1079" s="330" t="str">
        <f>IF(B1079&lt;&gt;"",+VLOOKUP(I1079,Recursos!C:F,3,FALSE),"")</f>
        <v>hh</v>
      </c>
      <c r="L1079" s="446">
        <f>IF(B1079&lt;&gt;"",+VLOOKUP(I1079,Recursos!C:F,4,FALSE),"")</f>
        <v>496.91595439275824</v>
      </c>
      <c r="M1079" s="447">
        <v>1</v>
      </c>
      <c r="N1079" s="448">
        <v>1</v>
      </c>
      <c r="O1079" s="449">
        <f t="shared" ref="O1079:O1096" si="480">+M1079*N1079</f>
        <v>1</v>
      </c>
      <c r="P1079" s="333">
        <f t="shared" si="454"/>
        <v>496.91595439275824</v>
      </c>
      <c r="Q1079" s="327">
        <f t="shared" si="455"/>
        <v>0</v>
      </c>
      <c r="R1079" s="334">
        <f t="shared" si="456"/>
        <v>0</v>
      </c>
      <c r="S1079" s="335">
        <f t="shared" si="460"/>
        <v>1659.0383639294894</v>
      </c>
      <c r="T1079" s="335">
        <f t="shared" si="461"/>
        <v>4756.1445000000003</v>
      </c>
      <c r="U1079" s="336">
        <f t="shared" si="462"/>
        <v>7440</v>
      </c>
      <c r="V1079" s="336">
        <f t="shared" si="463"/>
        <v>0</v>
      </c>
      <c r="W1079" s="336">
        <f t="shared" si="464"/>
        <v>0</v>
      </c>
      <c r="X1079" s="336">
        <f t="shared" si="465"/>
        <v>0</v>
      </c>
      <c r="Y1079" s="320"/>
      <c r="Z1079" s="321" t="str">
        <f t="shared" si="469"/>
        <v>X-SEÑVA</v>
      </c>
      <c r="AA1079" s="321" t="str">
        <f t="shared" si="470"/>
        <v>X-SEÑVE</v>
      </c>
      <c r="AB1079" s="321" t="str">
        <f t="shared" si="471"/>
        <v>X-SEÑVM</v>
      </c>
      <c r="AC1079" s="321" t="str">
        <f t="shared" si="472"/>
        <v>X-SEÑVT</v>
      </c>
      <c r="AD1079" s="321" t="str">
        <f t="shared" si="473"/>
        <v>X-SEÑVS</v>
      </c>
      <c r="AE1079" s="321" t="str">
        <f t="shared" si="474"/>
        <v>X-SEÑVX</v>
      </c>
      <c r="AF1079" s="321" t="str">
        <f t="shared" si="475"/>
        <v>X-SEÑVA</v>
      </c>
      <c r="AG1079" s="321">
        <f t="shared" si="466"/>
        <v>6</v>
      </c>
      <c r="AH1079" s="321">
        <f>IF(B1079&lt;&gt;"",IF(H1079="x",VLOOKUP(I1079,'AUX-NIV3'!B:AG,32,FALSE),0),"")</f>
        <v>0</v>
      </c>
      <c r="AI1079" s="321" t="str">
        <f t="shared" si="476"/>
        <v>X-SEÑV</v>
      </c>
      <c r="AJ1079" s="320"/>
      <c r="AK1079" s="322">
        <f t="shared" si="467"/>
        <v>1079</v>
      </c>
      <c r="AL1079" s="323">
        <f t="shared" si="477"/>
        <v>1084</v>
      </c>
      <c r="AM1079" s="322">
        <f t="shared" si="478"/>
        <v>1</v>
      </c>
      <c r="AN1079" s="380">
        <f>IF(AND(AH1079&gt;0,B1079&lt;&gt;""),VLOOKUP(I1079,'AUX-NIV3'!$B:$AO,39,FALSE)*O1079,0)</f>
        <v>0</v>
      </c>
      <c r="AO1079" s="380">
        <f t="shared" si="468"/>
        <v>3</v>
      </c>
      <c r="AP1079" s="380"/>
    </row>
    <row r="1080" spans="2:42" ht="14.4" hidden="1" thickTop="1" thickBot="1">
      <c r="B1080" s="324" t="s">
        <v>2916</v>
      </c>
      <c r="C1080" s="325" t="s">
        <v>2917</v>
      </c>
      <c r="D1080" s="326" t="s">
        <v>501</v>
      </c>
      <c r="E1080" s="327">
        <f>IF(B1080&lt;&gt;"",SUMIF('AUX-NIV1'!I:I,'AUX-NIV2'!B1080,'AUX-NIV1'!Q:Q),"")</f>
        <v>0</v>
      </c>
      <c r="F1080" s="327">
        <f t="shared" si="458"/>
        <v>13855.182863929491</v>
      </c>
      <c r="G1080" s="327">
        <f t="shared" si="459"/>
        <v>0</v>
      </c>
      <c r="H1080" s="328" t="str">
        <f t="shared" si="479"/>
        <v>A</v>
      </c>
      <c r="I1080" s="325" t="s">
        <v>3310</v>
      </c>
      <c r="J1080" s="329" t="str">
        <f>IF(B1080&lt;&gt;"",+VLOOKUP(I1080,Recursos!C:F,2,FALSE),"")</f>
        <v>OFICIAL ESPECIALIZADO</v>
      </c>
      <c r="K1080" s="330" t="str">
        <f>IF(B1080&lt;&gt;"",+VLOOKUP(I1080,Recursos!C:F,3,FALSE),"")</f>
        <v>hh</v>
      </c>
      <c r="L1080" s="446">
        <f>IF(B1080&lt;&gt;"",+VLOOKUP(I1080,Recursos!C:F,4,FALSE),"")</f>
        <v>581.06120476836554</v>
      </c>
      <c r="M1080" s="452">
        <v>2</v>
      </c>
      <c r="N1080" s="453">
        <v>1</v>
      </c>
      <c r="O1080" s="449">
        <f t="shared" si="480"/>
        <v>2</v>
      </c>
      <c r="P1080" s="333">
        <f t="shared" si="454"/>
        <v>1162.1224095367311</v>
      </c>
      <c r="Q1080" s="327">
        <f t="shared" si="455"/>
        <v>0</v>
      </c>
      <c r="R1080" s="334">
        <f t="shared" si="456"/>
        <v>0</v>
      </c>
      <c r="S1080" s="335">
        <f t="shared" si="460"/>
        <v>1659.0383639294894</v>
      </c>
      <c r="T1080" s="335">
        <f t="shared" si="461"/>
        <v>4756.1445000000003</v>
      </c>
      <c r="U1080" s="336">
        <f t="shared" si="462"/>
        <v>7440</v>
      </c>
      <c r="V1080" s="336">
        <f t="shared" si="463"/>
        <v>0</v>
      </c>
      <c r="W1080" s="336">
        <f t="shared" si="464"/>
        <v>0</v>
      </c>
      <c r="X1080" s="336">
        <f t="shared" si="465"/>
        <v>0</v>
      </c>
      <c r="Y1080" s="320"/>
      <c r="Z1080" s="321" t="str">
        <f t="shared" si="469"/>
        <v>X-SEÑVA</v>
      </c>
      <c r="AA1080" s="321" t="str">
        <f t="shared" si="470"/>
        <v>X-SEÑVE</v>
      </c>
      <c r="AB1080" s="321" t="str">
        <f t="shared" si="471"/>
        <v>X-SEÑVM</v>
      </c>
      <c r="AC1080" s="321" t="str">
        <f t="shared" si="472"/>
        <v>X-SEÑVT</v>
      </c>
      <c r="AD1080" s="321" t="str">
        <f t="shared" si="473"/>
        <v>X-SEÑVS</v>
      </c>
      <c r="AE1080" s="321" t="str">
        <f t="shared" si="474"/>
        <v>X-SEÑVX</v>
      </c>
      <c r="AF1080" s="321" t="str">
        <f t="shared" si="475"/>
        <v>X-SEÑVA</v>
      </c>
      <c r="AG1080" s="321">
        <f t="shared" si="466"/>
        <v>6</v>
      </c>
      <c r="AH1080" s="321">
        <f>IF(B1080&lt;&gt;"",IF(H1080="x",VLOOKUP(I1080,'AUX-NIV3'!B:AG,32,FALSE),0),"")</f>
        <v>0</v>
      </c>
      <c r="AI1080" s="321" t="str">
        <f t="shared" si="476"/>
        <v>X-SEÑV</v>
      </c>
      <c r="AJ1080" s="320"/>
      <c r="AK1080" s="322">
        <f t="shared" si="467"/>
        <v>1079</v>
      </c>
      <c r="AL1080" s="323">
        <f t="shared" si="477"/>
        <v>1084</v>
      </c>
      <c r="AM1080" s="322">
        <f t="shared" si="478"/>
        <v>2</v>
      </c>
      <c r="AN1080" s="380">
        <f>IF(AND(AH1080&gt;0,B1080&lt;&gt;""),VLOOKUP(I1080,'AUX-NIV3'!$B:$AO,39,FALSE)*O1080,0)</f>
        <v>0</v>
      </c>
      <c r="AO1080" s="380">
        <f t="shared" si="468"/>
        <v>3</v>
      </c>
      <c r="AP1080" s="380"/>
    </row>
    <row r="1081" spans="2:42" ht="14.4" hidden="1" thickTop="1" thickBot="1">
      <c r="B1081" s="324" t="s">
        <v>2916</v>
      </c>
      <c r="C1081" s="325" t="s">
        <v>2917</v>
      </c>
      <c r="D1081" s="326" t="s">
        <v>501</v>
      </c>
      <c r="E1081" s="327">
        <f>IF(B1081&lt;&gt;"",SUMIF('AUX-NIV1'!I:I,'AUX-NIV2'!B1081,'AUX-NIV1'!Q:Q),"")</f>
        <v>0</v>
      </c>
      <c r="F1081" s="327">
        <f t="shared" si="458"/>
        <v>13855.182863929491</v>
      </c>
      <c r="G1081" s="327">
        <f t="shared" si="459"/>
        <v>0</v>
      </c>
      <c r="H1081" s="328" t="str">
        <f t="shared" si="479"/>
        <v>E</v>
      </c>
      <c r="I1081" s="325" t="s">
        <v>1597</v>
      </c>
      <c r="J1081" s="329" t="str">
        <f>IF(B1081&lt;&gt;"",+VLOOKUP(I1081,Recursos!C:F,2,FALSE),"")</f>
        <v>HIDROGRUA MONTADA S/CAMION (6 T)</v>
      </c>
      <c r="K1081" s="330" t="str">
        <f>IF(B1081&lt;&gt;"",+VLOOKUP(I1081,Recursos!C:F,3,FALSE),"")</f>
        <v>HR</v>
      </c>
      <c r="L1081" s="446">
        <f>IF(B1081&lt;&gt;"",+VLOOKUP(I1081,Recursos!C:F,4,FALSE),"")</f>
        <v>2378.0722500000002</v>
      </c>
      <c r="M1081" s="452">
        <v>2</v>
      </c>
      <c r="N1081" s="453">
        <v>1</v>
      </c>
      <c r="O1081" s="449">
        <f t="shared" si="480"/>
        <v>2</v>
      </c>
      <c r="P1081" s="333">
        <f t="shared" ref="P1081:P1112" si="481">IF(B1081&lt;&gt;"",O1081*L1081,"")</f>
        <v>4756.1445000000003</v>
      </c>
      <c r="Q1081" s="327">
        <f t="shared" ref="Q1081:Q1112" si="482">IF(B1081&lt;&gt;"",+O1081*E1081,"")</f>
        <v>0</v>
      </c>
      <c r="R1081" s="334">
        <f t="shared" ref="R1081:R1112" si="483">IF(B1081&lt;&gt;"",Q1081*L1081,"")</f>
        <v>0</v>
      </c>
      <c r="S1081" s="335">
        <f t="shared" si="460"/>
        <v>1659.0383639294894</v>
      </c>
      <c r="T1081" s="335">
        <f t="shared" si="461"/>
        <v>4756.1445000000003</v>
      </c>
      <c r="U1081" s="336">
        <f t="shared" si="462"/>
        <v>7440</v>
      </c>
      <c r="V1081" s="336">
        <f t="shared" si="463"/>
        <v>0</v>
      </c>
      <c r="W1081" s="336">
        <f t="shared" si="464"/>
        <v>0</v>
      </c>
      <c r="X1081" s="336">
        <f t="shared" si="465"/>
        <v>0</v>
      </c>
      <c r="Y1081" s="320"/>
      <c r="Z1081" s="321" t="str">
        <f t="shared" si="469"/>
        <v>X-SEÑVA</v>
      </c>
      <c r="AA1081" s="321" t="str">
        <f t="shared" si="470"/>
        <v>X-SEÑVE</v>
      </c>
      <c r="AB1081" s="321" t="str">
        <f t="shared" si="471"/>
        <v>X-SEÑVM</v>
      </c>
      <c r="AC1081" s="321" t="str">
        <f t="shared" si="472"/>
        <v>X-SEÑVT</v>
      </c>
      <c r="AD1081" s="321" t="str">
        <f t="shared" si="473"/>
        <v>X-SEÑVS</v>
      </c>
      <c r="AE1081" s="321" t="str">
        <f t="shared" si="474"/>
        <v>X-SEÑVX</v>
      </c>
      <c r="AF1081" s="321" t="str">
        <f t="shared" si="475"/>
        <v>X-SEÑVE</v>
      </c>
      <c r="AG1081" s="321">
        <f t="shared" si="466"/>
        <v>6</v>
      </c>
      <c r="AH1081" s="321">
        <f>IF(B1081&lt;&gt;"",IF(H1081="x",VLOOKUP(I1081,'AUX-NIV3'!B:AG,32,FALSE),0),"")</f>
        <v>0</v>
      </c>
      <c r="AI1081" s="321" t="str">
        <f t="shared" si="476"/>
        <v>X-SEÑV</v>
      </c>
      <c r="AJ1081" s="320"/>
      <c r="AK1081" s="322">
        <f t="shared" si="467"/>
        <v>1079</v>
      </c>
      <c r="AL1081" s="323">
        <f t="shared" si="477"/>
        <v>1084</v>
      </c>
      <c r="AM1081" s="322">
        <f t="shared" si="478"/>
        <v>3</v>
      </c>
      <c r="AN1081" s="380">
        <f>IF(AND(AH1081&gt;0,B1081&lt;&gt;""),VLOOKUP(I1081,'AUX-NIV3'!$B:$AO,39,FALSE)*O1081,0)</f>
        <v>0</v>
      </c>
      <c r="AO1081" s="380">
        <f t="shared" si="468"/>
        <v>3</v>
      </c>
      <c r="AP1081" s="380"/>
    </row>
    <row r="1082" spans="2:42" ht="14.4" hidden="1" thickTop="1" thickBot="1">
      <c r="B1082" s="324" t="s">
        <v>2916</v>
      </c>
      <c r="C1082" s="325" t="s">
        <v>2917</v>
      </c>
      <c r="D1082" s="326" t="s">
        <v>501</v>
      </c>
      <c r="E1082" s="327">
        <f>IF(B1082&lt;&gt;"",SUMIF('AUX-NIV1'!I:I,'AUX-NIV2'!B1082,'AUX-NIV1'!Q:Q),"")</f>
        <v>0</v>
      </c>
      <c r="F1082" s="327">
        <f t="shared" si="458"/>
        <v>13855.182863929491</v>
      </c>
      <c r="G1082" s="327">
        <f t="shared" si="459"/>
        <v>0</v>
      </c>
      <c r="H1082" s="328" t="str">
        <f t="shared" si="479"/>
        <v>M</v>
      </c>
      <c r="I1082" s="325" t="s">
        <v>621</v>
      </c>
      <c r="J1082" s="329" t="str">
        <f>IF(B1082&lt;&gt;"",+VLOOKUP(I1082,Recursos!C:F,2,FALSE),"")</f>
        <v>MATERIALES VARIOS</v>
      </c>
      <c r="K1082" s="330" t="str">
        <f>IF(B1082&lt;&gt;"",+VLOOKUP(I1082,Recursos!C:F,3,FALSE),"")</f>
        <v>GL</v>
      </c>
      <c r="L1082" s="446">
        <f>IF(B1082&lt;&gt;"",+VLOOKUP(I1082,Recursos!C:F,4,FALSE),"")</f>
        <v>0.5</v>
      </c>
      <c r="M1082" s="452">
        <v>80</v>
      </c>
      <c r="N1082" s="453">
        <v>1</v>
      </c>
      <c r="O1082" s="449">
        <f t="shared" si="480"/>
        <v>80</v>
      </c>
      <c r="P1082" s="333">
        <f t="shared" si="481"/>
        <v>40</v>
      </c>
      <c r="Q1082" s="327">
        <f t="shared" si="482"/>
        <v>0</v>
      </c>
      <c r="R1082" s="334">
        <f t="shared" si="483"/>
        <v>0</v>
      </c>
      <c r="S1082" s="335">
        <f t="shared" si="460"/>
        <v>1659.0383639294894</v>
      </c>
      <c r="T1082" s="335">
        <f t="shared" si="461"/>
        <v>4756.1445000000003</v>
      </c>
      <c r="U1082" s="336">
        <f t="shared" si="462"/>
        <v>7440</v>
      </c>
      <c r="V1082" s="336">
        <f t="shared" si="463"/>
        <v>0</v>
      </c>
      <c r="W1082" s="336">
        <f t="shared" si="464"/>
        <v>0</v>
      </c>
      <c r="X1082" s="336">
        <f t="shared" si="465"/>
        <v>0</v>
      </c>
      <c r="Y1082" s="320"/>
      <c r="Z1082" s="321" t="str">
        <f t="shared" si="469"/>
        <v>X-SEÑVA</v>
      </c>
      <c r="AA1082" s="321" t="str">
        <f t="shared" si="470"/>
        <v>X-SEÑVE</v>
      </c>
      <c r="AB1082" s="321" t="str">
        <f t="shared" si="471"/>
        <v>X-SEÑVM</v>
      </c>
      <c r="AC1082" s="321" t="str">
        <f t="shared" si="472"/>
        <v>X-SEÑVT</v>
      </c>
      <c r="AD1082" s="321" t="str">
        <f t="shared" si="473"/>
        <v>X-SEÑVS</v>
      </c>
      <c r="AE1082" s="321" t="str">
        <f t="shared" si="474"/>
        <v>X-SEÑVX</v>
      </c>
      <c r="AF1082" s="321" t="str">
        <f t="shared" si="475"/>
        <v>X-SEÑVM</v>
      </c>
      <c r="AG1082" s="321">
        <f t="shared" si="466"/>
        <v>6</v>
      </c>
      <c r="AH1082" s="321">
        <f>IF(B1082&lt;&gt;"",IF(H1082="x",VLOOKUP(I1082,'AUX-NIV3'!B:AG,32,FALSE),0),"")</f>
        <v>0</v>
      </c>
      <c r="AI1082" s="321" t="str">
        <f t="shared" si="476"/>
        <v>X-SEÑV</v>
      </c>
      <c r="AJ1082" s="320"/>
      <c r="AK1082" s="322">
        <f t="shared" si="467"/>
        <v>1079</v>
      </c>
      <c r="AL1082" s="323">
        <f t="shared" si="477"/>
        <v>1084</v>
      </c>
      <c r="AM1082" s="322">
        <f t="shared" si="478"/>
        <v>4</v>
      </c>
      <c r="AN1082" s="380">
        <f>IF(AND(AH1082&gt;0,B1082&lt;&gt;""),VLOOKUP(I1082,'AUX-NIV3'!$B:$AO,39,FALSE)*O1082,0)</f>
        <v>0</v>
      </c>
      <c r="AO1082" s="380">
        <f t="shared" si="468"/>
        <v>3</v>
      </c>
      <c r="AP1082" s="380"/>
    </row>
    <row r="1083" spans="2:42" ht="14.4" hidden="1" thickTop="1" thickBot="1">
      <c r="B1083" s="324" t="s">
        <v>2916</v>
      </c>
      <c r="C1083" s="325" t="s">
        <v>2917</v>
      </c>
      <c r="D1083" s="326" t="s">
        <v>501</v>
      </c>
      <c r="E1083" s="327">
        <f>IF(B1083&lt;&gt;"",SUMIF('AUX-NIV1'!I:I,'AUX-NIV2'!B1083,'AUX-NIV1'!Q:Q),"")</f>
        <v>0</v>
      </c>
      <c r="F1083" s="327">
        <f t="shared" si="458"/>
        <v>13855.182863929491</v>
      </c>
      <c r="G1083" s="327">
        <f t="shared" si="459"/>
        <v>0</v>
      </c>
      <c r="H1083" s="328" t="str">
        <f t="shared" si="479"/>
        <v>M</v>
      </c>
      <c r="I1083" s="325" t="s">
        <v>1914</v>
      </c>
      <c r="J1083" s="329" t="str">
        <f>IF(B1083&lt;&gt;"",+VLOOKUP(I1083,Recursos!C:F,2,FALSE),"")</f>
        <v>PUNTAL DE MADERA</v>
      </c>
      <c r="K1083" s="330" t="str">
        <f>IF(B1083&lt;&gt;"",+VLOOKUP(I1083,Recursos!C:F,3,FALSE),"")</f>
        <v>m</v>
      </c>
      <c r="L1083" s="446">
        <f>IF(B1083&lt;&gt;"",+VLOOKUP(I1083,Recursos!C:F,4,FALSE),"")</f>
        <v>200</v>
      </c>
      <c r="M1083" s="452">
        <v>1</v>
      </c>
      <c r="N1083" s="453">
        <v>1</v>
      </c>
      <c r="O1083" s="449">
        <f t="shared" si="480"/>
        <v>1</v>
      </c>
      <c r="P1083" s="333">
        <f t="shared" si="481"/>
        <v>200</v>
      </c>
      <c r="Q1083" s="327">
        <f t="shared" si="482"/>
        <v>0</v>
      </c>
      <c r="R1083" s="334">
        <f t="shared" si="483"/>
        <v>0</v>
      </c>
      <c r="S1083" s="335">
        <f t="shared" si="460"/>
        <v>1659.0383639294894</v>
      </c>
      <c r="T1083" s="335">
        <f t="shared" si="461"/>
        <v>4756.1445000000003</v>
      </c>
      <c r="U1083" s="336">
        <f t="shared" si="462"/>
        <v>7440</v>
      </c>
      <c r="V1083" s="336">
        <f t="shared" si="463"/>
        <v>0</v>
      </c>
      <c r="W1083" s="336">
        <f t="shared" si="464"/>
        <v>0</v>
      </c>
      <c r="X1083" s="336">
        <f t="shared" si="465"/>
        <v>0</v>
      </c>
      <c r="Y1083" s="320"/>
      <c r="Z1083" s="321" t="str">
        <f t="shared" si="469"/>
        <v>X-SEÑVA</v>
      </c>
      <c r="AA1083" s="321" t="str">
        <f t="shared" si="470"/>
        <v>X-SEÑVE</v>
      </c>
      <c r="AB1083" s="321" t="str">
        <f t="shared" si="471"/>
        <v>X-SEÑVM</v>
      </c>
      <c r="AC1083" s="321" t="str">
        <f t="shared" si="472"/>
        <v>X-SEÑVT</v>
      </c>
      <c r="AD1083" s="321" t="str">
        <f t="shared" si="473"/>
        <v>X-SEÑVS</v>
      </c>
      <c r="AE1083" s="321" t="str">
        <f t="shared" si="474"/>
        <v>X-SEÑVX</v>
      </c>
      <c r="AF1083" s="321" t="str">
        <f t="shared" si="475"/>
        <v>X-SEÑVM</v>
      </c>
      <c r="AG1083" s="321">
        <f t="shared" si="466"/>
        <v>6</v>
      </c>
      <c r="AH1083" s="321">
        <f>IF(B1083&lt;&gt;"",IF(H1083="x",VLOOKUP(I1083,'AUX-NIV3'!B:AG,32,FALSE),0),"")</f>
        <v>0</v>
      </c>
      <c r="AI1083" s="321" t="str">
        <f t="shared" si="476"/>
        <v>X-SEÑV</v>
      </c>
      <c r="AJ1083" s="320"/>
      <c r="AK1083" s="322">
        <f t="shared" si="467"/>
        <v>1079</v>
      </c>
      <c r="AL1083" s="323">
        <f t="shared" si="477"/>
        <v>1084</v>
      </c>
      <c r="AM1083" s="322">
        <f t="shared" si="478"/>
        <v>5</v>
      </c>
      <c r="AN1083" s="380">
        <f>IF(AND(AH1083&gt;0,B1083&lt;&gt;""),VLOOKUP(I1083,'AUX-NIV3'!$B:$AO,39,FALSE)*O1083,0)</f>
        <v>0</v>
      </c>
      <c r="AO1083" s="380">
        <f t="shared" si="468"/>
        <v>3</v>
      </c>
      <c r="AP1083" s="380"/>
    </row>
    <row r="1084" spans="2:42" ht="14.4" hidden="1" thickTop="1" thickBot="1">
      <c r="B1084" s="324" t="s">
        <v>2916</v>
      </c>
      <c r="C1084" s="325" t="s">
        <v>2917</v>
      </c>
      <c r="D1084" s="326" t="s">
        <v>501</v>
      </c>
      <c r="E1084" s="327">
        <f>IF(B1084&lt;&gt;"",SUMIF('AUX-NIV1'!I:I,'AUX-NIV2'!B1084,'AUX-NIV1'!Q:Q),"")</f>
        <v>0</v>
      </c>
      <c r="F1084" s="327">
        <f t="shared" si="458"/>
        <v>13855.182863929491</v>
      </c>
      <c r="G1084" s="327">
        <f t="shared" si="459"/>
        <v>0</v>
      </c>
      <c r="H1084" s="328" t="str">
        <f t="shared" si="479"/>
        <v>M</v>
      </c>
      <c r="I1084" s="325" t="s">
        <v>1850</v>
      </c>
      <c r="J1084" s="329" t="str">
        <f>IF(B1084&lt;&gt;"",+VLOOKUP(I1084,Recursos!C:F,2,FALSE),"")</f>
        <v>CARTELERIA</v>
      </c>
      <c r="K1084" s="330" t="str">
        <f>IF(B1084&lt;&gt;"",+VLOOKUP(I1084,Recursos!C:F,3,FALSE),"")</f>
        <v>m2</v>
      </c>
      <c r="L1084" s="446">
        <f>IF(B1084&lt;&gt;"",+VLOOKUP(I1084,Recursos!C:F,4,FALSE),"")</f>
        <v>7200</v>
      </c>
      <c r="M1084" s="450">
        <v>1</v>
      </c>
      <c r="N1084" s="451">
        <v>1</v>
      </c>
      <c r="O1084" s="449">
        <f t="shared" si="480"/>
        <v>1</v>
      </c>
      <c r="P1084" s="333">
        <f t="shared" si="481"/>
        <v>7200</v>
      </c>
      <c r="Q1084" s="327">
        <f t="shared" si="482"/>
        <v>0</v>
      </c>
      <c r="R1084" s="334">
        <f t="shared" si="483"/>
        <v>0</v>
      </c>
      <c r="S1084" s="335">
        <f t="shared" si="460"/>
        <v>1659.0383639294894</v>
      </c>
      <c r="T1084" s="335">
        <f t="shared" si="461"/>
        <v>4756.1445000000003</v>
      </c>
      <c r="U1084" s="336">
        <f t="shared" si="462"/>
        <v>7440</v>
      </c>
      <c r="V1084" s="336">
        <f t="shared" si="463"/>
        <v>0</v>
      </c>
      <c r="W1084" s="336">
        <f t="shared" si="464"/>
        <v>0</v>
      </c>
      <c r="X1084" s="336">
        <f t="shared" si="465"/>
        <v>0</v>
      </c>
      <c r="Y1084" s="320"/>
      <c r="Z1084" s="321" t="str">
        <f t="shared" si="469"/>
        <v>X-SEÑVA</v>
      </c>
      <c r="AA1084" s="321" t="str">
        <f t="shared" si="470"/>
        <v>X-SEÑVE</v>
      </c>
      <c r="AB1084" s="321" t="str">
        <f t="shared" si="471"/>
        <v>X-SEÑVM</v>
      </c>
      <c r="AC1084" s="321" t="str">
        <f t="shared" si="472"/>
        <v>X-SEÑVT</v>
      </c>
      <c r="AD1084" s="321" t="str">
        <f t="shared" si="473"/>
        <v>X-SEÑVS</v>
      </c>
      <c r="AE1084" s="321" t="str">
        <f t="shared" si="474"/>
        <v>X-SEÑVX</v>
      </c>
      <c r="AF1084" s="321" t="str">
        <f t="shared" si="475"/>
        <v>X-SEÑVM</v>
      </c>
      <c r="AG1084" s="321">
        <f t="shared" si="466"/>
        <v>6</v>
      </c>
      <c r="AH1084" s="321">
        <f>IF(B1084&lt;&gt;"",IF(H1084="x",VLOOKUP(I1084,'AUX-NIV3'!B:AG,32,FALSE),0),"")</f>
        <v>0</v>
      </c>
      <c r="AI1084" s="321" t="str">
        <f t="shared" si="476"/>
        <v>X-SEÑV</v>
      </c>
      <c r="AJ1084" s="320"/>
      <c r="AK1084" s="322">
        <f t="shared" si="467"/>
        <v>1079</v>
      </c>
      <c r="AL1084" s="323">
        <f t="shared" si="477"/>
        <v>1084</v>
      </c>
      <c r="AM1084" s="322">
        <f t="shared" si="478"/>
        <v>6</v>
      </c>
      <c r="AN1084" s="380">
        <f>IF(AND(AH1084&gt;0,B1084&lt;&gt;""),VLOOKUP(I1084,'AUX-NIV3'!$B:$AO,39,FALSE)*O1084,0)</f>
        <v>0</v>
      </c>
      <c r="AO1084" s="380">
        <f t="shared" si="468"/>
        <v>3</v>
      </c>
      <c r="AP1084" s="380"/>
    </row>
    <row r="1085" spans="2:42" ht="14.4" hidden="1" thickTop="1" thickBot="1">
      <c r="B1085" s="324" t="s">
        <v>2944</v>
      </c>
      <c r="C1085" s="325" t="s">
        <v>2918</v>
      </c>
      <c r="D1085" s="326" t="s">
        <v>501</v>
      </c>
      <c r="E1085" s="327">
        <f>IF(B1085&lt;&gt;"",SUMIF('AUX-NIV1'!I:I,'AUX-NIV2'!B1085,'AUX-NIV1'!Q:Q),"")</f>
        <v>0</v>
      </c>
      <c r="F1085" s="327">
        <f t="shared" si="458"/>
        <v>2325.542767080562</v>
      </c>
      <c r="G1085" s="327">
        <f t="shared" si="459"/>
        <v>0</v>
      </c>
      <c r="H1085" s="328" t="str">
        <f t="shared" si="479"/>
        <v>A</v>
      </c>
      <c r="I1085" s="325" t="s">
        <v>1746</v>
      </c>
      <c r="J1085" s="329" t="str">
        <f>IF(B1085&lt;&gt;"",+VLOOKUP(I1085,Recursos!C:F,2,FALSE),"")</f>
        <v>OFICIAL</v>
      </c>
      <c r="K1085" s="330" t="str">
        <f>IF(B1085&lt;&gt;"",+VLOOKUP(I1085,Recursos!C:F,3,FALSE),"")</f>
        <v>hh</v>
      </c>
      <c r="L1085" s="327">
        <f>IF(B1085&lt;&gt;"",+VLOOKUP(I1085,Recursos!C:F,4,FALSE),"")</f>
        <v>496.91595439275824</v>
      </c>
      <c r="M1085" s="447">
        <v>0.5</v>
      </c>
      <c r="N1085" s="448">
        <v>1</v>
      </c>
      <c r="O1085" s="449">
        <f t="shared" si="480"/>
        <v>0.5</v>
      </c>
      <c r="P1085" s="333">
        <f t="shared" si="481"/>
        <v>248.45797719637912</v>
      </c>
      <c r="Q1085" s="327">
        <f t="shared" si="482"/>
        <v>0</v>
      </c>
      <c r="R1085" s="334">
        <f t="shared" si="483"/>
        <v>0</v>
      </c>
      <c r="S1085" s="335">
        <f t="shared" si="460"/>
        <v>538.98857958056192</v>
      </c>
      <c r="T1085" s="335">
        <f t="shared" si="461"/>
        <v>1783.5541875000001</v>
      </c>
      <c r="U1085" s="336">
        <f t="shared" si="462"/>
        <v>3</v>
      </c>
      <c r="V1085" s="336">
        <f t="shared" si="463"/>
        <v>0</v>
      </c>
      <c r="W1085" s="336">
        <f t="shared" si="464"/>
        <v>0</v>
      </c>
      <c r="X1085" s="336">
        <f t="shared" si="465"/>
        <v>0</v>
      </c>
      <c r="Y1085" s="320"/>
      <c r="Z1085" s="321" t="str">
        <f t="shared" si="469"/>
        <v>X-SEÑPA</v>
      </c>
      <c r="AA1085" s="321" t="str">
        <f t="shared" si="470"/>
        <v>X-SEÑPE</v>
      </c>
      <c r="AB1085" s="321" t="str">
        <f t="shared" si="471"/>
        <v>X-SEÑPM</v>
      </c>
      <c r="AC1085" s="321" t="str">
        <f t="shared" si="472"/>
        <v>X-SEÑPT</v>
      </c>
      <c r="AD1085" s="321" t="str">
        <f t="shared" si="473"/>
        <v>X-SEÑPS</v>
      </c>
      <c r="AE1085" s="321" t="str">
        <f t="shared" si="474"/>
        <v>X-SEÑPX</v>
      </c>
      <c r="AF1085" s="321" t="str">
        <f t="shared" si="475"/>
        <v>X-SEÑPA</v>
      </c>
      <c r="AG1085" s="321">
        <f t="shared" si="466"/>
        <v>4</v>
      </c>
      <c r="AH1085" s="321">
        <f>IF(B1085&lt;&gt;"",IF(H1085="x",VLOOKUP(I1085,'AUX-NIV3'!B:AG,32,FALSE),0),"")</f>
        <v>0</v>
      </c>
      <c r="AI1085" s="321" t="str">
        <f t="shared" si="476"/>
        <v>X-SEÑP</v>
      </c>
      <c r="AJ1085" s="320"/>
      <c r="AK1085" s="322">
        <f t="shared" si="467"/>
        <v>1085</v>
      </c>
      <c r="AL1085" s="323">
        <f t="shared" si="477"/>
        <v>1088</v>
      </c>
      <c r="AM1085" s="322">
        <f t="shared" si="478"/>
        <v>1</v>
      </c>
      <c r="AN1085" s="380">
        <f>IF(AND(AH1085&gt;0,B1085&lt;&gt;""),VLOOKUP(I1085,'AUX-NIV3'!$B:$AO,39,FALSE)*O1085,0)</f>
        <v>0</v>
      </c>
      <c r="AO1085" s="380">
        <f t="shared" si="468"/>
        <v>1</v>
      </c>
      <c r="AP1085" s="380"/>
    </row>
    <row r="1086" spans="2:42" ht="14.4" hidden="1" thickTop="1" thickBot="1">
      <c r="B1086" s="324" t="s">
        <v>2944</v>
      </c>
      <c r="C1086" s="325" t="s">
        <v>2918</v>
      </c>
      <c r="D1086" s="326" t="s">
        <v>501</v>
      </c>
      <c r="E1086" s="327">
        <f>IF(B1086&lt;&gt;"",SUMIF('AUX-NIV1'!I:I,'AUX-NIV2'!B1086,'AUX-NIV1'!Q:Q),"")</f>
        <v>0</v>
      </c>
      <c r="F1086" s="327">
        <f t="shared" si="458"/>
        <v>2325.542767080562</v>
      </c>
      <c r="G1086" s="327">
        <f t="shared" si="459"/>
        <v>0</v>
      </c>
      <c r="H1086" s="328" t="str">
        <f t="shared" si="479"/>
        <v>A</v>
      </c>
      <c r="I1086" s="325" t="s">
        <v>3310</v>
      </c>
      <c r="J1086" s="329" t="str">
        <f>IF(B1086&lt;&gt;"",+VLOOKUP(I1086,Recursos!C:F,2,FALSE),"")</f>
        <v>OFICIAL ESPECIALIZADO</v>
      </c>
      <c r="K1086" s="330" t="str">
        <f>IF(B1086&lt;&gt;"",+VLOOKUP(I1086,Recursos!C:F,3,FALSE),"")</f>
        <v>hh</v>
      </c>
      <c r="L1086" s="327">
        <f>IF(B1086&lt;&gt;"",+VLOOKUP(I1086,Recursos!C:F,4,FALSE),"")</f>
        <v>581.06120476836554</v>
      </c>
      <c r="M1086" s="452">
        <v>0.5</v>
      </c>
      <c r="N1086" s="453">
        <v>1</v>
      </c>
      <c r="O1086" s="449">
        <f t="shared" si="480"/>
        <v>0.5</v>
      </c>
      <c r="P1086" s="333">
        <f t="shared" si="481"/>
        <v>290.53060238418277</v>
      </c>
      <c r="Q1086" s="327">
        <f t="shared" si="482"/>
        <v>0</v>
      </c>
      <c r="R1086" s="334">
        <f t="shared" si="483"/>
        <v>0</v>
      </c>
      <c r="S1086" s="335">
        <f t="shared" si="460"/>
        <v>538.98857958056192</v>
      </c>
      <c r="T1086" s="335">
        <f t="shared" si="461"/>
        <v>1783.5541875000001</v>
      </c>
      <c r="U1086" s="336">
        <f t="shared" si="462"/>
        <v>3</v>
      </c>
      <c r="V1086" s="336">
        <f t="shared" si="463"/>
        <v>0</v>
      </c>
      <c r="W1086" s="336">
        <f t="shared" si="464"/>
        <v>0</v>
      </c>
      <c r="X1086" s="336">
        <f t="shared" si="465"/>
        <v>0</v>
      </c>
      <c r="Y1086" s="320"/>
      <c r="Z1086" s="321" t="str">
        <f t="shared" si="469"/>
        <v>X-SEÑPA</v>
      </c>
      <c r="AA1086" s="321" t="str">
        <f t="shared" si="470"/>
        <v>X-SEÑPE</v>
      </c>
      <c r="AB1086" s="321" t="str">
        <f t="shared" si="471"/>
        <v>X-SEÑPM</v>
      </c>
      <c r="AC1086" s="321" t="str">
        <f t="shared" si="472"/>
        <v>X-SEÑPT</v>
      </c>
      <c r="AD1086" s="321" t="str">
        <f t="shared" si="473"/>
        <v>X-SEÑPS</v>
      </c>
      <c r="AE1086" s="321" t="str">
        <f t="shared" si="474"/>
        <v>X-SEÑPX</v>
      </c>
      <c r="AF1086" s="321" t="str">
        <f t="shared" si="475"/>
        <v>X-SEÑPA</v>
      </c>
      <c r="AG1086" s="321">
        <f t="shared" si="466"/>
        <v>4</v>
      </c>
      <c r="AH1086" s="321">
        <f>IF(B1086&lt;&gt;"",IF(H1086="x",VLOOKUP(I1086,'AUX-NIV3'!B:AG,32,FALSE),0),"")</f>
        <v>0</v>
      </c>
      <c r="AI1086" s="321" t="str">
        <f t="shared" si="476"/>
        <v>X-SEÑP</v>
      </c>
      <c r="AJ1086" s="320"/>
      <c r="AK1086" s="322">
        <f t="shared" si="467"/>
        <v>1085</v>
      </c>
      <c r="AL1086" s="323">
        <f t="shared" si="477"/>
        <v>1088</v>
      </c>
      <c r="AM1086" s="322">
        <f t="shared" si="478"/>
        <v>2</v>
      </c>
      <c r="AN1086" s="380">
        <f>IF(AND(AH1086&gt;0,B1086&lt;&gt;""),VLOOKUP(I1086,'AUX-NIV3'!$B:$AO,39,FALSE)*O1086,0)</f>
        <v>0</v>
      </c>
      <c r="AO1086" s="380">
        <f t="shared" si="468"/>
        <v>1</v>
      </c>
      <c r="AP1086" s="380"/>
    </row>
    <row r="1087" spans="2:42" ht="14.4" hidden="1" thickTop="1" thickBot="1">
      <c r="B1087" s="324" t="s">
        <v>2944</v>
      </c>
      <c r="C1087" s="325" t="s">
        <v>2918</v>
      </c>
      <c r="D1087" s="326" t="s">
        <v>501</v>
      </c>
      <c r="E1087" s="327">
        <f>IF(B1087&lt;&gt;"",SUMIF('AUX-NIV1'!I:I,'AUX-NIV2'!B1087,'AUX-NIV1'!Q:Q),"")</f>
        <v>0</v>
      </c>
      <c r="F1087" s="327">
        <f t="shared" si="458"/>
        <v>2325.542767080562</v>
      </c>
      <c r="G1087" s="327">
        <f t="shared" si="459"/>
        <v>0</v>
      </c>
      <c r="H1087" s="328" t="str">
        <f t="shared" si="479"/>
        <v>E</v>
      </c>
      <c r="I1087" s="325" t="s">
        <v>1597</v>
      </c>
      <c r="J1087" s="329" t="str">
        <f>IF(B1087&lt;&gt;"",+VLOOKUP(I1087,Recursos!C:F,2,FALSE),"")</f>
        <v>HIDROGRUA MONTADA S/CAMION (6 T)</v>
      </c>
      <c r="K1087" s="330" t="str">
        <f>IF(B1087&lt;&gt;"",+VLOOKUP(I1087,Recursos!C:F,3,FALSE),"")</f>
        <v>HR</v>
      </c>
      <c r="L1087" s="327">
        <f>IF(B1087&lt;&gt;"",+VLOOKUP(I1087,Recursos!C:F,4,FALSE),"")</f>
        <v>2378.0722500000002</v>
      </c>
      <c r="M1087" s="452">
        <v>0.75</v>
      </c>
      <c r="N1087" s="453">
        <v>1</v>
      </c>
      <c r="O1087" s="449">
        <f t="shared" si="480"/>
        <v>0.75</v>
      </c>
      <c r="P1087" s="333">
        <f t="shared" si="481"/>
        <v>1783.5541875000001</v>
      </c>
      <c r="Q1087" s="327">
        <f t="shared" si="482"/>
        <v>0</v>
      </c>
      <c r="R1087" s="334">
        <f t="shared" si="483"/>
        <v>0</v>
      </c>
      <c r="S1087" s="335">
        <f t="shared" si="460"/>
        <v>538.98857958056192</v>
      </c>
      <c r="T1087" s="335">
        <f t="shared" si="461"/>
        <v>1783.5541875000001</v>
      </c>
      <c r="U1087" s="336">
        <f t="shared" si="462"/>
        <v>3</v>
      </c>
      <c r="V1087" s="336">
        <f t="shared" si="463"/>
        <v>0</v>
      </c>
      <c r="W1087" s="336">
        <f t="shared" si="464"/>
        <v>0</v>
      </c>
      <c r="X1087" s="336">
        <f t="shared" si="465"/>
        <v>0</v>
      </c>
      <c r="Y1087" s="320"/>
      <c r="Z1087" s="321" t="str">
        <f t="shared" si="469"/>
        <v>X-SEÑPA</v>
      </c>
      <c r="AA1087" s="321" t="str">
        <f t="shared" si="470"/>
        <v>X-SEÑPE</v>
      </c>
      <c r="AB1087" s="321" t="str">
        <f t="shared" si="471"/>
        <v>X-SEÑPM</v>
      </c>
      <c r="AC1087" s="321" t="str">
        <f t="shared" si="472"/>
        <v>X-SEÑPT</v>
      </c>
      <c r="AD1087" s="321" t="str">
        <f t="shared" si="473"/>
        <v>X-SEÑPS</v>
      </c>
      <c r="AE1087" s="321" t="str">
        <f t="shared" si="474"/>
        <v>X-SEÑPX</v>
      </c>
      <c r="AF1087" s="321" t="str">
        <f t="shared" si="475"/>
        <v>X-SEÑPE</v>
      </c>
      <c r="AG1087" s="321">
        <f t="shared" si="466"/>
        <v>4</v>
      </c>
      <c r="AH1087" s="321">
        <f>IF(B1087&lt;&gt;"",IF(H1087="x",VLOOKUP(I1087,'AUX-NIV3'!B:AG,32,FALSE),0),"")</f>
        <v>0</v>
      </c>
      <c r="AI1087" s="321" t="str">
        <f t="shared" si="476"/>
        <v>X-SEÑP</v>
      </c>
      <c r="AJ1087" s="320"/>
      <c r="AK1087" s="322">
        <f t="shared" si="467"/>
        <v>1085</v>
      </c>
      <c r="AL1087" s="323">
        <f t="shared" si="477"/>
        <v>1088</v>
      </c>
      <c r="AM1087" s="322">
        <f t="shared" si="478"/>
        <v>3</v>
      </c>
      <c r="AN1087" s="380">
        <f>IF(AND(AH1087&gt;0,B1087&lt;&gt;""),VLOOKUP(I1087,'AUX-NIV3'!$B:$AO,39,FALSE)*O1087,0)</f>
        <v>0</v>
      </c>
      <c r="AO1087" s="380">
        <f t="shared" si="468"/>
        <v>1</v>
      </c>
      <c r="AP1087" s="380"/>
    </row>
    <row r="1088" spans="2:42" ht="14.4" hidden="1" thickTop="1" thickBot="1">
      <c r="B1088" s="324" t="s">
        <v>2944</v>
      </c>
      <c r="C1088" s="325" t="s">
        <v>2918</v>
      </c>
      <c r="D1088" s="326" t="s">
        <v>501</v>
      </c>
      <c r="E1088" s="327">
        <f>IF(B1088&lt;&gt;"",SUMIF('AUX-NIV1'!I:I,'AUX-NIV2'!B1088,'AUX-NIV1'!Q:Q),"")</f>
        <v>0</v>
      </c>
      <c r="F1088" s="327">
        <f t="shared" si="458"/>
        <v>2325.542767080562</v>
      </c>
      <c r="G1088" s="327">
        <f t="shared" si="459"/>
        <v>0</v>
      </c>
      <c r="H1088" s="328" t="str">
        <f t="shared" si="479"/>
        <v>M</v>
      </c>
      <c r="I1088" s="325" t="s">
        <v>621</v>
      </c>
      <c r="J1088" s="329" t="str">
        <f>IF(B1088&lt;&gt;"",+VLOOKUP(I1088,Recursos!C:F,2,FALSE),"")</f>
        <v>MATERIALES VARIOS</v>
      </c>
      <c r="K1088" s="330" t="str">
        <f>IF(B1088&lt;&gt;"",+VLOOKUP(I1088,Recursos!C:F,3,FALSE),"")</f>
        <v>GL</v>
      </c>
      <c r="L1088" s="327">
        <f>IF(B1088&lt;&gt;"",+VLOOKUP(I1088,Recursos!C:F,4,FALSE),"")</f>
        <v>0.5</v>
      </c>
      <c r="M1088" s="450">
        <v>6</v>
      </c>
      <c r="N1088" s="451">
        <v>1</v>
      </c>
      <c r="O1088" s="449">
        <f t="shared" si="480"/>
        <v>6</v>
      </c>
      <c r="P1088" s="333">
        <f t="shared" si="481"/>
        <v>3</v>
      </c>
      <c r="Q1088" s="327">
        <f t="shared" si="482"/>
        <v>0</v>
      </c>
      <c r="R1088" s="334">
        <f t="shared" si="483"/>
        <v>0</v>
      </c>
      <c r="S1088" s="335">
        <f t="shared" si="460"/>
        <v>538.98857958056192</v>
      </c>
      <c r="T1088" s="335">
        <f t="shared" si="461"/>
        <v>1783.5541875000001</v>
      </c>
      <c r="U1088" s="336">
        <f t="shared" si="462"/>
        <v>3</v>
      </c>
      <c r="V1088" s="336">
        <f t="shared" si="463"/>
        <v>0</v>
      </c>
      <c r="W1088" s="336">
        <f t="shared" si="464"/>
        <v>0</v>
      </c>
      <c r="X1088" s="336">
        <f t="shared" si="465"/>
        <v>0</v>
      </c>
      <c r="Y1088" s="320"/>
      <c r="Z1088" s="321" t="str">
        <f t="shared" si="469"/>
        <v>X-SEÑPA</v>
      </c>
      <c r="AA1088" s="321" t="str">
        <f t="shared" si="470"/>
        <v>X-SEÑPE</v>
      </c>
      <c r="AB1088" s="321" t="str">
        <f t="shared" si="471"/>
        <v>X-SEÑPM</v>
      </c>
      <c r="AC1088" s="321" t="str">
        <f t="shared" si="472"/>
        <v>X-SEÑPT</v>
      </c>
      <c r="AD1088" s="321" t="str">
        <f t="shared" si="473"/>
        <v>X-SEÑPS</v>
      </c>
      <c r="AE1088" s="321" t="str">
        <f t="shared" si="474"/>
        <v>X-SEÑPX</v>
      </c>
      <c r="AF1088" s="321" t="str">
        <f t="shared" si="475"/>
        <v>X-SEÑPM</v>
      </c>
      <c r="AG1088" s="321">
        <f t="shared" si="466"/>
        <v>4</v>
      </c>
      <c r="AH1088" s="321">
        <f>IF(B1088&lt;&gt;"",IF(H1088="x",VLOOKUP(I1088,'AUX-NIV3'!B:AG,32,FALSE),0),"")</f>
        <v>0</v>
      </c>
      <c r="AI1088" s="321" t="str">
        <f t="shared" si="476"/>
        <v>X-SEÑP</v>
      </c>
      <c r="AJ1088" s="320"/>
      <c r="AK1088" s="322">
        <f t="shared" si="467"/>
        <v>1085</v>
      </c>
      <c r="AL1088" s="323">
        <f t="shared" si="477"/>
        <v>1088</v>
      </c>
      <c r="AM1088" s="322">
        <f t="shared" si="478"/>
        <v>4</v>
      </c>
      <c r="AN1088" s="380">
        <f>IF(AND(AH1088&gt;0,B1088&lt;&gt;""),VLOOKUP(I1088,'AUX-NIV3'!$B:$AO,39,FALSE)*O1088,0)</f>
        <v>0</v>
      </c>
      <c r="AO1088" s="380">
        <f t="shared" si="468"/>
        <v>1</v>
      </c>
      <c r="AP1088" s="380"/>
    </row>
    <row r="1089" spans="2:42" ht="14.4" hidden="1" thickTop="1" thickBot="1">
      <c r="B1089" s="324" t="s">
        <v>2919</v>
      </c>
      <c r="C1089" s="325" t="s">
        <v>2920</v>
      </c>
      <c r="D1089" s="326" t="s">
        <v>501</v>
      </c>
      <c r="E1089" s="327">
        <f>IF(B1089&lt;&gt;"",SUMIF('AUX-NIV1'!I:I,'AUX-NIV2'!B1089,'AUX-NIV1'!Q:Q),"")</f>
        <v>0</v>
      </c>
      <c r="F1089" s="327">
        <f t="shared" si="458"/>
        <v>3942.163859161124</v>
      </c>
      <c r="G1089" s="327">
        <f t="shared" si="459"/>
        <v>0</v>
      </c>
      <c r="H1089" s="328" t="str">
        <f t="shared" si="479"/>
        <v>A</v>
      </c>
      <c r="I1089" s="325" t="s">
        <v>1746</v>
      </c>
      <c r="J1089" s="329" t="str">
        <f>IF(B1089&lt;&gt;"",+VLOOKUP(I1089,Recursos!C:F,2,FALSE),"")</f>
        <v>OFICIAL</v>
      </c>
      <c r="K1089" s="330" t="str">
        <f>IF(B1089&lt;&gt;"",+VLOOKUP(I1089,Recursos!C:F,3,FALSE),"")</f>
        <v>hh</v>
      </c>
      <c r="L1089" s="327">
        <f>IF(B1089&lt;&gt;"",+VLOOKUP(I1089,Recursos!C:F,4,FALSE),"")</f>
        <v>496.91595439275824</v>
      </c>
      <c r="M1089" s="447">
        <v>1</v>
      </c>
      <c r="N1089" s="448">
        <v>1</v>
      </c>
      <c r="O1089" s="449">
        <f t="shared" si="480"/>
        <v>1</v>
      </c>
      <c r="P1089" s="333">
        <f t="shared" si="481"/>
        <v>496.91595439275824</v>
      </c>
      <c r="Q1089" s="327">
        <f t="shared" si="482"/>
        <v>0</v>
      </c>
      <c r="R1089" s="334">
        <f t="shared" si="483"/>
        <v>0</v>
      </c>
      <c r="S1089" s="335">
        <f t="shared" si="460"/>
        <v>1077.9771591611238</v>
      </c>
      <c r="T1089" s="335">
        <f t="shared" si="461"/>
        <v>2853.6867000000002</v>
      </c>
      <c r="U1089" s="336">
        <f t="shared" si="462"/>
        <v>10.5</v>
      </c>
      <c r="V1089" s="336">
        <f t="shared" si="463"/>
        <v>0</v>
      </c>
      <c r="W1089" s="336">
        <f t="shared" si="464"/>
        <v>0</v>
      </c>
      <c r="X1089" s="336">
        <f t="shared" si="465"/>
        <v>0</v>
      </c>
      <c r="Y1089" s="320"/>
      <c r="Z1089" s="321" t="str">
        <f t="shared" si="469"/>
        <v>X-SEÑEA</v>
      </c>
      <c r="AA1089" s="321" t="str">
        <f t="shared" si="470"/>
        <v>X-SEÑEE</v>
      </c>
      <c r="AB1089" s="321" t="str">
        <f t="shared" si="471"/>
        <v>X-SEÑEM</v>
      </c>
      <c r="AC1089" s="321" t="str">
        <f t="shared" si="472"/>
        <v>X-SEÑET</v>
      </c>
      <c r="AD1089" s="321" t="str">
        <f t="shared" si="473"/>
        <v>X-SEÑES</v>
      </c>
      <c r="AE1089" s="321" t="str">
        <f t="shared" si="474"/>
        <v>X-SEÑEX</v>
      </c>
      <c r="AF1089" s="321" t="str">
        <f t="shared" si="475"/>
        <v>X-SEÑEA</v>
      </c>
      <c r="AG1089" s="321">
        <f t="shared" si="466"/>
        <v>4</v>
      </c>
      <c r="AH1089" s="321">
        <f>IF(B1089&lt;&gt;"",IF(H1089="x",VLOOKUP(I1089,'AUX-NIV3'!B:AG,32,FALSE),0),"")</f>
        <v>0</v>
      </c>
      <c r="AI1089" s="321" t="str">
        <f t="shared" si="476"/>
        <v>X-SEÑE</v>
      </c>
      <c r="AJ1089" s="320"/>
      <c r="AK1089" s="322">
        <f t="shared" si="467"/>
        <v>1089</v>
      </c>
      <c r="AL1089" s="323">
        <f t="shared" si="477"/>
        <v>1092</v>
      </c>
      <c r="AM1089" s="322">
        <f t="shared" si="478"/>
        <v>1</v>
      </c>
      <c r="AN1089" s="380">
        <f>IF(AND(AH1089&gt;0,B1089&lt;&gt;""),VLOOKUP(I1089,'AUX-NIV3'!$B:$AO,39,FALSE)*O1089,0)</f>
        <v>0</v>
      </c>
      <c r="AO1089" s="380">
        <f t="shared" si="468"/>
        <v>2</v>
      </c>
      <c r="AP1089" s="380"/>
    </row>
    <row r="1090" spans="2:42" ht="14.4" hidden="1" thickTop="1" thickBot="1">
      <c r="B1090" s="324" t="s">
        <v>2919</v>
      </c>
      <c r="C1090" s="325" t="s">
        <v>2920</v>
      </c>
      <c r="D1090" s="326" t="s">
        <v>501</v>
      </c>
      <c r="E1090" s="327">
        <f>IF(B1090&lt;&gt;"",SUMIF('AUX-NIV1'!I:I,'AUX-NIV2'!B1090,'AUX-NIV1'!Q:Q),"")</f>
        <v>0</v>
      </c>
      <c r="F1090" s="327">
        <f t="shared" si="458"/>
        <v>3942.163859161124</v>
      </c>
      <c r="G1090" s="327">
        <f t="shared" si="459"/>
        <v>0</v>
      </c>
      <c r="H1090" s="328" t="str">
        <f t="shared" si="479"/>
        <v>A</v>
      </c>
      <c r="I1090" s="325" t="s">
        <v>3310</v>
      </c>
      <c r="J1090" s="329" t="str">
        <f>IF(B1090&lt;&gt;"",+VLOOKUP(I1090,Recursos!C:F,2,FALSE),"")</f>
        <v>OFICIAL ESPECIALIZADO</v>
      </c>
      <c r="K1090" s="330" t="str">
        <f>IF(B1090&lt;&gt;"",+VLOOKUP(I1090,Recursos!C:F,3,FALSE),"")</f>
        <v>hh</v>
      </c>
      <c r="L1090" s="327">
        <f>IF(B1090&lt;&gt;"",+VLOOKUP(I1090,Recursos!C:F,4,FALSE),"")</f>
        <v>581.06120476836554</v>
      </c>
      <c r="M1090" s="452">
        <v>1</v>
      </c>
      <c r="N1090" s="453">
        <v>1</v>
      </c>
      <c r="O1090" s="449">
        <f t="shared" si="480"/>
        <v>1</v>
      </c>
      <c r="P1090" s="333">
        <f t="shared" si="481"/>
        <v>581.06120476836554</v>
      </c>
      <c r="Q1090" s="327">
        <f t="shared" si="482"/>
        <v>0</v>
      </c>
      <c r="R1090" s="334">
        <f t="shared" si="483"/>
        <v>0</v>
      </c>
      <c r="S1090" s="335">
        <f t="shared" si="460"/>
        <v>1077.9771591611238</v>
      </c>
      <c r="T1090" s="335">
        <f t="shared" si="461"/>
        <v>2853.6867000000002</v>
      </c>
      <c r="U1090" s="336">
        <f t="shared" si="462"/>
        <v>10.5</v>
      </c>
      <c r="V1090" s="336">
        <f t="shared" si="463"/>
        <v>0</v>
      </c>
      <c r="W1090" s="336">
        <f t="shared" si="464"/>
        <v>0</v>
      </c>
      <c r="X1090" s="336">
        <f t="shared" si="465"/>
        <v>0</v>
      </c>
      <c r="Y1090" s="320"/>
      <c r="Z1090" s="321" t="str">
        <f t="shared" si="469"/>
        <v>X-SEÑEA</v>
      </c>
      <c r="AA1090" s="321" t="str">
        <f t="shared" si="470"/>
        <v>X-SEÑEE</v>
      </c>
      <c r="AB1090" s="321" t="str">
        <f t="shared" si="471"/>
        <v>X-SEÑEM</v>
      </c>
      <c r="AC1090" s="321" t="str">
        <f t="shared" si="472"/>
        <v>X-SEÑET</v>
      </c>
      <c r="AD1090" s="321" t="str">
        <f t="shared" si="473"/>
        <v>X-SEÑES</v>
      </c>
      <c r="AE1090" s="321" t="str">
        <f t="shared" si="474"/>
        <v>X-SEÑEX</v>
      </c>
      <c r="AF1090" s="321" t="str">
        <f t="shared" si="475"/>
        <v>X-SEÑEA</v>
      </c>
      <c r="AG1090" s="321">
        <f t="shared" si="466"/>
        <v>4</v>
      </c>
      <c r="AH1090" s="321">
        <f>IF(B1090&lt;&gt;"",IF(H1090="x",VLOOKUP(I1090,'AUX-NIV3'!B:AG,32,FALSE),0),"")</f>
        <v>0</v>
      </c>
      <c r="AI1090" s="321" t="str">
        <f t="shared" si="476"/>
        <v>X-SEÑE</v>
      </c>
      <c r="AJ1090" s="320"/>
      <c r="AK1090" s="322">
        <f t="shared" si="467"/>
        <v>1089</v>
      </c>
      <c r="AL1090" s="323">
        <f t="shared" si="477"/>
        <v>1092</v>
      </c>
      <c r="AM1090" s="322">
        <f t="shared" si="478"/>
        <v>2</v>
      </c>
      <c r="AN1090" s="380">
        <f>IF(AND(AH1090&gt;0,B1090&lt;&gt;""),VLOOKUP(I1090,'AUX-NIV3'!$B:$AO,39,FALSE)*O1090,0)</f>
        <v>0</v>
      </c>
      <c r="AO1090" s="380">
        <f t="shared" si="468"/>
        <v>2</v>
      </c>
      <c r="AP1090" s="380"/>
    </row>
    <row r="1091" spans="2:42" ht="14.4" hidden="1" thickTop="1" thickBot="1">
      <c r="B1091" s="324" t="s">
        <v>2919</v>
      </c>
      <c r="C1091" s="325" t="s">
        <v>2920</v>
      </c>
      <c r="D1091" s="326" t="s">
        <v>501</v>
      </c>
      <c r="E1091" s="327">
        <f>IF(B1091&lt;&gt;"",SUMIF('AUX-NIV1'!I:I,'AUX-NIV2'!B1091,'AUX-NIV1'!Q:Q),"")</f>
        <v>0</v>
      </c>
      <c r="F1091" s="327">
        <f t="shared" si="458"/>
        <v>3942.163859161124</v>
      </c>
      <c r="G1091" s="327">
        <f t="shared" si="459"/>
        <v>0</v>
      </c>
      <c r="H1091" s="328" t="str">
        <f t="shared" si="479"/>
        <v>E</v>
      </c>
      <c r="I1091" s="325" t="s">
        <v>1597</v>
      </c>
      <c r="J1091" s="329" t="str">
        <f>IF(B1091&lt;&gt;"",+VLOOKUP(I1091,Recursos!C:F,2,FALSE),"")</f>
        <v>HIDROGRUA MONTADA S/CAMION (6 T)</v>
      </c>
      <c r="K1091" s="330" t="str">
        <f>IF(B1091&lt;&gt;"",+VLOOKUP(I1091,Recursos!C:F,3,FALSE),"")</f>
        <v>HR</v>
      </c>
      <c r="L1091" s="327">
        <f>IF(B1091&lt;&gt;"",+VLOOKUP(I1091,Recursos!C:F,4,FALSE),"")</f>
        <v>2378.0722500000002</v>
      </c>
      <c r="M1091" s="452">
        <v>1.2</v>
      </c>
      <c r="N1091" s="453">
        <v>1</v>
      </c>
      <c r="O1091" s="449">
        <f t="shared" si="480"/>
        <v>1.2</v>
      </c>
      <c r="P1091" s="333">
        <f t="shared" si="481"/>
        <v>2853.6867000000002</v>
      </c>
      <c r="Q1091" s="327">
        <f t="shared" si="482"/>
        <v>0</v>
      </c>
      <c r="R1091" s="334">
        <f t="shared" si="483"/>
        <v>0</v>
      </c>
      <c r="S1091" s="335">
        <f t="shared" si="460"/>
        <v>1077.9771591611238</v>
      </c>
      <c r="T1091" s="335">
        <f t="shared" si="461"/>
        <v>2853.6867000000002</v>
      </c>
      <c r="U1091" s="336">
        <f t="shared" si="462"/>
        <v>10.5</v>
      </c>
      <c r="V1091" s="336">
        <f t="shared" si="463"/>
        <v>0</v>
      </c>
      <c r="W1091" s="336">
        <f t="shared" si="464"/>
        <v>0</v>
      </c>
      <c r="X1091" s="336">
        <f t="shared" si="465"/>
        <v>0</v>
      </c>
      <c r="Y1091" s="320"/>
      <c r="Z1091" s="321" t="str">
        <f t="shared" si="469"/>
        <v>X-SEÑEA</v>
      </c>
      <c r="AA1091" s="321" t="str">
        <f t="shared" si="470"/>
        <v>X-SEÑEE</v>
      </c>
      <c r="AB1091" s="321" t="str">
        <f t="shared" si="471"/>
        <v>X-SEÑEM</v>
      </c>
      <c r="AC1091" s="321" t="str">
        <f t="shared" si="472"/>
        <v>X-SEÑET</v>
      </c>
      <c r="AD1091" s="321" t="str">
        <f t="shared" si="473"/>
        <v>X-SEÑES</v>
      </c>
      <c r="AE1091" s="321" t="str">
        <f t="shared" si="474"/>
        <v>X-SEÑEX</v>
      </c>
      <c r="AF1091" s="321" t="str">
        <f t="shared" si="475"/>
        <v>X-SEÑEE</v>
      </c>
      <c r="AG1091" s="321">
        <f t="shared" si="466"/>
        <v>4</v>
      </c>
      <c r="AH1091" s="321">
        <f>IF(B1091&lt;&gt;"",IF(H1091="x",VLOOKUP(I1091,'AUX-NIV3'!B:AG,32,FALSE),0),"")</f>
        <v>0</v>
      </c>
      <c r="AI1091" s="321" t="str">
        <f t="shared" si="476"/>
        <v>X-SEÑE</v>
      </c>
      <c r="AJ1091" s="320"/>
      <c r="AK1091" s="322">
        <f t="shared" si="467"/>
        <v>1089</v>
      </c>
      <c r="AL1091" s="323">
        <f t="shared" si="477"/>
        <v>1092</v>
      </c>
      <c r="AM1091" s="322">
        <f t="shared" si="478"/>
        <v>3</v>
      </c>
      <c r="AN1091" s="380">
        <f>IF(AND(AH1091&gt;0,B1091&lt;&gt;""),VLOOKUP(I1091,'AUX-NIV3'!$B:$AO,39,FALSE)*O1091,0)</f>
        <v>0</v>
      </c>
      <c r="AO1091" s="380">
        <f t="shared" si="468"/>
        <v>2</v>
      </c>
      <c r="AP1091" s="380"/>
    </row>
    <row r="1092" spans="2:42" ht="14.4" hidden="1" thickTop="1" thickBot="1">
      <c r="B1092" s="324" t="s">
        <v>2919</v>
      </c>
      <c r="C1092" s="325" t="s">
        <v>2920</v>
      </c>
      <c r="D1092" s="326" t="s">
        <v>501</v>
      </c>
      <c r="E1092" s="327">
        <f>IF(B1092&lt;&gt;"",SUMIF('AUX-NIV1'!I:I,'AUX-NIV2'!B1092,'AUX-NIV1'!Q:Q),"")</f>
        <v>0</v>
      </c>
      <c r="F1092" s="327">
        <f t="shared" si="458"/>
        <v>3942.163859161124</v>
      </c>
      <c r="G1092" s="327">
        <f t="shared" si="459"/>
        <v>0</v>
      </c>
      <c r="H1092" s="328" t="str">
        <f t="shared" si="479"/>
        <v>M</v>
      </c>
      <c r="I1092" s="325" t="s">
        <v>621</v>
      </c>
      <c r="J1092" s="329" t="str">
        <f>IF(B1092&lt;&gt;"",+VLOOKUP(I1092,Recursos!C:F,2,FALSE),"")</f>
        <v>MATERIALES VARIOS</v>
      </c>
      <c r="K1092" s="330" t="str">
        <f>IF(B1092&lt;&gt;"",+VLOOKUP(I1092,Recursos!C:F,3,FALSE),"")</f>
        <v>GL</v>
      </c>
      <c r="L1092" s="327">
        <f>IF(B1092&lt;&gt;"",+VLOOKUP(I1092,Recursos!C:F,4,FALSE),"")</f>
        <v>0.5</v>
      </c>
      <c r="M1092" s="450">
        <v>21</v>
      </c>
      <c r="N1092" s="451">
        <v>1</v>
      </c>
      <c r="O1092" s="449">
        <f t="shared" si="480"/>
        <v>21</v>
      </c>
      <c r="P1092" s="333">
        <f t="shared" si="481"/>
        <v>10.5</v>
      </c>
      <c r="Q1092" s="327">
        <f t="shared" si="482"/>
        <v>0</v>
      </c>
      <c r="R1092" s="334">
        <f t="shared" si="483"/>
        <v>0</v>
      </c>
      <c r="S1092" s="335">
        <f t="shared" si="460"/>
        <v>1077.9771591611238</v>
      </c>
      <c r="T1092" s="335">
        <f t="shared" si="461"/>
        <v>2853.6867000000002</v>
      </c>
      <c r="U1092" s="336">
        <f t="shared" si="462"/>
        <v>10.5</v>
      </c>
      <c r="V1092" s="336">
        <f t="shared" si="463"/>
        <v>0</v>
      </c>
      <c r="W1092" s="336">
        <f t="shared" si="464"/>
        <v>0</v>
      </c>
      <c r="X1092" s="336">
        <f t="shared" si="465"/>
        <v>0</v>
      </c>
      <c r="Y1092" s="320"/>
      <c r="Z1092" s="321" t="str">
        <f t="shared" si="469"/>
        <v>X-SEÑEA</v>
      </c>
      <c r="AA1092" s="321" t="str">
        <f t="shared" si="470"/>
        <v>X-SEÑEE</v>
      </c>
      <c r="AB1092" s="321" t="str">
        <f t="shared" si="471"/>
        <v>X-SEÑEM</v>
      </c>
      <c r="AC1092" s="321" t="str">
        <f t="shared" si="472"/>
        <v>X-SEÑET</v>
      </c>
      <c r="AD1092" s="321" t="str">
        <f t="shared" si="473"/>
        <v>X-SEÑES</v>
      </c>
      <c r="AE1092" s="321" t="str">
        <f t="shared" si="474"/>
        <v>X-SEÑEX</v>
      </c>
      <c r="AF1092" s="321" t="str">
        <f t="shared" si="475"/>
        <v>X-SEÑEM</v>
      </c>
      <c r="AG1092" s="321">
        <f t="shared" si="466"/>
        <v>4</v>
      </c>
      <c r="AH1092" s="321">
        <f>IF(B1092&lt;&gt;"",IF(H1092="x",VLOOKUP(I1092,'AUX-NIV3'!B:AG,32,FALSE),0),"")</f>
        <v>0</v>
      </c>
      <c r="AI1092" s="321" t="str">
        <f t="shared" si="476"/>
        <v>X-SEÑE</v>
      </c>
      <c r="AJ1092" s="320"/>
      <c r="AK1092" s="322">
        <f t="shared" si="467"/>
        <v>1089</v>
      </c>
      <c r="AL1092" s="323">
        <f t="shared" si="477"/>
        <v>1092</v>
      </c>
      <c r="AM1092" s="322">
        <f t="shared" si="478"/>
        <v>4</v>
      </c>
      <c r="AN1092" s="380">
        <f>IF(AND(AH1092&gt;0,B1092&lt;&gt;""),VLOOKUP(I1092,'AUX-NIV3'!$B:$AO,39,FALSE)*O1092,0)</f>
        <v>0</v>
      </c>
      <c r="AO1092" s="380">
        <f t="shared" si="468"/>
        <v>2</v>
      </c>
      <c r="AP1092" s="380"/>
    </row>
    <row r="1093" spans="2:42" ht="14.4" hidden="1" thickTop="1" thickBot="1">
      <c r="B1093" s="1334" t="s">
        <v>2840</v>
      </c>
      <c r="C1093" s="1332" t="s">
        <v>1521</v>
      </c>
      <c r="D1093" s="1333" t="s">
        <v>459</v>
      </c>
      <c r="E1093" s="327">
        <f>IF(B1093&lt;&gt;"",SUMIF('AUX-NIV1'!I:I,'AUX-NIV2'!B1093,'AUX-NIV1'!Q:Q),"")</f>
        <v>0</v>
      </c>
      <c r="F1093" s="327">
        <f t="shared" si="458"/>
        <v>313.05694805450901</v>
      </c>
      <c r="G1093" s="327">
        <f t="shared" si="459"/>
        <v>0</v>
      </c>
      <c r="H1093" s="328" t="str">
        <f t="shared" si="479"/>
        <v>X</v>
      </c>
      <c r="I1093" s="325" t="s">
        <v>1531</v>
      </c>
      <c r="J1093" s="329" t="str">
        <f>IF(B1093&lt;&gt;"",+VLOOKUP(I1093,Recursos!C:F,2,FALSE),"")</f>
        <v>Arena zarandeada</v>
      </c>
      <c r="K1093" s="330" t="str">
        <f>IF(B1093&lt;&gt;"",+VLOOKUP(I1093,Recursos!C:F,3,FALSE),"")</f>
        <v>tn</v>
      </c>
      <c r="L1093" s="446">
        <f>IF(B1093&lt;&gt;"",+VLOOKUP(I1093,Recursos!C:F,4,FALSE),"")</f>
        <v>313.05694805450901</v>
      </c>
      <c r="M1093" s="538">
        <v>1</v>
      </c>
      <c r="N1093" s="539">
        <v>1</v>
      </c>
      <c r="O1093" s="449">
        <f t="shared" si="480"/>
        <v>1</v>
      </c>
      <c r="P1093" s="333">
        <f t="shared" si="481"/>
        <v>313.05694805450901</v>
      </c>
      <c r="Q1093" s="327">
        <f t="shared" si="482"/>
        <v>0</v>
      </c>
      <c r="R1093" s="334">
        <f t="shared" si="483"/>
        <v>0</v>
      </c>
      <c r="S1093" s="335">
        <f t="shared" si="460"/>
        <v>0</v>
      </c>
      <c r="T1093" s="335">
        <f t="shared" si="461"/>
        <v>0</v>
      </c>
      <c r="U1093" s="336">
        <f t="shared" si="462"/>
        <v>0</v>
      </c>
      <c r="V1093" s="336">
        <f t="shared" si="463"/>
        <v>0</v>
      </c>
      <c r="W1093" s="336">
        <f t="shared" si="464"/>
        <v>0</v>
      </c>
      <c r="X1093" s="336">
        <f t="shared" si="465"/>
        <v>313.05694805450901</v>
      </c>
      <c r="Y1093" s="320"/>
      <c r="Z1093" s="321" t="str">
        <f t="shared" si="469"/>
        <v>X-ARE1A</v>
      </c>
      <c r="AA1093" s="321" t="str">
        <f t="shared" si="470"/>
        <v>X-ARE1E</v>
      </c>
      <c r="AB1093" s="321" t="str">
        <f t="shared" si="471"/>
        <v>X-ARE1M</v>
      </c>
      <c r="AC1093" s="321" t="str">
        <f t="shared" si="472"/>
        <v>X-ARE1T</v>
      </c>
      <c r="AD1093" s="321" t="str">
        <f t="shared" si="473"/>
        <v>X-ARE1S</v>
      </c>
      <c r="AE1093" s="321" t="str">
        <f t="shared" si="474"/>
        <v>X-ARE1X</v>
      </c>
      <c r="AF1093" s="321" t="str">
        <f t="shared" si="475"/>
        <v>X-ARE1X</v>
      </c>
      <c r="AG1093" s="321">
        <f t="shared" si="466"/>
        <v>1</v>
      </c>
      <c r="AH1093" s="321">
        <f>IF(B1093&lt;&gt;"",IF(H1093="x",VLOOKUP(I1093,'AUX-NIV3'!B:AG,32,FALSE),0),"")</f>
        <v>17</v>
      </c>
      <c r="AI1093" s="321" t="str">
        <f t="shared" si="476"/>
        <v>X-ARE1</v>
      </c>
      <c r="AJ1093" s="320"/>
      <c r="AK1093" s="322">
        <f t="shared" si="467"/>
        <v>1093</v>
      </c>
      <c r="AL1093" s="323">
        <f t="shared" si="477"/>
        <v>1093</v>
      </c>
      <c r="AM1093" s="322">
        <f t="shared" si="478"/>
        <v>1</v>
      </c>
      <c r="AN1093" s="380">
        <f>IF(AND(AH1093&gt;0,B1093&lt;&gt;""),VLOOKUP(I1093,'AUX-NIV3'!$B:$AO,39,FALSE)*O1093,0)</f>
        <v>0.17794058248299321</v>
      </c>
      <c r="AO1093" s="380">
        <f t="shared" si="468"/>
        <v>0.17794058248299321</v>
      </c>
      <c r="AP1093" s="380"/>
    </row>
    <row r="1094" spans="2:42" ht="14.4" hidden="1" thickTop="1" thickBot="1">
      <c r="B1094" s="1334" t="s">
        <v>2839</v>
      </c>
      <c r="C1094" s="1332" t="s">
        <v>1520</v>
      </c>
      <c r="D1094" s="1333" t="s">
        <v>459</v>
      </c>
      <c r="E1094" s="327">
        <f>IF(B1094&lt;&gt;"",SUMIF('AUX-NIV1'!I:I,'AUX-NIV2'!B1094,'AUX-NIV1'!Q:Q),"")</f>
        <v>0</v>
      </c>
      <c r="F1094" s="327">
        <f t="shared" si="458"/>
        <v>346.12398419675657</v>
      </c>
      <c r="G1094" s="327">
        <f t="shared" si="459"/>
        <v>0</v>
      </c>
      <c r="H1094" s="328" t="str">
        <f t="shared" si="479"/>
        <v>X</v>
      </c>
      <c r="I1094" s="324" t="s">
        <v>1529</v>
      </c>
      <c r="J1094" s="329" t="str">
        <f>IF(B1094&lt;&gt;"",+VLOOKUP(I1094,Recursos!C:F,2,FALSE),"")</f>
        <v>Agregado fino triturado</v>
      </c>
      <c r="K1094" s="330" t="str">
        <f>IF(B1094&lt;&gt;"",+VLOOKUP(I1094,Recursos!C:F,3,FALSE),"")</f>
        <v>tn</v>
      </c>
      <c r="L1094" s="327">
        <f>IF(B1094&lt;&gt;"",+VLOOKUP(I1094,Recursos!C:F,4,FALSE),"")</f>
        <v>346.12398419675657</v>
      </c>
      <c r="M1094" s="538">
        <v>1</v>
      </c>
      <c r="N1094" s="539">
        <v>1</v>
      </c>
      <c r="O1094" s="449">
        <f t="shared" si="480"/>
        <v>1</v>
      </c>
      <c r="P1094" s="333">
        <f t="shared" si="481"/>
        <v>346.12398419675657</v>
      </c>
      <c r="Q1094" s="327">
        <f t="shared" si="482"/>
        <v>0</v>
      </c>
      <c r="R1094" s="334">
        <f t="shared" si="483"/>
        <v>0</v>
      </c>
      <c r="S1094" s="335">
        <f t="shared" si="460"/>
        <v>0</v>
      </c>
      <c r="T1094" s="335">
        <f t="shared" si="461"/>
        <v>0</v>
      </c>
      <c r="U1094" s="336">
        <f t="shared" si="462"/>
        <v>0</v>
      </c>
      <c r="V1094" s="336">
        <f t="shared" si="463"/>
        <v>0</v>
      </c>
      <c r="W1094" s="336">
        <f t="shared" si="464"/>
        <v>0</v>
      </c>
      <c r="X1094" s="336">
        <f t="shared" si="465"/>
        <v>346.12398419675657</v>
      </c>
      <c r="Y1094" s="320"/>
      <c r="Z1094" s="321" t="str">
        <f t="shared" si="469"/>
        <v>X-AFT1A</v>
      </c>
      <c r="AA1094" s="321" t="str">
        <f t="shared" si="470"/>
        <v>X-AFT1E</v>
      </c>
      <c r="AB1094" s="321" t="str">
        <f t="shared" si="471"/>
        <v>X-AFT1M</v>
      </c>
      <c r="AC1094" s="321" t="str">
        <f t="shared" si="472"/>
        <v>X-AFT1T</v>
      </c>
      <c r="AD1094" s="321" t="str">
        <f t="shared" si="473"/>
        <v>X-AFT1S</v>
      </c>
      <c r="AE1094" s="321" t="str">
        <f t="shared" si="474"/>
        <v>X-AFT1X</v>
      </c>
      <c r="AF1094" s="321" t="str">
        <f t="shared" si="475"/>
        <v>X-AFT1X</v>
      </c>
      <c r="AG1094" s="321">
        <f t="shared" si="466"/>
        <v>1</v>
      </c>
      <c r="AH1094" s="321">
        <f>IF(B1094&lt;&gt;"",IF(H1094="x",VLOOKUP(I1094,'AUX-NIV3'!B:AG,32,FALSE),0),"")</f>
        <v>17</v>
      </c>
      <c r="AI1094" s="321" t="str">
        <f t="shared" si="476"/>
        <v>X-AFT1</v>
      </c>
      <c r="AJ1094" s="320"/>
      <c r="AK1094" s="322">
        <f t="shared" si="467"/>
        <v>1094</v>
      </c>
      <c r="AL1094" s="323">
        <f t="shared" si="477"/>
        <v>1094</v>
      </c>
      <c r="AM1094" s="322">
        <f t="shared" si="478"/>
        <v>1</v>
      </c>
      <c r="AN1094" s="380">
        <f>IF(AND(AH1094&gt;0,B1094&lt;&gt;""),VLOOKUP(I1094,'AUX-NIV3'!$B:$AO,39,FALSE)*O1094,0)</f>
        <v>0.19427391581632655</v>
      </c>
      <c r="AO1094" s="380">
        <f t="shared" si="468"/>
        <v>0.19427391581632655</v>
      </c>
      <c r="AP1094" s="380"/>
    </row>
    <row r="1095" spans="2:42" ht="14.4" hidden="1" thickTop="1" thickBot="1">
      <c r="B1095" s="1334" t="s">
        <v>2838</v>
      </c>
      <c r="C1095" s="1332" t="s">
        <v>1519</v>
      </c>
      <c r="D1095" s="1333" t="s">
        <v>459</v>
      </c>
      <c r="E1095" s="327">
        <f>IF(B1095&lt;&gt;"",SUMIF('AUX-NIV1'!I:I,'AUX-NIV2'!B1095,'AUX-NIV1'!Q:Q),"")</f>
        <v>0</v>
      </c>
      <c r="F1095" s="327">
        <f t="shared" ref="F1095:F1158" si="484">IF(B1095&lt;&gt;"",+SUMIF(B:B,B1095,P:P),"")</f>
        <v>346.12398419675657</v>
      </c>
      <c r="G1095" s="327">
        <f t="shared" ref="G1095:G1158" si="485">IF(B1095&lt;&gt;"",+SUMIF(B:B,B1095,R:R),"")</f>
        <v>0</v>
      </c>
      <c r="H1095" s="328" t="str">
        <f t="shared" si="479"/>
        <v>X</v>
      </c>
      <c r="I1095" s="324" t="s">
        <v>1525</v>
      </c>
      <c r="J1095" s="329" t="str">
        <f>IF(B1095&lt;&gt;"",+VLOOKUP(I1095,Recursos!C:F,2,FALSE),"")</f>
        <v>Agregado grueso triturado</v>
      </c>
      <c r="K1095" s="330" t="str">
        <f>IF(B1095&lt;&gt;"",+VLOOKUP(I1095,Recursos!C:F,3,FALSE),"")</f>
        <v>tn</v>
      </c>
      <c r="L1095" s="327">
        <f>IF(B1095&lt;&gt;"",+VLOOKUP(I1095,Recursos!C:F,4,FALSE),"")</f>
        <v>346.12398419675657</v>
      </c>
      <c r="M1095" s="538">
        <v>1</v>
      </c>
      <c r="N1095" s="539">
        <v>1</v>
      </c>
      <c r="O1095" s="449">
        <f t="shared" si="480"/>
        <v>1</v>
      </c>
      <c r="P1095" s="333">
        <f t="shared" si="481"/>
        <v>346.12398419675657</v>
      </c>
      <c r="Q1095" s="327">
        <f t="shared" si="482"/>
        <v>0</v>
      </c>
      <c r="R1095" s="334">
        <f t="shared" si="483"/>
        <v>0</v>
      </c>
      <c r="S1095" s="335">
        <f t="shared" ref="S1095:S1158" si="486">IF(B1095&lt;&gt;"",+SUMIF($AF:$AF,Z1095,$P:$P),"")</f>
        <v>0</v>
      </c>
      <c r="T1095" s="335">
        <f t="shared" ref="T1095:T1158" si="487">IF(B1095&lt;&gt;"",+SUMIF($AF:$AF,AA1095,$P:$P),"")</f>
        <v>0</v>
      </c>
      <c r="U1095" s="336">
        <f t="shared" ref="U1095:U1158" si="488">IF(B1095&lt;&gt;"",+SUMIF($AF:$AF,AB1095,$P:$P),"")</f>
        <v>0</v>
      </c>
      <c r="V1095" s="336">
        <f t="shared" ref="V1095:V1158" si="489">IF(B1095&lt;&gt;"",+SUMIF($AF:$AF,AC1095,$P:$P),"")</f>
        <v>0</v>
      </c>
      <c r="W1095" s="336">
        <f t="shared" ref="W1095:W1158" si="490">IF(B1095&lt;&gt;"",+SUMIF($AF:$AF,AD1095,$P:$P),"")</f>
        <v>0</v>
      </c>
      <c r="X1095" s="336">
        <f t="shared" ref="X1095:X1158" si="491">IF(B1095&lt;&gt;"",+SUMIF($AF:$AF,AE1095,$P:$P),"")</f>
        <v>346.12398419675657</v>
      </c>
      <c r="Y1095" s="320"/>
      <c r="Z1095" s="321" t="str">
        <f t="shared" si="469"/>
        <v>X-AGT1A</v>
      </c>
      <c r="AA1095" s="321" t="str">
        <f t="shared" si="470"/>
        <v>X-AGT1E</v>
      </c>
      <c r="AB1095" s="321" t="str">
        <f t="shared" si="471"/>
        <v>X-AGT1M</v>
      </c>
      <c r="AC1095" s="321" t="str">
        <f t="shared" si="472"/>
        <v>X-AGT1T</v>
      </c>
      <c r="AD1095" s="321" t="str">
        <f t="shared" si="473"/>
        <v>X-AGT1S</v>
      </c>
      <c r="AE1095" s="321" t="str">
        <f t="shared" si="474"/>
        <v>X-AGT1X</v>
      </c>
      <c r="AF1095" s="321" t="str">
        <f t="shared" si="475"/>
        <v>X-AGT1X</v>
      </c>
      <c r="AG1095" s="321">
        <f t="shared" ref="AG1095:AG1158" si="492">IF(B1095&lt;&gt;"",+COUNTIF(B:B,B1095),"")</f>
        <v>1</v>
      </c>
      <c r="AH1095" s="321">
        <f>IF(B1095&lt;&gt;"",IF(H1095="x",VLOOKUP(I1095,'AUX-NIV3'!B:AG,32,FALSE),0),"")</f>
        <v>17</v>
      </c>
      <c r="AI1095" s="321" t="str">
        <f t="shared" si="476"/>
        <v>X-AGT1</v>
      </c>
      <c r="AJ1095" s="320"/>
      <c r="AK1095" s="322">
        <f t="shared" ref="AK1095:AK1158" si="493">IF(B1095&lt;&gt;"",+MATCH(B1095,B:B,0),"")</f>
        <v>1095</v>
      </c>
      <c r="AL1095" s="323">
        <f t="shared" si="477"/>
        <v>1095</v>
      </c>
      <c r="AM1095" s="322">
        <f t="shared" si="478"/>
        <v>1</v>
      </c>
      <c r="AN1095" s="380">
        <f>IF(AND(AH1095&gt;0,B1095&lt;&gt;""),VLOOKUP(I1095,'AUX-NIV3'!$B:$AO,39,FALSE)*O1095,0)</f>
        <v>0.19427391581632655</v>
      </c>
      <c r="AO1095" s="380">
        <f t="shared" ref="AO1095:AO1158" si="494">+IF(B1095&lt;&gt;"",SUMIF(AF:AF,Z1095,O:O)+SUMIF(Z:Z,Z1095,AN:AN),0)</f>
        <v>0.19427391581632655</v>
      </c>
      <c r="AP1095" s="380"/>
    </row>
    <row r="1096" spans="2:42" ht="14.4" hidden="1" thickTop="1" thickBot="1">
      <c r="B1096" s="1334" t="s">
        <v>2842</v>
      </c>
      <c r="C1096" s="1332" t="s">
        <v>1769</v>
      </c>
      <c r="D1096" s="1333" t="s">
        <v>459</v>
      </c>
      <c r="E1096" s="327">
        <f>IF(B1096&lt;&gt;"",SUMIF('AUX-NIV1'!I:I,'AUX-NIV2'!B1096,'AUX-NIV1'!Q:Q),"")</f>
        <v>0</v>
      </c>
      <c r="F1096" s="327">
        <f t="shared" si="484"/>
        <v>467.71910146163452</v>
      </c>
      <c r="G1096" s="327">
        <f t="shared" si="485"/>
        <v>0</v>
      </c>
      <c r="H1096" s="328" t="str">
        <f t="shared" si="479"/>
        <v>X</v>
      </c>
      <c r="I1096" s="325" t="s">
        <v>2841</v>
      </c>
      <c r="J1096" s="329" t="str">
        <f>IF(B1096&lt;&gt;"",+VLOOKUP(I1096,Recursos!C:F,2,FALSE),"")</f>
        <v>AGREGADO CLASIFICADO</v>
      </c>
      <c r="K1096" s="330" t="str">
        <f>IF(B1096&lt;&gt;"",+VLOOKUP(I1096,Recursos!C:F,3,FALSE),"")</f>
        <v>tn</v>
      </c>
      <c r="L1096" s="327">
        <f>IF(B1096&lt;&gt;"",+VLOOKUP(I1096,Recursos!C:F,4,FALSE),"")</f>
        <v>467.71910146163452</v>
      </c>
      <c r="M1096" s="538">
        <v>1</v>
      </c>
      <c r="N1096" s="539">
        <v>1</v>
      </c>
      <c r="O1096" s="449">
        <f t="shared" si="480"/>
        <v>1</v>
      </c>
      <c r="P1096" s="333">
        <f t="shared" si="481"/>
        <v>467.71910146163452</v>
      </c>
      <c r="Q1096" s="327">
        <f t="shared" si="482"/>
        <v>0</v>
      </c>
      <c r="R1096" s="334">
        <f t="shared" si="483"/>
        <v>0</v>
      </c>
      <c r="S1096" s="335">
        <f t="shared" si="486"/>
        <v>0</v>
      </c>
      <c r="T1096" s="335">
        <f t="shared" si="487"/>
        <v>0</v>
      </c>
      <c r="U1096" s="336">
        <f t="shared" si="488"/>
        <v>0</v>
      </c>
      <c r="V1096" s="336">
        <f t="shared" si="489"/>
        <v>0</v>
      </c>
      <c r="W1096" s="336">
        <f t="shared" si="490"/>
        <v>0</v>
      </c>
      <c r="X1096" s="336">
        <f t="shared" si="491"/>
        <v>467.71910146163452</v>
      </c>
      <c r="Y1096" s="320"/>
      <c r="Z1096" s="321" t="str">
        <f t="shared" ref="Z1096:Z1124" si="495">IF(B1096&lt;&gt;"",+$B1096&amp;"A","")</f>
        <v>X-AGCLAS1A</v>
      </c>
      <c r="AA1096" s="321" t="str">
        <f t="shared" ref="AA1096:AA1124" si="496">IF(B1096&lt;&gt;"",+$B1096&amp;"E","")</f>
        <v>X-AGCLAS1E</v>
      </c>
      <c r="AB1096" s="321" t="str">
        <f t="shared" ref="AB1096:AB1124" si="497">IF(B1096&lt;&gt;"",++$B1096&amp;"M","")</f>
        <v>X-AGCLAS1M</v>
      </c>
      <c r="AC1096" s="321" t="str">
        <f t="shared" ref="AC1096:AC1124" si="498">IF(B1096&lt;&gt;"",+$B1096&amp;"T","")</f>
        <v>X-AGCLAS1T</v>
      </c>
      <c r="AD1096" s="321" t="str">
        <f t="shared" ref="AD1096:AD1124" si="499">IF(B1096&lt;&gt;"",+$B1096&amp;"S","")</f>
        <v>X-AGCLAS1S</v>
      </c>
      <c r="AE1096" s="321" t="str">
        <f t="shared" ref="AE1096:AE1124" si="500">IF(B1096&lt;&gt;"",+$B1096&amp;"X","")</f>
        <v>X-AGCLAS1X</v>
      </c>
      <c r="AF1096" s="321" t="str">
        <f t="shared" ref="AF1096:AF1124" si="501">IF(B1096&lt;&gt;"",+B1096&amp;H1096,"")</f>
        <v>X-AGCLAS1X</v>
      </c>
      <c r="AG1096" s="321">
        <f t="shared" si="492"/>
        <v>1</v>
      </c>
      <c r="AH1096" s="321">
        <f>IF(B1096&lt;&gt;"",IF(H1096="x",VLOOKUP(I1096,'AUX-NIV3'!B:AG,32,FALSE),0),"")</f>
        <v>18</v>
      </c>
      <c r="AI1096" s="321" t="str">
        <f t="shared" ref="AI1096:AI1124" si="502">IF(B1096&lt;&gt;"",+B1096,"")</f>
        <v>X-AGCLAS1</v>
      </c>
      <c r="AJ1096" s="320"/>
      <c r="AK1096" s="322">
        <f t="shared" si="493"/>
        <v>1096</v>
      </c>
      <c r="AL1096" s="323">
        <f t="shared" ref="AL1096:AL1124" si="503">IF(B1096&lt;&gt;"",+AK1096+AG1096-1,"")</f>
        <v>1096</v>
      </c>
      <c r="AM1096" s="322">
        <f t="shared" ref="AM1096:AM1124" si="504">IF(B1096&lt;&gt;"",IF(B1096=B1095,1+AM1095,1),"")</f>
        <v>1</v>
      </c>
      <c r="AN1096" s="380">
        <f>IF(AND(AH1096&gt;0,B1096&lt;&gt;""),VLOOKUP(I1096,'AUX-NIV3'!$B:$AO,39,FALSE)*O1096,0)</f>
        <v>0.12022369743351885</v>
      </c>
      <c r="AO1096" s="380">
        <f t="shared" si="494"/>
        <v>0.12022369743351885</v>
      </c>
      <c r="AP1096" s="380"/>
    </row>
    <row r="1097" spans="2:42" ht="14.4" hidden="1" thickTop="1" thickBot="1">
      <c r="B1097" s="324" t="s">
        <v>2923</v>
      </c>
      <c r="C1097" s="325" t="s">
        <v>2924</v>
      </c>
      <c r="D1097" s="326" t="s">
        <v>477</v>
      </c>
      <c r="E1097" s="327">
        <f>IF(B1097&lt;&gt;"",SUMIF('AUX-NIV1'!I:I,'AUX-NIV2'!B1097,'AUX-NIV1'!Q:Q),"")</f>
        <v>0</v>
      </c>
      <c r="F1097" s="327" t="e">
        <f t="shared" si="484"/>
        <v>#N/A</v>
      </c>
      <c r="G1097" s="327" t="e">
        <f t="shared" si="485"/>
        <v>#N/A</v>
      </c>
      <c r="H1097" s="328" t="str">
        <f t="shared" ref="H1097:H1128" si="505">IF(B1097&lt;&gt;"",+LEFT(I1097,1),"")</f>
        <v>E</v>
      </c>
      <c r="I1097" s="325" t="s">
        <v>1583</v>
      </c>
      <c r="J1097" s="329" t="str">
        <f>IF(B1097&lt;&gt;"",+VLOOKUP(I1097,Recursos!C:F,2,FALSE),"")</f>
        <v>MOTOCOMPRESOR 21 M3/MIN-750 CFM</v>
      </c>
      <c r="K1097" s="330" t="str">
        <f>IF(B1097&lt;&gt;"",+VLOOKUP(I1097,Recursos!C:F,3,FALSE),"")</f>
        <v>HR</v>
      </c>
      <c r="L1097" s="446">
        <f>IF(B1097&lt;&gt;"",+VLOOKUP(I1097,Recursos!C:F,4,FALSE),"")</f>
        <v>3148.9333999999999</v>
      </c>
      <c r="M1097" s="447">
        <v>20</v>
      </c>
      <c r="N1097" s="448">
        <v>4</v>
      </c>
      <c r="O1097" s="449">
        <f>1/M1097/N1097</f>
        <v>1.2500000000000001E-2</v>
      </c>
      <c r="P1097" s="333">
        <f t="shared" si="481"/>
        <v>39.361667500000003</v>
      </c>
      <c r="Q1097" s="327">
        <f t="shared" si="482"/>
        <v>0</v>
      </c>
      <c r="R1097" s="334">
        <f t="shared" si="483"/>
        <v>0</v>
      </c>
      <c r="S1097" s="335" t="e">
        <f t="shared" si="486"/>
        <v>#N/A</v>
      </c>
      <c r="T1097" s="335">
        <f t="shared" si="487"/>
        <v>45.239747500000007</v>
      </c>
      <c r="U1097" s="336">
        <f t="shared" si="488"/>
        <v>5.9275000000000002</v>
      </c>
      <c r="V1097" s="336">
        <f t="shared" si="489"/>
        <v>0</v>
      </c>
      <c r="W1097" s="336">
        <f t="shared" si="490"/>
        <v>0</v>
      </c>
      <c r="X1097" s="336">
        <f t="shared" si="491"/>
        <v>0</v>
      </c>
      <c r="Y1097" s="320"/>
      <c r="Z1097" s="321" t="str">
        <f t="shared" si="495"/>
        <v>X-PERMANA</v>
      </c>
      <c r="AA1097" s="321" t="str">
        <f t="shared" si="496"/>
        <v>X-PERMANE</v>
      </c>
      <c r="AB1097" s="321" t="str">
        <f t="shared" si="497"/>
        <v>X-PERMANM</v>
      </c>
      <c r="AC1097" s="321" t="str">
        <f t="shared" si="498"/>
        <v>X-PERMANT</v>
      </c>
      <c r="AD1097" s="321" t="str">
        <f t="shared" si="499"/>
        <v>X-PERMANS</v>
      </c>
      <c r="AE1097" s="321" t="str">
        <f t="shared" si="500"/>
        <v>X-PERMANX</v>
      </c>
      <c r="AF1097" s="321" t="str">
        <f t="shared" si="501"/>
        <v>X-PERMANE</v>
      </c>
      <c r="AG1097" s="321">
        <f t="shared" si="492"/>
        <v>12</v>
      </c>
      <c r="AH1097" s="321">
        <f>IF(B1097&lt;&gt;"",IF(H1097="x",VLOOKUP(I1097,'AUX-NIV3'!B:AG,32,FALSE),0),"")</f>
        <v>0</v>
      </c>
      <c r="AI1097" s="321" t="str">
        <f t="shared" si="502"/>
        <v>X-PERMAN</v>
      </c>
      <c r="AJ1097" s="320"/>
      <c r="AK1097" s="322">
        <f t="shared" si="493"/>
        <v>1097</v>
      </c>
      <c r="AL1097" s="323">
        <f t="shared" si="503"/>
        <v>1108</v>
      </c>
      <c r="AM1097" s="322" t="e">
        <f>IF(B1097&lt;&gt;"",IF(B1097=#REF!,1+#REF!,1),"")</f>
        <v>#REF!</v>
      </c>
      <c r="AN1097" s="380">
        <f>IF(AND(AH1097&gt;0,B1097&lt;&gt;""),VLOOKUP(I1097,'AUX-NIV3'!$B:$AO,39,FALSE)*O1097,0)</f>
        <v>0</v>
      </c>
      <c r="AO1097" s="380">
        <f t="shared" si="494"/>
        <v>0.15625</v>
      </c>
      <c r="AP1097" s="380"/>
    </row>
    <row r="1098" spans="2:42" ht="14.4" hidden="1" thickTop="1" thickBot="1">
      <c r="B1098" s="324" t="s">
        <v>2923</v>
      </c>
      <c r="C1098" s="325" t="s">
        <v>2924</v>
      </c>
      <c r="D1098" s="326" t="s">
        <v>477</v>
      </c>
      <c r="E1098" s="327">
        <f>IF(B1098&lt;&gt;"",SUMIF('AUX-NIV1'!I:I,'AUX-NIV2'!B1098,'AUX-NIV1'!Q:Q),"")</f>
        <v>0</v>
      </c>
      <c r="F1098" s="327" t="e">
        <f t="shared" si="484"/>
        <v>#N/A</v>
      </c>
      <c r="G1098" s="327" t="e">
        <f t="shared" si="485"/>
        <v>#N/A</v>
      </c>
      <c r="H1098" s="328" t="str">
        <f t="shared" si="505"/>
        <v>E</v>
      </c>
      <c r="I1098" s="325" t="s">
        <v>1575</v>
      </c>
      <c r="J1098" s="329" t="str">
        <f>IF(B1098&lt;&gt;"",+VLOOKUP(I1098,Recursos!C:F,2,FALSE),"")</f>
        <v>MARTILLO NEUMATICO PERFORADOR</v>
      </c>
      <c r="K1098" s="330" t="str">
        <f>IF(B1098&lt;&gt;"",+VLOOKUP(I1098,Recursos!C:F,3,FALSE),"")</f>
        <v>HR</v>
      </c>
      <c r="L1098" s="446">
        <f>IF(B1098&lt;&gt;"",+VLOOKUP(I1098,Recursos!C:F,4,FALSE),"")</f>
        <v>117.5616</v>
      </c>
      <c r="M1098" s="452"/>
      <c r="N1098" s="453"/>
      <c r="O1098" s="449">
        <f>1/M1097</f>
        <v>0.05</v>
      </c>
      <c r="P1098" s="333">
        <f t="shared" si="481"/>
        <v>5.8780800000000006</v>
      </c>
      <c r="Q1098" s="327">
        <f t="shared" si="482"/>
        <v>0</v>
      </c>
      <c r="R1098" s="334">
        <f t="shared" si="483"/>
        <v>0</v>
      </c>
      <c r="S1098" s="335" t="e">
        <f t="shared" si="486"/>
        <v>#N/A</v>
      </c>
      <c r="T1098" s="335">
        <f t="shared" si="487"/>
        <v>45.239747500000007</v>
      </c>
      <c r="U1098" s="336">
        <f t="shared" si="488"/>
        <v>5.9275000000000002</v>
      </c>
      <c r="V1098" s="336">
        <f t="shared" si="489"/>
        <v>0</v>
      </c>
      <c r="W1098" s="336">
        <f t="shared" si="490"/>
        <v>0</v>
      </c>
      <c r="X1098" s="336">
        <f t="shared" si="491"/>
        <v>0</v>
      </c>
      <c r="Y1098" s="320"/>
      <c r="Z1098" s="321" t="str">
        <f t="shared" si="495"/>
        <v>X-PERMANA</v>
      </c>
      <c r="AA1098" s="321" t="str">
        <f t="shared" si="496"/>
        <v>X-PERMANE</v>
      </c>
      <c r="AB1098" s="321" t="str">
        <f t="shared" si="497"/>
        <v>X-PERMANM</v>
      </c>
      <c r="AC1098" s="321" t="str">
        <f t="shared" si="498"/>
        <v>X-PERMANT</v>
      </c>
      <c r="AD1098" s="321" t="str">
        <f t="shared" si="499"/>
        <v>X-PERMANS</v>
      </c>
      <c r="AE1098" s="321" t="str">
        <f t="shared" si="500"/>
        <v>X-PERMANX</v>
      </c>
      <c r="AF1098" s="321" t="str">
        <f t="shared" si="501"/>
        <v>X-PERMANE</v>
      </c>
      <c r="AG1098" s="321">
        <f t="shared" si="492"/>
        <v>12</v>
      </c>
      <c r="AH1098" s="321">
        <f>IF(B1098&lt;&gt;"",IF(H1098="x",VLOOKUP(I1098,'AUX-NIV3'!B:AG,32,FALSE),0),"")</f>
        <v>0</v>
      </c>
      <c r="AI1098" s="321" t="str">
        <f t="shared" si="502"/>
        <v>X-PERMAN</v>
      </c>
      <c r="AJ1098" s="320"/>
      <c r="AK1098" s="322">
        <f t="shared" si="493"/>
        <v>1097</v>
      </c>
      <c r="AL1098" s="323">
        <f t="shared" si="503"/>
        <v>1108</v>
      </c>
      <c r="AM1098" s="322" t="e">
        <f t="shared" si="504"/>
        <v>#REF!</v>
      </c>
      <c r="AN1098" s="380">
        <f>IF(AND(AH1098&gt;0,B1098&lt;&gt;""),VLOOKUP(I1098,'AUX-NIV3'!$B:$AO,39,FALSE)*O1098,0)</f>
        <v>0</v>
      </c>
      <c r="AO1098" s="380">
        <f t="shared" si="494"/>
        <v>0.15625</v>
      </c>
      <c r="AP1098" s="380"/>
    </row>
    <row r="1099" spans="2:42" ht="14.4" hidden="1" thickTop="1" thickBot="1">
      <c r="B1099" s="324" t="s">
        <v>2923</v>
      </c>
      <c r="C1099" s="325" t="s">
        <v>2924</v>
      </c>
      <c r="D1099" s="326" t="s">
        <v>477</v>
      </c>
      <c r="E1099" s="327">
        <f>IF(B1099&lt;&gt;"",SUMIF('AUX-NIV1'!I:I,'AUX-NIV2'!B1099,'AUX-NIV1'!Q:Q),"")</f>
        <v>0</v>
      </c>
      <c r="F1099" s="327" t="e">
        <f t="shared" si="484"/>
        <v>#N/A</v>
      </c>
      <c r="G1099" s="327" t="e">
        <f t="shared" si="485"/>
        <v>#N/A</v>
      </c>
      <c r="H1099" s="328" t="str">
        <f t="shared" si="505"/>
        <v>M</v>
      </c>
      <c r="I1099" s="324" t="s">
        <v>2263</v>
      </c>
      <c r="J1099" s="329" t="str">
        <f>IF(B1099&lt;&gt;"",+VLOOKUP(I1099,Recursos!C:F,2,FALSE),"")</f>
        <v>BARRENO INTEGRAL S.12 x 800 mm</v>
      </c>
      <c r="K1099" s="330" t="str">
        <f>IF(B1099&lt;&gt;"",+VLOOKUP(I1099,Recursos!C:F,3,FALSE),"")</f>
        <v>Un</v>
      </c>
      <c r="L1099" s="446">
        <f>IF(B1099&lt;&gt;"",+VLOOKUP(I1099,Recursos!C:F,4,FALSE),"")</f>
        <v>62</v>
      </c>
      <c r="M1099" s="452">
        <v>400</v>
      </c>
      <c r="N1099" s="453"/>
      <c r="O1099" s="449">
        <f>1/M1099</f>
        <v>2.5000000000000001E-3</v>
      </c>
      <c r="P1099" s="333">
        <f t="shared" si="481"/>
        <v>0.155</v>
      </c>
      <c r="Q1099" s="327">
        <f t="shared" si="482"/>
        <v>0</v>
      </c>
      <c r="R1099" s="334">
        <f t="shared" si="483"/>
        <v>0</v>
      </c>
      <c r="S1099" s="335" t="e">
        <f t="shared" si="486"/>
        <v>#N/A</v>
      </c>
      <c r="T1099" s="335">
        <f t="shared" si="487"/>
        <v>45.239747500000007</v>
      </c>
      <c r="U1099" s="336">
        <f t="shared" si="488"/>
        <v>5.9275000000000002</v>
      </c>
      <c r="V1099" s="336">
        <f t="shared" si="489"/>
        <v>0</v>
      </c>
      <c r="W1099" s="336">
        <f t="shared" si="490"/>
        <v>0</v>
      </c>
      <c r="X1099" s="336">
        <f t="shared" si="491"/>
        <v>0</v>
      </c>
      <c r="Y1099" s="320"/>
      <c r="Z1099" s="321" t="str">
        <f t="shared" si="495"/>
        <v>X-PERMANA</v>
      </c>
      <c r="AA1099" s="321" t="str">
        <f t="shared" si="496"/>
        <v>X-PERMANE</v>
      </c>
      <c r="AB1099" s="321" t="str">
        <f t="shared" si="497"/>
        <v>X-PERMANM</v>
      </c>
      <c r="AC1099" s="321" t="str">
        <f t="shared" si="498"/>
        <v>X-PERMANT</v>
      </c>
      <c r="AD1099" s="321" t="str">
        <f t="shared" si="499"/>
        <v>X-PERMANS</v>
      </c>
      <c r="AE1099" s="321" t="str">
        <f t="shared" si="500"/>
        <v>X-PERMANX</v>
      </c>
      <c r="AF1099" s="321" t="str">
        <f t="shared" si="501"/>
        <v>X-PERMANM</v>
      </c>
      <c r="AG1099" s="321">
        <f t="shared" si="492"/>
        <v>12</v>
      </c>
      <c r="AH1099" s="321">
        <f>IF(B1099&lt;&gt;"",IF(H1099="x",VLOOKUP(I1099,'AUX-NIV3'!B:AG,32,FALSE),0),"")</f>
        <v>0</v>
      </c>
      <c r="AI1099" s="321" t="str">
        <f t="shared" si="502"/>
        <v>X-PERMAN</v>
      </c>
      <c r="AJ1099" s="320"/>
      <c r="AK1099" s="322">
        <f t="shared" si="493"/>
        <v>1097</v>
      </c>
      <c r="AL1099" s="323">
        <f t="shared" si="503"/>
        <v>1108</v>
      </c>
      <c r="AM1099" s="322" t="e">
        <f t="shared" si="504"/>
        <v>#REF!</v>
      </c>
      <c r="AN1099" s="380">
        <f>IF(AND(AH1099&gt;0,B1099&lt;&gt;""),VLOOKUP(I1099,'AUX-NIV3'!$B:$AO,39,FALSE)*O1099,0)</f>
        <v>0</v>
      </c>
      <c r="AO1099" s="380">
        <f t="shared" si="494"/>
        <v>0.15625</v>
      </c>
      <c r="AP1099" s="380"/>
    </row>
    <row r="1100" spans="2:42" ht="14.4" hidden="1" thickTop="1" thickBot="1">
      <c r="B1100" s="324" t="s">
        <v>2923</v>
      </c>
      <c r="C1100" s="325" t="s">
        <v>2924</v>
      </c>
      <c r="D1100" s="326" t="s">
        <v>477</v>
      </c>
      <c r="E1100" s="327">
        <f>IF(B1100&lt;&gt;"",SUMIF('AUX-NIV1'!I:I,'AUX-NIV2'!B1100,'AUX-NIV1'!Q:Q),"")</f>
        <v>0</v>
      </c>
      <c r="F1100" s="327" t="e">
        <f t="shared" si="484"/>
        <v>#N/A</v>
      </c>
      <c r="G1100" s="327" t="e">
        <f t="shared" si="485"/>
        <v>#N/A</v>
      </c>
      <c r="H1100" s="328" t="str">
        <f t="shared" si="505"/>
        <v>M</v>
      </c>
      <c r="I1100" s="325" t="s">
        <v>2264</v>
      </c>
      <c r="J1100" s="329" t="str">
        <f>IF(B1100&lt;&gt;"",+VLOOKUP(I1100,Recursos!C:F,2,FALSE),"")</f>
        <v>BARRENO INTEGRAL S.12 x 1600 mm</v>
      </c>
      <c r="K1100" s="330" t="str">
        <f>IF(B1100&lt;&gt;"",+VLOOKUP(I1100,Recursos!C:F,3,FALSE),"")</f>
        <v>Un</v>
      </c>
      <c r="L1100" s="446">
        <f>IF(B1100&lt;&gt;"",+VLOOKUP(I1100,Recursos!C:F,4,FALSE),"")</f>
        <v>80</v>
      </c>
      <c r="M1100" s="452"/>
      <c r="N1100" s="453"/>
      <c r="O1100" s="449">
        <f>1/M1099</f>
        <v>2.5000000000000001E-3</v>
      </c>
      <c r="P1100" s="333">
        <f t="shared" si="481"/>
        <v>0.2</v>
      </c>
      <c r="Q1100" s="327">
        <f t="shared" si="482"/>
        <v>0</v>
      </c>
      <c r="R1100" s="334">
        <f t="shared" si="483"/>
        <v>0</v>
      </c>
      <c r="S1100" s="335" t="e">
        <f t="shared" si="486"/>
        <v>#N/A</v>
      </c>
      <c r="T1100" s="335">
        <f t="shared" si="487"/>
        <v>45.239747500000007</v>
      </c>
      <c r="U1100" s="336">
        <f t="shared" si="488"/>
        <v>5.9275000000000002</v>
      </c>
      <c r="V1100" s="336">
        <f t="shared" si="489"/>
        <v>0</v>
      </c>
      <c r="W1100" s="336">
        <f t="shared" si="490"/>
        <v>0</v>
      </c>
      <c r="X1100" s="336">
        <f t="shared" si="491"/>
        <v>0</v>
      </c>
      <c r="Y1100" s="320"/>
      <c r="Z1100" s="321" t="str">
        <f t="shared" si="495"/>
        <v>X-PERMANA</v>
      </c>
      <c r="AA1100" s="321" t="str">
        <f t="shared" si="496"/>
        <v>X-PERMANE</v>
      </c>
      <c r="AB1100" s="321" t="str">
        <f t="shared" si="497"/>
        <v>X-PERMANM</v>
      </c>
      <c r="AC1100" s="321" t="str">
        <f t="shared" si="498"/>
        <v>X-PERMANT</v>
      </c>
      <c r="AD1100" s="321" t="str">
        <f t="shared" si="499"/>
        <v>X-PERMANS</v>
      </c>
      <c r="AE1100" s="321" t="str">
        <f t="shared" si="500"/>
        <v>X-PERMANX</v>
      </c>
      <c r="AF1100" s="321" t="str">
        <f t="shared" si="501"/>
        <v>X-PERMANM</v>
      </c>
      <c r="AG1100" s="321">
        <f t="shared" si="492"/>
        <v>12</v>
      </c>
      <c r="AH1100" s="321">
        <f>IF(B1100&lt;&gt;"",IF(H1100="x",VLOOKUP(I1100,'AUX-NIV3'!B:AG,32,FALSE),0),"")</f>
        <v>0</v>
      </c>
      <c r="AI1100" s="321" t="str">
        <f t="shared" si="502"/>
        <v>X-PERMAN</v>
      </c>
      <c r="AJ1100" s="320"/>
      <c r="AK1100" s="322">
        <f t="shared" si="493"/>
        <v>1097</v>
      </c>
      <c r="AL1100" s="323">
        <f t="shared" si="503"/>
        <v>1108</v>
      </c>
      <c r="AM1100" s="322" t="e">
        <f t="shared" si="504"/>
        <v>#REF!</v>
      </c>
      <c r="AN1100" s="380">
        <f>IF(AND(AH1100&gt;0,B1100&lt;&gt;""),VLOOKUP(I1100,'AUX-NIV3'!$B:$AO,39,FALSE)*O1100,0)</f>
        <v>0</v>
      </c>
      <c r="AO1100" s="380">
        <f t="shared" si="494"/>
        <v>0.15625</v>
      </c>
      <c r="AP1100" s="380"/>
    </row>
    <row r="1101" spans="2:42" ht="14.4" hidden="1" thickTop="1" thickBot="1">
      <c r="B1101" s="324" t="s">
        <v>2923</v>
      </c>
      <c r="C1101" s="325" t="s">
        <v>2924</v>
      </c>
      <c r="D1101" s="326" t="s">
        <v>477</v>
      </c>
      <c r="E1101" s="327">
        <f>IF(B1101&lt;&gt;"",SUMIF('AUX-NIV1'!I:I,'AUX-NIV2'!B1101,'AUX-NIV1'!Q:Q),"")</f>
        <v>0</v>
      </c>
      <c r="F1101" s="327" t="e">
        <f t="shared" si="484"/>
        <v>#N/A</v>
      </c>
      <c r="G1101" s="327" t="e">
        <f t="shared" si="485"/>
        <v>#N/A</v>
      </c>
      <c r="H1101" s="328" t="str">
        <f t="shared" si="505"/>
        <v>M</v>
      </c>
      <c r="I1101" s="325" t="s">
        <v>2265</v>
      </c>
      <c r="J1101" s="329" t="str">
        <f>IF(B1101&lt;&gt;"",+VLOOKUP(I1101,Recursos!C:F,2,FALSE),"")</f>
        <v>BARRENO INTEGRAL S.12 x 2400 mm</v>
      </c>
      <c r="K1101" s="330" t="str">
        <f>IF(B1101&lt;&gt;"",+VLOOKUP(I1101,Recursos!C:F,3,FALSE),"")</f>
        <v>Un</v>
      </c>
      <c r="L1101" s="446">
        <f>IF(B1101&lt;&gt;"",+VLOOKUP(I1101,Recursos!C:F,4,FALSE),"")</f>
        <v>92</v>
      </c>
      <c r="M1101" s="452"/>
      <c r="N1101" s="453"/>
      <c r="O1101" s="449">
        <f>1/M1099</f>
        <v>2.5000000000000001E-3</v>
      </c>
      <c r="P1101" s="333">
        <f t="shared" si="481"/>
        <v>0.23</v>
      </c>
      <c r="Q1101" s="327">
        <f t="shared" si="482"/>
        <v>0</v>
      </c>
      <c r="R1101" s="334">
        <f t="shared" si="483"/>
        <v>0</v>
      </c>
      <c r="S1101" s="335" t="e">
        <f t="shared" si="486"/>
        <v>#N/A</v>
      </c>
      <c r="T1101" s="335">
        <f t="shared" si="487"/>
        <v>45.239747500000007</v>
      </c>
      <c r="U1101" s="336">
        <f t="shared" si="488"/>
        <v>5.9275000000000002</v>
      </c>
      <c r="V1101" s="336">
        <f t="shared" si="489"/>
        <v>0</v>
      </c>
      <c r="W1101" s="336">
        <f t="shared" si="490"/>
        <v>0</v>
      </c>
      <c r="X1101" s="336">
        <f t="shared" si="491"/>
        <v>0</v>
      </c>
      <c r="Y1101" s="320"/>
      <c r="Z1101" s="321" t="str">
        <f t="shared" si="495"/>
        <v>X-PERMANA</v>
      </c>
      <c r="AA1101" s="321" t="str">
        <f t="shared" si="496"/>
        <v>X-PERMANE</v>
      </c>
      <c r="AB1101" s="321" t="str">
        <f t="shared" si="497"/>
        <v>X-PERMANM</v>
      </c>
      <c r="AC1101" s="321" t="str">
        <f t="shared" si="498"/>
        <v>X-PERMANT</v>
      </c>
      <c r="AD1101" s="321" t="str">
        <f t="shared" si="499"/>
        <v>X-PERMANS</v>
      </c>
      <c r="AE1101" s="321" t="str">
        <f t="shared" si="500"/>
        <v>X-PERMANX</v>
      </c>
      <c r="AF1101" s="321" t="str">
        <f t="shared" si="501"/>
        <v>X-PERMANM</v>
      </c>
      <c r="AG1101" s="321">
        <f t="shared" si="492"/>
        <v>12</v>
      </c>
      <c r="AH1101" s="321">
        <f>IF(B1101&lt;&gt;"",IF(H1101="x",VLOOKUP(I1101,'AUX-NIV3'!B:AG,32,FALSE),0),"")</f>
        <v>0</v>
      </c>
      <c r="AI1101" s="321" t="str">
        <f t="shared" si="502"/>
        <v>X-PERMAN</v>
      </c>
      <c r="AJ1101" s="320"/>
      <c r="AK1101" s="322">
        <f t="shared" si="493"/>
        <v>1097</v>
      </c>
      <c r="AL1101" s="323">
        <f t="shared" si="503"/>
        <v>1108</v>
      </c>
      <c r="AM1101" s="322" t="e">
        <f t="shared" si="504"/>
        <v>#REF!</v>
      </c>
      <c r="AN1101" s="380">
        <f>IF(AND(AH1101&gt;0,B1101&lt;&gt;""),VLOOKUP(I1101,'AUX-NIV3'!$B:$AO,39,FALSE)*O1101,0)</f>
        <v>0</v>
      </c>
      <c r="AO1101" s="380">
        <f t="shared" si="494"/>
        <v>0.15625</v>
      </c>
      <c r="AP1101" s="380"/>
    </row>
    <row r="1102" spans="2:42" ht="14.4" hidden="1" thickTop="1" thickBot="1">
      <c r="B1102" s="324" t="s">
        <v>2923</v>
      </c>
      <c r="C1102" s="325" t="s">
        <v>2924</v>
      </c>
      <c r="D1102" s="326" t="s">
        <v>477</v>
      </c>
      <c r="E1102" s="327">
        <f>IF(B1102&lt;&gt;"",SUMIF('AUX-NIV1'!I:I,'AUX-NIV2'!B1102,'AUX-NIV1'!Q:Q),"")</f>
        <v>0</v>
      </c>
      <c r="F1102" s="327" t="e">
        <f t="shared" si="484"/>
        <v>#N/A</v>
      </c>
      <c r="G1102" s="327" t="e">
        <f t="shared" si="485"/>
        <v>#N/A</v>
      </c>
      <c r="H1102" s="328" t="str">
        <f t="shared" si="505"/>
        <v>M</v>
      </c>
      <c r="I1102" s="325" t="s">
        <v>2266</v>
      </c>
      <c r="J1102" s="329" t="str">
        <f>IF(B1102&lt;&gt;"",+VLOOKUP(I1102,Recursos!C:F,2,FALSE),"")</f>
        <v>BARRENO INTEGRAL S.12 x 3200 mm</v>
      </c>
      <c r="K1102" s="330" t="str">
        <f>IF(B1102&lt;&gt;"",+VLOOKUP(I1102,Recursos!C:F,3,FALSE),"")</f>
        <v>Un</v>
      </c>
      <c r="L1102" s="446">
        <f>IF(B1102&lt;&gt;"",+VLOOKUP(I1102,Recursos!C:F,4,FALSE),"")</f>
        <v>105</v>
      </c>
      <c r="M1102" s="452"/>
      <c r="N1102" s="453"/>
      <c r="O1102" s="449">
        <f>1/M1099</f>
        <v>2.5000000000000001E-3</v>
      </c>
      <c r="P1102" s="333">
        <f t="shared" si="481"/>
        <v>0.26250000000000001</v>
      </c>
      <c r="Q1102" s="327">
        <f t="shared" si="482"/>
        <v>0</v>
      </c>
      <c r="R1102" s="334">
        <f t="shared" si="483"/>
        <v>0</v>
      </c>
      <c r="S1102" s="335" t="e">
        <f t="shared" si="486"/>
        <v>#N/A</v>
      </c>
      <c r="T1102" s="335">
        <f t="shared" si="487"/>
        <v>45.239747500000007</v>
      </c>
      <c r="U1102" s="336">
        <f t="shared" si="488"/>
        <v>5.9275000000000002</v>
      </c>
      <c r="V1102" s="336">
        <f t="shared" si="489"/>
        <v>0</v>
      </c>
      <c r="W1102" s="336">
        <f t="shared" si="490"/>
        <v>0</v>
      </c>
      <c r="X1102" s="336">
        <f t="shared" si="491"/>
        <v>0</v>
      </c>
      <c r="Y1102" s="320"/>
      <c r="Z1102" s="321" t="str">
        <f t="shared" si="495"/>
        <v>X-PERMANA</v>
      </c>
      <c r="AA1102" s="321" t="str">
        <f t="shared" si="496"/>
        <v>X-PERMANE</v>
      </c>
      <c r="AB1102" s="321" t="str">
        <f t="shared" si="497"/>
        <v>X-PERMANM</v>
      </c>
      <c r="AC1102" s="321" t="str">
        <f t="shared" si="498"/>
        <v>X-PERMANT</v>
      </c>
      <c r="AD1102" s="321" t="str">
        <f t="shared" si="499"/>
        <v>X-PERMANS</v>
      </c>
      <c r="AE1102" s="321" t="str">
        <f t="shared" si="500"/>
        <v>X-PERMANX</v>
      </c>
      <c r="AF1102" s="321" t="str">
        <f t="shared" si="501"/>
        <v>X-PERMANM</v>
      </c>
      <c r="AG1102" s="321">
        <f t="shared" si="492"/>
        <v>12</v>
      </c>
      <c r="AH1102" s="321">
        <f>IF(B1102&lt;&gt;"",IF(H1102="x",VLOOKUP(I1102,'AUX-NIV3'!B:AG,32,FALSE),0),"")</f>
        <v>0</v>
      </c>
      <c r="AI1102" s="321" t="str">
        <f t="shared" si="502"/>
        <v>X-PERMAN</v>
      </c>
      <c r="AJ1102" s="320"/>
      <c r="AK1102" s="322">
        <f t="shared" si="493"/>
        <v>1097</v>
      </c>
      <c r="AL1102" s="323">
        <f t="shared" si="503"/>
        <v>1108</v>
      </c>
      <c r="AM1102" s="322" t="e">
        <f t="shared" si="504"/>
        <v>#REF!</v>
      </c>
      <c r="AN1102" s="380">
        <f>IF(AND(AH1102&gt;0,B1102&lt;&gt;""),VLOOKUP(I1102,'AUX-NIV3'!$B:$AO,39,FALSE)*O1102,0)</f>
        <v>0</v>
      </c>
      <c r="AO1102" s="380">
        <f t="shared" si="494"/>
        <v>0.15625</v>
      </c>
      <c r="AP1102" s="380"/>
    </row>
    <row r="1103" spans="2:42" ht="14.4" hidden="1" thickTop="1" thickBot="1">
      <c r="B1103" s="324" t="s">
        <v>2923</v>
      </c>
      <c r="C1103" s="325" t="s">
        <v>2924</v>
      </c>
      <c r="D1103" s="326" t="s">
        <v>477</v>
      </c>
      <c r="E1103" s="327">
        <f>IF(B1103&lt;&gt;"",SUMIF('AUX-NIV1'!I:I,'AUX-NIV2'!B1103,'AUX-NIV1'!Q:Q),"")</f>
        <v>0</v>
      </c>
      <c r="F1103" s="327" t="e">
        <f t="shared" si="484"/>
        <v>#N/A</v>
      </c>
      <c r="G1103" s="327" t="e">
        <f t="shared" si="485"/>
        <v>#N/A</v>
      </c>
      <c r="H1103" s="328" t="str">
        <f t="shared" si="505"/>
        <v>M</v>
      </c>
      <c r="I1103" s="325" t="s">
        <v>2470</v>
      </c>
      <c r="J1103" s="329" t="str">
        <f>IF(B1103&lt;&gt;"",+VLOOKUP(I1103,Recursos!C:F,2,FALSE),"")</f>
        <v>MANGON 2"</v>
      </c>
      <c r="K1103" s="330" t="str">
        <f>IF(B1103&lt;&gt;"",+VLOOKUP(I1103,Recursos!C:F,3,FALSE),"")</f>
        <v>m</v>
      </c>
      <c r="L1103" s="446">
        <f>IF(B1103&lt;&gt;"",+VLOOKUP(I1103,Recursos!C:F,4,FALSE),"")</f>
        <v>30</v>
      </c>
      <c r="M1103" s="452">
        <v>500</v>
      </c>
      <c r="N1103" s="453"/>
      <c r="O1103" s="449">
        <f>1/M1103</f>
        <v>2E-3</v>
      </c>
      <c r="P1103" s="333">
        <f t="shared" si="481"/>
        <v>0.06</v>
      </c>
      <c r="Q1103" s="327">
        <f t="shared" si="482"/>
        <v>0</v>
      </c>
      <c r="R1103" s="334">
        <f t="shared" si="483"/>
        <v>0</v>
      </c>
      <c r="S1103" s="335" t="e">
        <f t="shared" si="486"/>
        <v>#N/A</v>
      </c>
      <c r="T1103" s="335">
        <f t="shared" si="487"/>
        <v>45.239747500000007</v>
      </c>
      <c r="U1103" s="336">
        <f t="shared" si="488"/>
        <v>5.9275000000000002</v>
      </c>
      <c r="V1103" s="336">
        <f t="shared" si="489"/>
        <v>0</v>
      </c>
      <c r="W1103" s="336">
        <f t="shared" si="490"/>
        <v>0</v>
      </c>
      <c r="X1103" s="336">
        <f t="shared" si="491"/>
        <v>0</v>
      </c>
      <c r="Y1103" s="320"/>
      <c r="Z1103" s="321" t="str">
        <f t="shared" si="495"/>
        <v>X-PERMANA</v>
      </c>
      <c r="AA1103" s="321" t="str">
        <f t="shared" si="496"/>
        <v>X-PERMANE</v>
      </c>
      <c r="AB1103" s="321" t="str">
        <f t="shared" si="497"/>
        <v>X-PERMANM</v>
      </c>
      <c r="AC1103" s="321" t="str">
        <f t="shared" si="498"/>
        <v>X-PERMANT</v>
      </c>
      <c r="AD1103" s="321" t="str">
        <f t="shared" si="499"/>
        <v>X-PERMANS</v>
      </c>
      <c r="AE1103" s="321" t="str">
        <f t="shared" si="500"/>
        <v>X-PERMANX</v>
      </c>
      <c r="AF1103" s="321" t="str">
        <f t="shared" si="501"/>
        <v>X-PERMANM</v>
      </c>
      <c r="AG1103" s="321">
        <f t="shared" si="492"/>
        <v>12</v>
      </c>
      <c r="AH1103" s="321">
        <f>IF(B1103&lt;&gt;"",IF(H1103="x",VLOOKUP(I1103,'AUX-NIV3'!B:AG,32,FALSE),0),"")</f>
        <v>0</v>
      </c>
      <c r="AI1103" s="321" t="str">
        <f t="shared" si="502"/>
        <v>X-PERMAN</v>
      </c>
      <c r="AJ1103" s="320"/>
      <c r="AK1103" s="322">
        <f t="shared" si="493"/>
        <v>1097</v>
      </c>
      <c r="AL1103" s="323">
        <f t="shared" si="503"/>
        <v>1108</v>
      </c>
      <c r="AM1103" s="322" t="e">
        <f t="shared" si="504"/>
        <v>#REF!</v>
      </c>
      <c r="AN1103" s="380">
        <f>IF(AND(AH1103&gt;0,B1103&lt;&gt;""),VLOOKUP(I1103,'AUX-NIV3'!$B:$AO,39,FALSE)*O1103,0)</f>
        <v>0</v>
      </c>
      <c r="AO1103" s="380">
        <f t="shared" si="494"/>
        <v>0.15625</v>
      </c>
      <c r="AP1103" s="380"/>
    </row>
    <row r="1104" spans="2:42" ht="14.4" hidden="1" thickTop="1" thickBot="1">
      <c r="B1104" s="324" t="s">
        <v>2923</v>
      </c>
      <c r="C1104" s="325" t="s">
        <v>2924</v>
      </c>
      <c r="D1104" s="326" t="s">
        <v>477</v>
      </c>
      <c r="E1104" s="327">
        <f>IF(B1104&lt;&gt;"",SUMIF('AUX-NIV1'!I:I,'AUX-NIV2'!B1104,'AUX-NIV1'!Q:Q),"")</f>
        <v>0</v>
      </c>
      <c r="F1104" s="327" t="e">
        <f t="shared" si="484"/>
        <v>#N/A</v>
      </c>
      <c r="G1104" s="327" t="e">
        <f t="shared" si="485"/>
        <v>#N/A</v>
      </c>
      <c r="H1104" s="328" t="str">
        <f t="shared" si="505"/>
        <v>M</v>
      </c>
      <c r="I1104" s="325" t="s">
        <v>2472</v>
      </c>
      <c r="J1104" s="329" t="str">
        <f>IF(B1104&lt;&gt;"",+VLOOKUP(I1104,Recursos!C:F,2,FALSE),"")</f>
        <v>MANGUERA 2"</v>
      </c>
      <c r="K1104" s="330" t="str">
        <f>IF(B1104&lt;&gt;"",+VLOOKUP(I1104,Recursos!C:F,3,FALSE),"")</f>
        <v>m</v>
      </c>
      <c r="L1104" s="446">
        <f>IF(B1104&lt;&gt;"",+VLOOKUP(I1104,Recursos!C:F,4,FALSE),"")</f>
        <v>10</v>
      </c>
      <c r="M1104" s="452"/>
      <c r="N1104" s="453"/>
      <c r="O1104" s="449">
        <f>1/M1103</f>
        <v>2E-3</v>
      </c>
      <c r="P1104" s="333">
        <f t="shared" si="481"/>
        <v>0.02</v>
      </c>
      <c r="Q1104" s="327">
        <f t="shared" si="482"/>
        <v>0</v>
      </c>
      <c r="R1104" s="334">
        <f t="shared" si="483"/>
        <v>0</v>
      </c>
      <c r="S1104" s="335" t="e">
        <f t="shared" si="486"/>
        <v>#N/A</v>
      </c>
      <c r="T1104" s="335">
        <f t="shared" si="487"/>
        <v>45.239747500000007</v>
      </c>
      <c r="U1104" s="336">
        <f t="shared" si="488"/>
        <v>5.9275000000000002</v>
      </c>
      <c r="V1104" s="336">
        <f t="shared" si="489"/>
        <v>0</v>
      </c>
      <c r="W1104" s="336">
        <f t="shared" si="490"/>
        <v>0</v>
      </c>
      <c r="X1104" s="336">
        <f t="shared" si="491"/>
        <v>0</v>
      </c>
      <c r="Y1104" s="320"/>
      <c r="Z1104" s="321" t="str">
        <f t="shared" si="495"/>
        <v>X-PERMANA</v>
      </c>
      <c r="AA1104" s="321" t="str">
        <f t="shared" si="496"/>
        <v>X-PERMANE</v>
      </c>
      <c r="AB1104" s="321" t="str">
        <f t="shared" si="497"/>
        <v>X-PERMANM</v>
      </c>
      <c r="AC1104" s="321" t="str">
        <f t="shared" si="498"/>
        <v>X-PERMANT</v>
      </c>
      <c r="AD1104" s="321" t="str">
        <f t="shared" si="499"/>
        <v>X-PERMANS</v>
      </c>
      <c r="AE1104" s="321" t="str">
        <f t="shared" si="500"/>
        <v>X-PERMANX</v>
      </c>
      <c r="AF1104" s="321" t="str">
        <f t="shared" si="501"/>
        <v>X-PERMANM</v>
      </c>
      <c r="AG1104" s="321">
        <f t="shared" si="492"/>
        <v>12</v>
      </c>
      <c r="AH1104" s="321">
        <f>IF(B1104&lt;&gt;"",IF(H1104="x",VLOOKUP(I1104,'AUX-NIV3'!B:AG,32,FALSE),0),"")</f>
        <v>0</v>
      </c>
      <c r="AI1104" s="321" t="str">
        <f t="shared" si="502"/>
        <v>X-PERMAN</v>
      </c>
      <c r="AJ1104" s="320"/>
      <c r="AK1104" s="322">
        <f t="shared" si="493"/>
        <v>1097</v>
      </c>
      <c r="AL1104" s="323">
        <f t="shared" si="503"/>
        <v>1108</v>
      </c>
      <c r="AM1104" s="322" t="e">
        <f t="shared" si="504"/>
        <v>#REF!</v>
      </c>
      <c r="AN1104" s="380">
        <f>IF(AND(AH1104&gt;0,B1104&lt;&gt;""),VLOOKUP(I1104,'AUX-NIV3'!$B:$AO,39,FALSE)*O1104,0)</f>
        <v>0</v>
      </c>
      <c r="AO1104" s="380">
        <f t="shared" si="494"/>
        <v>0.15625</v>
      </c>
      <c r="AP1104" s="380"/>
    </row>
    <row r="1105" spans="2:42" ht="14.4" hidden="1" thickTop="1" thickBot="1">
      <c r="B1105" s="324" t="s">
        <v>2923</v>
      </c>
      <c r="C1105" s="325" t="s">
        <v>2924</v>
      </c>
      <c r="D1105" s="326" t="s">
        <v>477</v>
      </c>
      <c r="E1105" s="327">
        <f>IF(B1105&lt;&gt;"",SUMIF('AUX-NIV1'!I:I,'AUX-NIV2'!B1105,'AUX-NIV1'!Q:Q),"")</f>
        <v>0</v>
      </c>
      <c r="F1105" s="327" t="e">
        <f t="shared" si="484"/>
        <v>#N/A</v>
      </c>
      <c r="G1105" s="327" t="e">
        <f t="shared" si="485"/>
        <v>#N/A</v>
      </c>
      <c r="H1105" s="328" t="str">
        <f t="shared" si="505"/>
        <v>M</v>
      </c>
      <c r="I1105" s="325" t="s">
        <v>621</v>
      </c>
      <c r="J1105" s="329" t="str">
        <f>IF(B1105&lt;&gt;"",+VLOOKUP(I1105,Recursos!C:F,2,FALSE),"")</f>
        <v>MATERIALES VARIOS</v>
      </c>
      <c r="K1105" s="330" t="str">
        <f>IF(B1105&lt;&gt;"",+VLOOKUP(I1105,Recursos!C:F,3,FALSE),"")</f>
        <v>GL</v>
      </c>
      <c r="L1105" s="446">
        <f>IF(B1105&lt;&gt;"",+VLOOKUP(I1105,Recursos!C:F,4,FALSE),"")</f>
        <v>0.5</v>
      </c>
      <c r="M1105" s="452"/>
      <c r="N1105" s="453">
        <v>10</v>
      </c>
      <c r="O1105" s="449">
        <f>N1105</f>
        <v>10</v>
      </c>
      <c r="P1105" s="333">
        <f t="shared" si="481"/>
        <v>5</v>
      </c>
      <c r="Q1105" s="327">
        <f t="shared" si="482"/>
        <v>0</v>
      </c>
      <c r="R1105" s="334">
        <f t="shared" si="483"/>
        <v>0</v>
      </c>
      <c r="S1105" s="335" t="e">
        <f t="shared" si="486"/>
        <v>#N/A</v>
      </c>
      <c r="T1105" s="335">
        <f t="shared" si="487"/>
        <v>45.239747500000007</v>
      </c>
      <c r="U1105" s="336">
        <f t="shared" si="488"/>
        <v>5.9275000000000002</v>
      </c>
      <c r="V1105" s="336">
        <f t="shared" si="489"/>
        <v>0</v>
      </c>
      <c r="W1105" s="336">
        <f t="shared" si="490"/>
        <v>0</v>
      </c>
      <c r="X1105" s="336">
        <f t="shared" si="491"/>
        <v>0</v>
      </c>
      <c r="Y1105" s="320"/>
      <c r="Z1105" s="321" t="str">
        <f t="shared" si="495"/>
        <v>X-PERMANA</v>
      </c>
      <c r="AA1105" s="321" t="str">
        <f t="shared" si="496"/>
        <v>X-PERMANE</v>
      </c>
      <c r="AB1105" s="321" t="str">
        <f t="shared" si="497"/>
        <v>X-PERMANM</v>
      </c>
      <c r="AC1105" s="321" t="str">
        <f t="shared" si="498"/>
        <v>X-PERMANT</v>
      </c>
      <c r="AD1105" s="321" t="str">
        <f t="shared" si="499"/>
        <v>X-PERMANS</v>
      </c>
      <c r="AE1105" s="321" t="str">
        <f t="shared" si="500"/>
        <v>X-PERMANX</v>
      </c>
      <c r="AF1105" s="321" t="str">
        <f t="shared" si="501"/>
        <v>X-PERMANM</v>
      </c>
      <c r="AG1105" s="321">
        <f t="shared" si="492"/>
        <v>12</v>
      </c>
      <c r="AH1105" s="321">
        <f>IF(B1105&lt;&gt;"",IF(H1105="x",VLOOKUP(I1105,'AUX-NIV3'!B:AG,32,FALSE),0),"")</f>
        <v>0</v>
      </c>
      <c r="AI1105" s="321" t="str">
        <f t="shared" si="502"/>
        <v>X-PERMAN</v>
      </c>
      <c r="AJ1105" s="320"/>
      <c r="AK1105" s="322">
        <f t="shared" si="493"/>
        <v>1097</v>
      </c>
      <c r="AL1105" s="323">
        <f t="shared" si="503"/>
        <v>1108</v>
      </c>
      <c r="AM1105" s="322" t="e">
        <f t="shared" si="504"/>
        <v>#REF!</v>
      </c>
      <c r="AN1105" s="380">
        <f>IF(AND(AH1105&gt;0,B1105&lt;&gt;""),VLOOKUP(I1105,'AUX-NIV3'!$B:$AO,39,FALSE)*O1105,0)</f>
        <v>0</v>
      </c>
      <c r="AO1105" s="380">
        <f t="shared" si="494"/>
        <v>0.15625</v>
      </c>
      <c r="AP1105" s="380"/>
    </row>
    <row r="1106" spans="2:42" ht="14.4" hidden="1" thickTop="1" thickBot="1">
      <c r="B1106" s="324" t="s">
        <v>2923</v>
      </c>
      <c r="C1106" s="325" t="s">
        <v>2924</v>
      </c>
      <c r="D1106" s="326" t="s">
        <v>477</v>
      </c>
      <c r="E1106" s="327">
        <f>IF(B1106&lt;&gt;"",SUMIF('AUX-NIV1'!I:I,'AUX-NIV2'!B1106,'AUX-NIV1'!Q:Q),"")</f>
        <v>0</v>
      </c>
      <c r="F1106" s="327" t="e">
        <f t="shared" si="484"/>
        <v>#N/A</v>
      </c>
      <c r="G1106" s="327" t="e">
        <f t="shared" si="485"/>
        <v>#N/A</v>
      </c>
      <c r="H1106" s="328" t="str">
        <f t="shared" si="505"/>
        <v>A</v>
      </c>
      <c r="I1106" s="325" t="s">
        <v>3310</v>
      </c>
      <c r="J1106" s="329" t="str">
        <f>IF(B1106&lt;&gt;"",+VLOOKUP(I1106,Recursos!C:F,2,FALSE),"")</f>
        <v>OFICIAL ESPECIALIZADO</v>
      </c>
      <c r="K1106" s="330" t="str">
        <f>IF(B1106&lt;&gt;"",+VLOOKUP(I1106,Recursos!C:F,3,FALSE),"")</f>
        <v>hh</v>
      </c>
      <c r="L1106" s="446">
        <f>IF(B1106&lt;&gt;"",+VLOOKUP(I1106,Recursos!C:F,4,FALSE),"")</f>
        <v>581.06120476836554</v>
      </c>
      <c r="M1106" s="452">
        <v>1</v>
      </c>
      <c r="N1106" s="453">
        <v>1.25</v>
      </c>
      <c r="O1106" s="449">
        <f>N1106/M1097*M1106</f>
        <v>6.25E-2</v>
      </c>
      <c r="P1106" s="333">
        <f t="shared" si="481"/>
        <v>36.316325298022846</v>
      </c>
      <c r="Q1106" s="327">
        <f t="shared" si="482"/>
        <v>0</v>
      </c>
      <c r="R1106" s="334">
        <f t="shared" si="483"/>
        <v>0</v>
      </c>
      <c r="S1106" s="335" t="e">
        <f t="shared" si="486"/>
        <v>#N/A</v>
      </c>
      <c r="T1106" s="335">
        <f t="shared" si="487"/>
        <v>45.239747500000007</v>
      </c>
      <c r="U1106" s="336">
        <f t="shared" si="488"/>
        <v>5.9275000000000002</v>
      </c>
      <c r="V1106" s="336">
        <f t="shared" si="489"/>
        <v>0</v>
      </c>
      <c r="W1106" s="336">
        <f t="shared" si="490"/>
        <v>0</v>
      </c>
      <c r="X1106" s="336">
        <f t="shared" si="491"/>
        <v>0</v>
      </c>
      <c r="Y1106" s="320"/>
      <c r="Z1106" s="321" t="str">
        <f t="shared" si="495"/>
        <v>X-PERMANA</v>
      </c>
      <c r="AA1106" s="321" t="str">
        <f t="shared" si="496"/>
        <v>X-PERMANE</v>
      </c>
      <c r="AB1106" s="321" t="str">
        <f t="shared" si="497"/>
        <v>X-PERMANM</v>
      </c>
      <c r="AC1106" s="321" t="str">
        <f t="shared" si="498"/>
        <v>X-PERMANT</v>
      </c>
      <c r="AD1106" s="321" t="str">
        <f t="shared" si="499"/>
        <v>X-PERMANS</v>
      </c>
      <c r="AE1106" s="321" t="str">
        <f t="shared" si="500"/>
        <v>X-PERMANX</v>
      </c>
      <c r="AF1106" s="321" t="str">
        <f t="shared" si="501"/>
        <v>X-PERMANA</v>
      </c>
      <c r="AG1106" s="321">
        <f t="shared" si="492"/>
        <v>12</v>
      </c>
      <c r="AH1106" s="321">
        <f>IF(B1106&lt;&gt;"",IF(H1106="x",VLOOKUP(I1106,'AUX-NIV3'!B:AG,32,FALSE),0),"")</f>
        <v>0</v>
      </c>
      <c r="AI1106" s="321" t="str">
        <f t="shared" si="502"/>
        <v>X-PERMAN</v>
      </c>
      <c r="AJ1106" s="320"/>
      <c r="AK1106" s="322">
        <f t="shared" si="493"/>
        <v>1097</v>
      </c>
      <c r="AL1106" s="323">
        <f t="shared" si="503"/>
        <v>1108</v>
      </c>
      <c r="AM1106" s="322" t="e">
        <f t="shared" si="504"/>
        <v>#REF!</v>
      </c>
      <c r="AN1106" s="380">
        <f>IF(AND(AH1106&gt;0,B1106&lt;&gt;""),VLOOKUP(I1106,'AUX-NIV3'!$B:$AO,39,FALSE)*O1106,0)</f>
        <v>0</v>
      </c>
      <c r="AO1106" s="380">
        <f t="shared" si="494"/>
        <v>0.15625</v>
      </c>
      <c r="AP1106" s="380"/>
    </row>
    <row r="1107" spans="2:42" ht="14.4" hidden="1" thickTop="1" thickBot="1">
      <c r="B1107" s="324" t="s">
        <v>2923</v>
      </c>
      <c r="C1107" s="325" t="s">
        <v>2924</v>
      </c>
      <c r="D1107" s="326" t="s">
        <v>477</v>
      </c>
      <c r="E1107" s="327">
        <f>IF(B1107&lt;&gt;"",SUMIF('AUX-NIV1'!I:I,'AUX-NIV2'!B1107,'AUX-NIV1'!Q:Q),"")</f>
        <v>0</v>
      </c>
      <c r="F1107" s="327" t="e">
        <f t="shared" si="484"/>
        <v>#N/A</v>
      </c>
      <c r="G1107" s="327" t="e">
        <f t="shared" si="485"/>
        <v>#N/A</v>
      </c>
      <c r="H1107" s="328" t="str">
        <f t="shared" si="505"/>
        <v>A</v>
      </c>
      <c r="I1107" s="325" t="s">
        <v>3314</v>
      </c>
      <c r="J1107" s="329" t="e">
        <f>IF(B1107&lt;&gt;"",+VLOOKUP(I1107,Recursos!C:F,2,FALSE),"")</f>
        <v>#N/A</v>
      </c>
      <c r="K1107" s="330" t="e">
        <f>IF(B1107&lt;&gt;"",+VLOOKUP(I1107,Recursos!C:F,3,FALSE),"")</f>
        <v>#N/A</v>
      </c>
      <c r="L1107" s="446" t="e">
        <f>IF(B1107&lt;&gt;"",+VLOOKUP(I1107,Recursos!C:F,4,FALSE),"")</f>
        <v>#N/A</v>
      </c>
      <c r="M1107" s="452"/>
      <c r="N1107" s="453"/>
      <c r="O1107" s="449">
        <f>M1106*N1106/M1097</f>
        <v>6.25E-2</v>
      </c>
      <c r="P1107" s="333" t="e">
        <f t="shared" si="481"/>
        <v>#N/A</v>
      </c>
      <c r="Q1107" s="327">
        <f t="shared" si="482"/>
        <v>0</v>
      </c>
      <c r="R1107" s="334" t="e">
        <f t="shared" si="483"/>
        <v>#N/A</v>
      </c>
      <c r="S1107" s="335" t="e">
        <f t="shared" si="486"/>
        <v>#N/A</v>
      </c>
      <c r="T1107" s="335">
        <f t="shared" si="487"/>
        <v>45.239747500000007</v>
      </c>
      <c r="U1107" s="336">
        <f t="shared" si="488"/>
        <v>5.9275000000000002</v>
      </c>
      <c r="V1107" s="336">
        <f t="shared" si="489"/>
        <v>0</v>
      </c>
      <c r="W1107" s="336">
        <f t="shared" si="490"/>
        <v>0</v>
      </c>
      <c r="X1107" s="336">
        <f t="shared" si="491"/>
        <v>0</v>
      </c>
      <c r="Y1107" s="320"/>
      <c r="Z1107" s="321" t="str">
        <f t="shared" si="495"/>
        <v>X-PERMANA</v>
      </c>
      <c r="AA1107" s="321" t="str">
        <f t="shared" si="496"/>
        <v>X-PERMANE</v>
      </c>
      <c r="AB1107" s="321" t="str">
        <f t="shared" si="497"/>
        <v>X-PERMANM</v>
      </c>
      <c r="AC1107" s="321" t="str">
        <f t="shared" si="498"/>
        <v>X-PERMANT</v>
      </c>
      <c r="AD1107" s="321" t="str">
        <f t="shared" si="499"/>
        <v>X-PERMANS</v>
      </c>
      <c r="AE1107" s="321" t="str">
        <f t="shared" si="500"/>
        <v>X-PERMANX</v>
      </c>
      <c r="AF1107" s="321" t="str">
        <f t="shared" si="501"/>
        <v>X-PERMANA</v>
      </c>
      <c r="AG1107" s="321">
        <f t="shared" si="492"/>
        <v>12</v>
      </c>
      <c r="AH1107" s="321">
        <f>IF(B1107&lt;&gt;"",IF(H1107="x",VLOOKUP(I1107,'AUX-NIV3'!B:AG,32,FALSE),0),"")</f>
        <v>0</v>
      </c>
      <c r="AI1107" s="321" t="str">
        <f t="shared" si="502"/>
        <v>X-PERMAN</v>
      </c>
      <c r="AJ1107" s="320"/>
      <c r="AK1107" s="322">
        <f t="shared" si="493"/>
        <v>1097</v>
      </c>
      <c r="AL1107" s="323">
        <f t="shared" si="503"/>
        <v>1108</v>
      </c>
      <c r="AM1107" s="322" t="e">
        <f t="shared" si="504"/>
        <v>#REF!</v>
      </c>
      <c r="AN1107" s="380">
        <f>IF(AND(AH1107&gt;0,B1107&lt;&gt;""),VLOOKUP(I1107,'AUX-NIV3'!$B:$AO,39,FALSE)*O1107,0)</f>
        <v>0</v>
      </c>
      <c r="AO1107" s="380">
        <f t="shared" si="494"/>
        <v>0.15625</v>
      </c>
      <c r="AP1107" s="380"/>
    </row>
    <row r="1108" spans="2:42" ht="14.4" hidden="1" thickTop="1" thickBot="1">
      <c r="B1108" s="324" t="s">
        <v>2923</v>
      </c>
      <c r="C1108" s="325" t="s">
        <v>2924</v>
      </c>
      <c r="D1108" s="326" t="s">
        <v>477</v>
      </c>
      <c r="E1108" s="327">
        <f>IF(B1108&lt;&gt;"",SUMIF('AUX-NIV1'!I:I,'AUX-NIV2'!B1108,'AUX-NIV1'!Q:Q),"")</f>
        <v>0</v>
      </c>
      <c r="F1108" s="327" t="e">
        <f t="shared" si="484"/>
        <v>#N/A</v>
      </c>
      <c r="G1108" s="327" t="e">
        <f t="shared" si="485"/>
        <v>#N/A</v>
      </c>
      <c r="H1108" s="328" t="str">
        <f t="shared" si="505"/>
        <v>A</v>
      </c>
      <c r="I1108" s="325" t="s">
        <v>1746</v>
      </c>
      <c r="J1108" s="329" t="str">
        <f>IF(B1108&lt;&gt;"",+VLOOKUP(I1108,Recursos!C:F,2,FALSE),"")</f>
        <v>OFICIAL</v>
      </c>
      <c r="K1108" s="330" t="str">
        <f>IF(B1108&lt;&gt;"",+VLOOKUP(I1108,Recursos!C:F,3,FALSE),"")</f>
        <v>hh</v>
      </c>
      <c r="L1108" s="446">
        <f>IF(B1108&lt;&gt;"",+VLOOKUP(I1108,Recursos!C:F,4,FALSE),"")</f>
        <v>496.91595439275824</v>
      </c>
      <c r="M1108" s="450">
        <v>2</v>
      </c>
      <c r="N1108" s="451"/>
      <c r="O1108" s="449">
        <f>N1106*M1108/M1097/N1097</f>
        <v>3.125E-2</v>
      </c>
      <c r="P1108" s="333">
        <f t="shared" si="481"/>
        <v>15.528623574773695</v>
      </c>
      <c r="Q1108" s="327">
        <f t="shared" si="482"/>
        <v>0</v>
      </c>
      <c r="R1108" s="334">
        <f t="shared" si="483"/>
        <v>0</v>
      </c>
      <c r="S1108" s="335" t="e">
        <f t="shared" si="486"/>
        <v>#N/A</v>
      </c>
      <c r="T1108" s="335">
        <f t="shared" si="487"/>
        <v>45.239747500000007</v>
      </c>
      <c r="U1108" s="336">
        <f t="shared" si="488"/>
        <v>5.9275000000000002</v>
      </c>
      <c r="V1108" s="336">
        <f t="shared" si="489"/>
        <v>0</v>
      </c>
      <c r="W1108" s="336">
        <f t="shared" si="490"/>
        <v>0</v>
      </c>
      <c r="X1108" s="336">
        <f t="shared" si="491"/>
        <v>0</v>
      </c>
      <c r="Y1108" s="320"/>
      <c r="Z1108" s="321" t="str">
        <f t="shared" si="495"/>
        <v>X-PERMANA</v>
      </c>
      <c r="AA1108" s="321" t="str">
        <f t="shared" si="496"/>
        <v>X-PERMANE</v>
      </c>
      <c r="AB1108" s="321" t="str">
        <f t="shared" si="497"/>
        <v>X-PERMANM</v>
      </c>
      <c r="AC1108" s="321" t="str">
        <f t="shared" si="498"/>
        <v>X-PERMANT</v>
      </c>
      <c r="AD1108" s="321" t="str">
        <f t="shared" si="499"/>
        <v>X-PERMANS</v>
      </c>
      <c r="AE1108" s="321" t="str">
        <f t="shared" si="500"/>
        <v>X-PERMANX</v>
      </c>
      <c r="AF1108" s="321" t="str">
        <f t="shared" si="501"/>
        <v>X-PERMANA</v>
      </c>
      <c r="AG1108" s="321">
        <f t="shared" si="492"/>
        <v>12</v>
      </c>
      <c r="AH1108" s="321">
        <f>IF(B1108&lt;&gt;"",IF(H1108="x",VLOOKUP(I1108,'AUX-NIV3'!B:AG,32,FALSE),0),"")</f>
        <v>0</v>
      </c>
      <c r="AI1108" s="321" t="str">
        <f t="shared" si="502"/>
        <v>X-PERMAN</v>
      </c>
      <c r="AJ1108" s="320"/>
      <c r="AK1108" s="322">
        <f t="shared" si="493"/>
        <v>1097</v>
      </c>
      <c r="AL1108" s="323">
        <f t="shared" si="503"/>
        <v>1108</v>
      </c>
      <c r="AM1108" s="322" t="e">
        <f t="shared" si="504"/>
        <v>#REF!</v>
      </c>
      <c r="AN1108" s="380">
        <f>IF(AND(AH1108&gt;0,B1108&lt;&gt;""),VLOOKUP(I1108,'AUX-NIV3'!$B:$AO,39,FALSE)*O1108,0)</f>
        <v>0</v>
      </c>
      <c r="AO1108" s="380">
        <f t="shared" si="494"/>
        <v>0.15625</v>
      </c>
      <c r="AP1108" s="380"/>
    </row>
    <row r="1109" spans="2:42" ht="14.4" hidden="1" thickTop="1" thickBot="1">
      <c r="B1109" s="324" t="s">
        <v>2925</v>
      </c>
      <c r="C1109" s="325" t="s">
        <v>2926</v>
      </c>
      <c r="D1109" s="326" t="s">
        <v>501</v>
      </c>
      <c r="E1109" s="327">
        <f>IF(B1109&lt;&gt;"",SUMIF('AUX-NIV1'!I:I,'AUX-NIV2'!B1109,'AUX-NIV1'!Q:Q),"")</f>
        <v>0</v>
      </c>
      <c r="F1109" s="327">
        <f t="shared" si="484"/>
        <v>495.84981604471528</v>
      </c>
      <c r="G1109" s="327">
        <f t="shared" si="485"/>
        <v>0</v>
      </c>
      <c r="H1109" s="328" t="str">
        <f t="shared" si="505"/>
        <v>M</v>
      </c>
      <c r="I1109" s="325" t="s">
        <v>1932</v>
      </c>
      <c r="J1109" s="329" t="str">
        <f>IF(B1109&lt;&gt;"",+VLOOKUP(I1109,Recursos!C:F,2,FALSE),"")</f>
        <v>MALLA TRIPLE GALVANIZADA 50/10</v>
      </c>
      <c r="K1109" s="330" t="str">
        <f>IF(B1109&lt;&gt;"",+VLOOKUP(I1109,Recursos!C:F,3,FALSE),"")</f>
        <v>m2</v>
      </c>
      <c r="L1109" s="446">
        <f>IF(B1109&lt;&gt;"",+VLOOKUP(I1109,Recursos!C:F,4,FALSE),"")</f>
        <v>3.7949999999999999</v>
      </c>
      <c r="M1109" s="447">
        <v>1.3</v>
      </c>
      <c r="N1109" s="448">
        <v>5</v>
      </c>
      <c r="O1109" s="449">
        <f>M1109</f>
        <v>1.3</v>
      </c>
      <c r="P1109" s="333">
        <f t="shared" si="481"/>
        <v>4.9335000000000004</v>
      </c>
      <c r="Q1109" s="327">
        <f t="shared" si="482"/>
        <v>0</v>
      </c>
      <c r="R1109" s="334">
        <f t="shared" si="483"/>
        <v>0</v>
      </c>
      <c r="S1109" s="335">
        <f t="shared" si="486"/>
        <v>459.69819104471526</v>
      </c>
      <c r="T1109" s="335">
        <f t="shared" si="487"/>
        <v>0</v>
      </c>
      <c r="U1109" s="336">
        <f t="shared" si="488"/>
        <v>36.151625000000003</v>
      </c>
      <c r="V1109" s="336">
        <f t="shared" si="489"/>
        <v>0</v>
      </c>
      <c r="W1109" s="336">
        <f t="shared" si="490"/>
        <v>0</v>
      </c>
      <c r="X1109" s="336">
        <f t="shared" si="491"/>
        <v>0</v>
      </c>
      <c r="Y1109" s="320"/>
      <c r="Z1109" s="321" t="str">
        <f t="shared" si="495"/>
        <v>X-MALLA</v>
      </c>
      <c r="AA1109" s="321" t="str">
        <f t="shared" si="496"/>
        <v>X-MALLE</v>
      </c>
      <c r="AB1109" s="321" t="str">
        <f t="shared" si="497"/>
        <v>X-MALLM</v>
      </c>
      <c r="AC1109" s="321" t="str">
        <f t="shared" si="498"/>
        <v>X-MALLT</v>
      </c>
      <c r="AD1109" s="321" t="str">
        <f t="shared" si="499"/>
        <v>X-MALLS</v>
      </c>
      <c r="AE1109" s="321" t="str">
        <f t="shared" si="500"/>
        <v>X-MALLX</v>
      </c>
      <c r="AF1109" s="321" t="str">
        <f t="shared" si="501"/>
        <v>X-MALLM</v>
      </c>
      <c r="AG1109" s="321">
        <f t="shared" si="492"/>
        <v>6</v>
      </c>
      <c r="AH1109" s="321">
        <f>IF(B1109&lt;&gt;"",IF(H1109="x",VLOOKUP(I1109,'AUX-NIV3'!B:AG,32,FALSE),0),"")</f>
        <v>0</v>
      </c>
      <c r="AI1109" s="321" t="str">
        <f t="shared" si="502"/>
        <v>X-MALL</v>
      </c>
      <c r="AJ1109" s="320"/>
      <c r="AK1109" s="322">
        <f t="shared" si="493"/>
        <v>1109</v>
      </c>
      <c r="AL1109" s="323">
        <f t="shared" si="503"/>
        <v>1114</v>
      </c>
      <c r="AM1109" s="322">
        <f t="shared" si="504"/>
        <v>1</v>
      </c>
      <c r="AN1109" s="380">
        <f>IF(AND(AH1109&gt;0,B1109&lt;&gt;""),VLOOKUP(I1109,'AUX-NIV3'!$B:$AO,39,FALSE)*O1109,0)</f>
        <v>0</v>
      </c>
      <c r="AO1109" s="380">
        <f t="shared" si="494"/>
        <v>1</v>
      </c>
      <c r="AP1109" s="380"/>
    </row>
    <row r="1110" spans="2:42" ht="14.4" hidden="1" thickTop="1" thickBot="1">
      <c r="B1110" s="324" t="s">
        <v>2925</v>
      </c>
      <c r="C1110" s="325" t="s">
        <v>2926</v>
      </c>
      <c r="D1110" s="326" t="s">
        <v>501</v>
      </c>
      <c r="E1110" s="327">
        <f>IF(B1110&lt;&gt;"",SUMIF('AUX-NIV1'!I:I,'AUX-NIV2'!B1110,'AUX-NIV1'!Q:Q),"")</f>
        <v>0</v>
      </c>
      <c r="F1110" s="327">
        <f t="shared" si="484"/>
        <v>495.84981604471528</v>
      </c>
      <c r="G1110" s="327">
        <f t="shared" si="485"/>
        <v>0</v>
      </c>
      <c r="H1110" s="328" t="str">
        <f t="shared" si="505"/>
        <v>M</v>
      </c>
      <c r="I1110" s="325" t="s">
        <v>1930</v>
      </c>
      <c r="J1110" s="329" t="str">
        <f>IF(B1110&lt;&gt;"",+VLOOKUP(I1110,Recursos!C:F,2,FALSE),"")</f>
        <v>ALAMBRE TRIPLE GALV. BWG 12</v>
      </c>
      <c r="K1110" s="330" t="str">
        <f>IF(B1110&lt;&gt;"",+VLOOKUP(I1110,Recursos!C:F,3,FALSE),"")</f>
        <v>Kg</v>
      </c>
      <c r="L1110" s="446">
        <f>IF(B1110&lt;&gt;"",+VLOOKUP(I1110,Recursos!C:F,4,FALSE),"")</f>
        <v>86.825000000000003</v>
      </c>
      <c r="M1110" s="452">
        <v>0.25</v>
      </c>
      <c r="N1110" s="453"/>
      <c r="O1110" s="449">
        <f>M1109*M1110</f>
        <v>0.32500000000000001</v>
      </c>
      <c r="P1110" s="333">
        <f t="shared" si="481"/>
        <v>28.218125000000001</v>
      </c>
      <c r="Q1110" s="327">
        <f t="shared" si="482"/>
        <v>0</v>
      </c>
      <c r="R1110" s="334">
        <f t="shared" si="483"/>
        <v>0</v>
      </c>
      <c r="S1110" s="335">
        <f t="shared" si="486"/>
        <v>459.69819104471526</v>
      </c>
      <c r="T1110" s="335">
        <f t="shared" si="487"/>
        <v>0</v>
      </c>
      <c r="U1110" s="336">
        <f t="shared" si="488"/>
        <v>36.151625000000003</v>
      </c>
      <c r="V1110" s="336">
        <f t="shared" si="489"/>
        <v>0</v>
      </c>
      <c r="W1110" s="336">
        <f t="shared" si="490"/>
        <v>0</v>
      </c>
      <c r="X1110" s="336">
        <f t="shared" si="491"/>
        <v>0</v>
      </c>
      <c r="Y1110" s="320"/>
      <c r="Z1110" s="321" t="str">
        <f t="shared" si="495"/>
        <v>X-MALLA</v>
      </c>
      <c r="AA1110" s="321" t="str">
        <f t="shared" si="496"/>
        <v>X-MALLE</v>
      </c>
      <c r="AB1110" s="321" t="str">
        <f t="shared" si="497"/>
        <v>X-MALLM</v>
      </c>
      <c r="AC1110" s="321" t="str">
        <f t="shared" si="498"/>
        <v>X-MALLT</v>
      </c>
      <c r="AD1110" s="321" t="str">
        <f t="shared" si="499"/>
        <v>X-MALLS</v>
      </c>
      <c r="AE1110" s="321" t="str">
        <f t="shared" si="500"/>
        <v>X-MALLX</v>
      </c>
      <c r="AF1110" s="321" t="str">
        <f t="shared" si="501"/>
        <v>X-MALLM</v>
      </c>
      <c r="AG1110" s="321">
        <f t="shared" si="492"/>
        <v>6</v>
      </c>
      <c r="AH1110" s="321">
        <f>IF(B1110&lt;&gt;"",IF(H1110="x",VLOOKUP(I1110,'AUX-NIV3'!B:AG,32,FALSE),0),"")</f>
        <v>0</v>
      </c>
      <c r="AI1110" s="321" t="str">
        <f t="shared" si="502"/>
        <v>X-MALL</v>
      </c>
      <c r="AJ1110" s="320"/>
      <c r="AK1110" s="322">
        <f t="shared" si="493"/>
        <v>1109</v>
      </c>
      <c r="AL1110" s="323">
        <f t="shared" si="503"/>
        <v>1114</v>
      </c>
      <c r="AM1110" s="322">
        <f t="shared" si="504"/>
        <v>2</v>
      </c>
      <c r="AN1110" s="380">
        <f>IF(AND(AH1110&gt;0,B1110&lt;&gt;""),VLOOKUP(I1110,'AUX-NIV3'!$B:$AO,39,FALSE)*O1110,0)</f>
        <v>0</v>
      </c>
      <c r="AO1110" s="380">
        <f t="shared" si="494"/>
        <v>1</v>
      </c>
      <c r="AP1110" s="380"/>
    </row>
    <row r="1111" spans="2:42" ht="14.4" hidden="1" thickTop="1" thickBot="1">
      <c r="B1111" s="324" t="s">
        <v>2925</v>
      </c>
      <c r="C1111" s="325" t="s">
        <v>2926</v>
      </c>
      <c r="D1111" s="326" t="s">
        <v>501</v>
      </c>
      <c r="E1111" s="327">
        <f>IF(B1111&lt;&gt;"",SUMIF('AUX-NIV1'!I:I,'AUX-NIV2'!B1111,'AUX-NIV1'!Q:Q),"")</f>
        <v>0</v>
      </c>
      <c r="F1111" s="327">
        <f t="shared" si="484"/>
        <v>495.84981604471528</v>
      </c>
      <c r="G1111" s="327">
        <f t="shared" si="485"/>
        <v>0</v>
      </c>
      <c r="H1111" s="328" t="str">
        <f t="shared" si="505"/>
        <v>M</v>
      </c>
      <c r="I1111" s="325" t="s">
        <v>621</v>
      </c>
      <c r="J1111" s="329" t="str">
        <f>IF(B1111&lt;&gt;"",+VLOOKUP(I1111,Recursos!C:F,2,FALSE),"")</f>
        <v>MATERIALES VARIOS</v>
      </c>
      <c r="K1111" s="330" t="str">
        <f>IF(B1111&lt;&gt;"",+VLOOKUP(I1111,Recursos!C:F,3,FALSE),"")</f>
        <v>GL</v>
      </c>
      <c r="L1111" s="446">
        <f>IF(B1111&lt;&gt;"",+VLOOKUP(I1111,Recursos!C:F,4,FALSE),"")</f>
        <v>0.5</v>
      </c>
      <c r="M1111" s="452">
        <v>5</v>
      </c>
      <c r="N1111" s="453"/>
      <c r="O1111" s="449">
        <f>M1111</f>
        <v>5</v>
      </c>
      <c r="P1111" s="333">
        <f t="shared" si="481"/>
        <v>2.5</v>
      </c>
      <c r="Q1111" s="327">
        <f t="shared" si="482"/>
        <v>0</v>
      </c>
      <c r="R1111" s="334">
        <f t="shared" si="483"/>
        <v>0</v>
      </c>
      <c r="S1111" s="335">
        <f t="shared" si="486"/>
        <v>459.69819104471526</v>
      </c>
      <c r="T1111" s="335">
        <f t="shared" si="487"/>
        <v>0</v>
      </c>
      <c r="U1111" s="336">
        <f t="shared" si="488"/>
        <v>36.151625000000003</v>
      </c>
      <c r="V1111" s="336">
        <f t="shared" si="489"/>
        <v>0</v>
      </c>
      <c r="W1111" s="336">
        <f t="shared" si="490"/>
        <v>0</v>
      </c>
      <c r="X1111" s="336">
        <f t="shared" si="491"/>
        <v>0</v>
      </c>
      <c r="Y1111" s="320"/>
      <c r="Z1111" s="321" t="str">
        <f t="shared" si="495"/>
        <v>X-MALLA</v>
      </c>
      <c r="AA1111" s="321" t="str">
        <f t="shared" si="496"/>
        <v>X-MALLE</v>
      </c>
      <c r="AB1111" s="321" t="str">
        <f t="shared" si="497"/>
        <v>X-MALLM</v>
      </c>
      <c r="AC1111" s="321" t="str">
        <f t="shared" si="498"/>
        <v>X-MALLT</v>
      </c>
      <c r="AD1111" s="321" t="str">
        <f t="shared" si="499"/>
        <v>X-MALLS</v>
      </c>
      <c r="AE1111" s="321" t="str">
        <f t="shared" si="500"/>
        <v>X-MALLX</v>
      </c>
      <c r="AF1111" s="321" t="str">
        <f t="shared" si="501"/>
        <v>X-MALLM</v>
      </c>
      <c r="AG1111" s="321">
        <f t="shared" si="492"/>
        <v>6</v>
      </c>
      <c r="AH1111" s="321">
        <f>IF(B1111&lt;&gt;"",IF(H1111="x",VLOOKUP(I1111,'AUX-NIV3'!B:AG,32,FALSE),0),"")</f>
        <v>0</v>
      </c>
      <c r="AI1111" s="321" t="str">
        <f t="shared" si="502"/>
        <v>X-MALL</v>
      </c>
      <c r="AJ1111" s="320"/>
      <c r="AK1111" s="322">
        <f t="shared" si="493"/>
        <v>1109</v>
      </c>
      <c r="AL1111" s="323">
        <f t="shared" si="503"/>
        <v>1114</v>
      </c>
      <c r="AM1111" s="322">
        <f t="shared" si="504"/>
        <v>3</v>
      </c>
      <c r="AN1111" s="380">
        <f>IF(AND(AH1111&gt;0,B1111&lt;&gt;""),VLOOKUP(I1111,'AUX-NIV3'!$B:$AO,39,FALSE)*O1111,0)</f>
        <v>0</v>
      </c>
      <c r="AO1111" s="380">
        <f t="shared" si="494"/>
        <v>1</v>
      </c>
      <c r="AP1111" s="380"/>
    </row>
    <row r="1112" spans="2:42" ht="14.4" hidden="1" thickTop="1" thickBot="1">
      <c r="B1112" s="324" t="s">
        <v>2925</v>
      </c>
      <c r="C1112" s="325" t="s">
        <v>2926</v>
      </c>
      <c r="D1112" s="326" t="s">
        <v>501</v>
      </c>
      <c r="E1112" s="327">
        <f>IF(B1112&lt;&gt;"",SUMIF('AUX-NIV1'!I:I,'AUX-NIV2'!B1112,'AUX-NIV1'!Q:Q),"")</f>
        <v>0</v>
      </c>
      <c r="F1112" s="327">
        <f t="shared" si="484"/>
        <v>495.84981604471528</v>
      </c>
      <c r="G1112" s="327">
        <f t="shared" si="485"/>
        <v>0</v>
      </c>
      <c r="H1112" s="328" t="str">
        <f t="shared" si="505"/>
        <v>M</v>
      </c>
      <c r="I1112" s="325" t="s">
        <v>2142</v>
      </c>
      <c r="J1112" s="329" t="str">
        <f>IF(B1112&lt;&gt;"",+VLOOKUP(I1112,Recursos!C:F,2,FALSE),"")</f>
        <v>HERRAMIENTAS MENORES</v>
      </c>
      <c r="K1112" s="330" t="str">
        <f>IF(B1112&lt;&gt;"",+VLOOKUP(I1112,Recursos!C:F,3,FALSE),"")</f>
        <v>un</v>
      </c>
      <c r="L1112" s="446">
        <f>IF(B1112&lt;&gt;"",+VLOOKUP(I1112,Recursos!C:F,4,FALSE),"")</f>
        <v>1</v>
      </c>
      <c r="M1112" s="452">
        <v>0.5</v>
      </c>
      <c r="N1112" s="453"/>
      <c r="O1112" s="449">
        <f>M1112</f>
        <v>0.5</v>
      </c>
      <c r="P1112" s="333">
        <f t="shared" si="481"/>
        <v>0.5</v>
      </c>
      <c r="Q1112" s="327">
        <f t="shared" si="482"/>
        <v>0</v>
      </c>
      <c r="R1112" s="334">
        <f t="shared" si="483"/>
        <v>0</v>
      </c>
      <c r="S1112" s="335">
        <f t="shared" si="486"/>
        <v>459.69819104471526</v>
      </c>
      <c r="T1112" s="335">
        <f t="shared" si="487"/>
        <v>0</v>
      </c>
      <c r="U1112" s="336">
        <f t="shared" si="488"/>
        <v>36.151625000000003</v>
      </c>
      <c r="V1112" s="336">
        <f t="shared" si="489"/>
        <v>0</v>
      </c>
      <c r="W1112" s="336">
        <f t="shared" si="490"/>
        <v>0</v>
      </c>
      <c r="X1112" s="336">
        <f t="shared" si="491"/>
        <v>0</v>
      </c>
      <c r="Y1112" s="320"/>
      <c r="Z1112" s="321" t="str">
        <f t="shared" si="495"/>
        <v>X-MALLA</v>
      </c>
      <c r="AA1112" s="321" t="str">
        <f t="shared" si="496"/>
        <v>X-MALLE</v>
      </c>
      <c r="AB1112" s="321" t="str">
        <f t="shared" si="497"/>
        <v>X-MALLM</v>
      </c>
      <c r="AC1112" s="321" t="str">
        <f t="shared" si="498"/>
        <v>X-MALLT</v>
      </c>
      <c r="AD1112" s="321" t="str">
        <f t="shared" si="499"/>
        <v>X-MALLS</v>
      </c>
      <c r="AE1112" s="321" t="str">
        <f t="shared" si="500"/>
        <v>X-MALLX</v>
      </c>
      <c r="AF1112" s="321" t="str">
        <f t="shared" si="501"/>
        <v>X-MALLM</v>
      </c>
      <c r="AG1112" s="321">
        <f t="shared" si="492"/>
        <v>6</v>
      </c>
      <c r="AH1112" s="321">
        <f>IF(B1112&lt;&gt;"",IF(H1112="x",VLOOKUP(I1112,'AUX-NIV3'!B:AG,32,FALSE),0),"")</f>
        <v>0</v>
      </c>
      <c r="AI1112" s="321" t="str">
        <f t="shared" si="502"/>
        <v>X-MALL</v>
      </c>
      <c r="AJ1112" s="320"/>
      <c r="AK1112" s="322">
        <f t="shared" si="493"/>
        <v>1109</v>
      </c>
      <c r="AL1112" s="323">
        <f t="shared" si="503"/>
        <v>1114</v>
      </c>
      <c r="AM1112" s="322">
        <f t="shared" si="504"/>
        <v>4</v>
      </c>
      <c r="AN1112" s="380">
        <f>IF(AND(AH1112&gt;0,B1112&lt;&gt;""),VLOOKUP(I1112,'AUX-NIV3'!$B:$AO,39,FALSE)*O1112,0)</f>
        <v>0</v>
      </c>
      <c r="AO1112" s="380">
        <f t="shared" si="494"/>
        <v>1</v>
      </c>
      <c r="AP1112" s="380"/>
    </row>
    <row r="1113" spans="2:42" ht="14.4" hidden="1" thickTop="1" thickBot="1">
      <c r="B1113" s="324" t="s">
        <v>2925</v>
      </c>
      <c r="C1113" s="325" t="s">
        <v>2926</v>
      </c>
      <c r="D1113" s="326" t="s">
        <v>501</v>
      </c>
      <c r="E1113" s="327">
        <f>IF(B1113&lt;&gt;"",SUMIF('AUX-NIV1'!I:I,'AUX-NIV2'!B1113,'AUX-NIV1'!Q:Q),"")</f>
        <v>0</v>
      </c>
      <c r="F1113" s="327">
        <f t="shared" si="484"/>
        <v>495.84981604471528</v>
      </c>
      <c r="G1113" s="327">
        <f t="shared" si="485"/>
        <v>0</v>
      </c>
      <c r="H1113" s="328" t="str">
        <f t="shared" si="505"/>
        <v>A</v>
      </c>
      <c r="I1113" s="325" t="s">
        <v>1746</v>
      </c>
      <c r="J1113" s="329" t="str">
        <f>IF(B1113&lt;&gt;"",+VLOOKUP(I1113,Recursos!C:F,2,FALSE),"")</f>
        <v>OFICIAL</v>
      </c>
      <c r="K1113" s="330" t="str">
        <f>IF(B1113&lt;&gt;"",+VLOOKUP(I1113,Recursos!C:F,3,FALSE),"")</f>
        <v>hh</v>
      </c>
      <c r="L1113" s="446">
        <f>IF(B1113&lt;&gt;"",+VLOOKUP(I1113,Recursos!C:F,4,FALSE),"")</f>
        <v>496.91595439275824</v>
      </c>
      <c r="M1113" s="452">
        <v>2</v>
      </c>
      <c r="N1113" s="453">
        <v>1.25</v>
      </c>
      <c r="O1113" s="540">
        <f>N1113*M1113/N1109</f>
        <v>0.5</v>
      </c>
      <c r="P1113" s="333">
        <f t="shared" ref="P1113:P1159" si="506">IF(B1113&lt;&gt;"",O1113*L1113,"")</f>
        <v>248.45797719637912</v>
      </c>
      <c r="Q1113" s="327">
        <f t="shared" ref="Q1113:Q1159" si="507">IF(B1113&lt;&gt;"",+O1113*E1113,"")</f>
        <v>0</v>
      </c>
      <c r="R1113" s="334">
        <f t="shared" ref="R1113:R1159" si="508">IF(B1113&lt;&gt;"",Q1113*L1113,"")</f>
        <v>0</v>
      </c>
      <c r="S1113" s="335">
        <f t="shared" si="486"/>
        <v>459.69819104471526</v>
      </c>
      <c r="T1113" s="335">
        <f t="shared" si="487"/>
        <v>0</v>
      </c>
      <c r="U1113" s="336">
        <f t="shared" si="488"/>
        <v>36.151625000000003</v>
      </c>
      <c r="V1113" s="336">
        <f t="shared" si="489"/>
        <v>0</v>
      </c>
      <c r="W1113" s="336">
        <f t="shared" si="490"/>
        <v>0</v>
      </c>
      <c r="X1113" s="336">
        <f t="shared" si="491"/>
        <v>0</v>
      </c>
      <c r="Y1113" s="320"/>
      <c r="Z1113" s="321" t="str">
        <f t="shared" si="495"/>
        <v>X-MALLA</v>
      </c>
      <c r="AA1113" s="321" t="str">
        <f t="shared" si="496"/>
        <v>X-MALLE</v>
      </c>
      <c r="AB1113" s="321" t="str">
        <f t="shared" si="497"/>
        <v>X-MALLM</v>
      </c>
      <c r="AC1113" s="321" t="str">
        <f t="shared" si="498"/>
        <v>X-MALLT</v>
      </c>
      <c r="AD1113" s="321" t="str">
        <f t="shared" si="499"/>
        <v>X-MALLS</v>
      </c>
      <c r="AE1113" s="321" t="str">
        <f t="shared" si="500"/>
        <v>X-MALLX</v>
      </c>
      <c r="AF1113" s="321" t="str">
        <f t="shared" si="501"/>
        <v>X-MALLA</v>
      </c>
      <c r="AG1113" s="321">
        <f t="shared" si="492"/>
        <v>6</v>
      </c>
      <c r="AH1113" s="321">
        <f>IF(B1113&lt;&gt;"",IF(H1113="x",VLOOKUP(I1113,'AUX-NIV3'!B:AG,32,FALSE),0),"")</f>
        <v>0</v>
      </c>
      <c r="AI1113" s="321" t="str">
        <f t="shared" si="502"/>
        <v>X-MALL</v>
      </c>
      <c r="AJ1113" s="320"/>
      <c r="AK1113" s="322">
        <f t="shared" si="493"/>
        <v>1109</v>
      </c>
      <c r="AL1113" s="323">
        <f t="shared" si="503"/>
        <v>1114</v>
      </c>
      <c r="AM1113" s="322">
        <f t="shared" si="504"/>
        <v>5</v>
      </c>
      <c r="AN1113" s="380">
        <f>IF(AND(AH1113&gt;0,B1113&lt;&gt;""),VLOOKUP(I1113,'AUX-NIV3'!$B:$AO,39,FALSE)*O1113,0)</f>
        <v>0</v>
      </c>
      <c r="AO1113" s="380">
        <f t="shared" si="494"/>
        <v>1</v>
      </c>
      <c r="AP1113" s="380"/>
    </row>
    <row r="1114" spans="2:42" ht="14.4" hidden="1" thickTop="1" thickBot="1">
      <c r="B1114" s="324" t="s">
        <v>2925</v>
      </c>
      <c r="C1114" s="325" t="s">
        <v>2926</v>
      </c>
      <c r="D1114" s="326" t="s">
        <v>501</v>
      </c>
      <c r="E1114" s="327">
        <f>IF(B1114&lt;&gt;"",SUMIF('AUX-NIV1'!I:I,'AUX-NIV2'!B1114,'AUX-NIV1'!Q:Q),"")</f>
        <v>0</v>
      </c>
      <c r="F1114" s="327">
        <f t="shared" si="484"/>
        <v>495.84981604471528</v>
      </c>
      <c r="G1114" s="327">
        <f t="shared" si="485"/>
        <v>0</v>
      </c>
      <c r="H1114" s="328" t="str">
        <f t="shared" si="505"/>
        <v>A</v>
      </c>
      <c r="I1114" s="325" t="s">
        <v>1745</v>
      </c>
      <c r="J1114" s="329" t="str">
        <f>IF(B1114&lt;&gt;"",+VLOOKUP(I1114,Recursos!C:F,2,FALSE),"")</f>
        <v>AYUDANTE</v>
      </c>
      <c r="K1114" s="330" t="str">
        <f>IF(B1114&lt;&gt;"",+VLOOKUP(I1114,Recursos!C:F,3,FALSE),"")</f>
        <v>hh</v>
      </c>
      <c r="L1114" s="446">
        <f>IF(B1114&lt;&gt;"",+VLOOKUP(I1114,Recursos!C:F,4,FALSE),"")</f>
        <v>422.48042769667234</v>
      </c>
      <c r="M1114" s="450">
        <v>2</v>
      </c>
      <c r="N1114" s="451"/>
      <c r="O1114" s="449">
        <f>M1114*N1113/N1109</f>
        <v>0.5</v>
      </c>
      <c r="P1114" s="333">
        <f t="shared" si="506"/>
        <v>211.24021384833617</v>
      </c>
      <c r="Q1114" s="327">
        <f t="shared" si="507"/>
        <v>0</v>
      </c>
      <c r="R1114" s="334">
        <f t="shared" si="508"/>
        <v>0</v>
      </c>
      <c r="S1114" s="335">
        <f t="shared" si="486"/>
        <v>459.69819104471526</v>
      </c>
      <c r="T1114" s="335">
        <f t="shared" si="487"/>
        <v>0</v>
      </c>
      <c r="U1114" s="336">
        <f t="shared" si="488"/>
        <v>36.151625000000003</v>
      </c>
      <c r="V1114" s="336">
        <f t="shared" si="489"/>
        <v>0</v>
      </c>
      <c r="W1114" s="336">
        <f t="shared" si="490"/>
        <v>0</v>
      </c>
      <c r="X1114" s="336">
        <f t="shared" si="491"/>
        <v>0</v>
      </c>
      <c r="Y1114" s="320"/>
      <c r="Z1114" s="321" t="str">
        <f t="shared" si="495"/>
        <v>X-MALLA</v>
      </c>
      <c r="AA1114" s="321" t="str">
        <f t="shared" si="496"/>
        <v>X-MALLE</v>
      </c>
      <c r="AB1114" s="321" t="str">
        <f t="shared" si="497"/>
        <v>X-MALLM</v>
      </c>
      <c r="AC1114" s="321" t="str">
        <f t="shared" si="498"/>
        <v>X-MALLT</v>
      </c>
      <c r="AD1114" s="321" t="str">
        <f t="shared" si="499"/>
        <v>X-MALLS</v>
      </c>
      <c r="AE1114" s="321" t="str">
        <f t="shared" si="500"/>
        <v>X-MALLX</v>
      </c>
      <c r="AF1114" s="321" t="str">
        <f t="shared" si="501"/>
        <v>X-MALLA</v>
      </c>
      <c r="AG1114" s="321">
        <f t="shared" si="492"/>
        <v>6</v>
      </c>
      <c r="AH1114" s="321">
        <f>IF(B1114&lt;&gt;"",IF(H1114="x",VLOOKUP(I1114,'AUX-NIV3'!B:AG,32,FALSE),0),"")</f>
        <v>0</v>
      </c>
      <c r="AI1114" s="321" t="str">
        <f t="shared" si="502"/>
        <v>X-MALL</v>
      </c>
      <c r="AJ1114" s="320"/>
      <c r="AK1114" s="322">
        <f t="shared" si="493"/>
        <v>1109</v>
      </c>
      <c r="AL1114" s="323">
        <f t="shared" si="503"/>
        <v>1114</v>
      </c>
      <c r="AM1114" s="322">
        <f t="shared" si="504"/>
        <v>6</v>
      </c>
      <c r="AN1114" s="380">
        <f>IF(AND(AH1114&gt;0,B1114&lt;&gt;""),VLOOKUP(I1114,'AUX-NIV3'!$B:$AO,39,FALSE)*O1114,0)</f>
        <v>0</v>
      </c>
      <c r="AO1114" s="380">
        <f t="shared" si="494"/>
        <v>1</v>
      </c>
      <c r="AP1114" s="380"/>
    </row>
    <row r="1115" spans="2:42" ht="14.4" hidden="1" thickTop="1" thickBot="1">
      <c r="B1115" s="324" t="s">
        <v>2927</v>
      </c>
      <c r="C1115" s="325" t="s">
        <v>2928</v>
      </c>
      <c r="D1115" s="326" t="s">
        <v>477</v>
      </c>
      <c r="E1115" s="327">
        <f>IF(B1115&lt;&gt;"",SUMIF('AUX-NIV1'!I:I,'AUX-NIV2'!B1115,'AUX-NIV1'!Q:Q),"")</f>
        <v>0</v>
      </c>
      <c r="F1115" s="327" t="e">
        <f t="shared" si="484"/>
        <v>#N/A</v>
      </c>
      <c r="G1115" s="327" t="e">
        <f t="shared" si="485"/>
        <v>#N/A</v>
      </c>
      <c r="H1115" s="328" t="str">
        <f t="shared" si="505"/>
        <v>M</v>
      </c>
      <c r="I1115" s="325" t="s">
        <v>1751</v>
      </c>
      <c r="J1115" s="329" t="str">
        <f>IF(B1115&lt;&gt;"",+VLOOKUP(I1115,Recursos!C:F,2,FALSE),"")</f>
        <v>ACERO TIPO ADN 420</v>
      </c>
      <c r="K1115" s="330" t="str">
        <f>IF(B1115&lt;&gt;"",+VLOOKUP(I1115,Recursos!C:F,3,FALSE),"")</f>
        <v>tn</v>
      </c>
      <c r="L1115" s="446">
        <f>IF(B1115&lt;&gt;"",+VLOOKUP(I1115,Recursos!C:F,4,FALSE),"")</f>
        <v>185041.32231404958</v>
      </c>
      <c r="M1115" s="447">
        <v>1.25</v>
      </c>
      <c r="N1115" s="448">
        <v>3.8500000000000001E-3</v>
      </c>
      <c r="O1115" s="449">
        <f>M1115*N1115</f>
        <v>4.8124999999999999E-3</v>
      </c>
      <c r="P1115" s="333">
        <f t="shared" si="506"/>
        <v>890.51136363636363</v>
      </c>
      <c r="Q1115" s="327">
        <f t="shared" si="507"/>
        <v>0</v>
      </c>
      <c r="R1115" s="334">
        <f t="shared" si="508"/>
        <v>0</v>
      </c>
      <c r="S1115" s="335" t="e">
        <f t="shared" si="486"/>
        <v>#N/A</v>
      </c>
      <c r="T1115" s="335">
        <f t="shared" si="487"/>
        <v>108.76266666666669</v>
      </c>
      <c r="U1115" s="336">
        <f t="shared" si="488"/>
        <v>1032.6780303030303</v>
      </c>
      <c r="V1115" s="336">
        <f t="shared" si="489"/>
        <v>0</v>
      </c>
      <c r="W1115" s="336">
        <f t="shared" si="490"/>
        <v>0</v>
      </c>
      <c r="X1115" s="336">
        <f t="shared" si="491"/>
        <v>0</v>
      </c>
      <c r="Y1115" s="320"/>
      <c r="Z1115" s="321" t="str">
        <f t="shared" si="495"/>
        <v>X-COLPERA</v>
      </c>
      <c r="AA1115" s="321" t="str">
        <f t="shared" si="496"/>
        <v>X-COLPERE</v>
      </c>
      <c r="AB1115" s="321" t="str">
        <f t="shared" si="497"/>
        <v>X-COLPERM</v>
      </c>
      <c r="AC1115" s="321" t="str">
        <f t="shared" si="498"/>
        <v>X-COLPERT</v>
      </c>
      <c r="AD1115" s="321" t="str">
        <f t="shared" si="499"/>
        <v>X-COLPERS</v>
      </c>
      <c r="AE1115" s="321" t="str">
        <f t="shared" si="500"/>
        <v>X-COLPERX</v>
      </c>
      <c r="AF1115" s="321" t="str">
        <f t="shared" si="501"/>
        <v>X-COLPERM</v>
      </c>
      <c r="AG1115" s="321">
        <f t="shared" si="492"/>
        <v>6</v>
      </c>
      <c r="AH1115" s="321">
        <f>IF(B1115&lt;&gt;"",IF(H1115="x",VLOOKUP(I1115,'AUX-NIV3'!B:AG,32,FALSE),0),"")</f>
        <v>0</v>
      </c>
      <c r="AI1115" s="321" t="str">
        <f t="shared" si="502"/>
        <v>X-COLPER</v>
      </c>
      <c r="AJ1115" s="320"/>
      <c r="AK1115" s="322">
        <f t="shared" si="493"/>
        <v>1115</v>
      </c>
      <c r="AL1115" s="323">
        <f t="shared" si="503"/>
        <v>1120</v>
      </c>
      <c r="AM1115" s="322">
        <f t="shared" si="504"/>
        <v>1</v>
      </c>
      <c r="AN1115" s="380">
        <f>IF(AND(AH1115&gt;0,B1115&lt;&gt;""),VLOOKUP(I1115,'AUX-NIV3'!$B:$AO,39,FALSE)*O1115,0)</f>
        <v>0</v>
      </c>
      <c r="AO1115" s="380">
        <f t="shared" si="494"/>
        <v>0.16666666666666666</v>
      </c>
      <c r="AP1115" s="380"/>
    </row>
    <row r="1116" spans="2:42" ht="14.4" hidden="1" thickTop="1" thickBot="1">
      <c r="B1116" s="324" t="s">
        <v>2927</v>
      </c>
      <c r="C1116" s="325" t="s">
        <v>2928</v>
      </c>
      <c r="D1116" s="326" t="s">
        <v>477</v>
      </c>
      <c r="E1116" s="327">
        <f>IF(B1116&lt;&gt;"",SUMIF('AUX-NIV1'!I:I,'AUX-NIV2'!B1116,'AUX-NIV1'!Q:Q),"")</f>
        <v>0</v>
      </c>
      <c r="F1116" s="327" t="e">
        <f t="shared" si="484"/>
        <v>#N/A</v>
      </c>
      <c r="G1116" s="327" t="e">
        <f t="shared" si="485"/>
        <v>#N/A</v>
      </c>
      <c r="H1116" s="328" t="str">
        <f t="shared" si="505"/>
        <v>M</v>
      </c>
      <c r="I1116" s="325" t="s">
        <v>2353</v>
      </c>
      <c r="J1116" s="329" t="str">
        <f>IF(B1116&lt;&gt;"",+VLOOKUP(I1116,Recursos!C:F,2,FALSE),"")</f>
        <v>PLACA DE APOYO FIJACION</v>
      </c>
      <c r="K1116" s="330" t="str">
        <f>IF(B1116&lt;&gt;"",+VLOOKUP(I1116,Recursos!C:F,3,FALSE),"")</f>
        <v>Un</v>
      </c>
      <c r="L1116" s="446">
        <f>IF(B1116&lt;&gt;"",+VLOOKUP(I1116,Recursos!C:F,4,FALSE),"")</f>
        <v>340</v>
      </c>
      <c r="M1116" s="452">
        <v>3</v>
      </c>
      <c r="N1116" s="453"/>
      <c r="O1116" s="449">
        <f>M1115/M1116</f>
        <v>0.41666666666666669</v>
      </c>
      <c r="P1116" s="333">
        <f t="shared" si="506"/>
        <v>141.66666666666669</v>
      </c>
      <c r="Q1116" s="327">
        <f t="shared" si="507"/>
        <v>0</v>
      </c>
      <c r="R1116" s="334">
        <f t="shared" si="508"/>
        <v>0</v>
      </c>
      <c r="S1116" s="335" t="e">
        <f t="shared" si="486"/>
        <v>#N/A</v>
      </c>
      <c r="T1116" s="335">
        <f t="shared" si="487"/>
        <v>108.76266666666669</v>
      </c>
      <c r="U1116" s="336">
        <f t="shared" si="488"/>
        <v>1032.6780303030303</v>
      </c>
      <c r="V1116" s="336">
        <f t="shared" si="489"/>
        <v>0</v>
      </c>
      <c r="W1116" s="336">
        <f t="shared" si="490"/>
        <v>0</v>
      </c>
      <c r="X1116" s="336">
        <f t="shared" si="491"/>
        <v>0</v>
      </c>
      <c r="Y1116" s="320"/>
      <c r="Z1116" s="321" t="str">
        <f t="shared" si="495"/>
        <v>X-COLPERA</v>
      </c>
      <c r="AA1116" s="321" t="str">
        <f t="shared" si="496"/>
        <v>X-COLPERE</v>
      </c>
      <c r="AB1116" s="321" t="str">
        <f t="shared" si="497"/>
        <v>X-COLPERM</v>
      </c>
      <c r="AC1116" s="321" t="str">
        <f t="shared" si="498"/>
        <v>X-COLPERT</v>
      </c>
      <c r="AD1116" s="321" t="str">
        <f t="shared" si="499"/>
        <v>X-COLPERS</v>
      </c>
      <c r="AE1116" s="321" t="str">
        <f t="shared" si="500"/>
        <v>X-COLPERX</v>
      </c>
      <c r="AF1116" s="321" t="str">
        <f t="shared" si="501"/>
        <v>X-COLPERM</v>
      </c>
      <c r="AG1116" s="321">
        <f t="shared" si="492"/>
        <v>6</v>
      </c>
      <c r="AH1116" s="321">
        <f>IF(B1116&lt;&gt;"",IF(H1116="x",VLOOKUP(I1116,'AUX-NIV3'!B:AG,32,FALSE),0),"")</f>
        <v>0</v>
      </c>
      <c r="AI1116" s="321" t="str">
        <f t="shared" si="502"/>
        <v>X-COLPER</v>
      </c>
      <c r="AJ1116" s="320"/>
      <c r="AK1116" s="322">
        <f t="shared" si="493"/>
        <v>1115</v>
      </c>
      <c r="AL1116" s="323">
        <f t="shared" si="503"/>
        <v>1120</v>
      </c>
      <c r="AM1116" s="322">
        <f t="shared" si="504"/>
        <v>2</v>
      </c>
      <c r="AN1116" s="380">
        <f>IF(AND(AH1116&gt;0,B1116&lt;&gt;""),VLOOKUP(I1116,'AUX-NIV3'!$B:$AO,39,FALSE)*O1116,0)</f>
        <v>0</v>
      </c>
      <c r="AO1116" s="380">
        <f t="shared" si="494"/>
        <v>0.16666666666666666</v>
      </c>
      <c r="AP1116" s="380"/>
    </row>
    <row r="1117" spans="2:42" ht="14.4" hidden="1" thickTop="1" thickBot="1">
      <c r="B1117" s="324" t="s">
        <v>2927</v>
      </c>
      <c r="C1117" s="325" t="s">
        <v>2928</v>
      </c>
      <c r="D1117" s="326" t="s">
        <v>477</v>
      </c>
      <c r="E1117" s="327">
        <f>IF(B1117&lt;&gt;"",SUMIF('AUX-NIV1'!I:I,'AUX-NIV2'!B1117,'AUX-NIV1'!Q:Q),"")</f>
        <v>0</v>
      </c>
      <c r="F1117" s="327" t="e">
        <f t="shared" si="484"/>
        <v>#N/A</v>
      </c>
      <c r="G1117" s="327" t="e">
        <f t="shared" si="485"/>
        <v>#N/A</v>
      </c>
      <c r="H1117" s="328" t="str">
        <f t="shared" si="505"/>
        <v>M</v>
      </c>
      <c r="I1117" s="325" t="s">
        <v>621</v>
      </c>
      <c r="J1117" s="329" t="str">
        <f>IF(B1117&lt;&gt;"",+VLOOKUP(I1117,Recursos!C:F,2,FALSE),"")</f>
        <v>MATERIALES VARIOS</v>
      </c>
      <c r="K1117" s="330" t="str">
        <f>IF(B1117&lt;&gt;"",+VLOOKUP(I1117,Recursos!C:F,3,FALSE),"")</f>
        <v>GL</v>
      </c>
      <c r="L1117" s="446">
        <f>IF(B1117&lt;&gt;"",+VLOOKUP(I1117,Recursos!C:F,4,FALSE),"")</f>
        <v>0.5</v>
      </c>
      <c r="M1117" s="452">
        <v>1</v>
      </c>
      <c r="N1117" s="453"/>
      <c r="O1117" s="449">
        <f>M1117</f>
        <v>1</v>
      </c>
      <c r="P1117" s="333">
        <f t="shared" si="506"/>
        <v>0.5</v>
      </c>
      <c r="Q1117" s="327">
        <f t="shared" si="507"/>
        <v>0</v>
      </c>
      <c r="R1117" s="334">
        <f t="shared" si="508"/>
        <v>0</v>
      </c>
      <c r="S1117" s="335" t="e">
        <f t="shared" si="486"/>
        <v>#N/A</v>
      </c>
      <c r="T1117" s="335">
        <f t="shared" si="487"/>
        <v>108.76266666666669</v>
      </c>
      <c r="U1117" s="336">
        <f t="shared" si="488"/>
        <v>1032.6780303030303</v>
      </c>
      <c r="V1117" s="336">
        <f t="shared" si="489"/>
        <v>0</v>
      </c>
      <c r="W1117" s="336">
        <f t="shared" si="490"/>
        <v>0</v>
      </c>
      <c r="X1117" s="336">
        <f t="shared" si="491"/>
        <v>0</v>
      </c>
      <c r="Y1117" s="320"/>
      <c r="Z1117" s="321" t="str">
        <f t="shared" si="495"/>
        <v>X-COLPERA</v>
      </c>
      <c r="AA1117" s="321" t="str">
        <f t="shared" si="496"/>
        <v>X-COLPERE</v>
      </c>
      <c r="AB1117" s="321" t="str">
        <f t="shared" si="497"/>
        <v>X-COLPERM</v>
      </c>
      <c r="AC1117" s="321" t="str">
        <f t="shared" si="498"/>
        <v>X-COLPERT</v>
      </c>
      <c r="AD1117" s="321" t="str">
        <f t="shared" si="499"/>
        <v>X-COLPERS</v>
      </c>
      <c r="AE1117" s="321" t="str">
        <f t="shared" si="500"/>
        <v>X-COLPERX</v>
      </c>
      <c r="AF1117" s="321" t="str">
        <f t="shared" si="501"/>
        <v>X-COLPERM</v>
      </c>
      <c r="AG1117" s="321">
        <f t="shared" si="492"/>
        <v>6</v>
      </c>
      <c r="AH1117" s="321">
        <f>IF(B1117&lt;&gt;"",IF(H1117="x",VLOOKUP(I1117,'AUX-NIV3'!B:AG,32,FALSE),0),"")</f>
        <v>0</v>
      </c>
      <c r="AI1117" s="321" t="str">
        <f t="shared" si="502"/>
        <v>X-COLPER</v>
      </c>
      <c r="AJ1117" s="320"/>
      <c r="AK1117" s="322">
        <f t="shared" si="493"/>
        <v>1115</v>
      </c>
      <c r="AL1117" s="323">
        <f t="shared" si="503"/>
        <v>1120</v>
      </c>
      <c r="AM1117" s="322">
        <f t="shared" si="504"/>
        <v>3</v>
      </c>
      <c r="AN1117" s="380">
        <f>IF(AND(AH1117&gt;0,B1117&lt;&gt;""),VLOOKUP(I1117,'AUX-NIV3'!$B:$AO,39,FALSE)*O1117,0)</f>
        <v>0</v>
      </c>
      <c r="AO1117" s="380">
        <f t="shared" si="494"/>
        <v>0.16666666666666666</v>
      </c>
      <c r="AP1117" s="380"/>
    </row>
    <row r="1118" spans="2:42" ht="14.4" hidden="1" thickTop="1" thickBot="1">
      <c r="B1118" s="324" t="s">
        <v>2927</v>
      </c>
      <c r="C1118" s="325" t="s">
        <v>2928</v>
      </c>
      <c r="D1118" s="326" t="s">
        <v>477</v>
      </c>
      <c r="E1118" s="327">
        <f>IF(B1118&lt;&gt;"",SUMIF('AUX-NIV1'!I:I,'AUX-NIV2'!B1118,'AUX-NIV1'!Q:Q),"")</f>
        <v>0</v>
      </c>
      <c r="F1118" s="327" t="e">
        <f t="shared" si="484"/>
        <v>#N/A</v>
      </c>
      <c r="G1118" s="327" t="e">
        <f t="shared" si="485"/>
        <v>#N/A</v>
      </c>
      <c r="H1118" s="328" t="str">
        <f t="shared" si="505"/>
        <v>E</v>
      </c>
      <c r="I1118" s="325" t="s">
        <v>1652</v>
      </c>
      <c r="J1118" s="329" t="str">
        <f>IF(B1118&lt;&gt;"",+VLOOKUP(I1118,Recursos!C:F,2,FALSE),"")</f>
        <v>MANIPULADOR TELESCOPICO</v>
      </c>
      <c r="K1118" s="330" t="str">
        <f>IF(B1118&lt;&gt;"",+VLOOKUP(I1118,Recursos!C:F,3,FALSE),"")</f>
        <v>HR</v>
      </c>
      <c r="L1118" s="446">
        <f>IF(B1118&lt;&gt;"",+VLOOKUP(I1118,Recursos!C:F,4,FALSE),"")</f>
        <v>3262.8800000000006</v>
      </c>
      <c r="M1118" s="452">
        <v>30</v>
      </c>
      <c r="N1118" s="453"/>
      <c r="O1118" s="449">
        <f>1/M1118</f>
        <v>3.3333333333333333E-2</v>
      </c>
      <c r="P1118" s="333">
        <f t="shared" si="506"/>
        <v>108.76266666666669</v>
      </c>
      <c r="Q1118" s="327">
        <f t="shared" si="507"/>
        <v>0</v>
      </c>
      <c r="R1118" s="334">
        <f t="shared" si="508"/>
        <v>0</v>
      </c>
      <c r="S1118" s="335" t="e">
        <f t="shared" si="486"/>
        <v>#N/A</v>
      </c>
      <c r="T1118" s="335">
        <f t="shared" si="487"/>
        <v>108.76266666666669</v>
      </c>
      <c r="U1118" s="336">
        <f t="shared" si="488"/>
        <v>1032.6780303030303</v>
      </c>
      <c r="V1118" s="336">
        <f t="shared" si="489"/>
        <v>0</v>
      </c>
      <c r="W1118" s="336">
        <f t="shared" si="490"/>
        <v>0</v>
      </c>
      <c r="X1118" s="336">
        <f t="shared" si="491"/>
        <v>0</v>
      </c>
      <c r="Y1118" s="320"/>
      <c r="Z1118" s="321" t="str">
        <f t="shared" si="495"/>
        <v>X-COLPERA</v>
      </c>
      <c r="AA1118" s="321" t="str">
        <f t="shared" si="496"/>
        <v>X-COLPERE</v>
      </c>
      <c r="AB1118" s="321" t="str">
        <f t="shared" si="497"/>
        <v>X-COLPERM</v>
      </c>
      <c r="AC1118" s="321" t="str">
        <f t="shared" si="498"/>
        <v>X-COLPERT</v>
      </c>
      <c r="AD1118" s="321" t="str">
        <f t="shared" si="499"/>
        <v>X-COLPERS</v>
      </c>
      <c r="AE1118" s="321" t="str">
        <f t="shared" si="500"/>
        <v>X-COLPERX</v>
      </c>
      <c r="AF1118" s="321" t="str">
        <f t="shared" si="501"/>
        <v>X-COLPERE</v>
      </c>
      <c r="AG1118" s="321">
        <f t="shared" si="492"/>
        <v>6</v>
      </c>
      <c r="AH1118" s="321">
        <f>IF(B1118&lt;&gt;"",IF(H1118="x",VLOOKUP(I1118,'AUX-NIV3'!B:AG,32,FALSE),0),"")</f>
        <v>0</v>
      </c>
      <c r="AI1118" s="321" t="str">
        <f t="shared" si="502"/>
        <v>X-COLPER</v>
      </c>
      <c r="AJ1118" s="320"/>
      <c r="AK1118" s="322">
        <f t="shared" si="493"/>
        <v>1115</v>
      </c>
      <c r="AL1118" s="323">
        <f t="shared" si="503"/>
        <v>1120</v>
      </c>
      <c r="AM1118" s="322">
        <f t="shared" si="504"/>
        <v>4</v>
      </c>
      <c r="AN1118" s="380">
        <f>IF(AND(AH1118&gt;0,B1118&lt;&gt;""),VLOOKUP(I1118,'AUX-NIV3'!$B:$AO,39,FALSE)*O1118,0)</f>
        <v>0</v>
      </c>
      <c r="AO1118" s="380">
        <f t="shared" si="494"/>
        <v>0.16666666666666666</v>
      </c>
      <c r="AP1118" s="380"/>
    </row>
    <row r="1119" spans="2:42" ht="14.4" hidden="1" thickTop="1" thickBot="1">
      <c r="B1119" s="324" t="s">
        <v>2927</v>
      </c>
      <c r="C1119" s="325" t="s">
        <v>2928</v>
      </c>
      <c r="D1119" s="326" t="s">
        <v>477</v>
      </c>
      <c r="E1119" s="327">
        <f>IF(B1119&lt;&gt;"",SUMIF('AUX-NIV1'!I:I,'AUX-NIV2'!B1119,'AUX-NIV1'!Q:Q),"")</f>
        <v>0</v>
      </c>
      <c r="F1119" s="327" t="e">
        <f t="shared" si="484"/>
        <v>#N/A</v>
      </c>
      <c r="G1119" s="327" t="e">
        <f t="shared" si="485"/>
        <v>#N/A</v>
      </c>
      <c r="H1119" s="328" t="str">
        <f t="shared" si="505"/>
        <v>A</v>
      </c>
      <c r="I1119" s="325" t="s">
        <v>3314</v>
      </c>
      <c r="J1119" s="329" t="e">
        <f>IF(B1119&lt;&gt;"",+VLOOKUP(I1119,Recursos!C:F,2,FALSE),"")</f>
        <v>#N/A</v>
      </c>
      <c r="K1119" s="330" t="e">
        <f>IF(B1119&lt;&gt;"",+VLOOKUP(I1119,Recursos!C:F,3,FALSE),"")</f>
        <v>#N/A</v>
      </c>
      <c r="L1119" s="446" t="e">
        <f>IF(B1119&lt;&gt;"",+VLOOKUP(I1119,Recursos!C:F,4,FALSE),"")</f>
        <v>#N/A</v>
      </c>
      <c r="M1119" s="452">
        <v>2</v>
      </c>
      <c r="N1119" s="453">
        <v>1.25</v>
      </c>
      <c r="O1119" s="449">
        <f>N1119*M1119/M1118</f>
        <v>8.3333333333333329E-2</v>
      </c>
      <c r="P1119" s="333" t="e">
        <f t="shared" si="506"/>
        <v>#N/A</v>
      </c>
      <c r="Q1119" s="327">
        <f t="shared" si="507"/>
        <v>0</v>
      </c>
      <c r="R1119" s="334" t="e">
        <f t="shared" si="508"/>
        <v>#N/A</v>
      </c>
      <c r="S1119" s="335" t="e">
        <f t="shared" si="486"/>
        <v>#N/A</v>
      </c>
      <c r="T1119" s="335">
        <f t="shared" si="487"/>
        <v>108.76266666666669</v>
      </c>
      <c r="U1119" s="336">
        <f t="shared" si="488"/>
        <v>1032.6780303030303</v>
      </c>
      <c r="V1119" s="336">
        <f t="shared" si="489"/>
        <v>0</v>
      </c>
      <c r="W1119" s="336">
        <f t="shared" si="490"/>
        <v>0</v>
      </c>
      <c r="X1119" s="336">
        <f t="shared" si="491"/>
        <v>0</v>
      </c>
      <c r="Y1119" s="320"/>
      <c r="Z1119" s="321" t="str">
        <f t="shared" si="495"/>
        <v>X-COLPERA</v>
      </c>
      <c r="AA1119" s="321" t="str">
        <f t="shared" si="496"/>
        <v>X-COLPERE</v>
      </c>
      <c r="AB1119" s="321" t="str">
        <f t="shared" si="497"/>
        <v>X-COLPERM</v>
      </c>
      <c r="AC1119" s="321" t="str">
        <f t="shared" si="498"/>
        <v>X-COLPERT</v>
      </c>
      <c r="AD1119" s="321" t="str">
        <f t="shared" si="499"/>
        <v>X-COLPERS</v>
      </c>
      <c r="AE1119" s="321" t="str">
        <f t="shared" si="500"/>
        <v>X-COLPERX</v>
      </c>
      <c r="AF1119" s="321" t="str">
        <f t="shared" si="501"/>
        <v>X-COLPERA</v>
      </c>
      <c r="AG1119" s="321">
        <f t="shared" si="492"/>
        <v>6</v>
      </c>
      <c r="AH1119" s="321">
        <f>IF(B1119&lt;&gt;"",IF(H1119="x",VLOOKUP(I1119,'AUX-NIV3'!B:AG,32,FALSE),0),"")</f>
        <v>0</v>
      </c>
      <c r="AI1119" s="321" t="str">
        <f t="shared" si="502"/>
        <v>X-COLPER</v>
      </c>
      <c r="AJ1119" s="320"/>
      <c r="AK1119" s="322">
        <f t="shared" si="493"/>
        <v>1115</v>
      </c>
      <c r="AL1119" s="323">
        <f t="shared" si="503"/>
        <v>1120</v>
      </c>
      <c r="AM1119" s="322">
        <f t="shared" si="504"/>
        <v>5</v>
      </c>
      <c r="AN1119" s="380">
        <f>IF(AND(AH1119&gt;0,B1119&lt;&gt;""),VLOOKUP(I1119,'AUX-NIV3'!$B:$AO,39,FALSE)*O1119,0)</f>
        <v>0</v>
      </c>
      <c r="AO1119" s="380">
        <f t="shared" si="494"/>
        <v>0.16666666666666666</v>
      </c>
      <c r="AP1119" s="380"/>
    </row>
    <row r="1120" spans="2:42" ht="14.4" hidden="1" thickTop="1" thickBot="1">
      <c r="B1120" s="324" t="s">
        <v>2927</v>
      </c>
      <c r="C1120" s="325" t="s">
        <v>2928</v>
      </c>
      <c r="D1120" s="326" t="s">
        <v>477</v>
      </c>
      <c r="E1120" s="327">
        <f>IF(B1120&lt;&gt;"",SUMIF('AUX-NIV1'!I:I,'AUX-NIV2'!B1120,'AUX-NIV1'!Q:Q),"")</f>
        <v>0</v>
      </c>
      <c r="F1120" s="327" t="e">
        <f t="shared" si="484"/>
        <v>#N/A</v>
      </c>
      <c r="G1120" s="327" t="e">
        <f t="shared" si="485"/>
        <v>#N/A</v>
      </c>
      <c r="H1120" s="328" t="str">
        <f t="shared" si="505"/>
        <v>A</v>
      </c>
      <c r="I1120" s="325" t="s">
        <v>1746</v>
      </c>
      <c r="J1120" s="329" t="str">
        <f>IF(B1120&lt;&gt;"",+VLOOKUP(I1120,Recursos!C:F,2,FALSE),"")</f>
        <v>OFICIAL</v>
      </c>
      <c r="K1120" s="330" t="str">
        <f>IF(B1120&lt;&gt;"",+VLOOKUP(I1120,Recursos!C:F,3,FALSE),"")</f>
        <v>hh</v>
      </c>
      <c r="L1120" s="446">
        <f>IF(B1120&lt;&gt;"",+VLOOKUP(I1120,Recursos!C:F,4,FALSE),"")</f>
        <v>496.91595439275824</v>
      </c>
      <c r="M1120" s="450">
        <v>2</v>
      </c>
      <c r="N1120" s="451"/>
      <c r="O1120" s="449">
        <f>N1119*M1120/M1118</f>
        <v>8.3333333333333329E-2</v>
      </c>
      <c r="P1120" s="333">
        <f t="shared" si="506"/>
        <v>41.409662866063186</v>
      </c>
      <c r="Q1120" s="327">
        <f t="shared" si="507"/>
        <v>0</v>
      </c>
      <c r="R1120" s="334">
        <f t="shared" si="508"/>
        <v>0</v>
      </c>
      <c r="S1120" s="335" t="e">
        <f t="shared" si="486"/>
        <v>#N/A</v>
      </c>
      <c r="T1120" s="335">
        <f t="shared" si="487"/>
        <v>108.76266666666669</v>
      </c>
      <c r="U1120" s="336">
        <f t="shared" si="488"/>
        <v>1032.6780303030303</v>
      </c>
      <c r="V1120" s="336">
        <f t="shared" si="489"/>
        <v>0</v>
      </c>
      <c r="W1120" s="336">
        <f t="shared" si="490"/>
        <v>0</v>
      </c>
      <c r="X1120" s="336">
        <f t="shared" si="491"/>
        <v>0</v>
      </c>
      <c r="Y1120" s="320"/>
      <c r="Z1120" s="321" t="str">
        <f t="shared" si="495"/>
        <v>X-COLPERA</v>
      </c>
      <c r="AA1120" s="321" t="str">
        <f t="shared" si="496"/>
        <v>X-COLPERE</v>
      </c>
      <c r="AB1120" s="321" t="str">
        <f t="shared" si="497"/>
        <v>X-COLPERM</v>
      </c>
      <c r="AC1120" s="321" t="str">
        <f t="shared" si="498"/>
        <v>X-COLPERT</v>
      </c>
      <c r="AD1120" s="321" t="str">
        <f t="shared" si="499"/>
        <v>X-COLPERS</v>
      </c>
      <c r="AE1120" s="321" t="str">
        <f t="shared" si="500"/>
        <v>X-COLPERX</v>
      </c>
      <c r="AF1120" s="321" t="str">
        <f t="shared" si="501"/>
        <v>X-COLPERA</v>
      </c>
      <c r="AG1120" s="321">
        <f t="shared" si="492"/>
        <v>6</v>
      </c>
      <c r="AH1120" s="321">
        <f>IF(B1120&lt;&gt;"",IF(H1120="x",VLOOKUP(I1120,'AUX-NIV3'!B:AG,32,FALSE),0),"")</f>
        <v>0</v>
      </c>
      <c r="AI1120" s="321" t="str">
        <f t="shared" si="502"/>
        <v>X-COLPER</v>
      </c>
      <c r="AJ1120" s="320"/>
      <c r="AK1120" s="322">
        <f t="shared" si="493"/>
        <v>1115</v>
      </c>
      <c r="AL1120" s="323">
        <f t="shared" si="503"/>
        <v>1120</v>
      </c>
      <c r="AM1120" s="322">
        <f t="shared" si="504"/>
        <v>6</v>
      </c>
      <c r="AN1120" s="380">
        <f>IF(AND(AH1120&gt;0,B1120&lt;&gt;""),VLOOKUP(I1120,'AUX-NIV3'!$B:$AO,39,FALSE)*O1120,0)</f>
        <v>0</v>
      </c>
      <c r="AO1120" s="380">
        <f t="shared" si="494"/>
        <v>0.16666666666666666</v>
      </c>
      <c r="AP1120" s="380"/>
    </row>
    <row r="1121" spans="2:42" ht="14.4" hidden="1" thickTop="1" thickBot="1">
      <c r="B1121" s="324" t="s">
        <v>2929</v>
      </c>
      <c r="C1121" s="325" t="s">
        <v>2930</v>
      </c>
      <c r="D1121" s="326" t="s">
        <v>1160</v>
      </c>
      <c r="E1121" s="327">
        <f>IF(B1121&lt;&gt;"",SUMIF('AUX-NIV1'!I:I,'AUX-NIV2'!B1121,'AUX-NIV1'!Q:Q),"")</f>
        <v>0</v>
      </c>
      <c r="F1121" s="327" t="e">
        <f t="shared" si="484"/>
        <v>#N/A</v>
      </c>
      <c r="G1121" s="327" t="e">
        <f t="shared" si="485"/>
        <v>#N/A</v>
      </c>
      <c r="H1121" s="328" t="str">
        <f t="shared" si="505"/>
        <v>M</v>
      </c>
      <c r="I1121" s="325" t="s">
        <v>2474</v>
      </c>
      <c r="J1121" s="329" t="str">
        <f>IF(B1121&lt;&gt;"",+VLOOKUP(I1121,Recursos!C:F,2,FALSE),"")</f>
        <v>CEMENTO PUZOLANICO BOLSA</v>
      </c>
      <c r="K1121" s="330" t="str">
        <f>IF(B1121&lt;&gt;"",+VLOOKUP(I1121,Recursos!C:F,3,FALSE),"")</f>
        <v>kg</v>
      </c>
      <c r="L1121" s="446">
        <f>IF(B1121&lt;&gt;"",+VLOOKUP(I1121,Recursos!C:F,4,FALSE),"")</f>
        <v>384.39500000000004</v>
      </c>
      <c r="M1121" s="447">
        <v>0.68027210884353739</v>
      </c>
      <c r="N1121" s="448">
        <v>1.4</v>
      </c>
      <c r="O1121" s="449">
        <f>M1121*N1121*1400</f>
        <v>1333.3333333333333</v>
      </c>
      <c r="P1121" s="333">
        <f t="shared" si="506"/>
        <v>512526.66666666669</v>
      </c>
      <c r="Q1121" s="327">
        <f t="shared" si="507"/>
        <v>0</v>
      </c>
      <c r="R1121" s="334">
        <f t="shared" si="508"/>
        <v>0</v>
      </c>
      <c r="S1121" s="335" t="e">
        <f t="shared" si="486"/>
        <v>#N/A</v>
      </c>
      <c r="T1121" s="335">
        <f t="shared" si="487"/>
        <v>13379.4776</v>
      </c>
      <c r="U1121" s="336">
        <f t="shared" si="488"/>
        <v>512995.12738095241</v>
      </c>
      <c r="V1121" s="336">
        <f t="shared" si="489"/>
        <v>0</v>
      </c>
      <c r="W1121" s="336">
        <f t="shared" si="490"/>
        <v>0</v>
      </c>
      <c r="X1121" s="336">
        <f t="shared" si="491"/>
        <v>221.5346091232754</v>
      </c>
      <c r="Y1121" s="320"/>
      <c r="Z1121" s="321" t="str">
        <f t="shared" si="495"/>
        <v>X-LECHA</v>
      </c>
      <c r="AA1121" s="321" t="str">
        <f t="shared" si="496"/>
        <v>X-LECHE</v>
      </c>
      <c r="AB1121" s="321" t="str">
        <f t="shared" si="497"/>
        <v>X-LECHM</v>
      </c>
      <c r="AC1121" s="321" t="str">
        <f t="shared" si="498"/>
        <v>X-LECHT</v>
      </c>
      <c r="AD1121" s="321" t="str">
        <f t="shared" si="499"/>
        <v>X-LECHS</v>
      </c>
      <c r="AE1121" s="321" t="str">
        <f t="shared" si="500"/>
        <v>X-LECHX</v>
      </c>
      <c r="AF1121" s="321" t="str">
        <f t="shared" si="501"/>
        <v>X-LECHM</v>
      </c>
      <c r="AG1121" s="321">
        <f t="shared" si="492"/>
        <v>9</v>
      </c>
      <c r="AH1121" s="321">
        <f>IF(B1121&lt;&gt;"",IF(H1121="x",VLOOKUP(I1121,'AUX-NIV3'!B:AG,32,FALSE),0),"")</f>
        <v>0</v>
      </c>
      <c r="AI1121" s="321" t="str">
        <f t="shared" si="502"/>
        <v>X-LECH</v>
      </c>
      <c r="AJ1121" s="320"/>
      <c r="AK1121" s="322">
        <f t="shared" si="493"/>
        <v>1121</v>
      </c>
      <c r="AL1121" s="323">
        <f t="shared" si="503"/>
        <v>1129</v>
      </c>
      <c r="AM1121" s="322">
        <f t="shared" si="504"/>
        <v>1</v>
      </c>
      <c r="AN1121" s="380">
        <f>IF(AND(AH1121&gt;0,B1121&lt;&gt;""),VLOOKUP(I1121,'AUX-NIV3'!$B:$AO,39,FALSE)*O1121,0)</f>
        <v>0</v>
      </c>
      <c r="AO1121" s="380">
        <f t="shared" si="494"/>
        <v>25.082312925170068</v>
      </c>
      <c r="AP1121" s="380"/>
    </row>
    <row r="1122" spans="2:42" ht="14.4" hidden="1" thickTop="1" thickBot="1">
      <c r="B1122" s="324" t="s">
        <v>2929</v>
      </c>
      <c r="C1122" s="325" t="s">
        <v>2930</v>
      </c>
      <c r="D1122" s="326" t="s">
        <v>1160</v>
      </c>
      <c r="E1122" s="327">
        <f>IF(B1122&lt;&gt;"",SUMIF('AUX-NIV1'!I:I,'AUX-NIV2'!B1122,'AUX-NIV1'!Q:Q),"")</f>
        <v>0</v>
      </c>
      <c r="F1122" s="327" t="e">
        <f t="shared" si="484"/>
        <v>#N/A</v>
      </c>
      <c r="G1122" s="327" t="e">
        <f t="shared" si="485"/>
        <v>#N/A</v>
      </c>
      <c r="H1122" s="328" t="str">
        <f t="shared" si="505"/>
        <v>M</v>
      </c>
      <c r="I1122" s="325" t="s">
        <v>2225</v>
      </c>
      <c r="J1122" s="329" t="str">
        <f>IF(B1122&lt;&gt;"",+VLOOKUP(I1122,Recursos!C:F,2,FALSE),"")</f>
        <v>Sigunita en polvo</v>
      </c>
      <c r="K1122" s="330" t="str">
        <f>IF(B1122&lt;&gt;"",+VLOOKUP(I1122,Recursos!C:F,3,FALSE),"")</f>
        <v>Kg</v>
      </c>
      <c r="L1122" s="446">
        <f>IF(B1122&lt;&gt;"",+VLOOKUP(I1122,Recursos!C:F,4,FALSE),"")</f>
        <v>35.075000000000003</v>
      </c>
      <c r="M1122" s="452">
        <v>6.8027210884353739E-3</v>
      </c>
      <c r="N1122" s="453"/>
      <c r="O1122" s="449">
        <f>M1122*N1121*1400</f>
        <v>13.333333333333332</v>
      </c>
      <c r="P1122" s="333">
        <f t="shared" si="506"/>
        <v>467.66666666666669</v>
      </c>
      <c r="Q1122" s="327">
        <f t="shared" si="507"/>
        <v>0</v>
      </c>
      <c r="R1122" s="334">
        <f t="shared" si="508"/>
        <v>0</v>
      </c>
      <c r="S1122" s="335" t="e">
        <f t="shared" si="486"/>
        <v>#N/A</v>
      </c>
      <c r="T1122" s="335">
        <f t="shared" si="487"/>
        <v>13379.4776</v>
      </c>
      <c r="U1122" s="336">
        <f t="shared" si="488"/>
        <v>512995.12738095241</v>
      </c>
      <c r="V1122" s="336">
        <f t="shared" si="489"/>
        <v>0</v>
      </c>
      <c r="W1122" s="336">
        <f t="shared" si="490"/>
        <v>0</v>
      </c>
      <c r="X1122" s="336">
        <f t="shared" si="491"/>
        <v>221.5346091232754</v>
      </c>
      <c r="Y1122" s="320"/>
      <c r="Z1122" s="321" t="str">
        <f t="shared" si="495"/>
        <v>X-LECHA</v>
      </c>
      <c r="AA1122" s="321" t="str">
        <f t="shared" si="496"/>
        <v>X-LECHE</v>
      </c>
      <c r="AB1122" s="321" t="str">
        <f t="shared" si="497"/>
        <v>X-LECHM</v>
      </c>
      <c r="AC1122" s="321" t="str">
        <f t="shared" si="498"/>
        <v>X-LECHT</v>
      </c>
      <c r="AD1122" s="321" t="str">
        <f t="shared" si="499"/>
        <v>X-LECHS</v>
      </c>
      <c r="AE1122" s="321" t="str">
        <f t="shared" si="500"/>
        <v>X-LECHX</v>
      </c>
      <c r="AF1122" s="321" t="str">
        <f t="shared" si="501"/>
        <v>X-LECHM</v>
      </c>
      <c r="AG1122" s="321">
        <f t="shared" si="492"/>
        <v>9</v>
      </c>
      <c r="AH1122" s="321">
        <f>IF(B1122&lt;&gt;"",IF(H1122="x",VLOOKUP(I1122,'AUX-NIV3'!B:AG,32,FALSE),0),"")</f>
        <v>0</v>
      </c>
      <c r="AI1122" s="321" t="str">
        <f t="shared" si="502"/>
        <v>X-LECH</v>
      </c>
      <c r="AJ1122" s="320"/>
      <c r="AK1122" s="322">
        <f t="shared" si="493"/>
        <v>1121</v>
      </c>
      <c r="AL1122" s="323">
        <f t="shared" si="503"/>
        <v>1129</v>
      </c>
      <c r="AM1122" s="322">
        <f t="shared" si="504"/>
        <v>2</v>
      </c>
      <c r="AN1122" s="380">
        <f>IF(AND(AH1122&gt;0,B1122&lt;&gt;""),VLOOKUP(I1122,'AUX-NIV3'!$B:$AO,39,FALSE)*O1122,0)</f>
        <v>0</v>
      </c>
      <c r="AO1122" s="380">
        <f t="shared" si="494"/>
        <v>25.082312925170068</v>
      </c>
      <c r="AP1122" s="380"/>
    </row>
    <row r="1123" spans="2:42" ht="14.4" hidden="1" thickTop="1" thickBot="1">
      <c r="B1123" s="324" t="s">
        <v>2929</v>
      </c>
      <c r="C1123" s="325" t="s">
        <v>2930</v>
      </c>
      <c r="D1123" s="326" t="s">
        <v>1160</v>
      </c>
      <c r="E1123" s="327">
        <f>IF(B1123&lt;&gt;"",SUMIF('AUX-NIV1'!I:I,'AUX-NIV2'!B1123,'AUX-NIV1'!Q:Q),"")</f>
        <v>0</v>
      </c>
      <c r="F1123" s="327" t="e">
        <f t="shared" si="484"/>
        <v>#N/A</v>
      </c>
      <c r="G1123" s="327" t="e">
        <f t="shared" si="485"/>
        <v>#N/A</v>
      </c>
      <c r="H1123" s="328" t="str">
        <f t="shared" si="505"/>
        <v>M</v>
      </c>
      <c r="I1123" s="325" t="s">
        <v>1867</v>
      </c>
      <c r="J1123" s="329" t="str">
        <f>IF(B1123&lt;&gt;"",+VLOOKUP(I1123,Recursos!C:F,2,FALSE),"")</f>
        <v>ADITIVO ANTIRRETRACCION</v>
      </c>
      <c r="K1123" s="330" t="str">
        <f>IF(B1123&lt;&gt;"",+VLOOKUP(I1123,Recursos!C:F,3,FALSE),"")</f>
        <v>Kg</v>
      </c>
      <c r="L1123" s="446">
        <f>IF(B1123&lt;&gt;"",+VLOOKUP(I1123,Recursos!C:F,4,FALSE),"")</f>
        <v>83.375</v>
      </c>
      <c r="M1123" s="452">
        <v>6.8027210884353739E-3</v>
      </c>
      <c r="N1123" s="453"/>
      <c r="O1123" s="449">
        <f>M1123*N1121</f>
        <v>9.5238095238095229E-3</v>
      </c>
      <c r="P1123" s="333">
        <f t="shared" si="506"/>
        <v>0.794047619047619</v>
      </c>
      <c r="Q1123" s="327">
        <f t="shared" si="507"/>
        <v>0</v>
      </c>
      <c r="R1123" s="334">
        <f t="shared" si="508"/>
        <v>0</v>
      </c>
      <c r="S1123" s="335" t="e">
        <f t="shared" si="486"/>
        <v>#N/A</v>
      </c>
      <c r="T1123" s="335">
        <f t="shared" si="487"/>
        <v>13379.4776</v>
      </c>
      <c r="U1123" s="336">
        <f t="shared" si="488"/>
        <v>512995.12738095241</v>
      </c>
      <c r="V1123" s="336">
        <f t="shared" si="489"/>
        <v>0</v>
      </c>
      <c r="W1123" s="336">
        <f t="shared" si="490"/>
        <v>0</v>
      </c>
      <c r="X1123" s="336">
        <f t="shared" si="491"/>
        <v>221.5346091232754</v>
      </c>
      <c r="Y1123" s="320"/>
      <c r="Z1123" s="321" t="str">
        <f t="shared" si="495"/>
        <v>X-LECHA</v>
      </c>
      <c r="AA1123" s="321" t="str">
        <f t="shared" si="496"/>
        <v>X-LECHE</v>
      </c>
      <c r="AB1123" s="321" t="str">
        <f t="shared" si="497"/>
        <v>X-LECHM</v>
      </c>
      <c r="AC1123" s="321" t="str">
        <f t="shared" si="498"/>
        <v>X-LECHT</v>
      </c>
      <c r="AD1123" s="321" t="str">
        <f t="shared" si="499"/>
        <v>X-LECHS</v>
      </c>
      <c r="AE1123" s="321" t="str">
        <f t="shared" si="500"/>
        <v>X-LECHX</v>
      </c>
      <c r="AF1123" s="321" t="str">
        <f t="shared" si="501"/>
        <v>X-LECHM</v>
      </c>
      <c r="AG1123" s="321">
        <f t="shared" si="492"/>
        <v>9</v>
      </c>
      <c r="AH1123" s="321">
        <f>IF(B1123&lt;&gt;"",IF(H1123="x",VLOOKUP(I1123,'AUX-NIV3'!B:AG,32,FALSE),0),"")</f>
        <v>0</v>
      </c>
      <c r="AI1123" s="321" t="str">
        <f t="shared" si="502"/>
        <v>X-LECH</v>
      </c>
      <c r="AJ1123" s="320"/>
      <c r="AK1123" s="322">
        <f t="shared" si="493"/>
        <v>1121</v>
      </c>
      <c r="AL1123" s="323">
        <f t="shared" si="503"/>
        <v>1129</v>
      </c>
      <c r="AM1123" s="322">
        <f t="shared" si="504"/>
        <v>3</v>
      </c>
      <c r="AN1123" s="380">
        <f>IF(AND(AH1123&gt;0,B1123&lt;&gt;""),VLOOKUP(I1123,'AUX-NIV3'!$B:$AO,39,FALSE)*O1123,0)</f>
        <v>0</v>
      </c>
      <c r="AO1123" s="380">
        <f t="shared" si="494"/>
        <v>25.082312925170068</v>
      </c>
      <c r="AP1123" s="380"/>
    </row>
    <row r="1124" spans="2:42" ht="14.4" hidden="1" thickTop="1" thickBot="1">
      <c r="B1124" s="324" t="s">
        <v>2929</v>
      </c>
      <c r="C1124" s="325" t="s">
        <v>2930</v>
      </c>
      <c r="D1124" s="326" t="s">
        <v>1160</v>
      </c>
      <c r="E1124" s="327">
        <f>IF(B1124&lt;&gt;"",SUMIF('AUX-NIV1'!I:I,'AUX-NIV2'!B1124,'AUX-NIV1'!Q:Q),"")</f>
        <v>0</v>
      </c>
      <c r="F1124" s="327" t="e">
        <f t="shared" si="484"/>
        <v>#N/A</v>
      </c>
      <c r="G1124" s="327" t="e">
        <f t="shared" si="485"/>
        <v>#N/A</v>
      </c>
      <c r="H1124" s="328" t="str">
        <f t="shared" si="505"/>
        <v>X</v>
      </c>
      <c r="I1124" s="325" t="s">
        <v>2746</v>
      </c>
      <c r="J1124" s="329" t="str">
        <f>IF(B1124&lt;&gt;"",+VLOOKUP(I1124,Recursos!C:F,2,FALSE),"")</f>
        <v>Obtención de Agua para Riego</v>
      </c>
      <c r="K1124" s="330" t="str">
        <f>IF(B1124&lt;&gt;"",+VLOOKUP(I1124,Recursos!C:F,3,FALSE),"")</f>
        <v>m3</v>
      </c>
      <c r="L1124" s="446">
        <f>IF(B1124&lt;&gt;"",+VLOOKUP(I1124,Recursos!C:F,4,FALSE),"")</f>
        <v>148.35029836815718</v>
      </c>
      <c r="M1124" s="452">
        <v>0.30612244897959184</v>
      </c>
      <c r="N1124" s="453"/>
      <c r="O1124" s="449">
        <f>M1124*N1121</f>
        <v>0.42857142857142855</v>
      </c>
      <c r="P1124" s="333">
        <f t="shared" si="506"/>
        <v>63.578699300638789</v>
      </c>
      <c r="Q1124" s="327">
        <f t="shared" si="507"/>
        <v>0</v>
      </c>
      <c r="R1124" s="334">
        <f t="shared" si="508"/>
        <v>0</v>
      </c>
      <c r="S1124" s="335" t="e">
        <f t="shared" si="486"/>
        <v>#N/A</v>
      </c>
      <c r="T1124" s="335">
        <f t="shared" si="487"/>
        <v>13379.4776</v>
      </c>
      <c r="U1124" s="336">
        <f t="shared" si="488"/>
        <v>512995.12738095241</v>
      </c>
      <c r="V1124" s="336">
        <f t="shared" si="489"/>
        <v>0</v>
      </c>
      <c r="W1124" s="336">
        <f t="shared" si="490"/>
        <v>0</v>
      </c>
      <c r="X1124" s="336">
        <f t="shared" si="491"/>
        <v>221.5346091232754</v>
      </c>
      <c r="Y1124" s="320"/>
      <c r="Z1124" s="321" t="str">
        <f t="shared" si="495"/>
        <v>X-LECHA</v>
      </c>
      <c r="AA1124" s="321" t="str">
        <f t="shared" si="496"/>
        <v>X-LECHE</v>
      </c>
      <c r="AB1124" s="321" t="str">
        <f t="shared" si="497"/>
        <v>X-LECHM</v>
      </c>
      <c r="AC1124" s="321" t="str">
        <f t="shared" si="498"/>
        <v>X-LECHT</v>
      </c>
      <c r="AD1124" s="321" t="str">
        <f t="shared" si="499"/>
        <v>X-LECHS</v>
      </c>
      <c r="AE1124" s="321" t="str">
        <f t="shared" si="500"/>
        <v>X-LECHX</v>
      </c>
      <c r="AF1124" s="321" t="str">
        <f t="shared" si="501"/>
        <v>X-LECHX</v>
      </c>
      <c r="AG1124" s="321">
        <f t="shared" si="492"/>
        <v>9</v>
      </c>
      <c r="AH1124" s="321">
        <f>IF(B1124&lt;&gt;"",IF(H1124="x",VLOOKUP(I1124,'AUX-NIV3'!B:AG,32,FALSE),0),"")</f>
        <v>5</v>
      </c>
      <c r="AI1124" s="321" t="str">
        <f t="shared" si="502"/>
        <v>X-LECH</v>
      </c>
      <c r="AJ1124" s="320"/>
      <c r="AK1124" s="322">
        <f t="shared" si="493"/>
        <v>1121</v>
      </c>
      <c r="AL1124" s="323">
        <f t="shared" si="503"/>
        <v>1129</v>
      </c>
      <c r="AM1124" s="322">
        <f t="shared" si="504"/>
        <v>4</v>
      </c>
      <c r="AN1124" s="380">
        <f>IF(AND(AH1124&gt;0,B1124&lt;&gt;""),VLOOKUP(I1124,'AUX-NIV3'!$B:$AO,39,FALSE)*O1124,0)</f>
        <v>1.4285714285714285E-2</v>
      </c>
      <c r="AO1124" s="380">
        <f t="shared" si="494"/>
        <v>25.082312925170068</v>
      </c>
      <c r="AP1124" s="380"/>
    </row>
    <row r="1125" spans="2:42" ht="14.4" hidden="1" thickTop="1" thickBot="1">
      <c r="B1125" s="324" t="s">
        <v>2929</v>
      </c>
      <c r="C1125" s="325" t="s">
        <v>2930</v>
      </c>
      <c r="D1125" s="326" t="s">
        <v>1160</v>
      </c>
      <c r="E1125" s="327">
        <f>IF(B1125&lt;&gt;"",SUMIF('AUX-NIV1'!I:I,'AUX-NIV2'!B1125,'AUX-NIV1'!Q:Q),"")</f>
        <v>0</v>
      </c>
      <c r="F1125" s="327" t="e">
        <f t="shared" si="484"/>
        <v>#N/A</v>
      </c>
      <c r="G1125" s="327" t="e">
        <f t="shared" si="485"/>
        <v>#N/A</v>
      </c>
      <c r="H1125" s="328" t="str">
        <f t="shared" si="505"/>
        <v>X</v>
      </c>
      <c r="I1125" s="324" t="s">
        <v>2748</v>
      </c>
      <c r="J1125" s="329" t="str">
        <f>IF(B1125&lt;&gt;"",+VLOOKUP(I1125,Recursos!C:F,2,FALSE),"")</f>
        <v>Transporte de Agua para riego</v>
      </c>
      <c r="K1125" s="330" t="str">
        <f>IF(B1125&lt;&gt;"",+VLOOKUP(I1125,Recursos!C:F,3,FALSE),"")</f>
        <v>m3</v>
      </c>
      <c r="L1125" s="446">
        <f>IF(B1125&lt;&gt;"",+VLOOKUP(I1125,Recursos!C:F,4,FALSE),"")</f>
        <v>368.5637895861521</v>
      </c>
      <c r="M1125" s="452"/>
      <c r="N1125" s="453"/>
      <c r="O1125" s="449">
        <f>M1124*N1121</f>
        <v>0.42857142857142855</v>
      </c>
      <c r="P1125" s="333">
        <f t="shared" si="506"/>
        <v>157.95590982263661</v>
      </c>
      <c r="Q1125" s="327">
        <f t="shared" si="507"/>
        <v>0</v>
      </c>
      <c r="R1125" s="334">
        <f t="shared" si="508"/>
        <v>0</v>
      </c>
      <c r="S1125" s="335" t="e">
        <f t="shared" si="486"/>
        <v>#N/A</v>
      </c>
      <c r="T1125" s="335">
        <f t="shared" si="487"/>
        <v>13379.4776</v>
      </c>
      <c r="U1125" s="336">
        <f t="shared" si="488"/>
        <v>512995.12738095241</v>
      </c>
      <c r="V1125" s="336">
        <f t="shared" si="489"/>
        <v>0</v>
      </c>
      <c r="W1125" s="336">
        <f t="shared" si="490"/>
        <v>0</v>
      </c>
      <c r="X1125" s="336">
        <f t="shared" si="491"/>
        <v>221.5346091232754</v>
      </c>
      <c r="Y1125" s="320"/>
      <c r="Z1125" s="321" t="str">
        <f t="shared" ref="Z1125:Z1185" si="509">IF(B1125&lt;&gt;"",+$B1125&amp;"A","")</f>
        <v>X-LECHA</v>
      </c>
      <c r="AA1125" s="321" t="str">
        <f t="shared" ref="AA1125:AA1185" si="510">IF(B1125&lt;&gt;"",+$B1125&amp;"E","")</f>
        <v>X-LECHE</v>
      </c>
      <c r="AB1125" s="321" t="str">
        <f t="shared" ref="AB1125:AB1185" si="511">IF(B1125&lt;&gt;"",++$B1125&amp;"M","")</f>
        <v>X-LECHM</v>
      </c>
      <c r="AC1125" s="321" t="str">
        <f t="shared" ref="AC1125:AC1185" si="512">IF(B1125&lt;&gt;"",+$B1125&amp;"T","")</f>
        <v>X-LECHT</v>
      </c>
      <c r="AD1125" s="321" t="str">
        <f t="shared" ref="AD1125:AD1185" si="513">IF(B1125&lt;&gt;"",+$B1125&amp;"S","")</f>
        <v>X-LECHS</v>
      </c>
      <c r="AE1125" s="321" t="str">
        <f t="shared" ref="AE1125:AE1185" si="514">IF(B1125&lt;&gt;"",+$B1125&amp;"X","")</f>
        <v>X-LECHX</v>
      </c>
      <c r="AF1125" s="321" t="str">
        <f t="shared" ref="AF1125:AF1185" si="515">IF(B1125&lt;&gt;"",+B1125&amp;H1125,"")</f>
        <v>X-LECHX</v>
      </c>
      <c r="AG1125" s="321">
        <f t="shared" si="492"/>
        <v>9</v>
      </c>
      <c r="AH1125" s="321">
        <f>IF(B1125&lt;&gt;"",IF(H1125="x",VLOOKUP(I1125,'AUX-NIV3'!B:AG,32,FALSE),0),"")</f>
        <v>2</v>
      </c>
      <c r="AI1125" s="321" t="str">
        <f t="shared" ref="AI1125:AI1185" si="516">IF(B1125&lt;&gt;"",+B1125,"")</f>
        <v>X-LECH</v>
      </c>
      <c r="AJ1125" s="320"/>
      <c r="AK1125" s="322">
        <f t="shared" si="493"/>
        <v>1121</v>
      </c>
      <c r="AL1125" s="323">
        <f t="shared" ref="AL1125:AL1185" si="517">IF(B1125&lt;&gt;"",+AK1125+AG1125-1,"")</f>
        <v>1129</v>
      </c>
      <c r="AM1125" s="322">
        <f t="shared" ref="AM1125:AM1185" si="518">IF(B1125&lt;&gt;"",IF(B1125=B1124,1+AM1124,1),"")</f>
        <v>5</v>
      </c>
      <c r="AN1125" s="380">
        <f>IF(AND(AH1125&gt;0,B1125&lt;&gt;""),VLOOKUP(I1125,'AUX-NIV3'!$B:$AO,39,FALSE)*O1125,0)</f>
        <v>6.8027210884353734E-2</v>
      </c>
      <c r="AO1125" s="380">
        <f t="shared" si="494"/>
        <v>25.082312925170068</v>
      </c>
      <c r="AP1125" s="380"/>
    </row>
    <row r="1126" spans="2:42" ht="14.4" hidden="1" thickTop="1" thickBot="1">
      <c r="B1126" s="324" t="s">
        <v>2929</v>
      </c>
      <c r="C1126" s="325" t="s">
        <v>2930</v>
      </c>
      <c r="D1126" s="326" t="s">
        <v>1160</v>
      </c>
      <c r="E1126" s="327">
        <f>IF(B1126&lt;&gt;"",SUMIF('AUX-NIV1'!I:I,'AUX-NIV2'!B1126,'AUX-NIV1'!Q:Q),"")</f>
        <v>0</v>
      </c>
      <c r="F1126" s="327" t="e">
        <f t="shared" si="484"/>
        <v>#N/A</v>
      </c>
      <c r="G1126" s="327" t="e">
        <f t="shared" si="485"/>
        <v>#N/A</v>
      </c>
      <c r="H1126" s="328" t="str">
        <f t="shared" si="505"/>
        <v>E</v>
      </c>
      <c r="I1126" s="325" t="s">
        <v>1635</v>
      </c>
      <c r="J1126" s="329" t="str">
        <f>IF(B1126&lt;&gt;"",+VLOOKUP(I1126,Recursos!C:F,2,FALSE),"")</f>
        <v>BOMBA INYECTORA</v>
      </c>
      <c r="K1126" s="330" t="str">
        <f>IF(B1126&lt;&gt;"",+VLOOKUP(I1126,Recursos!C:F,3,FALSE),"")</f>
        <v>HR</v>
      </c>
      <c r="L1126" s="446">
        <f>IF(B1126&lt;&gt;"",+VLOOKUP(I1126,Recursos!C:F,4,FALSE),"")</f>
        <v>195.93599999999998</v>
      </c>
      <c r="M1126" s="452">
        <v>0.25</v>
      </c>
      <c r="N1126" s="453"/>
      <c r="O1126" s="449">
        <f>1/M1126</f>
        <v>4</v>
      </c>
      <c r="P1126" s="333">
        <f t="shared" si="506"/>
        <v>783.74399999999991</v>
      </c>
      <c r="Q1126" s="327">
        <f t="shared" si="507"/>
        <v>0</v>
      </c>
      <c r="R1126" s="334">
        <f t="shared" si="508"/>
        <v>0</v>
      </c>
      <c r="S1126" s="335" t="e">
        <f t="shared" si="486"/>
        <v>#N/A</v>
      </c>
      <c r="T1126" s="335">
        <f t="shared" si="487"/>
        <v>13379.4776</v>
      </c>
      <c r="U1126" s="336">
        <f t="shared" si="488"/>
        <v>512995.12738095241</v>
      </c>
      <c r="V1126" s="336">
        <f t="shared" si="489"/>
        <v>0</v>
      </c>
      <c r="W1126" s="336">
        <f t="shared" si="490"/>
        <v>0</v>
      </c>
      <c r="X1126" s="336">
        <f t="shared" si="491"/>
        <v>221.5346091232754</v>
      </c>
      <c r="Y1126" s="320"/>
      <c r="Z1126" s="321" t="str">
        <f t="shared" si="509"/>
        <v>X-LECHA</v>
      </c>
      <c r="AA1126" s="321" t="str">
        <f t="shared" si="510"/>
        <v>X-LECHE</v>
      </c>
      <c r="AB1126" s="321" t="str">
        <f t="shared" si="511"/>
        <v>X-LECHM</v>
      </c>
      <c r="AC1126" s="321" t="str">
        <f t="shared" si="512"/>
        <v>X-LECHT</v>
      </c>
      <c r="AD1126" s="321" t="str">
        <f t="shared" si="513"/>
        <v>X-LECHS</v>
      </c>
      <c r="AE1126" s="321" t="str">
        <f t="shared" si="514"/>
        <v>X-LECHX</v>
      </c>
      <c r="AF1126" s="321" t="str">
        <f t="shared" si="515"/>
        <v>X-LECHE</v>
      </c>
      <c r="AG1126" s="321">
        <f t="shared" si="492"/>
        <v>9</v>
      </c>
      <c r="AH1126" s="321">
        <f>IF(B1126&lt;&gt;"",IF(H1126="x",VLOOKUP(I1126,'AUX-NIV3'!B:AG,32,FALSE),0),"")</f>
        <v>0</v>
      </c>
      <c r="AI1126" s="321" t="str">
        <f t="shared" si="516"/>
        <v>X-LECH</v>
      </c>
      <c r="AJ1126" s="320"/>
      <c r="AK1126" s="322">
        <f t="shared" si="493"/>
        <v>1121</v>
      </c>
      <c r="AL1126" s="323">
        <f t="shared" si="517"/>
        <v>1129</v>
      </c>
      <c r="AM1126" s="322">
        <f t="shared" si="518"/>
        <v>6</v>
      </c>
      <c r="AN1126" s="380">
        <f>IF(AND(AH1126&gt;0,B1126&lt;&gt;""),VLOOKUP(I1126,'AUX-NIV3'!$B:$AO,39,FALSE)*O1126,0)</f>
        <v>0</v>
      </c>
      <c r="AO1126" s="380">
        <f t="shared" si="494"/>
        <v>25.082312925170068</v>
      </c>
      <c r="AP1126" s="380"/>
    </row>
    <row r="1127" spans="2:42" ht="14.4" hidden="1" thickTop="1" thickBot="1">
      <c r="B1127" s="324" t="s">
        <v>2929</v>
      </c>
      <c r="C1127" s="325" t="s">
        <v>2930</v>
      </c>
      <c r="D1127" s="326" t="s">
        <v>1160</v>
      </c>
      <c r="E1127" s="327">
        <f>IF(B1127&lt;&gt;"",SUMIF('AUX-NIV1'!I:I,'AUX-NIV2'!B1127,'AUX-NIV1'!Q:Q),"")</f>
        <v>0</v>
      </c>
      <c r="F1127" s="327" t="e">
        <f t="shared" si="484"/>
        <v>#N/A</v>
      </c>
      <c r="G1127" s="327" t="e">
        <f t="shared" si="485"/>
        <v>#N/A</v>
      </c>
      <c r="H1127" s="328" t="str">
        <f t="shared" si="505"/>
        <v>E</v>
      </c>
      <c r="I1127" s="325" t="s">
        <v>1583</v>
      </c>
      <c r="J1127" s="329" t="str">
        <f>IF(B1127&lt;&gt;"",+VLOOKUP(I1127,Recursos!C:F,2,FALSE),"")</f>
        <v>MOTOCOMPRESOR 21 M3/MIN-750 CFM</v>
      </c>
      <c r="K1127" s="330" t="str">
        <f>IF(B1127&lt;&gt;"",+VLOOKUP(I1127,Recursos!C:F,3,FALSE),"")</f>
        <v>HR</v>
      </c>
      <c r="L1127" s="446">
        <f>IF(B1127&lt;&gt;"",+VLOOKUP(I1127,Recursos!C:F,4,FALSE),"")</f>
        <v>3148.9333999999999</v>
      </c>
      <c r="M1127" s="452"/>
      <c r="N1127" s="453"/>
      <c r="O1127" s="449">
        <f>1/M1126</f>
        <v>4</v>
      </c>
      <c r="P1127" s="333">
        <f t="shared" si="506"/>
        <v>12595.7336</v>
      </c>
      <c r="Q1127" s="327">
        <f t="shared" si="507"/>
        <v>0</v>
      </c>
      <c r="R1127" s="334">
        <f t="shared" si="508"/>
        <v>0</v>
      </c>
      <c r="S1127" s="335" t="e">
        <f t="shared" si="486"/>
        <v>#N/A</v>
      </c>
      <c r="T1127" s="335">
        <f t="shared" si="487"/>
        <v>13379.4776</v>
      </c>
      <c r="U1127" s="336">
        <f t="shared" si="488"/>
        <v>512995.12738095241</v>
      </c>
      <c r="V1127" s="336">
        <f t="shared" si="489"/>
        <v>0</v>
      </c>
      <c r="W1127" s="336">
        <f t="shared" si="490"/>
        <v>0</v>
      </c>
      <c r="X1127" s="336">
        <f t="shared" si="491"/>
        <v>221.5346091232754</v>
      </c>
      <c r="Y1127" s="320"/>
      <c r="Z1127" s="321" t="str">
        <f t="shared" si="509"/>
        <v>X-LECHA</v>
      </c>
      <c r="AA1127" s="321" t="str">
        <f t="shared" si="510"/>
        <v>X-LECHE</v>
      </c>
      <c r="AB1127" s="321" t="str">
        <f t="shared" si="511"/>
        <v>X-LECHM</v>
      </c>
      <c r="AC1127" s="321" t="str">
        <f t="shared" si="512"/>
        <v>X-LECHT</v>
      </c>
      <c r="AD1127" s="321" t="str">
        <f t="shared" si="513"/>
        <v>X-LECHS</v>
      </c>
      <c r="AE1127" s="321" t="str">
        <f t="shared" si="514"/>
        <v>X-LECHX</v>
      </c>
      <c r="AF1127" s="321" t="str">
        <f t="shared" si="515"/>
        <v>X-LECHE</v>
      </c>
      <c r="AG1127" s="321">
        <f t="shared" si="492"/>
        <v>9</v>
      </c>
      <c r="AH1127" s="321">
        <f>IF(B1127&lt;&gt;"",IF(H1127="x",VLOOKUP(I1127,'AUX-NIV3'!B:AG,32,FALSE),0),"")</f>
        <v>0</v>
      </c>
      <c r="AI1127" s="321" t="str">
        <f t="shared" si="516"/>
        <v>X-LECH</v>
      </c>
      <c r="AJ1127" s="320"/>
      <c r="AK1127" s="322">
        <f t="shared" si="493"/>
        <v>1121</v>
      </c>
      <c r="AL1127" s="323">
        <f t="shared" si="517"/>
        <v>1129</v>
      </c>
      <c r="AM1127" s="322">
        <f t="shared" si="518"/>
        <v>7</v>
      </c>
      <c r="AN1127" s="380">
        <f>IF(AND(AH1127&gt;0,B1127&lt;&gt;""),VLOOKUP(I1127,'AUX-NIV3'!$B:$AO,39,FALSE)*O1127,0)</f>
        <v>0</v>
      </c>
      <c r="AO1127" s="380">
        <f t="shared" si="494"/>
        <v>25.082312925170068</v>
      </c>
      <c r="AP1127" s="380"/>
    </row>
    <row r="1128" spans="2:42" ht="14.4" hidden="1" thickTop="1" thickBot="1">
      <c r="B1128" s="324" t="s">
        <v>2929</v>
      </c>
      <c r="C1128" s="325" t="s">
        <v>2930</v>
      </c>
      <c r="D1128" s="326" t="s">
        <v>1160</v>
      </c>
      <c r="E1128" s="327">
        <f>IF(B1128&lt;&gt;"",SUMIF('AUX-NIV1'!I:I,'AUX-NIV2'!B1128,'AUX-NIV1'!Q:Q),"")</f>
        <v>0</v>
      </c>
      <c r="F1128" s="327" t="e">
        <f t="shared" si="484"/>
        <v>#N/A</v>
      </c>
      <c r="G1128" s="327" t="e">
        <f t="shared" si="485"/>
        <v>#N/A</v>
      </c>
      <c r="H1128" s="328" t="str">
        <f t="shared" si="505"/>
        <v>A</v>
      </c>
      <c r="I1128" s="325" t="s">
        <v>3314</v>
      </c>
      <c r="J1128" s="329" t="e">
        <f>IF(B1128&lt;&gt;"",+VLOOKUP(I1128,Recursos!C:F,2,FALSE),"")</f>
        <v>#N/A</v>
      </c>
      <c r="K1128" s="330" t="e">
        <f>IF(B1128&lt;&gt;"",+VLOOKUP(I1128,Recursos!C:F,3,FALSE),"")</f>
        <v>#N/A</v>
      </c>
      <c r="L1128" s="446" t="e">
        <f>IF(B1128&lt;&gt;"",+VLOOKUP(I1128,Recursos!C:F,4,FALSE),"")</f>
        <v>#N/A</v>
      </c>
      <c r="M1128" s="452">
        <v>2</v>
      </c>
      <c r="N1128" s="453">
        <v>1.25</v>
      </c>
      <c r="O1128" s="449">
        <f>N1128*M1128/M1126</f>
        <v>10</v>
      </c>
      <c r="P1128" s="333" t="e">
        <f t="shared" si="506"/>
        <v>#N/A</v>
      </c>
      <c r="Q1128" s="327">
        <f t="shared" si="507"/>
        <v>0</v>
      </c>
      <c r="R1128" s="334" t="e">
        <f t="shared" si="508"/>
        <v>#N/A</v>
      </c>
      <c r="S1128" s="335" t="e">
        <f t="shared" si="486"/>
        <v>#N/A</v>
      </c>
      <c r="T1128" s="335">
        <f t="shared" si="487"/>
        <v>13379.4776</v>
      </c>
      <c r="U1128" s="336">
        <f t="shared" si="488"/>
        <v>512995.12738095241</v>
      </c>
      <c r="V1128" s="336">
        <f t="shared" si="489"/>
        <v>0</v>
      </c>
      <c r="W1128" s="336">
        <f t="shared" si="490"/>
        <v>0</v>
      </c>
      <c r="X1128" s="336">
        <f t="shared" si="491"/>
        <v>221.5346091232754</v>
      </c>
      <c r="Y1128" s="320"/>
      <c r="Z1128" s="321" t="str">
        <f t="shared" si="509"/>
        <v>X-LECHA</v>
      </c>
      <c r="AA1128" s="321" t="str">
        <f t="shared" si="510"/>
        <v>X-LECHE</v>
      </c>
      <c r="AB1128" s="321" t="str">
        <f t="shared" si="511"/>
        <v>X-LECHM</v>
      </c>
      <c r="AC1128" s="321" t="str">
        <f t="shared" si="512"/>
        <v>X-LECHT</v>
      </c>
      <c r="AD1128" s="321" t="str">
        <f t="shared" si="513"/>
        <v>X-LECHS</v>
      </c>
      <c r="AE1128" s="321" t="str">
        <f t="shared" si="514"/>
        <v>X-LECHX</v>
      </c>
      <c r="AF1128" s="321" t="str">
        <f t="shared" si="515"/>
        <v>X-LECHA</v>
      </c>
      <c r="AG1128" s="321">
        <f t="shared" si="492"/>
        <v>9</v>
      </c>
      <c r="AH1128" s="321">
        <f>IF(B1128&lt;&gt;"",IF(H1128="x",VLOOKUP(I1128,'AUX-NIV3'!B:AG,32,FALSE),0),"")</f>
        <v>0</v>
      </c>
      <c r="AI1128" s="321" t="str">
        <f t="shared" si="516"/>
        <v>X-LECH</v>
      </c>
      <c r="AJ1128" s="320"/>
      <c r="AK1128" s="322">
        <f t="shared" si="493"/>
        <v>1121</v>
      </c>
      <c r="AL1128" s="323">
        <f t="shared" si="517"/>
        <v>1129</v>
      </c>
      <c r="AM1128" s="322">
        <f t="shared" si="518"/>
        <v>8</v>
      </c>
      <c r="AN1128" s="380">
        <f>IF(AND(AH1128&gt;0,B1128&lt;&gt;""),VLOOKUP(I1128,'AUX-NIV3'!$B:$AO,39,FALSE)*O1128,0)</f>
        <v>0</v>
      </c>
      <c r="AO1128" s="380">
        <f t="shared" si="494"/>
        <v>25.082312925170068</v>
      </c>
      <c r="AP1128" s="380"/>
    </row>
    <row r="1129" spans="2:42" ht="14.4" hidden="1" thickTop="1" thickBot="1">
      <c r="B1129" s="324" t="s">
        <v>2929</v>
      </c>
      <c r="C1129" s="325" t="s">
        <v>2930</v>
      </c>
      <c r="D1129" s="326" t="s">
        <v>1160</v>
      </c>
      <c r="E1129" s="327">
        <f>IF(B1129&lt;&gt;"",SUMIF('AUX-NIV1'!I:I,'AUX-NIV2'!B1129,'AUX-NIV1'!Q:Q),"")</f>
        <v>0</v>
      </c>
      <c r="F1129" s="327" t="e">
        <f t="shared" si="484"/>
        <v>#N/A</v>
      </c>
      <c r="G1129" s="327" t="e">
        <f t="shared" si="485"/>
        <v>#N/A</v>
      </c>
      <c r="H1129" s="328" t="str">
        <f t="shared" ref="H1129:H1161" si="519">IF(B1129&lt;&gt;"",+LEFT(I1129,1),"")</f>
        <v>A</v>
      </c>
      <c r="I1129" s="325" t="s">
        <v>1746</v>
      </c>
      <c r="J1129" s="329" t="str">
        <f>IF(B1129&lt;&gt;"",+VLOOKUP(I1129,Recursos!C:F,2,FALSE),"")</f>
        <v>OFICIAL</v>
      </c>
      <c r="K1129" s="330" t="str">
        <f>IF(B1129&lt;&gt;"",+VLOOKUP(I1129,Recursos!C:F,3,FALSE),"")</f>
        <v>hh</v>
      </c>
      <c r="L1129" s="446">
        <f>IF(B1129&lt;&gt;"",+VLOOKUP(I1129,Recursos!C:F,4,FALSE),"")</f>
        <v>496.91595439275824</v>
      </c>
      <c r="M1129" s="450">
        <v>3</v>
      </c>
      <c r="N1129" s="451"/>
      <c r="O1129" s="449">
        <f>N1128*M1129/M1126</f>
        <v>15</v>
      </c>
      <c r="P1129" s="333">
        <f t="shared" si="506"/>
        <v>7453.7393158913737</v>
      </c>
      <c r="Q1129" s="327">
        <f t="shared" si="507"/>
        <v>0</v>
      </c>
      <c r="R1129" s="334">
        <f t="shared" si="508"/>
        <v>0</v>
      </c>
      <c r="S1129" s="335" t="e">
        <f t="shared" si="486"/>
        <v>#N/A</v>
      </c>
      <c r="T1129" s="335">
        <f t="shared" si="487"/>
        <v>13379.4776</v>
      </c>
      <c r="U1129" s="336">
        <f t="shared" si="488"/>
        <v>512995.12738095241</v>
      </c>
      <c r="V1129" s="336">
        <f t="shared" si="489"/>
        <v>0</v>
      </c>
      <c r="W1129" s="336">
        <f t="shared" si="490"/>
        <v>0</v>
      </c>
      <c r="X1129" s="336">
        <f t="shared" si="491"/>
        <v>221.5346091232754</v>
      </c>
      <c r="Y1129" s="320"/>
      <c r="Z1129" s="321" t="str">
        <f t="shared" si="509"/>
        <v>X-LECHA</v>
      </c>
      <c r="AA1129" s="321" t="str">
        <f t="shared" si="510"/>
        <v>X-LECHE</v>
      </c>
      <c r="AB1129" s="321" t="str">
        <f t="shared" si="511"/>
        <v>X-LECHM</v>
      </c>
      <c r="AC1129" s="321" t="str">
        <f t="shared" si="512"/>
        <v>X-LECHT</v>
      </c>
      <c r="AD1129" s="321" t="str">
        <f t="shared" si="513"/>
        <v>X-LECHS</v>
      </c>
      <c r="AE1129" s="321" t="str">
        <f t="shared" si="514"/>
        <v>X-LECHX</v>
      </c>
      <c r="AF1129" s="321" t="str">
        <f t="shared" si="515"/>
        <v>X-LECHA</v>
      </c>
      <c r="AG1129" s="321">
        <f t="shared" si="492"/>
        <v>9</v>
      </c>
      <c r="AH1129" s="321">
        <f>IF(B1129&lt;&gt;"",IF(H1129="x",VLOOKUP(I1129,'AUX-NIV3'!B:AG,32,FALSE),0),"")</f>
        <v>0</v>
      </c>
      <c r="AI1129" s="321" t="str">
        <f t="shared" si="516"/>
        <v>X-LECH</v>
      </c>
      <c r="AJ1129" s="320"/>
      <c r="AK1129" s="322">
        <f t="shared" si="493"/>
        <v>1121</v>
      </c>
      <c r="AL1129" s="323">
        <f t="shared" si="517"/>
        <v>1129</v>
      </c>
      <c r="AM1129" s="322">
        <f t="shared" si="518"/>
        <v>9</v>
      </c>
      <c r="AN1129" s="380">
        <f>IF(AND(AH1129&gt;0,B1129&lt;&gt;""),VLOOKUP(I1129,'AUX-NIV3'!$B:$AO,39,FALSE)*O1129,0)</f>
        <v>0</v>
      </c>
      <c r="AO1129" s="380">
        <f t="shared" si="494"/>
        <v>25.082312925170068</v>
      </c>
      <c r="AP1129" s="380"/>
    </row>
    <row r="1130" spans="2:42" ht="14.4" hidden="1" thickTop="1" thickBot="1">
      <c r="B1130" s="324" t="s">
        <v>2931</v>
      </c>
      <c r="C1130" s="325" t="s">
        <v>2973</v>
      </c>
      <c r="D1130" s="326" t="s">
        <v>1160</v>
      </c>
      <c r="E1130" s="327">
        <f>IF(B1130&lt;&gt;"",SUMIF('AUX-NIV1'!I:I,'AUX-NIV2'!B1130,'AUX-NIV1'!Q:Q),"")</f>
        <v>0</v>
      </c>
      <c r="F1130" s="327" t="e">
        <f t="shared" si="484"/>
        <v>#N/A</v>
      </c>
      <c r="G1130" s="327" t="e">
        <f t="shared" si="485"/>
        <v>#N/A</v>
      </c>
      <c r="H1130" s="328" t="str">
        <f t="shared" si="519"/>
        <v>A</v>
      </c>
      <c r="I1130" s="325" t="s">
        <v>3314</v>
      </c>
      <c r="J1130" s="329" t="e">
        <f>IF(B1130&lt;&gt;"",+VLOOKUP(I1130,Recursos!C:F,2,FALSE),"")</f>
        <v>#N/A</v>
      </c>
      <c r="K1130" s="330" t="e">
        <f>IF(B1130&lt;&gt;"",+VLOOKUP(I1130,Recursos!C:F,3,FALSE),"")</f>
        <v>#N/A</v>
      </c>
      <c r="L1130" s="327" t="e">
        <f>IF(B1130&lt;&gt;"",+VLOOKUP(I1130,Recursos!C:F,4,FALSE),"")</f>
        <v>#N/A</v>
      </c>
      <c r="M1130" s="454">
        <f>+M1133</f>
        <v>4</v>
      </c>
      <c r="N1130" s="448">
        <v>2</v>
      </c>
      <c r="O1130" s="449">
        <f>+N1130/M1130*$N$598</f>
        <v>0.5</v>
      </c>
      <c r="P1130" s="333" t="e">
        <f t="shared" si="506"/>
        <v>#N/A</v>
      </c>
      <c r="Q1130" s="327">
        <f t="shared" si="507"/>
        <v>0</v>
      </c>
      <c r="R1130" s="334" t="e">
        <f t="shared" si="508"/>
        <v>#N/A</v>
      </c>
      <c r="S1130" s="335" t="e">
        <f t="shared" si="486"/>
        <v>#N/A</v>
      </c>
      <c r="T1130" s="335">
        <f t="shared" si="487"/>
        <v>1512.7341394444445</v>
      </c>
      <c r="U1130" s="336">
        <f t="shared" si="488"/>
        <v>0</v>
      </c>
      <c r="V1130" s="336">
        <f t="shared" si="489"/>
        <v>0</v>
      </c>
      <c r="W1130" s="336">
        <f t="shared" si="490"/>
        <v>0</v>
      </c>
      <c r="X1130" s="336">
        <f t="shared" si="491"/>
        <v>80.191846859818966</v>
      </c>
      <c r="Y1130" s="320"/>
      <c r="Z1130" s="321" t="str">
        <f t="shared" si="509"/>
        <v>X-COL7A</v>
      </c>
      <c r="AA1130" s="321" t="str">
        <f t="shared" si="510"/>
        <v>X-COL7E</v>
      </c>
      <c r="AB1130" s="321" t="str">
        <f t="shared" si="511"/>
        <v>X-COL7M</v>
      </c>
      <c r="AC1130" s="321" t="str">
        <f t="shared" si="512"/>
        <v>X-COL7T</v>
      </c>
      <c r="AD1130" s="321" t="str">
        <f t="shared" si="513"/>
        <v>X-COL7S</v>
      </c>
      <c r="AE1130" s="321" t="str">
        <f t="shared" si="514"/>
        <v>X-COL7X</v>
      </c>
      <c r="AF1130" s="321" t="str">
        <f t="shared" si="515"/>
        <v>X-COL7A</v>
      </c>
      <c r="AG1130" s="321">
        <f t="shared" si="492"/>
        <v>10</v>
      </c>
      <c r="AH1130" s="321">
        <f>IF(B1130&lt;&gt;"",IF(H1130="x",VLOOKUP(I1130,'AUX-NIV3'!B:AG,32,FALSE),0),"")</f>
        <v>0</v>
      </c>
      <c r="AI1130" s="321" t="str">
        <f t="shared" si="516"/>
        <v>X-COL7</v>
      </c>
      <c r="AJ1130" s="320"/>
      <c r="AK1130" s="322">
        <f t="shared" si="493"/>
        <v>1130</v>
      </c>
      <c r="AL1130" s="323">
        <f t="shared" si="517"/>
        <v>1139</v>
      </c>
      <c r="AM1130" s="322">
        <f t="shared" si="518"/>
        <v>1</v>
      </c>
      <c r="AN1130" s="380">
        <f>IF(AND(AH1130&gt;0,B1130&lt;&gt;""),VLOOKUP(I1130,'AUX-NIV3'!$B:$AO,39,FALSE)*O1130,0)</f>
        <v>0</v>
      </c>
      <c r="AO1130" s="380">
        <f t="shared" si="494"/>
        <v>1.4249999999999998</v>
      </c>
      <c r="AP1130" s="380"/>
    </row>
    <row r="1131" spans="2:42" ht="14.4" hidden="1" thickTop="1" thickBot="1">
      <c r="B1131" s="324" t="s">
        <v>2931</v>
      </c>
      <c r="C1131" s="325" t="s">
        <v>2973</v>
      </c>
      <c r="D1131" s="326" t="s">
        <v>1160</v>
      </c>
      <c r="E1131" s="327">
        <f>IF(B1131&lt;&gt;"",SUMIF('AUX-NIV1'!I:I,'AUX-NIV2'!B1131,'AUX-NIV1'!Q:Q),"")</f>
        <v>0</v>
      </c>
      <c r="F1131" s="327" t="e">
        <f t="shared" si="484"/>
        <v>#N/A</v>
      </c>
      <c r="G1131" s="327" t="e">
        <f t="shared" si="485"/>
        <v>#N/A</v>
      </c>
      <c r="H1131" s="328" t="str">
        <f t="shared" si="519"/>
        <v>A</v>
      </c>
      <c r="I1131" s="325" t="s">
        <v>1746</v>
      </c>
      <c r="J1131" s="329" t="str">
        <f>IF(B1131&lt;&gt;"",+VLOOKUP(I1131,Recursos!C:F,2,FALSE),"")</f>
        <v>OFICIAL</v>
      </c>
      <c r="K1131" s="330" t="str">
        <f>IF(B1131&lt;&gt;"",+VLOOKUP(I1131,Recursos!C:F,3,FALSE),"")</f>
        <v>hh</v>
      </c>
      <c r="L1131" s="327">
        <f>IF(B1131&lt;&gt;"",+VLOOKUP(I1131,Recursos!C:F,4,FALSE),"")</f>
        <v>496.91595439275824</v>
      </c>
      <c r="M1131" s="454">
        <f>+M1132</f>
        <v>4</v>
      </c>
      <c r="N1131" s="453">
        <v>0</v>
      </c>
      <c r="O1131" s="449">
        <f>+N1131/M1131*$N$598</f>
        <v>0</v>
      </c>
      <c r="P1131" s="333">
        <f t="shared" si="506"/>
        <v>0</v>
      </c>
      <c r="Q1131" s="327">
        <f t="shared" si="507"/>
        <v>0</v>
      </c>
      <c r="R1131" s="334">
        <f t="shared" si="508"/>
        <v>0</v>
      </c>
      <c r="S1131" s="335" t="e">
        <f t="shared" si="486"/>
        <v>#N/A</v>
      </c>
      <c r="T1131" s="335">
        <f t="shared" si="487"/>
        <v>1512.7341394444445</v>
      </c>
      <c r="U1131" s="336">
        <f t="shared" si="488"/>
        <v>0</v>
      </c>
      <c r="V1131" s="336">
        <f t="shared" si="489"/>
        <v>0</v>
      </c>
      <c r="W1131" s="336">
        <f t="shared" si="490"/>
        <v>0</v>
      </c>
      <c r="X1131" s="336">
        <f t="shared" si="491"/>
        <v>80.191846859818966</v>
      </c>
      <c r="Y1131" s="320"/>
      <c r="Z1131" s="321" t="str">
        <f t="shared" si="509"/>
        <v>X-COL7A</v>
      </c>
      <c r="AA1131" s="321" t="str">
        <f t="shared" si="510"/>
        <v>X-COL7E</v>
      </c>
      <c r="AB1131" s="321" t="str">
        <f t="shared" si="511"/>
        <v>X-COL7M</v>
      </c>
      <c r="AC1131" s="321" t="str">
        <f t="shared" si="512"/>
        <v>X-COL7T</v>
      </c>
      <c r="AD1131" s="321" t="str">
        <f t="shared" si="513"/>
        <v>X-COL7S</v>
      </c>
      <c r="AE1131" s="321" t="str">
        <f t="shared" si="514"/>
        <v>X-COL7X</v>
      </c>
      <c r="AF1131" s="321" t="str">
        <f t="shared" si="515"/>
        <v>X-COL7A</v>
      </c>
      <c r="AG1131" s="321">
        <f t="shared" si="492"/>
        <v>10</v>
      </c>
      <c r="AH1131" s="321">
        <f>IF(B1131&lt;&gt;"",IF(H1131="x",VLOOKUP(I1131,'AUX-NIV3'!B:AG,32,FALSE),0),"")</f>
        <v>0</v>
      </c>
      <c r="AI1131" s="321" t="str">
        <f t="shared" si="516"/>
        <v>X-COL7</v>
      </c>
      <c r="AJ1131" s="320"/>
      <c r="AK1131" s="322">
        <f t="shared" si="493"/>
        <v>1130</v>
      </c>
      <c r="AL1131" s="323">
        <f t="shared" si="517"/>
        <v>1139</v>
      </c>
      <c r="AM1131" s="322">
        <f t="shared" si="518"/>
        <v>2</v>
      </c>
      <c r="AN1131" s="380">
        <f>IF(AND(AH1131&gt;0,B1131&lt;&gt;""),VLOOKUP(I1131,'AUX-NIV3'!$B:$AO,39,FALSE)*O1131,0)</f>
        <v>0</v>
      </c>
      <c r="AO1131" s="380">
        <f t="shared" si="494"/>
        <v>1.4249999999999998</v>
      </c>
      <c r="AP1131" s="380"/>
    </row>
    <row r="1132" spans="2:42" ht="14.4" hidden="1" thickTop="1" thickBot="1">
      <c r="B1132" s="324" t="s">
        <v>2931</v>
      </c>
      <c r="C1132" s="325" t="s">
        <v>2973</v>
      </c>
      <c r="D1132" s="326" t="s">
        <v>1160</v>
      </c>
      <c r="E1132" s="327">
        <f>IF(B1132&lt;&gt;"",SUMIF('AUX-NIV1'!I:I,'AUX-NIV2'!B1132,'AUX-NIV1'!Q:Q),"")</f>
        <v>0</v>
      </c>
      <c r="F1132" s="327" t="e">
        <f t="shared" si="484"/>
        <v>#N/A</v>
      </c>
      <c r="G1132" s="327" t="e">
        <f t="shared" si="485"/>
        <v>#N/A</v>
      </c>
      <c r="H1132" s="328" t="str">
        <f t="shared" si="519"/>
        <v>A</v>
      </c>
      <c r="I1132" s="325" t="s">
        <v>1746</v>
      </c>
      <c r="J1132" s="329" t="str">
        <f>IF(B1132&lt;&gt;"",+VLOOKUP(I1132,Recursos!C:F,2,FALSE),"")</f>
        <v>OFICIAL</v>
      </c>
      <c r="K1132" s="330" t="str">
        <f>IF(B1132&lt;&gt;"",+VLOOKUP(I1132,Recursos!C:F,3,FALSE),"")</f>
        <v>hh</v>
      </c>
      <c r="L1132" s="327">
        <f>IF(B1132&lt;&gt;"",+VLOOKUP(I1132,Recursos!C:F,4,FALSE),"")</f>
        <v>496.91595439275824</v>
      </c>
      <c r="M1132" s="454">
        <f>+M1133</f>
        <v>4</v>
      </c>
      <c r="N1132" s="453">
        <v>1</v>
      </c>
      <c r="O1132" s="449">
        <f>+N1132/M1132*$N$598</f>
        <v>0.25</v>
      </c>
      <c r="P1132" s="333">
        <f t="shared" si="506"/>
        <v>124.22898859818956</v>
      </c>
      <c r="Q1132" s="327">
        <f t="shared" si="507"/>
        <v>0</v>
      </c>
      <c r="R1132" s="334">
        <f t="shared" si="508"/>
        <v>0</v>
      </c>
      <c r="S1132" s="335" t="e">
        <f t="shared" si="486"/>
        <v>#N/A</v>
      </c>
      <c r="T1132" s="335">
        <f t="shared" si="487"/>
        <v>1512.7341394444445</v>
      </c>
      <c r="U1132" s="336">
        <f t="shared" si="488"/>
        <v>0</v>
      </c>
      <c r="V1132" s="336">
        <f t="shared" si="489"/>
        <v>0</v>
      </c>
      <c r="W1132" s="336">
        <f t="shared" si="490"/>
        <v>0</v>
      </c>
      <c r="X1132" s="336">
        <f t="shared" si="491"/>
        <v>80.191846859818966</v>
      </c>
      <c r="Y1132" s="320"/>
      <c r="Z1132" s="321" t="str">
        <f t="shared" si="509"/>
        <v>X-COL7A</v>
      </c>
      <c r="AA1132" s="321" t="str">
        <f t="shared" si="510"/>
        <v>X-COL7E</v>
      </c>
      <c r="AB1132" s="321" t="str">
        <f t="shared" si="511"/>
        <v>X-COL7M</v>
      </c>
      <c r="AC1132" s="321" t="str">
        <f t="shared" si="512"/>
        <v>X-COL7T</v>
      </c>
      <c r="AD1132" s="321" t="str">
        <f t="shared" si="513"/>
        <v>X-COL7S</v>
      </c>
      <c r="AE1132" s="321" t="str">
        <f t="shared" si="514"/>
        <v>X-COL7X</v>
      </c>
      <c r="AF1132" s="321" t="str">
        <f t="shared" si="515"/>
        <v>X-COL7A</v>
      </c>
      <c r="AG1132" s="321">
        <f t="shared" si="492"/>
        <v>10</v>
      </c>
      <c r="AH1132" s="321">
        <f>IF(B1132&lt;&gt;"",IF(H1132="x",VLOOKUP(I1132,'AUX-NIV3'!B:AG,32,FALSE),0),"")</f>
        <v>0</v>
      </c>
      <c r="AI1132" s="321" t="str">
        <f t="shared" si="516"/>
        <v>X-COL7</v>
      </c>
      <c r="AJ1132" s="320"/>
      <c r="AK1132" s="322">
        <f t="shared" si="493"/>
        <v>1130</v>
      </c>
      <c r="AL1132" s="323">
        <f t="shared" si="517"/>
        <v>1139</v>
      </c>
      <c r="AM1132" s="322">
        <f t="shared" si="518"/>
        <v>3</v>
      </c>
      <c r="AN1132" s="380">
        <f>IF(AND(AH1132&gt;0,B1132&lt;&gt;""),VLOOKUP(I1132,'AUX-NIV3'!$B:$AO,39,FALSE)*O1132,0)</f>
        <v>0</v>
      </c>
      <c r="AO1132" s="380">
        <f t="shared" si="494"/>
        <v>1.4249999999999998</v>
      </c>
      <c r="AP1132" s="380"/>
    </row>
    <row r="1133" spans="2:42" ht="14.4" hidden="1" thickTop="1" thickBot="1">
      <c r="B1133" s="324" t="s">
        <v>2931</v>
      </c>
      <c r="C1133" s="325" t="s">
        <v>2973</v>
      </c>
      <c r="D1133" s="326" t="s">
        <v>1160</v>
      </c>
      <c r="E1133" s="327">
        <f>IF(B1133&lt;&gt;"",SUMIF('AUX-NIV1'!I:I,'AUX-NIV2'!B1133,'AUX-NIV1'!Q:Q),"")</f>
        <v>0</v>
      </c>
      <c r="F1133" s="327" t="e">
        <f t="shared" si="484"/>
        <v>#N/A</v>
      </c>
      <c r="G1133" s="327" t="e">
        <f t="shared" si="485"/>
        <v>#N/A</v>
      </c>
      <c r="H1133" s="328" t="str">
        <f t="shared" si="519"/>
        <v>A</v>
      </c>
      <c r="I1133" s="325" t="s">
        <v>3310</v>
      </c>
      <c r="J1133" s="329" t="str">
        <f>IF(B1133&lt;&gt;"",+VLOOKUP(I1133,Recursos!C:F,2,FALSE),"")</f>
        <v>OFICIAL ESPECIALIZADO</v>
      </c>
      <c r="K1133" s="330" t="str">
        <f>IF(B1133&lt;&gt;"",+VLOOKUP(I1133,Recursos!C:F,3,FALSE),"")</f>
        <v>hh</v>
      </c>
      <c r="L1133" s="327">
        <f>IF(B1133&lt;&gt;"",+VLOOKUP(I1133,Recursos!C:F,4,FALSE),"")</f>
        <v>581.06120476836554</v>
      </c>
      <c r="M1133" s="454">
        <f>+M1134</f>
        <v>4</v>
      </c>
      <c r="N1133" s="453">
        <v>1</v>
      </c>
      <c r="O1133" s="449">
        <f>+N1133/M1133*$N$598</f>
        <v>0.25</v>
      </c>
      <c r="P1133" s="333">
        <f t="shared" si="506"/>
        <v>145.26530119209139</v>
      </c>
      <c r="Q1133" s="327">
        <f t="shared" si="507"/>
        <v>0</v>
      </c>
      <c r="R1133" s="334">
        <f t="shared" si="508"/>
        <v>0</v>
      </c>
      <c r="S1133" s="335" t="e">
        <f t="shared" si="486"/>
        <v>#N/A</v>
      </c>
      <c r="T1133" s="335">
        <f t="shared" si="487"/>
        <v>1512.7341394444445</v>
      </c>
      <c r="U1133" s="336">
        <f t="shared" si="488"/>
        <v>0</v>
      </c>
      <c r="V1133" s="336">
        <f t="shared" si="489"/>
        <v>0</v>
      </c>
      <c r="W1133" s="336">
        <f t="shared" si="490"/>
        <v>0</v>
      </c>
      <c r="X1133" s="336">
        <f t="shared" si="491"/>
        <v>80.191846859818966</v>
      </c>
      <c r="Y1133" s="320"/>
      <c r="Z1133" s="321" t="str">
        <f t="shared" si="509"/>
        <v>X-COL7A</v>
      </c>
      <c r="AA1133" s="321" t="str">
        <f t="shared" si="510"/>
        <v>X-COL7E</v>
      </c>
      <c r="AB1133" s="321" t="str">
        <f t="shared" si="511"/>
        <v>X-COL7M</v>
      </c>
      <c r="AC1133" s="321" t="str">
        <f t="shared" si="512"/>
        <v>X-COL7T</v>
      </c>
      <c r="AD1133" s="321" t="str">
        <f t="shared" si="513"/>
        <v>X-COL7S</v>
      </c>
      <c r="AE1133" s="321" t="str">
        <f t="shared" si="514"/>
        <v>X-COL7X</v>
      </c>
      <c r="AF1133" s="321" t="str">
        <f t="shared" si="515"/>
        <v>X-COL7A</v>
      </c>
      <c r="AG1133" s="321">
        <f t="shared" si="492"/>
        <v>10</v>
      </c>
      <c r="AH1133" s="321">
        <f>IF(B1133&lt;&gt;"",IF(H1133="x",VLOOKUP(I1133,'AUX-NIV3'!B:AG,32,FALSE),0),"")</f>
        <v>0</v>
      </c>
      <c r="AI1133" s="321" t="str">
        <f t="shared" si="516"/>
        <v>X-COL7</v>
      </c>
      <c r="AJ1133" s="320"/>
      <c r="AK1133" s="322">
        <f t="shared" si="493"/>
        <v>1130</v>
      </c>
      <c r="AL1133" s="323">
        <f t="shared" si="517"/>
        <v>1139</v>
      </c>
      <c r="AM1133" s="322">
        <f t="shared" si="518"/>
        <v>4</v>
      </c>
      <c r="AN1133" s="380">
        <f>IF(AND(AH1133&gt;0,B1133&lt;&gt;""),VLOOKUP(I1133,'AUX-NIV3'!$B:$AO,39,FALSE)*O1133,0)</f>
        <v>0</v>
      </c>
      <c r="AO1133" s="380">
        <f t="shared" si="494"/>
        <v>1.4249999999999998</v>
      </c>
      <c r="AP1133" s="380"/>
    </row>
    <row r="1134" spans="2:42" ht="14.4" hidden="1" thickTop="1" thickBot="1">
      <c r="B1134" s="324" t="s">
        <v>2931</v>
      </c>
      <c r="C1134" s="325" t="s">
        <v>2973</v>
      </c>
      <c r="D1134" s="326" t="s">
        <v>1160</v>
      </c>
      <c r="E1134" s="327">
        <f>IF(B1134&lt;&gt;"",SUMIF('AUX-NIV1'!I:I,'AUX-NIV2'!B1134,'AUX-NIV1'!Q:Q),"")</f>
        <v>0</v>
      </c>
      <c r="F1134" s="327" t="e">
        <f t="shared" si="484"/>
        <v>#N/A</v>
      </c>
      <c r="G1134" s="327" t="e">
        <f t="shared" si="485"/>
        <v>#N/A</v>
      </c>
      <c r="H1134" s="328" t="str">
        <f t="shared" si="519"/>
        <v>A</v>
      </c>
      <c r="I1134" s="325" t="s">
        <v>3310</v>
      </c>
      <c r="J1134" s="329" t="str">
        <f>IF(B1134&lt;&gt;"",+VLOOKUP(I1134,Recursos!C:F,2,FALSE),"")</f>
        <v>OFICIAL ESPECIALIZADO</v>
      </c>
      <c r="K1134" s="330" t="str">
        <f>IF(B1134&lt;&gt;"",+VLOOKUP(I1134,Recursos!C:F,3,FALSE),"")</f>
        <v>hh</v>
      </c>
      <c r="L1134" s="327">
        <f>IF(B1134&lt;&gt;"",+VLOOKUP(I1134,Recursos!C:F,4,FALSE),"")</f>
        <v>581.06120476836554</v>
      </c>
      <c r="M1134" s="454">
        <f>+M1135</f>
        <v>4</v>
      </c>
      <c r="N1134" s="453">
        <v>0</v>
      </c>
      <c r="O1134" s="449">
        <f>+N1134/M1134*N1135</f>
        <v>0</v>
      </c>
      <c r="P1134" s="333">
        <f t="shared" si="506"/>
        <v>0</v>
      </c>
      <c r="Q1134" s="327">
        <f t="shared" si="507"/>
        <v>0</v>
      </c>
      <c r="R1134" s="334">
        <f t="shared" si="508"/>
        <v>0</v>
      </c>
      <c r="S1134" s="335" t="e">
        <f t="shared" si="486"/>
        <v>#N/A</v>
      </c>
      <c r="T1134" s="335">
        <f t="shared" si="487"/>
        <v>1512.7341394444445</v>
      </c>
      <c r="U1134" s="336">
        <f t="shared" si="488"/>
        <v>0</v>
      </c>
      <c r="V1134" s="336">
        <f t="shared" si="489"/>
        <v>0</v>
      </c>
      <c r="W1134" s="336">
        <f t="shared" si="490"/>
        <v>0</v>
      </c>
      <c r="X1134" s="336">
        <f t="shared" si="491"/>
        <v>80.191846859818966</v>
      </c>
      <c r="Y1134" s="320"/>
      <c r="Z1134" s="321" t="str">
        <f t="shared" si="509"/>
        <v>X-COL7A</v>
      </c>
      <c r="AA1134" s="321" t="str">
        <f t="shared" si="510"/>
        <v>X-COL7E</v>
      </c>
      <c r="AB1134" s="321" t="str">
        <f t="shared" si="511"/>
        <v>X-COL7M</v>
      </c>
      <c r="AC1134" s="321" t="str">
        <f t="shared" si="512"/>
        <v>X-COL7T</v>
      </c>
      <c r="AD1134" s="321" t="str">
        <f t="shared" si="513"/>
        <v>X-COL7S</v>
      </c>
      <c r="AE1134" s="321" t="str">
        <f t="shared" si="514"/>
        <v>X-COL7X</v>
      </c>
      <c r="AF1134" s="321" t="str">
        <f t="shared" si="515"/>
        <v>X-COL7A</v>
      </c>
      <c r="AG1134" s="321">
        <f t="shared" si="492"/>
        <v>10</v>
      </c>
      <c r="AH1134" s="321">
        <f>IF(B1134&lt;&gt;"",IF(H1134="x",VLOOKUP(I1134,'AUX-NIV3'!B:AG,32,FALSE),0),"")</f>
        <v>0</v>
      </c>
      <c r="AI1134" s="321" t="str">
        <f t="shared" si="516"/>
        <v>X-COL7</v>
      </c>
      <c r="AJ1134" s="320"/>
      <c r="AK1134" s="322">
        <f t="shared" si="493"/>
        <v>1130</v>
      </c>
      <c r="AL1134" s="323">
        <f t="shared" si="517"/>
        <v>1139</v>
      </c>
      <c r="AM1134" s="322">
        <f t="shared" si="518"/>
        <v>5</v>
      </c>
      <c r="AN1134" s="380">
        <f>IF(AND(AH1134&gt;0,B1134&lt;&gt;""),VLOOKUP(I1134,'AUX-NIV3'!$B:$AO,39,FALSE)*O1134,0)</f>
        <v>0</v>
      </c>
      <c r="AO1134" s="380">
        <f t="shared" si="494"/>
        <v>1.4249999999999998</v>
      </c>
      <c r="AP1134" s="380"/>
    </row>
    <row r="1135" spans="2:42" ht="14.4" hidden="1" thickTop="1" thickBot="1">
      <c r="B1135" s="324" t="s">
        <v>2931</v>
      </c>
      <c r="C1135" s="325" t="s">
        <v>2973</v>
      </c>
      <c r="D1135" s="326" t="s">
        <v>1160</v>
      </c>
      <c r="E1135" s="327">
        <f>IF(B1135&lt;&gt;"",SUMIF('AUX-NIV1'!I:I,'AUX-NIV2'!B1135,'AUX-NIV1'!Q:Q),"")</f>
        <v>0</v>
      </c>
      <c r="F1135" s="327" t="e">
        <f t="shared" si="484"/>
        <v>#N/A</v>
      </c>
      <c r="G1135" s="327" t="e">
        <f t="shared" si="485"/>
        <v>#N/A</v>
      </c>
      <c r="H1135" s="328" t="str">
        <f t="shared" si="519"/>
        <v>A</v>
      </c>
      <c r="I1135" s="325" t="s">
        <v>1746</v>
      </c>
      <c r="J1135" s="329" t="str">
        <f>IF(B1135&lt;&gt;"",+VLOOKUP(I1135,Recursos!C:F,2,FALSE),"")</f>
        <v>OFICIAL</v>
      </c>
      <c r="K1135" s="330" t="str">
        <f>IF(B1135&lt;&gt;"",+VLOOKUP(I1135,Recursos!C:F,3,FALSE),"")</f>
        <v>hh</v>
      </c>
      <c r="L1135" s="327">
        <f>IF(B1135&lt;&gt;"",+VLOOKUP(I1135,Recursos!C:F,4,FALSE),"")</f>
        <v>496.91595439275824</v>
      </c>
      <c r="M1135" s="454">
        <f>+M1138</f>
        <v>4</v>
      </c>
      <c r="N1135" s="453">
        <v>1.6</v>
      </c>
      <c r="O1135" s="449">
        <f>+N1135/M1135</f>
        <v>0.4</v>
      </c>
      <c r="P1135" s="333">
        <f t="shared" si="506"/>
        <v>198.76638175710332</v>
      </c>
      <c r="Q1135" s="327">
        <f t="shared" si="507"/>
        <v>0</v>
      </c>
      <c r="R1135" s="334">
        <f t="shared" si="508"/>
        <v>0</v>
      </c>
      <c r="S1135" s="335" t="e">
        <f t="shared" si="486"/>
        <v>#N/A</v>
      </c>
      <c r="T1135" s="335">
        <f t="shared" si="487"/>
        <v>1512.7341394444445</v>
      </c>
      <c r="U1135" s="336">
        <f t="shared" si="488"/>
        <v>0</v>
      </c>
      <c r="V1135" s="336">
        <f t="shared" si="489"/>
        <v>0</v>
      </c>
      <c r="W1135" s="336">
        <f t="shared" si="490"/>
        <v>0</v>
      </c>
      <c r="X1135" s="336">
        <f t="shared" si="491"/>
        <v>80.191846859818966</v>
      </c>
      <c r="Y1135" s="320"/>
      <c r="Z1135" s="321" t="str">
        <f t="shared" si="509"/>
        <v>X-COL7A</v>
      </c>
      <c r="AA1135" s="321" t="str">
        <f t="shared" si="510"/>
        <v>X-COL7E</v>
      </c>
      <c r="AB1135" s="321" t="str">
        <f t="shared" si="511"/>
        <v>X-COL7M</v>
      </c>
      <c r="AC1135" s="321" t="str">
        <f t="shared" si="512"/>
        <v>X-COL7T</v>
      </c>
      <c r="AD1135" s="321" t="str">
        <f t="shared" si="513"/>
        <v>X-COL7S</v>
      </c>
      <c r="AE1135" s="321" t="str">
        <f t="shared" si="514"/>
        <v>X-COL7X</v>
      </c>
      <c r="AF1135" s="321" t="str">
        <f t="shared" si="515"/>
        <v>X-COL7A</v>
      </c>
      <c r="AG1135" s="321">
        <f t="shared" si="492"/>
        <v>10</v>
      </c>
      <c r="AH1135" s="321">
        <f>IF(B1135&lt;&gt;"",IF(H1135="x",VLOOKUP(I1135,'AUX-NIV3'!B:AG,32,FALSE),0),"")</f>
        <v>0</v>
      </c>
      <c r="AI1135" s="321" t="str">
        <f t="shared" si="516"/>
        <v>X-COL7</v>
      </c>
      <c r="AJ1135" s="320"/>
      <c r="AK1135" s="322">
        <f t="shared" si="493"/>
        <v>1130</v>
      </c>
      <c r="AL1135" s="323">
        <f t="shared" si="517"/>
        <v>1139</v>
      </c>
      <c r="AM1135" s="322">
        <f t="shared" si="518"/>
        <v>6</v>
      </c>
      <c r="AN1135" s="380">
        <f>IF(AND(AH1135&gt;0,B1135&lt;&gt;""),VLOOKUP(I1135,'AUX-NIV3'!$B:$AO,39,FALSE)*O1135,0)</f>
        <v>0</v>
      </c>
      <c r="AO1135" s="380">
        <f t="shared" si="494"/>
        <v>1.4249999999999998</v>
      </c>
      <c r="AP1135" s="380"/>
    </row>
    <row r="1136" spans="2:42" ht="14.4" hidden="1" thickTop="1" thickBot="1">
      <c r="B1136" s="324" t="s">
        <v>2931</v>
      </c>
      <c r="C1136" s="325" t="s">
        <v>2973</v>
      </c>
      <c r="D1136" s="326" t="s">
        <v>1160</v>
      </c>
      <c r="E1136" s="327">
        <f>IF(B1136&lt;&gt;"",SUMIF('AUX-NIV1'!I:I,'AUX-NIV2'!B1136,'AUX-NIV1'!Q:Q),"")</f>
        <v>0</v>
      </c>
      <c r="F1136" s="327" t="e">
        <f t="shared" si="484"/>
        <v>#N/A</v>
      </c>
      <c r="G1136" s="327" t="e">
        <f t="shared" si="485"/>
        <v>#N/A</v>
      </c>
      <c r="H1136" s="328" t="str">
        <f t="shared" si="519"/>
        <v>E</v>
      </c>
      <c r="I1136" s="325" t="s">
        <v>1692</v>
      </c>
      <c r="J1136" s="329" t="str">
        <f>IF(B1136&lt;&gt;"",+VLOOKUP(I1136,Recursos!C:F,2,FALSE),"")</f>
        <v>MOTOCOMPRESOR 7 m3/min-250 cfm</v>
      </c>
      <c r="K1136" s="330" t="str">
        <f>IF(B1136&lt;&gt;"",+VLOOKUP(I1136,Recursos!C:F,3,FALSE),"")</f>
        <v>HR</v>
      </c>
      <c r="L1136" s="327">
        <f>IF(B1136&lt;&gt;"",+VLOOKUP(I1136,Recursos!C:F,4,FALSE),"")</f>
        <v>942.82014000000004</v>
      </c>
      <c r="M1136" s="454">
        <f>+M1139</f>
        <v>4</v>
      </c>
      <c r="N1136" s="455"/>
      <c r="O1136" s="449">
        <f>1/M1136</f>
        <v>0.25</v>
      </c>
      <c r="P1136" s="333">
        <f t="shared" si="506"/>
        <v>235.70503500000001</v>
      </c>
      <c r="Q1136" s="327">
        <f t="shared" si="507"/>
        <v>0</v>
      </c>
      <c r="R1136" s="334">
        <f t="shared" si="508"/>
        <v>0</v>
      </c>
      <c r="S1136" s="335" t="e">
        <f t="shared" si="486"/>
        <v>#N/A</v>
      </c>
      <c r="T1136" s="335">
        <f t="shared" si="487"/>
        <v>1512.7341394444445</v>
      </c>
      <c r="U1136" s="336">
        <f t="shared" si="488"/>
        <v>0</v>
      </c>
      <c r="V1136" s="336">
        <f t="shared" si="489"/>
        <v>0</v>
      </c>
      <c r="W1136" s="336">
        <f t="shared" si="490"/>
        <v>0</v>
      </c>
      <c r="X1136" s="336">
        <f t="shared" si="491"/>
        <v>80.191846859818966</v>
      </c>
      <c r="Y1136" s="320"/>
      <c r="Z1136" s="321" t="str">
        <f t="shared" si="509"/>
        <v>X-COL7A</v>
      </c>
      <c r="AA1136" s="321" t="str">
        <f t="shared" si="510"/>
        <v>X-COL7E</v>
      </c>
      <c r="AB1136" s="321" t="str">
        <f t="shared" si="511"/>
        <v>X-COL7M</v>
      </c>
      <c r="AC1136" s="321" t="str">
        <f t="shared" si="512"/>
        <v>X-COL7T</v>
      </c>
      <c r="AD1136" s="321" t="str">
        <f t="shared" si="513"/>
        <v>X-COL7S</v>
      </c>
      <c r="AE1136" s="321" t="str">
        <f t="shared" si="514"/>
        <v>X-COL7X</v>
      </c>
      <c r="AF1136" s="321" t="str">
        <f t="shared" si="515"/>
        <v>X-COL7E</v>
      </c>
      <c r="AG1136" s="321">
        <f t="shared" si="492"/>
        <v>10</v>
      </c>
      <c r="AH1136" s="321">
        <f>IF(B1136&lt;&gt;"",IF(H1136="x",VLOOKUP(I1136,'AUX-NIV3'!B:AG,32,FALSE),0),"")</f>
        <v>0</v>
      </c>
      <c r="AI1136" s="321" t="str">
        <f t="shared" si="516"/>
        <v>X-COL7</v>
      </c>
      <c r="AJ1136" s="320"/>
      <c r="AK1136" s="322">
        <f t="shared" si="493"/>
        <v>1130</v>
      </c>
      <c r="AL1136" s="323">
        <f t="shared" si="517"/>
        <v>1139</v>
      </c>
      <c r="AM1136" s="322">
        <f t="shared" si="518"/>
        <v>7</v>
      </c>
      <c r="AN1136" s="380">
        <f>IF(AND(AH1136&gt;0,B1136&lt;&gt;""),VLOOKUP(I1136,'AUX-NIV3'!$B:$AO,39,FALSE)*O1136,0)</f>
        <v>0</v>
      </c>
      <c r="AO1136" s="380">
        <f t="shared" si="494"/>
        <v>1.4249999999999998</v>
      </c>
      <c r="AP1136" s="380"/>
    </row>
    <row r="1137" spans="2:42" ht="14.4" hidden="1" thickTop="1" thickBot="1">
      <c r="B1137" s="324" t="s">
        <v>2931</v>
      </c>
      <c r="C1137" s="325" t="s">
        <v>2973</v>
      </c>
      <c r="D1137" s="326" t="s">
        <v>1160</v>
      </c>
      <c r="E1137" s="327">
        <f>IF(B1137&lt;&gt;"",SUMIF('AUX-NIV1'!I:I,'AUX-NIV2'!B1137,'AUX-NIV1'!Q:Q),"")</f>
        <v>0</v>
      </c>
      <c r="F1137" s="327" t="e">
        <f t="shared" si="484"/>
        <v>#N/A</v>
      </c>
      <c r="G1137" s="327" t="e">
        <f t="shared" si="485"/>
        <v>#N/A</v>
      </c>
      <c r="H1137" s="328" t="str">
        <f t="shared" si="519"/>
        <v>E</v>
      </c>
      <c r="I1137" s="325" t="s">
        <v>1718</v>
      </c>
      <c r="J1137" s="329" t="str">
        <f>IF(B1137&lt;&gt;"",+VLOOKUP(I1137,Recursos!C:F,2,FALSE),"")</f>
        <v>BOMBA Hº S/CAMION C/PLUMA 90 m3/h</v>
      </c>
      <c r="K1137" s="330" t="str">
        <f>IF(B1137&lt;&gt;"",+VLOOKUP(I1137,Recursos!C:F,3,FALSE),"")</f>
        <v>HR</v>
      </c>
      <c r="L1137" s="327">
        <f>IF(B1137&lt;&gt;"",+VLOOKUP(I1137,Recursos!C:F,4,FALSE),"")</f>
        <v>4447.1589777777781</v>
      </c>
      <c r="M1137" s="454">
        <f>+M1138</f>
        <v>4</v>
      </c>
      <c r="N1137" s="455"/>
      <c r="O1137" s="449">
        <f>1/M1137</f>
        <v>0.25</v>
      </c>
      <c r="P1137" s="333">
        <f t="shared" si="506"/>
        <v>1111.7897444444445</v>
      </c>
      <c r="Q1137" s="327">
        <f t="shared" si="507"/>
        <v>0</v>
      </c>
      <c r="R1137" s="334">
        <f t="shared" si="508"/>
        <v>0</v>
      </c>
      <c r="S1137" s="335" t="e">
        <f t="shared" si="486"/>
        <v>#N/A</v>
      </c>
      <c r="T1137" s="335">
        <f t="shared" si="487"/>
        <v>1512.7341394444445</v>
      </c>
      <c r="U1137" s="336">
        <f t="shared" si="488"/>
        <v>0</v>
      </c>
      <c r="V1137" s="336">
        <f t="shared" si="489"/>
        <v>0</v>
      </c>
      <c r="W1137" s="336">
        <f t="shared" si="490"/>
        <v>0</v>
      </c>
      <c r="X1137" s="336">
        <f t="shared" si="491"/>
        <v>80.191846859818966</v>
      </c>
      <c r="Y1137" s="320"/>
      <c r="Z1137" s="321" t="str">
        <f t="shared" si="509"/>
        <v>X-COL7A</v>
      </c>
      <c r="AA1137" s="321" t="str">
        <f t="shared" si="510"/>
        <v>X-COL7E</v>
      </c>
      <c r="AB1137" s="321" t="str">
        <f t="shared" si="511"/>
        <v>X-COL7M</v>
      </c>
      <c r="AC1137" s="321" t="str">
        <f t="shared" si="512"/>
        <v>X-COL7T</v>
      </c>
      <c r="AD1137" s="321" t="str">
        <f t="shared" si="513"/>
        <v>X-COL7S</v>
      </c>
      <c r="AE1137" s="321" t="str">
        <f t="shared" si="514"/>
        <v>X-COL7X</v>
      </c>
      <c r="AF1137" s="321" t="str">
        <f t="shared" si="515"/>
        <v>X-COL7E</v>
      </c>
      <c r="AG1137" s="321">
        <f t="shared" si="492"/>
        <v>10</v>
      </c>
      <c r="AH1137" s="321">
        <f>IF(B1137&lt;&gt;"",IF(H1137="x",VLOOKUP(I1137,'AUX-NIV3'!B:AG,32,FALSE),0),"")</f>
        <v>0</v>
      </c>
      <c r="AI1137" s="321" t="str">
        <f t="shared" si="516"/>
        <v>X-COL7</v>
      </c>
      <c r="AJ1137" s="320"/>
      <c r="AK1137" s="322">
        <f t="shared" si="493"/>
        <v>1130</v>
      </c>
      <c r="AL1137" s="323">
        <f t="shared" si="517"/>
        <v>1139</v>
      </c>
      <c r="AM1137" s="322">
        <f t="shared" si="518"/>
        <v>8</v>
      </c>
      <c r="AN1137" s="380">
        <f>IF(AND(AH1137&gt;0,B1137&lt;&gt;""),VLOOKUP(I1137,'AUX-NIV3'!$B:$AO,39,FALSE)*O1137,0)</f>
        <v>0</v>
      </c>
      <c r="AO1137" s="380">
        <f t="shared" si="494"/>
        <v>1.4249999999999998</v>
      </c>
      <c r="AP1137" s="380"/>
    </row>
    <row r="1138" spans="2:42" ht="14.4" hidden="1" thickTop="1" thickBot="1">
      <c r="B1138" s="324" t="s">
        <v>2931</v>
      </c>
      <c r="C1138" s="325" t="s">
        <v>2973</v>
      </c>
      <c r="D1138" s="326" t="s">
        <v>1160</v>
      </c>
      <c r="E1138" s="327">
        <f>IF(B1138&lt;&gt;"",SUMIF('AUX-NIV1'!I:I,'AUX-NIV2'!B1138,'AUX-NIV1'!Q:Q),"")</f>
        <v>0</v>
      </c>
      <c r="F1138" s="327" t="e">
        <f t="shared" si="484"/>
        <v>#N/A</v>
      </c>
      <c r="G1138" s="327" t="e">
        <f t="shared" si="485"/>
        <v>#N/A</v>
      </c>
      <c r="H1138" s="328" t="str">
        <f t="shared" si="519"/>
        <v>E</v>
      </c>
      <c r="I1138" s="325" t="s">
        <v>1603</v>
      </c>
      <c r="J1138" s="329" t="str">
        <f>IF(B1138&lt;&gt;"",+VLOOKUP(I1138,Recursos!C:F,2,FALSE),"")</f>
        <v>SHOTCRETERA VIA SECA CAP. 8 M3/H Aliva 262</v>
      </c>
      <c r="K1138" s="330" t="str">
        <f>IF(B1138&lt;&gt;"",+VLOOKUP(I1138,Recursos!C:F,3,FALSE),"")</f>
        <v>HR</v>
      </c>
      <c r="L1138" s="327">
        <f>IF(B1138&lt;&gt;"",+VLOOKUP(I1138,Recursos!C:F,4,FALSE),"")</f>
        <v>660.95743999999991</v>
      </c>
      <c r="M1138" s="452">
        <v>4</v>
      </c>
      <c r="N1138" s="455"/>
      <c r="O1138" s="449">
        <f>1/M1138</f>
        <v>0.25</v>
      </c>
      <c r="P1138" s="333">
        <f t="shared" si="506"/>
        <v>165.23935999999998</v>
      </c>
      <c r="Q1138" s="327">
        <f t="shared" si="507"/>
        <v>0</v>
      </c>
      <c r="R1138" s="334">
        <f t="shared" si="508"/>
        <v>0</v>
      </c>
      <c r="S1138" s="335" t="e">
        <f t="shared" si="486"/>
        <v>#N/A</v>
      </c>
      <c r="T1138" s="335">
        <f t="shared" si="487"/>
        <v>1512.7341394444445</v>
      </c>
      <c r="U1138" s="336">
        <f t="shared" si="488"/>
        <v>0</v>
      </c>
      <c r="V1138" s="336">
        <f t="shared" si="489"/>
        <v>0</v>
      </c>
      <c r="W1138" s="336">
        <f t="shared" si="490"/>
        <v>0</v>
      </c>
      <c r="X1138" s="336">
        <f t="shared" si="491"/>
        <v>80.191846859818966</v>
      </c>
      <c r="Y1138" s="320"/>
      <c r="Z1138" s="321" t="str">
        <f t="shared" si="509"/>
        <v>X-COL7A</v>
      </c>
      <c r="AA1138" s="321" t="str">
        <f t="shared" si="510"/>
        <v>X-COL7E</v>
      </c>
      <c r="AB1138" s="321" t="str">
        <f t="shared" si="511"/>
        <v>X-COL7M</v>
      </c>
      <c r="AC1138" s="321" t="str">
        <f t="shared" si="512"/>
        <v>X-COL7T</v>
      </c>
      <c r="AD1138" s="321" t="str">
        <f t="shared" si="513"/>
        <v>X-COL7S</v>
      </c>
      <c r="AE1138" s="321" t="str">
        <f t="shared" si="514"/>
        <v>X-COL7X</v>
      </c>
      <c r="AF1138" s="321" t="str">
        <f t="shared" si="515"/>
        <v>X-COL7E</v>
      </c>
      <c r="AG1138" s="321">
        <f t="shared" si="492"/>
        <v>10</v>
      </c>
      <c r="AH1138" s="321">
        <f>IF(B1138&lt;&gt;"",IF(H1138="x",VLOOKUP(I1138,'AUX-NIV3'!B:AG,32,FALSE),0),"")</f>
        <v>0</v>
      </c>
      <c r="AI1138" s="321" t="str">
        <f t="shared" si="516"/>
        <v>X-COL7</v>
      </c>
      <c r="AJ1138" s="320"/>
      <c r="AK1138" s="322">
        <f t="shared" si="493"/>
        <v>1130</v>
      </c>
      <c r="AL1138" s="323">
        <f t="shared" si="517"/>
        <v>1139</v>
      </c>
      <c r="AM1138" s="322">
        <f t="shared" si="518"/>
        <v>9</v>
      </c>
      <c r="AN1138" s="380">
        <f>IF(AND(AH1138&gt;0,B1138&lt;&gt;""),VLOOKUP(I1138,'AUX-NIV3'!$B:$AO,39,FALSE)*O1138,0)</f>
        <v>0</v>
      </c>
      <c r="AO1138" s="380">
        <f t="shared" si="494"/>
        <v>1.4249999999999998</v>
      </c>
      <c r="AP1138" s="380"/>
    </row>
    <row r="1139" spans="2:42" ht="14.4" hidden="1" thickTop="1" thickBot="1">
      <c r="B1139" s="324" t="s">
        <v>2931</v>
      </c>
      <c r="C1139" s="325" t="s">
        <v>2973</v>
      </c>
      <c r="D1139" s="326" t="s">
        <v>1160</v>
      </c>
      <c r="E1139" s="327">
        <f>IF(B1139&lt;&gt;"",SUMIF('AUX-NIV1'!I:I,'AUX-NIV2'!B1139,'AUX-NIV1'!Q:Q),"")</f>
        <v>0</v>
      </c>
      <c r="F1139" s="327" t="e">
        <f t="shared" si="484"/>
        <v>#N/A</v>
      </c>
      <c r="G1139" s="327" t="e">
        <f t="shared" si="485"/>
        <v>#N/A</v>
      </c>
      <c r="H1139" s="328" t="str">
        <f t="shared" si="519"/>
        <v>X</v>
      </c>
      <c r="I1139" s="325" t="s">
        <v>1499</v>
      </c>
      <c r="J1139" s="329" t="str">
        <f>IF(B1139&lt;&gt;"",+VLOOKUP(I1139,Recursos!C:F,2,FALSE),"")</f>
        <v>Agua para hormigones</v>
      </c>
      <c r="K1139" s="330" t="str">
        <f>IF(B1139&lt;&gt;"",+VLOOKUP(I1139,Recursos!C:F,3,FALSE),"")</f>
        <v>m3</v>
      </c>
      <c r="L1139" s="327">
        <f>IF(B1139&lt;&gt;"",+VLOOKUP(I1139,Recursos!C:F,4,FALSE),"")</f>
        <v>400.95923429909482</v>
      </c>
      <c r="M1139" s="456">
        <f>+M1138</f>
        <v>4</v>
      </c>
      <c r="N1139" s="451">
        <v>0.2</v>
      </c>
      <c r="O1139" s="449">
        <f>+N1139</f>
        <v>0.2</v>
      </c>
      <c r="P1139" s="333">
        <f t="shared" si="506"/>
        <v>80.191846859818966</v>
      </c>
      <c r="Q1139" s="327">
        <f t="shared" si="507"/>
        <v>0</v>
      </c>
      <c r="R1139" s="334">
        <f t="shared" si="508"/>
        <v>0</v>
      </c>
      <c r="S1139" s="335" t="e">
        <f t="shared" si="486"/>
        <v>#N/A</v>
      </c>
      <c r="T1139" s="335">
        <f t="shared" si="487"/>
        <v>1512.7341394444445</v>
      </c>
      <c r="U1139" s="336">
        <f t="shared" si="488"/>
        <v>0</v>
      </c>
      <c r="V1139" s="336">
        <f t="shared" si="489"/>
        <v>0</v>
      </c>
      <c r="W1139" s="336">
        <f t="shared" si="490"/>
        <v>0</v>
      </c>
      <c r="X1139" s="336">
        <f t="shared" si="491"/>
        <v>80.191846859818966</v>
      </c>
      <c r="Y1139" s="320"/>
      <c r="Z1139" s="321" t="str">
        <f t="shared" si="509"/>
        <v>X-COL7A</v>
      </c>
      <c r="AA1139" s="321" t="str">
        <f t="shared" si="510"/>
        <v>X-COL7E</v>
      </c>
      <c r="AB1139" s="321" t="str">
        <f t="shared" si="511"/>
        <v>X-COL7M</v>
      </c>
      <c r="AC1139" s="321" t="str">
        <f t="shared" si="512"/>
        <v>X-COL7T</v>
      </c>
      <c r="AD1139" s="321" t="str">
        <f t="shared" si="513"/>
        <v>X-COL7S</v>
      </c>
      <c r="AE1139" s="321" t="str">
        <f t="shared" si="514"/>
        <v>X-COL7X</v>
      </c>
      <c r="AF1139" s="321" t="str">
        <f t="shared" si="515"/>
        <v>X-COL7X</v>
      </c>
      <c r="AG1139" s="321">
        <f t="shared" si="492"/>
        <v>10</v>
      </c>
      <c r="AH1139" s="321">
        <f>IF(B1139&lt;&gt;"",IF(H1139="x",VLOOKUP(I1139,'AUX-NIV3'!B:AG,32,FALSE),0),"")</f>
        <v>4</v>
      </c>
      <c r="AI1139" s="321" t="str">
        <f t="shared" si="516"/>
        <v>X-COL7</v>
      </c>
      <c r="AJ1139" s="320"/>
      <c r="AK1139" s="322">
        <f t="shared" si="493"/>
        <v>1130</v>
      </c>
      <c r="AL1139" s="323">
        <f t="shared" si="517"/>
        <v>1139</v>
      </c>
      <c r="AM1139" s="322">
        <f t="shared" si="518"/>
        <v>10</v>
      </c>
      <c r="AN1139" s="380">
        <f>IF(AND(AH1139&gt;0,B1139&lt;&gt;""),VLOOKUP(I1139,'AUX-NIV3'!$B:$AO,39,FALSE)*O1139,0)</f>
        <v>2.5000000000000001E-2</v>
      </c>
      <c r="AO1139" s="380">
        <f t="shared" si="494"/>
        <v>1.4249999999999998</v>
      </c>
      <c r="AP1139" s="380"/>
    </row>
    <row r="1140" spans="2:42" ht="14.4" hidden="1" thickTop="1" thickBot="1">
      <c r="B1140" s="324" t="s">
        <v>1344</v>
      </c>
      <c r="C1140" s="325" t="s">
        <v>1345</v>
      </c>
      <c r="D1140" s="326" t="s">
        <v>1160</v>
      </c>
      <c r="E1140" s="327">
        <f>IF(B1140&lt;&gt;"",SUMIF('AUX-NIV1'!I:I,'AUX-NIV2'!B1140,'AUX-NIV1'!Q:Q),"")</f>
        <v>0</v>
      </c>
      <c r="F1140" s="327">
        <f t="shared" si="484"/>
        <v>1584.9799841651898</v>
      </c>
      <c r="G1140" s="327">
        <f t="shared" si="485"/>
        <v>0</v>
      </c>
      <c r="H1140" s="328" t="str">
        <f t="shared" si="519"/>
        <v>M</v>
      </c>
      <c r="I1140" s="325" t="s">
        <v>2309</v>
      </c>
      <c r="J1140" s="329" t="str">
        <f>IF(B1140&lt;&gt;"",+VLOOKUP(I1140,Recursos!C:F,2,FALSE),"")</f>
        <v>GELAMON V.F. 80 % (IMPORTADO)</v>
      </c>
      <c r="K1140" s="330" t="str">
        <f>IF(B1140&lt;&gt;"",+VLOOKUP(I1140,Recursos!C:F,3,FALSE),"")</f>
        <v>Kg</v>
      </c>
      <c r="L1140" s="446">
        <f>IF(B1140&lt;&gt;"",+VLOOKUP(I1140,Recursos!C:F,4,FALSE),"")</f>
        <v>326.60000000000002</v>
      </c>
      <c r="M1140" s="437">
        <v>1.25</v>
      </c>
      <c r="N1140" s="458">
        <v>1.75</v>
      </c>
      <c r="O1140" s="459">
        <f>M1140*N1140</f>
        <v>2.1875</v>
      </c>
      <c r="P1140" s="333">
        <f t="shared" si="506"/>
        <v>714.4375</v>
      </c>
      <c r="Q1140" s="327">
        <f t="shared" si="507"/>
        <v>0</v>
      </c>
      <c r="R1140" s="334">
        <f t="shared" si="508"/>
        <v>0</v>
      </c>
      <c r="S1140" s="335">
        <f t="shared" si="486"/>
        <v>0</v>
      </c>
      <c r="T1140" s="335">
        <f t="shared" si="487"/>
        <v>0</v>
      </c>
      <c r="U1140" s="336">
        <f t="shared" si="488"/>
        <v>1584.9799841651898</v>
      </c>
      <c r="V1140" s="336">
        <f t="shared" si="489"/>
        <v>0</v>
      </c>
      <c r="W1140" s="336">
        <f t="shared" si="490"/>
        <v>0</v>
      </c>
      <c r="X1140" s="336">
        <f t="shared" si="491"/>
        <v>0</v>
      </c>
      <c r="Y1140" s="320"/>
      <c r="Z1140" s="321" t="str">
        <f t="shared" si="509"/>
        <v>X-EXPLOSA</v>
      </c>
      <c r="AA1140" s="321" t="str">
        <f t="shared" si="510"/>
        <v>X-EXPLOSE</v>
      </c>
      <c r="AB1140" s="321" t="str">
        <f t="shared" si="511"/>
        <v>X-EXPLOSM</v>
      </c>
      <c r="AC1140" s="321" t="str">
        <f t="shared" si="512"/>
        <v>X-EXPLOST</v>
      </c>
      <c r="AD1140" s="321" t="str">
        <f t="shared" si="513"/>
        <v>X-EXPLOSS</v>
      </c>
      <c r="AE1140" s="321" t="str">
        <f t="shared" si="514"/>
        <v>X-EXPLOSX</v>
      </c>
      <c r="AF1140" s="321" t="str">
        <f t="shared" si="515"/>
        <v>X-EXPLOSM</v>
      </c>
      <c r="AG1140" s="321">
        <f t="shared" si="492"/>
        <v>6</v>
      </c>
      <c r="AH1140" s="321">
        <f>IF(B1140&lt;&gt;"",IF(H1140="x",VLOOKUP(I1140,'AUX-NIV3'!B:AG,32,FALSE),0),"")</f>
        <v>0</v>
      </c>
      <c r="AI1140" s="321" t="str">
        <f t="shared" si="516"/>
        <v>X-EXPLOS</v>
      </c>
      <c r="AJ1140" s="320"/>
      <c r="AK1140" s="322">
        <f t="shared" si="493"/>
        <v>1140</v>
      </c>
      <c r="AL1140" s="323">
        <f t="shared" si="517"/>
        <v>1145</v>
      </c>
      <c r="AM1140" s="322">
        <f t="shared" si="518"/>
        <v>1</v>
      </c>
      <c r="AN1140" s="380">
        <f>IF(AND(AH1140&gt;0,B1140&lt;&gt;""),VLOOKUP(I1140,'AUX-NIV3'!$B:$AO,39,FALSE)*O1140,0)</f>
        <v>0</v>
      </c>
      <c r="AO1140" s="380">
        <f t="shared" si="494"/>
        <v>0</v>
      </c>
      <c r="AP1140" s="380"/>
    </row>
    <row r="1141" spans="2:42" ht="14.4" hidden="1" thickTop="1" thickBot="1">
      <c r="B1141" s="324" t="s">
        <v>1344</v>
      </c>
      <c r="C1141" s="325" t="s">
        <v>1345</v>
      </c>
      <c r="D1141" s="326" t="s">
        <v>1160</v>
      </c>
      <c r="E1141" s="327">
        <f>IF(B1141&lt;&gt;"",SUMIF('AUX-NIV1'!I:I,'AUX-NIV2'!B1141,'AUX-NIV1'!Q:Q),"")</f>
        <v>0</v>
      </c>
      <c r="F1141" s="327">
        <f t="shared" si="484"/>
        <v>1584.9799841651898</v>
      </c>
      <c r="G1141" s="327">
        <f t="shared" si="485"/>
        <v>0</v>
      </c>
      <c r="H1141" s="328" t="str">
        <f t="shared" si="519"/>
        <v>M</v>
      </c>
      <c r="I1141" s="325" t="s">
        <v>2319</v>
      </c>
      <c r="J1141" s="329" t="str">
        <f>IF(B1141&lt;&gt;"",+VLOOKUP(I1141,Recursos!C:F,2,FALSE),"")</f>
        <v>MECHA LENTA</v>
      </c>
      <c r="K1141" s="330" t="str">
        <f>IF(B1141&lt;&gt;"",+VLOOKUP(I1141,Recursos!C:F,3,FALSE),"")</f>
        <v>m</v>
      </c>
      <c r="L1141" s="446">
        <f>IF(B1141&lt;&gt;"",+VLOOKUP(I1141,Recursos!C:F,4,FALSE),"")</f>
        <v>26.45</v>
      </c>
      <c r="M1141" s="462">
        <v>2</v>
      </c>
      <c r="N1141" s="463">
        <v>89</v>
      </c>
      <c r="O1141" s="459">
        <f>M1141/N1141*N1140</f>
        <v>3.9325842696629212E-2</v>
      </c>
      <c r="P1141" s="333">
        <f t="shared" si="506"/>
        <v>1.0401685393258426</v>
      </c>
      <c r="Q1141" s="327">
        <f t="shared" si="507"/>
        <v>0</v>
      </c>
      <c r="R1141" s="334">
        <f t="shared" si="508"/>
        <v>0</v>
      </c>
      <c r="S1141" s="335">
        <f t="shared" si="486"/>
        <v>0</v>
      </c>
      <c r="T1141" s="335">
        <f t="shared" si="487"/>
        <v>0</v>
      </c>
      <c r="U1141" s="336">
        <f t="shared" si="488"/>
        <v>1584.9799841651898</v>
      </c>
      <c r="V1141" s="336">
        <f t="shared" si="489"/>
        <v>0</v>
      </c>
      <c r="W1141" s="336">
        <f t="shared" si="490"/>
        <v>0</v>
      </c>
      <c r="X1141" s="336">
        <f t="shared" si="491"/>
        <v>0</v>
      </c>
      <c r="Y1141" s="320"/>
      <c r="Z1141" s="321" t="str">
        <f t="shared" si="509"/>
        <v>X-EXPLOSA</v>
      </c>
      <c r="AA1141" s="321" t="str">
        <f t="shared" si="510"/>
        <v>X-EXPLOSE</v>
      </c>
      <c r="AB1141" s="321" t="str">
        <f t="shared" si="511"/>
        <v>X-EXPLOSM</v>
      </c>
      <c r="AC1141" s="321" t="str">
        <f t="shared" si="512"/>
        <v>X-EXPLOST</v>
      </c>
      <c r="AD1141" s="321" t="str">
        <f t="shared" si="513"/>
        <v>X-EXPLOSS</v>
      </c>
      <c r="AE1141" s="321" t="str">
        <f t="shared" si="514"/>
        <v>X-EXPLOSX</v>
      </c>
      <c r="AF1141" s="321" t="str">
        <f t="shared" si="515"/>
        <v>X-EXPLOSM</v>
      </c>
      <c r="AG1141" s="321">
        <f t="shared" si="492"/>
        <v>6</v>
      </c>
      <c r="AH1141" s="321">
        <f>IF(B1141&lt;&gt;"",IF(H1141="x",VLOOKUP(I1141,'AUX-NIV3'!B:AG,32,FALSE),0),"")</f>
        <v>0</v>
      </c>
      <c r="AI1141" s="321" t="str">
        <f t="shared" si="516"/>
        <v>X-EXPLOS</v>
      </c>
      <c r="AJ1141" s="320"/>
      <c r="AK1141" s="322">
        <f t="shared" si="493"/>
        <v>1140</v>
      </c>
      <c r="AL1141" s="323">
        <f t="shared" si="517"/>
        <v>1145</v>
      </c>
      <c r="AM1141" s="322">
        <f t="shared" si="518"/>
        <v>2</v>
      </c>
      <c r="AN1141" s="380">
        <f>IF(AND(AH1141&gt;0,B1141&lt;&gt;""),VLOOKUP(I1141,'AUX-NIV3'!$B:$AO,39,FALSE)*O1141,0)</f>
        <v>0</v>
      </c>
      <c r="AO1141" s="380">
        <f t="shared" si="494"/>
        <v>0</v>
      </c>
      <c r="AP1141" s="380"/>
    </row>
    <row r="1142" spans="2:42" ht="14.4" hidden="1" thickTop="1" thickBot="1">
      <c r="B1142" s="324" t="s">
        <v>1344</v>
      </c>
      <c r="C1142" s="325" t="s">
        <v>1345</v>
      </c>
      <c r="D1142" s="326" t="s">
        <v>1160</v>
      </c>
      <c r="E1142" s="327">
        <f>IF(B1142&lt;&gt;"",SUMIF('AUX-NIV1'!I:I,'AUX-NIV2'!B1142,'AUX-NIV1'!Q:Q),"")</f>
        <v>0</v>
      </c>
      <c r="F1142" s="327">
        <f t="shared" si="484"/>
        <v>1584.9799841651898</v>
      </c>
      <c r="G1142" s="327">
        <f t="shared" si="485"/>
        <v>0</v>
      </c>
      <c r="H1142" s="328" t="str">
        <f t="shared" si="519"/>
        <v>M</v>
      </c>
      <c r="I1142" s="325" t="s">
        <v>2126</v>
      </c>
      <c r="J1142" s="329" t="str">
        <f>IF(B1142&lt;&gt;"",+VLOOKUP(I1142,Recursos!C:F,2,FALSE),"")</f>
        <v>Detonador</v>
      </c>
      <c r="K1142" s="330" t="str">
        <f>IF(B1142&lt;&gt;"",+VLOOKUP(I1142,Recursos!C:F,3,FALSE),"")</f>
        <v>un</v>
      </c>
      <c r="L1142" s="446">
        <f>IF(B1142&lt;&gt;"",+VLOOKUP(I1142,Recursos!C:F,4,FALSE),"")</f>
        <v>272.55</v>
      </c>
      <c r="M1142" s="462">
        <v>158</v>
      </c>
      <c r="N1142" s="463"/>
      <c r="O1142" s="459">
        <f>M1142/N1141*N1140</f>
        <v>3.1067415730337076</v>
      </c>
      <c r="P1142" s="333">
        <f t="shared" si="506"/>
        <v>846.74241573033703</v>
      </c>
      <c r="Q1142" s="327">
        <f t="shared" si="507"/>
        <v>0</v>
      </c>
      <c r="R1142" s="334">
        <f t="shared" si="508"/>
        <v>0</v>
      </c>
      <c r="S1142" s="335">
        <f t="shared" si="486"/>
        <v>0</v>
      </c>
      <c r="T1142" s="335">
        <f t="shared" si="487"/>
        <v>0</v>
      </c>
      <c r="U1142" s="336">
        <f t="shared" si="488"/>
        <v>1584.9799841651898</v>
      </c>
      <c r="V1142" s="336">
        <f t="shared" si="489"/>
        <v>0</v>
      </c>
      <c r="W1142" s="336">
        <f t="shared" si="490"/>
        <v>0</v>
      </c>
      <c r="X1142" s="336">
        <f t="shared" si="491"/>
        <v>0</v>
      </c>
      <c r="Y1142" s="320"/>
      <c r="Z1142" s="321" t="str">
        <f t="shared" si="509"/>
        <v>X-EXPLOSA</v>
      </c>
      <c r="AA1142" s="321" t="str">
        <f t="shared" si="510"/>
        <v>X-EXPLOSE</v>
      </c>
      <c r="AB1142" s="321" t="str">
        <f t="shared" si="511"/>
        <v>X-EXPLOSM</v>
      </c>
      <c r="AC1142" s="321" t="str">
        <f t="shared" si="512"/>
        <v>X-EXPLOST</v>
      </c>
      <c r="AD1142" s="321" t="str">
        <f t="shared" si="513"/>
        <v>X-EXPLOSS</v>
      </c>
      <c r="AE1142" s="321" t="str">
        <f t="shared" si="514"/>
        <v>X-EXPLOSX</v>
      </c>
      <c r="AF1142" s="321" t="str">
        <f t="shared" si="515"/>
        <v>X-EXPLOSM</v>
      </c>
      <c r="AG1142" s="321">
        <f t="shared" si="492"/>
        <v>6</v>
      </c>
      <c r="AH1142" s="321">
        <f>IF(B1142&lt;&gt;"",IF(H1142="x",VLOOKUP(I1142,'AUX-NIV3'!B:AG,32,FALSE),0),"")</f>
        <v>0</v>
      </c>
      <c r="AI1142" s="321" t="str">
        <f t="shared" si="516"/>
        <v>X-EXPLOS</v>
      </c>
      <c r="AJ1142" s="320"/>
      <c r="AK1142" s="322">
        <f t="shared" si="493"/>
        <v>1140</v>
      </c>
      <c r="AL1142" s="323">
        <f t="shared" si="517"/>
        <v>1145</v>
      </c>
      <c r="AM1142" s="322">
        <f t="shared" si="518"/>
        <v>3</v>
      </c>
      <c r="AN1142" s="380">
        <f>IF(AND(AH1142&gt;0,B1142&lt;&gt;""),VLOOKUP(I1142,'AUX-NIV3'!$B:$AO,39,FALSE)*O1142,0)</f>
        <v>0</v>
      </c>
      <c r="AO1142" s="380">
        <f t="shared" si="494"/>
        <v>0</v>
      </c>
      <c r="AP1142" s="380"/>
    </row>
    <row r="1143" spans="2:42" ht="14.4" hidden="1" thickTop="1" thickBot="1">
      <c r="B1143" s="324" t="s">
        <v>1344</v>
      </c>
      <c r="C1143" s="325" t="s">
        <v>1345</v>
      </c>
      <c r="D1143" s="326" t="s">
        <v>1160</v>
      </c>
      <c r="E1143" s="327">
        <f>IF(B1143&lt;&gt;"",SUMIF('AUX-NIV1'!I:I,'AUX-NIV2'!B1143,'AUX-NIV1'!Q:Q),"")</f>
        <v>0</v>
      </c>
      <c r="F1143" s="327">
        <f t="shared" si="484"/>
        <v>1584.9799841651898</v>
      </c>
      <c r="G1143" s="327">
        <f t="shared" si="485"/>
        <v>0</v>
      </c>
      <c r="H1143" s="328" t="str">
        <f t="shared" si="519"/>
        <v>M</v>
      </c>
      <c r="I1143" s="325" t="s">
        <v>2127</v>
      </c>
      <c r="J1143" s="329" t="str">
        <f>IF(B1143&lt;&gt;"",+VLOOKUP(I1143,Recursos!C:F,2,FALSE),"")</f>
        <v>Cordón detonante</v>
      </c>
      <c r="K1143" s="330" t="str">
        <f>IF(B1143&lt;&gt;"",+VLOOKUP(I1143,Recursos!C:F,3,FALSE),"")</f>
        <v>m</v>
      </c>
      <c r="L1143" s="446">
        <f>IF(B1143&lt;&gt;"",+VLOOKUP(I1143,Recursos!C:F,4,FALSE),"")</f>
        <v>28.75</v>
      </c>
      <c r="M1143" s="462">
        <f>SQRT(N1141/PI()*4)*6</f>
        <v>63.870646633108869</v>
      </c>
      <c r="N1143" s="463"/>
      <c r="O1143" s="459">
        <f>M1143/N1141</f>
        <v>0.71764771497875135</v>
      </c>
      <c r="P1143" s="333">
        <f t="shared" si="506"/>
        <v>20.632371805639103</v>
      </c>
      <c r="Q1143" s="327">
        <f t="shared" si="507"/>
        <v>0</v>
      </c>
      <c r="R1143" s="334">
        <f t="shared" si="508"/>
        <v>0</v>
      </c>
      <c r="S1143" s="335">
        <f t="shared" si="486"/>
        <v>0</v>
      </c>
      <c r="T1143" s="335">
        <f t="shared" si="487"/>
        <v>0</v>
      </c>
      <c r="U1143" s="336">
        <f t="shared" si="488"/>
        <v>1584.9799841651898</v>
      </c>
      <c r="V1143" s="336">
        <f t="shared" si="489"/>
        <v>0</v>
      </c>
      <c r="W1143" s="336">
        <f t="shared" si="490"/>
        <v>0</v>
      </c>
      <c r="X1143" s="336">
        <f t="shared" si="491"/>
        <v>0</v>
      </c>
      <c r="Y1143" s="320"/>
      <c r="Z1143" s="321" t="str">
        <f t="shared" si="509"/>
        <v>X-EXPLOSA</v>
      </c>
      <c r="AA1143" s="321" t="str">
        <f t="shared" si="510"/>
        <v>X-EXPLOSE</v>
      </c>
      <c r="AB1143" s="321" t="str">
        <f t="shared" si="511"/>
        <v>X-EXPLOSM</v>
      </c>
      <c r="AC1143" s="321" t="str">
        <f t="shared" si="512"/>
        <v>X-EXPLOST</v>
      </c>
      <c r="AD1143" s="321" t="str">
        <f t="shared" si="513"/>
        <v>X-EXPLOSS</v>
      </c>
      <c r="AE1143" s="321" t="str">
        <f t="shared" si="514"/>
        <v>X-EXPLOSX</v>
      </c>
      <c r="AF1143" s="321" t="str">
        <f t="shared" si="515"/>
        <v>X-EXPLOSM</v>
      </c>
      <c r="AG1143" s="321">
        <f t="shared" si="492"/>
        <v>6</v>
      </c>
      <c r="AH1143" s="321">
        <f>IF(B1143&lt;&gt;"",IF(H1143="x",VLOOKUP(I1143,'AUX-NIV3'!B:AG,32,FALSE),0),"")</f>
        <v>0</v>
      </c>
      <c r="AI1143" s="321" t="str">
        <f t="shared" si="516"/>
        <v>X-EXPLOS</v>
      </c>
      <c r="AJ1143" s="320"/>
      <c r="AK1143" s="322">
        <f t="shared" si="493"/>
        <v>1140</v>
      </c>
      <c r="AL1143" s="323">
        <f t="shared" si="517"/>
        <v>1145</v>
      </c>
      <c r="AM1143" s="322">
        <f t="shared" si="518"/>
        <v>4</v>
      </c>
      <c r="AN1143" s="380">
        <f>IF(AND(AH1143&gt;0,B1143&lt;&gt;""),VLOOKUP(I1143,'AUX-NIV3'!$B:$AO,39,FALSE)*O1143,0)</f>
        <v>0</v>
      </c>
      <c r="AO1143" s="380">
        <f t="shared" si="494"/>
        <v>0</v>
      </c>
      <c r="AP1143" s="380"/>
    </row>
    <row r="1144" spans="2:42" ht="14.4" hidden="1" thickTop="1" thickBot="1">
      <c r="B1144" s="324" t="s">
        <v>1344</v>
      </c>
      <c r="C1144" s="325" t="s">
        <v>1345</v>
      </c>
      <c r="D1144" s="326" t="s">
        <v>1160</v>
      </c>
      <c r="E1144" s="327">
        <f>IF(B1144&lt;&gt;"",SUMIF('AUX-NIV1'!I:I,'AUX-NIV2'!B1144,'AUX-NIV1'!Q:Q),"")</f>
        <v>0</v>
      </c>
      <c r="F1144" s="327">
        <f t="shared" si="484"/>
        <v>1584.9799841651898</v>
      </c>
      <c r="G1144" s="327">
        <f t="shared" si="485"/>
        <v>0</v>
      </c>
      <c r="H1144" s="328" t="str">
        <f t="shared" si="519"/>
        <v>M</v>
      </c>
      <c r="I1144" s="325" t="s">
        <v>2129</v>
      </c>
      <c r="J1144" s="329" t="str">
        <f>IF(B1144&lt;&gt;"",+VLOOKUP(I1144,Recursos!C:F,2,FALSE),"")</f>
        <v>Estacas</v>
      </c>
      <c r="K1144" s="330" t="str">
        <f>IF(B1144&lt;&gt;"",+VLOOKUP(I1144,Recursos!C:F,3,FALSE),"")</f>
        <v>m</v>
      </c>
      <c r="L1144" s="446">
        <f>IF(B1144&lt;&gt;"",+VLOOKUP(I1144,Recursos!C:F,4,FALSE),"")</f>
        <v>1</v>
      </c>
      <c r="M1144" s="462">
        <v>3.6</v>
      </c>
      <c r="N1144" s="463"/>
      <c r="O1144" s="459">
        <f>M1142*M1144*0.25/N1141</f>
        <v>1.5977528089887643</v>
      </c>
      <c r="P1144" s="333">
        <f t="shared" si="506"/>
        <v>1.5977528089887643</v>
      </c>
      <c r="Q1144" s="327">
        <f t="shared" si="507"/>
        <v>0</v>
      </c>
      <c r="R1144" s="334">
        <f t="shared" si="508"/>
        <v>0</v>
      </c>
      <c r="S1144" s="335">
        <f t="shared" si="486"/>
        <v>0</v>
      </c>
      <c r="T1144" s="335">
        <f t="shared" si="487"/>
        <v>0</v>
      </c>
      <c r="U1144" s="336">
        <f t="shared" si="488"/>
        <v>1584.9799841651898</v>
      </c>
      <c r="V1144" s="336">
        <f t="shared" si="489"/>
        <v>0</v>
      </c>
      <c r="W1144" s="336">
        <f t="shared" si="490"/>
        <v>0</v>
      </c>
      <c r="X1144" s="336">
        <f t="shared" si="491"/>
        <v>0</v>
      </c>
      <c r="Y1144" s="320"/>
      <c r="Z1144" s="321" t="str">
        <f t="shared" si="509"/>
        <v>X-EXPLOSA</v>
      </c>
      <c r="AA1144" s="321" t="str">
        <f t="shared" si="510"/>
        <v>X-EXPLOSE</v>
      </c>
      <c r="AB1144" s="321" t="str">
        <f t="shared" si="511"/>
        <v>X-EXPLOSM</v>
      </c>
      <c r="AC1144" s="321" t="str">
        <f t="shared" si="512"/>
        <v>X-EXPLOST</v>
      </c>
      <c r="AD1144" s="321" t="str">
        <f t="shared" si="513"/>
        <v>X-EXPLOSS</v>
      </c>
      <c r="AE1144" s="321" t="str">
        <f t="shared" si="514"/>
        <v>X-EXPLOSX</v>
      </c>
      <c r="AF1144" s="321" t="str">
        <f t="shared" si="515"/>
        <v>X-EXPLOSM</v>
      </c>
      <c r="AG1144" s="321">
        <f t="shared" si="492"/>
        <v>6</v>
      </c>
      <c r="AH1144" s="321">
        <f>IF(B1144&lt;&gt;"",IF(H1144="x",VLOOKUP(I1144,'AUX-NIV3'!B:AG,32,FALSE),0),"")</f>
        <v>0</v>
      </c>
      <c r="AI1144" s="321" t="str">
        <f t="shared" si="516"/>
        <v>X-EXPLOS</v>
      </c>
      <c r="AJ1144" s="320"/>
      <c r="AK1144" s="322">
        <f t="shared" si="493"/>
        <v>1140</v>
      </c>
      <c r="AL1144" s="323">
        <f t="shared" si="517"/>
        <v>1145</v>
      </c>
      <c r="AM1144" s="322">
        <f t="shared" si="518"/>
        <v>5</v>
      </c>
      <c r="AN1144" s="380">
        <f>IF(AND(AH1144&gt;0,B1144&lt;&gt;""),VLOOKUP(I1144,'AUX-NIV3'!$B:$AO,39,FALSE)*O1144,0)</f>
        <v>0</v>
      </c>
      <c r="AO1144" s="380">
        <f t="shared" si="494"/>
        <v>0</v>
      </c>
      <c r="AP1144" s="380"/>
    </row>
    <row r="1145" spans="2:42" ht="14.4" hidden="1" thickTop="1" thickBot="1">
      <c r="B1145" s="324" t="s">
        <v>1344</v>
      </c>
      <c r="C1145" s="325" t="s">
        <v>1345</v>
      </c>
      <c r="D1145" s="326" t="s">
        <v>1160</v>
      </c>
      <c r="E1145" s="327">
        <f>IF(B1145&lt;&gt;"",SUMIF('AUX-NIV1'!I:I,'AUX-NIV2'!B1145,'AUX-NIV1'!Q:Q),"")</f>
        <v>0</v>
      </c>
      <c r="F1145" s="327">
        <f t="shared" si="484"/>
        <v>1584.9799841651898</v>
      </c>
      <c r="G1145" s="327">
        <f t="shared" si="485"/>
        <v>0</v>
      </c>
      <c r="H1145" s="328" t="str">
        <f t="shared" si="519"/>
        <v>M</v>
      </c>
      <c r="I1145" s="325" t="s">
        <v>2130</v>
      </c>
      <c r="J1145" s="329" t="str">
        <f>IF(B1145&lt;&gt;"",+VLOOKUP(I1145,Recursos!C:F,2,FALSE),"")</f>
        <v>Detonador común n° 8</v>
      </c>
      <c r="K1145" s="330" t="str">
        <f>IF(B1145&lt;&gt;"",+VLOOKUP(I1145,Recursos!C:F,3,FALSE),"")</f>
        <v>un</v>
      </c>
      <c r="L1145" s="446">
        <f>IF(B1145&lt;&gt;"",+VLOOKUP(I1145,Recursos!C:F,4,FALSE),"")</f>
        <v>23.574999999999999</v>
      </c>
      <c r="M1145" s="464"/>
      <c r="N1145" s="465"/>
      <c r="O1145" s="459">
        <f>M1141/N1141</f>
        <v>2.247191011235955E-2</v>
      </c>
      <c r="P1145" s="333">
        <f t="shared" si="506"/>
        <v>0.52977528089887638</v>
      </c>
      <c r="Q1145" s="327">
        <f t="shared" si="507"/>
        <v>0</v>
      </c>
      <c r="R1145" s="334">
        <f t="shared" si="508"/>
        <v>0</v>
      </c>
      <c r="S1145" s="335">
        <f t="shared" si="486"/>
        <v>0</v>
      </c>
      <c r="T1145" s="335">
        <f t="shared" si="487"/>
        <v>0</v>
      </c>
      <c r="U1145" s="336">
        <f t="shared" si="488"/>
        <v>1584.9799841651898</v>
      </c>
      <c r="V1145" s="336">
        <f t="shared" si="489"/>
        <v>0</v>
      </c>
      <c r="W1145" s="336">
        <f t="shared" si="490"/>
        <v>0</v>
      </c>
      <c r="X1145" s="336">
        <f t="shared" si="491"/>
        <v>0</v>
      </c>
      <c r="Y1145" s="320"/>
      <c r="Z1145" s="321" t="str">
        <f t="shared" si="509"/>
        <v>X-EXPLOSA</v>
      </c>
      <c r="AA1145" s="321" t="str">
        <f t="shared" si="510"/>
        <v>X-EXPLOSE</v>
      </c>
      <c r="AB1145" s="321" t="str">
        <f t="shared" si="511"/>
        <v>X-EXPLOSM</v>
      </c>
      <c r="AC1145" s="321" t="str">
        <f t="shared" si="512"/>
        <v>X-EXPLOST</v>
      </c>
      <c r="AD1145" s="321" t="str">
        <f t="shared" si="513"/>
        <v>X-EXPLOSS</v>
      </c>
      <c r="AE1145" s="321" t="str">
        <f t="shared" si="514"/>
        <v>X-EXPLOSX</v>
      </c>
      <c r="AF1145" s="321" t="str">
        <f t="shared" si="515"/>
        <v>X-EXPLOSM</v>
      </c>
      <c r="AG1145" s="321">
        <f t="shared" si="492"/>
        <v>6</v>
      </c>
      <c r="AH1145" s="321">
        <f>IF(B1145&lt;&gt;"",IF(H1145="x",VLOOKUP(I1145,'AUX-NIV3'!B:AG,32,FALSE),0),"")</f>
        <v>0</v>
      </c>
      <c r="AI1145" s="321" t="str">
        <f t="shared" si="516"/>
        <v>X-EXPLOS</v>
      </c>
      <c r="AJ1145" s="320"/>
      <c r="AK1145" s="322">
        <f t="shared" si="493"/>
        <v>1140</v>
      </c>
      <c r="AL1145" s="323">
        <f t="shared" si="517"/>
        <v>1145</v>
      </c>
      <c r="AM1145" s="322">
        <f t="shared" si="518"/>
        <v>6</v>
      </c>
      <c r="AN1145" s="380">
        <f>IF(AND(AH1145&gt;0,B1145&lt;&gt;""),VLOOKUP(I1145,'AUX-NIV3'!$B:$AO,39,FALSE)*O1145,0)</f>
        <v>0</v>
      </c>
      <c r="AO1145" s="380">
        <f t="shared" si="494"/>
        <v>0</v>
      </c>
      <c r="AP1145" s="380"/>
    </row>
    <row r="1146" spans="2:42" ht="14.4" hidden="1" thickTop="1" thickBot="1">
      <c r="B1146" s="324" t="s">
        <v>2933</v>
      </c>
      <c r="C1146" s="325" t="s">
        <v>2934</v>
      </c>
      <c r="D1146" s="326" t="s">
        <v>477</v>
      </c>
      <c r="E1146" s="327">
        <f>IF(B1146&lt;&gt;"",SUMIF('AUX-NIV1'!I:I,'AUX-NIV2'!B1146,'AUX-NIV1'!Q:Q),"")</f>
        <v>0</v>
      </c>
      <c r="F1146" s="327" t="e">
        <f t="shared" si="484"/>
        <v>#N/A</v>
      </c>
      <c r="G1146" s="327" t="e">
        <f t="shared" si="485"/>
        <v>#N/A</v>
      </c>
      <c r="H1146" s="328" t="str">
        <f t="shared" si="519"/>
        <v>M</v>
      </c>
      <c r="I1146" s="325" t="s">
        <v>1751</v>
      </c>
      <c r="J1146" s="329" t="str">
        <f>IF(B1146&lt;&gt;"",+VLOOKUP(I1146,Recursos!C:F,2,FALSE),"")</f>
        <v>ACERO TIPO ADN 420</v>
      </c>
      <c r="K1146" s="330" t="str">
        <f>IF(B1146&lt;&gt;"",+VLOOKUP(I1146,Recursos!C:F,3,FALSE),"")</f>
        <v>tn</v>
      </c>
      <c r="L1146" s="446">
        <f>IF(B1146&lt;&gt;"",+VLOOKUP(I1146,Recursos!C:F,4,FALSE),"")</f>
        <v>185041.32231404958</v>
      </c>
      <c r="M1146" s="447">
        <v>1.25</v>
      </c>
      <c r="N1146" s="448">
        <v>3.85</v>
      </c>
      <c r="O1146" s="449">
        <f>M1146*N1146/1000*M1147</f>
        <v>1.4437499999999999E-2</v>
      </c>
      <c r="P1146" s="333">
        <f t="shared" si="506"/>
        <v>2671.5340909090905</v>
      </c>
      <c r="Q1146" s="327">
        <f t="shared" si="507"/>
        <v>0</v>
      </c>
      <c r="R1146" s="334">
        <f t="shared" si="508"/>
        <v>0</v>
      </c>
      <c r="S1146" s="335" t="e">
        <f t="shared" si="486"/>
        <v>#N/A</v>
      </c>
      <c r="T1146" s="335">
        <f t="shared" si="487"/>
        <v>217.52533333333338</v>
      </c>
      <c r="U1146" s="336">
        <f t="shared" si="488"/>
        <v>2813.7007575757571</v>
      </c>
      <c r="V1146" s="336">
        <f t="shared" si="489"/>
        <v>0</v>
      </c>
      <c r="W1146" s="336">
        <f t="shared" si="490"/>
        <v>0</v>
      </c>
      <c r="X1146" s="336">
        <f t="shared" si="491"/>
        <v>0</v>
      </c>
      <c r="Y1146" s="320"/>
      <c r="Z1146" s="321" t="str">
        <f t="shared" si="509"/>
        <v>X-COLPER1A</v>
      </c>
      <c r="AA1146" s="321" t="str">
        <f t="shared" si="510"/>
        <v>X-COLPER1E</v>
      </c>
      <c r="AB1146" s="321" t="str">
        <f t="shared" si="511"/>
        <v>X-COLPER1M</v>
      </c>
      <c r="AC1146" s="321" t="str">
        <f t="shared" si="512"/>
        <v>X-COLPER1T</v>
      </c>
      <c r="AD1146" s="321" t="str">
        <f t="shared" si="513"/>
        <v>X-COLPER1S</v>
      </c>
      <c r="AE1146" s="321" t="str">
        <f t="shared" si="514"/>
        <v>X-COLPER1X</v>
      </c>
      <c r="AF1146" s="321" t="str">
        <f t="shared" si="515"/>
        <v>X-COLPER1M</v>
      </c>
      <c r="AG1146" s="321">
        <f t="shared" si="492"/>
        <v>6</v>
      </c>
      <c r="AH1146" s="321">
        <f>IF(B1146&lt;&gt;"",IF(H1146="x",VLOOKUP(I1146,'AUX-NIV3'!B:AG,32,FALSE),0),"")</f>
        <v>0</v>
      </c>
      <c r="AI1146" s="321" t="str">
        <f t="shared" si="516"/>
        <v>X-COLPER1</v>
      </c>
      <c r="AJ1146" s="320"/>
      <c r="AK1146" s="322">
        <f t="shared" si="493"/>
        <v>1146</v>
      </c>
      <c r="AL1146" s="323">
        <f t="shared" si="517"/>
        <v>1151</v>
      </c>
      <c r="AM1146" s="322">
        <f t="shared" si="518"/>
        <v>1</v>
      </c>
      <c r="AN1146" s="380">
        <f>IF(AND(AH1146&gt;0,B1146&lt;&gt;""),VLOOKUP(I1146,'AUX-NIV3'!$B:$AO,39,FALSE)*O1146,0)</f>
        <v>0</v>
      </c>
      <c r="AO1146" s="380">
        <f t="shared" si="494"/>
        <v>0.25</v>
      </c>
      <c r="AP1146" s="380"/>
    </row>
    <row r="1147" spans="2:42" ht="14.4" hidden="1" thickTop="1" thickBot="1">
      <c r="B1147" s="324" t="s">
        <v>2933</v>
      </c>
      <c r="C1147" s="325" t="s">
        <v>2934</v>
      </c>
      <c r="D1147" s="326" t="s">
        <v>477</v>
      </c>
      <c r="E1147" s="327">
        <f>IF(B1147&lt;&gt;"",SUMIF('AUX-NIV1'!I:I,'AUX-NIV2'!B1147,'AUX-NIV1'!Q:Q),"")</f>
        <v>0</v>
      </c>
      <c r="F1147" s="327" t="e">
        <f t="shared" si="484"/>
        <v>#N/A</v>
      </c>
      <c r="G1147" s="327" t="e">
        <f t="shared" si="485"/>
        <v>#N/A</v>
      </c>
      <c r="H1147" s="328" t="str">
        <f t="shared" si="519"/>
        <v>M</v>
      </c>
      <c r="I1147" s="325" t="s">
        <v>2353</v>
      </c>
      <c r="J1147" s="329" t="str">
        <f>IF(B1147&lt;&gt;"",+VLOOKUP(I1147,Recursos!C:F,2,FALSE),"")</f>
        <v>PLACA DE APOYO FIJACION</v>
      </c>
      <c r="K1147" s="330" t="str">
        <f>IF(B1147&lt;&gt;"",+VLOOKUP(I1147,Recursos!C:F,3,FALSE),"")</f>
        <v>Un</v>
      </c>
      <c r="L1147" s="327">
        <f>IF(B1147&lt;&gt;"",+VLOOKUP(I1147,Recursos!C:F,4,FALSE),"")</f>
        <v>340</v>
      </c>
      <c r="M1147" s="452">
        <v>3</v>
      </c>
      <c r="N1147" s="453"/>
      <c r="O1147" s="449">
        <f>M1146/M1147</f>
        <v>0.41666666666666669</v>
      </c>
      <c r="P1147" s="333">
        <f t="shared" si="506"/>
        <v>141.66666666666669</v>
      </c>
      <c r="Q1147" s="327">
        <f t="shared" si="507"/>
        <v>0</v>
      </c>
      <c r="R1147" s="334">
        <f t="shared" si="508"/>
        <v>0</v>
      </c>
      <c r="S1147" s="335" t="e">
        <f t="shared" si="486"/>
        <v>#N/A</v>
      </c>
      <c r="T1147" s="335">
        <f t="shared" si="487"/>
        <v>217.52533333333338</v>
      </c>
      <c r="U1147" s="336">
        <f t="shared" si="488"/>
        <v>2813.7007575757571</v>
      </c>
      <c r="V1147" s="336">
        <f t="shared" si="489"/>
        <v>0</v>
      </c>
      <c r="W1147" s="336">
        <f t="shared" si="490"/>
        <v>0</v>
      </c>
      <c r="X1147" s="336">
        <f t="shared" si="491"/>
        <v>0</v>
      </c>
      <c r="Y1147" s="320"/>
      <c r="Z1147" s="321" t="str">
        <f t="shared" si="509"/>
        <v>X-COLPER1A</v>
      </c>
      <c r="AA1147" s="321" t="str">
        <f t="shared" si="510"/>
        <v>X-COLPER1E</v>
      </c>
      <c r="AB1147" s="321" t="str">
        <f t="shared" si="511"/>
        <v>X-COLPER1M</v>
      </c>
      <c r="AC1147" s="321" t="str">
        <f t="shared" si="512"/>
        <v>X-COLPER1T</v>
      </c>
      <c r="AD1147" s="321" t="str">
        <f t="shared" si="513"/>
        <v>X-COLPER1S</v>
      </c>
      <c r="AE1147" s="321" t="str">
        <f t="shared" si="514"/>
        <v>X-COLPER1X</v>
      </c>
      <c r="AF1147" s="321" t="str">
        <f t="shared" si="515"/>
        <v>X-COLPER1M</v>
      </c>
      <c r="AG1147" s="321">
        <f t="shared" si="492"/>
        <v>6</v>
      </c>
      <c r="AH1147" s="321">
        <f>IF(B1147&lt;&gt;"",IF(H1147="x",VLOOKUP(I1147,'AUX-NIV3'!B:AG,32,FALSE),0),"")</f>
        <v>0</v>
      </c>
      <c r="AI1147" s="321" t="str">
        <f t="shared" si="516"/>
        <v>X-COLPER1</v>
      </c>
      <c r="AJ1147" s="320"/>
      <c r="AK1147" s="322">
        <f t="shared" si="493"/>
        <v>1146</v>
      </c>
      <c r="AL1147" s="323">
        <f t="shared" si="517"/>
        <v>1151</v>
      </c>
      <c r="AM1147" s="322">
        <f t="shared" si="518"/>
        <v>2</v>
      </c>
      <c r="AN1147" s="380">
        <f>IF(AND(AH1147&gt;0,B1147&lt;&gt;""),VLOOKUP(I1147,'AUX-NIV3'!$B:$AO,39,FALSE)*O1147,0)</f>
        <v>0</v>
      </c>
      <c r="AO1147" s="380">
        <f t="shared" si="494"/>
        <v>0.25</v>
      </c>
      <c r="AP1147" s="380"/>
    </row>
    <row r="1148" spans="2:42" ht="14.4" hidden="1" thickTop="1" thickBot="1">
      <c r="B1148" s="324" t="s">
        <v>2933</v>
      </c>
      <c r="C1148" s="325" t="s">
        <v>2934</v>
      </c>
      <c r="D1148" s="326" t="s">
        <v>477</v>
      </c>
      <c r="E1148" s="327">
        <f>IF(B1148&lt;&gt;"",SUMIF('AUX-NIV1'!I:I,'AUX-NIV2'!B1148,'AUX-NIV1'!Q:Q),"")</f>
        <v>0</v>
      </c>
      <c r="F1148" s="327" t="e">
        <f t="shared" si="484"/>
        <v>#N/A</v>
      </c>
      <c r="G1148" s="327" t="e">
        <f t="shared" si="485"/>
        <v>#N/A</v>
      </c>
      <c r="H1148" s="328" t="str">
        <f t="shared" si="519"/>
        <v>M</v>
      </c>
      <c r="I1148" s="325" t="s">
        <v>621</v>
      </c>
      <c r="J1148" s="329" t="str">
        <f>IF(B1148&lt;&gt;"",+VLOOKUP(I1148,Recursos!C:F,2,FALSE),"")</f>
        <v>MATERIALES VARIOS</v>
      </c>
      <c r="K1148" s="330" t="str">
        <f>IF(B1148&lt;&gt;"",+VLOOKUP(I1148,Recursos!C:F,3,FALSE),"")</f>
        <v>GL</v>
      </c>
      <c r="L1148" s="327">
        <f>IF(B1148&lt;&gt;"",+VLOOKUP(I1148,Recursos!C:F,4,FALSE),"")</f>
        <v>0.5</v>
      </c>
      <c r="M1148" s="452">
        <v>1</v>
      </c>
      <c r="N1148" s="453"/>
      <c r="O1148" s="449">
        <f>M1148</f>
        <v>1</v>
      </c>
      <c r="P1148" s="333">
        <f t="shared" si="506"/>
        <v>0.5</v>
      </c>
      <c r="Q1148" s="327">
        <f t="shared" si="507"/>
        <v>0</v>
      </c>
      <c r="R1148" s="334">
        <f t="shared" si="508"/>
        <v>0</v>
      </c>
      <c r="S1148" s="335" t="e">
        <f t="shared" si="486"/>
        <v>#N/A</v>
      </c>
      <c r="T1148" s="335">
        <f t="shared" si="487"/>
        <v>217.52533333333338</v>
      </c>
      <c r="U1148" s="336">
        <f t="shared" si="488"/>
        <v>2813.7007575757571</v>
      </c>
      <c r="V1148" s="336">
        <f t="shared" si="489"/>
        <v>0</v>
      </c>
      <c r="W1148" s="336">
        <f t="shared" si="490"/>
        <v>0</v>
      </c>
      <c r="X1148" s="336">
        <f t="shared" si="491"/>
        <v>0</v>
      </c>
      <c r="Y1148" s="320"/>
      <c r="Z1148" s="321" t="str">
        <f t="shared" si="509"/>
        <v>X-COLPER1A</v>
      </c>
      <c r="AA1148" s="321" t="str">
        <f t="shared" si="510"/>
        <v>X-COLPER1E</v>
      </c>
      <c r="AB1148" s="321" t="str">
        <f t="shared" si="511"/>
        <v>X-COLPER1M</v>
      </c>
      <c r="AC1148" s="321" t="str">
        <f t="shared" si="512"/>
        <v>X-COLPER1T</v>
      </c>
      <c r="AD1148" s="321" t="str">
        <f t="shared" si="513"/>
        <v>X-COLPER1S</v>
      </c>
      <c r="AE1148" s="321" t="str">
        <f t="shared" si="514"/>
        <v>X-COLPER1X</v>
      </c>
      <c r="AF1148" s="321" t="str">
        <f t="shared" si="515"/>
        <v>X-COLPER1M</v>
      </c>
      <c r="AG1148" s="321">
        <f t="shared" si="492"/>
        <v>6</v>
      </c>
      <c r="AH1148" s="321">
        <f>IF(B1148&lt;&gt;"",IF(H1148="x",VLOOKUP(I1148,'AUX-NIV3'!B:AG,32,FALSE),0),"")</f>
        <v>0</v>
      </c>
      <c r="AI1148" s="321" t="str">
        <f t="shared" si="516"/>
        <v>X-COLPER1</v>
      </c>
      <c r="AJ1148" s="320"/>
      <c r="AK1148" s="322">
        <f t="shared" si="493"/>
        <v>1146</v>
      </c>
      <c r="AL1148" s="323">
        <f t="shared" si="517"/>
        <v>1151</v>
      </c>
      <c r="AM1148" s="322">
        <f t="shared" si="518"/>
        <v>3</v>
      </c>
      <c r="AN1148" s="380">
        <f>IF(AND(AH1148&gt;0,B1148&lt;&gt;""),VLOOKUP(I1148,'AUX-NIV3'!$B:$AO,39,FALSE)*O1148,0)</f>
        <v>0</v>
      </c>
      <c r="AO1148" s="380">
        <f t="shared" si="494"/>
        <v>0.25</v>
      </c>
      <c r="AP1148" s="380"/>
    </row>
    <row r="1149" spans="2:42" ht="14.4" hidden="1" thickTop="1" thickBot="1">
      <c r="B1149" s="324" t="s">
        <v>2933</v>
      </c>
      <c r="C1149" s="325" t="s">
        <v>2934</v>
      </c>
      <c r="D1149" s="326" t="s">
        <v>477</v>
      </c>
      <c r="E1149" s="327">
        <f>IF(B1149&lt;&gt;"",SUMIF('AUX-NIV1'!I:I,'AUX-NIV2'!B1149,'AUX-NIV1'!Q:Q),"")</f>
        <v>0</v>
      </c>
      <c r="F1149" s="327" t="e">
        <f t="shared" si="484"/>
        <v>#N/A</v>
      </c>
      <c r="G1149" s="327" t="e">
        <f t="shared" si="485"/>
        <v>#N/A</v>
      </c>
      <c r="H1149" s="328" t="str">
        <f t="shared" si="519"/>
        <v>E</v>
      </c>
      <c r="I1149" s="325" t="s">
        <v>1652</v>
      </c>
      <c r="J1149" s="329" t="str">
        <f>IF(B1149&lt;&gt;"",+VLOOKUP(I1149,Recursos!C:F,2,FALSE),"")</f>
        <v>MANIPULADOR TELESCOPICO</v>
      </c>
      <c r="K1149" s="330" t="str">
        <f>IF(B1149&lt;&gt;"",+VLOOKUP(I1149,Recursos!C:F,3,FALSE),"")</f>
        <v>HR</v>
      </c>
      <c r="L1149" s="327">
        <f>IF(B1149&lt;&gt;"",+VLOOKUP(I1149,Recursos!C:F,4,FALSE),"")</f>
        <v>3262.8800000000006</v>
      </c>
      <c r="M1149" s="452">
        <v>5</v>
      </c>
      <c r="N1149" s="453"/>
      <c r="O1149" s="449">
        <f>1/M1149/M1147</f>
        <v>6.6666666666666666E-2</v>
      </c>
      <c r="P1149" s="333">
        <f t="shared" si="506"/>
        <v>217.52533333333338</v>
      </c>
      <c r="Q1149" s="327">
        <f t="shared" si="507"/>
        <v>0</v>
      </c>
      <c r="R1149" s="334">
        <f t="shared" si="508"/>
        <v>0</v>
      </c>
      <c r="S1149" s="335" t="e">
        <f t="shared" si="486"/>
        <v>#N/A</v>
      </c>
      <c r="T1149" s="335">
        <f t="shared" si="487"/>
        <v>217.52533333333338</v>
      </c>
      <c r="U1149" s="336">
        <f t="shared" si="488"/>
        <v>2813.7007575757571</v>
      </c>
      <c r="V1149" s="336">
        <f t="shared" si="489"/>
        <v>0</v>
      </c>
      <c r="W1149" s="336">
        <f t="shared" si="490"/>
        <v>0</v>
      </c>
      <c r="X1149" s="336">
        <f t="shared" si="491"/>
        <v>0</v>
      </c>
      <c r="Y1149" s="320"/>
      <c r="Z1149" s="321" t="str">
        <f t="shared" si="509"/>
        <v>X-COLPER1A</v>
      </c>
      <c r="AA1149" s="321" t="str">
        <f t="shared" si="510"/>
        <v>X-COLPER1E</v>
      </c>
      <c r="AB1149" s="321" t="str">
        <f t="shared" si="511"/>
        <v>X-COLPER1M</v>
      </c>
      <c r="AC1149" s="321" t="str">
        <f t="shared" si="512"/>
        <v>X-COLPER1T</v>
      </c>
      <c r="AD1149" s="321" t="str">
        <f t="shared" si="513"/>
        <v>X-COLPER1S</v>
      </c>
      <c r="AE1149" s="321" t="str">
        <f t="shared" si="514"/>
        <v>X-COLPER1X</v>
      </c>
      <c r="AF1149" s="321" t="str">
        <f t="shared" si="515"/>
        <v>X-COLPER1E</v>
      </c>
      <c r="AG1149" s="321">
        <f t="shared" si="492"/>
        <v>6</v>
      </c>
      <c r="AH1149" s="321">
        <f>IF(B1149&lt;&gt;"",IF(H1149="x",VLOOKUP(I1149,'AUX-NIV3'!B:AG,32,FALSE),0),"")</f>
        <v>0</v>
      </c>
      <c r="AI1149" s="321" t="str">
        <f t="shared" si="516"/>
        <v>X-COLPER1</v>
      </c>
      <c r="AJ1149" s="320"/>
      <c r="AK1149" s="322">
        <f t="shared" si="493"/>
        <v>1146</v>
      </c>
      <c r="AL1149" s="323">
        <f t="shared" si="517"/>
        <v>1151</v>
      </c>
      <c r="AM1149" s="322">
        <f t="shared" si="518"/>
        <v>4</v>
      </c>
      <c r="AN1149" s="380">
        <f>IF(AND(AH1149&gt;0,B1149&lt;&gt;""),VLOOKUP(I1149,'AUX-NIV3'!$B:$AO,39,FALSE)*O1149,0)</f>
        <v>0</v>
      </c>
      <c r="AO1149" s="380">
        <f t="shared" si="494"/>
        <v>0.25</v>
      </c>
      <c r="AP1149" s="380"/>
    </row>
    <row r="1150" spans="2:42" ht="14.4" hidden="1" thickTop="1" thickBot="1">
      <c r="B1150" s="324" t="s">
        <v>2933</v>
      </c>
      <c r="C1150" s="325" t="s">
        <v>2934</v>
      </c>
      <c r="D1150" s="326" t="s">
        <v>477</v>
      </c>
      <c r="E1150" s="327">
        <f>IF(B1150&lt;&gt;"",SUMIF('AUX-NIV1'!I:I,'AUX-NIV2'!B1150,'AUX-NIV1'!Q:Q),"")</f>
        <v>0</v>
      </c>
      <c r="F1150" s="327" t="e">
        <f t="shared" si="484"/>
        <v>#N/A</v>
      </c>
      <c r="G1150" s="327" t="e">
        <f t="shared" si="485"/>
        <v>#N/A</v>
      </c>
      <c r="H1150" s="328" t="str">
        <f t="shared" si="519"/>
        <v>A</v>
      </c>
      <c r="I1150" s="325" t="s">
        <v>3314</v>
      </c>
      <c r="J1150" s="329" t="e">
        <f>IF(B1150&lt;&gt;"",+VLOOKUP(I1150,Recursos!C:F,2,FALSE),"")</f>
        <v>#N/A</v>
      </c>
      <c r="K1150" s="330" t="e">
        <f>IF(B1150&lt;&gt;"",+VLOOKUP(I1150,Recursos!C:F,3,FALSE),"")</f>
        <v>#N/A</v>
      </c>
      <c r="L1150" s="327" t="e">
        <f>IF(B1150&lt;&gt;"",+VLOOKUP(I1150,Recursos!C:F,4,FALSE),"")</f>
        <v>#N/A</v>
      </c>
      <c r="M1150" s="452">
        <v>1</v>
      </c>
      <c r="N1150" s="453">
        <v>1.25</v>
      </c>
      <c r="O1150" s="449">
        <f>N1150*M1150/M1149/M1147</f>
        <v>8.3333333333333329E-2</v>
      </c>
      <c r="P1150" s="333" t="e">
        <f t="shared" si="506"/>
        <v>#N/A</v>
      </c>
      <c r="Q1150" s="327">
        <f t="shared" si="507"/>
        <v>0</v>
      </c>
      <c r="R1150" s="334" t="e">
        <f t="shared" si="508"/>
        <v>#N/A</v>
      </c>
      <c r="S1150" s="335" t="e">
        <f t="shared" si="486"/>
        <v>#N/A</v>
      </c>
      <c r="T1150" s="335">
        <f t="shared" si="487"/>
        <v>217.52533333333338</v>
      </c>
      <c r="U1150" s="336">
        <f t="shared" si="488"/>
        <v>2813.7007575757571</v>
      </c>
      <c r="V1150" s="336">
        <f t="shared" si="489"/>
        <v>0</v>
      </c>
      <c r="W1150" s="336">
        <f t="shared" si="490"/>
        <v>0</v>
      </c>
      <c r="X1150" s="336">
        <f t="shared" si="491"/>
        <v>0</v>
      </c>
      <c r="Y1150" s="320"/>
      <c r="Z1150" s="321" t="str">
        <f t="shared" si="509"/>
        <v>X-COLPER1A</v>
      </c>
      <c r="AA1150" s="321" t="str">
        <f t="shared" si="510"/>
        <v>X-COLPER1E</v>
      </c>
      <c r="AB1150" s="321" t="str">
        <f t="shared" si="511"/>
        <v>X-COLPER1M</v>
      </c>
      <c r="AC1150" s="321" t="str">
        <f t="shared" si="512"/>
        <v>X-COLPER1T</v>
      </c>
      <c r="AD1150" s="321" t="str">
        <f t="shared" si="513"/>
        <v>X-COLPER1S</v>
      </c>
      <c r="AE1150" s="321" t="str">
        <f t="shared" si="514"/>
        <v>X-COLPER1X</v>
      </c>
      <c r="AF1150" s="321" t="str">
        <f t="shared" si="515"/>
        <v>X-COLPER1A</v>
      </c>
      <c r="AG1150" s="321">
        <f t="shared" si="492"/>
        <v>6</v>
      </c>
      <c r="AH1150" s="321">
        <f>IF(B1150&lt;&gt;"",IF(H1150="x",VLOOKUP(I1150,'AUX-NIV3'!B:AG,32,FALSE),0),"")</f>
        <v>0</v>
      </c>
      <c r="AI1150" s="321" t="str">
        <f t="shared" si="516"/>
        <v>X-COLPER1</v>
      </c>
      <c r="AJ1150" s="320"/>
      <c r="AK1150" s="322">
        <f t="shared" si="493"/>
        <v>1146</v>
      </c>
      <c r="AL1150" s="323">
        <f t="shared" si="517"/>
        <v>1151</v>
      </c>
      <c r="AM1150" s="322">
        <f t="shared" si="518"/>
        <v>5</v>
      </c>
      <c r="AN1150" s="380">
        <f>IF(AND(AH1150&gt;0,B1150&lt;&gt;""),VLOOKUP(I1150,'AUX-NIV3'!$B:$AO,39,FALSE)*O1150,0)</f>
        <v>0</v>
      </c>
      <c r="AO1150" s="380">
        <f t="shared" si="494"/>
        <v>0.25</v>
      </c>
      <c r="AP1150" s="380"/>
    </row>
    <row r="1151" spans="2:42" ht="14.4" hidden="1" thickTop="1" thickBot="1">
      <c r="B1151" s="324" t="s">
        <v>2933</v>
      </c>
      <c r="C1151" s="325" t="s">
        <v>2934</v>
      </c>
      <c r="D1151" s="326" t="s">
        <v>477</v>
      </c>
      <c r="E1151" s="327">
        <f>IF(B1151&lt;&gt;"",SUMIF('AUX-NIV1'!I:I,'AUX-NIV2'!B1151,'AUX-NIV1'!Q:Q),"")</f>
        <v>0</v>
      </c>
      <c r="F1151" s="327" t="e">
        <f t="shared" si="484"/>
        <v>#N/A</v>
      </c>
      <c r="G1151" s="327" t="e">
        <f t="shared" si="485"/>
        <v>#N/A</v>
      </c>
      <c r="H1151" s="328" t="str">
        <f t="shared" si="519"/>
        <v>A</v>
      </c>
      <c r="I1151" s="325" t="s">
        <v>1746</v>
      </c>
      <c r="J1151" s="329" t="str">
        <f>IF(B1151&lt;&gt;"",+VLOOKUP(I1151,Recursos!C:F,2,FALSE),"")</f>
        <v>OFICIAL</v>
      </c>
      <c r="K1151" s="330" t="str">
        <f>IF(B1151&lt;&gt;"",+VLOOKUP(I1151,Recursos!C:F,3,FALSE),"")</f>
        <v>hh</v>
      </c>
      <c r="L1151" s="327">
        <f>IF(B1151&lt;&gt;"",+VLOOKUP(I1151,Recursos!C:F,4,FALSE),"")</f>
        <v>496.91595439275824</v>
      </c>
      <c r="M1151" s="450">
        <v>2</v>
      </c>
      <c r="N1151" s="451"/>
      <c r="O1151" s="449">
        <f>M1151*N1150/M1149/M1147</f>
        <v>0.16666666666666666</v>
      </c>
      <c r="P1151" s="333">
        <f t="shared" si="506"/>
        <v>82.819325732126373</v>
      </c>
      <c r="Q1151" s="327">
        <f t="shared" si="507"/>
        <v>0</v>
      </c>
      <c r="R1151" s="334">
        <f t="shared" si="508"/>
        <v>0</v>
      </c>
      <c r="S1151" s="335" t="e">
        <f t="shared" si="486"/>
        <v>#N/A</v>
      </c>
      <c r="T1151" s="335">
        <f t="shared" si="487"/>
        <v>217.52533333333338</v>
      </c>
      <c r="U1151" s="336">
        <f t="shared" si="488"/>
        <v>2813.7007575757571</v>
      </c>
      <c r="V1151" s="336">
        <f t="shared" si="489"/>
        <v>0</v>
      </c>
      <c r="W1151" s="336">
        <f t="shared" si="490"/>
        <v>0</v>
      </c>
      <c r="X1151" s="336">
        <f t="shared" si="491"/>
        <v>0</v>
      </c>
      <c r="Y1151" s="320"/>
      <c r="Z1151" s="321" t="str">
        <f t="shared" si="509"/>
        <v>X-COLPER1A</v>
      </c>
      <c r="AA1151" s="321" t="str">
        <f t="shared" si="510"/>
        <v>X-COLPER1E</v>
      </c>
      <c r="AB1151" s="321" t="str">
        <f t="shared" si="511"/>
        <v>X-COLPER1M</v>
      </c>
      <c r="AC1151" s="321" t="str">
        <f t="shared" si="512"/>
        <v>X-COLPER1T</v>
      </c>
      <c r="AD1151" s="321" t="str">
        <f t="shared" si="513"/>
        <v>X-COLPER1S</v>
      </c>
      <c r="AE1151" s="321" t="str">
        <f t="shared" si="514"/>
        <v>X-COLPER1X</v>
      </c>
      <c r="AF1151" s="321" t="str">
        <f t="shared" si="515"/>
        <v>X-COLPER1A</v>
      </c>
      <c r="AG1151" s="321">
        <f t="shared" si="492"/>
        <v>6</v>
      </c>
      <c r="AH1151" s="321">
        <f>IF(B1151&lt;&gt;"",IF(H1151="x",VLOOKUP(I1151,'AUX-NIV3'!B:AG,32,FALSE),0),"")</f>
        <v>0</v>
      </c>
      <c r="AI1151" s="321" t="str">
        <f t="shared" si="516"/>
        <v>X-COLPER1</v>
      </c>
      <c r="AJ1151" s="320"/>
      <c r="AK1151" s="322">
        <f t="shared" si="493"/>
        <v>1146</v>
      </c>
      <c r="AL1151" s="323">
        <f t="shared" si="517"/>
        <v>1151</v>
      </c>
      <c r="AM1151" s="322">
        <f t="shared" si="518"/>
        <v>6</v>
      </c>
      <c r="AN1151" s="380">
        <f>IF(AND(AH1151&gt;0,B1151&lt;&gt;""),VLOOKUP(I1151,'AUX-NIV3'!$B:$AO,39,FALSE)*O1151,0)</f>
        <v>0</v>
      </c>
      <c r="AO1151" s="380">
        <f t="shared" si="494"/>
        <v>0.25</v>
      </c>
      <c r="AP1151" s="380"/>
    </row>
    <row r="1152" spans="2:42" ht="14.4" hidden="1" thickTop="1" thickBot="1">
      <c r="B1152" s="324" t="s">
        <v>2935</v>
      </c>
      <c r="C1152" s="325" t="s">
        <v>2936</v>
      </c>
      <c r="D1152" s="326" t="s">
        <v>477</v>
      </c>
      <c r="E1152" s="327">
        <f>IF(B1152&lt;&gt;"",SUMIF('AUX-NIV1'!I:I,'AUX-NIV2'!B1152,'AUX-NIV1'!Q:Q),"")</f>
        <v>0</v>
      </c>
      <c r="F1152" s="327">
        <f t="shared" si="484"/>
        <v>137.68604714954739</v>
      </c>
      <c r="G1152" s="327">
        <f t="shared" si="485"/>
        <v>0</v>
      </c>
      <c r="H1152" s="328" t="str">
        <f t="shared" si="519"/>
        <v>E</v>
      </c>
      <c r="I1152" s="325" t="s">
        <v>1652</v>
      </c>
      <c r="J1152" s="329" t="str">
        <f>IF(B1152&lt;&gt;"",+VLOOKUP(I1152,Recursos!C:F,2,FALSE),"")</f>
        <v>MANIPULADOR TELESCOPICO</v>
      </c>
      <c r="K1152" s="330" t="str">
        <f>IF(B1152&lt;&gt;"",+VLOOKUP(I1152,Recursos!C:F,3,FALSE),"")</f>
        <v>HR</v>
      </c>
      <c r="L1152" s="327">
        <f>IF(B1152&lt;&gt;"",+VLOOKUP(I1152,Recursos!C:F,4,FALSE),"")</f>
        <v>3262.8800000000006</v>
      </c>
      <c r="M1152" s="454">
        <v>100</v>
      </c>
      <c r="N1152" s="453"/>
      <c r="O1152" s="449">
        <f>1/M1152</f>
        <v>0.01</v>
      </c>
      <c r="P1152" s="333">
        <f t="shared" si="506"/>
        <v>32.628800000000005</v>
      </c>
      <c r="Q1152" s="327">
        <f t="shared" si="507"/>
        <v>0</v>
      </c>
      <c r="R1152" s="334">
        <f t="shared" si="508"/>
        <v>0</v>
      </c>
      <c r="S1152" s="335">
        <f t="shared" si="486"/>
        <v>31.05724714954739</v>
      </c>
      <c r="T1152" s="335">
        <f t="shared" si="487"/>
        <v>32.628800000000005</v>
      </c>
      <c r="U1152" s="336">
        <f t="shared" si="488"/>
        <v>74</v>
      </c>
      <c r="V1152" s="336">
        <f t="shared" si="489"/>
        <v>0</v>
      </c>
      <c r="W1152" s="336">
        <f t="shared" si="490"/>
        <v>0</v>
      </c>
      <c r="X1152" s="336">
        <f t="shared" si="491"/>
        <v>0</v>
      </c>
      <c r="Y1152" s="320"/>
      <c r="Z1152" s="321" t="str">
        <f t="shared" si="509"/>
        <v>X-COLTUBA</v>
      </c>
      <c r="AA1152" s="321" t="str">
        <f t="shared" si="510"/>
        <v>X-COLTUBE</v>
      </c>
      <c r="AB1152" s="321" t="str">
        <f t="shared" si="511"/>
        <v>X-COLTUBM</v>
      </c>
      <c r="AC1152" s="321" t="str">
        <f t="shared" si="512"/>
        <v>X-COLTUBT</v>
      </c>
      <c r="AD1152" s="321" t="str">
        <f t="shared" si="513"/>
        <v>X-COLTUBS</v>
      </c>
      <c r="AE1152" s="321" t="str">
        <f t="shared" si="514"/>
        <v>X-COLTUBX</v>
      </c>
      <c r="AF1152" s="321" t="str">
        <f t="shared" si="515"/>
        <v>X-COLTUBE</v>
      </c>
      <c r="AG1152" s="321">
        <f t="shared" si="492"/>
        <v>4</v>
      </c>
      <c r="AH1152" s="321">
        <f>IF(B1152&lt;&gt;"",IF(H1152="x",VLOOKUP(I1152,'AUX-NIV3'!B:AG,32,FALSE),0),"")</f>
        <v>0</v>
      </c>
      <c r="AI1152" s="321" t="str">
        <f t="shared" si="516"/>
        <v>X-COLTUB</v>
      </c>
      <c r="AJ1152" s="320"/>
      <c r="AK1152" s="322">
        <f t="shared" si="493"/>
        <v>1152</v>
      </c>
      <c r="AL1152" s="323">
        <f t="shared" si="517"/>
        <v>1155</v>
      </c>
      <c r="AM1152" s="322">
        <f t="shared" si="518"/>
        <v>1</v>
      </c>
      <c r="AN1152" s="380">
        <f>IF(AND(AH1152&gt;0,B1152&lt;&gt;""),VLOOKUP(I1152,'AUX-NIV3'!$B:$AO,39,FALSE)*O1152,0)</f>
        <v>0</v>
      </c>
      <c r="AO1152" s="380">
        <f t="shared" si="494"/>
        <v>6.25E-2</v>
      </c>
      <c r="AP1152" s="380"/>
    </row>
    <row r="1153" spans="2:42" ht="14.4" hidden="1" thickTop="1" thickBot="1">
      <c r="B1153" s="324" t="s">
        <v>2935</v>
      </c>
      <c r="C1153" s="325" t="s">
        <v>2936</v>
      </c>
      <c r="D1153" s="326" t="s">
        <v>477</v>
      </c>
      <c r="E1153" s="327">
        <f>IF(B1153&lt;&gt;"",SUMIF('AUX-NIV1'!I:I,'AUX-NIV2'!B1153,'AUX-NIV1'!Q:Q),"")</f>
        <v>0</v>
      </c>
      <c r="F1153" s="327">
        <f t="shared" si="484"/>
        <v>137.68604714954739</v>
      </c>
      <c r="G1153" s="327">
        <f t="shared" si="485"/>
        <v>0</v>
      </c>
      <c r="H1153" s="328" t="str">
        <f t="shared" si="519"/>
        <v>A</v>
      </c>
      <c r="I1153" s="325" t="s">
        <v>1746</v>
      </c>
      <c r="J1153" s="329" t="str">
        <f>IF(B1153&lt;&gt;"",+VLOOKUP(I1153,Recursos!C:F,2,FALSE),"")</f>
        <v>OFICIAL</v>
      </c>
      <c r="K1153" s="330" t="str">
        <f>IF(B1153&lt;&gt;"",+VLOOKUP(I1153,Recursos!C:F,3,FALSE),"")</f>
        <v>hh</v>
      </c>
      <c r="L1153" s="327">
        <f>IF(B1153&lt;&gt;"",+VLOOKUP(I1153,Recursos!C:F,4,FALSE),"")</f>
        <v>496.91595439275824</v>
      </c>
      <c r="M1153" s="454">
        <v>5</v>
      </c>
      <c r="N1153" s="453">
        <v>1.25</v>
      </c>
      <c r="O1153" s="449">
        <f>N1153*M1153/M1152</f>
        <v>6.25E-2</v>
      </c>
      <c r="P1153" s="333">
        <f t="shared" si="506"/>
        <v>31.05724714954739</v>
      </c>
      <c r="Q1153" s="327">
        <f t="shared" si="507"/>
        <v>0</v>
      </c>
      <c r="R1153" s="334">
        <f t="shared" si="508"/>
        <v>0</v>
      </c>
      <c r="S1153" s="335">
        <f t="shared" si="486"/>
        <v>31.05724714954739</v>
      </c>
      <c r="T1153" s="335">
        <f t="shared" si="487"/>
        <v>32.628800000000005</v>
      </c>
      <c r="U1153" s="336">
        <f t="shared" si="488"/>
        <v>74</v>
      </c>
      <c r="V1153" s="336">
        <f t="shared" si="489"/>
        <v>0</v>
      </c>
      <c r="W1153" s="336">
        <f t="shared" si="490"/>
        <v>0</v>
      </c>
      <c r="X1153" s="336">
        <f t="shared" si="491"/>
        <v>0</v>
      </c>
      <c r="Y1153" s="320"/>
      <c r="Z1153" s="321" t="str">
        <f t="shared" si="509"/>
        <v>X-COLTUBA</v>
      </c>
      <c r="AA1153" s="321" t="str">
        <f t="shared" si="510"/>
        <v>X-COLTUBE</v>
      </c>
      <c r="AB1153" s="321" t="str">
        <f t="shared" si="511"/>
        <v>X-COLTUBM</v>
      </c>
      <c r="AC1153" s="321" t="str">
        <f t="shared" si="512"/>
        <v>X-COLTUBT</v>
      </c>
      <c r="AD1153" s="321" t="str">
        <f t="shared" si="513"/>
        <v>X-COLTUBS</v>
      </c>
      <c r="AE1153" s="321" t="str">
        <f t="shared" si="514"/>
        <v>X-COLTUBX</v>
      </c>
      <c r="AF1153" s="321" t="str">
        <f t="shared" si="515"/>
        <v>X-COLTUBA</v>
      </c>
      <c r="AG1153" s="321">
        <f t="shared" si="492"/>
        <v>4</v>
      </c>
      <c r="AH1153" s="321">
        <f>IF(B1153&lt;&gt;"",IF(H1153="x",VLOOKUP(I1153,'AUX-NIV3'!B:AG,32,FALSE),0),"")</f>
        <v>0</v>
      </c>
      <c r="AI1153" s="321" t="str">
        <f t="shared" si="516"/>
        <v>X-COLTUB</v>
      </c>
      <c r="AJ1153" s="320"/>
      <c r="AK1153" s="322">
        <f t="shared" si="493"/>
        <v>1152</v>
      </c>
      <c r="AL1153" s="323">
        <f t="shared" si="517"/>
        <v>1155</v>
      </c>
      <c r="AM1153" s="322">
        <f t="shared" si="518"/>
        <v>2</v>
      </c>
      <c r="AN1153" s="380">
        <f>IF(AND(AH1153&gt;0,B1153&lt;&gt;""),VLOOKUP(I1153,'AUX-NIV3'!$B:$AO,39,FALSE)*O1153,0)</f>
        <v>0</v>
      </c>
      <c r="AO1153" s="380">
        <f t="shared" si="494"/>
        <v>6.25E-2</v>
      </c>
      <c r="AP1153" s="380"/>
    </row>
    <row r="1154" spans="2:42" ht="14.4" hidden="1" thickTop="1" thickBot="1">
      <c r="B1154" s="324" t="s">
        <v>2935</v>
      </c>
      <c r="C1154" s="325" t="s">
        <v>2936</v>
      </c>
      <c r="D1154" s="326" t="s">
        <v>477</v>
      </c>
      <c r="E1154" s="327">
        <f>IF(B1154&lt;&gt;"",SUMIF('AUX-NIV1'!I:I,'AUX-NIV2'!B1154,'AUX-NIV1'!Q:Q),"")</f>
        <v>0</v>
      </c>
      <c r="F1154" s="327">
        <f t="shared" si="484"/>
        <v>137.68604714954739</v>
      </c>
      <c r="G1154" s="327">
        <f t="shared" si="485"/>
        <v>0</v>
      </c>
      <c r="H1154" s="328" t="str">
        <f t="shared" si="519"/>
        <v>M</v>
      </c>
      <c r="I1154" s="325" t="s">
        <v>1846</v>
      </c>
      <c r="J1154" s="329" t="str">
        <f>IF(B1154&lt;&gt;"",+VLOOKUP(I1154,Recursos!C:F,2,FALSE),"")</f>
        <v>CAÑERIA DIAM. 100 H°F°</v>
      </c>
      <c r="K1154" s="330" t="str">
        <f>IF(B1154&lt;&gt;"",+VLOOKUP(I1154,Recursos!C:F,3,FALSE),"")</f>
        <v>M</v>
      </c>
      <c r="L1154" s="327">
        <f>IF(B1154&lt;&gt;"",+VLOOKUP(I1154,Recursos!C:F,4,FALSE),"")</f>
        <v>65</v>
      </c>
      <c r="M1154" s="454"/>
      <c r="N1154" s="453">
        <v>1.1000000000000001</v>
      </c>
      <c r="O1154" s="449">
        <f>N1154</f>
        <v>1.1000000000000001</v>
      </c>
      <c r="P1154" s="333">
        <f t="shared" si="506"/>
        <v>71.5</v>
      </c>
      <c r="Q1154" s="327">
        <f t="shared" si="507"/>
        <v>0</v>
      </c>
      <c r="R1154" s="334">
        <f t="shared" si="508"/>
        <v>0</v>
      </c>
      <c r="S1154" s="335">
        <f t="shared" si="486"/>
        <v>31.05724714954739</v>
      </c>
      <c r="T1154" s="335">
        <f t="shared" si="487"/>
        <v>32.628800000000005</v>
      </c>
      <c r="U1154" s="336">
        <f t="shared" si="488"/>
        <v>74</v>
      </c>
      <c r="V1154" s="336">
        <f t="shared" si="489"/>
        <v>0</v>
      </c>
      <c r="W1154" s="336">
        <f t="shared" si="490"/>
        <v>0</v>
      </c>
      <c r="X1154" s="336">
        <f t="shared" si="491"/>
        <v>0</v>
      </c>
      <c r="Y1154" s="320"/>
      <c r="Z1154" s="321" t="str">
        <f t="shared" si="509"/>
        <v>X-COLTUBA</v>
      </c>
      <c r="AA1154" s="321" t="str">
        <f t="shared" si="510"/>
        <v>X-COLTUBE</v>
      </c>
      <c r="AB1154" s="321" t="str">
        <f t="shared" si="511"/>
        <v>X-COLTUBM</v>
      </c>
      <c r="AC1154" s="321" t="str">
        <f t="shared" si="512"/>
        <v>X-COLTUBT</v>
      </c>
      <c r="AD1154" s="321" t="str">
        <f t="shared" si="513"/>
        <v>X-COLTUBS</v>
      </c>
      <c r="AE1154" s="321" t="str">
        <f t="shared" si="514"/>
        <v>X-COLTUBX</v>
      </c>
      <c r="AF1154" s="321" t="str">
        <f t="shared" si="515"/>
        <v>X-COLTUBM</v>
      </c>
      <c r="AG1154" s="321">
        <f t="shared" si="492"/>
        <v>4</v>
      </c>
      <c r="AH1154" s="321">
        <f>IF(B1154&lt;&gt;"",IF(H1154="x",VLOOKUP(I1154,'AUX-NIV3'!B:AG,32,FALSE),0),"")</f>
        <v>0</v>
      </c>
      <c r="AI1154" s="321" t="str">
        <f t="shared" si="516"/>
        <v>X-COLTUB</v>
      </c>
      <c r="AJ1154" s="320"/>
      <c r="AK1154" s="322">
        <f t="shared" si="493"/>
        <v>1152</v>
      </c>
      <c r="AL1154" s="323">
        <f t="shared" si="517"/>
        <v>1155</v>
      </c>
      <c r="AM1154" s="322">
        <f t="shared" si="518"/>
        <v>3</v>
      </c>
      <c r="AN1154" s="380">
        <f>IF(AND(AH1154&gt;0,B1154&lt;&gt;""),VLOOKUP(I1154,'AUX-NIV3'!$B:$AO,39,FALSE)*O1154,0)</f>
        <v>0</v>
      </c>
      <c r="AO1154" s="380">
        <f t="shared" si="494"/>
        <v>6.25E-2</v>
      </c>
      <c r="AP1154" s="380"/>
    </row>
    <row r="1155" spans="2:42" ht="14.4" hidden="1" thickTop="1" thickBot="1">
      <c r="B1155" s="324" t="s">
        <v>2935</v>
      </c>
      <c r="C1155" s="325" t="s">
        <v>2936</v>
      </c>
      <c r="D1155" s="326" t="s">
        <v>477</v>
      </c>
      <c r="E1155" s="327">
        <f>IF(B1155&lt;&gt;"",SUMIF('AUX-NIV1'!I:I,'AUX-NIV2'!B1155,'AUX-NIV1'!Q:Q),"")</f>
        <v>0</v>
      </c>
      <c r="F1155" s="327">
        <f t="shared" si="484"/>
        <v>137.68604714954739</v>
      </c>
      <c r="G1155" s="327">
        <f t="shared" si="485"/>
        <v>0</v>
      </c>
      <c r="H1155" s="328" t="str">
        <f t="shared" si="519"/>
        <v>M</v>
      </c>
      <c r="I1155" s="325" t="s">
        <v>621</v>
      </c>
      <c r="J1155" s="329" t="str">
        <f>IF(B1155&lt;&gt;"",+VLOOKUP(I1155,Recursos!C:F,2,FALSE),"")</f>
        <v>MATERIALES VARIOS</v>
      </c>
      <c r="K1155" s="330" t="str">
        <f>IF(B1155&lt;&gt;"",+VLOOKUP(I1155,Recursos!C:F,3,FALSE),"")</f>
        <v>GL</v>
      </c>
      <c r="L1155" s="327">
        <f>IF(B1155&lt;&gt;"",+VLOOKUP(I1155,Recursos!C:F,4,FALSE),"")</f>
        <v>0.5</v>
      </c>
      <c r="M1155" s="454"/>
      <c r="N1155" s="453">
        <v>5</v>
      </c>
      <c r="O1155" s="449">
        <f>N1155</f>
        <v>5</v>
      </c>
      <c r="P1155" s="333">
        <f t="shared" si="506"/>
        <v>2.5</v>
      </c>
      <c r="Q1155" s="327">
        <f t="shared" si="507"/>
        <v>0</v>
      </c>
      <c r="R1155" s="334">
        <f t="shared" si="508"/>
        <v>0</v>
      </c>
      <c r="S1155" s="335">
        <f t="shared" si="486"/>
        <v>31.05724714954739</v>
      </c>
      <c r="T1155" s="335">
        <f t="shared" si="487"/>
        <v>32.628800000000005</v>
      </c>
      <c r="U1155" s="336">
        <f t="shared" si="488"/>
        <v>74</v>
      </c>
      <c r="V1155" s="336">
        <f t="shared" si="489"/>
        <v>0</v>
      </c>
      <c r="W1155" s="336">
        <f t="shared" si="490"/>
        <v>0</v>
      </c>
      <c r="X1155" s="336">
        <f t="shared" si="491"/>
        <v>0</v>
      </c>
      <c r="Y1155" s="320"/>
      <c r="Z1155" s="321" t="str">
        <f t="shared" si="509"/>
        <v>X-COLTUBA</v>
      </c>
      <c r="AA1155" s="321" t="str">
        <f t="shared" si="510"/>
        <v>X-COLTUBE</v>
      </c>
      <c r="AB1155" s="321" t="str">
        <f t="shared" si="511"/>
        <v>X-COLTUBM</v>
      </c>
      <c r="AC1155" s="321" t="str">
        <f t="shared" si="512"/>
        <v>X-COLTUBT</v>
      </c>
      <c r="AD1155" s="321" t="str">
        <f t="shared" si="513"/>
        <v>X-COLTUBS</v>
      </c>
      <c r="AE1155" s="321" t="str">
        <f t="shared" si="514"/>
        <v>X-COLTUBX</v>
      </c>
      <c r="AF1155" s="321" t="str">
        <f t="shared" si="515"/>
        <v>X-COLTUBM</v>
      </c>
      <c r="AG1155" s="321">
        <f t="shared" si="492"/>
        <v>4</v>
      </c>
      <c r="AH1155" s="321">
        <f>IF(B1155&lt;&gt;"",IF(H1155="x",VLOOKUP(I1155,'AUX-NIV3'!B:AG,32,FALSE),0),"")</f>
        <v>0</v>
      </c>
      <c r="AI1155" s="321" t="str">
        <f t="shared" si="516"/>
        <v>X-COLTUB</v>
      </c>
      <c r="AJ1155" s="320"/>
      <c r="AK1155" s="322">
        <f t="shared" si="493"/>
        <v>1152</v>
      </c>
      <c r="AL1155" s="323">
        <f t="shared" si="517"/>
        <v>1155</v>
      </c>
      <c r="AM1155" s="322">
        <f t="shared" si="518"/>
        <v>4</v>
      </c>
      <c r="AN1155" s="380">
        <f>IF(AND(AH1155&gt;0,B1155&lt;&gt;""),VLOOKUP(I1155,'AUX-NIV3'!$B:$AO,39,FALSE)*O1155,0)</f>
        <v>0</v>
      </c>
      <c r="AO1155" s="380">
        <f t="shared" si="494"/>
        <v>6.25E-2</v>
      </c>
      <c r="AP1155" s="380"/>
    </row>
    <row r="1156" spans="2:42" ht="14.4" hidden="1" thickTop="1" thickBot="1">
      <c r="B1156" s="324" t="s">
        <v>2975</v>
      </c>
      <c r="C1156" s="325" t="s">
        <v>2974</v>
      </c>
      <c r="D1156" s="326" t="s">
        <v>501</v>
      </c>
      <c r="E1156" s="327">
        <f>IF(B1156&lt;&gt;"",SUMIF('AUX-NIV1'!I:I,'AUX-NIV2'!B1156,'AUX-NIV1'!Q:Q),"")</f>
        <v>0</v>
      </c>
      <c r="F1156" s="327">
        <f t="shared" si="484"/>
        <v>1928.7507127591643</v>
      </c>
      <c r="G1156" s="327">
        <f t="shared" si="485"/>
        <v>0</v>
      </c>
      <c r="H1156" s="328" t="str">
        <f t="shared" si="519"/>
        <v>M</v>
      </c>
      <c r="I1156" s="325" t="s">
        <v>596</v>
      </c>
      <c r="J1156" s="329" t="str">
        <f>IF(B1156&lt;&gt;"",+VLOOKUP(I1156,Recursos!C:F,2,FALSE),"")</f>
        <v>MALLA ELECTROSOLDADA Q-92</v>
      </c>
      <c r="K1156" s="330" t="str">
        <f>IF(B1156&lt;&gt;"",+VLOOKUP(I1156,Recursos!C:F,3,FALSE),"")</f>
        <v>m2</v>
      </c>
      <c r="L1156" s="446">
        <f>IF(B1156&lt;&gt;"",+VLOOKUP(I1156,Recursos!C:F,4,FALSE),"")</f>
        <v>190</v>
      </c>
      <c r="M1156" s="447">
        <v>1.3</v>
      </c>
      <c r="N1156" s="448">
        <v>5</v>
      </c>
      <c r="O1156" s="449">
        <f>M1156</f>
        <v>1.3</v>
      </c>
      <c r="P1156" s="333">
        <f t="shared" si="506"/>
        <v>247</v>
      </c>
      <c r="Q1156" s="327">
        <f t="shared" si="507"/>
        <v>0</v>
      </c>
      <c r="R1156" s="334">
        <f t="shared" si="508"/>
        <v>0</v>
      </c>
      <c r="S1156" s="335">
        <f t="shared" si="486"/>
        <v>834.81258775916422</v>
      </c>
      <c r="T1156" s="335">
        <f t="shared" si="487"/>
        <v>815.72000000000014</v>
      </c>
      <c r="U1156" s="336">
        <f t="shared" si="488"/>
        <v>278.21812499999999</v>
      </c>
      <c r="V1156" s="336">
        <f t="shared" si="489"/>
        <v>0</v>
      </c>
      <c r="W1156" s="336">
        <f t="shared" si="490"/>
        <v>0</v>
      </c>
      <c r="X1156" s="336">
        <f t="shared" si="491"/>
        <v>0</v>
      </c>
      <c r="Y1156" s="320"/>
      <c r="Z1156" s="321" t="str">
        <f t="shared" si="509"/>
        <v>X-MALELA</v>
      </c>
      <c r="AA1156" s="321" t="str">
        <f t="shared" si="510"/>
        <v>X-MALELE</v>
      </c>
      <c r="AB1156" s="321" t="str">
        <f t="shared" si="511"/>
        <v>X-MALELM</v>
      </c>
      <c r="AC1156" s="321" t="str">
        <f t="shared" si="512"/>
        <v>X-MALELT</v>
      </c>
      <c r="AD1156" s="321" t="str">
        <f t="shared" si="513"/>
        <v>X-MALELS</v>
      </c>
      <c r="AE1156" s="321" t="str">
        <f t="shared" si="514"/>
        <v>X-MALELX</v>
      </c>
      <c r="AF1156" s="321" t="str">
        <f t="shared" si="515"/>
        <v>X-MALELM</v>
      </c>
      <c r="AG1156" s="321">
        <f t="shared" si="492"/>
        <v>8</v>
      </c>
      <c r="AH1156" s="321">
        <f>IF(B1156&lt;&gt;"",IF(H1156="x",VLOOKUP(I1156,'AUX-NIV3'!B:AG,32,FALSE),0),"")</f>
        <v>0</v>
      </c>
      <c r="AI1156" s="321" t="str">
        <f t="shared" si="516"/>
        <v>X-MALEL</v>
      </c>
      <c r="AJ1156" s="320"/>
      <c r="AK1156" s="322">
        <f t="shared" si="493"/>
        <v>1156</v>
      </c>
      <c r="AL1156" s="323">
        <f t="shared" si="517"/>
        <v>1163</v>
      </c>
      <c r="AM1156" s="322">
        <f t="shared" si="518"/>
        <v>1</v>
      </c>
      <c r="AN1156" s="380">
        <f>IF(AND(AH1156&gt;0,B1156&lt;&gt;""),VLOOKUP(I1156,'AUX-NIV3'!$B:$AO,39,FALSE)*O1156,0)</f>
        <v>0</v>
      </c>
      <c r="AO1156" s="380">
        <f t="shared" si="494"/>
        <v>1.75</v>
      </c>
      <c r="AP1156" s="380"/>
    </row>
    <row r="1157" spans="2:42" ht="14.4" hidden="1" thickTop="1" thickBot="1">
      <c r="B1157" s="324" t="s">
        <v>2975</v>
      </c>
      <c r="C1157" s="325" t="s">
        <v>2974</v>
      </c>
      <c r="D1157" s="326" t="s">
        <v>501</v>
      </c>
      <c r="E1157" s="327">
        <f>IF(B1157&lt;&gt;"",SUMIF('AUX-NIV1'!I:I,'AUX-NIV2'!B1157,'AUX-NIV1'!Q:Q),"")</f>
        <v>0</v>
      </c>
      <c r="F1157" s="327">
        <f t="shared" si="484"/>
        <v>1928.7507127591643</v>
      </c>
      <c r="G1157" s="327">
        <f t="shared" si="485"/>
        <v>0</v>
      </c>
      <c r="H1157" s="328" t="str">
        <f t="shared" si="519"/>
        <v>M</v>
      </c>
      <c r="I1157" s="325" t="s">
        <v>1930</v>
      </c>
      <c r="J1157" s="329" t="str">
        <f>IF(B1157&lt;&gt;"",+VLOOKUP(I1157,Recursos!C:F,2,FALSE),"")</f>
        <v>ALAMBRE TRIPLE GALV. BWG 12</v>
      </c>
      <c r="K1157" s="330" t="str">
        <f>IF(B1157&lt;&gt;"",+VLOOKUP(I1157,Recursos!C:F,3,FALSE),"")</f>
        <v>Kg</v>
      </c>
      <c r="L1157" s="446">
        <f>IF(B1157&lt;&gt;"",+VLOOKUP(I1157,Recursos!C:F,4,FALSE),"")</f>
        <v>86.825000000000003</v>
      </c>
      <c r="M1157" s="452">
        <v>0.25</v>
      </c>
      <c r="N1157" s="453"/>
      <c r="O1157" s="449">
        <f>M1156*M1157</f>
        <v>0.32500000000000001</v>
      </c>
      <c r="P1157" s="333">
        <f t="shared" si="506"/>
        <v>28.218125000000001</v>
      </c>
      <c r="Q1157" s="327">
        <f t="shared" si="507"/>
        <v>0</v>
      </c>
      <c r="R1157" s="334">
        <f t="shared" si="508"/>
        <v>0</v>
      </c>
      <c r="S1157" s="335">
        <f t="shared" si="486"/>
        <v>834.81258775916422</v>
      </c>
      <c r="T1157" s="335">
        <f t="shared" si="487"/>
        <v>815.72000000000014</v>
      </c>
      <c r="U1157" s="336">
        <f t="shared" si="488"/>
        <v>278.21812499999999</v>
      </c>
      <c r="V1157" s="336">
        <f t="shared" si="489"/>
        <v>0</v>
      </c>
      <c r="W1157" s="336">
        <f t="shared" si="490"/>
        <v>0</v>
      </c>
      <c r="X1157" s="336">
        <f t="shared" si="491"/>
        <v>0</v>
      </c>
      <c r="Y1157" s="320"/>
      <c r="Z1157" s="321" t="str">
        <f t="shared" si="509"/>
        <v>X-MALELA</v>
      </c>
      <c r="AA1157" s="321" t="str">
        <f t="shared" si="510"/>
        <v>X-MALELE</v>
      </c>
      <c r="AB1157" s="321" t="str">
        <f t="shared" si="511"/>
        <v>X-MALELM</v>
      </c>
      <c r="AC1157" s="321" t="str">
        <f t="shared" si="512"/>
        <v>X-MALELT</v>
      </c>
      <c r="AD1157" s="321" t="str">
        <f t="shared" si="513"/>
        <v>X-MALELS</v>
      </c>
      <c r="AE1157" s="321" t="str">
        <f t="shared" si="514"/>
        <v>X-MALELX</v>
      </c>
      <c r="AF1157" s="321" t="str">
        <f t="shared" si="515"/>
        <v>X-MALELM</v>
      </c>
      <c r="AG1157" s="321">
        <f t="shared" si="492"/>
        <v>8</v>
      </c>
      <c r="AH1157" s="321">
        <f>IF(B1157&lt;&gt;"",IF(H1157="x",VLOOKUP(I1157,'AUX-NIV3'!B:AG,32,FALSE),0),"")</f>
        <v>0</v>
      </c>
      <c r="AI1157" s="321" t="str">
        <f t="shared" si="516"/>
        <v>X-MALEL</v>
      </c>
      <c r="AJ1157" s="320"/>
      <c r="AK1157" s="322">
        <f t="shared" si="493"/>
        <v>1156</v>
      </c>
      <c r="AL1157" s="323">
        <f t="shared" si="517"/>
        <v>1163</v>
      </c>
      <c r="AM1157" s="322">
        <f t="shared" si="518"/>
        <v>2</v>
      </c>
      <c r="AN1157" s="380">
        <f>IF(AND(AH1157&gt;0,B1157&lt;&gt;""),VLOOKUP(I1157,'AUX-NIV3'!$B:$AO,39,FALSE)*O1157,0)</f>
        <v>0</v>
      </c>
      <c r="AO1157" s="380">
        <f t="shared" si="494"/>
        <v>1.75</v>
      </c>
      <c r="AP1157" s="380"/>
    </row>
    <row r="1158" spans="2:42" ht="14.4" hidden="1" thickTop="1" thickBot="1">
      <c r="B1158" s="324" t="s">
        <v>2975</v>
      </c>
      <c r="C1158" s="325" t="s">
        <v>2974</v>
      </c>
      <c r="D1158" s="326" t="s">
        <v>501</v>
      </c>
      <c r="E1158" s="327">
        <f>IF(B1158&lt;&gt;"",SUMIF('AUX-NIV1'!I:I,'AUX-NIV2'!B1158,'AUX-NIV1'!Q:Q),"")</f>
        <v>0</v>
      </c>
      <c r="F1158" s="327">
        <f t="shared" si="484"/>
        <v>1928.7507127591643</v>
      </c>
      <c r="G1158" s="327">
        <f t="shared" si="485"/>
        <v>0</v>
      </c>
      <c r="H1158" s="328" t="str">
        <f t="shared" si="519"/>
        <v>M</v>
      </c>
      <c r="I1158" s="325" t="s">
        <v>621</v>
      </c>
      <c r="J1158" s="329" t="str">
        <f>IF(B1158&lt;&gt;"",+VLOOKUP(I1158,Recursos!C:F,2,FALSE),"")</f>
        <v>MATERIALES VARIOS</v>
      </c>
      <c r="K1158" s="330" t="str">
        <f>IF(B1158&lt;&gt;"",+VLOOKUP(I1158,Recursos!C:F,3,FALSE),"")</f>
        <v>GL</v>
      </c>
      <c r="L1158" s="446">
        <f>IF(B1158&lt;&gt;"",+VLOOKUP(I1158,Recursos!C:F,4,FALSE),"")</f>
        <v>0.5</v>
      </c>
      <c r="M1158" s="452">
        <v>5</v>
      </c>
      <c r="N1158" s="453"/>
      <c r="O1158" s="449">
        <f>M1158</f>
        <v>5</v>
      </c>
      <c r="P1158" s="333">
        <f t="shared" si="506"/>
        <v>2.5</v>
      </c>
      <c r="Q1158" s="327">
        <f t="shared" si="507"/>
        <v>0</v>
      </c>
      <c r="R1158" s="334">
        <f t="shared" si="508"/>
        <v>0</v>
      </c>
      <c r="S1158" s="335">
        <f t="shared" si="486"/>
        <v>834.81258775916422</v>
      </c>
      <c r="T1158" s="335">
        <f t="shared" si="487"/>
        <v>815.72000000000014</v>
      </c>
      <c r="U1158" s="336">
        <f t="shared" si="488"/>
        <v>278.21812499999999</v>
      </c>
      <c r="V1158" s="336">
        <f t="shared" si="489"/>
        <v>0</v>
      </c>
      <c r="W1158" s="336">
        <f t="shared" si="490"/>
        <v>0</v>
      </c>
      <c r="X1158" s="336">
        <f t="shared" si="491"/>
        <v>0</v>
      </c>
      <c r="Y1158" s="320"/>
      <c r="Z1158" s="321" t="str">
        <f t="shared" si="509"/>
        <v>X-MALELA</v>
      </c>
      <c r="AA1158" s="321" t="str">
        <f t="shared" si="510"/>
        <v>X-MALELE</v>
      </c>
      <c r="AB1158" s="321" t="str">
        <f t="shared" si="511"/>
        <v>X-MALELM</v>
      </c>
      <c r="AC1158" s="321" t="str">
        <f t="shared" si="512"/>
        <v>X-MALELT</v>
      </c>
      <c r="AD1158" s="321" t="str">
        <f t="shared" si="513"/>
        <v>X-MALELS</v>
      </c>
      <c r="AE1158" s="321" t="str">
        <f t="shared" si="514"/>
        <v>X-MALELX</v>
      </c>
      <c r="AF1158" s="321" t="str">
        <f t="shared" si="515"/>
        <v>X-MALELM</v>
      </c>
      <c r="AG1158" s="321">
        <f t="shared" si="492"/>
        <v>8</v>
      </c>
      <c r="AH1158" s="321">
        <f>IF(B1158&lt;&gt;"",IF(H1158="x",VLOOKUP(I1158,'AUX-NIV3'!B:AG,32,FALSE),0),"")</f>
        <v>0</v>
      </c>
      <c r="AI1158" s="321" t="str">
        <f t="shared" si="516"/>
        <v>X-MALEL</v>
      </c>
      <c r="AJ1158" s="320"/>
      <c r="AK1158" s="322">
        <f t="shared" si="493"/>
        <v>1156</v>
      </c>
      <c r="AL1158" s="323">
        <f t="shared" si="517"/>
        <v>1163</v>
      </c>
      <c r="AM1158" s="322">
        <f t="shared" si="518"/>
        <v>3</v>
      </c>
      <c r="AN1158" s="380">
        <f>IF(AND(AH1158&gt;0,B1158&lt;&gt;""),VLOOKUP(I1158,'AUX-NIV3'!$B:$AO,39,FALSE)*O1158,0)</f>
        <v>0</v>
      </c>
      <c r="AO1158" s="380">
        <f t="shared" si="494"/>
        <v>1.75</v>
      </c>
      <c r="AP1158" s="380"/>
    </row>
    <row r="1159" spans="2:42" ht="14.4" hidden="1" thickTop="1" thickBot="1">
      <c r="B1159" s="324" t="s">
        <v>2975</v>
      </c>
      <c r="C1159" s="325" t="s">
        <v>2974</v>
      </c>
      <c r="D1159" s="326" t="s">
        <v>501</v>
      </c>
      <c r="E1159" s="327">
        <f>IF(B1159&lt;&gt;"",SUMIF('AUX-NIV1'!I:I,'AUX-NIV2'!B1159,'AUX-NIV1'!Q:Q),"")</f>
        <v>0</v>
      </c>
      <c r="F1159" s="327">
        <f t="shared" ref="F1159:F1222" si="520">IF(B1159&lt;&gt;"",+SUMIF(B:B,B1159,P:P),"")</f>
        <v>1928.7507127591643</v>
      </c>
      <c r="G1159" s="327">
        <f t="shared" ref="G1159:G1222" si="521">IF(B1159&lt;&gt;"",+SUMIF(B:B,B1159,R:R),"")</f>
        <v>0</v>
      </c>
      <c r="H1159" s="328" t="str">
        <f t="shared" si="519"/>
        <v>M</v>
      </c>
      <c r="I1159" s="325" t="s">
        <v>2142</v>
      </c>
      <c r="J1159" s="329" t="str">
        <f>IF(B1159&lt;&gt;"",+VLOOKUP(I1159,Recursos!C:F,2,FALSE),"")</f>
        <v>HERRAMIENTAS MENORES</v>
      </c>
      <c r="K1159" s="330" t="str">
        <f>IF(B1159&lt;&gt;"",+VLOOKUP(I1159,Recursos!C:F,3,FALSE),"")</f>
        <v>un</v>
      </c>
      <c r="L1159" s="446">
        <f>IF(B1159&lt;&gt;"",+VLOOKUP(I1159,Recursos!C:F,4,FALSE),"")</f>
        <v>1</v>
      </c>
      <c r="M1159" s="452">
        <v>0.5</v>
      </c>
      <c r="N1159" s="453"/>
      <c r="O1159" s="449">
        <f>M1159</f>
        <v>0.5</v>
      </c>
      <c r="P1159" s="333">
        <f t="shared" si="506"/>
        <v>0.5</v>
      </c>
      <c r="Q1159" s="327">
        <f t="shared" si="507"/>
        <v>0</v>
      </c>
      <c r="R1159" s="334">
        <f t="shared" si="508"/>
        <v>0</v>
      </c>
      <c r="S1159" s="335">
        <f t="shared" ref="S1159:S1222" si="522">IF(B1159&lt;&gt;"",+SUMIF($AF:$AF,Z1159,$P:$P),"")</f>
        <v>834.81258775916422</v>
      </c>
      <c r="T1159" s="335">
        <f t="shared" ref="T1159:T1222" si="523">IF(B1159&lt;&gt;"",+SUMIF($AF:$AF,AA1159,$P:$P),"")</f>
        <v>815.72000000000014</v>
      </c>
      <c r="U1159" s="336">
        <f t="shared" ref="U1159:U1222" si="524">IF(B1159&lt;&gt;"",+SUMIF($AF:$AF,AB1159,$P:$P),"")</f>
        <v>278.21812499999999</v>
      </c>
      <c r="V1159" s="336">
        <f t="shared" ref="V1159:V1222" si="525">IF(B1159&lt;&gt;"",+SUMIF($AF:$AF,AC1159,$P:$P),"")</f>
        <v>0</v>
      </c>
      <c r="W1159" s="336">
        <f t="shared" ref="W1159:W1222" si="526">IF(B1159&lt;&gt;"",+SUMIF($AF:$AF,AD1159,$P:$P),"")</f>
        <v>0</v>
      </c>
      <c r="X1159" s="336">
        <f t="shared" ref="X1159:X1222" si="527">IF(B1159&lt;&gt;"",+SUMIF($AF:$AF,AE1159,$P:$P),"")</f>
        <v>0</v>
      </c>
      <c r="Y1159" s="320"/>
      <c r="Z1159" s="321" t="str">
        <f t="shared" si="509"/>
        <v>X-MALELA</v>
      </c>
      <c r="AA1159" s="321" t="str">
        <f t="shared" si="510"/>
        <v>X-MALELE</v>
      </c>
      <c r="AB1159" s="321" t="str">
        <f t="shared" si="511"/>
        <v>X-MALELM</v>
      </c>
      <c r="AC1159" s="321" t="str">
        <f t="shared" si="512"/>
        <v>X-MALELT</v>
      </c>
      <c r="AD1159" s="321" t="str">
        <f t="shared" si="513"/>
        <v>X-MALELS</v>
      </c>
      <c r="AE1159" s="321" t="str">
        <f t="shared" si="514"/>
        <v>X-MALELX</v>
      </c>
      <c r="AF1159" s="321" t="str">
        <f t="shared" si="515"/>
        <v>X-MALELM</v>
      </c>
      <c r="AG1159" s="321">
        <f t="shared" ref="AG1159:AG1222" si="528">IF(B1159&lt;&gt;"",+COUNTIF(B:B,B1159),"")</f>
        <v>8</v>
      </c>
      <c r="AH1159" s="321">
        <f>IF(B1159&lt;&gt;"",IF(H1159="x",VLOOKUP(I1159,'AUX-NIV3'!B:AG,32,FALSE),0),"")</f>
        <v>0</v>
      </c>
      <c r="AI1159" s="321" t="str">
        <f t="shared" si="516"/>
        <v>X-MALEL</v>
      </c>
      <c r="AJ1159" s="320"/>
      <c r="AK1159" s="322">
        <f t="shared" ref="AK1159:AK1222" si="529">IF(B1159&lt;&gt;"",+MATCH(B1159,B:B,0),"")</f>
        <v>1156</v>
      </c>
      <c r="AL1159" s="323">
        <f t="shared" si="517"/>
        <v>1163</v>
      </c>
      <c r="AM1159" s="322">
        <f t="shared" si="518"/>
        <v>4</v>
      </c>
      <c r="AN1159" s="380">
        <f>IF(AND(AH1159&gt;0,B1159&lt;&gt;""),VLOOKUP(I1159,'AUX-NIV3'!$B:$AO,39,FALSE)*O1159,0)</f>
        <v>0</v>
      </c>
      <c r="AO1159" s="380">
        <f t="shared" ref="AO1159:AO1222" si="530">+IF(B1159&lt;&gt;"",SUMIF(AF:AF,Z1159,O:O)+SUMIF(Z:Z,Z1159,AN:AN),0)</f>
        <v>1.75</v>
      </c>
      <c r="AP1159" s="380"/>
    </row>
    <row r="1160" spans="2:42" ht="14.4" hidden="1" thickTop="1" thickBot="1">
      <c r="B1160" s="324" t="s">
        <v>2975</v>
      </c>
      <c r="C1160" s="325" t="s">
        <v>2974</v>
      </c>
      <c r="D1160" s="326" t="s">
        <v>501</v>
      </c>
      <c r="E1160" s="327">
        <f>IF(B1160&lt;&gt;"",SUMIF('AUX-NIV1'!I:I,'AUX-NIV2'!B1160,'AUX-NIV1'!Q:Q),"")</f>
        <v>0</v>
      </c>
      <c r="F1160" s="327">
        <f t="shared" si="520"/>
        <v>1928.7507127591643</v>
      </c>
      <c r="G1160" s="327">
        <f t="shared" si="521"/>
        <v>0</v>
      </c>
      <c r="H1160" s="328" t="str">
        <f t="shared" si="519"/>
        <v>A</v>
      </c>
      <c r="I1160" s="325" t="s">
        <v>1746</v>
      </c>
      <c r="J1160" s="329" t="str">
        <f>IF(B1160&lt;&gt;"",+VLOOKUP(I1160,Recursos!C:F,2,FALSE),"")</f>
        <v>OFICIAL</v>
      </c>
      <c r="K1160" s="330" t="str">
        <f>IF(B1160&lt;&gt;"",+VLOOKUP(I1160,Recursos!C:F,3,FALSE),"")</f>
        <v>hh</v>
      </c>
      <c r="L1160" s="446">
        <f>IF(B1160&lt;&gt;"",+VLOOKUP(I1160,Recursos!C:F,4,FALSE),"")</f>
        <v>496.91595439275824</v>
      </c>
      <c r="M1160" s="452">
        <v>3</v>
      </c>
      <c r="N1160" s="453">
        <v>1.25</v>
      </c>
      <c r="O1160" s="540">
        <f>N1160*M1160/N1156</f>
        <v>0.75</v>
      </c>
      <c r="P1160" s="333">
        <f>IF(B1160&lt;&gt;"",O1160*L1160,"")</f>
        <v>372.68696579456866</v>
      </c>
      <c r="Q1160" s="327">
        <f>IF(B1160&lt;&gt;"",+O1160*E1160,"")</f>
        <v>0</v>
      </c>
      <c r="R1160" s="334">
        <f>IF(B1160&lt;&gt;"",Q1160*L1160,"")</f>
        <v>0</v>
      </c>
      <c r="S1160" s="335">
        <f t="shared" si="522"/>
        <v>834.81258775916422</v>
      </c>
      <c r="T1160" s="335">
        <f t="shared" si="523"/>
        <v>815.72000000000014</v>
      </c>
      <c r="U1160" s="336">
        <f t="shared" si="524"/>
        <v>278.21812499999999</v>
      </c>
      <c r="V1160" s="336">
        <f t="shared" si="525"/>
        <v>0</v>
      </c>
      <c r="W1160" s="336">
        <f t="shared" si="526"/>
        <v>0</v>
      </c>
      <c r="X1160" s="336">
        <f t="shared" si="527"/>
        <v>0</v>
      </c>
      <c r="Y1160" s="320"/>
      <c r="Z1160" s="321" t="str">
        <f t="shared" si="509"/>
        <v>X-MALELA</v>
      </c>
      <c r="AA1160" s="321" t="str">
        <f t="shared" si="510"/>
        <v>X-MALELE</v>
      </c>
      <c r="AB1160" s="321" t="str">
        <f t="shared" si="511"/>
        <v>X-MALELM</v>
      </c>
      <c r="AC1160" s="321" t="str">
        <f t="shared" si="512"/>
        <v>X-MALELT</v>
      </c>
      <c r="AD1160" s="321" t="str">
        <f t="shared" si="513"/>
        <v>X-MALELS</v>
      </c>
      <c r="AE1160" s="321" t="str">
        <f t="shared" si="514"/>
        <v>X-MALELX</v>
      </c>
      <c r="AF1160" s="321" t="str">
        <f t="shared" si="515"/>
        <v>X-MALELA</v>
      </c>
      <c r="AG1160" s="321">
        <f t="shared" si="528"/>
        <v>8</v>
      </c>
      <c r="AH1160" s="321">
        <f>IF(B1160&lt;&gt;"",IF(H1160="x",VLOOKUP(I1160,'AUX-NIV3'!B:AG,32,FALSE),0),"")</f>
        <v>0</v>
      </c>
      <c r="AI1160" s="321" t="str">
        <f t="shared" si="516"/>
        <v>X-MALEL</v>
      </c>
      <c r="AJ1160" s="320"/>
      <c r="AK1160" s="322">
        <f t="shared" si="529"/>
        <v>1156</v>
      </c>
      <c r="AL1160" s="323">
        <f t="shared" si="517"/>
        <v>1163</v>
      </c>
      <c r="AM1160" s="322">
        <f t="shared" si="518"/>
        <v>5</v>
      </c>
      <c r="AN1160" s="380">
        <f>IF(AND(AH1160&gt;0,B1160&lt;&gt;""),VLOOKUP(I1160,'AUX-NIV3'!$B:$AO,39,FALSE)*O1160,0)</f>
        <v>0</v>
      </c>
      <c r="AO1160" s="380">
        <f t="shared" si="530"/>
        <v>1.75</v>
      </c>
      <c r="AP1160" s="380"/>
    </row>
    <row r="1161" spans="2:42" ht="14.4" hidden="1" thickTop="1" thickBot="1">
      <c r="B1161" s="324" t="s">
        <v>2975</v>
      </c>
      <c r="C1161" s="325" t="s">
        <v>2974</v>
      </c>
      <c r="D1161" s="326" t="s">
        <v>501</v>
      </c>
      <c r="E1161" s="327">
        <f>IF(B1161&lt;&gt;"",SUMIF('AUX-NIV1'!I:I,'AUX-NIV2'!B1161,'AUX-NIV1'!Q:Q),"")</f>
        <v>0</v>
      </c>
      <c r="F1161" s="327">
        <f t="shared" si="520"/>
        <v>1928.7507127591643</v>
      </c>
      <c r="G1161" s="327">
        <f t="shared" si="521"/>
        <v>0</v>
      </c>
      <c r="H1161" s="328" t="str">
        <f t="shared" si="519"/>
        <v>A</v>
      </c>
      <c r="I1161" s="325" t="s">
        <v>1745</v>
      </c>
      <c r="J1161" s="329" t="str">
        <f>IF(B1161&lt;&gt;"",+VLOOKUP(I1161,Recursos!C:F,2,FALSE),"")</f>
        <v>AYUDANTE</v>
      </c>
      <c r="K1161" s="330" t="str">
        <f>IF(B1161&lt;&gt;"",+VLOOKUP(I1161,Recursos!C:F,3,FALSE),"")</f>
        <v>hh</v>
      </c>
      <c r="L1161" s="446">
        <f>IF(B1161&lt;&gt;"",+VLOOKUP(I1161,Recursos!C:F,4,FALSE),"")</f>
        <v>422.48042769667234</v>
      </c>
      <c r="M1161" s="452">
        <v>3</v>
      </c>
      <c r="N1161" s="453"/>
      <c r="O1161" s="449">
        <f>M1161*N1160/N1156</f>
        <v>0.75</v>
      </c>
      <c r="P1161" s="333">
        <f>IF(B1161&lt;&gt;"",O1161*L1161,"")</f>
        <v>316.86032077250422</v>
      </c>
      <c r="Q1161" s="327">
        <f>IF(B1161&lt;&gt;"",+O1161*E1161,"")</f>
        <v>0</v>
      </c>
      <c r="R1161" s="334">
        <f>IF(B1161&lt;&gt;"",Q1161*L1161,"")</f>
        <v>0</v>
      </c>
      <c r="S1161" s="335">
        <f t="shared" si="522"/>
        <v>834.81258775916422</v>
      </c>
      <c r="T1161" s="335">
        <f t="shared" si="523"/>
        <v>815.72000000000014</v>
      </c>
      <c r="U1161" s="336">
        <f t="shared" si="524"/>
        <v>278.21812499999999</v>
      </c>
      <c r="V1161" s="336">
        <f t="shared" si="525"/>
        <v>0</v>
      </c>
      <c r="W1161" s="336">
        <f t="shared" si="526"/>
        <v>0</v>
      </c>
      <c r="X1161" s="336">
        <f t="shared" si="527"/>
        <v>0</v>
      </c>
      <c r="Y1161" s="320"/>
      <c r="Z1161" s="321" t="str">
        <f t="shared" si="509"/>
        <v>X-MALELA</v>
      </c>
      <c r="AA1161" s="321" t="str">
        <f t="shared" si="510"/>
        <v>X-MALELE</v>
      </c>
      <c r="AB1161" s="321" t="str">
        <f t="shared" si="511"/>
        <v>X-MALELM</v>
      </c>
      <c r="AC1161" s="321" t="str">
        <f t="shared" si="512"/>
        <v>X-MALELT</v>
      </c>
      <c r="AD1161" s="321" t="str">
        <f t="shared" si="513"/>
        <v>X-MALELS</v>
      </c>
      <c r="AE1161" s="321" t="str">
        <f t="shared" si="514"/>
        <v>X-MALELX</v>
      </c>
      <c r="AF1161" s="321" t="str">
        <f t="shared" si="515"/>
        <v>X-MALELA</v>
      </c>
      <c r="AG1161" s="321">
        <f t="shared" si="528"/>
        <v>8</v>
      </c>
      <c r="AH1161" s="321">
        <f>IF(B1161&lt;&gt;"",IF(H1161="x",VLOOKUP(I1161,'AUX-NIV3'!B:AG,32,FALSE),0),"")</f>
        <v>0</v>
      </c>
      <c r="AI1161" s="321" t="str">
        <f t="shared" si="516"/>
        <v>X-MALEL</v>
      </c>
      <c r="AJ1161" s="320"/>
      <c r="AK1161" s="322">
        <f t="shared" si="529"/>
        <v>1156</v>
      </c>
      <c r="AL1161" s="323">
        <f t="shared" si="517"/>
        <v>1163</v>
      </c>
      <c r="AM1161" s="322">
        <f t="shared" si="518"/>
        <v>6</v>
      </c>
      <c r="AN1161" s="380">
        <f>IF(AND(AH1161&gt;0,B1161&lt;&gt;""),VLOOKUP(I1161,'AUX-NIV3'!$B:$AO,39,FALSE)*O1161,0)</f>
        <v>0</v>
      </c>
      <c r="AO1161" s="380">
        <f t="shared" si="530"/>
        <v>1.75</v>
      </c>
      <c r="AP1161" s="380"/>
    </row>
    <row r="1162" spans="2:42" ht="14.4" hidden="1" thickTop="1" thickBot="1">
      <c r="B1162" s="324" t="s">
        <v>2975</v>
      </c>
      <c r="C1162" s="325" t="s">
        <v>2974</v>
      </c>
      <c r="D1162" s="326" t="s">
        <v>501</v>
      </c>
      <c r="E1162" s="327">
        <f>IF(B1162&lt;&gt;"",SUMIF('AUX-NIV1'!I:I,'AUX-NIV2'!B1162,'AUX-NIV1'!Q:Q),"")</f>
        <v>0</v>
      </c>
      <c r="F1162" s="327">
        <f t="shared" si="520"/>
        <v>1928.7507127591643</v>
      </c>
      <c r="G1162" s="327">
        <f t="shared" si="521"/>
        <v>0</v>
      </c>
      <c r="H1162" s="328" t="str">
        <f>IF(B1162&lt;&gt;"",+LEFT(I1162,1),"")</f>
        <v>E</v>
      </c>
      <c r="I1162" s="325" t="s">
        <v>1652</v>
      </c>
      <c r="J1162" s="329" t="str">
        <f>IF(B1162&lt;&gt;"",+VLOOKUP(I1162,Recursos!C:F,2,FALSE),"")</f>
        <v>MANIPULADOR TELESCOPICO</v>
      </c>
      <c r="K1162" s="330" t="str">
        <f>IF(B1162&lt;&gt;"",+VLOOKUP(I1162,Recursos!C:F,3,FALSE),"")</f>
        <v>HR</v>
      </c>
      <c r="L1162" s="446">
        <f>IF(B1162&lt;&gt;"",+VLOOKUP(I1162,Recursos!C:F,4,FALSE),"")</f>
        <v>3262.8800000000006</v>
      </c>
      <c r="M1162" s="452">
        <v>1</v>
      </c>
      <c r="N1162" s="453"/>
      <c r="O1162" s="449">
        <f>M1162*N1160/N1156</f>
        <v>0.25</v>
      </c>
      <c r="P1162" s="333">
        <f>IF(B1162&lt;&gt;"",O1162*L1162,"")</f>
        <v>815.72000000000014</v>
      </c>
      <c r="Q1162" s="327">
        <f>IF(B1162&lt;&gt;"",+O1162*E1162,"")</f>
        <v>0</v>
      </c>
      <c r="R1162" s="334">
        <f>IF(B1162&lt;&gt;"",Q1162*L1162,"")</f>
        <v>0</v>
      </c>
      <c r="S1162" s="335">
        <f t="shared" si="522"/>
        <v>834.81258775916422</v>
      </c>
      <c r="T1162" s="335">
        <f t="shared" si="523"/>
        <v>815.72000000000014</v>
      </c>
      <c r="U1162" s="336">
        <f t="shared" si="524"/>
        <v>278.21812499999999</v>
      </c>
      <c r="V1162" s="336">
        <f t="shared" si="525"/>
        <v>0</v>
      </c>
      <c r="W1162" s="336">
        <f t="shared" si="526"/>
        <v>0</v>
      </c>
      <c r="X1162" s="336">
        <f t="shared" si="527"/>
        <v>0</v>
      </c>
      <c r="Y1162" s="320"/>
      <c r="Z1162" s="321" t="str">
        <f t="shared" si="509"/>
        <v>X-MALELA</v>
      </c>
      <c r="AA1162" s="321" t="str">
        <f t="shared" si="510"/>
        <v>X-MALELE</v>
      </c>
      <c r="AB1162" s="321" t="str">
        <f t="shared" si="511"/>
        <v>X-MALELM</v>
      </c>
      <c r="AC1162" s="321" t="str">
        <f t="shared" si="512"/>
        <v>X-MALELT</v>
      </c>
      <c r="AD1162" s="321" t="str">
        <f t="shared" si="513"/>
        <v>X-MALELS</v>
      </c>
      <c r="AE1162" s="321" t="str">
        <f t="shared" si="514"/>
        <v>X-MALELX</v>
      </c>
      <c r="AF1162" s="321" t="str">
        <f t="shared" si="515"/>
        <v>X-MALELE</v>
      </c>
      <c r="AG1162" s="321">
        <f t="shared" si="528"/>
        <v>8</v>
      </c>
      <c r="AH1162" s="321">
        <f>IF(B1162&lt;&gt;"",IF(H1162="x",VLOOKUP(I1162,'AUX-NIV3'!B:AG,32,FALSE),0),"")</f>
        <v>0</v>
      </c>
      <c r="AI1162" s="321" t="str">
        <f t="shared" si="516"/>
        <v>X-MALEL</v>
      </c>
      <c r="AJ1162" s="320"/>
      <c r="AK1162" s="322">
        <f t="shared" si="529"/>
        <v>1156</v>
      </c>
      <c r="AL1162" s="323">
        <f t="shared" si="517"/>
        <v>1163</v>
      </c>
      <c r="AM1162" s="322">
        <f t="shared" si="518"/>
        <v>7</v>
      </c>
      <c r="AN1162" s="380">
        <f>IF(AND(AH1162&gt;0,B1162&lt;&gt;""),VLOOKUP(I1162,'AUX-NIV3'!$B:$AO,39,FALSE)*O1162,0)</f>
        <v>0</v>
      </c>
      <c r="AO1162" s="380">
        <f t="shared" si="530"/>
        <v>1.75</v>
      </c>
      <c r="AP1162" s="380"/>
    </row>
    <row r="1163" spans="2:42" ht="14.4" hidden="1" thickTop="1" thickBot="1">
      <c r="B1163" s="324" t="s">
        <v>2975</v>
      </c>
      <c r="C1163" s="325" t="s">
        <v>2974</v>
      </c>
      <c r="D1163" s="326" t="s">
        <v>501</v>
      </c>
      <c r="E1163" s="327">
        <f>IF(B1163&lt;&gt;"",SUMIF('AUX-NIV1'!I:I,'AUX-NIV2'!B1163,'AUX-NIV1'!Q:Q),"")</f>
        <v>0</v>
      </c>
      <c r="F1163" s="327">
        <f t="shared" si="520"/>
        <v>1928.7507127591643</v>
      </c>
      <c r="G1163" s="327">
        <f t="shared" si="521"/>
        <v>0</v>
      </c>
      <c r="H1163" s="328" t="str">
        <f t="shared" ref="H1163:H1170" si="531">IF(B1163&lt;&gt;"",+LEFT(I1163,1),"")</f>
        <v>A</v>
      </c>
      <c r="I1163" s="325" t="s">
        <v>3311</v>
      </c>
      <c r="J1163" s="329" t="str">
        <f>IF(B1163&lt;&gt;"",+VLOOKUP(I1163,Recursos!C:F,2,FALSE),"")</f>
        <v>OPER. EQUIPO</v>
      </c>
      <c r="K1163" s="330" t="str">
        <f>IF(B1163&lt;&gt;"",+VLOOKUP(I1163,Recursos!C:F,3,FALSE),"")</f>
        <v>hh</v>
      </c>
      <c r="L1163" s="446">
        <f>IF(B1163&lt;&gt;"",+VLOOKUP(I1163,Recursos!C:F,4,FALSE),"")</f>
        <v>581.06120476836554</v>
      </c>
      <c r="M1163" s="450"/>
      <c r="N1163" s="451"/>
      <c r="O1163" s="449">
        <f>M1162*N1160/N1156</f>
        <v>0.25</v>
      </c>
      <c r="P1163" s="333">
        <f t="shared" ref="P1163:P1170" si="532">IF(B1163&lt;&gt;"",O1163*L1163,"")</f>
        <v>145.26530119209139</v>
      </c>
      <c r="Q1163" s="327">
        <f t="shared" ref="Q1163:Q1170" si="533">IF(B1163&lt;&gt;"",+O1163*E1163,"")</f>
        <v>0</v>
      </c>
      <c r="R1163" s="334">
        <f t="shared" ref="R1163:R1170" si="534">IF(B1163&lt;&gt;"",Q1163*L1163,"")</f>
        <v>0</v>
      </c>
      <c r="S1163" s="335">
        <f t="shared" si="522"/>
        <v>834.81258775916422</v>
      </c>
      <c r="T1163" s="335">
        <f t="shared" si="523"/>
        <v>815.72000000000014</v>
      </c>
      <c r="U1163" s="336">
        <f t="shared" si="524"/>
        <v>278.21812499999999</v>
      </c>
      <c r="V1163" s="336">
        <f t="shared" si="525"/>
        <v>0</v>
      </c>
      <c r="W1163" s="336">
        <f t="shared" si="526"/>
        <v>0</v>
      </c>
      <c r="X1163" s="336">
        <f t="shared" si="527"/>
        <v>0</v>
      </c>
      <c r="Y1163" s="320"/>
      <c r="Z1163" s="321" t="str">
        <f t="shared" si="509"/>
        <v>X-MALELA</v>
      </c>
      <c r="AA1163" s="321" t="str">
        <f t="shared" si="510"/>
        <v>X-MALELE</v>
      </c>
      <c r="AB1163" s="321" t="str">
        <f t="shared" si="511"/>
        <v>X-MALELM</v>
      </c>
      <c r="AC1163" s="321" t="str">
        <f t="shared" si="512"/>
        <v>X-MALELT</v>
      </c>
      <c r="AD1163" s="321" t="str">
        <f t="shared" si="513"/>
        <v>X-MALELS</v>
      </c>
      <c r="AE1163" s="321" t="str">
        <f t="shared" si="514"/>
        <v>X-MALELX</v>
      </c>
      <c r="AF1163" s="321" t="str">
        <f t="shared" si="515"/>
        <v>X-MALELA</v>
      </c>
      <c r="AG1163" s="321">
        <f t="shared" si="528"/>
        <v>8</v>
      </c>
      <c r="AH1163" s="321">
        <f>IF(B1163&lt;&gt;"",IF(H1163="x",VLOOKUP(I1163,'AUX-NIV3'!B:AG,32,FALSE),0),"")</f>
        <v>0</v>
      </c>
      <c r="AI1163" s="321" t="str">
        <f t="shared" si="516"/>
        <v>X-MALEL</v>
      </c>
      <c r="AJ1163" s="320"/>
      <c r="AK1163" s="322">
        <f t="shared" si="529"/>
        <v>1156</v>
      </c>
      <c r="AL1163" s="323">
        <f t="shared" si="517"/>
        <v>1163</v>
      </c>
      <c r="AM1163" s="322">
        <f t="shared" si="518"/>
        <v>8</v>
      </c>
      <c r="AN1163" s="380">
        <f>IF(AND(AH1163&gt;0,B1163&lt;&gt;""),VLOOKUP(I1163,'AUX-NIV3'!$B:$AO,39,FALSE)*O1163,0)</f>
        <v>0</v>
      </c>
      <c r="AO1163" s="380">
        <f t="shared" si="530"/>
        <v>1.75</v>
      </c>
      <c r="AP1163" s="380"/>
    </row>
    <row r="1164" spans="2:42" ht="14.4" hidden="1" thickTop="1" thickBot="1">
      <c r="B1164" s="324" t="s">
        <v>2976</v>
      </c>
      <c r="C1164" s="325" t="s">
        <v>2977</v>
      </c>
      <c r="D1164" s="326" t="s">
        <v>501</v>
      </c>
      <c r="E1164" s="327">
        <f>IF(B1164&lt;&gt;"",SUMIF('AUX-NIV1'!I:I,'AUX-NIV2'!B1164,'AUX-NIV1'!Q:Q),"")</f>
        <v>0</v>
      </c>
      <c r="F1164" s="327" t="e">
        <f t="shared" si="520"/>
        <v>#N/A</v>
      </c>
      <c r="G1164" s="327" t="e">
        <f t="shared" si="521"/>
        <v>#N/A</v>
      </c>
      <c r="H1164" s="328" t="str">
        <f t="shared" si="531"/>
        <v>M</v>
      </c>
      <c r="I1164" s="325" t="s">
        <v>596</v>
      </c>
      <c r="J1164" s="329" t="str">
        <f>IF(B1164&lt;&gt;"",+VLOOKUP(I1164,Recursos!C:F,2,FALSE),"")</f>
        <v>MALLA ELECTROSOLDADA Q-92</v>
      </c>
      <c r="K1164" s="330" t="str">
        <f>IF(B1164&lt;&gt;"",+VLOOKUP(I1164,Recursos!C:F,3,FALSE),"")</f>
        <v>m2</v>
      </c>
      <c r="L1164" s="446">
        <f>IF(B1164&lt;&gt;"",+VLOOKUP(I1164,Recursos!C:F,4,FALSE),"")</f>
        <v>190</v>
      </c>
      <c r="M1164" s="447">
        <v>1.3</v>
      </c>
      <c r="N1164" s="448">
        <v>3</v>
      </c>
      <c r="O1164" s="449">
        <f>M1164</f>
        <v>1.3</v>
      </c>
      <c r="P1164" s="333">
        <f t="shared" si="532"/>
        <v>247</v>
      </c>
      <c r="Q1164" s="327">
        <f t="shared" si="533"/>
        <v>0</v>
      </c>
      <c r="R1164" s="334">
        <f t="shared" si="534"/>
        <v>0</v>
      </c>
      <c r="S1164" s="335" t="e">
        <f t="shared" si="522"/>
        <v>#N/A</v>
      </c>
      <c r="T1164" s="335">
        <f t="shared" si="523"/>
        <v>1359.5333333333335</v>
      </c>
      <c r="U1164" s="336">
        <f t="shared" si="524"/>
        <v>278.21812499999999</v>
      </c>
      <c r="V1164" s="336">
        <f t="shared" si="525"/>
        <v>0</v>
      </c>
      <c r="W1164" s="336">
        <f t="shared" si="526"/>
        <v>0</v>
      </c>
      <c r="X1164" s="336">
        <f t="shared" si="527"/>
        <v>0</v>
      </c>
      <c r="Y1164" s="320"/>
      <c r="Z1164" s="321" t="str">
        <f t="shared" si="509"/>
        <v>X-MALELTA</v>
      </c>
      <c r="AA1164" s="321" t="str">
        <f t="shared" si="510"/>
        <v>X-MALELTE</v>
      </c>
      <c r="AB1164" s="321" t="str">
        <f t="shared" si="511"/>
        <v>X-MALELTM</v>
      </c>
      <c r="AC1164" s="321" t="str">
        <f t="shared" si="512"/>
        <v>X-MALELTT</v>
      </c>
      <c r="AD1164" s="321" t="str">
        <f t="shared" si="513"/>
        <v>X-MALELTS</v>
      </c>
      <c r="AE1164" s="321" t="str">
        <f t="shared" si="514"/>
        <v>X-MALELTX</v>
      </c>
      <c r="AF1164" s="321" t="str">
        <f t="shared" si="515"/>
        <v>X-MALELTM</v>
      </c>
      <c r="AG1164" s="321">
        <f t="shared" si="528"/>
        <v>8</v>
      </c>
      <c r="AH1164" s="321">
        <f>IF(B1164&lt;&gt;"",IF(H1164="x",VLOOKUP(I1164,'AUX-NIV3'!B:AG,32,FALSE),0),"")</f>
        <v>0</v>
      </c>
      <c r="AI1164" s="321" t="str">
        <f t="shared" si="516"/>
        <v>X-MALELT</v>
      </c>
      <c r="AJ1164" s="320"/>
      <c r="AK1164" s="322">
        <f t="shared" si="529"/>
        <v>1164</v>
      </c>
      <c r="AL1164" s="323">
        <f t="shared" si="517"/>
        <v>1171</v>
      </c>
      <c r="AM1164" s="322">
        <f t="shared" si="518"/>
        <v>1</v>
      </c>
      <c r="AN1164" s="380">
        <f>IF(AND(AH1164&gt;0,B1164&lt;&gt;""),VLOOKUP(I1164,'AUX-NIV3'!$B:$AO,39,FALSE)*O1164,0)</f>
        <v>0</v>
      </c>
      <c r="AO1164" s="380">
        <f t="shared" si="530"/>
        <v>2.9166666666666665</v>
      </c>
      <c r="AP1164" s="380"/>
    </row>
    <row r="1165" spans="2:42" ht="14.4" hidden="1" thickTop="1" thickBot="1">
      <c r="B1165" s="324" t="s">
        <v>2976</v>
      </c>
      <c r="C1165" s="325" t="s">
        <v>2977</v>
      </c>
      <c r="D1165" s="326" t="s">
        <v>501</v>
      </c>
      <c r="E1165" s="327">
        <f>IF(B1165&lt;&gt;"",SUMIF('AUX-NIV1'!I:I,'AUX-NIV2'!B1165,'AUX-NIV1'!Q:Q),"")</f>
        <v>0</v>
      </c>
      <c r="F1165" s="327" t="e">
        <f t="shared" si="520"/>
        <v>#N/A</v>
      </c>
      <c r="G1165" s="327" t="e">
        <f t="shared" si="521"/>
        <v>#N/A</v>
      </c>
      <c r="H1165" s="328" t="str">
        <f t="shared" si="531"/>
        <v>M</v>
      </c>
      <c r="I1165" s="325" t="s">
        <v>1930</v>
      </c>
      <c r="J1165" s="329" t="str">
        <f>IF(B1165&lt;&gt;"",+VLOOKUP(I1165,Recursos!C:F,2,FALSE),"")</f>
        <v>ALAMBRE TRIPLE GALV. BWG 12</v>
      </c>
      <c r="K1165" s="330" t="str">
        <f>IF(B1165&lt;&gt;"",+VLOOKUP(I1165,Recursos!C:F,3,FALSE),"")</f>
        <v>Kg</v>
      </c>
      <c r="L1165" s="446">
        <f>IF(B1165&lt;&gt;"",+VLOOKUP(I1165,Recursos!C:F,4,FALSE),"")</f>
        <v>86.825000000000003</v>
      </c>
      <c r="M1165" s="452">
        <v>0.25</v>
      </c>
      <c r="N1165" s="453"/>
      <c r="O1165" s="449">
        <f>M1164*M1165</f>
        <v>0.32500000000000001</v>
      </c>
      <c r="P1165" s="333">
        <f t="shared" si="532"/>
        <v>28.218125000000001</v>
      </c>
      <c r="Q1165" s="327">
        <f t="shared" si="533"/>
        <v>0</v>
      </c>
      <c r="R1165" s="334">
        <f t="shared" si="534"/>
        <v>0</v>
      </c>
      <c r="S1165" s="335" t="e">
        <f t="shared" si="522"/>
        <v>#N/A</v>
      </c>
      <c r="T1165" s="335">
        <f t="shared" si="523"/>
        <v>1359.5333333333335</v>
      </c>
      <c r="U1165" s="336">
        <f t="shared" si="524"/>
        <v>278.21812499999999</v>
      </c>
      <c r="V1165" s="336">
        <f t="shared" si="525"/>
        <v>0</v>
      </c>
      <c r="W1165" s="336">
        <f t="shared" si="526"/>
        <v>0</v>
      </c>
      <c r="X1165" s="336">
        <f t="shared" si="527"/>
        <v>0</v>
      </c>
      <c r="Y1165" s="320"/>
      <c r="Z1165" s="321" t="str">
        <f t="shared" si="509"/>
        <v>X-MALELTA</v>
      </c>
      <c r="AA1165" s="321" t="str">
        <f t="shared" si="510"/>
        <v>X-MALELTE</v>
      </c>
      <c r="AB1165" s="321" t="str">
        <f t="shared" si="511"/>
        <v>X-MALELTM</v>
      </c>
      <c r="AC1165" s="321" t="str">
        <f t="shared" si="512"/>
        <v>X-MALELTT</v>
      </c>
      <c r="AD1165" s="321" t="str">
        <f t="shared" si="513"/>
        <v>X-MALELTS</v>
      </c>
      <c r="AE1165" s="321" t="str">
        <f t="shared" si="514"/>
        <v>X-MALELTX</v>
      </c>
      <c r="AF1165" s="321" t="str">
        <f t="shared" si="515"/>
        <v>X-MALELTM</v>
      </c>
      <c r="AG1165" s="321">
        <f t="shared" si="528"/>
        <v>8</v>
      </c>
      <c r="AH1165" s="321">
        <f>IF(B1165&lt;&gt;"",IF(H1165="x",VLOOKUP(I1165,'AUX-NIV3'!B:AG,32,FALSE),0),"")</f>
        <v>0</v>
      </c>
      <c r="AI1165" s="321" t="str">
        <f t="shared" si="516"/>
        <v>X-MALELT</v>
      </c>
      <c r="AJ1165" s="320"/>
      <c r="AK1165" s="322">
        <f t="shared" si="529"/>
        <v>1164</v>
      </c>
      <c r="AL1165" s="323">
        <f t="shared" si="517"/>
        <v>1171</v>
      </c>
      <c r="AM1165" s="322">
        <f t="shared" si="518"/>
        <v>2</v>
      </c>
      <c r="AN1165" s="380">
        <f>IF(AND(AH1165&gt;0,B1165&lt;&gt;""),VLOOKUP(I1165,'AUX-NIV3'!$B:$AO,39,FALSE)*O1165,0)</f>
        <v>0</v>
      </c>
      <c r="AO1165" s="380">
        <f t="shared" si="530"/>
        <v>2.9166666666666665</v>
      </c>
      <c r="AP1165" s="380"/>
    </row>
    <row r="1166" spans="2:42" ht="14.4" hidden="1" thickTop="1" thickBot="1">
      <c r="B1166" s="324" t="s">
        <v>2976</v>
      </c>
      <c r="C1166" s="325" t="s">
        <v>2977</v>
      </c>
      <c r="D1166" s="326" t="s">
        <v>501</v>
      </c>
      <c r="E1166" s="327">
        <f>IF(B1166&lt;&gt;"",SUMIF('AUX-NIV1'!I:I,'AUX-NIV2'!B1166,'AUX-NIV1'!Q:Q),"")</f>
        <v>0</v>
      </c>
      <c r="F1166" s="327" t="e">
        <f t="shared" si="520"/>
        <v>#N/A</v>
      </c>
      <c r="G1166" s="327" t="e">
        <f t="shared" si="521"/>
        <v>#N/A</v>
      </c>
      <c r="H1166" s="328" t="str">
        <f t="shared" si="531"/>
        <v>M</v>
      </c>
      <c r="I1166" s="325" t="s">
        <v>621</v>
      </c>
      <c r="J1166" s="329" t="str">
        <f>IF(B1166&lt;&gt;"",+VLOOKUP(I1166,Recursos!C:F,2,FALSE),"")</f>
        <v>MATERIALES VARIOS</v>
      </c>
      <c r="K1166" s="330" t="str">
        <f>IF(B1166&lt;&gt;"",+VLOOKUP(I1166,Recursos!C:F,3,FALSE),"")</f>
        <v>GL</v>
      </c>
      <c r="L1166" s="446">
        <f>IF(B1166&lt;&gt;"",+VLOOKUP(I1166,Recursos!C:F,4,FALSE),"")</f>
        <v>0.5</v>
      </c>
      <c r="M1166" s="452">
        <v>5</v>
      </c>
      <c r="N1166" s="453"/>
      <c r="O1166" s="449">
        <f>M1166</f>
        <v>5</v>
      </c>
      <c r="P1166" s="333">
        <f t="shared" si="532"/>
        <v>2.5</v>
      </c>
      <c r="Q1166" s="327">
        <f t="shared" si="533"/>
        <v>0</v>
      </c>
      <c r="R1166" s="334">
        <f t="shared" si="534"/>
        <v>0</v>
      </c>
      <c r="S1166" s="335" t="e">
        <f t="shared" si="522"/>
        <v>#N/A</v>
      </c>
      <c r="T1166" s="335">
        <f t="shared" si="523"/>
        <v>1359.5333333333335</v>
      </c>
      <c r="U1166" s="336">
        <f t="shared" si="524"/>
        <v>278.21812499999999</v>
      </c>
      <c r="V1166" s="336">
        <f t="shared" si="525"/>
        <v>0</v>
      </c>
      <c r="W1166" s="336">
        <f t="shared" si="526"/>
        <v>0</v>
      </c>
      <c r="X1166" s="336">
        <f t="shared" si="527"/>
        <v>0</v>
      </c>
      <c r="Y1166" s="320"/>
      <c r="Z1166" s="321" t="str">
        <f t="shared" si="509"/>
        <v>X-MALELTA</v>
      </c>
      <c r="AA1166" s="321" t="str">
        <f t="shared" si="510"/>
        <v>X-MALELTE</v>
      </c>
      <c r="AB1166" s="321" t="str">
        <f t="shared" si="511"/>
        <v>X-MALELTM</v>
      </c>
      <c r="AC1166" s="321" t="str">
        <f t="shared" si="512"/>
        <v>X-MALELTT</v>
      </c>
      <c r="AD1166" s="321" t="str">
        <f t="shared" si="513"/>
        <v>X-MALELTS</v>
      </c>
      <c r="AE1166" s="321" t="str">
        <f t="shared" si="514"/>
        <v>X-MALELTX</v>
      </c>
      <c r="AF1166" s="321" t="str">
        <f t="shared" si="515"/>
        <v>X-MALELTM</v>
      </c>
      <c r="AG1166" s="321">
        <f t="shared" si="528"/>
        <v>8</v>
      </c>
      <c r="AH1166" s="321">
        <f>IF(B1166&lt;&gt;"",IF(H1166="x",VLOOKUP(I1166,'AUX-NIV3'!B:AG,32,FALSE),0),"")</f>
        <v>0</v>
      </c>
      <c r="AI1166" s="321" t="str">
        <f t="shared" si="516"/>
        <v>X-MALELT</v>
      </c>
      <c r="AJ1166" s="320"/>
      <c r="AK1166" s="322">
        <f t="shared" si="529"/>
        <v>1164</v>
      </c>
      <c r="AL1166" s="323">
        <f t="shared" si="517"/>
        <v>1171</v>
      </c>
      <c r="AM1166" s="322">
        <f t="shared" si="518"/>
        <v>3</v>
      </c>
      <c r="AN1166" s="380">
        <f>IF(AND(AH1166&gt;0,B1166&lt;&gt;""),VLOOKUP(I1166,'AUX-NIV3'!$B:$AO,39,FALSE)*O1166,0)</f>
        <v>0</v>
      </c>
      <c r="AO1166" s="380">
        <f t="shared" si="530"/>
        <v>2.9166666666666665</v>
      </c>
      <c r="AP1166" s="380"/>
    </row>
    <row r="1167" spans="2:42" ht="14.4" hidden="1" thickTop="1" thickBot="1">
      <c r="B1167" s="324" t="s">
        <v>2976</v>
      </c>
      <c r="C1167" s="325" t="s">
        <v>2977</v>
      </c>
      <c r="D1167" s="326" t="s">
        <v>501</v>
      </c>
      <c r="E1167" s="327">
        <f>IF(B1167&lt;&gt;"",SUMIF('AUX-NIV1'!I:I,'AUX-NIV2'!B1167,'AUX-NIV1'!Q:Q),"")</f>
        <v>0</v>
      </c>
      <c r="F1167" s="327" t="e">
        <f t="shared" si="520"/>
        <v>#N/A</v>
      </c>
      <c r="G1167" s="327" t="e">
        <f t="shared" si="521"/>
        <v>#N/A</v>
      </c>
      <c r="H1167" s="328" t="str">
        <f t="shared" si="531"/>
        <v>M</v>
      </c>
      <c r="I1167" s="325" t="s">
        <v>2142</v>
      </c>
      <c r="J1167" s="329" t="str">
        <f>IF(B1167&lt;&gt;"",+VLOOKUP(I1167,Recursos!C:F,2,FALSE),"")</f>
        <v>HERRAMIENTAS MENORES</v>
      </c>
      <c r="K1167" s="330" t="str">
        <f>IF(B1167&lt;&gt;"",+VLOOKUP(I1167,Recursos!C:F,3,FALSE),"")</f>
        <v>un</v>
      </c>
      <c r="L1167" s="446">
        <f>IF(B1167&lt;&gt;"",+VLOOKUP(I1167,Recursos!C:F,4,FALSE),"")</f>
        <v>1</v>
      </c>
      <c r="M1167" s="452">
        <v>0.5</v>
      </c>
      <c r="N1167" s="453"/>
      <c r="O1167" s="449">
        <f>M1167</f>
        <v>0.5</v>
      </c>
      <c r="P1167" s="333">
        <f t="shared" si="532"/>
        <v>0.5</v>
      </c>
      <c r="Q1167" s="327">
        <f t="shared" si="533"/>
        <v>0</v>
      </c>
      <c r="R1167" s="334">
        <f t="shared" si="534"/>
        <v>0</v>
      </c>
      <c r="S1167" s="335" t="e">
        <f t="shared" si="522"/>
        <v>#N/A</v>
      </c>
      <c r="T1167" s="335">
        <f t="shared" si="523"/>
        <v>1359.5333333333335</v>
      </c>
      <c r="U1167" s="336">
        <f t="shared" si="524"/>
        <v>278.21812499999999</v>
      </c>
      <c r="V1167" s="336">
        <f t="shared" si="525"/>
        <v>0</v>
      </c>
      <c r="W1167" s="336">
        <f t="shared" si="526"/>
        <v>0</v>
      </c>
      <c r="X1167" s="336">
        <f t="shared" si="527"/>
        <v>0</v>
      </c>
      <c r="Y1167" s="320"/>
      <c r="Z1167" s="321" t="str">
        <f t="shared" si="509"/>
        <v>X-MALELTA</v>
      </c>
      <c r="AA1167" s="321" t="str">
        <f t="shared" si="510"/>
        <v>X-MALELTE</v>
      </c>
      <c r="AB1167" s="321" t="str">
        <f t="shared" si="511"/>
        <v>X-MALELTM</v>
      </c>
      <c r="AC1167" s="321" t="str">
        <f t="shared" si="512"/>
        <v>X-MALELTT</v>
      </c>
      <c r="AD1167" s="321" t="str">
        <f t="shared" si="513"/>
        <v>X-MALELTS</v>
      </c>
      <c r="AE1167" s="321" t="str">
        <f t="shared" si="514"/>
        <v>X-MALELTX</v>
      </c>
      <c r="AF1167" s="321" t="str">
        <f t="shared" si="515"/>
        <v>X-MALELTM</v>
      </c>
      <c r="AG1167" s="321">
        <f t="shared" si="528"/>
        <v>8</v>
      </c>
      <c r="AH1167" s="321">
        <f>IF(B1167&lt;&gt;"",IF(H1167="x",VLOOKUP(I1167,'AUX-NIV3'!B:AG,32,FALSE),0),"")</f>
        <v>0</v>
      </c>
      <c r="AI1167" s="321" t="str">
        <f t="shared" si="516"/>
        <v>X-MALELT</v>
      </c>
      <c r="AJ1167" s="320"/>
      <c r="AK1167" s="322">
        <f t="shared" si="529"/>
        <v>1164</v>
      </c>
      <c r="AL1167" s="323">
        <f t="shared" si="517"/>
        <v>1171</v>
      </c>
      <c r="AM1167" s="322">
        <f t="shared" si="518"/>
        <v>4</v>
      </c>
      <c r="AN1167" s="380">
        <f>IF(AND(AH1167&gt;0,B1167&lt;&gt;""),VLOOKUP(I1167,'AUX-NIV3'!$B:$AO,39,FALSE)*O1167,0)</f>
        <v>0</v>
      </c>
      <c r="AO1167" s="380">
        <f t="shared" si="530"/>
        <v>2.9166666666666665</v>
      </c>
      <c r="AP1167" s="380"/>
    </row>
    <row r="1168" spans="2:42" ht="14.4" hidden="1" thickTop="1" thickBot="1">
      <c r="B1168" s="324" t="s">
        <v>2976</v>
      </c>
      <c r="C1168" s="325" t="s">
        <v>2977</v>
      </c>
      <c r="D1168" s="326" t="s">
        <v>501</v>
      </c>
      <c r="E1168" s="327">
        <f>IF(B1168&lt;&gt;"",SUMIF('AUX-NIV1'!I:I,'AUX-NIV2'!B1168,'AUX-NIV1'!Q:Q),"")</f>
        <v>0</v>
      </c>
      <c r="F1168" s="327" t="e">
        <f t="shared" si="520"/>
        <v>#N/A</v>
      </c>
      <c r="G1168" s="327" t="e">
        <f t="shared" si="521"/>
        <v>#N/A</v>
      </c>
      <c r="H1168" s="328" t="str">
        <f t="shared" si="531"/>
        <v>A</v>
      </c>
      <c r="I1168" s="325" t="s">
        <v>1746</v>
      </c>
      <c r="J1168" s="329" t="str">
        <f>IF(B1168&lt;&gt;"",+VLOOKUP(I1168,Recursos!C:F,2,FALSE),"")</f>
        <v>OFICIAL</v>
      </c>
      <c r="K1168" s="330" t="str">
        <f>IF(B1168&lt;&gt;"",+VLOOKUP(I1168,Recursos!C:F,3,FALSE),"")</f>
        <v>hh</v>
      </c>
      <c r="L1168" s="446">
        <f>IF(B1168&lt;&gt;"",+VLOOKUP(I1168,Recursos!C:F,4,FALSE),"")</f>
        <v>496.91595439275824</v>
      </c>
      <c r="M1168" s="452">
        <v>3</v>
      </c>
      <c r="N1168" s="453">
        <v>1.25</v>
      </c>
      <c r="O1168" s="540">
        <f>N1168*M1168/N1164</f>
        <v>1.25</v>
      </c>
      <c r="P1168" s="333">
        <f t="shared" si="532"/>
        <v>621.14494299094781</v>
      </c>
      <c r="Q1168" s="327">
        <f t="shared" si="533"/>
        <v>0</v>
      </c>
      <c r="R1168" s="334">
        <f t="shared" si="534"/>
        <v>0</v>
      </c>
      <c r="S1168" s="335" t="e">
        <f t="shared" si="522"/>
        <v>#N/A</v>
      </c>
      <c r="T1168" s="335">
        <f t="shared" si="523"/>
        <v>1359.5333333333335</v>
      </c>
      <c r="U1168" s="336">
        <f t="shared" si="524"/>
        <v>278.21812499999999</v>
      </c>
      <c r="V1168" s="336">
        <f t="shared" si="525"/>
        <v>0</v>
      </c>
      <c r="W1168" s="336">
        <f t="shared" si="526"/>
        <v>0</v>
      </c>
      <c r="X1168" s="336">
        <f t="shared" si="527"/>
        <v>0</v>
      </c>
      <c r="Y1168" s="320"/>
      <c r="Z1168" s="321" t="str">
        <f t="shared" si="509"/>
        <v>X-MALELTA</v>
      </c>
      <c r="AA1168" s="321" t="str">
        <f t="shared" si="510"/>
        <v>X-MALELTE</v>
      </c>
      <c r="AB1168" s="321" t="str">
        <f t="shared" si="511"/>
        <v>X-MALELTM</v>
      </c>
      <c r="AC1168" s="321" t="str">
        <f t="shared" si="512"/>
        <v>X-MALELTT</v>
      </c>
      <c r="AD1168" s="321" t="str">
        <f t="shared" si="513"/>
        <v>X-MALELTS</v>
      </c>
      <c r="AE1168" s="321" t="str">
        <f t="shared" si="514"/>
        <v>X-MALELTX</v>
      </c>
      <c r="AF1168" s="321" t="str">
        <f t="shared" si="515"/>
        <v>X-MALELTA</v>
      </c>
      <c r="AG1168" s="321">
        <f t="shared" si="528"/>
        <v>8</v>
      </c>
      <c r="AH1168" s="321">
        <f>IF(B1168&lt;&gt;"",IF(H1168="x",VLOOKUP(I1168,'AUX-NIV3'!B:AG,32,FALSE),0),"")</f>
        <v>0</v>
      </c>
      <c r="AI1168" s="321" t="str">
        <f t="shared" si="516"/>
        <v>X-MALELT</v>
      </c>
      <c r="AJ1168" s="320"/>
      <c r="AK1168" s="322">
        <f t="shared" si="529"/>
        <v>1164</v>
      </c>
      <c r="AL1168" s="323">
        <f t="shared" si="517"/>
        <v>1171</v>
      </c>
      <c r="AM1168" s="322">
        <f t="shared" si="518"/>
        <v>5</v>
      </c>
      <c r="AN1168" s="380">
        <f>IF(AND(AH1168&gt;0,B1168&lt;&gt;""),VLOOKUP(I1168,'AUX-NIV3'!$B:$AO,39,FALSE)*O1168,0)</f>
        <v>0</v>
      </c>
      <c r="AO1168" s="380">
        <f t="shared" si="530"/>
        <v>2.9166666666666665</v>
      </c>
      <c r="AP1168" s="380"/>
    </row>
    <row r="1169" spans="2:42" ht="14.4" hidden="1" thickTop="1" thickBot="1">
      <c r="B1169" s="324" t="s">
        <v>2976</v>
      </c>
      <c r="C1169" s="325" t="s">
        <v>2977</v>
      </c>
      <c r="D1169" s="326" t="s">
        <v>501</v>
      </c>
      <c r="E1169" s="327">
        <f>IF(B1169&lt;&gt;"",SUMIF('AUX-NIV1'!I:I,'AUX-NIV2'!B1169,'AUX-NIV1'!Q:Q),"")</f>
        <v>0</v>
      </c>
      <c r="F1169" s="327" t="e">
        <f t="shared" si="520"/>
        <v>#N/A</v>
      </c>
      <c r="G1169" s="327" t="e">
        <f t="shared" si="521"/>
        <v>#N/A</v>
      </c>
      <c r="H1169" s="328" t="str">
        <f t="shared" si="531"/>
        <v>A</v>
      </c>
      <c r="I1169" s="325" t="s">
        <v>3314</v>
      </c>
      <c r="J1169" s="329" t="e">
        <f>IF(B1169&lt;&gt;"",+VLOOKUP(I1169,Recursos!C:F,2,FALSE),"")</f>
        <v>#N/A</v>
      </c>
      <c r="K1169" s="330" t="e">
        <f>IF(B1169&lt;&gt;"",+VLOOKUP(I1169,Recursos!C:F,3,FALSE),"")</f>
        <v>#N/A</v>
      </c>
      <c r="L1169" s="446" t="e">
        <f>IF(B1169&lt;&gt;"",+VLOOKUP(I1169,Recursos!C:F,4,FALSE),"")</f>
        <v>#N/A</v>
      </c>
      <c r="M1169" s="452">
        <v>3</v>
      </c>
      <c r="N1169" s="453"/>
      <c r="O1169" s="449">
        <f>M1169*N1168/N1164</f>
        <v>1.25</v>
      </c>
      <c r="P1169" s="333" t="e">
        <f t="shared" si="532"/>
        <v>#N/A</v>
      </c>
      <c r="Q1169" s="327">
        <f t="shared" si="533"/>
        <v>0</v>
      </c>
      <c r="R1169" s="334" t="e">
        <f t="shared" si="534"/>
        <v>#N/A</v>
      </c>
      <c r="S1169" s="335" t="e">
        <f t="shared" si="522"/>
        <v>#N/A</v>
      </c>
      <c r="T1169" s="335">
        <f t="shared" si="523"/>
        <v>1359.5333333333335</v>
      </c>
      <c r="U1169" s="336">
        <f t="shared" si="524"/>
        <v>278.21812499999999</v>
      </c>
      <c r="V1169" s="336">
        <f t="shared" si="525"/>
        <v>0</v>
      </c>
      <c r="W1169" s="336">
        <f t="shared" si="526"/>
        <v>0</v>
      </c>
      <c r="X1169" s="336">
        <f t="shared" si="527"/>
        <v>0</v>
      </c>
      <c r="Y1169" s="320"/>
      <c r="Z1169" s="321" t="str">
        <f t="shared" si="509"/>
        <v>X-MALELTA</v>
      </c>
      <c r="AA1169" s="321" t="str">
        <f t="shared" si="510"/>
        <v>X-MALELTE</v>
      </c>
      <c r="AB1169" s="321" t="str">
        <f t="shared" si="511"/>
        <v>X-MALELTM</v>
      </c>
      <c r="AC1169" s="321" t="str">
        <f t="shared" si="512"/>
        <v>X-MALELTT</v>
      </c>
      <c r="AD1169" s="321" t="str">
        <f t="shared" si="513"/>
        <v>X-MALELTS</v>
      </c>
      <c r="AE1169" s="321" t="str">
        <f t="shared" si="514"/>
        <v>X-MALELTX</v>
      </c>
      <c r="AF1169" s="321" t="str">
        <f t="shared" si="515"/>
        <v>X-MALELTA</v>
      </c>
      <c r="AG1169" s="321">
        <f t="shared" si="528"/>
        <v>8</v>
      </c>
      <c r="AH1169" s="321">
        <f>IF(B1169&lt;&gt;"",IF(H1169="x",VLOOKUP(I1169,'AUX-NIV3'!B:AG,32,FALSE),0),"")</f>
        <v>0</v>
      </c>
      <c r="AI1169" s="321" t="str">
        <f t="shared" si="516"/>
        <v>X-MALELT</v>
      </c>
      <c r="AJ1169" s="320"/>
      <c r="AK1169" s="322">
        <f t="shared" si="529"/>
        <v>1164</v>
      </c>
      <c r="AL1169" s="323">
        <f t="shared" si="517"/>
        <v>1171</v>
      </c>
      <c r="AM1169" s="322">
        <f t="shared" si="518"/>
        <v>6</v>
      </c>
      <c r="AN1169" s="380">
        <f>IF(AND(AH1169&gt;0,B1169&lt;&gt;""),VLOOKUP(I1169,'AUX-NIV3'!$B:$AO,39,FALSE)*O1169,0)</f>
        <v>0</v>
      </c>
      <c r="AO1169" s="380">
        <f t="shared" si="530"/>
        <v>2.9166666666666665</v>
      </c>
      <c r="AP1169" s="380"/>
    </row>
    <row r="1170" spans="2:42" ht="14.4" hidden="1" thickTop="1" thickBot="1">
      <c r="B1170" s="324" t="s">
        <v>2976</v>
      </c>
      <c r="C1170" s="325" t="s">
        <v>2977</v>
      </c>
      <c r="D1170" s="326" t="s">
        <v>501</v>
      </c>
      <c r="E1170" s="327">
        <f>IF(B1170&lt;&gt;"",SUMIF('AUX-NIV1'!I:I,'AUX-NIV2'!B1170,'AUX-NIV1'!Q:Q),"")</f>
        <v>0</v>
      </c>
      <c r="F1170" s="327" t="e">
        <f t="shared" si="520"/>
        <v>#N/A</v>
      </c>
      <c r="G1170" s="327" t="e">
        <f t="shared" si="521"/>
        <v>#N/A</v>
      </c>
      <c r="H1170" s="328" t="str">
        <f t="shared" si="531"/>
        <v>E</v>
      </c>
      <c r="I1170" s="325" t="s">
        <v>1652</v>
      </c>
      <c r="J1170" s="329" t="str">
        <f>IF(B1170&lt;&gt;"",+VLOOKUP(I1170,Recursos!C:F,2,FALSE),"")</f>
        <v>MANIPULADOR TELESCOPICO</v>
      </c>
      <c r="K1170" s="330" t="str">
        <f>IF(B1170&lt;&gt;"",+VLOOKUP(I1170,Recursos!C:F,3,FALSE),"")</f>
        <v>HR</v>
      </c>
      <c r="L1170" s="446">
        <f>IF(B1170&lt;&gt;"",+VLOOKUP(I1170,Recursos!C:F,4,FALSE),"")</f>
        <v>3262.8800000000006</v>
      </c>
      <c r="M1170" s="452">
        <v>1</v>
      </c>
      <c r="N1170" s="453"/>
      <c r="O1170" s="449">
        <f>M1170*N1168/N1164</f>
        <v>0.41666666666666669</v>
      </c>
      <c r="P1170" s="333">
        <f t="shared" si="532"/>
        <v>1359.5333333333335</v>
      </c>
      <c r="Q1170" s="327">
        <f t="shared" si="533"/>
        <v>0</v>
      </c>
      <c r="R1170" s="334">
        <f t="shared" si="534"/>
        <v>0</v>
      </c>
      <c r="S1170" s="335" t="e">
        <f t="shared" si="522"/>
        <v>#N/A</v>
      </c>
      <c r="T1170" s="335">
        <f t="shared" si="523"/>
        <v>1359.5333333333335</v>
      </c>
      <c r="U1170" s="336">
        <f t="shared" si="524"/>
        <v>278.21812499999999</v>
      </c>
      <c r="V1170" s="336">
        <f t="shared" si="525"/>
        <v>0</v>
      </c>
      <c r="W1170" s="336">
        <f t="shared" si="526"/>
        <v>0</v>
      </c>
      <c r="X1170" s="336">
        <f t="shared" si="527"/>
        <v>0</v>
      </c>
      <c r="Y1170" s="320"/>
      <c r="Z1170" s="321" t="str">
        <f t="shared" si="509"/>
        <v>X-MALELTA</v>
      </c>
      <c r="AA1170" s="321" t="str">
        <f t="shared" si="510"/>
        <v>X-MALELTE</v>
      </c>
      <c r="AB1170" s="321" t="str">
        <f t="shared" si="511"/>
        <v>X-MALELTM</v>
      </c>
      <c r="AC1170" s="321" t="str">
        <f t="shared" si="512"/>
        <v>X-MALELTT</v>
      </c>
      <c r="AD1170" s="321" t="str">
        <f t="shared" si="513"/>
        <v>X-MALELTS</v>
      </c>
      <c r="AE1170" s="321" t="str">
        <f t="shared" si="514"/>
        <v>X-MALELTX</v>
      </c>
      <c r="AF1170" s="321" t="str">
        <f t="shared" si="515"/>
        <v>X-MALELTE</v>
      </c>
      <c r="AG1170" s="321">
        <f t="shared" si="528"/>
        <v>8</v>
      </c>
      <c r="AH1170" s="321">
        <f>IF(B1170&lt;&gt;"",IF(H1170="x",VLOOKUP(I1170,'AUX-NIV3'!B:AG,32,FALSE),0),"")</f>
        <v>0</v>
      </c>
      <c r="AI1170" s="321" t="str">
        <f t="shared" si="516"/>
        <v>X-MALELT</v>
      </c>
      <c r="AJ1170" s="320"/>
      <c r="AK1170" s="322">
        <f t="shared" si="529"/>
        <v>1164</v>
      </c>
      <c r="AL1170" s="323">
        <f t="shared" si="517"/>
        <v>1171</v>
      </c>
      <c r="AM1170" s="322">
        <f t="shared" si="518"/>
        <v>7</v>
      </c>
      <c r="AN1170" s="380">
        <f>IF(AND(AH1170&gt;0,B1170&lt;&gt;""),VLOOKUP(I1170,'AUX-NIV3'!$B:$AO,39,FALSE)*O1170,0)</f>
        <v>0</v>
      </c>
      <c r="AO1170" s="380">
        <f t="shared" si="530"/>
        <v>2.9166666666666665</v>
      </c>
      <c r="AP1170" s="380"/>
    </row>
    <row r="1171" spans="2:42" ht="14.4" hidden="1" thickTop="1" thickBot="1">
      <c r="B1171" s="324" t="s">
        <v>2976</v>
      </c>
      <c r="C1171" s="325" t="s">
        <v>2977</v>
      </c>
      <c r="D1171" s="326" t="s">
        <v>501</v>
      </c>
      <c r="E1171" s="327">
        <f>IF(B1171&lt;&gt;"",SUMIF('AUX-NIV1'!I:I,'AUX-NIV2'!B1171,'AUX-NIV1'!Q:Q),"")</f>
        <v>0</v>
      </c>
      <c r="F1171" s="327" t="e">
        <f t="shared" si="520"/>
        <v>#N/A</v>
      </c>
      <c r="G1171" s="327" t="e">
        <f t="shared" si="521"/>
        <v>#N/A</v>
      </c>
      <c r="H1171" s="328" t="str">
        <f t="shared" ref="H1171:H1185" si="535">IF(B1171&lt;&gt;"",+LEFT(I1171,1),"")</f>
        <v>A</v>
      </c>
      <c r="I1171" s="325" t="s">
        <v>3311</v>
      </c>
      <c r="J1171" s="329" t="str">
        <f>IF(B1171&lt;&gt;"",+VLOOKUP(I1171,Recursos!C:F,2,FALSE),"")</f>
        <v>OPER. EQUIPO</v>
      </c>
      <c r="K1171" s="330" t="str">
        <f>IF(B1171&lt;&gt;"",+VLOOKUP(I1171,Recursos!C:F,3,FALSE),"")</f>
        <v>hh</v>
      </c>
      <c r="L1171" s="446">
        <f>IF(B1171&lt;&gt;"",+VLOOKUP(I1171,Recursos!C:F,4,FALSE),"")</f>
        <v>581.06120476836554</v>
      </c>
      <c r="M1171" s="532"/>
      <c r="N1171" s="704"/>
      <c r="O1171" s="449">
        <f>M1170*N1168/N1164</f>
        <v>0.41666666666666669</v>
      </c>
      <c r="P1171" s="333">
        <f t="shared" ref="P1171:P1185" si="536">IF(B1171&lt;&gt;"",O1171*L1171,"")</f>
        <v>242.10883532015231</v>
      </c>
      <c r="Q1171" s="327">
        <f t="shared" ref="Q1171:Q1185" si="537">IF(B1171&lt;&gt;"",+O1171*E1171,"")</f>
        <v>0</v>
      </c>
      <c r="R1171" s="334">
        <f t="shared" ref="R1171:R1185" si="538">IF(B1171&lt;&gt;"",Q1171*L1171,"")</f>
        <v>0</v>
      </c>
      <c r="S1171" s="335" t="e">
        <f t="shared" si="522"/>
        <v>#N/A</v>
      </c>
      <c r="T1171" s="335">
        <f t="shared" si="523"/>
        <v>1359.5333333333335</v>
      </c>
      <c r="U1171" s="336">
        <f t="shared" si="524"/>
        <v>278.21812499999999</v>
      </c>
      <c r="V1171" s="336">
        <f t="shared" si="525"/>
        <v>0</v>
      </c>
      <c r="W1171" s="336">
        <f t="shared" si="526"/>
        <v>0</v>
      </c>
      <c r="X1171" s="336">
        <f t="shared" si="527"/>
        <v>0</v>
      </c>
      <c r="Y1171" s="320"/>
      <c r="Z1171" s="321" t="str">
        <f t="shared" si="509"/>
        <v>X-MALELTA</v>
      </c>
      <c r="AA1171" s="321" t="str">
        <f t="shared" si="510"/>
        <v>X-MALELTE</v>
      </c>
      <c r="AB1171" s="321" t="str">
        <f t="shared" si="511"/>
        <v>X-MALELTM</v>
      </c>
      <c r="AC1171" s="321" t="str">
        <f t="shared" si="512"/>
        <v>X-MALELTT</v>
      </c>
      <c r="AD1171" s="321" t="str">
        <f t="shared" si="513"/>
        <v>X-MALELTS</v>
      </c>
      <c r="AE1171" s="321" t="str">
        <f t="shared" si="514"/>
        <v>X-MALELTX</v>
      </c>
      <c r="AF1171" s="321" t="str">
        <f t="shared" si="515"/>
        <v>X-MALELTA</v>
      </c>
      <c r="AG1171" s="321">
        <f t="shared" si="528"/>
        <v>8</v>
      </c>
      <c r="AH1171" s="321">
        <f>IF(B1171&lt;&gt;"",IF(H1171="x",VLOOKUP(I1171,'AUX-NIV3'!B:AG,32,FALSE),0),"")</f>
        <v>0</v>
      </c>
      <c r="AI1171" s="321" t="str">
        <f t="shared" si="516"/>
        <v>X-MALELT</v>
      </c>
      <c r="AJ1171" s="320"/>
      <c r="AK1171" s="322">
        <f t="shared" si="529"/>
        <v>1164</v>
      </c>
      <c r="AL1171" s="323">
        <f t="shared" si="517"/>
        <v>1171</v>
      </c>
      <c r="AM1171" s="322">
        <f t="shared" si="518"/>
        <v>8</v>
      </c>
      <c r="AN1171" s="380">
        <f>IF(AND(AH1171&gt;0,B1171&lt;&gt;""),VLOOKUP(I1171,'AUX-NIV3'!$B:$AO,39,FALSE)*O1171,0)</f>
        <v>0</v>
      </c>
      <c r="AO1171" s="380">
        <f t="shared" si="530"/>
        <v>2.9166666666666665</v>
      </c>
      <c r="AP1171" s="380"/>
    </row>
    <row r="1172" spans="2:42" ht="14.4" hidden="1" thickTop="1" thickBot="1">
      <c r="B1172" s="501" t="s">
        <v>2982</v>
      </c>
      <c r="C1172" s="951" t="s">
        <v>2983</v>
      </c>
      <c r="D1172" s="326" t="s">
        <v>1160</v>
      </c>
      <c r="E1172" s="327">
        <f>IF(B1172&lt;&gt;"",SUMIF('AUX-NIV1'!I:I,'AUX-NIV2'!B1172,'AUX-NIV1'!Q:Q),"")</f>
        <v>0</v>
      </c>
      <c r="F1172" s="327">
        <f t="shared" si="520"/>
        <v>195.50062596429049</v>
      </c>
      <c r="G1172" s="327">
        <f t="shared" si="521"/>
        <v>0</v>
      </c>
      <c r="H1172" s="328" t="str">
        <f t="shared" si="535"/>
        <v>A</v>
      </c>
      <c r="I1172" s="325" t="s">
        <v>1745</v>
      </c>
      <c r="J1172" s="329" t="str">
        <f>IF(B1172&lt;&gt;"",+VLOOKUP(I1172,Recursos!C:F,2,FALSE),"")</f>
        <v>AYUDANTE</v>
      </c>
      <c r="K1172" s="330" t="str">
        <f>IF(B1172&lt;&gt;"",+VLOOKUP(I1172,Recursos!C:F,3,FALSE),"")</f>
        <v>hh</v>
      </c>
      <c r="L1172" s="446">
        <f>IF(B1172&lt;&gt;"",+VLOOKUP(I1172,Recursos!C:F,4,FALSE),"")</f>
        <v>422.48042769667234</v>
      </c>
      <c r="M1172" s="705"/>
      <c r="N1172" s="706"/>
      <c r="O1172" s="459">
        <f>M1175/M1176</f>
        <v>0.05</v>
      </c>
      <c r="P1172" s="333">
        <f t="shared" si="536"/>
        <v>21.124021384833618</v>
      </c>
      <c r="Q1172" s="327">
        <f t="shared" si="537"/>
        <v>0</v>
      </c>
      <c r="R1172" s="334">
        <f t="shared" si="538"/>
        <v>0</v>
      </c>
      <c r="S1172" s="335">
        <f t="shared" si="522"/>
        <v>58.39271796429049</v>
      </c>
      <c r="T1172" s="335">
        <f t="shared" si="523"/>
        <v>137.10790800000001</v>
      </c>
      <c r="U1172" s="336">
        <f t="shared" si="524"/>
        <v>0</v>
      </c>
      <c r="V1172" s="336">
        <f t="shared" si="525"/>
        <v>0</v>
      </c>
      <c r="W1172" s="336">
        <f t="shared" si="526"/>
        <v>0</v>
      </c>
      <c r="X1172" s="336">
        <f t="shared" si="527"/>
        <v>0</v>
      </c>
      <c r="Y1172" s="320"/>
      <c r="Z1172" s="321" t="str">
        <f t="shared" si="509"/>
        <v>X-EXCRPA</v>
      </c>
      <c r="AA1172" s="321" t="str">
        <f t="shared" si="510"/>
        <v>X-EXCRPE</v>
      </c>
      <c r="AB1172" s="321" t="str">
        <f t="shared" si="511"/>
        <v>X-EXCRPM</v>
      </c>
      <c r="AC1172" s="321" t="str">
        <f t="shared" si="512"/>
        <v>X-EXCRPT</v>
      </c>
      <c r="AD1172" s="321" t="str">
        <f t="shared" si="513"/>
        <v>X-EXCRPS</v>
      </c>
      <c r="AE1172" s="321" t="str">
        <f t="shared" si="514"/>
        <v>X-EXCRPX</v>
      </c>
      <c r="AF1172" s="321" t="str">
        <f t="shared" si="515"/>
        <v>X-EXCRPA</v>
      </c>
      <c r="AG1172" s="321">
        <f t="shared" si="528"/>
        <v>5</v>
      </c>
      <c r="AH1172" s="321">
        <f>IF(B1172&lt;&gt;"",IF(H1172="x",VLOOKUP(I1172,'AUX-NIV3'!B:AG,32,FALSE),0),"")</f>
        <v>0</v>
      </c>
      <c r="AI1172" s="321" t="str">
        <f t="shared" si="516"/>
        <v>X-EXCRP</v>
      </c>
      <c r="AJ1172" s="320"/>
      <c r="AK1172" s="322">
        <f t="shared" si="529"/>
        <v>1172</v>
      </c>
      <c r="AL1172" s="323">
        <f t="shared" si="517"/>
        <v>1176</v>
      </c>
      <c r="AM1172" s="322">
        <f t="shared" si="518"/>
        <v>1</v>
      </c>
      <c r="AN1172" s="380">
        <f>IF(AND(AH1172&gt;0,B1172&lt;&gt;""),VLOOKUP(I1172,'AUX-NIV3'!$B:$AO,39,FALSE)*O1172,0)</f>
        <v>0</v>
      </c>
      <c r="AO1172" s="380">
        <f t="shared" si="530"/>
        <v>0.125</v>
      </c>
      <c r="AP1172" s="380"/>
    </row>
    <row r="1173" spans="2:42" ht="14.4" hidden="1" thickTop="1" thickBot="1">
      <c r="B1173" s="501" t="s">
        <v>2982</v>
      </c>
      <c r="C1173" s="951" t="s">
        <v>2983</v>
      </c>
      <c r="D1173" s="326" t="s">
        <v>1160</v>
      </c>
      <c r="E1173" s="327">
        <f>IF(B1173&lt;&gt;"",SUMIF('AUX-NIV1'!I:I,'AUX-NIV2'!B1173,'AUX-NIV1'!Q:Q),"")</f>
        <v>0</v>
      </c>
      <c r="F1173" s="327">
        <f t="shared" si="520"/>
        <v>195.50062596429049</v>
      </c>
      <c r="G1173" s="327">
        <f t="shared" si="521"/>
        <v>0</v>
      </c>
      <c r="H1173" s="328" t="str">
        <f t="shared" si="535"/>
        <v>A</v>
      </c>
      <c r="I1173" s="325" t="s">
        <v>1746</v>
      </c>
      <c r="J1173" s="329" t="str">
        <f>IF(B1173&lt;&gt;"",+VLOOKUP(I1173,Recursos!C:F,2,FALSE),"")</f>
        <v>OFICIAL</v>
      </c>
      <c r="K1173" s="330" t="str">
        <f>IF(B1173&lt;&gt;"",+VLOOKUP(I1173,Recursos!C:F,3,FALSE),"")</f>
        <v>hh</v>
      </c>
      <c r="L1173" s="446">
        <f>IF(B1173&lt;&gt;"",+VLOOKUP(I1173,Recursos!C:F,4,FALSE),"")</f>
        <v>496.91595439275824</v>
      </c>
      <c r="M1173" s="707"/>
      <c r="N1173" s="708"/>
      <c r="O1173" s="459">
        <f>M1175*M1174/M1176</f>
        <v>2.5000000000000001E-2</v>
      </c>
      <c r="P1173" s="333">
        <f t="shared" si="536"/>
        <v>12.422898859818957</v>
      </c>
      <c r="Q1173" s="327">
        <f t="shared" si="537"/>
        <v>0</v>
      </c>
      <c r="R1173" s="334">
        <f t="shared" si="538"/>
        <v>0</v>
      </c>
      <c r="S1173" s="335">
        <f t="shared" si="522"/>
        <v>58.39271796429049</v>
      </c>
      <c r="T1173" s="335">
        <f t="shared" si="523"/>
        <v>137.10790800000001</v>
      </c>
      <c r="U1173" s="336">
        <f t="shared" si="524"/>
        <v>0</v>
      </c>
      <c r="V1173" s="336">
        <f t="shared" si="525"/>
        <v>0</v>
      </c>
      <c r="W1173" s="336">
        <f t="shared" si="526"/>
        <v>0</v>
      </c>
      <c r="X1173" s="336">
        <f t="shared" si="527"/>
        <v>0</v>
      </c>
      <c r="Y1173" s="320"/>
      <c r="Z1173" s="321" t="str">
        <f t="shared" si="509"/>
        <v>X-EXCRPA</v>
      </c>
      <c r="AA1173" s="321" t="str">
        <f t="shared" si="510"/>
        <v>X-EXCRPE</v>
      </c>
      <c r="AB1173" s="321" t="str">
        <f t="shared" si="511"/>
        <v>X-EXCRPM</v>
      </c>
      <c r="AC1173" s="321" t="str">
        <f t="shared" si="512"/>
        <v>X-EXCRPT</v>
      </c>
      <c r="AD1173" s="321" t="str">
        <f t="shared" si="513"/>
        <v>X-EXCRPS</v>
      </c>
      <c r="AE1173" s="321" t="str">
        <f t="shared" si="514"/>
        <v>X-EXCRPX</v>
      </c>
      <c r="AF1173" s="321" t="str">
        <f t="shared" si="515"/>
        <v>X-EXCRPA</v>
      </c>
      <c r="AG1173" s="321">
        <f t="shared" si="528"/>
        <v>5</v>
      </c>
      <c r="AH1173" s="321">
        <f>IF(B1173&lt;&gt;"",IF(H1173="x",VLOOKUP(I1173,'AUX-NIV3'!B:AG,32,FALSE),0),"")</f>
        <v>0</v>
      </c>
      <c r="AI1173" s="321" t="str">
        <f t="shared" si="516"/>
        <v>X-EXCRP</v>
      </c>
      <c r="AJ1173" s="320"/>
      <c r="AK1173" s="322">
        <f t="shared" si="529"/>
        <v>1172</v>
      </c>
      <c r="AL1173" s="323">
        <f t="shared" si="517"/>
        <v>1176</v>
      </c>
      <c r="AM1173" s="322">
        <f t="shared" si="518"/>
        <v>2</v>
      </c>
      <c r="AN1173" s="380">
        <f>IF(AND(AH1173&gt;0,B1173&lt;&gt;""),VLOOKUP(I1173,'AUX-NIV3'!$B:$AO,39,FALSE)*O1173,0)</f>
        <v>0</v>
      </c>
      <c r="AO1173" s="380">
        <f t="shared" si="530"/>
        <v>0.125</v>
      </c>
      <c r="AP1173" s="380"/>
    </row>
    <row r="1174" spans="2:42" ht="14.4" hidden="1" thickTop="1" thickBot="1">
      <c r="B1174" s="501" t="s">
        <v>2982</v>
      </c>
      <c r="C1174" s="951" t="s">
        <v>2983</v>
      </c>
      <c r="D1174" s="326" t="s">
        <v>1160</v>
      </c>
      <c r="E1174" s="327">
        <f>IF(B1174&lt;&gt;"",SUMIF('AUX-NIV1'!I:I,'AUX-NIV2'!B1174,'AUX-NIV1'!Q:Q),"")</f>
        <v>0</v>
      </c>
      <c r="F1174" s="327">
        <f t="shared" si="520"/>
        <v>195.50062596429049</v>
      </c>
      <c r="G1174" s="327">
        <f t="shared" si="521"/>
        <v>0</v>
      </c>
      <c r="H1174" s="328" t="str">
        <f>IF(B1174&lt;&gt;"",+LEFT(I1174,1),"")</f>
        <v>E</v>
      </c>
      <c r="I1174" s="325" t="s">
        <v>1555</v>
      </c>
      <c r="J1174" s="329" t="str">
        <f>IF(B1174&lt;&gt;"",+VLOOKUP(I1174,Recursos!C:F,2,FALSE),"")</f>
        <v>CAMION VOLCADOR 6x4 CAP. 24 T=15 m3</v>
      </c>
      <c r="K1174" s="330" t="str">
        <f>IF(B1174&lt;&gt;"",+VLOOKUP(I1174,Recursos!C:F,3,FALSE),"")</f>
        <v>HR</v>
      </c>
      <c r="L1174" s="446">
        <f>IF(B1174&lt;&gt;"",+VLOOKUP(I1174,Recursos!C:F,4,FALSE),"")</f>
        <v>3333.261</v>
      </c>
      <c r="M1174" s="707">
        <v>0.5</v>
      </c>
      <c r="N1174" s="708"/>
      <c r="O1174" s="459">
        <f>1/M1176*M1174</f>
        <v>0.02</v>
      </c>
      <c r="P1174" s="333">
        <f>IF(B1174&lt;&gt;"",O1174*L1174,"")</f>
        <v>66.665220000000005</v>
      </c>
      <c r="Q1174" s="327">
        <f>IF(B1174&lt;&gt;"",+O1174*E1174,"")</f>
        <v>0</v>
      </c>
      <c r="R1174" s="334">
        <f>IF(B1174&lt;&gt;"",Q1174*L1174,"")</f>
        <v>0</v>
      </c>
      <c r="S1174" s="335">
        <f t="shared" si="522"/>
        <v>58.39271796429049</v>
      </c>
      <c r="T1174" s="335">
        <f t="shared" si="523"/>
        <v>137.10790800000001</v>
      </c>
      <c r="U1174" s="336">
        <f t="shared" si="524"/>
        <v>0</v>
      </c>
      <c r="V1174" s="336">
        <f t="shared" si="525"/>
        <v>0</v>
      </c>
      <c r="W1174" s="336">
        <f t="shared" si="526"/>
        <v>0</v>
      </c>
      <c r="X1174" s="336">
        <f t="shared" si="527"/>
        <v>0</v>
      </c>
      <c r="Y1174" s="320"/>
      <c r="Z1174" s="321" t="str">
        <f t="shared" si="509"/>
        <v>X-EXCRPA</v>
      </c>
      <c r="AA1174" s="321" t="str">
        <f t="shared" si="510"/>
        <v>X-EXCRPE</v>
      </c>
      <c r="AB1174" s="321" t="str">
        <f t="shared" si="511"/>
        <v>X-EXCRPM</v>
      </c>
      <c r="AC1174" s="321" t="str">
        <f t="shared" si="512"/>
        <v>X-EXCRPT</v>
      </c>
      <c r="AD1174" s="321" t="str">
        <f t="shared" si="513"/>
        <v>X-EXCRPS</v>
      </c>
      <c r="AE1174" s="321" t="str">
        <f t="shared" si="514"/>
        <v>X-EXCRPX</v>
      </c>
      <c r="AF1174" s="321" t="str">
        <f t="shared" si="515"/>
        <v>X-EXCRPE</v>
      </c>
      <c r="AG1174" s="321">
        <f t="shared" si="528"/>
        <v>5</v>
      </c>
      <c r="AH1174" s="321">
        <f>IF(B1174&lt;&gt;"",IF(H1174="x",VLOOKUP(I1174,'AUX-NIV3'!B:AG,32,FALSE),0),"")</f>
        <v>0</v>
      </c>
      <c r="AI1174" s="321" t="str">
        <f t="shared" si="516"/>
        <v>X-EXCRP</v>
      </c>
      <c r="AJ1174" s="320"/>
      <c r="AK1174" s="322">
        <f t="shared" si="529"/>
        <v>1172</v>
      </c>
      <c r="AL1174" s="323">
        <f t="shared" si="517"/>
        <v>1176</v>
      </c>
      <c r="AM1174" s="322">
        <f t="shared" si="518"/>
        <v>3</v>
      </c>
      <c r="AN1174" s="380">
        <f>IF(AND(AH1174&gt;0,B1174&lt;&gt;""),VLOOKUP(I1174,'AUX-NIV3'!$B:$AO,39,FALSE)*O1174,0)</f>
        <v>0</v>
      </c>
      <c r="AO1174" s="380">
        <f t="shared" si="530"/>
        <v>0.125</v>
      </c>
      <c r="AP1174" s="380"/>
    </row>
    <row r="1175" spans="2:42" ht="14.4" hidden="1" thickTop="1" thickBot="1">
      <c r="B1175" s="501" t="s">
        <v>2982</v>
      </c>
      <c r="C1175" s="951" t="s">
        <v>2983</v>
      </c>
      <c r="D1175" s="326" t="s">
        <v>1160</v>
      </c>
      <c r="E1175" s="327">
        <f>IF(B1175&lt;&gt;"",SUMIF('AUX-NIV1'!I:I,'AUX-NIV2'!B1175,'AUX-NIV1'!Q:Q),"")</f>
        <v>0</v>
      </c>
      <c r="F1175" s="327">
        <f t="shared" si="520"/>
        <v>195.50062596429049</v>
      </c>
      <c r="G1175" s="327">
        <f t="shared" si="521"/>
        <v>0</v>
      </c>
      <c r="H1175" s="328" t="str">
        <f>IF(B1175&lt;&gt;"",+LEFT(I1175,1),"")</f>
        <v>A</v>
      </c>
      <c r="I1175" s="325" t="s">
        <v>1746</v>
      </c>
      <c r="J1175" s="329" t="str">
        <f>IF(B1175&lt;&gt;"",+VLOOKUP(I1175,Recursos!C:F,2,FALSE),"")</f>
        <v>OFICIAL</v>
      </c>
      <c r="K1175" s="330" t="str">
        <f>IF(B1175&lt;&gt;"",+VLOOKUP(I1175,Recursos!C:F,3,FALSE),"")</f>
        <v>hh</v>
      </c>
      <c r="L1175" s="446">
        <f>IF(B1175&lt;&gt;"",+VLOOKUP(I1175,Recursos!C:F,4,FALSE),"")</f>
        <v>496.91595439275824</v>
      </c>
      <c r="M1175" s="707">
        <v>1.25</v>
      </c>
      <c r="N1175" s="708"/>
      <c r="O1175" s="459">
        <f>M1175/M1176</f>
        <v>0.05</v>
      </c>
      <c r="P1175" s="333">
        <f>IF(B1175&lt;&gt;"",O1175*L1175,"")</f>
        <v>24.845797719637915</v>
      </c>
      <c r="Q1175" s="327">
        <f>IF(B1175&lt;&gt;"",+O1175*E1175,"")</f>
        <v>0</v>
      </c>
      <c r="R1175" s="334">
        <f>IF(B1175&lt;&gt;"",Q1175*L1175,"")</f>
        <v>0</v>
      </c>
      <c r="S1175" s="335">
        <f t="shared" si="522"/>
        <v>58.39271796429049</v>
      </c>
      <c r="T1175" s="335">
        <f t="shared" si="523"/>
        <v>137.10790800000001</v>
      </c>
      <c r="U1175" s="336">
        <f t="shared" si="524"/>
        <v>0</v>
      </c>
      <c r="V1175" s="336">
        <f t="shared" si="525"/>
        <v>0</v>
      </c>
      <c r="W1175" s="336">
        <f t="shared" si="526"/>
        <v>0</v>
      </c>
      <c r="X1175" s="336">
        <f t="shared" si="527"/>
        <v>0</v>
      </c>
      <c r="Y1175" s="320"/>
      <c r="Z1175" s="321" t="str">
        <f t="shared" si="509"/>
        <v>X-EXCRPA</v>
      </c>
      <c r="AA1175" s="321" t="str">
        <f t="shared" si="510"/>
        <v>X-EXCRPE</v>
      </c>
      <c r="AB1175" s="321" t="str">
        <f t="shared" si="511"/>
        <v>X-EXCRPM</v>
      </c>
      <c r="AC1175" s="321" t="str">
        <f t="shared" si="512"/>
        <v>X-EXCRPT</v>
      </c>
      <c r="AD1175" s="321" t="str">
        <f t="shared" si="513"/>
        <v>X-EXCRPS</v>
      </c>
      <c r="AE1175" s="321" t="str">
        <f t="shared" si="514"/>
        <v>X-EXCRPX</v>
      </c>
      <c r="AF1175" s="321" t="str">
        <f t="shared" si="515"/>
        <v>X-EXCRPA</v>
      </c>
      <c r="AG1175" s="321">
        <f t="shared" si="528"/>
        <v>5</v>
      </c>
      <c r="AH1175" s="321">
        <f>IF(B1175&lt;&gt;"",IF(H1175="x",VLOOKUP(I1175,'AUX-NIV3'!B:AG,32,FALSE),0),"")</f>
        <v>0</v>
      </c>
      <c r="AI1175" s="321" t="str">
        <f t="shared" si="516"/>
        <v>X-EXCRP</v>
      </c>
      <c r="AJ1175" s="320"/>
      <c r="AK1175" s="322">
        <f t="shared" si="529"/>
        <v>1172</v>
      </c>
      <c r="AL1175" s="323">
        <f t="shared" si="517"/>
        <v>1176</v>
      </c>
      <c r="AM1175" s="322">
        <f t="shared" si="518"/>
        <v>4</v>
      </c>
      <c r="AN1175" s="380">
        <f>IF(AND(AH1175&gt;0,B1175&lt;&gt;""),VLOOKUP(I1175,'AUX-NIV3'!$B:$AO,39,FALSE)*O1175,0)</f>
        <v>0</v>
      </c>
      <c r="AO1175" s="380">
        <f t="shared" si="530"/>
        <v>0.125</v>
      </c>
      <c r="AP1175" s="380"/>
    </row>
    <row r="1176" spans="2:42" ht="13.8" hidden="1" thickBot="1">
      <c r="B1176" s="501" t="s">
        <v>2982</v>
      </c>
      <c r="C1176" s="951" t="s">
        <v>2983</v>
      </c>
      <c r="D1176" s="326" t="s">
        <v>1160</v>
      </c>
      <c r="E1176" s="327">
        <f>IF(B1176&lt;&gt;"",SUMIF('AUX-NIV1'!I:I,'AUX-NIV2'!B1176,'AUX-NIV1'!Q:Q),"")</f>
        <v>0</v>
      </c>
      <c r="F1176" s="327">
        <f t="shared" si="520"/>
        <v>195.50062596429049</v>
      </c>
      <c r="G1176" s="327">
        <f t="shared" si="521"/>
        <v>0</v>
      </c>
      <c r="H1176" s="328" t="str">
        <f t="shared" si="535"/>
        <v>E</v>
      </c>
      <c r="I1176" s="325" t="s">
        <v>1549</v>
      </c>
      <c r="J1176" s="329" t="str">
        <f>IF(B1176&lt;&gt;"",+VLOOKUP(I1176,Recursos!C:F,2,FALSE),"")</f>
        <v>RETROEXC. CARG. S/ROD.NEUM. 0.24 M3</v>
      </c>
      <c r="K1176" s="330" t="str">
        <f>IF(B1176&lt;&gt;"",+VLOOKUP(I1176,Recursos!C:F,3,FALSE),"")</f>
        <v>HR</v>
      </c>
      <c r="L1176" s="446">
        <f>IF(B1176&lt;&gt;"",+VLOOKUP(I1176,Recursos!C:F,4,FALSE),"")</f>
        <v>1761.0672000000002</v>
      </c>
      <c r="M1176" s="709">
        <v>25</v>
      </c>
      <c r="N1176" s="710"/>
      <c r="O1176" s="459">
        <f>1/M1176</f>
        <v>0.04</v>
      </c>
      <c r="P1176" s="333">
        <f t="shared" si="536"/>
        <v>70.442688000000004</v>
      </c>
      <c r="Q1176" s="327">
        <f t="shared" si="537"/>
        <v>0</v>
      </c>
      <c r="R1176" s="334">
        <f t="shared" si="538"/>
        <v>0</v>
      </c>
      <c r="S1176" s="335">
        <f t="shared" si="522"/>
        <v>58.39271796429049</v>
      </c>
      <c r="T1176" s="335">
        <f t="shared" si="523"/>
        <v>137.10790800000001</v>
      </c>
      <c r="U1176" s="336">
        <f t="shared" si="524"/>
        <v>0</v>
      </c>
      <c r="V1176" s="336">
        <f t="shared" si="525"/>
        <v>0</v>
      </c>
      <c r="W1176" s="336">
        <f t="shared" si="526"/>
        <v>0</v>
      </c>
      <c r="X1176" s="336">
        <f t="shared" si="527"/>
        <v>0</v>
      </c>
      <c r="Y1176" s="320"/>
      <c r="Z1176" s="321" t="str">
        <f t="shared" si="509"/>
        <v>X-EXCRPA</v>
      </c>
      <c r="AA1176" s="321" t="str">
        <f t="shared" si="510"/>
        <v>X-EXCRPE</v>
      </c>
      <c r="AB1176" s="321" t="str">
        <f t="shared" si="511"/>
        <v>X-EXCRPM</v>
      </c>
      <c r="AC1176" s="321" t="str">
        <f t="shared" si="512"/>
        <v>X-EXCRPT</v>
      </c>
      <c r="AD1176" s="321" t="str">
        <f t="shared" si="513"/>
        <v>X-EXCRPS</v>
      </c>
      <c r="AE1176" s="321" t="str">
        <f t="shared" si="514"/>
        <v>X-EXCRPX</v>
      </c>
      <c r="AF1176" s="321" t="str">
        <f t="shared" si="515"/>
        <v>X-EXCRPE</v>
      </c>
      <c r="AG1176" s="321">
        <f t="shared" si="528"/>
        <v>5</v>
      </c>
      <c r="AH1176" s="321">
        <f>IF(B1176&lt;&gt;"",IF(H1176="x",VLOOKUP(I1176,'AUX-NIV3'!B:AG,32,FALSE),0),"")</f>
        <v>0</v>
      </c>
      <c r="AI1176" s="321" t="str">
        <f t="shared" si="516"/>
        <v>X-EXCRP</v>
      </c>
      <c r="AJ1176" s="320"/>
      <c r="AK1176" s="322">
        <f t="shared" si="529"/>
        <v>1172</v>
      </c>
      <c r="AL1176" s="323">
        <f t="shared" si="517"/>
        <v>1176</v>
      </c>
      <c r="AM1176" s="322">
        <f t="shared" si="518"/>
        <v>5</v>
      </c>
      <c r="AN1176" s="380">
        <f>IF(AND(AH1176&gt;0,B1176&lt;&gt;""),VLOOKUP(I1176,'AUX-NIV3'!$B:$AO,39,FALSE)*O1176,0)</f>
        <v>0</v>
      </c>
      <c r="AO1176" s="380">
        <f t="shared" si="530"/>
        <v>0.125</v>
      </c>
      <c r="AP1176" s="380"/>
    </row>
    <row r="1177" spans="2:42" ht="14.4" thickTop="1" thickBot="1">
      <c r="B1177" s="501" t="s">
        <v>2986</v>
      </c>
      <c r="C1177" s="951" t="s">
        <v>2987</v>
      </c>
      <c r="D1177" s="326" t="s">
        <v>1385</v>
      </c>
      <c r="E1177" s="327">
        <f>IF(B1177&lt;&gt;"",SUMIF('AUX-NIV1'!I:I,'AUX-NIV2'!B1177,'AUX-NIV1'!Q:Q),"")</f>
        <v>14.48</v>
      </c>
      <c r="F1177" s="327">
        <f t="shared" si="520"/>
        <v>17.030397930216687</v>
      </c>
      <c r="G1177" s="327">
        <f t="shared" si="521"/>
        <v>246.60016202953764</v>
      </c>
      <c r="H1177" s="328" t="str">
        <f t="shared" si="535"/>
        <v>X</v>
      </c>
      <c r="I1177" s="324" t="s">
        <v>2984</v>
      </c>
      <c r="J1177" s="329" t="str">
        <f>IF(B1177&lt;&gt;"",+VLOOKUP(I1177,Recursos!C:F,2,FALSE),"")</f>
        <v>Transporte de Suelo DMT 20 km</v>
      </c>
      <c r="K1177" s="330" t="str">
        <f>IF(B1177&lt;&gt;"",+VLOOKUP(I1177,Recursos!C:F,3,FALSE),"")</f>
        <v>m3s.km</v>
      </c>
      <c r="L1177" s="446">
        <f>IF(B1177&lt;&gt;"",+VLOOKUP(I1177,Recursos!C:F,4,FALSE),"")</f>
        <v>17.030397930216687</v>
      </c>
      <c r="M1177" s="715">
        <v>1</v>
      </c>
      <c r="N1177" s="716"/>
      <c r="O1177" s="449">
        <f>+M1177</f>
        <v>1</v>
      </c>
      <c r="P1177" s="333">
        <f t="shared" si="536"/>
        <v>17.030397930216687</v>
      </c>
      <c r="Q1177" s="327">
        <f t="shared" si="537"/>
        <v>14.48</v>
      </c>
      <c r="R1177" s="334">
        <f t="shared" si="538"/>
        <v>246.60016202953764</v>
      </c>
      <c r="S1177" s="335">
        <f t="shared" si="522"/>
        <v>0</v>
      </c>
      <c r="T1177" s="335">
        <f t="shared" si="523"/>
        <v>0</v>
      </c>
      <c r="U1177" s="336">
        <f t="shared" si="524"/>
        <v>0</v>
      </c>
      <c r="V1177" s="336">
        <f t="shared" si="525"/>
        <v>0</v>
      </c>
      <c r="W1177" s="336">
        <f t="shared" si="526"/>
        <v>0</v>
      </c>
      <c r="X1177" s="336">
        <f t="shared" si="527"/>
        <v>17.030397930216687</v>
      </c>
      <c r="Y1177" s="320"/>
      <c r="Z1177" s="321" t="str">
        <f t="shared" si="509"/>
        <v>X-TRA20KMA</v>
      </c>
      <c r="AA1177" s="321" t="str">
        <f t="shared" si="510"/>
        <v>X-TRA20KME</v>
      </c>
      <c r="AB1177" s="321" t="str">
        <f t="shared" si="511"/>
        <v>X-TRA20KMM</v>
      </c>
      <c r="AC1177" s="321" t="str">
        <f t="shared" si="512"/>
        <v>X-TRA20KMT</v>
      </c>
      <c r="AD1177" s="321" t="str">
        <f t="shared" si="513"/>
        <v>X-TRA20KMS</v>
      </c>
      <c r="AE1177" s="321" t="str">
        <f t="shared" si="514"/>
        <v>X-TRA20KMX</v>
      </c>
      <c r="AF1177" s="321" t="str">
        <f t="shared" si="515"/>
        <v>X-TRA20KMX</v>
      </c>
      <c r="AG1177" s="321">
        <f t="shared" si="528"/>
        <v>1</v>
      </c>
      <c r="AH1177" s="321">
        <f>IF(B1177&lt;&gt;"",IF(H1177="x",VLOOKUP(I1177,'AUX-NIV3'!B:AG,32,FALSE),0),"")</f>
        <v>2</v>
      </c>
      <c r="AI1177" s="321" t="str">
        <f t="shared" si="516"/>
        <v>X-TRA20KM</v>
      </c>
      <c r="AJ1177" s="320"/>
      <c r="AK1177" s="322">
        <f t="shared" si="529"/>
        <v>1177</v>
      </c>
      <c r="AL1177" s="323">
        <f t="shared" si="517"/>
        <v>1177</v>
      </c>
      <c r="AM1177" s="322">
        <f t="shared" si="518"/>
        <v>1</v>
      </c>
      <c r="AN1177" s="380">
        <f>IF(AND(AH1177&gt;0,B1177&lt;&gt;""),VLOOKUP(I1177,'AUX-NIV3'!$B:$AO,39,FALSE)*O1177,0)</f>
        <v>5.3833616780045359E-3</v>
      </c>
      <c r="AO1177" s="380">
        <f t="shared" si="530"/>
        <v>5.3833616780045359E-3</v>
      </c>
      <c r="AP1177" s="380"/>
    </row>
    <row r="1178" spans="2:42" ht="13.8" hidden="1" thickTop="1">
      <c r="B1178" s="501" t="s">
        <v>2988</v>
      </c>
      <c r="C1178" s="951" t="s">
        <v>2989</v>
      </c>
      <c r="D1178" s="326" t="s">
        <v>1160</v>
      </c>
      <c r="E1178" s="327">
        <f>IF(B1178&lt;&gt;"",SUMIF('AUX-NIV1'!I:I,'AUX-NIV2'!B1178,'AUX-NIV1'!Q:Q),"")</f>
        <v>0</v>
      </c>
      <c r="F1178" s="327">
        <f t="shared" si="520"/>
        <v>731.32286155504607</v>
      </c>
      <c r="G1178" s="327">
        <f t="shared" si="521"/>
        <v>0</v>
      </c>
      <c r="H1178" s="328" t="str">
        <f t="shared" si="535"/>
        <v>X</v>
      </c>
      <c r="I1178" s="325" t="s">
        <v>2746</v>
      </c>
      <c r="J1178" s="329" t="str">
        <f>IF(B1178&lt;&gt;"",+VLOOKUP(I1178,Recursos!C:F,2,FALSE),"")</f>
        <v>Obtención de Agua para Riego</v>
      </c>
      <c r="K1178" s="330" t="str">
        <f>IF(B1178&lt;&gt;"",+VLOOKUP(I1178,Recursos!C:F,3,FALSE),"")</f>
        <v>m3</v>
      </c>
      <c r="L1178" s="327">
        <f>IF(B1178&lt;&gt;"",+VLOOKUP(I1178,Recursos!C:F,4,FALSE),"")</f>
        <v>148.35029836815718</v>
      </c>
      <c r="M1178" s="516">
        <v>1</v>
      </c>
      <c r="N1178" s="516"/>
      <c r="O1178" s="502">
        <f>+M1178</f>
        <v>1</v>
      </c>
      <c r="P1178" s="333">
        <f t="shared" si="536"/>
        <v>148.35029836815718</v>
      </c>
      <c r="Q1178" s="327">
        <f t="shared" si="537"/>
        <v>0</v>
      </c>
      <c r="R1178" s="334">
        <f t="shared" si="538"/>
        <v>0</v>
      </c>
      <c r="S1178" s="335">
        <f t="shared" si="522"/>
        <v>0</v>
      </c>
      <c r="T1178" s="335">
        <f t="shared" si="523"/>
        <v>0</v>
      </c>
      <c r="U1178" s="336">
        <f t="shared" si="524"/>
        <v>0</v>
      </c>
      <c r="V1178" s="336">
        <f t="shared" si="525"/>
        <v>0</v>
      </c>
      <c r="W1178" s="336">
        <f t="shared" si="526"/>
        <v>0</v>
      </c>
      <c r="X1178" s="336">
        <f t="shared" si="527"/>
        <v>731.32286155504607</v>
      </c>
      <c r="Y1178" s="320"/>
      <c r="Z1178" s="321" t="str">
        <f t="shared" si="509"/>
        <v>X-RIE1A</v>
      </c>
      <c r="AA1178" s="321" t="str">
        <f t="shared" si="510"/>
        <v>X-RIE1E</v>
      </c>
      <c r="AB1178" s="321" t="str">
        <f t="shared" si="511"/>
        <v>X-RIE1M</v>
      </c>
      <c r="AC1178" s="321" t="str">
        <f t="shared" si="512"/>
        <v>X-RIE1T</v>
      </c>
      <c r="AD1178" s="321" t="str">
        <f t="shared" si="513"/>
        <v>X-RIE1S</v>
      </c>
      <c r="AE1178" s="321" t="str">
        <f t="shared" si="514"/>
        <v>X-RIE1X</v>
      </c>
      <c r="AF1178" s="321" t="str">
        <f t="shared" si="515"/>
        <v>X-RIE1X</v>
      </c>
      <c r="AG1178" s="321">
        <f t="shared" si="528"/>
        <v>3</v>
      </c>
      <c r="AH1178" s="321">
        <f>IF(B1178&lt;&gt;"",IF(H1178="x",VLOOKUP(I1178,'AUX-NIV3'!B:AG,32,FALSE),0),"")</f>
        <v>5</v>
      </c>
      <c r="AI1178" s="321" t="str">
        <f t="shared" si="516"/>
        <v>X-RIE1</v>
      </c>
      <c r="AJ1178" s="320"/>
      <c r="AK1178" s="322">
        <f t="shared" si="529"/>
        <v>1178</v>
      </c>
      <c r="AL1178" s="323">
        <f t="shared" si="517"/>
        <v>1180</v>
      </c>
      <c r="AM1178" s="322">
        <f t="shared" si="518"/>
        <v>1</v>
      </c>
      <c r="AN1178" s="380">
        <f>IF(AND(AH1178&gt;0,B1178&lt;&gt;""),VLOOKUP(I1178,'AUX-NIV3'!$B:$AO,39,FALSE)*O1178,0)</f>
        <v>3.3333333333333333E-2</v>
      </c>
      <c r="AO1178" s="380">
        <f t="shared" si="530"/>
        <v>0.34831349206349205</v>
      </c>
      <c r="AP1178" s="380"/>
    </row>
    <row r="1179" spans="2:42" ht="14.4" hidden="1" thickTop="1" thickBot="1">
      <c r="B1179" s="501" t="s">
        <v>2988</v>
      </c>
      <c r="C1179" s="951" t="s">
        <v>2989</v>
      </c>
      <c r="D1179" s="326" t="s">
        <v>1160</v>
      </c>
      <c r="E1179" s="327">
        <f>IF(B1179&lt;&gt;"",SUMIF('AUX-NIV1'!I:I,'AUX-NIV2'!B1179,'AUX-NIV1'!Q:Q),"")</f>
        <v>0</v>
      </c>
      <c r="F1179" s="327">
        <f t="shared" si="520"/>
        <v>731.32286155504607</v>
      </c>
      <c r="G1179" s="327">
        <f t="shared" si="521"/>
        <v>0</v>
      </c>
      <c r="H1179" s="328" t="str">
        <f t="shared" si="535"/>
        <v>X</v>
      </c>
      <c r="I1179" s="325" t="s">
        <v>2748</v>
      </c>
      <c r="J1179" s="329" t="str">
        <f>IF(B1179&lt;&gt;"",+VLOOKUP(I1179,Recursos!C:F,2,FALSE),"")</f>
        <v>Transporte de Agua para riego</v>
      </c>
      <c r="K1179" s="330" t="str">
        <f>IF(B1179&lt;&gt;"",+VLOOKUP(I1179,Recursos!C:F,3,FALSE),"")</f>
        <v>m3</v>
      </c>
      <c r="L1179" s="327">
        <f>IF(B1179&lt;&gt;"",+VLOOKUP(I1179,Recursos!C:F,4,FALSE),"")</f>
        <v>368.5637895861521</v>
      </c>
      <c r="M1179" s="517">
        <v>1</v>
      </c>
      <c r="N1179" s="517"/>
      <c r="O1179" s="502">
        <f>+M1179</f>
        <v>1</v>
      </c>
      <c r="P1179" s="333">
        <f t="shared" si="536"/>
        <v>368.5637895861521</v>
      </c>
      <c r="Q1179" s="327">
        <f t="shared" si="537"/>
        <v>0</v>
      </c>
      <c r="R1179" s="334">
        <f t="shared" si="538"/>
        <v>0</v>
      </c>
      <c r="S1179" s="335">
        <f t="shared" si="522"/>
        <v>0</v>
      </c>
      <c r="T1179" s="335">
        <f t="shared" si="523"/>
        <v>0</v>
      </c>
      <c r="U1179" s="336">
        <f t="shared" si="524"/>
        <v>0</v>
      </c>
      <c r="V1179" s="336">
        <f t="shared" si="525"/>
        <v>0</v>
      </c>
      <c r="W1179" s="336">
        <f t="shared" si="526"/>
        <v>0</v>
      </c>
      <c r="X1179" s="336">
        <f t="shared" si="527"/>
        <v>731.32286155504607</v>
      </c>
      <c r="Y1179" s="320"/>
      <c r="Z1179" s="321" t="str">
        <f t="shared" si="509"/>
        <v>X-RIE1A</v>
      </c>
      <c r="AA1179" s="321" t="str">
        <f t="shared" si="510"/>
        <v>X-RIE1E</v>
      </c>
      <c r="AB1179" s="321" t="str">
        <f t="shared" si="511"/>
        <v>X-RIE1M</v>
      </c>
      <c r="AC1179" s="321" t="str">
        <f t="shared" si="512"/>
        <v>X-RIE1T</v>
      </c>
      <c r="AD1179" s="321" t="str">
        <f t="shared" si="513"/>
        <v>X-RIE1S</v>
      </c>
      <c r="AE1179" s="321" t="str">
        <f t="shared" si="514"/>
        <v>X-RIE1X</v>
      </c>
      <c r="AF1179" s="321" t="str">
        <f t="shared" si="515"/>
        <v>X-RIE1X</v>
      </c>
      <c r="AG1179" s="321">
        <f t="shared" si="528"/>
        <v>3</v>
      </c>
      <c r="AH1179" s="321">
        <f>IF(B1179&lt;&gt;"",IF(H1179="x",VLOOKUP(I1179,'AUX-NIV3'!B:AG,32,FALSE),0),"")</f>
        <v>2</v>
      </c>
      <c r="AI1179" s="321" t="str">
        <f t="shared" si="516"/>
        <v>X-RIE1</v>
      </c>
      <c r="AJ1179" s="320"/>
      <c r="AK1179" s="322">
        <f t="shared" si="529"/>
        <v>1178</v>
      </c>
      <c r="AL1179" s="323">
        <f t="shared" si="517"/>
        <v>1180</v>
      </c>
      <c r="AM1179" s="322">
        <f t="shared" si="518"/>
        <v>2</v>
      </c>
      <c r="AN1179" s="380">
        <f>IF(AND(AH1179&gt;0,B1179&lt;&gt;""),VLOOKUP(I1179,'AUX-NIV3'!$B:$AO,39,FALSE)*O1179,0)</f>
        <v>0.15873015873015872</v>
      </c>
      <c r="AO1179" s="380">
        <f t="shared" si="530"/>
        <v>0.34831349206349205</v>
      </c>
      <c r="AP1179" s="380"/>
    </row>
    <row r="1180" spans="2:42" ht="14.4" hidden="1" thickTop="1" thickBot="1">
      <c r="B1180" s="501" t="s">
        <v>2988</v>
      </c>
      <c r="C1180" s="951" t="s">
        <v>2989</v>
      </c>
      <c r="D1180" s="326" t="s">
        <v>1160</v>
      </c>
      <c r="E1180" s="327">
        <f>IF(B1180&lt;&gt;"",SUMIF('AUX-NIV1'!I:I,'AUX-NIV2'!B1180,'AUX-NIV1'!Q:Q),"")</f>
        <v>0</v>
      </c>
      <c r="F1180" s="327">
        <f t="shared" si="520"/>
        <v>731.32286155504607</v>
      </c>
      <c r="G1180" s="327">
        <f t="shared" si="521"/>
        <v>0</v>
      </c>
      <c r="H1180" s="328" t="str">
        <f t="shared" si="535"/>
        <v>X</v>
      </c>
      <c r="I1180" s="325" t="s">
        <v>2750</v>
      </c>
      <c r="J1180" s="329" t="str">
        <f>IF(B1180&lt;&gt;"",+VLOOKUP(I1180,Recursos!C:F,2,FALSE),"")</f>
        <v>Riego para terraplen</v>
      </c>
      <c r="K1180" s="330" t="str">
        <f>IF(B1180&lt;&gt;"",+VLOOKUP(I1180,Recursos!C:F,3,FALSE),"")</f>
        <v>m3</v>
      </c>
      <c r="L1180" s="327">
        <f>IF(B1180&lt;&gt;"",+VLOOKUP(I1180,Recursos!C:F,4,FALSE),"")</f>
        <v>214.40877360073679</v>
      </c>
      <c r="M1180" s="723">
        <v>1</v>
      </c>
      <c r="N1180" s="723"/>
      <c r="O1180" s="502">
        <f>+M1180</f>
        <v>1</v>
      </c>
      <c r="P1180" s="333">
        <f t="shared" si="536"/>
        <v>214.40877360073679</v>
      </c>
      <c r="Q1180" s="327">
        <f t="shared" si="537"/>
        <v>0</v>
      </c>
      <c r="R1180" s="334">
        <f t="shared" si="538"/>
        <v>0</v>
      </c>
      <c r="S1180" s="335">
        <f t="shared" si="522"/>
        <v>0</v>
      </c>
      <c r="T1180" s="335">
        <f t="shared" si="523"/>
        <v>0</v>
      </c>
      <c r="U1180" s="336">
        <f t="shared" si="524"/>
        <v>0</v>
      </c>
      <c r="V1180" s="336">
        <f t="shared" si="525"/>
        <v>0</v>
      </c>
      <c r="W1180" s="336">
        <f t="shared" si="526"/>
        <v>0</v>
      </c>
      <c r="X1180" s="336">
        <f t="shared" si="527"/>
        <v>731.32286155504607</v>
      </c>
      <c r="Y1180" s="320"/>
      <c r="Z1180" s="321" t="str">
        <f t="shared" si="509"/>
        <v>X-RIE1A</v>
      </c>
      <c r="AA1180" s="321" t="str">
        <f t="shared" si="510"/>
        <v>X-RIE1E</v>
      </c>
      <c r="AB1180" s="321" t="str">
        <f t="shared" si="511"/>
        <v>X-RIE1M</v>
      </c>
      <c r="AC1180" s="321" t="str">
        <f t="shared" si="512"/>
        <v>X-RIE1T</v>
      </c>
      <c r="AD1180" s="321" t="str">
        <f t="shared" si="513"/>
        <v>X-RIE1S</v>
      </c>
      <c r="AE1180" s="321" t="str">
        <f t="shared" si="514"/>
        <v>X-RIE1X</v>
      </c>
      <c r="AF1180" s="321" t="str">
        <f t="shared" si="515"/>
        <v>X-RIE1X</v>
      </c>
      <c r="AG1180" s="321">
        <f t="shared" si="528"/>
        <v>3</v>
      </c>
      <c r="AH1180" s="321">
        <f>IF(B1180&lt;&gt;"",IF(H1180="x",VLOOKUP(I1180,'AUX-NIV3'!B:AG,32,FALSE),0),"")</f>
        <v>3</v>
      </c>
      <c r="AI1180" s="321" t="str">
        <f t="shared" si="516"/>
        <v>X-RIE1</v>
      </c>
      <c r="AJ1180" s="320"/>
      <c r="AK1180" s="322">
        <f t="shared" si="529"/>
        <v>1178</v>
      </c>
      <c r="AL1180" s="323">
        <f t="shared" si="517"/>
        <v>1180</v>
      </c>
      <c r="AM1180" s="322">
        <f t="shared" si="518"/>
        <v>3</v>
      </c>
      <c r="AN1180" s="380">
        <f>IF(AND(AH1180&gt;0,B1180&lt;&gt;""),VLOOKUP(I1180,'AUX-NIV3'!$B:$AO,39,FALSE)*O1180,0)</f>
        <v>0.15625</v>
      </c>
      <c r="AO1180" s="380">
        <f t="shared" si="530"/>
        <v>0.34831349206349205</v>
      </c>
      <c r="AP1180" s="380"/>
    </row>
    <row r="1181" spans="2:42" ht="14.4" hidden="1" thickTop="1" thickBot="1">
      <c r="B1181" s="501" t="s">
        <v>2991</v>
      </c>
      <c r="C1181" s="950" t="s">
        <v>2992</v>
      </c>
      <c r="D1181" s="326" t="s">
        <v>1160</v>
      </c>
      <c r="E1181" s="327">
        <f>IF(B1181&lt;&gt;"",SUMIF('AUX-NIV1'!I:I,'AUX-NIV2'!B1181,'AUX-NIV1'!Q:Q),"")</f>
        <v>0</v>
      </c>
      <c r="F1181" s="327">
        <f t="shared" si="520"/>
        <v>470.87593999451957</v>
      </c>
      <c r="G1181" s="327">
        <f t="shared" si="521"/>
        <v>0</v>
      </c>
      <c r="H1181" s="328" t="str">
        <f t="shared" si="535"/>
        <v>E</v>
      </c>
      <c r="I1181" s="325" t="s">
        <v>1549</v>
      </c>
      <c r="J1181" s="329" t="str">
        <f>IF(B1181&lt;&gt;"",+VLOOKUP(I1181,Recursos!C:F,2,FALSE),"")</f>
        <v>RETROEXC. CARG. S/ROD.NEUM. 0.24 M3</v>
      </c>
      <c r="K1181" s="330" t="str">
        <f>IF(B1181&lt;&gt;"",+VLOOKUP(I1181,Recursos!C:F,3,FALSE),"")</f>
        <v>HR</v>
      </c>
      <c r="L1181" s="446">
        <f>IF(B1181&lt;&gt;"",+VLOOKUP(I1181,Recursos!C:F,4,FALSE),"")</f>
        <v>1761.0672000000002</v>
      </c>
      <c r="M1181" s="731">
        <v>25</v>
      </c>
      <c r="N1181" s="724"/>
      <c r="O1181" s="449">
        <f>1/M1181</f>
        <v>0.04</v>
      </c>
      <c r="P1181" s="333">
        <f t="shared" si="536"/>
        <v>70.442688000000004</v>
      </c>
      <c r="Q1181" s="327">
        <f t="shared" si="537"/>
        <v>0</v>
      </c>
      <c r="R1181" s="334">
        <f t="shared" si="538"/>
        <v>0</v>
      </c>
      <c r="S1181" s="335">
        <f t="shared" si="522"/>
        <v>45.969819104471533</v>
      </c>
      <c r="T1181" s="335">
        <f t="shared" si="523"/>
        <v>84.298162285714284</v>
      </c>
      <c r="U1181" s="336">
        <f t="shared" si="524"/>
        <v>0</v>
      </c>
      <c r="V1181" s="336">
        <f t="shared" si="525"/>
        <v>0</v>
      </c>
      <c r="W1181" s="336">
        <f t="shared" si="526"/>
        <v>0</v>
      </c>
      <c r="X1181" s="336">
        <f t="shared" si="527"/>
        <v>340.6079586043337</v>
      </c>
      <c r="Y1181" s="320"/>
      <c r="Z1181" s="321" t="str">
        <f t="shared" si="509"/>
        <v>X-APCAA</v>
      </c>
      <c r="AA1181" s="321" t="str">
        <f t="shared" si="510"/>
        <v>X-APCAE</v>
      </c>
      <c r="AB1181" s="321" t="str">
        <f t="shared" si="511"/>
        <v>X-APCAM</v>
      </c>
      <c r="AC1181" s="321" t="str">
        <f t="shared" si="512"/>
        <v>X-APCAT</v>
      </c>
      <c r="AD1181" s="321" t="str">
        <f t="shared" si="513"/>
        <v>X-APCAS</v>
      </c>
      <c r="AE1181" s="321" t="str">
        <f t="shared" si="514"/>
        <v>X-APCAX</v>
      </c>
      <c r="AF1181" s="321" t="str">
        <f t="shared" si="515"/>
        <v>X-APCAE</v>
      </c>
      <c r="AG1181" s="321">
        <f t="shared" si="528"/>
        <v>5</v>
      </c>
      <c r="AH1181" s="321">
        <f>IF(B1181&lt;&gt;"",IF(H1181="x",VLOOKUP(I1181,'AUX-NIV3'!B:AG,32,FALSE),0),"")</f>
        <v>0</v>
      </c>
      <c r="AI1181" s="321" t="str">
        <f t="shared" si="516"/>
        <v>X-APCA</v>
      </c>
      <c r="AJ1181" s="320"/>
      <c r="AK1181" s="322">
        <f t="shared" si="529"/>
        <v>1181</v>
      </c>
      <c r="AL1181" s="323">
        <f t="shared" si="517"/>
        <v>1185</v>
      </c>
      <c r="AM1181" s="322">
        <f t="shared" si="518"/>
        <v>1</v>
      </c>
      <c r="AN1181" s="380">
        <f>IF(AND(AH1181&gt;0,B1181&lt;&gt;""),VLOOKUP(I1181,'AUX-NIV3'!$B:$AO,39,FALSE)*O1181,0)</f>
        <v>0</v>
      </c>
      <c r="AO1181" s="380">
        <f t="shared" si="530"/>
        <v>0.20766723356009073</v>
      </c>
      <c r="AP1181" s="380"/>
    </row>
    <row r="1182" spans="2:42" ht="14.4" hidden="1" thickTop="1" thickBot="1">
      <c r="B1182" s="501" t="s">
        <v>2991</v>
      </c>
      <c r="C1182" s="950" t="s">
        <v>2992</v>
      </c>
      <c r="D1182" s="326" t="s">
        <v>1160</v>
      </c>
      <c r="E1182" s="327">
        <f>IF(B1182&lt;&gt;"",SUMIF('AUX-NIV1'!I:I,'AUX-NIV2'!B1182,'AUX-NIV1'!Q:Q),"")</f>
        <v>0</v>
      </c>
      <c r="F1182" s="327">
        <f t="shared" si="520"/>
        <v>470.87593999451957</v>
      </c>
      <c r="G1182" s="327">
        <f t="shared" si="521"/>
        <v>0</v>
      </c>
      <c r="H1182" s="328" t="str">
        <f t="shared" si="535"/>
        <v>A</v>
      </c>
      <c r="I1182" s="325" t="s">
        <v>1746</v>
      </c>
      <c r="J1182" s="329" t="str">
        <f>IF(B1182&lt;&gt;"",+VLOOKUP(I1182,Recursos!C:F,2,FALSE),"")</f>
        <v>OFICIAL</v>
      </c>
      <c r="K1182" s="330" t="str">
        <f>IF(B1182&lt;&gt;"",+VLOOKUP(I1182,Recursos!C:F,3,FALSE),"")</f>
        <v>hh</v>
      </c>
      <c r="L1182" s="446">
        <f>IF(B1182&lt;&gt;"",+VLOOKUP(I1182,Recursos!C:F,4,FALSE),"")</f>
        <v>496.91595439275824</v>
      </c>
      <c r="M1182" s="725"/>
      <c r="N1182" s="732">
        <v>1.25</v>
      </c>
      <c r="O1182" s="449">
        <f>N1182/M1181</f>
        <v>0.05</v>
      </c>
      <c r="P1182" s="333">
        <f t="shared" si="536"/>
        <v>24.845797719637915</v>
      </c>
      <c r="Q1182" s="327">
        <f t="shared" si="537"/>
        <v>0</v>
      </c>
      <c r="R1182" s="334">
        <f t="shared" si="538"/>
        <v>0</v>
      </c>
      <c r="S1182" s="335">
        <f t="shared" si="522"/>
        <v>45.969819104471533</v>
      </c>
      <c r="T1182" s="335">
        <f t="shared" si="523"/>
        <v>84.298162285714284</v>
      </c>
      <c r="U1182" s="336">
        <f t="shared" si="524"/>
        <v>0</v>
      </c>
      <c r="V1182" s="336">
        <f t="shared" si="525"/>
        <v>0</v>
      </c>
      <c r="W1182" s="336">
        <f t="shared" si="526"/>
        <v>0</v>
      </c>
      <c r="X1182" s="336">
        <f t="shared" si="527"/>
        <v>340.6079586043337</v>
      </c>
      <c r="Y1182" s="320"/>
      <c r="Z1182" s="321" t="str">
        <f t="shared" si="509"/>
        <v>X-APCAA</v>
      </c>
      <c r="AA1182" s="321" t="str">
        <f t="shared" si="510"/>
        <v>X-APCAE</v>
      </c>
      <c r="AB1182" s="321" t="str">
        <f t="shared" si="511"/>
        <v>X-APCAM</v>
      </c>
      <c r="AC1182" s="321" t="str">
        <f t="shared" si="512"/>
        <v>X-APCAT</v>
      </c>
      <c r="AD1182" s="321" t="str">
        <f t="shared" si="513"/>
        <v>X-APCAS</v>
      </c>
      <c r="AE1182" s="321" t="str">
        <f t="shared" si="514"/>
        <v>X-APCAX</v>
      </c>
      <c r="AF1182" s="321" t="str">
        <f t="shared" si="515"/>
        <v>X-APCAA</v>
      </c>
      <c r="AG1182" s="321">
        <f t="shared" si="528"/>
        <v>5</v>
      </c>
      <c r="AH1182" s="321">
        <f>IF(B1182&lt;&gt;"",IF(H1182="x",VLOOKUP(I1182,'AUX-NIV3'!B:AG,32,FALSE),0),"")</f>
        <v>0</v>
      </c>
      <c r="AI1182" s="321" t="str">
        <f t="shared" si="516"/>
        <v>X-APCA</v>
      </c>
      <c r="AJ1182" s="320"/>
      <c r="AK1182" s="322">
        <f t="shared" si="529"/>
        <v>1181</v>
      </c>
      <c r="AL1182" s="323">
        <f t="shared" si="517"/>
        <v>1185</v>
      </c>
      <c r="AM1182" s="322">
        <f t="shared" si="518"/>
        <v>2</v>
      </c>
      <c r="AN1182" s="380">
        <f>IF(AND(AH1182&gt;0,B1182&lt;&gt;""),VLOOKUP(I1182,'AUX-NIV3'!$B:$AO,39,FALSE)*O1182,0)</f>
        <v>0</v>
      </c>
      <c r="AO1182" s="380">
        <f t="shared" si="530"/>
        <v>0.20766723356009073</v>
      </c>
      <c r="AP1182" s="380"/>
    </row>
    <row r="1183" spans="2:42" ht="14.4" hidden="1" thickTop="1" thickBot="1">
      <c r="B1183" s="501" t="s">
        <v>2991</v>
      </c>
      <c r="C1183" s="950" t="s">
        <v>2992</v>
      </c>
      <c r="D1183" s="326" t="s">
        <v>1160</v>
      </c>
      <c r="E1183" s="327">
        <f>IF(B1183&lt;&gt;"",SUMIF('AUX-NIV1'!I:I,'AUX-NIV2'!B1183,'AUX-NIV1'!Q:Q),"")</f>
        <v>0</v>
      </c>
      <c r="F1183" s="327">
        <f t="shared" si="520"/>
        <v>470.87593999451957</v>
      </c>
      <c r="G1183" s="327">
        <f t="shared" si="521"/>
        <v>0</v>
      </c>
      <c r="H1183" s="328" t="str">
        <f t="shared" si="535"/>
        <v>X</v>
      </c>
      <c r="I1183" s="729" t="s">
        <v>2984</v>
      </c>
      <c r="J1183" s="329" t="str">
        <f>IF(B1183&lt;&gt;"",+VLOOKUP(I1183,Recursos!C:F,2,FALSE),"")</f>
        <v>Transporte de Suelo DMT 20 km</v>
      </c>
      <c r="K1183" s="330" t="str">
        <f>IF(B1183&lt;&gt;"",+VLOOKUP(I1183,Recursos!C:F,3,FALSE),"")</f>
        <v>m3s.km</v>
      </c>
      <c r="L1183" s="446">
        <f>IF(B1183&lt;&gt;"",+VLOOKUP(I1183,Recursos!C:F,4,FALSE),"")</f>
        <v>17.030397930216687</v>
      </c>
      <c r="M1183" s="730">
        <v>20</v>
      </c>
      <c r="N1183" s="726"/>
      <c r="O1183" s="449">
        <f>M1183</f>
        <v>20</v>
      </c>
      <c r="P1183" s="333">
        <f t="shared" si="536"/>
        <v>340.6079586043337</v>
      </c>
      <c r="Q1183" s="327">
        <f t="shared" si="537"/>
        <v>0</v>
      </c>
      <c r="R1183" s="334">
        <f t="shared" si="538"/>
        <v>0</v>
      </c>
      <c r="S1183" s="335">
        <f t="shared" si="522"/>
        <v>45.969819104471533</v>
      </c>
      <c r="T1183" s="335">
        <f t="shared" si="523"/>
        <v>84.298162285714284</v>
      </c>
      <c r="U1183" s="336">
        <f t="shared" si="524"/>
        <v>0</v>
      </c>
      <c r="V1183" s="336">
        <f t="shared" si="525"/>
        <v>0</v>
      </c>
      <c r="W1183" s="336">
        <f t="shared" si="526"/>
        <v>0</v>
      </c>
      <c r="X1183" s="336">
        <f t="shared" si="527"/>
        <v>340.6079586043337</v>
      </c>
      <c r="Y1183" s="320"/>
      <c r="Z1183" s="321" t="str">
        <f t="shared" si="509"/>
        <v>X-APCAA</v>
      </c>
      <c r="AA1183" s="321" t="str">
        <f t="shared" si="510"/>
        <v>X-APCAE</v>
      </c>
      <c r="AB1183" s="321" t="str">
        <f t="shared" si="511"/>
        <v>X-APCAM</v>
      </c>
      <c r="AC1183" s="321" t="str">
        <f t="shared" si="512"/>
        <v>X-APCAT</v>
      </c>
      <c r="AD1183" s="321" t="str">
        <f t="shared" si="513"/>
        <v>X-APCAS</v>
      </c>
      <c r="AE1183" s="321" t="str">
        <f t="shared" si="514"/>
        <v>X-APCAX</v>
      </c>
      <c r="AF1183" s="321" t="str">
        <f t="shared" si="515"/>
        <v>X-APCAX</v>
      </c>
      <c r="AG1183" s="321">
        <f t="shared" si="528"/>
        <v>5</v>
      </c>
      <c r="AH1183" s="321">
        <f>IF(B1183&lt;&gt;"",IF(H1183="x",VLOOKUP(I1183,'AUX-NIV3'!B:AG,32,FALSE),0),"")</f>
        <v>2</v>
      </c>
      <c r="AI1183" s="321" t="str">
        <f t="shared" si="516"/>
        <v>X-APCA</v>
      </c>
      <c r="AJ1183" s="320"/>
      <c r="AK1183" s="322">
        <f t="shared" si="529"/>
        <v>1181</v>
      </c>
      <c r="AL1183" s="323">
        <f t="shared" si="517"/>
        <v>1185</v>
      </c>
      <c r="AM1183" s="322">
        <f t="shared" si="518"/>
        <v>3</v>
      </c>
      <c r="AN1183" s="380">
        <f>IF(AND(AH1183&gt;0,B1183&lt;&gt;""),VLOOKUP(I1183,'AUX-NIV3'!$B:$AO,39,FALSE)*O1183,0)</f>
        <v>0.10766723356009072</v>
      </c>
      <c r="AO1183" s="380">
        <f t="shared" si="530"/>
        <v>0.20766723356009073</v>
      </c>
      <c r="AP1183" s="380"/>
    </row>
    <row r="1184" spans="2:42" ht="14.4" hidden="1" thickTop="1" thickBot="1">
      <c r="B1184" s="501" t="s">
        <v>2991</v>
      </c>
      <c r="C1184" s="950" t="s">
        <v>2992</v>
      </c>
      <c r="D1184" s="326" t="s">
        <v>1160</v>
      </c>
      <c r="E1184" s="327">
        <f>IF(B1184&lt;&gt;"",SUMIF('AUX-NIV1'!I:I,'AUX-NIV2'!B1184,'AUX-NIV1'!Q:Q),"")</f>
        <v>0</v>
      </c>
      <c r="F1184" s="327">
        <f t="shared" si="520"/>
        <v>470.87593999451957</v>
      </c>
      <c r="G1184" s="327">
        <f t="shared" si="521"/>
        <v>0</v>
      </c>
      <c r="H1184" s="328" t="str">
        <f>IF(B1184&lt;&gt;"",+LEFT(I1184,1),"")</f>
        <v>A</v>
      </c>
      <c r="I1184" s="729" t="s">
        <v>1745</v>
      </c>
      <c r="J1184" s="329" t="str">
        <f>IF(B1184&lt;&gt;"",+VLOOKUP(I1184,Recursos!C:F,2,FALSE),"")</f>
        <v>AYUDANTE</v>
      </c>
      <c r="K1184" s="330" t="str">
        <f>IF(B1184&lt;&gt;"",+VLOOKUP(I1184,Recursos!C:F,3,FALSE),"")</f>
        <v>hh</v>
      </c>
      <c r="L1184" s="446">
        <f>IF(B1184&lt;&gt;"",+VLOOKUP(I1184,Recursos!C:F,4,FALSE),"")</f>
        <v>422.48042769667234</v>
      </c>
      <c r="M1184" s="725"/>
      <c r="N1184" s="726"/>
      <c r="O1184" s="449">
        <f>N1182/M1181</f>
        <v>0.05</v>
      </c>
      <c r="P1184" s="333">
        <f>IF(B1184&lt;&gt;"",O1184*L1184,"")</f>
        <v>21.124021384833618</v>
      </c>
      <c r="Q1184" s="327">
        <f>IF(B1184&lt;&gt;"",+O1184*E1184,"")</f>
        <v>0</v>
      </c>
      <c r="R1184" s="334">
        <f>IF(B1184&lt;&gt;"",Q1184*L1184,"")</f>
        <v>0</v>
      </c>
      <c r="S1184" s="335">
        <f t="shared" si="522"/>
        <v>45.969819104471533</v>
      </c>
      <c r="T1184" s="335">
        <f t="shared" si="523"/>
        <v>84.298162285714284</v>
      </c>
      <c r="U1184" s="336">
        <f t="shared" si="524"/>
        <v>0</v>
      </c>
      <c r="V1184" s="336">
        <f t="shared" si="525"/>
        <v>0</v>
      </c>
      <c r="W1184" s="336">
        <f t="shared" si="526"/>
        <v>0</v>
      </c>
      <c r="X1184" s="336">
        <f t="shared" si="527"/>
        <v>340.6079586043337</v>
      </c>
      <c r="Y1184" s="320"/>
      <c r="Z1184" s="321" t="str">
        <f t="shared" si="509"/>
        <v>X-APCAA</v>
      </c>
      <c r="AA1184" s="321" t="str">
        <f t="shared" si="510"/>
        <v>X-APCAE</v>
      </c>
      <c r="AB1184" s="321" t="str">
        <f t="shared" si="511"/>
        <v>X-APCAM</v>
      </c>
      <c r="AC1184" s="321" t="str">
        <f t="shared" si="512"/>
        <v>X-APCAT</v>
      </c>
      <c r="AD1184" s="321" t="str">
        <f t="shared" si="513"/>
        <v>X-APCAS</v>
      </c>
      <c r="AE1184" s="321" t="str">
        <f t="shared" si="514"/>
        <v>X-APCAX</v>
      </c>
      <c r="AF1184" s="321" t="str">
        <f t="shared" si="515"/>
        <v>X-APCAA</v>
      </c>
      <c r="AG1184" s="321">
        <f t="shared" si="528"/>
        <v>5</v>
      </c>
      <c r="AH1184" s="321">
        <f>IF(B1184&lt;&gt;"",IF(H1184="x",VLOOKUP(I1184,'AUX-NIV3'!B:AG,32,FALSE),0),"")</f>
        <v>0</v>
      </c>
      <c r="AI1184" s="321" t="str">
        <f t="shared" si="516"/>
        <v>X-APCA</v>
      </c>
      <c r="AJ1184" s="320"/>
      <c r="AK1184" s="322">
        <f t="shared" si="529"/>
        <v>1181</v>
      </c>
      <c r="AL1184" s="323">
        <f t="shared" si="517"/>
        <v>1185</v>
      </c>
      <c r="AM1184" s="322">
        <f t="shared" si="518"/>
        <v>4</v>
      </c>
      <c r="AN1184" s="380">
        <f>IF(AND(AH1184&gt;0,B1184&lt;&gt;""),VLOOKUP(I1184,'AUX-NIV3'!$B:$AO,39,FALSE)*O1184,0)</f>
        <v>0</v>
      </c>
      <c r="AO1184" s="380">
        <f t="shared" si="530"/>
        <v>0.20766723356009073</v>
      </c>
      <c r="AP1184" s="380"/>
    </row>
    <row r="1185" spans="2:42" ht="14.4" hidden="1" thickTop="1" thickBot="1">
      <c r="B1185" s="501" t="s">
        <v>2991</v>
      </c>
      <c r="C1185" s="950" t="s">
        <v>2992</v>
      </c>
      <c r="D1185" s="326" t="s">
        <v>1160</v>
      </c>
      <c r="E1185" s="327">
        <f>IF(B1185&lt;&gt;"",SUMIF('AUX-NIV1'!I:I,'AUX-NIV2'!B1185,'AUX-NIV1'!Q:Q),"")</f>
        <v>0</v>
      </c>
      <c r="F1185" s="327">
        <f t="shared" si="520"/>
        <v>470.87593999451957</v>
      </c>
      <c r="G1185" s="327">
        <f t="shared" si="521"/>
        <v>0</v>
      </c>
      <c r="H1185" s="328" t="str">
        <f t="shared" si="535"/>
        <v>E</v>
      </c>
      <c r="I1185" s="325" t="s">
        <v>1605</v>
      </c>
      <c r="J1185" s="329" t="str">
        <f>IF(B1185&lt;&gt;"",+VLOOKUP(I1185,Recursos!C:F,2,FALSE),"")</f>
        <v>GRILLA FIJA</v>
      </c>
      <c r="K1185" s="330" t="str">
        <f>IF(B1185&lt;&gt;"",+VLOOKUP(I1185,Recursos!C:F,3,FALSE),"")</f>
        <v>HR</v>
      </c>
      <c r="L1185" s="446">
        <f>IF(B1185&lt;&gt;"",+VLOOKUP(I1185,Recursos!C:F,4,FALSE),"")</f>
        <v>346.38685714285714</v>
      </c>
      <c r="M1185" s="727"/>
      <c r="N1185" s="728"/>
      <c r="O1185" s="449">
        <f>1/M1181</f>
        <v>0.04</v>
      </c>
      <c r="P1185" s="333">
        <f t="shared" si="536"/>
        <v>13.855474285714285</v>
      </c>
      <c r="Q1185" s="327">
        <f t="shared" si="537"/>
        <v>0</v>
      </c>
      <c r="R1185" s="334">
        <f t="shared" si="538"/>
        <v>0</v>
      </c>
      <c r="S1185" s="335">
        <f t="shared" si="522"/>
        <v>45.969819104471533</v>
      </c>
      <c r="T1185" s="335">
        <f t="shared" si="523"/>
        <v>84.298162285714284</v>
      </c>
      <c r="U1185" s="336">
        <f t="shared" si="524"/>
        <v>0</v>
      </c>
      <c r="V1185" s="336">
        <f t="shared" si="525"/>
        <v>0</v>
      </c>
      <c r="W1185" s="336">
        <f t="shared" si="526"/>
        <v>0</v>
      </c>
      <c r="X1185" s="336">
        <f t="shared" si="527"/>
        <v>340.6079586043337</v>
      </c>
      <c r="Y1185" s="320"/>
      <c r="Z1185" s="321" t="str">
        <f t="shared" si="509"/>
        <v>X-APCAA</v>
      </c>
      <c r="AA1185" s="321" t="str">
        <f t="shared" si="510"/>
        <v>X-APCAE</v>
      </c>
      <c r="AB1185" s="321" t="str">
        <f t="shared" si="511"/>
        <v>X-APCAM</v>
      </c>
      <c r="AC1185" s="321" t="str">
        <f t="shared" si="512"/>
        <v>X-APCAT</v>
      </c>
      <c r="AD1185" s="321" t="str">
        <f t="shared" si="513"/>
        <v>X-APCAS</v>
      </c>
      <c r="AE1185" s="321" t="str">
        <f t="shared" si="514"/>
        <v>X-APCAX</v>
      </c>
      <c r="AF1185" s="321" t="str">
        <f t="shared" si="515"/>
        <v>X-APCAE</v>
      </c>
      <c r="AG1185" s="321">
        <f t="shared" si="528"/>
        <v>5</v>
      </c>
      <c r="AH1185" s="321">
        <f>IF(B1185&lt;&gt;"",IF(H1185="x",VLOOKUP(I1185,'AUX-NIV3'!B:AG,32,FALSE),0),"")</f>
        <v>0</v>
      </c>
      <c r="AI1185" s="321" t="str">
        <f t="shared" si="516"/>
        <v>X-APCA</v>
      </c>
      <c r="AJ1185" s="320"/>
      <c r="AK1185" s="322">
        <f t="shared" si="529"/>
        <v>1181</v>
      </c>
      <c r="AL1185" s="323">
        <f t="shared" si="517"/>
        <v>1185</v>
      </c>
      <c r="AM1185" s="322">
        <f t="shared" si="518"/>
        <v>5</v>
      </c>
      <c r="AN1185" s="380">
        <f>IF(AND(AH1185&gt;0,B1185&lt;&gt;""),VLOOKUP(I1185,'AUX-NIV3'!$B:$AO,39,FALSE)*O1185,0)</f>
        <v>0</v>
      </c>
      <c r="AO1185" s="380">
        <f t="shared" si="530"/>
        <v>0.20766723356009073</v>
      </c>
      <c r="AP1185" s="380"/>
    </row>
    <row r="1186" spans="2:42" ht="14.4" hidden="1" thickTop="1" thickBot="1">
      <c r="B1186" s="501" t="s">
        <v>3014</v>
      </c>
      <c r="C1186" s="951" t="s">
        <v>3013</v>
      </c>
      <c r="D1186" s="326" t="s">
        <v>1160</v>
      </c>
      <c r="E1186" s="327">
        <f>IF(B1186&lt;&gt;"",SUMIF('AUX-NIV1'!I:I,'AUX-NIV2'!B1186,'AUX-NIV1'!Q:Q),"")</f>
        <v>0</v>
      </c>
      <c r="F1186" s="327">
        <f t="shared" si="520"/>
        <v>130.26798139018581</v>
      </c>
      <c r="G1186" s="327">
        <f t="shared" si="521"/>
        <v>0</v>
      </c>
      <c r="H1186" s="328" t="str">
        <f t="shared" ref="H1186:H1190" si="539">IF(B1186&lt;&gt;"",+LEFT(I1186,1),"")</f>
        <v>E</v>
      </c>
      <c r="I1186" s="325" t="s">
        <v>1549</v>
      </c>
      <c r="J1186" s="329" t="str">
        <f>IF(B1186&lt;&gt;"",+VLOOKUP(I1186,Recursos!C:F,2,FALSE),"")</f>
        <v>RETROEXC. CARG. S/ROD.NEUM. 0.24 M3</v>
      </c>
      <c r="K1186" s="330" t="str">
        <f>IF(B1186&lt;&gt;"",+VLOOKUP(I1186,Recursos!C:F,3,FALSE),"")</f>
        <v>HR</v>
      </c>
      <c r="L1186" s="446">
        <f>IF(B1186&lt;&gt;"",+VLOOKUP(I1186,Recursos!C:F,4,FALSE),"")</f>
        <v>1761.0672000000002</v>
      </c>
      <c r="M1186" s="731">
        <v>25</v>
      </c>
      <c r="N1186" s="724"/>
      <c r="O1186" s="449">
        <f>1/M1186</f>
        <v>0.04</v>
      </c>
      <c r="P1186" s="333">
        <f t="shared" ref="P1186:P1190" si="540">IF(B1186&lt;&gt;"",O1186*L1186,"")</f>
        <v>70.442688000000004</v>
      </c>
      <c r="Q1186" s="327">
        <f t="shared" ref="Q1186:Q1190" si="541">IF(B1186&lt;&gt;"",+O1186*E1186,"")</f>
        <v>0</v>
      </c>
      <c r="R1186" s="334">
        <f t="shared" ref="R1186:R1190" si="542">IF(B1186&lt;&gt;"",Q1186*L1186,"")</f>
        <v>0</v>
      </c>
      <c r="S1186" s="335">
        <f t="shared" si="522"/>
        <v>45.969819104471533</v>
      </c>
      <c r="T1186" s="335">
        <f t="shared" si="523"/>
        <v>84.298162285714284</v>
      </c>
      <c r="U1186" s="336">
        <f t="shared" si="524"/>
        <v>0</v>
      </c>
      <c r="V1186" s="336">
        <f t="shared" si="525"/>
        <v>0</v>
      </c>
      <c r="W1186" s="336">
        <f t="shared" si="526"/>
        <v>0</v>
      </c>
      <c r="X1186" s="336">
        <f t="shared" si="527"/>
        <v>0</v>
      </c>
      <c r="Y1186" s="320"/>
      <c r="Z1186" s="321" t="str">
        <f t="shared" ref="Z1186:Z1203" si="543">IF(B1186&lt;&gt;"",+$B1186&amp;"A","")</f>
        <v>X-APPEA</v>
      </c>
      <c r="AA1186" s="321" t="str">
        <f t="shared" ref="AA1186:AA1203" si="544">IF(B1186&lt;&gt;"",+$B1186&amp;"E","")</f>
        <v>X-APPEE</v>
      </c>
      <c r="AB1186" s="321" t="str">
        <f t="shared" ref="AB1186:AB1203" si="545">IF(B1186&lt;&gt;"",++$B1186&amp;"M","")</f>
        <v>X-APPEM</v>
      </c>
      <c r="AC1186" s="321" t="str">
        <f t="shared" ref="AC1186:AC1203" si="546">IF(B1186&lt;&gt;"",+$B1186&amp;"T","")</f>
        <v>X-APPET</v>
      </c>
      <c r="AD1186" s="321" t="str">
        <f t="shared" ref="AD1186:AD1203" si="547">IF(B1186&lt;&gt;"",+$B1186&amp;"S","")</f>
        <v>X-APPES</v>
      </c>
      <c r="AE1186" s="321" t="str">
        <f t="shared" ref="AE1186:AE1203" si="548">IF(B1186&lt;&gt;"",+$B1186&amp;"X","")</f>
        <v>X-APPEX</v>
      </c>
      <c r="AF1186" s="321" t="str">
        <f t="shared" ref="AF1186:AF1203" si="549">IF(B1186&lt;&gt;"",+B1186&amp;H1186,"")</f>
        <v>X-APPEE</v>
      </c>
      <c r="AG1186" s="321">
        <f t="shared" si="528"/>
        <v>5</v>
      </c>
      <c r="AH1186" s="321">
        <f>IF(B1186&lt;&gt;"",IF(H1186="x",VLOOKUP(I1186,'AUX-NIV3'!B:AG,32,FALSE),0),"")</f>
        <v>0</v>
      </c>
      <c r="AI1186" s="321" t="str">
        <f t="shared" ref="AI1186:AI1203" si="550">IF(B1186&lt;&gt;"",+B1186,"")</f>
        <v>X-APPE</v>
      </c>
      <c r="AJ1186" s="320"/>
      <c r="AK1186" s="322">
        <f t="shared" si="529"/>
        <v>1186</v>
      </c>
      <c r="AL1186" s="323">
        <f t="shared" ref="AL1186:AL1203" si="551">IF(B1186&lt;&gt;"",+AK1186+AG1186-1,"")</f>
        <v>1190</v>
      </c>
      <c r="AM1186" s="322" t="e">
        <f>IF(B1186&lt;&gt;"",IF(B1186=#REF!,1+#REF!,1),"")</f>
        <v>#REF!</v>
      </c>
      <c r="AN1186" s="380">
        <f>IF(AND(AH1186&gt;0,B1186&lt;&gt;""),VLOOKUP(I1186,'AUX-NIV3'!$B:$AO,39,FALSE)*O1186,0)</f>
        <v>0</v>
      </c>
      <c r="AO1186" s="380">
        <f t="shared" si="530"/>
        <v>0.1</v>
      </c>
      <c r="AP1186" s="380"/>
    </row>
    <row r="1187" spans="2:42" ht="14.4" hidden="1" thickTop="1" thickBot="1">
      <c r="B1187" s="501" t="s">
        <v>3014</v>
      </c>
      <c r="C1187" s="951" t="s">
        <v>3013</v>
      </c>
      <c r="D1187" s="326" t="s">
        <v>1160</v>
      </c>
      <c r="E1187" s="327">
        <f>IF(B1187&lt;&gt;"",SUMIF('AUX-NIV1'!I:I,'AUX-NIV2'!B1187,'AUX-NIV1'!Q:Q),"")</f>
        <v>0</v>
      </c>
      <c r="F1187" s="327">
        <f t="shared" si="520"/>
        <v>130.26798139018581</v>
      </c>
      <c r="G1187" s="327">
        <f t="shared" si="521"/>
        <v>0</v>
      </c>
      <c r="H1187" s="328" t="str">
        <f t="shared" si="539"/>
        <v>A</v>
      </c>
      <c r="I1187" s="325" t="s">
        <v>1746</v>
      </c>
      <c r="J1187" s="329" t="str">
        <f>IF(B1187&lt;&gt;"",+VLOOKUP(I1187,Recursos!C:F,2,FALSE),"")</f>
        <v>OFICIAL</v>
      </c>
      <c r="K1187" s="330" t="str">
        <f>IF(B1187&lt;&gt;"",+VLOOKUP(I1187,Recursos!C:F,3,FALSE),"")</f>
        <v>hh</v>
      </c>
      <c r="L1187" s="446">
        <f>IF(B1187&lt;&gt;"",+VLOOKUP(I1187,Recursos!C:F,4,FALSE),"")</f>
        <v>496.91595439275824</v>
      </c>
      <c r="M1187" s="725"/>
      <c r="N1187" s="732">
        <v>1.25</v>
      </c>
      <c r="O1187" s="449">
        <f>N1187/M1186</f>
        <v>0.05</v>
      </c>
      <c r="P1187" s="333">
        <f t="shared" si="540"/>
        <v>24.845797719637915</v>
      </c>
      <c r="Q1187" s="327">
        <f t="shared" si="541"/>
        <v>0</v>
      </c>
      <c r="R1187" s="334">
        <f t="shared" si="542"/>
        <v>0</v>
      </c>
      <c r="S1187" s="335">
        <f t="shared" si="522"/>
        <v>45.969819104471533</v>
      </c>
      <c r="T1187" s="335">
        <f t="shared" si="523"/>
        <v>84.298162285714284</v>
      </c>
      <c r="U1187" s="336">
        <f t="shared" si="524"/>
        <v>0</v>
      </c>
      <c r="V1187" s="336">
        <f t="shared" si="525"/>
        <v>0</v>
      </c>
      <c r="W1187" s="336">
        <f t="shared" si="526"/>
        <v>0</v>
      </c>
      <c r="X1187" s="336">
        <f t="shared" si="527"/>
        <v>0</v>
      </c>
      <c r="Y1187" s="320"/>
      <c r="Z1187" s="321" t="str">
        <f t="shared" si="543"/>
        <v>X-APPEA</v>
      </c>
      <c r="AA1187" s="321" t="str">
        <f t="shared" si="544"/>
        <v>X-APPEE</v>
      </c>
      <c r="AB1187" s="321" t="str">
        <f t="shared" si="545"/>
        <v>X-APPEM</v>
      </c>
      <c r="AC1187" s="321" t="str">
        <f t="shared" si="546"/>
        <v>X-APPET</v>
      </c>
      <c r="AD1187" s="321" t="str">
        <f t="shared" si="547"/>
        <v>X-APPES</v>
      </c>
      <c r="AE1187" s="321" t="str">
        <f t="shared" si="548"/>
        <v>X-APPEX</v>
      </c>
      <c r="AF1187" s="321" t="str">
        <f t="shared" si="549"/>
        <v>X-APPEA</v>
      </c>
      <c r="AG1187" s="321">
        <f t="shared" si="528"/>
        <v>5</v>
      </c>
      <c r="AH1187" s="321">
        <f>IF(B1187&lt;&gt;"",IF(H1187="x",VLOOKUP(I1187,'AUX-NIV3'!B:AG,32,FALSE),0),"")</f>
        <v>0</v>
      </c>
      <c r="AI1187" s="321" t="str">
        <f t="shared" si="550"/>
        <v>X-APPE</v>
      </c>
      <c r="AJ1187" s="320"/>
      <c r="AK1187" s="322">
        <f t="shared" si="529"/>
        <v>1186</v>
      </c>
      <c r="AL1187" s="323">
        <f t="shared" si="551"/>
        <v>1190</v>
      </c>
      <c r="AM1187" s="322" t="e">
        <f t="shared" ref="AM1187:AM1203" si="552">IF(B1187&lt;&gt;"",IF(B1187=B1186,1+AM1186,1),"")</f>
        <v>#REF!</v>
      </c>
      <c r="AN1187" s="380">
        <f>IF(AND(AH1187&gt;0,B1187&lt;&gt;""),VLOOKUP(I1187,'AUX-NIV3'!$B:$AO,39,FALSE)*O1187,0)</f>
        <v>0</v>
      </c>
      <c r="AO1187" s="380">
        <f t="shared" si="530"/>
        <v>0.1</v>
      </c>
      <c r="AP1187" s="380"/>
    </row>
    <row r="1188" spans="2:42" ht="14.4" hidden="1" thickTop="1" thickBot="1">
      <c r="B1188" s="501" t="s">
        <v>3014</v>
      </c>
      <c r="C1188" s="951" t="s">
        <v>3013</v>
      </c>
      <c r="D1188" s="326" t="s">
        <v>1160</v>
      </c>
      <c r="E1188" s="327">
        <f>IF(B1188&lt;&gt;"",SUMIF('AUX-NIV1'!I:I,'AUX-NIV2'!B1188,'AUX-NIV1'!Q:Q),"")</f>
        <v>0</v>
      </c>
      <c r="F1188" s="327">
        <f t="shared" si="520"/>
        <v>130.26798139018581</v>
      </c>
      <c r="G1188" s="327">
        <f t="shared" si="521"/>
        <v>0</v>
      </c>
      <c r="H1188" s="328" t="str">
        <f t="shared" si="539"/>
        <v>X</v>
      </c>
      <c r="I1188" s="729" t="s">
        <v>2984</v>
      </c>
      <c r="J1188" s="329" t="str">
        <f>IF(B1188&lt;&gt;"",+VLOOKUP(I1188,Recursos!C:F,2,FALSE),"")</f>
        <v>Transporte de Suelo DMT 20 km</v>
      </c>
      <c r="K1188" s="330" t="str">
        <f>IF(B1188&lt;&gt;"",+VLOOKUP(I1188,Recursos!C:F,3,FALSE),"")</f>
        <v>m3s.km</v>
      </c>
      <c r="L1188" s="446">
        <f>IF(B1188&lt;&gt;"",+VLOOKUP(I1188,Recursos!C:F,4,FALSE),"")</f>
        <v>17.030397930216687</v>
      </c>
      <c r="M1188" s="730">
        <v>0</v>
      </c>
      <c r="N1188" s="726"/>
      <c r="O1188" s="449">
        <f>M1188</f>
        <v>0</v>
      </c>
      <c r="P1188" s="333">
        <f t="shared" si="540"/>
        <v>0</v>
      </c>
      <c r="Q1188" s="327">
        <f t="shared" si="541"/>
        <v>0</v>
      </c>
      <c r="R1188" s="334">
        <f t="shared" si="542"/>
        <v>0</v>
      </c>
      <c r="S1188" s="335">
        <f t="shared" si="522"/>
        <v>45.969819104471533</v>
      </c>
      <c r="T1188" s="335">
        <f t="shared" si="523"/>
        <v>84.298162285714284</v>
      </c>
      <c r="U1188" s="336">
        <f t="shared" si="524"/>
        <v>0</v>
      </c>
      <c r="V1188" s="336">
        <f t="shared" si="525"/>
        <v>0</v>
      </c>
      <c r="W1188" s="336">
        <f t="shared" si="526"/>
        <v>0</v>
      </c>
      <c r="X1188" s="336">
        <f t="shared" si="527"/>
        <v>0</v>
      </c>
      <c r="Y1188" s="320"/>
      <c r="Z1188" s="321" t="str">
        <f t="shared" si="543"/>
        <v>X-APPEA</v>
      </c>
      <c r="AA1188" s="321" t="str">
        <f t="shared" si="544"/>
        <v>X-APPEE</v>
      </c>
      <c r="AB1188" s="321" t="str">
        <f t="shared" si="545"/>
        <v>X-APPEM</v>
      </c>
      <c r="AC1188" s="321" t="str">
        <f t="shared" si="546"/>
        <v>X-APPET</v>
      </c>
      <c r="AD1188" s="321" t="str">
        <f t="shared" si="547"/>
        <v>X-APPES</v>
      </c>
      <c r="AE1188" s="321" t="str">
        <f t="shared" si="548"/>
        <v>X-APPEX</v>
      </c>
      <c r="AF1188" s="321" t="str">
        <f t="shared" si="549"/>
        <v>X-APPEX</v>
      </c>
      <c r="AG1188" s="321">
        <f t="shared" si="528"/>
        <v>5</v>
      </c>
      <c r="AH1188" s="321">
        <f>IF(B1188&lt;&gt;"",IF(H1188="x",VLOOKUP(I1188,'AUX-NIV3'!B:AG,32,FALSE),0),"")</f>
        <v>2</v>
      </c>
      <c r="AI1188" s="321" t="str">
        <f t="shared" si="550"/>
        <v>X-APPE</v>
      </c>
      <c r="AJ1188" s="320"/>
      <c r="AK1188" s="322">
        <f t="shared" si="529"/>
        <v>1186</v>
      </c>
      <c r="AL1188" s="323">
        <f t="shared" si="551"/>
        <v>1190</v>
      </c>
      <c r="AM1188" s="322" t="e">
        <f t="shared" si="552"/>
        <v>#REF!</v>
      </c>
      <c r="AN1188" s="380">
        <f>IF(AND(AH1188&gt;0,B1188&lt;&gt;""),VLOOKUP(I1188,'AUX-NIV3'!$B:$AO,39,FALSE)*O1188,0)</f>
        <v>0</v>
      </c>
      <c r="AO1188" s="380">
        <f t="shared" si="530"/>
        <v>0.1</v>
      </c>
      <c r="AP1188" s="380"/>
    </row>
    <row r="1189" spans="2:42" ht="14.4" hidden="1" thickTop="1" thickBot="1">
      <c r="B1189" s="501" t="s">
        <v>3014</v>
      </c>
      <c r="C1189" s="951" t="s">
        <v>3013</v>
      </c>
      <c r="D1189" s="326" t="s">
        <v>1160</v>
      </c>
      <c r="E1189" s="327">
        <f>IF(B1189&lt;&gt;"",SUMIF('AUX-NIV1'!I:I,'AUX-NIV2'!B1189,'AUX-NIV1'!Q:Q),"")</f>
        <v>0</v>
      </c>
      <c r="F1189" s="327">
        <f t="shared" si="520"/>
        <v>130.26798139018581</v>
      </c>
      <c r="G1189" s="327">
        <f t="shared" si="521"/>
        <v>0</v>
      </c>
      <c r="H1189" s="328" t="str">
        <f t="shared" si="539"/>
        <v>A</v>
      </c>
      <c r="I1189" s="729" t="s">
        <v>1745</v>
      </c>
      <c r="J1189" s="329" t="str">
        <f>IF(B1189&lt;&gt;"",+VLOOKUP(I1189,Recursos!C:F,2,FALSE),"")</f>
        <v>AYUDANTE</v>
      </c>
      <c r="K1189" s="330" t="str">
        <f>IF(B1189&lt;&gt;"",+VLOOKUP(I1189,Recursos!C:F,3,FALSE),"")</f>
        <v>hh</v>
      </c>
      <c r="L1189" s="446">
        <f>IF(B1189&lt;&gt;"",+VLOOKUP(I1189,Recursos!C:F,4,FALSE),"")</f>
        <v>422.48042769667234</v>
      </c>
      <c r="M1189" s="725"/>
      <c r="N1189" s="726"/>
      <c r="O1189" s="449">
        <f>N1187/M1186</f>
        <v>0.05</v>
      </c>
      <c r="P1189" s="333">
        <f t="shared" si="540"/>
        <v>21.124021384833618</v>
      </c>
      <c r="Q1189" s="327">
        <f t="shared" si="541"/>
        <v>0</v>
      </c>
      <c r="R1189" s="334">
        <f t="shared" si="542"/>
        <v>0</v>
      </c>
      <c r="S1189" s="335">
        <f t="shared" si="522"/>
        <v>45.969819104471533</v>
      </c>
      <c r="T1189" s="335">
        <f t="shared" si="523"/>
        <v>84.298162285714284</v>
      </c>
      <c r="U1189" s="336">
        <f t="shared" si="524"/>
        <v>0</v>
      </c>
      <c r="V1189" s="336">
        <f t="shared" si="525"/>
        <v>0</v>
      </c>
      <c r="W1189" s="336">
        <f t="shared" si="526"/>
        <v>0</v>
      </c>
      <c r="X1189" s="336">
        <f t="shared" si="527"/>
        <v>0</v>
      </c>
      <c r="Y1189" s="320"/>
      <c r="Z1189" s="321" t="str">
        <f t="shared" si="543"/>
        <v>X-APPEA</v>
      </c>
      <c r="AA1189" s="321" t="str">
        <f t="shared" si="544"/>
        <v>X-APPEE</v>
      </c>
      <c r="AB1189" s="321" t="str">
        <f t="shared" si="545"/>
        <v>X-APPEM</v>
      </c>
      <c r="AC1189" s="321" t="str">
        <f t="shared" si="546"/>
        <v>X-APPET</v>
      </c>
      <c r="AD1189" s="321" t="str">
        <f t="shared" si="547"/>
        <v>X-APPES</v>
      </c>
      <c r="AE1189" s="321" t="str">
        <f t="shared" si="548"/>
        <v>X-APPEX</v>
      </c>
      <c r="AF1189" s="321" t="str">
        <f t="shared" si="549"/>
        <v>X-APPEA</v>
      </c>
      <c r="AG1189" s="321">
        <f t="shared" si="528"/>
        <v>5</v>
      </c>
      <c r="AH1189" s="321">
        <f>IF(B1189&lt;&gt;"",IF(H1189="x",VLOOKUP(I1189,'AUX-NIV3'!B:AG,32,FALSE),0),"")</f>
        <v>0</v>
      </c>
      <c r="AI1189" s="321" t="str">
        <f t="shared" si="550"/>
        <v>X-APPE</v>
      </c>
      <c r="AJ1189" s="320"/>
      <c r="AK1189" s="322">
        <f t="shared" si="529"/>
        <v>1186</v>
      </c>
      <c r="AL1189" s="323">
        <f t="shared" si="551"/>
        <v>1190</v>
      </c>
      <c r="AM1189" s="322" t="e">
        <f t="shared" si="552"/>
        <v>#REF!</v>
      </c>
      <c r="AN1189" s="380">
        <f>IF(AND(AH1189&gt;0,B1189&lt;&gt;""),VLOOKUP(I1189,'AUX-NIV3'!$B:$AO,39,FALSE)*O1189,0)</f>
        <v>0</v>
      </c>
      <c r="AO1189" s="380">
        <f t="shared" si="530"/>
        <v>0.1</v>
      </c>
      <c r="AP1189" s="380"/>
    </row>
    <row r="1190" spans="2:42" ht="14.4" hidden="1" thickTop="1" thickBot="1">
      <c r="B1190" s="501" t="s">
        <v>3014</v>
      </c>
      <c r="C1190" s="951" t="s">
        <v>3013</v>
      </c>
      <c r="D1190" s="326" t="s">
        <v>1160</v>
      </c>
      <c r="E1190" s="327">
        <f>IF(B1190&lt;&gt;"",SUMIF('AUX-NIV1'!I:I,'AUX-NIV2'!B1190,'AUX-NIV1'!Q:Q),"")</f>
        <v>0</v>
      </c>
      <c r="F1190" s="327">
        <f t="shared" si="520"/>
        <v>130.26798139018581</v>
      </c>
      <c r="G1190" s="327">
        <f t="shared" si="521"/>
        <v>0</v>
      </c>
      <c r="H1190" s="328" t="str">
        <f t="shared" si="539"/>
        <v>E</v>
      </c>
      <c r="I1190" s="325" t="s">
        <v>1605</v>
      </c>
      <c r="J1190" s="329" t="str">
        <f>IF(B1190&lt;&gt;"",+VLOOKUP(I1190,Recursos!C:F,2,FALSE),"")</f>
        <v>GRILLA FIJA</v>
      </c>
      <c r="K1190" s="330" t="str">
        <f>IF(B1190&lt;&gt;"",+VLOOKUP(I1190,Recursos!C:F,3,FALSE),"")</f>
        <v>HR</v>
      </c>
      <c r="L1190" s="446">
        <f>IF(B1190&lt;&gt;"",+VLOOKUP(I1190,Recursos!C:F,4,FALSE),"")</f>
        <v>346.38685714285714</v>
      </c>
      <c r="M1190" s="727"/>
      <c r="N1190" s="728"/>
      <c r="O1190" s="449">
        <f>1/M1186</f>
        <v>0.04</v>
      </c>
      <c r="P1190" s="333">
        <f t="shared" si="540"/>
        <v>13.855474285714285</v>
      </c>
      <c r="Q1190" s="327">
        <f t="shared" si="541"/>
        <v>0</v>
      </c>
      <c r="R1190" s="334">
        <f t="shared" si="542"/>
        <v>0</v>
      </c>
      <c r="S1190" s="335">
        <f t="shared" si="522"/>
        <v>45.969819104471533</v>
      </c>
      <c r="T1190" s="335">
        <f t="shared" si="523"/>
        <v>84.298162285714284</v>
      </c>
      <c r="U1190" s="336">
        <f t="shared" si="524"/>
        <v>0</v>
      </c>
      <c r="V1190" s="336">
        <f t="shared" si="525"/>
        <v>0</v>
      </c>
      <c r="W1190" s="336">
        <f t="shared" si="526"/>
        <v>0</v>
      </c>
      <c r="X1190" s="336">
        <f t="shared" si="527"/>
        <v>0</v>
      </c>
      <c r="Y1190" s="320"/>
      <c r="Z1190" s="321" t="str">
        <f t="shared" si="543"/>
        <v>X-APPEA</v>
      </c>
      <c r="AA1190" s="321" t="str">
        <f t="shared" si="544"/>
        <v>X-APPEE</v>
      </c>
      <c r="AB1190" s="321" t="str">
        <f t="shared" si="545"/>
        <v>X-APPEM</v>
      </c>
      <c r="AC1190" s="321" t="str">
        <f t="shared" si="546"/>
        <v>X-APPET</v>
      </c>
      <c r="AD1190" s="321" t="str">
        <f t="shared" si="547"/>
        <v>X-APPES</v>
      </c>
      <c r="AE1190" s="321" t="str">
        <f t="shared" si="548"/>
        <v>X-APPEX</v>
      </c>
      <c r="AF1190" s="321" t="str">
        <f t="shared" si="549"/>
        <v>X-APPEE</v>
      </c>
      <c r="AG1190" s="321">
        <f t="shared" si="528"/>
        <v>5</v>
      </c>
      <c r="AH1190" s="321">
        <f>IF(B1190&lt;&gt;"",IF(H1190="x",VLOOKUP(I1190,'AUX-NIV3'!B:AG,32,FALSE),0),"")</f>
        <v>0</v>
      </c>
      <c r="AI1190" s="321" t="str">
        <f t="shared" si="550"/>
        <v>X-APPE</v>
      </c>
      <c r="AJ1190" s="320"/>
      <c r="AK1190" s="322">
        <f t="shared" si="529"/>
        <v>1186</v>
      </c>
      <c r="AL1190" s="323">
        <f t="shared" si="551"/>
        <v>1190</v>
      </c>
      <c r="AM1190" s="322" t="e">
        <f t="shared" si="552"/>
        <v>#REF!</v>
      </c>
      <c r="AN1190" s="380">
        <f>IF(AND(AH1190&gt;0,B1190&lt;&gt;""),VLOOKUP(I1190,'AUX-NIV3'!$B:$AO,39,FALSE)*O1190,0)</f>
        <v>0</v>
      </c>
      <c r="AO1190" s="380">
        <f t="shared" si="530"/>
        <v>0.1</v>
      </c>
      <c r="AP1190" s="380"/>
    </row>
    <row r="1191" spans="2:42" ht="14.4" hidden="1" thickTop="1" thickBot="1">
      <c r="B1191" s="501" t="s">
        <v>3015</v>
      </c>
      <c r="C1191" s="951" t="s">
        <v>3016</v>
      </c>
      <c r="D1191" s="326" t="s">
        <v>1160</v>
      </c>
      <c r="E1191" s="327">
        <f>IF(B1191&lt;&gt;"",SUMIF('AUX-NIV1'!I:I,'AUX-NIV2'!B1191,'AUX-NIV1'!Q:Q),"")</f>
        <v>0</v>
      </c>
      <c r="F1191" s="327">
        <f t="shared" si="520"/>
        <v>148.28341334967334</v>
      </c>
      <c r="G1191" s="327">
        <f t="shared" si="521"/>
        <v>0</v>
      </c>
      <c r="H1191" s="328" t="str">
        <f t="shared" ref="H1191:H1213" si="553">IF(B1191&lt;&gt;"",+LEFT(I1191,1),"")</f>
        <v>E</v>
      </c>
      <c r="I1191" s="325" t="s">
        <v>1549</v>
      </c>
      <c r="J1191" s="329" t="str">
        <f>IF(B1191&lt;&gt;"",+VLOOKUP(I1191,Recursos!C:F,2,FALSE),"")</f>
        <v>RETROEXC. CARG. S/ROD.NEUM. 0.24 M3</v>
      </c>
      <c r="K1191" s="330" t="str">
        <f>IF(B1191&lt;&gt;"",+VLOOKUP(I1191,Recursos!C:F,3,FALSE),"")</f>
        <v>HR</v>
      </c>
      <c r="L1191" s="446">
        <f>IF(B1191&lt;&gt;"",+VLOOKUP(I1191,Recursos!C:F,4,FALSE),"")</f>
        <v>1761.0672000000002</v>
      </c>
      <c r="M1191" s="731">
        <v>25</v>
      </c>
      <c r="N1191" s="724"/>
      <c r="O1191" s="449">
        <f>1/M1191*50%+1/M1195*50%</f>
        <v>4.4999999999999998E-2</v>
      </c>
      <c r="P1191" s="333">
        <f t="shared" ref="P1191:P1213" si="554">IF(B1191&lt;&gt;"",O1191*L1191,"")</f>
        <v>79.248024000000001</v>
      </c>
      <c r="Q1191" s="327">
        <f t="shared" ref="Q1191:Q1213" si="555">IF(B1191&lt;&gt;"",+O1191*E1191,"")</f>
        <v>0</v>
      </c>
      <c r="R1191" s="334">
        <f t="shared" ref="R1191:R1213" si="556">IF(B1191&lt;&gt;"",Q1191*L1191,"")</f>
        <v>0</v>
      </c>
      <c r="S1191" s="335">
        <f t="shared" si="522"/>
        <v>51.716046492530467</v>
      </c>
      <c r="T1191" s="335">
        <f t="shared" si="523"/>
        <v>96.567366857142858</v>
      </c>
      <c r="U1191" s="336">
        <f t="shared" si="524"/>
        <v>0</v>
      </c>
      <c r="V1191" s="336">
        <f t="shared" si="525"/>
        <v>0</v>
      </c>
      <c r="W1191" s="336">
        <f t="shared" si="526"/>
        <v>0</v>
      </c>
      <c r="X1191" s="336">
        <f t="shared" si="527"/>
        <v>0</v>
      </c>
      <c r="Y1191" s="320"/>
      <c r="Z1191" s="321" t="str">
        <f t="shared" si="543"/>
        <v>X-APRSA</v>
      </c>
      <c r="AA1191" s="321" t="str">
        <f t="shared" si="544"/>
        <v>X-APRSE</v>
      </c>
      <c r="AB1191" s="321" t="str">
        <f t="shared" si="545"/>
        <v>X-APRSM</v>
      </c>
      <c r="AC1191" s="321" t="str">
        <f t="shared" si="546"/>
        <v>X-APRST</v>
      </c>
      <c r="AD1191" s="321" t="str">
        <f t="shared" si="547"/>
        <v>X-APRSS</v>
      </c>
      <c r="AE1191" s="321" t="str">
        <f t="shared" si="548"/>
        <v>X-APRSX</v>
      </c>
      <c r="AF1191" s="321" t="str">
        <f t="shared" si="549"/>
        <v>X-APRSE</v>
      </c>
      <c r="AG1191" s="321">
        <f t="shared" si="528"/>
        <v>5</v>
      </c>
      <c r="AH1191" s="321">
        <f>IF(B1191&lt;&gt;"",IF(H1191="x",VLOOKUP(I1191,'AUX-NIV3'!B:AG,32,FALSE),0),"")</f>
        <v>0</v>
      </c>
      <c r="AI1191" s="321" t="str">
        <f t="shared" si="550"/>
        <v>X-APRS</v>
      </c>
      <c r="AJ1191" s="320"/>
      <c r="AK1191" s="322">
        <f t="shared" si="529"/>
        <v>1191</v>
      </c>
      <c r="AL1191" s="323">
        <f t="shared" si="551"/>
        <v>1195</v>
      </c>
      <c r="AM1191" s="322">
        <f t="shared" si="552"/>
        <v>1</v>
      </c>
      <c r="AN1191" s="380">
        <f>IF(AND(AH1191&gt;0,B1191&lt;&gt;""),VLOOKUP(I1191,'AUX-NIV3'!$B:$AO,39,FALSE)*O1191,0)</f>
        <v>0</v>
      </c>
      <c r="AO1191" s="380">
        <f t="shared" si="530"/>
        <v>0.1125</v>
      </c>
      <c r="AP1191" s="380"/>
    </row>
    <row r="1192" spans="2:42" ht="14.4" hidden="1" thickTop="1" thickBot="1">
      <c r="B1192" s="501" t="s">
        <v>3015</v>
      </c>
      <c r="C1192" s="951" t="s">
        <v>3016</v>
      </c>
      <c r="D1192" s="326" t="s">
        <v>1160</v>
      </c>
      <c r="E1192" s="327">
        <f>IF(B1192&lt;&gt;"",SUMIF('AUX-NIV1'!I:I,'AUX-NIV2'!B1192,'AUX-NIV1'!Q:Q),"")</f>
        <v>0</v>
      </c>
      <c r="F1192" s="327">
        <f t="shared" si="520"/>
        <v>148.28341334967334</v>
      </c>
      <c r="G1192" s="327">
        <f t="shared" si="521"/>
        <v>0</v>
      </c>
      <c r="H1192" s="328" t="str">
        <f t="shared" si="553"/>
        <v>A</v>
      </c>
      <c r="I1192" s="325" t="s">
        <v>1746</v>
      </c>
      <c r="J1192" s="329" t="str">
        <f>IF(B1192&lt;&gt;"",+VLOOKUP(I1192,Recursos!C:F,2,FALSE),"")</f>
        <v>OFICIAL</v>
      </c>
      <c r="K1192" s="330" t="str">
        <f>IF(B1192&lt;&gt;"",+VLOOKUP(I1192,Recursos!C:F,3,FALSE),"")</f>
        <v>hh</v>
      </c>
      <c r="L1192" s="446">
        <f>IF(B1192&lt;&gt;"",+VLOOKUP(I1192,Recursos!C:F,4,FALSE),"")</f>
        <v>496.91595439275824</v>
      </c>
      <c r="M1192" s="725"/>
      <c r="N1192" s="732">
        <v>1.25</v>
      </c>
      <c r="O1192" s="449">
        <f>N1192/M1191*50%+N1192/M1195*50%</f>
        <v>5.6250000000000001E-2</v>
      </c>
      <c r="P1192" s="333">
        <f t="shared" si="554"/>
        <v>27.951522434592651</v>
      </c>
      <c r="Q1192" s="327">
        <f t="shared" si="555"/>
        <v>0</v>
      </c>
      <c r="R1192" s="334">
        <f t="shared" si="556"/>
        <v>0</v>
      </c>
      <c r="S1192" s="335">
        <f t="shared" si="522"/>
        <v>51.716046492530467</v>
      </c>
      <c r="T1192" s="335">
        <f t="shared" si="523"/>
        <v>96.567366857142858</v>
      </c>
      <c r="U1192" s="336">
        <f t="shared" si="524"/>
        <v>0</v>
      </c>
      <c r="V1192" s="336">
        <f t="shared" si="525"/>
        <v>0</v>
      </c>
      <c r="W1192" s="336">
        <f t="shared" si="526"/>
        <v>0</v>
      </c>
      <c r="X1192" s="336">
        <f t="shared" si="527"/>
        <v>0</v>
      </c>
      <c r="Y1192" s="320"/>
      <c r="Z1192" s="321" t="str">
        <f t="shared" si="543"/>
        <v>X-APRSA</v>
      </c>
      <c r="AA1192" s="321" t="str">
        <f t="shared" si="544"/>
        <v>X-APRSE</v>
      </c>
      <c r="AB1192" s="321" t="str">
        <f t="shared" si="545"/>
        <v>X-APRSM</v>
      </c>
      <c r="AC1192" s="321" t="str">
        <f t="shared" si="546"/>
        <v>X-APRST</v>
      </c>
      <c r="AD1192" s="321" t="str">
        <f t="shared" si="547"/>
        <v>X-APRSS</v>
      </c>
      <c r="AE1192" s="321" t="str">
        <f t="shared" si="548"/>
        <v>X-APRSX</v>
      </c>
      <c r="AF1192" s="321" t="str">
        <f t="shared" si="549"/>
        <v>X-APRSA</v>
      </c>
      <c r="AG1192" s="321">
        <f t="shared" si="528"/>
        <v>5</v>
      </c>
      <c r="AH1192" s="321">
        <f>IF(B1192&lt;&gt;"",IF(H1192="x",VLOOKUP(I1192,'AUX-NIV3'!B:AG,32,FALSE),0),"")</f>
        <v>0</v>
      </c>
      <c r="AI1192" s="321" t="str">
        <f t="shared" si="550"/>
        <v>X-APRS</v>
      </c>
      <c r="AJ1192" s="320"/>
      <c r="AK1192" s="322">
        <f t="shared" si="529"/>
        <v>1191</v>
      </c>
      <c r="AL1192" s="323">
        <f t="shared" si="551"/>
        <v>1195</v>
      </c>
      <c r="AM1192" s="322">
        <f t="shared" si="552"/>
        <v>2</v>
      </c>
      <c r="AN1192" s="380">
        <f>IF(AND(AH1192&gt;0,B1192&lt;&gt;""),VLOOKUP(I1192,'AUX-NIV3'!$B:$AO,39,FALSE)*O1192,0)</f>
        <v>0</v>
      </c>
      <c r="AO1192" s="380">
        <f t="shared" si="530"/>
        <v>0.1125</v>
      </c>
      <c r="AP1192" s="380"/>
    </row>
    <row r="1193" spans="2:42" ht="14.4" hidden="1" thickTop="1" thickBot="1">
      <c r="B1193" s="501" t="s">
        <v>3015</v>
      </c>
      <c r="C1193" s="951" t="s">
        <v>3016</v>
      </c>
      <c r="D1193" s="326" t="s">
        <v>1160</v>
      </c>
      <c r="E1193" s="327">
        <f>IF(B1193&lt;&gt;"",SUMIF('AUX-NIV1'!I:I,'AUX-NIV2'!B1193,'AUX-NIV1'!Q:Q),"")</f>
        <v>0</v>
      </c>
      <c r="F1193" s="327">
        <f t="shared" si="520"/>
        <v>148.28341334967334</v>
      </c>
      <c r="G1193" s="327">
        <f t="shared" si="521"/>
        <v>0</v>
      </c>
      <c r="H1193" s="328" t="str">
        <f t="shared" si="553"/>
        <v>X</v>
      </c>
      <c r="I1193" s="729" t="s">
        <v>2984</v>
      </c>
      <c r="J1193" s="329" t="str">
        <f>IF(B1193&lt;&gt;"",+VLOOKUP(I1193,Recursos!C:F,2,FALSE),"")</f>
        <v>Transporte de Suelo DMT 20 km</v>
      </c>
      <c r="K1193" s="330" t="str">
        <f>IF(B1193&lt;&gt;"",+VLOOKUP(I1193,Recursos!C:F,3,FALSE),"")</f>
        <v>m3s.km</v>
      </c>
      <c r="L1193" s="446">
        <f>IF(B1193&lt;&gt;"",+VLOOKUP(I1193,Recursos!C:F,4,FALSE),"")</f>
        <v>17.030397930216687</v>
      </c>
      <c r="M1193" s="730">
        <v>0</v>
      </c>
      <c r="N1193" s="726"/>
      <c r="O1193" s="449">
        <f>M1193</f>
        <v>0</v>
      </c>
      <c r="P1193" s="333">
        <f t="shared" si="554"/>
        <v>0</v>
      </c>
      <c r="Q1193" s="327">
        <f t="shared" si="555"/>
        <v>0</v>
      </c>
      <c r="R1193" s="334">
        <f t="shared" si="556"/>
        <v>0</v>
      </c>
      <c r="S1193" s="335">
        <f t="shared" si="522"/>
        <v>51.716046492530467</v>
      </c>
      <c r="T1193" s="335">
        <f t="shared" si="523"/>
        <v>96.567366857142858</v>
      </c>
      <c r="U1193" s="336">
        <f t="shared" si="524"/>
        <v>0</v>
      </c>
      <c r="V1193" s="336">
        <f t="shared" si="525"/>
        <v>0</v>
      </c>
      <c r="W1193" s="336">
        <f t="shared" si="526"/>
        <v>0</v>
      </c>
      <c r="X1193" s="336">
        <f t="shared" si="527"/>
        <v>0</v>
      </c>
      <c r="Y1193" s="320"/>
      <c r="Z1193" s="321" t="str">
        <f t="shared" si="543"/>
        <v>X-APRSA</v>
      </c>
      <c r="AA1193" s="321" t="str">
        <f t="shared" si="544"/>
        <v>X-APRSE</v>
      </c>
      <c r="AB1193" s="321" t="str">
        <f t="shared" si="545"/>
        <v>X-APRSM</v>
      </c>
      <c r="AC1193" s="321" t="str">
        <f t="shared" si="546"/>
        <v>X-APRST</v>
      </c>
      <c r="AD1193" s="321" t="str">
        <f t="shared" si="547"/>
        <v>X-APRSS</v>
      </c>
      <c r="AE1193" s="321" t="str">
        <f t="shared" si="548"/>
        <v>X-APRSX</v>
      </c>
      <c r="AF1193" s="321" t="str">
        <f t="shared" si="549"/>
        <v>X-APRSX</v>
      </c>
      <c r="AG1193" s="321">
        <f t="shared" si="528"/>
        <v>5</v>
      </c>
      <c r="AH1193" s="321">
        <f>IF(B1193&lt;&gt;"",IF(H1193="x",VLOOKUP(I1193,'AUX-NIV3'!B:AG,32,FALSE),0),"")</f>
        <v>2</v>
      </c>
      <c r="AI1193" s="321" t="str">
        <f t="shared" si="550"/>
        <v>X-APRS</v>
      </c>
      <c r="AJ1193" s="320"/>
      <c r="AK1193" s="322">
        <f t="shared" si="529"/>
        <v>1191</v>
      </c>
      <c r="AL1193" s="323">
        <f t="shared" si="551"/>
        <v>1195</v>
      </c>
      <c r="AM1193" s="322">
        <f t="shared" si="552"/>
        <v>3</v>
      </c>
      <c r="AN1193" s="380">
        <f>IF(AND(AH1193&gt;0,B1193&lt;&gt;""),VLOOKUP(I1193,'AUX-NIV3'!$B:$AO,39,FALSE)*O1193,0)</f>
        <v>0</v>
      </c>
      <c r="AO1193" s="380">
        <f t="shared" si="530"/>
        <v>0.1125</v>
      </c>
      <c r="AP1193" s="380"/>
    </row>
    <row r="1194" spans="2:42" ht="14.4" hidden="1" thickTop="1" thickBot="1">
      <c r="B1194" s="501" t="s">
        <v>3015</v>
      </c>
      <c r="C1194" s="951" t="s">
        <v>3016</v>
      </c>
      <c r="D1194" s="326" t="s">
        <v>1160</v>
      </c>
      <c r="E1194" s="327">
        <f>IF(B1194&lt;&gt;"",SUMIF('AUX-NIV1'!I:I,'AUX-NIV2'!B1194,'AUX-NIV1'!Q:Q),"")</f>
        <v>0</v>
      </c>
      <c r="F1194" s="327">
        <f t="shared" si="520"/>
        <v>148.28341334967334</v>
      </c>
      <c r="G1194" s="327">
        <f t="shared" si="521"/>
        <v>0</v>
      </c>
      <c r="H1194" s="328" t="str">
        <f t="shared" si="553"/>
        <v>A</v>
      </c>
      <c r="I1194" s="729" t="s">
        <v>1745</v>
      </c>
      <c r="J1194" s="329" t="str">
        <f>IF(B1194&lt;&gt;"",+VLOOKUP(I1194,Recursos!C:F,2,FALSE),"")</f>
        <v>AYUDANTE</v>
      </c>
      <c r="K1194" s="330" t="str">
        <f>IF(B1194&lt;&gt;"",+VLOOKUP(I1194,Recursos!C:F,3,FALSE),"")</f>
        <v>hh</v>
      </c>
      <c r="L1194" s="446">
        <f>IF(B1194&lt;&gt;"",+VLOOKUP(I1194,Recursos!C:F,4,FALSE),"")</f>
        <v>422.48042769667234</v>
      </c>
      <c r="M1194" s="725"/>
      <c r="N1194" s="726"/>
      <c r="O1194" s="449">
        <f>(N1192/M1191*50%+N1192/M1195*50%)</f>
        <v>5.6250000000000001E-2</v>
      </c>
      <c r="P1194" s="333">
        <f t="shared" si="554"/>
        <v>23.76452405793782</v>
      </c>
      <c r="Q1194" s="327">
        <f t="shared" si="555"/>
        <v>0</v>
      </c>
      <c r="R1194" s="334">
        <f t="shared" si="556"/>
        <v>0</v>
      </c>
      <c r="S1194" s="335">
        <f t="shared" si="522"/>
        <v>51.716046492530467</v>
      </c>
      <c r="T1194" s="335">
        <f t="shared" si="523"/>
        <v>96.567366857142858</v>
      </c>
      <c r="U1194" s="336">
        <f t="shared" si="524"/>
        <v>0</v>
      </c>
      <c r="V1194" s="336">
        <f t="shared" si="525"/>
        <v>0</v>
      </c>
      <c r="W1194" s="336">
        <f t="shared" si="526"/>
        <v>0</v>
      </c>
      <c r="X1194" s="336">
        <f t="shared" si="527"/>
        <v>0</v>
      </c>
      <c r="Y1194" s="320"/>
      <c r="Z1194" s="321" t="str">
        <f t="shared" si="543"/>
        <v>X-APRSA</v>
      </c>
      <c r="AA1194" s="321" t="str">
        <f t="shared" si="544"/>
        <v>X-APRSE</v>
      </c>
      <c r="AB1194" s="321" t="str">
        <f t="shared" si="545"/>
        <v>X-APRSM</v>
      </c>
      <c r="AC1194" s="321" t="str">
        <f t="shared" si="546"/>
        <v>X-APRST</v>
      </c>
      <c r="AD1194" s="321" t="str">
        <f t="shared" si="547"/>
        <v>X-APRSS</v>
      </c>
      <c r="AE1194" s="321" t="str">
        <f t="shared" si="548"/>
        <v>X-APRSX</v>
      </c>
      <c r="AF1194" s="321" t="str">
        <f t="shared" si="549"/>
        <v>X-APRSA</v>
      </c>
      <c r="AG1194" s="321">
        <f t="shared" si="528"/>
        <v>5</v>
      </c>
      <c r="AH1194" s="321">
        <f>IF(B1194&lt;&gt;"",IF(H1194="x",VLOOKUP(I1194,'AUX-NIV3'!B:AG,32,FALSE),0),"")</f>
        <v>0</v>
      </c>
      <c r="AI1194" s="321" t="str">
        <f t="shared" si="550"/>
        <v>X-APRS</v>
      </c>
      <c r="AJ1194" s="320"/>
      <c r="AK1194" s="322">
        <f t="shared" si="529"/>
        <v>1191</v>
      </c>
      <c r="AL1194" s="323">
        <f t="shared" si="551"/>
        <v>1195</v>
      </c>
      <c r="AM1194" s="322">
        <f t="shared" si="552"/>
        <v>4</v>
      </c>
      <c r="AN1194" s="380">
        <f>IF(AND(AH1194&gt;0,B1194&lt;&gt;""),VLOOKUP(I1194,'AUX-NIV3'!$B:$AO,39,FALSE)*O1194,0)</f>
        <v>0</v>
      </c>
      <c r="AO1194" s="380">
        <f t="shared" si="530"/>
        <v>0.1125</v>
      </c>
      <c r="AP1194" s="380"/>
    </row>
    <row r="1195" spans="2:42" ht="14.4" hidden="1" thickTop="1" thickBot="1">
      <c r="B1195" s="501" t="s">
        <v>3015</v>
      </c>
      <c r="C1195" s="951" t="s">
        <v>3016</v>
      </c>
      <c r="D1195" s="326" t="s">
        <v>1160</v>
      </c>
      <c r="E1195" s="327">
        <f>IF(B1195&lt;&gt;"",SUMIF('AUX-NIV1'!I:I,'AUX-NIV2'!B1195,'AUX-NIV1'!Q:Q),"")</f>
        <v>0</v>
      </c>
      <c r="F1195" s="327">
        <f t="shared" si="520"/>
        <v>148.28341334967334</v>
      </c>
      <c r="G1195" s="327">
        <f t="shared" si="521"/>
        <v>0</v>
      </c>
      <c r="H1195" s="328" t="str">
        <f t="shared" si="553"/>
        <v>E</v>
      </c>
      <c r="I1195" s="325" t="s">
        <v>1605</v>
      </c>
      <c r="J1195" s="329" t="str">
        <f>IF(B1195&lt;&gt;"",+VLOOKUP(I1195,Recursos!C:F,2,FALSE),"")</f>
        <v>GRILLA FIJA</v>
      </c>
      <c r="K1195" s="330" t="str">
        <f>IF(B1195&lt;&gt;"",+VLOOKUP(I1195,Recursos!C:F,3,FALSE),"")</f>
        <v>HR</v>
      </c>
      <c r="L1195" s="446">
        <f>IF(B1195&lt;&gt;"",+VLOOKUP(I1195,Recursos!C:F,4,FALSE),"")</f>
        <v>346.38685714285714</v>
      </c>
      <c r="M1195" s="744">
        <v>20</v>
      </c>
      <c r="N1195" s="728"/>
      <c r="O1195" s="540">
        <f>1/M1195</f>
        <v>0.05</v>
      </c>
      <c r="P1195" s="333">
        <f t="shared" si="554"/>
        <v>17.319342857142857</v>
      </c>
      <c r="Q1195" s="327">
        <f t="shared" si="555"/>
        <v>0</v>
      </c>
      <c r="R1195" s="334">
        <f t="shared" si="556"/>
        <v>0</v>
      </c>
      <c r="S1195" s="335">
        <f t="shared" si="522"/>
        <v>51.716046492530467</v>
      </c>
      <c r="T1195" s="335">
        <f t="shared" si="523"/>
        <v>96.567366857142858</v>
      </c>
      <c r="U1195" s="336">
        <f t="shared" si="524"/>
        <v>0</v>
      </c>
      <c r="V1195" s="336">
        <f t="shared" si="525"/>
        <v>0</v>
      </c>
      <c r="W1195" s="336">
        <f t="shared" si="526"/>
        <v>0</v>
      </c>
      <c r="X1195" s="336">
        <f t="shared" si="527"/>
        <v>0</v>
      </c>
      <c r="Y1195" s="320"/>
      <c r="Z1195" s="321" t="str">
        <f t="shared" si="543"/>
        <v>X-APRSA</v>
      </c>
      <c r="AA1195" s="321" t="str">
        <f t="shared" si="544"/>
        <v>X-APRSE</v>
      </c>
      <c r="AB1195" s="321" t="str">
        <f t="shared" si="545"/>
        <v>X-APRSM</v>
      </c>
      <c r="AC1195" s="321" t="str">
        <f t="shared" si="546"/>
        <v>X-APRST</v>
      </c>
      <c r="AD1195" s="321" t="str">
        <f t="shared" si="547"/>
        <v>X-APRSS</v>
      </c>
      <c r="AE1195" s="321" t="str">
        <f t="shared" si="548"/>
        <v>X-APRSX</v>
      </c>
      <c r="AF1195" s="321" t="str">
        <f t="shared" si="549"/>
        <v>X-APRSE</v>
      </c>
      <c r="AG1195" s="321">
        <f t="shared" si="528"/>
        <v>5</v>
      </c>
      <c r="AH1195" s="321">
        <f>IF(B1195&lt;&gt;"",IF(H1195="x",VLOOKUP(I1195,'AUX-NIV3'!B:AG,32,FALSE),0),"")</f>
        <v>0</v>
      </c>
      <c r="AI1195" s="321" t="str">
        <f t="shared" si="550"/>
        <v>X-APRS</v>
      </c>
      <c r="AJ1195" s="320"/>
      <c r="AK1195" s="322">
        <f t="shared" si="529"/>
        <v>1191</v>
      </c>
      <c r="AL1195" s="323">
        <f t="shared" si="551"/>
        <v>1195</v>
      </c>
      <c r="AM1195" s="322">
        <f t="shared" si="552"/>
        <v>5</v>
      </c>
      <c r="AN1195" s="380">
        <f>IF(AND(AH1195&gt;0,B1195&lt;&gt;""),VLOOKUP(I1195,'AUX-NIV3'!$B:$AO,39,FALSE)*O1195,0)</f>
        <v>0</v>
      </c>
      <c r="AO1195" s="380">
        <f t="shared" si="530"/>
        <v>0.1125</v>
      </c>
      <c r="AP1195" s="380"/>
    </row>
    <row r="1196" spans="2:42" ht="14.4" hidden="1" thickTop="1" thickBot="1">
      <c r="B1196" s="501" t="s">
        <v>3017</v>
      </c>
      <c r="C1196" s="950" t="s">
        <v>3018</v>
      </c>
      <c r="D1196" s="326" t="s">
        <v>441</v>
      </c>
      <c r="E1196" s="327">
        <f>IF(B1196&lt;&gt;"",SUMIF('AUX-NIV1'!I:I,'AUX-NIV2'!B1196,'AUX-NIV1'!Q:Q),"")</f>
        <v>0</v>
      </c>
      <c r="F1196" s="327">
        <f t="shared" si="520"/>
        <v>624.7215798629245</v>
      </c>
      <c r="G1196" s="327">
        <f t="shared" si="521"/>
        <v>0</v>
      </c>
      <c r="H1196" s="328" t="str">
        <f t="shared" si="553"/>
        <v>A</v>
      </c>
      <c r="I1196" s="325" t="s">
        <v>3310</v>
      </c>
      <c r="J1196" s="329" t="str">
        <f>IF(B1196&lt;&gt;"",+VLOOKUP(I1196,Recursos!C:F,2,FALSE),"")</f>
        <v>OFICIAL ESPECIALIZADO</v>
      </c>
      <c r="K1196" s="330" t="str">
        <f>IF(B1196&lt;&gt;"",+VLOOKUP(I1196,Recursos!C:F,3,FALSE),"")</f>
        <v>hh</v>
      </c>
      <c r="L1196" s="327">
        <f>IF(B1196&lt;&gt;"",+VLOOKUP(I1196,Recursos!C:F,4,FALSE),"")</f>
        <v>581.06120476836554</v>
      </c>
      <c r="M1196" s="454"/>
      <c r="N1196" s="455"/>
      <c r="O1196" s="449">
        <f>+N1203/M1204</f>
        <v>6.25E-2</v>
      </c>
      <c r="P1196" s="333">
        <f t="shared" si="554"/>
        <v>36.316325298022846</v>
      </c>
      <c r="Q1196" s="327">
        <f t="shared" si="555"/>
        <v>0</v>
      </c>
      <c r="R1196" s="334">
        <f t="shared" si="556"/>
        <v>0</v>
      </c>
      <c r="S1196" s="335">
        <f t="shared" si="522"/>
        <v>380.37347486292447</v>
      </c>
      <c r="T1196" s="335">
        <f t="shared" si="523"/>
        <v>244.34810500000003</v>
      </c>
      <c r="U1196" s="336">
        <f t="shared" si="524"/>
        <v>0</v>
      </c>
      <c r="V1196" s="336">
        <f t="shared" si="525"/>
        <v>0</v>
      </c>
      <c r="W1196" s="336">
        <f t="shared" si="526"/>
        <v>0</v>
      </c>
      <c r="X1196" s="336">
        <f t="shared" si="527"/>
        <v>0</v>
      </c>
      <c r="Y1196" s="320"/>
      <c r="Z1196" s="321" t="str">
        <f t="shared" si="543"/>
        <v>X-COL9A</v>
      </c>
      <c r="AA1196" s="321" t="str">
        <f t="shared" si="544"/>
        <v>X-COL9E</v>
      </c>
      <c r="AB1196" s="321" t="str">
        <f t="shared" si="545"/>
        <v>X-COL9M</v>
      </c>
      <c r="AC1196" s="321" t="str">
        <f t="shared" si="546"/>
        <v>X-COL9T</v>
      </c>
      <c r="AD1196" s="321" t="str">
        <f t="shared" si="547"/>
        <v>X-COL9S</v>
      </c>
      <c r="AE1196" s="321" t="str">
        <f t="shared" si="548"/>
        <v>X-COL9X</v>
      </c>
      <c r="AF1196" s="321" t="str">
        <f t="shared" si="549"/>
        <v>X-COL9A</v>
      </c>
      <c r="AG1196" s="321">
        <f t="shared" si="528"/>
        <v>11</v>
      </c>
      <c r="AH1196" s="321">
        <f>IF(B1196&lt;&gt;"",IF(H1196="x",VLOOKUP(I1196,'AUX-NIV3'!B:AG,32,FALSE),0),"")</f>
        <v>0</v>
      </c>
      <c r="AI1196" s="321" t="str">
        <f t="shared" si="550"/>
        <v>X-COL9</v>
      </c>
      <c r="AJ1196" s="320"/>
      <c r="AK1196" s="322">
        <f t="shared" si="529"/>
        <v>1196</v>
      </c>
      <c r="AL1196" s="323">
        <f t="shared" si="551"/>
        <v>1206</v>
      </c>
      <c r="AM1196" s="322">
        <f t="shared" si="552"/>
        <v>1</v>
      </c>
      <c r="AN1196" s="380">
        <f>IF(AND(AH1196&gt;0,B1196&lt;&gt;""),VLOOKUP(I1196,'AUX-NIV3'!$B:$AO,39,FALSE)*O1196,0)</f>
        <v>0</v>
      </c>
      <c r="AO1196" s="380">
        <f t="shared" si="530"/>
        <v>0.75</v>
      </c>
      <c r="AP1196" s="380"/>
    </row>
    <row r="1197" spans="2:42" ht="14.4" hidden="1" thickTop="1" thickBot="1">
      <c r="B1197" s="501" t="s">
        <v>3017</v>
      </c>
      <c r="C1197" s="950" t="s">
        <v>3018</v>
      </c>
      <c r="D1197" s="326" t="s">
        <v>441</v>
      </c>
      <c r="E1197" s="327">
        <f>IF(B1197&lt;&gt;"",SUMIF('AUX-NIV1'!I:I,'AUX-NIV2'!B1197,'AUX-NIV1'!Q:Q),"")</f>
        <v>0</v>
      </c>
      <c r="F1197" s="327">
        <f t="shared" si="520"/>
        <v>624.7215798629245</v>
      </c>
      <c r="G1197" s="327">
        <f t="shared" si="521"/>
        <v>0</v>
      </c>
      <c r="H1197" s="328" t="str">
        <f t="shared" si="553"/>
        <v>A</v>
      </c>
      <c r="I1197" s="325" t="s">
        <v>1745</v>
      </c>
      <c r="J1197" s="329" t="str">
        <f>IF(B1197&lt;&gt;"",+VLOOKUP(I1197,Recursos!C:F,2,FALSE),"")</f>
        <v>AYUDANTE</v>
      </c>
      <c r="K1197" s="330" t="str">
        <f>IF(B1197&lt;&gt;"",+VLOOKUP(I1197,Recursos!C:F,3,FALSE),"")</f>
        <v>hh</v>
      </c>
      <c r="L1197" s="327">
        <f>IF(B1197&lt;&gt;"",+VLOOKUP(I1197,Recursos!C:F,4,FALSE),"")</f>
        <v>422.48042769667234</v>
      </c>
      <c r="M1197" s="454"/>
      <c r="N1197" s="453">
        <v>4</v>
      </c>
      <c r="O1197" s="449">
        <f>+N1197/M1204*N1203</f>
        <v>0.25</v>
      </c>
      <c r="P1197" s="333">
        <f t="shared" si="554"/>
        <v>105.62010692416808</v>
      </c>
      <c r="Q1197" s="327">
        <f t="shared" si="555"/>
        <v>0</v>
      </c>
      <c r="R1197" s="334">
        <f t="shared" si="556"/>
        <v>0</v>
      </c>
      <c r="S1197" s="335">
        <f t="shared" si="522"/>
        <v>380.37347486292447</v>
      </c>
      <c r="T1197" s="335">
        <f t="shared" si="523"/>
        <v>244.34810500000003</v>
      </c>
      <c r="U1197" s="336">
        <f t="shared" si="524"/>
        <v>0</v>
      </c>
      <c r="V1197" s="336">
        <f t="shared" si="525"/>
        <v>0</v>
      </c>
      <c r="W1197" s="336">
        <f t="shared" si="526"/>
        <v>0</v>
      </c>
      <c r="X1197" s="336">
        <f t="shared" si="527"/>
        <v>0</v>
      </c>
      <c r="Y1197" s="320"/>
      <c r="Z1197" s="321" t="str">
        <f t="shared" si="543"/>
        <v>X-COL9A</v>
      </c>
      <c r="AA1197" s="321" t="str">
        <f t="shared" si="544"/>
        <v>X-COL9E</v>
      </c>
      <c r="AB1197" s="321" t="str">
        <f t="shared" si="545"/>
        <v>X-COL9M</v>
      </c>
      <c r="AC1197" s="321" t="str">
        <f t="shared" si="546"/>
        <v>X-COL9T</v>
      </c>
      <c r="AD1197" s="321" t="str">
        <f t="shared" si="547"/>
        <v>X-COL9S</v>
      </c>
      <c r="AE1197" s="321" t="str">
        <f t="shared" si="548"/>
        <v>X-COL9X</v>
      </c>
      <c r="AF1197" s="321" t="str">
        <f t="shared" si="549"/>
        <v>X-COL9A</v>
      </c>
      <c r="AG1197" s="321">
        <f t="shared" si="528"/>
        <v>11</v>
      </c>
      <c r="AH1197" s="321">
        <f>IF(B1197&lt;&gt;"",IF(H1197="x",VLOOKUP(I1197,'AUX-NIV3'!B:AG,32,FALSE),0),"")</f>
        <v>0</v>
      </c>
      <c r="AI1197" s="321" t="str">
        <f t="shared" si="550"/>
        <v>X-COL9</v>
      </c>
      <c r="AJ1197" s="320"/>
      <c r="AK1197" s="322">
        <f t="shared" si="529"/>
        <v>1196</v>
      </c>
      <c r="AL1197" s="323">
        <f t="shared" si="551"/>
        <v>1206</v>
      </c>
      <c r="AM1197" s="322">
        <f t="shared" si="552"/>
        <v>2</v>
      </c>
      <c r="AN1197" s="380">
        <f>IF(AND(AH1197&gt;0,B1197&lt;&gt;""),VLOOKUP(I1197,'AUX-NIV3'!$B:$AO,39,FALSE)*O1197,0)</f>
        <v>0</v>
      </c>
      <c r="AO1197" s="380">
        <f t="shared" si="530"/>
        <v>0.75</v>
      </c>
      <c r="AP1197" s="380"/>
    </row>
    <row r="1198" spans="2:42" ht="14.4" hidden="1" thickTop="1" thickBot="1">
      <c r="B1198" s="501" t="s">
        <v>3017</v>
      </c>
      <c r="C1198" s="950" t="s">
        <v>3018</v>
      </c>
      <c r="D1198" s="326" t="s">
        <v>441</v>
      </c>
      <c r="E1198" s="327">
        <f>IF(B1198&lt;&gt;"",SUMIF('AUX-NIV1'!I:I,'AUX-NIV2'!B1198,'AUX-NIV1'!Q:Q),"")</f>
        <v>0</v>
      </c>
      <c r="F1198" s="327">
        <f t="shared" si="520"/>
        <v>624.7215798629245</v>
      </c>
      <c r="G1198" s="327">
        <f t="shared" si="521"/>
        <v>0</v>
      </c>
      <c r="H1198" s="328" t="str">
        <f t="shared" si="553"/>
        <v>A</v>
      </c>
      <c r="I1198" s="325" t="s">
        <v>1746</v>
      </c>
      <c r="J1198" s="329" t="str">
        <f>IF(B1198&lt;&gt;"",+VLOOKUP(I1198,Recursos!C:F,2,FALSE),"")</f>
        <v>OFICIAL</v>
      </c>
      <c r="K1198" s="330" t="str">
        <f>IF(B1198&lt;&gt;"",+VLOOKUP(I1198,Recursos!C:F,3,FALSE),"")</f>
        <v>hh</v>
      </c>
      <c r="L1198" s="327">
        <f>IF(B1198&lt;&gt;"",+VLOOKUP(I1198,Recursos!C:F,4,FALSE),"")</f>
        <v>496.91595439275824</v>
      </c>
      <c r="M1198" s="454"/>
      <c r="N1198" s="455"/>
      <c r="O1198" s="449">
        <f>+N1203/M1204*N1205</f>
        <v>6.25E-2</v>
      </c>
      <c r="P1198" s="333">
        <f t="shared" si="554"/>
        <v>31.05724714954739</v>
      </c>
      <c r="Q1198" s="327">
        <f t="shared" si="555"/>
        <v>0</v>
      </c>
      <c r="R1198" s="334">
        <f t="shared" si="556"/>
        <v>0</v>
      </c>
      <c r="S1198" s="335">
        <f t="shared" si="522"/>
        <v>380.37347486292447</v>
      </c>
      <c r="T1198" s="335">
        <f t="shared" si="523"/>
        <v>244.34810500000003</v>
      </c>
      <c r="U1198" s="336">
        <f t="shared" si="524"/>
        <v>0</v>
      </c>
      <c r="V1198" s="336">
        <f t="shared" si="525"/>
        <v>0</v>
      </c>
      <c r="W1198" s="336">
        <f t="shared" si="526"/>
        <v>0</v>
      </c>
      <c r="X1198" s="336">
        <f t="shared" si="527"/>
        <v>0</v>
      </c>
      <c r="Y1198" s="320"/>
      <c r="Z1198" s="321" t="str">
        <f t="shared" si="543"/>
        <v>X-COL9A</v>
      </c>
      <c r="AA1198" s="321" t="str">
        <f t="shared" si="544"/>
        <v>X-COL9E</v>
      </c>
      <c r="AB1198" s="321" t="str">
        <f t="shared" si="545"/>
        <v>X-COL9M</v>
      </c>
      <c r="AC1198" s="321" t="str">
        <f t="shared" si="546"/>
        <v>X-COL9T</v>
      </c>
      <c r="AD1198" s="321" t="str">
        <f t="shared" si="547"/>
        <v>X-COL9S</v>
      </c>
      <c r="AE1198" s="321" t="str">
        <f t="shared" si="548"/>
        <v>X-COL9X</v>
      </c>
      <c r="AF1198" s="321" t="str">
        <f t="shared" si="549"/>
        <v>X-COL9A</v>
      </c>
      <c r="AG1198" s="321">
        <f t="shared" si="528"/>
        <v>11</v>
      </c>
      <c r="AH1198" s="321">
        <f>IF(B1198&lt;&gt;"",IF(H1198="x",VLOOKUP(I1198,'AUX-NIV3'!B:AG,32,FALSE),0),"")</f>
        <v>0</v>
      </c>
      <c r="AI1198" s="321" t="str">
        <f t="shared" si="550"/>
        <v>X-COL9</v>
      </c>
      <c r="AJ1198" s="320"/>
      <c r="AK1198" s="322">
        <f t="shared" si="529"/>
        <v>1196</v>
      </c>
      <c r="AL1198" s="323">
        <f t="shared" si="551"/>
        <v>1206</v>
      </c>
      <c r="AM1198" s="322">
        <f t="shared" si="552"/>
        <v>3</v>
      </c>
      <c r="AN1198" s="380">
        <f>IF(AND(AH1198&gt;0,B1198&lt;&gt;""),VLOOKUP(I1198,'AUX-NIV3'!$B:$AO,39,FALSE)*O1198,0)</f>
        <v>0</v>
      </c>
      <c r="AO1198" s="380">
        <f t="shared" si="530"/>
        <v>0.75</v>
      </c>
      <c r="AP1198" s="380"/>
    </row>
    <row r="1199" spans="2:42" ht="14.4" hidden="1" thickTop="1" thickBot="1">
      <c r="B1199" s="501" t="s">
        <v>3017</v>
      </c>
      <c r="C1199" s="950" t="s">
        <v>3018</v>
      </c>
      <c r="D1199" s="326" t="s">
        <v>441</v>
      </c>
      <c r="E1199" s="327">
        <f>IF(B1199&lt;&gt;"",SUMIF('AUX-NIV1'!I:I,'AUX-NIV2'!B1199,'AUX-NIV1'!Q:Q),"")</f>
        <v>0</v>
      </c>
      <c r="F1199" s="327">
        <f t="shared" si="520"/>
        <v>624.7215798629245</v>
      </c>
      <c r="G1199" s="327">
        <f t="shared" si="521"/>
        <v>0</v>
      </c>
      <c r="H1199" s="328" t="str">
        <f t="shared" si="553"/>
        <v>A</v>
      </c>
      <c r="I1199" s="325" t="s">
        <v>1746</v>
      </c>
      <c r="J1199" s="329" t="str">
        <f>IF(B1199&lt;&gt;"",+VLOOKUP(I1199,Recursos!C:F,2,FALSE),"")</f>
        <v>OFICIAL</v>
      </c>
      <c r="K1199" s="330" t="str">
        <f>IF(B1199&lt;&gt;"",+VLOOKUP(I1199,Recursos!C:F,3,FALSE),"")</f>
        <v>hh</v>
      </c>
      <c r="L1199" s="327">
        <f>IF(B1199&lt;&gt;"",+VLOOKUP(I1199,Recursos!C:F,4,FALSE),"")</f>
        <v>496.91595439275824</v>
      </c>
      <c r="M1199" s="454"/>
      <c r="N1199" s="455"/>
      <c r="O1199" s="449">
        <f>+N1205/M1204*N1203</f>
        <v>6.25E-2</v>
      </c>
      <c r="P1199" s="333">
        <f t="shared" si="554"/>
        <v>31.05724714954739</v>
      </c>
      <c r="Q1199" s="327">
        <f t="shared" si="555"/>
        <v>0</v>
      </c>
      <c r="R1199" s="334">
        <f t="shared" si="556"/>
        <v>0</v>
      </c>
      <c r="S1199" s="335">
        <f t="shared" si="522"/>
        <v>380.37347486292447</v>
      </c>
      <c r="T1199" s="335">
        <f t="shared" si="523"/>
        <v>244.34810500000003</v>
      </c>
      <c r="U1199" s="336">
        <f t="shared" si="524"/>
        <v>0</v>
      </c>
      <c r="V1199" s="336">
        <f t="shared" si="525"/>
        <v>0</v>
      </c>
      <c r="W1199" s="336">
        <f t="shared" si="526"/>
        <v>0</v>
      </c>
      <c r="X1199" s="336">
        <f t="shared" si="527"/>
        <v>0</v>
      </c>
      <c r="Y1199" s="320"/>
      <c r="Z1199" s="321" t="str">
        <f t="shared" si="543"/>
        <v>X-COL9A</v>
      </c>
      <c r="AA1199" s="321" t="str">
        <f t="shared" si="544"/>
        <v>X-COL9E</v>
      </c>
      <c r="AB1199" s="321" t="str">
        <f t="shared" si="545"/>
        <v>X-COL9M</v>
      </c>
      <c r="AC1199" s="321" t="str">
        <f t="shared" si="546"/>
        <v>X-COL9T</v>
      </c>
      <c r="AD1199" s="321" t="str">
        <f t="shared" si="547"/>
        <v>X-COL9S</v>
      </c>
      <c r="AE1199" s="321" t="str">
        <f t="shared" si="548"/>
        <v>X-COL9X</v>
      </c>
      <c r="AF1199" s="321" t="str">
        <f t="shared" si="549"/>
        <v>X-COL9A</v>
      </c>
      <c r="AG1199" s="321">
        <f t="shared" si="528"/>
        <v>11</v>
      </c>
      <c r="AH1199" s="321">
        <f>IF(B1199&lt;&gt;"",IF(H1199="x",VLOOKUP(I1199,'AUX-NIV3'!B:AG,32,FALSE),0),"")</f>
        <v>0</v>
      </c>
      <c r="AI1199" s="321" t="str">
        <f t="shared" si="550"/>
        <v>X-COL9</v>
      </c>
      <c r="AJ1199" s="320"/>
      <c r="AK1199" s="322">
        <f t="shared" si="529"/>
        <v>1196</v>
      </c>
      <c r="AL1199" s="323">
        <f t="shared" si="551"/>
        <v>1206</v>
      </c>
      <c r="AM1199" s="322">
        <f t="shared" si="552"/>
        <v>4</v>
      </c>
      <c r="AN1199" s="380">
        <f>IF(AND(AH1199&gt;0,B1199&lt;&gt;""),VLOOKUP(I1199,'AUX-NIV3'!$B:$AO,39,FALSE)*O1199,0)</f>
        <v>0</v>
      </c>
      <c r="AO1199" s="380">
        <f t="shared" si="530"/>
        <v>0.75</v>
      </c>
      <c r="AP1199" s="380"/>
    </row>
    <row r="1200" spans="2:42" ht="14.4" hidden="1" thickTop="1" thickBot="1">
      <c r="B1200" s="501" t="s">
        <v>3017</v>
      </c>
      <c r="C1200" s="950" t="s">
        <v>3018</v>
      </c>
      <c r="D1200" s="326" t="s">
        <v>441</v>
      </c>
      <c r="E1200" s="327">
        <f>IF(B1200&lt;&gt;"",SUMIF('AUX-NIV1'!I:I,'AUX-NIV2'!B1200,'AUX-NIV1'!Q:Q),"")</f>
        <v>0</v>
      </c>
      <c r="F1200" s="327">
        <f t="shared" si="520"/>
        <v>624.7215798629245</v>
      </c>
      <c r="G1200" s="327">
        <f t="shared" si="521"/>
        <v>0</v>
      </c>
      <c r="H1200" s="328" t="str">
        <f t="shared" si="553"/>
        <v>A</v>
      </c>
      <c r="I1200" s="325" t="s">
        <v>3310</v>
      </c>
      <c r="J1200" s="329" t="str">
        <f>IF(B1200&lt;&gt;"",+VLOOKUP(I1200,Recursos!C:F,2,FALSE),"")</f>
        <v>OFICIAL ESPECIALIZADO</v>
      </c>
      <c r="K1200" s="330" t="str">
        <f>IF(B1200&lt;&gt;"",+VLOOKUP(I1200,Recursos!C:F,3,FALSE),"")</f>
        <v>hh</v>
      </c>
      <c r="L1200" s="327">
        <f>IF(B1200&lt;&gt;"",+VLOOKUP(I1200,Recursos!C:F,4,FALSE),"")</f>
        <v>581.06120476836554</v>
      </c>
      <c r="M1200" s="454"/>
      <c r="N1200" s="455"/>
      <c r="O1200" s="449">
        <f>+N1203/M1204</f>
        <v>6.25E-2</v>
      </c>
      <c r="P1200" s="333">
        <f t="shared" si="554"/>
        <v>36.316325298022846</v>
      </c>
      <c r="Q1200" s="327">
        <f t="shared" si="555"/>
        <v>0</v>
      </c>
      <c r="R1200" s="334">
        <f t="shared" si="556"/>
        <v>0</v>
      </c>
      <c r="S1200" s="335">
        <f t="shared" si="522"/>
        <v>380.37347486292447</v>
      </c>
      <c r="T1200" s="335">
        <f t="shared" si="523"/>
        <v>244.34810500000003</v>
      </c>
      <c r="U1200" s="336">
        <f t="shared" si="524"/>
        <v>0</v>
      </c>
      <c r="V1200" s="336">
        <f t="shared" si="525"/>
        <v>0</v>
      </c>
      <c r="W1200" s="336">
        <f t="shared" si="526"/>
        <v>0</v>
      </c>
      <c r="X1200" s="336">
        <f t="shared" si="527"/>
        <v>0</v>
      </c>
      <c r="Y1200" s="320"/>
      <c r="Z1200" s="321" t="str">
        <f t="shared" si="543"/>
        <v>X-COL9A</v>
      </c>
      <c r="AA1200" s="321" t="str">
        <f t="shared" si="544"/>
        <v>X-COL9E</v>
      </c>
      <c r="AB1200" s="321" t="str">
        <f t="shared" si="545"/>
        <v>X-COL9M</v>
      </c>
      <c r="AC1200" s="321" t="str">
        <f t="shared" si="546"/>
        <v>X-COL9T</v>
      </c>
      <c r="AD1200" s="321" t="str">
        <f t="shared" si="547"/>
        <v>X-COL9S</v>
      </c>
      <c r="AE1200" s="321" t="str">
        <f t="shared" si="548"/>
        <v>X-COL9X</v>
      </c>
      <c r="AF1200" s="321" t="str">
        <f t="shared" si="549"/>
        <v>X-COL9A</v>
      </c>
      <c r="AG1200" s="321">
        <f t="shared" si="528"/>
        <v>11</v>
      </c>
      <c r="AH1200" s="321">
        <f>IF(B1200&lt;&gt;"",IF(H1200="x",VLOOKUP(I1200,'AUX-NIV3'!B:AG,32,FALSE),0),"")</f>
        <v>0</v>
      </c>
      <c r="AI1200" s="321" t="str">
        <f t="shared" si="550"/>
        <v>X-COL9</v>
      </c>
      <c r="AJ1200" s="320"/>
      <c r="AK1200" s="322">
        <f t="shared" si="529"/>
        <v>1196</v>
      </c>
      <c r="AL1200" s="323">
        <f t="shared" si="551"/>
        <v>1206</v>
      </c>
      <c r="AM1200" s="322">
        <f t="shared" si="552"/>
        <v>5</v>
      </c>
      <c r="AN1200" s="380">
        <f>IF(AND(AH1200&gt;0,B1200&lt;&gt;""),VLOOKUP(I1200,'AUX-NIV3'!$B:$AO,39,FALSE)*O1200,0)</f>
        <v>0</v>
      </c>
      <c r="AO1200" s="380">
        <f t="shared" si="530"/>
        <v>0.75</v>
      </c>
      <c r="AP1200" s="380"/>
    </row>
    <row r="1201" spans="2:42" ht="14.4" hidden="1" thickTop="1" thickBot="1">
      <c r="B1201" s="501" t="s">
        <v>3017</v>
      </c>
      <c r="C1201" s="950" t="s">
        <v>3018</v>
      </c>
      <c r="D1201" s="326" t="s">
        <v>441</v>
      </c>
      <c r="E1201" s="327">
        <f>IF(B1201&lt;&gt;"",SUMIF('AUX-NIV1'!I:I,'AUX-NIV2'!B1201,'AUX-NIV1'!Q:Q),"")</f>
        <v>0</v>
      </c>
      <c r="F1201" s="327">
        <f t="shared" si="520"/>
        <v>624.7215798629245</v>
      </c>
      <c r="G1201" s="327">
        <f t="shared" si="521"/>
        <v>0</v>
      </c>
      <c r="H1201" s="328" t="str">
        <f t="shared" si="553"/>
        <v>A</v>
      </c>
      <c r="I1201" s="325" t="s">
        <v>3310</v>
      </c>
      <c r="J1201" s="329" t="str">
        <f>IF(B1201&lt;&gt;"",+VLOOKUP(I1201,Recursos!C:F,2,FALSE),"")</f>
        <v>OFICIAL ESPECIALIZADO</v>
      </c>
      <c r="K1201" s="330" t="str">
        <f>IF(B1201&lt;&gt;"",+VLOOKUP(I1201,Recursos!C:F,3,FALSE),"")</f>
        <v>hh</v>
      </c>
      <c r="L1201" s="327">
        <f>IF(B1201&lt;&gt;"",+VLOOKUP(I1201,Recursos!C:F,4,FALSE),"")</f>
        <v>581.06120476836554</v>
      </c>
      <c r="M1201" s="454"/>
      <c r="N1201" s="455"/>
      <c r="O1201" s="449">
        <f>+N1203/M1204</f>
        <v>6.25E-2</v>
      </c>
      <c r="P1201" s="333">
        <f t="shared" si="554"/>
        <v>36.316325298022846</v>
      </c>
      <c r="Q1201" s="327">
        <f t="shared" si="555"/>
        <v>0</v>
      </c>
      <c r="R1201" s="334">
        <f t="shared" si="556"/>
        <v>0</v>
      </c>
      <c r="S1201" s="335">
        <f t="shared" si="522"/>
        <v>380.37347486292447</v>
      </c>
      <c r="T1201" s="335">
        <f t="shared" si="523"/>
        <v>244.34810500000003</v>
      </c>
      <c r="U1201" s="336">
        <f t="shared" si="524"/>
        <v>0</v>
      </c>
      <c r="V1201" s="336">
        <f t="shared" si="525"/>
        <v>0</v>
      </c>
      <c r="W1201" s="336">
        <f t="shared" si="526"/>
        <v>0</v>
      </c>
      <c r="X1201" s="336">
        <f t="shared" si="527"/>
        <v>0</v>
      </c>
      <c r="Y1201" s="320"/>
      <c r="Z1201" s="321" t="str">
        <f t="shared" si="543"/>
        <v>X-COL9A</v>
      </c>
      <c r="AA1201" s="321" t="str">
        <f t="shared" si="544"/>
        <v>X-COL9E</v>
      </c>
      <c r="AB1201" s="321" t="str">
        <f t="shared" si="545"/>
        <v>X-COL9M</v>
      </c>
      <c r="AC1201" s="321" t="str">
        <f t="shared" si="546"/>
        <v>X-COL9T</v>
      </c>
      <c r="AD1201" s="321" t="str">
        <f t="shared" si="547"/>
        <v>X-COL9S</v>
      </c>
      <c r="AE1201" s="321" t="str">
        <f t="shared" si="548"/>
        <v>X-COL9X</v>
      </c>
      <c r="AF1201" s="321" t="str">
        <f t="shared" si="549"/>
        <v>X-COL9A</v>
      </c>
      <c r="AG1201" s="321">
        <f t="shared" si="528"/>
        <v>11</v>
      </c>
      <c r="AH1201" s="321">
        <f>IF(B1201&lt;&gt;"",IF(H1201="x",VLOOKUP(I1201,'AUX-NIV3'!B:AG,32,FALSE),0),"")</f>
        <v>0</v>
      </c>
      <c r="AI1201" s="321" t="str">
        <f t="shared" si="550"/>
        <v>X-COL9</v>
      </c>
      <c r="AJ1201" s="320"/>
      <c r="AK1201" s="322">
        <f t="shared" si="529"/>
        <v>1196</v>
      </c>
      <c r="AL1201" s="323">
        <f t="shared" si="551"/>
        <v>1206</v>
      </c>
      <c r="AM1201" s="322">
        <f t="shared" si="552"/>
        <v>6</v>
      </c>
      <c r="AN1201" s="380">
        <f>IF(AND(AH1201&gt;0,B1201&lt;&gt;""),VLOOKUP(I1201,'AUX-NIV3'!$B:$AO,39,FALSE)*O1201,0)</f>
        <v>0</v>
      </c>
      <c r="AO1201" s="380">
        <f t="shared" si="530"/>
        <v>0.75</v>
      </c>
      <c r="AP1201" s="380"/>
    </row>
    <row r="1202" spans="2:42" ht="14.4" hidden="1" thickTop="1" thickBot="1">
      <c r="B1202" s="501" t="s">
        <v>3017</v>
      </c>
      <c r="C1202" s="950" t="s">
        <v>3018</v>
      </c>
      <c r="D1202" s="326" t="s">
        <v>441</v>
      </c>
      <c r="E1202" s="327">
        <f>IF(B1202&lt;&gt;"",SUMIF('AUX-NIV1'!I:I,'AUX-NIV2'!B1202,'AUX-NIV1'!Q:Q),"")</f>
        <v>0</v>
      </c>
      <c r="F1202" s="327">
        <f t="shared" si="520"/>
        <v>624.7215798629245</v>
      </c>
      <c r="G1202" s="327">
        <f t="shared" si="521"/>
        <v>0</v>
      </c>
      <c r="H1202" s="328" t="str">
        <f t="shared" si="553"/>
        <v>A</v>
      </c>
      <c r="I1202" s="325" t="s">
        <v>3310</v>
      </c>
      <c r="J1202" s="329" t="str">
        <f>IF(B1202&lt;&gt;"",+VLOOKUP(I1202,Recursos!C:F,2,FALSE),"")</f>
        <v>OFICIAL ESPECIALIZADO</v>
      </c>
      <c r="K1202" s="330" t="str">
        <f>IF(B1202&lt;&gt;"",+VLOOKUP(I1202,Recursos!C:F,3,FALSE),"")</f>
        <v>hh</v>
      </c>
      <c r="L1202" s="327">
        <f>IF(B1202&lt;&gt;"",+VLOOKUP(I1202,Recursos!C:F,4,FALSE),"")</f>
        <v>581.06120476836554</v>
      </c>
      <c r="M1202" s="454"/>
      <c r="N1202" s="455"/>
      <c r="O1202" s="449">
        <f>+(N1205+N1204)/M1204*N1203</f>
        <v>0.125</v>
      </c>
      <c r="P1202" s="333">
        <f t="shared" si="554"/>
        <v>72.632650596045693</v>
      </c>
      <c r="Q1202" s="327">
        <f t="shared" si="555"/>
        <v>0</v>
      </c>
      <c r="R1202" s="334">
        <f t="shared" si="556"/>
        <v>0</v>
      </c>
      <c r="S1202" s="335">
        <f t="shared" si="522"/>
        <v>380.37347486292447</v>
      </c>
      <c r="T1202" s="335">
        <f t="shared" si="523"/>
        <v>244.34810500000003</v>
      </c>
      <c r="U1202" s="336">
        <f t="shared" si="524"/>
        <v>0</v>
      </c>
      <c r="V1202" s="336">
        <f t="shared" si="525"/>
        <v>0</v>
      </c>
      <c r="W1202" s="336">
        <f t="shared" si="526"/>
        <v>0</v>
      </c>
      <c r="X1202" s="336">
        <f t="shared" si="527"/>
        <v>0</v>
      </c>
      <c r="Y1202" s="320"/>
      <c r="Z1202" s="321" t="str">
        <f t="shared" si="543"/>
        <v>X-COL9A</v>
      </c>
      <c r="AA1202" s="321" t="str">
        <f t="shared" si="544"/>
        <v>X-COL9E</v>
      </c>
      <c r="AB1202" s="321" t="str">
        <f t="shared" si="545"/>
        <v>X-COL9M</v>
      </c>
      <c r="AC1202" s="321" t="str">
        <f t="shared" si="546"/>
        <v>X-COL9T</v>
      </c>
      <c r="AD1202" s="321" t="str">
        <f t="shared" si="547"/>
        <v>X-COL9S</v>
      </c>
      <c r="AE1202" s="321" t="str">
        <f t="shared" si="548"/>
        <v>X-COL9X</v>
      </c>
      <c r="AF1202" s="321" t="str">
        <f t="shared" si="549"/>
        <v>X-COL9A</v>
      </c>
      <c r="AG1202" s="321">
        <f t="shared" si="528"/>
        <v>11</v>
      </c>
      <c r="AH1202" s="321">
        <f>IF(B1202&lt;&gt;"",IF(H1202="x",VLOOKUP(I1202,'AUX-NIV3'!B:AG,32,FALSE),0),"")</f>
        <v>0</v>
      </c>
      <c r="AI1202" s="321" t="str">
        <f t="shared" si="550"/>
        <v>X-COL9</v>
      </c>
      <c r="AJ1202" s="320"/>
      <c r="AK1202" s="322">
        <f t="shared" si="529"/>
        <v>1196</v>
      </c>
      <c r="AL1202" s="323">
        <f t="shared" si="551"/>
        <v>1206</v>
      </c>
      <c r="AM1202" s="322">
        <f t="shared" si="552"/>
        <v>7</v>
      </c>
      <c r="AN1202" s="380">
        <f>IF(AND(AH1202&gt;0,B1202&lt;&gt;""),VLOOKUP(I1202,'AUX-NIV3'!$B:$AO,39,FALSE)*O1202,0)</f>
        <v>0</v>
      </c>
      <c r="AO1202" s="380">
        <f t="shared" si="530"/>
        <v>0.75</v>
      </c>
      <c r="AP1202" s="380"/>
    </row>
    <row r="1203" spans="2:42" ht="14.4" hidden="1" thickTop="1" thickBot="1">
      <c r="B1203" s="501" t="s">
        <v>3017</v>
      </c>
      <c r="C1203" s="950" t="s">
        <v>3018</v>
      </c>
      <c r="D1203" s="326" t="s">
        <v>441</v>
      </c>
      <c r="E1203" s="327">
        <f>IF(B1203&lt;&gt;"",SUMIF('AUX-NIV1'!I:I,'AUX-NIV2'!B1203,'AUX-NIV1'!Q:Q),"")</f>
        <v>0</v>
      </c>
      <c r="F1203" s="327">
        <f t="shared" si="520"/>
        <v>624.7215798629245</v>
      </c>
      <c r="G1203" s="327">
        <f t="shared" si="521"/>
        <v>0</v>
      </c>
      <c r="H1203" s="328" t="str">
        <f t="shared" si="553"/>
        <v>A</v>
      </c>
      <c r="I1203" s="325" t="s">
        <v>1746</v>
      </c>
      <c r="J1203" s="329" t="str">
        <f>IF(B1203&lt;&gt;"",+VLOOKUP(I1203,Recursos!C:F,2,FALSE),"")</f>
        <v>OFICIAL</v>
      </c>
      <c r="K1203" s="330" t="str">
        <f>IF(B1203&lt;&gt;"",+VLOOKUP(I1203,Recursos!C:F,3,FALSE),"")</f>
        <v>hh</v>
      </c>
      <c r="L1203" s="327">
        <f>IF(B1203&lt;&gt;"",+VLOOKUP(I1203,Recursos!C:F,4,FALSE),"")</f>
        <v>496.91595439275824</v>
      </c>
      <c r="M1203" s="454"/>
      <c r="N1203" s="453">
        <v>1.25</v>
      </c>
      <c r="O1203" s="449">
        <f>+N1203/M1204</f>
        <v>6.25E-2</v>
      </c>
      <c r="P1203" s="333">
        <f t="shared" si="554"/>
        <v>31.05724714954739</v>
      </c>
      <c r="Q1203" s="327">
        <f t="shared" si="555"/>
        <v>0</v>
      </c>
      <c r="R1203" s="334">
        <f t="shared" si="556"/>
        <v>0</v>
      </c>
      <c r="S1203" s="335">
        <f t="shared" si="522"/>
        <v>380.37347486292447</v>
      </c>
      <c r="T1203" s="335">
        <f t="shared" si="523"/>
        <v>244.34810500000003</v>
      </c>
      <c r="U1203" s="336">
        <f t="shared" si="524"/>
        <v>0</v>
      </c>
      <c r="V1203" s="336">
        <f t="shared" si="525"/>
        <v>0</v>
      </c>
      <c r="W1203" s="336">
        <f t="shared" si="526"/>
        <v>0</v>
      </c>
      <c r="X1203" s="336">
        <f t="shared" si="527"/>
        <v>0</v>
      </c>
      <c r="Y1203" s="320"/>
      <c r="Z1203" s="321" t="str">
        <f t="shared" si="543"/>
        <v>X-COL9A</v>
      </c>
      <c r="AA1203" s="321" t="str">
        <f t="shared" si="544"/>
        <v>X-COL9E</v>
      </c>
      <c r="AB1203" s="321" t="str">
        <f t="shared" si="545"/>
        <v>X-COL9M</v>
      </c>
      <c r="AC1203" s="321" t="str">
        <f t="shared" si="546"/>
        <v>X-COL9T</v>
      </c>
      <c r="AD1203" s="321" t="str">
        <f t="shared" si="547"/>
        <v>X-COL9S</v>
      </c>
      <c r="AE1203" s="321" t="str">
        <f t="shared" si="548"/>
        <v>X-COL9X</v>
      </c>
      <c r="AF1203" s="321" t="str">
        <f t="shared" si="549"/>
        <v>X-COL9A</v>
      </c>
      <c r="AG1203" s="321">
        <f t="shared" si="528"/>
        <v>11</v>
      </c>
      <c r="AH1203" s="321">
        <f>IF(B1203&lt;&gt;"",IF(H1203="x",VLOOKUP(I1203,'AUX-NIV3'!B:AG,32,FALSE),0),"")</f>
        <v>0</v>
      </c>
      <c r="AI1203" s="321" t="str">
        <f t="shared" si="550"/>
        <v>X-COL9</v>
      </c>
      <c r="AJ1203" s="320"/>
      <c r="AK1203" s="322">
        <f t="shared" si="529"/>
        <v>1196</v>
      </c>
      <c r="AL1203" s="323">
        <f t="shared" si="551"/>
        <v>1206</v>
      </c>
      <c r="AM1203" s="322">
        <f t="shared" si="552"/>
        <v>8</v>
      </c>
      <c r="AN1203" s="380">
        <f>IF(AND(AH1203&gt;0,B1203&lt;&gt;""),VLOOKUP(I1203,'AUX-NIV3'!$B:$AO,39,FALSE)*O1203,0)</f>
        <v>0</v>
      </c>
      <c r="AO1203" s="380">
        <f t="shared" si="530"/>
        <v>0.75</v>
      </c>
      <c r="AP1203" s="380"/>
    </row>
    <row r="1204" spans="2:42" ht="14.4" hidden="1" thickTop="1" thickBot="1">
      <c r="B1204" s="501" t="s">
        <v>3017</v>
      </c>
      <c r="C1204" s="950" t="s">
        <v>3018</v>
      </c>
      <c r="D1204" s="326" t="s">
        <v>441</v>
      </c>
      <c r="E1204" s="327">
        <f>IF(B1204&lt;&gt;"",SUMIF('AUX-NIV1'!I:I,'AUX-NIV2'!B1204,'AUX-NIV1'!Q:Q),"")</f>
        <v>0</v>
      </c>
      <c r="F1204" s="327">
        <f t="shared" si="520"/>
        <v>624.7215798629245</v>
      </c>
      <c r="G1204" s="327">
        <f t="shared" si="521"/>
        <v>0</v>
      </c>
      <c r="H1204" s="328" t="str">
        <f t="shared" si="553"/>
        <v>E</v>
      </c>
      <c r="I1204" s="325" t="s">
        <v>1549</v>
      </c>
      <c r="J1204" s="329" t="str">
        <f>IF(B1204&lt;&gt;"",+VLOOKUP(I1204,Recursos!C:F,2,FALSE),"")</f>
        <v>RETROEXC. CARG. S/ROD.NEUM. 0.24 M3</v>
      </c>
      <c r="K1204" s="330" t="str">
        <f>IF(B1204&lt;&gt;"",+VLOOKUP(I1204,Recursos!C:F,3,FALSE),"")</f>
        <v>HR</v>
      </c>
      <c r="L1204" s="327">
        <f>IF(B1204&lt;&gt;"",+VLOOKUP(I1204,Recursos!C:F,4,FALSE),"")</f>
        <v>1761.0672000000002</v>
      </c>
      <c r="M1204" s="452">
        <v>20</v>
      </c>
      <c r="N1204" s="453">
        <v>1</v>
      </c>
      <c r="O1204" s="449">
        <f>+N1204/M1204</f>
        <v>0.05</v>
      </c>
      <c r="P1204" s="333">
        <f t="shared" si="554"/>
        <v>88.053360000000012</v>
      </c>
      <c r="Q1204" s="327">
        <f t="shared" si="555"/>
        <v>0</v>
      </c>
      <c r="R1204" s="334">
        <f t="shared" si="556"/>
        <v>0</v>
      </c>
      <c r="S1204" s="335">
        <f t="shared" si="522"/>
        <v>380.37347486292447</v>
      </c>
      <c r="T1204" s="335">
        <f t="shared" si="523"/>
        <v>244.34810500000003</v>
      </c>
      <c r="U1204" s="336">
        <f t="shared" si="524"/>
        <v>0</v>
      </c>
      <c r="V1204" s="336">
        <f t="shared" si="525"/>
        <v>0</v>
      </c>
      <c r="W1204" s="336">
        <f t="shared" si="526"/>
        <v>0</v>
      </c>
      <c r="X1204" s="336">
        <f t="shared" si="527"/>
        <v>0</v>
      </c>
      <c r="Y1204" s="320"/>
      <c r="Z1204" s="321" t="str">
        <f t="shared" ref="Z1204:Z1213" si="557">IF(B1204&lt;&gt;"",+$B1204&amp;"A","")</f>
        <v>X-COL9A</v>
      </c>
      <c r="AA1204" s="321" t="str">
        <f t="shared" ref="AA1204:AA1213" si="558">IF(B1204&lt;&gt;"",+$B1204&amp;"E","")</f>
        <v>X-COL9E</v>
      </c>
      <c r="AB1204" s="321" t="str">
        <f t="shared" ref="AB1204:AB1213" si="559">IF(B1204&lt;&gt;"",++$B1204&amp;"M","")</f>
        <v>X-COL9M</v>
      </c>
      <c r="AC1204" s="321" t="str">
        <f t="shared" ref="AC1204:AC1213" si="560">IF(B1204&lt;&gt;"",+$B1204&amp;"T","")</f>
        <v>X-COL9T</v>
      </c>
      <c r="AD1204" s="321" t="str">
        <f t="shared" ref="AD1204:AD1213" si="561">IF(B1204&lt;&gt;"",+$B1204&amp;"S","")</f>
        <v>X-COL9S</v>
      </c>
      <c r="AE1204" s="321" t="str">
        <f t="shared" ref="AE1204:AE1213" si="562">IF(B1204&lt;&gt;"",+$B1204&amp;"X","")</f>
        <v>X-COL9X</v>
      </c>
      <c r="AF1204" s="321" t="str">
        <f t="shared" ref="AF1204:AF1213" si="563">IF(B1204&lt;&gt;"",+B1204&amp;H1204,"")</f>
        <v>X-COL9E</v>
      </c>
      <c r="AG1204" s="321">
        <f t="shared" si="528"/>
        <v>11</v>
      </c>
      <c r="AH1204" s="321">
        <f>IF(B1204&lt;&gt;"",IF(H1204="x",VLOOKUP(I1204,'AUX-NIV3'!B:AG,32,FALSE),0),"")</f>
        <v>0</v>
      </c>
      <c r="AI1204" s="321" t="str">
        <f t="shared" ref="AI1204:AI1213" si="564">IF(B1204&lt;&gt;"",+B1204,"")</f>
        <v>X-COL9</v>
      </c>
      <c r="AJ1204" s="320"/>
      <c r="AK1204" s="322">
        <f t="shared" si="529"/>
        <v>1196</v>
      </c>
      <c r="AL1204" s="323">
        <f t="shared" ref="AL1204:AL1213" si="565">IF(B1204&lt;&gt;"",+AK1204+AG1204-1,"")</f>
        <v>1206</v>
      </c>
      <c r="AM1204" s="322">
        <f t="shared" ref="AM1204:AM1213" si="566">IF(B1204&lt;&gt;"",IF(B1204=B1203,1+AM1203,1),"")</f>
        <v>9</v>
      </c>
      <c r="AN1204" s="380">
        <f>IF(AND(AH1204&gt;0,B1204&lt;&gt;""),VLOOKUP(I1204,'AUX-NIV3'!$B:$AO,39,FALSE)*O1204,0)</f>
        <v>0</v>
      </c>
      <c r="AO1204" s="380">
        <f t="shared" si="530"/>
        <v>0.75</v>
      </c>
      <c r="AP1204" s="380"/>
    </row>
    <row r="1205" spans="2:42" ht="14.4" hidden="1" thickTop="1" thickBot="1">
      <c r="B1205" s="501" t="s">
        <v>3017</v>
      </c>
      <c r="C1205" s="950" t="s">
        <v>3018</v>
      </c>
      <c r="D1205" s="326" t="s">
        <v>441</v>
      </c>
      <c r="E1205" s="327">
        <f>IF(B1205&lt;&gt;"",SUMIF('AUX-NIV1'!I:I,'AUX-NIV2'!B1205,'AUX-NIV1'!Q:Q),"")</f>
        <v>0</v>
      </c>
      <c r="F1205" s="327">
        <f t="shared" si="520"/>
        <v>624.7215798629245</v>
      </c>
      <c r="G1205" s="327">
        <f t="shared" si="521"/>
        <v>0</v>
      </c>
      <c r="H1205" s="328" t="str">
        <f t="shared" si="553"/>
        <v>E</v>
      </c>
      <c r="I1205" s="325" t="s">
        <v>3019</v>
      </c>
      <c r="J1205" s="329" t="str">
        <f>IF(B1205&lt;&gt;"",+VLOOKUP(I1205,Recursos!C:F,2,FALSE),"")</f>
        <v>RODILLO VIBRATORIO 82 cm-1370 Kg</v>
      </c>
      <c r="K1205" s="330" t="str">
        <f>IF(B1205&lt;&gt;"",+VLOOKUP(I1205,Recursos!C:F,3,FALSE),"")</f>
        <v>HR</v>
      </c>
      <c r="L1205" s="327">
        <f>IF(B1205&lt;&gt;"",+VLOOKUP(I1205,Recursos!C:F,4,FALSE),"")</f>
        <v>844.60000000000014</v>
      </c>
      <c r="M1205" s="454"/>
      <c r="N1205" s="453">
        <v>1</v>
      </c>
      <c r="O1205" s="449">
        <f>+N1205/M1204</f>
        <v>0.05</v>
      </c>
      <c r="P1205" s="333">
        <f t="shared" si="554"/>
        <v>42.230000000000011</v>
      </c>
      <c r="Q1205" s="327">
        <f t="shared" si="555"/>
        <v>0</v>
      </c>
      <c r="R1205" s="334">
        <f t="shared" si="556"/>
        <v>0</v>
      </c>
      <c r="S1205" s="335">
        <f t="shared" si="522"/>
        <v>380.37347486292447</v>
      </c>
      <c r="T1205" s="335">
        <f t="shared" si="523"/>
        <v>244.34810500000003</v>
      </c>
      <c r="U1205" s="336">
        <f t="shared" si="524"/>
        <v>0</v>
      </c>
      <c r="V1205" s="336">
        <f t="shared" si="525"/>
        <v>0</v>
      </c>
      <c r="W1205" s="336">
        <f t="shared" si="526"/>
        <v>0</v>
      </c>
      <c r="X1205" s="336">
        <f t="shared" si="527"/>
        <v>0</v>
      </c>
      <c r="Y1205" s="320"/>
      <c r="Z1205" s="321" t="str">
        <f t="shared" si="557"/>
        <v>X-COL9A</v>
      </c>
      <c r="AA1205" s="321" t="str">
        <f t="shared" si="558"/>
        <v>X-COL9E</v>
      </c>
      <c r="AB1205" s="321" t="str">
        <f t="shared" si="559"/>
        <v>X-COL9M</v>
      </c>
      <c r="AC1205" s="321" t="str">
        <f t="shared" si="560"/>
        <v>X-COL9T</v>
      </c>
      <c r="AD1205" s="321" t="str">
        <f t="shared" si="561"/>
        <v>X-COL9S</v>
      </c>
      <c r="AE1205" s="321" t="str">
        <f t="shared" si="562"/>
        <v>X-COL9X</v>
      </c>
      <c r="AF1205" s="321" t="str">
        <f t="shared" si="563"/>
        <v>X-COL9E</v>
      </c>
      <c r="AG1205" s="321">
        <f t="shared" si="528"/>
        <v>11</v>
      </c>
      <c r="AH1205" s="321">
        <f>IF(B1205&lt;&gt;"",IF(H1205="x",VLOOKUP(I1205,'AUX-NIV3'!B:AG,32,FALSE),0),"")</f>
        <v>0</v>
      </c>
      <c r="AI1205" s="321" t="str">
        <f t="shared" si="564"/>
        <v>X-COL9</v>
      </c>
      <c r="AJ1205" s="320"/>
      <c r="AK1205" s="322">
        <f t="shared" si="529"/>
        <v>1196</v>
      </c>
      <c r="AL1205" s="323">
        <f t="shared" si="565"/>
        <v>1206</v>
      </c>
      <c r="AM1205" s="322">
        <f t="shared" si="566"/>
        <v>10</v>
      </c>
      <c r="AN1205" s="380">
        <f>IF(AND(AH1205&gt;0,B1205&lt;&gt;""),VLOOKUP(I1205,'AUX-NIV3'!$B:$AO,39,FALSE)*O1205,0)</f>
        <v>0</v>
      </c>
      <c r="AO1205" s="380">
        <f t="shared" si="530"/>
        <v>0.75</v>
      </c>
      <c r="AP1205" s="380"/>
    </row>
    <row r="1206" spans="2:42" ht="14.4" hidden="1" thickTop="1" thickBot="1">
      <c r="B1206" s="501" t="s">
        <v>3017</v>
      </c>
      <c r="C1206" s="950" t="s">
        <v>3018</v>
      </c>
      <c r="D1206" s="326" t="s">
        <v>441</v>
      </c>
      <c r="E1206" s="327">
        <f>IF(B1206&lt;&gt;"",SUMIF('AUX-NIV1'!I:I,'AUX-NIV2'!B1206,'AUX-NIV1'!Q:Q),"")</f>
        <v>0</v>
      </c>
      <c r="F1206" s="327">
        <f t="shared" si="520"/>
        <v>624.7215798629245</v>
      </c>
      <c r="G1206" s="327">
        <f t="shared" si="521"/>
        <v>0</v>
      </c>
      <c r="H1206" s="328" t="str">
        <f t="shared" si="553"/>
        <v>E</v>
      </c>
      <c r="I1206" s="325" t="s">
        <v>1676</v>
      </c>
      <c r="J1206" s="329" t="str">
        <f>IF(B1206&lt;&gt;"",+VLOOKUP(I1206,Recursos!C:F,2,FALSE),"")</f>
        <v>CAMION REGADOR CAP. 8 m3</v>
      </c>
      <c r="K1206" s="330" t="str">
        <f>IF(B1206&lt;&gt;"",+VLOOKUP(I1206,Recursos!C:F,3,FALSE),"")</f>
        <v>HR</v>
      </c>
      <c r="L1206" s="327">
        <f>IF(B1206&lt;&gt;"",+VLOOKUP(I1206,Recursos!C:F,4,FALSE),"")</f>
        <v>2281.2949000000003</v>
      </c>
      <c r="M1206" s="456"/>
      <c r="N1206" s="507"/>
      <c r="O1206" s="449">
        <f>+N1204/M1204</f>
        <v>0.05</v>
      </c>
      <c r="P1206" s="333">
        <f t="shared" si="554"/>
        <v>114.06474500000002</v>
      </c>
      <c r="Q1206" s="327">
        <f t="shared" si="555"/>
        <v>0</v>
      </c>
      <c r="R1206" s="334">
        <f t="shared" si="556"/>
        <v>0</v>
      </c>
      <c r="S1206" s="335">
        <f t="shared" si="522"/>
        <v>380.37347486292447</v>
      </c>
      <c r="T1206" s="335">
        <f t="shared" si="523"/>
        <v>244.34810500000003</v>
      </c>
      <c r="U1206" s="336">
        <f t="shared" si="524"/>
        <v>0</v>
      </c>
      <c r="V1206" s="336">
        <f t="shared" si="525"/>
        <v>0</v>
      </c>
      <c r="W1206" s="336">
        <f t="shared" si="526"/>
        <v>0</v>
      </c>
      <c r="X1206" s="336">
        <f t="shared" si="527"/>
        <v>0</v>
      </c>
      <c r="Y1206" s="320"/>
      <c r="Z1206" s="321" t="str">
        <f t="shared" si="557"/>
        <v>X-COL9A</v>
      </c>
      <c r="AA1206" s="321" t="str">
        <f t="shared" si="558"/>
        <v>X-COL9E</v>
      </c>
      <c r="AB1206" s="321" t="str">
        <f t="shared" si="559"/>
        <v>X-COL9M</v>
      </c>
      <c r="AC1206" s="321" t="str">
        <f t="shared" si="560"/>
        <v>X-COL9T</v>
      </c>
      <c r="AD1206" s="321" t="str">
        <f t="shared" si="561"/>
        <v>X-COL9S</v>
      </c>
      <c r="AE1206" s="321" t="str">
        <f t="shared" si="562"/>
        <v>X-COL9X</v>
      </c>
      <c r="AF1206" s="321" t="str">
        <f t="shared" si="563"/>
        <v>X-COL9E</v>
      </c>
      <c r="AG1206" s="321">
        <f t="shared" si="528"/>
        <v>11</v>
      </c>
      <c r="AH1206" s="321">
        <f>IF(B1206&lt;&gt;"",IF(H1206="x",VLOOKUP(I1206,'AUX-NIV3'!B:AG,32,FALSE),0),"")</f>
        <v>0</v>
      </c>
      <c r="AI1206" s="321" t="str">
        <f t="shared" si="564"/>
        <v>X-COL9</v>
      </c>
      <c r="AJ1206" s="320"/>
      <c r="AK1206" s="322">
        <f t="shared" si="529"/>
        <v>1196</v>
      </c>
      <c r="AL1206" s="323">
        <f t="shared" si="565"/>
        <v>1206</v>
      </c>
      <c r="AM1206" s="322">
        <f t="shared" si="566"/>
        <v>11</v>
      </c>
      <c r="AN1206" s="380">
        <f>IF(AND(AH1206&gt;0,B1206&lt;&gt;""),VLOOKUP(I1206,'AUX-NIV3'!$B:$AO,39,FALSE)*O1206,0)</f>
        <v>0</v>
      </c>
      <c r="AO1206" s="380">
        <f t="shared" si="530"/>
        <v>0.75</v>
      </c>
      <c r="AP1206" s="380"/>
    </row>
    <row r="1207" spans="2:42" ht="14.4" hidden="1" thickTop="1" thickBot="1">
      <c r="B1207" s="501" t="s">
        <v>3022</v>
      </c>
      <c r="C1207" s="950" t="s">
        <v>3021</v>
      </c>
      <c r="D1207" s="326" t="s">
        <v>1160</v>
      </c>
      <c r="E1207" s="327">
        <f>IF(B1207&lt;&gt;"",SUMIF('AUX-NIV1'!I:I,'AUX-NIV2'!B1207,'AUX-NIV1'!Q:Q),"")</f>
        <v>0</v>
      </c>
      <c r="F1207" s="327">
        <f t="shared" si="520"/>
        <v>5089.5514149046503</v>
      </c>
      <c r="G1207" s="327">
        <f t="shared" si="521"/>
        <v>0</v>
      </c>
      <c r="H1207" s="328" t="str">
        <f t="shared" si="553"/>
        <v>M</v>
      </c>
      <c r="I1207" s="325" t="s">
        <v>1856</v>
      </c>
      <c r="J1207" s="329" t="str">
        <f>IF(B1207&lt;&gt;"",+VLOOKUP(I1207,Recursos!C:F,2,FALSE),"")</f>
        <v>PLASTIFICANTE</v>
      </c>
      <c r="K1207" s="330" t="str">
        <f>IF(B1207&lt;&gt;"",+VLOOKUP(I1207,Recursos!C:F,3,FALSE),"")</f>
        <v>Kg</v>
      </c>
      <c r="L1207" s="446">
        <f>IF(B1207&lt;&gt;"",+VLOOKUP(I1207,Recursos!C:F,4,FALSE),"")</f>
        <v>108</v>
      </c>
      <c r="M1207" s="447">
        <v>0.5</v>
      </c>
      <c r="N1207" s="448"/>
      <c r="O1207" s="449">
        <f>+M1208*M1210/100</f>
        <v>1.8</v>
      </c>
      <c r="P1207" s="333">
        <f t="shared" si="554"/>
        <v>194.4</v>
      </c>
      <c r="Q1207" s="327">
        <f t="shared" si="555"/>
        <v>0</v>
      </c>
      <c r="R1207" s="334">
        <f t="shared" si="556"/>
        <v>0</v>
      </c>
      <c r="S1207" s="335">
        <f t="shared" si="522"/>
        <v>0</v>
      </c>
      <c r="T1207" s="335">
        <f t="shared" si="523"/>
        <v>0</v>
      </c>
      <c r="U1207" s="336">
        <f t="shared" si="524"/>
        <v>3992.4160282272528</v>
      </c>
      <c r="V1207" s="336">
        <f t="shared" si="525"/>
        <v>0</v>
      </c>
      <c r="W1207" s="336">
        <f t="shared" si="526"/>
        <v>0</v>
      </c>
      <c r="X1207" s="336">
        <f t="shared" si="527"/>
        <v>1097.135386677397</v>
      </c>
      <c r="Y1207" s="320"/>
      <c r="Z1207" s="321" t="str">
        <f t="shared" si="557"/>
        <v>X-ELA4A</v>
      </c>
      <c r="AA1207" s="321" t="str">
        <f t="shared" si="558"/>
        <v>X-ELA4E</v>
      </c>
      <c r="AB1207" s="321" t="str">
        <f t="shared" si="559"/>
        <v>X-ELA4M</v>
      </c>
      <c r="AC1207" s="321" t="str">
        <f t="shared" si="560"/>
        <v>X-ELA4T</v>
      </c>
      <c r="AD1207" s="321" t="str">
        <f t="shared" si="561"/>
        <v>X-ELA4S</v>
      </c>
      <c r="AE1207" s="321" t="str">
        <f t="shared" si="562"/>
        <v>X-ELA4X</v>
      </c>
      <c r="AF1207" s="321" t="str">
        <f t="shared" si="563"/>
        <v>X-ELA4M</v>
      </c>
      <c r="AG1207" s="321">
        <f t="shared" si="528"/>
        <v>7</v>
      </c>
      <c r="AH1207" s="321">
        <f>IF(B1207&lt;&gt;"",IF(H1207="x",VLOOKUP(I1207,'AUX-NIV3'!B:AG,32,FALSE),0),"")</f>
        <v>0</v>
      </c>
      <c r="AI1207" s="321" t="str">
        <f t="shared" si="564"/>
        <v>X-ELA4</v>
      </c>
      <c r="AJ1207" s="320"/>
      <c r="AK1207" s="322">
        <f t="shared" si="529"/>
        <v>1207</v>
      </c>
      <c r="AL1207" s="323">
        <f t="shared" si="565"/>
        <v>1213</v>
      </c>
      <c r="AM1207" s="322">
        <f t="shared" si="566"/>
        <v>1</v>
      </c>
      <c r="AN1207" s="380">
        <f>IF(AND(AH1207&gt;0,B1207&lt;&gt;""),VLOOKUP(I1207,'AUX-NIV3'!$B:$AO,39,FALSE)*O1207,0)</f>
        <v>0</v>
      </c>
      <c r="AO1207" s="380">
        <f t="shared" si="530"/>
        <v>0.93362499999999993</v>
      </c>
      <c r="AP1207" s="380"/>
    </row>
    <row r="1208" spans="2:42" ht="14.4" hidden="1" thickTop="1" thickBot="1">
      <c r="B1208" s="501" t="s">
        <v>3022</v>
      </c>
      <c r="C1208" s="950" t="s">
        <v>3021</v>
      </c>
      <c r="D1208" s="326" t="s">
        <v>1160</v>
      </c>
      <c r="E1208" s="327">
        <f>IF(B1208&lt;&gt;"",SUMIF('AUX-NIV1'!I:I,'AUX-NIV2'!B1208,'AUX-NIV1'!Q:Q),"")</f>
        <v>0</v>
      </c>
      <c r="F1208" s="327">
        <f t="shared" si="520"/>
        <v>5089.5514149046503</v>
      </c>
      <c r="G1208" s="327">
        <f t="shared" si="521"/>
        <v>0</v>
      </c>
      <c r="H1208" s="328" t="str">
        <f t="shared" si="553"/>
        <v>M</v>
      </c>
      <c r="I1208" s="325" t="s">
        <v>1890</v>
      </c>
      <c r="J1208" s="329" t="str">
        <f>IF(B1208&lt;&gt;"",+VLOOKUP(I1208,Recursos!C:F,2,FALSE),"")</f>
        <v>CEMENTO PORTLAND (granel,en obra)</v>
      </c>
      <c r="K1208" s="330" t="str">
        <f>IF(B1208&lt;&gt;"",+VLOOKUP(I1208,Recursos!C:F,3,FALSE),"")</f>
        <v>Tn</v>
      </c>
      <c r="L1208" s="446">
        <f>IF(B1208&lt;&gt;"",+VLOOKUP(I1208,Recursos!C:F,4,FALSE),"")</f>
        <v>5970</v>
      </c>
      <c r="M1208" s="452">
        <v>360</v>
      </c>
      <c r="N1208" s="453"/>
      <c r="O1208" s="449">
        <f>+M1208/1000*M1211</f>
        <v>0.378</v>
      </c>
      <c r="P1208" s="333">
        <f t="shared" si="554"/>
        <v>2256.66</v>
      </c>
      <c r="Q1208" s="327">
        <f t="shared" si="555"/>
        <v>0</v>
      </c>
      <c r="R1208" s="334">
        <f t="shared" si="556"/>
        <v>0</v>
      </c>
      <c r="S1208" s="335">
        <f t="shared" si="522"/>
        <v>0</v>
      </c>
      <c r="T1208" s="335">
        <f t="shared" si="523"/>
        <v>0</v>
      </c>
      <c r="U1208" s="336">
        <f t="shared" si="524"/>
        <v>3992.4160282272528</v>
      </c>
      <c r="V1208" s="336">
        <f t="shared" si="525"/>
        <v>0</v>
      </c>
      <c r="W1208" s="336">
        <f t="shared" si="526"/>
        <v>0</v>
      </c>
      <c r="X1208" s="336">
        <f t="shared" si="527"/>
        <v>1097.135386677397</v>
      </c>
      <c r="Y1208" s="320"/>
      <c r="Z1208" s="321" t="str">
        <f t="shared" si="557"/>
        <v>X-ELA4A</v>
      </c>
      <c r="AA1208" s="321" t="str">
        <f t="shared" si="558"/>
        <v>X-ELA4E</v>
      </c>
      <c r="AB1208" s="321" t="str">
        <f t="shared" si="559"/>
        <v>X-ELA4M</v>
      </c>
      <c r="AC1208" s="321" t="str">
        <f t="shared" si="560"/>
        <v>X-ELA4T</v>
      </c>
      <c r="AD1208" s="321" t="str">
        <f t="shared" si="561"/>
        <v>X-ELA4S</v>
      </c>
      <c r="AE1208" s="321" t="str">
        <f t="shared" si="562"/>
        <v>X-ELA4X</v>
      </c>
      <c r="AF1208" s="321" t="str">
        <f t="shared" si="563"/>
        <v>X-ELA4M</v>
      </c>
      <c r="AG1208" s="321">
        <f t="shared" si="528"/>
        <v>7</v>
      </c>
      <c r="AH1208" s="321">
        <f>IF(B1208&lt;&gt;"",IF(H1208="x",VLOOKUP(I1208,'AUX-NIV3'!B:AG,32,FALSE),0),"")</f>
        <v>0</v>
      </c>
      <c r="AI1208" s="321" t="str">
        <f t="shared" si="564"/>
        <v>X-ELA4</v>
      </c>
      <c r="AJ1208" s="320"/>
      <c r="AK1208" s="322">
        <f t="shared" si="529"/>
        <v>1207</v>
      </c>
      <c r="AL1208" s="323">
        <f t="shared" si="565"/>
        <v>1213</v>
      </c>
      <c r="AM1208" s="322">
        <f t="shared" si="566"/>
        <v>2</v>
      </c>
      <c r="AN1208" s="380">
        <f>IF(AND(AH1208&gt;0,B1208&lt;&gt;""),VLOOKUP(I1208,'AUX-NIV3'!$B:$AO,39,FALSE)*O1208,0)</f>
        <v>0</v>
      </c>
      <c r="AO1208" s="380">
        <f t="shared" si="530"/>
        <v>0.93362499999999993</v>
      </c>
      <c r="AP1208" s="380"/>
    </row>
    <row r="1209" spans="2:42" ht="14.4" hidden="1" thickTop="1" thickBot="1">
      <c r="B1209" s="501" t="s">
        <v>3022</v>
      </c>
      <c r="C1209" s="950" t="s">
        <v>3021</v>
      </c>
      <c r="D1209" s="326" t="s">
        <v>1160</v>
      </c>
      <c r="E1209" s="327">
        <f>IF(B1209&lt;&gt;"",SUMIF('AUX-NIV1'!I:I,'AUX-NIV2'!B1209,'AUX-NIV1'!Q:Q),"")</f>
        <v>0</v>
      </c>
      <c r="F1209" s="327">
        <f t="shared" si="520"/>
        <v>5089.5514149046503</v>
      </c>
      <c r="G1209" s="327">
        <f t="shared" si="521"/>
        <v>0</v>
      </c>
      <c r="H1209" s="328" t="str">
        <f t="shared" si="553"/>
        <v>M</v>
      </c>
      <c r="I1209" s="324" t="s">
        <v>1510</v>
      </c>
      <c r="J1209" s="329" t="str">
        <f>IF(B1209&lt;&gt;"",+VLOOKUP(I1209,Recursos!C:F,2,FALSE),"")</f>
        <v>AGREGADO GRUESO</v>
      </c>
      <c r="K1209" s="330" t="str">
        <f>IF(B1209&lt;&gt;"",+VLOOKUP(I1209,Recursos!C:F,3,FALSE),"")</f>
        <v>Tn</v>
      </c>
      <c r="L1209" s="446">
        <f>IF(B1209&lt;&gt;"",+VLOOKUP(I1209,Recursos!C:F,4,FALSE),"")</f>
        <v>900</v>
      </c>
      <c r="M1209" s="452">
        <v>20</v>
      </c>
      <c r="N1209" s="453">
        <v>0.6</v>
      </c>
      <c r="O1209" s="449">
        <f>+N1209*(M1212-(M1208*(1+M1207)/1000))*M1211</f>
        <v>1.1718</v>
      </c>
      <c r="P1209" s="333">
        <f t="shared" si="554"/>
        <v>1054.6199999999999</v>
      </c>
      <c r="Q1209" s="327">
        <f t="shared" si="555"/>
        <v>0</v>
      </c>
      <c r="R1209" s="334">
        <f t="shared" si="556"/>
        <v>0</v>
      </c>
      <c r="S1209" s="335">
        <f t="shared" si="522"/>
        <v>0</v>
      </c>
      <c r="T1209" s="335">
        <f t="shared" si="523"/>
        <v>0</v>
      </c>
      <c r="U1209" s="336">
        <f t="shared" si="524"/>
        <v>3992.4160282272528</v>
      </c>
      <c r="V1209" s="336">
        <f t="shared" si="525"/>
        <v>0</v>
      </c>
      <c r="W1209" s="336">
        <f t="shared" si="526"/>
        <v>0</v>
      </c>
      <c r="X1209" s="336">
        <f t="shared" si="527"/>
        <v>1097.135386677397</v>
      </c>
      <c r="Y1209" s="320"/>
      <c r="Z1209" s="321" t="str">
        <f t="shared" si="557"/>
        <v>X-ELA4A</v>
      </c>
      <c r="AA1209" s="321" t="str">
        <f t="shared" si="558"/>
        <v>X-ELA4E</v>
      </c>
      <c r="AB1209" s="321" t="str">
        <f t="shared" si="559"/>
        <v>X-ELA4M</v>
      </c>
      <c r="AC1209" s="321" t="str">
        <f t="shared" si="560"/>
        <v>X-ELA4T</v>
      </c>
      <c r="AD1209" s="321" t="str">
        <f t="shared" si="561"/>
        <v>X-ELA4S</v>
      </c>
      <c r="AE1209" s="321" t="str">
        <f t="shared" si="562"/>
        <v>X-ELA4X</v>
      </c>
      <c r="AF1209" s="321" t="str">
        <f t="shared" si="563"/>
        <v>X-ELA4M</v>
      </c>
      <c r="AG1209" s="321">
        <f t="shared" si="528"/>
        <v>7</v>
      </c>
      <c r="AH1209" s="321">
        <f>IF(B1209&lt;&gt;"",IF(H1209="x",VLOOKUP(I1209,'AUX-NIV3'!B:AG,32,FALSE),0),"")</f>
        <v>0</v>
      </c>
      <c r="AI1209" s="321" t="str">
        <f t="shared" si="564"/>
        <v>X-ELA4</v>
      </c>
      <c r="AJ1209" s="320"/>
      <c r="AK1209" s="322">
        <f t="shared" si="529"/>
        <v>1207</v>
      </c>
      <c r="AL1209" s="323">
        <f t="shared" si="565"/>
        <v>1213</v>
      </c>
      <c r="AM1209" s="322">
        <f t="shared" si="566"/>
        <v>3</v>
      </c>
      <c r="AN1209" s="380">
        <f>IF(AND(AH1209&gt;0,B1209&lt;&gt;""),VLOOKUP(I1209,'AUX-NIV3'!$B:$AO,39,FALSE)*O1209,0)</f>
        <v>0</v>
      </c>
      <c r="AO1209" s="380">
        <f t="shared" si="530"/>
        <v>0.93362499999999993</v>
      </c>
      <c r="AP1209" s="380"/>
    </row>
    <row r="1210" spans="2:42" ht="14.4" hidden="1" thickTop="1" thickBot="1">
      <c r="B1210" s="501" t="s">
        <v>3022</v>
      </c>
      <c r="C1210" s="950" t="s">
        <v>3021</v>
      </c>
      <c r="D1210" s="326" t="s">
        <v>1160</v>
      </c>
      <c r="E1210" s="327">
        <f>IF(B1210&lt;&gt;"",SUMIF('AUX-NIV1'!I:I,'AUX-NIV2'!B1210,'AUX-NIV1'!Q:Q),"")</f>
        <v>0</v>
      </c>
      <c r="F1210" s="327">
        <f t="shared" si="520"/>
        <v>5089.5514149046503</v>
      </c>
      <c r="G1210" s="327">
        <f t="shared" si="521"/>
        <v>0</v>
      </c>
      <c r="H1210" s="328" t="str">
        <f t="shared" si="553"/>
        <v>M</v>
      </c>
      <c r="I1210" s="325" t="s">
        <v>1511</v>
      </c>
      <c r="J1210" s="329" t="str">
        <f>IF(B1210&lt;&gt;"",+VLOOKUP(I1210,Recursos!C:F,2,FALSE),"")</f>
        <v>AGREGADO FINO</v>
      </c>
      <c r="K1210" s="330" t="str">
        <f>IF(B1210&lt;&gt;"",+VLOOKUP(I1210,Recursos!C:F,3,FALSE),"")</f>
        <v>tn</v>
      </c>
      <c r="L1210" s="446">
        <f>IF(B1210&lt;&gt;"",+VLOOKUP(I1210,Recursos!C:F,4,FALSE),"")</f>
        <v>346.12398419675657</v>
      </c>
      <c r="M1210" s="452">
        <v>0.5</v>
      </c>
      <c r="N1210" s="453">
        <v>0.2</v>
      </c>
      <c r="O1210" s="449">
        <f>+N1210*(M1212-(M1208*(1+M1207)/1000))*M1211</f>
        <v>0.3906</v>
      </c>
      <c r="P1210" s="333">
        <f t="shared" si="554"/>
        <v>135.19602822725312</v>
      </c>
      <c r="Q1210" s="327">
        <f t="shared" si="555"/>
        <v>0</v>
      </c>
      <c r="R1210" s="334">
        <f t="shared" si="556"/>
        <v>0</v>
      </c>
      <c r="S1210" s="335">
        <f t="shared" si="522"/>
        <v>0</v>
      </c>
      <c r="T1210" s="335">
        <f t="shared" si="523"/>
        <v>0</v>
      </c>
      <c r="U1210" s="336">
        <f t="shared" si="524"/>
        <v>3992.4160282272528</v>
      </c>
      <c r="V1210" s="336">
        <f t="shared" si="525"/>
        <v>0</v>
      </c>
      <c r="W1210" s="336">
        <f t="shared" si="526"/>
        <v>0</v>
      </c>
      <c r="X1210" s="336">
        <f t="shared" si="527"/>
        <v>1097.135386677397</v>
      </c>
      <c r="Y1210" s="320"/>
      <c r="Z1210" s="321" t="str">
        <f t="shared" si="557"/>
        <v>X-ELA4A</v>
      </c>
      <c r="AA1210" s="321" t="str">
        <f t="shared" si="558"/>
        <v>X-ELA4E</v>
      </c>
      <c r="AB1210" s="321" t="str">
        <f t="shared" si="559"/>
        <v>X-ELA4M</v>
      </c>
      <c r="AC1210" s="321" t="str">
        <f t="shared" si="560"/>
        <v>X-ELA4T</v>
      </c>
      <c r="AD1210" s="321" t="str">
        <f t="shared" si="561"/>
        <v>X-ELA4S</v>
      </c>
      <c r="AE1210" s="321" t="str">
        <f t="shared" si="562"/>
        <v>X-ELA4X</v>
      </c>
      <c r="AF1210" s="321" t="str">
        <f t="shared" si="563"/>
        <v>X-ELA4M</v>
      </c>
      <c r="AG1210" s="321">
        <f t="shared" si="528"/>
        <v>7</v>
      </c>
      <c r="AH1210" s="321">
        <f>IF(B1210&lt;&gt;"",IF(H1210="x",VLOOKUP(I1210,'AUX-NIV3'!B:AG,32,FALSE),0),"")</f>
        <v>0</v>
      </c>
      <c r="AI1210" s="321" t="str">
        <f t="shared" si="564"/>
        <v>X-ELA4</v>
      </c>
      <c r="AJ1210" s="320"/>
      <c r="AK1210" s="322">
        <f t="shared" si="529"/>
        <v>1207</v>
      </c>
      <c r="AL1210" s="323">
        <f t="shared" si="565"/>
        <v>1213</v>
      </c>
      <c r="AM1210" s="322">
        <f t="shared" si="566"/>
        <v>4</v>
      </c>
      <c r="AN1210" s="380">
        <f>IF(AND(AH1210&gt;0,B1210&lt;&gt;""),VLOOKUP(I1210,'AUX-NIV3'!$B:$AO,39,FALSE)*O1210,0)</f>
        <v>0</v>
      </c>
      <c r="AO1210" s="380">
        <f t="shared" si="530"/>
        <v>0.93362499999999993</v>
      </c>
      <c r="AP1210" s="380"/>
    </row>
    <row r="1211" spans="2:42" ht="14.4" hidden="1" thickTop="1" thickBot="1">
      <c r="B1211" s="501" t="s">
        <v>3022</v>
      </c>
      <c r="C1211" s="950" t="s">
        <v>3021</v>
      </c>
      <c r="D1211" s="326" t="s">
        <v>1160</v>
      </c>
      <c r="E1211" s="327">
        <f>IF(B1211&lt;&gt;"",SUMIF('AUX-NIV1'!I:I,'AUX-NIV2'!B1211,'AUX-NIV1'!Q:Q),"")</f>
        <v>0</v>
      </c>
      <c r="F1211" s="327">
        <f t="shared" si="520"/>
        <v>5089.5514149046503</v>
      </c>
      <c r="G1211" s="327">
        <f t="shared" si="521"/>
        <v>0</v>
      </c>
      <c r="H1211" s="328" t="str">
        <f t="shared" si="553"/>
        <v>M</v>
      </c>
      <c r="I1211" s="325" t="s">
        <v>1512</v>
      </c>
      <c r="J1211" s="329" t="str">
        <f>IF(B1211&lt;&gt;"",+VLOOKUP(I1211,Recursos!C:F,2,FALSE),"")</f>
        <v>ARENA ZARANDEADA</v>
      </c>
      <c r="K1211" s="330" t="str">
        <f>IF(B1211&lt;&gt;"",+VLOOKUP(I1211,Recursos!C:F,3,FALSE),"")</f>
        <v>Tn</v>
      </c>
      <c r="L1211" s="446">
        <f>IF(B1211&lt;&gt;"",+VLOOKUP(I1211,Recursos!C:F,4,FALSE),"")</f>
        <v>900</v>
      </c>
      <c r="M1211" s="452">
        <v>1.05</v>
      </c>
      <c r="N1211" s="453">
        <v>0.2</v>
      </c>
      <c r="O1211" s="449">
        <f>+N1211*(M1212-(M1208*(1+M1207)/1000))*M1211</f>
        <v>0.3906</v>
      </c>
      <c r="P1211" s="333">
        <f t="shared" si="554"/>
        <v>351.54</v>
      </c>
      <c r="Q1211" s="327">
        <f t="shared" si="555"/>
        <v>0</v>
      </c>
      <c r="R1211" s="334">
        <f t="shared" si="556"/>
        <v>0</v>
      </c>
      <c r="S1211" s="335">
        <f t="shared" si="522"/>
        <v>0</v>
      </c>
      <c r="T1211" s="335">
        <f t="shared" si="523"/>
        <v>0</v>
      </c>
      <c r="U1211" s="336">
        <f t="shared" si="524"/>
        <v>3992.4160282272528</v>
      </c>
      <c r="V1211" s="336">
        <f t="shared" si="525"/>
        <v>0</v>
      </c>
      <c r="W1211" s="336">
        <f t="shared" si="526"/>
        <v>0</v>
      </c>
      <c r="X1211" s="336">
        <f t="shared" si="527"/>
        <v>1097.135386677397</v>
      </c>
      <c r="Y1211" s="320"/>
      <c r="Z1211" s="321" t="str">
        <f t="shared" si="557"/>
        <v>X-ELA4A</v>
      </c>
      <c r="AA1211" s="321" t="str">
        <f t="shared" si="558"/>
        <v>X-ELA4E</v>
      </c>
      <c r="AB1211" s="321" t="str">
        <f t="shared" si="559"/>
        <v>X-ELA4M</v>
      </c>
      <c r="AC1211" s="321" t="str">
        <f t="shared" si="560"/>
        <v>X-ELA4T</v>
      </c>
      <c r="AD1211" s="321" t="str">
        <f t="shared" si="561"/>
        <v>X-ELA4S</v>
      </c>
      <c r="AE1211" s="321" t="str">
        <f t="shared" si="562"/>
        <v>X-ELA4X</v>
      </c>
      <c r="AF1211" s="321" t="str">
        <f t="shared" si="563"/>
        <v>X-ELA4M</v>
      </c>
      <c r="AG1211" s="321">
        <f t="shared" si="528"/>
        <v>7</v>
      </c>
      <c r="AH1211" s="321">
        <f>IF(B1211&lt;&gt;"",IF(H1211="x",VLOOKUP(I1211,'AUX-NIV3'!B:AG,32,FALSE),0),"")</f>
        <v>0</v>
      </c>
      <c r="AI1211" s="321" t="str">
        <f t="shared" si="564"/>
        <v>X-ELA4</v>
      </c>
      <c r="AJ1211" s="320"/>
      <c r="AK1211" s="322">
        <f t="shared" si="529"/>
        <v>1207</v>
      </c>
      <c r="AL1211" s="323">
        <f t="shared" si="565"/>
        <v>1213</v>
      </c>
      <c r="AM1211" s="322">
        <f t="shared" si="566"/>
        <v>5</v>
      </c>
      <c r="AN1211" s="380">
        <f>IF(AND(AH1211&gt;0,B1211&lt;&gt;""),VLOOKUP(I1211,'AUX-NIV3'!$B:$AO,39,FALSE)*O1211,0)</f>
        <v>0</v>
      </c>
      <c r="AO1211" s="380">
        <f t="shared" si="530"/>
        <v>0.93362499999999993</v>
      </c>
      <c r="AP1211" s="380"/>
    </row>
    <row r="1212" spans="2:42" ht="14.4" hidden="1" thickTop="1" thickBot="1">
      <c r="B1212" s="501" t="s">
        <v>3022</v>
      </c>
      <c r="C1212" s="950" t="s">
        <v>3021</v>
      </c>
      <c r="D1212" s="326" t="s">
        <v>1160</v>
      </c>
      <c r="E1212" s="327">
        <f>IF(B1212&lt;&gt;"",SUMIF('AUX-NIV1'!I:I,'AUX-NIV2'!B1212,'AUX-NIV1'!Q:Q),"")</f>
        <v>0</v>
      </c>
      <c r="F1212" s="327">
        <f t="shared" si="520"/>
        <v>5089.5514149046503</v>
      </c>
      <c r="G1212" s="327">
        <f t="shared" si="521"/>
        <v>0</v>
      </c>
      <c r="H1212" s="328" t="str">
        <f t="shared" si="553"/>
        <v>X</v>
      </c>
      <c r="I1212" s="325" t="s">
        <v>1499</v>
      </c>
      <c r="J1212" s="329" t="str">
        <f>IF(B1212&lt;&gt;"",+VLOOKUP(I1212,Recursos!C:F,2,FALSE),"")</f>
        <v>Agua para hormigones</v>
      </c>
      <c r="K1212" s="330" t="str">
        <f>IF(B1212&lt;&gt;"",+VLOOKUP(I1212,Recursos!C:F,3,FALSE),"")</f>
        <v>m3</v>
      </c>
      <c r="L1212" s="446">
        <f>IF(B1212&lt;&gt;"",+VLOOKUP(I1212,Recursos!C:F,4,FALSE),"")</f>
        <v>400.95923429909482</v>
      </c>
      <c r="M1212" s="452">
        <v>2.4</v>
      </c>
      <c r="N1212" s="453"/>
      <c r="O1212" s="449">
        <f>+M1207*M1208/1000*M1211</f>
        <v>0.189</v>
      </c>
      <c r="P1212" s="333">
        <f t="shared" si="554"/>
        <v>75.781295282528916</v>
      </c>
      <c r="Q1212" s="327">
        <f t="shared" si="555"/>
        <v>0</v>
      </c>
      <c r="R1212" s="334">
        <f t="shared" si="556"/>
        <v>0</v>
      </c>
      <c r="S1212" s="335">
        <f t="shared" si="522"/>
        <v>0</v>
      </c>
      <c r="T1212" s="335">
        <f t="shared" si="523"/>
        <v>0</v>
      </c>
      <c r="U1212" s="336">
        <f t="shared" si="524"/>
        <v>3992.4160282272528</v>
      </c>
      <c r="V1212" s="336">
        <f t="shared" si="525"/>
        <v>0</v>
      </c>
      <c r="W1212" s="336">
        <f t="shared" si="526"/>
        <v>0</v>
      </c>
      <c r="X1212" s="336">
        <f t="shared" si="527"/>
        <v>1097.135386677397</v>
      </c>
      <c r="Y1212" s="320"/>
      <c r="Z1212" s="321" t="str">
        <f t="shared" si="557"/>
        <v>X-ELA4A</v>
      </c>
      <c r="AA1212" s="321" t="str">
        <f t="shared" si="558"/>
        <v>X-ELA4E</v>
      </c>
      <c r="AB1212" s="321" t="str">
        <f t="shared" si="559"/>
        <v>X-ELA4M</v>
      </c>
      <c r="AC1212" s="321" t="str">
        <f t="shared" si="560"/>
        <v>X-ELA4T</v>
      </c>
      <c r="AD1212" s="321" t="str">
        <f t="shared" si="561"/>
        <v>X-ELA4S</v>
      </c>
      <c r="AE1212" s="321" t="str">
        <f t="shared" si="562"/>
        <v>X-ELA4X</v>
      </c>
      <c r="AF1212" s="321" t="str">
        <f t="shared" si="563"/>
        <v>X-ELA4X</v>
      </c>
      <c r="AG1212" s="321">
        <f t="shared" si="528"/>
        <v>7</v>
      </c>
      <c r="AH1212" s="321">
        <f>IF(B1212&lt;&gt;"",IF(H1212="x",VLOOKUP(I1212,'AUX-NIV3'!B:AG,32,FALSE),0),"")</f>
        <v>4</v>
      </c>
      <c r="AI1212" s="321" t="str">
        <f t="shared" si="564"/>
        <v>X-ELA4</v>
      </c>
      <c r="AJ1212" s="320"/>
      <c r="AK1212" s="322">
        <f t="shared" si="529"/>
        <v>1207</v>
      </c>
      <c r="AL1212" s="323">
        <f t="shared" si="565"/>
        <v>1213</v>
      </c>
      <c r="AM1212" s="322">
        <f t="shared" si="566"/>
        <v>6</v>
      </c>
      <c r="AN1212" s="380">
        <f>IF(AND(AH1212&gt;0,B1212&lt;&gt;""),VLOOKUP(I1212,'AUX-NIV3'!$B:$AO,39,FALSE)*O1212,0)</f>
        <v>2.3625E-2</v>
      </c>
      <c r="AO1212" s="380">
        <f t="shared" si="530"/>
        <v>0.93362499999999993</v>
      </c>
      <c r="AP1212" s="380"/>
    </row>
    <row r="1213" spans="2:42" ht="14.4" hidden="1" thickTop="1" thickBot="1">
      <c r="B1213" s="501" t="s">
        <v>3022</v>
      </c>
      <c r="C1213" s="950" t="s">
        <v>3021</v>
      </c>
      <c r="D1213" s="326" t="s">
        <v>1160</v>
      </c>
      <c r="E1213" s="327">
        <f>IF(B1213&lt;&gt;"",SUMIF('AUX-NIV1'!I:I,'AUX-NIV2'!B1213,'AUX-NIV1'!Q:Q),"")</f>
        <v>0</v>
      </c>
      <c r="F1213" s="327">
        <f t="shared" si="520"/>
        <v>5089.5514149046503</v>
      </c>
      <c r="G1213" s="327">
        <f t="shared" si="521"/>
        <v>0</v>
      </c>
      <c r="H1213" s="328" t="str">
        <f t="shared" si="553"/>
        <v>X</v>
      </c>
      <c r="I1213" s="324" t="s">
        <v>1502</v>
      </c>
      <c r="J1213" s="329" t="str">
        <f>IF(B1213&lt;&gt;"",+VLOOKUP(I1213,Recursos!C:F,2,FALSE),"")</f>
        <v>Producción de Hormigón en Planta</v>
      </c>
      <c r="K1213" s="330" t="str">
        <f>IF(B1213&lt;&gt;"",+VLOOKUP(I1213,Recursos!C:F,3,FALSE),"")</f>
        <v>m3</v>
      </c>
      <c r="L1213" s="446">
        <f>IF(B1213&lt;&gt;"",+VLOOKUP(I1213,Recursos!C:F,4,FALSE),"")</f>
        <v>972.7181822808268</v>
      </c>
      <c r="M1213" s="450"/>
      <c r="N1213" s="451"/>
      <c r="O1213" s="449">
        <f>+M1211</f>
        <v>1.05</v>
      </c>
      <c r="P1213" s="333">
        <f t="shared" si="554"/>
        <v>1021.3540913948682</v>
      </c>
      <c r="Q1213" s="327">
        <f t="shared" si="555"/>
        <v>0</v>
      </c>
      <c r="R1213" s="334">
        <f t="shared" si="556"/>
        <v>0</v>
      </c>
      <c r="S1213" s="335">
        <f t="shared" si="522"/>
        <v>0</v>
      </c>
      <c r="T1213" s="335">
        <f t="shared" si="523"/>
        <v>0</v>
      </c>
      <c r="U1213" s="336">
        <f t="shared" si="524"/>
        <v>3992.4160282272528</v>
      </c>
      <c r="V1213" s="336">
        <f t="shared" si="525"/>
        <v>0</v>
      </c>
      <c r="W1213" s="336">
        <f t="shared" si="526"/>
        <v>0</v>
      </c>
      <c r="X1213" s="336">
        <f t="shared" si="527"/>
        <v>1097.135386677397</v>
      </c>
      <c r="Y1213" s="320"/>
      <c r="Z1213" s="321" t="str">
        <f t="shared" si="557"/>
        <v>X-ELA4A</v>
      </c>
      <c r="AA1213" s="321" t="str">
        <f t="shared" si="558"/>
        <v>X-ELA4E</v>
      </c>
      <c r="AB1213" s="321" t="str">
        <f t="shared" si="559"/>
        <v>X-ELA4M</v>
      </c>
      <c r="AC1213" s="321" t="str">
        <f t="shared" si="560"/>
        <v>X-ELA4T</v>
      </c>
      <c r="AD1213" s="321" t="str">
        <f t="shared" si="561"/>
        <v>X-ELA4S</v>
      </c>
      <c r="AE1213" s="321" t="str">
        <f t="shared" si="562"/>
        <v>X-ELA4X</v>
      </c>
      <c r="AF1213" s="321" t="str">
        <f t="shared" si="563"/>
        <v>X-ELA4X</v>
      </c>
      <c r="AG1213" s="321">
        <f t="shared" si="528"/>
        <v>7</v>
      </c>
      <c r="AH1213" s="321">
        <f>IF(B1213&lt;&gt;"",IF(H1213="x",VLOOKUP(I1213,'AUX-NIV3'!B:AG,32,FALSE),0),"")</f>
        <v>8</v>
      </c>
      <c r="AI1213" s="321" t="str">
        <f t="shared" si="564"/>
        <v>X-ELA4</v>
      </c>
      <c r="AJ1213" s="320"/>
      <c r="AK1213" s="322">
        <f t="shared" si="529"/>
        <v>1207</v>
      </c>
      <c r="AL1213" s="323">
        <f t="shared" si="565"/>
        <v>1213</v>
      </c>
      <c r="AM1213" s="322">
        <f t="shared" si="566"/>
        <v>7</v>
      </c>
      <c r="AN1213" s="380">
        <f>IF(AND(AH1213&gt;0,B1213&lt;&gt;""),VLOOKUP(I1213,'AUX-NIV3'!$B:$AO,39,FALSE)*O1213,0)</f>
        <v>0.90999999999999992</v>
      </c>
      <c r="AO1213" s="380">
        <f t="shared" si="530"/>
        <v>0.93362499999999993</v>
      </c>
      <c r="AP1213" s="380"/>
    </row>
    <row r="1214" spans="2:42" ht="14.4" hidden="1" thickTop="1" thickBot="1">
      <c r="B1214" s="501" t="s">
        <v>3170</v>
      </c>
      <c r="C1214" s="951" t="s">
        <v>3171</v>
      </c>
      <c r="D1214" s="326" t="s">
        <v>2938</v>
      </c>
      <c r="E1214" s="327">
        <f>IF(B1214&lt;&gt;"",SUMIF('AUX-NIV1'!I:I,'AUX-NIV2'!B1214,'AUX-NIV1'!Q:Q),"")</f>
        <v>0</v>
      </c>
      <c r="F1214" s="327">
        <f t="shared" si="520"/>
        <v>3512.5080267914109</v>
      </c>
      <c r="G1214" s="327">
        <f t="shared" si="521"/>
        <v>0</v>
      </c>
      <c r="H1214" s="328" t="str">
        <f t="shared" ref="H1214:H1219" si="567">IF(B1214&lt;&gt;"",+LEFT(I1214,1),"")</f>
        <v>A</v>
      </c>
      <c r="I1214" s="324" t="s">
        <v>1745</v>
      </c>
      <c r="J1214" s="431" t="str">
        <f>IF(B1214&lt;&gt;"",+VLOOKUP(I1214,Recursos!C:F,2,FALSE),"")</f>
        <v>AYUDANTE</v>
      </c>
      <c r="K1214" s="330" t="str">
        <f>IF(B1214&lt;&gt;"",+VLOOKUP(I1214,Recursos!C:F,3,FALSE),"")</f>
        <v>hh</v>
      </c>
      <c r="L1214" s="446">
        <f>IF(B1214&lt;&gt;"",+VLOOKUP(I1214,Recursos!C:F,4,FALSE),"")</f>
        <v>422.48042769667234</v>
      </c>
      <c r="M1214" s="765"/>
      <c r="N1214" s="766">
        <v>4</v>
      </c>
      <c r="O1214" s="449">
        <f t="shared" ref="O1214:O1223" si="568">N1214</f>
        <v>4</v>
      </c>
      <c r="P1214" s="333">
        <f t="shared" ref="P1214:P1219" si="569">IF(B1214&lt;&gt;"",O1214*L1214,"")</f>
        <v>1689.9217107866893</v>
      </c>
      <c r="Q1214" s="327">
        <f t="shared" ref="Q1214:Q1219" si="570">IF(B1214&lt;&gt;"",+O1214*E1214,"")</f>
        <v>0</v>
      </c>
      <c r="R1214" s="334">
        <f t="shared" ref="R1214:R1219" si="571">IF(B1214&lt;&gt;"",Q1214*L1214,"")</f>
        <v>0</v>
      </c>
      <c r="S1214" s="335">
        <f t="shared" si="522"/>
        <v>2435.2956423758264</v>
      </c>
      <c r="T1214" s="335">
        <f t="shared" si="523"/>
        <v>1077.2123844155844</v>
      </c>
      <c r="U1214" s="336">
        <f t="shared" si="524"/>
        <v>0</v>
      </c>
      <c r="V1214" s="336">
        <f t="shared" si="525"/>
        <v>0</v>
      </c>
      <c r="W1214" s="336">
        <f t="shared" si="526"/>
        <v>0</v>
      </c>
      <c r="X1214" s="336">
        <f t="shared" si="527"/>
        <v>0</v>
      </c>
      <c r="Y1214" s="320"/>
      <c r="Z1214" s="321" t="str">
        <f t="shared" ref="Z1214:Z1219" si="572">IF(B1214&lt;&gt;"",+$B1214&amp;"A","")</f>
        <v>X-CUALIMA</v>
      </c>
      <c r="AA1214" s="321" t="str">
        <f t="shared" ref="AA1214:AA1219" si="573">IF(B1214&lt;&gt;"",+$B1214&amp;"E","")</f>
        <v>X-CUALIME</v>
      </c>
      <c r="AB1214" s="321" t="str">
        <f t="shared" ref="AB1214:AB1219" si="574">IF(B1214&lt;&gt;"",++$B1214&amp;"M","")</f>
        <v>X-CUALIMM</v>
      </c>
      <c r="AC1214" s="321" t="str">
        <f t="shared" ref="AC1214:AC1219" si="575">IF(B1214&lt;&gt;"",+$B1214&amp;"T","")</f>
        <v>X-CUALIMT</v>
      </c>
      <c r="AD1214" s="321" t="str">
        <f t="shared" ref="AD1214:AD1219" si="576">IF(B1214&lt;&gt;"",+$B1214&amp;"S","")</f>
        <v>X-CUALIMS</v>
      </c>
      <c r="AE1214" s="321" t="str">
        <f t="shared" ref="AE1214:AE1219" si="577">IF(B1214&lt;&gt;"",+$B1214&amp;"X","")</f>
        <v>X-CUALIMX</v>
      </c>
      <c r="AF1214" s="321" t="str">
        <f t="shared" ref="AF1214:AF1219" si="578">IF(B1214&lt;&gt;"",+B1214&amp;H1214,"")</f>
        <v>X-CUALIMA</v>
      </c>
      <c r="AG1214" s="321">
        <f t="shared" si="528"/>
        <v>5</v>
      </c>
      <c r="AH1214" s="321">
        <f>IF(B1214&lt;&gt;"",IF(H1214="x",VLOOKUP(I1214,'AUX-NIV3'!B:AG,32,FALSE),0),"")</f>
        <v>0</v>
      </c>
      <c r="AI1214" s="321" t="str">
        <f t="shared" ref="AI1214:AI1219" si="579">IF(B1214&lt;&gt;"",+B1214,"")</f>
        <v>X-CUALIM</v>
      </c>
      <c r="AJ1214" s="320"/>
      <c r="AK1214" s="322">
        <f t="shared" si="529"/>
        <v>1214</v>
      </c>
      <c r="AL1214" s="323">
        <f t="shared" ref="AL1214:AL1219" si="580">IF(B1214&lt;&gt;"",+AK1214+AG1214-1,"")</f>
        <v>1218</v>
      </c>
      <c r="AM1214" s="322" t="e">
        <f>IF(B1214&lt;&gt;"",IF(B1214=#REF!,1+#REF!,1),"")</f>
        <v>#REF!</v>
      </c>
      <c r="AN1214" s="380">
        <f>IF(AND(AH1214&gt;0,B1214&lt;&gt;""),VLOOKUP(I1214,'AUX-NIV3'!$B:$AO,39,FALSE)*O1214,0)</f>
        <v>0</v>
      </c>
      <c r="AO1214" s="380">
        <f t="shared" si="530"/>
        <v>5.5</v>
      </c>
      <c r="AP1214" s="380"/>
    </row>
    <row r="1215" spans="2:42" ht="14.4" hidden="1" thickTop="1" thickBot="1">
      <c r="B1215" s="501" t="s">
        <v>3170</v>
      </c>
      <c r="C1215" s="951" t="s">
        <v>3171</v>
      </c>
      <c r="D1215" s="326" t="s">
        <v>2938</v>
      </c>
      <c r="E1215" s="327">
        <f>IF(B1215&lt;&gt;"",SUMIF('AUX-NIV1'!I:I,'AUX-NIV2'!B1215,'AUX-NIV1'!Q:Q),"")</f>
        <v>0</v>
      </c>
      <c r="F1215" s="327">
        <f t="shared" si="520"/>
        <v>3512.5080267914109</v>
      </c>
      <c r="G1215" s="327">
        <f t="shared" si="521"/>
        <v>0</v>
      </c>
      <c r="H1215" s="328" t="str">
        <f t="shared" si="567"/>
        <v>A</v>
      </c>
      <c r="I1215" s="324" t="s">
        <v>1746</v>
      </c>
      <c r="J1215" s="431" t="str">
        <f>IF(B1215&lt;&gt;"",+VLOOKUP(I1215,Recursos!C:F,2,FALSE),"")</f>
        <v>OFICIAL</v>
      </c>
      <c r="K1215" s="330" t="str">
        <f>IF(B1215&lt;&gt;"",+VLOOKUP(I1215,Recursos!C:F,3,FALSE),"")</f>
        <v>hh</v>
      </c>
      <c r="L1215" s="446">
        <f>IF(B1215&lt;&gt;"",+VLOOKUP(I1215,Recursos!C:F,4,FALSE),"")</f>
        <v>496.91595439275824</v>
      </c>
      <c r="M1215" s="767"/>
      <c r="N1215" s="768">
        <v>1</v>
      </c>
      <c r="O1215" s="449">
        <f t="shared" si="568"/>
        <v>1</v>
      </c>
      <c r="P1215" s="333">
        <f t="shared" si="569"/>
        <v>496.91595439275824</v>
      </c>
      <c r="Q1215" s="327">
        <f t="shared" si="570"/>
        <v>0</v>
      </c>
      <c r="R1215" s="334">
        <f t="shared" si="571"/>
        <v>0</v>
      </c>
      <c r="S1215" s="335">
        <f t="shared" si="522"/>
        <v>2435.2956423758264</v>
      </c>
      <c r="T1215" s="335">
        <f t="shared" si="523"/>
        <v>1077.2123844155844</v>
      </c>
      <c r="U1215" s="336">
        <f t="shared" si="524"/>
        <v>0</v>
      </c>
      <c r="V1215" s="336">
        <f t="shared" si="525"/>
        <v>0</v>
      </c>
      <c r="W1215" s="336">
        <f t="shared" si="526"/>
        <v>0</v>
      </c>
      <c r="X1215" s="336">
        <f t="shared" si="527"/>
        <v>0</v>
      </c>
      <c r="Y1215" s="320"/>
      <c r="Z1215" s="321" t="str">
        <f t="shared" si="572"/>
        <v>X-CUALIMA</v>
      </c>
      <c r="AA1215" s="321" t="str">
        <f t="shared" si="573"/>
        <v>X-CUALIME</v>
      </c>
      <c r="AB1215" s="321" t="str">
        <f t="shared" si="574"/>
        <v>X-CUALIMM</v>
      </c>
      <c r="AC1215" s="321" t="str">
        <f t="shared" si="575"/>
        <v>X-CUALIMT</v>
      </c>
      <c r="AD1215" s="321" t="str">
        <f t="shared" si="576"/>
        <v>X-CUALIMS</v>
      </c>
      <c r="AE1215" s="321" t="str">
        <f t="shared" si="577"/>
        <v>X-CUALIMX</v>
      </c>
      <c r="AF1215" s="321" t="str">
        <f t="shared" si="578"/>
        <v>X-CUALIMA</v>
      </c>
      <c r="AG1215" s="321">
        <f t="shared" si="528"/>
        <v>5</v>
      </c>
      <c r="AH1215" s="321">
        <f>IF(B1215&lt;&gt;"",IF(H1215="x",VLOOKUP(I1215,'AUX-NIV3'!B:AG,32,FALSE),0),"")</f>
        <v>0</v>
      </c>
      <c r="AI1215" s="321" t="str">
        <f t="shared" si="579"/>
        <v>X-CUALIM</v>
      </c>
      <c r="AJ1215" s="320"/>
      <c r="AK1215" s="322">
        <f t="shared" si="529"/>
        <v>1214</v>
      </c>
      <c r="AL1215" s="323">
        <f t="shared" si="580"/>
        <v>1218</v>
      </c>
      <c r="AM1215" s="322" t="e">
        <f t="shared" ref="AM1215:AM1219" si="581">IF(B1215&lt;&gt;"",IF(B1215=B1214,1+AM1214,1),"")</f>
        <v>#REF!</v>
      </c>
      <c r="AN1215" s="380">
        <f>IF(AND(AH1215&gt;0,B1215&lt;&gt;""),VLOOKUP(I1215,'AUX-NIV3'!$B:$AO,39,FALSE)*O1215,0)</f>
        <v>0</v>
      </c>
      <c r="AO1215" s="380">
        <f t="shared" si="530"/>
        <v>5.5</v>
      </c>
      <c r="AP1215" s="380"/>
    </row>
    <row r="1216" spans="2:42" ht="14.4" hidden="1" thickTop="1" thickBot="1">
      <c r="B1216" s="501" t="s">
        <v>3170</v>
      </c>
      <c r="C1216" s="951" t="s">
        <v>3171</v>
      </c>
      <c r="D1216" s="326" t="s">
        <v>2938</v>
      </c>
      <c r="E1216" s="327">
        <f>IF(B1216&lt;&gt;"",SUMIF('AUX-NIV1'!I:I,'AUX-NIV2'!B1216,'AUX-NIV1'!Q:Q),"")</f>
        <v>0</v>
      </c>
      <c r="F1216" s="327">
        <f t="shared" si="520"/>
        <v>3512.5080267914109</v>
      </c>
      <c r="G1216" s="327">
        <f t="shared" si="521"/>
        <v>0</v>
      </c>
      <c r="H1216" s="328" t="str">
        <f t="shared" si="567"/>
        <v>A</v>
      </c>
      <c r="I1216" s="324" t="s">
        <v>1746</v>
      </c>
      <c r="J1216" s="431" t="str">
        <f>IF(B1216&lt;&gt;"",+VLOOKUP(I1216,Recursos!C:F,2,FALSE),"")</f>
        <v>OFICIAL</v>
      </c>
      <c r="K1216" s="330" t="str">
        <f>IF(B1216&lt;&gt;"",+VLOOKUP(I1216,Recursos!C:F,3,FALSE),"")</f>
        <v>hh</v>
      </c>
      <c r="L1216" s="446">
        <f>IF(B1216&lt;&gt;"",+VLOOKUP(I1216,Recursos!C:F,4,FALSE),"")</f>
        <v>496.91595439275824</v>
      </c>
      <c r="M1216" s="767"/>
      <c r="N1216" s="768">
        <f>2*0.25</f>
        <v>0.5</v>
      </c>
      <c r="O1216" s="449">
        <f t="shared" si="568"/>
        <v>0.5</v>
      </c>
      <c r="P1216" s="333">
        <f t="shared" si="569"/>
        <v>248.45797719637912</v>
      </c>
      <c r="Q1216" s="327">
        <f t="shared" si="570"/>
        <v>0</v>
      </c>
      <c r="R1216" s="334">
        <f t="shared" si="571"/>
        <v>0</v>
      </c>
      <c r="S1216" s="335">
        <f t="shared" si="522"/>
        <v>2435.2956423758264</v>
      </c>
      <c r="T1216" s="335">
        <f t="shared" si="523"/>
        <v>1077.2123844155844</v>
      </c>
      <c r="U1216" s="336">
        <f t="shared" si="524"/>
        <v>0</v>
      </c>
      <c r="V1216" s="336">
        <f t="shared" si="525"/>
        <v>0</v>
      </c>
      <c r="W1216" s="336">
        <f t="shared" si="526"/>
        <v>0</v>
      </c>
      <c r="X1216" s="336">
        <f t="shared" si="527"/>
        <v>0</v>
      </c>
      <c r="Y1216" s="320"/>
      <c r="Z1216" s="321" t="str">
        <f t="shared" si="572"/>
        <v>X-CUALIMA</v>
      </c>
      <c r="AA1216" s="321" t="str">
        <f t="shared" si="573"/>
        <v>X-CUALIME</v>
      </c>
      <c r="AB1216" s="321" t="str">
        <f t="shared" si="574"/>
        <v>X-CUALIMM</v>
      </c>
      <c r="AC1216" s="321" t="str">
        <f t="shared" si="575"/>
        <v>X-CUALIMT</v>
      </c>
      <c r="AD1216" s="321" t="str">
        <f t="shared" si="576"/>
        <v>X-CUALIMS</v>
      </c>
      <c r="AE1216" s="321" t="str">
        <f t="shared" si="577"/>
        <v>X-CUALIMX</v>
      </c>
      <c r="AF1216" s="321" t="str">
        <f t="shared" si="578"/>
        <v>X-CUALIMA</v>
      </c>
      <c r="AG1216" s="321">
        <f t="shared" si="528"/>
        <v>5</v>
      </c>
      <c r="AH1216" s="321">
        <f>IF(B1216&lt;&gt;"",IF(H1216="x",VLOOKUP(I1216,'AUX-NIV3'!B:AG,32,FALSE),0),"")</f>
        <v>0</v>
      </c>
      <c r="AI1216" s="321" t="str">
        <f t="shared" si="579"/>
        <v>X-CUALIM</v>
      </c>
      <c r="AJ1216" s="320"/>
      <c r="AK1216" s="322">
        <f t="shared" si="529"/>
        <v>1214</v>
      </c>
      <c r="AL1216" s="323">
        <f t="shared" si="580"/>
        <v>1218</v>
      </c>
      <c r="AM1216" s="322" t="e">
        <f t="shared" si="581"/>
        <v>#REF!</v>
      </c>
      <c r="AN1216" s="380">
        <f>IF(AND(AH1216&gt;0,B1216&lt;&gt;""),VLOOKUP(I1216,'AUX-NIV3'!$B:$AO,39,FALSE)*O1216,0)</f>
        <v>0</v>
      </c>
      <c r="AO1216" s="380">
        <f t="shared" si="530"/>
        <v>5.5</v>
      </c>
      <c r="AP1216" s="380"/>
    </row>
    <row r="1217" spans="2:42" ht="14.4" hidden="1" thickTop="1" thickBot="1">
      <c r="B1217" s="501" t="s">
        <v>3170</v>
      </c>
      <c r="C1217" s="951" t="s">
        <v>3171</v>
      </c>
      <c r="D1217" s="326" t="s">
        <v>2938</v>
      </c>
      <c r="E1217" s="327">
        <f>IF(B1217&lt;&gt;"",SUMIF('AUX-NIV1'!I:I,'AUX-NIV2'!B1217,'AUX-NIV1'!Q:Q),"")</f>
        <v>0</v>
      </c>
      <c r="F1217" s="327">
        <f t="shared" si="520"/>
        <v>3512.5080267914109</v>
      </c>
      <c r="G1217" s="327">
        <f t="shared" si="521"/>
        <v>0</v>
      </c>
      <c r="H1217" s="328" t="str">
        <f t="shared" si="567"/>
        <v>E</v>
      </c>
      <c r="I1217" s="324" t="s">
        <v>1556</v>
      </c>
      <c r="J1217" s="431" t="str">
        <f>IF(B1217&lt;&gt;"",+VLOOKUP(I1217,Recursos!C:F,2,FALSE),"")</f>
        <v>CAMION VOLCADOR CAP. 15 T=9 m3</v>
      </c>
      <c r="K1217" s="330" t="str">
        <f>IF(B1217&lt;&gt;"",+VLOOKUP(I1217,Recursos!C:F,3,FALSE),"")</f>
        <v>HR</v>
      </c>
      <c r="L1217" s="446">
        <f>IF(B1217&lt;&gt;"",+VLOOKUP(I1217,Recursos!C:F,4,FALSE),"")</f>
        <v>2547.7823376623378</v>
      </c>
      <c r="M1217" s="767"/>
      <c r="N1217" s="768">
        <v>0.25</v>
      </c>
      <c r="O1217" s="449">
        <f t="shared" si="568"/>
        <v>0.25</v>
      </c>
      <c r="P1217" s="333">
        <f t="shared" si="569"/>
        <v>636.94558441558445</v>
      </c>
      <c r="Q1217" s="327">
        <f t="shared" si="570"/>
        <v>0</v>
      </c>
      <c r="R1217" s="334">
        <f t="shared" si="571"/>
        <v>0</v>
      </c>
      <c r="S1217" s="335">
        <f t="shared" si="522"/>
        <v>2435.2956423758264</v>
      </c>
      <c r="T1217" s="335">
        <f t="shared" si="523"/>
        <v>1077.2123844155844</v>
      </c>
      <c r="U1217" s="336">
        <f t="shared" si="524"/>
        <v>0</v>
      </c>
      <c r="V1217" s="336">
        <f t="shared" si="525"/>
        <v>0</v>
      </c>
      <c r="W1217" s="336">
        <f t="shared" si="526"/>
        <v>0</v>
      </c>
      <c r="X1217" s="336">
        <f t="shared" si="527"/>
        <v>0</v>
      </c>
      <c r="Y1217" s="320"/>
      <c r="Z1217" s="321" t="str">
        <f t="shared" si="572"/>
        <v>X-CUALIMA</v>
      </c>
      <c r="AA1217" s="321" t="str">
        <f t="shared" si="573"/>
        <v>X-CUALIME</v>
      </c>
      <c r="AB1217" s="321" t="str">
        <f t="shared" si="574"/>
        <v>X-CUALIMM</v>
      </c>
      <c r="AC1217" s="321" t="str">
        <f t="shared" si="575"/>
        <v>X-CUALIMT</v>
      </c>
      <c r="AD1217" s="321" t="str">
        <f t="shared" si="576"/>
        <v>X-CUALIMS</v>
      </c>
      <c r="AE1217" s="321" t="str">
        <f t="shared" si="577"/>
        <v>X-CUALIMX</v>
      </c>
      <c r="AF1217" s="321" t="str">
        <f t="shared" si="578"/>
        <v>X-CUALIME</v>
      </c>
      <c r="AG1217" s="321">
        <f t="shared" si="528"/>
        <v>5</v>
      </c>
      <c r="AH1217" s="321">
        <f>IF(B1217&lt;&gt;"",IF(H1217="x",VLOOKUP(I1217,'AUX-NIV3'!B:AG,32,FALSE),0),"")</f>
        <v>0</v>
      </c>
      <c r="AI1217" s="321" t="str">
        <f t="shared" si="579"/>
        <v>X-CUALIM</v>
      </c>
      <c r="AJ1217" s="320"/>
      <c r="AK1217" s="322">
        <f t="shared" si="529"/>
        <v>1214</v>
      </c>
      <c r="AL1217" s="323">
        <f t="shared" si="580"/>
        <v>1218</v>
      </c>
      <c r="AM1217" s="322" t="e">
        <f t="shared" si="581"/>
        <v>#REF!</v>
      </c>
      <c r="AN1217" s="380">
        <f>IF(AND(AH1217&gt;0,B1217&lt;&gt;""),VLOOKUP(I1217,'AUX-NIV3'!$B:$AO,39,FALSE)*O1217,0)</f>
        <v>0</v>
      </c>
      <c r="AO1217" s="380">
        <f t="shared" si="530"/>
        <v>5.5</v>
      </c>
      <c r="AP1217" s="380"/>
    </row>
    <row r="1218" spans="2:42" ht="14.4" hidden="1" thickTop="1" thickBot="1">
      <c r="B1218" s="501" t="s">
        <v>3170</v>
      </c>
      <c r="C1218" s="951" t="s">
        <v>3171</v>
      </c>
      <c r="D1218" s="326" t="s">
        <v>2938</v>
      </c>
      <c r="E1218" s="327">
        <f>IF(B1218&lt;&gt;"",SUMIF('AUX-NIV1'!I:I,'AUX-NIV2'!B1218,'AUX-NIV1'!Q:Q),"")</f>
        <v>0</v>
      </c>
      <c r="F1218" s="327">
        <f t="shared" si="520"/>
        <v>3512.5080267914109</v>
      </c>
      <c r="G1218" s="327">
        <f t="shared" si="521"/>
        <v>0</v>
      </c>
      <c r="H1218" s="328" t="str">
        <f t="shared" si="567"/>
        <v>E</v>
      </c>
      <c r="I1218" s="324" t="s">
        <v>1549</v>
      </c>
      <c r="J1218" s="431" t="str">
        <f>IF(B1218&lt;&gt;"",+VLOOKUP(I1218,Recursos!C:F,2,FALSE),"")</f>
        <v>RETROEXC. CARG. S/ROD.NEUM. 0.24 M3</v>
      </c>
      <c r="K1218" s="330" t="str">
        <f>IF(B1218&lt;&gt;"",+VLOOKUP(I1218,Recursos!C:F,3,FALSE),"")</f>
        <v>HR</v>
      </c>
      <c r="L1218" s="446">
        <f>IF(B1218&lt;&gt;"",+VLOOKUP(I1218,Recursos!C:F,4,FALSE),"")</f>
        <v>1761.0672000000002</v>
      </c>
      <c r="M1218" s="753"/>
      <c r="N1218" s="755">
        <v>0.25</v>
      </c>
      <c r="O1218" s="449">
        <f t="shared" si="568"/>
        <v>0.25</v>
      </c>
      <c r="P1218" s="333">
        <f t="shared" si="569"/>
        <v>440.26680000000005</v>
      </c>
      <c r="Q1218" s="327">
        <f t="shared" si="570"/>
        <v>0</v>
      </c>
      <c r="R1218" s="334">
        <f t="shared" si="571"/>
        <v>0</v>
      </c>
      <c r="S1218" s="335">
        <f t="shared" si="522"/>
        <v>2435.2956423758264</v>
      </c>
      <c r="T1218" s="335">
        <f t="shared" si="523"/>
        <v>1077.2123844155844</v>
      </c>
      <c r="U1218" s="336">
        <f t="shared" si="524"/>
        <v>0</v>
      </c>
      <c r="V1218" s="336">
        <f t="shared" si="525"/>
        <v>0</v>
      </c>
      <c r="W1218" s="336">
        <f t="shared" si="526"/>
        <v>0</v>
      </c>
      <c r="X1218" s="336">
        <f t="shared" si="527"/>
        <v>0</v>
      </c>
      <c r="Y1218" s="320"/>
      <c r="Z1218" s="321" t="str">
        <f t="shared" si="572"/>
        <v>X-CUALIMA</v>
      </c>
      <c r="AA1218" s="321" t="str">
        <f t="shared" si="573"/>
        <v>X-CUALIME</v>
      </c>
      <c r="AB1218" s="321" t="str">
        <f t="shared" si="574"/>
        <v>X-CUALIMM</v>
      </c>
      <c r="AC1218" s="321" t="str">
        <f t="shared" si="575"/>
        <v>X-CUALIMT</v>
      </c>
      <c r="AD1218" s="321" t="str">
        <f t="shared" si="576"/>
        <v>X-CUALIMS</v>
      </c>
      <c r="AE1218" s="321" t="str">
        <f t="shared" si="577"/>
        <v>X-CUALIMX</v>
      </c>
      <c r="AF1218" s="321" t="str">
        <f t="shared" si="578"/>
        <v>X-CUALIME</v>
      </c>
      <c r="AG1218" s="321">
        <f t="shared" si="528"/>
        <v>5</v>
      </c>
      <c r="AH1218" s="321">
        <f>IF(B1218&lt;&gt;"",IF(H1218="x",VLOOKUP(I1218,'AUX-NIV3'!B:AG,32,FALSE),0),"")</f>
        <v>0</v>
      </c>
      <c r="AI1218" s="321" t="str">
        <f t="shared" si="579"/>
        <v>X-CUALIM</v>
      </c>
      <c r="AJ1218" s="320"/>
      <c r="AK1218" s="322">
        <f t="shared" si="529"/>
        <v>1214</v>
      </c>
      <c r="AL1218" s="323">
        <f t="shared" si="580"/>
        <v>1218</v>
      </c>
      <c r="AM1218" s="322" t="e">
        <f t="shared" si="581"/>
        <v>#REF!</v>
      </c>
      <c r="AN1218" s="380">
        <f>IF(AND(AH1218&gt;0,B1218&lt;&gt;""),VLOOKUP(I1218,'AUX-NIV3'!$B:$AO,39,FALSE)*O1218,0)</f>
        <v>0</v>
      </c>
      <c r="AO1218" s="380">
        <f t="shared" si="530"/>
        <v>5.5</v>
      </c>
      <c r="AP1218" s="380"/>
    </row>
    <row r="1219" spans="2:42" ht="14.4" hidden="1" thickTop="1" thickBot="1">
      <c r="B1219" s="501" t="s">
        <v>3174</v>
      </c>
      <c r="C1219" s="951" t="s">
        <v>3175</v>
      </c>
      <c r="D1219" s="326" t="s">
        <v>2938</v>
      </c>
      <c r="E1219" s="327">
        <f>IF(B1219&lt;&gt;"",SUMIF('AUX-NIV1'!I:I,'AUX-NIV2'!B1219,'AUX-NIV1'!Q:Q),"")</f>
        <v>0</v>
      </c>
      <c r="F1219" s="327">
        <f t="shared" si="520"/>
        <v>2827.6201883842928</v>
      </c>
      <c r="G1219" s="327">
        <f t="shared" si="521"/>
        <v>0</v>
      </c>
      <c r="H1219" s="328" t="str">
        <f t="shared" si="567"/>
        <v>A</v>
      </c>
      <c r="I1219" s="324" t="s">
        <v>1745</v>
      </c>
      <c r="J1219" s="431" t="str">
        <f>IF(B1219&lt;&gt;"",+VLOOKUP(I1219,Recursos!C:F,2,FALSE),"")</f>
        <v>AYUDANTE</v>
      </c>
      <c r="K1219" s="330" t="str">
        <f>IF(B1219&lt;&gt;"",+VLOOKUP(I1219,Recursos!C:F,3,FALSE),"")</f>
        <v>hh</v>
      </c>
      <c r="L1219" s="446">
        <f>IF(B1219&lt;&gt;"",+VLOOKUP(I1219,Recursos!C:F,4,FALSE),"")</f>
        <v>422.48042769667234</v>
      </c>
      <c r="M1219" s="765"/>
      <c r="N1219" s="766">
        <v>2</v>
      </c>
      <c r="O1219" s="449">
        <f t="shared" si="568"/>
        <v>2</v>
      </c>
      <c r="P1219" s="333">
        <f t="shared" si="569"/>
        <v>844.96085539334467</v>
      </c>
      <c r="Q1219" s="327">
        <f t="shared" si="570"/>
        <v>0</v>
      </c>
      <c r="R1219" s="334">
        <f t="shared" si="571"/>
        <v>0</v>
      </c>
      <c r="S1219" s="335">
        <f t="shared" si="522"/>
        <v>1466.1057983842925</v>
      </c>
      <c r="T1219" s="335">
        <f t="shared" si="523"/>
        <v>1361.51439</v>
      </c>
      <c r="U1219" s="336">
        <f t="shared" si="524"/>
        <v>0</v>
      </c>
      <c r="V1219" s="336">
        <f t="shared" si="525"/>
        <v>0</v>
      </c>
      <c r="W1219" s="336">
        <f t="shared" si="526"/>
        <v>0</v>
      </c>
      <c r="X1219" s="336">
        <f t="shared" si="527"/>
        <v>0</v>
      </c>
      <c r="Y1219" s="320"/>
      <c r="Z1219" s="321" t="str">
        <f t="shared" si="572"/>
        <v>X-CUAARBA</v>
      </c>
      <c r="AA1219" s="321" t="str">
        <f t="shared" si="573"/>
        <v>X-CUAARBE</v>
      </c>
      <c r="AB1219" s="321" t="str">
        <f t="shared" si="574"/>
        <v>X-CUAARBM</v>
      </c>
      <c r="AC1219" s="321" t="str">
        <f t="shared" si="575"/>
        <v>X-CUAARBT</v>
      </c>
      <c r="AD1219" s="321" t="str">
        <f t="shared" si="576"/>
        <v>X-CUAARBS</v>
      </c>
      <c r="AE1219" s="321" t="str">
        <f t="shared" si="577"/>
        <v>X-CUAARBX</v>
      </c>
      <c r="AF1219" s="321" t="str">
        <f t="shared" si="578"/>
        <v>X-CUAARBA</v>
      </c>
      <c r="AG1219" s="321">
        <f t="shared" si="528"/>
        <v>5</v>
      </c>
      <c r="AH1219" s="321">
        <f>IF(B1219&lt;&gt;"",IF(H1219="x",VLOOKUP(I1219,'AUX-NIV3'!B:AG,32,FALSE),0),"")</f>
        <v>0</v>
      </c>
      <c r="AI1219" s="321" t="str">
        <f t="shared" si="579"/>
        <v>X-CUAARB</v>
      </c>
      <c r="AJ1219" s="320"/>
      <c r="AK1219" s="322">
        <f t="shared" si="529"/>
        <v>1219</v>
      </c>
      <c r="AL1219" s="323">
        <f t="shared" si="580"/>
        <v>1223</v>
      </c>
      <c r="AM1219" s="322">
        <f t="shared" si="581"/>
        <v>1</v>
      </c>
      <c r="AN1219" s="380">
        <f>IF(AND(AH1219&gt;0,B1219&lt;&gt;""),VLOOKUP(I1219,'AUX-NIV3'!$B:$AO,39,FALSE)*O1219,0)</f>
        <v>0</v>
      </c>
      <c r="AO1219" s="380">
        <f t="shared" si="530"/>
        <v>3.25</v>
      </c>
      <c r="AP1219" s="380"/>
    </row>
    <row r="1220" spans="2:42" ht="14.4" hidden="1" thickTop="1" thickBot="1">
      <c r="B1220" s="501" t="s">
        <v>3174</v>
      </c>
      <c r="C1220" s="951" t="s">
        <v>3175</v>
      </c>
      <c r="D1220" s="326" t="s">
        <v>2938</v>
      </c>
      <c r="E1220" s="327">
        <f>IF(B1220&lt;&gt;"",SUMIF('AUX-NIV1'!I:I,'AUX-NIV2'!B1220,'AUX-NIV1'!Q:Q),"")</f>
        <v>0</v>
      </c>
      <c r="F1220" s="327">
        <f t="shared" si="520"/>
        <v>2827.6201883842928</v>
      </c>
      <c r="G1220" s="327">
        <f t="shared" si="521"/>
        <v>0</v>
      </c>
      <c r="H1220" s="328" t="str">
        <f t="shared" ref="H1220:H1223" si="582">IF(B1220&lt;&gt;"",+LEFT(I1220,1),"")</f>
        <v>A</v>
      </c>
      <c r="I1220" s="324" t="s">
        <v>1746</v>
      </c>
      <c r="J1220" s="431" t="str">
        <f>IF(B1220&lt;&gt;"",+VLOOKUP(I1220,Recursos!C:F,2,FALSE),"")</f>
        <v>OFICIAL</v>
      </c>
      <c r="K1220" s="330" t="str">
        <f>IF(B1220&lt;&gt;"",+VLOOKUP(I1220,Recursos!C:F,3,FALSE),"")</f>
        <v>hh</v>
      </c>
      <c r="L1220" s="446">
        <f>IF(B1220&lt;&gt;"",+VLOOKUP(I1220,Recursos!C:F,4,FALSE),"")</f>
        <v>496.91595439275824</v>
      </c>
      <c r="M1220" s="767"/>
      <c r="N1220" s="768">
        <v>1</v>
      </c>
      <c r="O1220" s="449">
        <f t="shared" si="568"/>
        <v>1</v>
      </c>
      <c r="P1220" s="333">
        <f t="shared" ref="P1220:P1223" si="583">IF(B1220&lt;&gt;"",O1220*L1220,"")</f>
        <v>496.91595439275824</v>
      </c>
      <c r="Q1220" s="327">
        <f t="shared" ref="Q1220:Q1223" si="584">IF(B1220&lt;&gt;"",+O1220*E1220,"")</f>
        <v>0</v>
      </c>
      <c r="R1220" s="334">
        <f t="shared" ref="R1220:R1223" si="585">IF(B1220&lt;&gt;"",Q1220*L1220,"")</f>
        <v>0</v>
      </c>
      <c r="S1220" s="335">
        <f t="shared" si="522"/>
        <v>1466.1057983842925</v>
      </c>
      <c r="T1220" s="335">
        <f t="shared" si="523"/>
        <v>1361.51439</v>
      </c>
      <c r="U1220" s="336">
        <f t="shared" si="524"/>
        <v>0</v>
      </c>
      <c r="V1220" s="336">
        <f t="shared" si="525"/>
        <v>0</v>
      </c>
      <c r="W1220" s="336">
        <f t="shared" si="526"/>
        <v>0</v>
      </c>
      <c r="X1220" s="336">
        <f t="shared" si="527"/>
        <v>0</v>
      </c>
      <c r="Y1220" s="320"/>
      <c r="Z1220" s="321" t="str">
        <f t="shared" ref="Z1220:Z1238" si="586">IF(B1220&lt;&gt;"",+$B1220&amp;"A","")</f>
        <v>X-CUAARBA</v>
      </c>
      <c r="AA1220" s="321" t="str">
        <f t="shared" ref="AA1220:AA1238" si="587">IF(B1220&lt;&gt;"",+$B1220&amp;"E","")</f>
        <v>X-CUAARBE</v>
      </c>
      <c r="AB1220" s="321" t="str">
        <f t="shared" ref="AB1220:AB1238" si="588">IF(B1220&lt;&gt;"",++$B1220&amp;"M","")</f>
        <v>X-CUAARBM</v>
      </c>
      <c r="AC1220" s="321" t="str">
        <f t="shared" ref="AC1220:AC1238" si="589">IF(B1220&lt;&gt;"",+$B1220&amp;"T","")</f>
        <v>X-CUAARBT</v>
      </c>
      <c r="AD1220" s="321" t="str">
        <f t="shared" ref="AD1220:AD1238" si="590">IF(B1220&lt;&gt;"",+$B1220&amp;"S","")</f>
        <v>X-CUAARBS</v>
      </c>
      <c r="AE1220" s="321" t="str">
        <f t="shared" ref="AE1220:AE1238" si="591">IF(B1220&lt;&gt;"",+$B1220&amp;"X","")</f>
        <v>X-CUAARBX</v>
      </c>
      <c r="AF1220" s="321" t="str">
        <f t="shared" ref="AF1220:AF1238" si="592">IF(B1220&lt;&gt;"",+B1220&amp;H1220,"")</f>
        <v>X-CUAARBA</v>
      </c>
      <c r="AG1220" s="321">
        <f t="shared" si="528"/>
        <v>5</v>
      </c>
      <c r="AH1220" s="321">
        <f>IF(B1220&lt;&gt;"",IF(H1220="x",VLOOKUP(I1220,'AUX-NIV3'!B:AG,32,FALSE),0),"")</f>
        <v>0</v>
      </c>
      <c r="AI1220" s="321" t="str">
        <f t="shared" ref="AI1220:AI1238" si="593">IF(B1220&lt;&gt;"",+B1220,"")</f>
        <v>X-CUAARB</v>
      </c>
      <c r="AJ1220" s="320"/>
      <c r="AK1220" s="322">
        <f t="shared" si="529"/>
        <v>1219</v>
      </c>
      <c r="AL1220" s="323">
        <f t="shared" ref="AL1220:AL1238" si="594">IF(B1220&lt;&gt;"",+AK1220+AG1220-1,"")</f>
        <v>1223</v>
      </c>
      <c r="AM1220" s="322">
        <f t="shared" ref="AM1220:AM1238" si="595">IF(B1220&lt;&gt;"",IF(B1220=B1219,1+AM1219,1),"")</f>
        <v>2</v>
      </c>
      <c r="AN1220" s="380">
        <f>IF(AND(AH1220&gt;0,B1220&lt;&gt;""),VLOOKUP(I1220,'AUX-NIV3'!$B:$AO,39,FALSE)*O1220,0)</f>
        <v>0</v>
      </c>
      <c r="AO1220" s="380">
        <f t="shared" si="530"/>
        <v>3.25</v>
      </c>
      <c r="AP1220" s="380"/>
    </row>
    <row r="1221" spans="2:42" ht="14.4" hidden="1" thickTop="1" thickBot="1">
      <c r="B1221" s="501" t="s">
        <v>3174</v>
      </c>
      <c r="C1221" s="951" t="s">
        <v>3175</v>
      </c>
      <c r="D1221" s="326" t="s">
        <v>2938</v>
      </c>
      <c r="E1221" s="327">
        <f>IF(B1221&lt;&gt;"",SUMIF('AUX-NIV1'!I:I,'AUX-NIV2'!B1221,'AUX-NIV1'!Q:Q),"")</f>
        <v>0</v>
      </c>
      <c r="F1221" s="327">
        <f t="shared" si="520"/>
        <v>2827.6201883842928</v>
      </c>
      <c r="G1221" s="327">
        <f t="shared" si="521"/>
        <v>0</v>
      </c>
      <c r="H1221" s="328" t="str">
        <f t="shared" si="582"/>
        <v>A</v>
      </c>
      <c r="I1221" s="324" t="s">
        <v>1746</v>
      </c>
      <c r="J1221" s="431" t="str">
        <f>IF(B1221&lt;&gt;"",+VLOOKUP(I1221,Recursos!C:F,2,FALSE),"")</f>
        <v>OFICIAL</v>
      </c>
      <c r="K1221" s="330" t="str">
        <f>IF(B1221&lt;&gt;"",+VLOOKUP(I1221,Recursos!C:F,3,FALSE),"")</f>
        <v>hh</v>
      </c>
      <c r="L1221" s="446">
        <f>IF(B1221&lt;&gt;"",+VLOOKUP(I1221,Recursos!C:F,4,FALSE),"")</f>
        <v>496.91595439275824</v>
      </c>
      <c r="M1221" s="767"/>
      <c r="N1221" s="768">
        <v>0.25</v>
      </c>
      <c r="O1221" s="449">
        <f t="shared" si="568"/>
        <v>0.25</v>
      </c>
      <c r="P1221" s="333">
        <f t="shared" si="583"/>
        <v>124.22898859818956</v>
      </c>
      <c r="Q1221" s="327">
        <f t="shared" si="584"/>
        <v>0</v>
      </c>
      <c r="R1221" s="334">
        <f t="shared" si="585"/>
        <v>0</v>
      </c>
      <c r="S1221" s="335">
        <f t="shared" si="522"/>
        <v>1466.1057983842925</v>
      </c>
      <c r="T1221" s="335">
        <f t="shared" si="523"/>
        <v>1361.51439</v>
      </c>
      <c r="U1221" s="336">
        <f t="shared" si="524"/>
        <v>0</v>
      </c>
      <c r="V1221" s="336">
        <f t="shared" si="525"/>
        <v>0</v>
      </c>
      <c r="W1221" s="336">
        <f t="shared" si="526"/>
        <v>0</v>
      </c>
      <c r="X1221" s="336">
        <f t="shared" si="527"/>
        <v>0</v>
      </c>
      <c r="Y1221" s="320"/>
      <c r="Z1221" s="321" t="str">
        <f t="shared" si="586"/>
        <v>X-CUAARBA</v>
      </c>
      <c r="AA1221" s="321" t="str">
        <f t="shared" si="587"/>
        <v>X-CUAARBE</v>
      </c>
      <c r="AB1221" s="321" t="str">
        <f t="shared" si="588"/>
        <v>X-CUAARBM</v>
      </c>
      <c r="AC1221" s="321" t="str">
        <f t="shared" si="589"/>
        <v>X-CUAARBT</v>
      </c>
      <c r="AD1221" s="321" t="str">
        <f t="shared" si="590"/>
        <v>X-CUAARBS</v>
      </c>
      <c r="AE1221" s="321" t="str">
        <f t="shared" si="591"/>
        <v>X-CUAARBX</v>
      </c>
      <c r="AF1221" s="321" t="str">
        <f t="shared" si="592"/>
        <v>X-CUAARBA</v>
      </c>
      <c r="AG1221" s="321">
        <f t="shared" si="528"/>
        <v>5</v>
      </c>
      <c r="AH1221" s="321">
        <f>IF(B1221&lt;&gt;"",IF(H1221="x",VLOOKUP(I1221,'AUX-NIV3'!B:AG,32,FALSE),0),"")</f>
        <v>0</v>
      </c>
      <c r="AI1221" s="321" t="str">
        <f t="shared" si="593"/>
        <v>X-CUAARB</v>
      </c>
      <c r="AJ1221" s="320"/>
      <c r="AK1221" s="322">
        <f t="shared" si="529"/>
        <v>1219</v>
      </c>
      <c r="AL1221" s="323">
        <f t="shared" si="594"/>
        <v>1223</v>
      </c>
      <c r="AM1221" s="322">
        <f t="shared" si="595"/>
        <v>3</v>
      </c>
      <c r="AN1221" s="380">
        <f>IF(AND(AH1221&gt;0,B1221&lt;&gt;""),VLOOKUP(I1221,'AUX-NIV3'!$B:$AO,39,FALSE)*O1221,0)</f>
        <v>0</v>
      </c>
      <c r="AO1221" s="380">
        <f t="shared" si="530"/>
        <v>3.25</v>
      </c>
      <c r="AP1221" s="380"/>
    </row>
    <row r="1222" spans="2:42" ht="14.4" hidden="1" thickTop="1" thickBot="1">
      <c r="B1222" s="501" t="s">
        <v>3174</v>
      </c>
      <c r="C1222" s="951" t="s">
        <v>3175</v>
      </c>
      <c r="D1222" s="326" t="s">
        <v>2938</v>
      </c>
      <c r="E1222" s="327">
        <f>IF(B1222&lt;&gt;"",SUMIF('AUX-NIV1'!I:I,'AUX-NIV2'!B1222,'AUX-NIV1'!Q:Q),"")</f>
        <v>0</v>
      </c>
      <c r="F1222" s="327">
        <f t="shared" si="520"/>
        <v>2827.6201883842928</v>
      </c>
      <c r="G1222" s="327">
        <f t="shared" si="521"/>
        <v>0</v>
      </c>
      <c r="H1222" s="328" t="str">
        <f t="shared" si="582"/>
        <v>E</v>
      </c>
      <c r="I1222" s="324" t="s">
        <v>1672</v>
      </c>
      <c r="J1222" s="431" t="str">
        <f>IF(B1222&lt;&gt;"",+VLOOKUP(I1222,Recursos!C:F,2,FALSE),"")</f>
        <v>CAMION VOLCADOR CAP. 24 T=15 m3</v>
      </c>
      <c r="K1222" s="330" t="str">
        <f>IF(B1222&lt;&gt;"",+VLOOKUP(I1222,Recursos!C:F,3,FALSE),"")</f>
        <v>HR</v>
      </c>
      <c r="L1222" s="446">
        <f>IF(B1222&lt;&gt;"",+VLOOKUP(I1222,Recursos!C:F,4,FALSE),"")</f>
        <v>4262.8895600000005</v>
      </c>
      <c r="M1222" s="767"/>
      <c r="N1222" s="768">
        <v>0.25</v>
      </c>
      <c r="O1222" s="449">
        <f t="shared" si="568"/>
        <v>0.25</v>
      </c>
      <c r="P1222" s="333">
        <f t="shared" si="583"/>
        <v>1065.7223900000001</v>
      </c>
      <c r="Q1222" s="327">
        <f t="shared" si="584"/>
        <v>0</v>
      </c>
      <c r="R1222" s="334">
        <f t="shared" si="585"/>
        <v>0</v>
      </c>
      <c r="S1222" s="335">
        <f t="shared" si="522"/>
        <v>1466.1057983842925</v>
      </c>
      <c r="T1222" s="335">
        <f t="shared" si="523"/>
        <v>1361.51439</v>
      </c>
      <c r="U1222" s="336">
        <f t="shared" si="524"/>
        <v>0</v>
      </c>
      <c r="V1222" s="336">
        <f t="shared" si="525"/>
        <v>0</v>
      </c>
      <c r="W1222" s="336">
        <f t="shared" si="526"/>
        <v>0</v>
      </c>
      <c r="X1222" s="336">
        <f t="shared" si="527"/>
        <v>0</v>
      </c>
      <c r="Y1222" s="320"/>
      <c r="Z1222" s="321" t="str">
        <f t="shared" si="586"/>
        <v>X-CUAARBA</v>
      </c>
      <c r="AA1222" s="321" t="str">
        <f t="shared" si="587"/>
        <v>X-CUAARBE</v>
      </c>
      <c r="AB1222" s="321" t="str">
        <f t="shared" si="588"/>
        <v>X-CUAARBM</v>
      </c>
      <c r="AC1222" s="321" t="str">
        <f t="shared" si="589"/>
        <v>X-CUAARBT</v>
      </c>
      <c r="AD1222" s="321" t="str">
        <f t="shared" si="590"/>
        <v>X-CUAARBS</v>
      </c>
      <c r="AE1222" s="321" t="str">
        <f t="shared" si="591"/>
        <v>X-CUAARBX</v>
      </c>
      <c r="AF1222" s="321" t="str">
        <f t="shared" si="592"/>
        <v>X-CUAARBE</v>
      </c>
      <c r="AG1222" s="321">
        <f t="shared" si="528"/>
        <v>5</v>
      </c>
      <c r="AH1222" s="321">
        <f>IF(B1222&lt;&gt;"",IF(H1222="x",VLOOKUP(I1222,'AUX-NIV3'!B:AG,32,FALSE),0),"")</f>
        <v>0</v>
      </c>
      <c r="AI1222" s="321" t="str">
        <f t="shared" si="593"/>
        <v>X-CUAARB</v>
      </c>
      <c r="AJ1222" s="320"/>
      <c r="AK1222" s="322">
        <f t="shared" si="529"/>
        <v>1219</v>
      </c>
      <c r="AL1222" s="323">
        <f t="shared" si="594"/>
        <v>1223</v>
      </c>
      <c r="AM1222" s="322">
        <f t="shared" si="595"/>
        <v>4</v>
      </c>
      <c r="AN1222" s="380">
        <f>IF(AND(AH1222&gt;0,B1222&lt;&gt;""),VLOOKUP(I1222,'AUX-NIV3'!$B:$AO,39,FALSE)*O1222,0)</f>
        <v>0</v>
      </c>
      <c r="AO1222" s="380">
        <f t="shared" si="530"/>
        <v>3.25</v>
      </c>
      <c r="AP1222" s="380"/>
    </row>
    <row r="1223" spans="2:42" ht="14.4" hidden="1" thickTop="1" thickBot="1">
      <c r="B1223" s="501" t="s">
        <v>3174</v>
      </c>
      <c r="C1223" s="951" t="s">
        <v>3175</v>
      </c>
      <c r="D1223" s="326" t="s">
        <v>2938</v>
      </c>
      <c r="E1223" s="327">
        <f>IF(B1223&lt;&gt;"",SUMIF('AUX-NIV1'!I:I,'AUX-NIV2'!B1223,'AUX-NIV1'!Q:Q),"")</f>
        <v>0</v>
      </c>
      <c r="F1223" s="327">
        <f t="shared" ref="F1223:F1286" si="596">IF(B1223&lt;&gt;"",+SUMIF(B:B,B1223,P:P),"")</f>
        <v>2827.6201883842928</v>
      </c>
      <c r="G1223" s="327">
        <f t="shared" ref="G1223:G1286" si="597">IF(B1223&lt;&gt;"",+SUMIF(B:B,B1223,R:R),"")</f>
        <v>0</v>
      </c>
      <c r="H1223" s="328" t="str">
        <f t="shared" si="582"/>
        <v>E</v>
      </c>
      <c r="I1223" s="324" t="s">
        <v>1626</v>
      </c>
      <c r="J1223" s="431" t="str">
        <f>IF(B1223&lt;&gt;"",+VLOOKUP(I1223,Recursos!C:F,2,FALSE),"")</f>
        <v>MOTOSIERRA MANUAL</v>
      </c>
      <c r="K1223" s="330" t="str">
        <f>IF(B1223&lt;&gt;"",+VLOOKUP(I1223,Recursos!C:F,3,FALSE),"")</f>
        <v>HR</v>
      </c>
      <c r="L1223" s="446">
        <f>IF(B1223&lt;&gt;"",+VLOOKUP(I1223,Recursos!C:F,4,FALSE),"")</f>
        <v>147.89599999999999</v>
      </c>
      <c r="M1223" s="753"/>
      <c r="N1223" s="755">
        <v>2</v>
      </c>
      <c r="O1223" s="449">
        <f t="shared" si="568"/>
        <v>2</v>
      </c>
      <c r="P1223" s="333">
        <f t="shared" si="583"/>
        <v>295.79199999999997</v>
      </c>
      <c r="Q1223" s="327">
        <f t="shared" si="584"/>
        <v>0</v>
      </c>
      <c r="R1223" s="334">
        <f t="shared" si="585"/>
        <v>0</v>
      </c>
      <c r="S1223" s="335">
        <f t="shared" ref="S1223:S1286" si="598">IF(B1223&lt;&gt;"",+SUMIF($AF:$AF,Z1223,$P:$P),"")</f>
        <v>1466.1057983842925</v>
      </c>
      <c r="T1223" s="335">
        <f t="shared" ref="T1223:T1286" si="599">IF(B1223&lt;&gt;"",+SUMIF($AF:$AF,AA1223,$P:$P),"")</f>
        <v>1361.51439</v>
      </c>
      <c r="U1223" s="336">
        <f t="shared" ref="U1223:U1286" si="600">IF(B1223&lt;&gt;"",+SUMIF($AF:$AF,AB1223,$P:$P),"")</f>
        <v>0</v>
      </c>
      <c r="V1223" s="336">
        <f t="shared" ref="V1223:V1286" si="601">IF(B1223&lt;&gt;"",+SUMIF($AF:$AF,AC1223,$P:$P),"")</f>
        <v>0</v>
      </c>
      <c r="W1223" s="336">
        <f t="shared" ref="W1223:W1286" si="602">IF(B1223&lt;&gt;"",+SUMIF($AF:$AF,AD1223,$P:$P),"")</f>
        <v>0</v>
      </c>
      <c r="X1223" s="336">
        <f t="shared" ref="X1223:X1286" si="603">IF(B1223&lt;&gt;"",+SUMIF($AF:$AF,AE1223,$P:$P),"")</f>
        <v>0</v>
      </c>
      <c r="Y1223" s="320"/>
      <c r="Z1223" s="321" t="str">
        <f t="shared" si="586"/>
        <v>X-CUAARBA</v>
      </c>
      <c r="AA1223" s="321" t="str">
        <f t="shared" si="587"/>
        <v>X-CUAARBE</v>
      </c>
      <c r="AB1223" s="321" t="str">
        <f t="shared" si="588"/>
        <v>X-CUAARBM</v>
      </c>
      <c r="AC1223" s="321" t="str">
        <f t="shared" si="589"/>
        <v>X-CUAARBT</v>
      </c>
      <c r="AD1223" s="321" t="str">
        <f t="shared" si="590"/>
        <v>X-CUAARBS</v>
      </c>
      <c r="AE1223" s="321" t="str">
        <f t="shared" si="591"/>
        <v>X-CUAARBX</v>
      </c>
      <c r="AF1223" s="321" t="str">
        <f t="shared" si="592"/>
        <v>X-CUAARBE</v>
      </c>
      <c r="AG1223" s="321">
        <f t="shared" ref="AG1223:AG1286" si="604">IF(B1223&lt;&gt;"",+COUNTIF(B:B,B1223),"")</f>
        <v>5</v>
      </c>
      <c r="AH1223" s="321">
        <f>IF(B1223&lt;&gt;"",IF(H1223="x",VLOOKUP(I1223,'AUX-NIV3'!B:AG,32,FALSE),0),"")</f>
        <v>0</v>
      </c>
      <c r="AI1223" s="321" t="str">
        <f t="shared" si="593"/>
        <v>X-CUAARB</v>
      </c>
      <c r="AJ1223" s="320"/>
      <c r="AK1223" s="322">
        <f t="shared" ref="AK1223:AK1286" si="605">IF(B1223&lt;&gt;"",+MATCH(B1223,B:B,0),"")</f>
        <v>1219</v>
      </c>
      <c r="AL1223" s="323">
        <f t="shared" si="594"/>
        <v>1223</v>
      </c>
      <c r="AM1223" s="322">
        <f t="shared" si="595"/>
        <v>5</v>
      </c>
      <c r="AN1223" s="380">
        <f>IF(AND(AH1223&gt;0,B1223&lt;&gt;""),VLOOKUP(I1223,'AUX-NIV3'!$B:$AO,39,FALSE)*O1223,0)</f>
        <v>0</v>
      </c>
      <c r="AO1223" s="380">
        <f t="shared" ref="AO1223:AO1286" si="606">+IF(B1223&lt;&gt;"",SUMIF(AF:AF,Z1223,O:O)+SUMIF(Z:Z,Z1223,AN:AN),0)</f>
        <v>3.25</v>
      </c>
      <c r="AP1223" s="380"/>
    </row>
    <row r="1224" spans="2:42" ht="14.4" hidden="1" thickTop="1" thickBot="1">
      <c r="B1224" s="501" t="s">
        <v>3256</v>
      </c>
      <c r="C1224" s="951" t="s">
        <v>3257</v>
      </c>
      <c r="D1224" s="326" t="s">
        <v>2938</v>
      </c>
      <c r="E1224" s="327">
        <f>IF(B1224&lt;&gt;"",SUMIF('AUX-NIV1'!I:I,'AUX-NIV2'!B1224,'AUX-NIV1'!Q:Q),"")</f>
        <v>0</v>
      </c>
      <c r="F1224" s="327">
        <f t="shared" si="596"/>
        <v>3527.3177276117885</v>
      </c>
      <c r="G1224" s="327">
        <f t="shared" si="597"/>
        <v>0</v>
      </c>
      <c r="H1224" s="328" t="str">
        <f t="shared" ref="H1224:H1226" si="607">IF(B1224&lt;&gt;"",+LEFT(I1224,1),"")</f>
        <v>A</v>
      </c>
      <c r="I1224" s="729" t="s">
        <v>1745</v>
      </c>
      <c r="J1224" s="329" t="str">
        <f>IF(B1224&lt;&gt;"",+VLOOKUP(I1224,Recursos!C:F,2,FALSE),"")</f>
        <v>AYUDANTE</v>
      </c>
      <c r="K1224" s="330" t="str">
        <f>IF(B1224&lt;&gt;"",+VLOOKUP(I1224,Recursos!C:F,3,FALSE),"")</f>
        <v>hh</v>
      </c>
      <c r="L1224" s="446">
        <f>IF(B1224&lt;&gt;"",+VLOOKUP(I1224,Recursos!C:F,4,FALSE),"")</f>
        <v>422.48042769667234</v>
      </c>
      <c r="M1224" s="738">
        <v>1.25</v>
      </c>
      <c r="N1224" s="739">
        <v>1</v>
      </c>
      <c r="O1224" s="449">
        <f>M1224*N1224</f>
        <v>1.25</v>
      </c>
      <c r="P1224" s="333">
        <f t="shared" ref="P1224:P1226" si="608">IF(B1224&lt;&gt;"",O1224*L1224,"")</f>
        <v>528.10053462084045</v>
      </c>
      <c r="Q1224" s="327">
        <f t="shared" ref="Q1224:Q1226" si="609">IF(B1224&lt;&gt;"",+O1224*E1224,"")</f>
        <v>0</v>
      </c>
      <c r="R1224" s="334">
        <f t="shared" ref="R1224:R1226" si="610">IF(B1224&lt;&gt;"",Q1224*L1224,"")</f>
        <v>0</v>
      </c>
      <c r="S1224" s="335">
        <f t="shared" si="598"/>
        <v>1149.2454776117884</v>
      </c>
      <c r="T1224" s="335">
        <f t="shared" si="599"/>
        <v>2378.0722500000002</v>
      </c>
      <c r="U1224" s="336">
        <f t="shared" si="600"/>
        <v>0</v>
      </c>
      <c r="V1224" s="336">
        <f t="shared" si="601"/>
        <v>0</v>
      </c>
      <c r="W1224" s="336">
        <f t="shared" si="602"/>
        <v>0</v>
      </c>
      <c r="X1224" s="336">
        <f t="shared" si="603"/>
        <v>0</v>
      </c>
      <c r="Y1224" s="320"/>
      <c r="Z1224" s="321" t="str">
        <f t="shared" si="586"/>
        <v>X-TRLOSA</v>
      </c>
      <c r="AA1224" s="321" t="str">
        <f t="shared" si="587"/>
        <v>X-TRLOSE</v>
      </c>
      <c r="AB1224" s="321" t="str">
        <f t="shared" si="588"/>
        <v>X-TRLOSM</v>
      </c>
      <c r="AC1224" s="321" t="str">
        <f t="shared" si="589"/>
        <v>X-TRLOST</v>
      </c>
      <c r="AD1224" s="321" t="str">
        <f t="shared" si="590"/>
        <v>X-TRLOSS</v>
      </c>
      <c r="AE1224" s="321" t="str">
        <f t="shared" si="591"/>
        <v>X-TRLOSX</v>
      </c>
      <c r="AF1224" s="321" t="str">
        <f t="shared" si="592"/>
        <v>X-TRLOSA</v>
      </c>
      <c r="AG1224" s="321">
        <f t="shared" si="604"/>
        <v>3</v>
      </c>
      <c r="AH1224" s="321">
        <f>IF(B1224&lt;&gt;"",IF(H1224="x",VLOOKUP(I1224,'AUX-NIV3'!B:AG,32,FALSE),0),"")</f>
        <v>0</v>
      </c>
      <c r="AI1224" s="321" t="str">
        <f t="shared" si="593"/>
        <v>X-TRLOS</v>
      </c>
      <c r="AJ1224" s="320"/>
      <c r="AK1224" s="322">
        <f t="shared" si="605"/>
        <v>1224</v>
      </c>
      <c r="AL1224" s="323">
        <f t="shared" si="594"/>
        <v>1226</v>
      </c>
      <c r="AM1224" s="322" t="e">
        <f>IF(B1224&lt;&gt;"",IF(B1224=#REF!,1+#REF!,1),"")</f>
        <v>#REF!</v>
      </c>
      <c r="AN1224" s="380">
        <f>IF(AND(AH1224&gt;0,B1224&lt;&gt;""),VLOOKUP(I1224,'AUX-NIV3'!$B:$AO,39,FALSE)*O1224,0)</f>
        <v>0</v>
      </c>
      <c r="AO1224" s="380">
        <f t="shared" si="606"/>
        <v>2.5</v>
      </c>
      <c r="AP1224" s="380"/>
    </row>
    <row r="1225" spans="2:42" ht="14.4" hidden="1" thickTop="1" thickBot="1">
      <c r="B1225" s="501" t="s">
        <v>3256</v>
      </c>
      <c r="C1225" s="951" t="s">
        <v>3257</v>
      </c>
      <c r="D1225" s="326" t="s">
        <v>2938</v>
      </c>
      <c r="E1225" s="327">
        <f>IF(B1225&lt;&gt;"",SUMIF('AUX-NIV1'!I:I,'AUX-NIV2'!B1225,'AUX-NIV1'!Q:Q),"")</f>
        <v>0</v>
      </c>
      <c r="F1225" s="327">
        <f t="shared" si="596"/>
        <v>3527.3177276117885</v>
      </c>
      <c r="G1225" s="327">
        <f t="shared" si="597"/>
        <v>0</v>
      </c>
      <c r="H1225" s="328" t="str">
        <f t="shared" si="607"/>
        <v>E</v>
      </c>
      <c r="I1225" s="729" t="s">
        <v>1597</v>
      </c>
      <c r="J1225" s="329" t="str">
        <f>IF(B1225&lt;&gt;"",+VLOOKUP(I1225,Recursos!C:F,2,FALSE),"")</f>
        <v>HIDROGRUA MONTADA S/CAMION (6 T)</v>
      </c>
      <c r="K1225" s="330" t="str">
        <f>IF(B1225&lt;&gt;"",+VLOOKUP(I1225,Recursos!C:F,3,FALSE),"")</f>
        <v>HR</v>
      </c>
      <c r="L1225" s="446">
        <f>IF(B1225&lt;&gt;"",+VLOOKUP(I1225,Recursos!C:F,4,FALSE),"")</f>
        <v>2378.0722500000002</v>
      </c>
      <c r="M1225" s="740"/>
      <c r="N1225" s="737">
        <v>1</v>
      </c>
      <c r="O1225" s="449">
        <f>N1225</f>
        <v>1</v>
      </c>
      <c r="P1225" s="333">
        <f t="shared" si="608"/>
        <v>2378.0722500000002</v>
      </c>
      <c r="Q1225" s="327">
        <f t="shared" si="609"/>
        <v>0</v>
      </c>
      <c r="R1225" s="334">
        <f t="shared" si="610"/>
        <v>0</v>
      </c>
      <c r="S1225" s="335">
        <f t="shared" si="598"/>
        <v>1149.2454776117884</v>
      </c>
      <c r="T1225" s="335">
        <f t="shared" si="599"/>
        <v>2378.0722500000002</v>
      </c>
      <c r="U1225" s="336">
        <f t="shared" si="600"/>
        <v>0</v>
      </c>
      <c r="V1225" s="336">
        <f t="shared" si="601"/>
        <v>0</v>
      </c>
      <c r="W1225" s="336">
        <f t="shared" si="602"/>
        <v>0</v>
      </c>
      <c r="X1225" s="336">
        <f t="shared" si="603"/>
        <v>0</v>
      </c>
      <c r="Y1225" s="320"/>
      <c r="Z1225" s="321" t="str">
        <f t="shared" si="586"/>
        <v>X-TRLOSA</v>
      </c>
      <c r="AA1225" s="321" t="str">
        <f t="shared" si="587"/>
        <v>X-TRLOSE</v>
      </c>
      <c r="AB1225" s="321" t="str">
        <f t="shared" si="588"/>
        <v>X-TRLOSM</v>
      </c>
      <c r="AC1225" s="321" t="str">
        <f t="shared" si="589"/>
        <v>X-TRLOST</v>
      </c>
      <c r="AD1225" s="321" t="str">
        <f t="shared" si="590"/>
        <v>X-TRLOSS</v>
      </c>
      <c r="AE1225" s="321" t="str">
        <f t="shared" si="591"/>
        <v>X-TRLOSX</v>
      </c>
      <c r="AF1225" s="321" t="str">
        <f t="shared" si="592"/>
        <v>X-TRLOSE</v>
      </c>
      <c r="AG1225" s="321">
        <f t="shared" si="604"/>
        <v>3</v>
      </c>
      <c r="AH1225" s="321">
        <f>IF(B1225&lt;&gt;"",IF(H1225="x",VLOOKUP(I1225,'AUX-NIV3'!B:AG,32,FALSE),0),"")</f>
        <v>0</v>
      </c>
      <c r="AI1225" s="321" t="str">
        <f t="shared" si="593"/>
        <v>X-TRLOS</v>
      </c>
      <c r="AJ1225" s="320"/>
      <c r="AK1225" s="322">
        <f t="shared" si="605"/>
        <v>1224</v>
      </c>
      <c r="AL1225" s="323">
        <f t="shared" si="594"/>
        <v>1226</v>
      </c>
      <c r="AM1225" s="322" t="e">
        <f t="shared" si="595"/>
        <v>#REF!</v>
      </c>
      <c r="AN1225" s="380">
        <f>IF(AND(AH1225&gt;0,B1225&lt;&gt;""),VLOOKUP(I1225,'AUX-NIV3'!$B:$AO,39,FALSE)*O1225,0)</f>
        <v>0</v>
      </c>
      <c r="AO1225" s="380">
        <f t="shared" si="606"/>
        <v>2.5</v>
      </c>
      <c r="AP1225" s="380"/>
    </row>
    <row r="1226" spans="2:42" ht="14.4" hidden="1" thickTop="1" thickBot="1">
      <c r="B1226" s="501" t="s">
        <v>3256</v>
      </c>
      <c r="C1226" s="951" t="s">
        <v>3257</v>
      </c>
      <c r="D1226" s="326" t="s">
        <v>2938</v>
      </c>
      <c r="E1226" s="327">
        <f>IF(B1226&lt;&gt;"",SUMIF('AUX-NIV1'!I:I,'AUX-NIV2'!B1226,'AUX-NIV1'!Q:Q),"")</f>
        <v>0</v>
      </c>
      <c r="F1226" s="327">
        <f t="shared" si="596"/>
        <v>3527.3177276117885</v>
      </c>
      <c r="G1226" s="327">
        <f t="shared" si="597"/>
        <v>0</v>
      </c>
      <c r="H1226" s="328" t="str">
        <f t="shared" si="607"/>
        <v>A</v>
      </c>
      <c r="I1226" s="325" t="s">
        <v>1746</v>
      </c>
      <c r="J1226" s="329" t="str">
        <f>IF(B1226&lt;&gt;"",+VLOOKUP(I1226,Recursos!C:F,2,FALSE),"")</f>
        <v>OFICIAL</v>
      </c>
      <c r="K1226" s="330" t="str">
        <f>IF(B1226&lt;&gt;"",+VLOOKUP(I1226,Recursos!C:F,3,FALSE),"")</f>
        <v>hh</v>
      </c>
      <c r="L1226" s="446">
        <f>IF(B1226&lt;&gt;"",+VLOOKUP(I1226,Recursos!C:F,4,FALSE),"")</f>
        <v>496.91595439275824</v>
      </c>
      <c r="M1226" s="741"/>
      <c r="N1226" s="742"/>
      <c r="O1226" s="449">
        <f>N1225*M1224</f>
        <v>1.25</v>
      </c>
      <c r="P1226" s="333">
        <f t="shared" si="608"/>
        <v>621.14494299094781</v>
      </c>
      <c r="Q1226" s="327">
        <f t="shared" si="609"/>
        <v>0</v>
      </c>
      <c r="R1226" s="334">
        <f t="shared" si="610"/>
        <v>0</v>
      </c>
      <c r="S1226" s="335">
        <f t="shared" si="598"/>
        <v>1149.2454776117884</v>
      </c>
      <c r="T1226" s="335">
        <f t="shared" si="599"/>
        <v>2378.0722500000002</v>
      </c>
      <c r="U1226" s="336">
        <f t="shared" si="600"/>
        <v>0</v>
      </c>
      <c r="V1226" s="336">
        <f t="shared" si="601"/>
        <v>0</v>
      </c>
      <c r="W1226" s="336">
        <f t="shared" si="602"/>
        <v>0</v>
      </c>
      <c r="X1226" s="336">
        <f t="shared" si="603"/>
        <v>0</v>
      </c>
      <c r="Y1226" s="320"/>
      <c r="Z1226" s="321" t="str">
        <f t="shared" si="586"/>
        <v>X-TRLOSA</v>
      </c>
      <c r="AA1226" s="321" t="str">
        <f t="shared" si="587"/>
        <v>X-TRLOSE</v>
      </c>
      <c r="AB1226" s="321" t="str">
        <f t="shared" si="588"/>
        <v>X-TRLOSM</v>
      </c>
      <c r="AC1226" s="321" t="str">
        <f t="shared" si="589"/>
        <v>X-TRLOST</v>
      </c>
      <c r="AD1226" s="321" t="str">
        <f t="shared" si="590"/>
        <v>X-TRLOSS</v>
      </c>
      <c r="AE1226" s="321" t="str">
        <f t="shared" si="591"/>
        <v>X-TRLOSX</v>
      </c>
      <c r="AF1226" s="321" t="str">
        <f t="shared" si="592"/>
        <v>X-TRLOSA</v>
      </c>
      <c r="AG1226" s="321">
        <f t="shared" si="604"/>
        <v>3</v>
      </c>
      <c r="AH1226" s="321">
        <f>IF(B1226&lt;&gt;"",IF(H1226="x",VLOOKUP(I1226,'AUX-NIV3'!B:AG,32,FALSE),0),"")</f>
        <v>0</v>
      </c>
      <c r="AI1226" s="321" t="str">
        <f t="shared" si="593"/>
        <v>X-TRLOS</v>
      </c>
      <c r="AJ1226" s="320"/>
      <c r="AK1226" s="322">
        <f t="shared" si="605"/>
        <v>1224</v>
      </c>
      <c r="AL1226" s="323">
        <f t="shared" si="594"/>
        <v>1226</v>
      </c>
      <c r="AM1226" s="322" t="e">
        <f t="shared" si="595"/>
        <v>#REF!</v>
      </c>
      <c r="AN1226" s="380">
        <f>IF(AND(AH1226&gt;0,B1226&lt;&gt;""),VLOOKUP(I1226,'AUX-NIV3'!$B:$AO,39,FALSE)*O1226,0)</f>
        <v>0</v>
      </c>
      <c r="AO1226" s="380">
        <f t="shared" si="606"/>
        <v>2.5</v>
      </c>
      <c r="AP1226" s="380"/>
    </row>
    <row r="1227" spans="2:42" ht="14.4" hidden="1" thickTop="1" thickBot="1">
      <c r="B1227" s="501" t="s">
        <v>3258</v>
      </c>
      <c r="C1227" s="951" t="s">
        <v>3259</v>
      </c>
      <c r="D1227" s="326" t="s">
        <v>2938</v>
      </c>
      <c r="E1227" s="327">
        <f>IF(B1227&lt;&gt;"",SUMIF('AUX-NIV1'!I:I,'AUX-NIV2'!B1227,'AUX-NIV1'!Q:Q),"")</f>
        <v>0</v>
      </c>
      <c r="F1227" s="327">
        <f t="shared" si="596"/>
        <v>7813.0461405812966</v>
      </c>
      <c r="G1227" s="327">
        <f t="shared" si="597"/>
        <v>0</v>
      </c>
      <c r="H1227" s="328" t="str">
        <f t="shared" ref="H1227:H1233" si="611">IF(B1227&lt;&gt;"",+LEFT(I1227,1),"")</f>
        <v>A</v>
      </c>
      <c r="I1227" s="729" t="s">
        <v>1745</v>
      </c>
      <c r="J1227" s="329" t="str">
        <f>IF(B1227&lt;&gt;"",+VLOOKUP(I1227,Recursos!C:F,2,FALSE),"")</f>
        <v>AYUDANTE</v>
      </c>
      <c r="K1227" s="330" t="str">
        <f>IF(B1227&lt;&gt;"",+VLOOKUP(I1227,Recursos!C:F,3,FALSE),"")</f>
        <v>hh</v>
      </c>
      <c r="L1227" s="446">
        <f>IF(B1227&lt;&gt;"",+VLOOKUP(I1227,Recursos!C:F,4,FALSE),"")</f>
        <v>422.48042769667234</v>
      </c>
      <c r="M1227" s="738">
        <v>1.25</v>
      </c>
      <c r="N1227" s="739">
        <v>1</v>
      </c>
      <c r="O1227" s="449">
        <f>M1227*N1227</f>
        <v>1.25</v>
      </c>
      <c r="P1227" s="333">
        <f t="shared" ref="P1227:P1233" si="612">IF(B1227&lt;&gt;"",O1227*L1227,"")</f>
        <v>528.10053462084045</v>
      </c>
      <c r="Q1227" s="327">
        <f t="shared" ref="Q1227:Q1233" si="613">IF(B1227&lt;&gt;"",+O1227*E1227,"")</f>
        <v>0</v>
      </c>
      <c r="R1227" s="334">
        <f t="shared" ref="R1227:R1233" si="614">IF(B1227&lt;&gt;"",Q1227*L1227,"")</f>
        <v>0</v>
      </c>
      <c r="S1227" s="335">
        <f t="shared" si="598"/>
        <v>1254.4270405812972</v>
      </c>
      <c r="T1227" s="335">
        <f t="shared" si="599"/>
        <v>6558.6190999999999</v>
      </c>
      <c r="U1227" s="336">
        <f t="shared" si="600"/>
        <v>0</v>
      </c>
      <c r="V1227" s="336">
        <f t="shared" si="601"/>
        <v>0</v>
      </c>
      <c r="W1227" s="336">
        <f t="shared" si="602"/>
        <v>0</v>
      </c>
      <c r="X1227" s="336">
        <f t="shared" si="603"/>
        <v>0</v>
      </c>
      <c r="Y1227" s="320"/>
      <c r="Z1227" s="321" t="str">
        <f t="shared" si="586"/>
        <v>X-COLOSA</v>
      </c>
      <c r="AA1227" s="321" t="str">
        <f t="shared" si="587"/>
        <v>X-COLOSE</v>
      </c>
      <c r="AB1227" s="321" t="str">
        <f t="shared" si="588"/>
        <v>X-COLOSM</v>
      </c>
      <c r="AC1227" s="321" t="str">
        <f t="shared" si="589"/>
        <v>X-COLOST</v>
      </c>
      <c r="AD1227" s="321" t="str">
        <f t="shared" si="590"/>
        <v>X-COLOSS</v>
      </c>
      <c r="AE1227" s="321" t="str">
        <f t="shared" si="591"/>
        <v>X-COLOSX</v>
      </c>
      <c r="AF1227" s="321" t="str">
        <f t="shared" si="592"/>
        <v>X-COLOSA</v>
      </c>
      <c r="AG1227" s="321">
        <f t="shared" si="604"/>
        <v>3</v>
      </c>
      <c r="AH1227" s="321">
        <f>IF(B1227&lt;&gt;"",IF(H1227="x",VLOOKUP(I1227,'AUX-NIV3'!B:AG,32,FALSE),0),"")</f>
        <v>0</v>
      </c>
      <c r="AI1227" s="321" t="str">
        <f t="shared" si="593"/>
        <v>X-COLOS</v>
      </c>
      <c r="AJ1227" s="320"/>
      <c r="AK1227" s="322">
        <f t="shared" si="605"/>
        <v>1227</v>
      </c>
      <c r="AL1227" s="323">
        <f t="shared" si="594"/>
        <v>1229</v>
      </c>
      <c r="AM1227" s="322">
        <f t="shared" si="595"/>
        <v>1</v>
      </c>
      <c r="AN1227" s="380">
        <f>IF(AND(AH1227&gt;0,B1227&lt;&gt;""),VLOOKUP(I1227,'AUX-NIV3'!$B:$AO,39,FALSE)*O1227,0)</f>
        <v>0</v>
      </c>
      <c r="AO1227" s="380">
        <f t="shared" si="606"/>
        <v>2.5</v>
      </c>
      <c r="AP1227" s="380"/>
    </row>
    <row r="1228" spans="2:42" ht="14.4" hidden="1" thickTop="1" thickBot="1">
      <c r="B1228" s="501" t="s">
        <v>3258</v>
      </c>
      <c r="C1228" s="951" t="s">
        <v>3259</v>
      </c>
      <c r="D1228" s="326" t="s">
        <v>2938</v>
      </c>
      <c r="E1228" s="327">
        <f>IF(B1228&lt;&gt;"",SUMIF('AUX-NIV1'!I:I,'AUX-NIV2'!B1228,'AUX-NIV1'!Q:Q),"")</f>
        <v>0</v>
      </c>
      <c r="F1228" s="327">
        <f t="shared" si="596"/>
        <v>7813.0461405812966</v>
      </c>
      <c r="G1228" s="327">
        <f t="shared" si="597"/>
        <v>0</v>
      </c>
      <c r="H1228" s="328" t="str">
        <f t="shared" si="611"/>
        <v>E</v>
      </c>
      <c r="I1228" s="729" t="s">
        <v>1698</v>
      </c>
      <c r="J1228" s="329" t="str">
        <f>IF(B1228&lt;&gt;"",+VLOOKUP(I1228,Recursos!C:F,2,FALSE),"")</f>
        <v>GRUA MOVIL TODO TERRENO 55 T</v>
      </c>
      <c r="K1228" s="330" t="str">
        <f>IF(B1228&lt;&gt;"",+VLOOKUP(I1228,Recursos!C:F,3,FALSE),"")</f>
        <v>HR</v>
      </c>
      <c r="L1228" s="446">
        <f>IF(B1228&lt;&gt;"",+VLOOKUP(I1228,Recursos!C:F,4,FALSE),"")</f>
        <v>6558.6190999999999</v>
      </c>
      <c r="M1228" s="740"/>
      <c r="N1228" s="737">
        <v>1</v>
      </c>
      <c r="O1228" s="449">
        <f>N1228</f>
        <v>1</v>
      </c>
      <c r="P1228" s="333">
        <f t="shared" si="612"/>
        <v>6558.6190999999999</v>
      </c>
      <c r="Q1228" s="327">
        <f t="shared" si="613"/>
        <v>0</v>
      </c>
      <c r="R1228" s="334">
        <f t="shared" si="614"/>
        <v>0</v>
      </c>
      <c r="S1228" s="335">
        <f t="shared" si="598"/>
        <v>1254.4270405812972</v>
      </c>
      <c r="T1228" s="335">
        <f t="shared" si="599"/>
        <v>6558.6190999999999</v>
      </c>
      <c r="U1228" s="336">
        <f t="shared" si="600"/>
        <v>0</v>
      </c>
      <c r="V1228" s="336">
        <f t="shared" si="601"/>
        <v>0</v>
      </c>
      <c r="W1228" s="336">
        <f t="shared" si="602"/>
        <v>0</v>
      </c>
      <c r="X1228" s="336">
        <f t="shared" si="603"/>
        <v>0</v>
      </c>
      <c r="Y1228" s="320"/>
      <c r="Z1228" s="321" t="str">
        <f t="shared" si="586"/>
        <v>X-COLOSA</v>
      </c>
      <c r="AA1228" s="321" t="str">
        <f t="shared" si="587"/>
        <v>X-COLOSE</v>
      </c>
      <c r="AB1228" s="321" t="str">
        <f t="shared" si="588"/>
        <v>X-COLOSM</v>
      </c>
      <c r="AC1228" s="321" t="str">
        <f t="shared" si="589"/>
        <v>X-COLOST</v>
      </c>
      <c r="AD1228" s="321" t="str">
        <f t="shared" si="590"/>
        <v>X-COLOSS</v>
      </c>
      <c r="AE1228" s="321" t="str">
        <f t="shared" si="591"/>
        <v>X-COLOSX</v>
      </c>
      <c r="AF1228" s="321" t="str">
        <f t="shared" si="592"/>
        <v>X-COLOSE</v>
      </c>
      <c r="AG1228" s="321">
        <f t="shared" si="604"/>
        <v>3</v>
      </c>
      <c r="AH1228" s="321">
        <f>IF(B1228&lt;&gt;"",IF(H1228="x",VLOOKUP(I1228,'AUX-NIV3'!B:AG,32,FALSE),0),"")</f>
        <v>0</v>
      </c>
      <c r="AI1228" s="321" t="str">
        <f t="shared" si="593"/>
        <v>X-COLOS</v>
      </c>
      <c r="AJ1228" s="320"/>
      <c r="AK1228" s="322">
        <f t="shared" si="605"/>
        <v>1227</v>
      </c>
      <c r="AL1228" s="323">
        <f t="shared" si="594"/>
        <v>1229</v>
      </c>
      <c r="AM1228" s="322">
        <f t="shared" si="595"/>
        <v>2</v>
      </c>
      <c r="AN1228" s="380">
        <f>IF(AND(AH1228&gt;0,B1228&lt;&gt;""),VLOOKUP(I1228,'AUX-NIV3'!$B:$AO,39,FALSE)*O1228,0)</f>
        <v>0</v>
      </c>
      <c r="AO1228" s="380">
        <f t="shared" si="606"/>
        <v>2.5</v>
      </c>
      <c r="AP1228" s="380"/>
    </row>
    <row r="1229" spans="2:42" ht="13.8" hidden="1" thickBot="1">
      <c r="B1229" s="501" t="s">
        <v>3258</v>
      </c>
      <c r="C1229" s="951" t="s">
        <v>3259</v>
      </c>
      <c r="D1229" s="326" t="s">
        <v>2938</v>
      </c>
      <c r="E1229" s="327">
        <f>IF(B1229&lt;&gt;"",SUMIF('AUX-NIV1'!I:I,'AUX-NIV2'!B1229,'AUX-NIV1'!Q:Q),"")</f>
        <v>0</v>
      </c>
      <c r="F1229" s="327">
        <f t="shared" si="596"/>
        <v>7813.0461405812966</v>
      </c>
      <c r="G1229" s="327">
        <f t="shared" si="597"/>
        <v>0</v>
      </c>
      <c r="H1229" s="328" t="str">
        <f t="shared" si="611"/>
        <v>A</v>
      </c>
      <c r="I1229" s="325" t="s">
        <v>3310</v>
      </c>
      <c r="J1229" s="329" t="str">
        <f>IF(B1229&lt;&gt;"",+VLOOKUP(I1229,Recursos!C:F,2,FALSE),"")</f>
        <v>OFICIAL ESPECIALIZADO</v>
      </c>
      <c r="K1229" s="330" t="str">
        <f>IF(B1229&lt;&gt;"",+VLOOKUP(I1229,Recursos!C:F,3,FALSE),"")</f>
        <v>hh</v>
      </c>
      <c r="L1229" s="446">
        <f>IF(B1229&lt;&gt;"",+VLOOKUP(I1229,Recursos!C:F,4,FALSE),"")</f>
        <v>581.06120476836554</v>
      </c>
      <c r="M1229" s="741"/>
      <c r="N1229" s="742"/>
      <c r="O1229" s="449">
        <f>N1228*M1227</f>
        <v>1.25</v>
      </c>
      <c r="P1229" s="333">
        <f t="shared" si="612"/>
        <v>726.32650596045687</v>
      </c>
      <c r="Q1229" s="327">
        <f t="shared" si="613"/>
        <v>0</v>
      </c>
      <c r="R1229" s="334">
        <f t="shared" si="614"/>
        <v>0</v>
      </c>
      <c r="S1229" s="335">
        <f t="shared" si="598"/>
        <v>1254.4270405812972</v>
      </c>
      <c r="T1229" s="335">
        <f t="shared" si="599"/>
        <v>6558.6190999999999</v>
      </c>
      <c r="U1229" s="336">
        <f t="shared" si="600"/>
        <v>0</v>
      </c>
      <c r="V1229" s="336">
        <f t="shared" si="601"/>
        <v>0</v>
      </c>
      <c r="W1229" s="336">
        <f t="shared" si="602"/>
        <v>0</v>
      </c>
      <c r="X1229" s="336">
        <f t="shared" si="603"/>
        <v>0</v>
      </c>
      <c r="Y1229" s="320"/>
      <c r="Z1229" s="321" t="str">
        <f t="shared" si="586"/>
        <v>X-COLOSA</v>
      </c>
      <c r="AA1229" s="321" t="str">
        <f t="shared" si="587"/>
        <v>X-COLOSE</v>
      </c>
      <c r="AB1229" s="321" t="str">
        <f t="shared" si="588"/>
        <v>X-COLOSM</v>
      </c>
      <c r="AC1229" s="321" t="str">
        <f t="shared" si="589"/>
        <v>X-COLOST</v>
      </c>
      <c r="AD1229" s="321" t="str">
        <f t="shared" si="590"/>
        <v>X-COLOSS</v>
      </c>
      <c r="AE1229" s="321" t="str">
        <f t="shared" si="591"/>
        <v>X-COLOSX</v>
      </c>
      <c r="AF1229" s="321" t="str">
        <f t="shared" si="592"/>
        <v>X-COLOSA</v>
      </c>
      <c r="AG1229" s="321">
        <f t="shared" si="604"/>
        <v>3</v>
      </c>
      <c r="AH1229" s="321">
        <f>IF(B1229&lt;&gt;"",IF(H1229="x",VLOOKUP(I1229,'AUX-NIV3'!B:AG,32,FALSE),0),"")</f>
        <v>0</v>
      </c>
      <c r="AI1229" s="321" t="str">
        <f t="shared" si="593"/>
        <v>X-COLOS</v>
      </c>
      <c r="AJ1229" s="320"/>
      <c r="AK1229" s="322">
        <f t="shared" si="605"/>
        <v>1227</v>
      </c>
      <c r="AL1229" s="323">
        <f t="shared" si="594"/>
        <v>1229</v>
      </c>
      <c r="AM1229" s="322">
        <f t="shared" si="595"/>
        <v>3</v>
      </c>
      <c r="AN1229" s="380">
        <f>IF(AND(AH1229&gt;0,B1229&lt;&gt;""),VLOOKUP(I1229,'AUX-NIV3'!$B:$AO,39,FALSE)*O1229,0)</f>
        <v>0</v>
      </c>
      <c r="AO1229" s="380">
        <f t="shared" si="606"/>
        <v>2.5</v>
      </c>
      <c r="AP1229" s="380"/>
    </row>
    <row r="1230" spans="2:42" ht="13.8" thickTop="1">
      <c r="B1230" s="501" t="s">
        <v>3262</v>
      </c>
      <c r="C1230" s="951" t="s">
        <v>3260</v>
      </c>
      <c r="D1230" s="326" t="s">
        <v>2938</v>
      </c>
      <c r="E1230" s="327">
        <f>IF(B1230&lt;&gt;"",SUMIF('AUX-NIV1'!I:I,'AUX-NIV2'!B1230,'AUX-NIV1'!Q:Q),"")</f>
        <v>0.9</v>
      </c>
      <c r="F1230" s="327">
        <f t="shared" si="596"/>
        <v>2498.6725181930856</v>
      </c>
      <c r="G1230" s="327">
        <f t="shared" si="597"/>
        <v>2248.8052663737772</v>
      </c>
      <c r="H1230" s="328" t="str">
        <f t="shared" si="611"/>
        <v>A</v>
      </c>
      <c r="I1230" s="325" t="s">
        <v>1745</v>
      </c>
      <c r="J1230" s="329" t="str">
        <f>IF(B1230&lt;&gt;"",+VLOOKUP(I1230,Recursos!C:F,2,FALSE),"")</f>
        <v>AYUDANTE</v>
      </c>
      <c r="K1230" s="330" t="str">
        <f>IF(B1230&lt;&gt;"",+VLOOKUP(I1230,Recursos!C:F,3,FALSE),"")</f>
        <v>hh</v>
      </c>
      <c r="L1230" s="446">
        <f>IF(B1230&lt;&gt;"",+VLOOKUP(I1230,Recursos!C:F,4,FALSE),"")</f>
        <v>422.48042769667234</v>
      </c>
      <c r="M1230" s="929">
        <v>1.25</v>
      </c>
      <c r="N1230" s="930">
        <v>2</v>
      </c>
      <c r="O1230" s="449">
        <f>N1230*M1230</f>
        <v>2.5</v>
      </c>
      <c r="P1230" s="333">
        <f t="shared" si="612"/>
        <v>1056.2010692416809</v>
      </c>
      <c r="Q1230" s="327">
        <f t="shared" si="613"/>
        <v>2.25</v>
      </c>
      <c r="R1230" s="334">
        <f t="shared" si="614"/>
        <v>950.58096231751279</v>
      </c>
      <c r="S1230" s="335">
        <f t="shared" si="598"/>
        <v>2403.6725181930856</v>
      </c>
      <c r="T1230" s="335">
        <f t="shared" si="599"/>
        <v>0</v>
      </c>
      <c r="U1230" s="336">
        <f t="shared" si="600"/>
        <v>95</v>
      </c>
      <c r="V1230" s="336">
        <f t="shared" si="601"/>
        <v>0</v>
      </c>
      <c r="W1230" s="336">
        <f t="shared" si="602"/>
        <v>0</v>
      </c>
      <c r="X1230" s="336">
        <f t="shared" si="603"/>
        <v>0</v>
      </c>
      <c r="Y1230" s="320"/>
      <c r="Z1230" s="321" t="str">
        <f t="shared" si="586"/>
        <v>X-AYGREA</v>
      </c>
      <c r="AA1230" s="321" t="str">
        <f t="shared" si="587"/>
        <v>X-AYGREE</v>
      </c>
      <c r="AB1230" s="321" t="str">
        <f t="shared" si="588"/>
        <v>X-AYGREM</v>
      </c>
      <c r="AC1230" s="321" t="str">
        <f t="shared" si="589"/>
        <v>X-AYGRET</v>
      </c>
      <c r="AD1230" s="321" t="str">
        <f t="shared" si="590"/>
        <v>X-AYGRES</v>
      </c>
      <c r="AE1230" s="321" t="str">
        <f t="shared" si="591"/>
        <v>X-AYGREX</v>
      </c>
      <c r="AF1230" s="321" t="str">
        <f t="shared" si="592"/>
        <v>X-AYGREA</v>
      </c>
      <c r="AG1230" s="321">
        <f t="shared" si="604"/>
        <v>4</v>
      </c>
      <c r="AH1230" s="321">
        <f>IF(B1230&lt;&gt;"",IF(H1230="x",VLOOKUP(I1230,'AUX-NIV3'!B:AG,32,FALSE),0),"")</f>
        <v>0</v>
      </c>
      <c r="AI1230" s="321" t="str">
        <f t="shared" si="593"/>
        <v>X-AYGRE</v>
      </c>
      <c r="AJ1230" s="320"/>
      <c r="AK1230" s="322">
        <f t="shared" si="605"/>
        <v>1230</v>
      </c>
      <c r="AL1230" s="323">
        <f t="shared" si="594"/>
        <v>1233</v>
      </c>
      <c r="AM1230" s="322">
        <f t="shared" si="595"/>
        <v>1</v>
      </c>
      <c r="AN1230" s="380">
        <f>IF(AND(AH1230&gt;0,B1230&lt;&gt;""),VLOOKUP(I1230,'AUX-NIV3'!$B:$AO,39,FALSE)*O1230,0)</f>
        <v>0</v>
      </c>
      <c r="AO1230" s="380">
        <f t="shared" si="606"/>
        <v>5</v>
      </c>
      <c r="AP1230" s="380"/>
    </row>
    <row r="1231" spans="2:42">
      <c r="B1231" s="501" t="s">
        <v>3262</v>
      </c>
      <c r="C1231" s="951" t="s">
        <v>3260</v>
      </c>
      <c r="D1231" s="326" t="s">
        <v>2938</v>
      </c>
      <c r="E1231" s="327">
        <f>IF(B1231&lt;&gt;"",SUMIF('AUX-NIV1'!I:I,'AUX-NIV2'!B1231,'AUX-NIV1'!Q:Q),"")</f>
        <v>0.9</v>
      </c>
      <c r="F1231" s="327">
        <f t="shared" si="596"/>
        <v>2498.6725181930856</v>
      </c>
      <c r="G1231" s="327">
        <f t="shared" si="597"/>
        <v>2248.8052663737772</v>
      </c>
      <c r="H1231" s="328" t="str">
        <f t="shared" si="611"/>
        <v>A</v>
      </c>
      <c r="I1231" s="325" t="s">
        <v>1746</v>
      </c>
      <c r="J1231" s="329" t="str">
        <f>IF(B1231&lt;&gt;"",+VLOOKUP(I1231,Recursos!C:F,2,FALSE),"")</f>
        <v>OFICIAL</v>
      </c>
      <c r="K1231" s="330" t="str">
        <f>IF(B1231&lt;&gt;"",+VLOOKUP(I1231,Recursos!C:F,3,FALSE),"")</f>
        <v>hh</v>
      </c>
      <c r="L1231" s="446">
        <f>IF(B1231&lt;&gt;"",+VLOOKUP(I1231,Recursos!C:F,4,FALSE),"")</f>
        <v>496.91595439275824</v>
      </c>
      <c r="M1231" s="928"/>
      <c r="N1231" s="931">
        <v>1</v>
      </c>
      <c r="O1231" s="449">
        <f>N1231*M1230</f>
        <v>1.25</v>
      </c>
      <c r="P1231" s="333">
        <f t="shared" si="612"/>
        <v>621.14494299094781</v>
      </c>
      <c r="Q1231" s="327">
        <f t="shared" si="613"/>
        <v>1.125</v>
      </c>
      <c r="R1231" s="334">
        <f t="shared" si="614"/>
        <v>559.03044869185305</v>
      </c>
      <c r="S1231" s="335">
        <f t="shared" si="598"/>
        <v>2403.6725181930856</v>
      </c>
      <c r="T1231" s="335">
        <f t="shared" si="599"/>
        <v>0</v>
      </c>
      <c r="U1231" s="336">
        <f t="shared" si="600"/>
        <v>95</v>
      </c>
      <c r="V1231" s="336">
        <f t="shared" si="601"/>
        <v>0</v>
      </c>
      <c r="W1231" s="336">
        <f t="shared" si="602"/>
        <v>0</v>
      </c>
      <c r="X1231" s="336">
        <f t="shared" si="603"/>
        <v>0</v>
      </c>
      <c r="Y1231" s="320"/>
      <c r="Z1231" s="321" t="str">
        <f t="shared" si="586"/>
        <v>X-AYGREA</v>
      </c>
      <c r="AA1231" s="321" t="str">
        <f t="shared" si="587"/>
        <v>X-AYGREE</v>
      </c>
      <c r="AB1231" s="321" t="str">
        <f t="shared" si="588"/>
        <v>X-AYGREM</v>
      </c>
      <c r="AC1231" s="321" t="str">
        <f t="shared" si="589"/>
        <v>X-AYGRET</v>
      </c>
      <c r="AD1231" s="321" t="str">
        <f t="shared" si="590"/>
        <v>X-AYGRES</v>
      </c>
      <c r="AE1231" s="321" t="str">
        <f t="shared" si="591"/>
        <v>X-AYGREX</v>
      </c>
      <c r="AF1231" s="321" t="str">
        <f t="shared" si="592"/>
        <v>X-AYGREA</v>
      </c>
      <c r="AG1231" s="321">
        <f t="shared" si="604"/>
        <v>4</v>
      </c>
      <c r="AH1231" s="321">
        <f>IF(B1231&lt;&gt;"",IF(H1231="x",VLOOKUP(I1231,'AUX-NIV3'!B:AG,32,FALSE),0),"")</f>
        <v>0</v>
      </c>
      <c r="AI1231" s="321" t="str">
        <f t="shared" si="593"/>
        <v>X-AYGRE</v>
      </c>
      <c r="AJ1231" s="320"/>
      <c r="AK1231" s="322">
        <f t="shared" si="605"/>
        <v>1230</v>
      </c>
      <c r="AL1231" s="323">
        <f t="shared" si="594"/>
        <v>1233</v>
      </c>
      <c r="AM1231" s="322">
        <f t="shared" si="595"/>
        <v>2</v>
      </c>
      <c r="AN1231" s="380">
        <f>IF(AND(AH1231&gt;0,B1231&lt;&gt;""),VLOOKUP(I1231,'AUX-NIV3'!$B:$AO,39,FALSE)*O1231,0)</f>
        <v>0</v>
      </c>
      <c r="AO1231" s="380">
        <f t="shared" si="606"/>
        <v>5</v>
      </c>
      <c r="AP1231" s="380"/>
    </row>
    <row r="1232" spans="2:42">
      <c r="B1232" s="501" t="s">
        <v>3262</v>
      </c>
      <c r="C1232" s="951" t="s">
        <v>3260</v>
      </c>
      <c r="D1232" s="326" t="s">
        <v>2938</v>
      </c>
      <c r="E1232" s="327">
        <f>IF(B1232&lt;&gt;"",SUMIF('AUX-NIV1'!I:I,'AUX-NIV2'!B1232,'AUX-NIV1'!Q:Q),"")</f>
        <v>0.9</v>
      </c>
      <c r="F1232" s="327">
        <f t="shared" si="596"/>
        <v>2498.6725181930856</v>
      </c>
      <c r="G1232" s="327">
        <f t="shared" si="597"/>
        <v>2248.8052663737772</v>
      </c>
      <c r="H1232" s="328" t="str">
        <f t="shared" si="611"/>
        <v>A</v>
      </c>
      <c r="I1232" s="325" t="s">
        <v>3310</v>
      </c>
      <c r="J1232" s="329" t="str">
        <f>IF(B1232&lt;&gt;"",+VLOOKUP(I1232,Recursos!C:F,2,FALSE),"")</f>
        <v>OFICIAL ESPECIALIZADO</v>
      </c>
      <c r="K1232" s="330" t="str">
        <f>IF(B1232&lt;&gt;"",+VLOOKUP(I1232,Recursos!C:F,3,FALSE),"")</f>
        <v>hh</v>
      </c>
      <c r="L1232" s="446">
        <f>IF(B1232&lt;&gt;"",+VLOOKUP(I1232,Recursos!C:F,4,FALSE),"")</f>
        <v>581.06120476836554</v>
      </c>
      <c r="M1232" s="928"/>
      <c r="N1232" s="931">
        <v>1</v>
      </c>
      <c r="O1232" s="449">
        <f>N1232*M1230</f>
        <v>1.25</v>
      </c>
      <c r="P1232" s="333">
        <f t="shared" si="612"/>
        <v>726.32650596045687</v>
      </c>
      <c r="Q1232" s="327">
        <f t="shared" si="613"/>
        <v>1.125</v>
      </c>
      <c r="R1232" s="334">
        <f t="shared" si="614"/>
        <v>653.69385536441121</v>
      </c>
      <c r="S1232" s="335">
        <f t="shared" si="598"/>
        <v>2403.6725181930856</v>
      </c>
      <c r="T1232" s="335">
        <f t="shared" si="599"/>
        <v>0</v>
      </c>
      <c r="U1232" s="336">
        <f t="shared" si="600"/>
        <v>95</v>
      </c>
      <c r="V1232" s="336">
        <f t="shared" si="601"/>
        <v>0</v>
      </c>
      <c r="W1232" s="336">
        <f t="shared" si="602"/>
        <v>0</v>
      </c>
      <c r="X1232" s="336">
        <f t="shared" si="603"/>
        <v>0</v>
      </c>
      <c r="Y1232" s="320"/>
      <c r="Z1232" s="321" t="str">
        <f t="shared" si="586"/>
        <v>X-AYGREA</v>
      </c>
      <c r="AA1232" s="321" t="str">
        <f t="shared" si="587"/>
        <v>X-AYGREE</v>
      </c>
      <c r="AB1232" s="321" t="str">
        <f t="shared" si="588"/>
        <v>X-AYGREM</v>
      </c>
      <c r="AC1232" s="321" t="str">
        <f t="shared" si="589"/>
        <v>X-AYGRET</v>
      </c>
      <c r="AD1232" s="321" t="str">
        <f t="shared" si="590"/>
        <v>X-AYGRES</v>
      </c>
      <c r="AE1232" s="321" t="str">
        <f t="shared" si="591"/>
        <v>X-AYGREX</v>
      </c>
      <c r="AF1232" s="321" t="str">
        <f t="shared" si="592"/>
        <v>X-AYGREA</v>
      </c>
      <c r="AG1232" s="321">
        <f t="shared" si="604"/>
        <v>4</v>
      </c>
      <c r="AH1232" s="321">
        <f>IF(B1232&lt;&gt;"",IF(H1232="x",VLOOKUP(I1232,'AUX-NIV3'!B:AG,32,FALSE),0),"")</f>
        <v>0</v>
      </c>
      <c r="AI1232" s="321" t="str">
        <f t="shared" si="593"/>
        <v>X-AYGRE</v>
      </c>
      <c r="AJ1232" s="320"/>
      <c r="AK1232" s="322">
        <f t="shared" si="605"/>
        <v>1230</v>
      </c>
      <c r="AL1232" s="323">
        <f t="shared" si="594"/>
        <v>1233</v>
      </c>
      <c r="AM1232" s="322">
        <f t="shared" si="595"/>
        <v>3</v>
      </c>
      <c r="AN1232" s="380">
        <f>IF(AND(AH1232&gt;0,B1232&lt;&gt;""),VLOOKUP(I1232,'AUX-NIV3'!$B:$AO,39,FALSE)*O1232,0)</f>
        <v>0</v>
      </c>
      <c r="AO1232" s="380">
        <f t="shared" si="606"/>
        <v>5</v>
      </c>
      <c r="AP1232" s="380"/>
    </row>
    <row r="1233" spans="2:42" ht="13.8" thickBot="1">
      <c r="B1233" s="501" t="s">
        <v>3262</v>
      </c>
      <c r="C1233" s="951" t="s">
        <v>3260</v>
      </c>
      <c r="D1233" s="326" t="s">
        <v>2938</v>
      </c>
      <c r="E1233" s="327">
        <f>IF(B1233&lt;&gt;"",SUMIF('AUX-NIV1'!I:I,'AUX-NIV2'!B1233,'AUX-NIV1'!Q:Q),"")</f>
        <v>0.9</v>
      </c>
      <c r="F1233" s="327">
        <f t="shared" si="596"/>
        <v>2498.6725181930856</v>
      </c>
      <c r="G1233" s="327">
        <f t="shared" si="597"/>
        <v>2248.8052663737772</v>
      </c>
      <c r="H1233" s="328" t="str">
        <f t="shared" si="611"/>
        <v>M</v>
      </c>
      <c r="I1233" s="325" t="s">
        <v>621</v>
      </c>
      <c r="J1233" s="329" t="str">
        <f>IF(B1233&lt;&gt;"",+VLOOKUP(I1233,Recursos!C:F,2,FALSE),"")</f>
        <v>MATERIALES VARIOS</v>
      </c>
      <c r="K1233" s="330" t="str">
        <f>IF(B1233&lt;&gt;"",+VLOOKUP(I1233,Recursos!C:F,3,FALSE),"")</f>
        <v>GL</v>
      </c>
      <c r="L1233" s="446">
        <f>IF(B1233&lt;&gt;"",+VLOOKUP(I1233,Recursos!C:F,4,FALSE),"")</f>
        <v>0.5</v>
      </c>
      <c r="M1233" s="1626"/>
      <c r="N1233" s="1627">
        <f>1900*10%</f>
        <v>190</v>
      </c>
      <c r="O1233" s="449">
        <f>N1233</f>
        <v>190</v>
      </c>
      <c r="P1233" s="333">
        <f t="shared" si="612"/>
        <v>95</v>
      </c>
      <c r="Q1233" s="327">
        <f t="shared" si="613"/>
        <v>171</v>
      </c>
      <c r="R1233" s="334">
        <f t="shared" si="614"/>
        <v>85.5</v>
      </c>
      <c r="S1233" s="335">
        <f t="shared" si="598"/>
        <v>2403.6725181930856</v>
      </c>
      <c r="T1233" s="335">
        <f t="shared" si="599"/>
        <v>0</v>
      </c>
      <c r="U1233" s="336">
        <f t="shared" si="600"/>
        <v>95</v>
      </c>
      <c r="V1233" s="336">
        <f t="shared" si="601"/>
        <v>0</v>
      </c>
      <c r="W1233" s="336">
        <f t="shared" si="602"/>
        <v>0</v>
      </c>
      <c r="X1233" s="336">
        <f t="shared" si="603"/>
        <v>0</v>
      </c>
      <c r="Y1233" s="320"/>
      <c r="Z1233" s="321" t="str">
        <f t="shared" si="586"/>
        <v>X-AYGREA</v>
      </c>
      <c r="AA1233" s="321" t="str">
        <f t="shared" si="587"/>
        <v>X-AYGREE</v>
      </c>
      <c r="AB1233" s="321" t="str">
        <f t="shared" si="588"/>
        <v>X-AYGREM</v>
      </c>
      <c r="AC1233" s="321" t="str">
        <f t="shared" si="589"/>
        <v>X-AYGRET</v>
      </c>
      <c r="AD1233" s="321" t="str">
        <f t="shared" si="590"/>
        <v>X-AYGRES</v>
      </c>
      <c r="AE1233" s="321" t="str">
        <f t="shared" si="591"/>
        <v>X-AYGREX</v>
      </c>
      <c r="AF1233" s="321" t="str">
        <f t="shared" si="592"/>
        <v>X-AYGREM</v>
      </c>
      <c r="AG1233" s="321">
        <f t="shared" si="604"/>
        <v>4</v>
      </c>
      <c r="AH1233" s="321">
        <f>IF(B1233&lt;&gt;"",IF(H1233="x",VLOOKUP(I1233,'AUX-NIV3'!B:AG,32,FALSE),0),"")</f>
        <v>0</v>
      </c>
      <c r="AI1233" s="321" t="str">
        <f t="shared" si="593"/>
        <v>X-AYGRE</v>
      </c>
      <c r="AJ1233" s="320"/>
      <c r="AK1233" s="322">
        <f t="shared" si="605"/>
        <v>1230</v>
      </c>
      <c r="AL1233" s="323">
        <f t="shared" si="594"/>
        <v>1233</v>
      </c>
      <c r="AM1233" s="322">
        <f t="shared" si="595"/>
        <v>4</v>
      </c>
      <c r="AN1233" s="380">
        <f>IF(AND(AH1233&gt;0,B1233&lt;&gt;""),VLOOKUP(I1233,'AUX-NIV3'!$B:$AO,39,FALSE)*O1233,0)</f>
        <v>0</v>
      </c>
      <c r="AO1233" s="380">
        <f t="shared" si="606"/>
        <v>5</v>
      </c>
      <c r="AP1233" s="380"/>
    </row>
    <row r="1234" spans="2:42" ht="13.8" hidden="1" thickTop="1">
      <c r="B1234" s="501" t="s">
        <v>3263</v>
      </c>
      <c r="C1234" s="951" t="s">
        <v>3261</v>
      </c>
      <c r="D1234" s="326" t="s">
        <v>2938</v>
      </c>
      <c r="E1234" s="327">
        <f>IF(B1234&lt;&gt;"",SUMIF('AUX-NIV1'!I:I,'AUX-NIV2'!B1234,'AUX-NIV1'!Q:Q),"")</f>
        <v>0</v>
      </c>
      <c r="F1234" s="327">
        <f t="shared" si="596"/>
        <v>122.53990250398186</v>
      </c>
      <c r="G1234" s="327">
        <f t="shared" si="597"/>
        <v>0</v>
      </c>
      <c r="H1234" s="328" t="str">
        <f t="shared" ref="H1234:H1238" si="615">IF(B1234&lt;&gt;"",+LEFT(I1234,1),"")</f>
        <v>A</v>
      </c>
      <c r="I1234" s="325" t="s">
        <v>1745</v>
      </c>
      <c r="J1234" s="329" t="str">
        <f>IF(B1234&lt;&gt;"",+VLOOKUP(I1234,Recursos!C:F,2,FALSE),"")</f>
        <v>AYUDANTE</v>
      </c>
      <c r="K1234" s="330" t="str">
        <f>IF(B1234&lt;&gt;"",+VLOOKUP(I1234,Recursos!C:F,3,FALSE),"")</f>
        <v>hh</v>
      </c>
      <c r="L1234" s="446">
        <f>IF(B1234&lt;&gt;"",+VLOOKUP(I1234,Recursos!C:F,4,FALSE),"")</f>
        <v>422.48042769667234</v>
      </c>
      <c r="M1234" s="940"/>
      <c r="N1234" s="941"/>
      <c r="O1234" s="939">
        <f>N1235/M1235</f>
        <v>2.0833333333333332E-2</v>
      </c>
      <c r="P1234" s="333">
        <f t="shared" ref="P1234:P1238" si="616">IF(B1234&lt;&gt;"",O1234*L1234,"")</f>
        <v>8.8016755770140058</v>
      </c>
      <c r="Q1234" s="327">
        <f t="shared" ref="Q1234:Q1238" si="617">IF(B1234&lt;&gt;"",+O1234*E1234,"")</f>
        <v>0</v>
      </c>
      <c r="R1234" s="334">
        <f t="shared" ref="R1234:R1238" si="618">IF(B1234&lt;&gt;"",Q1234*L1234,"")</f>
        <v>0</v>
      </c>
      <c r="S1234" s="335">
        <f t="shared" si="598"/>
        <v>31.259533059537418</v>
      </c>
      <c r="T1234" s="335">
        <f t="shared" si="599"/>
        <v>91.280369444444432</v>
      </c>
      <c r="U1234" s="336">
        <f t="shared" si="600"/>
        <v>0</v>
      </c>
      <c r="V1234" s="336">
        <f t="shared" si="601"/>
        <v>0</v>
      </c>
      <c r="W1234" s="336">
        <f t="shared" si="602"/>
        <v>0</v>
      </c>
      <c r="X1234" s="336">
        <f t="shared" si="603"/>
        <v>0</v>
      </c>
      <c r="Y1234" s="320"/>
      <c r="Z1234" s="321" t="str">
        <f t="shared" si="586"/>
        <v>X-EXCCARA</v>
      </c>
      <c r="AA1234" s="321" t="str">
        <f t="shared" si="587"/>
        <v>X-EXCCARE</v>
      </c>
      <c r="AB1234" s="321" t="str">
        <f t="shared" si="588"/>
        <v>X-EXCCARM</v>
      </c>
      <c r="AC1234" s="321" t="str">
        <f t="shared" si="589"/>
        <v>X-EXCCART</v>
      </c>
      <c r="AD1234" s="321" t="str">
        <f t="shared" si="590"/>
        <v>X-EXCCARS</v>
      </c>
      <c r="AE1234" s="321" t="str">
        <f t="shared" si="591"/>
        <v>X-EXCCARX</v>
      </c>
      <c r="AF1234" s="321" t="str">
        <f t="shared" si="592"/>
        <v>X-EXCCARA</v>
      </c>
      <c r="AG1234" s="321">
        <f t="shared" si="604"/>
        <v>5</v>
      </c>
      <c r="AH1234" s="321">
        <f>IF(B1234&lt;&gt;"",IF(H1234="x",VLOOKUP(I1234,'AUX-NIV3'!B:AG,32,FALSE),0),"")</f>
        <v>0</v>
      </c>
      <c r="AI1234" s="321" t="str">
        <f t="shared" si="593"/>
        <v>X-EXCCAR</v>
      </c>
      <c r="AJ1234" s="320"/>
      <c r="AK1234" s="322">
        <f t="shared" si="605"/>
        <v>1234</v>
      </c>
      <c r="AL1234" s="323">
        <f t="shared" si="594"/>
        <v>1238</v>
      </c>
      <c r="AM1234" s="322">
        <f t="shared" si="595"/>
        <v>1</v>
      </c>
      <c r="AN1234" s="380">
        <f>IF(AND(AH1234&gt;0,B1234&lt;&gt;""),VLOOKUP(I1234,'AUX-NIV3'!$B:$AO,39,FALSE)*O1234,0)</f>
        <v>0</v>
      </c>
      <c r="AO1234" s="380">
        <f t="shared" si="606"/>
        <v>6.25E-2</v>
      </c>
      <c r="AP1234" s="380"/>
    </row>
    <row r="1235" spans="2:42" ht="14.4" hidden="1" thickTop="1" thickBot="1">
      <c r="B1235" s="501" t="s">
        <v>3263</v>
      </c>
      <c r="C1235" s="951" t="s">
        <v>3261</v>
      </c>
      <c r="D1235" s="326" t="s">
        <v>2938</v>
      </c>
      <c r="E1235" s="327">
        <f>IF(B1235&lt;&gt;"",SUMIF('AUX-NIV1'!I:I,'AUX-NIV2'!B1235,'AUX-NIV1'!Q:Q),"")</f>
        <v>0</v>
      </c>
      <c r="F1235" s="327">
        <f t="shared" si="596"/>
        <v>122.53990250398186</v>
      </c>
      <c r="G1235" s="327">
        <f t="shared" si="597"/>
        <v>0</v>
      </c>
      <c r="H1235" s="328" t="str">
        <f t="shared" si="615"/>
        <v>A</v>
      </c>
      <c r="I1235" s="325" t="s">
        <v>3311</v>
      </c>
      <c r="J1235" s="329" t="str">
        <f>IF(B1235&lt;&gt;"",+VLOOKUP(I1235,Recursos!C:F,2,FALSE),"")</f>
        <v>OPER. EQUIPO</v>
      </c>
      <c r="K1235" s="330" t="str">
        <f>IF(B1235&lt;&gt;"",+VLOOKUP(I1235,Recursos!C:F,3,FALSE),"")</f>
        <v>hh</v>
      </c>
      <c r="L1235" s="446">
        <f>IF(B1235&lt;&gt;"",+VLOOKUP(I1235,Recursos!C:F,4,FALSE),"")</f>
        <v>581.06120476836554</v>
      </c>
      <c r="M1235" s="942">
        <v>60</v>
      </c>
      <c r="N1235" s="943">
        <v>1.25</v>
      </c>
      <c r="O1235" s="939">
        <f>1/M1235*N1235</f>
        <v>2.0833333333333332E-2</v>
      </c>
      <c r="P1235" s="333">
        <f t="shared" si="616"/>
        <v>12.105441766007615</v>
      </c>
      <c r="Q1235" s="327">
        <f t="shared" si="617"/>
        <v>0</v>
      </c>
      <c r="R1235" s="334">
        <f t="shared" si="618"/>
        <v>0</v>
      </c>
      <c r="S1235" s="335">
        <f t="shared" si="598"/>
        <v>31.259533059537418</v>
      </c>
      <c r="T1235" s="335">
        <f t="shared" si="599"/>
        <v>91.280369444444432</v>
      </c>
      <c r="U1235" s="336">
        <f t="shared" si="600"/>
        <v>0</v>
      </c>
      <c r="V1235" s="336">
        <f t="shared" si="601"/>
        <v>0</v>
      </c>
      <c r="W1235" s="336">
        <f t="shared" si="602"/>
        <v>0</v>
      </c>
      <c r="X1235" s="336">
        <f t="shared" si="603"/>
        <v>0</v>
      </c>
      <c r="Y1235" s="320"/>
      <c r="Z1235" s="321" t="str">
        <f t="shared" si="586"/>
        <v>X-EXCCARA</v>
      </c>
      <c r="AA1235" s="321" t="str">
        <f t="shared" si="587"/>
        <v>X-EXCCARE</v>
      </c>
      <c r="AB1235" s="321" t="str">
        <f t="shared" si="588"/>
        <v>X-EXCCARM</v>
      </c>
      <c r="AC1235" s="321" t="str">
        <f t="shared" si="589"/>
        <v>X-EXCCART</v>
      </c>
      <c r="AD1235" s="321" t="str">
        <f t="shared" si="590"/>
        <v>X-EXCCARS</v>
      </c>
      <c r="AE1235" s="321" t="str">
        <f t="shared" si="591"/>
        <v>X-EXCCARX</v>
      </c>
      <c r="AF1235" s="321" t="str">
        <f t="shared" si="592"/>
        <v>X-EXCCARA</v>
      </c>
      <c r="AG1235" s="321">
        <f t="shared" si="604"/>
        <v>5</v>
      </c>
      <c r="AH1235" s="321">
        <f>IF(B1235&lt;&gt;"",IF(H1235="x",VLOOKUP(I1235,'AUX-NIV3'!B:AG,32,FALSE),0),"")</f>
        <v>0</v>
      </c>
      <c r="AI1235" s="321" t="str">
        <f t="shared" si="593"/>
        <v>X-EXCCAR</v>
      </c>
      <c r="AJ1235" s="320"/>
      <c r="AK1235" s="322">
        <f t="shared" si="605"/>
        <v>1234</v>
      </c>
      <c r="AL1235" s="323">
        <f t="shared" si="594"/>
        <v>1238</v>
      </c>
      <c r="AM1235" s="322">
        <f t="shared" si="595"/>
        <v>2</v>
      </c>
      <c r="AN1235" s="380">
        <f>IF(AND(AH1235&gt;0,B1235&lt;&gt;""),VLOOKUP(I1235,'AUX-NIV3'!$B:$AO,39,FALSE)*O1235,0)</f>
        <v>0</v>
      </c>
      <c r="AO1235" s="380">
        <f t="shared" si="606"/>
        <v>6.25E-2</v>
      </c>
      <c r="AP1235" s="380"/>
    </row>
    <row r="1236" spans="2:42" ht="14.4" hidden="1" thickTop="1" thickBot="1">
      <c r="B1236" s="501" t="s">
        <v>3263</v>
      </c>
      <c r="C1236" s="951" t="s">
        <v>3261</v>
      </c>
      <c r="D1236" s="326" t="s">
        <v>2938</v>
      </c>
      <c r="E1236" s="327">
        <f>IF(B1236&lt;&gt;"",SUMIF('AUX-NIV1'!I:I,'AUX-NIV2'!B1236,'AUX-NIV1'!Q:Q),"")</f>
        <v>0</v>
      </c>
      <c r="F1236" s="327">
        <f t="shared" si="596"/>
        <v>122.53990250398186</v>
      </c>
      <c r="G1236" s="327">
        <f t="shared" si="597"/>
        <v>0</v>
      </c>
      <c r="H1236" s="328" t="str">
        <f t="shared" si="615"/>
        <v>A</v>
      </c>
      <c r="I1236" s="325" t="s">
        <v>3312</v>
      </c>
      <c r="J1236" s="329" t="str">
        <f>IF(B1236&lt;&gt;"",+VLOOKUP(I1236,Recursos!C:F,2,FALSE),"")</f>
        <v>CHOFER</v>
      </c>
      <c r="K1236" s="330" t="str">
        <f>IF(B1236&lt;&gt;"",+VLOOKUP(I1236,Recursos!C:F,3,FALSE),"")</f>
        <v>hh</v>
      </c>
      <c r="L1236" s="446">
        <f>IF(B1236&lt;&gt;"",+VLOOKUP(I1236,Recursos!C:F,4,FALSE),"")</f>
        <v>496.91595439275824</v>
      </c>
      <c r="M1236" s="944"/>
      <c r="N1236" s="945"/>
      <c r="O1236" s="939">
        <f>N1235/M1235</f>
        <v>2.0833333333333332E-2</v>
      </c>
      <c r="P1236" s="333">
        <f t="shared" si="616"/>
        <v>10.352415716515797</v>
      </c>
      <c r="Q1236" s="327">
        <f t="shared" si="617"/>
        <v>0</v>
      </c>
      <c r="R1236" s="334">
        <f t="shared" si="618"/>
        <v>0</v>
      </c>
      <c r="S1236" s="335">
        <f t="shared" si="598"/>
        <v>31.259533059537418</v>
      </c>
      <c r="T1236" s="335">
        <f t="shared" si="599"/>
        <v>91.280369444444432</v>
      </c>
      <c r="U1236" s="336">
        <f t="shared" si="600"/>
        <v>0</v>
      </c>
      <c r="V1236" s="336">
        <f t="shared" si="601"/>
        <v>0</v>
      </c>
      <c r="W1236" s="336">
        <f t="shared" si="602"/>
        <v>0</v>
      </c>
      <c r="X1236" s="336">
        <f t="shared" si="603"/>
        <v>0</v>
      </c>
      <c r="Y1236" s="320"/>
      <c r="Z1236" s="321" t="str">
        <f t="shared" si="586"/>
        <v>X-EXCCARA</v>
      </c>
      <c r="AA1236" s="321" t="str">
        <f t="shared" si="587"/>
        <v>X-EXCCARE</v>
      </c>
      <c r="AB1236" s="321" t="str">
        <f t="shared" si="588"/>
        <v>X-EXCCARM</v>
      </c>
      <c r="AC1236" s="321" t="str">
        <f t="shared" si="589"/>
        <v>X-EXCCART</v>
      </c>
      <c r="AD1236" s="321" t="str">
        <f t="shared" si="590"/>
        <v>X-EXCCARS</v>
      </c>
      <c r="AE1236" s="321" t="str">
        <f t="shared" si="591"/>
        <v>X-EXCCARX</v>
      </c>
      <c r="AF1236" s="321" t="str">
        <f t="shared" si="592"/>
        <v>X-EXCCARA</v>
      </c>
      <c r="AG1236" s="321">
        <f t="shared" si="604"/>
        <v>5</v>
      </c>
      <c r="AH1236" s="321">
        <f>IF(B1236&lt;&gt;"",IF(H1236="x",VLOOKUP(I1236,'AUX-NIV3'!B:AG,32,FALSE),0),"")</f>
        <v>0</v>
      </c>
      <c r="AI1236" s="321" t="str">
        <f t="shared" si="593"/>
        <v>X-EXCCAR</v>
      </c>
      <c r="AJ1236" s="320"/>
      <c r="AK1236" s="322">
        <f t="shared" si="605"/>
        <v>1234</v>
      </c>
      <c r="AL1236" s="323">
        <f t="shared" si="594"/>
        <v>1238</v>
      </c>
      <c r="AM1236" s="322">
        <f t="shared" si="595"/>
        <v>3</v>
      </c>
      <c r="AN1236" s="380">
        <f>IF(AND(AH1236&gt;0,B1236&lt;&gt;""),VLOOKUP(I1236,'AUX-NIV3'!$B:$AO,39,FALSE)*O1236,0)</f>
        <v>0</v>
      </c>
      <c r="AO1236" s="380">
        <f t="shared" si="606"/>
        <v>6.25E-2</v>
      </c>
      <c r="AP1236" s="380"/>
    </row>
    <row r="1237" spans="2:42" ht="14.4" hidden="1" thickTop="1" thickBot="1">
      <c r="B1237" s="501" t="s">
        <v>3263</v>
      </c>
      <c r="C1237" s="951" t="s">
        <v>3261</v>
      </c>
      <c r="D1237" s="326" t="s">
        <v>2938</v>
      </c>
      <c r="E1237" s="327">
        <f>IF(B1237&lt;&gt;"",SUMIF('AUX-NIV1'!I:I,'AUX-NIV2'!B1237,'AUX-NIV1'!Q:Q),"")</f>
        <v>0</v>
      </c>
      <c r="F1237" s="327">
        <f t="shared" si="596"/>
        <v>122.53990250398186</v>
      </c>
      <c r="G1237" s="327">
        <f t="shared" si="597"/>
        <v>0</v>
      </c>
      <c r="H1237" s="328" t="str">
        <f t="shared" si="615"/>
        <v>E</v>
      </c>
      <c r="I1237" s="325" t="s">
        <v>1541</v>
      </c>
      <c r="J1237" s="329" t="str">
        <f>IF(B1237&lt;&gt;"",+VLOOKUP(I1237,Recursos!C:F,2,FALSE),"")</f>
        <v>CARGADOR FRONTAL S/NEUM. (1,60 M3)</v>
      </c>
      <c r="K1237" s="330" t="str">
        <f>IF(B1237&lt;&gt;"",+VLOOKUP(I1237,Recursos!C:F,3,FALSE),"")</f>
        <v>HR</v>
      </c>
      <c r="L1237" s="446">
        <f>IF(B1237&lt;&gt;"",+VLOOKUP(I1237,Recursos!C:F,4,FALSE),"")</f>
        <v>2143.5611666666664</v>
      </c>
      <c r="M1237" s="944"/>
      <c r="N1237" s="945"/>
      <c r="O1237" s="939">
        <f>1/M1235</f>
        <v>1.6666666666666666E-2</v>
      </c>
      <c r="P1237" s="333">
        <f t="shared" si="616"/>
        <v>35.726019444444439</v>
      </c>
      <c r="Q1237" s="327">
        <f t="shared" si="617"/>
        <v>0</v>
      </c>
      <c r="R1237" s="334">
        <f t="shared" si="618"/>
        <v>0</v>
      </c>
      <c r="S1237" s="335">
        <f t="shared" si="598"/>
        <v>31.259533059537418</v>
      </c>
      <c r="T1237" s="335">
        <f t="shared" si="599"/>
        <v>91.280369444444432</v>
      </c>
      <c r="U1237" s="336">
        <f t="shared" si="600"/>
        <v>0</v>
      </c>
      <c r="V1237" s="336">
        <f t="shared" si="601"/>
        <v>0</v>
      </c>
      <c r="W1237" s="336">
        <f t="shared" si="602"/>
        <v>0</v>
      </c>
      <c r="X1237" s="336">
        <f t="shared" si="603"/>
        <v>0</v>
      </c>
      <c r="Y1237" s="320"/>
      <c r="Z1237" s="321" t="str">
        <f t="shared" si="586"/>
        <v>X-EXCCARA</v>
      </c>
      <c r="AA1237" s="321" t="str">
        <f t="shared" si="587"/>
        <v>X-EXCCARE</v>
      </c>
      <c r="AB1237" s="321" t="str">
        <f t="shared" si="588"/>
        <v>X-EXCCARM</v>
      </c>
      <c r="AC1237" s="321" t="str">
        <f t="shared" si="589"/>
        <v>X-EXCCART</v>
      </c>
      <c r="AD1237" s="321" t="str">
        <f t="shared" si="590"/>
        <v>X-EXCCARS</v>
      </c>
      <c r="AE1237" s="321" t="str">
        <f t="shared" si="591"/>
        <v>X-EXCCARX</v>
      </c>
      <c r="AF1237" s="321" t="str">
        <f t="shared" si="592"/>
        <v>X-EXCCARE</v>
      </c>
      <c r="AG1237" s="321">
        <f t="shared" si="604"/>
        <v>5</v>
      </c>
      <c r="AH1237" s="321">
        <f>IF(B1237&lt;&gt;"",IF(H1237="x",VLOOKUP(I1237,'AUX-NIV3'!B:AG,32,FALSE),0),"")</f>
        <v>0</v>
      </c>
      <c r="AI1237" s="321" t="str">
        <f t="shared" si="593"/>
        <v>X-EXCCAR</v>
      </c>
      <c r="AJ1237" s="320"/>
      <c r="AK1237" s="322">
        <f t="shared" si="605"/>
        <v>1234</v>
      </c>
      <c r="AL1237" s="323">
        <f t="shared" si="594"/>
        <v>1238</v>
      </c>
      <c r="AM1237" s="322">
        <f t="shared" si="595"/>
        <v>4</v>
      </c>
      <c r="AN1237" s="380">
        <f>IF(AND(AH1237&gt;0,B1237&lt;&gt;""),VLOOKUP(I1237,'AUX-NIV3'!$B:$AO,39,FALSE)*O1237,0)</f>
        <v>0</v>
      </c>
      <c r="AO1237" s="380">
        <f t="shared" si="606"/>
        <v>6.25E-2</v>
      </c>
      <c r="AP1237" s="380"/>
    </row>
    <row r="1238" spans="2:42" ht="14.4" hidden="1" thickTop="1" thickBot="1">
      <c r="B1238" s="501" t="s">
        <v>3263</v>
      </c>
      <c r="C1238" s="951" t="s">
        <v>3261</v>
      </c>
      <c r="D1238" s="326" t="s">
        <v>2938</v>
      </c>
      <c r="E1238" s="327">
        <f>IF(B1238&lt;&gt;"",SUMIF('AUX-NIV1'!I:I,'AUX-NIV2'!B1238,'AUX-NIV1'!Q:Q),"")</f>
        <v>0</v>
      </c>
      <c r="F1238" s="327">
        <f t="shared" si="596"/>
        <v>122.53990250398186</v>
      </c>
      <c r="G1238" s="327">
        <f t="shared" si="597"/>
        <v>0</v>
      </c>
      <c r="H1238" s="328" t="str">
        <f t="shared" si="615"/>
        <v>E</v>
      </c>
      <c r="I1238" s="325" t="s">
        <v>1555</v>
      </c>
      <c r="J1238" s="329" t="str">
        <f>IF(B1238&lt;&gt;"",+VLOOKUP(I1238,Recursos!C:F,2,FALSE),"")</f>
        <v>CAMION VOLCADOR 6x4 CAP. 24 T=15 m3</v>
      </c>
      <c r="K1238" s="330" t="str">
        <f>IF(B1238&lt;&gt;"",+VLOOKUP(I1238,Recursos!C:F,3,FALSE),"")</f>
        <v>HR</v>
      </c>
      <c r="L1238" s="446">
        <f>IF(B1238&lt;&gt;"",+VLOOKUP(I1238,Recursos!C:F,4,FALSE),"")</f>
        <v>3333.261</v>
      </c>
      <c r="M1238" s="946"/>
      <c r="N1238" s="947"/>
      <c r="O1238" s="939">
        <f>1/M1235</f>
        <v>1.6666666666666666E-2</v>
      </c>
      <c r="P1238" s="333">
        <f t="shared" si="616"/>
        <v>55.554349999999999</v>
      </c>
      <c r="Q1238" s="327">
        <f t="shared" si="617"/>
        <v>0</v>
      </c>
      <c r="R1238" s="334">
        <f t="shared" si="618"/>
        <v>0</v>
      </c>
      <c r="S1238" s="335">
        <f t="shared" si="598"/>
        <v>31.259533059537418</v>
      </c>
      <c r="T1238" s="335">
        <f t="shared" si="599"/>
        <v>91.280369444444432</v>
      </c>
      <c r="U1238" s="336">
        <f t="shared" si="600"/>
        <v>0</v>
      </c>
      <c r="V1238" s="336">
        <f t="shared" si="601"/>
        <v>0</v>
      </c>
      <c r="W1238" s="336">
        <f t="shared" si="602"/>
        <v>0</v>
      </c>
      <c r="X1238" s="336">
        <f t="shared" si="603"/>
        <v>0</v>
      </c>
      <c r="Y1238" s="320"/>
      <c r="Z1238" s="321" t="str">
        <f t="shared" si="586"/>
        <v>X-EXCCARA</v>
      </c>
      <c r="AA1238" s="321" t="str">
        <f t="shared" si="587"/>
        <v>X-EXCCARE</v>
      </c>
      <c r="AB1238" s="321" t="str">
        <f t="shared" si="588"/>
        <v>X-EXCCARM</v>
      </c>
      <c r="AC1238" s="321" t="str">
        <f t="shared" si="589"/>
        <v>X-EXCCART</v>
      </c>
      <c r="AD1238" s="321" t="str">
        <f t="shared" si="590"/>
        <v>X-EXCCARS</v>
      </c>
      <c r="AE1238" s="321" t="str">
        <f t="shared" si="591"/>
        <v>X-EXCCARX</v>
      </c>
      <c r="AF1238" s="321" t="str">
        <f t="shared" si="592"/>
        <v>X-EXCCARE</v>
      </c>
      <c r="AG1238" s="321">
        <f t="shared" si="604"/>
        <v>5</v>
      </c>
      <c r="AH1238" s="321">
        <f>IF(B1238&lt;&gt;"",IF(H1238="x",VLOOKUP(I1238,'AUX-NIV3'!B:AG,32,FALSE),0),"")</f>
        <v>0</v>
      </c>
      <c r="AI1238" s="321" t="str">
        <f t="shared" si="593"/>
        <v>X-EXCCAR</v>
      </c>
      <c r="AJ1238" s="320"/>
      <c r="AK1238" s="322">
        <f t="shared" si="605"/>
        <v>1234</v>
      </c>
      <c r="AL1238" s="323">
        <f t="shared" si="594"/>
        <v>1238</v>
      </c>
      <c r="AM1238" s="322">
        <f t="shared" si="595"/>
        <v>5</v>
      </c>
      <c r="AN1238" s="380">
        <f>IF(AND(AH1238&gt;0,B1238&lt;&gt;""),VLOOKUP(I1238,'AUX-NIV3'!$B:$AO,39,FALSE)*O1238,0)</f>
        <v>0</v>
      </c>
      <c r="AO1238" s="380">
        <f t="shared" si="606"/>
        <v>6.25E-2</v>
      </c>
      <c r="AP1238" s="380"/>
    </row>
    <row r="1239" spans="2:42" ht="14.4" hidden="1" thickTop="1" thickBot="1">
      <c r="B1239" s="501" t="s">
        <v>3298</v>
      </c>
      <c r="C1239" s="951" t="s">
        <v>3299</v>
      </c>
      <c r="D1239" s="326" t="s">
        <v>2938</v>
      </c>
      <c r="E1239" s="327">
        <f>IF(B1239&lt;&gt;"",SUMIF('AUX-NIV1'!I:I,'AUX-NIV2'!B1239,'AUX-NIV1'!Q:Q),"")</f>
        <v>0</v>
      </c>
      <c r="F1239" s="327">
        <f t="shared" si="596"/>
        <v>3483.1770811625943</v>
      </c>
      <c r="G1239" s="327">
        <f t="shared" si="597"/>
        <v>0</v>
      </c>
      <c r="H1239" s="328" t="str">
        <f t="shared" ref="H1239:H1248" si="619">IF(B1239&lt;&gt;"",+LEFT(I1239,1),"")</f>
        <v>A</v>
      </c>
      <c r="I1239" s="325" t="s">
        <v>1745</v>
      </c>
      <c r="J1239" s="329" t="str">
        <f>IF(B1239&lt;&gt;"",+VLOOKUP(I1239,Recursos!C:F,2,FALSE),"")</f>
        <v>AYUDANTE</v>
      </c>
      <c r="K1239" s="330" t="str">
        <f>IF(B1239&lt;&gt;"",+VLOOKUP(I1239,Recursos!C:F,3,FALSE),"")</f>
        <v>hh</v>
      </c>
      <c r="L1239" s="446">
        <f>IF(B1239&lt;&gt;"",+VLOOKUP(I1239,Recursos!C:F,4,FALSE),"")</f>
        <v>422.48042769667234</v>
      </c>
      <c r="M1239" s="959"/>
      <c r="N1239" s="960">
        <v>2</v>
      </c>
      <c r="O1239" s="449">
        <f>N1239*M1240</f>
        <v>2.5</v>
      </c>
      <c r="P1239" s="333">
        <f t="shared" ref="P1239:P1248" si="620">IF(B1239&lt;&gt;"",O1239*L1239,"")</f>
        <v>1056.2010692416809</v>
      </c>
      <c r="Q1239" s="327">
        <f t="shared" ref="Q1239:Q1248" si="621">IF(B1239&lt;&gt;"",+O1239*E1239,"")</f>
        <v>0</v>
      </c>
      <c r="R1239" s="334">
        <f t="shared" ref="R1239:R1248" si="622">IF(B1239&lt;&gt;"",Q1239*L1239,"")</f>
        <v>0</v>
      </c>
      <c r="S1239" s="335">
        <f t="shared" si="598"/>
        <v>2508.8540811625944</v>
      </c>
      <c r="T1239" s="335">
        <f t="shared" si="599"/>
        <v>974.32299999999998</v>
      </c>
      <c r="U1239" s="336">
        <f t="shared" si="600"/>
        <v>0</v>
      </c>
      <c r="V1239" s="336">
        <f t="shared" si="601"/>
        <v>0</v>
      </c>
      <c r="W1239" s="336">
        <f t="shared" si="602"/>
        <v>0</v>
      </c>
      <c r="X1239" s="336">
        <f t="shared" si="603"/>
        <v>0</v>
      </c>
      <c r="Y1239" s="320"/>
      <c r="Z1239" s="321" t="str">
        <f t="shared" ref="Z1239:Z1289" si="623">IF(B1239&lt;&gt;"",+$B1239&amp;"A","")</f>
        <v>X-CUASOLA</v>
      </c>
      <c r="AA1239" s="321" t="str">
        <f t="shared" ref="AA1239:AA1289" si="624">IF(B1239&lt;&gt;"",+$B1239&amp;"E","")</f>
        <v>X-CUASOLE</v>
      </c>
      <c r="AB1239" s="321" t="str">
        <f t="shared" ref="AB1239:AB1289" si="625">IF(B1239&lt;&gt;"",++$B1239&amp;"M","")</f>
        <v>X-CUASOLM</v>
      </c>
      <c r="AC1239" s="321" t="str">
        <f t="shared" ref="AC1239:AC1289" si="626">IF(B1239&lt;&gt;"",+$B1239&amp;"T","")</f>
        <v>X-CUASOLT</v>
      </c>
      <c r="AD1239" s="321" t="str">
        <f t="shared" ref="AD1239:AD1289" si="627">IF(B1239&lt;&gt;"",+$B1239&amp;"S","")</f>
        <v>X-CUASOLS</v>
      </c>
      <c r="AE1239" s="321" t="str">
        <f t="shared" ref="AE1239:AE1289" si="628">IF(B1239&lt;&gt;"",+$B1239&amp;"X","")</f>
        <v>X-CUASOLX</v>
      </c>
      <c r="AF1239" s="321" t="str">
        <f t="shared" ref="AF1239:AF1289" si="629">IF(B1239&lt;&gt;"",+B1239&amp;H1239,"")</f>
        <v>X-CUASOLA</v>
      </c>
      <c r="AG1239" s="321">
        <f t="shared" si="604"/>
        <v>5</v>
      </c>
      <c r="AH1239" s="321">
        <f>IF(B1239&lt;&gt;"",IF(H1239="x",VLOOKUP(I1239,'AUX-NIV3'!B:AG,32,FALSE),0),"")</f>
        <v>0</v>
      </c>
      <c r="AI1239" s="321" t="str">
        <f t="shared" ref="AI1239:AI1289" si="630">IF(B1239&lt;&gt;"",+B1239,"")</f>
        <v>X-CUASOL</v>
      </c>
      <c r="AJ1239" s="320"/>
      <c r="AK1239" s="322">
        <f t="shared" si="605"/>
        <v>1239</v>
      </c>
      <c r="AL1239" s="323">
        <f t="shared" ref="AL1239:AL1289" si="631">IF(B1239&lt;&gt;"",+AK1239+AG1239-1,"")</f>
        <v>1243</v>
      </c>
      <c r="AM1239" s="322" t="e">
        <f>IF(B1239&lt;&gt;"",IF(B1239=#REF!,1+#REF!,1),"")</f>
        <v>#REF!</v>
      </c>
      <c r="AN1239" s="380">
        <f>IF(AND(AH1239&gt;0,B1239&lt;&gt;""),VLOOKUP(I1239,'AUX-NIV3'!$B:$AO,39,FALSE)*O1239,0)</f>
        <v>0</v>
      </c>
      <c r="AO1239" s="380">
        <f t="shared" si="606"/>
        <v>5</v>
      </c>
      <c r="AP1239" s="380"/>
    </row>
    <row r="1240" spans="2:42" ht="14.4" hidden="1" thickTop="1" thickBot="1">
      <c r="B1240" s="501" t="s">
        <v>3298</v>
      </c>
      <c r="C1240" s="951" t="s">
        <v>3299</v>
      </c>
      <c r="D1240" s="326" t="s">
        <v>2938</v>
      </c>
      <c r="E1240" s="327">
        <f>IF(B1240&lt;&gt;"",SUMIF('AUX-NIV1'!I:I,'AUX-NIV2'!B1240,'AUX-NIV1'!Q:Q),"")</f>
        <v>0</v>
      </c>
      <c r="F1240" s="327">
        <f t="shared" si="596"/>
        <v>3483.1770811625943</v>
      </c>
      <c r="G1240" s="327">
        <f t="shared" si="597"/>
        <v>0</v>
      </c>
      <c r="H1240" s="328" t="str">
        <f t="shared" si="619"/>
        <v>A</v>
      </c>
      <c r="I1240" s="325" t="s">
        <v>3310</v>
      </c>
      <c r="J1240" s="329" t="str">
        <f>IF(B1240&lt;&gt;"",+VLOOKUP(I1240,Recursos!C:F,2,FALSE),"")</f>
        <v>OFICIAL ESPECIALIZADO</v>
      </c>
      <c r="K1240" s="330" t="str">
        <f>IF(B1240&lt;&gt;"",+VLOOKUP(I1240,Recursos!C:F,3,FALSE),"")</f>
        <v>hh</v>
      </c>
      <c r="L1240" s="446">
        <f>IF(B1240&lt;&gt;"",+VLOOKUP(I1240,Recursos!C:F,4,FALSE),"")</f>
        <v>581.06120476836554</v>
      </c>
      <c r="M1240" s="961">
        <v>1.25</v>
      </c>
      <c r="N1240" s="962">
        <v>2</v>
      </c>
      <c r="O1240" s="449">
        <f>N1240*M1240</f>
        <v>2.5</v>
      </c>
      <c r="P1240" s="333">
        <f t="shared" si="620"/>
        <v>1452.6530119209137</v>
      </c>
      <c r="Q1240" s="327">
        <f t="shared" si="621"/>
        <v>0</v>
      </c>
      <c r="R1240" s="334">
        <f t="shared" si="622"/>
        <v>0</v>
      </c>
      <c r="S1240" s="335">
        <f t="shared" si="598"/>
        <v>2508.8540811625944</v>
      </c>
      <c r="T1240" s="335">
        <f t="shared" si="599"/>
        <v>974.32299999999998</v>
      </c>
      <c r="U1240" s="336">
        <f t="shared" si="600"/>
        <v>0</v>
      </c>
      <c r="V1240" s="336">
        <f t="shared" si="601"/>
        <v>0</v>
      </c>
      <c r="W1240" s="336">
        <f t="shared" si="602"/>
        <v>0</v>
      </c>
      <c r="X1240" s="336">
        <f t="shared" si="603"/>
        <v>0</v>
      </c>
      <c r="Y1240" s="320"/>
      <c r="Z1240" s="321" t="str">
        <f t="shared" si="623"/>
        <v>X-CUASOLA</v>
      </c>
      <c r="AA1240" s="321" t="str">
        <f t="shared" si="624"/>
        <v>X-CUASOLE</v>
      </c>
      <c r="AB1240" s="321" t="str">
        <f t="shared" si="625"/>
        <v>X-CUASOLM</v>
      </c>
      <c r="AC1240" s="321" t="str">
        <f t="shared" si="626"/>
        <v>X-CUASOLT</v>
      </c>
      <c r="AD1240" s="321" t="str">
        <f t="shared" si="627"/>
        <v>X-CUASOLS</v>
      </c>
      <c r="AE1240" s="321" t="str">
        <f t="shared" si="628"/>
        <v>X-CUASOLX</v>
      </c>
      <c r="AF1240" s="321" t="str">
        <f t="shared" si="629"/>
        <v>X-CUASOLA</v>
      </c>
      <c r="AG1240" s="321">
        <f t="shared" si="604"/>
        <v>5</v>
      </c>
      <c r="AH1240" s="321">
        <f>IF(B1240&lt;&gt;"",IF(H1240="x",VLOOKUP(I1240,'AUX-NIV3'!B:AG,32,FALSE),0),"")</f>
        <v>0</v>
      </c>
      <c r="AI1240" s="321" t="str">
        <f t="shared" si="630"/>
        <v>X-CUASOL</v>
      </c>
      <c r="AJ1240" s="320"/>
      <c r="AK1240" s="322">
        <f t="shared" si="605"/>
        <v>1239</v>
      </c>
      <c r="AL1240" s="323">
        <f t="shared" si="631"/>
        <v>1243</v>
      </c>
      <c r="AM1240" s="322" t="e">
        <f t="shared" ref="AM1240:AM1289" si="632">IF(B1240&lt;&gt;"",IF(B1240=B1239,1+AM1239,1),"")</f>
        <v>#REF!</v>
      </c>
      <c r="AN1240" s="380">
        <f>IF(AND(AH1240&gt;0,B1240&lt;&gt;""),VLOOKUP(I1240,'AUX-NIV3'!$B:$AO,39,FALSE)*O1240,0)</f>
        <v>0</v>
      </c>
      <c r="AO1240" s="380">
        <f t="shared" si="606"/>
        <v>5</v>
      </c>
      <c r="AP1240" s="380"/>
    </row>
    <row r="1241" spans="2:42" ht="14.4" hidden="1" thickTop="1" thickBot="1">
      <c r="B1241" s="501" t="s">
        <v>3298</v>
      </c>
      <c r="C1241" s="951" t="s">
        <v>3299</v>
      </c>
      <c r="D1241" s="326" t="s">
        <v>2938</v>
      </c>
      <c r="E1241" s="327">
        <f>IF(B1241&lt;&gt;"",SUMIF('AUX-NIV1'!I:I,'AUX-NIV2'!B1241,'AUX-NIV1'!Q:Q),"")</f>
        <v>0</v>
      </c>
      <c r="F1241" s="327">
        <f t="shared" si="596"/>
        <v>3483.1770811625943</v>
      </c>
      <c r="G1241" s="327">
        <f t="shared" si="597"/>
        <v>0</v>
      </c>
      <c r="H1241" s="328" t="str">
        <f t="shared" si="619"/>
        <v>E</v>
      </c>
      <c r="I1241" s="949" t="s">
        <v>1629</v>
      </c>
      <c r="J1241" s="329" t="str">
        <f>IF(B1241&lt;&gt;"",+VLOOKUP(I1241,Recursos!C:F,2,FALSE),"")</f>
        <v>ELECTROSOLDADORA 400 AMP</v>
      </c>
      <c r="K1241" s="330" t="str">
        <f>IF(B1241&lt;&gt;"",+VLOOKUP(I1241,Recursos!C:F,3,FALSE),"")</f>
        <v>HR</v>
      </c>
      <c r="L1241" s="446">
        <f>IF(B1241&lt;&gt;"",+VLOOKUP(I1241,Recursos!C:F,4,FALSE),"")</f>
        <v>122.46000000000001</v>
      </c>
      <c r="M1241" s="963"/>
      <c r="N1241" s="958">
        <v>0.5</v>
      </c>
      <c r="O1241" s="449">
        <f>N1241</f>
        <v>0.5</v>
      </c>
      <c r="P1241" s="333">
        <f t="shared" si="620"/>
        <v>61.230000000000004</v>
      </c>
      <c r="Q1241" s="327">
        <f t="shared" si="621"/>
        <v>0</v>
      </c>
      <c r="R1241" s="334">
        <f t="shared" si="622"/>
        <v>0</v>
      </c>
      <c r="S1241" s="335">
        <f t="shared" si="598"/>
        <v>2508.8540811625944</v>
      </c>
      <c r="T1241" s="335">
        <f t="shared" si="599"/>
        <v>974.32299999999998</v>
      </c>
      <c r="U1241" s="336">
        <f t="shared" si="600"/>
        <v>0</v>
      </c>
      <c r="V1241" s="336">
        <f t="shared" si="601"/>
        <v>0</v>
      </c>
      <c r="W1241" s="336">
        <f t="shared" si="602"/>
        <v>0</v>
      </c>
      <c r="X1241" s="336">
        <f t="shared" si="603"/>
        <v>0</v>
      </c>
      <c r="Y1241" s="320"/>
      <c r="Z1241" s="321" t="str">
        <f t="shared" si="623"/>
        <v>X-CUASOLA</v>
      </c>
      <c r="AA1241" s="321" t="str">
        <f t="shared" si="624"/>
        <v>X-CUASOLE</v>
      </c>
      <c r="AB1241" s="321" t="str">
        <f t="shared" si="625"/>
        <v>X-CUASOLM</v>
      </c>
      <c r="AC1241" s="321" t="str">
        <f t="shared" si="626"/>
        <v>X-CUASOLT</v>
      </c>
      <c r="AD1241" s="321" t="str">
        <f t="shared" si="627"/>
        <v>X-CUASOLS</v>
      </c>
      <c r="AE1241" s="321" t="str">
        <f t="shared" si="628"/>
        <v>X-CUASOLX</v>
      </c>
      <c r="AF1241" s="321" t="str">
        <f t="shared" si="629"/>
        <v>X-CUASOLE</v>
      </c>
      <c r="AG1241" s="321">
        <f t="shared" si="604"/>
        <v>5</v>
      </c>
      <c r="AH1241" s="321">
        <f>IF(B1241&lt;&gt;"",IF(H1241="x",VLOOKUP(I1241,'AUX-NIV3'!B:AG,32,FALSE),0),"")</f>
        <v>0</v>
      </c>
      <c r="AI1241" s="321" t="str">
        <f t="shared" si="630"/>
        <v>X-CUASOL</v>
      </c>
      <c r="AJ1241" s="320"/>
      <c r="AK1241" s="322">
        <f t="shared" si="605"/>
        <v>1239</v>
      </c>
      <c r="AL1241" s="323">
        <f t="shared" si="631"/>
        <v>1243</v>
      </c>
      <c r="AM1241" s="322" t="e">
        <f t="shared" si="632"/>
        <v>#REF!</v>
      </c>
      <c r="AN1241" s="380">
        <f>IF(AND(AH1241&gt;0,B1241&lt;&gt;""),VLOOKUP(I1241,'AUX-NIV3'!$B:$AO,39,FALSE)*O1241,0)</f>
        <v>0</v>
      </c>
      <c r="AO1241" s="380">
        <f t="shared" si="606"/>
        <v>5</v>
      </c>
      <c r="AP1241" s="380"/>
    </row>
    <row r="1242" spans="2:42" ht="14.4" hidden="1" thickTop="1" thickBot="1">
      <c r="B1242" s="501" t="s">
        <v>3298</v>
      </c>
      <c r="C1242" s="951" t="s">
        <v>3299</v>
      </c>
      <c r="D1242" s="326" t="s">
        <v>2938</v>
      </c>
      <c r="E1242" s="327">
        <f>IF(B1242&lt;&gt;"",SUMIF('AUX-NIV1'!I:I,'AUX-NIV2'!B1242,'AUX-NIV1'!Q:Q),"")</f>
        <v>0</v>
      </c>
      <c r="F1242" s="327">
        <f t="shared" si="596"/>
        <v>3483.1770811625943</v>
      </c>
      <c r="G1242" s="327">
        <f t="shared" si="597"/>
        <v>0</v>
      </c>
      <c r="H1242" s="328" t="str">
        <f t="shared" si="619"/>
        <v>E</v>
      </c>
      <c r="I1242" s="949" t="s">
        <v>1585</v>
      </c>
      <c r="J1242" s="329" t="str">
        <f>IF(B1242&lt;&gt;"",+VLOOKUP(I1242,Recursos!C:F,2,FALSE),"")</f>
        <v>GRUPO ELECTROGENO 113 KVA-90 KW</v>
      </c>
      <c r="K1242" s="330" t="str">
        <f>IF(B1242&lt;&gt;"",+VLOOKUP(I1242,Recursos!C:F,3,FALSE),"")</f>
        <v>HR</v>
      </c>
      <c r="L1242" s="446">
        <f>IF(B1242&lt;&gt;"",+VLOOKUP(I1242,Recursos!C:F,4,FALSE),"")</f>
        <v>1785.366</v>
      </c>
      <c r="M1242" s="963"/>
      <c r="N1242" s="958">
        <v>0.5</v>
      </c>
      <c r="O1242" s="449">
        <f>N1242</f>
        <v>0.5</v>
      </c>
      <c r="P1242" s="333">
        <f t="shared" si="620"/>
        <v>892.68299999999999</v>
      </c>
      <c r="Q1242" s="327">
        <f t="shared" si="621"/>
        <v>0</v>
      </c>
      <c r="R1242" s="334">
        <f t="shared" si="622"/>
        <v>0</v>
      </c>
      <c r="S1242" s="335">
        <f t="shared" si="598"/>
        <v>2508.8540811625944</v>
      </c>
      <c r="T1242" s="335">
        <f t="shared" si="599"/>
        <v>974.32299999999998</v>
      </c>
      <c r="U1242" s="336">
        <f t="shared" si="600"/>
        <v>0</v>
      </c>
      <c r="V1242" s="336">
        <f t="shared" si="601"/>
        <v>0</v>
      </c>
      <c r="W1242" s="336">
        <f t="shared" si="602"/>
        <v>0</v>
      </c>
      <c r="X1242" s="336">
        <f t="shared" si="603"/>
        <v>0</v>
      </c>
      <c r="Y1242" s="320"/>
      <c r="Z1242" s="321" t="str">
        <f t="shared" si="623"/>
        <v>X-CUASOLA</v>
      </c>
      <c r="AA1242" s="321" t="str">
        <f t="shared" si="624"/>
        <v>X-CUASOLE</v>
      </c>
      <c r="AB1242" s="321" t="str">
        <f t="shared" si="625"/>
        <v>X-CUASOLM</v>
      </c>
      <c r="AC1242" s="321" t="str">
        <f t="shared" si="626"/>
        <v>X-CUASOLT</v>
      </c>
      <c r="AD1242" s="321" t="str">
        <f t="shared" si="627"/>
        <v>X-CUASOLS</v>
      </c>
      <c r="AE1242" s="321" t="str">
        <f t="shared" si="628"/>
        <v>X-CUASOLX</v>
      </c>
      <c r="AF1242" s="321" t="str">
        <f t="shared" si="629"/>
        <v>X-CUASOLE</v>
      </c>
      <c r="AG1242" s="321">
        <f t="shared" si="604"/>
        <v>5</v>
      </c>
      <c r="AH1242" s="321">
        <f>IF(B1242&lt;&gt;"",IF(H1242="x",VLOOKUP(I1242,'AUX-NIV3'!B:AG,32,FALSE),0),"")</f>
        <v>0</v>
      </c>
      <c r="AI1242" s="321" t="str">
        <f t="shared" si="630"/>
        <v>X-CUASOL</v>
      </c>
      <c r="AJ1242" s="320"/>
      <c r="AK1242" s="322">
        <f t="shared" si="605"/>
        <v>1239</v>
      </c>
      <c r="AL1242" s="323">
        <f t="shared" si="631"/>
        <v>1243</v>
      </c>
      <c r="AM1242" s="322" t="e">
        <f t="shared" si="632"/>
        <v>#REF!</v>
      </c>
      <c r="AN1242" s="380">
        <f>IF(AND(AH1242&gt;0,B1242&lt;&gt;""),VLOOKUP(I1242,'AUX-NIV3'!$B:$AO,39,FALSE)*O1242,0)</f>
        <v>0</v>
      </c>
      <c r="AO1242" s="380">
        <f t="shared" si="606"/>
        <v>5</v>
      </c>
      <c r="AP1242" s="380"/>
    </row>
    <row r="1243" spans="2:42" ht="14.4" hidden="1" thickTop="1" thickBot="1">
      <c r="B1243" s="501" t="s">
        <v>3298</v>
      </c>
      <c r="C1243" s="951" t="s">
        <v>3299</v>
      </c>
      <c r="D1243" s="326" t="s">
        <v>2938</v>
      </c>
      <c r="E1243" s="327">
        <f>IF(B1243&lt;&gt;"",SUMIF('AUX-NIV1'!I:I,'AUX-NIV2'!B1243,'AUX-NIV1'!Q:Q),"")</f>
        <v>0</v>
      </c>
      <c r="F1243" s="327">
        <f t="shared" si="596"/>
        <v>3483.1770811625943</v>
      </c>
      <c r="G1243" s="327">
        <f t="shared" si="597"/>
        <v>0</v>
      </c>
      <c r="H1243" s="328" t="str">
        <f t="shared" si="619"/>
        <v>E</v>
      </c>
      <c r="I1243" s="949" t="s">
        <v>1627</v>
      </c>
      <c r="J1243" s="329" t="str">
        <f>IF(B1243&lt;&gt;"",+VLOOKUP(I1243,Recursos!C:F,2,FALSE),"")</f>
        <v>EQUIPO OXICORTE</v>
      </c>
      <c r="K1243" s="330" t="str">
        <f>IF(B1243&lt;&gt;"",+VLOOKUP(I1243,Recursos!C:F,3,FALSE),"")</f>
        <v>HR</v>
      </c>
      <c r="L1243" s="446">
        <f>IF(B1243&lt;&gt;"",+VLOOKUP(I1243,Recursos!C:F,4,FALSE),"")</f>
        <v>40.819999999999993</v>
      </c>
      <c r="M1243" s="964"/>
      <c r="N1243" s="965">
        <v>0.5</v>
      </c>
      <c r="O1243" s="449">
        <f>N1243</f>
        <v>0.5</v>
      </c>
      <c r="P1243" s="333">
        <f t="shared" si="620"/>
        <v>20.409999999999997</v>
      </c>
      <c r="Q1243" s="327">
        <f t="shared" si="621"/>
        <v>0</v>
      </c>
      <c r="R1243" s="334">
        <f t="shared" si="622"/>
        <v>0</v>
      </c>
      <c r="S1243" s="335">
        <f t="shared" si="598"/>
        <v>2508.8540811625944</v>
      </c>
      <c r="T1243" s="335">
        <f t="shared" si="599"/>
        <v>974.32299999999998</v>
      </c>
      <c r="U1243" s="336">
        <f t="shared" si="600"/>
        <v>0</v>
      </c>
      <c r="V1243" s="336">
        <f t="shared" si="601"/>
        <v>0</v>
      </c>
      <c r="W1243" s="336">
        <f t="shared" si="602"/>
        <v>0</v>
      </c>
      <c r="X1243" s="336">
        <f t="shared" si="603"/>
        <v>0</v>
      </c>
      <c r="Y1243" s="320"/>
      <c r="Z1243" s="321" t="str">
        <f t="shared" si="623"/>
        <v>X-CUASOLA</v>
      </c>
      <c r="AA1243" s="321" t="str">
        <f t="shared" si="624"/>
        <v>X-CUASOLE</v>
      </c>
      <c r="AB1243" s="321" t="str">
        <f t="shared" si="625"/>
        <v>X-CUASOLM</v>
      </c>
      <c r="AC1243" s="321" t="str">
        <f t="shared" si="626"/>
        <v>X-CUASOLT</v>
      </c>
      <c r="AD1243" s="321" t="str">
        <f t="shared" si="627"/>
        <v>X-CUASOLS</v>
      </c>
      <c r="AE1243" s="321" t="str">
        <f t="shared" si="628"/>
        <v>X-CUASOLX</v>
      </c>
      <c r="AF1243" s="321" t="str">
        <f t="shared" si="629"/>
        <v>X-CUASOLE</v>
      </c>
      <c r="AG1243" s="321">
        <f t="shared" si="604"/>
        <v>5</v>
      </c>
      <c r="AH1243" s="321">
        <f>IF(B1243&lt;&gt;"",IF(H1243="x",VLOOKUP(I1243,'AUX-NIV3'!B:AG,32,FALSE),0),"")</f>
        <v>0</v>
      </c>
      <c r="AI1243" s="321" t="str">
        <f t="shared" si="630"/>
        <v>X-CUASOL</v>
      </c>
      <c r="AJ1243" s="320"/>
      <c r="AK1243" s="322">
        <f t="shared" si="605"/>
        <v>1239</v>
      </c>
      <c r="AL1243" s="323">
        <f t="shared" si="631"/>
        <v>1243</v>
      </c>
      <c r="AM1243" s="322" t="e">
        <f t="shared" si="632"/>
        <v>#REF!</v>
      </c>
      <c r="AN1243" s="380">
        <f>IF(AND(AH1243&gt;0,B1243&lt;&gt;""),VLOOKUP(I1243,'AUX-NIV3'!$B:$AO,39,FALSE)*O1243,0)</f>
        <v>0</v>
      </c>
      <c r="AO1243" s="380">
        <f t="shared" si="606"/>
        <v>5</v>
      </c>
      <c r="AP1243" s="380"/>
    </row>
    <row r="1244" spans="2:42" ht="14.4" hidden="1" thickTop="1" thickBot="1">
      <c r="B1244" s="501" t="s">
        <v>3316</v>
      </c>
      <c r="C1244" s="951" t="s">
        <v>3317</v>
      </c>
      <c r="D1244" s="326" t="s">
        <v>2938</v>
      </c>
      <c r="E1244" s="327">
        <f>IF(B1244&lt;&gt;"",SUMIF('AUX-NIV1'!I:I,'AUX-NIV2'!B1244,'AUX-NIV1'!Q:Q),"")</f>
        <v>0</v>
      </c>
      <c r="F1244" s="327">
        <f t="shared" si="596"/>
        <v>7086.7196346208402</v>
      </c>
      <c r="G1244" s="327">
        <f t="shared" si="597"/>
        <v>0</v>
      </c>
      <c r="H1244" s="328" t="str">
        <f t="shared" si="619"/>
        <v>E</v>
      </c>
      <c r="I1244" s="949" t="s">
        <v>1698</v>
      </c>
      <c r="J1244" s="329" t="str">
        <f>IF(B1244&lt;&gt;"",+VLOOKUP(I1244,Recursos!C:F,2,FALSE),"")</f>
        <v>GRUA MOVIL TODO TERRENO 55 T</v>
      </c>
      <c r="K1244" s="330" t="str">
        <f>IF(B1244&lt;&gt;"",+VLOOKUP(I1244,Recursos!C:F,3,FALSE),"")</f>
        <v>HR</v>
      </c>
      <c r="L1244" s="446">
        <f>IF(B1244&lt;&gt;"",+VLOOKUP(I1244,Recursos!C:F,4,FALSE),"")</f>
        <v>6558.6190999999999</v>
      </c>
      <c r="M1244" s="959"/>
      <c r="N1244" s="960">
        <v>1</v>
      </c>
      <c r="O1244" s="449">
        <f>N1244</f>
        <v>1</v>
      </c>
      <c r="P1244" s="333">
        <f t="shared" si="620"/>
        <v>6558.6190999999999</v>
      </c>
      <c r="Q1244" s="327">
        <f t="shared" si="621"/>
        <v>0</v>
      </c>
      <c r="R1244" s="334">
        <f t="shared" si="622"/>
        <v>0</v>
      </c>
      <c r="S1244" s="335">
        <f t="shared" si="598"/>
        <v>528.10053462084045</v>
      </c>
      <c r="T1244" s="335">
        <f t="shared" si="599"/>
        <v>6558.6190999999999</v>
      </c>
      <c r="U1244" s="336">
        <f t="shared" si="600"/>
        <v>0</v>
      </c>
      <c r="V1244" s="336">
        <f t="shared" si="601"/>
        <v>0</v>
      </c>
      <c r="W1244" s="336">
        <f t="shared" si="602"/>
        <v>0</v>
      </c>
      <c r="X1244" s="336">
        <f t="shared" si="603"/>
        <v>0</v>
      </c>
      <c r="Y1244" s="320"/>
      <c r="Z1244" s="321" t="str">
        <f t="shared" si="623"/>
        <v>X-EQIZAJA</v>
      </c>
      <c r="AA1244" s="321" t="str">
        <f t="shared" si="624"/>
        <v>X-EQIZAJE</v>
      </c>
      <c r="AB1244" s="321" t="str">
        <f t="shared" si="625"/>
        <v>X-EQIZAJM</v>
      </c>
      <c r="AC1244" s="321" t="str">
        <f t="shared" si="626"/>
        <v>X-EQIZAJT</v>
      </c>
      <c r="AD1244" s="321" t="str">
        <f t="shared" si="627"/>
        <v>X-EQIZAJS</v>
      </c>
      <c r="AE1244" s="321" t="str">
        <f t="shared" si="628"/>
        <v>X-EQIZAJX</v>
      </c>
      <c r="AF1244" s="321" t="str">
        <f t="shared" si="629"/>
        <v>X-EQIZAJE</v>
      </c>
      <c r="AG1244" s="321">
        <f t="shared" si="604"/>
        <v>3</v>
      </c>
      <c r="AH1244" s="321">
        <f>IF(B1244&lt;&gt;"",IF(H1244="x",VLOOKUP(I1244,'AUX-NIV3'!B:AG,32,FALSE),0),"")</f>
        <v>0</v>
      </c>
      <c r="AI1244" s="321" t="str">
        <f t="shared" si="630"/>
        <v>X-EQIZAJ</v>
      </c>
      <c r="AJ1244" s="320"/>
      <c r="AK1244" s="322">
        <f t="shared" si="605"/>
        <v>1244</v>
      </c>
      <c r="AL1244" s="323">
        <f t="shared" si="631"/>
        <v>1246</v>
      </c>
      <c r="AM1244" s="322">
        <f t="shared" si="632"/>
        <v>1</v>
      </c>
      <c r="AN1244" s="380">
        <f>IF(AND(AH1244&gt;0,B1244&lt;&gt;""),VLOOKUP(I1244,'AUX-NIV3'!$B:$AO,39,FALSE)*O1244,0)</f>
        <v>0</v>
      </c>
      <c r="AO1244" s="380">
        <f t="shared" si="606"/>
        <v>1.25</v>
      </c>
      <c r="AP1244" s="380"/>
    </row>
    <row r="1245" spans="2:42" ht="14.4" hidden="1" thickTop="1" thickBot="1">
      <c r="B1245" s="501" t="s">
        <v>3316</v>
      </c>
      <c r="C1245" s="951" t="s">
        <v>3317</v>
      </c>
      <c r="D1245" s="326" t="s">
        <v>2938</v>
      </c>
      <c r="E1245" s="327">
        <f>IF(B1245&lt;&gt;"",SUMIF('AUX-NIV1'!I:I,'AUX-NIV2'!B1245,'AUX-NIV1'!Q:Q),"")</f>
        <v>0</v>
      </c>
      <c r="F1245" s="327">
        <f t="shared" si="596"/>
        <v>7086.7196346208402</v>
      </c>
      <c r="G1245" s="327">
        <f t="shared" si="597"/>
        <v>0</v>
      </c>
      <c r="H1245" s="328" t="str">
        <f t="shared" si="619"/>
        <v>A</v>
      </c>
      <c r="I1245" s="325" t="s">
        <v>3310</v>
      </c>
      <c r="J1245" s="329" t="str">
        <f>IF(B1245&lt;&gt;"",+VLOOKUP(I1245,Recursos!C:F,2,FALSE),"")</f>
        <v>OFICIAL ESPECIALIZADO</v>
      </c>
      <c r="K1245" s="330" t="str">
        <f>IF(B1245&lt;&gt;"",+VLOOKUP(I1245,Recursos!C:F,3,FALSE),"")</f>
        <v>hh</v>
      </c>
      <c r="L1245" s="446">
        <f>IF(B1245&lt;&gt;"",+VLOOKUP(I1245,Recursos!C:F,4,FALSE),"")</f>
        <v>581.06120476836554</v>
      </c>
      <c r="M1245" s="961">
        <v>1.25</v>
      </c>
      <c r="N1245" s="967"/>
      <c r="O1245" s="449">
        <f>N1245*N1244*M1245</f>
        <v>0</v>
      </c>
      <c r="P1245" s="333">
        <f t="shared" si="620"/>
        <v>0</v>
      </c>
      <c r="Q1245" s="327">
        <f t="shared" si="621"/>
        <v>0</v>
      </c>
      <c r="R1245" s="334">
        <f t="shared" si="622"/>
        <v>0</v>
      </c>
      <c r="S1245" s="335">
        <f t="shared" si="598"/>
        <v>528.10053462084045</v>
      </c>
      <c r="T1245" s="335">
        <f t="shared" si="599"/>
        <v>6558.6190999999999</v>
      </c>
      <c r="U1245" s="336">
        <f t="shared" si="600"/>
        <v>0</v>
      </c>
      <c r="V1245" s="336">
        <f t="shared" si="601"/>
        <v>0</v>
      </c>
      <c r="W1245" s="336">
        <f t="shared" si="602"/>
        <v>0</v>
      </c>
      <c r="X1245" s="336">
        <f t="shared" si="603"/>
        <v>0</v>
      </c>
      <c r="Y1245" s="320"/>
      <c r="Z1245" s="321" t="str">
        <f t="shared" si="623"/>
        <v>X-EQIZAJA</v>
      </c>
      <c r="AA1245" s="321" t="str">
        <f t="shared" si="624"/>
        <v>X-EQIZAJE</v>
      </c>
      <c r="AB1245" s="321" t="str">
        <f t="shared" si="625"/>
        <v>X-EQIZAJM</v>
      </c>
      <c r="AC1245" s="321" t="str">
        <f t="shared" si="626"/>
        <v>X-EQIZAJT</v>
      </c>
      <c r="AD1245" s="321" t="str">
        <f t="shared" si="627"/>
        <v>X-EQIZAJS</v>
      </c>
      <c r="AE1245" s="321" t="str">
        <f t="shared" si="628"/>
        <v>X-EQIZAJX</v>
      </c>
      <c r="AF1245" s="321" t="str">
        <f t="shared" si="629"/>
        <v>X-EQIZAJA</v>
      </c>
      <c r="AG1245" s="321">
        <f t="shared" si="604"/>
        <v>3</v>
      </c>
      <c r="AH1245" s="321">
        <f>IF(B1245&lt;&gt;"",IF(H1245="x",VLOOKUP(I1245,'AUX-NIV3'!B:AG,32,FALSE),0),"")</f>
        <v>0</v>
      </c>
      <c r="AI1245" s="321" t="str">
        <f t="shared" si="630"/>
        <v>X-EQIZAJ</v>
      </c>
      <c r="AJ1245" s="320"/>
      <c r="AK1245" s="322">
        <f t="shared" si="605"/>
        <v>1244</v>
      </c>
      <c r="AL1245" s="323">
        <f t="shared" si="631"/>
        <v>1246</v>
      </c>
      <c r="AM1245" s="322">
        <f t="shared" si="632"/>
        <v>2</v>
      </c>
      <c r="AN1245" s="380">
        <f>IF(AND(AH1245&gt;0,B1245&lt;&gt;""),VLOOKUP(I1245,'AUX-NIV3'!$B:$AO,39,FALSE)*O1245,0)</f>
        <v>0</v>
      </c>
      <c r="AO1245" s="380">
        <f t="shared" si="606"/>
        <v>1.25</v>
      </c>
      <c r="AP1245" s="380"/>
    </row>
    <row r="1246" spans="2:42" ht="14.4" hidden="1" thickTop="1" thickBot="1">
      <c r="B1246" s="501" t="s">
        <v>3316</v>
      </c>
      <c r="C1246" s="951" t="s">
        <v>3317</v>
      </c>
      <c r="D1246" s="326" t="s">
        <v>2938</v>
      </c>
      <c r="E1246" s="327">
        <f>IF(B1246&lt;&gt;"",SUMIF('AUX-NIV1'!I:I,'AUX-NIV2'!B1246,'AUX-NIV1'!Q:Q),"")</f>
        <v>0</v>
      </c>
      <c r="F1246" s="327">
        <f t="shared" si="596"/>
        <v>7086.7196346208402</v>
      </c>
      <c r="G1246" s="327">
        <f t="shared" si="597"/>
        <v>0</v>
      </c>
      <c r="H1246" s="328" t="str">
        <f t="shared" si="619"/>
        <v>A</v>
      </c>
      <c r="I1246" s="325" t="s">
        <v>1745</v>
      </c>
      <c r="J1246" s="329" t="str">
        <f>IF(B1246&lt;&gt;"",+VLOOKUP(I1246,Recursos!C:F,2,FALSE),"")</f>
        <v>AYUDANTE</v>
      </c>
      <c r="K1246" s="330" t="str">
        <f>IF(B1246&lt;&gt;"",+VLOOKUP(I1246,Recursos!C:F,3,FALSE),"")</f>
        <v>hh</v>
      </c>
      <c r="L1246" s="446">
        <f>IF(B1246&lt;&gt;"",+VLOOKUP(I1246,Recursos!C:F,4,FALSE),"")</f>
        <v>422.48042769667234</v>
      </c>
      <c r="M1246" s="964"/>
      <c r="N1246" s="966">
        <v>1</v>
      </c>
      <c r="O1246" s="449">
        <f>N1246*M1245</f>
        <v>1.25</v>
      </c>
      <c r="P1246" s="333">
        <f t="shared" si="620"/>
        <v>528.10053462084045</v>
      </c>
      <c r="Q1246" s="327">
        <f t="shared" si="621"/>
        <v>0</v>
      </c>
      <c r="R1246" s="334">
        <f t="shared" si="622"/>
        <v>0</v>
      </c>
      <c r="S1246" s="335">
        <f t="shared" si="598"/>
        <v>528.10053462084045</v>
      </c>
      <c r="T1246" s="335">
        <f t="shared" si="599"/>
        <v>6558.6190999999999</v>
      </c>
      <c r="U1246" s="336">
        <f t="shared" si="600"/>
        <v>0</v>
      </c>
      <c r="V1246" s="336">
        <f t="shared" si="601"/>
        <v>0</v>
      </c>
      <c r="W1246" s="336">
        <f t="shared" si="602"/>
        <v>0</v>
      </c>
      <c r="X1246" s="336">
        <f t="shared" si="603"/>
        <v>0</v>
      </c>
      <c r="Y1246" s="320"/>
      <c r="Z1246" s="321" t="str">
        <f t="shared" si="623"/>
        <v>X-EQIZAJA</v>
      </c>
      <c r="AA1246" s="321" t="str">
        <f t="shared" si="624"/>
        <v>X-EQIZAJE</v>
      </c>
      <c r="AB1246" s="321" t="str">
        <f t="shared" si="625"/>
        <v>X-EQIZAJM</v>
      </c>
      <c r="AC1246" s="321" t="str">
        <f t="shared" si="626"/>
        <v>X-EQIZAJT</v>
      </c>
      <c r="AD1246" s="321" t="str">
        <f t="shared" si="627"/>
        <v>X-EQIZAJS</v>
      </c>
      <c r="AE1246" s="321" t="str">
        <f t="shared" si="628"/>
        <v>X-EQIZAJX</v>
      </c>
      <c r="AF1246" s="321" t="str">
        <f t="shared" si="629"/>
        <v>X-EQIZAJA</v>
      </c>
      <c r="AG1246" s="321">
        <f t="shared" si="604"/>
        <v>3</v>
      </c>
      <c r="AH1246" s="321">
        <f>IF(B1246&lt;&gt;"",IF(H1246="x",VLOOKUP(I1246,'AUX-NIV3'!B:AG,32,FALSE),0),"")</f>
        <v>0</v>
      </c>
      <c r="AI1246" s="321" t="str">
        <f t="shared" si="630"/>
        <v>X-EQIZAJ</v>
      </c>
      <c r="AJ1246" s="320"/>
      <c r="AK1246" s="322">
        <f t="shared" si="605"/>
        <v>1244</v>
      </c>
      <c r="AL1246" s="323">
        <f t="shared" si="631"/>
        <v>1246</v>
      </c>
      <c r="AM1246" s="322">
        <f t="shared" si="632"/>
        <v>3</v>
      </c>
      <c r="AN1246" s="380">
        <f>IF(AND(AH1246&gt;0,B1246&lt;&gt;""),VLOOKUP(I1246,'AUX-NIV3'!$B:$AO,39,FALSE)*O1246,0)</f>
        <v>0</v>
      </c>
      <c r="AO1246" s="380">
        <f t="shared" si="606"/>
        <v>1.25</v>
      </c>
      <c r="AP1246" s="380"/>
    </row>
    <row r="1247" spans="2:42" ht="14.4" hidden="1" thickTop="1" thickBot="1">
      <c r="B1247" s="501" t="s">
        <v>3318</v>
      </c>
      <c r="C1247" s="951" t="s">
        <v>3319</v>
      </c>
      <c r="D1247" s="326" t="s">
        <v>2938</v>
      </c>
      <c r="E1247" s="327">
        <f>IF(B1247&lt;&gt;"",SUMIF('AUX-NIV1'!I:I,'AUX-NIV2'!B1247,'AUX-NIV1'!Q:Q),"")</f>
        <v>0</v>
      </c>
      <c r="F1247" s="327">
        <f t="shared" si="596"/>
        <v>2642.1225173104203</v>
      </c>
      <c r="G1247" s="327">
        <f t="shared" si="597"/>
        <v>0</v>
      </c>
      <c r="H1247" s="328" t="str">
        <f t="shared" si="619"/>
        <v>E</v>
      </c>
      <c r="I1247" s="949" t="s">
        <v>1597</v>
      </c>
      <c r="J1247" s="329" t="str">
        <f>IF(B1247&lt;&gt;"",+VLOOKUP(I1247,Recursos!C:F,2,FALSE),"")</f>
        <v>HIDROGRUA MONTADA S/CAMION (6 T)</v>
      </c>
      <c r="K1247" s="330" t="str">
        <f>IF(B1247&lt;&gt;"",+VLOOKUP(I1247,Recursos!C:F,3,FALSE),"")</f>
        <v>HR</v>
      </c>
      <c r="L1247" s="446">
        <f>IF(B1247&lt;&gt;"",+VLOOKUP(I1247,Recursos!C:F,4,FALSE),"")</f>
        <v>2378.0722500000002</v>
      </c>
      <c r="M1247" s="959"/>
      <c r="N1247" s="960">
        <v>1</v>
      </c>
      <c r="O1247" s="449">
        <f>N1247</f>
        <v>1</v>
      </c>
      <c r="P1247" s="333">
        <f t="shared" si="620"/>
        <v>2378.0722500000002</v>
      </c>
      <c r="Q1247" s="327">
        <f t="shared" si="621"/>
        <v>0</v>
      </c>
      <c r="R1247" s="334">
        <f t="shared" si="622"/>
        <v>0</v>
      </c>
      <c r="S1247" s="335">
        <f t="shared" si="598"/>
        <v>264.05026731042022</v>
      </c>
      <c r="T1247" s="335">
        <f t="shared" si="599"/>
        <v>2378.0722500000002</v>
      </c>
      <c r="U1247" s="336">
        <f t="shared" si="600"/>
        <v>0</v>
      </c>
      <c r="V1247" s="336">
        <f t="shared" si="601"/>
        <v>0</v>
      </c>
      <c r="W1247" s="336">
        <f t="shared" si="602"/>
        <v>0</v>
      </c>
      <c r="X1247" s="336">
        <f t="shared" si="603"/>
        <v>0</v>
      </c>
      <c r="Y1247" s="320"/>
      <c r="Z1247" s="321" t="str">
        <f t="shared" si="623"/>
        <v>X-EQTRIZA</v>
      </c>
      <c r="AA1247" s="321" t="str">
        <f t="shared" si="624"/>
        <v>X-EQTRIZE</v>
      </c>
      <c r="AB1247" s="321" t="str">
        <f t="shared" si="625"/>
        <v>X-EQTRIZM</v>
      </c>
      <c r="AC1247" s="321" t="str">
        <f t="shared" si="626"/>
        <v>X-EQTRIZT</v>
      </c>
      <c r="AD1247" s="321" t="str">
        <f t="shared" si="627"/>
        <v>X-EQTRIZS</v>
      </c>
      <c r="AE1247" s="321" t="str">
        <f t="shared" si="628"/>
        <v>X-EQTRIZX</v>
      </c>
      <c r="AF1247" s="321" t="str">
        <f t="shared" si="629"/>
        <v>X-EQTRIZE</v>
      </c>
      <c r="AG1247" s="321">
        <f t="shared" si="604"/>
        <v>3</v>
      </c>
      <c r="AH1247" s="321">
        <f>IF(B1247&lt;&gt;"",IF(H1247="x",VLOOKUP(I1247,'AUX-NIV3'!B:AG,32,FALSE),0),"")</f>
        <v>0</v>
      </c>
      <c r="AI1247" s="321" t="str">
        <f t="shared" si="630"/>
        <v>X-EQTRIZ</v>
      </c>
      <c r="AJ1247" s="320"/>
      <c r="AK1247" s="322">
        <f t="shared" si="605"/>
        <v>1247</v>
      </c>
      <c r="AL1247" s="323">
        <f t="shared" si="631"/>
        <v>1249</v>
      </c>
      <c r="AM1247" s="322">
        <f t="shared" si="632"/>
        <v>1</v>
      </c>
      <c r="AN1247" s="380">
        <f>IF(AND(AH1247&gt;0,B1247&lt;&gt;""),VLOOKUP(I1247,'AUX-NIV3'!$B:$AO,39,FALSE)*O1247,0)</f>
        <v>0</v>
      </c>
      <c r="AO1247" s="380">
        <f t="shared" si="606"/>
        <v>0.625</v>
      </c>
      <c r="AP1247" s="380"/>
    </row>
    <row r="1248" spans="2:42" ht="14.4" hidden="1" thickTop="1" thickBot="1">
      <c r="B1248" s="501" t="s">
        <v>3318</v>
      </c>
      <c r="C1248" s="951" t="s">
        <v>3319</v>
      </c>
      <c r="D1248" s="326" t="s">
        <v>2938</v>
      </c>
      <c r="E1248" s="327">
        <f>IF(B1248&lt;&gt;"",SUMIF('AUX-NIV1'!I:I,'AUX-NIV2'!B1248,'AUX-NIV1'!Q:Q),"")</f>
        <v>0</v>
      </c>
      <c r="F1248" s="327">
        <f t="shared" si="596"/>
        <v>2642.1225173104203</v>
      </c>
      <c r="G1248" s="327">
        <f t="shared" si="597"/>
        <v>0</v>
      </c>
      <c r="H1248" s="328" t="str">
        <f t="shared" si="619"/>
        <v>A</v>
      </c>
      <c r="I1248" s="325" t="s">
        <v>1746</v>
      </c>
      <c r="J1248" s="329" t="str">
        <f>IF(B1248&lt;&gt;"",+VLOOKUP(I1248,Recursos!C:F,2,FALSE),"")</f>
        <v>OFICIAL</v>
      </c>
      <c r="K1248" s="330" t="str">
        <f>IF(B1248&lt;&gt;"",+VLOOKUP(I1248,Recursos!C:F,3,FALSE),"")</f>
        <v>hh</v>
      </c>
      <c r="L1248" s="446">
        <f>IF(B1248&lt;&gt;"",+VLOOKUP(I1248,Recursos!C:F,4,FALSE),"")</f>
        <v>496.91595439275824</v>
      </c>
      <c r="M1248" s="961">
        <v>1.25</v>
      </c>
      <c r="N1248" s="967"/>
      <c r="O1248" s="449">
        <f>N1248*N1246*M1239</f>
        <v>0</v>
      </c>
      <c r="P1248" s="333">
        <f t="shared" si="620"/>
        <v>0</v>
      </c>
      <c r="Q1248" s="327">
        <f t="shared" si="621"/>
        <v>0</v>
      </c>
      <c r="R1248" s="334">
        <f t="shared" si="622"/>
        <v>0</v>
      </c>
      <c r="S1248" s="335">
        <f t="shared" si="598"/>
        <v>264.05026731042022</v>
      </c>
      <c r="T1248" s="335">
        <f t="shared" si="599"/>
        <v>2378.0722500000002</v>
      </c>
      <c r="U1248" s="336">
        <f t="shared" si="600"/>
        <v>0</v>
      </c>
      <c r="V1248" s="336">
        <f t="shared" si="601"/>
        <v>0</v>
      </c>
      <c r="W1248" s="336">
        <f t="shared" si="602"/>
        <v>0</v>
      </c>
      <c r="X1248" s="336">
        <f t="shared" si="603"/>
        <v>0</v>
      </c>
      <c r="Y1248" s="320"/>
      <c r="Z1248" s="321" t="str">
        <f t="shared" si="623"/>
        <v>X-EQTRIZA</v>
      </c>
      <c r="AA1248" s="321" t="str">
        <f t="shared" si="624"/>
        <v>X-EQTRIZE</v>
      </c>
      <c r="AB1248" s="321" t="str">
        <f t="shared" si="625"/>
        <v>X-EQTRIZM</v>
      </c>
      <c r="AC1248" s="321" t="str">
        <f t="shared" si="626"/>
        <v>X-EQTRIZT</v>
      </c>
      <c r="AD1248" s="321" t="str">
        <f t="shared" si="627"/>
        <v>X-EQTRIZS</v>
      </c>
      <c r="AE1248" s="321" t="str">
        <f t="shared" si="628"/>
        <v>X-EQTRIZX</v>
      </c>
      <c r="AF1248" s="321" t="str">
        <f t="shared" si="629"/>
        <v>X-EQTRIZA</v>
      </c>
      <c r="AG1248" s="321">
        <f t="shared" si="604"/>
        <v>3</v>
      </c>
      <c r="AH1248" s="321">
        <f>IF(B1248&lt;&gt;"",IF(H1248="x",VLOOKUP(I1248,'AUX-NIV3'!B:AG,32,FALSE),0),"")</f>
        <v>0</v>
      </c>
      <c r="AI1248" s="321" t="str">
        <f t="shared" si="630"/>
        <v>X-EQTRIZ</v>
      </c>
      <c r="AJ1248" s="320"/>
      <c r="AK1248" s="322">
        <f t="shared" si="605"/>
        <v>1247</v>
      </c>
      <c r="AL1248" s="323">
        <f t="shared" si="631"/>
        <v>1249</v>
      </c>
      <c r="AM1248" s="322">
        <f t="shared" si="632"/>
        <v>2</v>
      </c>
      <c r="AN1248" s="380">
        <f>IF(AND(AH1248&gt;0,B1248&lt;&gt;""),VLOOKUP(I1248,'AUX-NIV3'!$B:$AO,39,FALSE)*O1248,0)</f>
        <v>0</v>
      </c>
      <c r="AO1248" s="380">
        <f t="shared" si="606"/>
        <v>0.625</v>
      </c>
      <c r="AP1248" s="380"/>
    </row>
    <row r="1249" spans="2:42" ht="14.4" hidden="1" thickTop="1" thickBot="1">
      <c r="B1249" s="501" t="s">
        <v>3318</v>
      </c>
      <c r="C1249" s="951" t="s">
        <v>3319</v>
      </c>
      <c r="D1249" s="326" t="s">
        <v>2938</v>
      </c>
      <c r="E1249" s="327">
        <f>IF(B1249&lt;&gt;"",SUMIF('AUX-NIV1'!I:I,'AUX-NIV2'!B1249,'AUX-NIV1'!Q:Q),"")</f>
        <v>0</v>
      </c>
      <c r="F1249" s="327">
        <f t="shared" si="596"/>
        <v>2642.1225173104203</v>
      </c>
      <c r="G1249" s="327">
        <f t="shared" si="597"/>
        <v>0</v>
      </c>
      <c r="H1249" s="328" t="str">
        <f t="shared" ref="H1249:H1255" si="633">IF(B1249&lt;&gt;"",+LEFT(I1249,1),"")</f>
        <v>A</v>
      </c>
      <c r="I1249" s="325" t="s">
        <v>1745</v>
      </c>
      <c r="J1249" s="329" t="str">
        <f>IF(B1249&lt;&gt;"",+VLOOKUP(I1249,Recursos!C:F,2,FALSE),"")</f>
        <v>AYUDANTE</v>
      </c>
      <c r="K1249" s="330" t="str">
        <f>IF(B1249&lt;&gt;"",+VLOOKUP(I1249,Recursos!C:F,3,FALSE),"")</f>
        <v>hh</v>
      </c>
      <c r="L1249" s="446">
        <f>IF(B1249&lt;&gt;"",+VLOOKUP(I1249,Recursos!C:F,4,FALSE),"")</f>
        <v>422.48042769667234</v>
      </c>
      <c r="M1249" s="964"/>
      <c r="N1249" s="966">
        <v>0.5</v>
      </c>
      <c r="O1249" s="449">
        <f>N1249*N1247*M1240</f>
        <v>0.625</v>
      </c>
      <c r="P1249" s="333">
        <f t="shared" ref="P1249:P1255" si="634">IF(B1249&lt;&gt;"",O1249*L1249,"")</f>
        <v>264.05026731042022</v>
      </c>
      <c r="Q1249" s="327">
        <f t="shared" ref="Q1249:Q1255" si="635">IF(B1249&lt;&gt;"",+O1249*E1249,"")</f>
        <v>0</v>
      </c>
      <c r="R1249" s="334">
        <f t="shared" ref="R1249:R1255" si="636">IF(B1249&lt;&gt;"",Q1249*L1249,"")</f>
        <v>0</v>
      </c>
      <c r="S1249" s="335">
        <f t="shared" si="598"/>
        <v>264.05026731042022</v>
      </c>
      <c r="T1249" s="335">
        <f t="shared" si="599"/>
        <v>2378.0722500000002</v>
      </c>
      <c r="U1249" s="336">
        <f t="shared" si="600"/>
        <v>0</v>
      </c>
      <c r="V1249" s="336">
        <f t="shared" si="601"/>
        <v>0</v>
      </c>
      <c r="W1249" s="336">
        <f t="shared" si="602"/>
        <v>0</v>
      </c>
      <c r="X1249" s="336">
        <f t="shared" si="603"/>
        <v>0</v>
      </c>
      <c r="Y1249" s="320"/>
      <c r="Z1249" s="321" t="str">
        <f t="shared" si="623"/>
        <v>X-EQTRIZA</v>
      </c>
      <c r="AA1249" s="321" t="str">
        <f t="shared" si="624"/>
        <v>X-EQTRIZE</v>
      </c>
      <c r="AB1249" s="321" t="str">
        <f t="shared" si="625"/>
        <v>X-EQTRIZM</v>
      </c>
      <c r="AC1249" s="321" t="str">
        <f t="shared" si="626"/>
        <v>X-EQTRIZT</v>
      </c>
      <c r="AD1249" s="321" t="str">
        <f t="shared" si="627"/>
        <v>X-EQTRIZS</v>
      </c>
      <c r="AE1249" s="321" t="str">
        <f t="shared" si="628"/>
        <v>X-EQTRIZX</v>
      </c>
      <c r="AF1249" s="321" t="str">
        <f t="shared" si="629"/>
        <v>X-EQTRIZA</v>
      </c>
      <c r="AG1249" s="321">
        <f t="shared" si="604"/>
        <v>3</v>
      </c>
      <c r="AH1249" s="321">
        <f>IF(B1249&lt;&gt;"",IF(H1249="x",VLOOKUP(I1249,'AUX-NIV3'!B:AG,32,FALSE),0),"")</f>
        <v>0</v>
      </c>
      <c r="AI1249" s="321" t="str">
        <f t="shared" si="630"/>
        <v>X-EQTRIZ</v>
      </c>
      <c r="AJ1249" s="320"/>
      <c r="AK1249" s="322">
        <f t="shared" si="605"/>
        <v>1247</v>
      </c>
      <c r="AL1249" s="323">
        <f t="shared" si="631"/>
        <v>1249</v>
      </c>
      <c r="AM1249" s="322">
        <f t="shared" si="632"/>
        <v>3</v>
      </c>
      <c r="AN1249" s="380">
        <f>IF(AND(AH1249&gt;0,B1249&lt;&gt;""),VLOOKUP(I1249,'AUX-NIV3'!$B:$AO,39,FALSE)*O1249,0)</f>
        <v>0</v>
      </c>
      <c r="AO1249" s="380">
        <f t="shared" si="606"/>
        <v>0.625</v>
      </c>
      <c r="AP1249" s="380"/>
    </row>
    <row r="1250" spans="2:42" ht="14.4" hidden="1" thickTop="1" thickBot="1">
      <c r="B1250" s="501" t="s">
        <v>3326</v>
      </c>
      <c r="C1250" s="951" t="s">
        <v>3327</v>
      </c>
      <c r="D1250" s="326" t="s">
        <v>2938</v>
      </c>
      <c r="E1250" s="327">
        <f>IF(B1250&lt;&gt;"",SUMIF('AUX-NIV1'!I:I,'AUX-NIV2'!B1250,'AUX-NIV1'!Q:Q),"")</f>
        <v>0</v>
      </c>
      <c r="F1250" s="327">
        <f t="shared" si="596"/>
        <v>2608.8540811625944</v>
      </c>
      <c r="G1250" s="327">
        <f t="shared" si="597"/>
        <v>0</v>
      </c>
      <c r="H1250" s="328" t="str">
        <f t="shared" si="633"/>
        <v>A</v>
      </c>
      <c r="I1250" s="325" t="s">
        <v>1745</v>
      </c>
      <c r="J1250" s="329" t="str">
        <f>IF(B1250&lt;&gt;"",+VLOOKUP(I1250,Recursos!C:F,2,FALSE),"")</f>
        <v>AYUDANTE</v>
      </c>
      <c r="K1250" s="330" t="str">
        <f>IF(B1250&lt;&gt;"",+VLOOKUP(I1250,Recursos!C:F,3,FALSE),"")</f>
        <v>hh</v>
      </c>
      <c r="L1250" s="446">
        <f>IF(B1250&lt;&gt;"",+VLOOKUP(I1250,Recursos!C:F,4,FALSE),"")</f>
        <v>422.48042769667234</v>
      </c>
      <c r="M1250" s="959"/>
      <c r="N1250" s="960">
        <v>2</v>
      </c>
      <c r="O1250" s="449">
        <f>N1250*M1251</f>
        <v>2.5</v>
      </c>
      <c r="P1250" s="333">
        <f t="shared" si="634"/>
        <v>1056.2010692416809</v>
      </c>
      <c r="Q1250" s="327">
        <f t="shared" si="635"/>
        <v>0</v>
      </c>
      <c r="R1250" s="334">
        <f t="shared" si="636"/>
        <v>0</v>
      </c>
      <c r="S1250" s="335">
        <f t="shared" si="598"/>
        <v>2508.8540811625944</v>
      </c>
      <c r="T1250" s="335">
        <f t="shared" si="599"/>
        <v>0</v>
      </c>
      <c r="U1250" s="336">
        <f t="shared" si="600"/>
        <v>100</v>
      </c>
      <c r="V1250" s="336">
        <f t="shared" si="601"/>
        <v>0</v>
      </c>
      <c r="W1250" s="336">
        <f t="shared" si="602"/>
        <v>0</v>
      </c>
      <c r="X1250" s="336">
        <f t="shared" si="603"/>
        <v>0</v>
      </c>
      <c r="Y1250" s="320"/>
      <c r="Z1250" s="321" t="str">
        <f t="shared" si="623"/>
        <v>X-CUAELEA</v>
      </c>
      <c r="AA1250" s="321" t="str">
        <f t="shared" si="624"/>
        <v>X-CUAELEE</v>
      </c>
      <c r="AB1250" s="321" t="str">
        <f t="shared" si="625"/>
        <v>X-CUAELEM</v>
      </c>
      <c r="AC1250" s="321" t="str">
        <f t="shared" si="626"/>
        <v>X-CUAELET</v>
      </c>
      <c r="AD1250" s="321" t="str">
        <f t="shared" si="627"/>
        <v>X-CUAELES</v>
      </c>
      <c r="AE1250" s="321" t="str">
        <f t="shared" si="628"/>
        <v>X-CUAELEX</v>
      </c>
      <c r="AF1250" s="321" t="str">
        <f t="shared" si="629"/>
        <v>X-CUAELEA</v>
      </c>
      <c r="AG1250" s="321">
        <f t="shared" si="604"/>
        <v>3</v>
      </c>
      <c r="AH1250" s="321">
        <f>IF(B1250&lt;&gt;"",IF(H1250="x",VLOOKUP(I1250,'AUX-NIV3'!B:AG,32,FALSE),0),"")</f>
        <v>0</v>
      </c>
      <c r="AI1250" s="321" t="str">
        <f t="shared" si="630"/>
        <v>X-CUAELE</v>
      </c>
      <c r="AJ1250" s="320"/>
      <c r="AK1250" s="322">
        <f t="shared" si="605"/>
        <v>1250</v>
      </c>
      <c r="AL1250" s="323">
        <f t="shared" si="631"/>
        <v>1252</v>
      </c>
      <c r="AM1250" s="322">
        <f t="shared" si="632"/>
        <v>1</v>
      </c>
      <c r="AN1250" s="380">
        <f>IF(AND(AH1250&gt;0,B1250&lt;&gt;""),VLOOKUP(I1250,'AUX-NIV3'!$B:$AO,39,FALSE)*O1250,0)</f>
        <v>0</v>
      </c>
      <c r="AO1250" s="380">
        <f t="shared" si="606"/>
        <v>5</v>
      </c>
      <c r="AP1250" s="380"/>
    </row>
    <row r="1251" spans="2:42" ht="14.4" hidden="1" thickTop="1" thickBot="1">
      <c r="B1251" s="501" t="s">
        <v>3326</v>
      </c>
      <c r="C1251" s="951" t="s">
        <v>3327</v>
      </c>
      <c r="D1251" s="326" t="s">
        <v>2938</v>
      </c>
      <c r="E1251" s="327">
        <f>IF(B1251&lt;&gt;"",SUMIF('AUX-NIV1'!I:I,'AUX-NIV2'!B1251,'AUX-NIV1'!Q:Q),"")</f>
        <v>0</v>
      </c>
      <c r="F1251" s="327">
        <f t="shared" si="596"/>
        <v>2608.8540811625944</v>
      </c>
      <c r="G1251" s="327">
        <f t="shared" si="597"/>
        <v>0</v>
      </c>
      <c r="H1251" s="328" t="str">
        <f t="shared" si="633"/>
        <v>A</v>
      </c>
      <c r="I1251" s="325" t="s">
        <v>3310</v>
      </c>
      <c r="J1251" s="329" t="str">
        <f>IF(B1251&lt;&gt;"",+VLOOKUP(I1251,Recursos!C:F,2,FALSE),"")</f>
        <v>OFICIAL ESPECIALIZADO</v>
      </c>
      <c r="K1251" s="330" t="str">
        <f>IF(B1251&lt;&gt;"",+VLOOKUP(I1251,Recursos!C:F,3,FALSE),"")</f>
        <v>hh</v>
      </c>
      <c r="L1251" s="446">
        <f>IF(B1251&lt;&gt;"",+VLOOKUP(I1251,Recursos!C:F,4,FALSE),"")</f>
        <v>581.06120476836554</v>
      </c>
      <c r="M1251" s="961">
        <v>1.25</v>
      </c>
      <c r="N1251" s="962">
        <v>2</v>
      </c>
      <c r="O1251" s="449">
        <f>N1251*M1251</f>
        <v>2.5</v>
      </c>
      <c r="P1251" s="333">
        <f t="shared" si="634"/>
        <v>1452.6530119209137</v>
      </c>
      <c r="Q1251" s="327">
        <f t="shared" si="635"/>
        <v>0</v>
      </c>
      <c r="R1251" s="334">
        <f t="shared" si="636"/>
        <v>0</v>
      </c>
      <c r="S1251" s="335">
        <f t="shared" si="598"/>
        <v>2508.8540811625944</v>
      </c>
      <c r="T1251" s="335">
        <f t="shared" si="599"/>
        <v>0</v>
      </c>
      <c r="U1251" s="336">
        <f t="shared" si="600"/>
        <v>100</v>
      </c>
      <c r="V1251" s="336">
        <f t="shared" si="601"/>
        <v>0</v>
      </c>
      <c r="W1251" s="336">
        <f t="shared" si="602"/>
        <v>0</v>
      </c>
      <c r="X1251" s="336">
        <f t="shared" si="603"/>
        <v>0</v>
      </c>
      <c r="Y1251" s="320"/>
      <c r="Z1251" s="321" t="str">
        <f t="shared" si="623"/>
        <v>X-CUAELEA</v>
      </c>
      <c r="AA1251" s="321" t="str">
        <f t="shared" si="624"/>
        <v>X-CUAELEE</v>
      </c>
      <c r="AB1251" s="321" t="str">
        <f t="shared" si="625"/>
        <v>X-CUAELEM</v>
      </c>
      <c r="AC1251" s="321" t="str">
        <f t="shared" si="626"/>
        <v>X-CUAELET</v>
      </c>
      <c r="AD1251" s="321" t="str">
        <f t="shared" si="627"/>
        <v>X-CUAELES</v>
      </c>
      <c r="AE1251" s="321" t="str">
        <f t="shared" si="628"/>
        <v>X-CUAELEX</v>
      </c>
      <c r="AF1251" s="321" t="str">
        <f t="shared" si="629"/>
        <v>X-CUAELEA</v>
      </c>
      <c r="AG1251" s="321">
        <f t="shared" si="604"/>
        <v>3</v>
      </c>
      <c r="AH1251" s="321">
        <f>IF(B1251&lt;&gt;"",IF(H1251="x",VLOOKUP(I1251,'AUX-NIV3'!B:AG,32,FALSE),0),"")</f>
        <v>0</v>
      </c>
      <c r="AI1251" s="321" t="str">
        <f t="shared" si="630"/>
        <v>X-CUAELE</v>
      </c>
      <c r="AJ1251" s="320"/>
      <c r="AK1251" s="322">
        <f t="shared" si="605"/>
        <v>1250</v>
      </c>
      <c r="AL1251" s="323">
        <f t="shared" si="631"/>
        <v>1252</v>
      </c>
      <c r="AM1251" s="322">
        <f t="shared" si="632"/>
        <v>2</v>
      </c>
      <c r="AN1251" s="380">
        <f>IF(AND(AH1251&gt;0,B1251&lt;&gt;""),VLOOKUP(I1251,'AUX-NIV3'!$B:$AO,39,FALSE)*O1251,0)</f>
        <v>0</v>
      </c>
      <c r="AO1251" s="380">
        <f t="shared" si="606"/>
        <v>5</v>
      </c>
      <c r="AP1251" s="380"/>
    </row>
    <row r="1252" spans="2:42" ht="14.4" hidden="1" thickTop="1" thickBot="1">
      <c r="B1252" s="501" t="s">
        <v>3326</v>
      </c>
      <c r="C1252" s="951" t="s">
        <v>3327</v>
      </c>
      <c r="D1252" s="326" t="s">
        <v>2938</v>
      </c>
      <c r="E1252" s="327">
        <f>IF(B1252&lt;&gt;"",SUMIF('AUX-NIV1'!I:I,'AUX-NIV2'!B1252,'AUX-NIV1'!Q:Q),"")</f>
        <v>0</v>
      </c>
      <c r="F1252" s="327">
        <f t="shared" si="596"/>
        <v>2608.8540811625944</v>
      </c>
      <c r="G1252" s="327">
        <f t="shared" si="597"/>
        <v>0</v>
      </c>
      <c r="H1252" s="328" t="str">
        <f t="shared" si="633"/>
        <v>M</v>
      </c>
      <c r="I1252" s="949" t="s">
        <v>3455</v>
      </c>
      <c r="J1252" s="329" t="str">
        <f>IF(B1252&lt;&gt;"",+VLOOKUP(I1252,Recursos!C:F,2,FALSE),"")</f>
        <v>HERRAMIENTAS ELECTRICAS VARIAS</v>
      </c>
      <c r="K1252" s="330" t="str">
        <f>IF(B1252&lt;&gt;"",+VLOOKUP(I1252,Recursos!C:F,3,FALSE),"")</f>
        <v>GL</v>
      </c>
      <c r="L1252" s="446">
        <f>IF(B1252&lt;&gt;"",+VLOOKUP(I1252,Recursos!C:F,4,FALSE),"")</f>
        <v>100</v>
      </c>
      <c r="M1252" s="963"/>
      <c r="N1252" s="958">
        <v>1</v>
      </c>
      <c r="O1252" s="449">
        <f>N1252</f>
        <v>1</v>
      </c>
      <c r="P1252" s="333">
        <f t="shared" si="634"/>
        <v>100</v>
      </c>
      <c r="Q1252" s="327">
        <f t="shared" si="635"/>
        <v>0</v>
      </c>
      <c r="R1252" s="334">
        <f t="shared" si="636"/>
        <v>0</v>
      </c>
      <c r="S1252" s="335">
        <f t="shared" si="598"/>
        <v>2508.8540811625944</v>
      </c>
      <c r="T1252" s="335">
        <f t="shared" si="599"/>
        <v>0</v>
      </c>
      <c r="U1252" s="336">
        <f t="shared" si="600"/>
        <v>100</v>
      </c>
      <c r="V1252" s="336">
        <f t="shared" si="601"/>
        <v>0</v>
      </c>
      <c r="W1252" s="336">
        <f t="shared" si="602"/>
        <v>0</v>
      </c>
      <c r="X1252" s="336">
        <f t="shared" si="603"/>
        <v>0</v>
      </c>
      <c r="Y1252" s="320"/>
      <c r="Z1252" s="321" t="str">
        <f t="shared" si="623"/>
        <v>X-CUAELEA</v>
      </c>
      <c r="AA1252" s="321" t="str">
        <f t="shared" si="624"/>
        <v>X-CUAELEE</v>
      </c>
      <c r="AB1252" s="321" t="str">
        <f t="shared" si="625"/>
        <v>X-CUAELEM</v>
      </c>
      <c r="AC1252" s="321" t="str">
        <f t="shared" si="626"/>
        <v>X-CUAELET</v>
      </c>
      <c r="AD1252" s="321" t="str">
        <f t="shared" si="627"/>
        <v>X-CUAELES</v>
      </c>
      <c r="AE1252" s="321" t="str">
        <f t="shared" si="628"/>
        <v>X-CUAELEX</v>
      </c>
      <c r="AF1252" s="321" t="str">
        <f t="shared" si="629"/>
        <v>X-CUAELEM</v>
      </c>
      <c r="AG1252" s="321">
        <f t="shared" si="604"/>
        <v>3</v>
      </c>
      <c r="AH1252" s="321">
        <f>IF(B1252&lt;&gt;"",IF(H1252="x",VLOOKUP(I1252,'AUX-NIV3'!B:AG,32,FALSE),0),"")</f>
        <v>0</v>
      </c>
      <c r="AI1252" s="321" t="str">
        <f t="shared" si="630"/>
        <v>X-CUAELE</v>
      </c>
      <c r="AJ1252" s="320"/>
      <c r="AK1252" s="322">
        <f t="shared" si="605"/>
        <v>1250</v>
      </c>
      <c r="AL1252" s="323">
        <f t="shared" si="631"/>
        <v>1252</v>
      </c>
      <c r="AM1252" s="322">
        <f t="shared" si="632"/>
        <v>3</v>
      </c>
      <c r="AN1252" s="380">
        <f>IF(AND(AH1252&gt;0,B1252&lt;&gt;""),VLOOKUP(I1252,'AUX-NIV3'!$B:$AO,39,FALSE)*O1252,0)</f>
        <v>0</v>
      </c>
      <c r="AO1252" s="380">
        <f t="shared" si="606"/>
        <v>5</v>
      </c>
      <c r="AP1252" s="380"/>
    </row>
    <row r="1253" spans="2:42" ht="14.4" hidden="1" thickTop="1" thickBot="1">
      <c r="B1253" s="501" t="s">
        <v>3342</v>
      </c>
      <c r="C1253" s="951" t="s">
        <v>3341</v>
      </c>
      <c r="D1253" s="326" t="s">
        <v>2938</v>
      </c>
      <c r="E1253" s="327">
        <f>IF(B1253&lt;&gt;"",SUMIF('AUX-NIV1'!I:I,'AUX-NIV2'!B1253,'AUX-NIV1'!Q:Q),"")</f>
        <v>0</v>
      </c>
      <c r="F1253" s="327">
        <f t="shared" si="596"/>
        <v>3437.6476160951497</v>
      </c>
      <c r="G1253" s="327">
        <f t="shared" si="597"/>
        <v>0</v>
      </c>
      <c r="H1253" s="328" t="str">
        <f t="shared" si="633"/>
        <v>A</v>
      </c>
      <c r="I1253" s="324" t="s">
        <v>1745</v>
      </c>
      <c r="J1253" s="431" t="str">
        <f>IF(B1253&lt;&gt;"",+VLOOKUP(I1253,Recursos!C:F,2,FALSE),"")</f>
        <v>AYUDANTE</v>
      </c>
      <c r="K1253" s="330" t="str">
        <f>IF(B1253&lt;&gt;"",+VLOOKUP(I1253,Recursos!C:F,3,FALSE),"")</f>
        <v>hh</v>
      </c>
      <c r="L1253" s="446">
        <f>IF(B1253&lt;&gt;"",+VLOOKUP(I1253,Recursos!C:F,4,FALSE),"")</f>
        <v>422.48042769667234</v>
      </c>
      <c r="M1253" s="1003">
        <v>1.25</v>
      </c>
      <c r="N1253" s="1002">
        <v>5</v>
      </c>
      <c r="O1253" s="449">
        <f>N1253*M1253</f>
        <v>6.25</v>
      </c>
      <c r="P1253" s="333">
        <f t="shared" si="634"/>
        <v>2640.5026731042021</v>
      </c>
      <c r="Q1253" s="327">
        <f t="shared" si="635"/>
        <v>0</v>
      </c>
      <c r="R1253" s="334">
        <f t="shared" si="636"/>
        <v>0</v>
      </c>
      <c r="S1253" s="335">
        <f t="shared" si="598"/>
        <v>3261.6476160951497</v>
      </c>
      <c r="T1253" s="335">
        <f t="shared" si="599"/>
        <v>0</v>
      </c>
      <c r="U1253" s="336">
        <f t="shared" si="600"/>
        <v>176</v>
      </c>
      <c r="V1253" s="336">
        <f t="shared" si="601"/>
        <v>0</v>
      </c>
      <c r="W1253" s="336">
        <f t="shared" si="602"/>
        <v>0</v>
      </c>
      <c r="X1253" s="336">
        <f t="shared" si="603"/>
        <v>0</v>
      </c>
      <c r="Y1253" s="320"/>
      <c r="Z1253" s="321" t="str">
        <f t="shared" si="623"/>
        <v>X-CUAJARA</v>
      </c>
      <c r="AA1253" s="321" t="str">
        <f t="shared" si="624"/>
        <v>X-CUAJARE</v>
      </c>
      <c r="AB1253" s="321" t="str">
        <f t="shared" si="625"/>
        <v>X-CUAJARM</v>
      </c>
      <c r="AC1253" s="321" t="str">
        <f t="shared" si="626"/>
        <v>X-CUAJART</v>
      </c>
      <c r="AD1253" s="321" t="str">
        <f t="shared" si="627"/>
        <v>X-CUAJARS</v>
      </c>
      <c r="AE1253" s="321" t="str">
        <f t="shared" si="628"/>
        <v>X-CUAJARX</v>
      </c>
      <c r="AF1253" s="321" t="str">
        <f t="shared" si="629"/>
        <v>X-CUAJARA</v>
      </c>
      <c r="AG1253" s="321">
        <f t="shared" si="604"/>
        <v>4</v>
      </c>
      <c r="AH1253" s="321">
        <f>IF(B1253&lt;&gt;"",IF(H1253="x",VLOOKUP(I1253,'AUX-NIV3'!B:AG,32,FALSE),0),"")</f>
        <v>0</v>
      </c>
      <c r="AI1253" s="321" t="str">
        <f t="shared" si="630"/>
        <v>X-CUAJAR</v>
      </c>
      <c r="AJ1253" s="320"/>
      <c r="AK1253" s="322">
        <f t="shared" si="605"/>
        <v>1253</v>
      </c>
      <c r="AL1253" s="323">
        <f t="shared" si="631"/>
        <v>1256</v>
      </c>
      <c r="AM1253" s="322">
        <f t="shared" si="632"/>
        <v>1</v>
      </c>
      <c r="AN1253" s="380">
        <f>IF(AND(AH1253&gt;0,B1253&lt;&gt;""),VLOOKUP(I1253,'AUX-NIV3'!$B:$AO,39,FALSE)*O1253,0)</f>
        <v>0</v>
      </c>
      <c r="AO1253" s="380">
        <f t="shared" si="606"/>
        <v>7.5</v>
      </c>
      <c r="AP1253" s="380"/>
    </row>
    <row r="1254" spans="2:42" ht="14.4" hidden="1" thickTop="1" thickBot="1">
      <c r="B1254" s="501" t="s">
        <v>3342</v>
      </c>
      <c r="C1254" s="951" t="s">
        <v>3341</v>
      </c>
      <c r="D1254" s="326" t="s">
        <v>2938</v>
      </c>
      <c r="E1254" s="327">
        <f>IF(B1254&lt;&gt;"",SUMIF('AUX-NIV1'!I:I,'AUX-NIV2'!B1254,'AUX-NIV1'!Q:Q),"")</f>
        <v>0</v>
      </c>
      <c r="F1254" s="327">
        <f t="shared" si="596"/>
        <v>3437.6476160951497</v>
      </c>
      <c r="G1254" s="327">
        <f t="shared" si="597"/>
        <v>0</v>
      </c>
      <c r="H1254" s="328" t="str">
        <f t="shared" si="633"/>
        <v>A</v>
      </c>
      <c r="I1254" s="324" t="s">
        <v>1746</v>
      </c>
      <c r="J1254" s="431" t="str">
        <f>IF(B1254&lt;&gt;"",+VLOOKUP(I1254,Recursos!C:F,2,FALSE),"")</f>
        <v>OFICIAL</v>
      </c>
      <c r="K1254" s="330" t="str">
        <f>IF(B1254&lt;&gt;"",+VLOOKUP(I1254,Recursos!C:F,3,FALSE),"")</f>
        <v>hh</v>
      </c>
      <c r="L1254" s="446">
        <f>IF(B1254&lt;&gt;"",+VLOOKUP(I1254,Recursos!C:F,4,FALSE),"")</f>
        <v>496.91595439275824</v>
      </c>
      <c r="M1254" s="963"/>
      <c r="N1254" s="962">
        <v>1</v>
      </c>
      <c r="O1254" s="449">
        <f>N1254*M1253</f>
        <v>1.25</v>
      </c>
      <c r="P1254" s="333">
        <f t="shared" si="634"/>
        <v>621.14494299094781</v>
      </c>
      <c r="Q1254" s="327">
        <f t="shared" si="635"/>
        <v>0</v>
      </c>
      <c r="R1254" s="334">
        <f t="shared" si="636"/>
        <v>0</v>
      </c>
      <c r="S1254" s="335">
        <f t="shared" si="598"/>
        <v>3261.6476160951497</v>
      </c>
      <c r="T1254" s="335">
        <f t="shared" si="599"/>
        <v>0</v>
      </c>
      <c r="U1254" s="336">
        <f t="shared" si="600"/>
        <v>176</v>
      </c>
      <c r="V1254" s="336">
        <f t="shared" si="601"/>
        <v>0</v>
      </c>
      <c r="W1254" s="336">
        <f t="shared" si="602"/>
        <v>0</v>
      </c>
      <c r="X1254" s="336">
        <f t="shared" si="603"/>
        <v>0</v>
      </c>
      <c r="Y1254" s="320"/>
      <c r="Z1254" s="321" t="str">
        <f t="shared" si="623"/>
        <v>X-CUAJARA</v>
      </c>
      <c r="AA1254" s="321" t="str">
        <f t="shared" si="624"/>
        <v>X-CUAJARE</v>
      </c>
      <c r="AB1254" s="321" t="str">
        <f t="shared" si="625"/>
        <v>X-CUAJARM</v>
      </c>
      <c r="AC1254" s="321" t="str">
        <f t="shared" si="626"/>
        <v>X-CUAJART</v>
      </c>
      <c r="AD1254" s="321" t="str">
        <f t="shared" si="627"/>
        <v>X-CUAJARS</v>
      </c>
      <c r="AE1254" s="321" t="str">
        <f t="shared" si="628"/>
        <v>X-CUAJARX</v>
      </c>
      <c r="AF1254" s="321" t="str">
        <f t="shared" si="629"/>
        <v>X-CUAJARA</v>
      </c>
      <c r="AG1254" s="321">
        <f t="shared" si="604"/>
        <v>4</v>
      </c>
      <c r="AH1254" s="321">
        <f>IF(B1254&lt;&gt;"",IF(H1254="x",VLOOKUP(I1254,'AUX-NIV3'!B:AG,32,FALSE),0),"")</f>
        <v>0</v>
      </c>
      <c r="AI1254" s="321" t="str">
        <f t="shared" si="630"/>
        <v>X-CUAJAR</v>
      </c>
      <c r="AJ1254" s="320"/>
      <c r="AK1254" s="322">
        <f t="shared" si="605"/>
        <v>1253</v>
      </c>
      <c r="AL1254" s="323">
        <f t="shared" si="631"/>
        <v>1256</v>
      </c>
      <c r="AM1254" s="322">
        <f t="shared" si="632"/>
        <v>2</v>
      </c>
      <c r="AN1254" s="380">
        <f>IF(AND(AH1254&gt;0,B1254&lt;&gt;""),VLOOKUP(I1254,'AUX-NIV3'!$B:$AO,39,FALSE)*O1254,0)</f>
        <v>0</v>
      </c>
      <c r="AO1254" s="380">
        <f t="shared" si="606"/>
        <v>7.5</v>
      </c>
      <c r="AP1254" s="380"/>
    </row>
    <row r="1255" spans="2:42" ht="14.4" hidden="1" thickTop="1" thickBot="1">
      <c r="B1255" s="501" t="s">
        <v>3342</v>
      </c>
      <c r="C1255" s="951" t="s">
        <v>3341</v>
      </c>
      <c r="D1255" s="326" t="s">
        <v>2938</v>
      </c>
      <c r="E1255" s="327">
        <f>IF(B1255&lt;&gt;"",SUMIF('AUX-NIV1'!I:I,'AUX-NIV2'!B1255,'AUX-NIV1'!Q:Q),"")</f>
        <v>0</v>
      </c>
      <c r="F1255" s="327">
        <f t="shared" si="596"/>
        <v>3437.6476160951497</v>
      </c>
      <c r="G1255" s="327">
        <f t="shared" si="597"/>
        <v>0</v>
      </c>
      <c r="H1255" s="328" t="str">
        <f t="shared" si="633"/>
        <v>M</v>
      </c>
      <c r="I1255" s="324" t="s">
        <v>621</v>
      </c>
      <c r="J1255" s="431" t="str">
        <f>IF(B1255&lt;&gt;"",+VLOOKUP(I1255,Recursos!C:F,2,FALSE),"")</f>
        <v>MATERIALES VARIOS</v>
      </c>
      <c r="K1255" s="330" t="str">
        <f>IF(B1255&lt;&gt;"",+VLOOKUP(I1255,Recursos!C:F,3,FALSE),"")</f>
        <v>GL</v>
      </c>
      <c r="L1255" s="446">
        <f>IF(B1255&lt;&gt;"",+VLOOKUP(I1255,Recursos!C:F,4,FALSE),"")</f>
        <v>0.5</v>
      </c>
      <c r="M1255" s="963"/>
      <c r="N1255" s="962">
        <f>3200*0.01</f>
        <v>32</v>
      </c>
      <c r="O1255" s="449">
        <f>N1255</f>
        <v>32</v>
      </c>
      <c r="P1255" s="333">
        <f t="shared" si="634"/>
        <v>16</v>
      </c>
      <c r="Q1255" s="327">
        <f t="shared" si="635"/>
        <v>0</v>
      </c>
      <c r="R1255" s="334">
        <f t="shared" si="636"/>
        <v>0</v>
      </c>
      <c r="S1255" s="335">
        <f t="shared" si="598"/>
        <v>3261.6476160951497</v>
      </c>
      <c r="T1255" s="335">
        <f t="shared" si="599"/>
        <v>0</v>
      </c>
      <c r="U1255" s="336">
        <f t="shared" si="600"/>
        <v>176</v>
      </c>
      <c r="V1255" s="336">
        <f t="shared" si="601"/>
        <v>0</v>
      </c>
      <c r="W1255" s="336">
        <f t="shared" si="602"/>
        <v>0</v>
      </c>
      <c r="X1255" s="336">
        <f t="shared" si="603"/>
        <v>0</v>
      </c>
      <c r="Y1255" s="320"/>
      <c r="Z1255" s="321" t="str">
        <f t="shared" si="623"/>
        <v>X-CUAJARA</v>
      </c>
      <c r="AA1255" s="321" t="str">
        <f t="shared" si="624"/>
        <v>X-CUAJARE</v>
      </c>
      <c r="AB1255" s="321" t="str">
        <f t="shared" si="625"/>
        <v>X-CUAJARM</v>
      </c>
      <c r="AC1255" s="321" t="str">
        <f t="shared" si="626"/>
        <v>X-CUAJART</v>
      </c>
      <c r="AD1255" s="321" t="str">
        <f t="shared" si="627"/>
        <v>X-CUAJARS</v>
      </c>
      <c r="AE1255" s="321" t="str">
        <f t="shared" si="628"/>
        <v>X-CUAJARX</v>
      </c>
      <c r="AF1255" s="321" t="str">
        <f t="shared" si="629"/>
        <v>X-CUAJARM</v>
      </c>
      <c r="AG1255" s="321">
        <f t="shared" si="604"/>
        <v>4</v>
      </c>
      <c r="AH1255" s="321">
        <f>IF(B1255&lt;&gt;"",IF(H1255="x",VLOOKUP(I1255,'AUX-NIV3'!B:AG,32,FALSE),0),"")</f>
        <v>0</v>
      </c>
      <c r="AI1255" s="321" t="str">
        <f t="shared" si="630"/>
        <v>X-CUAJAR</v>
      </c>
      <c r="AJ1255" s="320"/>
      <c r="AK1255" s="322">
        <f t="shared" si="605"/>
        <v>1253</v>
      </c>
      <c r="AL1255" s="323">
        <f t="shared" si="631"/>
        <v>1256</v>
      </c>
      <c r="AM1255" s="322">
        <f t="shared" si="632"/>
        <v>3</v>
      </c>
      <c r="AN1255" s="380">
        <f>IF(AND(AH1255&gt;0,B1255&lt;&gt;""),VLOOKUP(I1255,'AUX-NIV3'!$B:$AO,39,FALSE)*O1255,0)</f>
        <v>0</v>
      </c>
      <c r="AO1255" s="380">
        <f t="shared" si="606"/>
        <v>7.5</v>
      </c>
      <c r="AP1255" s="380"/>
    </row>
    <row r="1256" spans="2:42" ht="14.4" hidden="1" thickTop="1" thickBot="1">
      <c r="B1256" s="501" t="s">
        <v>3342</v>
      </c>
      <c r="C1256" s="951" t="s">
        <v>3341</v>
      </c>
      <c r="D1256" s="326" t="s">
        <v>2938</v>
      </c>
      <c r="E1256" s="327">
        <f>IF(B1256&lt;&gt;"",SUMIF('AUX-NIV1'!I:I,'AUX-NIV2'!B1256,'AUX-NIV1'!Q:Q),"")</f>
        <v>0</v>
      </c>
      <c r="F1256" s="327">
        <f t="shared" si="596"/>
        <v>3437.6476160951497</v>
      </c>
      <c r="G1256" s="327">
        <f t="shared" si="597"/>
        <v>0</v>
      </c>
      <c r="H1256" s="328" t="str">
        <f>IF(B1256&lt;&gt;"",+LEFT(I1256,1),"")</f>
        <v>M</v>
      </c>
      <c r="I1256" s="324" t="s">
        <v>2142</v>
      </c>
      <c r="J1256" s="431" t="str">
        <f>IF(B1256&lt;&gt;"",+VLOOKUP(I1256,Recursos!C:F,2,FALSE),"")</f>
        <v>HERRAMIENTAS MENORES</v>
      </c>
      <c r="K1256" s="330" t="str">
        <f>IF(B1256&lt;&gt;"",+VLOOKUP(I1256,Recursos!C:F,3,FALSE),"")</f>
        <v>un</v>
      </c>
      <c r="L1256" s="446">
        <f>IF(B1256&lt;&gt;"",+VLOOKUP(I1256,Recursos!C:F,4,FALSE),"")</f>
        <v>1</v>
      </c>
      <c r="M1256" s="963"/>
      <c r="N1256" s="962">
        <f>3200*0.05</f>
        <v>160</v>
      </c>
      <c r="O1256" s="449">
        <f>N1256</f>
        <v>160</v>
      </c>
      <c r="P1256" s="333">
        <f>IF(B1256&lt;&gt;"",O1256*L1256,"")</f>
        <v>160</v>
      </c>
      <c r="Q1256" s="327">
        <f>IF(B1256&lt;&gt;"",+O1256*E1256,"")</f>
        <v>0</v>
      </c>
      <c r="R1256" s="334">
        <f>IF(B1256&lt;&gt;"",Q1256*L1256,"")</f>
        <v>0</v>
      </c>
      <c r="S1256" s="335">
        <f t="shared" si="598"/>
        <v>3261.6476160951497</v>
      </c>
      <c r="T1256" s="335">
        <f t="shared" si="599"/>
        <v>0</v>
      </c>
      <c r="U1256" s="336">
        <f t="shared" si="600"/>
        <v>176</v>
      </c>
      <c r="V1256" s="336">
        <f t="shared" si="601"/>
        <v>0</v>
      </c>
      <c r="W1256" s="336">
        <f t="shared" si="602"/>
        <v>0</v>
      </c>
      <c r="X1256" s="336">
        <f t="shared" si="603"/>
        <v>0</v>
      </c>
      <c r="Y1256" s="320"/>
      <c r="Z1256" s="321" t="str">
        <f t="shared" si="623"/>
        <v>X-CUAJARA</v>
      </c>
      <c r="AA1256" s="321" t="str">
        <f t="shared" si="624"/>
        <v>X-CUAJARE</v>
      </c>
      <c r="AB1256" s="321" t="str">
        <f t="shared" si="625"/>
        <v>X-CUAJARM</v>
      </c>
      <c r="AC1256" s="321" t="str">
        <f t="shared" si="626"/>
        <v>X-CUAJART</v>
      </c>
      <c r="AD1256" s="321" t="str">
        <f t="shared" si="627"/>
        <v>X-CUAJARS</v>
      </c>
      <c r="AE1256" s="321" t="str">
        <f t="shared" si="628"/>
        <v>X-CUAJARX</v>
      </c>
      <c r="AF1256" s="321" t="str">
        <f t="shared" si="629"/>
        <v>X-CUAJARM</v>
      </c>
      <c r="AG1256" s="321">
        <f t="shared" si="604"/>
        <v>4</v>
      </c>
      <c r="AH1256" s="321">
        <f>IF(B1256&lt;&gt;"",IF(H1256="x",VLOOKUP(I1256,'AUX-NIV3'!B:AG,32,FALSE),0),"")</f>
        <v>0</v>
      </c>
      <c r="AI1256" s="321" t="str">
        <f t="shared" si="630"/>
        <v>X-CUAJAR</v>
      </c>
      <c r="AJ1256" s="320"/>
      <c r="AK1256" s="322">
        <f t="shared" si="605"/>
        <v>1253</v>
      </c>
      <c r="AL1256" s="323">
        <f t="shared" si="631"/>
        <v>1256</v>
      </c>
      <c r="AM1256" s="322">
        <f t="shared" si="632"/>
        <v>4</v>
      </c>
      <c r="AN1256" s="380">
        <f>IF(AND(AH1256&gt;0,B1256&lt;&gt;""),VLOOKUP(I1256,'AUX-NIV3'!$B:$AO,39,FALSE)*O1256,0)</f>
        <v>0</v>
      </c>
      <c r="AO1256" s="380">
        <f t="shared" si="606"/>
        <v>7.5</v>
      </c>
      <c r="AP1256" s="380"/>
    </row>
    <row r="1257" spans="2:42" ht="14.4" hidden="1" thickTop="1" thickBot="1">
      <c r="B1257" s="501" t="s">
        <v>3374</v>
      </c>
      <c r="C1257" s="951" t="s">
        <v>3375</v>
      </c>
      <c r="D1257" s="326" t="s">
        <v>2938</v>
      </c>
      <c r="E1257" s="327">
        <f>IF(B1257&lt;&gt;"",SUMIF('AUX-NIV1'!I:I,'AUX-NIV2'!B1257,'AUX-NIV1'!Q:Q),"")</f>
        <v>0</v>
      </c>
      <c r="F1257" s="327">
        <f t="shared" si="596"/>
        <v>5946.3529031782746</v>
      </c>
      <c r="G1257" s="327">
        <f t="shared" si="597"/>
        <v>0</v>
      </c>
      <c r="H1257" s="328" t="str">
        <f t="shared" ref="H1257:H1264" si="637">IF(B1257&lt;&gt;"",+LEFT(I1257,1),"")</f>
        <v>E</v>
      </c>
      <c r="I1257" s="324" t="s">
        <v>1555</v>
      </c>
      <c r="J1257" s="431" t="str">
        <f>IF(B1257&lt;&gt;"",+VLOOKUP(I1257,Recursos!C:F,2,FALSE),"")</f>
        <v>CAMION VOLCADOR 6x4 CAP. 24 T=15 m3</v>
      </c>
      <c r="K1257" s="330" t="str">
        <f>IF(B1257&lt;&gt;"",+VLOOKUP(I1257,Recursos!C:F,3,FALSE),"")</f>
        <v>HR</v>
      </c>
      <c r="L1257" s="446">
        <f>IF(B1257&lt;&gt;"",+VLOOKUP(I1257,Recursos!C:F,4,FALSE),"")</f>
        <v>3333.261</v>
      </c>
      <c r="M1257" s="1010">
        <v>1.25</v>
      </c>
      <c r="N1257" s="1011">
        <v>0.2</v>
      </c>
      <c r="O1257" s="449">
        <f>N1257</f>
        <v>0.2</v>
      </c>
      <c r="P1257" s="333">
        <f t="shared" ref="P1257:P1264" si="638">IF(B1257&lt;&gt;"",O1257*L1257,"")</f>
        <v>666.65219999999999</v>
      </c>
      <c r="Q1257" s="327">
        <f t="shared" ref="Q1257:Q1264" si="639">IF(B1257&lt;&gt;"",+O1257*E1257,"")</f>
        <v>0</v>
      </c>
      <c r="R1257" s="334">
        <f t="shared" ref="R1257:R1264" si="640">IF(B1257&lt;&gt;"",Q1257*L1257,"")</f>
        <v>0</v>
      </c>
      <c r="S1257" s="335">
        <f t="shared" si="598"/>
        <v>1490.7478631782747</v>
      </c>
      <c r="T1257" s="335">
        <f t="shared" si="599"/>
        <v>4455.6050400000004</v>
      </c>
      <c r="U1257" s="336">
        <f t="shared" si="600"/>
        <v>0</v>
      </c>
      <c r="V1257" s="336">
        <f t="shared" si="601"/>
        <v>0</v>
      </c>
      <c r="W1257" s="336">
        <f t="shared" si="602"/>
        <v>0</v>
      </c>
      <c r="X1257" s="336">
        <f t="shared" si="603"/>
        <v>0</v>
      </c>
      <c r="Y1257" s="320"/>
      <c r="Z1257" s="321" t="str">
        <f t="shared" si="623"/>
        <v>X-EQJARA</v>
      </c>
      <c r="AA1257" s="321" t="str">
        <f t="shared" si="624"/>
        <v>X-EQJARE</v>
      </c>
      <c r="AB1257" s="321" t="str">
        <f t="shared" si="625"/>
        <v>X-EQJARM</v>
      </c>
      <c r="AC1257" s="321" t="str">
        <f t="shared" si="626"/>
        <v>X-EQJART</v>
      </c>
      <c r="AD1257" s="321" t="str">
        <f t="shared" si="627"/>
        <v>X-EQJARS</v>
      </c>
      <c r="AE1257" s="321" t="str">
        <f t="shared" si="628"/>
        <v>X-EQJARX</v>
      </c>
      <c r="AF1257" s="321" t="str">
        <f t="shared" si="629"/>
        <v>X-EQJARE</v>
      </c>
      <c r="AG1257" s="321">
        <f t="shared" si="604"/>
        <v>9</v>
      </c>
      <c r="AH1257" s="321">
        <f>IF(B1257&lt;&gt;"",IF(H1257="x",VLOOKUP(I1257,'AUX-NIV3'!B:AG,32,FALSE),0),"")</f>
        <v>0</v>
      </c>
      <c r="AI1257" s="321" t="str">
        <f t="shared" si="630"/>
        <v>X-EQJAR</v>
      </c>
      <c r="AJ1257" s="320"/>
      <c r="AK1257" s="322">
        <f t="shared" si="605"/>
        <v>1257</v>
      </c>
      <c r="AL1257" s="323">
        <f t="shared" si="631"/>
        <v>1265</v>
      </c>
      <c r="AM1257" s="322">
        <f t="shared" si="632"/>
        <v>1</v>
      </c>
      <c r="AN1257" s="380">
        <f>IF(AND(AH1257&gt;0,B1257&lt;&gt;""),VLOOKUP(I1257,'AUX-NIV3'!$B:$AO,39,FALSE)*O1257,0)</f>
        <v>0</v>
      </c>
      <c r="AO1257" s="380">
        <f t="shared" si="606"/>
        <v>3</v>
      </c>
      <c r="AP1257" s="380"/>
    </row>
    <row r="1258" spans="2:42" ht="14.4" hidden="1" thickTop="1" thickBot="1">
      <c r="B1258" s="501" t="s">
        <v>3374</v>
      </c>
      <c r="C1258" s="951" t="s">
        <v>3375</v>
      </c>
      <c r="D1258" s="326" t="s">
        <v>2938</v>
      </c>
      <c r="E1258" s="327">
        <f>IF(B1258&lt;&gt;"",SUMIF('AUX-NIV1'!I:I,'AUX-NIV2'!B1258,'AUX-NIV1'!Q:Q),"")</f>
        <v>0</v>
      </c>
      <c r="F1258" s="327">
        <f t="shared" si="596"/>
        <v>5946.3529031782746</v>
      </c>
      <c r="G1258" s="327">
        <f t="shared" si="597"/>
        <v>0</v>
      </c>
      <c r="H1258" s="328" t="str">
        <f t="shared" si="637"/>
        <v>A</v>
      </c>
      <c r="I1258" s="324" t="s">
        <v>1746</v>
      </c>
      <c r="J1258" s="431" t="str">
        <f>IF(B1258&lt;&gt;"",+VLOOKUP(I1258,Recursos!C:F,2,FALSE),"")</f>
        <v>OFICIAL</v>
      </c>
      <c r="K1258" s="330" t="str">
        <f>IF(B1258&lt;&gt;"",+VLOOKUP(I1258,Recursos!C:F,3,FALSE),"")</f>
        <v>hh</v>
      </c>
      <c r="L1258" s="446">
        <f>IF(B1258&lt;&gt;"",+VLOOKUP(I1258,Recursos!C:F,4,FALSE),"")</f>
        <v>496.91595439275824</v>
      </c>
      <c r="M1258" s="767"/>
      <c r="N1258" s="1012"/>
      <c r="O1258" s="449">
        <f>N1257*M1257</f>
        <v>0.25</v>
      </c>
      <c r="P1258" s="333">
        <f t="shared" si="638"/>
        <v>124.22898859818956</v>
      </c>
      <c r="Q1258" s="327">
        <f t="shared" si="639"/>
        <v>0</v>
      </c>
      <c r="R1258" s="334">
        <f t="shared" si="640"/>
        <v>0</v>
      </c>
      <c r="S1258" s="335">
        <f t="shared" si="598"/>
        <v>1490.7478631782747</v>
      </c>
      <c r="T1258" s="335">
        <f t="shared" si="599"/>
        <v>4455.6050400000004</v>
      </c>
      <c r="U1258" s="336">
        <f t="shared" si="600"/>
        <v>0</v>
      </c>
      <c r="V1258" s="336">
        <f t="shared" si="601"/>
        <v>0</v>
      </c>
      <c r="W1258" s="336">
        <f t="shared" si="602"/>
        <v>0</v>
      </c>
      <c r="X1258" s="336">
        <f t="shared" si="603"/>
        <v>0</v>
      </c>
      <c r="Y1258" s="320"/>
      <c r="Z1258" s="321" t="str">
        <f t="shared" si="623"/>
        <v>X-EQJARA</v>
      </c>
      <c r="AA1258" s="321" t="str">
        <f t="shared" si="624"/>
        <v>X-EQJARE</v>
      </c>
      <c r="AB1258" s="321" t="str">
        <f t="shared" si="625"/>
        <v>X-EQJARM</v>
      </c>
      <c r="AC1258" s="321" t="str">
        <f t="shared" si="626"/>
        <v>X-EQJART</v>
      </c>
      <c r="AD1258" s="321" t="str">
        <f t="shared" si="627"/>
        <v>X-EQJARS</v>
      </c>
      <c r="AE1258" s="321" t="str">
        <f t="shared" si="628"/>
        <v>X-EQJARX</v>
      </c>
      <c r="AF1258" s="321" t="str">
        <f t="shared" si="629"/>
        <v>X-EQJARA</v>
      </c>
      <c r="AG1258" s="321">
        <f t="shared" si="604"/>
        <v>9</v>
      </c>
      <c r="AH1258" s="321">
        <f>IF(B1258&lt;&gt;"",IF(H1258="x",VLOOKUP(I1258,'AUX-NIV3'!B:AG,32,FALSE),0),"")</f>
        <v>0</v>
      </c>
      <c r="AI1258" s="321" t="str">
        <f t="shared" si="630"/>
        <v>X-EQJAR</v>
      </c>
      <c r="AJ1258" s="320"/>
      <c r="AK1258" s="322">
        <f t="shared" si="605"/>
        <v>1257</v>
      </c>
      <c r="AL1258" s="323">
        <f t="shared" si="631"/>
        <v>1265</v>
      </c>
      <c r="AM1258" s="322">
        <f t="shared" si="632"/>
        <v>2</v>
      </c>
      <c r="AN1258" s="380">
        <f>IF(AND(AH1258&gt;0,B1258&lt;&gt;""),VLOOKUP(I1258,'AUX-NIV3'!$B:$AO,39,FALSE)*O1258,0)</f>
        <v>0</v>
      </c>
      <c r="AO1258" s="380">
        <f t="shared" si="606"/>
        <v>3</v>
      </c>
      <c r="AP1258" s="380"/>
    </row>
    <row r="1259" spans="2:42" ht="14.4" hidden="1" thickTop="1" thickBot="1">
      <c r="B1259" s="501" t="s">
        <v>3374</v>
      </c>
      <c r="C1259" s="951" t="s">
        <v>3375</v>
      </c>
      <c r="D1259" s="326" t="s">
        <v>2938</v>
      </c>
      <c r="E1259" s="327">
        <f>IF(B1259&lt;&gt;"",SUMIF('AUX-NIV1'!I:I,'AUX-NIV2'!B1259,'AUX-NIV1'!Q:Q),"")</f>
        <v>0</v>
      </c>
      <c r="F1259" s="327">
        <f t="shared" si="596"/>
        <v>5946.3529031782746</v>
      </c>
      <c r="G1259" s="327">
        <f t="shared" si="597"/>
        <v>0</v>
      </c>
      <c r="H1259" s="328" t="str">
        <f t="shared" si="637"/>
        <v>E</v>
      </c>
      <c r="I1259" s="324" t="s">
        <v>1549</v>
      </c>
      <c r="J1259" s="431" t="str">
        <f>IF(B1259&lt;&gt;"",+VLOOKUP(I1259,Recursos!C:F,2,FALSE),"")</f>
        <v>RETROEXC. CARG. S/ROD.NEUM. 0.24 M3</v>
      </c>
      <c r="K1259" s="330" t="str">
        <f>IF(B1259&lt;&gt;"",+VLOOKUP(I1259,Recursos!C:F,3,FALSE),"")</f>
        <v>HR</v>
      </c>
      <c r="L1259" s="446">
        <f>IF(B1259&lt;&gt;"",+VLOOKUP(I1259,Recursos!C:F,4,FALSE),"")</f>
        <v>1761.0672000000002</v>
      </c>
      <c r="M1259" s="767"/>
      <c r="N1259" s="1013">
        <v>0.2</v>
      </c>
      <c r="O1259" s="449">
        <f>N1259</f>
        <v>0.2</v>
      </c>
      <c r="P1259" s="333">
        <f t="shared" si="638"/>
        <v>352.21344000000005</v>
      </c>
      <c r="Q1259" s="327">
        <f t="shared" si="639"/>
        <v>0</v>
      </c>
      <c r="R1259" s="334">
        <f t="shared" si="640"/>
        <v>0</v>
      </c>
      <c r="S1259" s="335">
        <f t="shared" si="598"/>
        <v>1490.7478631782747</v>
      </c>
      <c r="T1259" s="335">
        <f t="shared" si="599"/>
        <v>4455.6050400000004</v>
      </c>
      <c r="U1259" s="336">
        <f t="shared" si="600"/>
        <v>0</v>
      </c>
      <c r="V1259" s="336">
        <f t="shared" si="601"/>
        <v>0</v>
      </c>
      <c r="W1259" s="336">
        <f t="shared" si="602"/>
        <v>0</v>
      </c>
      <c r="X1259" s="336">
        <f t="shared" si="603"/>
        <v>0</v>
      </c>
      <c r="Y1259" s="320"/>
      <c r="Z1259" s="321" t="str">
        <f t="shared" si="623"/>
        <v>X-EQJARA</v>
      </c>
      <c r="AA1259" s="321" t="str">
        <f t="shared" si="624"/>
        <v>X-EQJARE</v>
      </c>
      <c r="AB1259" s="321" t="str">
        <f t="shared" si="625"/>
        <v>X-EQJARM</v>
      </c>
      <c r="AC1259" s="321" t="str">
        <f t="shared" si="626"/>
        <v>X-EQJART</v>
      </c>
      <c r="AD1259" s="321" t="str">
        <f t="shared" si="627"/>
        <v>X-EQJARS</v>
      </c>
      <c r="AE1259" s="321" t="str">
        <f t="shared" si="628"/>
        <v>X-EQJARX</v>
      </c>
      <c r="AF1259" s="321" t="str">
        <f t="shared" si="629"/>
        <v>X-EQJARE</v>
      </c>
      <c r="AG1259" s="321">
        <f t="shared" si="604"/>
        <v>9</v>
      </c>
      <c r="AH1259" s="321">
        <f>IF(B1259&lt;&gt;"",IF(H1259="x",VLOOKUP(I1259,'AUX-NIV3'!B:AG,32,FALSE),0),"")</f>
        <v>0</v>
      </c>
      <c r="AI1259" s="321" t="str">
        <f t="shared" si="630"/>
        <v>X-EQJAR</v>
      </c>
      <c r="AJ1259" s="320"/>
      <c r="AK1259" s="322">
        <f t="shared" si="605"/>
        <v>1257</v>
      </c>
      <c r="AL1259" s="323">
        <f t="shared" si="631"/>
        <v>1265</v>
      </c>
      <c r="AM1259" s="322">
        <f t="shared" si="632"/>
        <v>3</v>
      </c>
      <c r="AN1259" s="380">
        <f>IF(AND(AH1259&gt;0,B1259&lt;&gt;""),VLOOKUP(I1259,'AUX-NIV3'!$B:$AO,39,FALSE)*O1259,0)</f>
        <v>0</v>
      </c>
      <c r="AO1259" s="380">
        <f t="shared" si="606"/>
        <v>3</v>
      </c>
      <c r="AP1259" s="380"/>
    </row>
    <row r="1260" spans="2:42" ht="14.4" hidden="1" thickTop="1" thickBot="1">
      <c r="B1260" s="501" t="s">
        <v>3374</v>
      </c>
      <c r="C1260" s="951" t="s">
        <v>3375</v>
      </c>
      <c r="D1260" s="326" t="s">
        <v>2938</v>
      </c>
      <c r="E1260" s="327">
        <f>IF(B1260&lt;&gt;"",SUMIF('AUX-NIV1'!I:I,'AUX-NIV2'!B1260,'AUX-NIV1'!Q:Q),"")</f>
        <v>0</v>
      </c>
      <c r="F1260" s="327">
        <f t="shared" si="596"/>
        <v>5946.3529031782746</v>
      </c>
      <c r="G1260" s="327">
        <f t="shared" si="597"/>
        <v>0</v>
      </c>
      <c r="H1260" s="328" t="str">
        <f t="shared" si="637"/>
        <v>A</v>
      </c>
      <c r="I1260" s="324" t="s">
        <v>1746</v>
      </c>
      <c r="J1260" s="431" t="str">
        <f>IF(B1260&lt;&gt;"",+VLOOKUP(I1260,Recursos!C:F,2,FALSE),"")</f>
        <v>OFICIAL</v>
      </c>
      <c r="K1260" s="330" t="str">
        <f>IF(B1260&lt;&gt;"",+VLOOKUP(I1260,Recursos!C:F,3,FALSE),"")</f>
        <v>hh</v>
      </c>
      <c r="L1260" s="446">
        <f>IF(B1260&lt;&gt;"",+VLOOKUP(I1260,Recursos!C:F,4,FALSE),"")</f>
        <v>496.91595439275824</v>
      </c>
      <c r="M1260" s="767"/>
      <c r="N1260" s="1012"/>
      <c r="O1260" s="449">
        <f>N1259*M1257</f>
        <v>0.25</v>
      </c>
      <c r="P1260" s="333">
        <f t="shared" si="638"/>
        <v>124.22898859818956</v>
      </c>
      <c r="Q1260" s="327">
        <f t="shared" si="639"/>
        <v>0</v>
      </c>
      <c r="R1260" s="334">
        <f t="shared" si="640"/>
        <v>0</v>
      </c>
      <c r="S1260" s="335">
        <f t="shared" si="598"/>
        <v>1490.7478631782747</v>
      </c>
      <c r="T1260" s="335">
        <f t="shared" si="599"/>
        <v>4455.6050400000004</v>
      </c>
      <c r="U1260" s="336">
        <f t="shared" si="600"/>
        <v>0</v>
      </c>
      <c r="V1260" s="336">
        <f t="shared" si="601"/>
        <v>0</v>
      </c>
      <c r="W1260" s="336">
        <f t="shared" si="602"/>
        <v>0</v>
      </c>
      <c r="X1260" s="336">
        <f t="shared" si="603"/>
        <v>0</v>
      </c>
      <c r="Y1260" s="320"/>
      <c r="Z1260" s="321" t="str">
        <f t="shared" si="623"/>
        <v>X-EQJARA</v>
      </c>
      <c r="AA1260" s="321" t="str">
        <f t="shared" si="624"/>
        <v>X-EQJARE</v>
      </c>
      <c r="AB1260" s="321" t="str">
        <f t="shared" si="625"/>
        <v>X-EQJARM</v>
      </c>
      <c r="AC1260" s="321" t="str">
        <f t="shared" si="626"/>
        <v>X-EQJART</v>
      </c>
      <c r="AD1260" s="321" t="str">
        <f t="shared" si="627"/>
        <v>X-EQJARS</v>
      </c>
      <c r="AE1260" s="321" t="str">
        <f t="shared" si="628"/>
        <v>X-EQJARX</v>
      </c>
      <c r="AF1260" s="321" t="str">
        <f t="shared" si="629"/>
        <v>X-EQJARA</v>
      </c>
      <c r="AG1260" s="321">
        <f t="shared" si="604"/>
        <v>9</v>
      </c>
      <c r="AH1260" s="321">
        <f>IF(B1260&lt;&gt;"",IF(H1260="x",VLOOKUP(I1260,'AUX-NIV3'!B:AG,32,FALSE),0),"")</f>
        <v>0</v>
      </c>
      <c r="AI1260" s="321" t="str">
        <f t="shared" si="630"/>
        <v>X-EQJAR</v>
      </c>
      <c r="AJ1260" s="320"/>
      <c r="AK1260" s="322">
        <f t="shared" si="605"/>
        <v>1257</v>
      </c>
      <c r="AL1260" s="323">
        <f t="shared" si="631"/>
        <v>1265</v>
      </c>
      <c r="AM1260" s="322">
        <f t="shared" si="632"/>
        <v>4</v>
      </c>
      <c r="AN1260" s="380">
        <f>IF(AND(AH1260&gt;0,B1260&lt;&gt;""),VLOOKUP(I1260,'AUX-NIV3'!$B:$AO,39,FALSE)*O1260,0)</f>
        <v>0</v>
      </c>
      <c r="AO1260" s="380">
        <f t="shared" si="606"/>
        <v>3</v>
      </c>
      <c r="AP1260" s="380"/>
    </row>
    <row r="1261" spans="2:42" ht="14.4" hidden="1" thickTop="1" thickBot="1">
      <c r="B1261" s="501" t="s">
        <v>3374</v>
      </c>
      <c r="C1261" s="951" t="s">
        <v>3375</v>
      </c>
      <c r="D1261" s="326" t="s">
        <v>2938</v>
      </c>
      <c r="E1261" s="327">
        <f>IF(B1261&lt;&gt;"",SUMIF('AUX-NIV1'!I:I,'AUX-NIV2'!B1261,'AUX-NIV1'!Q:Q),"")</f>
        <v>0</v>
      </c>
      <c r="F1261" s="327">
        <f t="shared" si="596"/>
        <v>5946.3529031782746</v>
      </c>
      <c r="G1261" s="327">
        <f t="shared" si="597"/>
        <v>0</v>
      </c>
      <c r="H1261" s="328" t="str">
        <f t="shared" si="637"/>
        <v>E</v>
      </c>
      <c r="I1261" s="324" t="s">
        <v>1680</v>
      </c>
      <c r="J1261" s="431" t="str">
        <f>IF(B1261&lt;&gt;"",+VLOOKUP(I1261,Recursos!C:F,2,FALSE),"")</f>
        <v xml:space="preserve">TRACTOR SOBRE NEUMATICOS </v>
      </c>
      <c r="K1261" s="330" t="str">
        <f>IF(B1261&lt;&gt;"",+VLOOKUP(I1261,Recursos!C:F,3,FALSE),"")</f>
        <v>HR</v>
      </c>
      <c r="L1261" s="446">
        <f>IF(B1261&lt;&gt;"",+VLOOKUP(I1261,Recursos!C:F,4,FALSE),"")</f>
        <v>1968.2054000000001</v>
      </c>
      <c r="M1261" s="767"/>
      <c r="N1261" s="1013">
        <v>1</v>
      </c>
      <c r="O1261" s="449">
        <f>N1261</f>
        <v>1</v>
      </c>
      <c r="P1261" s="333">
        <f t="shared" si="638"/>
        <v>1968.2054000000001</v>
      </c>
      <c r="Q1261" s="327">
        <f t="shared" si="639"/>
        <v>0</v>
      </c>
      <c r="R1261" s="334">
        <f t="shared" si="640"/>
        <v>0</v>
      </c>
      <c r="S1261" s="335">
        <f t="shared" si="598"/>
        <v>1490.7478631782747</v>
      </c>
      <c r="T1261" s="335">
        <f t="shared" si="599"/>
        <v>4455.6050400000004</v>
      </c>
      <c r="U1261" s="336">
        <f t="shared" si="600"/>
        <v>0</v>
      </c>
      <c r="V1261" s="336">
        <f t="shared" si="601"/>
        <v>0</v>
      </c>
      <c r="W1261" s="336">
        <f t="shared" si="602"/>
        <v>0</v>
      </c>
      <c r="X1261" s="336">
        <f t="shared" si="603"/>
        <v>0</v>
      </c>
      <c r="Y1261" s="320"/>
      <c r="Z1261" s="321" t="str">
        <f t="shared" si="623"/>
        <v>X-EQJARA</v>
      </c>
      <c r="AA1261" s="321" t="str">
        <f t="shared" si="624"/>
        <v>X-EQJARE</v>
      </c>
      <c r="AB1261" s="321" t="str">
        <f t="shared" si="625"/>
        <v>X-EQJARM</v>
      </c>
      <c r="AC1261" s="321" t="str">
        <f t="shared" si="626"/>
        <v>X-EQJART</v>
      </c>
      <c r="AD1261" s="321" t="str">
        <f t="shared" si="627"/>
        <v>X-EQJARS</v>
      </c>
      <c r="AE1261" s="321" t="str">
        <f t="shared" si="628"/>
        <v>X-EQJARX</v>
      </c>
      <c r="AF1261" s="321" t="str">
        <f t="shared" si="629"/>
        <v>X-EQJARE</v>
      </c>
      <c r="AG1261" s="321">
        <f t="shared" si="604"/>
        <v>9</v>
      </c>
      <c r="AH1261" s="321">
        <f>IF(B1261&lt;&gt;"",IF(H1261="x",VLOOKUP(I1261,'AUX-NIV3'!B:AG,32,FALSE),0),"")</f>
        <v>0</v>
      </c>
      <c r="AI1261" s="321" t="str">
        <f t="shared" si="630"/>
        <v>X-EQJAR</v>
      </c>
      <c r="AJ1261" s="320"/>
      <c r="AK1261" s="322">
        <f t="shared" si="605"/>
        <v>1257</v>
      </c>
      <c r="AL1261" s="323">
        <f t="shared" si="631"/>
        <v>1265</v>
      </c>
      <c r="AM1261" s="322">
        <f t="shared" si="632"/>
        <v>5</v>
      </c>
      <c r="AN1261" s="380">
        <f>IF(AND(AH1261&gt;0,B1261&lt;&gt;""),VLOOKUP(I1261,'AUX-NIV3'!$B:$AO,39,FALSE)*O1261,0)</f>
        <v>0</v>
      </c>
      <c r="AO1261" s="380">
        <f t="shared" si="606"/>
        <v>3</v>
      </c>
      <c r="AP1261" s="380"/>
    </row>
    <row r="1262" spans="2:42" ht="14.4" hidden="1" thickTop="1" thickBot="1">
      <c r="B1262" s="501" t="s">
        <v>3374</v>
      </c>
      <c r="C1262" s="951" t="s">
        <v>3375</v>
      </c>
      <c r="D1262" s="326" t="s">
        <v>2938</v>
      </c>
      <c r="E1262" s="327">
        <f>IF(B1262&lt;&gt;"",SUMIF('AUX-NIV1'!I:I,'AUX-NIV2'!B1262,'AUX-NIV1'!Q:Q),"")</f>
        <v>0</v>
      </c>
      <c r="F1262" s="327">
        <f t="shared" si="596"/>
        <v>5946.3529031782746</v>
      </c>
      <c r="G1262" s="327">
        <f t="shared" si="597"/>
        <v>0</v>
      </c>
      <c r="H1262" s="328" t="str">
        <f t="shared" si="637"/>
        <v>A</v>
      </c>
      <c r="I1262" s="324" t="s">
        <v>1746</v>
      </c>
      <c r="J1262" s="431" t="str">
        <f>IF(B1262&lt;&gt;"",+VLOOKUP(I1262,Recursos!C:F,2,FALSE),"")</f>
        <v>OFICIAL</v>
      </c>
      <c r="K1262" s="330" t="str">
        <f>IF(B1262&lt;&gt;"",+VLOOKUP(I1262,Recursos!C:F,3,FALSE),"")</f>
        <v>hh</v>
      </c>
      <c r="L1262" s="446">
        <f>IF(B1262&lt;&gt;"",+VLOOKUP(I1262,Recursos!C:F,4,FALSE),"")</f>
        <v>496.91595439275824</v>
      </c>
      <c r="M1262" s="767"/>
      <c r="N1262" s="1012"/>
      <c r="O1262" s="449">
        <f>N1261*M1257</f>
        <v>1.25</v>
      </c>
      <c r="P1262" s="333">
        <f t="shared" si="638"/>
        <v>621.14494299094781</v>
      </c>
      <c r="Q1262" s="327">
        <f t="shared" si="639"/>
        <v>0</v>
      </c>
      <c r="R1262" s="334">
        <f t="shared" si="640"/>
        <v>0</v>
      </c>
      <c r="S1262" s="335">
        <f t="shared" si="598"/>
        <v>1490.7478631782747</v>
      </c>
      <c r="T1262" s="335">
        <f t="shared" si="599"/>
        <v>4455.6050400000004</v>
      </c>
      <c r="U1262" s="336">
        <f t="shared" si="600"/>
        <v>0</v>
      </c>
      <c r="V1262" s="336">
        <f t="shared" si="601"/>
        <v>0</v>
      </c>
      <c r="W1262" s="336">
        <f t="shared" si="602"/>
        <v>0</v>
      </c>
      <c r="X1262" s="336">
        <f t="shared" si="603"/>
        <v>0</v>
      </c>
      <c r="Y1262" s="320"/>
      <c r="Z1262" s="321" t="str">
        <f t="shared" si="623"/>
        <v>X-EQJARA</v>
      </c>
      <c r="AA1262" s="321" t="str">
        <f t="shared" si="624"/>
        <v>X-EQJARE</v>
      </c>
      <c r="AB1262" s="321" t="str">
        <f t="shared" si="625"/>
        <v>X-EQJARM</v>
      </c>
      <c r="AC1262" s="321" t="str">
        <f t="shared" si="626"/>
        <v>X-EQJART</v>
      </c>
      <c r="AD1262" s="321" t="str">
        <f t="shared" si="627"/>
        <v>X-EQJARS</v>
      </c>
      <c r="AE1262" s="321" t="str">
        <f t="shared" si="628"/>
        <v>X-EQJARX</v>
      </c>
      <c r="AF1262" s="321" t="str">
        <f t="shared" si="629"/>
        <v>X-EQJARA</v>
      </c>
      <c r="AG1262" s="321">
        <f t="shared" si="604"/>
        <v>9</v>
      </c>
      <c r="AH1262" s="321">
        <f>IF(B1262&lt;&gt;"",IF(H1262="x",VLOOKUP(I1262,'AUX-NIV3'!B:AG,32,FALSE),0),"")</f>
        <v>0</v>
      </c>
      <c r="AI1262" s="321" t="str">
        <f t="shared" si="630"/>
        <v>X-EQJAR</v>
      </c>
      <c r="AJ1262" s="320"/>
      <c r="AK1262" s="322">
        <f t="shared" si="605"/>
        <v>1257</v>
      </c>
      <c r="AL1262" s="323">
        <f t="shared" si="631"/>
        <v>1265</v>
      </c>
      <c r="AM1262" s="322">
        <f t="shared" si="632"/>
        <v>6</v>
      </c>
      <c r="AN1262" s="380">
        <f>IF(AND(AH1262&gt;0,B1262&lt;&gt;""),VLOOKUP(I1262,'AUX-NIV3'!$B:$AO,39,FALSE)*O1262,0)</f>
        <v>0</v>
      </c>
      <c r="AO1262" s="380">
        <f t="shared" si="606"/>
        <v>3</v>
      </c>
      <c r="AP1262" s="380"/>
    </row>
    <row r="1263" spans="2:42" ht="14.4" hidden="1" thickTop="1" thickBot="1">
      <c r="B1263" s="501" t="s">
        <v>3374</v>
      </c>
      <c r="C1263" s="951" t="s">
        <v>3375</v>
      </c>
      <c r="D1263" s="326" t="s">
        <v>2938</v>
      </c>
      <c r="E1263" s="327">
        <f>IF(B1263&lt;&gt;"",SUMIF('AUX-NIV1'!I:I,'AUX-NIV2'!B1263,'AUX-NIV1'!Q:Q),"")</f>
        <v>0</v>
      </c>
      <c r="F1263" s="327">
        <f t="shared" si="596"/>
        <v>5946.3529031782746</v>
      </c>
      <c r="G1263" s="327">
        <f t="shared" si="597"/>
        <v>0</v>
      </c>
      <c r="H1263" s="328" t="str">
        <f t="shared" si="637"/>
        <v>E</v>
      </c>
      <c r="I1263" s="324" t="s">
        <v>1650</v>
      </c>
      <c r="J1263" s="431" t="str">
        <f>IF(B1263&lt;&gt;"",+VLOOKUP(I1263,Recursos!C:F,2,FALSE),"")</f>
        <v>RASTRA DE 16 DISCOS</v>
      </c>
      <c r="K1263" s="330" t="str">
        <f>IF(B1263&lt;&gt;"",+VLOOKUP(I1263,Recursos!C:F,3,FALSE),"")</f>
        <v>HR</v>
      </c>
      <c r="L1263" s="446">
        <f>IF(B1263&lt;&gt;"",+VLOOKUP(I1263,Recursos!C:F,4,FALSE),"")</f>
        <v>122.46000000000001</v>
      </c>
      <c r="M1263" s="767"/>
      <c r="N1263" s="1012"/>
      <c r="O1263" s="449">
        <f>N1261</f>
        <v>1</v>
      </c>
      <c r="P1263" s="333">
        <f t="shared" si="638"/>
        <v>122.46000000000001</v>
      </c>
      <c r="Q1263" s="327">
        <f t="shared" si="639"/>
        <v>0</v>
      </c>
      <c r="R1263" s="334">
        <f t="shared" si="640"/>
        <v>0</v>
      </c>
      <c r="S1263" s="335">
        <f t="shared" si="598"/>
        <v>1490.7478631782747</v>
      </c>
      <c r="T1263" s="335">
        <f t="shared" si="599"/>
        <v>4455.6050400000004</v>
      </c>
      <c r="U1263" s="336">
        <f t="shared" si="600"/>
        <v>0</v>
      </c>
      <c r="V1263" s="336">
        <f t="shared" si="601"/>
        <v>0</v>
      </c>
      <c r="W1263" s="336">
        <f t="shared" si="602"/>
        <v>0</v>
      </c>
      <c r="X1263" s="336">
        <f t="shared" si="603"/>
        <v>0</v>
      </c>
      <c r="Y1263" s="320"/>
      <c r="Z1263" s="321" t="str">
        <f t="shared" si="623"/>
        <v>X-EQJARA</v>
      </c>
      <c r="AA1263" s="321" t="str">
        <f t="shared" si="624"/>
        <v>X-EQJARE</v>
      </c>
      <c r="AB1263" s="321" t="str">
        <f t="shared" si="625"/>
        <v>X-EQJARM</v>
      </c>
      <c r="AC1263" s="321" t="str">
        <f t="shared" si="626"/>
        <v>X-EQJART</v>
      </c>
      <c r="AD1263" s="321" t="str">
        <f t="shared" si="627"/>
        <v>X-EQJARS</v>
      </c>
      <c r="AE1263" s="321" t="str">
        <f t="shared" si="628"/>
        <v>X-EQJARX</v>
      </c>
      <c r="AF1263" s="321" t="str">
        <f t="shared" si="629"/>
        <v>X-EQJARE</v>
      </c>
      <c r="AG1263" s="321">
        <f t="shared" si="604"/>
        <v>9</v>
      </c>
      <c r="AH1263" s="321">
        <f>IF(B1263&lt;&gt;"",IF(H1263="x",VLOOKUP(I1263,'AUX-NIV3'!B:AG,32,FALSE),0),"")</f>
        <v>0</v>
      </c>
      <c r="AI1263" s="321" t="str">
        <f t="shared" si="630"/>
        <v>X-EQJAR</v>
      </c>
      <c r="AJ1263" s="320"/>
      <c r="AK1263" s="322">
        <f t="shared" si="605"/>
        <v>1257</v>
      </c>
      <c r="AL1263" s="323">
        <f t="shared" si="631"/>
        <v>1265</v>
      </c>
      <c r="AM1263" s="322">
        <f t="shared" si="632"/>
        <v>7</v>
      </c>
      <c r="AN1263" s="380">
        <f>IF(AND(AH1263&gt;0,B1263&lt;&gt;""),VLOOKUP(I1263,'AUX-NIV3'!$B:$AO,39,FALSE)*O1263,0)</f>
        <v>0</v>
      </c>
      <c r="AO1263" s="380">
        <f t="shared" si="606"/>
        <v>3</v>
      </c>
      <c r="AP1263" s="380"/>
    </row>
    <row r="1264" spans="2:42" ht="14.4" hidden="1" thickTop="1" thickBot="1">
      <c r="B1264" s="501" t="s">
        <v>3374</v>
      </c>
      <c r="C1264" s="951" t="s">
        <v>3375</v>
      </c>
      <c r="D1264" s="326" t="s">
        <v>2938</v>
      </c>
      <c r="E1264" s="327">
        <f>IF(B1264&lt;&gt;"",SUMIF('AUX-NIV1'!I:I,'AUX-NIV2'!B1264,'AUX-NIV1'!Q:Q),"")</f>
        <v>0</v>
      </c>
      <c r="F1264" s="327">
        <f t="shared" si="596"/>
        <v>5946.3529031782746</v>
      </c>
      <c r="G1264" s="327">
        <f t="shared" si="597"/>
        <v>0</v>
      </c>
      <c r="H1264" s="328" t="str">
        <f t="shared" si="637"/>
        <v>E</v>
      </c>
      <c r="I1264" s="324" t="s">
        <v>1540</v>
      </c>
      <c r="J1264" s="431" t="str">
        <f>IF(B1264&lt;&gt;"",+VLOOKUP(I1264,Recursos!C:F,2,FALSE),"")</f>
        <v>MINICARG. BOBCAT S/NEUM. (0,40 M3)</v>
      </c>
      <c r="K1264" s="330" t="str">
        <f>IF(B1264&lt;&gt;"",+VLOOKUP(I1264,Recursos!C:F,3,FALSE),"")</f>
        <v>HR</v>
      </c>
      <c r="L1264" s="446">
        <f>IF(B1264&lt;&gt;"",+VLOOKUP(I1264,Recursos!C:F,4,FALSE),"")</f>
        <v>1346.0740000000001</v>
      </c>
      <c r="M1264" s="767"/>
      <c r="N1264" s="1013">
        <v>1</v>
      </c>
      <c r="O1264" s="449">
        <f>N1264</f>
        <v>1</v>
      </c>
      <c r="P1264" s="333">
        <f t="shared" si="638"/>
        <v>1346.0740000000001</v>
      </c>
      <c r="Q1264" s="327">
        <f t="shared" si="639"/>
        <v>0</v>
      </c>
      <c r="R1264" s="334">
        <f t="shared" si="640"/>
        <v>0</v>
      </c>
      <c r="S1264" s="335">
        <f t="shared" si="598"/>
        <v>1490.7478631782747</v>
      </c>
      <c r="T1264" s="335">
        <f t="shared" si="599"/>
        <v>4455.6050400000004</v>
      </c>
      <c r="U1264" s="336">
        <f t="shared" si="600"/>
        <v>0</v>
      </c>
      <c r="V1264" s="336">
        <f t="shared" si="601"/>
        <v>0</v>
      </c>
      <c r="W1264" s="336">
        <f t="shared" si="602"/>
        <v>0</v>
      </c>
      <c r="X1264" s="336">
        <f t="shared" si="603"/>
        <v>0</v>
      </c>
      <c r="Y1264" s="320"/>
      <c r="Z1264" s="321" t="str">
        <f t="shared" si="623"/>
        <v>X-EQJARA</v>
      </c>
      <c r="AA1264" s="321" t="str">
        <f t="shared" si="624"/>
        <v>X-EQJARE</v>
      </c>
      <c r="AB1264" s="321" t="str">
        <f t="shared" si="625"/>
        <v>X-EQJARM</v>
      </c>
      <c r="AC1264" s="321" t="str">
        <f t="shared" si="626"/>
        <v>X-EQJART</v>
      </c>
      <c r="AD1264" s="321" t="str">
        <f t="shared" si="627"/>
        <v>X-EQJARS</v>
      </c>
      <c r="AE1264" s="321" t="str">
        <f t="shared" si="628"/>
        <v>X-EQJARX</v>
      </c>
      <c r="AF1264" s="321" t="str">
        <f t="shared" si="629"/>
        <v>X-EQJARE</v>
      </c>
      <c r="AG1264" s="321">
        <f t="shared" si="604"/>
        <v>9</v>
      </c>
      <c r="AH1264" s="321">
        <f>IF(B1264&lt;&gt;"",IF(H1264="x",VLOOKUP(I1264,'AUX-NIV3'!B:AG,32,FALSE),0),"")</f>
        <v>0</v>
      </c>
      <c r="AI1264" s="321" t="str">
        <f t="shared" si="630"/>
        <v>X-EQJAR</v>
      </c>
      <c r="AJ1264" s="320"/>
      <c r="AK1264" s="322">
        <f t="shared" si="605"/>
        <v>1257</v>
      </c>
      <c r="AL1264" s="323">
        <f t="shared" si="631"/>
        <v>1265</v>
      </c>
      <c r="AM1264" s="322">
        <f t="shared" si="632"/>
        <v>8</v>
      </c>
      <c r="AN1264" s="380">
        <f>IF(AND(AH1264&gt;0,B1264&lt;&gt;""),VLOOKUP(I1264,'AUX-NIV3'!$B:$AO,39,FALSE)*O1264,0)</f>
        <v>0</v>
      </c>
      <c r="AO1264" s="380">
        <f t="shared" si="606"/>
        <v>3</v>
      </c>
      <c r="AP1264" s="380"/>
    </row>
    <row r="1265" spans="2:42" ht="14.4" hidden="1" thickTop="1" thickBot="1">
      <c r="B1265" s="501" t="s">
        <v>3374</v>
      </c>
      <c r="C1265" s="951" t="s">
        <v>3375</v>
      </c>
      <c r="D1265" s="326" t="s">
        <v>2938</v>
      </c>
      <c r="E1265" s="327">
        <f>IF(B1265&lt;&gt;"",SUMIF('AUX-NIV1'!I:I,'AUX-NIV2'!B1265,'AUX-NIV1'!Q:Q),"")</f>
        <v>0</v>
      </c>
      <c r="F1265" s="327">
        <f t="shared" si="596"/>
        <v>5946.3529031782746</v>
      </c>
      <c r="G1265" s="327">
        <f t="shared" si="597"/>
        <v>0</v>
      </c>
      <c r="H1265" s="328" t="str">
        <f t="shared" ref="H1265:H1284" si="641">IF(B1265&lt;&gt;"",+LEFT(I1265,1),"")</f>
        <v>A</v>
      </c>
      <c r="I1265" s="324" t="s">
        <v>1746</v>
      </c>
      <c r="J1265" s="431" t="str">
        <f>IF(B1265&lt;&gt;"",+VLOOKUP(I1265,Recursos!C:F,2,FALSE),"")</f>
        <v>OFICIAL</v>
      </c>
      <c r="K1265" s="330" t="str">
        <f>IF(B1265&lt;&gt;"",+VLOOKUP(I1265,Recursos!C:F,3,FALSE),"")</f>
        <v>hh</v>
      </c>
      <c r="L1265" s="446">
        <f>IF(B1265&lt;&gt;"",+VLOOKUP(I1265,Recursos!C:F,4,FALSE),"")</f>
        <v>496.91595439275824</v>
      </c>
      <c r="M1265" s="1014"/>
      <c r="N1265" s="1015"/>
      <c r="O1265" s="449">
        <f>N1264*M1257</f>
        <v>1.25</v>
      </c>
      <c r="P1265" s="333">
        <f t="shared" ref="P1265:P1284" si="642">IF(B1265&lt;&gt;"",O1265*L1265,"")</f>
        <v>621.14494299094781</v>
      </c>
      <c r="Q1265" s="327">
        <f t="shared" ref="Q1265:Q1284" si="643">IF(B1265&lt;&gt;"",+O1265*E1265,"")</f>
        <v>0</v>
      </c>
      <c r="R1265" s="334">
        <f t="shared" ref="R1265:R1284" si="644">IF(B1265&lt;&gt;"",Q1265*L1265,"")</f>
        <v>0</v>
      </c>
      <c r="S1265" s="335">
        <f t="shared" si="598"/>
        <v>1490.7478631782747</v>
      </c>
      <c r="T1265" s="335">
        <f t="shared" si="599"/>
        <v>4455.6050400000004</v>
      </c>
      <c r="U1265" s="336">
        <f t="shared" si="600"/>
        <v>0</v>
      </c>
      <c r="V1265" s="336">
        <f t="shared" si="601"/>
        <v>0</v>
      </c>
      <c r="W1265" s="336">
        <f t="shared" si="602"/>
        <v>0</v>
      </c>
      <c r="X1265" s="336">
        <f t="shared" si="603"/>
        <v>0</v>
      </c>
      <c r="Y1265" s="320"/>
      <c r="Z1265" s="321" t="str">
        <f t="shared" si="623"/>
        <v>X-EQJARA</v>
      </c>
      <c r="AA1265" s="321" t="str">
        <f t="shared" si="624"/>
        <v>X-EQJARE</v>
      </c>
      <c r="AB1265" s="321" t="str">
        <f t="shared" si="625"/>
        <v>X-EQJARM</v>
      </c>
      <c r="AC1265" s="321" t="str">
        <f t="shared" si="626"/>
        <v>X-EQJART</v>
      </c>
      <c r="AD1265" s="321" t="str">
        <f t="shared" si="627"/>
        <v>X-EQJARS</v>
      </c>
      <c r="AE1265" s="321" t="str">
        <f t="shared" si="628"/>
        <v>X-EQJARX</v>
      </c>
      <c r="AF1265" s="321" t="str">
        <f t="shared" si="629"/>
        <v>X-EQJARA</v>
      </c>
      <c r="AG1265" s="321">
        <f t="shared" si="604"/>
        <v>9</v>
      </c>
      <c r="AH1265" s="321">
        <f>IF(B1265&lt;&gt;"",IF(H1265="x",VLOOKUP(I1265,'AUX-NIV3'!B:AG,32,FALSE),0),"")</f>
        <v>0</v>
      </c>
      <c r="AI1265" s="321" t="str">
        <f t="shared" si="630"/>
        <v>X-EQJAR</v>
      </c>
      <c r="AJ1265" s="320"/>
      <c r="AK1265" s="322">
        <f t="shared" si="605"/>
        <v>1257</v>
      </c>
      <c r="AL1265" s="323">
        <f t="shared" si="631"/>
        <v>1265</v>
      </c>
      <c r="AM1265" s="322">
        <f t="shared" si="632"/>
        <v>9</v>
      </c>
      <c r="AN1265" s="380">
        <f>IF(AND(AH1265&gt;0,B1265&lt;&gt;""),VLOOKUP(I1265,'AUX-NIV3'!$B:$AO,39,FALSE)*O1265,0)</f>
        <v>0</v>
      </c>
      <c r="AO1265" s="380">
        <f t="shared" si="606"/>
        <v>3</v>
      </c>
      <c r="AP1265" s="380"/>
    </row>
    <row r="1266" spans="2:42" ht="14.4" hidden="1" thickTop="1" thickBot="1">
      <c r="B1266" s="501" t="s">
        <v>3401</v>
      </c>
      <c r="C1266" s="951" t="s">
        <v>3400</v>
      </c>
      <c r="D1266" s="326" t="s">
        <v>1160</v>
      </c>
      <c r="E1266" s="327">
        <f>IF(B1266&lt;&gt;"",SUMIF('AUX-NIV1'!I:I,'AUX-NIV2'!B1266,'AUX-NIV1'!Q:Q),"")</f>
        <v>0</v>
      </c>
      <c r="F1266" s="327">
        <f t="shared" si="596"/>
        <v>6122.5579338842981</v>
      </c>
      <c r="G1266" s="327">
        <f t="shared" si="597"/>
        <v>0</v>
      </c>
      <c r="H1266" s="328" t="str">
        <f t="shared" si="641"/>
        <v>M</v>
      </c>
      <c r="I1266" s="324" t="s">
        <v>1889</v>
      </c>
      <c r="J1266" s="431" t="str">
        <f>IF(B1266&lt;&gt;"",+VLOOKUP(I1266,Recursos!C:F,2,FALSE),"")</f>
        <v>CEMENTO PORTLAND (BOLSA 50Kg)</v>
      </c>
      <c r="K1266" s="330" t="str">
        <f>IF(B1266&lt;&gt;"",+VLOOKUP(I1266,Recursos!C:F,3,FALSE),"")</f>
        <v>Un</v>
      </c>
      <c r="L1266" s="446">
        <f>IF(B1266&lt;&gt;"",+VLOOKUP(I1266,Recursos!C:F,4,FALSE),"")</f>
        <v>661.15702479338847</v>
      </c>
      <c r="M1266" s="1025">
        <v>50</v>
      </c>
      <c r="N1266" s="1024">
        <v>270</v>
      </c>
      <c r="O1266" s="449">
        <f>N1266/M1266</f>
        <v>5.4</v>
      </c>
      <c r="P1266" s="333">
        <f t="shared" si="642"/>
        <v>3570.2479338842982</v>
      </c>
      <c r="Q1266" s="327">
        <f t="shared" si="643"/>
        <v>0</v>
      </c>
      <c r="R1266" s="334">
        <f t="shared" si="644"/>
        <v>0</v>
      </c>
      <c r="S1266" s="335">
        <f t="shared" si="598"/>
        <v>0</v>
      </c>
      <c r="T1266" s="335">
        <f t="shared" si="599"/>
        <v>0</v>
      </c>
      <c r="U1266" s="336">
        <f t="shared" si="600"/>
        <v>6122.5579338842981</v>
      </c>
      <c r="V1266" s="336">
        <f t="shared" si="601"/>
        <v>0</v>
      </c>
      <c r="W1266" s="336">
        <f t="shared" si="602"/>
        <v>0</v>
      </c>
      <c r="X1266" s="336">
        <f t="shared" si="603"/>
        <v>0</v>
      </c>
      <c r="Y1266" s="320"/>
      <c r="Z1266" s="321" t="str">
        <f t="shared" si="623"/>
        <v>X-DOSMORA</v>
      </c>
      <c r="AA1266" s="321" t="str">
        <f t="shared" si="624"/>
        <v>X-DOSMORE</v>
      </c>
      <c r="AB1266" s="321" t="str">
        <f t="shared" si="625"/>
        <v>X-DOSMORM</v>
      </c>
      <c r="AC1266" s="321" t="str">
        <f t="shared" si="626"/>
        <v>X-DOSMORT</v>
      </c>
      <c r="AD1266" s="321" t="str">
        <f t="shared" si="627"/>
        <v>X-DOSMORS</v>
      </c>
      <c r="AE1266" s="321" t="str">
        <f t="shared" si="628"/>
        <v>X-DOSMORX</v>
      </c>
      <c r="AF1266" s="321" t="str">
        <f t="shared" si="629"/>
        <v>X-DOSMORM</v>
      </c>
      <c r="AG1266" s="321">
        <f t="shared" si="604"/>
        <v>5</v>
      </c>
      <c r="AH1266" s="321">
        <f>IF(B1266&lt;&gt;"",IF(H1266="x",VLOOKUP(I1266,'AUX-NIV3'!B:AG,32,FALSE),0),"")</f>
        <v>0</v>
      </c>
      <c r="AI1266" s="321" t="str">
        <f t="shared" si="630"/>
        <v>X-DOSMOR</v>
      </c>
      <c r="AJ1266" s="320"/>
      <c r="AK1266" s="322">
        <f t="shared" si="605"/>
        <v>1266</v>
      </c>
      <c r="AL1266" s="323">
        <f t="shared" si="631"/>
        <v>1270</v>
      </c>
      <c r="AM1266" s="322">
        <f t="shared" si="632"/>
        <v>1</v>
      </c>
      <c r="AN1266" s="380">
        <f>IF(AND(AH1266&gt;0,B1266&lt;&gt;""),VLOOKUP(I1266,'AUX-NIV3'!$B:$AO,39,FALSE)*O1266,0)</f>
        <v>0</v>
      </c>
      <c r="AO1266" s="380">
        <f t="shared" si="606"/>
        <v>0</v>
      </c>
      <c r="AP1266" s="380"/>
    </row>
    <row r="1267" spans="2:42" ht="14.4" hidden="1" thickTop="1" thickBot="1">
      <c r="B1267" s="501" t="s">
        <v>3401</v>
      </c>
      <c r="C1267" s="951" t="s">
        <v>3400</v>
      </c>
      <c r="D1267" s="326" t="s">
        <v>1160</v>
      </c>
      <c r="E1267" s="327">
        <f>IF(B1267&lt;&gt;"",SUMIF('AUX-NIV1'!I:I,'AUX-NIV2'!B1267,'AUX-NIV1'!Q:Q),"")</f>
        <v>0</v>
      </c>
      <c r="F1267" s="327">
        <f t="shared" si="596"/>
        <v>6122.5579338842981</v>
      </c>
      <c r="G1267" s="327">
        <f t="shared" si="597"/>
        <v>0</v>
      </c>
      <c r="H1267" s="328" t="str">
        <f t="shared" si="641"/>
        <v>M</v>
      </c>
      <c r="I1267" s="324" t="s">
        <v>1512</v>
      </c>
      <c r="J1267" s="431" t="str">
        <f>IF(B1267&lt;&gt;"",+VLOOKUP(I1267,Recursos!C:F,2,FALSE),"")</f>
        <v>ARENA ZARANDEADA</v>
      </c>
      <c r="K1267" s="330" t="str">
        <f>IF(B1267&lt;&gt;"",+VLOOKUP(I1267,Recursos!C:F,3,FALSE),"")</f>
        <v>Tn</v>
      </c>
      <c r="L1267" s="446">
        <f>IF(B1267&lt;&gt;"",+VLOOKUP(I1267,Recursos!C:F,4,FALSE),"")</f>
        <v>900</v>
      </c>
      <c r="M1267" s="1026"/>
      <c r="N1267" s="1027">
        <v>1.6</v>
      </c>
      <c r="O1267" s="449">
        <f>N1267</f>
        <v>1.6</v>
      </c>
      <c r="P1267" s="333">
        <f t="shared" si="642"/>
        <v>1440</v>
      </c>
      <c r="Q1267" s="327">
        <f t="shared" si="643"/>
        <v>0</v>
      </c>
      <c r="R1267" s="334">
        <f t="shared" si="644"/>
        <v>0</v>
      </c>
      <c r="S1267" s="335">
        <f t="shared" si="598"/>
        <v>0</v>
      </c>
      <c r="T1267" s="335">
        <f t="shared" si="599"/>
        <v>0</v>
      </c>
      <c r="U1267" s="336">
        <f t="shared" si="600"/>
        <v>6122.5579338842981</v>
      </c>
      <c r="V1267" s="336">
        <f t="shared" si="601"/>
        <v>0</v>
      </c>
      <c r="W1267" s="336">
        <f t="shared" si="602"/>
        <v>0</v>
      </c>
      <c r="X1267" s="336">
        <f t="shared" si="603"/>
        <v>0</v>
      </c>
      <c r="Y1267" s="320"/>
      <c r="Z1267" s="321" t="str">
        <f t="shared" si="623"/>
        <v>X-DOSMORA</v>
      </c>
      <c r="AA1267" s="321" t="str">
        <f t="shared" si="624"/>
        <v>X-DOSMORE</v>
      </c>
      <c r="AB1267" s="321" t="str">
        <f t="shared" si="625"/>
        <v>X-DOSMORM</v>
      </c>
      <c r="AC1267" s="321" t="str">
        <f t="shared" si="626"/>
        <v>X-DOSMORT</v>
      </c>
      <c r="AD1267" s="321" t="str">
        <f t="shared" si="627"/>
        <v>X-DOSMORS</v>
      </c>
      <c r="AE1267" s="321" t="str">
        <f t="shared" si="628"/>
        <v>X-DOSMORX</v>
      </c>
      <c r="AF1267" s="321" t="str">
        <f t="shared" si="629"/>
        <v>X-DOSMORM</v>
      </c>
      <c r="AG1267" s="321">
        <f t="shared" si="604"/>
        <v>5</v>
      </c>
      <c r="AH1267" s="321">
        <f>IF(B1267&lt;&gt;"",IF(H1267="x",VLOOKUP(I1267,'AUX-NIV3'!B:AG,32,FALSE),0),"")</f>
        <v>0</v>
      </c>
      <c r="AI1267" s="321" t="str">
        <f t="shared" si="630"/>
        <v>X-DOSMOR</v>
      </c>
      <c r="AJ1267" s="320"/>
      <c r="AK1267" s="322">
        <f t="shared" si="605"/>
        <v>1266</v>
      </c>
      <c r="AL1267" s="323">
        <f t="shared" si="631"/>
        <v>1270</v>
      </c>
      <c r="AM1267" s="322">
        <f t="shared" si="632"/>
        <v>2</v>
      </c>
      <c r="AN1267" s="380">
        <f>IF(AND(AH1267&gt;0,B1267&lt;&gt;""),VLOOKUP(I1267,'AUX-NIV3'!$B:$AO,39,FALSE)*O1267,0)</f>
        <v>0</v>
      </c>
      <c r="AO1267" s="380">
        <f t="shared" si="606"/>
        <v>0</v>
      </c>
      <c r="AP1267" s="380"/>
    </row>
    <row r="1268" spans="2:42" ht="14.4" hidden="1" thickTop="1" thickBot="1">
      <c r="B1268" s="501" t="s">
        <v>3401</v>
      </c>
      <c r="C1268" s="951" t="s">
        <v>3400</v>
      </c>
      <c r="D1268" s="326" t="s">
        <v>1160</v>
      </c>
      <c r="E1268" s="327">
        <f>IF(B1268&lt;&gt;"",SUMIF('AUX-NIV1'!I:I,'AUX-NIV2'!B1268,'AUX-NIV1'!Q:Q),"")</f>
        <v>0</v>
      </c>
      <c r="F1268" s="327">
        <f t="shared" si="596"/>
        <v>6122.5579338842981</v>
      </c>
      <c r="G1268" s="327">
        <f t="shared" si="597"/>
        <v>0</v>
      </c>
      <c r="H1268" s="328" t="str">
        <f t="shared" si="641"/>
        <v>M</v>
      </c>
      <c r="I1268" s="324" t="s">
        <v>1900</v>
      </c>
      <c r="J1268" s="431" t="str">
        <f>IF(B1268&lt;&gt;"",+VLOOKUP(I1268,Recursos!C:F,2,FALSE),"")</f>
        <v>CAL HIDRATADA (BOLSA 20Kg)</v>
      </c>
      <c r="K1268" s="330" t="str">
        <f>IF(B1268&lt;&gt;"",+VLOOKUP(I1268,Recursos!C:F,3,FALSE),"")</f>
        <v>Un</v>
      </c>
      <c r="L1268" s="446">
        <f>IF(B1268&lt;&gt;"",+VLOOKUP(I1268,Recursos!C:F,4,FALSE),"")</f>
        <v>247.18</v>
      </c>
      <c r="M1268" s="1026">
        <v>20</v>
      </c>
      <c r="N1268" s="1027">
        <v>90</v>
      </c>
      <c r="O1268" s="449">
        <f>N1268/M1268</f>
        <v>4.5</v>
      </c>
      <c r="P1268" s="333">
        <f t="shared" si="642"/>
        <v>1112.31</v>
      </c>
      <c r="Q1268" s="327">
        <f t="shared" si="643"/>
        <v>0</v>
      </c>
      <c r="R1268" s="334">
        <f t="shared" si="644"/>
        <v>0</v>
      </c>
      <c r="S1268" s="335">
        <f t="shared" si="598"/>
        <v>0</v>
      </c>
      <c r="T1268" s="335">
        <f t="shared" si="599"/>
        <v>0</v>
      </c>
      <c r="U1268" s="336">
        <f t="shared" si="600"/>
        <v>6122.5579338842981</v>
      </c>
      <c r="V1268" s="336">
        <f t="shared" si="601"/>
        <v>0</v>
      </c>
      <c r="W1268" s="336">
        <f t="shared" si="602"/>
        <v>0</v>
      </c>
      <c r="X1268" s="336">
        <f t="shared" si="603"/>
        <v>0</v>
      </c>
      <c r="Y1268" s="320"/>
      <c r="Z1268" s="321" t="str">
        <f t="shared" si="623"/>
        <v>X-DOSMORA</v>
      </c>
      <c r="AA1268" s="321" t="str">
        <f t="shared" si="624"/>
        <v>X-DOSMORE</v>
      </c>
      <c r="AB1268" s="321" t="str">
        <f t="shared" si="625"/>
        <v>X-DOSMORM</v>
      </c>
      <c r="AC1268" s="321" t="str">
        <f t="shared" si="626"/>
        <v>X-DOSMORT</v>
      </c>
      <c r="AD1268" s="321" t="str">
        <f t="shared" si="627"/>
        <v>X-DOSMORS</v>
      </c>
      <c r="AE1268" s="321" t="str">
        <f t="shared" si="628"/>
        <v>X-DOSMORX</v>
      </c>
      <c r="AF1268" s="321" t="str">
        <f t="shared" si="629"/>
        <v>X-DOSMORM</v>
      </c>
      <c r="AG1268" s="321">
        <f t="shared" si="604"/>
        <v>5</v>
      </c>
      <c r="AH1268" s="321">
        <f>IF(B1268&lt;&gt;"",IF(H1268="x",VLOOKUP(I1268,'AUX-NIV3'!B:AG,32,FALSE),0),"")</f>
        <v>0</v>
      </c>
      <c r="AI1268" s="321" t="str">
        <f t="shared" si="630"/>
        <v>X-DOSMOR</v>
      </c>
      <c r="AJ1268" s="320"/>
      <c r="AK1268" s="322">
        <f t="shared" si="605"/>
        <v>1266</v>
      </c>
      <c r="AL1268" s="323">
        <f t="shared" si="631"/>
        <v>1270</v>
      </c>
      <c r="AM1268" s="322">
        <f t="shared" si="632"/>
        <v>3</v>
      </c>
      <c r="AN1268" s="380">
        <f>IF(AND(AH1268&gt;0,B1268&lt;&gt;""),VLOOKUP(I1268,'AUX-NIV3'!$B:$AO,39,FALSE)*O1268,0)</f>
        <v>0</v>
      </c>
      <c r="AO1268" s="380">
        <f t="shared" si="606"/>
        <v>0</v>
      </c>
      <c r="AP1268" s="380"/>
    </row>
    <row r="1269" spans="2:42" ht="14.4" hidden="1" thickTop="1" thickBot="1">
      <c r="B1269" s="501" t="s">
        <v>3401</v>
      </c>
      <c r="C1269" s="951" t="s">
        <v>3400</v>
      </c>
      <c r="D1269" s="326" t="s">
        <v>1160</v>
      </c>
      <c r="E1269" s="327">
        <f>IF(B1269&lt;&gt;"",SUMIF('AUX-NIV1'!I:I,'AUX-NIV2'!B1269,'AUX-NIV1'!Q:Q),"")</f>
        <v>0</v>
      </c>
      <c r="F1269" s="327">
        <f t="shared" si="596"/>
        <v>6122.5579338842981</v>
      </c>
      <c r="G1269" s="327">
        <f t="shared" si="597"/>
        <v>0</v>
      </c>
      <c r="H1269" s="328" t="str">
        <f t="shared" si="641"/>
        <v>X</v>
      </c>
      <c r="I1269" s="324" t="s">
        <v>2746</v>
      </c>
      <c r="J1269" s="431" t="str">
        <f>IF(B1269&lt;&gt;"",+VLOOKUP(I1269,Recursos!C:F,2,FALSE),"")</f>
        <v>Obtención de Agua para Riego</v>
      </c>
      <c r="K1269" s="330" t="str">
        <f>IF(B1269&lt;&gt;"",+VLOOKUP(I1269,Recursos!C:F,3,FALSE),"")</f>
        <v>m3</v>
      </c>
      <c r="L1269" s="446">
        <f>IF(B1269&lt;&gt;"",+VLOOKUP(I1269,Recursos!C:F,4,FALSE),"")</f>
        <v>148.35029836815718</v>
      </c>
      <c r="M1269" s="1026"/>
      <c r="N1269" s="1027">
        <v>0</v>
      </c>
      <c r="O1269" s="449">
        <f>N1269*N1266/1000</f>
        <v>0</v>
      </c>
      <c r="P1269" s="333">
        <f t="shared" si="642"/>
        <v>0</v>
      </c>
      <c r="Q1269" s="327">
        <f t="shared" si="643"/>
        <v>0</v>
      </c>
      <c r="R1269" s="334">
        <f t="shared" si="644"/>
        <v>0</v>
      </c>
      <c r="S1269" s="335">
        <f t="shared" si="598"/>
        <v>0</v>
      </c>
      <c r="T1269" s="335">
        <f t="shared" si="599"/>
        <v>0</v>
      </c>
      <c r="U1269" s="336">
        <f t="shared" si="600"/>
        <v>6122.5579338842981</v>
      </c>
      <c r="V1269" s="336">
        <f t="shared" si="601"/>
        <v>0</v>
      </c>
      <c r="W1269" s="336">
        <f t="shared" si="602"/>
        <v>0</v>
      </c>
      <c r="X1269" s="336">
        <f t="shared" si="603"/>
        <v>0</v>
      </c>
      <c r="Y1269" s="320"/>
      <c r="Z1269" s="321" t="str">
        <f t="shared" si="623"/>
        <v>X-DOSMORA</v>
      </c>
      <c r="AA1269" s="321" t="str">
        <f t="shared" si="624"/>
        <v>X-DOSMORE</v>
      </c>
      <c r="AB1269" s="321" t="str">
        <f t="shared" si="625"/>
        <v>X-DOSMORM</v>
      </c>
      <c r="AC1269" s="321" t="str">
        <f t="shared" si="626"/>
        <v>X-DOSMORT</v>
      </c>
      <c r="AD1269" s="321" t="str">
        <f t="shared" si="627"/>
        <v>X-DOSMORS</v>
      </c>
      <c r="AE1269" s="321" t="str">
        <f t="shared" si="628"/>
        <v>X-DOSMORX</v>
      </c>
      <c r="AF1269" s="321" t="str">
        <f t="shared" si="629"/>
        <v>X-DOSMORX</v>
      </c>
      <c r="AG1269" s="321">
        <f t="shared" si="604"/>
        <v>5</v>
      </c>
      <c r="AH1269" s="321">
        <f>IF(B1269&lt;&gt;"",IF(H1269="x",VLOOKUP(I1269,'AUX-NIV3'!B:AG,32,FALSE),0),"")</f>
        <v>5</v>
      </c>
      <c r="AI1269" s="321" t="str">
        <f t="shared" si="630"/>
        <v>X-DOSMOR</v>
      </c>
      <c r="AJ1269" s="320"/>
      <c r="AK1269" s="322">
        <f t="shared" si="605"/>
        <v>1266</v>
      </c>
      <c r="AL1269" s="323">
        <f t="shared" si="631"/>
        <v>1270</v>
      </c>
      <c r="AM1269" s="322">
        <f t="shared" si="632"/>
        <v>4</v>
      </c>
      <c r="AN1269" s="380">
        <f>IF(AND(AH1269&gt;0,B1269&lt;&gt;""),VLOOKUP(I1269,'AUX-NIV3'!$B:$AO,39,FALSE)*O1269,0)</f>
        <v>0</v>
      </c>
      <c r="AO1269" s="380">
        <f t="shared" si="606"/>
        <v>0</v>
      </c>
      <c r="AP1269" s="380"/>
    </row>
    <row r="1270" spans="2:42" ht="14.4" hidden="1" thickTop="1" thickBot="1">
      <c r="B1270" s="501" t="s">
        <v>3401</v>
      </c>
      <c r="C1270" s="951" t="s">
        <v>3400</v>
      </c>
      <c r="D1270" s="326" t="s">
        <v>1160</v>
      </c>
      <c r="E1270" s="327">
        <f>IF(B1270&lt;&gt;"",SUMIF('AUX-NIV1'!I:I,'AUX-NIV2'!B1270,'AUX-NIV1'!Q:Q),"")</f>
        <v>0</v>
      </c>
      <c r="F1270" s="327">
        <f t="shared" si="596"/>
        <v>6122.5579338842981</v>
      </c>
      <c r="G1270" s="327">
        <f t="shared" si="597"/>
        <v>0</v>
      </c>
      <c r="H1270" s="328" t="str">
        <f t="shared" si="641"/>
        <v>X</v>
      </c>
      <c r="I1270" s="324" t="s">
        <v>2748</v>
      </c>
      <c r="J1270" s="431" t="str">
        <f>IF(B1270&lt;&gt;"",+VLOOKUP(I1270,Recursos!C:F,2,FALSE),"")</f>
        <v>Transporte de Agua para riego</v>
      </c>
      <c r="K1270" s="330" t="str">
        <f>IF(B1270&lt;&gt;"",+VLOOKUP(I1270,Recursos!C:F,3,FALSE),"")</f>
        <v>m3</v>
      </c>
      <c r="L1270" s="446">
        <f>IF(B1270&lt;&gt;"",+VLOOKUP(I1270,Recursos!C:F,4,FALSE),"")</f>
        <v>368.5637895861521</v>
      </c>
      <c r="M1270" s="1028"/>
      <c r="N1270" s="1029"/>
      <c r="O1270" s="449">
        <f>N1269*N1266/1000</f>
        <v>0</v>
      </c>
      <c r="P1270" s="333">
        <f t="shared" si="642"/>
        <v>0</v>
      </c>
      <c r="Q1270" s="327">
        <f t="shared" si="643"/>
        <v>0</v>
      </c>
      <c r="R1270" s="334">
        <f t="shared" si="644"/>
        <v>0</v>
      </c>
      <c r="S1270" s="335">
        <f t="shared" si="598"/>
        <v>0</v>
      </c>
      <c r="T1270" s="335">
        <f t="shared" si="599"/>
        <v>0</v>
      </c>
      <c r="U1270" s="336">
        <f t="shared" si="600"/>
        <v>6122.5579338842981</v>
      </c>
      <c r="V1270" s="336">
        <f t="shared" si="601"/>
        <v>0</v>
      </c>
      <c r="W1270" s="336">
        <f t="shared" si="602"/>
        <v>0</v>
      </c>
      <c r="X1270" s="336">
        <f t="shared" si="603"/>
        <v>0</v>
      </c>
      <c r="Y1270" s="320"/>
      <c r="Z1270" s="321" t="str">
        <f t="shared" si="623"/>
        <v>X-DOSMORA</v>
      </c>
      <c r="AA1270" s="321" t="str">
        <f t="shared" si="624"/>
        <v>X-DOSMORE</v>
      </c>
      <c r="AB1270" s="321" t="str">
        <f t="shared" si="625"/>
        <v>X-DOSMORM</v>
      </c>
      <c r="AC1270" s="321" t="str">
        <f t="shared" si="626"/>
        <v>X-DOSMORT</v>
      </c>
      <c r="AD1270" s="321" t="str">
        <f t="shared" si="627"/>
        <v>X-DOSMORS</v>
      </c>
      <c r="AE1270" s="321" t="str">
        <f t="shared" si="628"/>
        <v>X-DOSMORX</v>
      </c>
      <c r="AF1270" s="321" t="str">
        <f t="shared" si="629"/>
        <v>X-DOSMORX</v>
      </c>
      <c r="AG1270" s="321">
        <f t="shared" si="604"/>
        <v>5</v>
      </c>
      <c r="AH1270" s="321">
        <f>IF(B1270&lt;&gt;"",IF(H1270="x",VLOOKUP(I1270,'AUX-NIV3'!B:AG,32,FALSE),0),"")</f>
        <v>2</v>
      </c>
      <c r="AI1270" s="321" t="str">
        <f t="shared" si="630"/>
        <v>X-DOSMOR</v>
      </c>
      <c r="AJ1270" s="320"/>
      <c r="AK1270" s="322">
        <f t="shared" si="605"/>
        <v>1266</v>
      </c>
      <c r="AL1270" s="323">
        <f t="shared" si="631"/>
        <v>1270</v>
      </c>
      <c r="AM1270" s="322">
        <f t="shared" si="632"/>
        <v>5</v>
      </c>
      <c r="AN1270" s="380">
        <f>IF(AND(AH1270&gt;0,B1270&lt;&gt;""),VLOOKUP(I1270,'AUX-NIV3'!$B:$AO,39,FALSE)*O1270,0)</f>
        <v>0</v>
      </c>
      <c r="AO1270" s="380">
        <f t="shared" si="606"/>
        <v>0</v>
      </c>
      <c r="AP1270" s="380"/>
    </row>
    <row r="1271" spans="2:42" ht="14.4" hidden="1" thickTop="1" thickBot="1">
      <c r="B1271" s="324" t="s">
        <v>2913</v>
      </c>
      <c r="C1271" s="325" t="s">
        <v>2914</v>
      </c>
      <c r="D1271" s="326" t="s">
        <v>1386</v>
      </c>
      <c r="E1271" s="327">
        <f>IF(B1271&lt;&gt;"",SUMIF('AUX-NIV1'!I:I,'AUX-NIV2'!B1271,'AUX-NIV1'!Q:Q),"")</f>
        <v>0</v>
      </c>
      <c r="F1271" s="327">
        <f t="shared" si="596"/>
        <v>250.7529693802536</v>
      </c>
      <c r="G1271" s="327">
        <f t="shared" si="597"/>
        <v>0</v>
      </c>
      <c r="H1271" s="328" t="str">
        <f t="shared" si="641"/>
        <v>X</v>
      </c>
      <c r="I1271" s="325" t="s">
        <v>2756</v>
      </c>
      <c r="J1271" s="329" t="str">
        <f>IF(B1271&lt;&gt;"",+VLOOKUP(I1271,Recursos!C:F,2,FALSE),"")</f>
        <v>Explotación préstamo con Retro</v>
      </c>
      <c r="K1271" s="330" t="str">
        <f>IF(B1271&lt;&gt;"",+VLOOKUP(I1271,Recursos!C:F,3,FALSE),"")</f>
        <v>m3</v>
      </c>
      <c r="L1271" s="446">
        <f>IF(B1271&lt;&gt;"",+VLOOKUP(I1271,Recursos!C:F,4,FALSE),"")</f>
        <v>62.271140341608451</v>
      </c>
      <c r="M1271" s="447">
        <v>1.2</v>
      </c>
      <c r="N1271" s="448">
        <v>0.82750000000000001</v>
      </c>
      <c r="O1271" s="449">
        <f>+M1271</f>
        <v>1.2</v>
      </c>
      <c r="P1271" s="333">
        <f t="shared" si="642"/>
        <v>74.725368409930141</v>
      </c>
      <c r="Q1271" s="327">
        <f t="shared" si="643"/>
        <v>0</v>
      </c>
      <c r="R1271" s="334">
        <f t="shared" si="644"/>
        <v>0</v>
      </c>
      <c r="S1271" s="335">
        <f t="shared" si="598"/>
        <v>0</v>
      </c>
      <c r="T1271" s="335">
        <f t="shared" si="599"/>
        <v>0</v>
      </c>
      <c r="U1271" s="336">
        <f t="shared" si="600"/>
        <v>0</v>
      </c>
      <c r="V1271" s="336">
        <f t="shared" si="601"/>
        <v>0</v>
      </c>
      <c r="W1271" s="336">
        <f t="shared" si="602"/>
        <v>0</v>
      </c>
      <c r="X1271" s="336">
        <f t="shared" si="603"/>
        <v>250.7529693802536</v>
      </c>
      <c r="Y1271" s="320"/>
      <c r="Z1271" s="321" t="str">
        <f t="shared" si="623"/>
        <v>X-TERA</v>
      </c>
      <c r="AA1271" s="321" t="str">
        <f t="shared" si="624"/>
        <v>X-TERE</v>
      </c>
      <c r="AB1271" s="321" t="str">
        <f t="shared" si="625"/>
        <v>X-TERM</v>
      </c>
      <c r="AC1271" s="321" t="str">
        <f t="shared" si="626"/>
        <v>X-TERT</v>
      </c>
      <c r="AD1271" s="321" t="str">
        <f t="shared" si="627"/>
        <v>X-TERS</v>
      </c>
      <c r="AE1271" s="321" t="str">
        <f t="shared" si="628"/>
        <v>X-TERX</v>
      </c>
      <c r="AF1271" s="321" t="str">
        <f t="shared" si="629"/>
        <v>X-TERX</v>
      </c>
      <c r="AG1271" s="321">
        <f t="shared" si="604"/>
        <v>8</v>
      </c>
      <c r="AH1271" s="321">
        <f>IF(B1271&lt;&gt;"",IF(H1271="x",VLOOKUP(I1271,'AUX-NIV3'!B:AG,32,FALSE),0),"")</f>
        <v>4</v>
      </c>
      <c r="AI1271" s="321" t="str">
        <f t="shared" si="630"/>
        <v>X-TER</v>
      </c>
      <c r="AJ1271" s="320"/>
      <c r="AK1271" s="322">
        <f t="shared" si="605"/>
        <v>1271</v>
      </c>
      <c r="AL1271" s="323">
        <f t="shared" si="631"/>
        <v>1278</v>
      </c>
      <c r="AM1271" s="322">
        <f t="shared" si="632"/>
        <v>1</v>
      </c>
      <c r="AN1271" s="380">
        <f>IF(AND(AH1271&gt;0,B1271&lt;&gt;""),VLOOKUP(I1271,'AUX-NIV3'!$B:$AO,39,FALSE)*O1271,0)</f>
        <v>4.8000000000000001E-2</v>
      </c>
      <c r="AO1271" s="380">
        <f t="shared" si="606"/>
        <v>0.12274936224489798</v>
      </c>
      <c r="AP1271" s="380"/>
    </row>
    <row r="1272" spans="2:42" ht="14.4" hidden="1" thickTop="1" thickBot="1">
      <c r="B1272" s="324" t="s">
        <v>2913</v>
      </c>
      <c r="C1272" s="325" t="s">
        <v>2914</v>
      </c>
      <c r="D1272" s="326" t="s">
        <v>1386</v>
      </c>
      <c r="E1272" s="327">
        <f>IF(B1272&lt;&gt;"",SUMIF('AUX-NIV1'!I:I,'AUX-NIV2'!B1272,'AUX-NIV1'!Q:Q),"")</f>
        <v>0</v>
      </c>
      <c r="F1272" s="327">
        <f t="shared" si="596"/>
        <v>250.7529693802536</v>
      </c>
      <c r="G1272" s="327">
        <f t="shared" si="597"/>
        <v>0</v>
      </c>
      <c r="H1272" s="328" t="str">
        <f t="shared" si="641"/>
        <v>X</v>
      </c>
      <c r="I1272" s="325" t="s">
        <v>2758</v>
      </c>
      <c r="J1272" s="329" t="str">
        <f>IF(B1272&lt;&gt;"",+VLOOKUP(I1272,Recursos!C:F,2,FALSE),"")</f>
        <v>Transporte de Suelo DMT 5 km</v>
      </c>
      <c r="K1272" s="330" t="str">
        <f>IF(B1272&lt;&gt;"",+VLOOKUP(I1272,Recursos!C:F,3,FALSE),"")</f>
        <v>m3s.km</v>
      </c>
      <c r="L1272" s="446">
        <f>IF(B1272&lt;&gt;"",+VLOOKUP(I1272,Recursos!C:F,4,FALSE),"")</f>
        <v>25.080438599876832</v>
      </c>
      <c r="M1272" s="454">
        <f>+M1271</f>
        <v>1.2</v>
      </c>
      <c r="N1272" s="508"/>
      <c r="O1272" s="449">
        <f>+M1274*M1277</f>
        <v>2.1749999999999998</v>
      </c>
      <c r="P1272" s="333">
        <f t="shared" si="642"/>
        <v>54.549953954732104</v>
      </c>
      <c r="Q1272" s="327">
        <f t="shared" si="643"/>
        <v>0</v>
      </c>
      <c r="R1272" s="334">
        <f t="shared" si="644"/>
        <v>0</v>
      </c>
      <c r="S1272" s="335">
        <f t="shared" si="598"/>
        <v>0</v>
      </c>
      <c r="T1272" s="335">
        <f t="shared" si="599"/>
        <v>0</v>
      </c>
      <c r="U1272" s="336">
        <f t="shared" si="600"/>
        <v>0</v>
      </c>
      <c r="V1272" s="336">
        <f t="shared" si="601"/>
        <v>0</v>
      </c>
      <c r="W1272" s="336">
        <f t="shared" si="602"/>
        <v>0</v>
      </c>
      <c r="X1272" s="336">
        <f t="shared" si="603"/>
        <v>250.7529693802536</v>
      </c>
      <c r="Y1272" s="320"/>
      <c r="Z1272" s="321" t="str">
        <f t="shared" si="623"/>
        <v>X-TERA</v>
      </c>
      <c r="AA1272" s="321" t="str">
        <f t="shared" si="624"/>
        <v>X-TERE</v>
      </c>
      <c r="AB1272" s="321" t="str">
        <f t="shared" si="625"/>
        <v>X-TERM</v>
      </c>
      <c r="AC1272" s="321" t="str">
        <f t="shared" si="626"/>
        <v>X-TERT</v>
      </c>
      <c r="AD1272" s="321" t="str">
        <f t="shared" si="627"/>
        <v>X-TERS</v>
      </c>
      <c r="AE1272" s="321" t="str">
        <f t="shared" si="628"/>
        <v>X-TERX</v>
      </c>
      <c r="AF1272" s="321" t="str">
        <f t="shared" si="629"/>
        <v>X-TERX</v>
      </c>
      <c r="AG1272" s="321">
        <f t="shared" si="604"/>
        <v>8</v>
      </c>
      <c r="AH1272" s="321">
        <f>IF(B1272&lt;&gt;"",IF(H1272="x",VLOOKUP(I1272,'AUX-NIV3'!B:AG,32,FALSE),0),"")</f>
        <v>2</v>
      </c>
      <c r="AI1272" s="321" t="str">
        <f t="shared" si="630"/>
        <v>X-TER</v>
      </c>
      <c r="AJ1272" s="320"/>
      <c r="AK1272" s="322">
        <f t="shared" si="605"/>
        <v>1271</v>
      </c>
      <c r="AL1272" s="323">
        <f t="shared" si="631"/>
        <v>1278</v>
      </c>
      <c r="AM1272" s="322">
        <f t="shared" si="632"/>
        <v>2</v>
      </c>
      <c r="AN1272" s="380">
        <f>IF(AND(AH1272&gt;0,B1272&lt;&gt;""),VLOOKUP(I1272,'AUX-NIV3'!$B:$AO,39,FALSE)*O1272,0)</f>
        <v>1.7243409863945576E-2</v>
      </c>
      <c r="AO1272" s="380">
        <f t="shared" si="606"/>
        <v>0.12274936224489798</v>
      </c>
      <c r="AP1272" s="380"/>
    </row>
    <row r="1273" spans="2:42" ht="14.4" hidden="1" thickTop="1" thickBot="1">
      <c r="B1273" s="324" t="s">
        <v>2913</v>
      </c>
      <c r="C1273" s="325" t="s">
        <v>2914</v>
      </c>
      <c r="D1273" s="326" t="s">
        <v>1386</v>
      </c>
      <c r="E1273" s="327">
        <f>IF(B1273&lt;&gt;"",SUMIF('AUX-NIV1'!I:I,'AUX-NIV2'!B1273,'AUX-NIV1'!Q:Q),"")</f>
        <v>0</v>
      </c>
      <c r="F1273" s="327">
        <f t="shared" si="596"/>
        <v>250.7529693802536</v>
      </c>
      <c r="G1273" s="327">
        <f t="shared" si="597"/>
        <v>0</v>
      </c>
      <c r="H1273" s="328" t="str">
        <f t="shared" si="641"/>
        <v>X</v>
      </c>
      <c r="I1273" s="325" t="s">
        <v>2764</v>
      </c>
      <c r="J1273" s="329" t="str">
        <f>IF(B1273&lt;&gt;"",+VLOOKUP(I1273,Recursos!C:F,2,FALSE),"")</f>
        <v>Distribución de material terraplén</v>
      </c>
      <c r="K1273" s="330" t="str">
        <f>IF(B1273&lt;&gt;"",+VLOOKUP(I1273,Recursos!C:F,3,FALSE),"")</f>
        <v>m3s</v>
      </c>
      <c r="L1273" s="446">
        <f>IF(B1273&lt;&gt;"",+VLOOKUP(I1273,Recursos!C:F,4,FALSE),"")</f>
        <v>17.888012535270992</v>
      </c>
      <c r="M1273" s="454">
        <f>+M1277</f>
        <v>1.45</v>
      </c>
      <c r="N1273" s="453">
        <v>2</v>
      </c>
      <c r="O1273" s="449">
        <f>+M1273</f>
        <v>1.45</v>
      </c>
      <c r="P1273" s="333">
        <f t="shared" si="642"/>
        <v>25.937618176142937</v>
      </c>
      <c r="Q1273" s="327">
        <f t="shared" si="643"/>
        <v>0</v>
      </c>
      <c r="R1273" s="334">
        <f t="shared" si="644"/>
        <v>0</v>
      </c>
      <c r="S1273" s="335">
        <f t="shared" si="598"/>
        <v>0</v>
      </c>
      <c r="T1273" s="335">
        <f t="shared" si="599"/>
        <v>0</v>
      </c>
      <c r="U1273" s="336">
        <f t="shared" si="600"/>
        <v>0</v>
      </c>
      <c r="V1273" s="336">
        <f t="shared" si="601"/>
        <v>0</v>
      </c>
      <c r="W1273" s="336">
        <f t="shared" si="602"/>
        <v>0</v>
      </c>
      <c r="X1273" s="336">
        <f t="shared" si="603"/>
        <v>250.7529693802536</v>
      </c>
      <c r="Y1273" s="320"/>
      <c r="Z1273" s="321" t="str">
        <f t="shared" si="623"/>
        <v>X-TERA</v>
      </c>
      <c r="AA1273" s="321" t="str">
        <f t="shared" si="624"/>
        <v>X-TERE</v>
      </c>
      <c r="AB1273" s="321" t="str">
        <f t="shared" si="625"/>
        <v>X-TERM</v>
      </c>
      <c r="AC1273" s="321" t="str">
        <f t="shared" si="626"/>
        <v>X-TERT</v>
      </c>
      <c r="AD1273" s="321" t="str">
        <f t="shared" si="627"/>
        <v>X-TERS</v>
      </c>
      <c r="AE1273" s="321" t="str">
        <f t="shared" si="628"/>
        <v>X-TERX</v>
      </c>
      <c r="AF1273" s="321" t="str">
        <f t="shared" si="629"/>
        <v>X-TERX</v>
      </c>
      <c r="AG1273" s="321">
        <f t="shared" si="604"/>
        <v>8</v>
      </c>
      <c r="AH1273" s="321">
        <f>IF(B1273&lt;&gt;"",IF(H1273="x",VLOOKUP(I1273,'AUX-NIV3'!B:AG,32,FALSE),0),"")</f>
        <v>3</v>
      </c>
      <c r="AI1273" s="321" t="str">
        <f t="shared" si="630"/>
        <v>X-TER</v>
      </c>
      <c r="AJ1273" s="320"/>
      <c r="AK1273" s="322">
        <f t="shared" si="605"/>
        <v>1271</v>
      </c>
      <c r="AL1273" s="323">
        <f t="shared" si="631"/>
        <v>1278</v>
      </c>
      <c r="AM1273" s="322">
        <f t="shared" si="632"/>
        <v>3</v>
      </c>
      <c r="AN1273" s="380">
        <f>IF(AND(AH1273&gt;0,B1273&lt;&gt;""),VLOOKUP(I1273,'AUX-NIV3'!$B:$AO,39,FALSE)*O1273,0)</f>
        <v>1.2083333333333333E-2</v>
      </c>
      <c r="AO1273" s="380">
        <f t="shared" si="606"/>
        <v>0.12274936224489798</v>
      </c>
      <c r="AP1273" s="380"/>
    </row>
    <row r="1274" spans="2:42" ht="14.4" hidden="1" thickTop="1" thickBot="1">
      <c r="B1274" s="324" t="s">
        <v>2913</v>
      </c>
      <c r="C1274" s="325" t="s">
        <v>2914</v>
      </c>
      <c r="D1274" s="326" t="s">
        <v>1386</v>
      </c>
      <c r="E1274" s="327">
        <f>IF(B1274&lt;&gt;"",SUMIF('AUX-NIV1'!I:I,'AUX-NIV2'!B1274,'AUX-NIV1'!Q:Q),"")</f>
        <v>0</v>
      </c>
      <c r="F1274" s="327">
        <f t="shared" si="596"/>
        <v>250.7529693802536</v>
      </c>
      <c r="G1274" s="327">
        <f t="shared" si="597"/>
        <v>0</v>
      </c>
      <c r="H1274" s="328" t="str">
        <f t="shared" si="641"/>
        <v>X</v>
      </c>
      <c r="I1274" s="325" t="s">
        <v>2746</v>
      </c>
      <c r="J1274" s="329" t="str">
        <f>IF(B1274&lt;&gt;"",+VLOOKUP(I1274,Recursos!C:F,2,FALSE),"")</f>
        <v>Obtención de Agua para Riego</v>
      </c>
      <c r="K1274" s="330" t="str">
        <f>IF(B1274&lt;&gt;"",+VLOOKUP(I1274,Recursos!C:F,3,FALSE),"")</f>
        <v>m3</v>
      </c>
      <c r="L1274" s="446">
        <f>IF(B1274&lt;&gt;"",+VLOOKUP(I1274,Recursos!C:F,4,FALSE),"")</f>
        <v>148.35029836815718</v>
      </c>
      <c r="M1274" s="452">
        <v>1.5</v>
      </c>
      <c r="N1274" s="453">
        <v>0.06</v>
      </c>
      <c r="O1274" s="449">
        <f>+N1273*N1274</f>
        <v>0.12</v>
      </c>
      <c r="P1274" s="333">
        <f t="shared" si="642"/>
        <v>17.80203580417886</v>
      </c>
      <c r="Q1274" s="327">
        <f t="shared" si="643"/>
        <v>0</v>
      </c>
      <c r="R1274" s="334">
        <f t="shared" si="644"/>
        <v>0</v>
      </c>
      <c r="S1274" s="335">
        <f t="shared" si="598"/>
        <v>0</v>
      </c>
      <c r="T1274" s="335">
        <f t="shared" si="599"/>
        <v>0</v>
      </c>
      <c r="U1274" s="336">
        <f t="shared" si="600"/>
        <v>0</v>
      </c>
      <c r="V1274" s="336">
        <f t="shared" si="601"/>
        <v>0</v>
      </c>
      <c r="W1274" s="336">
        <f t="shared" si="602"/>
        <v>0</v>
      </c>
      <c r="X1274" s="336">
        <f t="shared" si="603"/>
        <v>250.7529693802536</v>
      </c>
      <c r="Y1274" s="320"/>
      <c r="Z1274" s="321" t="str">
        <f t="shared" si="623"/>
        <v>X-TERA</v>
      </c>
      <c r="AA1274" s="321" t="str">
        <f t="shared" si="624"/>
        <v>X-TERE</v>
      </c>
      <c r="AB1274" s="321" t="str">
        <f t="shared" si="625"/>
        <v>X-TERM</v>
      </c>
      <c r="AC1274" s="321" t="str">
        <f t="shared" si="626"/>
        <v>X-TERT</v>
      </c>
      <c r="AD1274" s="321" t="str">
        <f t="shared" si="627"/>
        <v>X-TERS</v>
      </c>
      <c r="AE1274" s="321" t="str">
        <f t="shared" si="628"/>
        <v>X-TERX</v>
      </c>
      <c r="AF1274" s="321" t="str">
        <f t="shared" si="629"/>
        <v>X-TERX</v>
      </c>
      <c r="AG1274" s="321">
        <f t="shared" si="604"/>
        <v>8</v>
      </c>
      <c r="AH1274" s="321">
        <f>IF(B1274&lt;&gt;"",IF(H1274="x",VLOOKUP(I1274,'AUX-NIV3'!B:AG,32,FALSE),0),"")</f>
        <v>5</v>
      </c>
      <c r="AI1274" s="321" t="str">
        <f t="shared" si="630"/>
        <v>X-TER</v>
      </c>
      <c r="AJ1274" s="320"/>
      <c r="AK1274" s="322">
        <f t="shared" si="605"/>
        <v>1271</v>
      </c>
      <c r="AL1274" s="323">
        <f t="shared" si="631"/>
        <v>1278</v>
      </c>
      <c r="AM1274" s="322">
        <f t="shared" si="632"/>
        <v>4</v>
      </c>
      <c r="AN1274" s="380">
        <f>IF(AND(AH1274&gt;0,B1274&lt;&gt;""),VLOOKUP(I1274,'AUX-NIV3'!$B:$AO,39,FALSE)*O1274,0)</f>
        <v>4.0000000000000001E-3</v>
      </c>
      <c r="AO1274" s="380">
        <f t="shared" si="606"/>
        <v>0.12274936224489798</v>
      </c>
      <c r="AP1274" s="380"/>
    </row>
    <row r="1275" spans="2:42" ht="14.4" hidden="1" thickTop="1" thickBot="1">
      <c r="B1275" s="324" t="s">
        <v>2913</v>
      </c>
      <c r="C1275" s="325" t="s">
        <v>2914</v>
      </c>
      <c r="D1275" s="326" t="s">
        <v>1386</v>
      </c>
      <c r="E1275" s="327">
        <f>IF(B1275&lt;&gt;"",SUMIF('AUX-NIV1'!I:I,'AUX-NIV2'!B1275,'AUX-NIV1'!Q:Q),"")</f>
        <v>0</v>
      </c>
      <c r="F1275" s="327">
        <f t="shared" si="596"/>
        <v>250.7529693802536</v>
      </c>
      <c r="G1275" s="327">
        <f t="shared" si="597"/>
        <v>0</v>
      </c>
      <c r="H1275" s="328" t="str">
        <f t="shared" si="641"/>
        <v>X</v>
      </c>
      <c r="I1275" s="325" t="s">
        <v>2748</v>
      </c>
      <c r="J1275" s="329" t="str">
        <f>IF(B1275&lt;&gt;"",+VLOOKUP(I1275,Recursos!C:F,2,FALSE),"")</f>
        <v>Transporte de Agua para riego</v>
      </c>
      <c r="K1275" s="330" t="str">
        <f>IF(B1275&lt;&gt;"",+VLOOKUP(I1275,Recursos!C:F,3,FALSE),"")</f>
        <v>m3</v>
      </c>
      <c r="L1275" s="446">
        <f>IF(B1275&lt;&gt;"",+VLOOKUP(I1275,Recursos!C:F,4,FALSE),"")</f>
        <v>368.5637895861521</v>
      </c>
      <c r="M1275" s="454">
        <f>+N1274</f>
        <v>0.06</v>
      </c>
      <c r="N1275" s="508"/>
      <c r="O1275" s="449">
        <f>+N1273*N1274</f>
        <v>0.12</v>
      </c>
      <c r="P1275" s="333">
        <f t="shared" si="642"/>
        <v>44.227654750338253</v>
      </c>
      <c r="Q1275" s="327">
        <f t="shared" si="643"/>
        <v>0</v>
      </c>
      <c r="R1275" s="334">
        <f t="shared" si="644"/>
        <v>0</v>
      </c>
      <c r="S1275" s="335">
        <f t="shared" si="598"/>
        <v>0</v>
      </c>
      <c r="T1275" s="335">
        <f t="shared" si="599"/>
        <v>0</v>
      </c>
      <c r="U1275" s="336">
        <f t="shared" si="600"/>
        <v>0</v>
      </c>
      <c r="V1275" s="336">
        <f t="shared" si="601"/>
        <v>0</v>
      </c>
      <c r="W1275" s="336">
        <f t="shared" si="602"/>
        <v>0</v>
      </c>
      <c r="X1275" s="336">
        <f t="shared" si="603"/>
        <v>250.7529693802536</v>
      </c>
      <c r="Y1275" s="320"/>
      <c r="Z1275" s="321" t="str">
        <f t="shared" si="623"/>
        <v>X-TERA</v>
      </c>
      <c r="AA1275" s="321" t="str">
        <f t="shared" si="624"/>
        <v>X-TERE</v>
      </c>
      <c r="AB1275" s="321" t="str">
        <f t="shared" si="625"/>
        <v>X-TERM</v>
      </c>
      <c r="AC1275" s="321" t="str">
        <f t="shared" si="626"/>
        <v>X-TERT</v>
      </c>
      <c r="AD1275" s="321" t="str">
        <f t="shared" si="627"/>
        <v>X-TERS</v>
      </c>
      <c r="AE1275" s="321" t="str">
        <f t="shared" si="628"/>
        <v>X-TERX</v>
      </c>
      <c r="AF1275" s="321" t="str">
        <f t="shared" si="629"/>
        <v>X-TERX</v>
      </c>
      <c r="AG1275" s="321">
        <f t="shared" si="604"/>
        <v>8</v>
      </c>
      <c r="AH1275" s="321">
        <f>IF(B1275&lt;&gt;"",IF(H1275="x",VLOOKUP(I1275,'AUX-NIV3'!B:AG,32,FALSE),0),"")</f>
        <v>2</v>
      </c>
      <c r="AI1275" s="321" t="str">
        <f t="shared" si="630"/>
        <v>X-TER</v>
      </c>
      <c r="AJ1275" s="320"/>
      <c r="AK1275" s="322">
        <f t="shared" si="605"/>
        <v>1271</v>
      </c>
      <c r="AL1275" s="323">
        <f t="shared" si="631"/>
        <v>1278</v>
      </c>
      <c r="AM1275" s="322">
        <f t="shared" si="632"/>
        <v>5</v>
      </c>
      <c r="AN1275" s="380">
        <f>IF(AND(AH1275&gt;0,B1275&lt;&gt;""),VLOOKUP(I1275,'AUX-NIV3'!$B:$AO,39,FALSE)*O1275,0)</f>
        <v>1.9047619047619046E-2</v>
      </c>
      <c r="AO1275" s="380">
        <f t="shared" si="606"/>
        <v>0.12274936224489798</v>
      </c>
      <c r="AP1275" s="380"/>
    </row>
    <row r="1276" spans="2:42" ht="14.4" hidden="1" thickTop="1" thickBot="1">
      <c r="B1276" s="324" t="s">
        <v>2913</v>
      </c>
      <c r="C1276" s="325" t="s">
        <v>2914</v>
      </c>
      <c r="D1276" s="326" t="s">
        <v>1386</v>
      </c>
      <c r="E1276" s="327">
        <f>IF(B1276&lt;&gt;"",SUMIF('AUX-NIV1'!I:I,'AUX-NIV2'!B1276,'AUX-NIV1'!Q:Q),"")</f>
        <v>0</v>
      </c>
      <c r="F1276" s="327">
        <f t="shared" si="596"/>
        <v>250.7529693802536</v>
      </c>
      <c r="G1276" s="327">
        <f t="shared" si="597"/>
        <v>0</v>
      </c>
      <c r="H1276" s="328" t="str">
        <f t="shared" si="641"/>
        <v>X</v>
      </c>
      <c r="I1276" s="325" t="s">
        <v>2750</v>
      </c>
      <c r="J1276" s="329" t="str">
        <f>IF(B1276&lt;&gt;"",+VLOOKUP(I1276,Recursos!C:F,2,FALSE),"")</f>
        <v>Riego para terraplen</v>
      </c>
      <c r="K1276" s="330" t="str">
        <f>IF(B1276&lt;&gt;"",+VLOOKUP(I1276,Recursos!C:F,3,FALSE),"")</f>
        <v>m3</v>
      </c>
      <c r="L1276" s="446">
        <f>IF(B1276&lt;&gt;"",+VLOOKUP(I1276,Recursos!C:F,4,FALSE),"")</f>
        <v>214.40877360073679</v>
      </c>
      <c r="M1276" s="454">
        <f>+M1271</f>
        <v>1.2</v>
      </c>
      <c r="N1276" s="508"/>
      <c r="O1276" s="449">
        <f>+N1273*N1274</f>
        <v>0.12</v>
      </c>
      <c r="P1276" s="333">
        <f t="shared" si="642"/>
        <v>25.729052832088414</v>
      </c>
      <c r="Q1276" s="327">
        <f t="shared" si="643"/>
        <v>0</v>
      </c>
      <c r="R1276" s="334">
        <f t="shared" si="644"/>
        <v>0</v>
      </c>
      <c r="S1276" s="335">
        <f t="shared" si="598"/>
        <v>0</v>
      </c>
      <c r="T1276" s="335">
        <f t="shared" si="599"/>
        <v>0</v>
      </c>
      <c r="U1276" s="336">
        <f t="shared" si="600"/>
        <v>0</v>
      </c>
      <c r="V1276" s="336">
        <f t="shared" si="601"/>
        <v>0</v>
      </c>
      <c r="W1276" s="336">
        <f t="shared" si="602"/>
        <v>0</v>
      </c>
      <c r="X1276" s="336">
        <f t="shared" si="603"/>
        <v>250.7529693802536</v>
      </c>
      <c r="Y1276" s="320"/>
      <c r="Z1276" s="321" t="str">
        <f t="shared" si="623"/>
        <v>X-TERA</v>
      </c>
      <c r="AA1276" s="321" t="str">
        <f t="shared" si="624"/>
        <v>X-TERE</v>
      </c>
      <c r="AB1276" s="321" t="str">
        <f t="shared" si="625"/>
        <v>X-TERM</v>
      </c>
      <c r="AC1276" s="321" t="str">
        <f t="shared" si="626"/>
        <v>X-TERT</v>
      </c>
      <c r="AD1276" s="321" t="str">
        <f t="shared" si="627"/>
        <v>X-TERS</v>
      </c>
      <c r="AE1276" s="321" t="str">
        <f t="shared" si="628"/>
        <v>X-TERX</v>
      </c>
      <c r="AF1276" s="321" t="str">
        <f t="shared" si="629"/>
        <v>X-TERX</v>
      </c>
      <c r="AG1276" s="321">
        <f t="shared" si="604"/>
        <v>8</v>
      </c>
      <c r="AH1276" s="321">
        <f>IF(B1276&lt;&gt;"",IF(H1276="x",VLOOKUP(I1276,'AUX-NIV3'!B:AG,32,FALSE),0),"")</f>
        <v>3</v>
      </c>
      <c r="AI1276" s="321" t="str">
        <f t="shared" si="630"/>
        <v>X-TER</v>
      </c>
      <c r="AJ1276" s="320"/>
      <c r="AK1276" s="322">
        <f t="shared" si="605"/>
        <v>1271</v>
      </c>
      <c r="AL1276" s="323">
        <f t="shared" si="631"/>
        <v>1278</v>
      </c>
      <c r="AM1276" s="322">
        <f t="shared" si="632"/>
        <v>6</v>
      </c>
      <c r="AN1276" s="380">
        <f>IF(AND(AH1276&gt;0,B1276&lt;&gt;""),VLOOKUP(I1276,'AUX-NIV3'!$B:$AO,39,FALSE)*O1276,0)</f>
        <v>1.8749999999999999E-2</v>
      </c>
      <c r="AO1276" s="380">
        <f t="shared" si="606"/>
        <v>0.12274936224489798</v>
      </c>
      <c r="AP1276" s="380"/>
    </row>
    <row r="1277" spans="2:42" ht="14.4" hidden="1" thickTop="1" thickBot="1">
      <c r="B1277" s="324" t="s">
        <v>2913</v>
      </c>
      <c r="C1277" s="325" t="s">
        <v>2914</v>
      </c>
      <c r="D1277" s="326" t="s">
        <v>1386</v>
      </c>
      <c r="E1277" s="327">
        <f>IF(B1277&lt;&gt;"",SUMIF('AUX-NIV1'!I:I,'AUX-NIV2'!B1277,'AUX-NIV1'!Q:Q),"")</f>
        <v>0</v>
      </c>
      <c r="F1277" s="327">
        <f t="shared" si="596"/>
        <v>250.7529693802536</v>
      </c>
      <c r="G1277" s="327">
        <f t="shared" si="597"/>
        <v>0</v>
      </c>
      <c r="H1277" s="328" t="str">
        <f t="shared" si="641"/>
        <v>X</v>
      </c>
      <c r="I1277" s="325" t="s">
        <v>2752</v>
      </c>
      <c r="J1277" s="329" t="str">
        <f>IF(B1277&lt;&gt;"",+VLOOKUP(I1277,Recursos!C:F,2,FALSE),"")</f>
        <v>Homogeinización del Material</v>
      </c>
      <c r="K1277" s="330" t="str">
        <f>IF(B1277&lt;&gt;"",+VLOOKUP(I1277,Recursos!C:F,3,FALSE),"")</f>
        <v>m2</v>
      </c>
      <c r="L1277" s="446">
        <f>IF(B1277&lt;&gt;"",+VLOOKUP(I1277,Recursos!C:F,4,FALSE),"")</f>
        <v>5.3664037605812966</v>
      </c>
      <c r="M1277" s="452">
        <v>1.45</v>
      </c>
      <c r="N1277" s="453">
        <v>1</v>
      </c>
      <c r="O1277" s="449">
        <f t="shared" ref="O1277:O1282" si="645">+M1277</f>
        <v>1.45</v>
      </c>
      <c r="P1277" s="333">
        <f t="shared" si="642"/>
        <v>7.7812854528428801</v>
      </c>
      <c r="Q1277" s="327">
        <f t="shared" si="643"/>
        <v>0</v>
      </c>
      <c r="R1277" s="334">
        <f t="shared" si="644"/>
        <v>0</v>
      </c>
      <c r="S1277" s="335">
        <f t="shared" si="598"/>
        <v>0</v>
      </c>
      <c r="T1277" s="335">
        <f t="shared" si="599"/>
        <v>0</v>
      </c>
      <c r="U1277" s="336">
        <f t="shared" si="600"/>
        <v>0</v>
      </c>
      <c r="V1277" s="336">
        <f t="shared" si="601"/>
        <v>0</v>
      </c>
      <c r="W1277" s="336">
        <f t="shared" si="602"/>
        <v>0</v>
      </c>
      <c r="X1277" s="336">
        <f t="shared" si="603"/>
        <v>250.7529693802536</v>
      </c>
      <c r="Y1277" s="320"/>
      <c r="Z1277" s="321" t="str">
        <f t="shared" si="623"/>
        <v>X-TERA</v>
      </c>
      <c r="AA1277" s="321" t="str">
        <f t="shared" si="624"/>
        <v>X-TERE</v>
      </c>
      <c r="AB1277" s="321" t="str">
        <f t="shared" si="625"/>
        <v>X-TERM</v>
      </c>
      <c r="AC1277" s="321" t="str">
        <f t="shared" si="626"/>
        <v>X-TERT</v>
      </c>
      <c r="AD1277" s="321" t="str">
        <f t="shared" si="627"/>
        <v>X-TERS</v>
      </c>
      <c r="AE1277" s="321" t="str">
        <f t="shared" si="628"/>
        <v>X-TERX</v>
      </c>
      <c r="AF1277" s="321" t="str">
        <f t="shared" si="629"/>
        <v>X-TERX</v>
      </c>
      <c r="AG1277" s="321">
        <f t="shared" si="604"/>
        <v>8</v>
      </c>
      <c r="AH1277" s="321">
        <f>IF(B1277&lt;&gt;"",IF(H1277="x",VLOOKUP(I1277,'AUX-NIV3'!B:AG,32,FALSE),0),"")</f>
        <v>3</v>
      </c>
      <c r="AI1277" s="321" t="str">
        <f t="shared" si="630"/>
        <v>X-TER</v>
      </c>
      <c r="AJ1277" s="320"/>
      <c r="AK1277" s="322">
        <f t="shared" si="605"/>
        <v>1271</v>
      </c>
      <c r="AL1277" s="323">
        <f t="shared" si="631"/>
        <v>1278</v>
      </c>
      <c r="AM1277" s="322">
        <f t="shared" si="632"/>
        <v>7</v>
      </c>
      <c r="AN1277" s="380">
        <f>IF(AND(AH1277&gt;0,B1277&lt;&gt;""),VLOOKUP(I1277,'AUX-NIV3'!$B:$AO,39,FALSE)*O1277,0)</f>
        <v>3.6249999999999998E-3</v>
      </c>
      <c r="AO1277" s="380">
        <f t="shared" si="606"/>
        <v>0.12274936224489798</v>
      </c>
      <c r="AP1277" s="380"/>
    </row>
    <row r="1278" spans="2:42" ht="14.4" hidden="1" thickTop="1" thickBot="1">
      <c r="B1278" s="324" t="s">
        <v>2913</v>
      </c>
      <c r="C1278" s="325" t="s">
        <v>2914</v>
      </c>
      <c r="D1278" s="326" t="s">
        <v>1386</v>
      </c>
      <c r="E1278" s="327">
        <f>IF(B1278&lt;&gt;"",SUMIF('AUX-NIV1'!I:I,'AUX-NIV2'!B1278,'AUX-NIV1'!Q:Q),"")</f>
        <v>0</v>
      </c>
      <c r="F1278" s="327">
        <f t="shared" si="596"/>
        <v>250.7529693802536</v>
      </c>
      <c r="G1278" s="327">
        <f t="shared" si="597"/>
        <v>0</v>
      </c>
      <c r="H1278" s="328" t="str">
        <f t="shared" si="641"/>
        <v>X</v>
      </c>
      <c r="I1278" s="325" t="s">
        <v>2768</v>
      </c>
      <c r="J1278" s="329" t="str">
        <f>IF(B1278&lt;&gt;"",+VLOOKUP(I1278,Recursos!C:F,2,FALSE),"")</f>
        <v>Compactación de terraplen</v>
      </c>
      <c r="K1278" s="330" t="str">
        <f>IF(B1278&lt;&gt;"",+VLOOKUP(I1278,Recursos!C:F,3,FALSE),"")</f>
        <v>m3c</v>
      </c>
      <c r="L1278" s="446">
        <f>IF(B1278&lt;&gt;"",+VLOOKUP(I1278,Recursos!C:F,4,FALSE),"")</f>
        <v>46.720032694329319</v>
      </c>
      <c r="M1278" s="450">
        <v>0</v>
      </c>
      <c r="N1278" s="451">
        <v>1</v>
      </c>
      <c r="O1278" s="449">
        <f t="shared" si="645"/>
        <v>0</v>
      </c>
      <c r="P1278" s="333">
        <f t="shared" si="642"/>
        <v>0</v>
      </c>
      <c r="Q1278" s="327">
        <f t="shared" si="643"/>
        <v>0</v>
      </c>
      <c r="R1278" s="334">
        <f t="shared" si="644"/>
        <v>0</v>
      </c>
      <c r="S1278" s="335">
        <f t="shared" si="598"/>
        <v>0</v>
      </c>
      <c r="T1278" s="335">
        <f t="shared" si="599"/>
        <v>0</v>
      </c>
      <c r="U1278" s="336">
        <f t="shared" si="600"/>
        <v>0</v>
      </c>
      <c r="V1278" s="336">
        <f t="shared" si="601"/>
        <v>0</v>
      </c>
      <c r="W1278" s="336">
        <f t="shared" si="602"/>
        <v>0</v>
      </c>
      <c r="X1278" s="336">
        <f t="shared" si="603"/>
        <v>250.7529693802536</v>
      </c>
      <c r="Y1278" s="320"/>
      <c r="Z1278" s="321" t="str">
        <f t="shared" si="623"/>
        <v>X-TERA</v>
      </c>
      <c r="AA1278" s="321" t="str">
        <f t="shared" si="624"/>
        <v>X-TERE</v>
      </c>
      <c r="AB1278" s="321" t="str">
        <f t="shared" si="625"/>
        <v>X-TERM</v>
      </c>
      <c r="AC1278" s="321" t="str">
        <f t="shared" si="626"/>
        <v>X-TERT</v>
      </c>
      <c r="AD1278" s="321" t="str">
        <f t="shared" si="627"/>
        <v>X-TERS</v>
      </c>
      <c r="AE1278" s="321" t="str">
        <f t="shared" si="628"/>
        <v>X-TERX</v>
      </c>
      <c r="AF1278" s="321" t="str">
        <f t="shared" si="629"/>
        <v>X-TERX</v>
      </c>
      <c r="AG1278" s="321">
        <f t="shared" si="604"/>
        <v>8</v>
      </c>
      <c r="AH1278" s="321">
        <f>IF(B1278&lt;&gt;"",IF(H1278="x",VLOOKUP(I1278,'AUX-NIV3'!B:AG,32,FALSE),0),"")</f>
        <v>6</v>
      </c>
      <c r="AI1278" s="321" t="str">
        <f t="shared" si="630"/>
        <v>X-TER</v>
      </c>
      <c r="AJ1278" s="320"/>
      <c r="AK1278" s="322">
        <f t="shared" si="605"/>
        <v>1271</v>
      </c>
      <c r="AL1278" s="323">
        <f t="shared" si="631"/>
        <v>1278</v>
      </c>
      <c r="AM1278" s="322">
        <f t="shared" si="632"/>
        <v>8</v>
      </c>
      <c r="AN1278" s="380">
        <f>IF(AND(AH1278&gt;0,B1278&lt;&gt;""),VLOOKUP(I1278,'AUX-NIV3'!$B:$AO,39,FALSE)*O1278,0)</f>
        <v>0</v>
      </c>
      <c r="AO1278" s="380">
        <f t="shared" si="606"/>
        <v>0.12274936224489798</v>
      </c>
      <c r="AP1278" s="380"/>
    </row>
    <row r="1279" spans="2:42" ht="14.4" hidden="1" thickTop="1" thickBot="1">
      <c r="B1279" s="501" t="s">
        <v>3506</v>
      </c>
      <c r="C1279" s="950" t="s">
        <v>3507</v>
      </c>
      <c r="D1279" s="326" t="s">
        <v>501</v>
      </c>
      <c r="E1279" s="327">
        <f>IF(B1279&lt;&gt;"",SUMIF('AUX-NIV1'!I:I,'AUX-NIV2'!B1279,'AUX-NIV1'!Q:Q),"")</f>
        <v>0</v>
      </c>
      <c r="F1279" s="327">
        <f t="shared" si="596"/>
        <v>1063.0771239919991</v>
      </c>
      <c r="G1279" s="327">
        <f t="shared" si="597"/>
        <v>0</v>
      </c>
      <c r="H1279" s="328" t="str">
        <f t="shared" si="641"/>
        <v>A</v>
      </c>
      <c r="I1279" s="325" t="s">
        <v>1745</v>
      </c>
      <c r="J1279" s="329" t="str">
        <f>IF(B1279&lt;&gt;"",+VLOOKUP(I1279,Recursos!C:F,2,FALSE),"")</f>
        <v>AYUDANTE</v>
      </c>
      <c r="K1279" s="330" t="str">
        <f>IF(B1279&lt;&gt;"",+VLOOKUP(I1279,Recursos!C:F,3,FALSE),"")</f>
        <v>hh</v>
      </c>
      <c r="L1279" s="446">
        <f>IF(B1279&lt;&gt;"",+VLOOKUP(I1279,Recursos!C:F,4,FALSE),"")</f>
        <v>422.48042769667234</v>
      </c>
      <c r="M1279" s="447">
        <v>1</v>
      </c>
      <c r="N1279" s="515"/>
      <c r="O1279" s="449">
        <f t="shared" si="645"/>
        <v>1</v>
      </c>
      <c r="P1279" s="333">
        <f t="shared" si="642"/>
        <v>422.48042769667234</v>
      </c>
      <c r="Q1279" s="327">
        <f t="shared" si="643"/>
        <v>0</v>
      </c>
      <c r="R1279" s="334">
        <f t="shared" si="644"/>
        <v>0</v>
      </c>
      <c r="S1279" s="335">
        <f t="shared" si="598"/>
        <v>992.52625442678163</v>
      </c>
      <c r="T1279" s="335">
        <f t="shared" si="599"/>
        <v>0</v>
      </c>
      <c r="U1279" s="336">
        <f t="shared" si="600"/>
        <v>70.550869565217397</v>
      </c>
      <c r="V1279" s="336">
        <f t="shared" si="601"/>
        <v>0</v>
      </c>
      <c r="W1279" s="336">
        <f t="shared" si="602"/>
        <v>0</v>
      </c>
      <c r="X1279" s="336">
        <f t="shared" si="603"/>
        <v>0</v>
      </c>
      <c r="Y1279" s="320"/>
      <c r="Z1279" s="321" t="str">
        <f t="shared" si="623"/>
        <v>X-ENC4A</v>
      </c>
      <c r="AA1279" s="321" t="str">
        <f t="shared" si="624"/>
        <v>X-ENC4E</v>
      </c>
      <c r="AB1279" s="321" t="str">
        <f t="shared" si="625"/>
        <v>X-ENC4M</v>
      </c>
      <c r="AC1279" s="321" t="str">
        <f t="shared" si="626"/>
        <v>X-ENC4T</v>
      </c>
      <c r="AD1279" s="321" t="str">
        <f t="shared" si="627"/>
        <v>X-ENC4S</v>
      </c>
      <c r="AE1279" s="321" t="str">
        <f t="shared" si="628"/>
        <v>X-ENC4X</v>
      </c>
      <c r="AF1279" s="321" t="str">
        <f t="shared" si="629"/>
        <v>X-ENC4A</v>
      </c>
      <c r="AG1279" s="321">
        <f t="shared" si="604"/>
        <v>11</v>
      </c>
      <c r="AH1279" s="321">
        <f>IF(B1279&lt;&gt;"",IF(H1279="x",VLOOKUP(I1279,'AUX-NIV3'!B:AG,32,FALSE),0),"")</f>
        <v>0</v>
      </c>
      <c r="AI1279" s="321" t="str">
        <f t="shared" si="630"/>
        <v>X-ENC4</v>
      </c>
      <c r="AJ1279" s="320"/>
      <c r="AK1279" s="322">
        <f t="shared" si="605"/>
        <v>1279</v>
      </c>
      <c r="AL1279" s="323">
        <f t="shared" si="631"/>
        <v>1289</v>
      </c>
      <c r="AM1279" s="322">
        <f t="shared" si="632"/>
        <v>1</v>
      </c>
      <c r="AN1279" s="380">
        <f>IF(AND(AH1279&gt;0,B1279&lt;&gt;""),VLOOKUP(I1279,'AUX-NIV3'!$B:$AO,39,FALSE)*O1279,0)</f>
        <v>0</v>
      </c>
      <c r="AO1279" s="380">
        <f t="shared" si="606"/>
        <v>2.0625</v>
      </c>
      <c r="AP1279" s="380"/>
    </row>
    <row r="1280" spans="2:42" ht="14.4" hidden="1" thickTop="1" thickBot="1">
      <c r="B1280" s="501" t="s">
        <v>3506</v>
      </c>
      <c r="C1280" s="950" t="s">
        <v>3507</v>
      </c>
      <c r="D1280" s="326" t="s">
        <v>501</v>
      </c>
      <c r="E1280" s="327">
        <f>IF(B1280&lt;&gt;"",SUMIF('AUX-NIV1'!I:I,'AUX-NIV2'!B1280,'AUX-NIV1'!Q:Q),"")</f>
        <v>0</v>
      </c>
      <c r="F1280" s="327">
        <f t="shared" si="596"/>
        <v>1063.0771239919991</v>
      </c>
      <c r="G1280" s="327">
        <f t="shared" si="597"/>
        <v>0</v>
      </c>
      <c r="H1280" s="328" t="str">
        <f t="shared" si="641"/>
        <v>A</v>
      </c>
      <c r="I1280" s="325" t="s">
        <v>1746</v>
      </c>
      <c r="J1280" s="329" t="str">
        <f>IF(B1280&lt;&gt;"",+VLOOKUP(I1280,Recursos!C:F,2,FALSE),"")</f>
        <v>OFICIAL</v>
      </c>
      <c r="K1280" s="330" t="str">
        <f>IF(B1280&lt;&gt;"",+VLOOKUP(I1280,Recursos!C:F,3,FALSE),"")</f>
        <v>hh</v>
      </c>
      <c r="L1280" s="446">
        <f>IF(B1280&lt;&gt;"",+VLOOKUP(I1280,Recursos!C:F,4,FALSE),"")</f>
        <v>496.91595439275824</v>
      </c>
      <c r="M1280" s="452">
        <v>0.5</v>
      </c>
      <c r="N1280" s="455"/>
      <c r="O1280" s="449">
        <f t="shared" si="645"/>
        <v>0.5</v>
      </c>
      <c r="P1280" s="333">
        <f t="shared" si="642"/>
        <v>248.45797719637912</v>
      </c>
      <c r="Q1280" s="327">
        <f t="shared" si="643"/>
        <v>0</v>
      </c>
      <c r="R1280" s="334">
        <f t="shared" si="644"/>
        <v>0</v>
      </c>
      <c r="S1280" s="335">
        <f t="shared" si="598"/>
        <v>992.52625442678163</v>
      </c>
      <c r="T1280" s="335">
        <f t="shared" si="599"/>
        <v>0</v>
      </c>
      <c r="U1280" s="336">
        <f t="shared" si="600"/>
        <v>70.550869565217397</v>
      </c>
      <c r="V1280" s="336">
        <f t="shared" si="601"/>
        <v>0</v>
      </c>
      <c r="W1280" s="336">
        <f t="shared" si="602"/>
        <v>0</v>
      </c>
      <c r="X1280" s="336">
        <f t="shared" si="603"/>
        <v>0</v>
      </c>
      <c r="Y1280" s="320"/>
      <c r="Z1280" s="321" t="str">
        <f t="shared" si="623"/>
        <v>X-ENC4A</v>
      </c>
      <c r="AA1280" s="321" t="str">
        <f t="shared" si="624"/>
        <v>X-ENC4E</v>
      </c>
      <c r="AB1280" s="321" t="str">
        <f t="shared" si="625"/>
        <v>X-ENC4M</v>
      </c>
      <c r="AC1280" s="321" t="str">
        <f t="shared" si="626"/>
        <v>X-ENC4T</v>
      </c>
      <c r="AD1280" s="321" t="str">
        <f t="shared" si="627"/>
        <v>X-ENC4S</v>
      </c>
      <c r="AE1280" s="321" t="str">
        <f t="shared" si="628"/>
        <v>X-ENC4X</v>
      </c>
      <c r="AF1280" s="321" t="str">
        <f t="shared" si="629"/>
        <v>X-ENC4A</v>
      </c>
      <c r="AG1280" s="321">
        <f t="shared" si="604"/>
        <v>11</v>
      </c>
      <c r="AH1280" s="321">
        <f>IF(B1280&lt;&gt;"",IF(H1280="x",VLOOKUP(I1280,'AUX-NIV3'!B:AG,32,FALSE),0),"")</f>
        <v>0</v>
      </c>
      <c r="AI1280" s="321" t="str">
        <f t="shared" si="630"/>
        <v>X-ENC4</v>
      </c>
      <c r="AJ1280" s="320"/>
      <c r="AK1280" s="322">
        <f t="shared" si="605"/>
        <v>1279</v>
      </c>
      <c r="AL1280" s="323">
        <f t="shared" si="631"/>
        <v>1289</v>
      </c>
      <c r="AM1280" s="322">
        <f t="shared" si="632"/>
        <v>2</v>
      </c>
      <c r="AN1280" s="380">
        <f>IF(AND(AH1280&gt;0,B1280&lt;&gt;""),VLOOKUP(I1280,'AUX-NIV3'!$B:$AO,39,FALSE)*O1280,0)</f>
        <v>0</v>
      </c>
      <c r="AO1280" s="380">
        <f t="shared" si="606"/>
        <v>2.0625</v>
      </c>
      <c r="AP1280" s="380"/>
    </row>
    <row r="1281" spans="2:42" ht="14.4" hidden="1" thickTop="1" thickBot="1">
      <c r="B1281" s="501" t="s">
        <v>3506</v>
      </c>
      <c r="C1281" s="950" t="s">
        <v>3507</v>
      </c>
      <c r="D1281" s="326" t="s">
        <v>501</v>
      </c>
      <c r="E1281" s="327">
        <f>IF(B1281&lt;&gt;"",SUMIF('AUX-NIV1'!I:I,'AUX-NIV2'!B1281,'AUX-NIV1'!Q:Q),"")</f>
        <v>0</v>
      </c>
      <c r="F1281" s="327">
        <f t="shared" si="596"/>
        <v>1063.0771239919991</v>
      </c>
      <c r="G1281" s="327">
        <f t="shared" si="597"/>
        <v>0</v>
      </c>
      <c r="H1281" s="328" t="str">
        <f t="shared" si="641"/>
        <v>A</v>
      </c>
      <c r="I1281" s="325" t="s">
        <v>3309</v>
      </c>
      <c r="J1281" s="329" t="str">
        <f>IF(B1281&lt;&gt;"",+VLOOKUP(I1281,Recursos!C:F,2,FALSE),"")</f>
        <v>MEDIO OFICIAL</v>
      </c>
      <c r="K1281" s="330" t="str">
        <f>IF(B1281&lt;&gt;"",+VLOOKUP(I1281,Recursos!C:F,3,FALSE),"")</f>
        <v>hh</v>
      </c>
      <c r="L1281" s="446">
        <f>IF(B1281&lt;&gt;"",+VLOOKUP(I1281,Recursos!C:F,4,FALSE),"")</f>
        <v>459.10093211890984</v>
      </c>
      <c r="M1281" s="452"/>
      <c r="N1281" s="455"/>
      <c r="O1281" s="449">
        <f t="shared" si="645"/>
        <v>0</v>
      </c>
      <c r="P1281" s="333">
        <f t="shared" si="642"/>
        <v>0</v>
      </c>
      <c r="Q1281" s="327">
        <f t="shared" si="643"/>
        <v>0</v>
      </c>
      <c r="R1281" s="334">
        <f t="shared" si="644"/>
        <v>0</v>
      </c>
      <c r="S1281" s="335">
        <f t="shared" si="598"/>
        <v>992.52625442678163</v>
      </c>
      <c r="T1281" s="335">
        <f t="shared" si="599"/>
        <v>0</v>
      </c>
      <c r="U1281" s="336">
        <f t="shared" si="600"/>
        <v>70.550869565217397</v>
      </c>
      <c r="V1281" s="336">
        <f t="shared" si="601"/>
        <v>0</v>
      </c>
      <c r="W1281" s="336">
        <f t="shared" si="602"/>
        <v>0</v>
      </c>
      <c r="X1281" s="336">
        <f t="shared" si="603"/>
        <v>0</v>
      </c>
      <c r="Y1281" s="320"/>
      <c r="Z1281" s="321" t="str">
        <f t="shared" si="623"/>
        <v>X-ENC4A</v>
      </c>
      <c r="AA1281" s="321" t="str">
        <f t="shared" si="624"/>
        <v>X-ENC4E</v>
      </c>
      <c r="AB1281" s="321" t="str">
        <f t="shared" si="625"/>
        <v>X-ENC4M</v>
      </c>
      <c r="AC1281" s="321" t="str">
        <f t="shared" si="626"/>
        <v>X-ENC4T</v>
      </c>
      <c r="AD1281" s="321" t="str">
        <f t="shared" si="627"/>
        <v>X-ENC4S</v>
      </c>
      <c r="AE1281" s="321" t="str">
        <f t="shared" si="628"/>
        <v>X-ENC4X</v>
      </c>
      <c r="AF1281" s="321" t="str">
        <f t="shared" si="629"/>
        <v>X-ENC4A</v>
      </c>
      <c r="AG1281" s="321">
        <f t="shared" si="604"/>
        <v>11</v>
      </c>
      <c r="AH1281" s="321">
        <f>IF(B1281&lt;&gt;"",IF(H1281="x",VLOOKUP(I1281,'AUX-NIV3'!B:AG,32,FALSE),0),"")</f>
        <v>0</v>
      </c>
      <c r="AI1281" s="321" t="str">
        <f t="shared" si="630"/>
        <v>X-ENC4</v>
      </c>
      <c r="AJ1281" s="320"/>
      <c r="AK1281" s="322">
        <f t="shared" si="605"/>
        <v>1279</v>
      </c>
      <c r="AL1281" s="323">
        <f t="shared" si="631"/>
        <v>1289</v>
      </c>
      <c r="AM1281" s="322">
        <f t="shared" si="632"/>
        <v>3</v>
      </c>
      <c r="AN1281" s="380">
        <f>IF(AND(AH1281&gt;0,B1281&lt;&gt;""),VLOOKUP(I1281,'AUX-NIV3'!$B:$AO,39,FALSE)*O1281,0)</f>
        <v>0</v>
      </c>
      <c r="AO1281" s="380">
        <f t="shared" si="606"/>
        <v>2.0625</v>
      </c>
      <c r="AP1281" s="380"/>
    </row>
    <row r="1282" spans="2:42" ht="14.4" hidden="1" thickTop="1" thickBot="1">
      <c r="B1282" s="501" t="s">
        <v>3506</v>
      </c>
      <c r="C1282" s="950" t="s">
        <v>3507</v>
      </c>
      <c r="D1282" s="326" t="s">
        <v>501</v>
      </c>
      <c r="E1282" s="327">
        <f>IF(B1282&lt;&gt;"",SUMIF('AUX-NIV1'!I:I,'AUX-NIV2'!B1282,'AUX-NIV1'!Q:Q),"")</f>
        <v>0</v>
      </c>
      <c r="F1282" s="327">
        <f t="shared" si="596"/>
        <v>1063.0771239919991</v>
      </c>
      <c r="G1282" s="327">
        <f t="shared" si="597"/>
        <v>0</v>
      </c>
      <c r="H1282" s="328" t="str">
        <f t="shared" si="641"/>
        <v>A</v>
      </c>
      <c r="I1282" s="325" t="s">
        <v>3310</v>
      </c>
      <c r="J1282" s="329" t="str">
        <f>IF(B1282&lt;&gt;"",+VLOOKUP(I1282,Recursos!C:F,2,FALSE),"")</f>
        <v>OFICIAL ESPECIALIZADO</v>
      </c>
      <c r="K1282" s="330" t="str">
        <f>IF(B1282&lt;&gt;"",+VLOOKUP(I1282,Recursos!C:F,3,FALSE),"")</f>
        <v>hh</v>
      </c>
      <c r="L1282" s="446">
        <f>IF(B1282&lt;&gt;"",+VLOOKUP(I1282,Recursos!C:F,4,FALSE),"")</f>
        <v>581.06120476836554</v>
      </c>
      <c r="M1282" s="452">
        <v>0.5</v>
      </c>
      <c r="N1282" s="455"/>
      <c r="O1282" s="449">
        <f t="shared" si="645"/>
        <v>0.5</v>
      </c>
      <c r="P1282" s="333">
        <f t="shared" si="642"/>
        <v>290.53060238418277</v>
      </c>
      <c r="Q1282" s="327">
        <f t="shared" si="643"/>
        <v>0</v>
      </c>
      <c r="R1282" s="334">
        <f t="shared" si="644"/>
        <v>0</v>
      </c>
      <c r="S1282" s="335">
        <f t="shared" si="598"/>
        <v>992.52625442678163</v>
      </c>
      <c r="T1282" s="335">
        <f t="shared" si="599"/>
        <v>0</v>
      </c>
      <c r="U1282" s="336">
        <f t="shared" si="600"/>
        <v>70.550869565217397</v>
      </c>
      <c r="V1282" s="336">
        <f t="shared" si="601"/>
        <v>0</v>
      </c>
      <c r="W1282" s="336">
        <f t="shared" si="602"/>
        <v>0</v>
      </c>
      <c r="X1282" s="336">
        <f t="shared" si="603"/>
        <v>0</v>
      </c>
      <c r="Y1282" s="320"/>
      <c r="Z1282" s="321" t="str">
        <f t="shared" si="623"/>
        <v>X-ENC4A</v>
      </c>
      <c r="AA1282" s="321" t="str">
        <f t="shared" si="624"/>
        <v>X-ENC4E</v>
      </c>
      <c r="AB1282" s="321" t="str">
        <f t="shared" si="625"/>
        <v>X-ENC4M</v>
      </c>
      <c r="AC1282" s="321" t="str">
        <f t="shared" si="626"/>
        <v>X-ENC4T</v>
      </c>
      <c r="AD1282" s="321" t="str">
        <f t="shared" si="627"/>
        <v>X-ENC4S</v>
      </c>
      <c r="AE1282" s="321" t="str">
        <f t="shared" si="628"/>
        <v>X-ENC4X</v>
      </c>
      <c r="AF1282" s="321" t="str">
        <f t="shared" si="629"/>
        <v>X-ENC4A</v>
      </c>
      <c r="AG1282" s="321">
        <f t="shared" si="604"/>
        <v>11</v>
      </c>
      <c r="AH1282" s="321">
        <f>IF(B1282&lt;&gt;"",IF(H1282="x",VLOOKUP(I1282,'AUX-NIV3'!B:AG,32,FALSE),0),"")</f>
        <v>0</v>
      </c>
      <c r="AI1282" s="321" t="str">
        <f t="shared" si="630"/>
        <v>X-ENC4</v>
      </c>
      <c r="AJ1282" s="320"/>
      <c r="AK1282" s="322">
        <f t="shared" si="605"/>
        <v>1279</v>
      </c>
      <c r="AL1282" s="323">
        <f t="shared" si="631"/>
        <v>1289</v>
      </c>
      <c r="AM1282" s="322">
        <f t="shared" si="632"/>
        <v>4</v>
      </c>
      <c r="AN1282" s="380">
        <f>IF(AND(AH1282&gt;0,B1282&lt;&gt;""),VLOOKUP(I1282,'AUX-NIV3'!$B:$AO,39,FALSE)*O1282,0)</f>
        <v>0</v>
      </c>
      <c r="AO1282" s="380">
        <f t="shared" si="606"/>
        <v>2.0625</v>
      </c>
      <c r="AP1282" s="380"/>
    </row>
    <row r="1283" spans="2:42" ht="14.4" hidden="1" thickTop="1" thickBot="1">
      <c r="B1283" s="501" t="s">
        <v>3506</v>
      </c>
      <c r="C1283" s="950" t="s">
        <v>3507</v>
      </c>
      <c r="D1283" s="326" t="s">
        <v>501</v>
      </c>
      <c r="E1283" s="327">
        <f>IF(B1283&lt;&gt;"",SUMIF('AUX-NIV1'!I:I,'AUX-NIV2'!B1283,'AUX-NIV1'!Q:Q),"")</f>
        <v>0</v>
      </c>
      <c r="F1283" s="327">
        <f t="shared" si="596"/>
        <v>1063.0771239919991</v>
      </c>
      <c r="G1283" s="327">
        <f t="shared" si="597"/>
        <v>0</v>
      </c>
      <c r="H1283" s="328" t="str">
        <f t="shared" si="641"/>
        <v>A</v>
      </c>
      <c r="I1283" s="325" t="s">
        <v>1746</v>
      </c>
      <c r="J1283" s="329" t="str">
        <f>IF(B1283&lt;&gt;"",+VLOOKUP(I1283,Recursos!C:F,2,FALSE),"")</f>
        <v>OFICIAL</v>
      </c>
      <c r="K1283" s="330" t="str">
        <f>IF(B1283&lt;&gt;"",+VLOOKUP(I1283,Recursos!C:F,3,FALSE),"")</f>
        <v>hh</v>
      </c>
      <c r="L1283" s="446">
        <f>IF(B1283&lt;&gt;"",+VLOOKUP(I1283,Recursos!C:F,4,FALSE),"")</f>
        <v>496.91595439275824</v>
      </c>
      <c r="M1283" s="511"/>
      <c r="N1283" s="453">
        <v>1.25</v>
      </c>
      <c r="O1283" s="449">
        <f>+M1284*N1283</f>
        <v>6.25E-2</v>
      </c>
      <c r="P1283" s="333">
        <f t="shared" si="642"/>
        <v>31.05724714954739</v>
      </c>
      <c r="Q1283" s="327">
        <f t="shared" si="643"/>
        <v>0</v>
      </c>
      <c r="R1283" s="334">
        <f t="shared" si="644"/>
        <v>0</v>
      </c>
      <c r="S1283" s="335">
        <f t="shared" si="598"/>
        <v>992.52625442678163</v>
      </c>
      <c r="T1283" s="335">
        <f t="shared" si="599"/>
        <v>0</v>
      </c>
      <c r="U1283" s="336">
        <f t="shared" si="600"/>
        <v>70.550869565217397</v>
      </c>
      <c r="V1283" s="336">
        <f t="shared" si="601"/>
        <v>0</v>
      </c>
      <c r="W1283" s="336">
        <f t="shared" si="602"/>
        <v>0</v>
      </c>
      <c r="X1283" s="336">
        <f t="shared" si="603"/>
        <v>0</v>
      </c>
      <c r="Y1283" s="320"/>
      <c r="Z1283" s="321" t="str">
        <f t="shared" si="623"/>
        <v>X-ENC4A</v>
      </c>
      <c r="AA1283" s="321" t="str">
        <f t="shared" si="624"/>
        <v>X-ENC4E</v>
      </c>
      <c r="AB1283" s="321" t="str">
        <f t="shared" si="625"/>
        <v>X-ENC4M</v>
      </c>
      <c r="AC1283" s="321" t="str">
        <f t="shared" si="626"/>
        <v>X-ENC4T</v>
      </c>
      <c r="AD1283" s="321" t="str">
        <f t="shared" si="627"/>
        <v>X-ENC4S</v>
      </c>
      <c r="AE1283" s="321" t="str">
        <f t="shared" si="628"/>
        <v>X-ENC4X</v>
      </c>
      <c r="AF1283" s="321" t="str">
        <f t="shared" si="629"/>
        <v>X-ENC4A</v>
      </c>
      <c r="AG1283" s="321">
        <f t="shared" si="604"/>
        <v>11</v>
      </c>
      <c r="AH1283" s="321">
        <f>IF(B1283&lt;&gt;"",IF(H1283="x",VLOOKUP(I1283,'AUX-NIV3'!B:AG,32,FALSE),0),"")</f>
        <v>0</v>
      </c>
      <c r="AI1283" s="321" t="str">
        <f t="shared" si="630"/>
        <v>X-ENC4</v>
      </c>
      <c r="AJ1283" s="320"/>
      <c r="AK1283" s="322">
        <f t="shared" si="605"/>
        <v>1279</v>
      </c>
      <c r="AL1283" s="323">
        <f t="shared" si="631"/>
        <v>1289</v>
      </c>
      <c r="AM1283" s="322">
        <f t="shared" si="632"/>
        <v>5</v>
      </c>
      <c r="AN1283" s="380">
        <f>IF(AND(AH1283&gt;0,B1283&lt;&gt;""),VLOOKUP(I1283,'AUX-NIV3'!$B:$AO,39,FALSE)*O1283,0)</f>
        <v>0</v>
      </c>
      <c r="AO1283" s="380">
        <f t="shared" si="606"/>
        <v>2.0625</v>
      </c>
      <c r="AP1283" s="380"/>
    </row>
    <row r="1284" spans="2:42" ht="14.4" hidden="1" thickTop="1" thickBot="1">
      <c r="B1284" s="501" t="s">
        <v>3506</v>
      </c>
      <c r="C1284" s="950" t="s">
        <v>3507</v>
      </c>
      <c r="D1284" s="326" t="s">
        <v>501</v>
      </c>
      <c r="E1284" s="327">
        <f>IF(B1284&lt;&gt;"",SUMIF('AUX-NIV1'!I:I,'AUX-NIV2'!B1284,'AUX-NIV1'!Q:Q),"")</f>
        <v>0</v>
      </c>
      <c r="F1284" s="327">
        <f t="shared" si="596"/>
        <v>1063.0771239919991</v>
      </c>
      <c r="G1284" s="327">
        <f t="shared" si="597"/>
        <v>0</v>
      </c>
      <c r="H1284" s="328" t="str">
        <f t="shared" si="641"/>
        <v>E</v>
      </c>
      <c r="I1284" s="325" t="s">
        <v>1597</v>
      </c>
      <c r="J1284" s="329" t="str">
        <f>IF(B1284&lt;&gt;"",+VLOOKUP(I1284,Recursos!C:F,2,FALSE),"")</f>
        <v>HIDROGRUA MONTADA S/CAMION (6 T)</v>
      </c>
      <c r="K1284" s="330" t="str">
        <f>IF(B1284&lt;&gt;"",+VLOOKUP(I1284,Recursos!C:F,3,FALSE),"")</f>
        <v>HR</v>
      </c>
      <c r="L1284" s="446">
        <f>IF(B1284&lt;&gt;"",+VLOOKUP(I1284,Recursos!C:F,4,FALSE),"")</f>
        <v>2378.0722500000002</v>
      </c>
      <c r="M1284" s="452">
        <v>0.05</v>
      </c>
      <c r="N1284" s="453">
        <v>0</v>
      </c>
      <c r="O1284" s="449">
        <f>+M1284*N1284</f>
        <v>0</v>
      </c>
      <c r="P1284" s="333">
        <f t="shared" si="642"/>
        <v>0</v>
      </c>
      <c r="Q1284" s="327">
        <f t="shared" si="643"/>
        <v>0</v>
      </c>
      <c r="R1284" s="334">
        <f t="shared" si="644"/>
        <v>0</v>
      </c>
      <c r="S1284" s="335">
        <f t="shared" si="598"/>
        <v>992.52625442678163</v>
      </c>
      <c r="T1284" s="335">
        <f t="shared" si="599"/>
        <v>0</v>
      </c>
      <c r="U1284" s="336">
        <f t="shared" si="600"/>
        <v>70.550869565217397</v>
      </c>
      <c r="V1284" s="336">
        <f t="shared" si="601"/>
        <v>0</v>
      </c>
      <c r="W1284" s="336">
        <f t="shared" si="602"/>
        <v>0</v>
      </c>
      <c r="X1284" s="336">
        <f t="shared" si="603"/>
        <v>0</v>
      </c>
      <c r="Y1284" s="320"/>
      <c r="Z1284" s="321" t="str">
        <f t="shared" si="623"/>
        <v>X-ENC4A</v>
      </c>
      <c r="AA1284" s="321" t="str">
        <f t="shared" si="624"/>
        <v>X-ENC4E</v>
      </c>
      <c r="AB1284" s="321" t="str">
        <f t="shared" si="625"/>
        <v>X-ENC4M</v>
      </c>
      <c r="AC1284" s="321" t="str">
        <f t="shared" si="626"/>
        <v>X-ENC4T</v>
      </c>
      <c r="AD1284" s="321" t="str">
        <f t="shared" si="627"/>
        <v>X-ENC4S</v>
      </c>
      <c r="AE1284" s="321" t="str">
        <f t="shared" si="628"/>
        <v>X-ENC4X</v>
      </c>
      <c r="AF1284" s="321" t="str">
        <f t="shared" si="629"/>
        <v>X-ENC4E</v>
      </c>
      <c r="AG1284" s="321">
        <f t="shared" si="604"/>
        <v>11</v>
      </c>
      <c r="AH1284" s="321">
        <f>IF(B1284&lt;&gt;"",IF(H1284="x",VLOOKUP(I1284,'AUX-NIV3'!B:AG,32,FALSE),0),"")</f>
        <v>0</v>
      </c>
      <c r="AI1284" s="321" t="str">
        <f t="shared" si="630"/>
        <v>X-ENC4</v>
      </c>
      <c r="AJ1284" s="320"/>
      <c r="AK1284" s="322">
        <f t="shared" si="605"/>
        <v>1279</v>
      </c>
      <c r="AL1284" s="323">
        <f t="shared" si="631"/>
        <v>1289</v>
      </c>
      <c r="AM1284" s="322">
        <f t="shared" si="632"/>
        <v>6</v>
      </c>
      <c r="AN1284" s="380">
        <f>IF(AND(AH1284&gt;0,B1284&lt;&gt;""),VLOOKUP(I1284,'AUX-NIV3'!$B:$AO,39,FALSE)*O1284,0)</f>
        <v>0</v>
      </c>
      <c r="AO1284" s="380">
        <f t="shared" si="606"/>
        <v>2.0625</v>
      </c>
      <c r="AP1284" s="380"/>
    </row>
    <row r="1285" spans="2:42" ht="14.4" hidden="1" thickTop="1" thickBot="1">
      <c r="B1285" s="501" t="s">
        <v>3506</v>
      </c>
      <c r="C1285" s="950" t="s">
        <v>3507</v>
      </c>
      <c r="D1285" s="326" t="s">
        <v>501</v>
      </c>
      <c r="E1285" s="327">
        <f>IF(B1285&lt;&gt;"",SUMIF('AUX-NIV1'!I:I,'AUX-NIV2'!B1285,'AUX-NIV1'!Q:Q),"")</f>
        <v>0</v>
      </c>
      <c r="F1285" s="327">
        <f t="shared" si="596"/>
        <v>1063.0771239919991</v>
      </c>
      <c r="G1285" s="327">
        <f t="shared" si="597"/>
        <v>0</v>
      </c>
      <c r="H1285" s="328" t="str">
        <f>IF(B1285&lt;&gt;"",+LEFT(I1285,1),"")</f>
        <v>A</v>
      </c>
      <c r="I1285" s="325" t="s">
        <v>3310</v>
      </c>
      <c r="J1285" s="329" t="str">
        <f>IF(B1285&lt;&gt;"",+VLOOKUP(I1285,Recursos!C:F,2,FALSE),"")</f>
        <v>OFICIAL ESPECIALIZADO</v>
      </c>
      <c r="K1285" s="330" t="str">
        <f>IF(B1285&lt;&gt;"",+VLOOKUP(I1285,Recursos!C:F,3,FALSE),"")</f>
        <v>hh</v>
      </c>
      <c r="L1285" s="446">
        <f>IF(B1285&lt;&gt;"",+VLOOKUP(I1285,Recursos!C:F,4,FALSE),"")</f>
        <v>581.06120476836554</v>
      </c>
      <c r="M1285" s="934"/>
      <c r="N1285" s="935"/>
      <c r="O1285" s="449">
        <f>+M1284*N1283*N1284</f>
        <v>0</v>
      </c>
      <c r="P1285" s="333">
        <f>IF(B1285&lt;&gt;"",O1285*L1285,"")</f>
        <v>0</v>
      </c>
      <c r="Q1285" s="327">
        <f>IF(B1285&lt;&gt;"",+O1285*E1285,"")</f>
        <v>0</v>
      </c>
      <c r="R1285" s="334">
        <f>IF(B1285&lt;&gt;"",Q1285*L1285,"")</f>
        <v>0</v>
      </c>
      <c r="S1285" s="335">
        <f t="shared" si="598"/>
        <v>992.52625442678163</v>
      </c>
      <c r="T1285" s="335">
        <f t="shared" si="599"/>
        <v>0</v>
      </c>
      <c r="U1285" s="336">
        <f t="shared" si="600"/>
        <v>70.550869565217397</v>
      </c>
      <c r="V1285" s="336">
        <f t="shared" si="601"/>
        <v>0</v>
      </c>
      <c r="W1285" s="336">
        <f t="shared" si="602"/>
        <v>0</v>
      </c>
      <c r="X1285" s="336">
        <f t="shared" si="603"/>
        <v>0</v>
      </c>
      <c r="Y1285" s="320"/>
      <c r="Z1285" s="321" t="str">
        <f t="shared" si="623"/>
        <v>X-ENC4A</v>
      </c>
      <c r="AA1285" s="321" t="str">
        <f t="shared" si="624"/>
        <v>X-ENC4E</v>
      </c>
      <c r="AB1285" s="321" t="str">
        <f t="shared" si="625"/>
        <v>X-ENC4M</v>
      </c>
      <c r="AC1285" s="321" t="str">
        <f t="shared" si="626"/>
        <v>X-ENC4T</v>
      </c>
      <c r="AD1285" s="321" t="str">
        <f t="shared" si="627"/>
        <v>X-ENC4S</v>
      </c>
      <c r="AE1285" s="321" t="str">
        <f t="shared" si="628"/>
        <v>X-ENC4X</v>
      </c>
      <c r="AF1285" s="321" t="str">
        <f t="shared" si="629"/>
        <v>X-ENC4A</v>
      </c>
      <c r="AG1285" s="321">
        <f t="shared" si="604"/>
        <v>11</v>
      </c>
      <c r="AH1285" s="321">
        <f>IF(B1285&lt;&gt;"",IF(H1285="x",VLOOKUP(I1285,'AUX-NIV3'!B:AG,32,FALSE),0),"")</f>
        <v>0</v>
      </c>
      <c r="AI1285" s="321" t="str">
        <f t="shared" si="630"/>
        <v>X-ENC4</v>
      </c>
      <c r="AJ1285" s="320"/>
      <c r="AK1285" s="322">
        <f t="shared" si="605"/>
        <v>1279</v>
      </c>
      <c r="AL1285" s="323">
        <f t="shared" si="631"/>
        <v>1289</v>
      </c>
      <c r="AM1285" s="322">
        <f t="shared" si="632"/>
        <v>7</v>
      </c>
      <c r="AN1285" s="380">
        <f>IF(AND(AH1285&gt;0,B1285&lt;&gt;""),VLOOKUP(I1285,'AUX-NIV3'!$B:$AO,39,FALSE)*O1285,0)</f>
        <v>0</v>
      </c>
      <c r="AO1285" s="380">
        <f t="shared" si="606"/>
        <v>2.0625</v>
      </c>
      <c r="AP1285" s="380"/>
    </row>
    <row r="1286" spans="2:42" ht="14.4" hidden="1" thickTop="1" thickBot="1">
      <c r="B1286" s="501" t="s">
        <v>3506</v>
      </c>
      <c r="C1286" s="950" t="s">
        <v>3507</v>
      </c>
      <c r="D1286" s="326" t="s">
        <v>501</v>
      </c>
      <c r="E1286" s="327">
        <f>IF(B1286&lt;&gt;"",SUMIF('AUX-NIV1'!I:I,'AUX-NIV2'!B1286,'AUX-NIV1'!Q:Q),"")</f>
        <v>0</v>
      </c>
      <c r="F1286" s="327">
        <f t="shared" si="596"/>
        <v>1063.0771239919991</v>
      </c>
      <c r="G1286" s="327">
        <f t="shared" si="597"/>
        <v>0</v>
      </c>
      <c r="H1286" s="328" t="str">
        <f t="shared" ref="H1286:H1293" si="646">IF(B1286&lt;&gt;"",+LEFT(I1286,1),"")</f>
        <v>M</v>
      </c>
      <c r="I1286" s="325" t="s">
        <v>1855</v>
      </c>
      <c r="J1286" s="329" t="str">
        <f>IF(B1286&lt;&gt;"",+VLOOKUP(I1286,Recursos!C:F,2,FALSE),"")</f>
        <v>DESMOLDANTE</v>
      </c>
      <c r="K1286" s="330" t="str">
        <f>IF(B1286&lt;&gt;"",+VLOOKUP(I1286,Recursos!C:F,3,FALSE),"")</f>
        <v>Kg</v>
      </c>
      <c r="L1286" s="446">
        <f>IF(B1286&lt;&gt;"",+VLOOKUP(I1286,Recursos!C:F,4,FALSE),"")</f>
        <v>50.4</v>
      </c>
      <c r="M1286" s="529">
        <v>0.1</v>
      </c>
      <c r="N1286" s="455"/>
      <c r="O1286" s="449">
        <f>+M1286</f>
        <v>0.1</v>
      </c>
      <c r="P1286" s="333">
        <f t="shared" ref="P1286:P1293" si="647">IF(B1286&lt;&gt;"",O1286*L1286,"")</f>
        <v>5.04</v>
      </c>
      <c r="Q1286" s="327">
        <f t="shared" ref="Q1286:Q1293" si="648">IF(B1286&lt;&gt;"",+O1286*E1286,"")</f>
        <v>0</v>
      </c>
      <c r="R1286" s="334">
        <f t="shared" ref="R1286:R1293" si="649">IF(B1286&lt;&gt;"",Q1286*L1286,"")</f>
        <v>0</v>
      </c>
      <c r="S1286" s="335">
        <f t="shared" si="598"/>
        <v>992.52625442678163</v>
      </c>
      <c r="T1286" s="335">
        <f t="shared" si="599"/>
        <v>0</v>
      </c>
      <c r="U1286" s="336">
        <f t="shared" si="600"/>
        <v>70.550869565217397</v>
      </c>
      <c r="V1286" s="336">
        <f t="shared" si="601"/>
        <v>0</v>
      </c>
      <c r="W1286" s="336">
        <f t="shared" si="602"/>
        <v>0</v>
      </c>
      <c r="X1286" s="336">
        <f t="shared" si="603"/>
        <v>0</v>
      </c>
      <c r="Y1286" s="320"/>
      <c r="Z1286" s="321" t="str">
        <f t="shared" si="623"/>
        <v>X-ENC4A</v>
      </c>
      <c r="AA1286" s="321" t="str">
        <f t="shared" si="624"/>
        <v>X-ENC4E</v>
      </c>
      <c r="AB1286" s="321" t="str">
        <f t="shared" si="625"/>
        <v>X-ENC4M</v>
      </c>
      <c r="AC1286" s="321" t="str">
        <f t="shared" si="626"/>
        <v>X-ENC4T</v>
      </c>
      <c r="AD1286" s="321" t="str">
        <f t="shared" si="627"/>
        <v>X-ENC4S</v>
      </c>
      <c r="AE1286" s="321" t="str">
        <f t="shared" si="628"/>
        <v>X-ENC4X</v>
      </c>
      <c r="AF1286" s="321" t="str">
        <f t="shared" si="629"/>
        <v>X-ENC4M</v>
      </c>
      <c r="AG1286" s="321">
        <f t="shared" si="604"/>
        <v>11</v>
      </c>
      <c r="AH1286" s="321">
        <f>IF(B1286&lt;&gt;"",IF(H1286="x",VLOOKUP(I1286,'AUX-NIV3'!B:AG,32,FALSE),0),"")</f>
        <v>0</v>
      </c>
      <c r="AI1286" s="321" t="str">
        <f t="shared" si="630"/>
        <v>X-ENC4</v>
      </c>
      <c r="AJ1286" s="320"/>
      <c r="AK1286" s="322">
        <f t="shared" si="605"/>
        <v>1279</v>
      </c>
      <c r="AL1286" s="323">
        <f t="shared" si="631"/>
        <v>1289</v>
      </c>
      <c r="AM1286" s="322">
        <f t="shared" si="632"/>
        <v>8</v>
      </c>
      <c r="AN1286" s="380">
        <f>IF(AND(AH1286&gt;0,B1286&lt;&gt;""),VLOOKUP(I1286,'AUX-NIV3'!$B:$AO,39,FALSE)*O1286,0)</f>
        <v>0</v>
      </c>
      <c r="AO1286" s="380">
        <f t="shared" si="606"/>
        <v>2.0625</v>
      </c>
      <c r="AP1286" s="380"/>
    </row>
    <row r="1287" spans="2:42" ht="14.4" hidden="1" thickTop="1" thickBot="1">
      <c r="B1287" s="501" t="s">
        <v>3506</v>
      </c>
      <c r="C1287" s="950" t="s">
        <v>3507</v>
      </c>
      <c r="D1287" s="326" t="s">
        <v>501</v>
      </c>
      <c r="E1287" s="327">
        <f>IF(B1287&lt;&gt;"",SUMIF('AUX-NIV1'!I:I,'AUX-NIV2'!B1287,'AUX-NIV1'!Q:Q),"")</f>
        <v>0</v>
      </c>
      <c r="F1287" s="327">
        <f t="shared" ref="F1287:F1350" si="650">IF(B1287&lt;&gt;"",+SUMIF(B:B,B1287,P:P),"")</f>
        <v>1063.0771239919991</v>
      </c>
      <c r="G1287" s="327">
        <f t="shared" ref="G1287:G1350" si="651">IF(B1287&lt;&gt;"",+SUMIF(B:B,B1287,R:R),"")</f>
        <v>0</v>
      </c>
      <c r="H1287" s="328" t="str">
        <f t="shared" si="646"/>
        <v>M</v>
      </c>
      <c r="I1287" s="325" t="s">
        <v>1990</v>
      </c>
      <c r="J1287" s="329" t="str">
        <f>IF(B1287&lt;&gt;"",+VLOOKUP(I1287,Recursos!C:F,2,FALSE),"")</f>
        <v>MOLDE METALICO CORDON BORDE BANQ.</v>
      </c>
      <c r="K1287" s="330" t="str">
        <f>IF(B1287&lt;&gt;"",+VLOOKUP(I1287,Recursos!C:F,3,FALSE),"")</f>
        <v>m</v>
      </c>
      <c r="L1287" s="446">
        <f>IF(B1287&lt;&gt;"",+VLOOKUP(I1287,Recursos!C:F,4,FALSE),"")</f>
        <v>8700</v>
      </c>
      <c r="M1287" s="1157">
        <f>0.3*2/(0.15+0.15^2)</f>
        <v>3.4782608695652177</v>
      </c>
      <c r="N1287" s="1040">
        <v>1000</v>
      </c>
      <c r="O1287" s="449">
        <f>M1287/N1287</f>
        <v>3.478260869565218E-3</v>
      </c>
      <c r="P1287" s="333">
        <f t="shared" si="647"/>
        <v>30.260869565217398</v>
      </c>
      <c r="Q1287" s="327">
        <f t="shared" si="648"/>
        <v>0</v>
      </c>
      <c r="R1287" s="334">
        <f t="shared" si="649"/>
        <v>0</v>
      </c>
      <c r="S1287" s="335">
        <f t="shared" ref="S1287:S1350" si="652">IF(B1287&lt;&gt;"",+SUMIF($AF:$AF,Z1287,$P:$P),"")</f>
        <v>992.52625442678163</v>
      </c>
      <c r="T1287" s="335">
        <f t="shared" ref="T1287:T1350" si="653">IF(B1287&lt;&gt;"",+SUMIF($AF:$AF,AA1287,$P:$P),"")</f>
        <v>0</v>
      </c>
      <c r="U1287" s="336">
        <f t="shared" ref="U1287:U1350" si="654">IF(B1287&lt;&gt;"",+SUMIF($AF:$AF,AB1287,$P:$P),"")</f>
        <v>70.550869565217397</v>
      </c>
      <c r="V1287" s="336">
        <f t="shared" ref="V1287:V1350" si="655">IF(B1287&lt;&gt;"",+SUMIF($AF:$AF,AC1287,$P:$P),"")</f>
        <v>0</v>
      </c>
      <c r="W1287" s="336">
        <f t="shared" ref="W1287:W1350" si="656">IF(B1287&lt;&gt;"",+SUMIF($AF:$AF,AD1287,$P:$P),"")</f>
        <v>0</v>
      </c>
      <c r="X1287" s="336">
        <f t="shared" ref="X1287:X1350" si="657">IF(B1287&lt;&gt;"",+SUMIF($AF:$AF,AE1287,$P:$P),"")</f>
        <v>0</v>
      </c>
      <c r="Y1287" s="320"/>
      <c r="Z1287" s="321" t="str">
        <f t="shared" si="623"/>
        <v>X-ENC4A</v>
      </c>
      <c r="AA1287" s="321" t="str">
        <f t="shared" si="624"/>
        <v>X-ENC4E</v>
      </c>
      <c r="AB1287" s="321" t="str">
        <f t="shared" si="625"/>
        <v>X-ENC4M</v>
      </c>
      <c r="AC1287" s="321" t="str">
        <f t="shared" si="626"/>
        <v>X-ENC4T</v>
      </c>
      <c r="AD1287" s="321" t="str">
        <f t="shared" si="627"/>
        <v>X-ENC4S</v>
      </c>
      <c r="AE1287" s="321" t="str">
        <f t="shared" si="628"/>
        <v>X-ENC4X</v>
      </c>
      <c r="AF1287" s="321" t="str">
        <f t="shared" si="629"/>
        <v>X-ENC4M</v>
      </c>
      <c r="AG1287" s="321">
        <f t="shared" ref="AG1287:AG1350" si="658">IF(B1287&lt;&gt;"",+COUNTIF(B:B,B1287),"")</f>
        <v>11</v>
      </c>
      <c r="AH1287" s="321">
        <f>IF(B1287&lt;&gt;"",IF(H1287="x",VLOOKUP(I1287,'AUX-NIV3'!B:AG,32,FALSE),0),"")</f>
        <v>0</v>
      </c>
      <c r="AI1287" s="321" t="str">
        <f t="shared" si="630"/>
        <v>X-ENC4</v>
      </c>
      <c r="AJ1287" s="320"/>
      <c r="AK1287" s="322">
        <f t="shared" ref="AK1287:AK1350" si="659">IF(B1287&lt;&gt;"",+MATCH(B1287,B:B,0),"")</f>
        <v>1279</v>
      </c>
      <c r="AL1287" s="323">
        <f t="shared" si="631"/>
        <v>1289</v>
      </c>
      <c r="AM1287" s="322">
        <f t="shared" si="632"/>
        <v>9</v>
      </c>
      <c r="AN1287" s="380">
        <f>IF(AND(AH1287&gt;0,B1287&lt;&gt;""),VLOOKUP(I1287,'AUX-NIV3'!$B:$AO,39,FALSE)*O1287,0)</f>
        <v>0</v>
      </c>
      <c r="AO1287" s="380">
        <f t="shared" ref="AO1287:AO1350" si="660">+IF(B1287&lt;&gt;"",SUMIF(AF:AF,Z1287,O:O)+SUMIF(Z:Z,Z1287,AN:AN),0)</f>
        <v>2.0625</v>
      </c>
      <c r="AP1287" s="380"/>
    </row>
    <row r="1288" spans="2:42" ht="14.4" hidden="1" thickTop="1" thickBot="1">
      <c r="B1288" s="501" t="s">
        <v>3506</v>
      </c>
      <c r="C1288" s="950" t="s">
        <v>3507</v>
      </c>
      <c r="D1288" s="326" t="s">
        <v>501</v>
      </c>
      <c r="E1288" s="327">
        <f>IF(B1288&lt;&gt;"",SUMIF('AUX-NIV1'!I:I,'AUX-NIV2'!B1288,'AUX-NIV1'!Q:Q),"")</f>
        <v>0</v>
      </c>
      <c r="F1288" s="327">
        <f t="shared" si="650"/>
        <v>1063.0771239919991</v>
      </c>
      <c r="G1288" s="327">
        <f t="shared" si="651"/>
        <v>0</v>
      </c>
      <c r="H1288" s="328" t="str">
        <f t="shared" si="646"/>
        <v>M</v>
      </c>
      <c r="I1288" s="325" t="s">
        <v>1926</v>
      </c>
      <c r="J1288" s="329" t="str">
        <f>IF(B1288&lt;&gt;"",+VLOOKUP(I1288,Recursos!C:F,2,FALSE),"")</f>
        <v>ALAMBRE RECOCIDO #16</v>
      </c>
      <c r="K1288" s="330" t="str">
        <f>IF(B1288&lt;&gt;"",+VLOOKUP(I1288,Recursos!C:F,3,FALSE),"")</f>
        <v>Kg</v>
      </c>
      <c r="L1288" s="446">
        <f>IF(B1288&lt;&gt;"",+VLOOKUP(I1288,Recursos!C:F,4,FALSE),"")</f>
        <v>175</v>
      </c>
      <c r="M1288" s="452">
        <v>0.2</v>
      </c>
      <c r="N1288" s="508"/>
      <c r="O1288" s="449">
        <f>+M1288</f>
        <v>0.2</v>
      </c>
      <c r="P1288" s="333">
        <f t="shared" si="647"/>
        <v>35</v>
      </c>
      <c r="Q1288" s="327">
        <f t="shared" si="648"/>
        <v>0</v>
      </c>
      <c r="R1288" s="334">
        <f t="shared" si="649"/>
        <v>0</v>
      </c>
      <c r="S1288" s="335">
        <f t="shared" si="652"/>
        <v>992.52625442678163</v>
      </c>
      <c r="T1288" s="335">
        <f t="shared" si="653"/>
        <v>0</v>
      </c>
      <c r="U1288" s="336">
        <f t="shared" si="654"/>
        <v>70.550869565217397</v>
      </c>
      <c r="V1288" s="336">
        <f t="shared" si="655"/>
        <v>0</v>
      </c>
      <c r="W1288" s="336">
        <f t="shared" si="656"/>
        <v>0</v>
      </c>
      <c r="X1288" s="336">
        <f t="shared" si="657"/>
        <v>0</v>
      </c>
      <c r="Y1288" s="320"/>
      <c r="Z1288" s="321" t="str">
        <f t="shared" si="623"/>
        <v>X-ENC4A</v>
      </c>
      <c r="AA1288" s="321" t="str">
        <f t="shared" si="624"/>
        <v>X-ENC4E</v>
      </c>
      <c r="AB1288" s="321" t="str">
        <f t="shared" si="625"/>
        <v>X-ENC4M</v>
      </c>
      <c r="AC1288" s="321" t="str">
        <f t="shared" si="626"/>
        <v>X-ENC4T</v>
      </c>
      <c r="AD1288" s="321" t="str">
        <f t="shared" si="627"/>
        <v>X-ENC4S</v>
      </c>
      <c r="AE1288" s="321" t="str">
        <f t="shared" si="628"/>
        <v>X-ENC4X</v>
      </c>
      <c r="AF1288" s="321" t="str">
        <f t="shared" si="629"/>
        <v>X-ENC4M</v>
      </c>
      <c r="AG1288" s="321">
        <f t="shared" si="658"/>
        <v>11</v>
      </c>
      <c r="AH1288" s="321">
        <f>IF(B1288&lt;&gt;"",IF(H1288="x",VLOOKUP(I1288,'AUX-NIV3'!B:AG,32,FALSE),0),"")</f>
        <v>0</v>
      </c>
      <c r="AI1288" s="321" t="str">
        <f t="shared" si="630"/>
        <v>X-ENC4</v>
      </c>
      <c r="AJ1288" s="320"/>
      <c r="AK1288" s="322">
        <f t="shared" si="659"/>
        <v>1279</v>
      </c>
      <c r="AL1288" s="323">
        <f t="shared" si="631"/>
        <v>1289</v>
      </c>
      <c r="AM1288" s="322">
        <f t="shared" si="632"/>
        <v>10</v>
      </c>
      <c r="AN1288" s="380">
        <f>IF(AND(AH1288&gt;0,B1288&lt;&gt;""),VLOOKUP(I1288,'AUX-NIV3'!$B:$AO,39,FALSE)*O1288,0)</f>
        <v>0</v>
      </c>
      <c r="AO1288" s="380">
        <f t="shared" si="660"/>
        <v>2.0625</v>
      </c>
      <c r="AP1288" s="380"/>
    </row>
    <row r="1289" spans="2:42" ht="14.4" hidden="1" thickTop="1" thickBot="1">
      <c r="B1289" s="501" t="s">
        <v>3506</v>
      </c>
      <c r="C1289" s="950" t="s">
        <v>3507</v>
      </c>
      <c r="D1289" s="326" t="s">
        <v>501</v>
      </c>
      <c r="E1289" s="327">
        <f>IF(B1289&lt;&gt;"",SUMIF('AUX-NIV1'!I:I,'AUX-NIV2'!B1289,'AUX-NIV1'!Q:Q),"")</f>
        <v>0</v>
      </c>
      <c r="F1289" s="327">
        <f t="shared" si="650"/>
        <v>1063.0771239919991</v>
      </c>
      <c r="G1289" s="327">
        <f t="shared" si="651"/>
        <v>0</v>
      </c>
      <c r="H1289" s="328" t="str">
        <f t="shared" si="646"/>
        <v>M</v>
      </c>
      <c r="I1289" s="325" t="s">
        <v>621</v>
      </c>
      <c r="J1289" s="329" t="str">
        <f>IF(B1289&lt;&gt;"",+VLOOKUP(I1289,Recursos!C:F,2,FALSE),"")</f>
        <v>MATERIALES VARIOS</v>
      </c>
      <c r="K1289" s="330" t="str">
        <f>IF(B1289&lt;&gt;"",+VLOOKUP(I1289,Recursos!C:F,3,FALSE),"")</f>
        <v>GL</v>
      </c>
      <c r="L1289" s="446">
        <f>IF(B1289&lt;&gt;"",+VLOOKUP(I1289,Recursos!C:F,4,FALSE),"")</f>
        <v>0.5</v>
      </c>
      <c r="M1289" s="450">
        <v>0.5</v>
      </c>
      <c r="N1289" s="513"/>
      <c r="O1289" s="449">
        <f>+M1289</f>
        <v>0.5</v>
      </c>
      <c r="P1289" s="333">
        <f t="shared" si="647"/>
        <v>0.25</v>
      </c>
      <c r="Q1289" s="327">
        <f t="shared" si="648"/>
        <v>0</v>
      </c>
      <c r="R1289" s="334">
        <f t="shared" si="649"/>
        <v>0</v>
      </c>
      <c r="S1289" s="335">
        <f t="shared" si="652"/>
        <v>992.52625442678163</v>
      </c>
      <c r="T1289" s="335">
        <f t="shared" si="653"/>
        <v>0</v>
      </c>
      <c r="U1289" s="336">
        <f t="shared" si="654"/>
        <v>70.550869565217397</v>
      </c>
      <c r="V1289" s="336">
        <f t="shared" si="655"/>
        <v>0</v>
      </c>
      <c r="W1289" s="336">
        <f t="shared" si="656"/>
        <v>0</v>
      </c>
      <c r="X1289" s="336">
        <f t="shared" si="657"/>
        <v>0</v>
      </c>
      <c r="Y1289" s="320"/>
      <c r="Z1289" s="321" t="str">
        <f t="shared" si="623"/>
        <v>X-ENC4A</v>
      </c>
      <c r="AA1289" s="321" t="str">
        <f t="shared" si="624"/>
        <v>X-ENC4E</v>
      </c>
      <c r="AB1289" s="321" t="str">
        <f t="shared" si="625"/>
        <v>X-ENC4M</v>
      </c>
      <c r="AC1289" s="321" t="str">
        <f t="shared" si="626"/>
        <v>X-ENC4T</v>
      </c>
      <c r="AD1289" s="321" t="str">
        <f t="shared" si="627"/>
        <v>X-ENC4S</v>
      </c>
      <c r="AE1289" s="321" t="str">
        <f t="shared" si="628"/>
        <v>X-ENC4X</v>
      </c>
      <c r="AF1289" s="321" t="str">
        <f t="shared" si="629"/>
        <v>X-ENC4M</v>
      </c>
      <c r="AG1289" s="321">
        <f t="shared" si="658"/>
        <v>11</v>
      </c>
      <c r="AH1289" s="321">
        <f>IF(B1289&lt;&gt;"",IF(H1289="x",VLOOKUP(I1289,'AUX-NIV3'!B:AG,32,FALSE),0),"")</f>
        <v>0</v>
      </c>
      <c r="AI1289" s="321" t="str">
        <f t="shared" si="630"/>
        <v>X-ENC4</v>
      </c>
      <c r="AJ1289" s="320"/>
      <c r="AK1289" s="322">
        <f t="shared" si="659"/>
        <v>1279</v>
      </c>
      <c r="AL1289" s="323">
        <f t="shared" si="631"/>
        <v>1289</v>
      </c>
      <c r="AM1289" s="322">
        <f t="shared" si="632"/>
        <v>11</v>
      </c>
      <c r="AN1289" s="380">
        <f>IF(AND(AH1289&gt;0,B1289&lt;&gt;""),VLOOKUP(I1289,'AUX-NIV3'!$B:$AO,39,FALSE)*O1289,0)</f>
        <v>0</v>
      </c>
      <c r="AO1289" s="380">
        <f t="shared" si="660"/>
        <v>2.0625</v>
      </c>
      <c r="AP1289" s="380"/>
    </row>
    <row r="1290" spans="2:42" ht="14.4" hidden="1" thickTop="1" thickBot="1">
      <c r="B1290" s="501" t="s">
        <v>3520</v>
      </c>
      <c r="C1290" s="951" t="s">
        <v>3521</v>
      </c>
      <c r="D1290" s="326" t="s">
        <v>477</v>
      </c>
      <c r="E1290" s="327">
        <f>IF(B1290&lt;&gt;"",SUMIF('AUX-NIV1'!I:I,'AUX-NIV2'!B1290,'AUX-NIV1'!Q:Q),"")</f>
        <v>0</v>
      </c>
      <c r="F1290" s="327">
        <f t="shared" si="650"/>
        <v>121.811923709558</v>
      </c>
      <c r="G1290" s="327">
        <f t="shared" si="651"/>
        <v>0</v>
      </c>
      <c r="H1290" s="328" t="str">
        <f t="shared" si="646"/>
        <v>A</v>
      </c>
      <c r="I1290" s="325" t="s">
        <v>1745</v>
      </c>
      <c r="J1290" s="431" t="str">
        <f>IF(B1290&lt;&gt;"",+VLOOKUP(I1290,Recursos!C:F,2,FALSE),"")</f>
        <v>AYUDANTE</v>
      </c>
      <c r="K1290" s="330" t="str">
        <f>IF(B1290&lt;&gt;"",+VLOOKUP(I1290,Recursos!C:F,3,FALSE),"")</f>
        <v>hh</v>
      </c>
      <c r="L1290" s="446">
        <f>IF(B1290&lt;&gt;"",+VLOOKUP(I1290,Recursos!C:F,4,FALSE),"")</f>
        <v>422.48042769667234</v>
      </c>
      <c r="M1290" s="1270">
        <v>50</v>
      </c>
      <c r="N1290" s="1271">
        <v>1</v>
      </c>
      <c r="O1290" s="449">
        <f>N1290/M1290</f>
        <v>0.02</v>
      </c>
      <c r="P1290" s="333">
        <f t="shared" si="647"/>
        <v>8.4496085539334462</v>
      </c>
      <c r="Q1290" s="327">
        <f t="shared" si="648"/>
        <v>0</v>
      </c>
      <c r="R1290" s="334">
        <f t="shared" si="649"/>
        <v>0</v>
      </c>
      <c r="S1290" s="335">
        <f t="shared" si="652"/>
        <v>26.26239320955802</v>
      </c>
      <c r="T1290" s="335">
        <f t="shared" si="653"/>
        <v>95.549530499999975</v>
      </c>
      <c r="U1290" s="336">
        <f t="shared" si="654"/>
        <v>0</v>
      </c>
      <c r="V1290" s="336">
        <f t="shared" si="655"/>
        <v>0</v>
      </c>
      <c r="W1290" s="336">
        <f t="shared" si="656"/>
        <v>0</v>
      </c>
      <c r="X1290" s="336">
        <f t="shared" si="657"/>
        <v>0</v>
      </c>
      <c r="Y1290" s="320"/>
      <c r="Z1290" s="321" t="str">
        <f t="shared" ref="Z1290:Z1293" si="661">IF(B1290&lt;&gt;"",+$B1290&amp;"A","")</f>
        <v>X-TSUB01A</v>
      </c>
      <c r="AA1290" s="321" t="str">
        <f t="shared" ref="AA1290:AA1293" si="662">IF(B1290&lt;&gt;"",+$B1290&amp;"E","")</f>
        <v>X-TSUB01E</v>
      </c>
      <c r="AB1290" s="321" t="str">
        <f t="shared" ref="AB1290:AB1293" si="663">IF(B1290&lt;&gt;"",++$B1290&amp;"M","")</f>
        <v>X-TSUB01M</v>
      </c>
      <c r="AC1290" s="321" t="str">
        <f t="shared" ref="AC1290:AC1293" si="664">IF(B1290&lt;&gt;"",+$B1290&amp;"T","")</f>
        <v>X-TSUB01T</v>
      </c>
      <c r="AD1290" s="321" t="str">
        <f t="shared" ref="AD1290:AD1293" si="665">IF(B1290&lt;&gt;"",+$B1290&amp;"S","")</f>
        <v>X-TSUB01S</v>
      </c>
      <c r="AE1290" s="321" t="str">
        <f t="shared" ref="AE1290:AE1293" si="666">IF(B1290&lt;&gt;"",+$B1290&amp;"X","")</f>
        <v>X-TSUB01X</v>
      </c>
      <c r="AF1290" s="321" t="str">
        <f t="shared" ref="AF1290:AF1293" si="667">IF(B1290&lt;&gt;"",+B1290&amp;H1290,"")</f>
        <v>X-TSUB01A</v>
      </c>
      <c r="AG1290" s="321">
        <f t="shared" si="658"/>
        <v>6</v>
      </c>
      <c r="AH1290" s="321">
        <f>IF(B1290&lt;&gt;"",IF(H1290="x",VLOOKUP(I1290,'AUX-NIV3'!B:AG,32,FALSE),0),"")</f>
        <v>0</v>
      </c>
      <c r="AI1290" s="321" t="str">
        <f t="shared" ref="AI1290:AI1293" si="668">IF(B1290&lt;&gt;"",+B1290,"")</f>
        <v>X-TSUB01</v>
      </c>
      <c r="AJ1290" s="320"/>
      <c r="AK1290" s="322">
        <f t="shared" si="659"/>
        <v>1290</v>
      </c>
      <c r="AL1290" s="323">
        <f t="shared" ref="AL1290:AL1293" si="669">IF(B1290&lt;&gt;"",+AK1290+AG1290-1,"")</f>
        <v>1295</v>
      </c>
      <c r="AM1290" s="322">
        <f t="shared" ref="AM1290:AM1293" si="670">IF(B1290&lt;&gt;"",IF(B1290=B1289,1+AM1289,1),"")</f>
        <v>1</v>
      </c>
      <c r="AN1290" s="380">
        <f>IF(AND(AH1290&gt;0,B1290&lt;&gt;""),VLOOKUP(I1290,'AUX-NIV3'!$B:$AO,39,FALSE)*O1290,0)</f>
        <v>0</v>
      </c>
      <c r="AO1290" s="380">
        <f t="shared" si="660"/>
        <v>5.5E-2</v>
      </c>
      <c r="AP1290" s="380"/>
    </row>
    <row r="1291" spans="2:42" ht="14.4" hidden="1" thickTop="1" thickBot="1">
      <c r="B1291" s="501" t="s">
        <v>3520</v>
      </c>
      <c r="C1291" s="951" t="s">
        <v>3521</v>
      </c>
      <c r="D1291" s="326" t="s">
        <v>477</v>
      </c>
      <c r="E1291" s="327">
        <f>IF(B1291&lt;&gt;"",SUMIF('AUX-NIV1'!I:I,'AUX-NIV2'!B1291,'AUX-NIV1'!Q:Q),"")</f>
        <v>0</v>
      </c>
      <c r="F1291" s="327">
        <f t="shared" si="650"/>
        <v>121.811923709558</v>
      </c>
      <c r="G1291" s="327">
        <f t="shared" si="651"/>
        <v>0</v>
      </c>
      <c r="H1291" s="328" t="str">
        <f t="shared" si="646"/>
        <v>A</v>
      </c>
      <c r="I1291" s="325" t="s">
        <v>1746</v>
      </c>
      <c r="J1291" s="431" t="str">
        <f>IF(B1291&lt;&gt;"",+VLOOKUP(I1291,Recursos!C:F,2,FALSE),"")</f>
        <v>OFICIAL</v>
      </c>
      <c r="K1291" s="330" t="str">
        <f>IF(B1291&lt;&gt;"",+VLOOKUP(I1291,Recursos!C:F,3,FALSE),"")</f>
        <v>hh</v>
      </c>
      <c r="L1291" s="446">
        <f>IF(B1291&lt;&gt;"",+VLOOKUP(I1291,Recursos!C:F,4,FALSE),"")</f>
        <v>496.91595439275824</v>
      </c>
      <c r="M1291" s="1276"/>
      <c r="N1291" s="1273">
        <v>1</v>
      </c>
      <c r="O1291" s="449">
        <f>N1291/M1290</f>
        <v>0.02</v>
      </c>
      <c r="P1291" s="333">
        <f t="shared" si="647"/>
        <v>9.9383190878551648</v>
      </c>
      <c r="Q1291" s="327">
        <f t="shared" si="648"/>
        <v>0</v>
      </c>
      <c r="R1291" s="334">
        <f t="shared" si="649"/>
        <v>0</v>
      </c>
      <c r="S1291" s="335">
        <f t="shared" si="652"/>
        <v>26.26239320955802</v>
      </c>
      <c r="T1291" s="335">
        <f t="shared" si="653"/>
        <v>95.549530499999975</v>
      </c>
      <c r="U1291" s="336">
        <f t="shared" si="654"/>
        <v>0</v>
      </c>
      <c r="V1291" s="336">
        <f t="shared" si="655"/>
        <v>0</v>
      </c>
      <c r="W1291" s="336">
        <f t="shared" si="656"/>
        <v>0</v>
      </c>
      <c r="X1291" s="336">
        <f t="shared" si="657"/>
        <v>0</v>
      </c>
      <c r="Y1291" s="320"/>
      <c r="Z1291" s="321" t="str">
        <f t="shared" si="661"/>
        <v>X-TSUB01A</v>
      </c>
      <c r="AA1291" s="321" t="str">
        <f t="shared" si="662"/>
        <v>X-TSUB01E</v>
      </c>
      <c r="AB1291" s="321" t="str">
        <f t="shared" si="663"/>
        <v>X-TSUB01M</v>
      </c>
      <c r="AC1291" s="321" t="str">
        <f t="shared" si="664"/>
        <v>X-TSUB01T</v>
      </c>
      <c r="AD1291" s="321" t="str">
        <f t="shared" si="665"/>
        <v>X-TSUB01S</v>
      </c>
      <c r="AE1291" s="321" t="str">
        <f t="shared" si="666"/>
        <v>X-TSUB01X</v>
      </c>
      <c r="AF1291" s="321" t="str">
        <f t="shared" si="667"/>
        <v>X-TSUB01A</v>
      </c>
      <c r="AG1291" s="321">
        <f t="shared" si="658"/>
        <v>6</v>
      </c>
      <c r="AH1291" s="321">
        <f>IF(B1291&lt;&gt;"",IF(H1291="x",VLOOKUP(I1291,'AUX-NIV3'!B:AG,32,FALSE),0),"")</f>
        <v>0</v>
      </c>
      <c r="AI1291" s="321" t="str">
        <f t="shared" si="668"/>
        <v>X-TSUB01</v>
      </c>
      <c r="AJ1291" s="320"/>
      <c r="AK1291" s="322">
        <f t="shared" si="659"/>
        <v>1290</v>
      </c>
      <c r="AL1291" s="323">
        <f t="shared" si="669"/>
        <v>1295</v>
      </c>
      <c r="AM1291" s="322">
        <f t="shared" si="670"/>
        <v>2</v>
      </c>
      <c r="AN1291" s="380">
        <f>IF(AND(AH1291&gt;0,B1291&lt;&gt;""),VLOOKUP(I1291,'AUX-NIV3'!$B:$AO,39,FALSE)*O1291,0)</f>
        <v>0</v>
      </c>
      <c r="AO1291" s="380">
        <f t="shared" si="660"/>
        <v>5.5E-2</v>
      </c>
      <c r="AP1291" s="380"/>
    </row>
    <row r="1292" spans="2:42" ht="14.4" hidden="1" thickTop="1" thickBot="1">
      <c r="B1292" s="501" t="s">
        <v>3520</v>
      </c>
      <c r="C1292" s="951" t="s">
        <v>3521</v>
      </c>
      <c r="D1292" s="326" t="s">
        <v>477</v>
      </c>
      <c r="E1292" s="327">
        <f>IF(B1292&lt;&gt;"",SUMIF('AUX-NIV1'!I:I,'AUX-NIV2'!B1292,'AUX-NIV1'!Q:Q),"")</f>
        <v>0</v>
      </c>
      <c r="F1292" s="327">
        <f t="shared" si="650"/>
        <v>121.811923709558</v>
      </c>
      <c r="G1292" s="327">
        <f t="shared" si="651"/>
        <v>0</v>
      </c>
      <c r="H1292" s="328" t="str">
        <f t="shared" si="646"/>
        <v>A</v>
      </c>
      <c r="I1292" s="325" t="s">
        <v>3310</v>
      </c>
      <c r="J1292" s="431" t="str">
        <f>IF(B1292&lt;&gt;"",+VLOOKUP(I1292,Recursos!C:F,2,FALSE),"")</f>
        <v>OFICIAL ESPECIALIZADO</v>
      </c>
      <c r="K1292" s="330" t="str">
        <f>IF(B1292&lt;&gt;"",+VLOOKUP(I1292,Recursos!C:F,3,FALSE),"")</f>
        <v>hh</v>
      </c>
      <c r="L1292" s="446">
        <f>IF(B1292&lt;&gt;"",+VLOOKUP(I1292,Recursos!C:F,4,FALSE),"")</f>
        <v>581.06120476836554</v>
      </c>
      <c r="M1292" s="1276"/>
      <c r="N1292" s="1273">
        <v>0.25</v>
      </c>
      <c r="O1292" s="449">
        <f>N1292/M1290</f>
        <v>5.0000000000000001E-3</v>
      </c>
      <c r="P1292" s="333">
        <f t="shared" si="647"/>
        <v>2.9053060238418276</v>
      </c>
      <c r="Q1292" s="327">
        <f t="shared" si="648"/>
        <v>0</v>
      </c>
      <c r="R1292" s="334">
        <f t="shared" si="649"/>
        <v>0</v>
      </c>
      <c r="S1292" s="335">
        <f t="shared" si="652"/>
        <v>26.26239320955802</v>
      </c>
      <c r="T1292" s="335">
        <f t="shared" si="653"/>
        <v>95.549530499999975</v>
      </c>
      <c r="U1292" s="336">
        <f t="shared" si="654"/>
        <v>0</v>
      </c>
      <c r="V1292" s="336">
        <f t="shared" si="655"/>
        <v>0</v>
      </c>
      <c r="W1292" s="336">
        <f t="shared" si="656"/>
        <v>0</v>
      </c>
      <c r="X1292" s="336">
        <f t="shared" si="657"/>
        <v>0</v>
      </c>
      <c r="Y1292" s="320"/>
      <c r="Z1292" s="321" t="str">
        <f t="shared" si="661"/>
        <v>X-TSUB01A</v>
      </c>
      <c r="AA1292" s="321" t="str">
        <f t="shared" si="662"/>
        <v>X-TSUB01E</v>
      </c>
      <c r="AB1292" s="321" t="str">
        <f t="shared" si="663"/>
        <v>X-TSUB01M</v>
      </c>
      <c r="AC1292" s="321" t="str">
        <f t="shared" si="664"/>
        <v>X-TSUB01T</v>
      </c>
      <c r="AD1292" s="321" t="str">
        <f t="shared" si="665"/>
        <v>X-TSUB01S</v>
      </c>
      <c r="AE1292" s="321" t="str">
        <f t="shared" si="666"/>
        <v>X-TSUB01X</v>
      </c>
      <c r="AF1292" s="321" t="str">
        <f t="shared" si="667"/>
        <v>X-TSUB01A</v>
      </c>
      <c r="AG1292" s="321">
        <f t="shared" si="658"/>
        <v>6</v>
      </c>
      <c r="AH1292" s="321">
        <f>IF(B1292&lt;&gt;"",IF(H1292="x",VLOOKUP(I1292,'AUX-NIV3'!B:AG,32,FALSE),0),"")</f>
        <v>0</v>
      </c>
      <c r="AI1292" s="321" t="str">
        <f t="shared" si="668"/>
        <v>X-TSUB01</v>
      </c>
      <c r="AJ1292" s="320"/>
      <c r="AK1292" s="322">
        <f t="shared" si="659"/>
        <v>1290</v>
      </c>
      <c r="AL1292" s="323">
        <f t="shared" si="669"/>
        <v>1295</v>
      </c>
      <c r="AM1292" s="322">
        <f t="shared" si="670"/>
        <v>3</v>
      </c>
      <c r="AN1292" s="380">
        <f>IF(AND(AH1292&gt;0,B1292&lt;&gt;""),VLOOKUP(I1292,'AUX-NIV3'!$B:$AO,39,FALSE)*O1292,0)</f>
        <v>0</v>
      </c>
      <c r="AO1292" s="380">
        <f t="shared" si="660"/>
        <v>5.5E-2</v>
      </c>
      <c r="AP1292" s="380"/>
    </row>
    <row r="1293" spans="2:42" ht="14.4" hidden="1" thickTop="1" thickBot="1">
      <c r="B1293" s="501" t="s">
        <v>3520</v>
      </c>
      <c r="C1293" s="951" t="s">
        <v>3521</v>
      </c>
      <c r="D1293" s="326" t="s">
        <v>477</v>
      </c>
      <c r="E1293" s="327">
        <f>IF(B1293&lt;&gt;"",SUMIF('AUX-NIV1'!I:I,'AUX-NIV2'!B1293,'AUX-NIV1'!Q:Q),"")</f>
        <v>0</v>
      </c>
      <c r="F1293" s="327">
        <f t="shared" si="650"/>
        <v>121.811923709558</v>
      </c>
      <c r="G1293" s="327">
        <f t="shared" si="651"/>
        <v>0</v>
      </c>
      <c r="H1293" s="328" t="str">
        <f t="shared" si="646"/>
        <v>E</v>
      </c>
      <c r="I1293" s="324" t="s">
        <v>1597</v>
      </c>
      <c r="J1293" s="431" t="str">
        <f>IF(B1293&lt;&gt;"",+VLOOKUP(I1293,Recursos!C:F,2,FALSE),"")</f>
        <v>HIDROGRUA MONTADA S/CAMION (6 T)</v>
      </c>
      <c r="K1293" s="330" t="str">
        <f>IF(B1293&lt;&gt;"",+VLOOKUP(I1293,Recursos!C:F,3,FALSE),"")</f>
        <v>HR</v>
      </c>
      <c r="L1293" s="446">
        <f>IF(B1293&lt;&gt;"",+VLOOKUP(I1293,Recursos!C:F,4,FALSE),"")</f>
        <v>2378.0722500000002</v>
      </c>
      <c r="M1293" s="1276"/>
      <c r="N1293" s="1273">
        <v>0.5</v>
      </c>
      <c r="O1293" s="449">
        <f>N1293/M1290</f>
        <v>0.01</v>
      </c>
      <c r="P1293" s="333">
        <f t="shared" si="647"/>
        <v>23.780722500000003</v>
      </c>
      <c r="Q1293" s="327">
        <f t="shared" si="648"/>
        <v>0</v>
      </c>
      <c r="R1293" s="334">
        <f t="shared" si="649"/>
        <v>0</v>
      </c>
      <c r="S1293" s="335">
        <f t="shared" si="652"/>
        <v>26.26239320955802</v>
      </c>
      <c r="T1293" s="335">
        <f t="shared" si="653"/>
        <v>95.549530499999975</v>
      </c>
      <c r="U1293" s="336">
        <f t="shared" si="654"/>
        <v>0</v>
      </c>
      <c r="V1293" s="336">
        <f t="shared" si="655"/>
        <v>0</v>
      </c>
      <c r="W1293" s="336">
        <f t="shared" si="656"/>
        <v>0</v>
      </c>
      <c r="X1293" s="336">
        <f t="shared" si="657"/>
        <v>0</v>
      </c>
      <c r="Y1293" s="320"/>
      <c r="Z1293" s="321" t="str">
        <f t="shared" si="661"/>
        <v>X-TSUB01A</v>
      </c>
      <c r="AA1293" s="321" t="str">
        <f t="shared" si="662"/>
        <v>X-TSUB01E</v>
      </c>
      <c r="AB1293" s="321" t="str">
        <f t="shared" si="663"/>
        <v>X-TSUB01M</v>
      </c>
      <c r="AC1293" s="321" t="str">
        <f t="shared" si="664"/>
        <v>X-TSUB01T</v>
      </c>
      <c r="AD1293" s="321" t="str">
        <f t="shared" si="665"/>
        <v>X-TSUB01S</v>
      </c>
      <c r="AE1293" s="321" t="str">
        <f t="shared" si="666"/>
        <v>X-TSUB01X</v>
      </c>
      <c r="AF1293" s="321" t="str">
        <f t="shared" si="667"/>
        <v>X-TSUB01E</v>
      </c>
      <c r="AG1293" s="321">
        <f t="shared" si="658"/>
        <v>6</v>
      </c>
      <c r="AH1293" s="321">
        <f>IF(B1293&lt;&gt;"",IF(H1293="x",VLOOKUP(I1293,'AUX-NIV3'!B:AG,32,FALSE),0),"")</f>
        <v>0</v>
      </c>
      <c r="AI1293" s="321" t="str">
        <f t="shared" si="668"/>
        <v>X-TSUB01</v>
      </c>
      <c r="AJ1293" s="320"/>
      <c r="AK1293" s="322">
        <f t="shared" si="659"/>
        <v>1290</v>
      </c>
      <c r="AL1293" s="323">
        <f t="shared" si="669"/>
        <v>1295</v>
      </c>
      <c r="AM1293" s="322">
        <f t="shared" si="670"/>
        <v>4</v>
      </c>
      <c r="AN1293" s="380">
        <f>IF(AND(AH1293&gt;0,B1293&lt;&gt;""),VLOOKUP(I1293,'AUX-NIV3'!$B:$AO,39,FALSE)*O1293,0)</f>
        <v>0</v>
      </c>
      <c r="AO1293" s="380">
        <f t="shared" si="660"/>
        <v>5.5E-2</v>
      </c>
      <c r="AP1293" s="380"/>
    </row>
    <row r="1294" spans="2:42" ht="14.4" hidden="1" thickTop="1" thickBot="1">
      <c r="B1294" s="501" t="s">
        <v>3520</v>
      </c>
      <c r="C1294" s="951" t="s">
        <v>3521</v>
      </c>
      <c r="D1294" s="326" t="s">
        <v>477</v>
      </c>
      <c r="E1294" s="327">
        <f>IF(B1294&lt;&gt;"",SUMIF('AUX-NIV1'!I:I,'AUX-NIV2'!B1294,'AUX-NIV1'!Q:Q),"")</f>
        <v>0</v>
      </c>
      <c r="F1294" s="327">
        <f t="shared" si="650"/>
        <v>121.811923709558</v>
      </c>
      <c r="G1294" s="327">
        <f t="shared" si="651"/>
        <v>0</v>
      </c>
      <c r="H1294" s="328" t="str">
        <f t="shared" ref="H1294:H1299" si="671">IF(B1294&lt;&gt;"",+LEFT(I1294,1),"")</f>
        <v>A</v>
      </c>
      <c r="I1294" s="325" t="s">
        <v>1746</v>
      </c>
      <c r="J1294" s="431" t="str">
        <f>IF(B1294&lt;&gt;"",+VLOOKUP(I1294,Recursos!C:F,2,FALSE),"")</f>
        <v>OFICIAL</v>
      </c>
      <c r="K1294" s="330" t="str">
        <f>IF(B1294&lt;&gt;"",+VLOOKUP(I1294,Recursos!C:F,3,FALSE),"")</f>
        <v>hh</v>
      </c>
      <c r="L1294" s="446">
        <f>IF(B1294&lt;&gt;"",+VLOOKUP(I1294,Recursos!C:F,4,FALSE),"")</f>
        <v>496.91595439275824</v>
      </c>
      <c r="M1294" s="1276"/>
      <c r="N1294" s="1278"/>
      <c r="O1294" s="449">
        <f>N1293/M1290</f>
        <v>0.01</v>
      </c>
      <c r="P1294" s="333">
        <f t="shared" ref="P1294:P1299" si="672">IF(B1294&lt;&gt;"",O1294*L1294,"")</f>
        <v>4.9691595439275824</v>
      </c>
      <c r="Q1294" s="327">
        <f t="shared" ref="Q1294:Q1299" si="673">IF(B1294&lt;&gt;"",+O1294*E1294,"")</f>
        <v>0</v>
      </c>
      <c r="R1294" s="334">
        <f t="shared" ref="R1294:R1299" si="674">IF(B1294&lt;&gt;"",Q1294*L1294,"")</f>
        <v>0</v>
      </c>
      <c r="S1294" s="335">
        <f t="shared" si="652"/>
        <v>26.26239320955802</v>
      </c>
      <c r="T1294" s="335">
        <f t="shared" si="653"/>
        <v>95.549530499999975</v>
      </c>
      <c r="U1294" s="336">
        <f t="shared" si="654"/>
        <v>0</v>
      </c>
      <c r="V1294" s="336">
        <f t="shared" si="655"/>
        <v>0</v>
      </c>
      <c r="W1294" s="336">
        <f t="shared" si="656"/>
        <v>0</v>
      </c>
      <c r="X1294" s="336">
        <f t="shared" si="657"/>
        <v>0</v>
      </c>
      <c r="Y1294" s="320"/>
      <c r="Z1294" s="321" t="str">
        <f t="shared" ref="Z1294:Z1299" si="675">IF(B1294&lt;&gt;"",+$B1294&amp;"A","")</f>
        <v>X-TSUB01A</v>
      </c>
      <c r="AA1294" s="321" t="str">
        <f t="shared" ref="AA1294:AA1299" si="676">IF(B1294&lt;&gt;"",+$B1294&amp;"E","")</f>
        <v>X-TSUB01E</v>
      </c>
      <c r="AB1294" s="321" t="str">
        <f t="shared" ref="AB1294:AB1299" si="677">IF(B1294&lt;&gt;"",++$B1294&amp;"M","")</f>
        <v>X-TSUB01M</v>
      </c>
      <c r="AC1294" s="321" t="str">
        <f t="shared" ref="AC1294:AC1299" si="678">IF(B1294&lt;&gt;"",+$B1294&amp;"T","")</f>
        <v>X-TSUB01T</v>
      </c>
      <c r="AD1294" s="321" t="str">
        <f t="shared" ref="AD1294:AD1299" si="679">IF(B1294&lt;&gt;"",+$B1294&amp;"S","")</f>
        <v>X-TSUB01S</v>
      </c>
      <c r="AE1294" s="321" t="str">
        <f t="shared" ref="AE1294:AE1299" si="680">IF(B1294&lt;&gt;"",+$B1294&amp;"X","")</f>
        <v>X-TSUB01X</v>
      </c>
      <c r="AF1294" s="321" t="str">
        <f t="shared" ref="AF1294:AF1299" si="681">IF(B1294&lt;&gt;"",+B1294&amp;H1294,"")</f>
        <v>X-TSUB01A</v>
      </c>
      <c r="AG1294" s="321">
        <f t="shared" si="658"/>
        <v>6</v>
      </c>
      <c r="AH1294" s="321">
        <f>IF(B1294&lt;&gt;"",IF(H1294="x",VLOOKUP(I1294,'AUX-NIV3'!B:AG,32,FALSE),0),"")</f>
        <v>0</v>
      </c>
      <c r="AI1294" s="321" t="str">
        <f t="shared" ref="AI1294:AI1299" si="682">IF(B1294&lt;&gt;"",+B1294,"")</f>
        <v>X-TSUB01</v>
      </c>
      <c r="AJ1294" s="320"/>
      <c r="AK1294" s="322">
        <f t="shared" si="659"/>
        <v>1290</v>
      </c>
      <c r="AL1294" s="323">
        <f t="shared" ref="AL1294:AL1299" si="683">IF(B1294&lt;&gt;"",+AK1294+AG1294-1,"")</f>
        <v>1295</v>
      </c>
      <c r="AM1294" s="322">
        <f t="shared" ref="AM1294:AM1299" si="684">IF(B1294&lt;&gt;"",IF(B1294=B1293,1+AM1293,1),"")</f>
        <v>5</v>
      </c>
      <c r="AN1294" s="380">
        <f>IF(AND(AH1294&gt;0,B1294&lt;&gt;""),VLOOKUP(I1294,'AUX-NIV3'!$B:$AO,39,FALSE)*O1294,0)</f>
        <v>0</v>
      </c>
      <c r="AO1294" s="380">
        <f t="shared" si="660"/>
        <v>5.5E-2</v>
      </c>
      <c r="AP1294" s="380"/>
    </row>
    <row r="1295" spans="2:42" ht="14.4" hidden="1" thickTop="1" thickBot="1">
      <c r="B1295" s="501" t="s">
        <v>3520</v>
      </c>
      <c r="C1295" s="951" t="s">
        <v>3521</v>
      </c>
      <c r="D1295" s="326" t="s">
        <v>477</v>
      </c>
      <c r="E1295" s="327">
        <f>IF(B1295&lt;&gt;"",SUMIF('AUX-NIV1'!I:I,'AUX-NIV2'!B1295,'AUX-NIV1'!Q:Q),"")</f>
        <v>0</v>
      </c>
      <c r="F1295" s="327">
        <f t="shared" si="650"/>
        <v>121.811923709558</v>
      </c>
      <c r="G1295" s="327">
        <f t="shared" si="651"/>
        <v>0</v>
      </c>
      <c r="H1295" s="328" t="str">
        <f t="shared" si="671"/>
        <v>E</v>
      </c>
      <c r="I1295" s="324" t="s">
        <v>1580</v>
      </c>
      <c r="J1295" s="431" t="str">
        <f>IF(B1295&lt;&gt;"",+VLOOKUP(I1295,Recursos!C:F,2,FALSE),"")</f>
        <v>EQUIPO DE TENDIDO COMPLETO CON ROLDANAS Y ACCESORIOS.</v>
      </c>
      <c r="K1295" s="330" t="str">
        <f>IF(B1295&lt;&gt;"",+VLOOKUP(I1295,Recursos!C:F,3,FALSE),"")</f>
        <v>HR</v>
      </c>
      <c r="L1295" s="446">
        <f>IF(B1295&lt;&gt;"",+VLOOKUP(I1295,Recursos!C:F,4,FALSE),"")</f>
        <v>23922.935999999994</v>
      </c>
      <c r="M1295" s="1277"/>
      <c r="N1295" s="1275">
        <v>0.15</v>
      </c>
      <c r="O1295" s="449">
        <f>N1295/M1290</f>
        <v>3.0000000000000001E-3</v>
      </c>
      <c r="P1295" s="333">
        <f t="shared" si="672"/>
        <v>71.768807999999979</v>
      </c>
      <c r="Q1295" s="327">
        <f t="shared" si="673"/>
        <v>0</v>
      </c>
      <c r="R1295" s="334">
        <f t="shared" si="674"/>
        <v>0</v>
      </c>
      <c r="S1295" s="335">
        <f t="shared" si="652"/>
        <v>26.26239320955802</v>
      </c>
      <c r="T1295" s="335">
        <f t="shared" si="653"/>
        <v>95.549530499999975</v>
      </c>
      <c r="U1295" s="336">
        <f t="shared" si="654"/>
        <v>0</v>
      </c>
      <c r="V1295" s="336">
        <f t="shared" si="655"/>
        <v>0</v>
      </c>
      <c r="W1295" s="336">
        <f t="shared" si="656"/>
        <v>0</v>
      </c>
      <c r="X1295" s="336">
        <f t="shared" si="657"/>
        <v>0</v>
      </c>
      <c r="Y1295" s="320"/>
      <c r="Z1295" s="321" t="str">
        <f t="shared" si="675"/>
        <v>X-TSUB01A</v>
      </c>
      <c r="AA1295" s="321" t="str">
        <f t="shared" si="676"/>
        <v>X-TSUB01E</v>
      </c>
      <c r="AB1295" s="321" t="str">
        <f t="shared" si="677"/>
        <v>X-TSUB01M</v>
      </c>
      <c r="AC1295" s="321" t="str">
        <f t="shared" si="678"/>
        <v>X-TSUB01T</v>
      </c>
      <c r="AD1295" s="321" t="str">
        <f t="shared" si="679"/>
        <v>X-TSUB01S</v>
      </c>
      <c r="AE1295" s="321" t="str">
        <f t="shared" si="680"/>
        <v>X-TSUB01X</v>
      </c>
      <c r="AF1295" s="321" t="str">
        <f t="shared" si="681"/>
        <v>X-TSUB01E</v>
      </c>
      <c r="AG1295" s="321">
        <f t="shared" si="658"/>
        <v>6</v>
      </c>
      <c r="AH1295" s="321">
        <f>IF(B1295&lt;&gt;"",IF(H1295="x",VLOOKUP(I1295,'AUX-NIV3'!B:AG,32,FALSE),0),"")</f>
        <v>0</v>
      </c>
      <c r="AI1295" s="321" t="str">
        <f t="shared" si="682"/>
        <v>X-TSUB01</v>
      </c>
      <c r="AJ1295" s="320"/>
      <c r="AK1295" s="322">
        <f t="shared" si="659"/>
        <v>1290</v>
      </c>
      <c r="AL1295" s="323">
        <f t="shared" si="683"/>
        <v>1295</v>
      </c>
      <c r="AM1295" s="322">
        <f t="shared" si="684"/>
        <v>6</v>
      </c>
      <c r="AN1295" s="380">
        <f>IF(AND(AH1295&gt;0,B1295&lt;&gt;""),VLOOKUP(I1295,'AUX-NIV3'!$B:$AO,39,FALSE)*O1295,0)</f>
        <v>0</v>
      </c>
      <c r="AO1295" s="380">
        <f t="shared" si="660"/>
        <v>5.5E-2</v>
      </c>
      <c r="AP1295" s="380"/>
    </row>
    <row r="1296" spans="2:42" ht="14.4" hidden="1" thickTop="1" thickBot="1">
      <c r="B1296" s="501" t="s">
        <v>3522</v>
      </c>
      <c r="C1296" s="951" t="s">
        <v>3523</v>
      </c>
      <c r="D1296" s="326" t="s">
        <v>477</v>
      </c>
      <c r="E1296" s="327">
        <f>IF(B1296&lt;&gt;"",SUMIF('AUX-NIV1'!I:I,'AUX-NIV2'!B1296,'AUX-NIV1'!Q:Q),"")</f>
        <v>0</v>
      </c>
      <c r="F1296" s="327">
        <f t="shared" si="650"/>
        <v>448.28700369927304</v>
      </c>
      <c r="G1296" s="327">
        <f t="shared" si="651"/>
        <v>0</v>
      </c>
      <c r="H1296" s="328" t="str">
        <f t="shared" si="671"/>
        <v>A</v>
      </c>
      <c r="I1296" s="325" t="s">
        <v>1745</v>
      </c>
      <c r="J1296" s="431" t="str">
        <f>IF(B1296&lt;&gt;"",+VLOOKUP(I1296,Recursos!C:F,2,FALSE),"")</f>
        <v>AYUDANTE</v>
      </c>
      <c r="K1296" s="330" t="str">
        <f>IF(B1296&lt;&gt;"",+VLOOKUP(I1296,Recursos!C:F,3,FALSE),"")</f>
        <v>hh</v>
      </c>
      <c r="L1296" s="446">
        <f>IF(B1296&lt;&gt;"",+VLOOKUP(I1296,Recursos!C:F,4,FALSE),"")</f>
        <v>422.48042769667234</v>
      </c>
      <c r="M1296" s="1270">
        <v>15</v>
      </c>
      <c r="N1296" s="1271">
        <v>1</v>
      </c>
      <c r="O1296" s="449">
        <f>N1296/M1296</f>
        <v>6.6666666666666666E-2</v>
      </c>
      <c r="P1296" s="333">
        <f t="shared" si="672"/>
        <v>28.165361846444821</v>
      </c>
      <c r="Q1296" s="327">
        <f t="shared" si="673"/>
        <v>0</v>
      </c>
      <c r="R1296" s="334">
        <f t="shared" si="674"/>
        <v>0</v>
      </c>
      <c r="S1296" s="335">
        <f t="shared" si="652"/>
        <v>49.571403699273141</v>
      </c>
      <c r="T1296" s="335">
        <f t="shared" si="653"/>
        <v>398.71559999999988</v>
      </c>
      <c r="U1296" s="336">
        <f t="shared" si="654"/>
        <v>0</v>
      </c>
      <c r="V1296" s="336">
        <f t="shared" si="655"/>
        <v>0</v>
      </c>
      <c r="W1296" s="336">
        <f t="shared" si="656"/>
        <v>0</v>
      </c>
      <c r="X1296" s="336">
        <f t="shared" si="657"/>
        <v>0</v>
      </c>
      <c r="Y1296" s="320"/>
      <c r="Z1296" s="321" t="str">
        <f t="shared" si="675"/>
        <v>X-TSUB02A</v>
      </c>
      <c r="AA1296" s="321" t="str">
        <f t="shared" si="676"/>
        <v>X-TSUB02E</v>
      </c>
      <c r="AB1296" s="321" t="str">
        <f t="shared" si="677"/>
        <v>X-TSUB02M</v>
      </c>
      <c r="AC1296" s="321" t="str">
        <f t="shared" si="678"/>
        <v>X-TSUB02T</v>
      </c>
      <c r="AD1296" s="321" t="str">
        <f t="shared" si="679"/>
        <v>X-TSUB02S</v>
      </c>
      <c r="AE1296" s="321" t="str">
        <f t="shared" si="680"/>
        <v>X-TSUB02X</v>
      </c>
      <c r="AF1296" s="321" t="str">
        <f t="shared" si="681"/>
        <v>X-TSUB02A</v>
      </c>
      <c r="AG1296" s="321">
        <f t="shared" si="658"/>
        <v>4</v>
      </c>
      <c r="AH1296" s="321">
        <f>IF(B1296&lt;&gt;"",IF(H1296="x",VLOOKUP(I1296,'AUX-NIV3'!B:AG,32,FALSE),0),"")</f>
        <v>0</v>
      </c>
      <c r="AI1296" s="321" t="str">
        <f t="shared" si="682"/>
        <v>X-TSUB02</v>
      </c>
      <c r="AJ1296" s="320"/>
      <c r="AK1296" s="322">
        <f t="shared" si="659"/>
        <v>1296</v>
      </c>
      <c r="AL1296" s="323">
        <f t="shared" si="683"/>
        <v>1299</v>
      </c>
      <c r="AM1296" s="322">
        <f t="shared" si="684"/>
        <v>1</v>
      </c>
      <c r="AN1296" s="380">
        <f>IF(AND(AH1296&gt;0,B1296&lt;&gt;""),VLOOKUP(I1296,'AUX-NIV3'!$B:$AO,39,FALSE)*O1296,0)</f>
        <v>0</v>
      </c>
      <c r="AO1296" s="380">
        <f t="shared" si="660"/>
        <v>0.10833333333333334</v>
      </c>
      <c r="AP1296" s="380"/>
    </row>
    <row r="1297" spans="2:42" ht="14.4" hidden="1" thickTop="1" thickBot="1">
      <c r="B1297" s="501" t="s">
        <v>3522</v>
      </c>
      <c r="C1297" s="951" t="s">
        <v>3523</v>
      </c>
      <c r="D1297" s="326" t="s">
        <v>477</v>
      </c>
      <c r="E1297" s="327">
        <f>IF(B1297&lt;&gt;"",SUMIF('AUX-NIV1'!I:I,'AUX-NIV2'!B1297,'AUX-NIV1'!Q:Q),"")</f>
        <v>0</v>
      </c>
      <c r="F1297" s="327">
        <f t="shared" si="650"/>
        <v>448.28700369927304</v>
      </c>
      <c r="G1297" s="327">
        <f t="shared" si="651"/>
        <v>0</v>
      </c>
      <c r="H1297" s="328" t="str">
        <f t="shared" si="671"/>
        <v>A</v>
      </c>
      <c r="I1297" s="325" t="s">
        <v>1746</v>
      </c>
      <c r="J1297" s="431" t="str">
        <f>IF(B1297&lt;&gt;"",+VLOOKUP(I1297,Recursos!C:F,2,FALSE),"")</f>
        <v>OFICIAL</v>
      </c>
      <c r="K1297" s="330" t="str">
        <f>IF(B1297&lt;&gt;"",+VLOOKUP(I1297,Recursos!C:F,3,FALSE),"")</f>
        <v>hh</v>
      </c>
      <c r="L1297" s="446">
        <f>IF(B1297&lt;&gt;"",+VLOOKUP(I1297,Recursos!C:F,4,FALSE),"")</f>
        <v>496.91595439275824</v>
      </c>
      <c r="M1297" s="1276"/>
      <c r="N1297" s="1273">
        <v>0.5</v>
      </c>
      <c r="O1297" s="449">
        <f>N1297/M1296</f>
        <v>3.3333333333333333E-2</v>
      </c>
      <c r="P1297" s="333">
        <f t="shared" si="672"/>
        <v>16.563865146425275</v>
      </c>
      <c r="Q1297" s="327">
        <f t="shared" si="673"/>
        <v>0</v>
      </c>
      <c r="R1297" s="334">
        <f t="shared" si="674"/>
        <v>0</v>
      </c>
      <c r="S1297" s="335">
        <f t="shared" si="652"/>
        <v>49.571403699273141</v>
      </c>
      <c r="T1297" s="335">
        <f t="shared" si="653"/>
        <v>398.71559999999988</v>
      </c>
      <c r="U1297" s="336">
        <f t="shared" si="654"/>
        <v>0</v>
      </c>
      <c r="V1297" s="336">
        <f t="shared" si="655"/>
        <v>0</v>
      </c>
      <c r="W1297" s="336">
        <f t="shared" si="656"/>
        <v>0</v>
      </c>
      <c r="X1297" s="336">
        <f t="shared" si="657"/>
        <v>0</v>
      </c>
      <c r="Y1297" s="320"/>
      <c r="Z1297" s="321" t="str">
        <f t="shared" si="675"/>
        <v>X-TSUB02A</v>
      </c>
      <c r="AA1297" s="321" t="str">
        <f t="shared" si="676"/>
        <v>X-TSUB02E</v>
      </c>
      <c r="AB1297" s="321" t="str">
        <f t="shared" si="677"/>
        <v>X-TSUB02M</v>
      </c>
      <c r="AC1297" s="321" t="str">
        <f t="shared" si="678"/>
        <v>X-TSUB02T</v>
      </c>
      <c r="AD1297" s="321" t="str">
        <f t="shared" si="679"/>
        <v>X-TSUB02S</v>
      </c>
      <c r="AE1297" s="321" t="str">
        <f t="shared" si="680"/>
        <v>X-TSUB02X</v>
      </c>
      <c r="AF1297" s="321" t="str">
        <f t="shared" si="681"/>
        <v>X-TSUB02A</v>
      </c>
      <c r="AG1297" s="321">
        <f t="shared" si="658"/>
        <v>4</v>
      </c>
      <c r="AH1297" s="321">
        <f>IF(B1297&lt;&gt;"",IF(H1297="x",VLOOKUP(I1297,'AUX-NIV3'!B:AG,32,FALSE),0),"")</f>
        <v>0</v>
      </c>
      <c r="AI1297" s="321" t="str">
        <f t="shared" si="682"/>
        <v>X-TSUB02</v>
      </c>
      <c r="AJ1297" s="320"/>
      <c r="AK1297" s="322">
        <f t="shared" si="659"/>
        <v>1296</v>
      </c>
      <c r="AL1297" s="323">
        <f t="shared" si="683"/>
        <v>1299</v>
      </c>
      <c r="AM1297" s="322">
        <f t="shared" si="684"/>
        <v>2</v>
      </c>
      <c r="AN1297" s="380">
        <f>IF(AND(AH1297&gt;0,B1297&lt;&gt;""),VLOOKUP(I1297,'AUX-NIV3'!$B:$AO,39,FALSE)*O1297,0)</f>
        <v>0</v>
      </c>
      <c r="AO1297" s="380">
        <f t="shared" si="660"/>
        <v>0.10833333333333334</v>
      </c>
      <c r="AP1297" s="380"/>
    </row>
    <row r="1298" spans="2:42" ht="14.4" hidden="1" thickTop="1" thickBot="1">
      <c r="B1298" s="501" t="s">
        <v>3522</v>
      </c>
      <c r="C1298" s="951" t="s">
        <v>3523</v>
      </c>
      <c r="D1298" s="326" t="s">
        <v>477</v>
      </c>
      <c r="E1298" s="327">
        <f>IF(B1298&lt;&gt;"",SUMIF('AUX-NIV1'!I:I,'AUX-NIV2'!B1298,'AUX-NIV1'!Q:Q),"")</f>
        <v>0</v>
      </c>
      <c r="F1298" s="327">
        <f t="shared" si="650"/>
        <v>448.28700369927304</v>
      </c>
      <c r="G1298" s="327">
        <f t="shared" si="651"/>
        <v>0</v>
      </c>
      <c r="H1298" s="328" t="str">
        <f t="shared" si="671"/>
        <v>A</v>
      </c>
      <c r="I1298" s="325" t="s">
        <v>3310</v>
      </c>
      <c r="J1298" s="431" t="str">
        <f>IF(B1298&lt;&gt;"",+VLOOKUP(I1298,Recursos!C:F,2,FALSE),"")</f>
        <v>OFICIAL ESPECIALIZADO</v>
      </c>
      <c r="K1298" s="330" t="str">
        <f>IF(B1298&lt;&gt;"",+VLOOKUP(I1298,Recursos!C:F,3,FALSE),"")</f>
        <v>hh</v>
      </c>
      <c r="L1298" s="446">
        <f>IF(B1298&lt;&gt;"",+VLOOKUP(I1298,Recursos!C:F,4,FALSE),"")</f>
        <v>581.06120476836554</v>
      </c>
      <c r="M1298" s="1276"/>
      <c r="N1298" s="1273">
        <v>0.125</v>
      </c>
      <c r="O1298" s="449">
        <f>N1298/M1296</f>
        <v>8.3333333333333332E-3</v>
      </c>
      <c r="P1298" s="333">
        <f t="shared" si="672"/>
        <v>4.8421767064030465</v>
      </c>
      <c r="Q1298" s="327">
        <f t="shared" si="673"/>
        <v>0</v>
      </c>
      <c r="R1298" s="334">
        <f t="shared" si="674"/>
        <v>0</v>
      </c>
      <c r="S1298" s="335">
        <f t="shared" si="652"/>
        <v>49.571403699273141</v>
      </c>
      <c r="T1298" s="335">
        <f t="shared" si="653"/>
        <v>398.71559999999988</v>
      </c>
      <c r="U1298" s="336">
        <f t="shared" si="654"/>
        <v>0</v>
      </c>
      <c r="V1298" s="336">
        <f t="shared" si="655"/>
        <v>0</v>
      </c>
      <c r="W1298" s="336">
        <f t="shared" si="656"/>
        <v>0</v>
      </c>
      <c r="X1298" s="336">
        <f t="shared" si="657"/>
        <v>0</v>
      </c>
      <c r="Y1298" s="320"/>
      <c r="Z1298" s="321" t="str">
        <f t="shared" si="675"/>
        <v>X-TSUB02A</v>
      </c>
      <c r="AA1298" s="321" t="str">
        <f t="shared" si="676"/>
        <v>X-TSUB02E</v>
      </c>
      <c r="AB1298" s="321" t="str">
        <f t="shared" si="677"/>
        <v>X-TSUB02M</v>
      </c>
      <c r="AC1298" s="321" t="str">
        <f t="shared" si="678"/>
        <v>X-TSUB02T</v>
      </c>
      <c r="AD1298" s="321" t="str">
        <f t="shared" si="679"/>
        <v>X-TSUB02S</v>
      </c>
      <c r="AE1298" s="321" t="str">
        <f t="shared" si="680"/>
        <v>X-TSUB02X</v>
      </c>
      <c r="AF1298" s="321" t="str">
        <f t="shared" si="681"/>
        <v>X-TSUB02A</v>
      </c>
      <c r="AG1298" s="321">
        <f t="shared" si="658"/>
        <v>4</v>
      </c>
      <c r="AH1298" s="321">
        <f>IF(B1298&lt;&gt;"",IF(H1298="x",VLOOKUP(I1298,'AUX-NIV3'!B:AG,32,FALSE),0),"")</f>
        <v>0</v>
      </c>
      <c r="AI1298" s="321" t="str">
        <f t="shared" si="682"/>
        <v>X-TSUB02</v>
      </c>
      <c r="AJ1298" s="320"/>
      <c r="AK1298" s="322">
        <f t="shared" si="659"/>
        <v>1296</v>
      </c>
      <c r="AL1298" s="323">
        <f t="shared" si="683"/>
        <v>1299</v>
      </c>
      <c r="AM1298" s="322">
        <f t="shared" si="684"/>
        <v>3</v>
      </c>
      <c r="AN1298" s="380">
        <f>IF(AND(AH1298&gt;0,B1298&lt;&gt;""),VLOOKUP(I1298,'AUX-NIV3'!$B:$AO,39,FALSE)*O1298,0)</f>
        <v>0</v>
      </c>
      <c r="AO1298" s="380">
        <f t="shared" si="660"/>
        <v>0.10833333333333334</v>
      </c>
      <c r="AP1298" s="380"/>
    </row>
    <row r="1299" spans="2:42" ht="14.4" hidden="1" thickTop="1" thickBot="1">
      <c r="B1299" s="501" t="s">
        <v>3522</v>
      </c>
      <c r="C1299" s="951" t="s">
        <v>3523</v>
      </c>
      <c r="D1299" s="326" t="s">
        <v>477</v>
      </c>
      <c r="E1299" s="327">
        <f>IF(B1299&lt;&gt;"",SUMIF('AUX-NIV1'!I:I,'AUX-NIV2'!B1299,'AUX-NIV1'!Q:Q),"")</f>
        <v>0</v>
      </c>
      <c r="F1299" s="327">
        <f t="shared" si="650"/>
        <v>448.28700369927304</v>
      </c>
      <c r="G1299" s="327">
        <f t="shared" si="651"/>
        <v>0</v>
      </c>
      <c r="H1299" s="328" t="str">
        <f t="shared" si="671"/>
        <v>E</v>
      </c>
      <c r="I1299" s="324" t="s">
        <v>1580</v>
      </c>
      <c r="J1299" s="431" t="str">
        <f>IF(B1299&lt;&gt;"",+VLOOKUP(I1299,Recursos!C:F,2,FALSE),"")</f>
        <v>EQUIPO DE TENDIDO COMPLETO CON ROLDANAS Y ACCESORIOS.</v>
      </c>
      <c r="K1299" s="330" t="str">
        <f>IF(B1299&lt;&gt;"",+VLOOKUP(I1299,Recursos!C:F,3,FALSE),"")</f>
        <v>HR</v>
      </c>
      <c r="L1299" s="446">
        <f>IF(B1299&lt;&gt;"",+VLOOKUP(I1299,Recursos!C:F,4,FALSE),"")</f>
        <v>23922.935999999994</v>
      </c>
      <c r="M1299" s="1277"/>
      <c r="N1299" s="1275">
        <v>0.25</v>
      </c>
      <c r="O1299" s="449">
        <f>N1299/M1296</f>
        <v>1.6666666666666666E-2</v>
      </c>
      <c r="P1299" s="333">
        <f t="shared" si="672"/>
        <v>398.71559999999988</v>
      </c>
      <c r="Q1299" s="327">
        <f t="shared" si="673"/>
        <v>0</v>
      </c>
      <c r="R1299" s="334">
        <f t="shared" si="674"/>
        <v>0</v>
      </c>
      <c r="S1299" s="335">
        <f t="shared" si="652"/>
        <v>49.571403699273141</v>
      </c>
      <c r="T1299" s="335">
        <f t="shared" si="653"/>
        <v>398.71559999999988</v>
      </c>
      <c r="U1299" s="336">
        <f t="shared" si="654"/>
        <v>0</v>
      </c>
      <c r="V1299" s="336">
        <f t="shared" si="655"/>
        <v>0</v>
      </c>
      <c r="W1299" s="336">
        <f t="shared" si="656"/>
        <v>0</v>
      </c>
      <c r="X1299" s="336">
        <f t="shared" si="657"/>
        <v>0</v>
      </c>
      <c r="Y1299" s="320"/>
      <c r="Z1299" s="321" t="str">
        <f t="shared" si="675"/>
        <v>X-TSUB02A</v>
      </c>
      <c r="AA1299" s="321" t="str">
        <f t="shared" si="676"/>
        <v>X-TSUB02E</v>
      </c>
      <c r="AB1299" s="321" t="str">
        <f t="shared" si="677"/>
        <v>X-TSUB02M</v>
      </c>
      <c r="AC1299" s="321" t="str">
        <f t="shared" si="678"/>
        <v>X-TSUB02T</v>
      </c>
      <c r="AD1299" s="321" t="str">
        <f t="shared" si="679"/>
        <v>X-TSUB02S</v>
      </c>
      <c r="AE1299" s="321" t="str">
        <f t="shared" si="680"/>
        <v>X-TSUB02X</v>
      </c>
      <c r="AF1299" s="321" t="str">
        <f t="shared" si="681"/>
        <v>X-TSUB02E</v>
      </c>
      <c r="AG1299" s="321">
        <f t="shared" si="658"/>
        <v>4</v>
      </c>
      <c r="AH1299" s="321">
        <f>IF(B1299&lt;&gt;"",IF(H1299="x",VLOOKUP(I1299,'AUX-NIV3'!B:AG,32,FALSE),0),"")</f>
        <v>0</v>
      </c>
      <c r="AI1299" s="321" t="str">
        <f t="shared" si="682"/>
        <v>X-TSUB02</v>
      </c>
      <c r="AJ1299" s="320"/>
      <c r="AK1299" s="322">
        <f t="shared" si="659"/>
        <v>1296</v>
      </c>
      <c r="AL1299" s="323">
        <f t="shared" si="683"/>
        <v>1299</v>
      </c>
      <c r="AM1299" s="322">
        <f t="shared" si="684"/>
        <v>4</v>
      </c>
      <c r="AN1299" s="380">
        <f>IF(AND(AH1299&gt;0,B1299&lt;&gt;""),VLOOKUP(I1299,'AUX-NIV3'!$B:$AO,39,FALSE)*O1299,0)</f>
        <v>0</v>
      </c>
      <c r="AO1299" s="380">
        <f t="shared" si="660"/>
        <v>0.10833333333333334</v>
      </c>
      <c r="AP1299" s="380"/>
    </row>
    <row r="1300" spans="2:42" ht="14.4" hidden="1" thickTop="1" thickBot="1">
      <c r="B1300" s="501" t="s">
        <v>3524</v>
      </c>
      <c r="C1300" s="951" t="s">
        <v>3525</v>
      </c>
      <c r="D1300" s="326" t="s">
        <v>477</v>
      </c>
      <c r="E1300" s="327">
        <f>IF(B1300&lt;&gt;"",SUMIF('AUX-NIV1'!I:I,'AUX-NIV2'!B1300,'AUX-NIV1'!Q:Q),"")</f>
        <v>0</v>
      </c>
      <c r="F1300" s="327">
        <f t="shared" si="650"/>
        <v>265.01477059667286</v>
      </c>
      <c r="G1300" s="327">
        <f t="shared" si="651"/>
        <v>0</v>
      </c>
      <c r="H1300" s="328" t="str">
        <f t="shared" ref="H1300:H1329" si="685">IF(B1300&lt;&gt;"",+LEFT(I1300,1),"")</f>
        <v>A</v>
      </c>
      <c r="I1300" s="325" t="s">
        <v>1745</v>
      </c>
      <c r="J1300" s="431" t="str">
        <f>IF(B1300&lt;&gt;"",+VLOOKUP(I1300,Recursos!C:F,2,FALSE),"")</f>
        <v>AYUDANTE</v>
      </c>
      <c r="K1300" s="330" t="str">
        <f>IF(B1300&lt;&gt;"",+VLOOKUP(I1300,Recursos!C:F,3,FALSE),"")</f>
        <v>hh</v>
      </c>
      <c r="L1300" s="446">
        <f>IF(B1300&lt;&gt;"",+VLOOKUP(I1300,Recursos!C:F,4,FALSE),"")</f>
        <v>422.48042769667234</v>
      </c>
      <c r="M1300" s="1270">
        <v>1.2</v>
      </c>
      <c r="N1300" s="1271">
        <v>8</v>
      </c>
      <c r="O1300" s="449">
        <f>((M1300+M1301)/M1302+(1/M1303))*N1300</f>
        <v>8.4666666666666682E-2</v>
      </c>
      <c r="P1300" s="333">
        <f t="shared" ref="P1300:P1329" si="686">IF(B1300&lt;&gt;"",O1300*L1300,"")</f>
        <v>35.77000954498493</v>
      </c>
      <c r="Q1300" s="327">
        <f t="shared" ref="Q1300:Q1329" si="687">IF(B1300&lt;&gt;"",+O1300*E1300,"")</f>
        <v>0</v>
      </c>
      <c r="R1300" s="334">
        <f t="shared" ref="R1300:R1329" si="688">IF(B1300&lt;&gt;"",Q1300*L1300,"")</f>
        <v>0</v>
      </c>
      <c r="S1300" s="335">
        <f t="shared" si="652"/>
        <v>65.05929357167291</v>
      </c>
      <c r="T1300" s="335">
        <f t="shared" si="653"/>
        <v>199.95547702499999</v>
      </c>
      <c r="U1300" s="336">
        <f t="shared" si="654"/>
        <v>0</v>
      </c>
      <c r="V1300" s="336">
        <f t="shared" si="655"/>
        <v>0</v>
      </c>
      <c r="W1300" s="336">
        <f t="shared" si="656"/>
        <v>0</v>
      </c>
      <c r="X1300" s="336">
        <f t="shared" si="657"/>
        <v>0</v>
      </c>
      <c r="Y1300" s="320"/>
      <c r="Z1300" s="321" t="str">
        <f t="shared" ref="Z1300:Z1329" si="689">IF(B1300&lt;&gt;"",+$B1300&amp;"A","")</f>
        <v>X-TSUB03A</v>
      </c>
      <c r="AA1300" s="321" t="str">
        <f t="shared" ref="AA1300:AA1329" si="690">IF(B1300&lt;&gt;"",+$B1300&amp;"E","")</f>
        <v>X-TSUB03E</v>
      </c>
      <c r="AB1300" s="321" t="str">
        <f t="shared" ref="AB1300:AB1329" si="691">IF(B1300&lt;&gt;"",++$B1300&amp;"M","")</f>
        <v>X-TSUB03M</v>
      </c>
      <c r="AC1300" s="321" t="str">
        <f t="shared" ref="AC1300:AC1329" si="692">IF(B1300&lt;&gt;"",+$B1300&amp;"T","")</f>
        <v>X-TSUB03T</v>
      </c>
      <c r="AD1300" s="321" t="str">
        <f t="shared" ref="AD1300:AD1329" si="693">IF(B1300&lt;&gt;"",+$B1300&amp;"S","")</f>
        <v>X-TSUB03S</v>
      </c>
      <c r="AE1300" s="321" t="str">
        <f t="shared" ref="AE1300:AE1329" si="694">IF(B1300&lt;&gt;"",+$B1300&amp;"X","")</f>
        <v>X-TSUB03X</v>
      </c>
      <c r="AF1300" s="321" t="str">
        <f t="shared" ref="AF1300:AF1329" si="695">IF(B1300&lt;&gt;"",+B1300&amp;H1300,"")</f>
        <v>X-TSUB03A</v>
      </c>
      <c r="AG1300" s="321">
        <f t="shared" si="658"/>
        <v>6</v>
      </c>
      <c r="AH1300" s="321">
        <f>IF(B1300&lt;&gt;"",IF(H1300="x",VLOOKUP(I1300,'AUX-NIV3'!B:AG,32,FALSE),0),"")</f>
        <v>0</v>
      </c>
      <c r="AI1300" s="321" t="str">
        <f t="shared" ref="AI1300:AI1329" si="696">IF(B1300&lt;&gt;"",+B1300,"")</f>
        <v>X-TSUB03</v>
      </c>
      <c r="AJ1300" s="320"/>
      <c r="AK1300" s="322">
        <f t="shared" si="659"/>
        <v>1300</v>
      </c>
      <c r="AL1300" s="323">
        <f t="shared" ref="AL1300:AL1329" si="697">IF(B1300&lt;&gt;"",+AK1300+AG1300-1,"")</f>
        <v>1305</v>
      </c>
      <c r="AM1300" s="322">
        <f t="shared" ref="AM1300:AM1329" si="698">IF(B1300&lt;&gt;"",IF(B1300=B1299,1+AM1299,1),"")</f>
        <v>1</v>
      </c>
      <c r="AN1300" s="380">
        <f>IF(AND(AH1300&gt;0,B1300&lt;&gt;""),VLOOKUP(I1300,'AUX-NIV3'!$B:$AO,39,FALSE)*O1300,0)</f>
        <v>0</v>
      </c>
      <c r="AO1300" s="380">
        <f t="shared" si="660"/>
        <v>0.1418166666666667</v>
      </c>
      <c r="AP1300" s="380"/>
    </row>
    <row r="1301" spans="2:42" ht="14.4" hidden="1" thickTop="1" thickBot="1">
      <c r="B1301" s="501" t="s">
        <v>3524</v>
      </c>
      <c r="C1301" s="951" t="s">
        <v>3525</v>
      </c>
      <c r="D1301" s="326" t="s">
        <v>477</v>
      </c>
      <c r="E1301" s="327">
        <f>IF(B1301&lt;&gt;"",SUMIF('AUX-NIV1'!I:I,'AUX-NIV2'!B1301,'AUX-NIV1'!Q:Q),"")</f>
        <v>0</v>
      </c>
      <c r="F1301" s="327">
        <f t="shared" si="650"/>
        <v>265.01477059667286</v>
      </c>
      <c r="G1301" s="327">
        <f t="shared" si="651"/>
        <v>0</v>
      </c>
      <c r="H1301" s="328" t="str">
        <f t="shared" si="685"/>
        <v>A</v>
      </c>
      <c r="I1301" s="325" t="s">
        <v>1746</v>
      </c>
      <c r="J1301" s="431" t="str">
        <f>IF(B1301&lt;&gt;"",+VLOOKUP(I1301,Recursos!C:F,2,FALSE),"")</f>
        <v>OFICIAL</v>
      </c>
      <c r="K1301" s="330" t="str">
        <f>IF(B1301&lt;&gt;"",+VLOOKUP(I1301,Recursos!C:F,3,FALSE),"")</f>
        <v>hh</v>
      </c>
      <c r="L1301" s="446">
        <f>IF(B1301&lt;&gt;"",+VLOOKUP(I1301,Recursos!C:F,4,FALSE),"")</f>
        <v>496.91595439275824</v>
      </c>
      <c r="M1301" s="1272">
        <v>2.5</v>
      </c>
      <c r="N1301" s="1273">
        <v>4</v>
      </c>
      <c r="O1301" s="449">
        <f>((M1300+M1301)/M1302+(1/M1303))*N1301</f>
        <v>4.2333333333333341E-2</v>
      </c>
      <c r="P1301" s="333">
        <f t="shared" si="686"/>
        <v>21.036108735960102</v>
      </c>
      <c r="Q1301" s="327">
        <f t="shared" si="687"/>
        <v>0</v>
      </c>
      <c r="R1301" s="334">
        <f t="shared" si="688"/>
        <v>0</v>
      </c>
      <c r="S1301" s="335">
        <f t="shared" si="652"/>
        <v>65.05929357167291</v>
      </c>
      <c r="T1301" s="335">
        <f t="shared" si="653"/>
        <v>199.95547702499999</v>
      </c>
      <c r="U1301" s="336">
        <f t="shared" si="654"/>
        <v>0</v>
      </c>
      <c r="V1301" s="336">
        <f t="shared" si="655"/>
        <v>0</v>
      </c>
      <c r="W1301" s="336">
        <f t="shared" si="656"/>
        <v>0</v>
      </c>
      <c r="X1301" s="336">
        <f t="shared" si="657"/>
        <v>0</v>
      </c>
      <c r="Y1301" s="320"/>
      <c r="Z1301" s="321" t="str">
        <f t="shared" si="689"/>
        <v>X-TSUB03A</v>
      </c>
      <c r="AA1301" s="321" t="str">
        <f t="shared" si="690"/>
        <v>X-TSUB03E</v>
      </c>
      <c r="AB1301" s="321" t="str">
        <f t="shared" si="691"/>
        <v>X-TSUB03M</v>
      </c>
      <c r="AC1301" s="321" t="str">
        <f t="shared" si="692"/>
        <v>X-TSUB03T</v>
      </c>
      <c r="AD1301" s="321" t="str">
        <f t="shared" si="693"/>
        <v>X-TSUB03S</v>
      </c>
      <c r="AE1301" s="321" t="str">
        <f t="shared" si="694"/>
        <v>X-TSUB03X</v>
      </c>
      <c r="AF1301" s="321" t="str">
        <f t="shared" si="695"/>
        <v>X-TSUB03A</v>
      </c>
      <c r="AG1301" s="321">
        <f t="shared" si="658"/>
        <v>6</v>
      </c>
      <c r="AH1301" s="321">
        <f>IF(B1301&lt;&gt;"",IF(H1301="x",VLOOKUP(I1301,'AUX-NIV3'!B:AG,32,FALSE),0),"")</f>
        <v>0</v>
      </c>
      <c r="AI1301" s="321" t="str">
        <f t="shared" si="696"/>
        <v>X-TSUB03</v>
      </c>
      <c r="AJ1301" s="320"/>
      <c r="AK1301" s="322">
        <f t="shared" si="659"/>
        <v>1300</v>
      </c>
      <c r="AL1301" s="323">
        <f t="shared" si="697"/>
        <v>1305</v>
      </c>
      <c r="AM1301" s="322">
        <f t="shared" si="698"/>
        <v>2</v>
      </c>
      <c r="AN1301" s="380">
        <f>IF(AND(AH1301&gt;0,B1301&lt;&gt;""),VLOOKUP(I1301,'AUX-NIV3'!$B:$AO,39,FALSE)*O1301,0)</f>
        <v>0</v>
      </c>
      <c r="AO1301" s="380">
        <f t="shared" si="660"/>
        <v>0.1418166666666667</v>
      </c>
      <c r="AP1301" s="380"/>
    </row>
    <row r="1302" spans="2:42" ht="14.4" hidden="1" thickTop="1" thickBot="1">
      <c r="B1302" s="501" t="s">
        <v>3524</v>
      </c>
      <c r="C1302" s="951" t="s">
        <v>3525</v>
      </c>
      <c r="D1302" s="326" t="s">
        <v>477</v>
      </c>
      <c r="E1302" s="327">
        <f>IF(B1302&lt;&gt;"",SUMIF('AUX-NIV1'!I:I,'AUX-NIV2'!B1302,'AUX-NIV1'!Q:Q),"")</f>
        <v>0</v>
      </c>
      <c r="F1302" s="327">
        <f t="shared" si="650"/>
        <v>265.01477059667286</v>
      </c>
      <c r="G1302" s="327">
        <f t="shared" si="651"/>
        <v>0</v>
      </c>
      <c r="H1302" s="328" t="str">
        <f t="shared" si="685"/>
        <v>A</v>
      </c>
      <c r="I1302" s="325" t="s">
        <v>3310</v>
      </c>
      <c r="J1302" s="431" t="str">
        <f>IF(B1302&lt;&gt;"",+VLOOKUP(I1302,Recursos!C:F,2,FALSE),"")</f>
        <v>OFICIAL ESPECIALIZADO</v>
      </c>
      <c r="K1302" s="330" t="str">
        <f>IF(B1302&lt;&gt;"",+VLOOKUP(I1302,Recursos!C:F,3,FALSE),"")</f>
        <v>hh</v>
      </c>
      <c r="L1302" s="446">
        <f>IF(B1302&lt;&gt;"",+VLOOKUP(I1302,Recursos!C:F,4,FALSE),"")</f>
        <v>581.06120476836554</v>
      </c>
      <c r="M1302" s="1272">
        <v>400</v>
      </c>
      <c r="N1302" s="1273">
        <v>1</v>
      </c>
      <c r="O1302" s="449">
        <f>((M1300+M1301)/M1302+(1/M1303))*N1302</f>
        <v>1.0583333333333335E-2</v>
      </c>
      <c r="P1302" s="333">
        <f t="shared" si="686"/>
        <v>6.1495644171318702</v>
      </c>
      <c r="Q1302" s="327">
        <f t="shared" si="687"/>
        <v>0</v>
      </c>
      <c r="R1302" s="334">
        <f t="shared" si="688"/>
        <v>0</v>
      </c>
      <c r="S1302" s="335">
        <f t="shared" si="652"/>
        <v>65.05929357167291</v>
      </c>
      <c r="T1302" s="335">
        <f t="shared" si="653"/>
        <v>199.95547702499999</v>
      </c>
      <c r="U1302" s="336">
        <f t="shared" si="654"/>
        <v>0</v>
      </c>
      <c r="V1302" s="336">
        <f t="shared" si="655"/>
        <v>0</v>
      </c>
      <c r="W1302" s="336">
        <f t="shared" si="656"/>
        <v>0</v>
      </c>
      <c r="X1302" s="336">
        <f t="shared" si="657"/>
        <v>0</v>
      </c>
      <c r="Y1302" s="320"/>
      <c r="Z1302" s="321" t="str">
        <f t="shared" si="689"/>
        <v>X-TSUB03A</v>
      </c>
      <c r="AA1302" s="321" t="str">
        <f t="shared" si="690"/>
        <v>X-TSUB03E</v>
      </c>
      <c r="AB1302" s="321" t="str">
        <f t="shared" si="691"/>
        <v>X-TSUB03M</v>
      </c>
      <c r="AC1302" s="321" t="str">
        <f t="shared" si="692"/>
        <v>X-TSUB03T</v>
      </c>
      <c r="AD1302" s="321" t="str">
        <f t="shared" si="693"/>
        <v>X-TSUB03S</v>
      </c>
      <c r="AE1302" s="321" t="str">
        <f t="shared" si="694"/>
        <v>X-TSUB03X</v>
      </c>
      <c r="AF1302" s="321" t="str">
        <f t="shared" si="695"/>
        <v>X-TSUB03A</v>
      </c>
      <c r="AG1302" s="321">
        <f t="shared" si="658"/>
        <v>6</v>
      </c>
      <c r="AH1302" s="321">
        <f>IF(B1302&lt;&gt;"",IF(H1302="x",VLOOKUP(I1302,'AUX-NIV3'!B:AG,32,FALSE),0),"")</f>
        <v>0</v>
      </c>
      <c r="AI1302" s="321" t="str">
        <f t="shared" si="696"/>
        <v>X-TSUB03</v>
      </c>
      <c r="AJ1302" s="320"/>
      <c r="AK1302" s="322">
        <f t="shared" si="659"/>
        <v>1300</v>
      </c>
      <c r="AL1302" s="323">
        <f t="shared" si="697"/>
        <v>1305</v>
      </c>
      <c r="AM1302" s="322">
        <f t="shared" si="698"/>
        <v>3</v>
      </c>
      <c r="AN1302" s="380">
        <f>IF(AND(AH1302&gt;0,B1302&lt;&gt;""),VLOOKUP(I1302,'AUX-NIV3'!$B:$AO,39,FALSE)*O1302,0)</f>
        <v>0</v>
      </c>
      <c r="AO1302" s="380">
        <f t="shared" si="660"/>
        <v>0.1418166666666667</v>
      </c>
      <c r="AP1302" s="380"/>
    </row>
    <row r="1303" spans="2:42" ht="14.4" hidden="1" thickTop="1" thickBot="1">
      <c r="B1303" s="501" t="s">
        <v>3524</v>
      </c>
      <c r="C1303" s="951" t="s">
        <v>3525</v>
      </c>
      <c r="D1303" s="326" t="s">
        <v>477</v>
      </c>
      <c r="E1303" s="327">
        <f>IF(B1303&lt;&gt;"",SUMIF('AUX-NIV1'!I:I,'AUX-NIV2'!B1303,'AUX-NIV1'!Q:Q),"")</f>
        <v>0</v>
      </c>
      <c r="F1303" s="327">
        <f t="shared" si="650"/>
        <v>265.01477059667286</v>
      </c>
      <c r="G1303" s="327">
        <f t="shared" si="651"/>
        <v>0</v>
      </c>
      <c r="H1303" s="328" t="str">
        <f t="shared" si="685"/>
        <v>E</v>
      </c>
      <c r="I1303" s="324" t="s">
        <v>1580</v>
      </c>
      <c r="J1303" s="431" t="str">
        <f>IF(B1303&lt;&gt;"",+VLOOKUP(I1303,Recursos!C:F,2,FALSE),"")</f>
        <v>EQUIPO DE TENDIDO COMPLETO CON ROLDANAS Y ACCESORIOS.</v>
      </c>
      <c r="K1303" s="330" t="str">
        <f>IF(B1303&lt;&gt;"",+VLOOKUP(I1303,Recursos!C:F,3,FALSE),"")</f>
        <v>HR</v>
      </c>
      <c r="L1303" s="446">
        <f>IF(B1303&lt;&gt;"",+VLOOKUP(I1303,Recursos!C:F,4,FALSE),"")</f>
        <v>23922.935999999994</v>
      </c>
      <c r="M1303" s="1272">
        <v>750</v>
      </c>
      <c r="N1303" s="1273">
        <v>0.75</v>
      </c>
      <c r="O1303" s="449">
        <f>((M1300+M1301)/M1302+(1/M1303))*N1303</f>
        <v>7.9375000000000018E-3</v>
      </c>
      <c r="P1303" s="333">
        <f t="shared" si="686"/>
        <v>189.8883045</v>
      </c>
      <c r="Q1303" s="327">
        <f t="shared" si="687"/>
        <v>0</v>
      </c>
      <c r="R1303" s="334">
        <f t="shared" si="688"/>
        <v>0</v>
      </c>
      <c r="S1303" s="335">
        <f t="shared" si="652"/>
        <v>65.05929357167291</v>
      </c>
      <c r="T1303" s="335">
        <f t="shared" si="653"/>
        <v>199.95547702499999</v>
      </c>
      <c r="U1303" s="336">
        <f t="shared" si="654"/>
        <v>0</v>
      </c>
      <c r="V1303" s="336">
        <f t="shared" si="655"/>
        <v>0</v>
      </c>
      <c r="W1303" s="336">
        <f t="shared" si="656"/>
        <v>0</v>
      </c>
      <c r="X1303" s="336">
        <f t="shared" si="657"/>
        <v>0</v>
      </c>
      <c r="Y1303" s="320"/>
      <c r="Z1303" s="321" t="str">
        <f t="shared" si="689"/>
        <v>X-TSUB03A</v>
      </c>
      <c r="AA1303" s="321" t="str">
        <f t="shared" si="690"/>
        <v>X-TSUB03E</v>
      </c>
      <c r="AB1303" s="321" t="str">
        <f t="shared" si="691"/>
        <v>X-TSUB03M</v>
      </c>
      <c r="AC1303" s="321" t="str">
        <f t="shared" si="692"/>
        <v>X-TSUB03T</v>
      </c>
      <c r="AD1303" s="321" t="str">
        <f t="shared" si="693"/>
        <v>X-TSUB03S</v>
      </c>
      <c r="AE1303" s="321" t="str">
        <f t="shared" si="694"/>
        <v>X-TSUB03X</v>
      </c>
      <c r="AF1303" s="321" t="str">
        <f t="shared" si="695"/>
        <v>X-TSUB03E</v>
      </c>
      <c r="AG1303" s="321">
        <f t="shared" si="658"/>
        <v>6</v>
      </c>
      <c r="AH1303" s="321">
        <f>IF(B1303&lt;&gt;"",IF(H1303="x",VLOOKUP(I1303,'AUX-NIV3'!B:AG,32,FALSE),0),"")</f>
        <v>0</v>
      </c>
      <c r="AI1303" s="321" t="str">
        <f t="shared" si="696"/>
        <v>X-TSUB03</v>
      </c>
      <c r="AJ1303" s="320"/>
      <c r="AK1303" s="322">
        <f t="shared" si="659"/>
        <v>1300</v>
      </c>
      <c r="AL1303" s="323">
        <f t="shared" si="697"/>
        <v>1305</v>
      </c>
      <c r="AM1303" s="322">
        <f t="shared" si="698"/>
        <v>4</v>
      </c>
      <c r="AN1303" s="380">
        <f>IF(AND(AH1303&gt;0,B1303&lt;&gt;""),VLOOKUP(I1303,'AUX-NIV3'!$B:$AO,39,FALSE)*O1303,0)</f>
        <v>0</v>
      </c>
      <c r="AO1303" s="380">
        <f t="shared" si="660"/>
        <v>0.1418166666666667</v>
      </c>
      <c r="AP1303" s="380"/>
    </row>
    <row r="1304" spans="2:42" ht="14.4" hidden="1" thickTop="1" thickBot="1">
      <c r="B1304" s="501" t="s">
        <v>3524</v>
      </c>
      <c r="C1304" s="951" t="s">
        <v>3525</v>
      </c>
      <c r="D1304" s="326" t="s">
        <v>477</v>
      </c>
      <c r="E1304" s="327">
        <f>IF(B1304&lt;&gt;"",SUMIF('AUX-NIV1'!I:I,'AUX-NIV2'!B1304,'AUX-NIV1'!Q:Q),"")</f>
        <v>0</v>
      </c>
      <c r="F1304" s="327">
        <f t="shared" si="650"/>
        <v>265.01477059667286</v>
      </c>
      <c r="G1304" s="327">
        <f t="shared" si="651"/>
        <v>0</v>
      </c>
      <c r="H1304" s="328" t="str">
        <f t="shared" si="685"/>
        <v>E</v>
      </c>
      <c r="I1304" s="324" t="s">
        <v>1597</v>
      </c>
      <c r="J1304" s="431" t="str">
        <f>IF(B1304&lt;&gt;"",+VLOOKUP(I1304,Recursos!C:F,2,FALSE),"")</f>
        <v>HIDROGRUA MONTADA S/CAMION (6 T)</v>
      </c>
      <c r="K1304" s="330" t="str">
        <f>IF(B1304&lt;&gt;"",+VLOOKUP(I1304,Recursos!C:F,3,FALSE),"")</f>
        <v>HR</v>
      </c>
      <c r="L1304" s="446">
        <f>IF(B1304&lt;&gt;"",+VLOOKUP(I1304,Recursos!C:F,4,FALSE),"")</f>
        <v>2378.0722500000002</v>
      </c>
      <c r="M1304" s="1276"/>
      <c r="N1304" s="1273">
        <v>0.4</v>
      </c>
      <c r="O1304" s="449">
        <f>((M1300+M1301)/M1302+(1/M1303))*N1304</f>
        <v>4.2333333333333346E-3</v>
      </c>
      <c r="P1304" s="333">
        <f t="shared" si="686"/>
        <v>10.067172525000004</v>
      </c>
      <c r="Q1304" s="327">
        <f t="shared" si="687"/>
        <v>0</v>
      </c>
      <c r="R1304" s="334">
        <f t="shared" si="688"/>
        <v>0</v>
      </c>
      <c r="S1304" s="335">
        <f t="shared" si="652"/>
        <v>65.05929357167291</v>
      </c>
      <c r="T1304" s="335">
        <f t="shared" si="653"/>
        <v>199.95547702499999</v>
      </c>
      <c r="U1304" s="336">
        <f t="shared" si="654"/>
        <v>0</v>
      </c>
      <c r="V1304" s="336">
        <f t="shared" si="655"/>
        <v>0</v>
      </c>
      <c r="W1304" s="336">
        <f t="shared" si="656"/>
        <v>0</v>
      </c>
      <c r="X1304" s="336">
        <f t="shared" si="657"/>
        <v>0</v>
      </c>
      <c r="Y1304" s="320"/>
      <c r="Z1304" s="321" t="str">
        <f t="shared" si="689"/>
        <v>X-TSUB03A</v>
      </c>
      <c r="AA1304" s="321" t="str">
        <f t="shared" si="690"/>
        <v>X-TSUB03E</v>
      </c>
      <c r="AB1304" s="321" t="str">
        <f t="shared" si="691"/>
        <v>X-TSUB03M</v>
      </c>
      <c r="AC1304" s="321" t="str">
        <f t="shared" si="692"/>
        <v>X-TSUB03T</v>
      </c>
      <c r="AD1304" s="321" t="str">
        <f t="shared" si="693"/>
        <v>X-TSUB03S</v>
      </c>
      <c r="AE1304" s="321" t="str">
        <f t="shared" si="694"/>
        <v>X-TSUB03X</v>
      </c>
      <c r="AF1304" s="321" t="str">
        <f t="shared" si="695"/>
        <v>X-TSUB03E</v>
      </c>
      <c r="AG1304" s="321">
        <f t="shared" si="658"/>
        <v>6</v>
      </c>
      <c r="AH1304" s="321">
        <f>IF(B1304&lt;&gt;"",IF(H1304="x",VLOOKUP(I1304,'AUX-NIV3'!B:AG,32,FALSE),0),"")</f>
        <v>0</v>
      </c>
      <c r="AI1304" s="321" t="str">
        <f t="shared" si="696"/>
        <v>X-TSUB03</v>
      </c>
      <c r="AJ1304" s="320"/>
      <c r="AK1304" s="322">
        <f t="shared" si="659"/>
        <v>1300</v>
      </c>
      <c r="AL1304" s="323">
        <f t="shared" si="697"/>
        <v>1305</v>
      </c>
      <c r="AM1304" s="322">
        <f t="shared" si="698"/>
        <v>5</v>
      </c>
      <c r="AN1304" s="380">
        <f>IF(AND(AH1304&gt;0,B1304&lt;&gt;""),VLOOKUP(I1304,'AUX-NIV3'!$B:$AO,39,FALSE)*O1304,0)</f>
        <v>0</v>
      </c>
      <c r="AO1304" s="380">
        <f t="shared" si="660"/>
        <v>0.1418166666666667</v>
      </c>
      <c r="AP1304" s="380"/>
    </row>
    <row r="1305" spans="2:42" ht="14.4" hidden="1" thickTop="1" thickBot="1">
      <c r="B1305" s="501" t="s">
        <v>3524</v>
      </c>
      <c r="C1305" s="951" t="s">
        <v>3525</v>
      </c>
      <c r="D1305" s="326" t="s">
        <v>477</v>
      </c>
      <c r="E1305" s="327">
        <f>IF(B1305&lt;&gt;"",SUMIF('AUX-NIV1'!I:I,'AUX-NIV2'!B1305,'AUX-NIV1'!Q:Q),"")</f>
        <v>0</v>
      </c>
      <c r="F1305" s="327">
        <f t="shared" si="650"/>
        <v>265.01477059667286</v>
      </c>
      <c r="G1305" s="327">
        <f t="shared" si="651"/>
        <v>0</v>
      </c>
      <c r="H1305" s="328" t="str">
        <f t="shared" si="685"/>
        <v>A</v>
      </c>
      <c r="I1305" s="325" t="s">
        <v>1746</v>
      </c>
      <c r="J1305" s="431" t="str">
        <f>IF(B1305&lt;&gt;"",+VLOOKUP(I1305,Recursos!C:F,2,FALSE),"")</f>
        <v>OFICIAL</v>
      </c>
      <c r="K1305" s="330" t="str">
        <f>IF(B1305&lt;&gt;"",+VLOOKUP(I1305,Recursos!C:F,3,FALSE),"")</f>
        <v>hh</v>
      </c>
      <c r="L1305" s="446">
        <f>IF(B1305&lt;&gt;"",+VLOOKUP(I1305,Recursos!C:F,4,FALSE),"")</f>
        <v>496.91595439275824</v>
      </c>
      <c r="M1305" s="1277"/>
      <c r="N1305" s="1279"/>
      <c r="O1305" s="449">
        <f>((M1300+M1301)/M1302+(1/M1303))*N1304</f>
        <v>4.2333333333333346E-3</v>
      </c>
      <c r="P1305" s="333">
        <f t="shared" si="686"/>
        <v>2.1036108735960104</v>
      </c>
      <c r="Q1305" s="327">
        <f t="shared" si="687"/>
        <v>0</v>
      </c>
      <c r="R1305" s="334">
        <f t="shared" si="688"/>
        <v>0</v>
      </c>
      <c r="S1305" s="335">
        <f t="shared" si="652"/>
        <v>65.05929357167291</v>
      </c>
      <c r="T1305" s="335">
        <f t="shared" si="653"/>
        <v>199.95547702499999</v>
      </c>
      <c r="U1305" s="336">
        <f t="shared" si="654"/>
        <v>0</v>
      </c>
      <c r="V1305" s="336">
        <f t="shared" si="655"/>
        <v>0</v>
      </c>
      <c r="W1305" s="336">
        <f t="shared" si="656"/>
        <v>0</v>
      </c>
      <c r="X1305" s="336">
        <f t="shared" si="657"/>
        <v>0</v>
      </c>
      <c r="Y1305" s="320"/>
      <c r="Z1305" s="321" t="str">
        <f t="shared" si="689"/>
        <v>X-TSUB03A</v>
      </c>
      <c r="AA1305" s="321" t="str">
        <f t="shared" si="690"/>
        <v>X-TSUB03E</v>
      </c>
      <c r="AB1305" s="321" t="str">
        <f t="shared" si="691"/>
        <v>X-TSUB03M</v>
      </c>
      <c r="AC1305" s="321" t="str">
        <f t="shared" si="692"/>
        <v>X-TSUB03T</v>
      </c>
      <c r="AD1305" s="321" t="str">
        <f t="shared" si="693"/>
        <v>X-TSUB03S</v>
      </c>
      <c r="AE1305" s="321" t="str">
        <f t="shared" si="694"/>
        <v>X-TSUB03X</v>
      </c>
      <c r="AF1305" s="321" t="str">
        <f t="shared" si="695"/>
        <v>X-TSUB03A</v>
      </c>
      <c r="AG1305" s="321">
        <f t="shared" si="658"/>
        <v>6</v>
      </c>
      <c r="AH1305" s="321">
        <f>IF(B1305&lt;&gt;"",IF(H1305="x",VLOOKUP(I1305,'AUX-NIV3'!B:AG,32,FALSE),0),"")</f>
        <v>0</v>
      </c>
      <c r="AI1305" s="321" t="str">
        <f t="shared" si="696"/>
        <v>X-TSUB03</v>
      </c>
      <c r="AJ1305" s="320"/>
      <c r="AK1305" s="322">
        <f t="shared" si="659"/>
        <v>1300</v>
      </c>
      <c r="AL1305" s="323">
        <f t="shared" si="697"/>
        <v>1305</v>
      </c>
      <c r="AM1305" s="322">
        <f t="shared" si="698"/>
        <v>6</v>
      </c>
      <c r="AN1305" s="380">
        <f>IF(AND(AH1305&gt;0,B1305&lt;&gt;""),VLOOKUP(I1305,'AUX-NIV3'!$B:$AO,39,FALSE)*O1305,0)</f>
        <v>0</v>
      </c>
      <c r="AO1305" s="380">
        <f t="shared" si="660"/>
        <v>0.1418166666666667</v>
      </c>
      <c r="AP1305" s="380"/>
    </row>
    <row r="1306" spans="2:42" ht="14.4" hidden="1" thickTop="1" thickBot="1">
      <c r="B1306" s="501" t="s">
        <v>3667</v>
      </c>
      <c r="C1306" s="951" t="s">
        <v>3528</v>
      </c>
      <c r="D1306" s="326" t="s">
        <v>610</v>
      </c>
      <c r="E1306" s="327">
        <f>IF(B1306&lt;&gt;"",SUMIF('AUX-NIV1'!I:I,'AUX-NIV2'!B1306,'AUX-NIV1'!Q:Q),"")</f>
        <v>0</v>
      </c>
      <c r="F1306" s="327">
        <f t="shared" si="650"/>
        <v>13222.500038579317</v>
      </c>
      <c r="G1306" s="327">
        <f t="shared" si="651"/>
        <v>0</v>
      </c>
      <c r="H1306" s="328" t="str">
        <f t="shared" si="685"/>
        <v>A</v>
      </c>
      <c r="I1306" s="325" t="s">
        <v>1745</v>
      </c>
      <c r="J1306" s="431" t="str">
        <f>IF(B1306&lt;&gt;"",+VLOOKUP(I1306,Recursos!C:F,2,FALSE),"")</f>
        <v>AYUDANTE</v>
      </c>
      <c r="K1306" s="330" t="str">
        <f>IF(B1306&lt;&gt;"",+VLOOKUP(I1306,Recursos!C:F,3,FALSE),"")</f>
        <v>hh</v>
      </c>
      <c r="L1306" s="446">
        <f>IF(B1306&lt;&gt;"",+VLOOKUP(I1306,Recursos!C:F,4,FALSE),"")</f>
        <v>422.48042769667234</v>
      </c>
      <c r="M1306" s="1270">
        <v>3</v>
      </c>
      <c r="N1306" s="1271">
        <v>4</v>
      </c>
      <c r="O1306" s="449">
        <f>N1306*(M1307+M1308)*M1306*1</f>
        <v>16.200000000000003</v>
      </c>
      <c r="P1306" s="333">
        <f t="shared" si="686"/>
        <v>6844.182928686093</v>
      </c>
      <c r="Q1306" s="327">
        <f t="shared" si="687"/>
        <v>0</v>
      </c>
      <c r="R1306" s="334">
        <f t="shared" si="688"/>
        <v>0</v>
      </c>
      <c r="S1306" s="335">
        <f t="shared" si="652"/>
        <v>13222.500038579317</v>
      </c>
      <c r="T1306" s="335">
        <f t="shared" si="653"/>
        <v>0</v>
      </c>
      <c r="U1306" s="336">
        <f t="shared" si="654"/>
        <v>0</v>
      </c>
      <c r="V1306" s="336">
        <f t="shared" si="655"/>
        <v>0</v>
      </c>
      <c r="W1306" s="336">
        <f t="shared" si="656"/>
        <v>0</v>
      </c>
      <c r="X1306" s="336">
        <f t="shared" si="657"/>
        <v>0</v>
      </c>
      <c r="Y1306" s="320"/>
      <c r="Z1306" s="321" t="str">
        <f t="shared" si="689"/>
        <v>X-TSUB04A</v>
      </c>
      <c r="AA1306" s="321" t="str">
        <f t="shared" si="690"/>
        <v>X-TSUB04E</v>
      </c>
      <c r="AB1306" s="321" t="str">
        <f t="shared" si="691"/>
        <v>X-TSUB04M</v>
      </c>
      <c r="AC1306" s="321" t="str">
        <f t="shared" si="692"/>
        <v>X-TSUB04T</v>
      </c>
      <c r="AD1306" s="321" t="str">
        <f t="shared" si="693"/>
        <v>X-TSUB04S</v>
      </c>
      <c r="AE1306" s="321" t="str">
        <f t="shared" si="694"/>
        <v>X-TSUB04X</v>
      </c>
      <c r="AF1306" s="321" t="str">
        <f t="shared" si="695"/>
        <v>X-TSUB04A</v>
      </c>
      <c r="AG1306" s="321">
        <f t="shared" si="658"/>
        <v>3</v>
      </c>
      <c r="AH1306" s="321">
        <f>IF(B1306&lt;&gt;"",IF(H1306="x",VLOOKUP(I1306,'AUX-NIV3'!B:AG,32,FALSE),0),"")</f>
        <v>0</v>
      </c>
      <c r="AI1306" s="321" t="str">
        <f t="shared" si="696"/>
        <v>X-TSUB04</v>
      </c>
      <c r="AJ1306" s="320"/>
      <c r="AK1306" s="322">
        <f t="shared" si="659"/>
        <v>1306</v>
      </c>
      <c r="AL1306" s="323">
        <f t="shared" si="697"/>
        <v>1308</v>
      </c>
      <c r="AM1306" s="322">
        <f t="shared" si="698"/>
        <v>1</v>
      </c>
      <c r="AN1306" s="380">
        <f>IF(AND(AH1306&gt;0,B1306&lt;&gt;""),VLOOKUP(I1306,'AUX-NIV3'!$B:$AO,39,FALSE)*O1306,0)</f>
        <v>0</v>
      </c>
      <c r="AO1306" s="380">
        <f t="shared" si="660"/>
        <v>28.350000000000005</v>
      </c>
      <c r="AP1306" s="380"/>
    </row>
    <row r="1307" spans="2:42" ht="14.4" hidden="1" thickTop="1" thickBot="1">
      <c r="B1307" s="501" t="s">
        <v>3667</v>
      </c>
      <c r="C1307" s="951" t="s">
        <v>3528</v>
      </c>
      <c r="D1307" s="326" t="s">
        <v>610</v>
      </c>
      <c r="E1307" s="327">
        <f>IF(B1307&lt;&gt;"",SUMIF('AUX-NIV1'!I:I,'AUX-NIV2'!B1307,'AUX-NIV1'!Q:Q),"")</f>
        <v>0</v>
      </c>
      <c r="F1307" s="327">
        <f t="shared" si="650"/>
        <v>13222.500038579317</v>
      </c>
      <c r="G1307" s="327">
        <f t="shared" si="651"/>
        <v>0</v>
      </c>
      <c r="H1307" s="328" t="str">
        <f t="shared" si="685"/>
        <v>A</v>
      </c>
      <c r="I1307" s="325" t="s">
        <v>1746</v>
      </c>
      <c r="J1307" s="431" t="str">
        <f>IF(B1307&lt;&gt;"",+VLOOKUP(I1307,Recursos!C:F,2,FALSE),"")</f>
        <v>OFICIAL</v>
      </c>
      <c r="K1307" s="330" t="str">
        <f>IF(B1307&lt;&gt;"",+VLOOKUP(I1307,Recursos!C:F,3,FALSE),"")</f>
        <v>hh</v>
      </c>
      <c r="L1307" s="446">
        <f>IF(B1307&lt;&gt;"",+VLOOKUP(I1307,Recursos!C:F,4,FALSE),"")</f>
        <v>496.91595439275824</v>
      </c>
      <c r="M1307" s="1272">
        <v>0.45</v>
      </c>
      <c r="N1307" s="1273">
        <v>2</v>
      </c>
      <c r="O1307" s="449">
        <f>N1307*(M1307+M1308)*M1306*1</f>
        <v>8.1000000000000014</v>
      </c>
      <c r="P1307" s="333">
        <f t="shared" si="686"/>
        <v>4025.0192305813425</v>
      </c>
      <c r="Q1307" s="327">
        <f t="shared" si="687"/>
        <v>0</v>
      </c>
      <c r="R1307" s="334">
        <f t="shared" si="688"/>
        <v>0</v>
      </c>
      <c r="S1307" s="335">
        <f t="shared" si="652"/>
        <v>13222.500038579317</v>
      </c>
      <c r="T1307" s="335">
        <f t="shared" si="653"/>
        <v>0</v>
      </c>
      <c r="U1307" s="336">
        <f t="shared" si="654"/>
        <v>0</v>
      </c>
      <c r="V1307" s="336">
        <f t="shared" si="655"/>
        <v>0</v>
      </c>
      <c r="W1307" s="336">
        <f t="shared" si="656"/>
        <v>0</v>
      </c>
      <c r="X1307" s="336">
        <f t="shared" si="657"/>
        <v>0</v>
      </c>
      <c r="Y1307" s="320"/>
      <c r="Z1307" s="321" t="str">
        <f t="shared" si="689"/>
        <v>X-TSUB04A</v>
      </c>
      <c r="AA1307" s="321" t="str">
        <f t="shared" si="690"/>
        <v>X-TSUB04E</v>
      </c>
      <c r="AB1307" s="321" t="str">
        <f t="shared" si="691"/>
        <v>X-TSUB04M</v>
      </c>
      <c r="AC1307" s="321" t="str">
        <f t="shared" si="692"/>
        <v>X-TSUB04T</v>
      </c>
      <c r="AD1307" s="321" t="str">
        <f t="shared" si="693"/>
        <v>X-TSUB04S</v>
      </c>
      <c r="AE1307" s="321" t="str">
        <f t="shared" si="694"/>
        <v>X-TSUB04X</v>
      </c>
      <c r="AF1307" s="321" t="str">
        <f t="shared" si="695"/>
        <v>X-TSUB04A</v>
      </c>
      <c r="AG1307" s="321">
        <f t="shared" si="658"/>
        <v>3</v>
      </c>
      <c r="AH1307" s="321">
        <f>IF(B1307&lt;&gt;"",IF(H1307="x",VLOOKUP(I1307,'AUX-NIV3'!B:AG,32,FALSE),0),"")</f>
        <v>0</v>
      </c>
      <c r="AI1307" s="321" t="str">
        <f t="shared" si="696"/>
        <v>X-TSUB04</v>
      </c>
      <c r="AJ1307" s="320"/>
      <c r="AK1307" s="322">
        <f t="shared" si="659"/>
        <v>1306</v>
      </c>
      <c r="AL1307" s="323">
        <f t="shared" si="697"/>
        <v>1308</v>
      </c>
      <c r="AM1307" s="322">
        <f t="shared" si="698"/>
        <v>2</v>
      </c>
      <c r="AN1307" s="380">
        <f>IF(AND(AH1307&gt;0,B1307&lt;&gt;""),VLOOKUP(I1307,'AUX-NIV3'!$B:$AO,39,FALSE)*O1307,0)</f>
        <v>0</v>
      </c>
      <c r="AO1307" s="380">
        <f t="shared" si="660"/>
        <v>28.350000000000005</v>
      </c>
      <c r="AP1307" s="380"/>
    </row>
    <row r="1308" spans="2:42" ht="14.4" hidden="1" thickTop="1" thickBot="1">
      <c r="B1308" s="501" t="s">
        <v>3667</v>
      </c>
      <c r="C1308" s="951" t="s">
        <v>3528</v>
      </c>
      <c r="D1308" s="326" t="s">
        <v>610</v>
      </c>
      <c r="E1308" s="327">
        <f>IF(B1308&lt;&gt;"",SUMIF('AUX-NIV1'!I:I,'AUX-NIV2'!B1308,'AUX-NIV1'!Q:Q),"")</f>
        <v>0</v>
      </c>
      <c r="F1308" s="327">
        <f t="shared" si="650"/>
        <v>13222.500038579317</v>
      </c>
      <c r="G1308" s="327">
        <f t="shared" si="651"/>
        <v>0</v>
      </c>
      <c r="H1308" s="328" t="str">
        <f t="shared" si="685"/>
        <v>A</v>
      </c>
      <c r="I1308" s="325" t="s">
        <v>3310</v>
      </c>
      <c r="J1308" s="431" t="str">
        <f>IF(B1308&lt;&gt;"",+VLOOKUP(I1308,Recursos!C:F,2,FALSE),"")</f>
        <v>OFICIAL ESPECIALIZADO</v>
      </c>
      <c r="K1308" s="330" t="str">
        <f>IF(B1308&lt;&gt;"",+VLOOKUP(I1308,Recursos!C:F,3,FALSE),"")</f>
        <v>hh</v>
      </c>
      <c r="L1308" s="446">
        <f>IF(B1308&lt;&gt;"",+VLOOKUP(I1308,Recursos!C:F,4,FALSE),"")</f>
        <v>581.06120476836554</v>
      </c>
      <c r="M1308" s="1274">
        <v>0.9</v>
      </c>
      <c r="N1308" s="1275">
        <v>1</v>
      </c>
      <c r="O1308" s="449">
        <f>N1308*(M1307+M1308)*M1306*1</f>
        <v>4.0500000000000007</v>
      </c>
      <c r="P1308" s="333">
        <f t="shared" si="686"/>
        <v>2353.2978793118809</v>
      </c>
      <c r="Q1308" s="327">
        <f t="shared" si="687"/>
        <v>0</v>
      </c>
      <c r="R1308" s="334">
        <f t="shared" si="688"/>
        <v>0</v>
      </c>
      <c r="S1308" s="335">
        <f t="shared" si="652"/>
        <v>13222.500038579317</v>
      </c>
      <c r="T1308" s="335">
        <f t="shared" si="653"/>
        <v>0</v>
      </c>
      <c r="U1308" s="336">
        <f t="shared" si="654"/>
        <v>0</v>
      </c>
      <c r="V1308" s="336">
        <f t="shared" si="655"/>
        <v>0</v>
      </c>
      <c r="W1308" s="336">
        <f t="shared" si="656"/>
        <v>0</v>
      </c>
      <c r="X1308" s="336">
        <f t="shared" si="657"/>
        <v>0</v>
      </c>
      <c r="Y1308" s="320"/>
      <c r="Z1308" s="321" t="str">
        <f t="shared" si="689"/>
        <v>X-TSUB04A</v>
      </c>
      <c r="AA1308" s="321" t="str">
        <f t="shared" si="690"/>
        <v>X-TSUB04E</v>
      </c>
      <c r="AB1308" s="321" t="str">
        <f t="shared" si="691"/>
        <v>X-TSUB04M</v>
      </c>
      <c r="AC1308" s="321" t="str">
        <f t="shared" si="692"/>
        <v>X-TSUB04T</v>
      </c>
      <c r="AD1308" s="321" t="str">
        <f t="shared" si="693"/>
        <v>X-TSUB04S</v>
      </c>
      <c r="AE1308" s="321" t="str">
        <f t="shared" si="694"/>
        <v>X-TSUB04X</v>
      </c>
      <c r="AF1308" s="321" t="str">
        <f t="shared" si="695"/>
        <v>X-TSUB04A</v>
      </c>
      <c r="AG1308" s="321">
        <f t="shared" si="658"/>
        <v>3</v>
      </c>
      <c r="AH1308" s="321">
        <f>IF(B1308&lt;&gt;"",IF(H1308="x",VLOOKUP(I1308,'AUX-NIV3'!B:AG,32,FALSE),0),"")</f>
        <v>0</v>
      </c>
      <c r="AI1308" s="321" t="str">
        <f t="shared" si="696"/>
        <v>X-TSUB04</v>
      </c>
      <c r="AJ1308" s="320"/>
      <c r="AK1308" s="322">
        <f t="shared" si="659"/>
        <v>1306</v>
      </c>
      <c r="AL1308" s="323">
        <f t="shared" si="697"/>
        <v>1308</v>
      </c>
      <c r="AM1308" s="322">
        <f t="shared" si="698"/>
        <v>3</v>
      </c>
      <c r="AN1308" s="380">
        <f>IF(AND(AH1308&gt;0,B1308&lt;&gt;""),VLOOKUP(I1308,'AUX-NIV3'!$B:$AO,39,FALSE)*O1308,0)</f>
        <v>0</v>
      </c>
      <c r="AO1308" s="380">
        <f t="shared" si="660"/>
        <v>28.350000000000005</v>
      </c>
      <c r="AP1308" s="380"/>
    </row>
    <row r="1309" spans="2:42" ht="14.4" hidden="1" thickTop="1" thickBot="1">
      <c r="B1309" s="501" t="s">
        <v>3668</v>
      </c>
      <c r="C1309" s="951" t="s">
        <v>3532</v>
      </c>
      <c r="D1309" s="326" t="s">
        <v>610</v>
      </c>
      <c r="E1309" s="327">
        <f>IF(B1309&lt;&gt;"",SUMIF('AUX-NIV1'!I:I,'AUX-NIV2'!B1309,'AUX-NIV1'!Q:Q),"")</f>
        <v>0</v>
      </c>
      <c r="F1309" s="327">
        <f t="shared" si="650"/>
        <v>18742.90219404862</v>
      </c>
      <c r="G1309" s="327">
        <f t="shared" si="651"/>
        <v>0</v>
      </c>
      <c r="H1309" s="328" t="str">
        <f t="shared" ref="H1309:H1324" si="699">IF(B1309&lt;&gt;"",+LEFT(I1309,1),"")</f>
        <v>A</v>
      </c>
      <c r="I1309" s="325" t="s">
        <v>1745</v>
      </c>
      <c r="J1309" s="431" t="str">
        <f>IF(B1309&lt;&gt;"",+VLOOKUP(I1309,Recursos!C:F,2,FALSE),"")</f>
        <v>AYUDANTE</v>
      </c>
      <c r="K1309" s="330" t="str">
        <f>IF(B1309&lt;&gt;"",+VLOOKUP(I1309,Recursos!C:F,3,FALSE),"")</f>
        <v>hh</v>
      </c>
      <c r="L1309" s="446">
        <f>IF(B1309&lt;&gt;"",+VLOOKUP(I1309,Recursos!C:F,4,FALSE),"")</f>
        <v>422.48042769667234</v>
      </c>
      <c r="M1309" s="1270">
        <v>2</v>
      </c>
      <c r="N1309" s="1271">
        <v>4</v>
      </c>
      <c r="O1309" s="449">
        <f>(M1310*M1309*3)+(M1311*3)*N1309</f>
        <v>20.7</v>
      </c>
      <c r="P1309" s="333">
        <f t="shared" ref="P1309:P1324" si="700">IF(B1309&lt;&gt;"",O1309*L1309,"")</f>
        <v>8745.3448533211176</v>
      </c>
      <c r="Q1309" s="327">
        <f t="shared" ref="Q1309:Q1324" si="701">IF(B1309&lt;&gt;"",+O1309*E1309,"")</f>
        <v>0</v>
      </c>
      <c r="R1309" s="334">
        <f t="shared" ref="R1309:R1324" si="702">IF(B1309&lt;&gt;"",Q1309*L1309,"")</f>
        <v>0</v>
      </c>
      <c r="S1309" s="335">
        <f t="shared" si="652"/>
        <v>18742.90219404862</v>
      </c>
      <c r="T1309" s="335">
        <f t="shared" si="653"/>
        <v>0</v>
      </c>
      <c r="U1309" s="336">
        <f t="shared" si="654"/>
        <v>0</v>
      </c>
      <c r="V1309" s="336">
        <f t="shared" si="655"/>
        <v>0</v>
      </c>
      <c r="W1309" s="336">
        <f t="shared" si="656"/>
        <v>0</v>
      </c>
      <c r="X1309" s="336">
        <f t="shared" si="657"/>
        <v>0</v>
      </c>
      <c r="Y1309" s="320"/>
      <c r="Z1309" s="321" t="str">
        <f t="shared" ref="Z1309:Z1324" si="703">IF(B1309&lt;&gt;"",+$B1309&amp;"A","")</f>
        <v>X-TSUB05A</v>
      </c>
      <c r="AA1309" s="321" t="str">
        <f t="shared" ref="AA1309:AA1324" si="704">IF(B1309&lt;&gt;"",+$B1309&amp;"E","")</f>
        <v>X-TSUB05E</v>
      </c>
      <c r="AB1309" s="321" t="str">
        <f t="shared" ref="AB1309:AB1324" si="705">IF(B1309&lt;&gt;"",++$B1309&amp;"M","")</f>
        <v>X-TSUB05M</v>
      </c>
      <c r="AC1309" s="321" t="str">
        <f t="shared" ref="AC1309:AC1324" si="706">IF(B1309&lt;&gt;"",+$B1309&amp;"T","")</f>
        <v>X-TSUB05T</v>
      </c>
      <c r="AD1309" s="321" t="str">
        <f t="shared" ref="AD1309:AD1324" si="707">IF(B1309&lt;&gt;"",+$B1309&amp;"S","")</f>
        <v>X-TSUB05S</v>
      </c>
      <c r="AE1309" s="321" t="str">
        <f t="shared" ref="AE1309:AE1324" si="708">IF(B1309&lt;&gt;"",+$B1309&amp;"X","")</f>
        <v>X-TSUB05X</v>
      </c>
      <c r="AF1309" s="321" t="str">
        <f t="shared" ref="AF1309:AF1324" si="709">IF(B1309&lt;&gt;"",+B1309&amp;H1309,"")</f>
        <v>X-TSUB05A</v>
      </c>
      <c r="AG1309" s="321">
        <f t="shared" si="658"/>
        <v>3</v>
      </c>
      <c r="AH1309" s="321">
        <f>IF(B1309&lt;&gt;"",IF(H1309="x",VLOOKUP(I1309,'AUX-NIV3'!B:AG,32,FALSE),0),"")</f>
        <v>0</v>
      </c>
      <c r="AI1309" s="321" t="str">
        <f t="shared" ref="AI1309:AI1324" si="710">IF(B1309&lt;&gt;"",+B1309,"")</f>
        <v>X-TSUB05</v>
      </c>
      <c r="AJ1309" s="320"/>
      <c r="AK1309" s="322">
        <f t="shared" si="659"/>
        <v>1309</v>
      </c>
      <c r="AL1309" s="323">
        <f t="shared" ref="AL1309:AL1324" si="711">IF(B1309&lt;&gt;"",+AK1309+AG1309-1,"")</f>
        <v>1311</v>
      </c>
      <c r="AM1309" s="322">
        <f t="shared" ref="AM1309:AM1324" si="712">IF(B1309&lt;&gt;"",IF(B1309=B1308,1+AM1308,1),"")</f>
        <v>1</v>
      </c>
      <c r="AN1309" s="380">
        <f>IF(AND(AH1309&gt;0,B1309&lt;&gt;""),VLOOKUP(I1309,'AUX-NIV3'!$B:$AO,39,FALSE)*O1309,0)</f>
        <v>0</v>
      </c>
      <c r="AO1309" s="380">
        <f t="shared" si="660"/>
        <v>39.6</v>
      </c>
      <c r="AP1309" s="380"/>
    </row>
    <row r="1310" spans="2:42" ht="14.4" hidden="1" thickTop="1" thickBot="1">
      <c r="B1310" s="501" t="s">
        <v>3668</v>
      </c>
      <c r="C1310" s="951" t="s">
        <v>3532</v>
      </c>
      <c r="D1310" s="326" t="s">
        <v>610</v>
      </c>
      <c r="E1310" s="327">
        <f>IF(B1310&lt;&gt;"",SUMIF('AUX-NIV1'!I:I,'AUX-NIV2'!B1310,'AUX-NIV1'!Q:Q),"")</f>
        <v>0</v>
      </c>
      <c r="F1310" s="327">
        <f t="shared" si="650"/>
        <v>18742.90219404862</v>
      </c>
      <c r="G1310" s="327">
        <f t="shared" si="651"/>
        <v>0</v>
      </c>
      <c r="H1310" s="328" t="str">
        <f t="shared" si="699"/>
        <v>A</v>
      </c>
      <c r="I1310" s="325" t="s">
        <v>1746</v>
      </c>
      <c r="J1310" s="431" t="str">
        <f>IF(B1310&lt;&gt;"",+VLOOKUP(I1310,Recursos!C:F,2,FALSE),"")</f>
        <v>OFICIAL</v>
      </c>
      <c r="K1310" s="330" t="str">
        <f>IF(B1310&lt;&gt;"",+VLOOKUP(I1310,Recursos!C:F,3,FALSE),"")</f>
        <v>hh</v>
      </c>
      <c r="L1310" s="446">
        <f>IF(B1310&lt;&gt;"",+VLOOKUP(I1310,Recursos!C:F,4,FALSE),"")</f>
        <v>496.91595439275824</v>
      </c>
      <c r="M1310" s="1272">
        <v>0.45</v>
      </c>
      <c r="N1310" s="1273">
        <v>2</v>
      </c>
      <c r="O1310" s="449">
        <f>(M1310*M1309*3)+(M1311*3)*N1310</f>
        <v>11.7</v>
      </c>
      <c r="P1310" s="333">
        <f t="shared" si="700"/>
        <v>5813.916666395271</v>
      </c>
      <c r="Q1310" s="327">
        <f t="shared" si="701"/>
        <v>0</v>
      </c>
      <c r="R1310" s="334">
        <f t="shared" si="702"/>
        <v>0</v>
      </c>
      <c r="S1310" s="335">
        <f t="shared" si="652"/>
        <v>18742.90219404862</v>
      </c>
      <c r="T1310" s="335">
        <f t="shared" si="653"/>
        <v>0</v>
      </c>
      <c r="U1310" s="336">
        <f t="shared" si="654"/>
        <v>0</v>
      </c>
      <c r="V1310" s="336">
        <f t="shared" si="655"/>
        <v>0</v>
      </c>
      <c r="W1310" s="336">
        <f t="shared" si="656"/>
        <v>0</v>
      </c>
      <c r="X1310" s="336">
        <f t="shared" si="657"/>
        <v>0</v>
      </c>
      <c r="Y1310" s="320"/>
      <c r="Z1310" s="321" t="str">
        <f t="shared" si="703"/>
        <v>X-TSUB05A</v>
      </c>
      <c r="AA1310" s="321" t="str">
        <f t="shared" si="704"/>
        <v>X-TSUB05E</v>
      </c>
      <c r="AB1310" s="321" t="str">
        <f t="shared" si="705"/>
        <v>X-TSUB05M</v>
      </c>
      <c r="AC1310" s="321" t="str">
        <f t="shared" si="706"/>
        <v>X-TSUB05T</v>
      </c>
      <c r="AD1310" s="321" t="str">
        <f t="shared" si="707"/>
        <v>X-TSUB05S</v>
      </c>
      <c r="AE1310" s="321" t="str">
        <f t="shared" si="708"/>
        <v>X-TSUB05X</v>
      </c>
      <c r="AF1310" s="321" t="str">
        <f t="shared" si="709"/>
        <v>X-TSUB05A</v>
      </c>
      <c r="AG1310" s="321">
        <f t="shared" si="658"/>
        <v>3</v>
      </c>
      <c r="AH1310" s="321">
        <f>IF(B1310&lt;&gt;"",IF(H1310="x",VLOOKUP(I1310,'AUX-NIV3'!B:AG,32,FALSE),0),"")</f>
        <v>0</v>
      </c>
      <c r="AI1310" s="321" t="str">
        <f t="shared" si="710"/>
        <v>X-TSUB05</v>
      </c>
      <c r="AJ1310" s="320"/>
      <c r="AK1310" s="322">
        <f t="shared" si="659"/>
        <v>1309</v>
      </c>
      <c r="AL1310" s="323">
        <f t="shared" si="711"/>
        <v>1311</v>
      </c>
      <c r="AM1310" s="322">
        <f t="shared" si="712"/>
        <v>2</v>
      </c>
      <c r="AN1310" s="380">
        <f>IF(AND(AH1310&gt;0,B1310&lt;&gt;""),VLOOKUP(I1310,'AUX-NIV3'!$B:$AO,39,FALSE)*O1310,0)</f>
        <v>0</v>
      </c>
      <c r="AO1310" s="380">
        <f t="shared" si="660"/>
        <v>39.6</v>
      </c>
      <c r="AP1310" s="380"/>
    </row>
    <row r="1311" spans="2:42" ht="14.4" hidden="1" thickTop="1" thickBot="1">
      <c r="B1311" s="501" t="s">
        <v>3668</v>
      </c>
      <c r="C1311" s="951" t="s">
        <v>3532</v>
      </c>
      <c r="D1311" s="326" t="s">
        <v>610</v>
      </c>
      <c r="E1311" s="327">
        <f>IF(B1311&lt;&gt;"",SUMIF('AUX-NIV1'!I:I,'AUX-NIV2'!B1311,'AUX-NIV1'!Q:Q),"")</f>
        <v>0</v>
      </c>
      <c r="F1311" s="327">
        <f t="shared" si="650"/>
        <v>18742.90219404862</v>
      </c>
      <c r="G1311" s="327">
        <f t="shared" si="651"/>
        <v>0</v>
      </c>
      <c r="H1311" s="328" t="str">
        <f t="shared" si="699"/>
        <v>A</v>
      </c>
      <c r="I1311" s="325" t="s">
        <v>3310</v>
      </c>
      <c r="J1311" s="431" t="str">
        <f>IF(B1311&lt;&gt;"",+VLOOKUP(I1311,Recursos!C:F,2,FALSE),"")</f>
        <v>OFICIAL ESPECIALIZADO</v>
      </c>
      <c r="K1311" s="330" t="str">
        <f>IF(B1311&lt;&gt;"",+VLOOKUP(I1311,Recursos!C:F,3,FALSE),"")</f>
        <v>hh</v>
      </c>
      <c r="L1311" s="446">
        <f>IF(B1311&lt;&gt;"",+VLOOKUP(I1311,Recursos!C:F,4,FALSE),"")</f>
        <v>581.06120476836554</v>
      </c>
      <c r="M1311" s="1274">
        <v>1.5</v>
      </c>
      <c r="N1311" s="1275">
        <v>1</v>
      </c>
      <c r="O1311" s="449">
        <f>(M1310*M1309*3)+(M1311*3)*N1311</f>
        <v>7.2</v>
      </c>
      <c r="P1311" s="333">
        <f t="shared" si="700"/>
        <v>4183.6406743322323</v>
      </c>
      <c r="Q1311" s="327">
        <f t="shared" si="701"/>
        <v>0</v>
      </c>
      <c r="R1311" s="334">
        <f t="shared" si="702"/>
        <v>0</v>
      </c>
      <c r="S1311" s="335">
        <f t="shared" si="652"/>
        <v>18742.90219404862</v>
      </c>
      <c r="T1311" s="335">
        <f t="shared" si="653"/>
        <v>0</v>
      </c>
      <c r="U1311" s="336">
        <f t="shared" si="654"/>
        <v>0</v>
      </c>
      <c r="V1311" s="336">
        <f t="shared" si="655"/>
        <v>0</v>
      </c>
      <c r="W1311" s="336">
        <f t="shared" si="656"/>
        <v>0</v>
      </c>
      <c r="X1311" s="336">
        <f t="shared" si="657"/>
        <v>0</v>
      </c>
      <c r="Y1311" s="320"/>
      <c r="Z1311" s="321" t="str">
        <f t="shared" si="703"/>
        <v>X-TSUB05A</v>
      </c>
      <c r="AA1311" s="321" t="str">
        <f t="shared" si="704"/>
        <v>X-TSUB05E</v>
      </c>
      <c r="AB1311" s="321" t="str">
        <f t="shared" si="705"/>
        <v>X-TSUB05M</v>
      </c>
      <c r="AC1311" s="321" t="str">
        <f t="shared" si="706"/>
        <v>X-TSUB05T</v>
      </c>
      <c r="AD1311" s="321" t="str">
        <f t="shared" si="707"/>
        <v>X-TSUB05S</v>
      </c>
      <c r="AE1311" s="321" t="str">
        <f t="shared" si="708"/>
        <v>X-TSUB05X</v>
      </c>
      <c r="AF1311" s="321" t="str">
        <f t="shared" si="709"/>
        <v>X-TSUB05A</v>
      </c>
      <c r="AG1311" s="321">
        <f t="shared" si="658"/>
        <v>3</v>
      </c>
      <c r="AH1311" s="321">
        <f>IF(B1311&lt;&gt;"",IF(H1311="x",VLOOKUP(I1311,'AUX-NIV3'!B:AG,32,FALSE),0),"")</f>
        <v>0</v>
      </c>
      <c r="AI1311" s="321" t="str">
        <f t="shared" si="710"/>
        <v>X-TSUB05</v>
      </c>
      <c r="AJ1311" s="320"/>
      <c r="AK1311" s="322">
        <f t="shared" si="659"/>
        <v>1309</v>
      </c>
      <c r="AL1311" s="323">
        <f t="shared" si="711"/>
        <v>1311</v>
      </c>
      <c r="AM1311" s="322">
        <f t="shared" si="712"/>
        <v>3</v>
      </c>
      <c r="AN1311" s="380">
        <f>IF(AND(AH1311&gt;0,B1311&lt;&gt;""),VLOOKUP(I1311,'AUX-NIV3'!$B:$AO,39,FALSE)*O1311,0)</f>
        <v>0</v>
      </c>
      <c r="AO1311" s="380">
        <f t="shared" si="660"/>
        <v>39.6</v>
      </c>
      <c r="AP1311" s="380"/>
    </row>
    <row r="1312" spans="2:42" ht="14.4" hidden="1" thickTop="1" thickBot="1">
      <c r="B1312" s="501" t="s">
        <v>3700</v>
      </c>
      <c r="C1312" s="951" t="s">
        <v>3701</v>
      </c>
      <c r="D1312" s="326" t="s">
        <v>501</v>
      </c>
      <c r="E1312" s="327">
        <f>IF(B1312&lt;&gt;"",SUMIF('AUX-NIV1'!I:I,'AUX-NIV2'!B1312,'AUX-NIV1'!Q:Q),"")</f>
        <v>0</v>
      </c>
      <c r="F1312" s="327">
        <f t="shared" si="650"/>
        <v>2763.4595695922139</v>
      </c>
      <c r="G1312" s="327">
        <f t="shared" si="651"/>
        <v>0</v>
      </c>
      <c r="H1312" s="328" t="str">
        <f t="shared" si="699"/>
        <v>A</v>
      </c>
      <c r="I1312" s="325" t="s">
        <v>1745</v>
      </c>
      <c r="J1312" s="329" t="str">
        <f>IF(B1312&lt;&gt;"",+VLOOKUP(I1312,Recursos!C:F,2,FALSE),"")</f>
        <v>AYUDANTE</v>
      </c>
      <c r="K1312" s="330" t="str">
        <f>IF(B1312&lt;&gt;"",+VLOOKUP(I1312,Recursos!C:F,3,FALSE),"")</f>
        <v>hh</v>
      </c>
      <c r="L1312" s="327">
        <f>IF(B1312&lt;&gt;"",+VLOOKUP(I1312,Recursos!C:F,4,FALSE),"")</f>
        <v>422.48042769667234</v>
      </c>
      <c r="M1312" s="447">
        <v>2</v>
      </c>
      <c r="N1312" s="515"/>
      <c r="O1312" s="449">
        <f>+M1312</f>
        <v>2</v>
      </c>
      <c r="P1312" s="333">
        <f t="shared" si="700"/>
        <v>844.96085539334467</v>
      </c>
      <c r="Q1312" s="327">
        <f t="shared" si="701"/>
        <v>0</v>
      </c>
      <c r="R1312" s="334">
        <f t="shared" si="702"/>
        <v>0</v>
      </c>
      <c r="S1312" s="335">
        <f t="shared" si="652"/>
        <v>2419.8539689472263</v>
      </c>
      <c r="T1312" s="335">
        <f t="shared" si="653"/>
        <v>0</v>
      </c>
      <c r="U1312" s="336">
        <f t="shared" si="654"/>
        <v>343.60560064498793</v>
      </c>
      <c r="V1312" s="336">
        <f t="shared" si="655"/>
        <v>0</v>
      </c>
      <c r="W1312" s="336">
        <f t="shared" si="656"/>
        <v>0</v>
      </c>
      <c r="X1312" s="336">
        <f t="shared" si="657"/>
        <v>0</v>
      </c>
      <c r="Y1312" s="320"/>
      <c r="Z1312" s="321" t="str">
        <f t="shared" si="703"/>
        <v>X-ENC5A</v>
      </c>
      <c r="AA1312" s="321" t="str">
        <f t="shared" si="704"/>
        <v>X-ENC5E</v>
      </c>
      <c r="AB1312" s="321" t="str">
        <f t="shared" si="705"/>
        <v>X-ENC5M</v>
      </c>
      <c r="AC1312" s="321" t="str">
        <f t="shared" si="706"/>
        <v>X-ENC5T</v>
      </c>
      <c r="AD1312" s="321" t="str">
        <f t="shared" si="707"/>
        <v>X-ENC5S</v>
      </c>
      <c r="AE1312" s="321" t="str">
        <f t="shared" si="708"/>
        <v>X-ENC5X</v>
      </c>
      <c r="AF1312" s="321" t="str">
        <f t="shared" si="709"/>
        <v>X-ENC5A</v>
      </c>
      <c r="AG1312" s="321">
        <f t="shared" si="658"/>
        <v>13</v>
      </c>
      <c r="AH1312" s="321">
        <f>IF(B1312&lt;&gt;"",IF(H1312="x",VLOOKUP(I1312,'AUX-NIV3'!B:AG,32,FALSE),0),"")</f>
        <v>0</v>
      </c>
      <c r="AI1312" s="321" t="str">
        <f t="shared" si="710"/>
        <v>X-ENC5</v>
      </c>
      <c r="AJ1312" s="320"/>
      <c r="AK1312" s="322">
        <f t="shared" si="659"/>
        <v>1312</v>
      </c>
      <c r="AL1312" s="323">
        <f t="shared" si="711"/>
        <v>1324</v>
      </c>
      <c r="AM1312" s="322">
        <f t="shared" si="712"/>
        <v>1</v>
      </c>
      <c r="AN1312" s="380">
        <f>IF(AND(AH1312&gt;0,B1312&lt;&gt;""),VLOOKUP(I1312,'AUX-NIV3'!$B:$AO,39,FALSE)*O1312,0)</f>
        <v>0</v>
      </c>
      <c r="AO1312" s="380">
        <f t="shared" si="660"/>
        <v>5</v>
      </c>
      <c r="AP1312" s="380"/>
    </row>
    <row r="1313" spans="2:42" ht="14.4" hidden="1" thickTop="1" thickBot="1">
      <c r="B1313" s="501" t="s">
        <v>3700</v>
      </c>
      <c r="C1313" s="951" t="s">
        <v>3701</v>
      </c>
      <c r="D1313" s="326" t="s">
        <v>501</v>
      </c>
      <c r="E1313" s="327">
        <f>IF(B1313&lt;&gt;"",SUMIF('AUX-NIV1'!I:I,'AUX-NIV2'!B1313,'AUX-NIV1'!Q:Q),"")</f>
        <v>0</v>
      </c>
      <c r="F1313" s="327">
        <f t="shared" si="650"/>
        <v>2763.4595695922139</v>
      </c>
      <c r="G1313" s="327">
        <f t="shared" si="651"/>
        <v>0</v>
      </c>
      <c r="H1313" s="328" t="str">
        <f t="shared" si="699"/>
        <v>A</v>
      </c>
      <c r="I1313" s="325" t="s">
        <v>1746</v>
      </c>
      <c r="J1313" s="329" t="str">
        <f>IF(B1313&lt;&gt;"",+VLOOKUP(I1313,Recursos!C:F,2,FALSE),"")</f>
        <v>OFICIAL</v>
      </c>
      <c r="K1313" s="330" t="str">
        <f>IF(B1313&lt;&gt;"",+VLOOKUP(I1313,Recursos!C:F,3,FALSE),"")</f>
        <v>hh</v>
      </c>
      <c r="L1313" s="327">
        <f>IF(B1313&lt;&gt;"",+VLOOKUP(I1313,Recursos!C:F,4,FALSE),"")</f>
        <v>496.91595439275824</v>
      </c>
      <c r="M1313" s="452">
        <v>2</v>
      </c>
      <c r="N1313" s="455"/>
      <c r="O1313" s="449">
        <f>+M1313</f>
        <v>2</v>
      </c>
      <c r="P1313" s="333">
        <f t="shared" si="700"/>
        <v>993.83190878551648</v>
      </c>
      <c r="Q1313" s="327">
        <f t="shared" si="701"/>
        <v>0</v>
      </c>
      <c r="R1313" s="334">
        <f t="shared" si="702"/>
        <v>0</v>
      </c>
      <c r="S1313" s="335">
        <f t="shared" si="652"/>
        <v>2419.8539689472263</v>
      </c>
      <c r="T1313" s="335">
        <f t="shared" si="653"/>
        <v>0</v>
      </c>
      <c r="U1313" s="336">
        <f t="shared" si="654"/>
        <v>343.60560064498793</v>
      </c>
      <c r="V1313" s="336">
        <f t="shared" si="655"/>
        <v>0</v>
      </c>
      <c r="W1313" s="336">
        <f t="shared" si="656"/>
        <v>0</v>
      </c>
      <c r="X1313" s="336">
        <f t="shared" si="657"/>
        <v>0</v>
      </c>
      <c r="Y1313" s="320"/>
      <c r="Z1313" s="321" t="str">
        <f t="shared" si="703"/>
        <v>X-ENC5A</v>
      </c>
      <c r="AA1313" s="321" t="str">
        <f t="shared" si="704"/>
        <v>X-ENC5E</v>
      </c>
      <c r="AB1313" s="321" t="str">
        <f t="shared" si="705"/>
        <v>X-ENC5M</v>
      </c>
      <c r="AC1313" s="321" t="str">
        <f t="shared" si="706"/>
        <v>X-ENC5T</v>
      </c>
      <c r="AD1313" s="321" t="str">
        <f t="shared" si="707"/>
        <v>X-ENC5S</v>
      </c>
      <c r="AE1313" s="321" t="str">
        <f t="shared" si="708"/>
        <v>X-ENC5X</v>
      </c>
      <c r="AF1313" s="321" t="str">
        <f t="shared" si="709"/>
        <v>X-ENC5A</v>
      </c>
      <c r="AG1313" s="321">
        <f t="shared" si="658"/>
        <v>13</v>
      </c>
      <c r="AH1313" s="321">
        <f>IF(B1313&lt;&gt;"",IF(H1313="x",VLOOKUP(I1313,'AUX-NIV3'!B:AG,32,FALSE),0),"")</f>
        <v>0</v>
      </c>
      <c r="AI1313" s="321" t="str">
        <f t="shared" si="710"/>
        <v>X-ENC5</v>
      </c>
      <c r="AJ1313" s="320"/>
      <c r="AK1313" s="322">
        <f t="shared" si="659"/>
        <v>1312</v>
      </c>
      <c r="AL1313" s="323">
        <f t="shared" si="711"/>
        <v>1324</v>
      </c>
      <c r="AM1313" s="322">
        <f t="shared" si="712"/>
        <v>2</v>
      </c>
      <c r="AN1313" s="380">
        <f>IF(AND(AH1313&gt;0,B1313&lt;&gt;""),VLOOKUP(I1313,'AUX-NIV3'!$B:$AO,39,FALSE)*O1313,0)</f>
        <v>0</v>
      </c>
      <c r="AO1313" s="380">
        <f t="shared" si="660"/>
        <v>5</v>
      </c>
      <c r="AP1313" s="380"/>
    </row>
    <row r="1314" spans="2:42" ht="14.4" hidden="1" thickTop="1" thickBot="1">
      <c r="B1314" s="501" t="s">
        <v>3700</v>
      </c>
      <c r="C1314" s="951" t="s">
        <v>3701</v>
      </c>
      <c r="D1314" s="326" t="s">
        <v>501</v>
      </c>
      <c r="E1314" s="327">
        <f>IF(B1314&lt;&gt;"",SUMIF('AUX-NIV1'!I:I,'AUX-NIV2'!B1314,'AUX-NIV1'!Q:Q),"")</f>
        <v>0</v>
      </c>
      <c r="F1314" s="327">
        <f t="shared" si="650"/>
        <v>2763.4595695922139</v>
      </c>
      <c r="G1314" s="327">
        <f t="shared" si="651"/>
        <v>0</v>
      </c>
      <c r="H1314" s="328" t="str">
        <f t="shared" si="699"/>
        <v>A</v>
      </c>
      <c r="I1314" s="325" t="s">
        <v>3309</v>
      </c>
      <c r="J1314" s="329" t="str">
        <f>IF(B1314&lt;&gt;"",+VLOOKUP(I1314,Recursos!C:F,2,FALSE),"")</f>
        <v>MEDIO OFICIAL</v>
      </c>
      <c r="K1314" s="330" t="str">
        <f>IF(B1314&lt;&gt;"",+VLOOKUP(I1314,Recursos!C:F,3,FALSE),"")</f>
        <v>hh</v>
      </c>
      <c r="L1314" s="327">
        <f>IF(B1314&lt;&gt;"",+VLOOKUP(I1314,Recursos!C:F,4,FALSE),"")</f>
        <v>459.10093211890984</v>
      </c>
      <c r="M1314" s="452">
        <v>0</v>
      </c>
      <c r="N1314" s="455"/>
      <c r="O1314" s="449">
        <f>+M1314</f>
        <v>0</v>
      </c>
      <c r="P1314" s="333">
        <f t="shared" si="700"/>
        <v>0</v>
      </c>
      <c r="Q1314" s="327">
        <f t="shared" si="701"/>
        <v>0</v>
      </c>
      <c r="R1314" s="334">
        <f t="shared" si="702"/>
        <v>0</v>
      </c>
      <c r="S1314" s="335">
        <f t="shared" si="652"/>
        <v>2419.8539689472263</v>
      </c>
      <c r="T1314" s="335">
        <f t="shared" si="653"/>
        <v>0</v>
      </c>
      <c r="U1314" s="336">
        <f t="shared" si="654"/>
        <v>343.60560064498793</v>
      </c>
      <c r="V1314" s="336">
        <f t="shared" si="655"/>
        <v>0</v>
      </c>
      <c r="W1314" s="336">
        <f t="shared" si="656"/>
        <v>0</v>
      </c>
      <c r="X1314" s="336">
        <f t="shared" si="657"/>
        <v>0</v>
      </c>
      <c r="Y1314" s="320"/>
      <c r="Z1314" s="321" t="str">
        <f t="shared" si="703"/>
        <v>X-ENC5A</v>
      </c>
      <c r="AA1314" s="321" t="str">
        <f t="shared" si="704"/>
        <v>X-ENC5E</v>
      </c>
      <c r="AB1314" s="321" t="str">
        <f t="shared" si="705"/>
        <v>X-ENC5M</v>
      </c>
      <c r="AC1314" s="321" t="str">
        <f t="shared" si="706"/>
        <v>X-ENC5T</v>
      </c>
      <c r="AD1314" s="321" t="str">
        <f t="shared" si="707"/>
        <v>X-ENC5S</v>
      </c>
      <c r="AE1314" s="321" t="str">
        <f t="shared" si="708"/>
        <v>X-ENC5X</v>
      </c>
      <c r="AF1314" s="321" t="str">
        <f t="shared" si="709"/>
        <v>X-ENC5A</v>
      </c>
      <c r="AG1314" s="321">
        <f t="shared" si="658"/>
        <v>13</v>
      </c>
      <c r="AH1314" s="321">
        <f>IF(B1314&lt;&gt;"",IF(H1314="x",VLOOKUP(I1314,'AUX-NIV3'!B:AG,32,FALSE),0),"")</f>
        <v>0</v>
      </c>
      <c r="AI1314" s="321" t="str">
        <f t="shared" si="710"/>
        <v>X-ENC5</v>
      </c>
      <c r="AJ1314" s="320"/>
      <c r="AK1314" s="322">
        <f t="shared" si="659"/>
        <v>1312</v>
      </c>
      <c r="AL1314" s="323">
        <f t="shared" si="711"/>
        <v>1324</v>
      </c>
      <c r="AM1314" s="322">
        <f t="shared" si="712"/>
        <v>3</v>
      </c>
      <c r="AN1314" s="380">
        <f>IF(AND(AH1314&gt;0,B1314&lt;&gt;""),VLOOKUP(I1314,'AUX-NIV3'!$B:$AO,39,FALSE)*O1314,0)</f>
        <v>0</v>
      </c>
      <c r="AO1314" s="380">
        <f t="shared" si="660"/>
        <v>5</v>
      </c>
      <c r="AP1314" s="380"/>
    </row>
    <row r="1315" spans="2:42" ht="14.4" hidden="1" thickTop="1" thickBot="1">
      <c r="B1315" s="501" t="s">
        <v>3700</v>
      </c>
      <c r="C1315" s="951" t="s">
        <v>3701</v>
      </c>
      <c r="D1315" s="326" t="s">
        <v>501</v>
      </c>
      <c r="E1315" s="327">
        <f>IF(B1315&lt;&gt;"",SUMIF('AUX-NIV1'!I:I,'AUX-NIV2'!B1315,'AUX-NIV1'!Q:Q),"")</f>
        <v>0</v>
      </c>
      <c r="F1315" s="327">
        <f t="shared" si="650"/>
        <v>2763.4595695922139</v>
      </c>
      <c r="G1315" s="327">
        <f t="shared" si="651"/>
        <v>0</v>
      </c>
      <c r="H1315" s="328" t="str">
        <f t="shared" si="699"/>
        <v>A</v>
      </c>
      <c r="I1315" s="325" t="s">
        <v>3310</v>
      </c>
      <c r="J1315" s="329" t="str">
        <f>IF(B1315&lt;&gt;"",+VLOOKUP(I1315,Recursos!C:F,2,FALSE),"")</f>
        <v>OFICIAL ESPECIALIZADO</v>
      </c>
      <c r="K1315" s="330" t="str">
        <f>IF(B1315&lt;&gt;"",+VLOOKUP(I1315,Recursos!C:F,3,FALSE),"")</f>
        <v>hh</v>
      </c>
      <c r="L1315" s="327">
        <f>IF(B1315&lt;&gt;"",+VLOOKUP(I1315,Recursos!C:F,4,FALSE),"")</f>
        <v>581.06120476836554</v>
      </c>
      <c r="M1315" s="452">
        <v>1</v>
      </c>
      <c r="N1315" s="455"/>
      <c r="O1315" s="449">
        <f>+M1315</f>
        <v>1</v>
      </c>
      <c r="P1315" s="333">
        <f t="shared" si="700"/>
        <v>581.06120476836554</v>
      </c>
      <c r="Q1315" s="327">
        <f t="shared" si="701"/>
        <v>0</v>
      </c>
      <c r="R1315" s="334">
        <f t="shared" si="702"/>
        <v>0</v>
      </c>
      <c r="S1315" s="335">
        <f t="shared" si="652"/>
        <v>2419.8539689472263</v>
      </c>
      <c r="T1315" s="335">
        <f t="shared" si="653"/>
        <v>0</v>
      </c>
      <c r="U1315" s="336">
        <f t="shared" si="654"/>
        <v>343.60560064498793</v>
      </c>
      <c r="V1315" s="336">
        <f t="shared" si="655"/>
        <v>0</v>
      </c>
      <c r="W1315" s="336">
        <f t="shared" si="656"/>
        <v>0</v>
      </c>
      <c r="X1315" s="336">
        <f t="shared" si="657"/>
        <v>0</v>
      </c>
      <c r="Y1315" s="320"/>
      <c r="Z1315" s="321" t="str">
        <f t="shared" si="703"/>
        <v>X-ENC5A</v>
      </c>
      <c r="AA1315" s="321" t="str">
        <f t="shared" si="704"/>
        <v>X-ENC5E</v>
      </c>
      <c r="AB1315" s="321" t="str">
        <f t="shared" si="705"/>
        <v>X-ENC5M</v>
      </c>
      <c r="AC1315" s="321" t="str">
        <f t="shared" si="706"/>
        <v>X-ENC5T</v>
      </c>
      <c r="AD1315" s="321" t="str">
        <f t="shared" si="707"/>
        <v>X-ENC5S</v>
      </c>
      <c r="AE1315" s="321" t="str">
        <f t="shared" si="708"/>
        <v>X-ENC5X</v>
      </c>
      <c r="AF1315" s="321" t="str">
        <f t="shared" si="709"/>
        <v>X-ENC5A</v>
      </c>
      <c r="AG1315" s="321">
        <f t="shared" si="658"/>
        <v>13</v>
      </c>
      <c r="AH1315" s="321">
        <f>IF(B1315&lt;&gt;"",IF(H1315="x",VLOOKUP(I1315,'AUX-NIV3'!B:AG,32,FALSE),0),"")</f>
        <v>0</v>
      </c>
      <c r="AI1315" s="321" t="str">
        <f t="shared" si="710"/>
        <v>X-ENC5</v>
      </c>
      <c r="AJ1315" s="320"/>
      <c r="AK1315" s="322">
        <f t="shared" si="659"/>
        <v>1312</v>
      </c>
      <c r="AL1315" s="323">
        <f t="shared" si="711"/>
        <v>1324</v>
      </c>
      <c r="AM1315" s="322">
        <f t="shared" si="712"/>
        <v>4</v>
      </c>
      <c r="AN1315" s="380">
        <f>IF(AND(AH1315&gt;0,B1315&lt;&gt;""),VLOOKUP(I1315,'AUX-NIV3'!$B:$AO,39,FALSE)*O1315,0)</f>
        <v>0</v>
      </c>
      <c r="AO1315" s="380">
        <f t="shared" si="660"/>
        <v>5</v>
      </c>
      <c r="AP1315" s="380"/>
    </row>
    <row r="1316" spans="2:42" ht="14.4" hidden="1" thickTop="1" thickBot="1">
      <c r="B1316" s="501" t="s">
        <v>3700</v>
      </c>
      <c r="C1316" s="951" t="s">
        <v>3701</v>
      </c>
      <c r="D1316" s="326" t="s">
        <v>501</v>
      </c>
      <c r="E1316" s="327">
        <f>IF(B1316&lt;&gt;"",SUMIF('AUX-NIV1'!I:I,'AUX-NIV2'!B1316,'AUX-NIV1'!Q:Q),"")</f>
        <v>0</v>
      </c>
      <c r="F1316" s="327">
        <f t="shared" si="650"/>
        <v>2763.4595695922139</v>
      </c>
      <c r="G1316" s="327">
        <f t="shared" si="651"/>
        <v>0</v>
      </c>
      <c r="H1316" s="328" t="str">
        <f t="shared" si="699"/>
        <v>A</v>
      </c>
      <c r="I1316" s="325" t="s">
        <v>1746</v>
      </c>
      <c r="J1316" s="329" t="str">
        <f>IF(B1316&lt;&gt;"",+VLOOKUP(I1316,Recursos!C:F,2,FALSE),"")</f>
        <v>OFICIAL</v>
      </c>
      <c r="K1316" s="330" t="str">
        <f>IF(B1316&lt;&gt;"",+VLOOKUP(I1316,Recursos!C:F,3,FALSE),"")</f>
        <v>hh</v>
      </c>
      <c r="L1316" s="327">
        <f>IF(B1316&lt;&gt;"",+VLOOKUP(I1316,Recursos!C:F,4,FALSE),"")</f>
        <v>496.91595439275824</v>
      </c>
      <c r="M1316" s="511"/>
      <c r="N1316" s="453">
        <v>1.25</v>
      </c>
      <c r="O1316" s="449">
        <f>+M1317*N1316</f>
        <v>0</v>
      </c>
      <c r="P1316" s="333">
        <f t="shared" si="700"/>
        <v>0</v>
      </c>
      <c r="Q1316" s="327">
        <f t="shared" si="701"/>
        <v>0</v>
      </c>
      <c r="R1316" s="334">
        <f t="shared" si="702"/>
        <v>0</v>
      </c>
      <c r="S1316" s="335">
        <f t="shared" si="652"/>
        <v>2419.8539689472263</v>
      </c>
      <c r="T1316" s="335">
        <f t="shared" si="653"/>
        <v>0</v>
      </c>
      <c r="U1316" s="336">
        <f t="shared" si="654"/>
        <v>343.60560064498793</v>
      </c>
      <c r="V1316" s="336">
        <f t="shared" si="655"/>
        <v>0</v>
      </c>
      <c r="W1316" s="336">
        <f t="shared" si="656"/>
        <v>0</v>
      </c>
      <c r="X1316" s="336">
        <f t="shared" si="657"/>
        <v>0</v>
      </c>
      <c r="Y1316" s="320"/>
      <c r="Z1316" s="321" t="str">
        <f t="shared" si="703"/>
        <v>X-ENC5A</v>
      </c>
      <c r="AA1316" s="321" t="str">
        <f t="shared" si="704"/>
        <v>X-ENC5E</v>
      </c>
      <c r="AB1316" s="321" t="str">
        <f t="shared" si="705"/>
        <v>X-ENC5M</v>
      </c>
      <c r="AC1316" s="321" t="str">
        <f t="shared" si="706"/>
        <v>X-ENC5T</v>
      </c>
      <c r="AD1316" s="321" t="str">
        <f t="shared" si="707"/>
        <v>X-ENC5S</v>
      </c>
      <c r="AE1316" s="321" t="str">
        <f t="shared" si="708"/>
        <v>X-ENC5X</v>
      </c>
      <c r="AF1316" s="321" t="str">
        <f t="shared" si="709"/>
        <v>X-ENC5A</v>
      </c>
      <c r="AG1316" s="321">
        <f t="shared" si="658"/>
        <v>13</v>
      </c>
      <c r="AH1316" s="321">
        <f>IF(B1316&lt;&gt;"",IF(H1316="x",VLOOKUP(I1316,'AUX-NIV3'!B:AG,32,FALSE),0),"")</f>
        <v>0</v>
      </c>
      <c r="AI1316" s="321" t="str">
        <f t="shared" si="710"/>
        <v>X-ENC5</v>
      </c>
      <c r="AJ1316" s="320"/>
      <c r="AK1316" s="322">
        <f t="shared" si="659"/>
        <v>1312</v>
      </c>
      <c r="AL1316" s="323">
        <f t="shared" si="711"/>
        <v>1324</v>
      </c>
      <c r="AM1316" s="322">
        <f t="shared" si="712"/>
        <v>5</v>
      </c>
      <c r="AN1316" s="380">
        <f>IF(AND(AH1316&gt;0,B1316&lt;&gt;""),VLOOKUP(I1316,'AUX-NIV3'!$B:$AO,39,FALSE)*O1316,0)</f>
        <v>0</v>
      </c>
      <c r="AO1316" s="380">
        <f t="shared" si="660"/>
        <v>5</v>
      </c>
      <c r="AP1316" s="380"/>
    </row>
    <row r="1317" spans="2:42" ht="14.4" hidden="1" thickTop="1" thickBot="1">
      <c r="B1317" s="501" t="s">
        <v>3700</v>
      </c>
      <c r="C1317" s="951" t="s">
        <v>3701</v>
      </c>
      <c r="D1317" s="326" t="s">
        <v>501</v>
      </c>
      <c r="E1317" s="327">
        <f>IF(B1317&lt;&gt;"",SUMIF('AUX-NIV1'!I:I,'AUX-NIV2'!B1317,'AUX-NIV1'!Q:Q),"")</f>
        <v>0</v>
      </c>
      <c r="F1317" s="327">
        <f t="shared" si="650"/>
        <v>2763.4595695922139</v>
      </c>
      <c r="G1317" s="327">
        <f t="shared" si="651"/>
        <v>0</v>
      </c>
      <c r="H1317" s="328" t="str">
        <f t="shared" si="699"/>
        <v>E</v>
      </c>
      <c r="I1317" s="325" t="s">
        <v>1597</v>
      </c>
      <c r="J1317" s="329" t="str">
        <f>IF(B1317&lt;&gt;"",+VLOOKUP(I1317,Recursos!C:F,2,FALSE),"")</f>
        <v>HIDROGRUA MONTADA S/CAMION (6 T)</v>
      </c>
      <c r="K1317" s="330" t="str">
        <f>IF(B1317&lt;&gt;"",+VLOOKUP(I1317,Recursos!C:F,3,FALSE),"")</f>
        <v>HR</v>
      </c>
      <c r="L1317" s="327">
        <f>IF(B1317&lt;&gt;"",+VLOOKUP(I1317,Recursos!C:F,4,FALSE),"")</f>
        <v>2378.0722500000002</v>
      </c>
      <c r="M1317" s="452">
        <v>0</v>
      </c>
      <c r="N1317" s="453">
        <v>1</v>
      </c>
      <c r="O1317" s="449">
        <f>+M1317*N1317</f>
        <v>0</v>
      </c>
      <c r="P1317" s="333">
        <f t="shared" si="700"/>
        <v>0</v>
      </c>
      <c r="Q1317" s="327">
        <f t="shared" si="701"/>
        <v>0</v>
      </c>
      <c r="R1317" s="334">
        <f t="shared" si="702"/>
        <v>0</v>
      </c>
      <c r="S1317" s="335">
        <f t="shared" si="652"/>
        <v>2419.8539689472263</v>
      </c>
      <c r="T1317" s="335">
        <f t="shared" si="653"/>
        <v>0</v>
      </c>
      <c r="U1317" s="336">
        <f t="shared" si="654"/>
        <v>343.60560064498793</v>
      </c>
      <c r="V1317" s="336">
        <f t="shared" si="655"/>
        <v>0</v>
      </c>
      <c r="W1317" s="336">
        <f t="shared" si="656"/>
        <v>0</v>
      </c>
      <c r="X1317" s="336">
        <f t="shared" si="657"/>
        <v>0</v>
      </c>
      <c r="Y1317" s="320"/>
      <c r="Z1317" s="321" t="str">
        <f t="shared" si="703"/>
        <v>X-ENC5A</v>
      </c>
      <c r="AA1317" s="321" t="str">
        <f t="shared" si="704"/>
        <v>X-ENC5E</v>
      </c>
      <c r="AB1317" s="321" t="str">
        <f t="shared" si="705"/>
        <v>X-ENC5M</v>
      </c>
      <c r="AC1317" s="321" t="str">
        <f t="shared" si="706"/>
        <v>X-ENC5T</v>
      </c>
      <c r="AD1317" s="321" t="str">
        <f t="shared" si="707"/>
        <v>X-ENC5S</v>
      </c>
      <c r="AE1317" s="321" t="str">
        <f t="shared" si="708"/>
        <v>X-ENC5X</v>
      </c>
      <c r="AF1317" s="321" t="str">
        <f t="shared" si="709"/>
        <v>X-ENC5E</v>
      </c>
      <c r="AG1317" s="321">
        <f t="shared" si="658"/>
        <v>13</v>
      </c>
      <c r="AH1317" s="321">
        <f>IF(B1317&lt;&gt;"",IF(H1317="x",VLOOKUP(I1317,'AUX-NIV3'!B:AG,32,FALSE),0),"")</f>
        <v>0</v>
      </c>
      <c r="AI1317" s="321" t="str">
        <f t="shared" si="710"/>
        <v>X-ENC5</v>
      </c>
      <c r="AJ1317" s="320"/>
      <c r="AK1317" s="322">
        <f t="shared" si="659"/>
        <v>1312</v>
      </c>
      <c r="AL1317" s="323">
        <f t="shared" si="711"/>
        <v>1324</v>
      </c>
      <c r="AM1317" s="322">
        <f t="shared" si="712"/>
        <v>6</v>
      </c>
      <c r="AN1317" s="380">
        <f>IF(AND(AH1317&gt;0,B1317&lt;&gt;""),VLOOKUP(I1317,'AUX-NIV3'!$B:$AO,39,FALSE)*O1317,0)</f>
        <v>0</v>
      </c>
      <c r="AO1317" s="380">
        <f t="shared" si="660"/>
        <v>5</v>
      </c>
      <c r="AP1317" s="380"/>
    </row>
    <row r="1318" spans="2:42" ht="14.4" hidden="1" thickTop="1" thickBot="1">
      <c r="B1318" s="501" t="s">
        <v>3700</v>
      </c>
      <c r="C1318" s="951" t="s">
        <v>3701</v>
      </c>
      <c r="D1318" s="326" t="s">
        <v>501</v>
      </c>
      <c r="E1318" s="327">
        <f>IF(B1318&lt;&gt;"",SUMIF('AUX-NIV1'!I:I,'AUX-NIV2'!B1318,'AUX-NIV1'!Q:Q),"")</f>
        <v>0</v>
      </c>
      <c r="F1318" s="327">
        <f t="shared" si="650"/>
        <v>2763.4595695922139</v>
      </c>
      <c r="G1318" s="327">
        <f t="shared" si="651"/>
        <v>0</v>
      </c>
      <c r="H1318" s="328" t="str">
        <f t="shared" si="699"/>
        <v>M</v>
      </c>
      <c r="I1318" s="325" t="s">
        <v>1855</v>
      </c>
      <c r="J1318" s="329" t="str">
        <f>IF(B1318&lt;&gt;"",+VLOOKUP(I1318,Recursos!C:F,2,FALSE),"")</f>
        <v>DESMOLDANTE</v>
      </c>
      <c r="K1318" s="330" t="str">
        <f>IF(B1318&lt;&gt;"",+VLOOKUP(I1318,Recursos!C:F,3,FALSE),"")</f>
        <v>Kg</v>
      </c>
      <c r="L1318" s="327">
        <f>IF(B1318&lt;&gt;"",+VLOOKUP(I1318,Recursos!C:F,4,FALSE),"")</f>
        <v>50.4</v>
      </c>
      <c r="M1318" s="529">
        <v>0.1</v>
      </c>
      <c r="N1318" s="455"/>
      <c r="O1318" s="449">
        <f>+M1318</f>
        <v>0.1</v>
      </c>
      <c r="P1318" s="333">
        <f t="shared" si="700"/>
        <v>5.04</v>
      </c>
      <c r="Q1318" s="327">
        <f t="shared" si="701"/>
        <v>0</v>
      </c>
      <c r="R1318" s="334">
        <f t="shared" si="702"/>
        <v>0</v>
      </c>
      <c r="S1318" s="335">
        <f t="shared" si="652"/>
        <v>2419.8539689472263</v>
      </c>
      <c r="T1318" s="335">
        <f t="shared" si="653"/>
        <v>0</v>
      </c>
      <c r="U1318" s="336">
        <f t="shared" si="654"/>
        <v>343.60560064498793</v>
      </c>
      <c r="V1318" s="336">
        <f t="shared" si="655"/>
        <v>0</v>
      </c>
      <c r="W1318" s="336">
        <f t="shared" si="656"/>
        <v>0</v>
      </c>
      <c r="X1318" s="336">
        <f t="shared" si="657"/>
        <v>0</v>
      </c>
      <c r="Y1318" s="320"/>
      <c r="Z1318" s="321" t="str">
        <f t="shared" si="703"/>
        <v>X-ENC5A</v>
      </c>
      <c r="AA1318" s="321" t="str">
        <f t="shared" si="704"/>
        <v>X-ENC5E</v>
      </c>
      <c r="AB1318" s="321" t="str">
        <f t="shared" si="705"/>
        <v>X-ENC5M</v>
      </c>
      <c r="AC1318" s="321" t="str">
        <f t="shared" si="706"/>
        <v>X-ENC5T</v>
      </c>
      <c r="AD1318" s="321" t="str">
        <f t="shared" si="707"/>
        <v>X-ENC5S</v>
      </c>
      <c r="AE1318" s="321" t="str">
        <f t="shared" si="708"/>
        <v>X-ENC5X</v>
      </c>
      <c r="AF1318" s="321" t="str">
        <f t="shared" si="709"/>
        <v>X-ENC5M</v>
      </c>
      <c r="AG1318" s="321">
        <f t="shared" si="658"/>
        <v>13</v>
      </c>
      <c r="AH1318" s="321">
        <f>IF(B1318&lt;&gt;"",IF(H1318="x",VLOOKUP(I1318,'AUX-NIV3'!B:AG,32,FALSE),0),"")</f>
        <v>0</v>
      </c>
      <c r="AI1318" s="321" t="str">
        <f t="shared" si="710"/>
        <v>X-ENC5</v>
      </c>
      <c r="AJ1318" s="320"/>
      <c r="AK1318" s="322">
        <f t="shared" si="659"/>
        <v>1312</v>
      </c>
      <c r="AL1318" s="323">
        <f t="shared" si="711"/>
        <v>1324</v>
      </c>
      <c r="AM1318" s="322">
        <f t="shared" si="712"/>
        <v>7</v>
      </c>
      <c r="AN1318" s="380">
        <f>IF(AND(AH1318&gt;0,B1318&lt;&gt;""),VLOOKUP(I1318,'AUX-NIV3'!$B:$AO,39,FALSE)*O1318,0)</f>
        <v>0</v>
      </c>
      <c r="AO1318" s="380">
        <f t="shared" si="660"/>
        <v>5</v>
      </c>
      <c r="AP1318" s="380"/>
    </row>
    <row r="1319" spans="2:42" ht="14.4" hidden="1" thickTop="1" thickBot="1">
      <c r="B1319" s="501" t="s">
        <v>3700</v>
      </c>
      <c r="C1319" s="951" t="s">
        <v>3701</v>
      </c>
      <c r="D1319" s="326" t="s">
        <v>501</v>
      </c>
      <c r="E1319" s="327">
        <f>IF(B1319&lt;&gt;"",SUMIF('AUX-NIV1'!I:I,'AUX-NIV2'!B1319,'AUX-NIV1'!Q:Q),"")</f>
        <v>0</v>
      </c>
      <c r="F1319" s="327">
        <f t="shared" si="650"/>
        <v>2763.4595695922139</v>
      </c>
      <c r="G1319" s="327">
        <f t="shared" si="651"/>
        <v>0</v>
      </c>
      <c r="H1319" s="328" t="str">
        <f t="shared" si="699"/>
        <v>M</v>
      </c>
      <c r="I1319" s="325" t="s">
        <v>1911</v>
      </c>
      <c r="J1319" s="329" t="str">
        <f>IF(B1319&lt;&gt;"",+VLOOKUP(I1319,Recursos!C:F,2,FALSE),"")</f>
        <v>LISTON TIPO PARA ENCOFRADO</v>
      </c>
      <c r="K1319" s="330" t="str">
        <f>IF(B1319&lt;&gt;"",+VLOOKUP(I1319,Recursos!C:F,3,FALSE),"")</f>
        <v>m</v>
      </c>
      <c r="L1319" s="327">
        <f>IF(B1319&lt;&gt;"",+VLOOKUP(I1319,Recursos!C:F,4,FALSE),"")</f>
        <v>94.5</v>
      </c>
      <c r="M1319" s="452">
        <v>6</v>
      </c>
      <c r="N1319" s="455"/>
      <c r="O1319" s="449">
        <f>1/M1319</f>
        <v>0.16666666666666666</v>
      </c>
      <c r="P1319" s="333">
        <f t="shared" si="700"/>
        <v>15.75</v>
      </c>
      <c r="Q1319" s="327">
        <f t="shared" si="701"/>
        <v>0</v>
      </c>
      <c r="R1319" s="334">
        <f t="shared" si="702"/>
        <v>0</v>
      </c>
      <c r="S1319" s="335">
        <f t="shared" si="652"/>
        <v>2419.8539689472263</v>
      </c>
      <c r="T1319" s="335">
        <f t="shared" si="653"/>
        <v>0</v>
      </c>
      <c r="U1319" s="336">
        <f t="shared" si="654"/>
        <v>343.60560064498793</v>
      </c>
      <c r="V1319" s="336">
        <f t="shared" si="655"/>
        <v>0</v>
      </c>
      <c r="W1319" s="336">
        <f t="shared" si="656"/>
        <v>0</v>
      </c>
      <c r="X1319" s="336">
        <f t="shared" si="657"/>
        <v>0</v>
      </c>
      <c r="Y1319" s="320"/>
      <c r="Z1319" s="321" t="str">
        <f t="shared" si="703"/>
        <v>X-ENC5A</v>
      </c>
      <c r="AA1319" s="321" t="str">
        <f t="shared" si="704"/>
        <v>X-ENC5E</v>
      </c>
      <c r="AB1319" s="321" t="str">
        <f t="shared" si="705"/>
        <v>X-ENC5M</v>
      </c>
      <c r="AC1319" s="321" t="str">
        <f t="shared" si="706"/>
        <v>X-ENC5T</v>
      </c>
      <c r="AD1319" s="321" t="str">
        <f t="shared" si="707"/>
        <v>X-ENC5S</v>
      </c>
      <c r="AE1319" s="321" t="str">
        <f t="shared" si="708"/>
        <v>X-ENC5X</v>
      </c>
      <c r="AF1319" s="321" t="str">
        <f t="shared" si="709"/>
        <v>X-ENC5M</v>
      </c>
      <c r="AG1319" s="321">
        <f t="shared" si="658"/>
        <v>13</v>
      </c>
      <c r="AH1319" s="321">
        <f>IF(B1319&lt;&gt;"",IF(H1319="x",VLOOKUP(I1319,'AUX-NIV3'!B:AG,32,FALSE),0),"")</f>
        <v>0</v>
      </c>
      <c r="AI1319" s="321" t="str">
        <f t="shared" si="710"/>
        <v>X-ENC5</v>
      </c>
      <c r="AJ1319" s="320"/>
      <c r="AK1319" s="322">
        <f t="shared" si="659"/>
        <v>1312</v>
      </c>
      <c r="AL1319" s="323">
        <f t="shared" si="711"/>
        <v>1324</v>
      </c>
      <c r="AM1319" s="322">
        <f t="shared" si="712"/>
        <v>8</v>
      </c>
      <c r="AN1319" s="380">
        <f>IF(AND(AH1319&gt;0,B1319&lt;&gt;""),VLOOKUP(I1319,'AUX-NIV3'!$B:$AO,39,FALSE)*O1319,0)</f>
        <v>0</v>
      </c>
      <c r="AO1319" s="380">
        <f t="shared" si="660"/>
        <v>5</v>
      </c>
      <c r="AP1319" s="380"/>
    </row>
    <row r="1320" spans="2:42" ht="14.4" hidden="1" thickTop="1" thickBot="1">
      <c r="B1320" s="501" t="s">
        <v>3700</v>
      </c>
      <c r="C1320" s="951" t="s">
        <v>3701</v>
      </c>
      <c r="D1320" s="326" t="s">
        <v>501</v>
      </c>
      <c r="E1320" s="327">
        <f>IF(B1320&lt;&gt;"",SUMIF('AUX-NIV1'!I:I,'AUX-NIV2'!B1320,'AUX-NIV1'!Q:Q),"")</f>
        <v>0</v>
      </c>
      <c r="F1320" s="327">
        <f t="shared" si="650"/>
        <v>2763.4595695922139</v>
      </c>
      <c r="G1320" s="327">
        <f t="shared" si="651"/>
        <v>0</v>
      </c>
      <c r="H1320" s="328" t="str">
        <f t="shared" si="699"/>
        <v>M</v>
      </c>
      <c r="I1320" s="325" t="s">
        <v>1912</v>
      </c>
      <c r="J1320" s="329" t="str">
        <f>IF(B1320&lt;&gt;"",+VLOOKUP(I1320,Recursos!C:F,2,FALSE),"")</f>
        <v>FENOLICO ESP.= 19 MM (3/4")</v>
      </c>
      <c r="K1320" s="330" t="str">
        <f>IF(B1320&lt;&gt;"",+VLOOKUP(I1320,Recursos!C:F,3,FALSE),"")</f>
        <v>m2</v>
      </c>
      <c r="L1320" s="327">
        <f>IF(B1320&lt;&gt;"",+VLOOKUP(I1320,Recursos!C:F,4,FALSE),"")</f>
        <v>916.17600351811598</v>
      </c>
      <c r="M1320" s="454"/>
      <c r="N1320" s="453">
        <v>1.1000000000000001</v>
      </c>
      <c r="O1320" s="449">
        <f>+N1320/M1319</f>
        <v>0.18333333333333335</v>
      </c>
      <c r="P1320" s="333">
        <f t="shared" si="700"/>
        <v>167.96560064498794</v>
      </c>
      <c r="Q1320" s="327">
        <f t="shared" si="701"/>
        <v>0</v>
      </c>
      <c r="R1320" s="334">
        <f t="shared" si="702"/>
        <v>0</v>
      </c>
      <c r="S1320" s="335">
        <f t="shared" si="652"/>
        <v>2419.8539689472263</v>
      </c>
      <c r="T1320" s="335">
        <f t="shared" si="653"/>
        <v>0</v>
      </c>
      <c r="U1320" s="336">
        <f t="shared" si="654"/>
        <v>343.60560064498793</v>
      </c>
      <c r="V1320" s="336">
        <f t="shared" si="655"/>
        <v>0</v>
      </c>
      <c r="W1320" s="336">
        <f t="shared" si="656"/>
        <v>0</v>
      </c>
      <c r="X1320" s="336">
        <f t="shared" si="657"/>
        <v>0</v>
      </c>
      <c r="Y1320" s="320"/>
      <c r="Z1320" s="321" t="str">
        <f t="shared" si="703"/>
        <v>X-ENC5A</v>
      </c>
      <c r="AA1320" s="321" t="str">
        <f t="shared" si="704"/>
        <v>X-ENC5E</v>
      </c>
      <c r="AB1320" s="321" t="str">
        <f t="shared" si="705"/>
        <v>X-ENC5M</v>
      </c>
      <c r="AC1320" s="321" t="str">
        <f t="shared" si="706"/>
        <v>X-ENC5T</v>
      </c>
      <c r="AD1320" s="321" t="str">
        <f t="shared" si="707"/>
        <v>X-ENC5S</v>
      </c>
      <c r="AE1320" s="321" t="str">
        <f t="shared" si="708"/>
        <v>X-ENC5X</v>
      </c>
      <c r="AF1320" s="321" t="str">
        <f t="shared" si="709"/>
        <v>X-ENC5M</v>
      </c>
      <c r="AG1320" s="321">
        <f t="shared" si="658"/>
        <v>13</v>
      </c>
      <c r="AH1320" s="321">
        <f>IF(B1320&lt;&gt;"",IF(H1320="x",VLOOKUP(I1320,'AUX-NIV3'!B:AG,32,FALSE),0),"")</f>
        <v>0</v>
      </c>
      <c r="AI1320" s="321" t="str">
        <f t="shared" si="710"/>
        <v>X-ENC5</v>
      </c>
      <c r="AJ1320" s="320"/>
      <c r="AK1320" s="322">
        <f t="shared" si="659"/>
        <v>1312</v>
      </c>
      <c r="AL1320" s="323">
        <f t="shared" si="711"/>
        <v>1324</v>
      </c>
      <c r="AM1320" s="322">
        <f t="shared" si="712"/>
        <v>9</v>
      </c>
      <c r="AN1320" s="380">
        <f>IF(AND(AH1320&gt;0,B1320&lt;&gt;""),VLOOKUP(I1320,'AUX-NIV3'!$B:$AO,39,FALSE)*O1320,0)</f>
        <v>0</v>
      </c>
      <c r="AO1320" s="380">
        <f t="shared" si="660"/>
        <v>5</v>
      </c>
      <c r="AP1320" s="380"/>
    </row>
    <row r="1321" spans="2:42" ht="14.4" hidden="1" thickTop="1" thickBot="1">
      <c r="B1321" s="501" t="s">
        <v>3700</v>
      </c>
      <c r="C1321" s="951" t="s">
        <v>3701</v>
      </c>
      <c r="D1321" s="326" t="s">
        <v>501</v>
      </c>
      <c r="E1321" s="327">
        <f>IF(B1321&lt;&gt;"",SUMIF('AUX-NIV1'!I:I,'AUX-NIV2'!B1321,'AUX-NIV1'!Q:Q),"")</f>
        <v>0</v>
      </c>
      <c r="F1321" s="327">
        <f t="shared" si="650"/>
        <v>2763.4595695922139</v>
      </c>
      <c r="G1321" s="327">
        <f t="shared" si="651"/>
        <v>0</v>
      </c>
      <c r="H1321" s="328" t="str">
        <f t="shared" si="699"/>
        <v>M</v>
      </c>
      <c r="I1321" s="325" t="s">
        <v>1914</v>
      </c>
      <c r="J1321" s="329" t="str">
        <f>IF(B1321&lt;&gt;"",+VLOOKUP(I1321,Recursos!C:F,2,FALSE),"")</f>
        <v>PUNTAL DE MADERA</v>
      </c>
      <c r="K1321" s="330" t="str">
        <f>IF(B1321&lt;&gt;"",+VLOOKUP(I1321,Recursos!C:F,3,FALSE),"")</f>
        <v>m</v>
      </c>
      <c r="L1321" s="327">
        <f>IF(B1321&lt;&gt;"",+VLOOKUP(I1321,Recursos!C:F,4,FALSE),"")</f>
        <v>200</v>
      </c>
      <c r="M1321" s="454"/>
      <c r="N1321" s="453">
        <v>0</v>
      </c>
      <c r="O1321" s="449">
        <f>+N1321/M1319</f>
        <v>0</v>
      </c>
      <c r="P1321" s="333">
        <f t="shared" si="700"/>
        <v>0</v>
      </c>
      <c r="Q1321" s="327">
        <f t="shared" si="701"/>
        <v>0</v>
      </c>
      <c r="R1321" s="334">
        <f t="shared" si="702"/>
        <v>0</v>
      </c>
      <c r="S1321" s="335">
        <f t="shared" si="652"/>
        <v>2419.8539689472263</v>
      </c>
      <c r="T1321" s="335">
        <f t="shared" si="653"/>
        <v>0</v>
      </c>
      <c r="U1321" s="336">
        <f t="shared" si="654"/>
        <v>343.60560064498793</v>
      </c>
      <c r="V1321" s="336">
        <f t="shared" si="655"/>
        <v>0</v>
      </c>
      <c r="W1321" s="336">
        <f t="shared" si="656"/>
        <v>0</v>
      </c>
      <c r="X1321" s="336">
        <f t="shared" si="657"/>
        <v>0</v>
      </c>
      <c r="Y1321" s="320"/>
      <c r="Z1321" s="321" t="str">
        <f t="shared" si="703"/>
        <v>X-ENC5A</v>
      </c>
      <c r="AA1321" s="321" t="str">
        <f t="shared" si="704"/>
        <v>X-ENC5E</v>
      </c>
      <c r="AB1321" s="321" t="str">
        <f t="shared" si="705"/>
        <v>X-ENC5M</v>
      </c>
      <c r="AC1321" s="321" t="str">
        <f t="shared" si="706"/>
        <v>X-ENC5T</v>
      </c>
      <c r="AD1321" s="321" t="str">
        <f t="shared" si="707"/>
        <v>X-ENC5S</v>
      </c>
      <c r="AE1321" s="321" t="str">
        <f t="shared" si="708"/>
        <v>X-ENC5X</v>
      </c>
      <c r="AF1321" s="321" t="str">
        <f t="shared" si="709"/>
        <v>X-ENC5M</v>
      </c>
      <c r="AG1321" s="321">
        <f t="shared" si="658"/>
        <v>13</v>
      </c>
      <c r="AH1321" s="321">
        <f>IF(B1321&lt;&gt;"",IF(H1321="x",VLOOKUP(I1321,'AUX-NIV3'!B:AG,32,FALSE),0),"")</f>
        <v>0</v>
      </c>
      <c r="AI1321" s="321" t="str">
        <f t="shared" si="710"/>
        <v>X-ENC5</v>
      </c>
      <c r="AJ1321" s="320"/>
      <c r="AK1321" s="322">
        <f t="shared" si="659"/>
        <v>1312</v>
      </c>
      <c r="AL1321" s="323">
        <f t="shared" si="711"/>
        <v>1324</v>
      </c>
      <c r="AM1321" s="322">
        <f t="shared" si="712"/>
        <v>10</v>
      </c>
      <c r="AN1321" s="380">
        <f>IF(AND(AH1321&gt;0,B1321&lt;&gt;""),VLOOKUP(I1321,'AUX-NIV3'!$B:$AO,39,FALSE)*O1321,0)</f>
        <v>0</v>
      </c>
      <c r="AO1321" s="380">
        <f t="shared" si="660"/>
        <v>5</v>
      </c>
      <c r="AP1321" s="380"/>
    </row>
    <row r="1322" spans="2:42" ht="14.4" hidden="1" thickTop="1" thickBot="1">
      <c r="B1322" s="501" t="s">
        <v>3700</v>
      </c>
      <c r="C1322" s="951" t="s">
        <v>3701</v>
      </c>
      <c r="D1322" s="326" t="s">
        <v>501</v>
      </c>
      <c r="E1322" s="327">
        <f>IF(B1322&lt;&gt;"",SUMIF('AUX-NIV1'!I:I,'AUX-NIV2'!B1322,'AUX-NIV1'!Q:Q),"")</f>
        <v>0</v>
      </c>
      <c r="F1322" s="327">
        <f t="shared" si="650"/>
        <v>2763.4595695922139</v>
      </c>
      <c r="G1322" s="327">
        <f t="shared" si="651"/>
        <v>0</v>
      </c>
      <c r="H1322" s="328" t="str">
        <f t="shared" si="699"/>
        <v>M</v>
      </c>
      <c r="I1322" s="325" t="s">
        <v>1924</v>
      </c>
      <c r="J1322" s="329" t="str">
        <f>IF(B1322&lt;&gt;"",+VLOOKUP(I1322,Recursos!C:F,2,FALSE),"")</f>
        <v>CLAVO DE 2 A 4"</v>
      </c>
      <c r="K1322" s="330" t="str">
        <f>IF(B1322&lt;&gt;"",+VLOOKUP(I1322,Recursos!C:F,3,FALSE),"")</f>
        <v>Kg</v>
      </c>
      <c r="L1322" s="327">
        <f>IF(B1322&lt;&gt;"",+VLOOKUP(I1322,Recursos!C:F,4,FALSE),"")</f>
        <v>98.5</v>
      </c>
      <c r="M1322" s="452">
        <v>0.1</v>
      </c>
      <c r="N1322" s="453"/>
      <c r="O1322" s="449">
        <f>+M1322</f>
        <v>0.1</v>
      </c>
      <c r="P1322" s="333">
        <f t="shared" si="700"/>
        <v>9.8500000000000014</v>
      </c>
      <c r="Q1322" s="327">
        <f t="shared" si="701"/>
        <v>0</v>
      </c>
      <c r="R1322" s="334">
        <f t="shared" si="702"/>
        <v>0</v>
      </c>
      <c r="S1322" s="335">
        <f t="shared" si="652"/>
        <v>2419.8539689472263</v>
      </c>
      <c r="T1322" s="335">
        <f t="shared" si="653"/>
        <v>0</v>
      </c>
      <c r="U1322" s="336">
        <f t="shared" si="654"/>
        <v>343.60560064498793</v>
      </c>
      <c r="V1322" s="336">
        <f t="shared" si="655"/>
        <v>0</v>
      </c>
      <c r="W1322" s="336">
        <f t="shared" si="656"/>
        <v>0</v>
      </c>
      <c r="X1322" s="336">
        <f t="shared" si="657"/>
        <v>0</v>
      </c>
      <c r="Y1322" s="320"/>
      <c r="Z1322" s="321" t="str">
        <f t="shared" si="703"/>
        <v>X-ENC5A</v>
      </c>
      <c r="AA1322" s="321" t="str">
        <f t="shared" si="704"/>
        <v>X-ENC5E</v>
      </c>
      <c r="AB1322" s="321" t="str">
        <f t="shared" si="705"/>
        <v>X-ENC5M</v>
      </c>
      <c r="AC1322" s="321" t="str">
        <f t="shared" si="706"/>
        <v>X-ENC5T</v>
      </c>
      <c r="AD1322" s="321" t="str">
        <f t="shared" si="707"/>
        <v>X-ENC5S</v>
      </c>
      <c r="AE1322" s="321" t="str">
        <f t="shared" si="708"/>
        <v>X-ENC5X</v>
      </c>
      <c r="AF1322" s="321" t="str">
        <f t="shared" si="709"/>
        <v>X-ENC5M</v>
      </c>
      <c r="AG1322" s="321">
        <f t="shared" si="658"/>
        <v>13</v>
      </c>
      <c r="AH1322" s="321">
        <f>IF(B1322&lt;&gt;"",IF(H1322="x",VLOOKUP(I1322,'AUX-NIV3'!B:AG,32,FALSE),0),"")</f>
        <v>0</v>
      </c>
      <c r="AI1322" s="321" t="str">
        <f t="shared" si="710"/>
        <v>X-ENC5</v>
      </c>
      <c r="AJ1322" s="320"/>
      <c r="AK1322" s="322">
        <f t="shared" si="659"/>
        <v>1312</v>
      </c>
      <c r="AL1322" s="323">
        <f t="shared" si="711"/>
        <v>1324</v>
      </c>
      <c r="AM1322" s="322">
        <f t="shared" si="712"/>
        <v>11</v>
      </c>
      <c r="AN1322" s="380">
        <f>IF(AND(AH1322&gt;0,B1322&lt;&gt;""),VLOOKUP(I1322,'AUX-NIV3'!$B:$AO,39,FALSE)*O1322,0)</f>
        <v>0</v>
      </c>
      <c r="AO1322" s="380">
        <f t="shared" si="660"/>
        <v>5</v>
      </c>
      <c r="AP1322" s="380"/>
    </row>
    <row r="1323" spans="2:42" ht="14.4" hidden="1" thickTop="1" thickBot="1">
      <c r="B1323" s="501" t="s">
        <v>3700</v>
      </c>
      <c r="C1323" s="951" t="s">
        <v>3701</v>
      </c>
      <c r="D1323" s="326" t="s">
        <v>501</v>
      </c>
      <c r="E1323" s="327">
        <f>IF(B1323&lt;&gt;"",SUMIF('AUX-NIV1'!I:I,'AUX-NIV2'!B1323,'AUX-NIV1'!Q:Q),"")</f>
        <v>0</v>
      </c>
      <c r="F1323" s="327">
        <f t="shared" si="650"/>
        <v>2763.4595695922139</v>
      </c>
      <c r="G1323" s="327">
        <f t="shared" si="651"/>
        <v>0</v>
      </c>
      <c r="H1323" s="328" t="str">
        <f t="shared" si="699"/>
        <v>M</v>
      </c>
      <c r="I1323" s="325" t="s">
        <v>1926</v>
      </c>
      <c r="J1323" s="329" t="str">
        <f>IF(B1323&lt;&gt;"",+VLOOKUP(I1323,Recursos!C:F,2,FALSE),"")</f>
        <v>ALAMBRE RECOCIDO #16</v>
      </c>
      <c r="K1323" s="330" t="str">
        <f>IF(B1323&lt;&gt;"",+VLOOKUP(I1323,Recursos!C:F,3,FALSE),"")</f>
        <v>Kg</v>
      </c>
      <c r="L1323" s="327">
        <f>IF(B1323&lt;&gt;"",+VLOOKUP(I1323,Recursos!C:F,4,FALSE),"")</f>
        <v>175</v>
      </c>
      <c r="M1323" s="452">
        <v>0.2</v>
      </c>
      <c r="N1323" s="453"/>
      <c r="O1323" s="449">
        <f>+M1323</f>
        <v>0.2</v>
      </c>
      <c r="P1323" s="333">
        <f t="shared" si="700"/>
        <v>35</v>
      </c>
      <c r="Q1323" s="327">
        <f t="shared" si="701"/>
        <v>0</v>
      </c>
      <c r="R1323" s="334">
        <f t="shared" si="702"/>
        <v>0</v>
      </c>
      <c r="S1323" s="335">
        <f t="shared" si="652"/>
        <v>2419.8539689472263</v>
      </c>
      <c r="T1323" s="335">
        <f t="shared" si="653"/>
        <v>0</v>
      </c>
      <c r="U1323" s="336">
        <f t="shared" si="654"/>
        <v>343.60560064498793</v>
      </c>
      <c r="V1323" s="336">
        <f t="shared" si="655"/>
        <v>0</v>
      </c>
      <c r="W1323" s="336">
        <f t="shared" si="656"/>
        <v>0</v>
      </c>
      <c r="X1323" s="336">
        <f t="shared" si="657"/>
        <v>0</v>
      </c>
      <c r="Y1323" s="320"/>
      <c r="Z1323" s="321" t="str">
        <f t="shared" si="703"/>
        <v>X-ENC5A</v>
      </c>
      <c r="AA1323" s="321" t="str">
        <f t="shared" si="704"/>
        <v>X-ENC5E</v>
      </c>
      <c r="AB1323" s="321" t="str">
        <f t="shared" si="705"/>
        <v>X-ENC5M</v>
      </c>
      <c r="AC1323" s="321" t="str">
        <f t="shared" si="706"/>
        <v>X-ENC5T</v>
      </c>
      <c r="AD1323" s="321" t="str">
        <f t="shared" si="707"/>
        <v>X-ENC5S</v>
      </c>
      <c r="AE1323" s="321" t="str">
        <f t="shared" si="708"/>
        <v>X-ENC5X</v>
      </c>
      <c r="AF1323" s="321" t="str">
        <f t="shared" si="709"/>
        <v>X-ENC5M</v>
      </c>
      <c r="AG1323" s="321">
        <f t="shared" si="658"/>
        <v>13</v>
      </c>
      <c r="AH1323" s="321">
        <f>IF(B1323&lt;&gt;"",IF(H1323="x",VLOOKUP(I1323,'AUX-NIV3'!B:AG,32,FALSE),0),"")</f>
        <v>0</v>
      </c>
      <c r="AI1323" s="321" t="str">
        <f t="shared" si="710"/>
        <v>X-ENC5</v>
      </c>
      <c r="AJ1323" s="320"/>
      <c r="AK1323" s="322">
        <f t="shared" si="659"/>
        <v>1312</v>
      </c>
      <c r="AL1323" s="323">
        <f t="shared" si="711"/>
        <v>1324</v>
      </c>
      <c r="AM1323" s="322">
        <f t="shared" si="712"/>
        <v>12</v>
      </c>
      <c r="AN1323" s="380">
        <f>IF(AND(AH1323&gt;0,B1323&lt;&gt;""),VLOOKUP(I1323,'AUX-NIV3'!$B:$AO,39,FALSE)*O1323,0)</f>
        <v>0</v>
      </c>
      <c r="AO1323" s="380">
        <f t="shared" si="660"/>
        <v>5</v>
      </c>
      <c r="AP1323" s="380"/>
    </row>
    <row r="1324" spans="2:42" ht="14.4" hidden="1" thickTop="1" thickBot="1">
      <c r="B1324" s="501" t="s">
        <v>3700</v>
      </c>
      <c r="C1324" s="951" t="s">
        <v>3701</v>
      </c>
      <c r="D1324" s="326" t="s">
        <v>501</v>
      </c>
      <c r="E1324" s="327">
        <f>IF(B1324&lt;&gt;"",SUMIF('AUX-NIV1'!I:I,'AUX-NIV2'!B1324,'AUX-NIV1'!Q:Q),"")</f>
        <v>0</v>
      </c>
      <c r="F1324" s="327">
        <f t="shared" si="650"/>
        <v>2763.4595695922139</v>
      </c>
      <c r="G1324" s="327">
        <f t="shared" si="651"/>
        <v>0</v>
      </c>
      <c r="H1324" s="328" t="str">
        <f t="shared" si="699"/>
        <v>M</v>
      </c>
      <c r="I1324" s="325" t="s">
        <v>621</v>
      </c>
      <c r="J1324" s="329" t="str">
        <f>IF(B1324&lt;&gt;"",+VLOOKUP(I1324,Recursos!C:F,2,FALSE),"")</f>
        <v>MATERIALES VARIOS</v>
      </c>
      <c r="K1324" s="330" t="str">
        <f>IF(B1324&lt;&gt;"",+VLOOKUP(I1324,Recursos!C:F,3,FALSE),"")</f>
        <v>GL</v>
      </c>
      <c r="L1324" s="327">
        <f>IF(B1324&lt;&gt;"",+VLOOKUP(I1324,Recursos!C:F,4,FALSE),"")</f>
        <v>0.5</v>
      </c>
      <c r="M1324" s="450">
        <f>2200*10%</f>
        <v>220</v>
      </c>
      <c r="N1324" s="451"/>
      <c r="O1324" s="449">
        <f>+M1324</f>
        <v>220</v>
      </c>
      <c r="P1324" s="333">
        <f t="shared" si="700"/>
        <v>110</v>
      </c>
      <c r="Q1324" s="327">
        <f t="shared" si="701"/>
        <v>0</v>
      </c>
      <c r="R1324" s="334">
        <f t="shared" si="702"/>
        <v>0</v>
      </c>
      <c r="S1324" s="335">
        <f t="shared" si="652"/>
        <v>2419.8539689472263</v>
      </c>
      <c r="T1324" s="335">
        <f t="shared" si="653"/>
        <v>0</v>
      </c>
      <c r="U1324" s="336">
        <f t="shared" si="654"/>
        <v>343.60560064498793</v>
      </c>
      <c r="V1324" s="336">
        <f t="shared" si="655"/>
        <v>0</v>
      </c>
      <c r="W1324" s="336">
        <f t="shared" si="656"/>
        <v>0</v>
      </c>
      <c r="X1324" s="336">
        <f t="shared" si="657"/>
        <v>0</v>
      </c>
      <c r="Y1324" s="320"/>
      <c r="Z1324" s="321" t="str">
        <f t="shared" si="703"/>
        <v>X-ENC5A</v>
      </c>
      <c r="AA1324" s="321" t="str">
        <f t="shared" si="704"/>
        <v>X-ENC5E</v>
      </c>
      <c r="AB1324" s="321" t="str">
        <f t="shared" si="705"/>
        <v>X-ENC5M</v>
      </c>
      <c r="AC1324" s="321" t="str">
        <f t="shared" si="706"/>
        <v>X-ENC5T</v>
      </c>
      <c r="AD1324" s="321" t="str">
        <f t="shared" si="707"/>
        <v>X-ENC5S</v>
      </c>
      <c r="AE1324" s="321" t="str">
        <f t="shared" si="708"/>
        <v>X-ENC5X</v>
      </c>
      <c r="AF1324" s="321" t="str">
        <f t="shared" si="709"/>
        <v>X-ENC5M</v>
      </c>
      <c r="AG1324" s="321">
        <f t="shared" si="658"/>
        <v>13</v>
      </c>
      <c r="AH1324" s="321">
        <f>IF(B1324&lt;&gt;"",IF(H1324="x",VLOOKUP(I1324,'AUX-NIV3'!B:AG,32,FALSE),0),"")</f>
        <v>0</v>
      </c>
      <c r="AI1324" s="321" t="str">
        <f t="shared" si="710"/>
        <v>X-ENC5</v>
      </c>
      <c r="AJ1324" s="320"/>
      <c r="AK1324" s="322">
        <f t="shared" si="659"/>
        <v>1312</v>
      </c>
      <c r="AL1324" s="323">
        <f t="shared" si="711"/>
        <v>1324</v>
      </c>
      <c r="AM1324" s="322">
        <f t="shared" si="712"/>
        <v>13</v>
      </c>
      <c r="AN1324" s="380">
        <f>IF(AND(AH1324&gt;0,B1324&lt;&gt;""),VLOOKUP(I1324,'AUX-NIV3'!$B:$AO,39,FALSE)*O1324,0)</f>
        <v>0</v>
      </c>
      <c r="AO1324" s="380">
        <f t="shared" si="660"/>
        <v>5</v>
      </c>
      <c r="AP1324" s="380"/>
    </row>
    <row r="1325" spans="2:42" ht="14.4" hidden="1" thickTop="1" thickBot="1">
      <c r="B1325" s="501" t="s">
        <v>3735</v>
      </c>
      <c r="C1325" s="951" t="s">
        <v>3734</v>
      </c>
      <c r="D1325" s="326" t="s">
        <v>1160</v>
      </c>
      <c r="E1325" s="327">
        <f>IF(B1325&lt;&gt;"",SUMIF('AUX-NIV1'!I:I,'AUX-NIV2'!B1325,'AUX-NIV1'!Q:Q),"")</f>
        <v>0</v>
      </c>
      <c r="F1325" s="327">
        <f t="shared" si="650"/>
        <v>5858.095123966943</v>
      </c>
      <c r="G1325" s="327">
        <f t="shared" si="651"/>
        <v>0</v>
      </c>
      <c r="H1325" s="328" t="str">
        <f t="shared" si="685"/>
        <v>M</v>
      </c>
      <c r="I1325" s="324" t="s">
        <v>1889</v>
      </c>
      <c r="J1325" s="431" t="str">
        <f>IF(B1325&lt;&gt;"",+VLOOKUP(I1325,Recursos!C:F,2,FALSE),"")</f>
        <v>CEMENTO PORTLAND (BOLSA 50Kg)</v>
      </c>
      <c r="K1325" s="330" t="str">
        <f>IF(B1325&lt;&gt;"",+VLOOKUP(I1325,Recursos!C:F,3,FALSE),"")</f>
        <v>Un</v>
      </c>
      <c r="L1325" s="446">
        <f>IF(B1325&lt;&gt;"",+VLOOKUP(I1325,Recursos!C:F,4,FALSE),"")</f>
        <v>661.15702479338847</v>
      </c>
      <c r="M1325" s="1270">
        <v>50</v>
      </c>
      <c r="N1325" s="1352">
        <v>250</v>
      </c>
      <c r="O1325" s="449">
        <f>N1325/M1325</f>
        <v>5</v>
      </c>
      <c r="P1325" s="333">
        <f t="shared" si="686"/>
        <v>3305.7851239669426</v>
      </c>
      <c r="Q1325" s="327">
        <f t="shared" si="687"/>
        <v>0</v>
      </c>
      <c r="R1325" s="334">
        <f t="shared" si="688"/>
        <v>0</v>
      </c>
      <c r="S1325" s="335">
        <f t="shared" si="652"/>
        <v>0</v>
      </c>
      <c r="T1325" s="335">
        <f t="shared" si="653"/>
        <v>0</v>
      </c>
      <c r="U1325" s="336">
        <f t="shared" si="654"/>
        <v>5858.095123966943</v>
      </c>
      <c r="V1325" s="336">
        <f t="shared" si="655"/>
        <v>0</v>
      </c>
      <c r="W1325" s="336">
        <f t="shared" si="656"/>
        <v>0</v>
      </c>
      <c r="X1325" s="336">
        <f t="shared" si="657"/>
        <v>0</v>
      </c>
      <c r="Y1325" s="320"/>
      <c r="Z1325" s="321" t="str">
        <f t="shared" si="689"/>
        <v>X-MOR01A</v>
      </c>
      <c r="AA1325" s="321" t="str">
        <f t="shared" si="690"/>
        <v>X-MOR01E</v>
      </c>
      <c r="AB1325" s="321" t="str">
        <f t="shared" si="691"/>
        <v>X-MOR01M</v>
      </c>
      <c r="AC1325" s="321" t="str">
        <f t="shared" si="692"/>
        <v>X-MOR01T</v>
      </c>
      <c r="AD1325" s="321" t="str">
        <f t="shared" si="693"/>
        <v>X-MOR01S</v>
      </c>
      <c r="AE1325" s="321" t="str">
        <f t="shared" si="694"/>
        <v>X-MOR01X</v>
      </c>
      <c r="AF1325" s="321" t="str">
        <f t="shared" si="695"/>
        <v>X-MOR01M</v>
      </c>
      <c r="AG1325" s="321">
        <f t="shared" si="658"/>
        <v>3</v>
      </c>
      <c r="AH1325" s="321">
        <f>IF(B1325&lt;&gt;"",IF(H1325="x",VLOOKUP(I1325,'AUX-NIV3'!B:AG,32,FALSE),0),"")</f>
        <v>0</v>
      </c>
      <c r="AI1325" s="321" t="str">
        <f t="shared" si="696"/>
        <v>X-MOR01</v>
      </c>
      <c r="AJ1325" s="320"/>
      <c r="AK1325" s="322">
        <f t="shared" si="659"/>
        <v>1325</v>
      </c>
      <c r="AL1325" s="323">
        <f t="shared" si="697"/>
        <v>1327</v>
      </c>
      <c r="AM1325" s="322">
        <f t="shared" si="698"/>
        <v>1</v>
      </c>
      <c r="AN1325" s="380">
        <f>IF(AND(AH1325&gt;0,B1325&lt;&gt;""),VLOOKUP(I1325,'AUX-NIV3'!$B:$AO,39,FALSE)*O1325,0)</f>
        <v>0</v>
      </c>
      <c r="AO1325" s="380">
        <f t="shared" si="660"/>
        <v>0</v>
      </c>
      <c r="AP1325" s="380"/>
    </row>
    <row r="1326" spans="2:42" ht="14.4" hidden="1" thickTop="1" thickBot="1">
      <c r="B1326" s="501" t="s">
        <v>3735</v>
      </c>
      <c r="C1326" s="951" t="s">
        <v>3734</v>
      </c>
      <c r="D1326" s="326" t="s">
        <v>1160</v>
      </c>
      <c r="E1326" s="327">
        <f>IF(B1326&lt;&gt;"",SUMIF('AUX-NIV1'!I:I,'AUX-NIV2'!B1326,'AUX-NIV1'!Q:Q),"")</f>
        <v>0</v>
      </c>
      <c r="F1326" s="327">
        <f t="shared" si="650"/>
        <v>5858.095123966943</v>
      </c>
      <c r="G1326" s="327">
        <f t="shared" si="651"/>
        <v>0</v>
      </c>
      <c r="H1326" s="328" t="str">
        <f t="shared" si="685"/>
        <v>M</v>
      </c>
      <c r="I1326" s="324" t="s">
        <v>1512</v>
      </c>
      <c r="J1326" s="431" t="str">
        <f>IF(B1326&lt;&gt;"",+VLOOKUP(I1326,Recursos!C:F,2,FALSE),"")</f>
        <v>ARENA ZARANDEADA</v>
      </c>
      <c r="K1326" s="330" t="str">
        <f>IF(B1326&lt;&gt;"",+VLOOKUP(I1326,Recursos!C:F,3,FALSE),"")</f>
        <v>Tn</v>
      </c>
      <c r="L1326" s="446">
        <f>IF(B1326&lt;&gt;"",+VLOOKUP(I1326,Recursos!C:F,4,FALSE),"")</f>
        <v>900</v>
      </c>
      <c r="M1326" s="1276"/>
      <c r="N1326" s="1353">
        <v>1.6</v>
      </c>
      <c r="O1326" s="449">
        <f>N1326</f>
        <v>1.6</v>
      </c>
      <c r="P1326" s="333">
        <f t="shared" si="686"/>
        <v>1440</v>
      </c>
      <c r="Q1326" s="327">
        <f t="shared" si="687"/>
        <v>0</v>
      </c>
      <c r="R1326" s="334">
        <f t="shared" si="688"/>
        <v>0</v>
      </c>
      <c r="S1326" s="335">
        <f t="shared" si="652"/>
        <v>0</v>
      </c>
      <c r="T1326" s="335">
        <f t="shared" si="653"/>
        <v>0</v>
      </c>
      <c r="U1326" s="336">
        <f t="shared" si="654"/>
        <v>5858.095123966943</v>
      </c>
      <c r="V1326" s="336">
        <f t="shared" si="655"/>
        <v>0</v>
      </c>
      <c r="W1326" s="336">
        <f t="shared" si="656"/>
        <v>0</v>
      </c>
      <c r="X1326" s="336">
        <f t="shared" si="657"/>
        <v>0</v>
      </c>
      <c r="Y1326" s="320"/>
      <c r="Z1326" s="321" t="str">
        <f t="shared" si="689"/>
        <v>X-MOR01A</v>
      </c>
      <c r="AA1326" s="321" t="str">
        <f t="shared" si="690"/>
        <v>X-MOR01E</v>
      </c>
      <c r="AB1326" s="321" t="str">
        <f t="shared" si="691"/>
        <v>X-MOR01M</v>
      </c>
      <c r="AC1326" s="321" t="str">
        <f t="shared" si="692"/>
        <v>X-MOR01T</v>
      </c>
      <c r="AD1326" s="321" t="str">
        <f t="shared" si="693"/>
        <v>X-MOR01S</v>
      </c>
      <c r="AE1326" s="321" t="str">
        <f t="shared" si="694"/>
        <v>X-MOR01X</v>
      </c>
      <c r="AF1326" s="321" t="str">
        <f t="shared" si="695"/>
        <v>X-MOR01M</v>
      </c>
      <c r="AG1326" s="321">
        <f t="shared" si="658"/>
        <v>3</v>
      </c>
      <c r="AH1326" s="321">
        <f>IF(B1326&lt;&gt;"",IF(H1326="x",VLOOKUP(I1326,'AUX-NIV3'!B:AG,32,FALSE),0),"")</f>
        <v>0</v>
      </c>
      <c r="AI1326" s="321" t="str">
        <f t="shared" si="696"/>
        <v>X-MOR01</v>
      </c>
      <c r="AJ1326" s="320"/>
      <c r="AK1326" s="322">
        <f t="shared" si="659"/>
        <v>1325</v>
      </c>
      <c r="AL1326" s="323">
        <f t="shared" si="697"/>
        <v>1327</v>
      </c>
      <c r="AM1326" s="322">
        <f t="shared" si="698"/>
        <v>2</v>
      </c>
      <c r="AN1326" s="380">
        <f>IF(AND(AH1326&gt;0,B1326&lt;&gt;""),VLOOKUP(I1326,'AUX-NIV3'!$B:$AO,39,FALSE)*O1326,0)</f>
        <v>0</v>
      </c>
      <c r="AO1326" s="380">
        <f t="shared" si="660"/>
        <v>0</v>
      </c>
      <c r="AP1326" s="380"/>
    </row>
    <row r="1327" spans="2:42" ht="14.4" hidden="1" thickTop="1" thickBot="1">
      <c r="B1327" s="501" t="s">
        <v>3735</v>
      </c>
      <c r="C1327" s="951" t="s">
        <v>3734</v>
      </c>
      <c r="D1327" s="326" t="s">
        <v>1160</v>
      </c>
      <c r="E1327" s="327">
        <f>IF(B1327&lt;&gt;"",SUMIF('AUX-NIV1'!I:I,'AUX-NIV2'!B1327,'AUX-NIV1'!Q:Q),"")</f>
        <v>0</v>
      </c>
      <c r="F1327" s="327">
        <f t="shared" si="650"/>
        <v>5858.095123966943</v>
      </c>
      <c r="G1327" s="327">
        <f t="shared" si="651"/>
        <v>0</v>
      </c>
      <c r="H1327" s="328" t="str">
        <f t="shared" si="685"/>
        <v>M</v>
      </c>
      <c r="I1327" s="324" t="s">
        <v>1900</v>
      </c>
      <c r="J1327" s="431" t="str">
        <f>IF(B1327&lt;&gt;"",+VLOOKUP(I1327,Recursos!C:F,2,FALSE),"")</f>
        <v>CAL HIDRATADA (BOLSA 20Kg)</v>
      </c>
      <c r="K1327" s="330" t="str">
        <f>IF(B1327&lt;&gt;"",+VLOOKUP(I1327,Recursos!C:F,3,FALSE),"")</f>
        <v>Un</v>
      </c>
      <c r="L1327" s="446">
        <f>IF(B1327&lt;&gt;"",+VLOOKUP(I1327,Recursos!C:F,4,FALSE),"")</f>
        <v>247.18</v>
      </c>
      <c r="M1327" s="1274">
        <v>20</v>
      </c>
      <c r="N1327" s="1275">
        <v>90</v>
      </c>
      <c r="O1327" s="449">
        <f>N1327/M1327</f>
        <v>4.5</v>
      </c>
      <c r="P1327" s="333">
        <f t="shared" si="686"/>
        <v>1112.31</v>
      </c>
      <c r="Q1327" s="327">
        <f t="shared" si="687"/>
        <v>0</v>
      </c>
      <c r="R1327" s="334">
        <f t="shared" si="688"/>
        <v>0</v>
      </c>
      <c r="S1327" s="335">
        <f t="shared" si="652"/>
        <v>0</v>
      </c>
      <c r="T1327" s="335">
        <f t="shared" si="653"/>
        <v>0</v>
      </c>
      <c r="U1327" s="336">
        <f t="shared" si="654"/>
        <v>5858.095123966943</v>
      </c>
      <c r="V1327" s="336">
        <f t="shared" si="655"/>
        <v>0</v>
      </c>
      <c r="W1327" s="336">
        <f t="shared" si="656"/>
        <v>0</v>
      </c>
      <c r="X1327" s="336">
        <f t="shared" si="657"/>
        <v>0</v>
      </c>
      <c r="Y1327" s="320"/>
      <c r="Z1327" s="321" t="str">
        <f t="shared" si="689"/>
        <v>X-MOR01A</v>
      </c>
      <c r="AA1327" s="321" t="str">
        <f t="shared" si="690"/>
        <v>X-MOR01E</v>
      </c>
      <c r="AB1327" s="321" t="str">
        <f t="shared" si="691"/>
        <v>X-MOR01M</v>
      </c>
      <c r="AC1327" s="321" t="str">
        <f t="shared" si="692"/>
        <v>X-MOR01T</v>
      </c>
      <c r="AD1327" s="321" t="str">
        <f t="shared" si="693"/>
        <v>X-MOR01S</v>
      </c>
      <c r="AE1327" s="321" t="str">
        <f t="shared" si="694"/>
        <v>X-MOR01X</v>
      </c>
      <c r="AF1327" s="321" t="str">
        <f t="shared" si="695"/>
        <v>X-MOR01M</v>
      </c>
      <c r="AG1327" s="321">
        <f t="shared" si="658"/>
        <v>3</v>
      </c>
      <c r="AH1327" s="321">
        <f>IF(B1327&lt;&gt;"",IF(H1327="x",VLOOKUP(I1327,'AUX-NIV3'!B:AG,32,FALSE),0),"")</f>
        <v>0</v>
      </c>
      <c r="AI1327" s="321" t="str">
        <f t="shared" si="696"/>
        <v>X-MOR01</v>
      </c>
      <c r="AJ1327" s="320"/>
      <c r="AK1327" s="322">
        <f t="shared" si="659"/>
        <v>1325</v>
      </c>
      <c r="AL1327" s="323">
        <f t="shared" si="697"/>
        <v>1327</v>
      </c>
      <c r="AM1327" s="322">
        <f t="shared" si="698"/>
        <v>3</v>
      </c>
      <c r="AN1327" s="380">
        <f>IF(AND(AH1327&gt;0,B1327&lt;&gt;""),VLOOKUP(I1327,'AUX-NIV3'!$B:$AO,39,FALSE)*O1327,0)</f>
        <v>0</v>
      </c>
      <c r="AO1327" s="380">
        <f t="shared" si="660"/>
        <v>0</v>
      </c>
      <c r="AP1327" s="380"/>
    </row>
    <row r="1328" spans="2:42" ht="14.4" hidden="1" thickTop="1" thickBot="1">
      <c r="B1328" s="501" t="s">
        <v>3736</v>
      </c>
      <c r="C1328" s="951" t="s">
        <v>3737</v>
      </c>
      <c r="D1328" s="326" t="s">
        <v>1160</v>
      </c>
      <c r="E1328" s="327">
        <f>IF(B1328&lt;&gt;"",SUMIF('AUX-NIV1'!I:I,'AUX-NIV2'!B1328,'AUX-NIV1'!Q:Q),"")</f>
        <v>0</v>
      </c>
      <c r="F1328" s="327">
        <f t="shared" si="650"/>
        <v>5494.2954545454559</v>
      </c>
      <c r="G1328" s="327">
        <f t="shared" si="651"/>
        <v>0</v>
      </c>
      <c r="H1328" s="328" t="str">
        <f t="shared" si="685"/>
        <v>M</v>
      </c>
      <c r="I1328" s="324" t="s">
        <v>1889</v>
      </c>
      <c r="J1328" s="431" t="str">
        <f>IF(B1328&lt;&gt;"",+VLOOKUP(I1328,Recursos!C:F,2,FALSE),"")</f>
        <v>CEMENTO PORTLAND (BOLSA 50Kg)</v>
      </c>
      <c r="K1328" s="330" t="str">
        <f>IF(B1328&lt;&gt;"",+VLOOKUP(I1328,Recursos!C:F,3,FALSE),"")</f>
        <v>Un</v>
      </c>
      <c r="L1328" s="446">
        <f>IF(B1328&lt;&gt;"",+VLOOKUP(I1328,Recursos!C:F,4,FALSE),"")</f>
        <v>661.15702479338847</v>
      </c>
      <c r="M1328" s="1354">
        <v>50</v>
      </c>
      <c r="N1328" s="1355">
        <v>270</v>
      </c>
      <c r="O1328" s="449">
        <f>N1328/M1328</f>
        <v>5.4</v>
      </c>
      <c r="P1328" s="333">
        <f t="shared" si="686"/>
        <v>3570.2479338842982</v>
      </c>
      <c r="Q1328" s="327">
        <f t="shared" si="687"/>
        <v>0</v>
      </c>
      <c r="R1328" s="334">
        <f t="shared" si="688"/>
        <v>0</v>
      </c>
      <c r="S1328" s="335">
        <f t="shared" si="652"/>
        <v>0</v>
      </c>
      <c r="T1328" s="335">
        <f t="shared" si="653"/>
        <v>0</v>
      </c>
      <c r="U1328" s="336">
        <f t="shared" si="654"/>
        <v>5494.2954545454559</v>
      </c>
      <c r="V1328" s="336">
        <f t="shared" si="655"/>
        <v>0</v>
      </c>
      <c r="W1328" s="336">
        <f t="shared" si="656"/>
        <v>0</v>
      </c>
      <c r="X1328" s="336">
        <f t="shared" si="657"/>
        <v>0</v>
      </c>
      <c r="Y1328" s="320"/>
      <c r="Z1328" s="321" t="str">
        <f t="shared" si="689"/>
        <v>X-MOR02A</v>
      </c>
      <c r="AA1328" s="321" t="str">
        <f t="shared" si="690"/>
        <v>X-MOR02E</v>
      </c>
      <c r="AB1328" s="321" t="str">
        <f t="shared" si="691"/>
        <v>X-MOR02M</v>
      </c>
      <c r="AC1328" s="321" t="str">
        <f t="shared" si="692"/>
        <v>X-MOR02T</v>
      </c>
      <c r="AD1328" s="321" t="str">
        <f t="shared" si="693"/>
        <v>X-MOR02S</v>
      </c>
      <c r="AE1328" s="321" t="str">
        <f t="shared" si="694"/>
        <v>X-MOR02X</v>
      </c>
      <c r="AF1328" s="321" t="str">
        <f t="shared" si="695"/>
        <v>X-MOR02M</v>
      </c>
      <c r="AG1328" s="321">
        <f t="shared" si="658"/>
        <v>3</v>
      </c>
      <c r="AH1328" s="321">
        <f>IF(B1328&lt;&gt;"",IF(H1328="x",VLOOKUP(I1328,'AUX-NIV3'!B:AG,32,FALSE),0),"")</f>
        <v>0</v>
      </c>
      <c r="AI1328" s="321" t="str">
        <f t="shared" si="696"/>
        <v>X-MOR02</v>
      </c>
      <c r="AJ1328" s="320"/>
      <c r="AK1328" s="322">
        <f t="shared" si="659"/>
        <v>1328</v>
      </c>
      <c r="AL1328" s="323">
        <f t="shared" si="697"/>
        <v>1330</v>
      </c>
      <c r="AM1328" s="322">
        <f t="shared" si="698"/>
        <v>1</v>
      </c>
      <c r="AN1328" s="380">
        <f>IF(AND(AH1328&gt;0,B1328&lt;&gt;""),VLOOKUP(I1328,'AUX-NIV3'!$B:$AO,39,FALSE)*O1328,0)</f>
        <v>0</v>
      </c>
      <c r="AO1328" s="380">
        <f t="shared" si="660"/>
        <v>0</v>
      </c>
      <c r="AP1328" s="380"/>
    </row>
    <row r="1329" spans="2:42" ht="14.4" hidden="1" thickTop="1" thickBot="1">
      <c r="B1329" s="501" t="s">
        <v>3736</v>
      </c>
      <c r="C1329" s="951" t="s">
        <v>3737</v>
      </c>
      <c r="D1329" s="326" t="s">
        <v>1160</v>
      </c>
      <c r="E1329" s="327">
        <f>IF(B1329&lt;&gt;"",SUMIF('AUX-NIV1'!I:I,'AUX-NIV2'!B1329,'AUX-NIV1'!Q:Q),"")</f>
        <v>0</v>
      </c>
      <c r="F1329" s="327">
        <f t="shared" si="650"/>
        <v>5494.2954545454559</v>
      </c>
      <c r="G1329" s="327">
        <f t="shared" si="651"/>
        <v>0</v>
      </c>
      <c r="H1329" s="328" t="str">
        <f t="shared" si="685"/>
        <v>M</v>
      </c>
      <c r="I1329" s="324" t="s">
        <v>1512</v>
      </c>
      <c r="J1329" s="431" t="str">
        <f>IF(B1329&lt;&gt;"",+VLOOKUP(I1329,Recursos!C:F,2,FALSE),"")</f>
        <v>ARENA ZARANDEADA</v>
      </c>
      <c r="K1329" s="330" t="str">
        <f>IF(B1329&lt;&gt;"",+VLOOKUP(I1329,Recursos!C:F,3,FALSE),"")</f>
        <v>Tn</v>
      </c>
      <c r="L1329" s="446">
        <f>IF(B1329&lt;&gt;"",+VLOOKUP(I1329,Recursos!C:F,4,FALSE),"")</f>
        <v>900</v>
      </c>
      <c r="M1329" s="1356"/>
      <c r="N1329" s="1357">
        <v>1.6</v>
      </c>
      <c r="O1329" s="449">
        <f>N1329</f>
        <v>1.6</v>
      </c>
      <c r="P1329" s="333">
        <f t="shared" si="686"/>
        <v>1440</v>
      </c>
      <c r="Q1329" s="327">
        <f t="shared" si="687"/>
        <v>0</v>
      </c>
      <c r="R1329" s="334">
        <f t="shared" si="688"/>
        <v>0</v>
      </c>
      <c r="S1329" s="335">
        <f t="shared" si="652"/>
        <v>0</v>
      </c>
      <c r="T1329" s="335">
        <f t="shared" si="653"/>
        <v>0</v>
      </c>
      <c r="U1329" s="336">
        <f t="shared" si="654"/>
        <v>5494.2954545454559</v>
      </c>
      <c r="V1329" s="336">
        <f t="shared" si="655"/>
        <v>0</v>
      </c>
      <c r="W1329" s="336">
        <f t="shared" si="656"/>
        <v>0</v>
      </c>
      <c r="X1329" s="336">
        <f t="shared" si="657"/>
        <v>0</v>
      </c>
      <c r="Y1329" s="320"/>
      <c r="Z1329" s="321" t="str">
        <f t="shared" si="689"/>
        <v>X-MOR02A</v>
      </c>
      <c r="AA1329" s="321" t="str">
        <f t="shared" si="690"/>
        <v>X-MOR02E</v>
      </c>
      <c r="AB1329" s="321" t="str">
        <f t="shared" si="691"/>
        <v>X-MOR02M</v>
      </c>
      <c r="AC1329" s="321" t="str">
        <f t="shared" si="692"/>
        <v>X-MOR02T</v>
      </c>
      <c r="AD1329" s="321" t="str">
        <f t="shared" si="693"/>
        <v>X-MOR02S</v>
      </c>
      <c r="AE1329" s="321" t="str">
        <f t="shared" si="694"/>
        <v>X-MOR02X</v>
      </c>
      <c r="AF1329" s="321" t="str">
        <f t="shared" si="695"/>
        <v>X-MOR02M</v>
      </c>
      <c r="AG1329" s="321">
        <f t="shared" si="658"/>
        <v>3</v>
      </c>
      <c r="AH1329" s="321">
        <f>IF(B1329&lt;&gt;"",IF(H1329="x",VLOOKUP(I1329,'AUX-NIV3'!B:AG,32,FALSE),0),"")</f>
        <v>0</v>
      </c>
      <c r="AI1329" s="321" t="str">
        <f t="shared" si="696"/>
        <v>X-MOR02</v>
      </c>
      <c r="AJ1329" s="320"/>
      <c r="AK1329" s="322">
        <f t="shared" si="659"/>
        <v>1328</v>
      </c>
      <c r="AL1329" s="323">
        <f t="shared" si="697"/>
        <v>1330</v>
      </c>
      <c r="AM1329" s="322">
        <f t="shared" si="698"/>
        <v>2</v>
      </c>
      <c r="AN1329" s="380">
        <f>IF(AND(AH1329&gt;0,B1329&lt;&gt;""),VLOOKUP(I1329,'AUX-NIV3'!$B:$AO,39,FALSE)*O1329,0)</f>
        <v>0</v>
      </c>
      <c r="AO1329" s="380">
        <f t="shared" si="660"/>
        <v>0</v>
      </c>
      <c r="AP1329" s="380"/>
    </row>
    <row r="1330" spans="2:42" ht="14.4" hidden="1" thickTop="1" thickBot="1">
      <c r="B1330" s="501" t="s">
        <v>3736</v>
      </c>
      <c r="C1330" s="951" t="s">
        <v>3737</v>
      </c>
      <c r="D1330" s="326" t="s">
        <v>1160</v>
      </c>
      <c r="E1330" s="327">
        <f>IF(B1330&lt;&gt;"",SUMIF('AUX-NIV1'!I:I,'AUX-NIV2'!B1330,'AUX-NIV1'!Q:Q),"")</f>
        <v>0</v>
      </c>
      <c r="F1330" s="327">
        <f t="shared" si="650"/>
        <v>5494.2954545454559</v>
      </c>
      <c r="G1330" s="327">
        <f t="shared" si="651"/>
        <v>0</v>
      </c>
      <c r="H1330" s="328" t="str">
        <f t="shared" ref="H1330:H1353" si="713">IF(B1330&lt;&gt;"",+LEFT(I1330,1),"")</f>
        <v>M</v>
      </c>
      <c r="I1330" s="324" t="s">
        <v>3739</v>
      </c>
      <c r="J1330" s="431" t="str">
        <f>IF(B1330&lt;&gt;"",+VLOOKUP(I1330,Recursos!C:F,2,FALSE),"")</f>
        <v>HIDROFUGO SIKA-1</v>
      </c>
      <c r="K1330" s="330" t="str">
        <f>IF(B1330&lt;&gt;"",+VLOOKUP(I1330,Recursos!C:F,3,FALSE),"")</f>
        <v>Ltr</v>
      </c>
      <c r="L1330" s="446">
        <f>IF(B1330&lt;&gt;"",+VLOOKUP(I1330,Recursos!C:F,4,FALSE),"")</f>
        <v>35.855371900826448</v>
      </c>
      <c r="M1330" s="1358"/>
      <c r="N1330" s="1359">
        <f>50%*N1328*10%</f>
        <v>13.5</v>
      </c>
      <c r="O1330" s="449">
        <f>N1330</f>
        <v>13.5</v>
      </c>
      <c r="P1330" s="333">
        <f t="shared" ref="P1330:P1353" si="714">IF(B1330&lt;&gt;"",O1330*L1330,"")</f>
        <v>484.04752066115702</v>
      </c>
      <c r="Q1330" s="327">
        <f t="shared" ref="Q1330:Q1353" si="715">IF(B1330&lt;&gt;"",+O1330*E1330,"")</f>
        <v>0</v>
      </c>
      <c r="R1330" s="334">
        <f t="shared" ref="R1330:R1353" si="716">IF(B1330&lt;&gt;"",Q1330*L1330,"")</f>
        <v>0</v>
      </c>
      <c r="S1330" s="335">
        <f t="shared" si="652"/>
        <v>0</v>
      </c>
      <c r="T1330" s="335">
        <f t="shared" si="653"/>
        <v>0</v>
      </c>
      <c r="U1330" s="336">
        <f t="shared" si="654"/>
        <v>5494.2954545454559</v>
      </c>
      <c r="V1330" s="336">
        <f t="shared" si="655"/>
        <v>0</v>
      </c>
      <c r="W1330" s="336">
        <f t="shared" si="656"/>
        <v>0</v>
      </c>
      <c r="X1330" s="336">
        <f t="shared" si="657"/>
        <v>0</v>
      </c>
      <c r="Y1330" s="320"/>
      <c r="Z1330" s="321" t="str">
        <f t="shared" ref="Z1330:Z1353" si="717">IF(B1330&lt;&gt;"",+$B1330&amp;"A","")</f>
        <v>X-MOR02A</v>
      </c>
      <c r="AA1330" s="321" t="str">
        <f t="shared" ref="AA1330:AA1353" si="718">IF(B1330&lt;&gt;"",+$B1330&amp;"E","")</f>
        <v>X-MOR02E</v>
      </c>
      <c r="AB1330" s="321" t="str">
        <f t="shared" ref="AB1330:AB1353" si="719">IF(B1330&lt;&gt;"",++$B1330&amp;"M","")</f>
        <v>X-MOR02M</v>
      </c>
      <c r="AC1330" s="321" t="str">
        <f t="shared" ref="AC1330:AC1353" si="720">IF(B1330&lt;&gt;"",+$B1330&amp;"T","")</f>
        <v>X-MOR02T</v>
      </c>
      <c r="AD1330" s="321" t="str">
        <f t="shared" ref="AD1330:AD1353" si="721">IF(B1330&lt;&gt;"",+$B1330&amp;"S","")</f>
        <v>X-MOR02S</v>
      </c>
      <c r="AE1330" s="321" t="str">
        <f t="shared" ref="AE1330:AE1353" si="722">IF(B1330&lt;&gt;"",+$B1330&amp;"X","")</f>
        <v>X-MOR02X</v>
      </c>
      <c r="AF1330" s="321" t="str">
        <f t="shared" ref="AF1330:AF1353" si="723">IF(B1330&lt;&gt;"",+B1330&amp;H1330,"")</f>
        <v>X-MOR02M</v>
      </c>
      <c r="AG1330" s="321">
        <f t="shared" si="658"/>
        <v>3</v>
      </c>
      <c r="AH1330" s="321">
        <f>IF(B1330&lt;&gt;"",IF(H1330="x",VLOOKUP(I1330,'AUX-NIV3'!B:AG,32,FALSE),0),"")</f>
        <v>0</v>
      </c>
      <c r="AI1330" s="321" t="str">
        <f t="shared" ref="AI1330:AI1353" si="724">IF(B1330&lt;&gt;"",+B1330,"")</f>
        <v>X-MOR02</v>
      </c>
      <c r="AJ1330" s="320"/>
      <c r="AK1330" s="322">
        <f t="shared" si="659"/>
        <v>1328</v>
      </c>
      <c r="AL1330" s="323">
        <f t="shared" ref="AL1330:AL1353" si="725">IF(B1330&lt;&gt;"",+AK1330+AG1330-1,"")</f>
        <v>1330</v>
      </c>
      <c r="AM1330" s="322">
        <f t="shared" ref="AM1330:AM1340" si="726">IF(B1330&lt;&gt;"",IF(B1330=B1329,1+AM1329,1),"")</f>
        <v>3</v>
      </c>
      <c r="AN1330" s="380">
        <f>IF(AND(AH1330&gt;0,B1330&lt;&gt;""),VLOOKUP(I1330,'AUX-NIV3'!$B:$AO,39,FALSE)*O1330,0)</f>
        <v>0</v>
      </c>
      <c r="AO1330" s="380">
        <f t="shared" si="660"/>
        <v>0</v>
      </c>
      <c r="AP1330" s="380"/>
    </row>
    <row r="1331" spans="2:42" ht="14.4" hidden="1" thickTop="1" thickBot="1">
      <c r="B1331" s="501" t="s">
        <v>3742</v>
      </c>
      <c r="C1331" s="951" t="s">
        <v>3743</v>
      </c>
      <c r="D1331" s="326" t="s">
        <v>1160</v>
      </c>
      <c r="E1331" s="327">
        <f>IF(B1331&lt;&gt;"",SUMIF('AUX-NIV1'!I:I,'AUX-NIV2'!B1331,'AUX-NIV1'!Q:Q),"")</f>
        <v>0</v>
      </c>
      <c r="F1331" s="327">
        <f t="shared" si="650"/>
        <v>4905.1163636363644</v>
      </c>
      <c r="G1331" s="327">
        <f t="shared" si="651"/>
        <v>0</v>
      </c>
      <c r="H1331" s="328" t="str">
        <f t="shared" si="713"/>
        <v>M</v>
      </c>
      <c r="I1331" s="324" t="s">
        <v>1889</v>
      </c>
      <c r="J1331" s="431" t="str">
        <f>IF(B1331&lt;&gt;"",+VLOOKUP(I1331,Recursos!C:F,2,FALSE),"")</f>
        <v>CEMENTO PORTLAND (BOLSA 50Kg)</v>
      </c>
      <c r="K1331" s="330" t="str">
        <f>IF(B1331&lt;&gt;"",+VLOOKUP(I1331,Recursos!C:F,3,FALSE),"")</f>
        <v>Un</v>
      </c>
      <c r="L1331" s="446">
        <f>IF(B1331&lt;&gt;"",+VLOOKUP(I1331,Recursos!C:F,4,FALSE),"")</f>
        <v>661.15702479338847</v>
      </c>
      <c r="M1331" s="1354">
        <v>50</v>
      </c>
      <c r="N1331" s="1355">
        <v>270</v>
      </c>
      <c r="O1331" s="449">
        <f>N1331/M1331</f>
        <v>5.4</v>
      </c>
      <c r="P1331" s="333">
        <f t="shared" si="714"/>
        <v>3570.2479338842982</v>
      </c>
      <c r="Q1331" s="327">
        <f t="shared" si="715"/>
        <v>0</v>
      </c>
      <c r="R1331" s="334">
        <f t="shared" si="716"/>
        <v>0</v>
      </c>
      <c r="S1331" s="335">
        <f t="shared" si="652"/>
        <v>0</v>
      </c>
      <c r="T1331" s="335">
        <f t="shared" si="653"/>
        <v>0</v>
      </c>
      <c r="U1331" s="336">
        <f t="shared" si="654"/>
        <v>4905.1163636363644</v>
      </c>
      <c r="V1331" s="336">
        <f t="shared" si="655"/>
        <v>0</v>
      </c>
      <c r="W1331" s="336">
        <f t="shared" si="656"/>
        <v>0</v>
      </c>
      <c r="X1331" s="336">
        <f t="shared" si="657"/>
        <v>0</v>
      </c>
      <c r="Y1331" s="320"/>
      <c r="Z1331" s="321" t="str">
        <f t="shared" si="717"/>
        <v>X-MOR03A</v>
      </c>
      <c r="AA1331" s="321" t="str">
        <f t="shared" si="718"/>
        <v>X-MOR03E</v>
      </c>
      <c r="AB1331" s="321" t="str">
        <f t="shared" si="719"/>
        <v>X-MOR03M</v>
      </c>
      <c r="AC1331" s="321" t="str">
        <f t="shared" si="720"/>
        <v>X-MOR03T</v>
      </c>
      <c r="AD1331" s="321" t="str">
        <f t="shared" si="721"/>
        <v>X-MOR03S</v>
      </c>
      <c r="AE1331" s="321" t="str">
        <f t="shared" si="722"/>
        <v>X-MOR03X</v>
      </c>
      <c r="AF1331" s="321" t="str">
        <f t="shared" si="723"/>
        <v>X-MOR03M</v>
      </c>
      <c r="AG1331" s="321">
        <f t="shared" si="658"/>
        <v>4</v>
      </c>
      <c r="AH1331" s="321">
        <f>IF(B1331&lt;&gt;"",IF(H1331="x",VLOOKUP(I1331,'AUX-NIV3'!B:AG,32,FALSE),0),"")</f>
        <v>0</v>
      </c>
      <c r="AI1331" s="321" t="str">
        <f t="shared" si="724"/>
        <v>X-MOR03</v>
      </c>
      <c r="AJ1331" s="320"/>
      <c r="AK1331" s="322">
        <f t="shared" si="659"/>
        <v>1331</v>
      </c>
      <c r="AL1331" s="323">
        <f t="shared" si="725"/>
        <v>1334</v>
      </c>
      <c r="AM1331" s="322">
        <f t="shared" si="726"/>
        <v>1</v>
      </c>
      <c r="AN1331" s="380">
        <f>IF(AND(AH1331&gt;0,B1331&lt;&gt;""),VLOOKUP(I1331,'AUX-NIV3'!$B:$AO,39,FALSE)*O1331,0)</f>
        <v>0</v>
      </c>
      <c r="AO1331" s="380">
        <f t="shared" si="660"/>
        <v>0</v>
      </c>
      <c r="AP1331" s="380"/>
    </row>
    <row r="1332" spans="2:42" ht="14.4" hidden="1" thickTop="1" thickBot="1">
      <c r="B1332" s="501" t="s">
        <v>3742</v>
      </c>
      <c r="C1332" s="951" t="s">
        <v>3743</v>
      </c>
      <c r="D1332" s="326" t="s">
        <v>1160</v>
      </c>
      <c r="E1332" s="327">
        <f>IF(B1332&lt;&gt;"",SUMIF('AUX-NIV1'!I:I,'AUX-NIV2'!B1332,'AUX-NIV1'!Q:Q),"")</f>
        <v>0</v>
      </c>
      <c r="F1332" s="327">
        <f t="shared" si="650"/>
        <v>4905.1163636363644</v>
      </c>
      <c r="G1332" s="327">
        <f t="shared" si="651"/>
        <v>0</v>
      </c>
      <c r="H1332" s="328" t="str">
        <f t="shared" si="713"/>
        <v>M</v>
      </c>
      <c r="I1332" s="324" t="s">
        <v>1512</v>
      </c>
      <c r="J1332" s="431" t="str">
        <f>IF(B1332&lt;&gt;"",+VLOOKUP(I1332,Recursos!C:F,2,FALSE),"")</f>
        <v>ARENA ZARANDEADA</v>
      </c>
      <c r="K1332" s="330" t="str">
        <f>IF(B1332&lt;&gt;"",+VLOOKUP(I1332,Recursos!C:F,3,FALSE),"")</f>
        <v>Tn</v>
      </c>
      <c r="L1332" s="446">
        <f>IF(B1332&lt;&gt;"",+VLOOKUP(I1332,Recursos!C:F,4,FALSE),"")</f>
        <v>900</v>
      </c>
      <c r="M1332" s="1356"/>
      <c r="N1332" s="1357">
        <v>1.6</v>
      </c>
      <c r="O1332" s="449">
        <f>N1332*(1-M1333)</f>
        <v>0.64000000000000012</v>
      </c>
      <c r="P1332" s="333">
        <f t="shared" si="714"/>
        <v>576.00000000000011</v>
      </c>
      <c r="Q1332" s="327">
        <f t="shared" si="715"/>
        <v>0</v>
      </c>
      <c r="R1332" s="334">
        <f t="shared" si="716"/>
        <v>0</v>
      </c>
      <c r="S1332" s="335">
        <f t="shared" si="652"/>
        <v>0</v>
      </c>
      <c r="T1332" s="335">
        <f t="shared" si="653"/>
        <v>0</v>
      </c>
      <c r="U1332" s="336">
        <f t="shared" si="654"/>
        <v>4905.1163636363644</v>
      </c>
      <c r="V1332" s="336">
        <f t="shared" si="655"/>
        <v>0</v>
      </c>
      <c r="W1332" s="336">
        <f t="shared" si="656"/>
        <v>0</v>
      </c>
      <c r="X1332" s="336">
        <f t="shared" si="657"/>
        <v>0</v>
      </c>
      <c r="Y1332" s="320"/>
      <c r="Z1332" s="321" t="str">
        <f t="shared" si="717"/>
        <v>X-MOR03A</v>
      </c>
      <c r="AA1332" s="321" t="str">
        <f t="shared" si="718"/>
        <v>X-MOR03E</v>
      </c>
      <c r="AB1332" s="321" t="str">
        <f t="shared" si="719"/>
        <v>X-MOR03M</v>
      </c>
      <c r="AC1332" s="321" t="str">
        <f t="shared" si="720"/>
        <v>X-MOR03T</v>
      </c>
      <c r="AD1332" s="321" t="str">
        <f t="shared" si="721"/>
        <v>X-MOR03S</v>
      </c>
      <c r="AE1332" s="321" t="str">
        <f t="shared" si="722"/>
        <v>X-MOR03X</v>
      </c>
      <c r="AF1332" s="321" t="str">
        <f t="shared" si="723"/>
        <v>X-MOR03M</v>
      </c>
      <c r="AG1332" s="321">
        <f t="shared" si="658"/>
        <v>4</v>
      </c>
      <c r="AH1332" s="321">
        <f>IF(B1332&lt;&gt;"",IF(H1332="x",VLOOKUP(I1332,'AUX-NIV3'!B:AG,32,FALSE),0),"")</f>
        <v>0</v>
      </c>
      <c r="AI1332" s="321" t="str">
        <f t="shared" si="724"/>
        <v>X-MOR03</v>
      </c>
      <c r="AJ1332" s="320"/>
      <c r="AK1332" s="322">
        <f t="shared" si="659"/>
        <v>1331</v>
      </c>
      <c r="AL1332" s="323">
        <f t="shared" si="725"/>
        <v>1334</v>
      </c>
      <c r="AM1332" s="322">
        <f t="shared" si="726"/>
        <v>2</v>
      </c>
      <c r="AN1332" s="380">
        <f>IF(AND(AH1332&gt;0,B1332&lt;&gt;""),VLOOKUP(I1332,'AUX-NIV3'!$B:$AO,39,FALSE)*O1332,0)</f>
        <v>0</v>
      </c>
      <c r="AO1332" s="380">
        <f t="shared" si="660"/>
        <v>0</v>
      </c>
      <c r="AP1332" s="380"/>
    </row>
    <row r="1333" spans="2:42" ht="14.4" hidden="1" thickTop="1" thickBot="1">
      <c r="B1333" s="501" t="s">
        <v>3742</v>
      </c>
      <c r="C1333" s="951" t="s">
        <v>3743</v>
      </c>
      <c r="D1333" s="326" t="s">
        <v>1160</v>
      </c>
      <c r="E1333" s="327">
        <f>IF(B1333&lt;&gt;"",SUMIF('AUX-NIV1'!I:I,'AUX-NIV2'!B1333,'AUX-NIV1'!Q:Q),"")</f>
        <v>0</v>
      </c>
      <c r="F1333" s="327">
        <f t="shared" si="650"/>
        <v>4905.1163636363644</v>
      </c>
      <c r="G1333" s="327">
        <f t="shared" si="651"/>
        <v>0</v>
      </c>
      <c r="H1333" s="328" t="str">
        <f t="shared" si="713"/>
        <v>M</v>
      </c>
      <c r="I1333" s="324" t="s">
        <v>1510</v>
      </c>
      <c r="J1333" s="431" t="str">
        <f>IF(B1333&lt;&gt;"",+VLOOKUP(I1333,Recursos!C:F,2,FALSE),"")</f>
        <v>AGREGADO GRUESO</v>
      </c>
      <c r="K1333" s="330" t="str">
        <f>IF(B1333&lt;&gt;"",+VLOOKUP(I1333,Recursos!C:F,3,FALSE),"")</f>
        <v>Tn</v>
      </c>
      <c r="L1333" s="446">
        <f>IF(B1333&lt;&gt;"",+VLOOKUP(I1333,Recursos!C:F,4,FALSE),"")</f>
        <v>900</v>
      </c>
      <c r="M1333" s="1026">
        <v>0.6</v>
      </c>
      <c r="N1333" s="1027">
        <v>1.4</v>
      </c>
      <c r="O1333" s="1361">
        <f>N1333*M1333</f>
        <v>0.84</v>
      </c>
      <c r="P1333" s="333">
        <f t="shared" si="714"/>
        <v>756</v>
      </c>
      <c r="Q1333" s="327">
        <f t="shared" si="715"/>
        <v>0</v>
      </c>
      <c r="R1333" s="334">
        <f t="shared" si="716"/>
        <v>0</v>
      </c>
      <c r="S1333" s="335">
        <f t="shared" si="652"/>
        <v>0</v>
      </c>
      <c r="T1333" s="335">
        <f t="shared" si="653"/>
        <v>0</v>
      </c>
      <c r="U1333" s="336">
        <f t="shared" si="654"/>
        <v>4905.1163636363644</v>
      </c>
      <c r="V1333" s="336">
        <f t="shared" si="655"/>
        <v>0</v>
      </c>
      <c r="W1333" s="336">
        <f t="shared" si="656"/>
        <v>0</v>
      </c>
      <c r="X1333" s="336">
        <f t="shared" si="657"/>
        <v>0</v>
      </c>
      <c r="Y1333" s="320"/>
      <c r="Z1333" s="321" t="str">
        <f t="shared" si="717"/>
        <v>X-MOR03A</v>
      </c>
      <c r="AA1333" s="321" t="str">
        <f t="shared" si="718"/>
        <v>X-MOR03E</v>
      </c>
      <c r="AB1333" s="321" t="str">
        <f t="shared" si="719"/>
        <v>X-MOR03M</v>
      </c>
      <c r="AC1333" s="321" t="str">
        <f t="shared" si="720"/>
        <v>X-MOR03T</v>
      </c>
      <c r="AD1333" s="321" t="str">
        <f t="shared" si="721"/>
        <v>X-MOR03S</v>
      </c>
      <c r="AE1333" s="321" t="str">
        <f t="shared" si="722"/>
        <v>X-MOR03X</v>
      </c>
      <c r="AF1333" s="321" t="str">
        <f t="shared" si="723"/>
        <v>X-MOR03M</v>
      </c>
      <c r="AG1333" s="321">
        <f t="shared" si="658"/>
        <v>4</v>
      </c>
      <c r="AH1333" s="321">
        <f>IF(B1333&lt;&gt;"",IF(H1333="x",VLOOKUP(I1333,'AUX-NIV3'!B:AG,32,FALSE),0),"")</f>
        <v>0</v>
      </c>
      <c r="AI1333" s="321" t="str">
        <f t="shared" si="724"/>
        <v>X-MOR03</v>
      </c>
      <c r="AJ1333" s="320"/>
      <c r="AK1333" s="322">
        <f t="shared" si="659"/>
        <v>1331</v>
      </c>
      <c r="AL1333" s="323">
        <f t="shared" si="725"/>
        <v>1334</v>
      </c>
      <c r="AM1333" s="322">
        <f t="shared" si="726"/>
        <v>3</v>
      </c>
      <c r="AN1333" s="380">
        <f>IF(AND(AH1333&gt;0,B1333&lt;&gt;""),VLOOKUP(I1333,'AUX-NIV3'!$B:$AO,39,FALSE)*O1333,0)</f>
        <v>0</v>
      </c>
      <c r="AO1333" s="380">
        <f t="shared" si="660"/>
        <v>0</v>
      </c>
      <c r="AP1333" s="380"/>
    </row>
    <row r="1334" spans="2:42" ht="14.4" hidden="1" thickTop="1" thickBot="1">
      <c r="B1334" s="501" t="s">
        <v>3742</v>
      </c>
      <c r="C1334" s="951" t="s">
        <v>3743</v>
      </c>
      <c r="D1334" s="326" t="s">
        <v>1160</v>
      </c>
      <c r="E1334" s="327">
        <f>IF(B1334&lt;&gt;"",SUMIF('AUX-NIV1'!I:I,'AUX-NIV2'!B1334,'AUX-NIV1'!Q:Q),"")</f>
        <v>0</v>
      </c>
      <c r="F1334" s="327">
        <f t="shared" si="650"/>
        <v>4905.1163636363644</v>
      </c>
      <c r="G1334" s="327">
        <f t="shared" si="651"/>
        <v>0</v>
      </c>
      <c r="H1334" s="328" t="str">
        <f t="shared" si="713"/>
        <v>M</v>
      </c>
      <c r="I1334" s="324" t="s">
        <v>3739</v>
      </c>
      <c r="J1334" s="431" t="str">
        <f>IF(B1334&lt;&gt;"",+VLOOKUP(I1334,Recursos!C:F,2,FALSE),"")</f>
        <v>HIDROFUGO SIKA-1</v>
      </c>
      <c r="K1334" s="330" t="str">
        <f>IF(B1334&lt;&gt;"",+VLOOKUP(I1334,Recursos!C:F,3,FALSE),"")</f>
        <v>Ltr</v>
      </c>
      <c r="L1334" s="446">
        <f>IF(B1334&lt;&gt;"",+VLOOKUP(I1334,Recursos!C:F,4,FALSE),"")</f>
        <v>35.855371900826448</v>
      </c>
      <c r="M1334" s="1358"/>
      <c r="N1334" s="1359">
        <f>50%*N1332*10%</f>
        <v>8.0000000000000016E-2</v>
      </c>
      <c r="O1334" s="449">
        <f>N1334</f>
        <v>8.0000000000000016E-2</v>
      </c>
      <c r="P1334" s="333">
        <f t="shared" si="714"/>
        <v>2.8684297520661164</v>
      </c>
      <c r="Q1334" s="327">
        <f t="shared" si="715"/>
        <v>0</v>
      </c>
      <c r="R1334" s="334">
        <f t="shared" si="716"/>
        <v>0</v>
      </c>
      <c r="S1334" s="335">
        <f t="shared" si="652"/>
        <v>0</v>
      </c>
      <c r="T1334" s="335">
        <f t="shared" si="653"/>
        <v>0</v>
      </c>
      <c r="U1334" s="336">
        <f t="shared" si="654"/>
        <v>4905.1163636363644</v>
      </c>
      <c r="V1334" s="336">
        <f t="shared" si="655"/>
        <v>0</v>
      </c>
      <c r="W1334" s="336">
        <f t="shared" si="656"/>
        <v>0</v>
      </c>
      <c r="X1334" s="336">
        <f t="shared" si="657"/>
        <v>0</v>
      </c>
      <c r="Y1334" s="320"/>
      <c r="Z1334" s="321" t="str">
        <f t="shared" si="717"/>
        <v>X-MOR03A</v>
      </c>
      <c r="AA1334" s="321" t="str">
        <f t="shared" si="718"/>
        <v>X-MOR03E</v>
      </c>
      <c r="AB1334" s="321" t="str">
        <f t="shared" si="719"/>
        <v>X-MOR03M</v>
      </c>
      <c r="AC1334" s="321" t="str">
        <f t="shared" si="720"/>
        <v>X-MOR03T</v>
      </c>
      <c r="AD1334" s="321" t="str">
        <f t="shared" si="721"/>
        <v>X-MOR03S</v>
      </c>
      <c r="AE1334" s="321" t="str">
        <f t="shared" si="722"/>
        <v>X-MOR03X</v>
      </c>
      <c r="AF1334" s="321" t="str">
        <f t="shared" si="723"/>
        <v>X-MOR03M</v>
      </c>
      <c r="AG1334" s="321">
        <f t="shared" si="658"/>
        <v>4</v>
      </c>
      <c r="AH1334" s="321">
        <f>IF(B1334&lt;&gt;"",IF(H1334="x",VLOOKUP(I1334,'AUX-NIV3'!B:AG,32,FALSE),0),"")</f>
        <v>0</v>
      </c>
      <c r="AI1334" s="321" t="str">
        <f t="shared" si="724"/>
        <v>X-MOR03</v>
      </c>
      <c r="AJ1334" s="320"/>
      <c r="AK1334" s="322">
        <f t="shared" si="659"/>
        <v>1331</v>
      </c>
      <c r="AL1334" s="323">
        <f t="shared" si="725"/>
        <v>1334</v>
      </c>
      <c r="AM1334" s="322">
        <f t="shared" si="726"/>
        <v>4</v>
      </c>
      <c r="AN1334" s="380">
        <f>IF(AND(AH1334&gt;0,B1334&lt;&gt;""),VLOOKUP(I1334,'AUX-NIV3'!$B:$AO,39,FALSE)*O1334,0)</f>
        <v>0</v>
      </c>
      <c r="AO1334" s="380">
        <f t="shared" si="660"/>
        <v>0</v>
      </c>
      <c r="AP1334" s="380"/>
    </row>
    <row r="1335" spans="2:42" ht="14.4" hidden="1" thickTop="1" thickBot="1">
      <c r="B1335" s="501" t="s">
        <v>3745</v>
      </c>
      <c r="C1335" s="951" t="s">
        <v>3746</v>
      </c>
      <c r="D1335" s="326" t="s">
        <v>1160</v>
      </c>
      <c r="E1335" s="327">
        <f>IF(B1335&lt;&gt;"",SUMIF('AUX-NIV1'!I:I,'AUX-NIV2'!B1335,'AUX-NIV1'!Q:Q),"")</f>
        <v>0</v>
      </c>
      <c r="F1335" s="327">
        <f t="shared" si="650"/>
        <v>4902.2479338842986</v>
      </c>
      <c r="G1335" s="327">
        <f t="shared" si="651"/>
        <v>0</v>
      </c>
      <c r="H1335" s="328" t="str">
        <f t="shared" si="713"/>
        <v>M</v>
      </c>
      <c r="I1335" s="324" t="s">
        <v>1889</v>
      </c>
      <c r="J1335" s="431" t="str">
        <f>IF(B1335&lt;&gt;"",+VLOOKUP(I1335,Recursos!C:F,2,FALSE),"")</f>
        <v>CEMENTO PORTLAND (BOLSA 50Kg)</v>
      </c>
      <c r="K1335" s="330" t="str">
        <f>IF(B1335&lt;&gt;"",+VLOOKUP(I1335,Recursos!C:F,3,FALSE),"")</f>
        <v>Un</v>
      </c>
      <c r="L1335" s="446">
        <f>IF(B1335&lt;&gt;"",+VLOOKUP(I1335,Recursos!C:F,4,FALSE),"")</f>
        <v>661.15702479338847</v>
      </c>
      <c r="M1335" s="1270">
        <v>50</v>
      </c>
      <c r="N1335" s="1352">
        <v>270</v>
      </c>
      <c r="O1335" s="449">
        <f>N1335/M1335</f>
        <v>5.4</v>
      </c>
      <c r="P1335" s="333">
        <f t="shared" si="714"/>
        <v>3570.2479338842982</v>
      </c>
      <c r="Q1335" s="327">
        <f t="shared" si="715"/>
        <v>0</v>
      </c>
      <c r="R1335" s="334">
        <f t="shared" si="716"/>
        <v>0</v>
      </c>
      <c r="S1335" s="335">
        <f t="shared" si="652"/>
        <v>0</v>
      </c>
      <c r="T1335" s="335">
        <f t="shared" si="653"/>
        <v>0</v>
      </c>
      <c r="U1335" s="336">
        <f t="shared" si="654"/>
        <v>4902.2479338842986</v>
      </c>
      <c r="V1335" s="336">
        <f t="shared" si="655"/>
        <v>0</v>
      </c>
      <c r="W1335" s="336">
        <f t="shared" si="656"/>
        <v>0</v>
      </c>
      <c r="X1335" s="336">
        <f t="shared" si="657"/>
        <v>0</v>
      </c>
      <c r="Y1335" s="320"/>
      <c r="Z1335" s="321" t="str">
        <f t="shared" si="717"/>
        <v>X-MOR04A</v>
      </c>
      <c r="AA1335" s="321" t="str">
        <f t="shared" si="718"/>
        <v>X-MOR04E</v>
      </c>
      <c r="AB1335" s="321" t="str">
        <f t="shared" si="719"/>
        <v>X-MOR04M</v>
      </c>
      <c r="AC1335" s="321" t="str">
        <f t="shared" si="720"/>
        <v>X-MOR04T</v>
      </c>
      <c r="AD1335" s="321" t="str">
        <f t="shared" si="721"/>
        <v>X-MOR04S</v>
      </c>
      <c r="AE1335" s="321" t="str">
        <f t="shared" si="722"/>
        <v>X-MOR04X</v>
      </c>
      <c r="AF1335" s="321" t="str">
        <f t="shared" si="723"/>
        <v>X-MOR04M</v>
      </c>
      <c r="AG1335" s="321">
        <f t="shared" si="658"/>
        <v>3</v>
      </c>
      <c r="AH1335" s="321">
        <f>IF(B1335&lt;&gt;"",IF(H1335="x",VLOOKUP(I1335,'AUX-NIV3'!B:AG,32,FALSE),0),"")</f>
        <v>0</v>
      </c>
      <c r="AI1335" s="321" t="str">
        <f t="shared" si="724"/>
        <v>X-MOR04</v>
      </c>
      <c r="AJ1335" s="320"/>
      <c r="AK1335" s="322">
        <f t="shared" si="659"/>
        <v>1335</v>
      </c>
      <c r="AL1335" s="323">
        <f t="shared" si="725"/>
        <v>1337</v>
      </c>
      <c r="AM1335" s="322">
        <f t="shared" si="726"/>
        <v>1</v>
      </c>
      <c r="AN1335" s="380">
        <f>IF(AND(AH1335&gt;0,B1335&lt;&gt;""),VLOOKUP(I1335,'AUX-NIV3'!$B:$AO,39,FALSE)*O1335,0)</f>
        <v>0</v>
      </c>
      <c r="AO1335" s="380">
        <f t="shared" si="660"/>
        <v>0</v>
      </c>
      <c r="AP1335" s="380"/>
    </row>
    <row r="1336" spans="2:42" ht="14.4" hidden="1" thickTop="1" thickBot="1">
      <c r="B1336" s="501" t="s">
        <v>3745</v>
      </c>
      <c r="C1336" s="951" t="s">
        <v>3746</v>
      </c>
      <c r="D1336" s="326" t="s">
        <v>1160</v>
      </c>
      <c r="E1336" s="327">
        <f>IF(B1336&lt;&gt;"",SUMIF('AUX-NIV1'!I:I,'AUX-NIV2'!B1336,'AUX-NIV1'!Q:Q),"")</f>
        <v>0</v>
      </c>
      <c r="F1336" s="327">
        <f t="shared" si="650"/>
        <v>4902.2479338842986</v>
      </c>
      <c r="G1336" s="327">
        <f t="shared" si="651"/>
        <v>0</v>
      </c>
      <c r="H1336" s="328" t="str">
        <f t="shared" si="713"/>
        <v>M</v>
      </c>
      <c r="I1336" s="324" t="s">
        <v>1512</v>
      </c>
      <c r="J1336" s="431" t="str">
        <f>IF(B1336&lt;&gt;"",+VLOOKUP(I1336,Recursos!C:F,2,FALSE),"")</f>
        <v>ARENA ZARANDEADA</v>
      </c>
      <c r="K1336" s="330" t="str">
        <f>IF(B1336&lt;&gt;"",+VLOOKUP(I1336,Recursos!C:F,3,FALSE),"")</f>
        <v>Tn</v>
      </c>
      <c r="L1336" s="446">
        <f>IF(B1336&lt;&gt;"",+VLOOKUP(I1336,Recursos!C:F,4,FALSE),"")</f>
        <v>900</v>
      </c>
      <c r="M1336" s="1276"/>
      <c r="N1336" s="1353">
        <v>1.6</v>
      </c>
      <c r="O1336" s="449">
        <f>N1336*(1-M1337)</f>
        <v>0.64000000000000012</v>
      </c>
      <c r="P1336" s="333">
        <f t="shared" si="714"/>
        <v>576.00000000000011</v>
      </c>
      <c r="Q1336" s="327">
        <f t="shared" si="715"/>
        <v>0</v>
      </c>
      <c r="R1336" s="334">
        <f t="shared" si="716"/>
        <v>0</v>
      </c>
      <c r="S1336" s="335">
        <f t="shared" si="652"/>
        <v>0</v>
      </c>
      <c r="T1336" s="335">
        <f t="shared" si="653"/>
        <v>0</v>
      </c>
      <c r="U1336" s="336">
        <f t="shared" si="654"/>
        <v>4902.2479338842986</v>
      </c>
      <c r="V1336" s="336">
        <f t="shared" si="655"/>
        <v>0</v>
      </c>
      <c r="W1336" s="336">
        <f t="shared" si="656"/>
        <v>0</v>
      </c>
      <c r="X1336" s="336">
        <f t="shared" si="657"/>
        <v>0</v>
      </c>
      <c r="Y1336" s="320"/>
      <c r="Z1336" s="321" t="str">
        <f t="shared" si="717"/>
        <v>X-MOR04A</v>
      </c>
      <c r="AA1336" s="321" t="str">
        <f t="shared" si="718"/>
        <v>X-MOR04E</v>
      </c>
      <c r="AB1336" s="321" t="str">
        <f t="shared" si="719"/>
        <v>X-MOR04M</v>
      </c>
      <c r="AC1336" s="321" t="str">
        <f t="shared" si="720"/>
        <v>X-MOR04T</v>
      </c>
      <c r="AD1336" s="321" t="str">
        <f t="shared" si="721"/>
        <v>X-MOR04S</v>
      </c>
      <c r="AE1336" s="321" t="str">
        <f t="shared" si="722"/>
        <v>X-MOR04X</v>
      </c>
      <c r="AF1336" s="321" t="str">
        <f t="shared" si="723"/>
        <v>X-MOR04M</v>
      </c>
      <c r="AG1336" s="321">
        <f t="shared" si="658"/>
        <v>3</v>
      </c>
      <c r="AH1336" s="321">
        <f>IF(B1336&lt;&gt;"",IF(H1336="x",VLOOKUP(I1336,'AUX-NIV3'!B:AG,32,FALSE),0),"")</f>
        <v>0</v>
      </c>
      <c r="AI1336" s="321" t="str">
        <f t="shared" si="724"/>
        <v>X-MOR04</v>
      </c>
      <c r="AJ1336" s="320"/>
      <c r="AK1336" s="322">
        <f t="shared" si="659"/>
        <v>1335</v>
      </c>
      <c r="AL1336" s="323">
        <f t="shared" si="725"/>
        <v>1337</v>
      </c>
      <c r="AM1336" s="322">
        <f t="shared" si="726"/>
        <v>2</v>
      </c>
      <c r="AN1336" s="380">
        <f>IF(AND(AH1336&gt;0,B1336&lt;&gt;""),VLOOKUP(I1336,'AUX-NIV3'!$B:$AO,39,FALSE)*O1336,0)</f>
        <v>0</v>
      </c>
      <c r="AO1336" s="380">
        <f t="shared" si="660"/>
        <v>0</v>
      </c>
      <c r="AP1336" s="380"/>
    </row>
    <row r="1337" spans="2:42" ht="14.4" hidden="1" thickTop="1" thickBot="1">
      <c r="B1337" s="501" t="s">
        <v>3745</v>
      </c>
      <c r="C1337" s="951" t="s">
        <v>3746</v>
      </c>
      <c r="D1337" s="326" t="s">
        <v>1160</v>
      </c>
      <c r="E1337" s="327">
        <f>IF(B1337&lt;&gt;"",SUMIF('AUX-NIV1'!I:I,'AUX-NIV2'!B1337,'AUX-NIV1'!Q:Q),"")</f>
        <v>0</v>
      </c>
      <c r="F1337" s="327">
        <f t="shared" si="650"/>
        <v>4902.2479338842986</v>
      </c>
      <c r="G1337" s="327">
        <f t="shared" si="651"/>
        <v>0</v>
      </c>
      <c r="H1337" s="328" t="str">
        <f t="shared" si="713"/>
        <v>M</v>
      </c>
      <c r="I1337" s="324" t="s">
        <v>1510</v>
      </c>
      <c r="J1337" s="431" t="str">
        <f>IF(B1337&lt;&gt;"",+VLOOKUP(I1337,Recursos!C:F,2,FALSE),"")</f>
        <v>AGREGADO GRUESO</v>
      </c>
      <c r="K1337" s="330" t="str">
        <f>IF(B1337&lt;&gt;"",+VLOOKUP(I1337,Recursos!C:F,3,FALSE),"")</f>
        <v>Tn</v>
      </c>
      <c r="L1337" s="446">
        <f>IF(B1337&lt;&gt;"",+VLOOKUP(I1337,Recursos!C:F,4,FALSE),"")</f>
        <v>900</v>
      </c>
      <c r="M1337" s="1274">
        <v>0.6</v>
      </c>
      <c r="N1337" s="1275">
        <v>1.4</v>
      </c>
      <c r="O1337" s="1361">
        <f>N1337*M1337</f>
        <v>0.84</v>
      </c>
      <c r="P1337" s="333">
        <f t="shared" si="714"/>
        <v>756</v>
      </c>
      <c r="Q1337" s="327">
        <f t="shared" si="715"/>
        <v>0</v>
      </c>
      <c r="R1337" s="334">
        <f t="shared" si="716"/>
        <v>0</v>
      </c>
      <c r="S1337" s="335">
        <f t="shared" si="652"/>
        <v>0</v>
      </c>
      <c r="T1337" s="335">
        <f t="shared" si="653"/>
        <v>0</v>
      </c>
      <c r="U1337" s="336">
        <f t="shared" si="654"/>
        <v>4902.2479338842986</v>
      </c>
      <c r="V1337" s="336">
        <f t="shared" si="655"/>
        <v>0</v>
      </c>
      <c r="W1337" s="336">
        <f t="shared" si="656"/>
        <v>0</v>
      </c>
      <c r="X1337" s="336">
        <f t="shared" si="657"/>
        <v>0</v>
      </c>
      <c r="Y1337" s="320"/>
      <c r="Z1337" s="321" t="str">
        <f t="shared" si="717"/>
        <v>X-MOR04A</v>
      </c>
      <c r="AA1337" s="321" t="str">
        <f t="shared" si="718"/>
        <v>X-MOR04E</v>
      </c>
      <c r="AB1337" s="321" t="str">
        <f t="shared" si="719"/>
        <v>X-MOR04M</v>
      </c>
      <c r="AC1337" s="321" t="str">
        <f t="shared" si="720"/>
        <v>X-MOR04T</v>
      </c>
      <c r="AD1337" s="321" t="str">
        <f t="shared" si="721"/>
        <v>X-MOR04S</v>
      </c>
      <c r="AE1337" s="321" t="str">
        <f t="shared" si="722"/>
        <v>X-MOR04X</v>
      </c>
      <c r="AF1337" s="321" t="str">
        <f t="shared" si="723"/>
        <v>X-MOR04M</v>
      </c>
      <c r="AG1337" s="321">
        <f t="shared" si="658"/>
        <v>3</v>
      </c>
      <c r="AH1337" s="321">
        <f>IF(B1337&lt;&gt;"",IF(H1337="x",VLOOKUP(I1337,'AUX-NIV3'!B:AG,32,FALSE),0),"")</f>
        <v>0</v>
      </c>
      <c r="AI1337" s="321" t="str">
        <f t="shared" si="724"/>
        <v>X-MOR04</v>
      </c>
      <c r="AJ1337" s="320"/>
      <c r="AK1337" s="322">
        <f t="shared" si="659"/>
        <v>1335</v>
      </c>
      <c r="AL1337" s="323">
        <f t="shared" si="725"/>
        <v>1337</v>
      </c>
      <c r="AM1337" s="322">
        <f t="shared" si="726"/>
        <v>3</v>
      </c>
      <c r="AN1337" s="380">
        <f>IF(AND(AH1337&gt;0,B1337&lt;&gt;""),VLOOKUP(I1337,'AUX-NIV3'!$B:$AO,39,FALSE)*O1337,0)</f>
        <v>0</v>
      </c>
      <c r="AO1337" s="380">
        <f t="shared" si="660"/>
        <v>0</v>
      </c>
      <c r="AP1337" s="380"/>
    </row>
    <row r="1338" spans="2:42" ht="14.4" hidden="1" thickTop="1" thickBot="1">
      <c r="B1338" s="501" t="s">
        <v>3768</v>
      </c>
      <c r="C1338" s="951" t="s">
        <v>3769</v>
      </c>
      <c r="D1338" s="326" t="s">
        <v>1160</v>
      </c>
      <c r="E1338" s="327">
        <f>IF(B1338&lt;&gt;"",SUMIF('AUX-NIV1'!I:I,'AUX-NIV2'!B1338,'AUX-NIV1'!Q:Q),"")</f>
        <v>0</v>
      </c>
      <c r="F1338" s="327">
        <f t="shared" si="650"/>
        <v>11831.702479338845</v>
      </c>
      <c r="G1338" s="327">
        <f t="shared" si="651"/>
        <v>0</v>
      </c>
      <c r="H1338" s="328" t="str">
        <f t="shared" si="713"/>
        <v>M</v>
      </c>
      <c r="I1338" s="324" t="s">
        <v>1889</v>
      </c>
      <c r="J1338" s="431" t="str">
        <f>IF(B1338&lt;&gt;"",+VLOOKUP(I1338,Recursos!C:F,2,FALSE),"")</f>
        <v>CEMENTO PORTLAND (BOLSA 50Kg)</v>
      </c>
      <c r="K1338" s="330" t="str">
        <f>IF(B1338&lt;&gt;"",+VLOOKUP(I1338,Recursos!C:F,3,FALSE),"")</f>
        <v>Un</v>
      </c>
      <c r="L1338" s="446">
        <f>IF(B1338&lt;&gt;"",+VLOOKUP(I1338,Recursos!C:F,4,FALSE),"")</f>
        <v>661.15702479338847</v>
      </c>
      <c r="M1338" s="1270">
        <v>50</v>
      </c>
      <c r="N1338" s="1352">
        <v>100</v>
      </c>
      <c r="O1338" s="449">
        <f t="shared" ref="O1338:O1339" si="727">N1338/M1338</f>
        <v>2</v>
      </c>
      <c r="P1338" s="333">
        <f t="shared" si="714"/>
        <v>1322.3140495867769</v>
      </c>
      <c r="Q1338" s="327">
        <f t="shared" si="715"/>
        <v>0</v>
      </c>
      <c r="R1338" s="334">
        <f t="shared" si="716"/>
        <v>0</v>
      </c>
      <c r="S1338" s="335">
        <f t="shared" si="652"/>
        <v>0</v>
      </c>
      <c r="T1338" s="335">
        <f t="shared" si="653"/>
        <v>0</v>
      </c>
      <c r="U1338" s="336">
        <f t="shared" si="654"/>
        <v>11831.702479338845</v>
      </c>
      <c r="V1338" s="336">
        <f t="shared" si="655"/>
        <v>0</v>
      </c>
      <c r="W1338" s="336">
        <f t="shared" si="656"/>
        <v>0</v>
      </c>
      <c r="X1338" s="336">
        <f t="shared" si="657"/>
        <v>0</v>
      </c>
      <c r="Y1338" s="320"/>
      <c r="Z1338" s="321" t="str">
        <f t="shared" si="717"/>
        <v>X-MOR05A</v>
      </c>
      <c r="AA1338" s="321" t="str">
        <f t="shared" si="718"/>
        <v>X-MOR05E</v>
      </c>
      <c r="AB1338" s="321" t="str">
        <f t="shared" si="719"/>
        <v>X-MOR05M</v>
      </c>
      <c r="AC1338" s="321" t="str">
        <f t="shared" si="720"/>
        <v>X-MOR05T</v>
      </c>
      <c r="AD1338" s="321" t="str">
        <f t="shared" si="721"/>
        <v>X-MOR05S</v>
      </c>
      <c r="AE1338" s="321" t="str">
        <f t="shared" si="722"/>
        <v>X-MOR05X</v>
      </c>
      <c r="AF1338" s="321" t="str">
        <f t="shared" si="723"/>
        <v>X-MOR05M</v>
      </c>
      <c r="AG1338" s="321">
        <f t="shared" si="658"/>
        <v>3</v>
      </c>
      <c r="AH1338" s="321">
        <f>IF(B1338&lt;&gt;"",IF(H1338="x",VLOOKUP(I1338,'AUX-NIV3'!B:AG,32,FALSE),0),"")</f>
        <v>0</v>
      </c>
      <c r="AI1338" s="321" t="str">
        <f t="shared" si="724"/>
        <v>X-MOR05</v>
      </c>
      <c r="AJ1338" s="320"/>
      <c r="AK1338" s="322">
        <f t="shared" si="659"/>
        <v>1338</v>
      </c>
      <c r="AL1338" s="323">
        <f t="shared" si="725"/>
        <v>1340</v>
      </c>
      <c r="AM1338" s="322">
        <f t="shared" si="726"/>
        <v>1</v>
      </c>
      <c r="AN1338" s="380">
        <f>IF(AND(AH1338&gt;0,B1338&lt;&gt;""),VLOOKUP(I1338,'AUX-NIV3'!$B:$AO,39,FALSE)*O1338,0)</f>
        <v>0</v>
      </c>
      <c r="AO1338" s="380">
        <f t="shared" si="660"/>
        <v>0</v>
      </c>
      <c r="AP1338" s="380"/>
    </row>
    <row r="1339" spans="2:42" ht="14.4" hidden="1" thickTop="1" thickBot="1">
      <c r="B1339" s="501" t="s">
        <v>3768</v>
      </c>
      <c r="C1339" s="951" t="s">
        <v>3769</v>
      </c>
      <c r="D1339" s="326" t="s">
        <v>1160</v>
      </c>
      <c r="E1339" s="327">
        <f>IF(B1339&lt;&gt;"",SUMIF('AUX-NIV1'!I:I,'AUX-NIV2'!B1339,'AUX-NIV1'!Q:Q),"")</f>
        <v>0</v>
      </c>
      <c r="F1339" s="327">
        <f t="shared" si="650"/>
        <v>11831.702479338845</v>
      </c>
      <c r="G1339" s="327">
        <f t="shared" si="651"/>
        <v>0</v>
      </c>
      <c r="H1339" s="328" t="str">
        <f t="shared" si="713"/>
        <v>M</v>
      </c>
      <c r="I1339" s="324" t="s">
        <v>3764</v>
      </c>
      <c r="J1339" s="431" t="str">
        <f>IF(B1339&lt;&gt;"",+VLOOKUP(I1339,Recursos!C:F,2,FALSE),"")</f>
        <v>YESO BLANCO (BOLSA  40Kg)</v>
      </c>
      <c r="K1339" s="330" t="str">
        <f>IF(B1339&lt;&gt;"",+VLOOKUP(I1339,Recursos!C:F,3,FALSE),"")</f>
        <v>Un</v>
      </c>
      <c r="L1339" s="446">
        <f>IF(B1339&lt;&gt;"",+VLOOKUP(I1339,Recursos!C:F,4,FALSE),"")</f>
        <v>438.01652892561987</v>
      </c>
      <c r="M1339" s="1272">
        <v>40</v>
      </c>
      <c r="N1339" s="1353">
        <v>940</v>
      </c>
      <c r="O1339" s="449">
        <f t="shared" si="727"/>
        <v>23.5</v>
      </c>
      <c r="P1339" s="333">
        <f t="shared" si="714"/>
        <v>10293.388429752067</v>
      </c>
      <c r="Q1339" s="327">
        <f t="shared" si="715"/>
        <v>0</v>
      </c>
      <c r="R1339" s="334">
        <f t="shared" si="716"/>
        <v>0</v>
      </c>
      <c r="S1339" s="335">
        <f t="shared" si="652"/>
        <v>0</v>
      </c>
      <c r="T1339" s="335">
        <f t="shared" si="653"/>
        <v>0</v>
      </c>
      <c r="U1339" s="336">
        <f t="shared" si="654"/>
        <v>11831.702479338845</v>
      </c>
      <c r="V1339" s="336">
        <f t="shared" si="655"/>
        <v>0</v>
      </c>
      <c r="W1339" s="336">
        <f t="shared" si="656"/>
        <v>0</v>
      </c>
      <c r="X1339" s="336">
        <f t="shared" si="657"/>
        <v>0</v>
      </c>
      <c r="Y1339" s="320"/>
      <c r="Z1339" s="321" t="str">
        <f t="shared" si="717"/>
        <v>X-MOR05A</v>
      </c>
      <c r="AA1339" s="321" t="str">
        <f t="shared" si="718"/>
        <v>X-MOR05E</v>
      </c>
      <c r="AB1339" s="321" t="str">
        <f t="shared" si="719"/>
        <v>X-MOR05M</v>
      </c>
      <c r="AC1339" s="321" t="str">
        <f t="shared" si="720"/>
        <v>X-MOR05T</v>
      </c>
      <c r="AD1339" s="321" t="str">
        <f t="shared" si="721"/>
        <v>X-MOR05S</v>
      </c>
      <c r="AE1339" s="321" t="str">
        <f t="shared" si="722"/>
        <v>X-MOR05X</v>
      </c>
      <c r="AF1339" s="321" t="str">
        <f t="shared" si="723"/>
        <v>X-MOR05M</v>
      </c>
      <c r="AG1339" s="321">
        <f t="shared" si="658"/>
        <v>3</v>
      </c>
      <c r="AH1339" s="321">
        <f>IF(B1339&lt;&gt;"",IF(H1339="x",VLOOKUP(I1339,'AUX-NIV3'!B:AG,32,FALSE),0),"")</f>
        <v>0</v>
      </c>
      <c r="AI1339" s="321" t="str">
        <f t="shared" si="724"/>
        <v>X-MOR05</v>
      </c>
      <c r="AJ1339" s="320"/>
      <c r="AK1339" s="322">
        <f t="shared" si="659"/>
        <v>1338</v>
      </c>
      <c r="AL1339" s="323">
        <f t="shared" si="725"/>
        <v>1340</v>
      </c>
      <c r="AM1339" s="322">
        <f t="shared" si="726"/>
        <v>2</v>
      </c>
      <c r="AN1339" s="380">
        <f>IF(AND(AH1339&gt;0,B1339&lt;&gt;""),VLOOKUP(I1339,'AUX-NIV3'!$B:$AO,39,FALSE)*O1339,0)</f>
        <v>0</v>
      </c>
      <c r="AO1339" s="380">
        <f t="shared" si="660"/>
        <v>0</v>
      </c>
      <c r="AP1339" s="380"/>
    </row>
    <row r="1340" spans="2:42" ht="14.4" hidden="1" thickTop="1" thickBot="1">
      <c r="B1340" s="501" t="s">
        <v>3768</v>
      </c>
      <c r="C1340" s="951" t="s">
        <v>3769</v>
      </c>
      <c r="D1340" s="326" t="s">
        <v>1160</v>
      </c>
      <c r="E1340" s="327">
        <f>IF(B1340&lt;&gt;"",SUMIF('AUX-NIV1'!I:I,'AUX-NIV2'!B1340,'AUX-NIV1'!Q:Q),"")</f>
        <v>0</v>
      </c>
      <c r="F1340" s="327">
        <f t="shared" si="650"/>
        <v>11831.702479338845</v>
      </c>
      <c r="G1340" s="327">
        <f t="shared" si="651"/>
        <v>0</v>
      </c>
      <c r="H1340" s="328" t="str">
        <f t="shared" si="713"/>
        <v>M</v>
      </c>
      <c r="I1340" s="324" t="s">
        <v>1512</v>
      </c>
      <c r="J1340" s="431" t="str">
        <f>IF(B1340&lt;&gt;"",+VLOOKUP(I1340,Recursos!C:F,2,FALSE),"")</f>
        <v>ARENA ZARANDEADA</v>
      </c>
      <c r="K1340" s="330" t="str">
        <f>IF(B1340&lt;&gt;"",+VLOOKUP(I1340,Recursos!C:F,3,FALSE),"")</f>
        <v>Tn</v>
      </c>
      <c r="L1340" s="446">
        <f>IF(B1340&lt;&gt;"",+VLOOKUP(I1340,Recursos!C:F,4,FALSE),"")</f>
        <v>900</v>
      </c>
      <c r="M1340" s="1274">
        <v>0.15</v>
      </c>
      <c r="N1340" s="1275">
        <v>1.6</v>
      </c>
      <c r="O1340" s="1361">
        <f>N1340*M1340</f>
        <v>0.24</v>
      </c>
      <c r="P1340" s="333">
        <f t="shared" si="714"/>
        <v>216</v>
      </c>
      <c r="Q1340" s="327">
        <f t="shared" si="715"/>
        <v>0</v>
      </c>
      <c r="R1340" s="334">
        <f t="shared" si="716"/>
        <v>0</v>
      </c>
      <c r="S1340" s="335">
        <f t="shared" si="652"/>
        <v>0</v>
      </c>
      <c r="T1340" s="335">
        <f t="shared" si="653"/>
        <v>0</v>
      </c>
      <c r="U1340" s="336">
        <f t="shared" si="654"/>
        <v>11831.702479338845</v>
      </c>
      <c r="V1340" s="336">
        <f t="shared" si="655"/>
        <v>0</v>
      </c>
      <c r="W1340" s="336">
        <f t="shared" si="656"/>
        <v>0</v>
      </c>
      <c r="X1340" s="336">
        <f t="shared" si="657"/>
        <v>0</v>
      </c>
      <c r="Y1340" s="320"/>
      <c r="Z1340" s="321" t="str">
        <f t="shared" si="717"/>
        <v>X-MOR05A</v>
      </c>
      <c r="AA1340" s="321" t="str">
        <f t="shared" si="718"/>
        <v>X-MOR05E</v>
      </c>
      <c r="AB1340" s="321" t="str">
        <f t="shared" si="719"/>
        <v>X-MOR05M</v>
      </c>
      <c r="AC1340" s="321" t="str">
        <f t="shared" si="720"/>
        <v>X-MOR05T</v>
      </c>
      <c r="AD1340" s="321" t="str">
        <f t="shared" si="721"/>
        <v>X-MOR05S</v>
      </c>
      <c r="AE1340" s="321" t="str">
        <f t="shared" si="722"/>
        <v>X-MOR05X</v>
      </c>
      <c r="AF1340" s="321" t="str">
        <f t="shared" si="723"/>
        <v>X-MOR05M</v>
      </c>
      <c r="AG1340" s="321">
        <f t="shared" si="658"/>
        <v>3</v>
      </c>
      <c r="AH1340" s="321">
        <f>IF(B1340&lt;&gt;"",IF(H1340="x",VLOOKUP(I1340,'AUX-NIV3'!B:AG,32,FALSE),0),"")</f>
        <v>0</v>
      </c>
      <c r="AI1340" s="321" t="str">
        <f t="shared" si="724"/>
        <v>X-MOR05</v>
      </c>
      <c r="AJ1340" s="320"/>
      <c r="AK1340" s="322">
        <f t="shared" si="659"/>
        <v>1338</v>
      </c>
      <c r="AL1340" s="323">
        <f t="shared" si="725"/>
        <v>1340</v>
      </c>
      <c r="AM1340" s="322">
        <f t="shared" si="726"/>
        <v>3</v>
      </c>
      <c r="AN1340" s="380">
        <f>IF(AND(AH1340&gt;0,B1340&lt;&gt;""),VLOOKUP(I1340,'AUX-NIV3'!$B:$AO,39,FALSE)*O1340,0)</f>
        <v>0</v>
      </c>
      <c r="AO1340" s="380">
        <f t="shared" si="660"/>
        <v>0</v>
      </c>
      <c r="AP1340" s="380"/>
    </row>
    <row r="1341" spans="2:42" ht="14.4" hidden="1" thickTop="1" thickBot="1">
      <c r="B1341" s="501" t="s">
        <v>4302</v>
      </c>
      <c r="C1341" s="951" t="s">
        <v>4303</v>
      </c>
      <c r="D1341" s="326" t="s">
        <v>501</v>
      </c>
      <c r="E1341" s="327">
        <f>IF(B1341&lt;&gt;"",SUMIF('AUX-NIV1'!I:I,'AUX-NIV2'!B1341,'AUX-NIV1'!Q:Q),"")</f>
        <v>0</v>
      </c>
      <c r="F1341" s="327">
        <f t="shared" si="650"/>
        <v>1087.4791946545047</v>
      </c>
      <c r="G1341" s="327">
        <f t="shared" si="651"/>
        <v>0</v>
      </c>
      <c r="H1341" s="328" t="str">
        <f t="shared" ref="H1341:H1344" si="728">IF(B1341&lt;&gt;"",+LEFT(I1341,1),"")</f>
        <v>A</v>
      </c>
      <c r="I1341" s="324" t="s">
        <v>3309</v>
      </c>
      <c r="J1341" s="431" t="str">
        <f>IF(B1341&lt;&gt;"",+VLOOKUP(I1341,Recursos!C:F,2,FALSE),"")</f>
        <v>MEDIO OFICIAL</v>
      </c>
      <c r="K1341" s="330" t="str">
        <f>IF(B1341&lt;&gt;"",+VLOOKUP(I1341,Recursos!C:F,3,FALSE),"")</f>
        <v>hh</v>
      </c>
      <c r="L1341" s="446">
        <f>IF(B1341&lt;&gt;"",+VLOOKUP(I1341,Recursos!C:F,4,FALSE),"")</f>
        <v>459.10093211890984</v>
      </c>
      <c r="M1341" s="1270">
        <f>14*8/342</f>
        <v>0.32748538011695905</v>
      </c>
      <c r="N1341" s="1352">
        <f>2*M1341</f>
        <v>0.65497076023391809</v>
      </c>
      <c r="O1341" s="1361">
        <f>N1341</f>
        <v>0.65497076023391809</v>
      </c>
      <c r="P1341" s="333">
        <f t="shared" ref="P1341:P1343" si="729">IF(B1341&lt;&gt;"",O1341*L1341,"")</f>
        <v>300.69768653402281</v>
      </c>
      <c r="Q1341" s="327">
        <f t="shared" ref="Q1341:Q1343" si="730">IF(B1341&lt;&gt;"",+O1341*E1341,"")</f>
        <v>0</v>
      </c>
      <c r="R1341" s="334">
        <f t="shared" ref="R1341:R1343" si="731">IF(B1341&lt;&gt;"",Q1341*L1341,"")</f>
        <v>0</v>
      </c>
      <c r="S1341" s="335">
        <f t="shared" si="652"/>
        <v>681.27578556359549</v>
      </c>
      <c r="T1341" s="335">
        <f t="shared" si="653"/>
        <v>0</v>
      </c>
      <c r="U1341" s="336">
        <f t="shared" si="654"/>
        <v>406.20340909090908</v>
      </c>
      <c r="V1341" s="336">
        <f t="shared" si="655"/>
        <v>0</v>
      </c>
      <c r="W1341" s="336">
        <f t="shared" si="656"/>
        <v>0</v>
      </c>
      <c r="X1341" s="336">
        <f t="shared" si="657"/>
        <v>0</v>
      </c>
      <c r="Y1341" s="320"/>
      <c r="Z1341" s="321" t="str">
        <f t="shared" ref="Z1341:Z1344" si="732">IF(B1341&lt;&gt;"",+$B1341&amp;"A","")</f>
        <v>X-ENTRPMETA</v>
      </c>
      <c r="AA1341" s="321" t="str">
        <f t="shared" ref="AA1341:AA1344" si="733">IF(B1341&lt;&gt;"",+$B1341&amp;"E","")</f>
        <v>X-ENTRPMETE</v>
      </c>
      <c r="AB1341" s="321" t="str">
        <f t="shared" ref="AB1341:AB1344" si="734">IF(B1341&lt;&gt;"",++$B1341&amp;"M","")</f>
        <v>X-ENTRPMETM</v>
      </c>
      <c r="AC1341" s="321" t="str">
        <f t="shared" ref="AC1341:AC1344" si="735">IF(B1341&lt;&gt;"",+$B1341&amp;"T","")</f>
        <v>X-ENTRPMETT</v>
      </c>
      <c r="AD1341" s="321" t="str">
        <f t="shared" ref="AD1341:AD1344" si="736">IF(B1341&lt;&gt;"",+$B1341&amp;"S","")</f>
        <v>X-ENTRPMETS</v>
      </c>
      <c r="AE1341" s="321" t="str">
        <f t="shared" ref="AE1341:AE1344" si="737">IF(B1341&lt;&gt;"",+$B1341&amp;"X","")</f>
        <v>X-ENTRPMETX</v>
      </c>
      <c r="AF1341" s="321" t="str">
        <f t="shared" ref="AF1341:AF1344" si="738">IF(B1341&lt;&gt;"",+B1341&amp;H1341,"")</f>
        <v>X-ENTRPMETA</v>
      </c>
      <c r="AG1341" s="321">
        <f t="shared" si="658"/>
        <v>7</v>
      </c>
      <c r="AH1341" s="321">
        <f>IF(B1341&lt;&gt;"",IF(H1341="x",VLOOKUP(I1341,'AUX-NIV3'!B:AG,32,FALSE),0),"")</f>
        <v>0</v>
      </c>
      <c r="AI1341" s="321" t="str">
        <f t="shared" ref="AI1341:AI1344" si="739">IF(B1341&lt;&gt;"",+B1341,"")</f>
        <v>X-ENTRPMET</v>
      </c>
      <c r="AJ1341" s="320"/>
      <c r="AK1341" s="322">
        <f t="shared" si="659"/>
        <v>1341</v>
      </c>
      <c r="AL1341" s="323">
        <f t="shared" ref="AL1341:AL1344" si="740">IF(B1341&lt;&gt;"",+AK1341+AG1341-1,"")</f>
        <v>1347</v>
      </c>
      <c r="AM1341" s="322" t="e">
        <f>IF(B1341&lt;&gt;"",IF(B1341=#REF!,1+#REF!,1),"")</f>
        <v>#REF!</v>
      </c>
      <c r="AN1341" s="380">
        <f>IF(AND(AH1341&gt;0,B1341&lt;&gt;""),VLOOKUP(I1341,'AUX-NIV3'!$B:$AO,39,FALSE)*O1341,0)</f>
        <v>0</v>
      </c>
      <c r="AO1341" s="380">
        <f t="shared" si="660"/>
        <v>1.3099415204678362</v>
      </c>
      <c r="AP1341" s="380"/>
    </row>
    <row r="1342" spans="2:42" ht="14.4" hidden="1" thickTop="1" thickBot="1">
      <c r="B1342" s="501" t="s">
        <v>4302</v>
      </c>
      <c r="C1342" s="951" t="s">
        <v>4303</v>
      </c>
      <c r="D1342" s="326" t="s">
        <v>501</v>
      </c>
      <c r="E1342" s="327">
        <f>IF(B1342&lt;&gt;"",SUMIF('AUX-NIV1'!I:I,'AUX-NIV2'!B1342,'AUX-NIV1'!Q:Q),"")</f>
        <v>0</v>
      </c>
      <c r="F1342" s="327">
        <f t="shared" si="650"/>
        <v>1087.4791946545047</v>
      </c>
      <c r="G1342" s="327">
        <f t="shared" si="651"/>
        <v>0</v>
      </c>
      <c r="H1342" s="328" t="str">
        <f t="shared" si="728"/>
        <v>A</v>
      </c>
      <c r="I1342" s="324" t="s">
        <v>3310</v>
      </c>
      <c r="J1342" s="431" t="str">
        <f>IF(B1342&lt;&gt;"",+VLOOKUP(I1342,Recursos!C:F,2,FALSE),"")</f>
        <v>OFICIAL ESPECIALIZADO</v>
      </c>
      <c r="K1342" s="330" t="str">
        <f>IF(B1342&lt;&gt;"",+VLOOKUP(I1342,Recursos!C:F,3,FALSE),"")</f>
        <v>hh</v>
      </c>
      <c r="L1342" s="446">
        <f>IF(B1342&lt;&gt;"",+VLOOKUP(I1342,Recursos!C:F,4,FALSE),"")</f>
        <v>581.06120476836554</v>
      </c>
      <c r="M1342" s="1624"/>
      <c r="N1342" s="1625">
        <f>2*M1341</f>
        <v>0.65497076023391809</v>
      </c>
      <c r="O1342" s="1361">
        <f t="shared" ref="O1342:O1392" si="741">N1342</f>
        <v>0.65497076023391809</v>
      </c>
      <c r="P1342" s="333">
        <f t="shared" si="729"/>
        <v>380.57809902957274</v>
      </c>
      <c r="Q1342" s="327">
        <f t="shared" si="730"/>
        <v>0</v>
      </c>
      <c r="R1342" s="334">
        <f t="shared" si="731"/>
        <v>0</v>
      </c>
      <c r="S1342" s="335">
        <f t="shared" si="652"/>
        <v>681.27578556359549</v>
      </c>
      <c r="T1342" s="335">
        <f t="shared" si="653"/>
        <v>0</v>
      </c>
      <c r="U1342" s="336">
        <f t="shared" si="654"/>
        <v>406.20340909090908</v>
      </c>
      <c r="V1342" s="336">
        <f t="shared" si="655"/>
        <v>0</v>
      </c>
      <c r="W1342" s="336">
        <f t="shared" si="656"/>
        <v>0</v>
      </c>
      <c r="X1342" s="336">
        <f t="shared" si="657"/>
        <v>0</v>
      </c>
      <c r="Y1342" s="320"/>
      <c r="Z1342" s="321" t="str">
        <f t="shared" si="732"/>
        <v>X-ENTRPMETA</v>
      </c>
      <c r="AA1342" s="321" t="str">
        <f t="shared" si="733"/>
        <v>X-ENTRPMETE</v>
      </c>
      <c r="AB1342" s="321" t="str">
        <f t="shared" si="734"/>
        <v>X-ENTRPMETM</v>
      </c>
      <c r="AC1342" s="321" t="str">
        <f t="shared" si="735"/>
        <v>X-ENTRPMETT</v>
      </c>
      <c r="AD1342" s="321" t="str">
        <f t="shared" si="736"/>
        <v>X-ENTRPMETS</v>
      </c>
      <c r="AE1342" s="321" t="str">
        <f t="shared" si="737"/>
        <v>X-ENTRPMETX</v>
      </c>
      <c r="AF1342" s="321" t="str">
        <f t="shared" si="738"/>
        <v>X-ENTRPMETA</v>
      </c>
      <c r="AG1342" s="321">
        <f t="shared" si="658"/>
        <v>7</v>
      </c>
      <c r="AH1342" s="321">
        <f>IF(B1342&lt;&gt;"",IF(H1342="x",VLOOKUP(I1342,'AUX-NIV3'!B:AG,32,FALSE),0),"")</f>
        <v>0</v>
      </c>
      <c r="AI1342" s="321" t="str">
        <f t="shared" si="739"/>
        <v>X-ENTRPMET</v>
      </c>
      <c r="AJ1342" s="320"/>
      <c r="AK1342" s="322">
        <f t="shared" si="659"/>
        <v>1341</v>
      </c>
      <c r="AL1342" s="323">
        <f t="shared" si="740"/>
        <v>1347</v>
      </c>
      <c r="AM1342" s="322" t="e">
        <f t="shared" ref="AM1342:AM1344" si="742">IF(B1342&lt;&gt;"",IF(B1342=B1341,1+AM1341,1),"")</f>
        <v>#REF!</v>
      </c>
      <c r="AN1342" s="380">
        <f>IF(AND(AH1342&gt;0,B1342&lt;&gt;""),VLOOKUP(I1342,'AUX-NIV3'!$B:$AO,39,FALSE)*O1342,0)</f>
        <v>0</v>
      </c>
      <c r="AO1342" s="380">
        <f t="shared" si="660"/>
        <v>1.3099415204678362</v>
      </c>
      <c r="AP1342" s="380"/>
    </row>
    <row r="1343" spans="2:42" ht="14.4" hidden="1" thickTop="1" thickBot="1">
      <c r="B1343" s="501" t="s">
        <v>4302</v>
      </c>
      <c r="C1343" s="951" t="s">
        <v>4303</v>
      </c>
      <c r="D1343" s="326" t="s">
        <v>501</v>
      </c>
      <c r="E1343" s="327">
        <f>IF(B1343&lt;&gt;"",SUMIF('AUX-NIV1'!I:I,'AUX-NIV2'!B1343,'AUX-NIV1'!Q:Q),"")</f>
        <v>0</v>
      </c>
      <c r="F1343" s="327">
        <f t="shared" si="650"/>
        <v>1087.4791946545047</v>
      </c>
      <c r="G1343" s="327">
        <f t="shared" si="651"/>
        <v>0</v>
      </c>
      <c r="H1343" s="328" t="str">
        <f t="shared" si="728"/>
        <v>M</v>
      </c>
      <c r="I1343" s="324" t="s">
        <v>4300</v>
      </c>
      <c r="J1343" s="431" t="str">
        <f>IF(B1343&lt;&gt;"",+VLOOKUP(I1343,Recursos!C:F,2,FALSE),"")</f>
        <v>PERFIL ANGULO 2" X 3/16"</v>
      </c>
      <c r="K1343" s="330" t="str">
        <f>IF(B1343&lt;&gt;"",+VLOOKUP(I1343,Recursos!C:F,3,FALSE),"")</f>
        <v>m</v>
      </c>
      <c r="L1343" s="446">
        <f>IF(B1343&lt;&gt;"",+VLOOKUP(I1343,Recursos!C:F,4,FALSE),"")</f>
        <v>494.21</v>
      </c>
      <c r="M1343" s="1624">
        <v>0.6</v>
      </c>
      <c r="N1343" s="1625">
        <f>160/352</f>
        <v>0.45454545454545453</v>
      </c>
      <c r="O1343" s="1361">
        <f t="shared" si="741"/>
        <v>0.45454545454545453</v>
      </c>
      <c r="P1343" s="333">
        <f t="shared" si="729"/>
        <v>224.64090909090908</v>
      </c>
      <c r="Q1343" s="327">
        <f t="shared" si="730"/>
        <v>0</v>
      </c>
      <c r="R1343" s="334">
        <f t="shared" si="731"/>
        <v>0</v>
      </c>
      <c r="S1343" s="335">
        <f t="shared" si="652"/>
        <v>681.27578556359549</v>
      </c>
      <c r="T1343" s="335">
        <f t="shared" si="653"/>
        <v>0</v>
      </c>
      <c r="U1343" s="336">
        <f t="shared" si="654"/>
        <v>406.20340909090908</v>
      </c>
      <c r="V1343" s="336">
        <f t="shared" si="655"/>
        <v>0</v>
      </c>
      <c r="W1343" s="336">
        <f t="shared" si="656"/>
        <v>0</v>
      </c>
      <c r="X1343" s="336">
        <f t="shared" si="657"/>
        <v>0</v>
      </c>
      <c r="Y1343" s="320"/>
      <c r="Z1343" s="321" t="str">
        <f t="shared" si="732"/>
        <v>X-ENTRPMETA</v>
      </c>
      <c r="AA1343" s="321" t="str">
        <f t="shared" si="733"/>
        <v>X-ENTRPMETE</v>
      </c>
      <c r="AB1343" s="321" t="str">
        <f t="shared" si="734"/>
        <v>X-ENTRPMETM</v>
      </c>
      <c r="AC1343" s="321" t="str">
        <f t="shared" si="735"/>
        <v>X-ENTRPMETT</v>
      </c>
      <c r="AD1343" s="321" t="str">
        <f t="shared" si="736"/>
        <v>X-ENTRPMETS</v>
      </c>
      <c r="AE1343" s="321" t="str">
        <f t="shared" si="737"/>
        <v>X-ENTRPMETX</v>
      </c>
      <c r="AF1343" s="321" t="str">
        <f t="shared" si="738"/>
        <v>X-ENTRPMETM</v>
      </c>
      <c r="AG1343" s="321">
        <f t="shared" si="658"/>
        <v>7</v>
      </c>
      <c r="AH1343" s="321">
        <f>IF(B1343&lt;&gt;"",IF(H1343="x",VLOOKUP(I1343,'AUX-NIV3'!B:AG,32,FALSE),0),"")</f>
        <v>0</v>
      </c>
      <c r="AI1343" s="321" t="str">
        <f t="shared" si="739"/>
        <v>X-ENTRPMET</v>
      </c>
      <c r="AJ1343" s="320"/>
      <c r="AK1343" s="322">
        <f t="shared" si="659"/>
        <v>1341</v>
      </c>
      <c r="AL1343" s="323">
        <f t="shared" si="740"/>
        <v>1347</v>
      </c>
      <c r="AM1343" s="322" t="e">
        <f t="shared" si="742"/>
        <v>#REF!</v>
      </c>
      <c r="AN1343" s="380">
        <f>IF(AND(AH1343&gt;0,B1343&lt;&gt;""),VLOOKUP(I1343,'AUX-NIV3'!$B:$AO,39,FALSE)*O1343,0)</f>
        <v>0</v>
      </c>
      <c r="AO1343" s="380">
        <f t="shared" si="660"/>
        <v>1.3099415204678362</v>
      </c>
      <c r="AP1343" s="380"/>
    </row>
    <row r="1344" spans="2:42" ht="14.4" hidden="1" thickTop="1" thickBot="1">
      <c r="B1344" s="501" t="s">
        <v>4302</v>
      </c>
      <c r="C1344" s="951" t="s">
        <v>4303</v>
      </c>
      <c r="D1344" s="326" t="s">
        <v>501</v>
      </c>
      <c r="E1344" s="327">
        <f>IF(B1344&lt;&gt;"",SUMIF('AUX-NIV1'!I:I,'AUX-NIV2'!B1344,'AUX-NIV1'!Q:Q),"")</f>
        <v>0</v>
      </c>
      <c r="F1344" s="327">
        <f t="shared" si="650"/>
        <v>1087.4791946545047</v>
      </c>
      <c r="G1344" s="327">
        <f t="shared" si="651"/>
        <v>0</v>
      </c>
      <c r="H1344" s="328" t="str">
        <f t="shared" si="728"/>
        <v>M</v>
      </c>
      <c r="I1344" s="324" t="s">
        <v>2187</v>
      </c>
      <c r="J1344" s="431" t="str">
        <f>IF(B1344&lt;&gt;"",+VLOOKUP(I1344,Recursos!C:F,2,FALSE),"")</f>
        <v>PLANCHA DE ACERO CARBONO A-36</v>
      </c>
      <c r="K1344" s="330" t="str">
        <f>IF(B1344&lt;&gt;"",+VLOOKUP(I1344,Recursos!C:F,3,FALSE),"")</f>
        <v>Kg</v>
      </c>
      <c r="L1344" s="446">
        <f>IF(B1344&lt;&gt;"",+VLOOKUP(I1344,Recursos!C:F,4,FALSE),"")</f>
        <v>300</v>
      </c>
      <c r="M1344" s="1624">
        <f>0.03*0.1*0.025/8*7800</f>
        <v>7.3125000000000009E-2</v>
      </c>
      <c r="N1344" s="1625">
        <f>M1344/M1343</f>
        <v>0.12187500000000002</v>
      </c>
      <c r="O1344" s="1361">
        <f>N1344</f>
        <v>0.12187500000000002</v>
      </c>
      <c r="P1344" s="333">
        <f>IF(B1344&lt;&gt;"",O1344*L1344,"")</f>
        <v>36.562500000000007</v>
      </c>
      <c r="Q1344" s="327">
        <f>IF(B1344&lt;&gt;"",+O1344*E1344,"")</f>
        <v>0</v>
      </c>
      <c r="R1344" s="334">
        <f>IF(B1344&lt;&gt;"",Q1344*L1344,"")</f>
        <v>0</v>
      </c>
      <c r="S1344" s="335">
        <f t="shared" si="652"/>
        <v>681.27578556359549</v>
      </c>
      <c r="T1344" s="335">
        <f t="shared" si="653"/>
        <v>0</v>
      </c>
      <c r="U1344" s="336">
        <f t="shared" si="654"/>
        <v>406.20340909090908</v>
      </c>
      <c r="V1344" s="336">
        <f t="shared" si="655"/>
        <v>0</v>
      </c>
      <c r="W1344" s="336">
        <f t="shared" si="656"/>
        <v>0</v>
      </c>
      <c r="X1344" s="336">
        <f t="shared" si="657"/>
        <v>0</v>
      </c>
      <c r="Y1344" s="320"/>
      <c r="Z1344" s="321" t="str">
        <f t="shared" si="732"/>
        <v>X-ENTRPMETA</v>
      </c>
      <c r="AA1344" s="321" t="str">
        <f t="shared" si="733"/>
        <v>X-ENTRPMETE</v>
      </c>
      <c r="AB1344" s="321" t="str">
        <f t="shared" si="734"/>
        <v>X-ENTRPMETM</v>
      </c>
      <c r="AC1344" s="321" t="str">
        <f t="shared" si="735"/>
        <v>X-ENTRPMETT</v>
      </c>
      <c r="AD1344" s="321" t="str">
        <f t="shared" si="736"/>
        <v>X-ENTRPMETS</v>
      </c>
      <c r="AE1344" s="321" t="str">
        <f t="shared" si="737"/>
        <v>X-ENTRPMETX</v>
      </c>
      <c r="AF1344" s="321" t="str">
        <f t="shared" si="738"/>
        <v>X-ENTRPMETM</v>
      </c>
      <c r="AG1344" s="321">
        <f t="shared" si="658"/>
        <v>7</v>
      </c>
      <c r="AH1344" s="321">
        <f>IF(B1344&lt;&gt;"",IF(H1344="x",VLOOKUP(I1344,'AUX-NIV3'!B:AG,32,FALSE),0),"")</f>
        <v>0</v>
      </c>
      <c r="AI1344" s="321" t="str">
        <f t="shared" si="739"/>
        <v>X-ENTRPMET</v>
      </c>
      <c r="AJ1344" s="320"/>
      <c r="AK1344" s="322">
        <f t="shared" si="659"/>
        <v>1341</v>
      </c>
      <c r="AL1344" s="323">
        <f t="shared" si="740"/>
        <v>1347</v>
      </c>
      <c r="AM1344" s="322" t="e">
        <f t="shared" si="742"/>
        <v>#REF!</v>
      </c>
      <c r="AN1344" s="380">
        <f>IF(AND(AH1344&gt;0,B1344&lt;&gt;""),VLOOKUP(I1344,'AUX-NIV3'!$B:$AO,39,FALSE)*O1344,0)</f>
        <v>0</v>
      </c>
      <c r="AO1344" s="380">
        <f t="shared" si="660"/>
        <v>1.3099415204678362</v>
      </c>
      <c r="AP1344" s="380"/>
    </row>
    <row r="1345" spans="2:42" ht="14.4" hidden="1" thickTop="1" thickBot="1">
      <c r="B1345" s="501" t="s">
        <v>4302</v>
      </c>
      <c r="C1345" s="951" t="s">
        <v>4303</v>
      </c>
      <c r="D1345" s="326" t="s">
        <v>501</v>
      </c>
      <c r="E1345" s="327">
        <f>IF(B1345&lt;&gt;"",SUMIF('AUX-NIV1'!I:I,'AUX-NIV2'!B1345,'AUX-NIV1'!Q:Q),"")</f>
        <v>0</v>
      </c>
      <c r="F1345" s="327">
        <f t="shared" si="650"/>
        <v>1087.4791946545047</v>
      </c>
      <c r="G1345" s="327">
        <f t="shared" si="651"/>
        <v>0</v>
      </c>
      <c r="H1345" s="328" t="str">
        <f t="shared" ref="H1345:H1347" si="743">IF(B1345&lt;&gt;"",+LEFT(I1345,1),"")</f>
        <v>M</v>
      </c>
      <c r="I1345" s="324" t="s">
        <v>4304</v>
      </c>
      <c r="J1345" s="431" t="str">
        <f>IF(B1345&lt;&gt;"",+VLOOKUP(I1345,Recursos!C:F,2,FALSE),"")</f>
        <v>ELECTRODOS</v>
      </c>
      <c r="K1345" s="330" t="str">
        <f>IF(B1345&lt;&gt;"",+VLOOKUP(I1345,Recursos!C:F,3,FALSE),"")</f>
        <v>KG</v>
      </c>
      <c r="L1345" s="446">
        <f>IF(B1345&lt;&gt;"",+VLOOKUP(I1345,Recursos!C:F,4,FALSE),"")</f>
        <v>700</v>
      </c>
      <c r="M1345" s="1624"/>
      <c r="N1345" s="1625">
        <v>0.1</v>
      </c>
      <c r="O1345" s="1361">
        <f t="shared" si="741"/>
        <v>0.1</v>
      </c>
      <c r="P1345" s="333">
        <f t="shared" ref="P1345:P1347" si="744">IF(B1345&lt;&gt;"",O1345*L1345,"")</f>
        <v>70</v>
      </c>
      <c r="Q1345" s="327">
        <f t="shared" ref="Q1345:Q1347" si="745">IF(B1345&lt;&gt;"",+O1345*E1345,"")</f>
        <v>0</v>
      </c>
      <c r="R1345" s="334">
        <f t="shared" ref="R1345:R1347" si="746">IF(B1345&lt;&gt;"",Q1345*L1345,"")</f>
        <v>0</v>
      </c>
      <c r="S1345" s="335">
        <f t="shared" si="652"/>
        <v>681.27578556359549</v>
      </c>
      <c r="T1345" s="335">
        <f t="shared" si="653"/>
        <v>0</v>
      </c>
      <c r="U1345" s="336">
        <f t="shared" si="654"/>
        <v>406.20340909090908</v>
      </c>
      <c r="V1345" s="336">
        <f t="shared" si="655"/>
        <v>0</v>
      </c>
      <c r="W1345" s="336">
        <f t="shared" si="656"/>
        <v>0</v>
      </c>
      <c r="X1345" s="336">
        <f t="shared" si="657"/>
        <v>0</v>
      </c>
      <c r="Y1345" s="320"/>
      <c r="Z1345" s="321" t="str">
        <f t="shared" ref="Z1345:Z1347" si="747">IF(B1345&lt;&gt;"",+$B1345&amp;"A","")</f>
        <v>X-ENTRPMETA</v>
      </c>
      <c r="AA1345" s="321" t="str">
        <f t="shared" ref="AA1345:AA1347" si="748">IF(B1345&lt;&gt;"",+$B1345&amp;"E","")</f>
        <v>X-ENTRPMETE</v>
      </c>
      <c r="AB1345" s="321" t="str">
        <f t="shared" ref="AB1345:AB1347" si="749">IF(B1345&lt;&gt;"",++$B1345&amp;"M","")</f>
        <v>X-ENTRPMETM</v>
      </c>
      <c r="AC1345" s="321" t="str">
        <f t="shared" ref="AC1345:AC1347" si="750">IF(B1345&lt;&gt;"",+$B1345&amp;"T","")</f>
        <v>X-ENTRPMETT</v>
      </c>
      <c r="AD1345" s="321" t="str">
        <f t="shared" ref="AD1345:AD1347" si="751">IF(B1345&lt;&gt;"",+$B1345&amp;"S","")</f>
        <v>X-ENTRPMETS</v>
      </c>
      <c r="AE1345" s="321" t="str">
        <f t="shared" ref="AE1345:AE1347" si="752">IF(B1345&lt;&gt;"",+$B1345&amp;"X","")</f>
        <v>X-ENTRPMETX</v>
      </c>
      <c r="AF1345" s="321" t="str">
        <f t="shared" ref="AF1345:AF1347" si="753">IF(B1345&lt;&gt;"",+B1345&amp;H1345,"")</f>
        <v>X-ENTRPMETM</v>
      </c>
      <c r="AG1345" s="321">
        <f t="shared" si="658"/>
        <v>7</v>
      </c>
      <c r="AH1345" s="321">
        <f>IF(B1345&lt;&gt;"",IF(H1345="x",VLOOKUP(I1345,'AUX-NIV3'!B:AG,32,FALSE),0),"")</f>
        <v>0</v>
      </c>
      <c r="AI1345" s="321" t="str">
        <f t="shared" ref="AI1345:AI1347" si="754">IF(B1345&lt;&gt;"",+B1345,"")</f>
        <v>X-ENTRPMET</v>
      </c>
      <c r="AJ1345" s="320"/>
      <c r="AK1345" s="322">
        <f t="shared" si="659"/>
        <v>1341</v>
      </c>
      <c r="AL1345" s="323">
        <f t="shared" ref="AL1345:AL1347" si="755">IF(B1345&lt;&gt;"",+AK1345+AG1345-1,"")</f>
        <v>1347</v>
      </c>
      <c r="AM1345" s="322" t="e">
        <f t="shared" ref="AM1345" si="756">IF(B1345&lt;&gt;"",IF(B1345=B1344,1+AM1344,1),"")</f>
        <v>#REF!</v>
      </c>
      <c r="AN1345" s="380">
        <f>IF(AND(AH1345&gt;0,B1345&lt;&gt;""),VLOOKUP(I1345,'AUX-NIV3'!$B:$AO,39,FALSE)*O1345,0)</f>
        <v>0</v>
      </c>
      <c r="AO1345" s="380">
        <f t="shared" si="660"/>
        <v>1.3099415204678362</v>
      </c>
      <c r="AP1345" s="380"/>
    </row>
    <row r="1346" spans="2:42" ht="14.4" hidden="1" thickTop="1" thickBot="1">
      <c r="B1346" s="501" t="s">
        <v>4302</v>
      </c>
      <c r="C1346" s="951" t="s">
        <v>4303</v>
      </c>
      <c r="D1346" s="326" t="s">
        <v>501</v>
      </c>
      <c r="E1346" s="327">
        <f>IF(B1346&lt;&gt;"",SUMIF('AUX-NIV1'!I:I,'AUX-NIV2'!B1346,'AUX-NIV1'!Q:Q),"")</f>
        <v>0</v>
      </c>
      <c r="F1346" s="327">
        <f t="shared" si="650"/>
        <v>1087.4791946545047</v>
      </c>
      <c r="G1346" s="327">
        <f t="shared" si="651"/>
        <v>0</v>
      </c>
      <c r="H1346" s="328" t="str">
        <f t="shared" ref="H1346" si="757">IF(B1346&lt;&gt;"",+LEFT(I1346,1),"")</f>
        <v>M</v>
      </c>
      <c r="I1346" s="324" t="s">
        <v>4509</v>
      </c>
      <c r="J1346" s="431" t="str">
        <f>IF(B1346&lt;&gt;"",+VLOOKUP(I1346,Recursos!C:F,2,FALSE),"")</f>
        <v>Anclaje Químico p/hormigón Sika Anchorfix 2</v>
      </c>
      <c r="K1346" s="330" t="str">
        <f>IF(B1346&lt;&gt;"",+VLOOKUP(I1346,Recursos!C:F,3,FALSE),"")</f>
        <v>m</v>
      </c>
      <c r="L1346" s="446">
        <f>IF(B1346&lt;&gt;"",+VLOOKUP(I1346,Recursos!C:F,4,FALSE),"")</f>
        <v>1100</v>
      </c>
      <c r="M1346" s="1624"/>
      <c r="N1346" s="1625">
        <f>N1343*0.1</f>
        <v>4.5454545454545456E-2</v>
      </c>
      <c r="O1346" s="1361">
        <f t="shared" ref="O1346" si="758">N1346</f>
        <v>4.5454545454545456E-2</v>
      </c>
      <c r="P1346" s="333">
        <f t="shared" ref="P1346" si="759">IF(B1346&lt;&gt;"",O1346*L1346,"")</f>
        <v>50</v>
      </c>
      <c r="Q1346" s="327">
        <f t="shared" ref="Q1346" si="760">IF(B1346&lt;&gt;"",+O1346*E1346,"")</f>
        <v>0</v>
      </c>
      <c r="R1346" s="334">
        <f t="shared" ref="R1346" si="761">IF(B1346&lt;&gt;"",Q1346*L1346,"")</f>
        <v>0</v>
      </c>
      <c r="S1346" s="335">
        <f t="shared" si="652"/>
        <v>681.27578556359549</v>
      </c>
      <c r="T1346" s="335">
        <f t="shared" si="653"/>
        <v>0</v>
      </c>
      <c r="U1346" s="336">
        <f t="shared" si="654"/>
        <v>406.20340909090908</v>
      </c>
      <c r="V1346" s="336">
        <f t="shared" si="655"/>
        <v>0</v>
      </c>
      <c r="W1346" s="336">
        <f t="shared" si="656"/>
        <v>0</v>
      </c>
      <c r="X1346" s="336">
        <f t="shared" si="657"/>
        <v>0</v>
      </c>
      <c r="Y1346" s="320"/>
      <c r="Z1346" s="321" t="str">
        <f t="shared" ref="Z1346" si="762">IF(B1346&lt;&gt;"",+$B1346&amp;"A","")</f>
        <v>X-ENTRPMETA</v>
      </c>
      <c r="AA1346" s="321" t="str">
        <f t="shared" ref="AA1346" si="763">IF(B1346&lt;&gt;"",+$B1346&amp;"E","")</f>
        <v>X-ENTRPMETE</v>
      </c>
      <c r="AB1346" s="321" t="str">
        <f t="shared" ref="AB1346" si="764">IF(B1346&lt;&gt;"",++$B1346&amp;"M","")</f>
        <v>X-ENTRPMETM</v>
      </c>
      <c r="AC1346" s="321" t="str">
        <f t="shared" ref="AC1346" si="765">IF(B1346&lt;&gt;"",+$B1346&amp;"T","")</f>
        <v>X-ENTRPMETT</v>
      </c>
      <c r="AD1346" s="321" t="str">
        <f t="shared" ref="AD1346" si="766">IF(B1346&lt;&gt;"",+$B1346&amp;"S","")</f>
        <v>X-ENTRPMETS</v>
      </c>
      <c r="AE1346" s="321" t="str">
        <f t="shared" ref="AE1346" si="767">IF(B1346&lt;&gt;"",+$B1346&amp;"X","")</f>
        <v>X-ENTRPMETX</v>
      </c>
      <c r="AF1346" s="321" t="str">
        <f t="shared" ref="AF1346" si="768">IF(B1346&lt;&gt;"",+B1346&amp;H1346,"")</f>
        <v>X-ENTRPMETM</v>
      </c>
      <c r="AG1346" s="321">
        <f t="shared" si="658"/>
        <v>7</v>
      </c>
      <c r="AH1346" s="321">
        <f>IF(B1346&lt;&gt;"",IF(H1346="x",VLOOKUP(I1346,'AUX-NIV3'!B:AG,32,FALSE),0),"")</f>
        <v>0</v>
      </c>
      <c r="AI1346" s="321" t="str">
        <f t="shared" ref="AI1346" si="769">IF(B1346&lt;&gt;"",+B1346,"")</f>
        <v>X-ENTRPMET</v>
      </c>
      <c r="AJ1346" s="320"/>
      <c r="AK1346" s="322">
        <f t="shared" si="659"/>
        <v>1341</v>
      </c>
      <c r="AL1346" s="323">
        <f t="shared" ref="AL1346" si="770">IF(B1346&lt;&gt;"",+AK1346+AG1346-1,"")</f>
        <v>1347</v>
      </c>
      <c r="AM1346" s="322" t="e">
        <f t="shared" ref="AM1346" si="771">IF(B1346&lt;&gt;"",IF(B1346=B1345,1+AM1345,1),"")</f>
        <v>#REF!</v>
      </c>
      <c r="AN1346" s="380">
        <f>IF(AND(AH1346&gt;0,B1346&lt;&gt;""),VLOOKUP(I1346,'AUX-NIV3'!$B:$AO,39,FALSE)*O1346,0)</f>
        <v>0</v>
      </c>
      <c r="AO1346" s="380">
        <f t="shared" si="660"/>
        <v>1.3099415204678362</v>
      </c>
      <c r="AP1346" s="380"/>
    </row>
    <row r="1347" spans="2:42" ht="14.4" hidden="1" thickTop="1" thickBot="1">
      <c r="B1347" s="501" t="s">
        <v>4302</v>
      </c>
      <c r="C1347" s="951" t="s">
        <v>4303</v>
      </c>
      <c r="D1347" s="326" t="s">
        <v>501</v>
      </c>
      <c r="E1347" s="327">
        <f>IF(B1347&lt;&gt;"",SUMIF('AUX-NIV1'!I:I,'AUX-NIV2'!B1347,'AUX-NIV1'!Q:Q),"")</f>
        <v>0</v>
      </c>
      <c r="F1347" s="327">
        <f t="shared" si="650"/>
        <v>1087.4791946545047</v>
      </c>
      <c r="G1347" s="327">
        <f t="shared" si="651"/>
        <v>0</v>
      </c>
      <c r="H1347" s="328" t="str">
        <f t="shared" si="743"/>
        <v>M</v>
      </c>
      <c r="I1347" s="324" t="s">
        <v>621</v>
      </c>
      <c r="J1347" s="431" t="str">
        <f>IF(B1347&lt;&gt;"",+VLOOKUP(I1347,Recursos!C:F,2,FALSE),"")</f>
        <v>MATERIALES VARIOS</v>
      </c>
      <c r="K1347" s="330" t="str">
        <f>IF(B1347&lt;&gt;"",+VLOOKUP(I1347,Recursos!C:F,3,FALSE),"")</f>
        <v>GL</v>
      </c>
      <c r="L1347" s="446">
        <f>IF(B1347&lt;&gt;"",+VLOOKUP(I1347,Recursos!C:F,4,FALSE),"")</f>
        <v>0.5</v>
      </c>
      <c r="M1347" s="1624"/>
      <c r="N1347" s="1625">
        <v>50</v>
      </c>
      <c r="O1347" s="1361">
        <f t="shared" si="741"/>
        <v>50</v>
      </c>
      <c r="P1347" s="333">
        <f t="shared" si="744"/>
        <v>25</v>
      </c>
      <c r="Q1347" s="327">
        <f t="shared" si="745"/>
        <v>0</v>
      </c>
      <c r="R1347" s="334">
        <f t="shared" si="746"/>
        <v>0</v>
      </c>
      <c r="S1347" s="335">
        <f t="shared" si="652"/>
        <v>681.27578556359549</v>
      </c>
      <c r="T1347" s="335">
        <f t="shared" si="653"/>
        <v>0</v>
      </c>
      <c r="U1347" s="336">
        <f t="shared" si="654"/>
        <v>406.20340909090908</v>
      </c>
      <c r="V1347" s="336">
        <f t="shared" si="655"/>
        <v>0</v>
      </c>
      <c r="W1347" s="336">
        <f t="shared" si="656"/>
        <v>0</v>
      </c>
      <c r="X1347" s="336">
        <f t="shared" si="657"/>
        <v>0</v>
      </c>
      <c r="Y1347" s="320"/>
      <c r="Z1347" s="321" t="str">
        <f t="shared" si="747"/>
        <v>X-ENTRPMETA</v>
      </c>
      <c r="AA1347" s="321" t="str">
        <f t="shared" si="748"/>
        <v>X-ENTRPMETE</v>
      </c>
      <c r="AB1347" s="321" t="str">
        <f t="shared" si="749"/>
        <v>X-ENTRPMETM</v>
      </c>
      <c r="AC1347" s="321" t="str">
        <f t="shared" si="750"/>
        <v>X-ENTRPMETT</v>
      </c>
      <c r="AD1347" s="321" t="str">
        <f t="shared" si="751"/>
        <v>X-ENTRPMETS</v>
      </c>
      <c r="AE1347" s="321" t="str">
        <f t="shared" si="752"/>
        <v>X-ENTRPMETX</v>
      </c>
      <c r="AF1347" s="321" t="str">
        <f t="shared" si="753"/>
        <v>X-ENTRPMETM</v>
      </c>
      <c r="AG1347" s="321">
        <f t="shared" si="658"/>
        <v>7</v>
      </c>
      <c r="AH1347" s="321">
        <f>IF(B1347&lt;&gt;"",IF(H1347="x",VLOOKUP(I1347,'AUX-NIV3'!B:AG,32,FALSE),0),"")</f>
        <v>0</v>
      </c>
      <c r="AI1347" s="321" t="str">
        <f t="shared" si="754"/>
        <v>X-ENTRPMET</v>
      </c>
      <c r="AJ1347" s="320"/>
      <c r="AK1347" s="322">
        <f t="shared" si="659"/>
        <v>1341</v>
      </c>
      <c r="AL1347" s="323">
        <f t="shared" si="755"/>
        <v>1347</v>
      </c>
      <c r="AM1347" s="322" t="e">
        <f>IF(B1347&lt;&gt;"",IF(B1347=B1345,1+AM1345,1),"")</f>
        <v>#REF!</v>
      </c>
      <c r="AN1347" s="380">
        <f>IF(AND(AH1347&gt;0,B1347&lt;&gt;""),VLOOKUP(I1347,'AUX-NIV3'!$B:$AO,39,FALSE)*O1347,0)</f>
        <v>0</v>
      </c>
      <c r="AO1347" s="380">
        <f t="shared" si="660"/>
        <v>1.3099415204678362</v>
      </c>
      <c r="AP1347" s="380"/>
    </row>
    <row r="1348" spans="2:42" ht="14.4" hidden="1" thickTop="1" thickBot="1">
      <c r="B1348" s="501" t="s">
        <v>4306</v>
      </c>
      <c r="C1348" s="951" t="s">
        <v>4307</v>
      </c>
      <c r="D1348" s="326" t="s">
        <v>501</v>
      </c>
      <c r="E1348" s="327">
        <f>IF(B1348&lt;&gt;"",SUMIF('AUX-NIV1'!I:I,'AUX-NIV2'!B1348,'AUX-NIV1'!Q:Q),"")</f>
        <v>0</v>
      </c>
      <c r="F1348" s="327">
        <f t="shared" si="650"/>
        <v>1631.7085236645962</v>
      </c>
      <c r="G1348" s="327">
        <f t="shared" si="651"/>
        <v>0</v>
      </c>
      <c r="H1348" s="328" t="str">
        <f t="shared" si="713"/>
        <v>A</v>
      </c>
      <c r="I1348" s="324" t="s">
        <v>1745</v>
      </c>
      <c r="J1348" s="431" t="str">
        <f>IF(B1348&lt;&gt;"",+VLOOKUP(I1348,Recursos!C:F,2,FALSE),"")</f>
        <v>AYUDANTE</v>
      </c>
      <c r="K1348" s="330" t="str">
        <f>IF(B1348&lt;&gt;"",+VLOOKUP(I1348,Recursos!C:F,3,FALSE),"")</f>
        <v>hh</v>
      </c>
      <c r="L1348" s="446">
        <f>IF(B1348&lt;&gt;"",+VLOOKUP(I1348,Recursos!C:F,4,FALSE),"")</f>
        <v>422.48042769667234</v>
      </c>
      <c r="M1348" s="1270">
        <f>12*8/342</f>
        <v>0.2807017543859649</v>
      </c>
      <c r="N1348" s="1352">
        <f>2*M1348</f>
        <v>0.56140350877192979</v>
      </c>
      <c r="O1348" s="1361">
        <f t="shared" si="741"/>
        <v>0.56140350877192979</v>
      </c>
      <c r="P1348" s="333">
        <f t="shared" si="714"/>
        <v>237.18199449637743</v>
      </c>
      <c r="Q1348" s="327">
        <f t="shared" si="715"/>
        <v>0</v>
      </c>
      <c r="R1348" s="334">
        <f t="shared" si="716"/>
        <v>0</v>
      </c>
      <c r="S1348" s="335">
        <f t="shared" si="652"/>
        <v>516.15235485722417</v>
      </c>
      <c r="T1348" s="335">
        <f t="shared" si="653"/>
        <v>0</v>
      </c>
      <c r="U1348" s="336">
        <f t="shared" si="654"/>
        <v>1115.5561688073722</v>
      </c>
      <c r="V1348" s="336">
        <f t="shared" si="655"/>
        <v>0</v>
      </c>
      <c r="W1348" s="336">
        <f t="shared" si="656"/>
        <v>0</v>
      </c>
      <c r="X1348" s="336">
        <f t="shared" si="657"/>
        <v>0</v>
      </c>
      <c r="Y1348" s="320"/>
      <c r="Z1348" s="321" t="str">
        <f t="shared" si="717"/>
        <v>X-ENTBL18MMA</v>
      </c>
      <c r="AA1348" s="321" t="str">
        <f t="shared" si="718"/>
        <v>X-ENTBL18MME</v>
      </c>
      <c r="AB1348" s="321" t="str">
        <f t="shared" si="719"/>
        <v>X-ENTBL18MMM</v>
      </c>
      <c r="AC1348" s="321" t="str">
        <f t="shared" si="720"/>
        <v>X-ENTBL18MMT</v>
      </c>
      <c r="AD1348" s="321" t="str">
        <f t="shared" si="721"/>
        <v>X-ENTBL18MMS</v>
      </c>
      <c r="AE1348" s="321" t="str">
        <f t="shared" si="722"/>
        <v>X-ENTBL18MMX</v>
      </c>
      <c r="AF1348" s="321" t="str">
        <f t="shared" si="723"/>
        <v>X-ENTBL18MMA</v>
      </c>
      <c r="AG1348" s="321">
        <f t="shared" si="658"/>
        <v>6</v>
      </c>
      <c r="AH1348" s="321">
        <f>IF(B1348&lt;&gt;"",IF(H1348="x",VLOOKUP(I1348,'AUX-NIV3'!B:AG,32,FALSE),0),"")</f>
        <v>0</v>
      </c>
      <c r="AI1348" s="321" t="str">
        <f t="shared" si="724"/>
        <v>X-ENTBL18MM</v>
      </c>
      <c r="AJ1348" s="320"/>
      <c r="AK1348" s="322">
        <f t="shared" si="659"/>
        <v>1348</v>
      </c>
      <c r="AL1348" s="323">
        <f t="shared" si="725"/>
        <v>1353</v>
      </c>
      <c r="AM1348" s="322" t="e">
        <f>IF(B1348&lt;&gt;"",IF(B1348=#REF!,1+#REF!,1),"")</f>
        <v>#REF!</v>
      </c>
      <c r="AN1348" s="380">
        <f>IF(AND(AH1348&gt;0,B1348&lt;&gt;""),VLOOKUP(I1348,'AUX-NIV3'!$B:$AO,39,FALSE)*O1348,0)</f>
        <v>0</v>
      </c>
      <c r="AO1348" s="380">
        <f t="shared" si="660"/>
        <v>1.1228070175438596</v>
      </c>
      <c r="AP1348" s="380"/>
    </row>
    <row r="1349" spans="2:42" ht="14.4" hidden="1" thickTop="1" thickBot="1">
      <c r="B1349" s="501" t="s">
        <v>4306</v>
      </c>
      <c r="C1349" s="951" t="s">
        <v>4307</v>
      </c>
      <c r="D1349" s="326" t="s">
        <v>501</v>
      </c>
      <c r="E1349" s="327">
        <f>IF(B1349&lt;&gt;"",SUMIF('AUX-NIV1'!I:I,'AUX-NIV2'!B1349,'AUX-NIV1'!Q:Q),"")</f>
        <v>0</v>
      </c>
      <c r="F1349" s="327">
        <f t="shared" si="650"/>
        <v>1631.7085236645962</v>
      </c>
      <c r="G1349" s="327">
        <f t="shared" si="651"/>
        <v>0</v>
      </c>
      <c r="H1349" s="328" t="str">
        <f t="shared" si="713"/>
        <v>A</v>
      </c>
      <c r="I1349" s="324" t="s">
        <v>1746</v>
      </c>
      <c r="J1349" s="431" t="str">
        <f>IF(B1349&lt;&gt;"",+VLOOKUP(I1349,Recursos!C:F,2,FALSE),"")</f>
        <v>OFICIAL</v>
      </c>
      <c r="K1349" s="330" t="str">
        <f>IF(B1349&lt;&gt;"",+VLOOKUP(I1349,Recursos!C:F,3,FALSE),"")</f>
        <v>hh</v>
      </c>
      <c r="L1349" s="446">
        <f>IF(B1349&lt;&gt;"",+VLOOKUP(I1349,Recursos!C:F,4,FALSE),"")</f>
        <v>496.91595439275824</v>
      </c>
      <c r="M1349" s="1624"/>
      <c r="N1349" s="1625">
        <f>2*M1348</f>
        <v>0.56140350877192979</v>
      </c>
      <c r="O1349" s="1361">
        <f t="shared" si="741"/>
        <v>0.56140350877192979</v>
      </c>
      <c r="P1349" s="333">
        <f t="shared" si="714"/>
        <v>278.97036036084671</v>
      </c>
      <c r="Q1349" s="327">
        <f t="shared" si="715"/>
        <v>0</v>
      </c>
      <c r="R1349" s="334">
        <f t="shared" si="716"/>
        <v>0</v>
      </c>
      <c r="S1349" s="335">
        <f t="shared" si="652"/>
        <v>516.15235485722417</v>
      </c>
      <c r="T1349" s="335">
        <f t="shared" si="653"/>
        <v>0</v>
      </c>
      <c r="U1349" s="336">
        <f t="shared" si="654"/>
        <v>1115.5561688073722</v>
      </c>
      <c r="V1349" s="336">
        <f t="shared" si="655"/>
        <v>0</v>
      </c>
      <c r="W1349" s="336">
        <f t="shared" si="656"/>
        <v>0</v>
      </c>
      <c r="X1349" s="336">
        <f t="shared" si="657"/>
        <v>0</v>
      </c>
      <c r="Y1349" s="320"/>
      <c r="Z1349" s="321" t="str">
        <f t="shared" si="717"/>
        <v>X-ENTBL18MMA</v>
      </c>
      <c r="AA1349" s="321" t="str">
        <f t="shared" si="718"/>
        <v>X-ENTBL18MME</v>
      </c>
      <c r="AB1349" s="321" t="str">
        <f t="shared" si="719"/>
        <v>X-ENTBL18MMM</v>
      </c>
      <c r="AC1349" s="321" t="str">
        <f t="shared" si="720"/>
        <v>X-ENTBL18MMT</v>
      </c>
      <c r="AD1349" s="321" t="str">
        <f t="shared" si="721"/>
        <v>X-ENTBL18MMS</v>
      </c>
      <c r="AE1349" s="321" t="str">
        <f t="shared" si="722"/>
        <v>X-ENTBL18MMX</v>
      </c>
      <c r="AF1349" s="321" t="str">
        <f t="shared" si="723"/>
        <v>X-ENTBL18MMA</v>
      </c>
      <c r="AG1349" s="321">
        <f t="shared" si="658"/>
        <v>6</v>
      </c>
      <c r="AH1349" s="321">
        <f>IF(B1349&lt;&gt;"",IF(H1349="x",VLOOKUP(I1349,'AUX-NIV3'!B:AG,32,FALSE),0),"")</f>
        <v>0</v>
      </c>
      <c r="AI1349" s="321" t="str">
        <f t="shared" si="724"/>
        <v>X-ENTBL18MM</v>
      </c>
      <c r="AJ1349" s="320"/>
      <c r="AK1349" s="322">
        <f t="shared" si="659"/>
        <v>1348</v>
      </c>
      <c r="AL1349" s="323">
        <f t="shared" si="725"/>
        <v>1353</v>
      </c>
      <c r="AM1349" s="322" t="e">
        <f t="shared" ref="AM1349:AM1353" si="772">IF(B1349&lt;&gt;"",IF(B1349=B1348,1+AM1348,1),"")</f>
        <v>#REF!</v>
      </c>
      <c r="AN1349" s="380">
        <f>IF(AND(AH1349&gt;0,B1349&lt;&gt;""),VLOOKUP(I1349,'AUX-NIV3'!$B:$AO,39,FALSE)*O1349,0)</f>
        <v>0</v>
      </c>
      <c r="AO1349" s="380">
        <f t="shared" si="660"/>
        <v>1.1228070175438596</v>
      </c>
      <c r="AP1349" s="380"/>
    </row>
    <row r="1350" spans="2:42" ht="14.4" hidden="1" thickTop="1" thickBot="1">
      <c r="B1350" s="501" t="s">
        <v>4306</v>
      </c>
      <c r="C1350" s="951" t="s">
        <v>4307</v>
      </c>
      <c r="D1350" s="326" t="s">
        <v>501</v>
      </c>
      <c r="E1350" s="327">
        <f>IF(B1350&lt;&gt;"",SUMIF('AUX-NIV1'!I:I,'AUX-NIV2'!B1350,'AUX-NIV1'!Q:Q),"")</f>
        <v>0</v>
      </c>
      <c r="F1350" s="327">
        <f t="shared" si="650"/>
        <v>1631.7085236645962</v>
      </c>
      <c r="G1350" s="327">
        <f t="shared" si="651"/>
        <v>0</v>
      </c>
      <c r="H1350" s="328" t="str">
        <f t="shared" si="713"/>
        <v>M</v>
      </c>
      <c r="I1350" s="324" t="s">
        <v>1912</v>
      </c>
      <c r="J1350" s="431" t="str">
        <f>IF(B1350&lt;&gt;"",+VLOOKUP(I1350,Recursos!C:F,2,FALSE),"")</f>
        <v>FENOLICO ESP.= 19 MM (3/4")</v>
      </c>
      <c r="K1350" s="330" t="str">
        <f>IF(B1350&lt;&gt;"",+VLOOKUP(I1350,Recursos!C:F,3,FALSE),"")</f>
        <v>m2</v>
      </c>
      <c r="L1350" s="446">
        <f>IF(B1350&lt;&gt;"",+VLOOKUP(I1350,Recursos!C:F,4,FALSE),"")</f>
        <v>916.17600351811598</v>
      </c>
      <c r="M1350" s="1624"/>
      <c r="N1350" s="1625">
        <v>1</v>
      </c>
      <c r="O1350" s="1361">
        <f t="shared" si="741"/>
        <v>1</v>
      </c>
      <c r="P1350" s="333">
        <f t="shared" si="714"/>
        <v>916.17600351811598</v>
      </c>
      <c r="Q1350" s="327">
        <f t="shared" si="715"/>
        <v>0</v>
      </c>
      <c r="R1350" s="334">
        <f t="shared" si="716"/>
        <v>0</v>
      </c>
      <c r="S1350" s="335">
        <f t="shared" si="652"/>
        <v>516.15235485722417</v>
      </c>
      <c r="T1350" s="335">
        <f t="shared" si="653"/>
        <v>0</v>
      </c>
      <c r="U1350" s="336">
        <f t="shared" si="654"/>
        <v>1115.5561688073722</v>
      </c>
      <c r="V1350" s="336">
        <f t="shared" si="655"/>
        <v>0</v>
      </c>
      <c r="W1350" s="336">
        <f t="shared" si="656"/>
        <v>0</v>
      </c>
      <c r="X1350" s="336">
        <f t="shared" si="657"/>
        <v>0</v>
      </c>
      <c r="Y1350" s="320"/>
      <c r="Z1350" s="321" t="str">
        <f t="shared" si="717"/>
        <v>X-ENTBL18MMA</v>
      </c>
      <c r="AA1350" s="321" t="str">
        <f t="shared" si="718"/>
        <v>X-ENTBL18MME</v>
      </c>
      <c r="AB1350" s="321" t="str">
        <f t="shared" si="719"/>
        <v>X-ENTBL18MMM</v>
      </c>
      <c r="AC1350" s="321" t="str">
        <f t="shared" si="720"/>
        <v>X-ENTBL18MMT</v>
      </c>
      <c r="AD1350" s="321" t="str">
        <f t="shared" si="721"/>
        <v>X-ENTBL18MMS</v>
      </c>
      <c r="AE1350" s="321" t="str">
        <f t="shared" si="722"/>
        <v>X-ENTBL18MMX</v>
      </c>
      <c r="AF1350" s="321" t="str">
        <f t="shared" si="723"/>
        <v>X-ENTBL18MMM</v>
      </c>
      <c r="AG1350" s="321">
        <f t="shared" si="658"/>
        <v>6</v>
      </c>
      <c r="AH1350" s="321">
        <f>IF(B1350&lt;&gt;"",IF(H1350="x",VLOOKUP(I1350,'AUX-NIV3'!B:AG,32,FALSE),0),"")</f>
        <v>0</v>
      </c>
      <c r="AI1350" s="321" t="str">
        <f t="shared" si="724"/>
        <v>X-ENTBL18MM</v>
      </c>
      <c r="AJ1350" s="320"/>
      <c r="AK1350" s="322">
        <f t="shared" si="659"/>
        <v>1348</v>
      </c>
      <c r="AL1350" s="323">
        <f t="shared" si="725"/>
        <v>1353</v>
      </c>
      <c r="AM1350" s="322" t="e">
        <f t="shared" si="772"/>
        <v>#REF!</v>
      </c>
      <c r="AN1350" s="380">
        <f>IF(AND(AH1350&gt;0,B1350&lt;&gt;""),VLOOKUP(I1350,'AUX-NIV3'!$B:$AO,39,FALSE)*O1350,0)</f>
        <v>0</v>
      </c>
      <c r="AO1350" s="380">
        <f t="shared" si="660"/>
        <v>1.1228070175438596</v>
      </c>
      <c r="AP1350" s="380"/>
    </row>
    <row r="1351" spans="2:42" ht="14.4" hidden="1" thickTop="1" thickBot="1">
      <c r="B1351" s="501" t="s">
        <v>4306</v>
      </c>
      <c r="C1351" s="951" t="s">
        <v>4307</v>
      </c>
      <c r="D1351" s="326" t="s">
        <v>501</v>
      </c>
      <c r="E1351" s="327">
        <f>IF(B1351&lt;&gt;"",SUMIF('AUX-NIV1'!I:I,'AUX-NIV2'!B1351,'AUX-NIV1'!Q:Q),"")</f>
        <v>0</v>
      </c>
      <c r="F1351" s="327">
        <f t="shared" ref="F1351:F1414" si="773">IF(B1351&lt;&gt;"",+SUMIF(B:B,B1351,P:P),"")</f>
        <v>1631.7085236645962</v>
      </c>
      <c r="G1351" s="327">
        <f t="shared" ref="G1351:G1414" si="774">IF(B1351&lt;&gt;"",+SUMIF(B:B,B1351,R:R),"")</f>
        <v>0</v>
      </c>
      <c r="H1351" s="328" t="str">
        <f t="shared" si="713"/>
        <v>M</v>
      </c>
      <c r="I1351" s="324" t="s">
        <v>4308</v>
      </c>
      <c r="J1351" s="431" t="str">
        <f>IF(B1351&lt;&gt;"",+VLOOKUP(I1351,Recursos!C:F,2,FALSE),"")</f>
        <v>PINTURA IGNIFUGA PARA MADERA</v>
      </c>
      <c r="K1351" s="330" t="str">
        <f>IF(B1351&lt;&gt;"",+VLOOKUP(I1351,Recursos!C:F,3,FALSE),"")</f>
        <v>Ltr</v>
      </c>
      <c r="L1351" s="446">
        <f>IF(B1351&lt;&gt;"",+VLOOKUP(I1351,Recursos!C:F,4,FALSE),"")</f>
        <v>371.90082644628103</v>
      </c>
      <c r="M1351" s="1624">
        <v>5</v>
      </c>
      <c r="N1351" s="1625">
        <f>1/M1351</f>
        <v>0.2</v>
      </c>
      <c r="O1351" s="1361">
        <f t="shared" si="741"/>
        <v>0.2</v>
      </c>
      <c r="P1351" s="333">
        <f t="shared" si="714"/>
        <v>74.380165289256212</v>
      </c>
      <c r="Q1351" s="327">
        <f t="shared" si="715"/>
        <v>0</v>
      </c>
      <c r="R1351" s="334">
        <f t="shared" si="716"/>
        <v>0</v>
      </c>
      <c r="S1351" s="335">
        <f t="shared" ref="S1351:S1414" si="775">IF(B1351&lt;&gt;"",+SUMIF($AF:$AF,Z1351,$P:$P),"")</f>
        <v>516.15235485722417</v>
      </c>
      <c r="T1351" s="335">
        <f t="shared" ref="T1351:T1414" si="776">IF(B1351&lt;&gt;"",+SUMIF($AF:$AF,AA1351,$P:$P),"")</f>
        <v>0</v>
      </c>
      <c r="U1351" s="336">
        <f t="shared" ref="U1351:U1414" si="777">IF(B1351&lt;&gt;"",+SUMIF($AF:$AF,AB1351,$P:$P),"")</f>
        <v>1115.5561688073722</v>
      </c>
      <c r="V1351" s="336">
        <f t="shared" ref="V1351:V1414" si="778">IF(B1351&lt;&gt;"",+SUMIF($AF:$AF,AC1351,$P:$P),"")</f>
        <v>0</v>
      </c>
      <c r="W1351" s="336">
        <f t="shared" ref="W1351:W1414" si="779">IF(B1351&lt;&gt;"",+SUMIF($AF:$AF,AD1351,$P:$P),"")</f>
        <v>0</v>
      </c>
      <c r="X1351" s="336">
        <f t="shared" ref="X1351:X1414" si="780">IF(B1351&lt;&gt;"",+SUMIF($AF:$AF,AE1351,$P:$P),"")</f>
        <v>0</v>
      </c>
      <c r="Y1351" s="320"/>
      <c r="Z1351" s="321" t="str">
        <f t="shared" si="717"/>
        <v>X-ENTBL18MMA</v>
      </c>
      <c r="AA1351" s="321" t="str">
        <f t="shared" si="718"/>
        <v>X-ENTBL18MME</v>
      </c>
      <c r="AB1351" s="321" t="str">
        <f t="shared" si="719"/>
        <v>X-ENTBL18MMM</v>
      </c>
      <c r="AC1351" s="321" t="str">
        <f t="shared" si="720"/>
        <v>X-ENTBL18MMT</v>
      </c>
      <c r="AD1351" s="321" t="str">
        <f t="shared" si="721"/>
        <v>X-ENTBL18MMS</v>
      </c>
      <c r="AE1351" s="321" t="str">
        <f t="shared" si="722"/>
        <v>X-ENTBL18MMX</v>
      </c>
      <c r="AF1351" s="321" t="str">
        <f t="shared" si="723"/>
        <v>X-ENTBL18MMM</v>
      </c>
      <c r="AG1351" s="321">
        <f t="shared" ref="AG1351:AG1414" si="781">IF(B1351&lt;&gt;"",+COUNTIF(B:B,B1351),"")</f>
        <v>6</v>
      </c>
      <c r="AH1351" s="321">
        <f>IF(B1351&lt;&gt;"",IF(H1351="x",VLOOKUP(I1351,'AUX-NIV3'!B:AG,32,FALSE),0),"")</f>
        <v>0</v>
      </c>
      <c r="AI1351" s="321" t="str">
        <f t="shared" si="724"/>
        <v>X-ENTBL18MM</v>
      </c>
      <c r="AJ1351" s="320"/>
      <c r="AK1351" s="322">
        <f t="shared" ref="AK1351:AK1414" si="782">IF(B1351&lt;&gt;"",+MATCH(B1351,B:B,0),"")</f>
        <v>1348</v>
      </c>
      <c r="AL1351" s="323">
        <f t="shared" si="725"/>
        <v>1353</v>
      </c>
      <c r="AM1351" s="322" t="e">
        <f t="shared" si="772"/>
        <v>#REF!</v>
      </c>
      <c r="AN1351" s="380">
        <f>IF(AND(AH1351&gt;0,B1351&lt;&gt;""),VLOOKUP(I1351,'AUX-NIV3'!$B:$AO,39,FALSE)*O1351,0)</f>
        <v>0</v>
      </c>
      <c r="AO1351" s="380">
        <f t="shared" ref="AO1351:AO1414" si="783">+IF(B1351&lt;&gt;"",SUMIF(AF:AF,Z1351,O:O)+SUMIF(Z:Z,Z1351,AN:AN),0)</f>
        <v>1.1228070175438596</v>
      </c>
      <c r="AP1351" s="380"/>
    </row>
    <row r="1352" spans="2:42" ht="14.4" hidden="1" thickTop="1" thickBot="1">
      <c r="B1352" s="501" t="s">
        <v>4306</v>
      </c>
      <c r="C1352" s="951" t="s">
        <v>4307</v>
      </c>
      <c r="D1352" s="326" t="s">
        <v>501</v>
      </c>
      <c r="E1352" s="327">
        <f>IF(B1352&lt;&gt;"",SUMIF('AUX-NIV1'!I:I,'AUX-NIV2'!B1352,'AUX-NIV1'!Q:Q),"")</f>
        <v>0</v>
      </c>
      <c r="F1352" s="327">
        <f t="shared" si="773"/>
        <v>1631.7085236645962</v>
      </c>
      <c r="G1352" s="327">
        <f t="shared" si="774"/>
        <v>0</v>
      </c>
      <c r="H1352" s="328" t="str">
        <f t="shared" si="713"/>
        <v>M</v>
      </c>
      <c r="I1352" s="324" t="s">
        <v>4310</v>
      </c>
      <c r="J1352" s="431" t="str">
        <f>IF(B1352&lt;&gt;"",+VLOOKUP(I1352,Recursos!C:F,2,FALSE),"")</f>
        <v>FIELTRO ASFALTICO LIVIANO</v>
      </c>
      <c r="K1352" s="330" t="str">
        <f>IF(B1352&lt;&gt;"",+VLOOKUP(I1352,Recursos!C:F,3,FALSE),"")</f>
        <v>m2</v>
      </c>
      <c r="L1352" s="446">
        <f>IF(B1352&lt;&gt;"",+VLOOKUP(I1352,Recursos!C:F,4,FALSE),"")</f>
        <v>100</v>
      </c>
      <c r="M1352" s="1624"/>
      <c r="N1352" s="1625">
        <v>1</v>
      </c>
      <c r="O1352" s="1361">
        <f t="shared" si="741"/>
        <v>1</v>
      </c>
      <c r="P1352" s="333">
        <f t="shared" si="714"/>
        <v>100</v>
      </c>
      <c r="Q1352" s="327">
        <f t="shared" si="715"/>
        <v>0</v>
      </c>
      <c r="R1352" s="334">
        <f t="shared" si="716"/>
        <v>0</v>
      </c>
      <c r="S1352" s="335">
        <f t="shared" si="775"/>
        <v>516.15235485722417</v>
      </c>
      <c r="T1352" s="335">
        <f t="shared" si="776"/>
        <v>0</v>
      </c>
      <c r="U1352" s="336">
        <f t="shared" si="777"/>
        <v>1115.5561688073722</v>
      </c>
      <c r="V1352" s="336">
        <f t="shared" si="778"/>
        <v>0</v>
      </c>
      <c r="W1352" s="336">
        <f t="shared" si="779"/>
        <v>0</v>
      </c>
      <c r="X1352" s="336">
        <f t="shared" si="780"/>
        <v>0</v>
      </c>
      <c r="Y1352" s="320"/>
      <c r="Z1352" s="321" t="str">
        <f t="shared" si="717"/>
        <v>X-ENTBL18MMA</v>
      </c>
      <c r="AA1352" s="321" t="str">
        <f t="shared" si="718"/>
        <v>X-ENTBL18MME</v>
      </c>
      <c r="AB1352" s="321" t="str">
        <f t="shared" si="719"/>
        <v>X-ENTBL18MMM</v>
      </c>
      <c r="AC1352" s="321" t="str">
        <f t="shared" si="720"/>
        <v>X-ENTBL18MMT</v>
      </c>
      <c r="AD1352" s="321" t="str">
        <f t="shared" si="721"/>
        <v>X-ENTBL18MMS</v>
      </c>
      <c r="AE1352" s="321" t="str">
        <f t="shared" si="722"/>
        <v>X-ENTBL18MMX</v>
      </c>
      <c r="AF1352" s="321" t="str">
        <f t="shared" si="723"/>
        <v>X-ENTBL18MMM</v>
      </c>
      <c r="AG1352" s="321">
        <f t="shared" si="781"/>
        <v>6</v>
      </c>
      <c r="AH1352" s="321">
        <f>IF(B1352&lt;&gt;"",IF(H1352="x",VLOOKUP(I1352,'AUX-NIV3'!B:AG,32,FALSE),0),"")</f>
        <v>0</v>
      </c>
      <c r="AI1352" s="321" t="str">
        <f t="shared" si="724"/>
        <v>X-ENTBL18MM</v>
      </c>
      <c r="AJ1352" s="320"/>
      <c r="AK1352" s="322">
        <f t="shared" si="782"/>
        <v>1348</v>
      </c>
      <c r="AL1352" s="323">
        <f t="shared" si="725"/>
        <v>1353</v>
      </c>
      <c r="AM1352" s="322" t="e">
        <f t="shared" si="772"/>
        <v>#REF!</v>
      </c>
      <c r="AN1352" s="380">
        <f>IF(AND(AH1352&gt;0,B1352&lt;&gt;""),VLOOKUP(I1352,'AUX-NIV3'!$B:$AO,39,FALSE)*O1352,0)</f>
        <v>0</v>
      </c>
      <c r="AO1352" s="380">
        <f t="shared" si="783"/>
        <v>1.1228070175438596</v>
      </c>
      <c r="AP1352" s="380"/>
    </row>
    <row r="1353" spans="2:42" ht="14.4" hidden="1" thickTop="1" thickBot="1">
      <c r="B1353" s="501" t="s">
        <v>4306</v>
      </c>
      <c r="C1353" s="951" t="s">
        <v>4307</v>
      </c>
      <c r="D1353" s="326" t="s">
        <v>501</v>
      </c>
      <c r="E1353" s="327">
        <f>IF(B1353&lt;&gt;"",SUMIF('AUX-NIV1'!I:I,'AUX-NIV2'!B1353,'AUX-NIV1'!Q:Q),"")</f>
        <v>0</v>
      </c>
      <c r="F1353" s="327">
        <f t="shared" si="773"/>
        <v>1631.7085236645962</v>
      </c>
      <c r="G1353" s="327">
        <f t="shared" si="774"/>
        <v>0</v>
      </c>
      <c r="H1353" s="328" t="str">
        <f t="shared" si="713"/>
        <v>M</v>
      </c>
      <c r="I1353" s="324" t="s">
        <v>621</v>
      </c>
      <c r="J1353" s="431" t="str">
        <f>IF(B1353&lt;&gt;"",+VLOOKUP(I1353,Recursos!C:F,2,FALSE),"")</f>
        <v>MATERIALES VARIOS</v>
      </c>
      <c r="K1353" s="330" t="str">
        <f>IF(B1353&lt;&gt;"",+VLOOKUP(I1353,Recursos!C:F,3,FALSE),"")</f>
        <v>GL</v>
      </c>
      <c r="L1353" s="446">
        <f>IF(B1353&lt;&gt;"",+VLOOKUP(I1353,Recursos!C:F,4,FALSE),"")</f>
        <v>0.5</v>
      </c>
      <c r="M1353" s="1624"/>
      <c r="N1353" s="1625">
        <v>50</v>
      </c>
      <c r="O1353" s="1361">
        <f t="shared" si="741"/>
        <v>50</v>
      </c>
      <c r="P1353" s="333">
        <f t="shared" si="714"/>
        <v>25</v>
      </c>
      <c r="Q1353" s="327">
        <f t="shared" si="715"/>
        <v>0</v>
      </c>
      <c r="R1353" s="334">
        <f t="shared" si="716"/>
        <v>0</v>
      </c>
      <c r="S1353" s="335">
        <f t="shared" si="775"/>
        <v>516.15235485722417</v>
      </c>
      <c r="T1353" s="335">
        <f t="shared" si="776"/>
        <v>0</v>
      </c>
      <c r="U1353" s="336">
        <f t="shared" si="777"/>
        <v>1115.5561688073722</v>
      </c>
      <c r="V1353" s="336">
        <f t="shared" si="778"/>
        <v>0</v>
      </c>
      <c r="W1353" s="336">
        <f t="shared" si="779"/>
        <v>0</v>
      </c>
      <c r="X1353" s="336">
        <f t="shared" si="780"/>
        <v>0</v>
      </c>
      <c r="Y1353" s="320"/>
      <c r="Z1353" s="321" t="str">
        <f t="shared" si="717"/>
        <v>X-ENTBL18MMA</v>
      </c>
      <c r="AA1353" s="321" t="str">
        <f t="shared" si="718"/>
        <v>X-ENTBL18MME</v>
      </c>
      <c r="AB1353" s="321" t="str">
        <f t="shared" si="719"/>
        <v>X-ENTBL18MMM</v>
      </c>
      <c r="AC1353" s="321" t="str">
        <f t="shared" si="720"/>
        <v>X-ENTBL18MMT</v>
      </c>
      <c r="AD1353" s="321" t="str">
        <f t="shared" si="721"/>
        <v>X-ENTBL18MMS</v>
      </c>
      <c r="AE1353" s="321" t="str">
        <f t="shared" si="722"/>
        <v>X-ENTBL18MMX</v>
      </c>
      <c r="AF1353" s="321" t="str">
        <f t="shared" si="723"/>
        <v>X-ENTBL18MMM</v>
      </c>
      <c r="AG1353" s="321">
        <f t="shared" si="781"/>
        <v>6</v>
      </c>
      <c r="AH1353" s="321">
        <f>IF(B1353&lt;&gt;"",IF(H1353="x",VLOOKUP(I1353,'AUX-NIV3'!B:AG,32,FALSE),0),"")</f>
        <v>0</v>
      </c>
      <c r="AI1353" s="321" t="str">
        <f t="shared" si="724"/>
        <v>X-ENTBL18MM</v>
      </c>
      <c r="AJ1353" s="320"/>
      <c r="AK1353" s="322">
        <f t="shared" si="782"/>
        <v>1348</v>
      </c>
      <c r="AL1353" s="323">
        <f t="shared" si="725"/>
        <v>1353</v>
      </c>
      <c r="AM1353" s="322" t="e">
        <f t="shared" si="772"/>
        <v>#REF!</v>
      </c>
      <c r="AN1353" s="380">
        <f>IF(AND(AH1353&gt;0,B1353&lt;&gt;""),VLOOKUP(I1353,'AUX-NIV3'!$B:$AO,39,FALSE)*O1353,0)</f>
        <v>0</v>
      </c>
      <c r="AO1353" s="380">
        <f t="shared" si="783"/>
        <v>1.1228070175438596</v>
      </c>
      <c r="AP1353" s="380"/>
    </row>
    <row r="1354" spans="2:42" ht="14.4" hidden="1" thickTop="1" thickBot="1">
      <c r="B1354" s="501" t="s">
        <v>4312</v>
      </c>
      <c r="C1354" s="951" t="s">
        <v>4313</v>
      </c>
      <c r="D1354" s="326" t="s">
        <v>1160</v>
      </c>
      <c r="E1354" s="327">
        <f>IF(B1354&lt;&gt;"",SUMIF('AUX-NIV1'!I:I,'AUX-NIV2'!B1354,'AUX-NIV1'!Q:Q),"")</f>
        <v>0</v>
      </c>
      <c r="F1354" s="327">
        <f t="shared" si="773"/>
        <v>14407.111529908916</v>
      </c>
      <c r="G1354" s="327">
        <f t="shared" si="774"/>
        <v>0</v>
      </c>
      <c r="H1354" s="328" t="str">
        <f t="shared" ref="H1354:H1359" si="784">IF(B1354&lt;&gt;"",+LEFT(I1354,1),"")</f>
        <v>A</v>
      </c>
      <c r="I1354" s="324" t="s">
        <v>1745</v>
      </c>
      <c r="J1354" s="431" t="str">
        <f>IF(B1354&lt;&gt;"",+VLOOKUP(I1354,Recursos!C:F,2,FALSE),"")</f>
        <v>AYUDANTE</v>
      </c>
      <c r="K1354" s="330" t="str">
        <f>IF(B1354&lt;&gt;"",+VLOOKUP(I1354,Recursos!C:F,3,FALSE),"")</f>
        <v>hh</v>
      </c>
      <c r="L1354" s="446">
        <f>IF(B1354&lt;&gt;"",+VLOOKUP(I1354,Recursos!C:F,4,FALSE),"")</f>
        <v>422.48042769667234</v>
      </c>
      <c r="M1354" s="1270">
        <v>2</v>
      </c>
      <c r="N1354" s="1352">
        <f>4*M1354</f>
        <v>8</v>
      </c>
      <c r="O1354" s="1361">
        <f t="shared" si="741"/>
        <v>8</v>
      </c>
      <c r="P1354" s="333">
        <f t="shared" ref="P1354:P1359" si="785">IF(B1354&lt;&gt;"",O1354*L1354,"")</f>
        <v>3379.8434215733787</v>
      </c>
      <c r="Q1354" s="327">
        <f t="shared" ref="Q1354:Q1359" si="786">IF(B1354&lt;&gt;"",+O1354*E1354,"")</f>
        <v>0</v>
      </c>
      <c r="R1354" s="334">
        <f t="shared" ref="R1354:R1359" si="787">IF(B1354&lt;&gt;"",Q1354*L1354,"")</f>
        <v>0</v>
      </c>
      <c r="S1354" s="335">
        <f t="shared" si="775"/>
        <v>6210.0790588345344</v>
      </c>
      <c r="T1354" s="335">
        <f t="shared" si="776"/>
        <v>79.599000000000004</v>
      </c>
      <c r="U1354" s="336">
        <f t="shared" si="777"/>
        <v>8117.4334710743806</v>
      </c>
      <c r="V1354" s="336">
        <f t="shared" si="778"/>
        <v>0</v>
      </c>
      <c r="W1354" s="336">
        <f t="shared" si="779"/>
        <v>0</v>
      </c>
      <c r="X1354" s="336">
        <f t="shared" si="780"/>
        <v>0</v>
      </c>
      <c r="Y1354" s="320"/>
      <c r="Z1354" s="321" t="str">
        <f t="shared" ref="Z1354:Z1359" si="788">IF(B1354&lt;&gt;"",+$B1354&amp;"A","")</f>
        <v>X-HORARMENTA</v>
      </c>
      <c r="AA1354" s="321" t="str">
        <f t="shared" ref="AA1354:AA1359" si="789">IF(B1354&lt;&gt;"",+$B1354&amp;"E","")</f>
        <v>X-HORARMENTE</v>
      </c>
      <c r="AB1354" s="321" t="str">
        <f t="shared" ref="AB1354:AB1359" si="790">IF(B1354&lt;&gt;"",++$B1354&amp;"M","")</f>
        <v>X-HORARMENTM</v>
      </c>
      <c r="AC1354" s="321" t="str">
        <f t="shared" ref="AC1354:AC1359" si="791">IF(B1354&lt;&gt;"",+$B1354&amp;"T","")</f>
        <v>X-HORARMENTT</v>
      </c>
      <c r="AD1354" s="321" t="str">
        <f t="shared" ref="AD1354:AD1359" si="792">IF(B1354&lt;&gt;"",+$B1354&amp;"S","")</f>
        <v>X-HORARMENTS</v>
      </c>
      <c r="AE1354" s="321" t="str">
        <f t="shared" ref="AE1354:AE1359" si="793">IF(B1354&lt;&gt;"",+$B1354&amp;"X","")</f>
        <v>X-HORARMENTX</v>
      </c>
      <c r="AF1354" s="321" t="str">
        <f t="shared" ref="AF1354:AF1359" si="794">IF(B1354&lt;&gt;"",+B1354&amp;H1354,"")</f>
        <v>X-HORARMENTA</v>
      </c>
      <c r="AG1354" s="321">
        <f t="shared" si="781"/>
        <v>9</v>
      </c>
      <c r="AH1354" s="321">
        <f>IF(B1354&lt;&gt;"",IF(H1354="x",VLOOKUP(I1354,'AUX-NIV3'!B:AG,32,FALSE),0),"")</f>
        <v>0</v>
      </c>
      <c r="AI1354" s="321" t="str">
        <f t="shared" ref="AI1354:AI1359" si="795">IF(B1354&lt;&gt;"",+B1354,"")</f>
        <v>X-HORARMENT</v>
      </c>
      <c r="AJ1354" s="320"/>
      <c r="AK1354" s="322">
        <f t="shared" si="782"/>
        <v>1354</v>
      </c>
      <c r="AL1354" s="323">
        <f t="shared" ref="AL1354:AL1359" si="796">IF(B1354&lt;&gt;"",+AK1354+AG1354-1,"")</f>
        <v>1362</v>
      </c>
      <c r="AM1354" s="322" t="e">
        <f>IF(B1354&lt;&gt;"",IF(B1354=#REF!,1+#REF!,1),"")</f>
        <v>#REF!</v>
      </c>
      <c r="AN1354" s="380">
        <f>IF(AND(AH1354&gt;0,B1354&lt;&gt;""),VLOOKUP(I1354,'AUX-NIV3'!$B:$AO,39,FALSE)*O1354,0)</f>
        <v>0</v>
      </c>
      <c r="AO1354" s="380">
        <f t="shared" si="783"/>
        <v>14</v>
      </c>
      <c r="AP1354" s="380"/>
    </row>
    <row r="1355" spans="2:42" ht="14.4" hidden="1" thickTop="1" thickBot="1">
      <c r="B1355" s="501" t="s">
        <v>4312</v>
      </c>
      <c r="C1355" s="951" t="s">
        <v>4313</v>
      </c>
      <c r="D1355" s="326" t="s">
        <v>1160</v>
      </c>
      <c r="E1355" s="327">
        <f>IF(B1355&lt;&gt;"",SUMIF('AUX-NIV1'!I:I,'AUX-NIV2'!B1355,'AUX-NIV1'!Q:Q),"")</f>
        <v>0</v>
      </c>
      <c r="F1355" s="327">
        <f t="shared" si="773"/>
        <v>14407.111529908916</v>
      </c>
      <c r="G1355" s="327">
        <f t="shared" si="774"/>
        <v>0</v>
      </c>
      <c r="H1355" s="328" t="str">
        <f t="shared" ref="H1355" si="797">IF(B1355&lt;&gt;"",+LEFT(I1355,1),"")</f>
        <v>A</v>
      </c>
      <c r="I1355" s="324" t="s">
        <v>3309</v>
      </c>
      <c r="J1355" s="431" t="str">
        <f>IF(B1355&lt;&gt;"",+VLOOKUP(I1355,Recursos!C:F,2,FALSE),"")</f>
        <v>MEDIO OFICIAL</v>
      </c>
      <c r="K1355" s="330" t="str">
        <f>IF(B1355&lt;&gt;"",+VLOOKUP(I1355,Recursos!C:F,3,FALSE),"")</f>
        <v>hh</v>
      </c>
      <c r="L1355" s="446">
        <f>IF(B1355&lt;&gt;"",+VLOOKUP(I1355,Recursos!C:F,4,FALSE),"")</f>
        <v>459.10093211890984</v>
      </c>
      <c r="M1355" s="1624">
        <v>2</v>
      </c>
      <c r="N1355" s="1625">
        <f>2*M1355</f>
        <v>4</v>
      </c>
      <c r="O1355" s="1361">
        <f t="shared" si="741"/>
        <v>4</v>
      </c>
      <c r="P1355" s="333">
        <f t="shared" ref="P1355" si="798">IF(B1355&lt;&gt;"",O1355*L1355,"")</f>
        <v>1836.4037284756394</v>
      </c>
      <c r="Q1355" s="327">
        <f t="shared" ref="Q1355" si="799">IF(B1355&lt;&gt;"",+O1355*E1355,"")</f>
        <v>0</v>
      </c>
      <c r="R1355" s="334">
        <f t="shared" ref="R1355" si="800">IF(B1355&lt;&gt;"",Q1355*L1355,"")</f>
        <v>0</v>
      </c>
      <c r="S1355" s="335">
        <f t="shared" si="775"/>
        <v>6210.0790588345344</v>
      </c>
      <c r="T1355" s="335">
        <f t="shared" si="776"/>
        <v>79.599000000000004</v>
      </c>
      <c r="U1355" s="336">
        <f t="shared" si="777"/>
        <v>8117.4334710743806</v>
      </c>
      <c r="V1355" s="336">
        <f t="shared" si="778"/>
        <v>0</v>
      </c>
      <c r="W1355" s="336">
        <f t="shared" si="779"/>
        <v>0</v>
      </c>
      <c r="X1355" s="336">
        <f t="shared" si="780"/>
        <v>0</v>
      </c>
      <c r="Y1355" s="320"/>
      <c r="Z1355" s="321" t="str">
        <f t="shared" ref="Z1355" si="801">IF(B1355&lt;&gt;"",+$B1355&amp;"A","")</f>
        <v>X-HORARMENTA</v>
      </c>
      <c r="AA1355" s="321" t="str">
        <f t="shared" ref="AA1355" si="802">IF(B1355&lt;&gt;"",+$B1355&amp;"E","")</f>
        <v>X-HORARMENTE</v>
      </c>
      <c r="AB1355" s="321" t="str">
        <f t="shared" ref="AB1355" si="803">IF(B1355&lt;&gt;"",++$B1355&amp;"M","")</f>
        <v>X-HORARMENTM</v>
      </c>
      <c r="AC1355" s="321" t="str">
        <f t="shared" ref="AC1355" si="804">IF(B1355&lt;&gt;"",+$B1355&amp;"T","")</f>
        <v>X-HORARMENTT</v>
      </c>
      <c r="AD1355" s="321" t="str">
        <f t="shared" ref="AD1355" si="805">IF(B1355&lt;&gt;"",+$B1355&amp;"S","")</f>
        <v>X-HORARMENTS</v>
      </c>
      <c r="AE1355" s="321" t="str">
        <f t="shared" ref="AE1355" si="806">IF(B1355&lt;&gt;"",+$B1355&amp;"X","")</f>
        <v>X-HORARMENTX</v>
      </c>
      <c r="AF1355" s="321" t="str">
        <f t="shared" ref="AF1355" si="807">IF(B1355&lt;&gt;"",+B1355&amp;H1355,"")</f>
        <v>X-HORARMENTA</v>
      </c>
      <c r="AG1355" s="321">
        <f t="shared" si="781"/>
        <v>9</v>
      </c>
      <c r="AH1355" s="321">
        <f>IF(B1355&lt;&gt;"",IF(H1355="x",VLOOKUP(I1355,'AUX-NIV3'!B:AG,32,FALSE),0),"")</f>
        <v>0</v>
      </c>
      <c r="AI1355" s="321" t="str">
        <f t="shared" ref="AI1355" si="808">IF(B1355&lt;&gt;"",+B1355,"")</f>
        <v>X-HORARMENT</v>
      </c>
      <c r="AJ1355" s="320"/>
      <c r="AK1355" s="322">
        <f t="shared" si="782"/>
        <v>1354</v>
      </c>
      <c r="AL1355" s="323">
        <f t="shared" ref="AL1355" si="809">IF(B1355&lt;&gt;"",+AK1355+AG1355-1,"")</f>
        <v>1362</v>
      </c>
      <c r="AM1355" s="322">
        <f>IF(B1355&lt;&gt;"",IF(B1355=B1353,1+AM1353,1),"")</f>
        <v>1</v>
      </c>
      <c r="AN1355" s="380">
        <f>IF(AND(AH1355&gt;0,B1355&lt;&gt;""),VLOOKUP(I1355,'AUX-NIV3'!$B:$AO,39,FALSE)*O1355,0)</f>
        <v>0</v>
      </c>
      <c r="AO1355" s="380">
        <f t="shared" si="783"/>
        <v>14</v>
      </c>
      <c r="AP1355" s="380"/>
    </row>
    <row r="1356" spans="2:42" ht="14.4" hidden="1" thickTop="1" thickBot="1">
      <c r="B1356" s="501" t="s">
        <v>4312</v>
      </c>
      <c r="C1356" s="951" t="s">
        <v>4313</v>
      </c>
      <c r="D1356" s="326" t="s">
        <v>1160</v>
      </c>
      <c r="E1356" s="327">
        <f>IF(B1356&lt;&gt;"",SUMIF('AUX-NIV1'!I:I,'AUX-NIV2'!B1356,'AUX-NIV1'!Q:Q),"")</f>
        <v>0</v>
      </c>
      <c r="F1356" s="327">
        <f t="shared" si="773"/>
        <v>14407.111529908916</v>
      </c>
      <c r="G1356" s="327">
        <f t="shared" si="774"/>
        <v>0</v>
      </c>
      <c r="H1356" s="328" t="str">
        <f t="shared" si="784"/>
        <v>A</v>
      </c>
      <c r="I1356" s="324" t="s">
        <v>1746</v>
      </c>
      <c r="J1356" s="431" t="str">
        <f>IF(B1356&lt;&gt;"",+VLOOKUP(I1356,Recursos!C:F,2,FALSE),"")</f>
        <v>OFICIAL</v>
      </c>
      <c r="K1356" s="330" t="str">
        <f>IF(B1356&lt;&gt;"",+VLOOKUP(I1356,Recursos!C:F,3,FALSE),"")</f>
        <v>hh</v>
      </c>
      <c r="L1356" s="446">
        <f>IF(B1356&lt;&gt;"",+VLOOKUP(I1356,Recursos!C:F,4,FALSE),"")</f>
        <v>496.91595439275824</v>
      </c>
      <c r="M1356" s="1624">
        <v>1</v>
      </c>
      <c r="N1356" s="1625">
        <f>2*M1356</f>
        <v>2</v>
      </c>
      <c r="O1356" s="1361">
        <f t="shared" si="741"/>
        <v>2</v>
      </c>
      <c r="P1356" s="333">
        <f t="shared" si="785"/>
        <v>993.83190878551648</v>
      </c>
      <c r="Q1356" s="327">
        <f t="shared" si="786"/>
        <v>0</v>
      </c>
      <c r="R1356" s="334">
        <f t="shared" si="787"/>
        <v>0</v>
      </c>
      <c r="S1356" s="335">
        <f t="shared" si="775"/>
        <v>6210.0790588345344</v>
      </c>
      <c r="T1356" s="335">
        <f t="shared" si="776"/>
        <v>79.599000000000004</v>
      </c>
      <c r="U1356" s="336">
        <f t="shared" si="777"/>
        <v>8117.4334710743806</v>
      </c>
      <c r="V1356" s="336">
        <f t="shared" si="778"/>
        <v>0</v>
      </c>
      <c r="W1356" s="336">
        <f t="shared" si="779"/>
        <v>0</v>
      </c>
      <c r="X1356" s="336">
        <f t="shared" si="780"/>
        <v>0</v>
      </c>
      <c r="Y1356" s="320"/>
      <c r="Z1356" s="321" t="str">
        <f t="shared" si="788"/>
        <v>X-HORARMENTA</v>
      </c>
      <c r="AA1356" s="321" t="str">
        <f t="shared" si="789"/>
        <v>X-HORARMENTE</v>
      </c>
      <c r="AB1356" s="321" t="str">
        <f t="shared" si="790"/>
        <v>X-HORARMENTM</v>
      </c>
      <c r="AC1356" s="321" t="str">
        <f t="shared" si="791"/>
        <v>X-HORARMENTT</v>
      </c>
      <c r="AD1356" s="321" t="str">
        <f t="shared" si="792"/>
        <v>X-HORARMENTS</v>
      </c>
      <c r="AE1356" s="321" t="str">
        <f t="shared" si="793"/>
        <v>X-HORARMENTX</v>
      </c>
      <c r="AF1356" s="321" t="str">
        <f t="shared" si="794"/>
        <v>X-HORARMENTA</v>
      </c>
      <c r="AG1356" s="321">
        <f t="shared" si="781"/>
        <v>9</v>
      </c>
      <c r="AH1356" s="321">
        <f>IF(B1356&lt;&gt;"",IF(H1356="x",VLOOKUP(I1356,'AUX-NIV3'!B:AG,32,FALSE),0),"")</f>
        <v>0</v>
      </c>
      <c r="AI1356" s="321" t="str">
        <f t="shared" si="795"/>
        <v>X-HORARMENT</v>
      </c>
      <c r="AJ1356" s="320"/>
      <c r="AK1356" s="322">
        <f t="shared" si="782"/>
        <v>1354</v>
      </c>
      <c r="AL1356" s="323">
        <f t="shared" si="796"/>
        <v>1362</v>
      </c>
      <c r="AM1356" s="322" t="e">
        <f>IF(B1356&lt;&gt;"",IF(B1356=B1354,1+AM1354,1),"")</f>
        <v>#REF!</v>
      </c>
      <c r="AN1356" s="380">
        <f>IF(AND(AH1356&gt;0,B1356&lt;&gt;""),VLOOKUP(I1356,'AUX-NIV3'!$B:$AO,39,FALSE)*O1356,0)</f>
        <v>0</v>
      </c>
      <c r="AO1356" s="380">
        <f t="shared" si="783"/>
        <v>14</v>
      </c>
      <c r="AP1356" s="380"/>
    </row>
    <row r="1357" spans="2:42" ht="14.4" hidden="1" thickTop="1" thickBot="1">
      <c r="B1357" s="501" t="s">
        <v>4312</v>
      </c>
      <c r="C1357" s="951" t="s">
        <v>4313</v>
      </c>
      <c r="D1357" s="326" t="s">
        <v>1160</v>
      </c>
      <c r="E1357" s="327">
        <f>IF(B1357&lt;&gt;"",SUMIF('AUX-NIV1'!I:I,'AUX-NIV2'!B1357,'AUX-NIV1'!Q:Q),"")</f>
        <v>0</v>
      </c>
      <c r="F1357" s="327">
        <f t="shared" si="773"/>
        <v>14407.111529908916</v>
      </c>
      <c r="G1357" s="327">
        <f t="shared" si="774"/>
        <v>0</v>
      </c>
      <c r="H1357" s="328" t="str">
        <f t="shared" si="784"/>
        <v>M</v>
      </c>
      <c r="I1357" s="324" t="s">
        <v>3213</v>
      </c>
      <c r="J1357" s="431" t="str">
        <f>IF(B1357&lt;&gt;"",+VLOOKUP(I1357,Recursos!C:F,2,FALSE),"")</f>
        <v>HORMIGON ELABORADO H25 TRANSPORTADO</v>
      </c>
      <c r="K1357" s="330" t="str">
        <f>IF(B1357&lt;&gt;"",+VLOOKUP(I1357,Recursos!C:F,3,FALSE),"")</f>
        <v>m3</v>
      </c>
      <c r="L1357" s="446">
        <f>IF(B1357&lt;&gt;"",+VLOOKUP(I1357,Recursos!C:F,4,FALSE),"")</f>
        <v>6117.95</v>
      </c>
      <c r="M1357" s="1624"/>
      <c r="N1357" s="1625">
        <v>1</v>
      </c>
      <c r="O1357" s="1361">
        <f t="shared" si="741"/>
        <v>1</v>
      </c>
      <c r="P1357" s="333">
        <f t="shared" si="785"/>
        <v>6117.95</v>
      </c>
      <c r="Q1357" s="327">
        <f t="shared" si="786"/>
        <v>0</v>
      </c>
      <c r="R1357" s="334">
        <f t="shared" si="787"/>
        <v>0</v>
      </c>
      <c r="S1357" s="335">
        <f t="shared" si="775"/>
        <v>6210.0790588345344</v>
      </c>
      <c r="T1357" s="335">
        <f t="shared" si="776"/>
        <v>79.599000000000004</v>
      </c>
      <c r="U1357" s="336">
        <f t="shared" si="777"/>
        <v>8117.4334710743806</v>
      </c>
      <c r="V1357" s="336">
        <f t="shared" si="778"/>
        <v>0</v>
      </c>
      <c r="W1357" s="336">
        <f t="shared" si="779"/>
        <v>0</v>
      </c>
      <c r="X1357" s="336">
        <f t="shared" si="780"/>
        <v>0</v>
      </c>
      <c r="Y1357" s="320"/>
      <c r="Z1357" s="321" t="str">
        <f t="shared" si="788"/>
        <v>X-HORARMENTA</v>
      </c>
      <c r="AA1357" s="321" t="str">
        <f t="shared" si="789"/>
        <v>X-HORARMENTE</v>
      </c>
      <c r="AB1357" s="321" t="str">
        <f t="shared" si="790"/>
        <v>X-HORARMENTM</v>
      </c>
      <c r="AC1357" s="321" t="str">
        <f t="shared" si="791"/>
        <v>X-HORARMENTT</v>
      </c>
      <c r="AD1357" s="321" t="str">
        <f t="shared" si="792"/>
        <v>X-HORARMENTS</v>
      </c>
      <c r="AE1357" s="321" t="str">
        <f t="shared" si="793"/>
        <v>X-HORARMENTX</v>
      </c>
      <c r="AF1357" s="321" t="str">
        <f t="shared" si="794"/>
        <v>X-HORARMENTM</v>
      </c>
      <c r="AG1357" s="321">
        <f t="shared" si="781"/>
        <v>9</v>
      </c>
      <c r="AH1357" s="321">
        <f>IF(B1357&lt;&gt;"",IF(H1357="x",VLOOKUP(I1357,'AUX-NIV3'!B:AG,32,FALSE),0),"")</f>
        <v>0</v>
      </c>
      <c r="AI1357" s="321" t="str">
        <f t="shared" si="795"/>
        <v>X-HORARMENT</v>
      </c>
      <c r="AJ1357" s="320"/>
      <c r="AK1357" s="322">
        <f t="shared" si="782"/>
        <v>1354</v>
      </c>
      <c r="AL1357" s="323">
        <f t="shared" si="796"/>
        <v>1362</v>
      </c>
      <c r="AM1357" s="322" t="e">
        <f t="shared" ref="AM1357:AM1359" si="810">IF(B1357&lt;&gt;"",IF(B1357=B1356,1+AM1356,1),"")</f>
        <v>#REF!</v>
      </c>
      <c r="AN1357" s="380">
        <f>IF(AND(AH1357&gt;0,B1357&lt;&gt;""),VLOOKUP(I1357,'AUX-NIV3'!$B:$AO,39,FALSE)*O1357,0)</f>
        <v>0</v>
      </c>
      <c r="AO1357" s="380">
        <f t="shared" si="783"/>
        <v>14</v>
      </c>
      <c r="AP1357" s="380"/>
    </row>
    <row r="1358" spans="2:42" ht="14.4" hidden="1" thickTop="1" thickBot="1">
      <c r="B1358" s="501" t="s">
        <v>4312</v>
      </c>
      <c r="C1358" s="951" t="s">
        <v>4313</v>
      </c>
      <c r="D1358" s="326" t="s">
        <v>1160</v>
      </c>
      <c r="E1358" s="327">
        <f>IF(B1358&lt;&gt;"",SUMIF('AUX-NIV1'!I:I,'AUX-NIV2'!B1358,'AUX-NIV1'!Q:Q),"")</f>
        <v>0</v>
      </c>
      <c r="F1358" s="327">
        <f t="shared" si="773"/>
        <v>14407.111529908916</v>
      </c>
      <c r="G1358" s="327">
        <f t="shared" si="774"/>
        <v>0</v>
      </c>
      <c r="H1358" s="328" t="str">
        <f t="shared" si="784"/>
        <v>M</v>
      </c>
      <c r="I1358" s="324" t="s">
        <v>4314</v>
      </c>
      <c r="J1358" s="431" t="str">
        <f>IF(B1358&lt;&gt;"",+VLOOKUP(I1358,Recursos!C:F,2,FALSE),"")</f>
        <v>TABLAS 1X6 PARA ENCOFRADO</v>
      </c>
      <c r="K1358" s="330" t="str">
        <f>IF(B1358&lt;&gt;"",+VLOOKUP(I1358,Recursos!C:F,3,FALSE),"")</f>
        <v>m</v>
      </c>
      <c r="L1358" s="446">
        <f>IF(B1358&lt;&gt;"",+VLOOKUP(I1358,Recursos!C:F,4,FALSE),"")</f>
        <v>92.975206611570258</v>
      </c>
      <c r="M1358" s="1624"/>
      <c r="N1358" s="1625">
        <v>2</v>
      </c>
      <c r="O1358" s="1361">
        <f t="shared" si="741"/>
        <v>2</v>
      </c>
      <c r="P1358" s="333">
        <f t="shared" si="785"/>
        <v>185.95041322314052</v>
      </c>
      <c r="Q1358" s="327">
        <f t="shared" si="786"/>
        <v>0</v>
      </c>
      <c r="R1358" s="334">
        <f t="shared" si="787"/>
        <v>0</v>
      </c>
      <c r="S1358" s="335">
        <f t="shared" si="775"/>
        <v>6210.0790588345344</v>
      </c>
      <c r="T1358" s="335">
        <f t="shared" si="776"/>
        <v>79.599000000000004</v>
      </c>
      <c r="U1358" s="336">
        <f t="shared" si="777"/>
        <v>8117.4334710743806</v>
      </c>
      <c r="V1358" s="336">
        <f t="shared" si="778"/>
        <v>0</v>
      </c>
      <c r="W1358" s="336">
        <f t="shared" si="779"/>
        <v>0</v>
      </c>
      <c r="X1358" s="336">
        <f t="shared" si="780"/>
        <v>0</v>
      </c>
      <c r="Y1358" s="320"/>
      <c r="Z1358" s="321" t="str">
        <f t="shared" si="788"/>
        <v>X-HORARMENTA</v>
      </c>
      <c r="AA1358" s="321" t="str">
        <f t="shared" si="789"/>
        <v>X-HORARMENTE</v>
      </c>
      <c r="AB1358" s="321" t="str">
        <f t="shared" si="790"/>
        <v>X-HORARMENTM</v>
      </c>
      <c r="AC1358" s="321" t="str">
        <f t="shared" si="791"/>
        <v>X-HORARMENTT</v>
      </c>
      <c r="AD1358" s="321" t="str">
        <f t="shared" si="792"/>
        <v>X-HORARMENTS</v>
      </c>
      <c r="AE1358" s="321" t="str">
        <f t="shared" si="793"/>
        <v>X-HORARMENTX</v>
      </c>
      <c r="AF1358" s="321" t="str">
        <f t="shared" si="794"/>
        <v>X-HORARMENTM</v>
      </c>
      <c r="AG1358" s="321">
        <f t="shared" si="781"/>
        <v>9</v>
      </c>
      <c r="AH1358" s="321">
        <f>IF(B1358&lt;&gt;"",IF(H1358="x",VLOOKUP(I1358,'AUX-NIV3'!B:AG,32,FALSE),0),"")</f>
        <v>0</v>
      </c>
      <c r="AI1358" s="321" t="str">
        <f t="shared" si="795"/>
        <v>X-HORARMENT</v>
      </c>
      <c r="AJ1358" s="320"/>
      <c r="AK1358" s="322">
        <f t="shared" si="782"/>
        <v>1354</v>
      </c>
      <c r="AL1358" s="323">
        <f t="shared" si="796"/>
        <v>1362</v>
      </c>
      <c r="AM1358" s="322" t="e">
        <f>IF(B1358&lt;&gt;"",IF(B1358=#REF!,1+#REF!,1),"")</f>
        <v>#REF!</v>
      </c>
      <c r="AN1358" s="380">
        <f>IF(AND(AH1358&gt;0,B1358&lt;&gt;""),VLOOKUP(I1358,'AUX-NIV3'!$B:$AO,39,FALSE)*O1358,0)</f>
        <v>0</v>
      </c>
      <c r="AO1358" s="380">
        <f t="shared" si="783"/>
        <v>14</v>
      </c>
      <c r="AP1358" s="380"/>
    </row>
    <row r="1359" spans="2:42" ht="14.4" hidden="1" thickTop="1" thickBot="1">
      <c r="B1359" s="501" t="s">
        <v>4312</v>
      </c>
      <c r="C1359" s="951" t="s">
        <v>4313</v>
      </c>
      <c r="D1359" s="326" t="s">
        <v>1160</v>
      </c>
      <c r="E1359" s="327">
        <f>IF(B1359&lt;&gt;"",SUMIF('AUX-NIV1'!I:I,'AUX-NIV2'!B1359,'AUX-NIV1'!Q:Q),"")</f>
        <v>0</v>
      </c>
      <c r="F1359" s="327">
        <f t="shared" si="773"/>
        <v>14407.111529908916</v>
      </c>
      <c r="G1359" s="327">
        <f t="shared" si="774"/>
        <v>0</v>
      </c>
      <c r="H1359" s="328" t="str">
        <f t="shared" si="784"/>
        <v>M</v>
      </c>
      <c r="I1359" s="324" t="s">
        <v>4316</v>
      </c>
      <c r="J1359" s="431" t="str">
        <f>IF(B1359&lt;&gt;"",+VLOOKUP(I1359,Recursos!C:F,2,FALSE),"")</f>
        <v>MALLA SIMA Q188 6mm 15x15</v>
      </c>
      <c r="K1359" s="330" t="str">
        <f>IF(B1359&lt;&gt;"",+VLOOKUP(I1359,Recursos!C:F,3,FALSE),"")</f>
        <v>m2</v>
      </c>
      <c r="L1359" s="446">
        <f>IF(B1359&lt;&gt;"",+VLOOKUP(I1359,Recursos!C:F,4,FALSE),"")</f>
        <v>774.79338842975221</v>
      </c>
      <c r="M1359" s="1624"/>
      <c r="N1359" s="1625">
        <v>1.05</v>
      </c>
      <c r="O1359" s="1361">
        <f t="shared" si="741"/>
        <v>1.05</v>
      </c>
      <c r="P1359" s="333">
        <f t="shared" si="785"/>
        <v>813.53305785123985</v>
      </c>
      <c r="Q1359" s="327">
        <f t="shared" si="786"/>
        <v>0</v>
      </c>
      <c r="R1359" s="334">
        <f t="shared" si="787"/>
        <v>0</v>
      </c>
      <c r="S1359" s="335">
        <f t="shared" si="775"/>
        <v>6210.0790588345344</v>
      </c>
      <c r="T1359" s="335">
        <f t="shared" si="776"/>
        <v>79.599000000000004</v>
      </c>
      <c r="U1359" s="336">
        <f t="shared" si="777"/>
        <v>8117.4334710743806</v>
      </c>
      <c r="V1359" s="336">
        <f t="shared" si="778"/>
        <v>0</v>
      </c>
      <c r="W1359" s="336">
        <f t="shared" si="779"/>
        <v>0</v>
      </c>
      <c r="X1359" s="336">
        <f t="shared" si="780"/>
        <v>0</v>
      </c>
      <c r="Y1359" s="320"/>
      <c r="Z1359" s="321" t="str">
        <f t="shared" si="788"/>
        <v>X-HORARMENTA</v>
      </c>
      <c r="AA1359" s="321" t="str">
        <f t="shared" si="789"/>
        <v>X-HORARMENTE</v>
      </c>
      <c r="AB1359" s="321" t="str">
        <f t="shared" si="790"/>
        <v>X-HORARMENTM</v>
      </c>
      <c r="AC1359" s="321" t="str">
        <f t="shared" si="791"/>
        <v>X-HORARMENTT</v>
      </c>
      <c r="AD1359" s="321" t="str">
        <f t="shared" si="792"/>
        <v>X-HORARMENTS</v>
      </c>
      <c r="AE1359" s="321" t="str">
        <f t="shared" si="793"/>
        <v>X-HORARMENTX</v>
      </c>
      <c r="AF1359" s="321" t="str">
        <f t="shared" si="794"/>
        <v>X-HORARMENTM</v>
      </c>
      <c r="AG1359" s="321">
        <f t="shared" si="781"/>
        <v>9</v>
      </c>
      <c r="AH1359" s="321">
        <f>IF(B1359&lt;&gt;"",IF(H1359="x",VLOOKUP(I1359,'AUX-NIV3'!B:AG,32,FALSE),0),"")</f>
        <v>0</v>
      </c>
      <c r="AI1359" s="321" t="str">
        <f t="shared" si="795"/>
        <v>X-HORARMENT</v>
      </c>
      <c r="AJ1359" s="320"/>
      <c r="AK1359" s="322">
        <f t="shared" si="782"/>
        <v>1354</v>
      </c>
      <c r="AL1359" s="323">
        <f t="shared" si="796"/>
        <v>1362</v>
      </c>
      <c r="AM1359" s="322" t="e">
        <f t="shared" si="810"/>
        <v>#REF!</v>
      </c>
      <c r="AN1359" s="380">
        <f>IF(AND(AH1359&gt;0,B1359&lt;&gt;""),VLOOKUP(I1359,'AUX-NIV3'!$B:$AO,39,FALSE)*O1359,0)</f>
        <v>0</v>
      </c>
      <c r="AO1359" s="380">
        <f t="shared" si="783"/>
        <v>14</v>
      </c>
      <c r="AP1359" s="380"/>
    </row>
    <row r="1360" spans="2:42" ht="14.4" hidden="1" thickTop="1" thickBot="1">
      <c r="B1360" s="501" t="s">
        <v>4312</v>
      </c>
      <c r="C1360" s="951" t="s">
        <v>4313</v>
      </c>
      <c r="D1360" s="326" t="s">
        <v>1160</v>
      </c>
      <c r="E1360" s="327">
        <f>IF(B1360&lt;&gt;"",SUMIF('AUX-NIV1'!I:I,'AUX-NIV2'!B1360,'AUX-NIV1'!Q:Q),"")</f>
        <v>0</v>
      </c>
      <c r="F1360" s="327">
        <f t="shared" si="773"/>
        <v>14407.111529908916</v>
      </c>
      <c r="G1360" s="327">
        <f t="shared" si="774"/>
        <v>0</v>
      </c>
      <c r="H1360" s="328" t="str">
        <f t="shared" ref="H1360:H1370" si="811">IF(B1360&lt;&gt;"",+LEFT(I1360,1),"")</f>
        <v>M</v>
      </c>
      <c r="I1360" s="324" t="s">
        <v>608</v>
      </c>
      <c r="J1360" s="431" t="str">
        <f>IF(B1360&lt;&gt;"",+VLOOKUP(I1360,Recursos!C:F,2,FALSE),"")</f>
        <v>PUNTAL PARA ENCOFRADO</v>
      </c>
      <c r="K1360" s="330" t="str">
        <f>IF(B1360&lt;&gt;"",+VLOOKUP(I1360,Recursos!C:F,3,FALSE),"")</f>
        <v>M</v>
      </c>
      <c r="L1360" s="446">
        <f>IF(B1360&lt;&gt;"",+VLOOKUP(I1360,Recursos!C:F,4,FALSE),"")</f>
        <v>200</v>
      </c>
      <c r="M1360" s="1624"/>
      <c r="N1360" s="1625">
        <f>3/0.6/2</f>
        <v>2.5</v>
      </c>
      <c r="O1360" s="1361">
        <f t="shared" si="741"/>
        <v>2.5</v>
      </c>
      <c r="P1360" s="333">
        <f t="shared" ref="P1360:P1370" si="812">IF(B1360&lt;&gt;"",O1360*L1360,"")</f>
        <v>500</v>
      </c>
      <c r="Q1360" s="327">
        <f t="shared" ref="Q1360:Q1370" si="813">IF(B1360&lt;&gt;"",+O1360*E1360,"")</f>
        <v>0</v>
      </c>
      <c r="R1360" s="334">
        <f t="shared" ref="R1360:R1370" si="814">IF(B1360&lt;&gt;"",Q1360*L1360,"")</f>
        <v>0</v>
      </c>
      <c r="S1360" s="335">
        <f t="shared" si="775"/>
        <v>6210.0790588345344</v>
      </c>
      <c r="T1360" s="335">
        <f t="shared" si="776"/>
        <v>79.599000000000004</v>
      </c>
      <c r="U1360" s="336">
        <f t="shared" si="777"/>
        <v>8117.4334710743806</v>
      </c>
      <c r="V1360" s="336">
        <f t="shared" si="778"/>
        <v>0</v>
      </c>
      <c r="W1360" s="336">
        <f t="shared" si="779"/>
        <v>0</v>
      </c>
      <c r="X1360" s="336">
        <f t="shared" si="780"/>
        <v>0</v>
      </c>
      <c r="Y1360" s="320"/>
      <c r="Z1360" s="321" t="str">
        <f t="shared" ref="Z1360:Z1370" si="815">IF(B1360&lt;&gt;"",+$B1360&amp;"A","")</f>
        <v>X-HORARMENTA</v>
      </c>
      <c r="AA1360" s="321" t="str">
        <f t="shared" ref="AA1360:AA1370" si="816">IF(B1360&lt;&gt;"",+$B1360&amp;"E","")</f>
        <v>X-HORARMENTE</v>
      </c>
      <c r="AB1360" s="321" t="str">
        <f t="shared" ref="AB1360:AB1370" si="817">IF(B1360&lt;&gt;"",++$B1360&amp;"M","")</f>
        <v>X-HORARMENTM</v>
      </c>
      <c r="AC1360" s="321" t="str">
        <f t="shared" ref="AC1360:AC1370" si="818">IF(B1360&lt;&gt;"",+$B1360&amp;"T","")</f>
        <v>X-HORARMENTT</v>
      </c>
      <c r="AD1360" s="321" t="str">
        <f t="shared" ref="AD1360:AD1370" si="819">IF(B1360&lt;&gt;"",+$B1360&amp;"S","")</f>
        <v>X-HORARMENTS</v>
      </c>
      <c r="AE1360" s="321" t="str">
        <f t="shared" ref="AE1360:AE1370" si="820">IF(B1360&lt;&gt;"",+$B1360&amp;"X","")</f>
        <v>X-HORARMENTX</v>
      </c>
      <c r="AF1360" s="321" t="str">
        <f t="shared" ref="AF1360:AF1370" si="821">IF(B1360&lt;&gt;"",+B1360&amp;H1360,"")</f>
        <v>X-HORARMENTM</v>
      </c>
      <c r="AG1360" s="321">
        <f t="shared" si="781"/>
        <v>9</v>
      </c>
      <c r="AH1360" s="321">
        <f>IF(B1360&lt;&gt;"",IF(H1360="x",VLOOKUP(I1360,'AUX-NIV3'!B:AG,32,FALSE),0),"")</f>
        <v>0</v>
      </c>
      <c r="AI1360" s="321" t="str">
        <f t="shared" ref="AI1360:AI1370" si="822">IF(B1360&lt;&gt;"",+B1360,"")</f>
        <v>X-HORARMENT</v>
      </c>
      <c r="AJ1360" s="320"/>
      <c r="AK1360" s="322">
        <f t="shared" si="782"/>
        <v>1354</v>
      </c>
      <c r="AL1360" s="323">
        <f t="shared" ref="AL1360:AL1370" si="823">IF(B1360&lt;&gt;"",+AK1360+AG1360-1,"")</f>
        <v>1362</v>
      </c>
      <c r="AM1360" s="322" t="e">
        <f t="shared" ref="AM1360:AM1362" si="824">IF(B1360&lt;&gt;"",IF(B1360=B1359,1+AM1359,1),"")</f>
        <v>#REF!</v>
      </c>
      <c r="AN1360" s="380">
        <f>IF(AND(AH1360&gt;0,B1360&lt;&gt;""),VLOOKUP(I1360,'AUX-NIV3'!$B:$AO,39,FALSE)*O1360,0)</f>
        <v>0</v>
      </c>
      <c r="AO1360" s="380">
        <f t="shared" si="783"/>
        <v>14</v>
      </c>
      <c r="AP1360" s="380"/>
    </row>
    <row r="1361" spans="2:48" ht="14.4" hidden="1" thickTop="1" thickBot="1">
      <c r="B1361" s="501" t="s">
        <v>4312</v>
      </c>
      <c r="C1361" s="951" t="s">
        <v>4313</v>
      </c>
      <c r="D1361" s="326" t="s">
        <v>1160</v>
      </c>
      <c r="E1361" s="327">
        <f>IF(B1361&lt;&gt;"",SUMIF('AUX-NIV1'!I:I,'AUX-NIV2'!B1361,'AUX-NIV1'!Q:Q),"")</f>
        <v>0</v>
      </c>
      <c r="F1361" s="327">
        <f t="shared" si="773"/>
        <v>14407.111529908916</v>
      </c>
      <c r="G1361" s="327">
        <f t="shared" si="774"/>
        <v>0</v>
      </c>
      <c r="H1361" s="328" t="str">
        <f t="shared" si="811"/>
        <v>E</v>
      </c>
      <c r="I1361" s="324" t="s">
        <v>1625</v>
      </c>
      <c r="J1361" s="431" t="str">
        <f>IF(B1361&lt;&gt;"",+VLOOKUP(I1361,Recursos!C:F,2,FALSE),"")</f>
        <v>VIBRADOR DE INMERSION d=57 mm (NE)</v>
      </c>
      <c r="K1361" s="330" t="str">
        <f>IF(B1361&lt;&gt;"",+VLOOKUP(I1361,Recursos!C:F,3,FALSE),"")</f>
        <v>HR</v>
      </c>
      <c r="L1361" s="446">
        <f>IF(B1361&lt;&gt;"",+VLOOKUP(I1361,Recursos!C:F,4,FALSE),"")</f>
        <v>79.599000000000004</v>
      </c>
      <c r="M1361" s="1624"/>
      <c r="N1361" s="1625">
        <v>1</v>
      </c>
      <c r="O1361" s="1361">
        <f t="shared" si="741"/>
        <v>1</v>
      </c>
      <c r="P1361" s="333">
        <f t="shared" si="812"/>
        <v>79.599000000000004</v>
      </c>
      <c r="Q1361" s="327">
        <f t="shared" si="813"/>
        <v>0</v>
      </c>
      <c r="R1361" s="334">
        <f t="shared" si="814"/>
        <v>0</v>
      </c>
      <c r="S1361" s="335">
        <f t="shared" si="775"/>
        <v>6210.0790588345344</v>
      </c>
      <c r="T1361" s="335">
        <f t="shared" si="776"/>
        <v>79.599000000000004</v>
      </c>
      <c r="U1361" s="336">
        <f t="shared" si="777"/>
        <v>8117.4334710743806</v>
      </c>
      <c r="V1361" s="336">
        <f t="shared" si="778"/>
        <v>0</v>
      </c>
      <c r="W1361" s="336">
        <f t="shared" si="779"/>
        <v>0</v>
      </c>
      <c r="X1361" s="336">
        <f t="shared" si="780"/>
        <v>0</v>
      </c>
      <c r="Y1361" s="320"/>
      <c r="Z1361" s="321" t="str">
        <f t="shared" si="815"/>
        <v>X-HORARMENTA</v>
      </c>
      <c r="AA1361" s="321" t="str">
        <f t="shared" si="816"/>
        <v>X-HORARMENTE</v>
      </c>
      <c r="AB1361" s="321" t="str">
        <f t="shared" si="817"/>
        <v>X-HORARMENTM</v>
      </c>
      <c r="AC1361" s="321" t="str">
        <f t="shared" si="818"/>
        <v>X-HORARMENTT</v>
      </c>
      <c r="AD1361" s="321" t="str">
        <f t="shared" si="819"/>
        <v>X-HORARMENTS</v>
      </c>
      <c r="AE1361" s="321" t="str">
        <f t="shared" si="820"/>
        <v>X-HORARMENTX</v>
      </c>
      <c r="AF1361" s="321" t="str">
        <f t="shared" si="821"/>
        <v>X-HORARMENTE</v>
      </c>
      <c r="AG1361" s="321">
        <f t="shared" si="781"/>
        <v>9</v>
      </c>
      <c r="AH1361" s="321">
        <f>IF(B1361&lt;&gt;"",IF(H1361="x",VLOOKUP(I1361,'AUX-NIV3'!B:AG,32,FALSE),0),"")</f>
        <v>0</v>
      </c>
      <c r="AI1361" s="321" t="str">
        <f t="shared" si="822"/>
        <v>X-HORARMENT</v>
      </c>
      <c r="AJ1361" s="320"/>
      <c r="AK1361" s="322">
        <f t="shared" si="782"/>
        <v>1354</v>
      </c>
      <c r="AL1361" s="323">
        <f t="shared" si="823"/>
        <v>1362</v>
      </c>
      <c r="AM1361" s="322" t="e">
        <f t="shared" si="824"/>
        <v>#REF!</v>
      </c>
      <c r="AN1361" s="380">
        <f>IF(AND(AH1361&gt;0,B1361&lt;&gt;""),VLOOKUP(I1361,'AUX-NIV3'!$B:$AO,39,FALSE)*O1361,0)</f>
        <v>0</v>
      </c>
      <c r="AO1361" s="380">
        <f t="shared" si="783"/>
        <v>14</v>
      </c>
      <c r="AP1361" s="380"/>
    </row>
    <row r="1362" spans="2:48" ht="13.8" hidden="1" thickBot="1">
      <c r="B1362" s="501" t="s">
        <v>4312</v>
      </c>
      <c r="C1362" s="951" t="s">
        <v>4313</v>
      </c>
      <c r="D1362" s="326" t="s">
        <v>1160</v>
      </c>
      <c r="E1362" s="327">
        <f>IF(B1362&lt;&gt;"",SUMIF('AUX-NIV1'!I:I,'AUX-NIV2'!B1362,'AUX-NIV1'!Q:Q),"")</f>
        <v>0</v>
      </c>
      <c r="F1362" s="327">
        <f t="shared" si="773"/>
        <v>14407.111529908916</v>
      </c>
      <c r="G1362" s="327">
        <f t="shared" si="774"/>
        <v>0</v>
      </c>
      <c r="H1362" s="328" t="str">
        <f t="shared" si="811"/>
        <v>M</v>
      </c>
      <c r="I1362" s="324" t="s">
        <v>621</v>
      </c>
      <c r="J1362" s="431" t="str">
        <f>IF(B1362&lt;&gt;"",+VLOOKUP(I1362,Recursos!C:F,2,FALSE),"")</f>
        <v>MATERIALES VARIOS</v>
      </c>
      <c r="K1362" s="330" t="str">
        <f>IF(B1362&lt;&gt;"",+VLOOKUP(I1362,Recursos!C:F,3,FALSE),"")</f>
        <v>GL</v>
      </c>
      <c r="L1362" s="446">
        <f>IF(B1362&lt;&gt;"",+VLOOKUP(I1362,Recursos!C:F,4,FALSE),"")</f>
        <v>0.5</v>
      </c>
      <c r="M1362" s="1626"/>
      <c r="N1362" s="1627">
        <v>1000</v>
      </c>
      <c r="O1362" s="1361">
        <f t="shared" si="741"/>
        <v>1000</v>
      </c>
      <c r="P1362" s="333">
        <f t="shared" si="812"/>
        <v>500</v>
      </c>
      <c r="Q1362" s="327">
        <f t="shared" si="813"/>
        <v>0</v>
      </c>
      <c r="R1362" s="334">
        <f t="shared" si="814"/>
        <v>0</v>
      </c>
      <c r="S1362" s="335">
        <f t="shared" si="775"/>
        <v>6210.0790588345344</v>
      </c>
      <c r="T1362" s="335">
        <f t="shared" si="776"/>
        <v>79.599000000000004</v>
      </c>
      <c r="U1362" s="336">
        <f t="shared" si="777"/>
        <v>8117.4334710743806</v>
      </c>
      <c r="V1362" s="336">
        <f t="shared" si="778"/>
        <v>0</v>
      </c>
      <c r="W1362" s="336">
        <f t="shared" si="779"/>
        <v>0</v>
      </c>
      <c r="X1362" s="336">
        <f t="shared" si="780"/>
        <v>0</v>
      </c>
      <c r="Y1362" s="320"/>
      <c r="Z1362" s="321" t="str">
        <f t="shared" si="815"/>
        <v>X-HORARMENTA</v>
      </c>
      <c r="AA1362" s="321" t="str">
        <f t="shared" si="816"/>
        <v>X-HORARMENTE</v>
      </c>
      <c r="AB1362" s="321" t="str">
        <f t="shared" si="817"/>
        <v>X-HORARMENTM</v>
      </c>
      <c r="AC1362" s="321" t="str">
        <f t="shared" si="818"/>
        <v>X-HORARMENTT</v>
      </c>
      <c r="AD1362" s="321" t="str">
        <f t="shared" si="819"/>
        <v>X-HORARMENTS</v>
      </c>
      <c r="AE1362" s="321" t="str">
        <f t="shared" si="820"/>
        <v>X-HORARMENTX</v>
      </c>
      <c r="AF1362" s="321" t="str">
        <f t="shared" si="821"/>
        <v>X-HORARMENTM</v>
      </c>
      <c r="AG1362" s="321">
        <f t="shared" si="781"/>
        <v>9</v>
      </c>
      <c r="AH1362" s="321">
        <f>IF(B1362&lt;&gt;"",IF(H1362="x",VLOOKUP(I1362,'AUX-NIV3'!B:AG,32,FALSE),0),"")</f>
        <v>0</v>
      </c>
      <c r="AI1362" s="321" t="str">
        <f t="shared" si="822"/>
        <v>X-HORARMENT</v>
      </c>
      <c r="AJ1362" s="320"/>
      <c r="AK1362" s="322">
        <f t="shared" si="782"/>
        <v>1354</v>
      </c>
      <c r="AL1362" s="323">
        <f t="shared" si="823"/>
        <v>1362</v>
      </c>
      <c r="AM1362" s="322" t="e">
        <f t="shared" si="824"/>
        <v>#REF!</v>
      </c>
      <c r="AN1362" s="380">
        <f>IF(AND(AH1362&gt;0,B1362&lt;&gt;""),VLOOKUP(I1362,'AUX-NIV3'!$B:$AO,39,FALSE)*O1362,0)</f>
        <v>0</v>
      </c>
      <c r="AO1362" s="380">
        <f t="shared" si="783"/>
        <v>14</v>
      </c>
      <c r="AP1362" s="380"/>
    </row>
    <row r="1363" spans="2:48" s="345" customFormat="1" ht="13.8" thickTop="1">
      <c r="B1363" s="501" t="s">
        <v>4656</v>
      </c>
      <c r="C1363" s="951" t="s">
        <v>4655</v>
      </c>
      <c r="D1363" s="1280" t="s">
        <v>501</v>
      </c>
      <c r="E1363" s="327">
        <f>IF(B1363&lt;&gt;"",SUMIF('AUX-NIV1'!I:I,'AUX-NIV2'!B1363,'AUX-NIV1'!Q:Q),"")</f>
        <v>0</v>
      </c>
      <c r="F1363" s="1281">
        <f t="shared" si="773"/>
        <v>2412.839272532321</v>
      </c>
      <c r="G1363" s="1281">
        <f t="shared" si="774"/>
        <v>0</v>
      </c>
      <c r="H1363" s="1395" t="str">
        <f t="shared" si="811"/>
        <v>A</v>
      </c>
      <c r="I1363" s="1375" t="s">
        <v>1746</v>
      </c>
      <c r="J1363" s="1283" t="str">
        <f>IF(B1363&lt;&gt;"",+VLOOKUP(I1363,Recursos!C:F,2,FALSE),"")</f>
        <v>OFICIAL</v>
      </c>
      <c r="K1363" s="1284" t="str">
        <f>IF(B1363&lt;&gt;"",+VLOOKUP(I1363,Recursos!C:F,3,FALSE),"")</f>
        <v>hh</v>
      </c>
      <c r="L1363" s="1285">
        <f>IF(B1363&lt;&gt;"",+VLOOKUP(I1363,Recursos!C:F,4,FALSE),"")</f>
        <v>496.91595439275824</v>
      </c>
      <c r="M1363" s="989">
        <v>1</v>
      </c>
      <c r="N1363" s="1292">
        <v>1</v>
      </c>
      <c r="O1363" s="1286">
        <f>N1363/M1363</f>
        <v>1</v>
      </c>
      <c r="P1363" s="1287">
        <f t="shared" si="812"/>
        <v>496.91595439275824</v>
      </c>
      <c r="Q1363" s="1281">
        <f t="shared" si="813"/>
        <v>0</v>
      </c>
      <c r="R1363" s="1288">
        <f t="shared" si="814"/>
        <v>0</v>
      </c>
      <c r="S1363" s="1289">
        <f t="shared" si="775"/>
        <v>919.39638208943052</v>
      </c>
      <c r="T1363" s="1289">
        <f t="shared" si="776"/>
        <v>0</v>
      </c>
      <c r="U1363" s="1290">
        <f t="shared" si="777"/>
        <v>1493.4428904428905</v>
      </c>
      <c r="V1363" s="1290">
        <f t="shared" si="778"/>
        <v>0</v>
      </c>
      <c r="W1363" s="1290">
        <f t="shared" si="779"/>
        <v>0</v>
      </c>
      <c r="X1363" s="1290">
        <f t="shared" si="780"/>
        <v>0</v>
      </c>
      <c r="Y1363" s="396"/>
      <c r="Z1363" s="1291" t="str">
        <f t="shared" si="815"/>
        <v>X-MURLVINTA</v>
      </c>
      <c r="AA1363" s="1291" t="str">
        <f t="shared" si="816"/>
        <v>X-MURLVINTE</v>
      </c>
      <c r="AB1363" s="1291" t="str">
        <f t="shared" si="817"/>
        <v>X-MURLVINTM</v>
      </c>
      <c r="AC1363" s="1291" t="str">
        <f t="shared" si="818"/>
        <v>X-MURLVINTT</v>
      </c>
      <c r="AD1363" s="1291" t="str">
        <f t="shared" si="819"/>
        <v>X-MURLVINTS</v>
      </c>
      <c r="AE1363" s="1291" t="str">
        <f t="shared" si="820"/>
        <v>X-MURLVINTX</v>
      </c>
      <c r="AF1363" s="1291" t="str">
        <f t="shared" si="821"/>
        <v>X-MURLVINTA</v>
      </c>
      <c r="AG1363" s="1291">
        <f t="shared" si="781"/>
        <v>8</v>
      </c>
      <c r="AH1363" s="1291">
        <f>IF(B1363&lt;&gt;"",+IF(H1363="x",+VLOOKUP(I1363,'AUX-NIV2'!B:AG,32,FALSE),0),"")</f>
        <v>0</v>
      </c>
      <c r="AI1363" s="1291" t="str">
        <f t="shared" si="822"/>
        <v>X-MURLVINT</v>
      </c>
      <c r="AK1363" s="347">
        <f t="shared" si="782"/>
        <v>1363</v>
      </c>
      <c r="AL1363" s="348">
        <f t="shared" si="823"/>
        <v>1370</v>
      </c>
      <c r="AM1363" s="347">
        <f>IF(B1363&lt;&gt;"",IF(B1363=B1353,1+AM1353,1),"")</f>
        <v>1</v>
      </c>
      <c r="AN1363" s="382">
        <f>IF(AND(AH1363&gt;0,B1363&lt;&gt;""),VLOOKUP(I1363,'AUX-NIV2'!$B:$AP,40,FALSE)*O1363,0)</f>
        <v>0</v>
      </c>
      <c r="AO1363" s="382">
        <f t="shared" si="783"/>
        <v>2</v>
      </c>
      <c r="AQ1363" s="395">
        <f>(IF($H1363="x",VLOOKUP($I1363,'AUX-NIV2'!$B:$X,'AUX-NIV1'!AQ$3,FALSE),0)+($AV1363*'AUX-NIV3'!S$4))*$O1363+IF($H1363=AQ$4,$P1363,0)</f>
        <v>0</v>
      </c>
      <c r="AR1363" s="395">
        <f>(IF($H1363="x",VLOOKUP($I1363,'AUX-NIV2'!$B:$X,'AUX-NIV1'!AR$3,FALSE),0)+($AV1363*'AUX-NIV3'!T$4))*$O1363+IF($H1363=AR$4,$P1363,0)</f>
        <v>0</v>
      </c>
      <c r="AS1363" s="395">
        <f>(IF($H1363="x",VLOOKUP($I1363,'AUX-NIV2'!$B:$X,'AUX-NIV1'!AS$3,FALSE),0)+($AV1363*'AUX-NIV3'!U$4))*$O1363+IF($H1363=AS$4,$P1363,0)</f>
        <v>0</v>
      </c>
      <c r="AT1363" s="395">
        <f>(IF($H1363="x",VLOOKUP($I1363,'AUX-NIV2'!$B:$X,'AUX-NIV1'!AT$3,FALSE),0)+($AV1363*'AUX-NIV3'!V$4))*$O1363+IF($H1363=AT$4,$P1363,0)</f>
        <v>0</v>
      </c>
      <c r="AU1363" s="395">
        <f>(IF($H1363="x",VLOOKUP($I1363,'AUX-NIV2'!$B:$X,'AUX-NIV1'!AU$3,FALSE),0)+($AV1363*'AUX-NIV3'!W$4))*$O1363+IF($H1363=AU$4,$P1363,0)</f>
        <v>0</v>
      </c>
      <c r="AV1363" s="395">
        <f>+IF($H1363="x",VLOOKUP($I1363,'AUX-NIV2'!$B:$X,'AUX-NIV1'!AV$3,FALSE),0)</f>
        <v>0</v>
      </c>
    </row>
    <row r="1364" spans="2:48" s="345" customFormat="1">
      <c r="B1364" s="501" t="s">
        <v>4656</v>
      </c>
      <c r="C1364" s="951" t="s">
        <v>4655</v>
      </c>
      <c r="D1364" s="1280" t="s">
        <v>501</v>
      </c>
      <c r="E1364" s="327">
        <f>IF(B1364&lt;&gt;"",SUMIF('AUX-NIV1'!I:I,'AUX-NIV2'!B1364,'AUX-NIV1'!Q:Q),"")</f>
        <v>0</v>
      </c>
      <c r="F1364" s="1281">
        <f t="shared" si="773"/>
        <v>2412.839272532321</v>
      </c>
      <c r="G1364" s="1281">
        <f t="shared" si="774"/>
        <v>0</v>
      </c>
      <c r="H1364" s="1395" t="str">
        <f t="shared" si="811"/>
        <v>A</v>
      </c>
      <c r="I1364" s="1375" t="s">
        <v>1745</v>
      </c>
      <c r="J1364" s="1283" t="str">
        <f>IF(B1364&lt;&gt;"",+VLOOKUP(I1364,Recursos!C:F,2,FALSE),"")</f>
        <v>AYUDANTE</v>
      </c>
      <c r="K1364" s="1284" t="str">
        <f>IF(B1364&lt;&gt;"",+VLOOKUP(I1364,Recursos!C:F,3,FALSE),"")</f>
        <v>hh</v>
      </c>
      <c r="L1364" s="1285">
        <f>IF(B1364&lt;&gt;"",+VLOOKUP(I1364,Recursos!C:F,4,FALSE),"")</f>
        <v>422.48042769667234</v>
      </c>
      <c r="M1364" s="1351"/>
      <c r="N1364" s="1329">
        <v>1</v>
      </c>
      <c r="O1364" s="1286">
        <f>N1364/M1363</f>
        <v>1</v>
      </c>
      <c r="P1364" s="1287">
        <f t="shared" si="812"/>
        <v>422.48042769667234</v>
      </c>
      <c r="Q1364" s="1281">
        <f t="shared" si="813"/>
        <v>0</v>
      </c>
      <c r="R1364" s="1288">
        <f t="shared" si="814"/>
        <v>0</v>
      </c>
      <c r="S1364" s="1289">
        <f t="shared" si="775"/>
        <v>919.39638208943052</v>
      </c>
      <c r="T1364" s="1289">
        <f t="shared" si="776"/>
        <v>0</v>
      </c>
      <c r="U1364" s="1290">
        <f t="shared" si="777"/>
        <v>1493.4428904428905</v>
      </c>
      <c r="V1364" s="1290">
        <f t="shared" si="778"/>
        <v>0</v>
      </c>
      <c r="W1364" s="1290">
        <f t="shared" si="779"/>
        <v>0</v>
      </c>
      <c r="X1364" s="1290">
        <f t="shared" si="780"/>
        <v>0</v>
      </c>
      <c r="Y1364" s="396"/>
      <c r="Z1364" s="1291" t="str">
        <f t="shared" si="815"/>
        <v>X-MURLVINTA</v>
      </c>
      <c r="AA1364" s="1291" t="str">
        <f t="shared" si="816"/>
        <v>X-MURLVINTE</v>
      </c>
      <c r="AB1364" s="1291" t="str">
        <f t="shared" si="817"/>
        <v>X-MURLVINTM</v>
      </c>
      <c r="AC1364" s="1291" t="str">
        <f t="shared" si="818"/>
        <v>X-MURLVINTT</v>
      </c>
      <c r="AD1364" s="1291" t="str">
        <f t="shared" si="819"/>
        <v>X-MURLVINTS</v>
      </c>
      <c r="AE1364" s="1291" t="str">
        <f t="shared" si="820"/>
        <v>X-MURLVINTX</v>
      </c>
      <c r="AF1364" s="1291" t="str">
        <f t="shared" si="821"/>
        <v>X-MURLVINTA</v>
      </c>
      <c r="AG1364" s="1291">
        <f t="shared" si="781"/>
        <v>8</v>
      </c>
      <c r="AH1364" s="1291">
        <f>IF(B1364&lt;&gt;"",+IF(H1364="x",+VLOOKUP(I1364,'AUX-NIV2'!B:AG,32,FALSE),0),"")</f>
        <v>0</v>
      </c>
      <c r="AI1364" s="1291" t="str">
        <f t="shared" si="822"/>
        <v>X-MURLVINT</v>
      </c>
      <c r="AK1364" s="347">
        <f t="shared" si="782"/>
        <v>1363</v>
      </c>
      <c r="AL1364" s="348">
        <f t="shared" si="823"/>
        <v>1370</v>
      </c>
      <c r="AM1364" s="347">
        <f t="shared" ref="AM1364:AM1365" si="825">IF(B1364&lt;&gt;"",IF(B1364=B1363,1+AM1363,1),"")</f>
        <v>2</v>
      </c>
      <c r="AN1364" s="382">
        <f>IF(AND(AH1364&gt;0,B1364&lt;&gt;""),VLOOKUP(I1364,'AUX-NIV2'!$B:$AP,40,FALSE)*O1364,0)</f>
        <v>0</v>
      </c>
      <c r="AO1364" s="382">
        <f t="shared" si="783"/>
        <v>2</v>
      </c>
      <c r="AQ1364" s="395">
        <f>(IF($H1364="x",VLOOKUP($I1364,'AUX-NIV2'!$B:$X,'AUX-NIV1'!AQ$3,FALSE),0)+($AV1364*'AUX-NIV3'!S$4))*$O1364+IF($H1364=AQ$4,$P1364,0)</f>
        <v>0</v>
      </c>
      <c r="AR1364" s="395">
        <f>(IF($H1364="x",VLOOKUP($I1364,'AUX-NIV2'!$B:$X,'AUX-NIV1'!AR$3,FALSE),0)+($AV1364*'AUX-NIV3'!T$4))*$O1364+IF($H1364=AR$4,$P1364,0)</f>
        <v>0</v>
      </c>
      <c r="AS1364" s="395">
        <f>(IF($H1364="x",VLOOKUP($I1364,'AUX-NIV2'!$B:$X,'AUX-NIV1'!AS$3,FALSE),0)+($AV1364*'AUX-NIV3'!U$4))*$O1364+IF($H1364=AS$4,$P1364,0)</f>
        <v>0</v>
      </c>
      <c r="AT1364" s="395">
        <f>(IF($H1364="x",VLOOKUP($I1364,'AUX-NIV2'!$B:$X,'AUX-NIV1'!AT$3,FALSE),0)+($AV1364*'AUX-NIV3'!V$4))*$O1364+IF($H1364=AT$4,$P1364,0)</f>
        <v>0</v>
      </c>
      <c r="AU1364" s="395">
        <f>(IF($H1364="x",VLOOKUP($I1364,'AUX-NIV2'!$B:$X,'AUX-NIV1'!AU$3,FALSE),0)+($AV1364*'AUX-NIV3'!W$4))*$O1364+IF($H1364=AU$4,$P1364,0)</f>
        <v>0</v>
      </c>
      <c r="AV1364" s="395">
        <f>+IF($H1364="x",VLOOKUP($I1364,'AUX-NIV2'!$B:$X,'AUX-NIV1'!AV$3,FALSE),0)</f>
        <v>0</v>
      </c>
    </row>
    <row r="1365" spans="2:48" s="345" customFormat="1">
      <c r="B1365" s="501" t="s">
        <v>4656</v>
      </c>
      <c r="C1365" s="951" t="s">
        <v>4655</v>
      </c>
      <c r="D1365" s="1280" t="s">
        <v>501</v>
      </c>
      <c r="E1365" s="327">
        <f>IF(B1365&lt;&gt;"",SUMIF('AUX-NIV1'!I:I,'AUX-NIV2'!B1365,'AUX-NIV1'!Q:Q),"")</f>
        <v>0</v>
      </c>
      <c r="F1365" s="1281">
        <f t="shared" si="773"/>
        <v>2412.839272532321</v>
      </c>
      <c r="G1365" s="1281">
        <f t="shared" si="774"/>
        <v>0</v>
      </c>
      <c r="H1365" s="1395" t="str">
        <f t="shared" si="811"/>
        <v>M</v>
      </c>
      <c r="I1365" s="1375" t="s">
        <v>4657</v>
      </c>
      <c r="J1365" s="1283" t="str">
        <f>IF(B1365&lt;&gt;"",+VLOOKUP(I1365,Recursos!C:F,2,FALSE),"")</f>
        <v>PLACA DE YESO 12,5mm x 1,2m x 2,4m VERDE</v>
      </c>
      <c r="K1365" s="1284" t="str">
        <f>IF(B1365&lt;&gt;"",+VLOOKUP(I1365,Recursos!C:F,3,FALSE),"")</f>
        <v>m2</v>
      </c>
      <c r="L1365" s="1285">
        <f>IF(B1365&lt;&gt;"",+VLOOKUP(I1365,Recursos!C:F,4,FALSE),"")</f>
        <v>396.00550964187329</v>
      </c>
      <c r="M1365" s="1328">
        <v>2</v>
      </c>
      <c r="N1365" s="1329">
        <v>1.1000000000000001</v>
      </c>
      <c r="O1365" s="1286">
        <f>N1365*M1365</f>
        <v>2.2000000000000002</v>
      </c>
      <c r="P1365" s="1287">
        <f t="shared" si="812"/>
        <v>871.21212121212136</v>
      </c>
      <c r="Q1365" s="1281">
        <f t="shared" si="813"/>
        <v>0</v>
      </c>
      <c r="R1365" s="1288">
        <f t="shared" si="814"/>
        <v>0</v>
      </c>
      <c r="S1365" s="1289">
        <f t="shared" si="775"/>
        <v>919.39638208943052</v>
      </c>
      <c r="T1365" s="1289">
        <f t="shared" si="776"/>
        <v>0</v>
      </c>
      <c r="U1365" s="1290">
        <f t="shared" si="777"/>
        <v>1493.4428904428905</v>
      </c>
      <c r="V1365" s="1290">
        <f t="shared" si="778"/>
        <v>0</v>
      </c>
      <c r="W1365" s="1290">
        <f t="shared" si="779"/>
        <v>0</v>
      </c>
      <c r="X1365" s="1290">
        <f t="shared" si="780"/>
        <v>0</v>
      </c>
      <c r="Y1365" s="396"/>
      <c r="Z1365" s="1291" t="str">
        <f t="shared" si="815"/>
        <v>X-MURLVINTA</v>
      </c>
      <c r="AA1365" s="1291" t="str">
        <f t="shared" si="816"/>
        <v>X-MURLVINTE</v>
      </c>
      <c r="AB1365" s="1291" t="str">
        <f t="shared" si="817"/>
        <v>X-MURLVINTM</v>
      </c>
      <c r="AC1365" s="1291" t="str">
        <f t="shared" si="818"/>
        <v>X-MURLVINTT</v>
      </c>
      <c r="AD1365" s="1291" t="str">
        <f t="shared" si="819"/>
        <v>X-MURLVINTS</v>
      </c>
      <c r="AE1365" s="1291" t="str">
        <f t="shared" si="820"/>
        <v>X-MURLVINTX</v>
      </c>
      <c r="AF1365" s="1291" t="str">
        <f t="shared" si="821"/>
        <v>X-MURLVINTM</v>
      </c>
      <c r="AG1365" s="1291">
        <f t="shared" si="781"/>
        <v>8</v>
      </c>
      <c r="AH1365" s="1291">
        <f>IF(B1365&lt;&gt;"",+IF(H1365="x",+VLOOKUP(I1365,'AUX-NIV2'!B:AG,32,FALSE),0),"")</f>
        <v>0</v>
      </c>
      <c r="AI1365" s="1291" t="str">
        <f t="shared" si="822"/>
        <v>X-MURLVINT</v>
      </c>
      <c r="AK1365" s="347">
        <f t="shared" si="782"/>
        <v>1363</v>
      </c>
      <c r="AL1365" s="348">
        <f t="shared" si="823"/>
        <v>1370</v>
      </c>
      <c r="AM1365" s="347">
        <f t="shared" si="825"/>
        <v>3</v>
      </c>
      <c r="AN1365" s="382">
        <f>IF(AND(AH1365&gt;0,B1365&lt;&gt;""),VLOOKUP(I1365,'AUX-NIV2'!$B:$AP,40,FALSE)*O1365,0)</f>
        <v>0</v>
      </c>
      <c r="AO1365" s="382">
        <f t="shared" si="783"/>
        <v>2</v>
      </c>
      <c r="AQ1365" s="395">
        <f>(IF($H1365="x",VLOOKUP($I1365,'AUX-NIV2'!$B:$X,'AUX-NIV1'!AQ$3,FALSE),0)+($AV1365*'AUX-NIV3'!S$4))*$O1365+IF($H1365=AQ$4,$P1365,0)</f>
        <v>0</v>
      </c>
      <c r="AR1365" s="395">
        <f>(IF($H1365="x",VLOOKUP($I1365,'AUX-NIV2'!$B:$X,'AUX-NIV1'!AR$3,FALSE),0)+($AV1365*'AUX-NIV3'!T$4))*$O1365+IF($H1365=AR$4,$P1365,0)</f>
        <v>0</v>
      </c>
      <c r="AS1365" s="395">
        <f>(IF($H1365="x",VLOOKUP($I1365,'AUX-NIV2'!$B:$X,'AUX-NIV1'!AS$3,FALSE),0)+($AV1365*'AUX-NIV3'!U$4))*$O1365+IF($H1365=AS$4,$P1365,0)</f>
        <v>0</v>
      </c>
      <c r="AT1365" s="395">
        <f>(IF($H1365="x",VLOOKUP($I1365,'AUX-NIV2'!$B:$X,'AUX-NIV1'!AT$3,FALSE),0)+($AV1365*'AUX-NIV3'!V$4))*$O1365+IF($H1365=AT$4,$P1365,0)</f>
        <v>0</v>
      </c>
      <c r="AU1365" s="395">
        <f>(IF($H1365="x",VLOOKUP($I1365,'AUX-NIV2'!$B:$X,'AUX-NIV1'!AU$3,FALSE),0)+($AV1365*'AUX-NIV3'!W$4))*$O1365+IF($H1365=AU$4,$P1365,0)</f>
        <v>0</v>
      </c>
      <c r="AV1365" s="395">
        <f>+IF($H1365="x",VLOOKUP($I1365,'AUX-NIV2'!$B:$X,'AUX-NIV1'!AV$3,FALSE),0)</f>
        <v>0</v>
      </c>
    </row>
    <row r="1366" spans="2:48" s="345" customFormat="1">
      <c r="B1366" s="501" t="s">
        <v>4656</v>
      </c>
      <c r="C1366" s="951" t="s">
        <v>4655</v>
      </c>
      <c r="D1366" s="1280" t="s">
        <v>501</v>
      </c>
      <c r="E1366" s="327">
        <f>IF(B1366&lt;&gt;"",SUMIF('AUX-NIV1'!I:I,'AUX-NIV2'!B1366,'AUX-NIV1'!Q:Q),"")</f>
        <v>0</v>
      </c>
      <c r="F1366" s="1281">
        <f t="shared" si="773"/>
        <v>2412.839272532321</v>
      </c>
      <c r="G1366" s="1281">
        <f t="shared" si="774"/>
        <v>0</v>
      </c>
      <c r="H1366" s="1395" t="str">
        <f t="shared" si="811"/>
        <v>M</v>
      </c>
      <c r="I1366" s="1375" t="s">
        <v>3719</v>
      </c>
      <c r="J1366" s="1283" t="str">
        <f>IF(B1366&lt;&gt;"",+VLOOKUP(I1366,Recursos!C:F,2,FALSE),"")</f>
        <v>PERFILES DE CHAPA GALVANIZADA (2,6m) p/TABUIQUES</v>
      </c>
      <c r="K1366" s="1284" t="str">
        <f>IF(B1366&lt;&gt;"",+VLOOKUP(I1366,Recursos!C:F,3,FALSE),"")</f>
        <v>m</v>
      </c>
      <c r="L1366" s="1285">
        <f>IF(B1366&lt;&gt;"",+VLOOKUP(I1366,Recursos!C:F,4,FALSE),"")</f>
        <v>173.07692307692307</v>
      </c>
      <c r="M1366" s="1351"/>
      <c r="N1366" s="1329">
        <v>1.5</v>
      </c>
      <c r="O1366" s="1286">
        <f>N1366*M1365</f>
        <v>3</v>
      </c>
      <c r="P1366" s="1287">
        <f t="shared" si="812"/>
        <v>519.23076923076917</v>
      </c>
      <c r="Q1366" s="1281">
        <f t="shared" si="813"/>
        <v>0</v>
      </c>
      <c r="R1366" s="1288">
        <f t="shared" si="814"/>
        <v>0</v>
      </c>
      <c r="S1366" s="1289">
        <f t="shared" si="775"/>
        <v>919.39638208943052</v>
      </c>
      <c r="T1366" s="1289">
        <f t="shared" si="776"/>
        <v>0</v>
      </c>
      <c r="U1366" s="1290">
        <f t="shared" si="777"/>
        <v>1493.4428904428905</v>
      </c>
      <c r="V1366" s="1290">
        <f t="shared" si="778"/>
        <v>0</v>
      </c>
      <c r="W1366" s="1290">
        <f t="shared" si="779"/>
        <v>0</v>
      </c>
      <c r="X1366" s="1290">
        <f t="shared" si="780"/>
        <v>0</v>
      </c>
      <c r="Y1366" s="396"/>
      <c r="Z1366" s="1291" t="str">
        <f t="shared" si="815"/>
        <v>X-MURLVINTA</v>
      </c>
      <c r="AA1366" s="1291" t="str">
        <f t="shared" si="816"/>
        <v>X-MURLVINTE</v>
      </c>
      <c r="AB1366" s="1291" t="str">
        <f t="shared" si="817"/>
        <v>X-MURLVINTM</v>
      </c>
      <c r="AC1366" s="1291" t="str">
        <f t="shared" si="818"/>
        <v>X-MURLVINTT</v>
      </c>
      <c r="AD1366" s="1291" t="str">
        <f t="shared" si="819"/>
        <v>X-MURLVINTS</v>
      </c>
      <c r="AE1366" s="1291" t="str">
        <f t="shared" si="820"/>
        <v>X-MURLVINTX</v>
      </c>
      <c r="AF1366" s="1291" t="str">
        <f t="shared" si="821"/>
        <v>X-MURLVINTM</v>
      </c>
      <c r="AG1366" s="1291">
        <f t="shared" si="781"/>
        <v>8</v>
      </c>
      <c r="AH1366" s="1291">
        <f>IF(B1366&lt;&gt;"",+IF(H1366="x",+VLOOKUP(I1366,'AUX-NIV2'!B:AG,32,FALSE),0),"")</f>
        <v>0</v>
      </c>
      <c r="AI1366" s="1291" t="str">
        <f t="shared" si="822"/>
        <v>X-MURLVINT</v>
      </c>
      <c r="AK1366" s="347">
        <f t="shared" si="782"/>
        <v>1363</v>
      </c>
      <c r="AL1366" s="348">
        <f t="shared" si="823"/>
        <v>1370</v>
      </c>
      <c r="AM1366" s="347">
        <f>IF(B1366&lt;&gt;"",IF(B1366=B1365,1+AM1365,1),"")</f>
        <v>4</v>
      </c>
      <c r="AN1366" s="382">
        <f>IF(AND(AH1366&gt;0,B1366&lt;&gt;""),VLOOKUP(I1366,'AUX-NIV2'!$B:$AP,40,FALSE)*O1366,0)</f>
        <v>0</v>
      </c>
      <c r="AO1366" s="382">
        <f t="shared" si="783"/>
        <v>2</v>
      </c>
      <c r="AQ1366" s="395">
        <f>(IF($H1366="x",VLOOKUP($I1366,'AUX-NIV2'!$B:$X,'AUX-NIV1'!AQ$3,FALSE),0)+($AV1366*'AUX-NIV3'!S$4))*$O1366+IF($H1366=AQ$4,$P1366,0)</f>
        <v>0</v>
      </c>
      <c r="AR1366" s="395">
        <f>(IF($H1366="x",VLOOKUP($I1366,'AUX-NIV2'!$B:$X,'AUX-NIV1'!AR$3,FALSE),0)+($AV1366*'AUX-NIV3'!T$4))*$O1366+IF($H1366=AR$4,$P1366,0)</f>
        <v>0</v>
      </c>
      <c r="AS1366" s="395">
        <f>(IF($H1366="x",VLOOKUP($I1366,'AUX-NIV2'!$B:$X,'AUX-NIV1'!AS$3,FALSE),0)+($AV1366*'AUX-NIV3'!U$4))*$O1366+IF($H1366=AS$4,$P1366,0)</f>
        <v>0</v>
      </c>
      <c r="AT1366" s="395">
        <f>(IF($H1366="x",VLOOKUP($I1366,'AUX-NIV2'!$B:$X,'AUX-NIV1'!AT$3,FALSE),0)+($AV1366*'AUX-NIV3'!V$4))*$O1366+IF($H1366=AT$4,$P1366,0)</f>
        <v>0</v>
      </c>
      <c r="AU1366" s="395">
        <f>(IF($H1366="x",VLOOKUP($I1366,'AUX-NIV2'!$B:$X,'AUX-NIV1'!AU$3,FALSE),0)+($AV1366*'AUX-NIV3'!W$4))*$O1366+IF($H1366=AU$4,$P1366,0)</f>
        <v>0</v>
      </c>
      <c r="AV1366" s="395">
        <f>+IF($H1366="x",VLOOKUP($I1366,'AUX-NIV2'!$B:$X,'AUX-NIV1'!AV$3,FALSE),0)</f>
        <v>0</v>
      </c>
    </row>
    <row r="1367" spans="2:48" s="345" customFormat="1">
      <c r="B1367" s="501" t="s">
        <v>4656</v>
      </c>
      <c r="C1367" s="951" t="s">
        <v>4655</v>
      </c>
      <c r="D1367" s="1280" t="s">
        <v>501</v>
      </c>
      <c r="E1367" s="327">
        <f>IF(B1367&lt;&gt;"",SUMIF('AUX-NIV1'!I:I,'AUX-NIV2'!B1367,'AUX-NIV1'!Q:Q),"")</f>
        <v>0</v>
      </c>
      <c r="F1367" s="1281">
        <f t="shared" si="773"/>
        <v>2412.839272532321</v>
      </c>
      <c r="G1367" s="1281">
        <f t="shared" si="774"/>
        <v>0</v>
      </c>
      <c r="H1367" s="1395" t="str">
        <f t="shared" si="811"/>
        <v>M</v>
      </c>
      <c r="I1367" s="1375" t="s">
        <v>3720</v>
      </c>
      <c r="J1367" s="1283" t="str">
        <f>IF(B1367&lt;&gt;"",+VLOOKUP(I1367,Recursos!C:F,2,FALSE),"")</f>
        <v>FIJACIONES</v>
      </c>
      <c r="K1367" s="1284" t="str">
        <f>IF(B1367&lt;&gt;"",+VLOOKUP(I1367,Recursos!C:F,3,FALSE),"")</f>
        <v>UN</v>
      </c>
      <c r="L1367" s="1285">
        <f>IF(B1367&lt;&gt;"",+VLOOKUP(I1367,Recursos!C:F,4,FALSE),"")</f>
        <v>5</v>
      </c>
      <c r="M1367" s="1351"/>
      <c r="N1367" s="1329">
        <v>1.3</v>
      </c>
      <c r="O1367" s="1286">
        <f>N1367*M1365</f>
        <v>2.6</v>
      </c>
      <c r="P1367" s="1287">
        <f t="shared" si="812"/>
        <v>13</v>
      </c>
      <c r="Q1367" s="1281">
        <f t="shared" si="813"/>
        <v>0</v>
      </c>
      <c r="R1367" s="1288">
        <f t="shared" si="814"/>
        <v>0</v>
      </c>
      <c r="S1367" s="1289">
        <f t="shared" si="775"/>
        <v>919.39638208943052</v>
      </c>
      <c r="T1367" s="1289">
        <f t="shared" si="776"/>
        <v>0</v>
      </c>
      <c r="U1367" s="1290">
        <f t="shared" si="777"/>
        <v>1493.4428904428905</v>
      </c>
      <c r="V1367" s="1290">
        <f t="shared" si="778"/>
        <v>0</v>
      </c>
      <c r="W1367" s="1290">
        <f t="shared" si="779"/>
        <v>0</v>
      </c>
      <c r="X1367" s="1290">
        <f t="shared" si="780"/>
        <v>0</v>
      </c>
      <c r="Y1367" s="396"/>
      <c r="Z1367" s="1291" t="str">
        <f t="shared" si="815"/>
        <v>X-MURLVINTA</v>
      </c>
      <c r="AA1367" s="1291" t="str">
        <f t="shared" si="816"/>
        <v>X-MURLVINTE</v>
      </c>
      <c r="AB1367" s="1291" t="str">
        <f t="shared" si="817"/>
        <v>X-MURLVINTM</v>
      </c>
      <c r="AC1367" s="1291" t="str">
        <f t="shared" si="818"/>
        <v>X-MURLVINTT</v>
      </c>
      <c r="AD1367" s="1291" t="str">
        <f t="shared" si="819"/>
        <v>X-MURLVINTS</v>
      </c>
      <c r="AE1367" s="1291" t="str">
        <f t="shared" si="820"/>
        <v>X-MURLVINTX</v>
      </c>
      <c r="AF1367" s="1291" t="str">
        <f t="shared" si="821"/>
        <v>X-MURLVINTM</v>
      </c>
      <c r="AG1367" s="1291">
        <f t="shared" si="781"/>
        <v>8</v>
      </c>
      <c r="AH1367" s="1291">
        <f>IF(B1367&lt;&gt;"",+IF(H1367="x",+VLOOKUP(I1367,'AUX-NIV2'!B:AG,32,FALSE),0),"")</f>
        <v>0</v>
      </c>
      <c r="AI1367" s="1291" t="str">
        <f t="shared" si="822"/>
        <v>X-MURLVINT</v>
      </c>
      <c r="AK1367" s="347">
        <f t="shared" si="782"/>
        <v>1363</v>
      </c>
      <c r="AL1367" s="348">
        <f t="shared" si="823"/>
        <v>1370</v>
      </c>
      <c r="AM1367" s="347">
        <f t="shared" ref="AM1367:AM1370" si="826">IF(B1367&lt;&gt;"",IF(B1367=B1366,1+AM1366,1),"")</f>
        <v>5</v>
      </c>
      <c r="AN1367" s="382">
        <f>IF(AND(AH1367&gt;0,B1367&lt;&gt;""),VLOOKUP(I1367,'AUX-NIV2'!$B:$AP,40,FALSE)*O1367,0)</f>
        <v>0</v>
      </c>
      <c r="AO1367" s="382">
        <f t="shared" si="783"/>
        <v>2</v>
      </c>
      <c r="AQ1367" s="395">
        <f>(IF($H1367="x",VLOOKUP($I1367,'AUX-NIV2'!$B:$X,'AUX-NIV1'!AQ$3,FALSE),0)+($AV1367*'AUX-NIV3'!S$4))*$O1367+IF($H1367=AQ$4,$P1367,0)</f>
        <v>0</v>
      </c>
      <c r="AR1367" s="395">
        <f>(IF($H1367="x",VLOOKUP($I1367,'AUX-NIV2'!$B:$X,'AUX-NIV1'!AR$3,FALSE),0)+($AV1367*'AUX-NIV3'!T$4))*$O1367+IF($H1367=AR$4,$P1367,0)</f>
        <v>0</v>
      </c>
      <c r="AS1367" s="395">
        <f>(IF($H1367="x",VLOOKUP($I1367,'AUX-NIV2'!$B:$X,'AUX-NIV1'!AS$3,FALSE),0)+($AV1367*'AUX-NIV3'!U$4))*$O1367+IF($H1367=AS$4,$P1367,0)</f>
        <v>0</v>
      </c>
      <c r="AT1367" s="395">
        <f>(IF($H1367="x",VLOOKUP($I1367,'AUX-NIV2'!$B:$X,'AUX-NIV1'!AT$3,FALSE),0)+($AV1367*'AUX-NIV3'!V$4))*$O1367+IF($H1367=AT$4,$P1367,0)</f>
        <v>0</v>
      </c>
      <c r="AU1367" s="395">
        <f>(IF($H1367="x",VLOOKUP($I1367,'AUX-NIV2'!$B:$X,'AUX-NIV1'!AU$3,FALSE),0)+($AV1367*'AUX-NIV3'!W$4))*$O1367+IF($H1367=AU$4,$P1367,0)</f>
        <v>0</v>
      </c>
      <c r="AV1367" s="395">
        <f>+IF($H1367="x",VLOOKUP($I1367,'AUX-NIV2'!$B:$X,'AUX-NIV1'!AV$3,FALSE),0)</f>
        <v>0</v>
      </c>
    </row>
    <row r="1368" spans="2:48" s="345" customFormat="1">
      <c r="B1368" s="501" t="s">
        <v>4656</v>
      </c>
      <c r="C1368" s="951" t="s">
        <v>4655</v>
      </c>
      <c r="D1368" s="1280" t="s">
        <v>501</v>
      </c>
      <c r="E1368" s="327">
        <f>IF(B1368&lt;&gt;"",SUMIF('AUX-NIV1'!I:I,'AUX-NIV2'!B1368,'AUX-NIV1'!Q:Q),"")</f>
        <v>0</v>
      </c>
      <c r="F1368" s="1281">
        <f t="shared" si="773"/>
        <v>2412.839272532321</v>
      </c>
      <c r="G1368" s="1281">
        <f t="shared" si="774"/>
        <v>0</v>
      </c>
      <c r="H1368" s="1395" t="str">
        <f t="shared" si="811"/>
        <v>M</v>
      </c>
      <c r="I1368" s="1375" t="s">
        <v>3721</v>
      </c>
      <c r="J1368" s="1283" t="str">
        <f>IF(B1368&lt;&gt;"",+VLOOKUP(I1368,Recursos!C:F,2,FALSE),"")</f>
        <v>CINTA DURLOCK</v>
      </c>
      <c r="K1368" s="1284" t="str">
        <f>IF(B1368&lt;&gt;"",+VLOOKUP(I1368,Recursos!C:F,3,FALSE),"")</f>
        <v>UN</v>
      </c>
      <c r="L1368" s="1285">
        <f>IF(B1368&lt;&gt;"",+VLOOKUP(I1368,Recursos!C:F,4,FALSE),"")</f>
        <v>600</v>
      </c>
      <c r="M1368" s="1351"/>
      <c r="N1368" s="1329">
        <v>7.4999999999999997E-2</v>
      </c>
      <c r="O1368" s="1286">
        <f>N1368*M1365</f>
        <v>0.15</v>
      </c>
      <c r="P1368" s="1287">
        <f t="shared" si="812"/>
        <v>90</v>
      </c>
      <c r="Q1368" s="1281">
        <f t="shared" si="813"/>
        <v>0</v>
      </c>
      <c r="R1368" s="1288">
        <f t="shared" si="814"/>
        <v>0</v>
      </c>
      <c r="S1368" s="1289">
        <f t="shared" si="775"/>
        <v>919.39638208943052</v>
      </c>
      <c r="T1368" s="1289">
        <f t="shared" si="776"/>
        <v>0</v>
      </c>
      <c r="U1368" s="1290">
        <f t="shared" si="777"/>
        <v>1493.4428904428905</v>
      </c>
      <c r="V1368" s="1290">
        <f t="shared" si="778"/>
        <v>0</v>
      </c>
      <c r="W1368" s="1290">
        <f t="shared" si="779"/>
        <v>0</v>
      </c>
      <c r="X1368" s="1290">
        <f t="shared" si="780"/>
        <v>0</v>
      </c>
      <c r="Y1368" s="396"/>
      <c r="Z1368" s="1291" t="str">
        <f t="shared" si="815"/>
        <v>X-MURLVINTA</v>
      </c>
      <c r="AA1368" s="1291" t="str">
        <f t="shared" si="816"/>
        <v>X-MURLVINTE</v>
      </c>
      <c r="AB1368" s="1291" t="str">
        <f t="shared" si="817"/>
        <v>X-MURLVINTM</v>
      </c>
      <c r="AC1368" s="1291" t="str">
        <f t="shared" si="818"/>
        <v>X-MURLVINTT</v>
      </c>
      <c r="AD1368" s="1291" t="str">
        <f t="shared" si="819"/>
        <v>X-MURLVINTS</v>
      </c>
      <c r="AE1368" s="1291" t="str">
        <f t="shared" si="820"/>
        <v>X-MURLVINTX</v>
      </c>
      <c r="AF1368" s="1291" t="str">
        <f t="shared" si="821"/>
        <v>X-MURLVINTM</v>
      </c>
      <c r="AG1368" s="1291">
        <f t="shared" si="781"/>
        <v>8</v>
      </c>
      <c r="AH1368" s="1291">
        <f>IF(B1368&lt;&gt;"",+IF(H1368="x",+VLOOKUP(I1368,'AUX-NIV2'!B:AG,32,FALSE),0),"")</f>
        <v>0</v>
      </c>
      <c r="AI1368" s="1291" t="str">
        <f t="shared" si="822"/>
        <v>X-MURLVINT</v>
      </c>
      <c r="AK1368" s="347">
        <f t="shared" si="782"/>
        <v>1363</v>
      </c>
      <c r="AL1368" s="348">
        <f t="shared" si="823"/>
        <v>1370</v>
      </c>
      <c r="AM1368" s="347">
        <f t="shared" si="826"/>
        <v>6</v>
      </c>
      <c r="AN1368" s="382">
        <f>IF(AND(AH1368&gt;0,B1368&lt;&gt;""),VLOOKUP(I1368,'AUX-NIV2'!$B:$AP,40,FALSE)*O1368,0)</f>
        <v>0</v>
      </c>
      <c r="AO1368" s="382">
        <f t="shared" si="783"/>
        <v>2</v>
      </c>
      <c r="AQ1368" s="395">
        <f>(IF($H1368="x",VLOOKUP($I1368,'AUX-NIV2'!$B:$X,'AUX-NIV1'!AQ$3,FALSE),0)+($AV1368*'AUX-NIV3'!S$4))*$O1368+IF($H1368=AQ$4,$P1368,0)</f>
        <v>0</v>
      </c>
      <c r="AR1368" s="395">
        <f>(IF($H1368="x",VLOOKUP($I1368,'AUX-NIV2'!$B:$X,'AUX-NIV1'!AR$3,FALSE),0)+($AV1368*'AUX-NIV3'!T$4))*$O1368+IF($H1368=AR$4,$P1368,0)</f>
        <v>0</v>
      </c>
      <c r="AS1368" s="395">
        <f>(IF($H1368="x",VLOOKUP($I1368,'AUX-NIV2'!$B:$X,'AUX-NIV1'!AS$3,FALSE),0)+($AV1368*'AUX-NIV3'!U$4))*$O1368+IF($H1368=AS$4,$P1368,0)</f>
        <v>0</v>
      </c>
      <c r="AT1368" s="395">
        <f>(IF($H1368="x",VLOOKUP($I1368,'AUX-NIV2'!$B:$X,'AUX-NIV1'!AT$3,FALSE),0)+($AV1368*'AUX-NIV3'!V$4))*$O1368+IF($H1368=AT$4,$P1368,0)</f>
        <v>0</v>
      </c>
      <c r="AU1368" s="395">
        <f>(IF($H1368="x",VLOOKUP($I1368,'AUX-NIV2'!$B:$X,'AUX-NIV1'!AU$3,FALSE),0)+($AV1368*'AUX-NIV3'!W$4))*$O1368+IF($H1368=AU$4,$P1368,0)</f>
        <v>0</v>
      </c>
      <c r="AV1368" s="395">
        <f>+IF($H1368="x",VLOOKUP($I1368,'AUX-NIV2'!$B:$X,'AUX-NIV1'!AV$3,FALSE),0)</f>
        <v>0</v>
      </c>
    </row>
    <row r="1369" spans="2:48" s="345" customFormat="1">
      <c r="B1369" s="501" t="s">
        <v>4656</v>
      </c>
      <c r="C1369" s="951" t="s">
        <v>4655</v>
      </c>
      <c r="D1369" s="1280" t="s">
        <v>501</v>
      </c>
      <c r="E1369" s="327">
        <f>IF(B1369&lt;&gt;"",SUMIF('AUX-NIV1'!I:I,'AUX-NIV2'!B1369,'AUX-NIV1'!Q:Q),"")</f>
        <v>0</v>
      </c>
      <c r="F1369" s="1281">
        <f t="shared" si="773"/>
        <v>2412.839272532321</v>
      </c>
      <c r="G1369" s="1281">
        <f t="shared" si="774"/>
        <v>0</v>
      </c>
      <c r="H1369" s="1395" t="str">
        <f t="shared" si="811"/>
        <v>M</v>
      </c>
      <c r="I1369" s="1375" t="s">
        <v>3722</v>
      </c>
      <c r="J1369" s="1283" t="str">
        <f>IF(B1369&lt;&gt;"",+VLOOKUP(I1369,Recursos!C:F,2,FALSE),"")</f>
        <v>LANA DE VIDRIO ISOVER  2"</v>
      </c>
      <c r="K1369" s="1284" t="str">
        <f>IF(B1369&lt;&gt;"",+VLOOKUP(I1369,Recursos!C:F,3,FALSE),"")</f>
        <v>m2</v>
      </c>
      <c r="L1369" s="1285">
        <f>IF(B1369&lt;&gt;"",+VLOOKUP(I1369,Recursos!C:F,4,FALSE),"")</f>
        <v>260.33</v>
      </c>
      <c r="M1369" s="1351"/>
      <c r="N1369" s="1329">
        <v>0</v>
      </c>
      <c r="O1369" s="1286">
        <f t="shared" ref="O1369" si="827">N1369</f>
        <v>0</v>
      </c>
      <c r="P1369" s="1287">
        <f t="shared" si="812"/>
        <v>0</v>
      </c>
      <c r="Q1369" s="1281">
        <f t="shared" si="813"/>
        <v>0</v>
      </c>
      <c r="R1369" s="1288">
        <f t="shared" si="814"/>
        <v>0</v>
      </c>
      <c r="S1369" s="1289">
        <f t="shared" si="775"/>
        <v>919.39638208943052</v>
      </c>
      <c r="T1369" s="1289">
        <f t="shared" si="776"/>
        <v>0</v>
      </c>
      <c r="U1369" s="1290">
        <f t="shared" si="777"/>
        <v>1493.4428904428905</v>
      </c>
      <c r="V1369" s="1290">
        <f t="shared" si="778"/>
        <v>0</v>
      </c>
      <c r="W1369" s="1290">
        <f t="shared" si="779"/>
        <v>0</v>
      </c>
      <c r="X1369" s="1290">
        <f t="shared" si="780"/>
        <v>0</v>
      </c>
      <c r="Y1369" s="396"/>
      <c r="Z1369" s="1291" t="str">
        <f t="shared" si="815"/>
        <v>X-MURLVINTA</v>
      </c>
      <c r="AA1369" s="1291" t="str">
        <f t="shared" si="816"/>
        <v>X-MURLVINTE</v>
      </c>
      <c r="AB1369" s="1291" t="str">
        <f t="shared" si="817"/>
        <v>X-MURLVINTM</v>
      </c>
      <c r="AC1369" s="1291" t="str">
        <f t="shared" si="818"/>
        <v>X-MURLVINTT</v>
      </c>
      <c r="AD1369" s="1291" t="str">
        <f t="shared" si="819"/>
        <v>X-MURLVINTS</v>
      </c>
      <c r="AE1369" s="1291" t="str">
        <f t="shared" si="820"/>
        <v>X-MURLVINTX</v>
      </c>
      <c r="AF1369" s="1291" t="str">
        <f t="shared" si="821"/>
        <v>X-MURLVINTM</v>
      </c>
      <c r="AG1369" s="1291">
        <f t="shared" si="781"/>
        <v>8</v>
      </c>
      <c r="AH1369" s="1291">
        <f>IF(B1369&lt;&gt;"",+IF(H1369="x",+VLOOKUP(I1369,'AUX-NIV2'!B:AG,32,FALSE),0),"")</f>
        <v>0</v>
      </c>
      <c r="AI1369" s="1291" t="str">
        <f t="shared" si="822"/>
        <v>X-MURLVINT</v>
      </c>
      <c r="AK1369" s="347">
        <f t="shared" si="782"/>
        <v>1363</v>
      </c>
      <c r="AL1369" s="348">
        <f t="shared" si="823"/>
        <v>1370</v>
      </c>
      <c r="AM1369" s="347">
        <f t="shared" si="826"/>
        <v>7</v>
      </c>
      <c r="AN1369" s="382">
        <f>IF(AND(AH1369&gt;0,B1369&lt;&gt;""),VLOOKUP(I1369,'AUX-NIV2'!$B:$AP,40,FALSE)*O1369,0)</f>
        <v>0</v>
      </c>
      <c r="AO1369" s="382">
        <f t="shared" si="783"/>
        <v>2</v>
      </c>
      <c r="AQ1369" s="395">
        <f>(IF($H1369="x",VLOOKUP($I1369,'AUX-NIV2'!$B:$X,'AUX-NIV1'!AQ$3,FALSE),0)+($AV1369*'AUX-NIV3'!S$4))*$O1369+IF($H1369=AQ$4,$P1369,0)</f>
        <v>0</v>
      </c>
      <c r="AR1369" s="395">
        <f>(IF($H1369="x",VLOOKUP($I1369,'AUX-NIV2'!$B:$X,'AUX-NIV1'!AR$3,FALSE),0)+($AV1369*'AUX-NIV3'!T$4))*$O1369+IF($H1369=AR$4,$P1369,0)</f>
        <v>0</v>
      </c>
      <c r="AS1369" s="395">
        <f>(IF($H1369="x",VLOOKUP($I1369,'AUX-NIV2'!$B:$X,'AUX-NIV1'!AS$3,FALSE),0)+($AV1369*'AUX-NIV3'!U$4))*$O1369+IF($H1369=AS$4,$P1369,0)</f>
        <v>0</v>
      </c>
      <c r="AT1369" s="395">
        <f>(IF($H1369="x",VLOOKUP($I1369,'AUX-NIV2'!$B:$X,'AUX-NIV1'!AT$3,FALSE),0)+($AV1369*'AUX-NIV3'!V$4))*$O1369+IF($H1369=AT$4,$P1369,0)</f>
        <v>0</v>
      </c>
      <c r="AU1369" s="395">
        <f>(IF($H1369="x",VLOOKUP($I1369,'AUX-NIV2'!$B:$X,'AUX-NIV1'!AU$3,FALSE),0)+($AV1369*'AUX-NIV3'!W$4))*$O1369+IF($H1369=AU$4,$P1369,0)</f>
        <v>0</v>
      </c>
      <c r="AV1369" s="395">
        <f>+IF($H1369="x",VLOOKUP($I1369,'AUX-NIV2'!$B:$X,'AUX-NIV1'!AV$3,FALSE),0)</f>
        <v>0</v>
      </c>
    </row>
    <row r="1370" spans="2:48" s="345" customFormat="1" ht="13.8" thickBot="1">
      <c r="B1370" s="501" t="s">
        <v>4656</v>
      </c>
      <c r="C1370" s="951" t="s">
        <v>4655</v>
      </c>
      <c r="D1370" s="1280" t="s">
        <v>501</v>
      </c>
      <c r="E1370" s="327">
        <f>IF(B1370&lt;&gt;"",SUMIF('AUX-NIV1'!I:I,'AUX-NIV2'!B1370,'AUX-NIV1'!Q:Q),"")</f>
        <v>0</v>
      </c>
      <c r="F1370" s="1281">
        <f t="shared" si="773"/>
        <v>2412.839272532321</v>
      </c>
      <c r="G1370" s="1281">
        <f t="shared" si="774"/>
        <v>0</v>
      </c>
      <c r="H1370" s="1395" t="str">
        <f t="shared" si="811"/>
        <v>M</v>
      </c>
      <c r="I1370" s="1375" t="s">
        <v>3295</v>
      </c>
      <c r="J1370" s="1283" t="str">
        <f>IF(B1370&lt;&gt;"",+VLOOKUP(I1370,Recursos!C:F,2,FALSE),"")</f>
        <v>ANDAMIO TUBULAR 2x3x1,3</v>
      </c>
      <c r="K1370" s="1284" t="str">
        <f>IF(B1370&lt;&gt;"",+VLOOKUP(I1370,Recursos!C:F,3,FALSE),"")</f>
        <v>Mod</v>
      </c>
      <c r="L1370" s="1285">
        <f>IF(B1370&lt;&gt;"",+VLOOKUP(I1370,Recursos!C:F,4,FALSE),"")</f>
        <v>8000</v>
      </c>
      <c r="M1370" s="1626">
        <f>2*1</f>
        <v>2</v>
      </c>
      <c r="N1370" s="1627">
        <v>0</v>
      </c>
      <c r="O1370" s="1286">
        <f>M1370*N1370</f>
        <v>0</v>
      </c>
      <c r="P1370" s="1287">
        <f t="shared" si="812"/>
        <v>0</v>
      </c>
      <c r="Q1370" s="1281">
        <f t="shared" si="813"/>
        <v>0</v>
      </c>
      <c r="R1370" s="1288">
        <f t="shared" si="814"/>
        <v>0</v>
      </c>
      <c r="S1370" s="1289">
        <f t="shared" si="775"/>
        <v>919.39638208943052</v>
      </c>
      <c r="T1370" s="1289">
        <f t="shared" si="776"/>
        <v>0</v>
      </c>
      <c r="U1370" s="1290">
        <f t="shared" si="777"/>
        <v>1493.4428904428905</v>
      </c>
      <c r="V1370" s="1290">
        <f t="shared" si="778"/>
        <v>0</v>
      </c>
      <c r="W1370" s="1290">
        <f t="shared" si="779"/>
        <v>0</v>
      </c>
      <c r="X1370" s="1290">
        <f t="shared" si="780"/>
        <v>0</v>
      </c>
      <c r="Y1370" s="396"/>
      <c r="Z1370" s="1291" t="str">
        <f t="shared" si="815"/>
        <v>X-MURLVINTA</v>
      </c>
      <c r="AA1370" s="1291" t="str">
        <f t="shared" si="816"/>
        <v>X-MURLVINTE</v>
      </c>
      <c r="AB1370" s="1291" t="str">
        <f t="shared" si="817"/>
        <v>X-MURLVINTM</v>
      </c>
      <c r="AC1370" s="1291" t="str">
        <f t="shared" si="818"/>
        <v>X-MURLVINTT</v>
      </c>
      <c r="AD1370" s="1291" t="str">
        <f t="shared" si="819"/>
        <v>X-MURLVINTS</v>
      </c>
      <c r="AE1370" s="1291" t="str">
        <f t="shared" si="820"/>
        <v>X-MURLVINTX</v>
      </c>
      <c r="AF1370" s="1291" t="str">
        <f t="shared" si="821"/>
        <v>X-MURLVINTM</v>
      </c>
      <c r="AG1370" s="1291">
        <f t="shared" si="781"/>
        <v>8</v>
      </c>
      <c r="AH1370" s="1291">
        <f>IF(B1370&lt;&gt;"",+IF(H1370="x",+VLOOKUP(I1370,'AUX-NIV2'!B:AG,32,FALSE),0),"")</f>
        <v>0</v>
      </c>
      <c r="AI1370" s="1291" t="str">
        <f t="shared" si="822"/>
        <v>X-MURLVINT</v>
      </c>
      <c r="AK1370" s="347">
        <f t="shared" si="782"/>
        <v>1363</v>
      </c>
      <c r="AL1370" s="348">
        <f t="shared" si="823"/>
        <v>1370</v>
      </c>
      <c r="AM1370" s="347">
        <f t="shared" si="826"/>
        <v>8</v>
      </c>
      <c r="AN1370" s="382">
        <f>IF(AND(AH1370&gt;0,B1370&lt;&gt;""),VLOOKUP(I1370,'AUX-NIV2'!$B:$AP,40,FALSE)*O1370,0)</f>
        <v>0</v>
      </c>
      <c r="AO1370" s="382">
        <f t="shared" si="783"/>
        <v>2</v>
      </c>
      <c r="AQ1370" s="395">
        <f>(IF($H1370="x",VLOOKUP($I1370,'AUX-NIV2'!$B:$X,'AUX-NIV1'!AQ$3,FALSE),0)+($AV1370*'AUX-NIV3'!S$4))*$O1370+IF($H1370=AQ$4,$P1370,0)</f>
        <v>0</v>
      </c>
      <c r="AR1370" s="395">
        <f>(IF($H1370="x",VLOOKUP($I1370,'AUX-NIV2'!$B:$X,'AUX-NIV1'!AR$3,FALSE),0)+($AV1370*'AUX-NIV3'!T$4))*$O1370+IF($H1370=AR$4,$P1370,0)</f>
        <v>0</v>
      </c>
      <c r="AS1370" s="395">
        <f>(IF($H1370="x",VLOOKUP($I1370,'AUX-NIV2'!$B:$X,'AUX-NIV1'!AS$3,FALSE),0)+($AV1370*'AUX-NIV3'!U$4))*$O1370+IF($H1370=AS$4,$P1370,0)</f>
        <v>0</v>
      </c>
      <c r="AT1370" s="395">
        <f>(IF($H1370="x",VLOOKUP($I1370,'AUX-NIV2'!$B:$X,'AUX-NIV1'!AT$3,FALSE),0)+($AV1370*'AUX-NIV3'!V$4))*$O1370+IF($H1370=AT$4,$P1370,0)</f>
        <v>0</v>
      </c>
      <c r="AU1370" s="395">
        <f>(IF($H1370="x",VLOOKUP($I1370,'AUX-NIV2'!$B:$X,'AUX-NIV1'!AU$3,FALSE),0)+($AV1370*'AUX-NIV3'!W$4))*$O1370+IF($H1370=AU$4,$P1370,0)</f>
        <v>0</v>
      </c>
      <c r="AV1370" s="395">
        <f>+IF($H1370="x",VLOOKUP($I1370,'AUX-NIV2'!$B:$X,'AUX-NIV1'!AV$3,FALSE),0)</f>
        <v>0</v>
      </c>
    </row>
    <row r="1371" spans="2:48" s="345" customFormat="1" ht="13.8" thickTop="1">
      <c r="B1371" s="501" t="s">
        <v>4659</v>
      </c>
      <c r="C1371" s="951" t="s">
        <v>4654</v>
      </c>
      <c r="D1371" s="1280" t="s">
        <v>501</v>
      </c>
      <c r="E1371" s="327">
        <f>IF(B1371&lt;&gt;"",SUMIF('AUX-NIV1'!I:I,'AUX-NIV2'!B1371,'AUX-NIV1'!Q:Q),"")</f>
        <v>0</v>
      </c>
      <c r="F1371" s="1281">
        <f t="shared" si="773"/>
        <v>3849.022770654803</v>
      </c>
      <c r="G1371" s="1281">
        <f t="shared" si="774"/>
        <v>0</v>
      </c>
      <c r="H1371" s="1395" t="str">
        <f t="shared" ref="H1371:H1381" si="828">IF(B1371&lt;&gt;"",+LEFT(I1371,1),"")</f>
        <v>A</v>
      </c>
      <c r="I1371" s="1375" t="s">
        <v>1746</v>
      </c>
      <c r="J1371" s="1283" t="str">
        <f>IF(B1371&lt;&gt;"",+VLOOKUP(I1371,Recursos!C:F,2,FALSE),"")</f>
        <v>OFICIAL</v>
      </c>
      <c r="K1371" s="1284" t="str">
        <f>IF(B1371&lt;&gt;"",+VLOOKUP(I1371,Recursos!C:F,3,FALSE),"")</f>
        <v>hh</v>
      </c>
      <c r="L1371" s="1285">
        <f>IF(B1371&lt;&gt;"",+VLOOKUP(I1371,Recursos!C:F,4,FALSE),"")</f>
        <v>496.91595439275824</v>
      </c>
      <c r="M1371" s="989">
        <v>1.5</v>
      </c>
      <c r="N1371" s="1292">
        <v>1</v>
      </c>
      <c r="O1371" s="1286">
        <f>N1371/M1371</f>
        <v>0.66666666666666663</v>
      </c>
      <c r="P1371" s="1287">
        <f t="shared" ref="P1371:P1381" si="829">IF(B1371&lt;&gt;"",O1371*L1371,"")</f>
        <v>331.27730292850549</v>
      </c>
      <c r="Q1371" s="1281">
        <f t="shared" ref="Q1371:Q1381" si="830">IF(B1371&lt;&gt;"",+O1371*E1371,"")</f>
        <v>0</v>
      </c>
      <c r="R1371" s="1288">
        <f t="shared" ref="R1371:R1381" si="831">IF(B1371&lt;&gt;"",Q1371*L1371,"")</f>
        <v>0</v>
      </c>
      <c r="S1371" s="1289">
        <f t="shared" si="775"/>
        <v>612.93092139295368</v>
      </c>
      <c r="T1371" s="1289">
        <f t="shared" si="776"/>
        <v>0</v>
      </c>
      <c r="U1371" s="1290">
        <f t="shared" si="777"/>
        <v>3236.0918492618493</v>
      </c>
      <c r="V1371" s="1290">
        <f t="shared" si="778"/>
        <v>0</v>
      </c>
      <c r="W1371" s="1290">
        <f t="shared" si="779"/>
        <v>0</v>
      </c>
      <c r="X1371" s="1290">
        <f t="shared" si="780"/>
        <v>0</v>
      </c>
      <c r="Y1371" s="396"/>
      <c r="Z1371" s="1291" t="str">
        <f t="shared" ref="Z1371:Z1381" si="832">IF(B1371&lt;&gt;"",+$B1371&amp;"A","")</f>
        <v>X-MURLVEXTA</v>
      </c>
      <c r="AA1371" s="1291" t="str">
        <f t="shared" ref="AA1371:AA1381" si="833">IF(B1371&lt;&gt;"",+$B1371&amp;"E","")</f>
        <v>X-MURLVEXTE</v>
      </c>
      <c r="AB1371" s="1291" t="str">
        <f t="shared" ref="AB1371:AB1381" si="834">IF(B1371&lt;&gt;"",++$B1371&amp;"M","")</f>
        <v>X-MURLVEXTM</v>
      </c>
      <c r="AC1371" s="1291" t="str">
        <f t="shared" ref="AC1371:AC1381" si="835">IF(B1371&lt;&gt;"",+$B1371&amp;"T","")</f>
        <v>X-MURLVEXTT</v>
      </c>
      <c r="AD1371" s="1291" t="str">
        <f t="shared" ref="AD1371:AD1381" si="836">IF(B1371&lt;&gt;"",+$B1371&amp;"S","")</f>
        <v>X-MURLVEXTS</v>
      </c>
      <c r="AE1371" s="1291" t="str">
        <f t="shared" ref="AE1371:AE1381" si="837">IF(B1371&lt;&gt;"",+$B1371&amp;"X","")</f>
        <v>X-MURLVEXTX</v>
      </c>
      <c r="AF1371" s="1291" t="str">
        <f t="shared" ref="AF1371:AF1381" si="838">IF(B1371&lt;&gt;"",+B1371&amp;H1371,"")</f>
        <v>X-MURLVEXTA</v>
      </c>
      <c r="AG1371" s="1291">
        <f t="shared" si="781"/>
        <v>11</v>
      </c>
      <c r="AH1371" s="1291">
        <f>IF(B1371&lt;&gt;"",+IF(H1371="x",+VLOOKUP(I1371,'AUX-NIV2'!B:AG,32,FALSE),0),"")</f>
        <v>0</v>
      </c>
      <c r="AI1371" s="1291" t="str">
        <f t="shared" ref="AI1371:AI1381" si="839">IF(B1371&lt;&gt;"",+B1371,"")</f>
        <v>X-MURLVEXT</v>
      </c>
      <c r="AK1371" s="347">
        <f t="shared" si="782"/>
        <v>1371</v>
      </c>
      <c r="AL1371" s="348">
        <f t="shared" ref="AL1371:AL1381" si="840">IF(B1371&lt;&gt;"",+AK1371+AG1371-1,"")</f>
        <v>1381</v>
      </c>
      <c r="AM1371" s="347">
        <f>IF(B1371&lt;&gt;"",IF(B1371=B1361,1+AM1361,1),"")</f>
        <v>1</v>
      </c>
      <c r="AN1371" s="382">
        <f>IF(AND(AH1371&gt;0,B1371&lt;&gt;""),VLOOKUP(I1371,'AUX-NIV2'!$B:$AP,40,FALSE)*O1371,0)</f>
        <v>0</v>
      </c>
      <c r="AO1371" s="382">
        <f t="shared" si="783"/>
        <v>1.3333333333333333</v>
      </c>
      <c r="AQ1371" s="395">
        <f>(IF($H1371="x",VLOOKUP($I1371,'AUX-NIV2'!$B:$X,'AUX-NIV1'!AQ$3,FALSE),0)+($AV1371*'AUX-NIV3'!S$4))*$O1371+IF($H1371=AQ$4,$P1371,0)</f>
        <v>0</v>
      </c>
      <c r="AR1371" s="395">
        <f>(IF($H1371="x",VLOOKUP($I1371,'AUX-NIV2'!$B:$X,'AUX-NIV1'!AR$3,FALSE),0)+($AV1371*'AUX-NIV3'!T$4))*$O1371+IF($H1371=AR$4,$P1371,0)</f>
        <v>0</v>
      </c>
      <c r="AS1371" s="395">
        <f>(IF($H1371="x",VLOOKUP($I1371,'AUX-NIV2'!$B:$X,'AUX-NIV1'!AS$3,FALSE),0)+($AV1371*'AUX-NIV3'!U$4))*$O1371+IF($H1371=AS$4,$P1371,0)</f>
        <v>0</v>
      </c>
      <c r="AT1371" s="395">
        <f>(IF($H1371="x",VLOOKUP($I1371,'AUX-NIV2'!$B:$X,'AUX-NIV1'!AT$3,FALSE),0)+($AV1371*'AUX-NIV3'!V$4))*$O1371+IF($H1371=AT$4,$P1371,0)</f>
        <v>0</v>
      </c>
      <c r="AU1371" s="395">
        <f>(IF($H1371="x",VLOOKUP($I1371,'AUX-NIV2'!$B:$X,'AUX-NIV1'!AU$3,FALSE),0)+($AV1371*'AUX-NIV3'!W$4))*$O1371+IF($H1371=AU$4,$P1371,0)</f>
        <v>0</v>
      </c>
      <c r="AV1371" s="395">
        <f>+IF($H1371="x",VLOOKUP($I1371,'AUX-NIV2'!$B:$X,'AUX-NIV1'!AV$3,FALSE),0)</f>
        <v>0</v>
      </c>
    </row>
    <row r="1372" spans="2:48" s="345" customFormat="1">
      <c r="B1372" s="501" t="s">
        <v>4659</v>
      </c>
      <c r="C1372" s="951" t="s">
        <v>4654</v>
      </c>
      <c r="D1372" s="1280" t="s">
        <v>501</v>
      </c>
      <c r="E1372" s="327">
        <f>IF(B1372&lt;&gt;"",SUMIF('AUX-NIV1'!I:I,'AUX-NIV2'!B1372,'AUX-NIV1'!Q:Q),"")</f>
        <v>0</v>
      </c>
      <c r="F1372" s="1281">
        <f t="shared" si="773"/>
        <v>3849.022770654803</v>
      </c>
      <c r="G1372" s="1281">
        <f t="shared" si="774"/>
        <v>0</v>
      </c>
      <c r="H1372" s="1395" t="str">
        <f t="shared" si="828"/>
        <v>A</v>
      </c>
      <c r="I1372" s="1375" t="s">
        <v>1745</v>
      </c>
      <c r="J1372" s="1283" t="str">
        <f>IF(B1372&lt;&gt;"",+VLOOKUP(I1372,Recursos!C:F,2,FALSE),"")</f>
        <v>AYUDANTE</v>
      </c>
      <c r="K1372" s="1284" t="str">
        <f>IF(B1372&lt;&gt;"",+VLOOKUP(I1372,Recursos!C:F,3,FALSE),"")</f>
        <v>hh</v>
      </c>
      <c r="L1372" s="1285">
        <f>IF(B1372&lt;&gt;"",+VLOOKUP(I1372,Recursos!C:F,4,FALSE),"")</f>
        <v>422.48042769667234</v>
      </c>
      <c r="M1372" s="1351"/>
      <c r="N1372" s="1329">
        <v>1</v>
      </c>
      <c r="O1372" s="1286">
        <f>N1372/M1371</f>
        <v>0.66666666666666663</v>
      </c>
      <c r="P1372" s="1287">
        <f t="shared" si="829"/>
        <v>281.65361846444819</v>
      </c>
      <c r="Q1372" s="1281">
        <f t="shared" si="830"/>
        <v>0</v>
      </c>
      <c r="R1372" s="1288">
        <f t="shared" si="831"/>
        <v>0</v>
      </c>
      <c r="S1372" s="1289">
        <f t="shared" si="775"/>
        <v>612.93092139295368</v>
      </c>
      <c r="T1372" s="1289">
        <f t="shared" si="776"/>
        <v>0</v>
      </c>
      <c r="U1372" s="1290">
        <f t="shared" si="777"/>
        <v>3236.0918492618493</v>
      </c>
      <c r="V1372" s="1290">
        <f t="shared" si="778"/>
        <v>0</v>
      </c>
      <c r="W1372" s="1290">
        <f t="shared" si="779"/>
        <v>0</v>
      </c>
      <c r="X1372" s="1290">
        <f t="shared" si="780"/>
        <v>0</v>
      </c>
      <c r="Y1372" s="396"/>
      <c r="Z1372" s="1291" t="str">
        <f t="shared" si="832"/>
        <v>X-MURLVEXTA</v>
      </c>
      <c r="AA1372" s="1291" t="str">
        <f t="shared" si="833"/>
        <v>X-MURLVEXTE</v>
      </c>
      <c r="AB1372" s="1291" t="str">
        <f t="shared" si="834"/>
        <v>X-MURLVEXTM</v>
      </c>
      <c r="AC1372" s="1291" t="str">
        <f t="shared" si="835"/>
        <v>X-MURLVEXTT</v>
      </c>
      <c r="AD1372" s="1291" t="str">
        <f t="shared" si="836"/>
        <v>X-MURLVEXTS</v>
      </c>
      <c r="AE1372" s="1291" t="str">
        <f t="shared" si="837"/>
        <v>X-MURLVEXTX</v>
      </c>
      <c r="AF1372" s="1291" t="str">
        <f t="shared" si="838"/>
        <v>X-MURLVEXTA</v>
      </c>
      <c r="AG1372" s="1291">
        <f t="shared" si="781"/>
        <v>11</v>
      </c>
      <c r="AH1372" s="1291">
        <f>IF(B1372&lt;&gt;"",+IF(H1372="x",+VLOOKUP(I1372,'AUX-NIV2'!B:AG,32,FALSE),0),"")</f>
        <v>0</v>
      </c>
      <c r="AI1372" s="1291" t="str">
        <f t="shared" si="839"/>
        <v>X-MURLVEXT</v>
      </c>
      <c r="AK1372" s="347">
        <f t="shared" si="782"/>
        <v>1371</v>
      </c>
      <c r="AL1372" s="348">
        <f t="shared" si="840"/>
        <v>1381</v>
      </c>
      <c r="AM1372" s="347">
        <f t="shared" ref="AM1372:AM1373" si="841">IF(B1372&lt;&gt;"",IF(B1372=B1371,1+AM1371,1),"")</f>
        <v>2</v>
      </c>
      <c r="AN1372" s="382">
        <f>IF(AND(AH1372&gt;0,B1372&lt;&gt;""),VLOOKUP(I1372,'AUX-NIV2'!$B:$AP,40,FALSE)*O1372,0)</f>
        <v>0</v>
      </c>
      <c r="AO1372" s="382">
        <f t="shared" si="783"/>
        <v>1.3333333333333333</v>
      </c>
      <c r="AQ1372" s="395">
        <f>(IF($H1372="x",VLOOKUP($I1372,'AUX-NIV2'!$B:$X,'AUX-NIV1'!AQ$3,FALSE),0)+($AV1372*'AUX-NIV3'!S$4))*$O1372+IF($H1372=AQ$4,$P1372,0)</f>
        <v>0</v>
      </c>
      <c r="AR1372" s="395">
        <f>(IF($H1372="x",VLOOKUP($I1372,'AUX-NIV2'!$B:$X,'AUX-NIV1'!AR$3,FALSE),0)+($AV1372*'AUX-NIV3'!T$4))*$O1372+IF($H1372=AR$4,$P1372,0)</f>
        <v>0</v>
      </c>
      <c r="AS1372" s="395">
        <f>(IF($H1372="x",VLOOKUP($I1372,'AUX-NIV2'!$B:$X,'AUX-NIV1'!AS$3,FALSE),0)+($AV1372*'AUX-NIV3'!U$4))*$O1372+IF($H1372=AS$4,$P1372,0)</f>
        <v>0</v>
      </c>
      <c r="AT1372" s="395">
        <f>(IF($H1372="x",VLOOKUP($I1372,'AUX-NIV2'!$B:$X,'AUX-NIV1'!AT$3,FALSE),0)+($AV1372*'AUX-NIV3'!V$4))*$O1372+IF($H1372=AT$4,$P1372,0)</f>
        <v>0</v>
      </c>
      <c r="AU1372" s="395">
        <f>(IF($H1372="x",VLOOKUP($I1372,'AUX-NIV2'!$B:$X,'AUX-NIV1'!AU$3,FALSE),0)+($AV1372*'AUX-NIV3'!W$4))*$O1372+IF($H1372=AU$4,$P1372,0)</f>
        <v>0</v>
      </c>
      <c r="AV1372" s="395">
        <f>+IF($H1372="x",VLOOKUP($I1372,'AUX-NIV2'!$B:$X,'AUX-NIV1'!AV$3,FALSE),0)</f>
        <v>0</v>
      </c>
    </row>
    <row r="1373" spans="2:48" s="345" customFormat="1">
      <c r="B1373" s="501" t="s">
        <v>4659</v>
      </c>
      <c r="C1373" s="951" t="s">
        <v>4654</v>
      </c>
      <c r="D1373" s="1280" t="s">
        <v>501</v>
      </c>
      <c r="E1373" s="327">
        <f>IF(B1373&lt;&gt;"",SUMIF('AUX-NIV1'!I:I,'AUX-NIV2'!B1373,'AUX-NIV1'!Q:Q),"")</f>
        <v>0</v>
      </c>
      <c r="F1373" s="1281">
        <f t="shared" si="773"/>
        <v>3849.022770654803</v>
      </c>
      <c r="G1373" s="1281">
        <f t="shared" si="774"/>
        <v>0</v>
      </c>
      <c r="H1373" s="1395" t="str">
        <f t="shared" si="828"/>
        <v>M</v>
      </c>
      <c r="I1373" s="1375" t="s">
        <v>4657</v>
      </c>
      <c r="J1373" s="1283" t="str">
        <f>IF(B1373&lt;&gt;"",+VLOOKUP(I1373,Recursos!C:F,2,FALSE),"")</f>
        <v>PLACA DE YESO 12,5mm x 1,2m x 2,4m VERDE</v>
      </c>
      <c r="K1373" s="1284" t="str">
        <f>IF(B1373&lt;&gt;"",+VLOOKUP(I1373,Recursos!C:F,3,FALSE),"")</f>
        <v>m2</v>
      </c>
      <c r="L1373" s="1285">
        <f>IF(B1373&lt;&gt;"",+VLOOKUP(I1373,Recursos!C:F,4,FALSE),"")</f>
        <v>396.00550964187329</v>
      </c>
      <c r="M1373" s="1328">
        <v>1</v>
      </c>
      <c r="N1373" s="1329">
        <v>1.1000000000000001</v>
      </c>
      <c r="O1373" s="1286">
        <f>N1373*M1373</f>
        <v>1.1000000000000001</v>
      </c>
      <c r="P1373" s="1287">
        <f t="shared" si="829"/>
        <v>435.60606060606068</v>
      </c>
      <c r="Q1373" s="1281">
        <f t="shared" si="830"/>
        <v>0</v>
      </c>
      <c r="R1373" s="1288">
        <f t="shared" si="831"/>
        <v>0</v>
      </c>
      <c r="S1373" s="1289">
        <f t="shared" si="775"/>
        <v>612.93092139295368</v>
      </c>
      <c r="T1373" s="1289">
        <f t="shared" si="776"/>
        <v>0</v>
      </c>
      <c r="U1373" s="1290">
        <f t="shared" si="777"/>
        <v>3236.0918492618493</v>
      </c>
      <c r="V1373" s="1290">
        <f t="shared" si="778"/>
        <v>0</v>
      </c>
      <c r="W1373" s="1290">
        <f t="shared" si="779"/>
        <v>0</v>
      </c>
      <c r="X1373" s="1290">
        <f t="shared" si="780"/>
        <v>0</v>
      </c>
      <c r="Y1373" s="396"/>
      <c r="Z1373" s="1291" t="str">
        <f t="shared" si="832"/>
        <v>X-MURLVEXTA</v>
      </c>
      <c r="AA1373" s="1291" t="str">
        <f t="shared" si="833"/>
        <v>X-MURLVEXTE</v>
      </c>
      <c r="AB1373" s="1291" t="str">
        <f t="shared" si="834"/>
        <v>X-MURLVEXTM</v>
      </c>
      <c r="AC1373" s="1291" t="str">
        <f t="shared" si="835"/>
        <v>X-MURLVEXTT</v>
      </c>
      <c r="AD1373" s="1291" t="str">
        <f t="shared" si="836"/>
        <v>X-MURLVEXTS</v>
      </c>
      <c r="AE1373" s="1291" t="str">
        <f t="shared" si="837"/>
        <v>X-MURLVEXTX</v>
      </c>
      <c r="AF1373" s="1291" t="str">
        <f t="shared" si="838"/>
        <v>X-MURLVEXTM</v>
      </c>
      <c r="AG1373" s="1291">
        <f t="shared" si="781"/>
        <v>11</v>
      </c>
      <c r="AH1373" s="1291">
        <f>IF(B1373&lt;&gt;"",+IF(H1373="x",+VLOOKUP(I1373,'AUX-NIV2'!B:AG,32,FALSE),0),"")</f>
        <v>0</v>
      </c>
      <c r="AI1373" s="1291" t="str">
        <f t="shared" si="839"/>
        <v>X-MURLVEXT</v>
      </c>
      <c r="AK1373" s="347">
        <f t="shared" si="782"/>
        <v>1371</v>
      </c>
      <c r="AL1373" s="348">
        <f t="shared" si="840"/>
        <v>1381</v>
      </c>
      <c r="AM1373" s="347">
        <f t="shared" si="841"/>
        <v>3</v>
      </c>
      <c r="AN1373" s="382">
        <f>IF(AND(AH1373&gt;0,B1373&lt;&gt;""),VLOOKUP(I1373,'AUX-NIV2'!$B:$AP,40,FALSE)*O1373,0)</f>
        <v>0</v>
      </c>
      <c r="AO1373" s="382">
        <f t="shared" si="783"/>
        <v>1.3333333333333333</v>
      </c>
      <c r="AQ1373" s="395">
        <f>(IF($H1373="x",VLOOKUP($I1373,'AUX-NIV2'!$B:$X,'AUX-NIV1'!AQ$3,FALSE),0)+($AV1373*'AUX-NIV3'!S$4))*$O1373+IF($H1373=AQ$4,$P1373,0)</f>
        <v>0</v>
      </c>
      <c r="AR1373" s="395">
        <f>(IF($H1373="x",VLOOKUP($I1373,'AUX-NIV2'!$B:$X,'AUX-NIV1'!AR$3,FALSE),0)+($AV1373*'AUX-NIV3'!T$4))*$O1373+IF($H1373=AR$4,$P1373,0)</f>
        <v>0</v>
      </c>
      <c r="AS1373" s="395">
        <f>(IF($H1373="x",VLOOKUP($I1373,'AUX-NIV2'!$B:$X,'AUX-NIV1'!AS$3,FALSE),0)+($AV1373*'AUX-NIV3'!U$4))*$O1373+IF($H1373=AS$4,$P1373,0)</f>
        <v>0</v>
      </c>
      <c r="AT1373" s="395">
        <f>(IF($H1373="x",VLOOKUP($I1373,'AUX-NIV2'!$B:$X,'AUX-NIV1'!AT$3,FALSE),0)+($AV1373*'AUX-NIV3'!V$4))*$O1373+IF($H1373=AT$4,$P1373,0)</f>
        <v>0</v>
      </c>
      <c r="AU1373" s="395">
        <f>(IF($H1373="x",VLOOKUP($I1373,'AUX-NIV2'!$B:$X,'AUX-NIV1'!AU$3,FALSE),0)+($AV1373*'AUX-NIV3'!W$4))*$O1373+IF($H1373=AU$4,$P1373,0)</f>
        <v>0</v>
      </c>
      <c r="AV1373" s="395">
        <f>+IF($H1373="x",VLOOKUP($I1373,'AUX-NIV2'!$B:$X,'AUX-NIV1'!AV$3,FALSE),0)</f>
        <v>0</v>
      </c>
    </row>
    <row r="1374" spans="2:48" s="345" customFormat="1">
      <c r="B1374" s="501" t="s">
        <v>4659</v>
      </c>
      <c r="C1374" s="951" t="s">
        <v>4654</v>
      </c>
      <c r="D1374" s="1280" t="s">
        <v>501</v>
      </c>
      <c r="E1374" s="327">
        <f>IF(B1374&lt;&gt;"",SUMIF('AUX-NIV1'!I:I,'AUX-NIV2'!B1374,'AUX-NIV1'!Q:Q),"")</f>
        <v>0</v>
      </c>
      <c r="F1374" s="1281">
        <f t="shared" si="773"/>
        <v>3849.022770654803</v>
      </c>
      <c r="G1374" s="1281">
        <f t="shared" si="774"/>
        <v>0</v>
      </c>
      <c r="H1374" s="1395" t="str">
        <f t="shared" ref="H1374" si="842">IF(B1374&lt;&gt;"",+LEFT(I1374,1),"")</f>
        <v>M</v>
      </c>
      <c r="I1374" s="1375" t="s">
        <v>4660</v>
      </c>
      <c r="J1374" s="1283" t="str">
        <f>IF(B1374&lt;&gt;"",+VLOOKUP(I1374,Recursos!C:F,2,FALSE),"")</f>
        <v>PLACA CEMENTICIA 6mm 1,2m x 2,4m</v>
      </c>
      <c r="K1374" s="1284" t="str">
        <f>IF(B1374&lt;&gt;"",+VLOOKUP(I1374,Recursos!C:F,3,FALSE),"")</f>
        <v>m2</v>
      </c>
      <c r="L1374" s="1285">
        <f>IF(B1374&lt;&gt;"",+VLOOKUP(I1374,Recursos!C:F,4,FALSE),"")</f>
        <v>922.22222222222229</v>
      </c>
      <c r="M1374" s="1328">
        <v>1</v>
      </c>
      <c r="N1374" s="1329">
        <v>1</v>
      </c>
      <c r="O1374" s="1286">
        <f>N1374*M1374</f>
        <v>1</v>
      </c>
      <c r="P1374" s="1287">
        <f t="shared" ref="P1374" si="843">IF(B1374&lt;&gt;"",O1374*L1374,"")</f>
        <v>922.22222222222229</v>
      </c>
      <c r="Q1374" s="1281">
        <f t="shared" ref="Q1374" si="844">IF(B1374&lt;&gt;"",+O1374*E1374,"")</f>
        <v>0</v>
      </c>
      <c r="R1374" s="1288">
        <f t="shared" ref="R1374" si="845">IF(B1374&lt;&gt;"",Q1374*L1374,"")</f>
        <v>0</v>
      </c>
      <c r="S1374" s="1289">
        <f t="shared" si="775"/>
        <v>612.93092139295368</v>
      </c>
      <c r="T1374" s="1289">
        <f t="shared" si="776"/>
        <v>0</v>
      </c>
      <c r="U1374" s="1290">
        <f t="shared" si="777"/>
        <v>3236.0918492618493</v>
      </c>
      <c r="V1374" s="1290">
        <f t="shared" si="778"/>
        <v>0</v>
      </c>
      <c r="W1374" s="1290">
        <f t="shared" si="779"/>
        <v>0</v>
      </c>
      <c r="X1374" s="1290">
        <f t="shared" si="780"/>
        <v>0</v>
      </c>
      <c r="Y1374" s="396"/>
      <c r="Z1374" s="1291" t="str">
        <f t="shared" ref="Z1374" si="846">IF(B1374&lt;&gt;"",+$B1374&amp;"A","")</f>
        <v>X-MURLVEXTA</v>
      </c>
      <c r="AA1374" s="1291" t="str">
        <f t="shared" ref="AA1374" si="847">IF(B1374&lt;&gt;"",+$B1374&amp;"E","")</f>
        <v>X-MURLVEXTE</v>
      </c>
      <c r="AB1374" s="1291" t="str">
        <f t="shared" ref="AB1374" si="848">IF(B1374&lt;&gt;"",++$B1374&amp;"M","")</f>
        <v>X-MURLVEXTM</v>
      </c>
      <c r="AC1374" s="1291" t="str">
        <f t="shared" ref="AC1374" si="849">IF(B1374&lt;&gt;"",+$B1374&amp;"T","")</f>
        <v>X-MURLVEXTT</v>
      </c>
      <c r="AD1374" s="1291" t="str">
        <f t="shared" ref="AD1374" si="850">IF(B1374&lt;&gt;"",+$B1374&amp;"S","")</f>
        <v>X-MURLVEXTS</v>
      </c>
      <c r="AE1374" s="1291" t="str">
        <f t="shared" ref="AE1374" si="851">IF(B1374&lt;&gt;"",+$B1374&amp;"X","")</f>
        <v>X-MURLVEXTX</v>
      </c>
      <c r="AF1374" s="1291" t="str">
        <f t="shared" ref="AF1374" si="852">IF(B1374&lt;&gt;"",+B1374&amp;H1374,"")</f>
        <v>X-MURLVEXTM</v>
      </c>
      <c r="AG1374" s="1291">
        <f t="shared" si="781"/>
        <v>11</v>
      </c>
      <c r="AH1374" s="1291">
        <f>IF(B1374&lt;&gt;"",+IF(H1374="x",+VLOOKUP(I1374,'AUX-NIV2'!B:AG,32,FALSE),0),"")</f>
        <v>0</v>
      </c>
      <c r="AI1374" s="1291" t="str">
        <f t="shared" ref="AI1374" si="853">IF(B1374&lt;&gt;"",+B1374,"")</f>
        <v>X-MURLVEXT</v>
      </c>
      <c r="AK1374" s="347">
        <f t="shared" si="782"/>
        <v>1371</v>
      </c>
      <c r="AL1374" s="348">
        <f t="shared" ref="AL1374" si="854">IF(B1374&lt;&gt;"",+AK1374+AG1374-1,"")</f>
        <v>1381</v>
      </c>
      <c r="AM1374" s="347">
        <f>IF(B1374&lt;&gt;"",IF(B1374=B1372,1+AM1372,1),"")</f>
        <v>3</v>
      </c>
      <c r="AN1374" s="382">
        <f>IF(AND(AH1374&gt;0,B1374&lt;&gt;""),VLOOKUP(I1374,'AUX-NIV2'!$B:$AP,40,FALSE)*O1374,0)</f>
        <v>0</v>
      </c>
      <c r="AO1374" s="382">
        <f t="shared" si="783"/>
        <v>1.3333333333333333</v>
      </c>
      <c r="AQ1374" s="395">
        <f>(IF($H1374="x",VLOOKUP($I1374,'AUX-NIV2'!$B:$X,'AUX-NIV1'!AQ$3,FALSE),0)+($AV1374*'AUX-NIV3'!S$4))*$O1374+IF($H1374=AQ$4,$P1374,0)</f>
        <v>0</v>
      </c>
      <c r="AR1374" s="395">
        <f>(IF($H1374="x",VLOOKUP($I1374,'AUX-NIV2'!$B:$X,'AUX-NIV1'!AR$3,FALSE),0)+($AV1374*'AUX-NIV3'!T$4))*$O1374+IF($H1374=AR$4,$P1374,0)</f>
        <v>0</v>
      </c>
      <c r="AS1374" s="395">
        <f>(IF($H1374="x",VLOOKUP($I1374,'AUX-NIV2'!$B:$X,'AUX-NIV1'!AS$3,FALSE),0)+($AV1374*'AUX-NIV3'!U$4))*$O1374+IF($H1374=AS$4,$P1374,0)</f>
        <v>0</v>
      </c>
      <c r="AT1374" s="395">
        <f>(IF($H1374="x",VLOOKUP($I1374,'AUX-NIV2'!$B:$X,'AUX-NIV1'!AT$3,FALSE),0)+($AV1374*'AUX-NIV3'!V$4))*$O1374+IF($H1374=AT$4,$P1374,0)</f>
        <v>0</v>
      </c>
      <c r="AU1374" s="395">
        <f>(IF($H1374="x",VLOOKUP($I1374,'AUX-NIV2'!$B:$X,'AUX-NIV1'!AU$3,FALSE),0)+($AV1374*'AUX-NIV3'!W$4))*$O1374+IF($H1374=AU$4,$P1374,0)</f>
        <v>0</v>
      </c>
      <c r="AV1374" s="395">
        <f>+IF($H1374="x",VLOOKUP($I1374,'AUX-NIV2'!$B:$X,'AUX-NIV1'!AV$3,FALSE),0)</f>
        <v>0</v>
      </c>
    </row>
    <row r="1375" spans="2:48" s="345" customFormat="1">
      <c r="B1375" s="501" t="s">
        <v>4659</v>
      </c>
      <c r="C1375" s="951" t="s">
        <v>4654</v>
      </c>
      <c r="D1375" s="1280" t="s">
        <v>501</v>
      </c>
      <c r="E1375" s="327">
        <f>IF(B1375&lt;&gt;"",SUMIF('AUX-NIV1'!I:I,'AUX-NIV2'!B1375,'AUX-NIV1'!Q:Q),"")</f>
        <v>0</v>
      </c>
      <c r="F1375" s="1281">
        <f t="shared" si="773"/>
        <v>3849.022770654803</v>
      </c>
      <c r="G1375" s="1281">
        <f t="shared" si="774"/>
        <v>0</v>
      </c>
      <c r="H1375" s="1395" t="str">
        <f t="shared" ref="H1375" si="855">IF(B1375&lt;&gt;"",+LEFT(I1375,1),"")</f>
        <v>M</v>
      </c>
      <c r="I1375" s="1375" t="s">
        <v>4651</v>
      </c>
      <c r="J1375" s="1283" t="str">
        <f>IF(B1375&lt;&gt;"",+VLOOKUP(I1375,Recursos!C:F,2,FALSE),"")</f>
        <v>CHAPA ZINC SINUSOIDAL C27</v>
      </c>
      <c r="K1375" s="1284" t="str">
        <f>IF(B1375&lt;&gt;"",+VLOOKUP(I1375,Recursos!C:F,3,FALSE),"")</f>
        <v>m2</v>
      </c>
      <c r="L1375" s="1285">
        <f>IF(B1375&lt;&gt;"",+VLOOKUP(I1375,Recursos!C:F,4,FALSE),"")</f>
        <v>1181.8181818181818</v>
      </c>
      <c r="M1375" s="1328">
        <v>1</v>
      </c>
      <c r="N1375" s="1329">
        <v>1</v>
      </c>
      <c r="O1375" s="1286">
        <f>N1375*M1375</f>
        <v>1</v>
      </c>
      <c r="P1375" s="1287">
        <f t="shared" ref="P1375" si="856">IF(B1375&lt;&gt;"",O1375*L1375,"")</f>
        <v>1181.8181818181818</v>
      </c>
      <c r="Q1375" s="1281">
        <f t="shared" ref="Q1375" si="857">IF(B1375&lt;&gt;"",+O1375*E1375,"")</f>
        <v>0</v>
      </c>
      <c r="R1375" s="1288">
        <f t="shared" ref="R1375" si="858">IF(B1375&lt;&gt;"",Q1375*L1375,"")</f>
        <v>0</v>
      </c>
      <c r="S1375" s="1289">
        <f t="shared" si="775"/>
        <v>612.93092139295368</v>
      </c>
      <c r="T1375" s="1289">
        <f t="shared" si="776"/>
        <v>0</v>
      </c>
      <c r="U1375" s="1290">
        <f t="shared" si="777"/>
        <v>3236.0918492618493</v>
      </c>
      <c r="V1375" s="1290">
        <f t="shared" si="778"/>
        <v>0</v>
      </c>
      <c r="W1375" s="1290">
        <f t="shared" si="779"/>
        <v>0</v>
      </c>
      <c r="X1375" s="1290">
        <f t="shared" si="780"/>
        <v>0</v>
      </c>
      <c r="Y1375" s="396"/>
      <c r="Z1375" s="1291" t="str">
        <f t="shared" ref="Z1375" si="859">IF(B1375&lt;&gt;"",+$B1375&amp;"A","")</f>
        <v>X-MURLVEXTA</v>
      </c>
      <c r="AA1375" s="1291" t="str">
        <f t="shared" ref="AA1375" si="860">IF(B1375&lt;&gt;"",+$B1375&amp;"E","")</f>
        <v>X-MURLVEXTE</v>
      </c>
      <c r="AB1375" s="1291" t="str">
        <f t="shared" ref="AB1375" si="861">IF(B1375&lt;&gt;"",++$B1375&amp;"M","")</f>
        <v>X-MURLVEXTM</v>
      </c>
      <c r="AC1375" s="1291" t="str">
        <f t="shared" ref="AC1375" si="862">IF(B1375&lt;&gt;"",+$B1375&amp;"T","")</f>
        <v>X-MURLVEXTT</v>
      </c>
      <c r="AD1375" s="1291" t="str">
        <f t="shared" ref="AD1375" si="863">IF(B1375&lt;&gt;"",+$B1375&amp;"S","")</f>
        <v>X-MURLVEXTS</v>
      </c>
      <c r="AE1375" s="1291" t="str">
        <f t="shared" ref="AE1375" si="864">IF(B1375&lt;&gt;"",+$B1375&amp;"X","")</f>
        <v>X-MURLVEXTX</v>
      </c>
      <c r="AF1375" s="1291" t="str">
        <f t="shared" ref="AF1375" si="865">IF(B1375&lt;&gt;"",+B1375&amp;H1375,"")</f>
        <v>X-MURLVEXTM</v>
      </c>
      <c r="AG1375" s="1291">
        <f t="shared" si="781"/>
        <v>11</v>
      </c>
      <c r="AH1375" s="1291">
        <f>IF(B1375&lt;&gt;"",+IF(H1375="x",+VLOOKUP(I1375,'AUX-NIV2'!B:AG,32,FALSE),0),"")</f>
        <v>0</v>
      </c>
      <c r="AI1375" s="1291" t="str">
        <f t="shared" ref="AI1375" si="866">IF(B1375&lt;&gt;"",+B1375,"")</f>
        <v>X-MURLVEXT</v>
      </c>
      <c r="AK1375" s="347">
        <f t="shared" si="782"/>
        <v>1371</v>
      </c>
      <c r="AL1375" s="348">
        <f t="shared" ref="AL1375" si="867">IF(B1375&lt;&gt;"",+AK1375+AG1375-1,"")</f>
        <v>1381</v>
      </c>
      <c r="AM1375" s="347">
        <f>IF(B1375&lt;&gt;"",IF(B1375=B1373,1+AM1373,1),"")</f>
        <v>4</v>
      </c>
      <c r="AN1375" s="382">
        <f>IF(AND(AH1375&gt;0,B1375&lt;&gt;""),VLOOKUP(I1375,'AUX-NIV2'!$B:$AP,40,FALSE)*O1375,0)</f>
        <v>0</v>
      </c>
      <c r="AO1375" s="382">
        <f t="shared" si="783"/>
        <v>1.3333333333333333</v>
      </c>
      <c r="AQ1375" s="395">
        <f>(IF($H1375="x",VLOOKUP($I1375,'AUX-NIV2'!$B:$X,'AUX-NIV1'!AQ$3,FALSE),0)+($AV1375*'AUX-NIV3'!S$4))*$O1375+IF($H1375=AQ$4,$P1375,0)</f>
        <v>0</v>
      </c>
      <c r="AR1375" s="395">
        <f>(IF($H1375="x",VLOOKUP($I1375,'AUX-NIV2'!$B:$X,'AUX-NIV1'!AR$3,FALSE),0)+($AV1375*'AUX-NIV3'!T$4))*$O1375+IF($H1375=AR$4,$P1375,0)</f>
        <v>0</v>
      </c>
      <c r="AS1375" s="395">
        <f>(IF($H1375="x",VLOOKUP($I1375,'AUX-NIV2'!$B:$X,'AUX-NIV1'!AS$3,FALSE),0)+($AV1375*'AUX-NIV3'!U$4))*$O1375+IF($H1375=AS$4,$P1375,0)</f>
        <v>0</v>
      </c>
      <c r="AT1375" s="395">
        <f>(IF($H1375="x",VLOOKUP($I1375,'AUX-NIV2'!$B:$X,'AUX-NIV1'!AT$3,FALSE),0)+($AV1375*'AUX-NIV3'!V$4))*$O1375+IF($H1375=AT$4,$P1375,0)</f>
        <v>0</v>
      </c>
      <c r="AU1375" s="395">
        <f>(IF($H1375="x",VLOOKUP($I1375,'AUX-NIV2'!$B:$X,'AUX-NIV1'!AU$3,FALSE),0)+($AV1375*'AUX-NIV3'!W$4))*$O1375+IF($H1375=AU$4,$P1375,0)</f>
        <v>0</v>
      </c>
      <c r="AV1375" s="395">
        <f>+IF($H1375="x",VLOOKUP($I1375,'AUX-NIV2'!$B:$X,'AUX-NIV1'!AV$3,FALSE),0)</f>
        <v>0</v>
      </c>
    </row>
    <row r="1376" spans="2:48" s="345" customFormat="1">
      <c r="B1376" s="501" t="s">
        <v>4659</v>
      </c>
      <c r="C1376" s="951" t="s">
        <v>4654</v>
      </c>
      <c r="D1376" s="1280" t="s">
        <v>501</v>
      </c>
      <c r="E1376" s="327">
        <f>IF(B1376&lt;&gt;"",SUMIF('AUX-NIV1'!I:I,'AUX-NIV2'!B1376,'AUX-NIV1'!Q:Q),"")</f>
        <v>0</v>
      </c>
      <c r="F1376" s="1281">
        <f t="shared" si="773"/>
        <v>3849.022770654803</v>
      </c>
      <c r="G1376" s="1281">
        <f t="shared" si="774"/>
        <v>0</v>
      </c>
      <c r="H1376" s="1395" t="str">
        <f t="shared" si="828"/>
        <v>M</v>
      </c>
      <c r="I1376" s="1375" t="s">
        <v>3719</v>
      </c>
      <c r="J1376" s="1283" t="str">
        <f>IF(B1376&lt;&gt;"",+VLOOKUP(I1376,Recursos!C:F,2,FALSE),"")</f>
        <v>PERFILES DE CHAPA GALVANIZADA (2,6m) p/TABUIQUES</v>
      </c>
      <c r="K1376" s="1284" t="str">
        <f>IF(B1376&lt;&gt;"",+VLOOKUP(I1376,Recursos!C:F,3,FALSE),"")</f>
        <v>m</v>
      </c>
      <c r="L1376" s="1285">
        <f>IF(B1376&lt;&gt;"",+VLOOKUP(I1376,Recursos!C:F,4,FALSE),"")</f>
        <v>173.07692307692307</v>
      </c>
      <c r="M1376" s="1351"/>
      <c r="N1376" s="1329">
        <v>1.5</v>
      </c>
      <c r="O1376" s="1286">
        <f>N1376*M1373</f>
        <v>1.5</v>
      </c>
      <c r="P1376" s="1287">
        <f t="shared" si="829"/>
        <v>259.61538461538458</v>
      </c>
      <c r="Q1376" s="1281">
        <f t="shared" si="830"/>
        <v>0</v>
      </c>
      <c r="R1376" s="1288">
        <f t="shared" si="831"/>
        <v>0</v>
      </c>
      <c r="S1376" s="1289">
        <f t="shared" si="775"/>
        <v>612.93092139295368</v>
      </c>
      <c r="T1376" s="1289">
        <f t="shared" si="776"/>
        <v>0</v>
      </c>
      <c r="U1376" s="1290">
        <f t="shared" si="777"/>
        <v>3236.0918492618493</v>
      </c>
      <c r="V1376" s="1290">
        <f t="shared" si="778"/>
        <v>0</v>
      </c>
      <c r="W1376" s="1290">
        <f t="shared" si="779"/>
        <v>0</v>
      </c>
      <c r="X1376" s="1290">
        <f t="shared" si="780"/>
        <v>0</v>
      </c>
      <c r="Y1376" s="396"/>
      <c r="Z1376" s="1291" t="str">
        <f t="shared" si="832"/>
        <v>X-MURLVEXTA</v>
      </c>
      <c r="AA1376" s="1291" t="str">
        <f t="shared" si="833"/>
        <v>X-MURLVEXTE</v>
      </c>
      <c r="AB1376" s="1291" t="str">
        <f t="shared" si="834"/>
        <v>X-MURLVEXTM</v>
      </c>
      <c r="AC1376" s="1291" t="str">
        <f t="shared" si="835"/>
        <v>X-MURLVEXTT</v>
      </c>
      <c r="AD1376" s="1291" t="str">
        <f t="shared" si="836"/>
        <v>X-MURLVEXTS</v>
      </c>
      <c r="AE1376" s="1291" t="str">
        <f t="shared" si="837"/>
        <v>X-MURLVEXTX</v>
      </c>
      <c r="AF1376" s="1291" t="str">
        <f t="shared" si="838"/>
        <v>X-MURLVEXTM</v>
      </c>
      <c r="AG1376" s="1291">
        <f t="shared" si="781"/>
        <v>11</v>
      </c>
      <c r="AH1376" s="1291">
        <f>IF(B1376&lt;&gt;"",+IF(H1376="x",+VLOOKUP(I1376,'AUX-NIV2'!B:AG,32,FALSE),0),"")</f>
        <v>0</v>
      </c>
      <c r="AI1376" s="1291" t="str">
        <f t="shared" si="839"/>
        <v>X-MURLVEXT</v>
      </c>
      <c r="AK1376" s="347">
        <f t="shared" si="782"/>
        <v>1371</v>
      </c>
      <c r="AL1376" s="348">
        <f t="shared" si="840"/>
        <v>1381</v>
      </c>
      <c r="AM1376" s="347">
        <f>IF(B1376&lt;&gt;"",IF(B1376=B1373,1+AM1373,1),"")</f>
        <v>4</v>
      </c>
      <c r="AN1376" s="382">
        <f>IF(AND(AH1376&gt;0,B1376&lt;&gt;""),VLOOKUP(I1376,'AUX-NIV2'!$B:$AP,40,FALSE)*O1376,0)</f>
        <v>0</v>
      </c>
      <c r="AO1376" s="382">
        <f t="shared" si="783"/>
        <v>1.3333333333333333</v>
      </c>
      <c r="AQ1376" s="395">
        <f>(IF($H1376="x",VLOOKUP($I1376,'AUX-NIV2'!$B:$X,'AUX-NIV1'!AQ$3,FALSE),0)+($AV1376*'AUX-NIV3'!S$4))*$O1376+IF($H1376=AQ$4,$P1376,0)</f>
        <v>0</v>
      </c>
      <c r="AR1376" s="395">
        <f>(IF($H1376="x",VLOOKUP($I1376,'AUX-NIV2'!$B:$X,'AUX-NIV1'!AR$3,FALSE),0)+($AV1376*'AUX-NIV3'!T$4))*$O1376+IF($H1376=AR$4,$P1376,0)</f>
        <v>0</v>
      </c>
      <c r="AS1376" s="395">
        <f>(IF($H1376="x",VLOOKUP($I1376,'AUX-NIV2'!$B:$X,'AUX-NIV1'!AS$3,FALSE),0)+($AV1376*'AUX-NIV3'!U$4))*$O1376+IF($H1376=AS$4,$P1376,0)</f>
        <v>0</v>
      </c>
      <c r="AT1376" s="395">
        <f>(IF($H1376="x",VLOOKUP($I1376,'AUX-NIV2'!$B:$X,'AUX-NIV1'!AT$3,FALSE),0)+($AV1376*'AUX-NIV3'!V$4))*$O1376+IF($H1376=AT$4,$P1376,0)</f>
        <v>0</v>
      </c>
      <c r="AU1376" s="395">
        <f>(IF($H1376="x",VLOOKUP($I1376,'AUX-NIV2'!$B:$X,'AUX-NIV1'!AU$3,FALSE),0)+($AV1376*'AUX-NIV3'!W$4))*$O1376+IF($H1376=AU$4,$P1376,0)</f>
        <v>0</v>
      </c>
      <c r="AV1376" s="395">
        <f>+IF($H1376="x",VLOOKUP($I1376,'AUX-NIV2'!$B:$X,'AUX-NIV1'!AV$3,FALSE),0)</f>
        <v>0</v>
      </c>
    </row>
    <row r="1377" spans="2:48" s="345" customFormat="1">
      <c r="B1377" s="501" t="s">
        <v>4659</v>
      </c>
      <c r="C1377" s="951" t="s">
        <v>4654</v>
      </c>
      <c r="D1377" s="1280" t="s">
        <v>501</v>
      </c>
      <c r="E1377" s="327">
        <f>IF(B1377&lt;&gt;"",SUMIF('AUX-NIV1'!I:I,'AUX-NIV2'!B1377,'AUX-NIV1'!Q:Q),"")</f>
        <v>0</v>
      </c>
      <c r="F1377" s="1281">
        <f t="shared" si="773"/>
        <v>3849.022770654803</v>
      </c>
      <c r="G1377" s="1281">
        <f t="shared" si="774"/>
        <v>0</v>
      </c>
      <c r="H1377" s="1395" t="str">
        <f t="shared" si="828"/>
        <v>M</v>
      </c>
      <c r="I1377" s="1375" t="s">
        <v>3720</v>
      </c>
      <c r="J1377" s="1283" t="str">
        <f>IF(B1377&lt;&gt;"",+VLOOKUP(I1377,Recursos!C:F,2,FALSE),"")</f>
        <v>FIJACIONES</v>
      </c>
      <c r="K1377" s="1284" t="str">
        <f>IF(B1377&lt;&gt;"",+VLOOKUP(I1377,Recursos!C:F,3,FALSE),"")</f>
        <v>UN</v>
      </c>
      <c r="L1377" s="1285">
        <f>IF(B1377&lt;&gt;"",+VLOOKUP(I1377,Recursos!C:F,4,FALSE),"")</f>
        <v>5</v>
      </c>
      <c r="M1377" s="1351"/>
      <c r="N1377" s="1329">
        <v>1.3</v>
      </c>
      <c r="O1377" s="1286">
        <f>N1377*M1373</f>
        <v>1.3</v>
      </c>
      <c r="P1377" s="1287">
        <f t="shared" si="829"/>
        <v>6.5</v>
      </c>
      <c r="Q1377" s="1281">
        <f t="shared" si="830"/>
        <v>0</v>
      </c>
      <c r="R1377" s="1288">
        <f t="shared" si="831"/>
        <v>0</v>
      </c>
      <c r="S1377" s="1289">
        <f t="shared" si="775"/>
        <v>612.93092139295368</v>
      </c>
      <c r="T1377" s="1289">
        <f t="shared" si="776"/>
        <v>0</v>
      </c>
      <c r="U1377" s="1290">
        <f t="shared" si="777"/>
        <v>3236.0918492618493</v>
      </c>
      <c r="V1377" s="1290">
        <f t="shared" si="778"/>
        <v>0</v>
      </c>
      <c r="W1377" s="1290">
        <f t="shared" si="779"/>
        <v>0</v>
      </c>
      <c r="X1377" s="1290">
        <f t="shared" si="780"/>
        <v>0</v>
      </c>
      <c r="Y1377" s="396"/>
      <c r="Z1377" s="1291" t="str">
        <f t="shared" si="832"/>
        <v>X-MURLVEXTA</v>
      </c>
      <c r="AA1377" s="1291" t="str">
        <f t="shared" si="833"/>
        <v>X-MURLVEXTE</v>
      </c>
      <c r="AB1377" s="1291" t="str">
        <f t="shared" si="834"/>
        <v>X-MURLVEXTM</v>
      </c>
      <c r="AC1377" s="1291" t="str">
        <f t="shared" si="835"/>
        <v>X-MURLVEXTT</v>
      </c>
      <c r="AD1377" s="1291" t="str">
        <f t="shared" si="836"/>
        <v>X-MURLVEXTS</v>
      </c>
      <c r="AE1377" s="1291" t="str">
        <f t="shared" si="837"/>
        <v>X-MURLVEXTX</v>
      </c>
      <c r="AF1377" s="1291" t="str">
        <f t="shared" si="838"/>
        <v>X-MURLVEXTM</v>
      </c>
      <c r="AG1377" s="1291">
        <f t="shared" si="781"/>
        <v>11</v>
      </c>
      <c r="AH1377" s="1291">
        <f>IF(B1377&lt;&gt;"",+IF(H1377="x",+VLOOKUP(I1377,'AUX-NIV2'!B:AG,32,FALSE),0),"")</f>
        <v>0</v>
      </c>
      <c r="AI1377" s="1291" t="str">
        <f t="shared" si="839"/>
        <v>X-MURLVEXT</v>
      </c>
      <c r="AK1377" s="347">
        <f t="shared" si="782"/>
        <v>1371</v>
      </c>
      <c r="AL1377" s="348">
        <f t="shared" si="840"/>
        <v>1381</v>
      </c>
      <c r="AM1377" s="347">
        <f t="shared" ref="AM1377:AM1381" si="868">IF(B1377&lt;&gt;"",IF(B1377=B1376,1+AM1376,1),"")</f>
        <v>5</v>
      </c>
      <c r="AN1377" s="382">
        <f>IF(AND(AH1377&gt;0,B1377&lt;&gt;""),VLOOKUP(I1377,'AUX-NIV2'!$B:$AP,40,FALSE)*O1377,0)</f>
        <v>0</v>
      </c>
      <c r="AO1377" s="382">
        <f t="shared" si="783"/>
        <v>1.3333333333333333</v>
      </c>
      <c r="AQ1377" s="395">
        <f>(IF($H1377="x",VLOOKUP($I1377,'AUX-NIV2'!$B:$X,'AUX-NIV1'!AQ$3,FALSE),0)+($AV1377*'AUX-NIV3'!S$4))*$O1377+IF($H1377=AQ$4,$P1377,0)</f>
        <v>0</v>
      </c>
      <c r="AR1377" s="395">
        <f>(IF($H1377="x",VLOOKUP($I1377,'AUX-NIV2'!$B:$X,'AUX-NIV1'!AR$3,FALSE),0)+($AV1377*'AUX-NIV3'!T$4))*$O1377+IF($H1377=AR$4,$P1377,0)</f>
        <v>0</v>
      </c>
      <c r="AS1377" s="395">
        <f>(IF($H1377="x",VLOOKUP($I1377,'AUX-NIV2'!$B:$X,'AUX-NIV1'!AS$3,FALSE),0)+($AV1377*'AUX-NIV3'!U$4))*$O1377+IF($H1377=AS$4,$P1377,0)</f>
        <v>0</v>
      </c>
      <c r="AT1377" s="395">
        <f>(IF($H1377="x",VLOOKUP($I1377,'AUX-NIV2'!$B:$X,'AUX-NIV1'!AT$3,FALSE),0)+($AV1377*'AUX-NIV3'!V$4))*$O1377+IF($H1377=AT$4,$P1377,0)</f>
        <v>0</v>
      </c>
      <c r="AU1377" s="395">
        <f>(IF($H1377="x",VLOOKUP($I1377,'AUX-NIV2'!$B:$X,'AUX-NIV1'!AU$3,FALSE),0)+($AV1377*'AUX-NIV3'!W$4))*$O1377+IF($H1377=AU$4,$P1377,0)</f>
        <v>0</v>
      </c>
      <c r="AV1377" s="395">
        <f>+IF($H1377="x",VLOOKUP($I1377,'AUX-NIV2'!$B:$X,'AUX-NIV1'!AV$3,FALSE),0)</f>
        <v>0</v>
      </c>
    </row>
    <row r="1378" spans="2:48" s="345" customFormat="1">
      <c r="B1378" s="501" t="s">
        <v>4659</v>
      </c>
      <c r="C1378" s="951" t="s">
        <v>4654</v>
      </c>
      <c r="D1378" s="1280" t="s">
        <v>501</v>
      </c>
      <c r="E1378" s="327">
        <f>IF(B1378&lt;&gt;"",SUMIF('AUX-NIV1'!I:I,'AUX-NIV2'!B1378,'AUX-NIV1'!Q:Q),"")</f>
        <v>0</v>
      </c>
      <c r="F1378" s="1281">
        <f t="shared" si="773"/>
        <v>3849.022770654803</v>
      </c>
      <c r="G1378" s="1281">
        <f t="shared" si="774"/>
        <v>0</v>
      </c>
      <c r="H1378" s="1395" t="str">
        <f t="shared" si="828"/>
        <v>M</v>
      </c>
      <c r="I1378" s="1375" t="s">
        <v>3721</v>
      </c>
      <c r="J1378" s="1283" t="str">
        <f>IF(B1378&lt;&gt;"",+VLOOKUP(I1378,Recursos!C:F,2,FALSE),"")</f>
        <v>CINTA DURLOCK</v>
      </c>
      <c r="K1378" s="1284" t="str">
        <f>IF(B1378&lt;&gt;"",+VLOOKUP(I1378,Recursos!C:F,3,FALSE),"")</f>
        <v>UN</v>
      </c>
      <c r="L1378" s="1285">
        <f>IF(B1378&lt;&gt;"",+VLOOKUP(I1378,Recursos!C:F,4,FALSE),"")</f>
        <v>600</v>
      </c>
      <c r="M1378" s="1351"/>
      <c r="N1378" s="1329">
        <v>7.4999999999999997E-2</v>
      </c>
      <c r="O1378" s="1286">
        <f>N1378*M1373</f>
        <v>7.4999999999999997E-2</v>
      </c>
      <c r="P1378" s="1287">
        <f t="shared" si="829"/>
        <v>45</v>
      </c>
      <c r="Q1378" s="1281">
        <f t="shared" si="830"/>
        <v>0</v>
      </c>
      <c r="R1378" s="1288">
        <f t="shared" si="831"/>
        <v>0</v>
      </c>
      <c r="S1378" s="1289">
        <f t="shared" si="775"/>
        <v>612.93092139295368</v>
      </c>
      <c r="T1378" s="1289">
        <f t="shared" si="776"/>
        <v>0</v>
      </c>
      <c r="U1378" s="1290">
        <f t="shared" si="777"/>
        <v>3236.0918492618493</v>
      </c>
      <c r="V1378" s="1290">
        <f t="shared" si="778"/>
        <v>0</v>
      </c>
      <c r="W1378" s="1290">
        <f t="shared" si="779"/>
        <v>0</v>
      </c>
      <c r="X1378" s="1290">
        <f t="shared" si="780"/>
        <v>0</v>
      </c>
      <c r="Y1378" s="396"/>
      <c r="Z1378" s="1291" t="str">
        <f t="shared" si="832"/>
        <v>X-MURLVEXTA</v>
      </c>
      <c r="AA1378" s="1291" t="str">
        <f t="shared" si="833"/>
        <v>X-MURLVEXTE</v>
      </c>
      <c r="AB1378" s="1291" t="str">
        <f t="shared" si="834"/>
        <v>X-MURLVEXTM</v>
      </c>
      <c r="AC1378" s="1291" t="str">
        <f t="shared" si="835"/>
        <v>X-MURLVEXTT</v>
      </c>
      <c r="AD1378" s="1291" t="str">
        <f t="shared" si="836"/>
        <v>X-MURLVEXTS</v>
      </c>
      <c r="AE1378" s="1291" t="str">
        <f t="shared" si="837"/>
        <v>X-MURLVEXTX</v>
      </c>
      <c r="AF1378" s="1291" t="str">
        <f t="shared" si="838"/>
        <v>X-MURLVEXTM</v>
      </c>
      <c r="AG1378" s="1291">
        <f t="shared" si="781"/>
        <v>11</v>
      </c>
      <c r="AH1378" s="1291">
        <f>IF(B1378&lt;&gt;"",+IF(H1378="x",+VLOOKUP(I1378,'AUX-NIV2'!B:AG,32,FALSE),0),"")</f>
        <v>0</v>
      </c>
      <c r="AI1378" s="1291" t="str">
        <f t="shared" si="839"/>
        <v>X-MURLVEXT</v>
      </c>
      <c r="AK1378" s="347">
        <f t="shared" si="782"/>
        <v>1371</v>
      </c>
      <c r="AL1378" s="348">
        <f t="shared" si="840"/>
        <v>1381</v>
      </c>
      <c r="AM1378" s="347">
        <f t="shared" si="868"/>
        <v>6</v>
      </c>
      <c r="AN1378" s="382">
        <f>IF(AND(AH1378&gt;0,B1378&lt;&gt;""),VLOOKUP(I1378,'AUX-NIV2'!$B:$AP,40,FALSE)*O1378,0)</f>
        <v>0</v>
      </c>
      <c r="AO1378" s="382">
        <f t="shared" si="783"/>
        <v>1.3333333333333333</v>
      </c>
      <c r="AQ1378" s="395">
        <f>(IF($H1378="x",VLOOKUP($I1378,'AUX-NIV2'!$B:$X,'AUX-NIV1'!AQ$3,FALSE),0)+($AV1378*'AUX-NIV3'!S$4))*$O1378+IF($H1378=AQ$4,$P1378,0)</f>
        <v>0</v>
      </c>
      <c r="AR1378" s="395">
        <f>(IF($H1378="x",VLOOKUP($I1378,'AUX-NIV2'!$B:$X,'AUX-NIV1'!AR$3,FALSE),0)+($AV1378*'AUX-NIV3'!T$4))*$O1378+IF($H1378=AR$4,$P1378,0)</f>
        <v>0</v>
      </c>
      <c r="AS1378" s="395">
        <f>(IF($H1378="x",VLOOKUP($I1378,'AUX-NIV2'!$B:$X,'AUX-NIV1'!AS$3,FALSE),0)+($AV1378*'AUX-NIV3'!U$4))*$O1378+IF($H1378=AS$4,$P1378,0)</f>
        <v>0</v>
      </c>
      <c r="AT1378" s="395">
        <f>(IF($H1378="x",VLOOKUP($I1378,'AUX-NIV2'!$B:$X,'AUX-NIV1'!AT$3,FALSE),0)+($AV1378*'AUX-NIV3'!V$4))*$O1378+IF($H1378=AT$4,$P1378,0)</f>
        <v>0</v>
      </c>
      <c r="AU1378" s="395">
        <f>(IF($H1378="x",VLOOKUP($I1378,'AUX-NIV2'!$B:$X,'AUX-NIV1'!AU$3,FALSE),0)+($AV1378*'AUX-NIV3'!W$4))*$O1378+IF($H1378=AU$4,$P1378,0)</f>
        <v>0</v>
      </c>
      <c r="AV1378" s="395">
        <f>+IF($H1378="x",VLOOKUP($I1378,'AUX-NIV2'!$B:$X,'AUX-NIV1'!AV$3,FALSE),0)</f>
        <v>0</v>
      </c>
    </row>
    <row r="1379" spans="2:48" s="345" customFormat="1">
      <c r="B1379" s="501" t="s">
        <v>4659</v>
      </c>
      <c r="C1379" s="951" t="s">
        <v>4654</v>
      </c>
      <c r="D1379" s="1280" t="s">
        <v>501</v>
      </c>
      <c r="E1379" s="327">
        <f>IF(B1379&lt;&gt;"",SUMIF('AUX-NIV1'!I:I,'AUX-NIV2'!B1379,'AUX-NIV1'!Q:Q),"")</f>
        <v>0</v>
      </c>
      <c r="F1379" s="1281">
        <f t="shared" si="773"/>
        <v>3849.022770654803</v>
      </c>
      <c r="G1379" s="1281">
        <f t="shared" si="774"/>
        <v>0</v>
      </c>
      <c r="H1379" s="1395" t="str">
        <f t="shared" ref="H1379" si="869">IF(B1379&lt;&gt;"",+LEFT(I1379,1),"")</f>
        <v>M</v>
      </c>
      <c r="I1379" s="324" t="s">
        <v>621</v>
      </c>
      <c r="J1379" s="1283" t="str">
        <f>IF(B1379&lt;&gt;"",+VLOOKUP(I1379,Recursos!C:F,2,FALSE),"")</f>
        <v>MATERIALES VARIOS</v>
      </c>
      <c r="K1379" s="1284" t="str">
        <f>IF(B1379&lt;&gt;"",+VLOOKUP(I1379,Recursos!C:F,3,FALSE),"")</f>
        <v>GL</v>
      </c>
      <c r="L1379" s="1285">
        <f>IF(B1379&lt;&gt;"",+VLOOKUP(I1379,Recursos!C:F,4,FALSE),"")</f>
        <v>0.5</v>
      </c>
      <c r="M1379" s="1328">
        <v>1</v>
      </c>
      <c r="N1379" s="1329">
        <v>250</v>
      </c>
      <c r="O1379" s="1286">
        <f>M1379*N1379</f>
        <v>250</v>
      </c>
      <c r="P1379" s="1287">
        <f t="shared" ref="P1379" si="870">IF(B1379&lt;&gt;"",O1379*L1379,"")</f>
        <v>125</v>
      </c>
      <c r="Q1379" s="1281">
        <f t="shared" ref="Q1379" si="871">IF(B1379&lt;&gt;"",+O1379*E1379,"")</f>
        <v>0</v>
      </c>
      <c r="R1379" s="1288">
        <f t="shared" ref="R1379" si="872">IF(B1379&lt;&gt;"",Q1379*L1379,"")</f>
        <v>0</v>
      </c>
      <c r="S1379" s="1289">
        <f t="shared" si="775"/>
        <v>612.93092139295368</v>
      </c>
      <c r="T1379" s="1289">
        <f t="shared" si="776"/>
        <v>0</v>
      </c>
      <c r="U1379" s="1290">
        <f t="shared" si="777"/>
        <v>3236.0918492618493</v>
      </c>
      <c r="V1379" s="1290">
        <f t="shared" si="778"/>
        <v>0</v>
      </c>
      <c r="W1379" s="1290">
        <f t="shared" si="779"/>
        <v>0</v>
      </c>
      <c r="X1379" s="1290">
        <f t="shared" si="780"/>
        <v>0</v>
      </c>
      <c r="Y1379" s="396"/>
      <c r="Z1379" s="1291" t="str">
        <f t="shared" ref="Z1379" si="873">IF(B1379&lt;&gt;"",+$B1379&amp;"A","")</f>
        <v>X-MURLVEXTA</v>
      </c>
      <c r="AA1379" s="1291" t="str">
        <f t="shared" ref="AA1379" si="874">IF(B1379&lt;&gt;"",+$B1379&amp;"E","")</f>
        <v>X-MURLVEXTE</v>
      </c>
      <c r="AB1379" s="1291" t="str">
        <f t="shared" ref="AB1379" si="875">IF(B1379&lt;&gt;"",++$B1379&amp;"M","")</f>
        <v>X-MURLVEXTM</v>
      </c>
      <c r="AC1379" s="1291" t="str">
        <f t="shared" ref="AC1379" si="876">IF(B1379&lt;&gt;"",+$B1379&amp;"T","")</f>
        <v>X-MURLVEXTT</v>
      </c>
      <c r="AD1379" s="1291" t="str">
        <f t="shared" ref="AD1379" si="877">IF(B1379&lt;&gt;"",+$B1379&amp;"S","")</f>
        <v>X-MURLVEXTS</v>
      </c>
      <c r="AE1379" s="1291" t="str">
        <f t="shared" ref="AE1379" si="878">IF(B1379&lt;&gt;"",+$B1379&amp;"X","")</f>
        <v>X-MURLVEXTX</v>
      </c>
      <c r="AF1379" s="1291" t="str">
        <f t="shared" ref="AF1379" si="879">IF(B1379&lt;&gt;"",+B1379&amp;H1379,"")</f>
        <v>X-MURLVEXTM</v>
      </c>
      <c r="AG1379" s="1291">
        <f t="shared" si="781"/>
        <v>11</v>
      </c>
      <c r="AH1379" s="1291">
        <f>IF(B1379&lt;&gt;"",+IF(H1379="x",+VLOOKUP(I1379,'AUX-NIV2'!B:AG,32,FALSE),0),"")</f>
        <v>0</v>
      </c>
      <c r="AI1379" s="1291" t="str">
        <f t="shared" ref="AI1379" si="880">IF(B1379&lt;&gt;"",+B1379,"")</f>
        <v>X-MURLVEXT</v>
      </c>
      <c r="AK1379" s="347">
        <f t="shared" si="782"/>
        <v>1371</v>
      </c>
      <c r="AL1379" s="348">
        <f t="shared" ref="AL1379" si="881">IF(B1379&lt;&gt;"",+AK1379+AG1379-1,"")</f>
        <v>1381</v>
      </c>
      <c r="AM1379" s="347">
        <f t="shared" ref="AM1379" si="882">IF(B1379&lt;&gt;"",IF(B1379=B1378,1+AM1378,1),"")</f>
        <v>7</v>
      </c>
      <c r="AN1379" s="382">
        <f>IF(AND(AH1379&gt;0,B1379&lt;&gt;""),VLOOKUP(I1379,'AUX-NIV2'!$B:$AP,40,FALSE)*O1379,0)</f>
        <v>0</v>
      </c>
      <c r="AO1379" s="382">
        <f t="shared" si="783"/>
        <v>1.3333333333333333</v>
      </c>
      <c r="AQ1379" s="395">
        <f>(IF($H1379="x",VLOOKUP($I1379,'AUX-NIV2'!$B:$X,'AUX-NIV1'!AQ$3,FALSE),0)+($AV1379*'AUX-NIV3'!S$4))*$O1379+IF($H1379=AQ$4,$P1379,0)</f>
        <v>0</v>
      </c>
      <c r="AR1379" s="395">
        <f>(IF($H1379="x",VLOOKUP($I1379,'AUX-NIV2'!$B:$X,'AUX-NIV1'!AR$3,FALSE),0)+($AV1379*'AUX-NIV3'!T$4))*$O1379+IF($H1379=AR$4,$P1379,0)</f>
        <v>0</v>
      </c>
      <c r="AS1379" s="395">
        <f>(IF($H1379="x",VLOOKUP($I1379,'AUX-NIV2'!$B:$X,'AUX-NIV1'!AS$3,FALSE),0)+($AV1379*'AUX-NIV3'!U$4))*$O1379+IF($H1379=AS$4,$P1379,0)</f>
        <v>0</v>
      </c>
      <c r="AT1379" s="395">
        <f>(IF($H1379="x",VLOOKUP($I1379,'AUX-NIV2'!$B:$X,'AUX-NIV1'!AT$3,FALSE),0)+($AV1379*'AUX-NIV3'!V$4))*$O1379+IF($H1379=AT$4,$P1379,0)</f>
        <v>0</v>
      </c>
      <c r="AU1379" s="395">
        <f>(IF($H1379="x",VLOOKUP($I1379,'AUX-NIV2'!$B:$X,'AUX-NIV1'!AU$3,FALSE),0)+($AV1379*'AUX-NIV3'!W$4))*$O1379+IF($H1379=AU$4,$P1379,0)</f>
        <v>0</v>
      </c>
      <c r="AV1379" s="395">
        <f>+IF($H1379="x",VLOOKUP($I1379,'AUX-NIV2'!$B:$X,'AUX-NIV1'!AV$3,FALSE),0)</f>
        <v>0</v>
      </c>
    </row>
    <row r="1380" spans="2:48" s="345" customFormat="1">
      <c r="B1380" s="501" t="s">
        <v>4659</v>
      </c>
      <c r="C1380" s="951" t="s">
        <v>4654</v>
      </c>
      <c r="D1380" s="1280" t="s">
        <v>501</v>
      </c>
      <c r="E1380" s="327">
        <f>IF(B1380&lt;&gt;"",SUMIF('AUX-NIV1'!I:I,'AUX-NIV2'!B1380,'AUX-NIV1'!Q:Q),"")</f>
        <v>0</v>
      </c>
      <c r="F1380" s="1281">
        <f t="shared" si="773"/>
        <v>3849.022770654803</v>
      </c>
      <c r="G1380" s="1281">
        <f t="shared" si="774"/>
        <v>0</v>
      </c>
      <c r="H1380" s="1395" t="str">
        <f t="shared" si="828"/>
        <v>M</v>
      </c>
      <c r="I1380" s="1375" t="s">
        <v>3722</v>
      </c>
      <c r="J1380" s="1283" t="str">
        <f>IF(B1380&lt;&gt;"",+VLOOKUP(I1380,Recursos!C:F,2,FALSE),"")</f>
        <v>LANA DE VIDRIO ISOVER  2"</v>
      </c>
      <c r="K1380" s="1284" t="str">
        <f>IF(B1380&lt;&gt;"",+VLOOKUP(I1380,Recursos!C:F,3,FALSE),"")</f>
        <v>m2</v>
      </c>
      <c r="L1380" s="1285">
        <f>IF(B1380&lt;&gt;"",+VLOOKUP(I1380,Recursos!C:F,4,FALSE),"")</f>
        <v>260.33</v>
      </c>
      <c r="M1380" s="1328"/>
      <c r="N1380" s="1329">
        <v>1</v>
      </c>
      <c r="O1380" s="1286">
        <f t="shared" ref="O1380" si="883">N1380</f>
        <v>1</v>
      </c>
      <c r="P1380" s="1287">
        <f t="shared" si="829"/>
        <v>260.33</v>
      </c>
      <c r="Q1380" s="1281">
        <f t="shared" si="830"/>
        <v>0</v>
      </c>
      <c r="R1380" s="1288">
        <f t="shared" si="831"/>
        <v>0</v>
      </c>
      <c r="S1380" s="1289">
        <f t="shared" si="775"/>
        <v>612.93092139295368</v>
      </c>
      <c r="T1380" s="1289">
        <f t="shared" si="776"/>
        <v>0</v>
      </c>
      <c r="U1380" s="1290">
        <f t="shared" si="777"/>
        <v>3236.0918492618493</v>
      </c>
      <c r="V1380" s="1290">
        <f t="shared" si="778"/>
        <v>0</v>
      </c>
      <c r="W1380" s="1290">
        <f t="shared" si="779"/>
        <v>0</v>
      </c>
      <c r="X1380" s="1290">
        <f t="shared" si="780"/>
        <v>0</v>
      </c>
      <c r="Y1380" s="396"/>
      <c r="Z1380" s="1291" t="str">
        <f t="shared" si="832"/>
        <v>X-MURLVEXTA</v>
      </c>
      <c r="AA1380" s="1291" t="str">
        <f t="shared" si="833"/>
        <v>X-MURLVEXTE</v>
      </c>
      <c r="AB1380" s="1291" t="str">
        <f t="shared" si="834"/>
        <v>X-MURLVEXTM</v>
      </c>
      <c r="AC1380" s="1291" t="str">
        <f t="shared" si="835"/>
        <v>X-MURLVEXTT</v>
      </c>
      <c r="AD1380" s="1291" t="str">
        <f t="shared" si="836"/>
        <v>X-MURLVEXTS</v>
      </c>
      <c r="AE1380" s="1291" t="str">
        <f t="shared" si="837"/>
        <v>X-MURLVEXTX</v>
      </c>
      <c r="AF1380" s="1291" t="str">
        <f t="shared" si="838"/>
        <v>X-MURLVEXTM</v>
      </c>
      <c r="AG1380" s="1291">
        <f t="shared" si="781"/>
        <v>11</v>
      </c>
      <c r="AH1380" s="1291">
        <f>IF(B1380&lt;&gt;"",+IF(H1380="x",+VLOOKUP(I1380,'AUX-NIV2'!B:AG,32,FALSE),0),"")</f>
        <v>0</v>
      </c>
      <c r="AI1380" s="1291" t="str">
        <f t="shared" si="839"/>
        <v>X-MURLVEXT</v>
      </c>
      <c r="AK1380" s="347">
        <f t="shared" si="782"/>
        <v>1371</v>
      </c>
      <c r="AL1380" s="348">
        <f t="shared" si="840"/>
        <v>1381</v>
      </c>
      <c r="AM1380" s="347">
        <f>IF(B1380&lt;&gt;"",IF(B1380=B1378,1+AM1378,1),"")</f>
        <v>7</v>
      </c>
      <c r="AN1380" s="382">
        <f>IF(AND(AH1380&gt;0,B1380&lt;&gt;""),VLOOKUP(I1380,'AUX-NIV2'!$B:$AP,40,FALSE)*O1380,0)</f>
        <v>0</v>
      </c>
      <c r="AO1380" s="382">
        <f t="shared" si="783"/>
        <v>1.3333333333333333</v>
      </c>
      <c r="AQ1380" s="395">
        <f>(IF($H1380="x",VLOOKUP($I1380,'AUX-NIV2'!$B:$X,'AUX-NIV1'!AQ$3,FALSE),0)+($AV1380*'AUX-NIV3'!S$4))*$O1380+IF($H1380=AQ$4,$P1380,0)</f>
        <v>0</v>
      </c>
      <c r="AR1380" s="395">
        <f>(IF($H1380="x",VLOOKUP($I1380,'AUX-NIV2'!$B:$X,'AUX-NIV1'!AR$3,FALSE),0)+($AV1380*'AUX-NIV3'!T$4))*$O1380+IF($H1380=AR$4,$P1380,0)</f>
        <v>0</v>
      </c>
      <c r="AS1380" s="395">
        <f>(IF($H1380="x",VLOOKUP($I1380,'AUX-NIV2'!$B:$X,'AUX-NIV1'!AS$3,FALSE),0)+($AV1380*'AUX-NIV3'!U$4))*$O1380+IF($H1380=AS$4,$P1380,0)</f>
        <v>0</v>
      </c>
      <c r="AT1380" s="395">
        <f>(IF($H1380="x",VLOOKUP($I1380,'AUX-NIV2'!$B:$X,'AUX-NIV1'!AT$3,FALSE),0)+($AV1380*'AUX-NIV3'!V$4))*$O1380+IF($H1380=AT$4,$P1380,0)</f>
        <v>0</v>
      </c>
      <c r="AU1380" s="395">
        <f>(IF($H1380="x",VLOOKUP($I1380,'AUX-NIV2'!$B:$X,'AUX-NIV1'!AU$3,FALSE),0)+($AV1380*'AUX-NIV3'!W$4))*$O1380+IF($H1380=AU$4,$P1380,0)</f>
        <v>0</v>
      </c>
      <c r="AV1380" s="395">
        <f>+IF($H1380="x",VLOOKUP($I1380,'AUX-NIV2'!$B:$X,'AUX-NIV1'!AV$3,FALSE),0)</f>
        <v>0</v>
      </c>
    </row>
    <row r="1381" spans="2:48" s="345" customFormat="1" ht="13.8" thickBot="1">
      <c r="B1381" s="501" t="s">
        <v>4659</v>
      </c>
      <c r="C1381" s="951" t="s">
        <v>4654</v>
      </c>
      <c r="D1381" s="1280" t="s">
        <v>501</v>
      </c>
      <c r="E1381" s="327">
        <f>IF(B1381&lt;&gt;"",SUMIF('AUX-NIV1'!I:I,'AUX-NIV2'!B1381,'AUX-NIV1'!Q:Q),"")</f>
        <v>0</v>
      </c>
      <c r="F1381" s="1281">
        <f t="shared" si="773"/>
        <v>3849.022770654803</v>
      </c>
      <c r="G1381" s="1281">
        <f t="shared" si="774"/>
        <v>0</v>
      </c>
      <c r="H1381" s="1395" t="str">
        <f t="shared" si="828"/>
        <v>M</v>
      </c>
      <c r="I1381" s="1375" t="s">
        <v>3295</v>
      </c>
      <c r="J1381" s="1283" t="str">
        <f>IF(B1381&lt;&gt;"",+VLOOKUP(I1381,Recursos!C:F,2,FALSE),"")</f>
        <v>ANDAMIO TUBULAR 2x3x1,3</v>
      </c>
      <c r="K1381" s="1284" t="str">
        <f>IF(B1381&lt;&gt;"",+VLOOKUP(I1381,Recursos!C:F,3,FALSE),"")</f>
        <v>Mod</v>
      </c>
      <c r="L1381" s="1285">
        <f>IF(B1381&lt;&gt;"",+VLOOKUP(I1381,Recursos!C:F,4,FALSE),"")</f>
        <v>8000</v>
      </c>
      <c r="M1381" s="1626">
        <f>2*1</f>
        <v>2</v>
      </c>
      <c r="N1381" s="1627">
        <v>0</v>
      </c>
      <c r="O1381" s="1286">
        <f>M1381*N1381</f>
        <v>0</v>
      </c>
      <c r="P1381" s="1287">
        <f t="shared" si="829"/>
        <v>0</v>
      </c>
      <c r="Q1381" s="1281">
        <f t="shared" si="830"/>
        <v>0</v>
      </c>
      <c r="R1381" s="1288">
        <f t="shared" si="831"/>
        <v>0</v>
      </c>
      <c r="S1381" s="1289">
        <f t="shared" si="775"/>
        <v>612.93092139295368</v>
      </c>
      <c r="T1381" s="1289">
        <f t="shared" si="776"/>
        <v>0</v>
      </c>
      <c r="U1381" s="1290">
        <f t="shared" si="777"/>
        <v>3236.0918492618493</v>
      </c>
      <c r="V1381" s="1290">
        <f t="shared" si="778"/>
        <v>0</v>
      </c>
      <c r="W1381" s="1290">
        <f t="shared" si="779"/>
        <v>0</v>
      </c>
      <c r="X1381" s="1290">
        <f t="shared" si="780"/>
        <v>0</v>
      </c>
      <c r="Y1381" s="396"/>
      <c r="Z1381" s="1291" t="str">
        <f t="shared" si="832"/>
        <v>X-MURLVEXTA</v>
      </c>
      <c r="AA1381" s="1291" t="str">
        <f t="shared" si="833"/>
        <v>X-MURLVEXTE</v>
      </c>
      <c r="AB1381" s="1291" t="str">
        <f t="shared" si="834"/>
        <v>X-MURLVEXTM</v>
      </c>
      <c r="AC1381" s="1291" t="str">
        <f t="shared" si="835"/>
        <v>X-MURLVEXTT</v>
      </c>
      <c r="AD1381" s="1291" t="str">
        <f t="shared" si="836"/>
        <v>X-MURLVEXTS</v>
      </c>
      <c r="AE1381" s="1291" t="str">
        <f t="shared" si="837"/>
        <v>X-MURLVEXTX</v>
      </c>
      <c r="AF1381" s="1291" t="str">
        <f t="shared" si="838"/>
        <v>X-MURLVEXTM</v>
      </c>
      <c r="AG1381" s="1291">
        <f t="shared" si="781"/>
        <v>11</v>
      </c>
      <c r="AH1381" s="1291">
        <f>IF(B1381&lt;&gt;"",+IF(H1381="x",+VLOOKUP(I1381,'AUX-NIV2'!B:AG,32,FALSE),0),"")</f>
        <v>0</v>
      </c>
      <c r="AI1381" s="1291" t="str">
        <f t="shared" si="839"/>
        <v>X-MURLVEXT</v>
      </c>
      <c r="AK1381" s="347">
        <f t="shared" si="782"/>
        <v>1371</v>
      </c>
      <c r="AL1381" s="348">
        <f t="shared" si="840"/>
        <v>1381</v>
      </c>
      <c r="AM1381" s="347">
        <f t="shared" si="868"/>
        <v>8</v>
      </c>
      <c r="AN1381" s="382">
        <f>IF(AND(AH1381&gt;0,B1381&lt;&gt;""),VLOOKUP(I1381,'AUX-NIV2'!$B:$AP,40,FALSE)*O1381,0)</f>
        <v>0</v>
      </c>
      <c r="AO1381" s="382">
        <f t="shared" si="783"/>
        <v>1.3333333333333333</v>
      </c>
      <c r="AQ1381" s="395">
        <f>(IF($H1381="x",VLOOKUP($I1381,'AUX-NIV2'!$B:$X,'AUX-NIV1'!AQ$3,FALSE),0)+($AV1381*'AUX-NIV3'!S$4))*$O1381+IF($H1381=AQ$4,$P1381,0)</f>
        <v>0</v>
      </c>
      <c r="AR1381" s="395">
        <f>(IF($H1381="x",VLOOKUP($I1381,'AUX-NIV2'!$B:$X,'AUX-NIV1'!AR$3,FALSE),0)+($AV1381*'AUX-NIV3'!T$4))*$O1381+IF($H1381=AR$4,$P1381,0)</f>
        <v>0</v>
      </c>
      <c r="AS1381" s="395">
        <f>(IF($H1381="x",VLOOKUP($I1381,'AUX-NIV2'!$B:$X,'AUX-NIV1'!AS$3,FALSE),0)+($AV1381*'AUX-NIV3'!U$4))*$O1381+IF($H1381=AS$4,$P1381,0)</f>
        <v>0</v>
      </c>
      <c r="AT1381" s="395">
        <f>(IF($H1381="x",VLOOKUP($I1381,'AUX-NIV2'!$B:$X,'AUX-NIV1'!AT$3,FALSE),0)+($AV1381*'AUX-NIV3'!V$4))*$O1381+IF($H1381=AT$4,$P1381,0)</f>
        <v>0</v>
      </c>
      <c r="AU1381" s="395">
        <f>(IF($H1381="x",VLOOKUP($I1381,'AUX-NIV2'!$B:$X,'AUX-NIV1'!AU$3,FALSE),0)+($AV1381*'AUX-NIV3'!W$4))*$O1381+IF($H1381=AU$4,$P1381,0)</f>
        <v>0</v>
      </c>
      <c r="AV1381" s="395">
        <f>+IF($H1381="x",VLOOKUP($I1381,'AUX-NIV2'!$B:$X,'AUX-NIV1'!AV$3,FALSE),0)</f>
        <v>0</v>
      </c>
    </row>
    <row r="1382" spans="2:48" ht="13.8" hidden="1" thickTop="1">
      <c r="B1382" s="501" t="s">
        <v>4318</v>
      </c>
      <c r="C1382" s="951" t="s">
        <v>4326</v>
      </c>
      <c r="D1382" s="326" t="s">
        <v>546</v>
      </c>
      <c r="E1382" s="327">
        <f>IF(B1382&lt;&gt;"",SUMIF('AUX-NIV1'!I:I,'AUX-NIV2'!B1382,'AUX-NIV1'!Q:Q),"")</f>
        <v>0</v>
      </c>
      <c r="F1382" s="327">
        <f t="shared" si="773"/>
        <v>439.06090593914308</v>
      </c>
      <c r="G1382" s="327">
        <f t="shared" si="774"/>
        <v>0</v>
      </c>
      <c r="H1382" s="328" t="str">
        <f t="shared" ref="H1382:H1387" si="884">IF(B1382&lt;&gt;"",+LEFT(I1382,1),"")</f>
        <v>A</v>
      </c>
      <c r="I1382" s="324" t="s">
        <v>3309</v>
      </c>
      <c r="J1382" s="431" t="str">
        <f>IF(B1382&lt;&gt;"",+VLOOKUP(I1382,Recursos!C:F,2,FALSE),"")</f>
        <v>MEDIO OFICIAL</v>
      </c>
      <c r="K1382" s="330" t="str">
        <f>IF(B1382&lt;&gt;"",+VLOOKUP(I1382,Recursos!C:F,3,FALSE),"")</f>
        <v>hh</v>
      </c>
      <c r="L1382" s="446">
        <f>IF(B1382&lt;&gt;"",+VLOOKUP(I1382,Recursos!C:F,4,FALSE),"")</f>
        <v>459.10093211890984</v>
      </c>
      <c r="M1382" s="1624">
        <f>0.7*50%+0.4*50%</f>
        <v>0.55000000000000004</v>
      </c>
      <c r="N1382" s="1625">
        <f>0.2*2/2</f>
        <v>0.2</v>
      </c>
      <c r="O1382" s="1361">
        <f>M1382*N1382</f>
        <v>0.11000000000000001</v>
      </c>
      <c r="P1382" s="333">
        <f>IF(B1382&lt;&gt;"",O1382*L1382,"")</f>
        <v>50.501102533080086</v>
      </c>
      <c r="Q1382" s="327">
        <f>IF(B1382&lt;&gt;"",+O1382*E1382,"")</f>
        <v>0</v>
      </c>
      <c r="R1382" s="334">
        <f>IF(B1382&lt;&gt;"",Q1382*L1382,"")</f>
        <v>0</v>
      </c>
      <c r="S1382" s="335">
        <f t="shared" si="775"/>
        <v>114.41783505760031</v>
      </c>
      <c r="T1382" s="335">
        <f t="shared" si="776"/>
        <v>47.785960000000003</v>
      </c>
      <c r="U1382" s="336">
        <f t="shared" si="777"/>
        <v>276.85711088154267</v>
      </c>
      <c r="V1382" s="336">
        <f t="shared" si="778"/>
        <v>0</v>
      </c>
      <c r="W1382" s="336">
        <f t="shared" si="779"/>
        <v>0</v>
      </c>
      <c r="X1382" s="336">
        <f t="shared" si="780"/>
        <v>0</v>
      </c>
      <c r="Y1382" s="320"/>
      <c r="Z1382" s="321" t="str">
        <f t="shared" ref="Z1382:Z1387" si="885">IF(B1382&lt;&gt;"",+$B1382&amp;"A","")</f>
        <v>X-CUBMETA</v>
      </c>
      <c r="AA1382" s="321" t="str">
        <f t="shared" ref="AA1382:AA1387" si="886">IF(B1382&lt;&gt;"",+$B1382&amp;"E","")</f>
        <v>X-CUBMETE</v>
      </c>
      <c r="AB1382" s="321" t="str">
        <f t="shared" ref="AB1382:AB1387" si="887">IF(B1382&lt;&gt;"",++$B1382&amp;"M","")</f>
        <v>X-CUBMETM</v>
      </c>
      <c r="AC1382" s="321" t="str">
        <f t="shared" ref="AC1382:AC1387" si="888">IF(B1382&lt;&gt;"",+$B1382&amp;"T","")</f>
        <v>X-CUBMETT</v>
      </c>
      <c r="AD1382" s="321" t="str">
        <f t="shared" ref="AD1382:AD1387" si="889">IF(B1382&lt;&gt;"",+$B1382&amp;"S","")</f>
        <v>X-CUBMETS</v>
      </c>
      <c r="AE1382" s="321" t="str">
        <f t="shared" ref="AE1382:AE1387" si="890">IF(B1382&lt;&gt;"",+$B1382&amp;"X","")</f>
        <v>X-CUBMETX</v>
      </c>
      <c r="AF1382" s="321" t="str">
        <f t="shared" ref="AF1382:AF1387" si="891">IF(B1382&lt;&gt;"",+B1382&amp;H1382,"")</f>
        <v>X-CUBMETA</v>
      </c>
      <c r="AG1382" s="321">
        <f t="shared" si="781"/>
        <v>11</v>
      </c>
      <c r="AH1382" s="321">
        <f>IF(B1382&lt;&gt;"",IF(H1382="x",VLOOKUP(I1382,'AUX-NIV3'!B:AG,32,FALSE),0),"")</f>
        <v>0</v>
      </c>
      <c r="AI1382" s="321" t="str">
        <f t="shared" ref="AI1382:AI1387" si="892">IF(B1382&lt;&gt;"",+B1382,"")</f>
        <v>X-CUBMET</v>
      </c>
      <c r="AJ1382" s="320"/>
      <c r="AK1382" s="322">
        <f t="shared" si="782"/>
        <v>1382</v>
      </c>
      <c r="AL1382" s="323">
        <f t="shared" ref="AL1382:AL1387" si="893">IF(B1382&lt;&gt;"",+AK1382+AG1382-1,"")</f>
        <v>1392</v>
      </c>
      <c r="AM1382" s="322">
        <f>IF(B1382&lt;&gt;"",IF(B1382=B1362,1+AM1362,1),"")</f>
        <v>1</v>
      </c>
      <c r="AN1382" s="380">
        <f>IF(AND(AH1382&gt;0,B1382&lt;&gt;""),VLOOKUP(I1382,'AUX-NIV3'!$B:$AO,39,FALSE)*O1382,0)</f>
        <v>0</v>
      </c>
      <c r="AO1382" s="380">
        <f t="shared" si="783"/>
        <v>0.22000000000000003</v>
      </c>
      <c r="AP1382" s="380"/>
    </row>
    <row r="1383" spans="2:48" ht="13.8" hidden="1" thickTop="1">
      <c r="B1383" s="501" t="s">
        <v>4318</v>
      </c>
      <c r="C1383" s="951" t="s">
        <v>4326</v>
      </c>
      <c r="D1383" s="326" t="s">
        <v>546</v>
      </c>
      <c r="E1383" s="327">
        <f>IF(B1383&lt;&gt;"",SUMIF('AUX-NIV1'!I:I,'AUX-NIV2'!B1383,'AUX-NIV1'!Q:Q),"")</f>
        <v>0</v>
      </c>
      <c r="F1383" s="327">
        <f t="shared" si="773"/>
        <v>439.06090593914308</v>
      </c>
      <c r="G1383" s="327">
        <f t="shared" si="774"/>
        <v>0</v>
      </c>
      <c r="H1383" s="328" t="str">
        <f t="shared" si="884"/>
        <v>A</v>
      </c>
      <c r="I1383" s="324" t="s">
        <v>3310</v>
      </c>
      <c r="J1383" s="431" t="str">
        <f>IF(B1383&lt;&gt;"",+VLOOKUP(I1383,Recursos!C:F,2,FALSE),"")</f>
        <v>OFICIAL ESPECIALIZADO</v>
      </c>
      <c r="K1383" s="330" t="str">
        <f>IF(B1383&lt;&gt;"",+VLOOKUP(I1383,Recursos!C:F,3,FALSE),"")</f>
        <v>hh</v>
      </c>
      <c r="L1383" s="446">
        <f>IF(B1383&lt;&gt;"",+VLOOKUP(I1383,Recursos!C:F,4,FALSE),"")</f>
        <v>581.06120476836554</v>
      </c>
      <c r="M1383" s="1624"/>
      <c r="N1383" s="1625">
        <f>0.2*2/2</f>
        <v>0.2</v>
      </c>
      <c r="O1383" s="1361">
        <f>N1383*M1382</f>
        <v>0.11000000000000001</v>
      </c>
      <c r="P1383" s="333">
        <f>IF(B1383&lt;&gt;"",O1383*L1383,"")</f>
        <v>63.916732524520221</v>
      </c>
      <c r="Q1383" s="327">
        <f>IF(B1383&lt;&gt;"",+O1383*E1383,"")</f>
        <v>0</v>
      </c>
      <c r="R1383" s="334">
        <f>IF(B1383&lt;&gt;"",Q1383*L1383,"")</f>
        <v>0</v>
      </c>
      <c r="S1383" s="335">
        <f t="shared" si="775"/>
        <v>114.41783505760031</v>
      </c>
      <c r="T1383" s="335">
        <f t="shared" si="776"/>
        <v>47.785960000000003</v>
      </c>
      <c r="U1383" s="336">
        <f t="shared" si="777"/>
        <v>276.85711088154267</v>
      </c>
      <c r="V1383" s="336">
        <f t="shared" si="778"/>
        <v>0</v>
      </c>
      <c r="W1383" s="336">
        <f t="shared" si="779"/>
        <v>0</v>
      </c>
      <c r="X1383" s="336">
        <f t="shared" si="780"/>
        <v>0</v>
      </c>
      <c r="Y1383" s="320"/>
      <c r="Z1383" s="321" t="str">
        <f t="shared" si="885"/>
        <v>X-CUBMETA</v>
      </c>
      <c r="AA1383" s="321" t="str">
        <f t="shared" si="886"/>
        <v>X-CUBMETE</v>
      </c>
      <c r="AB1383" s="321" t="str">
        <f t="shared" si="887"/>
        <v>X-CUBMETM</v>
      </c>
      <c r="AC1383" s="321" t="str">
        <f t="shared" si="888"/>
        <v>X-CUBMETT</v>
      </c>
      <c r="AD1383" s="321" t="str">
        <f t="shared" si="889"/>
        <v>X-CUBMETS</v>
      </c>
      <c r="AE1383" s="321" t="str">
        <f t="shared" si="890"/>
        <v>X-CUBMETX</v>
      </c>
      <c r="AF1383" s="321" t="str">
        <f t="shared" si="891"/>
        <v>X-CUBMETA</v>
      </c>
      <c r="AG1383" s="321">
        <f t="shared" si="781"/>
        <v>11</v>
      </c>
      <c r="AH1383" s="321">
        <f>IF(B1383&lt;&gt;"",IF(H1383="x",VLOOKUP(I1383,'AUX-NIV3'!B:AG,32,FALSE),0),"")</f>
        <v>0</v>
      </c>
      <c r="AI1383" s="321" t="str">
        <f t="shared" si="892"/>
        <v>X-CUBMET</v>
      </c>
      <c r="AJ1383" s="320"/>
      <c r="AK1383" s="322">
        <f t="shared" si="782"/>
        <v>1382</v>
      </c>
      <c r="AL1383" s="323">
        <f t="shared" si="893"/>
        <v>1392</v>
      </c>
      <c r="AM1383" s="322">
        <f t="shared" ref="AM1383:AM1386" si="894">IF(B1383&lt;&gt;"",IF(B1383=B1382,1+AM1382,1),"")</f>
        <v>2</v>
      </c>
      <c r="AN1383" s="380">
        <f>IF(AND(AH1383&gt;0,B1383&lt;&gt;""),VLOOKUP(I1383,'AUX-NIV3'!$B:$AO,39,FALSE)*O1383,0)</f>
        <v>0</v>
      </c>
      <c r="AO1383" s="380">
        <f t="shared" si="783"/>
        <v>0.22000000000000003</v>
      </c>
      <c r="AP1383" s="380"/>
    </row>
    <row r="1384" spans="2:48" ht="13.8" hidden="1" thickTop="1">
      <c r="B1384" s="501" t="s">
        <v>4318</v>
      </c>
      <c r="C1384" s="951" t="s">
        <v>4326</v>
      </c>
      <c r="D1384" s="326" t="s">
        <v>546</v>
      </c>
      <c r="E1384" s="327">
        <f>IF(B1384&lt;&gt;"",SUMIF('AUX-NIV1'!I:I,'AUX-NIV2'!B1384,'AUX-NIV1'!Q:Q),"")</f>
        <v>0</v>
      </c>
      <c r="F1384" s="327">
        <f t="shared" si="773"/>
        <v>439.06090593914308</v>
      </c>
      <c r="G1384" s="327">
        <f t="shared" si="774"/>
        <v>0</v>
      </c>
      <c r="H1384" s="328" t="str">
        <f t="shared" si="884"/>
        <v>M</v>
      </c>
      <c r="I1384" s="324" t="s">
        <v>2189</v>
      </c>
      <c r="J1384" s="431" t="str">
        <f>IF(B1384&lt;&gt;"",+VLOOKUP(I1384,Recursos!C:F,2,FALSE),"")</f>
        <v>PERFIL LAMINADO DE ACERO CARBONO</v>
      </c>
      <c r="K1384" s="330" t="str">
        <f>IF(B1384&lt;&gt;"",+VLOOKUP(I1384,Recursos!C:F,3,FALSE),"")</f>
        <v>Kg</v>
      </c>
      <c r="L1384" s="446">
        <f>IF(B1384&lt;&gt;"",+VLOOKUP(I1384,Recursos!C:F,4,FALSE),"")</f>
        <v>320</v>
      </c>
      <c r="M1384" s="1624"/>
      <c r="N1384" s="1625">
        <f>5/15</f>
        <v>0.33333333333333331</v>
      </c>
      <c r="O1384" s="1361">
        <f t="shared" si="741"/>
        <v>0.33333333333333331</v>
      </c>
      <c r="P1384" s="333">
        <f t="shared" ref="P1384:P1387" si="895">IF(B1384&lt;&gt;"",O1384*L1384,"")</f>
        <v>106.66666666666666</v>
      </c>
      <c r="Q1384" s="327">
        <f t="shared" ref="Q1384:Q1387" si="896">IF(B1384&lt;&gt;"",+O1384*E1384,"")</f>
        <v>0</v>
      </c>
      <c r="R1384" s="334">
        <f t="shared" ref="R1384:R1387" si="897">IF(B1384&lt;&gt;"",Q1384*L1384,"")</f>
        <v>0</v>
      </c>
      <c r="S1384" s="335">
        <f t="shared" si="775"/>
        <v>114.41783505760031</v>
      </c>
      <c r="T1384" s="335">
        <f t="shared" si="776"/>
        <v>47.785960000000003</v>
      </c>
      <c r="U1384" s="336">
        <f t="shared" si="777"/>
        <v>276.85711088154267</v>
      </c>
      <c r="V1384" s="336">
        <f t="shared" si="778"/>
        <v>0</v>
      </c>
      <c r="W1384" s="336">
        <f t="shared" si="779"/>
        <v>0</v>
      </c>
      <c r="X1384" s="336">
        <f t="shared" si="780"/>
        <v>0</v>
      </c>
      <c r="Y1384" s="320"/>
      <c r="Z1384" s="321" t="str">
        <f t="shared" si="885"/>
        <v>X-CUBMETA</v>
      </c>
      <c r="AA1384" s="321" t="str">
        <f t="shared" si="886"/>
        <v>X-CUBMETE</v>
      </c>
      <c r="AB1384" s="321" t="str">
        <f t="shared" si="887"/>
        <v>X-CUBMETM</v>
      </c>
      <c r="AC1384" s="321" t="str">
        <f t="shared" si="888"/>
        <v>X-CUBMETT</v>
      </c>
      <c r="AD1384" s="321" t="str">
        <f t="shared" si="889"/>
        <v>X-CUBMETS</v>
      </c>
      <c r="AE1384" s="321" t="str">
        <f t="shared" si="890"/>
        <v>X-CUBMETX</v>
      </c>
      <c r="AF1384" s="321" t="str">
        <f t="shared" si="891"/>
        <v>X-CUBMETM</v>
      </c>
      <c r="AG1384" s="321">
        <f t="shared" si="781"/>
        <v>11</v>
      </c>
      <c r="AH1384" s="321">
        <f>IF(B1384&lt;&gt;"",IF(H1384="x",VLOOKUP(I1384,'AUX-NIV3'!B:AG,32,FALSE),0),"")</f>
        <v>0</v>
      </c>
      <c r="AI1384" s="321" t="str">
        <f t="shared" si="892"/>
        <v>X-CUBMET</v>
      </c>
      <c r="AJ1384" s="320"/>
      <c r="AK1384" s="322">
        <f t="shared" si="782"/>
        <v>1382</v>
      </c>
      <c r="AL1384" s="323">
        <f t="shared" si="893"/>
        <v>1392</v>
      </c>
      <c r="AM1384" s="322">
        <f t="shared" si="894"/>
        <v>3</v>
      </c>
      <c r="AN1384" s="380">
        <f>IF(AND(AH1384&gt;0,B1384&lt;&gt;""),VLOOKUP(I1384,'AUX-NIV3'!$B:$AO,39,FALSE)*O1384,0)</f>
        <v>0</v>
      </c>
      <c r="AO1384" s="380">
        <f t="shared" si="783"/>
        <v>0.22000000000000003</v>
      </c>
      <c r="AP1384" s="380"/>
    </row>
    <row r="1385" spans="2:48" ht="13.8" hidden="1" thickTop="1">
      <c r="B1385" s="501" t="s">
        <v>4318</v>
      </c>
      <c r="C1385" s="951" t="s">
        <v>4326</v>
      </c>
      <c r="D1385" s="326" t="s">
        <v>546</v>
      </c>
      <c r="E1385" s="327">
        <f>IF(B1385&lt;&gt;"",SUMIF('AUX-NIV1'!I:I,'AUX-NIV2'!B1385,'AUX-NIV1'!Q:Q),"")</f>
        <v>0</v>
      </c>
      <c r="F1385" s="327">
        <f t="shared" si="773"/>
        <v>439.06090593914308</v>
      </c>
      <c r="G1385" s="327">
        <f t="shared" si="774"/>
        <v>0</v>
      </c>
      <c r="H1385" s="328" t="str">
        <f t="shared" si="884"/>
        <v>M</v>
      </c>
      <c r="I1385" s="324" t="s">
        <v>4319</v>
      </c>
      <c r="J1385" s="431" t="str">
        <f>IF(B1385&lt;&gt;"",+VLOOKUP(I1385,Recursos!C:F,2,FALSE),"")</f>
        <v>PERFIL C DE CHAPA</v>
      </c>
      <c r="K1385" s="330" t="str">
        <f>IF(B1385&lt;&gt;"",+VLOOKUP(I1385,Recursos!C:F,3,FALSE),"")</f>
        <v>KG</v>
      </c>
      <c r="L1385" s="446">
        <f>IF(B1385&lt;&gt;"",+VLOOKUP(I1385,Recursos!C:F,4,FALSE),"")</f>
        <v>195</v>
      </c>
      <c r="M1385" s="1624"/>
      <c r="N1385" s="1625">
        <f>10/15*0</f>
        <v>0</v>
      </c>
      <c r="O1385" s="1361">
        <f t="shared" si="741"/>
        <v>0</v>
      </c>
      <c r="P1385" s="333">
        <f t="shared" si="895"/>
        <v>0</v>
      </c>
      <c r="Q1385" s="327">
        <f t="shared" si="896"/>
        <v>0</v>
      </c>
      <c r="R1385" s="334">
        <f t="shared" si="897"/>
        <v>0</v>
      </c>
      <c r="S1385" s="335">
        <f t="shared" si="775"/>
        <v>114.41783505760031</v>
      </c>
      <c r="T1385" s="335">
        <f t="shared" si="776"/>
        <v>47.785960000000003</v>
      </c>
      <c r="U1385" s="336">
        <f t="shared" si="777"/>
        <v>276.85711088154267</v>
      </c>
      <c r="V1385" s="336">
        <f t="shared" si="778"/>
        <v>0</v>
      </c>
      <c r="W1385" s="336">
        <f t="shared" si="779"/>
        <v>0</v>
      </c>
      <c r="X1385" s="336">
        <f t="shared" si="780"/>
        <v>0</v>
      </c>
      <c r="Y1385" s="320"/>
      <c r="Z1385" s="321" t="str">
        <f t="shared" si="885"/>
        <v>X-CUBMETA</v>
      </c>
      <c r="AA1385" s="321" t="str">
        <f t="shared" si="886"/>
        <v>X-CUBMETE</v>
      </c>
      <c r="AB1385" s="321" t="str">
        <f t="shared" si="887"/>
        <v>X-CUBMETM</v>
      </c>
      <c r="AC1385" s="321" t="str">
        <f t="shared" si="888"/>
        <v>X-CUBMETT</v>
      </c>
      <c r="AD1385" s="321" t="str">
        <f t="shared" si="889"/>
        <v>X-CUBMETS</v>
      </c>
      <c r="AE1385" s="321" t="str">
        <f t="shared" si="890"/>
        <v>X-CUBMETX</v>
      </c>
      <c r="AF1385" s="321" t="str">
        <f t="shared" si="891"/>
        <v>X-CUBMETM</v>
      </c>
      <c r="AG1385" s="321">
        <f t="shared" si="781"/>
        <v>11</v>
      </c>
      <c r="AH1385" s="321">
        <f>IF(B1385&lt;&gt;"",IF(H1385="x",VLOOKUP(I1385,'AUX-NIV3'!B:AG,32,FALSE),0),"")</f>
        <v>0</v>
      </c>
      <c r="AI1385" s="321" t="str">
        <f t="shared" si="892"/>
        <v>X-CUBMET</v>
      </c>
      <c r="AJ1385" s="320"/>
      <c r="AK1385" s="322">
        <f t="shared" si="782"/>
        <v>1382</v>
      </c>
      <c r="AL1385" s="323">
        <f t="shared" si="893"/>
        <v>1392</v>
      </c>
      <c r="AM1385" s="322">
        <f t="shared" si="894"/>
        <v>4</v>
      </c>
      <c r="AN1385" s="380">
        <f>IF(AND(AH1385&gt;0,B1385&lt;&gt;""),VLOOKUP(I1385,'AUX-NIV3'!$B:$AO,39,FALSE)*O1385,0)</f>
        <v>0</v>
      </c>
      <c r="AO1385" s="380">
        <f t="shared" si="783"/>
        <v>0.22000000000000003</v>
      </c>
      <c r="AP1385" s="380"/>
    </row>
    <row r="1386" spans="2:48" ht="13.8" hidden="1" thickTop="1">
      <c r="B1386" s="501" t="s">
        <v>4318</v>
      </c>
      <c r="C1386" s="951" t="s">
        <v>4326</v>
      </c>
      <c r="D1386" s="326" t="s">
        <v>546</v>
      </c>
      <c r="E1386" s="327">
        <f>IF(B1386&lt;&gt;"",SUMIF('AUX-NIV1'!I:I,'AUX-NIV2'!B1386,'AUX-NIV1'!Q:Q),"")</f>
        <v>0</v>
      </c>
      <c r="F1386" s="327">
        <f t="shared" si="773"/>
        <v>439.06090593914308</v>
      </c>
      <c r="G1386" s="327">
        <f t="shared" si="774"/>
        <v>0</v>
      </c>
      <c r="H1386" s="328" t="str">
        <f t="shared" si="884"/>
        <v>M</v>
      </c>
      <c r="I1386" s="324" t="s">
        <v>4304</v>
      </c>
      <c r="J1386" s="431" t="str">
        <f>IF(B1386&lt;&gt;"",+VLOOKUP(I1386,Recursos!C:F,2,FALSE),"")</f>
        <v>ELECTRODOS</v>
      </c>
      <c r="K1386" s="330" t="str">
        <f>IF(B1386&lt;&gt;"",+VLOOKUP(I1386,Recursos!C:F,3,FALSE),"")</f>
        <v>KG</v>
      </c>
      <c r="L1386" s="446">
        <f>IF(B1386&lt;&gt;"",+VLOOKUP(I1386,Recursos!C:F,4,FALSE),"")</f>
        <v>700</v>
      </c>
      <c r="M1386" s="1624"/>
      <c r="N1386" s="1625">
        <v>0</v>
      </c>
      <c r="O1386" s="1361">
        <f t="shared" si="741"/>
        <v>0</v>
      </c>
      <c r="P1386" s="333">
        <f t="shared" si="895"/>
        <v>0</v>
      </c>
      <c r="Q1386" s="327">
        <f t="shared" si="896"/>
        <v>0</v>
      </c>
      <c r="R1386" s="334">
        <f t="shared" si="897"/>
        <v>0</v>
      </c>
      <c r="S1386" s="335">
        <f t="shared" si="775"/>
        <v>114.41783505760031</v>
      </c>
      <c r="T1386" s="335">
        <f t="shared" si="776"/>
        <v>47.785960000000003</v>
      </c>
      <c r="U1386" s="336">
        <f t="shared" si="777"/>
        <v>276.85711088154267</v>
      </c>
      <c r="V1386" s="336">
        <f t="shared" si="778"/>
        <v>0</v>
      </c>
      <c r="W1386" s="336">
        <f t="shared" si="779"/>
        <v>0</v>
      </c>
      <c r="X1386" s="336">
        <f t="shared" si="780"/>
        <v>0</v>
      </c>
      <c r="Y1386" s="320"/>
      <c r="Z1386" s="321" t="str">
        <f t="shared" si="885"/>
        <v>X-CUBMETA</v>
      </c>
      <c r="AA1386" s="321" t="str">
        <f t="shared" si="886"/>
        <v>X-CUBMETE</v>
      </c>
      <c r="AB1386" s="321" t="str">
        <f t="shared" si="887"/>
        <v>X-CUBMETM</v>
      </c>
      <c r="AC1386" s="321" t="str">
        <f t="shared" si="888"/>
        <v>X-CUBMETT</v>
      </c>
      <c r="AD1386" s="321" t="str">
        <f t="shared" si="889"/>
        <v>X-CUBMETS</v>
      </c>
      <c r="AE1386" s="321" t="str">
        <f t="shared" si="890"/>
        <v>X-CUBMETX</v>
      </c>
      <c r="AF1386" s="321" t="str">
        <f t="shared" si="891"/>
        <v>X-CUBMETM</v>
      </c>
      <c r="AG1386" s="321">
        <f t="shared" si="781"/>
        <v>11</v>
      </c>
      <c r="AH1386" s="321">
        <f>IF(B1386&lt;&gt;"",IF(H1386="x",VLOOKUP(I1386,'AUX-NIV3'!B:AG,32,FALSE),0),"")</f>
        <v>0</v>
      </c>
      <c r="AI1386" s="321" t="str">
        <f t="shared" si="892"/>
        <v>X-CUBMET</v>
      </c>
      <c r="AJ1386" s="320"/>
      <c r="AK1386" s="322">
        <f t="shared" si="782"/>
        <v>1382</v>
      </c>
      <c r="AL1386" s="323">
        <f t="shared" si="893"/>
        <v>1392</v>
      </c>
      <c r="AM1386" s="322">
        <f t="shared" si="894"/>
        <v>5</v>
      </c>
      <c r="AN1386" s="380">
        <f>IF(AND(AH1386&gt;0,B1386&lt;&gt;""),VLOOKUP(I1386,'AUX-NIV3'!$B:$AO,39,FALSE)*O1386,0)</f>
        <v>0</v>
      </c>
      <c r="AO1386" s="380">
        <f t="shared" si="783"/>
        <v>0.22000000000000003</v>
      </c>
      <c r="AP1386" s="380"/>
    </row>
    <row r="1387" spans="2:48" ht="13.8" hidden="1" thickTop="1">
      <c r="B1387" s="501" t="s">
        <v>4318</v>
      </c>
      <c r="C1387" s="951" t="s">
        <v>4326</v>
      </c>
      <c r="D1387" s="326" t="s">
        <v>546</v>
      </c>
      <c r="E1387" s="327">
        <f>IF(B1387&lt;&gt;"",SUMIF('AUX-NIV1'!I:I,'AUX-NIV2'!B1387,'AUX-NIV1'!Q:Q),"")</f>
        <v>0</v>
      </c>
      <c r="F1387" s="327">
        <f t="shared" si="773"/>
        <v>439.06090593914308</v>
      </c>
      <c r="G1387" s="327">
        <f t="shared" si="774"/>
        <v>0</v>
      </c>
      <c r="H1387" s="328" t="str">
        <f t="shared" si="884"/>
        <v>E</v>
      </c>
      <c r="I1387" s="324" t="s">
        <v>1629</v>
      </c>
      <c r="J1387" s="431" t="str">
        <f>IF(B1387&lt;&gt;"",+VLOOKUP(I1387,Recursos!C:F,2,FALSE),"")</f>
        <v>ELECTROSOLDADORA 400 AMP</v>
      </c>
      <c r="K1387" s="330" t="str">
        <f>IF(B1387&lt;&gt;"",+VLOOKUP(I1387,Recursos!C:F,3,FALSE),"")</f>
        <v>HR</v>
      </c>
      <c r="L1387" s="446">
        <f>IF(B1387&lt;&gt;"",+VLOOKUP(I1387,Recursos!C:F,4,FALSE),"")</f>
        <v>122.46000000000001</v>
      </c>
      <c r="M1387" s="1624"/>
      <c r="N1387" s="1625">
        <v>0</v>
      </c>
      <c r="O1387" s="1361">
        <f t="shared" si="741"/>
        <v>0</v>
      </c>
      <c r="P1387" s="333">
        <f t="shared" si="895"/>
        <v>0</v>
      </c>
      <c r="Q1387" s="327">
        <f t="shared" si="896"/>
        <v>0</v>
      </c>
      <c r="R1387" s="334">
        <f t="shared" si="897"/>
        <v>0</v>
      </c>
      <c r="S1387" s="335">
        <f t="shared" si="775"/>
        <v>114.41783505760031</v>
      </c>
      <c r="T1387" s="335">
        <f t="shared" si="776"/>
        <v>47.785960000000003</v>
      </c>
      <c r="U1387" s="336">
        <f t="shared" si="777"/>
        <v>276.85711088154267</v>
      </c>
      <c r="V1387" s="336">
        <f t="shared" si="778"/>
        <v>0</v>
      </c>
      <c r="W1387" s="336">
        <f t="shared" si="779"/>
        <v>0</v>
      </c>
      <c r="X1387" s="336">
        <f t="shared" si="780"/>
        <v>0</v>
      </c>
      <c r="Y1387" s="320"/>
      <c r="Z1387" s="321" t="str">
        <f t="shared" si="885"/>
        <v>X-CUBMETA</v>
      </c>
      <c r="AA1387" s="321" t="str">
        <f t="shared" si="886"/>
        <v>X-CUBMETE</v>
      </c>
      <c r="AB1387" s="321" t="str">
        <f t="shared" si="887"/>
        <v>X-CUBMETM</v>
      </c>
      <c r="AC1387" s="321" t="str">
        <f t="shared" si="888"/>
        <v>X-CUBMETT</v>
      </c>
      <c r="AD1387" s="321" t="str">
        <f t="shared" si="889"/>
        <v>X-CUBMETS</v>
      </c>
      <c r="AE1387" s="321" t="str">
        <f t="shared" si="890"/>
        <v>X-CUBMETX</v>
      </c>
      <c r="AF1387" s="321" t="str">
        <f t="shared" si="891"/>
        <v>X-CUBMETE</v>
      </c>
      <c r="AG1387" s="321">
        <f t="shared" si="781"/>
        <v>11</v>
      </c>
      <c r="AH1387" s="321">
        <f>IF(B1387&lt;&gt;"",IF(H1387="x",VLOOKUP(I1387,'AUX-NIV3'!B:AG,32,FALSE),0),"")</f>
        <v>0</v>
      </c>
      <c r="AI1387" s="321" t="str">
        <f t="shared" si="892"/>
        <v>X-CUBMET</v>
      </c>
      <c r="AJ1387" s="320"/>
      <c r="AK1387" s="322">
        <f t="shared" si="782"/>
        <v>1382</v>
      </c>
      <c r="AL1387" s="323">
        <f t="shared" si="893"/>
        <v>1392</v>
      </c>
      <c r="AM1387" s="322" t="e">
        <f>IF(B1387&lt;&gt;"",IF(B1387=#REF!,1+#REF!,1),"")</f>
        <v>#REF!</v>
      </c>
      <c r="AN1387" s="380">
        <f>IF(AND(AH1387&gt;0,B1387&lt;&gt;""),VLOOKUP(I1387,'AUX-NIV3'!$B:$AO,39,FALSE)*O1387,0)</f>
        <v>0</v>
      </c>
      <c r="AO1387" s="380">
        <f t="shared" si="783"/>
        <v>0.22000000000000003</v>
      </c>
      <c r="AP1387" s="380"/>
    </row>
    <row r="1388" spans="2:48" ht="13.8" hidden="1" thickTop="1">
      <c r="B1388" s="501" t="s">
        <v>4318</v>
      </c>
      <c r="C1388" s="951" t="s">
        <v>4326</v>
      </c>
      <c r="D1388" s="326" t="s">
        <v>546</v>
      </c>
      <c r="E1388" s="327">
        <f>IF(B1388&lt;&gt;"",SUMIF('AUX-NIV1'!I:I,'AUX-NIV2'!B1388,'AUX-NIV1'!Q:Q),"")</f>
        <v>0</v>
      </c>
      <c r="F1388" s="327">
        <f t="shared" si="773"/>
        <v>439.06090593914308</v>
      </c>
      <c r="G1388" s="327">
        <f t="shared" si="774"/>
        <v>0</v>
      </c>
      <c r="H1388" s="328" t="str">
        <f t="shared" ref="H1388:H1391" si="898">IF(B1388&lt;&gt;"",+LEFT(I1388,1),"")</f>
        <v>E</v>
      </c>
      <c r="I1388" s="324" t="s">
        <v>1544</v>
      </c>
      <c r="J1388" s="431" t="str">
        <f>IF(B1388&lt;&gt;"",+VLOOKUP(I1388,Recursos!C:F,2,FALSE),"")</f>
        <v>CARRETON DE 50 TN CON CAMION</v>
      </c>
      <c r="K1388" s="330" t="str">
        <f>IF(B1388&lt;&gt;"",+VLOOKUP(I1388,Recursos!C:F,3,FALSE),"")</f>
        <v>HR</v>
      </c>
      <c r="L1388" s="446">
        <f>IF(B1388&lt;&gt;"",+VLOOKUP(I1388,Recursos!C:F,4,FALSE),"")</f>
        <v>3982.1633333333334</v>
      </c>
      <c r="M1388" s="1624"/>
      <c r="N1388" s="1625">
        <f>24/2000</f>
        <v>1.2E-2</v>
      </c>
      <c r="O1388" s="1361">
        <f t="shared" si="741"/>
        <v>1.2E-2</v>
      </c>
      <c r="P1388" s="333">
        <f t="shared" ref="P1388:P1391" si="899">IF(B1388&lt;&gt;"",O1388*L1388,"")</f>
        <v>47.785960000000003</v>
      </c>
      <c r="Q1388" s="327">
        <f t="shared" ref="Q1388:Q1391" si="900">IF(B1388&lt;&gt;"",+O1388*E1388,"")</f>
        <v>0</v>
      </c>
      <c r="R1388" s="334">
        <f t="shared" ref="R1388:R1391" si="901">IF(B1388&lt;&gt;"",Q1388*L1388,"")</f>
        <v>0</v>
      </c>
      <c r="S1388" s="335">
        <f t="shared" si="775"/>
        <v>114.41783505760031</v>
      </c>
      <c r="T1388" s="335">
        <f t="shared" si="776"/>
        <v>47.785960000000003</v>
      </c>
      <c r="U1388" s="336">
        <f t="shared" si="777"/>
        <v>276.85711088154267</v>
      </c>
      <c r="V1388" s="336">
        <f t="shared" si="778"/>
        <v>0</v>
      </c>
      <c r="W1388" s="336">
        <f t="shared" si="779"/>
        <v>0</v>
      </c>
      <c r="X1388" s="336">
        <f t="shared" si="780"/>
        <v>0</v>
      </c>
      <c r="Y1388" s="320"/>
      <c r="Z1388" s="321" t="str">
        <f t="shared" ref="Z1388:Z1391" si="902">IF(B1388&lt;&gt;"",+$B1388&amp;"A","")</f>
        <v>X-CUBMETA</v>
      </c>
      <c r="AA1388" s="321" t="str">
        <f t="shared" ref="AA1388:AA1391" si="903">IF(B1388&lt;&gt;"",+$B1388&amp;"E","")</f>
        <v>X-CUBMETE</v>
      </c>
      <c r="AB1388" s="321" t="str">
        <f t="shared" ref="AB1388:AB1391" si="904">IF(B1388&lt;&gt;"",++$B1388&amp;"M","")</f>
        <v>X-CUBMETM</v>
      </c>
      <c r="AC1388" s="321" t="str">
        <f t="shared" ref="AC1388:AC1391" si="905">IF(B1388&lt;&gt;"",+$B1388&amp;"T","")</f>
        <v>X-CUBMETT</v>
      </c>
      <c r="AD1388" s="321" t="str">
        <f t="shared" ref="AD1388:AD1391" si="906">IF(B1388&lt;&gt;"",+$B1388&amp;"S","")</f>
        <v>X-CUBMETS</v>
      </c>
      <c r="AE1388" s="321" t="str">
        <f t="shared" ref="AE1388:AE1391" si="907">IF(B1388&lt;&gt;"",+$B1388&amp;"X","")</f>
        <v>X-CUBMETX</v>
      </c>
      <c r="AF1388" s="321" t="str">
        <f t="shared" ref="AF1388:AF1391" si="908">IF(B1388&lt;&gt;"",+B1388&amp;H1388,"")</f>
        <v>X-CUBMETE</v>
      </c>
      <c r="AG1388" s="321">
        <f t="shared" si="781"/>
        <v>11</v>
      </c>
      <c r="AH1388" s="321">
        <f>IF(B1388&lt;&gt;"",IF(H1388="x",VLOOKUP(I1388,'AUX-NIV3'!B:AG,32,FALSE),0),"")</f>
        <v>0</v>
      </c>
      <c r="AI1388" s="321" t="str">
        <f t="shared" ref="AI1388:AI1391" si="909">IF(B1388&lt;&gt;"",+B1388,"")</f>
        <v>X-CUBMET</v>
      </c>
      <c r="AJ1388" s="320"/>
      <c r="AK1388" s="322">
        <f t="shared" si="782"/>
        <v>1382</v>
      </c>
      <c r="AL1388" s="323">
        <f t="shared" ref="AL1388:AL1391" si="910">IF(B1388&lt;&gt;"",+AK1388+AG1388-1,"")</f>
        <v>1392</v>
      </c>
      <c r="AM1388" s="322" t="e">
        <f t="shared" ref="AM1388:AM1391" si="911">IF(B1388&lt;&gt;"",IF(B1388=B1387,1+AM1387,1),"")</f>
        <v>#REF!</v>
      </c>
      <c r="AN1388" s="380">
        <f>IF(AND(AH1388&gt;0,B1388&lt;&gt;""),VLOOKUP(I1388,'AUX-NIV3'!$B:$AO,39,FALSE)*O1388,0)</f>
        <v>0</v>
      </c>
      <c r="AO1388" s="380">
        <f t="shared" si="783"/>
        <v>0.22000000000000003</v>
      </c>
      <c r="AP1388" s="380"/>
    </row>
    <row r="1389" spans="2:48" ht="13.8" hidden="1" thickTop="1">
      <c r="B1389" s="501" t="s">
        <v>4318</v>
      </c>
      <c r="C1389" s="951" t="s">
        <v>4326</v>
      </c>
      <c r="D1389" s="326" t="s">
        <v>546</v>
      </c>
      <c r="E1389" s="327">
        <f>IF(B1389&lt;&gt;"",SUMIF('AUX-NIV1'!I:I,'AUX-NIV2'!B1389,'AUX-NIV1'!Q:Q),"")</f>
        <v>0</v>
      </c>
      <c r="F1389" s="327">
        <f t="shared" si="773"/>
        <v>439.06090593914308</v>
      </c>
      <c r="G1389" s="327">
        <f t="shared" si="774"/>
        <v>0</v>
      </c>
      <c r="H1389" s="328" t="str">
        <f t="shared" si="898"/>
        <v>M</v>
      </c>
      <c r="I1389" s="324" t="s">
        <v>3858</v>
      </c>
      <c r="J1389" s="431" t="str">
        <f>IF(B1389&lt;&gt;"",+VLOOKUP(I1389,Recursos!C:F,2,FALSE),"")</f>
        <v>PINTURA ESMALTE SINTETICO</v>
      </c>
      <c r="K1389" s="330" t="str">
        <f>IF(B1389&lt;&gt;"",+VLOOKUP(I1389,Recursos!C:F,3,FALSE),"")</f>
        <v>LTS</v>
      </c>
      <c r="L1389" s="446">
        <f>IF(B1389&lt;&gt;"",+VLOOKUP(I1389,Recursos!C:F,4,FALSE),"")</f>
        <v>661.15702479338847</v>
      </c>
      <c r="M1389" s="1624"/>
      <c r="N1389" s="1625">
        <f>1/8</f>
        <v>0.125</v>
      </c>
      <c r="O1389" s="1361">
        <f t="shared" si="741"/>
        <v>0.125</v>
      </c>
      <c r="P1389" s="333">
        <f t="shared" si="899"/>
        <v>82.644628099173559</v>
      </c>
      <c r="Q1389" s="327">
        <f t="shared" si="900"/>
        <v>0</v>
      </c>
      <c r="R1389" s="334">
        <f t="shared" si="901"/>
        <v>0</v>
      </c>
      <c r="S1389" s="335">
        <f t="shared" si="775"/>
        <v>114.41783505760031</v>
      </c>
      <c r="T1389" s="335">
        <f t="shared" si="776"/>
        <v>47.785960000000003</v>
      </c>
      <c r="U1389" s="336">
        <f t="shared" si="777"/>
        <v>276.85711088154267</v>
      </c>
      <c r="V1389" s="336">
        <f t="shared" si="778"/>
        <v>0</v>
      </c>
      <c r="W1389" s="336">
        <f t="shared" si="779"/>
        <v>0</v>
      </c>
      <c r="X1389" s="336">
        <f t="shared" si="780"/>
        <v>0</v>
      </c>
      <c r="Y1389" s="320"/>
      <c r="Z1389" s="321" t="str">
        <f t="shared" si="902"/>
        <v>X-CUBMETA</v>
      </c>
      <c r="AA1389" s="321" t="str">
        <f t="shared" si="903"/>
        <v>X-CUBMETE</v>
      </c>
      <c r="AB1389" s="321" t="str">
        <f t="shared" si="904"/>
        <v>X-CUBMETM</v>
      </c>
      <c r="AC1389" s="321" t="str">
        <f t="shared" si="905"/>
        <v>X-CUBMETT</v>
      </c>
      <c r="AD1389" s="321" t="str">
        <f t="shared" si="906"/>
        <v>X-CUBMETS</v>
      </c>
      <c r="AE1389" s="321" t="str">
        <f t="shared" si="907"/>
        <v>X-CUBMETX</v>
      </c>
      <c r="AF1389" s="321" t="str">
        <f t="shared" si="908"/>
        <v>X-CUBMETM</v>
      </c>
      <c r="AG1389" s="321">
        <f t="shared" si="781"/>
        <v>11</v>
      </c>
      <c r="AH1389" s="321">
        <f>IF(B1389&lt;&gt;"",IF(H1389="x",VLOOKUP(I1389,'AUX-NIV3'!B:AG,32,FALSE),0),"")</f>
        <v>0</v>
      </c>
      <c r="AI1389" s="321" t="str">
        <f t="shared" si="909"/>
        <v>X-CUBMET</v>
      </c>
      <c r="AJ1389" s="320"/>
      <c r="AK1389" s="322">
        <f t="shared" si="782"/>
        <v>1382</v>
      </c>
      <c r="AL1389" s="323">
        <f t="shared" si="910"/>
        <v>1392</v>
      </c>
      <c r="AM1389" s="322" t="e">
        <f t="shared" si="911"/>
        <v>#REF!</v>
      </c>
      <c r="AN1389" s="380">
        <f>IF(AND(AH1389&gt;0,B1389&lt;&gt;""),VLOOKUP(I1389,'AUX-NIV3'!$B:$AO,39,FALSE)*O1389,0)</f>
        <v>0</v>
      </c>
      <c r="AO1389" s="380">
        <f t="shared" si="783"/>
        <v>0.22000000000000003</v>
      </c>
      <c r="AP1389" s="380"/>
    </row>
    <row r="1390" spans="2:48" ht="13.8" hidden="1" thickTop="1">
      <c r="B1390" s="501" t="s">
        <v>4318</v>
      </c>
      <c r="C1390" s="951" t="s">
        <v>4326</v>
      </c>
      <c r="D1390" s="326" t="s">
        <v>546</v>
      </c>
      <c r="E1390" s="327">
        <f>IF(B1390&lt;&gt;"",SUMIF('AUX-NIV1'!I:I,'AUX-NIV2'!B1390,'AUX-NIV1'!Q:Q),"")</f>
        <v>0</v>
      </c>
      <c r="F1390" s="327">
        <f t="shared" si="773"/>
        <v>439.06090593914308</v>
      </c>
      <c r="G1390" s="327">
        <f t="shared" si="774"/>
        <v>0</v>
      </c>
      <c r="H1390" s="328" t="str">
        <f t="shared" si="898"/>
        <v>M</v>
      </c>
      <c r="I1390" s="324" t="s">
        <v>3859</v>
      </c>
      <c r="J1390" s="431" t="str">
        <f>IF(B1390&lt;&gt;"",+VLOOKUP(I1390,Recursos!C:F,2,FALSE),"")</f>
        <v>PINTURA ANTIOXIDO</v>
      </c>
      <c r="K1390" s="330" t="str">
        <f>IF(B1390&lt;&gt;"",+VLOOKUP(I1390,Recursos!C:F,3,FALSE),"")</f>
        <v>LTS</v>
      </c>
      <c r="L1390" s="446">
        <f>IF(B1390&lt;&gt;"",+VLOOKUP(I1390,Recursos!C:F,4,FALSE),"")</f>
        <v>547.52066115702485</v>
      </c>
      <c r="M1390" s="1624"/>
      <c r="N1390" s="1625">
        <f>1/10</f>
        <v>0.1</v>
      </c>
      <c r="O1390" s="1361">
        <f t="shared" si="741"/>
        <v>0.1</v>
      </c>
      <c r="P1390" s="333">
        <f t="shared" si="899"/>
        <v>54.75206611570249</v>
      </c>
      <c r="Q1390" s="327">
        <f t="shared" si="900"/>
        <v>0</v>
      </c>
      <c r="R1390" s="334">
        <f t="shared" si="901"/>
        <v>0</v>
      </c>
      <c r="S1390" s="335">
        <f t="shared" si="775"/>
        <v>114.41783505760031</v>
      </c>
      <c r="T1390" s="335">
        <f t="shared" si="776"/>
        <v>47.785960000000003</v>
      </c>
      <c r="U1390" s="336">
        <f t="shared" si="777"/>
        <v>276.85711088154267</v>
      </c>
      <c r="V1390" s="336">
        <f t="shared" si="778"/>
        <v>0</v>
      </c>
      <c r="W1390" s="336">
        <f t="shared" si="779"/>
        <v>0</v>
      </c>
      <c r="X1390" s="336">
        <f t="shared" si="780"/>
        <v>0</v>
      </c>
      <c r="Y1390" s="320"/>
      <c r="Z1390" s="321" t="str">
        <f t="shared" si="902"/>
        <v>X-CUBMETA</v>
      </c>
      <c r="AA1390" s="321" t="str">
        <f t="shared" si="903"/>
        <v>X-CUBMETE</v>
      </c>
      <c r="AB1390" s="321" t="str">
        <f t="shared" si="904"/>
        <v>X-CUBMETM</v>
      </c>
      <c r="AC1390" s="321" t="str">
        <f t="shared" si="905"/>
        <v>X-CUBMETT</v>
      </c>
      <c r="AD1390" s="321" t="str">
        <f t="shared" si="906"/>
        <v>X-CUBMETS</v>
      </c>
      <c r="AE1390" s="321" t="str">
        <f t="shared" si="907"/>
        <v>X-CUBMETX</v>
      </c>
      <c r="AF1390" s="321" t="str">
        <f t="shared" si="908"/>
        <v>X-CUBMETM</v>
      </c>
      <c r="AG1390" s="321">
        <f t="shared" si="781"/>
        <v>11</v>
      </c>
      <c r="AH1390" s="321">
        <f>IF(B1390&lt;&gt;"",IF(H1390="x",VLOOKUP(I1390,'AUX-NIV3'!B:AG,32,FALSE),0),"")</f>
        <v>0</v>
      </c>
      <c r="AI1390" s="321" t="str">
        <f t="shared" si="909"/>
        <v>X-CUBMET</v>
      </c>
      <c r="AJ1390" s="320"/>
      <c r="AK1390" s="322">
        <f t="shared" si="782"/>
        <v>1382</v>
      </c>
      <c r="AL1390" s="323">
        <f t="shared" si="910"/>
        <v>1392</v>
      </c>
      <c r="AM1390" s="322" t="e">
        <f t="shared" si="911"/>
        <v>#REF!</v>
      </c>
      <c r="AN1390" s="380">
        <f>IF(AND(AH1390&gt;0,B1390&lt;&gt;""),VLOOKUP(I1390,'AUX-NIV3'!$B:$AO,39,FALSE)*O1390,0)</f>
        <v>0</v>
      </c>
      <c r="AO1390" s="380">
        <f t="shared" si="783"/>
        <v>0.22000000000000003</v>
      </c>
      <c r="AP1390" s="380"/>
    </row>
    <row r="1391" spans="2:48" ht="13.8" hidden="1" thickTop="1">
      <c r="B1391" s="501" t="s">
        <v>4318</v>
      </c>
      <c r="C1391" s="951" t="s">
        <v>4326</v>
      </c>
      <c r="D1391" s="326" t="s">
        <v>546</v>
      </c>
      <c r="E1391" s="327">
        <f>IF(B1391&lt;&gt;"",SUMIF('AUX-NIV1'!I:I,'AUX-NIV2'!B1391,'AUX-NIV1'!Q:Q),"")</f>
        <v>0</v>
      </c>
      <c r="F1391" s="327">
        <f t="shared" si="773"/>
        <v>439.06090593914308</v>
      </c>
      <c r="G1391" s="327">
        <f t="shared" si="774"/>
        <v>0</v>
      </c>
      <c r="H1391" s="328" t="str">
        <f t="shared" si="898"/>
        <v>M</v>
      </c>
      <c r="I1391" s="324" t="s">
        <v>3860</v>
      </c>
      <c r="J1391" s="431" t="str">
        <f>IF(B1391&lt;&gt;"",+VLOOKUP(I1391,Recursos!C:F,2,FALSE),"")</f>
        <v>AGUARRAS</v>
      </c>
      <c r="K1391" s="330" t="str">
        <f>IF(B1391&lt;&gt;"",+VLOOKUP(I1391,Recursos!C:F,3,FALSE),"")</f>
        <v>LTS</v>
      </c>
      <c r="L1391" s="446">
        <f>IF(B1391&lt;&gt;"",+VLOOKUP(I1391,Recursos!C:F,4,FALSE),"")</f>
        <v>124.7</v>
      </c>
      <c r="M1391" s="1624"/>
      <c r="N1391" s="1625">
        <f>N1389/2</f>
        <v>6.25E-2</v>
      </c>
      <c r="O1391" s="1361">
        <f t="shared" si="741"/>
        <v>6.25E-2</v>
      </c>
      <c r="P1391" s="333">
        <f t="shared" si="899"/>
        <v>7.7937500000000002</v>
      </c>
      <c r="Q1391" s="327">
        <f t="shared" si="900"/>
        <v>0</v>
      </c>
      <c r="R1391" s="334">
        <f t="shared" si="901"/>
        <v>0</v>
      </c>
      <c r="S1391" s="335">
        <f t="shared" si="775"/>
        <v>114.41783505760031</v>
      </c>
      <c r="T1391" s="335">
        <f t="shared" si="776"/>
        <v>47.785960000000003</v>
      </c>
      <c r="U1391" s="336">
        <f t="shared" si="777"/>
        <v>276.85711088154267</v>
      </c>
      <c r="V1391" s="336">
        <f t="shared" si="778"/>
        <v>0</v>
      </c>
      <c r="W1391" s="336">
        <f t="shared" si="779"/>
        <v>0</v>
      </c>
      <c r="X1391" s="336">
        <f t="shared" si="780"/>
        <v>0</v>
      </c>
      <c r="Y1391" s="320"/>
      <c r="Z1391" s="321" t="str">
        <f t="shared" si="902"/>
        <v>X-CUBMETA</v>
      </c>
      <c r="AA1391" s="321" t="str">
        <f t="shared" si="903"/>
        <v>X-CUBMETE</v>
      </c>
      <c r="AB1391" s="321" t="str">
        <f t="shared" si="904"/>
        <v>X-CUBMETM</v>
      </c>
      <c r="AC1391" s="321" t="str">
        <f t="shared" si="905"/>
        <v>X-CUBMETT</v>
      </c>
      <c r="AD1391" s="321" t="str">
        <f t="shared" si="906"/>
        <v>X-CUBMETS</v>
      </c>
      <c r="AE1391" s="321" t="str">
        <f t="shared" si="907"/>
        <v>X-CUBMETX</v>
      </c>
      <c r="AF1391" s="321" t="str">
        <f t="shared" si="908"/>
        <v>X-CUBMETM</v>
      </c>
      <c r="AG1391" s="321">
        <f t="shared" si="781"/>
        <v>11</v>
      </c>
      <c r="AH1391" s="321">
        <f>IF(B1391&lt;&gt;"",IF(H1391="x",VLOOKUP(I1391,'AUX-NIV3'!B:AG,32,FALSE),0),"")</f>
        <v>0</v>
      </c>
      <c r="AI1391" s="321" t="str">
        <f t="shared" si="909"/>
        <v>X-CUBMET</v>
      </c>
      <c r="AJ1391" s="320"/>
      <c r="AK1391" s="322">
        <f t="shared" si="782"/>
        <v>1382</v>
      </c>
      <c r="AL1391" s="323">
        <f t="shared" si="910"/>
        <v>1392</v>
      </c>
      <c r="AM1391" s="322" t="e">
        <f t="shared" si="911"/>
        <v>#REF!</v>
      </c>
      <c r="AN1391" s="380">
        <f>IF(AND(AH1391&gt;0,B1391&lt;&gt;""),VLOOKUP(I1391,'AUX-NIV3'!$B:$AO,39,FALSE)*O1391,0)</f>
        <v>0</v>
      </c>
      <c r="AO1391" s="380">
        <f t="shared" si="783"/>
        <v>0.22000000000000003</v>
      </c>
      <c r="AP1391" s="380"/>
    </row>
    <row r="1392" spans="2:48" ht="13.8" hidden="1" thickBot="1">
      <c r="B1392" s="501" t="s">
        <v>4318</v>
      </c>
      <c r="C1392" s="951" t="s">
        <v>4326</v>
      </c>
      <c r="D1392" s="326" t="s">
        <v>546</v>
      </c>
      <c r="E1392" s="327">
        <f>IF(B1392&lt;&gt;"",SUMIF('AUX-NIV1'!I:I,'AUX-NIV2'!B1392,'AUX-NIV1'!Q:Q),"")</f>
        <v>0</v>
      </c>
      <c r="F1392" s="327">
        <f t="shared" si="773"/>
        <v>439.06090593914308</v>
      </c>
      <c r="G1392" s="327">
        <f t="shared" si="774"/>
        <v>0</v>
      </c>
      <c r="H1392" s="328" t="str">
        <f t="shared" ref="H1392:H1402" si="912">IF(B1392&lt;&gt;"",+LEFT(I1392,1),"")</f>
        <v>M</v>
      </c>
      <c r="I1392" s="324" t="s">
        <v>621</v>
      </c>
      <c r="J1392" s="431" t="str">
        <f>IF(B1392&lt;&gt;"",+VLOOKUP(I1392,Recursos!C:F,2,FALSE),"")</f>
        <v>MATERIALES VARIOS</v>
      </c>
      <c r="K1392" s="330" t="str">
        <f>IF(B1392&lt;&gt;"",+VLOOKUP(I1392,Recursos!C:F,3,FALSE),"")</f>
        <v>GL</v>
      </c>
      <c r="L1392" s="446">
        <f>IF(B1392&lt;&gt;"",+VLOOKUP(I1392,Recursos!C:F,4,FALSE),"")</f>
        <v>0.5</v>
      </c>
      <c r="M1392" s="1626"/>
      <c r="N1392" s="1627">
        <v>50</v>
      </c>
      <c r="O1392" s="1361">
        <f t="shared" si="741"/>
        <v>50</v>
      </c>
      <c r="P1392" s="333">
        <f t="shared" ref="P1392" si="913">IF(B1392&lt;&gt;"",O1392*L1392,"")</f>
        <v>25</v>
      </c>
      <c r="Q1392" s="327">
        <f t="shared" ref="Q1392" si="914">IF(B1392&lt;&gt;"",+O1392*E1392,"")</f>
        <v>0</v>
      </c>
      <c r="R1392" s="334">
        <f t="shared" ref="R1392" si="915">IF(B1392&lt;&gt;"",Q1392*L1392,"")</f>
        <v>0</v>
      </c>
      <c r="S1392" s="335">
        <f t="shared" si="775"/>
        <v>114.41783505760031</v>
      </c>
      <c r="T1392" s="335">
        <f t="shared" si="776"/>
        <v>47.785960000000003</v>
      </c>
      <c r="U1392" s="336">
        <f t="shared" si="777"/>
        <v>276.85711088154267</v>
      </c>
      <c r="V1392" s="336">
        <f t="shared" si="778"/>
        <v>0</v>
      </c>
      <c r="W1392" s="336">
        <f t="shared" si="779"/>
        <v>0</v>
      </c>
      <c r="X1392" s="336">
        <f t="shared" si="780"/>
        <v>0</v>
      </c>
      <c r="Y1392" s="320"/>
      <c r="Z1392" s="321" t="str">
        <f t="shared" ref="Z1392:Z1402" si="916">IF(B1392&lt;&gt;"",+$B1392&amp;"A","")</f>
        <v>X-CUBMETA</v>
      </c>
      <c r="AA1392" s="321" t="str">
        <f t="shared" ref="AA1392:AA1402" si="917">IF(B1392&lt;&gt;"",+$B1392&amp;"E","")</f>
        <v>X-CUBMETE</v>
      </c>
      <c r="AB1392" s="321" t="str">
        <f t="shared" ref="AB1392:AB1402" si="918">IF(B1392&lt;&gt;"",++$B1392&amp;"M","")</f>
        <v>X-CUBMETM</v>
      </c>
      <c r="AC1392" s="321" t="str">
        <f t="shared" ref="AC1392:AC1402" si="919">IF(B1392&lt;&gt;"",+$B1392&amp;"T","")</f>
        <v>X-CUBMETT</v>
      </c>
      <c r="AD1392" s="321" t="str">
        <f t="shared" ref="AD1392:AD1402" si="920">IF(B1392&lt;&gt;"",+$B1392&amp;"S","")</f>
        <v>X-CUBMETS</v>
      </c>
      <c r="AE1392" s="321" t="str">
        <f t="shared" ref="AE1392:AE1402" si="921">IF(B1392&lt;&gt;"",+$B1392&amp;"X","")</f>
        <v>X-CUBMETX</v>
      </c>
      <c r="AF1392" s="321" t="str">
        <f t="shared" ref="AF1392:AF1402" si="922">IF(B1392&lt;&gt;"",+B1392&amp;H1392,"")</f>
        <v>X-CUBMETM</v>
      </c>
      <c r="AG1392" s="321">
        <f t="shared" si="781"/>
        <v>11</v>
      </c>
      <c r="AH1392" s="321">
        <f>IF(B1392&lt;&gt;"",IF(H1392="x",VLOOKUP(I1392,'AUX-NIV3'!B:AG,32,FALSE),0),"")</f>
        <v>0</v>
      </c>
      <c r="AI1392" s="321" t="str">
        <f t="shared" ref="AI1392:AI1402" si="923">IF(B1392&lt;&gt;"",+B1392,"")</f>
        <v>X-CUBMET</v>
      </c>
      <c r="AJ1392" s="320"/>
      <c r="AK1392" s="322">
        <f t="shared" si="782"/>
        <v>1382</v>
      </c>
      <c r="AL1392" s="323">
        <f t="shared" ref="AL1392:AL1402" si="924">IF(B1392&lt;&gt;"",+AK1392+AG1392-1,"")</f>
        <v>1392</v>
      </c>
      <c r="AM1392" s="322" t="e">
        <f t="shared" ref="AM1392:AM1397" si="925">IF(B1392&lt;&gt;"",IF(B1392=B1391,1+AM1391,1),"")</f>
        <v>#REF!</v>
      </c>
      <c r="AN1392" s="380">
        <f>IF(AND(AH1392&gt;0,B1392&lt;&gt;""),VLOOKUP(I1392,'AUX-NIV3'!$B:$AO,39,FALSE)*O1392,0)</f>
        <v>0</v>
      </c>
      <c r="AO1392" s="380">
        <f t="shared" si="783"/>
        <v>0.22000000000000003</v>
      </c>
      <c r="AP1392" s="380"/>
    </row>
    <row r="1393" spans="2:42" ht="13.8" thickTop="1">
      <c r="B1393" s="501" t="s">
        <v>4643</v>
      </c>
      <c r="C1393" s="951" t="s">
        <v>4645</v>
      </c>
      <c r="D1393" s="326" t="s">
        <v>477</v>
      </c>
      <c r="E1393" s="327">
        <f>IF(B1393&lt;&gt;"",SUMIF('AUX-NIV1'!I:I,'AUX-NIV2'!B1393,'AUX-NIV1'!Q:Q),"")</f>
        <v>0</v>
      </c>
      <c r="F1393" s="327">
        <f t="shared" si="773"/>
        <v>1095.9099589288937</v>
      </c>
      <c r="G1393" s="327">
        <f t="shared" si="774"/>
        <v>0</v>
      </c>
      <c r="H1393" s="328" t="str">
        <f t="shared" si="912"/>
        <v>A</v>
      </c>
      <c r="I1393" s="324" t="s">
        <v>3309</v>
      </c>
      <c r="J1393" s="431" t="str">
        <f>IF(B1393&lt;&gt;"",+VLOOKUP(I1393,Recursos!C:F,2,FALSE),"")</f>
        <v>MEDIO OFICIAL</v>
      </c>
      <c r="K1393" s="330" t="str">
        <f>IF(B1393&lt;&gt;"",+VLOOKUP(I1393,Recursos!C:F,3,FALSE),"")</f>
        <v>hh</v>
      </c>
      <c r="L1393" s="446">
        <f>IF(B1393&lt;&gt;"",+VLOOKUP(I1393,Recursos!C:F,4,FALSE),"")</f>
        <v>459.10093211890984</v>
      </c>
      <c r="M1393" s="1624">
        <f>0.7*30%+0.4*70%</f>
        <v>0.49</v>
      </c>
      <c r="N1393" s="1625">
        <f>M1393*M1396</f>
        <v>0.49</v>
      </c>
      <c r="O1393" s="1361">
        <f>M1393*N1393</f>
        <v>0.24009999999999998</v>
      </c>
      <c r="P1393" s="333">
        <f>IF(B1393&lt;&gt;"",O1393*L1393,"")</f>
        <v>110.23013380175024</v>
      </c>
      <c r="Q1393" s="327">
        <f>IF(B1393&lt;&gt;"",+O1393*E1393,"")</f>
        <v>0</v>
      </c>
      <c r="R1393" s="334">
        <f>IF(B1393&lt;&gt;"",Q1393*L1393,"")</f>
        <v>0</v>
      </c>
      <c r="S1393" s="335">
        <f t="shared" si="775"/>
        <v>249.74292906663479</v>
      </c>
      <c r="T1393" s="335">
        <f t="shared" si="776"/>
        <v>53.895679999999999</v>
      </c>
      <c r="U1393" s="336">
        <f t="shared" si="777"/>
        <v>792.27134986225906</v>
      </c>
      <c r="V1393" s="336">
        <f t="shared" si="778"/>
        <v>0</v>
      </c>
      <c r="W1393" s="336">
        <f t="shared" si="779"/>
        <v>0</v>
      </c>
      <c r="X1393" s="336">
        <f t="shared" si="780"/>
        <v>0</v>
      </c>
      <c r="Y1393" s="320"/>
      <c r="Z1393" s="321" t="str">
        <f t="shared" si="916"/>
        <v>X-COLMETA</v>
      </c>
      <c r="AA1393" s="321" t="str">
        <f t="shared" si="917"/>
        <v>X-COLMETE</v>
      </c>
      <c r="AB1393" s="321" t="str">
        <f t="shared" si="918"/>
        <v>X-COLMETM</v>
      </c>
      <c r="AC1393" s="321" t="str">
        <f t="shared" si="919"/>
        <v>X-COLMETT</v>
      </c>
      <c r="AD1393" s="321" t="str">
        <f t="shared" si="920"/>
        <v>X-COLMETS</v>
      </c>
      <c r="AE1393" s="321" t="str">
        <f t="shared" si="921"/>
        <v>X-COLMETX</v>
      </c>
      <c r="AF1393" s="321" t="str">
        <f t="shared" si="922"/>
        <v>X-COLMETA</v>
      </c>
      <c r="AG1393" s="321">
        <f t="shared" si="781"/>
        <v>11</v>
      </c>
      <c r="AH1393" s="321">
        <f>IF(B1393&lt;&gt;"",IF(H1393="x",VLOOKUP(I1393,'AUX-NIV3'!B:AG,32,FALSE),0),"")</f>
        <v>0</v>
      </c>
      <c r="AI1393" s="321" t="str">
        <f t="shared" si="923"/>
        <v>X-COLMET</v>
      </c>
      <c r="AJ1393" s="320"/>
      <c r="AK1393" s="322">
        <f t="shared" si="782"/>
        <v>1393</v>
      </c>
      <c r="AL1393" s="323">
        <f t="shared" si="924"/>
        <v>1403</v>
      </c>
      <c r="AM1393" s="322">
        <f t="shared" si="925"/>
        <v>1</v>
      </c>
      <c r="AN1393" s="380">
        <f>IF(AND(AH1393&gt;0,B1393&lt;&gt;""),VLOOKUP(I1393,'AUX-NIV3'!$B:$AO,39,FALSE)*O1393,0)</f>
        <v>0</v>
      </c>
      <c r="AO1393" s="380">
        <f t="shared" si="783"/>
        <v>0.48019999999999996</v>
      </c>
      <c r="AP1393" s="380"/>
    </row>
    <row r="1394" spans="2:42">
      <c r="B1394" s="501" t="s">
        <v>4643</v>
      </c>
      <c r="C1394" s="951" t="s">
        <v>4645</v>
      </c>
      <c r="D1394" s="326" t="s">
        <v>477</v>
      </c>
      <c r="E1394" s="327">
        <f>IF(B1394&lt;&gt;"",SUMIF('AUX-NIV1'!I:I,'AUX-NIV2'!B1394,'AUX-NIV1'!Q:Q),"")</f>
        <v>0</v>
      </c>
      <c r="F1394" s="327">
        <f t="shared" si="773"/>
        <v>1095.9099589288937</v>
      </c>
      <c r="G1394" s="327">
        <f t="shared" si="774"/>
        <v>0</v>
      </c>
      <c r="H1394" s="328" t="str">
        <f t="shared" si="912"/>
        <v>A</v>
      </c>
      <c r="I1394" s="324" t="s">
        <v>3310</v>
      </c>
      <c r="J1394" s="431" t="str">
        <f>IF(B1394&lt;&gt;"",+VLOOKUP(I1394,Recursos!C:F,2,FALSE),"")</f>
        <v>OFICIAL ESPECIALIZADO</v>
      </c>
      <c r="K1394" s="330" t="str">
        <f>IF(B1394&lt;&gt;"",+VLOOKUP(I1394,Recursos!C:F,3,FALSE),"")</f>
        <v>hh</v>
      </c>
      <c r="L1394" s="446">
        <f>IF(B1394&lt;&gt;"",+VLOOKUP(I1394,Recursos!C:F,4,FALSE),"")</f>
        <v>581.06120476836554</v>
      </c>
      <c r="M1394" s="1624"/>
      <c r="N1394" s="1625">
        <f>N1393</f>
        <v>0.49</v>
      </c>
      <c r="O1394" s="1361">
        <f>N1394*M1393</f>
        <v>0.24009999999999998</v>
      </c>
      <c r="P1394" s="333">
        <f>IF(B1394&lt;&gt;"",O1394*L1394,"")</f>
        <v>139.51279526488455</v>
      </c>
      <c r="Q1394" s="327">
        <f>IF(B1394&lt;&gt;"",+O1394*E1394,"")</f>
        <v>0</v>
      </c>
      <c r="R1394" s="334">
        <f>IF(B1394&lt;&gt;"",Q1394*L1394,"")</f>
        <v>0</v>
      </c>
      <c r="S1394" s="335">
        <f t="shared" si="775"/>
        <v>249.74292906663479</v>
      </c>
      <c r="T1394" s="335">
        <f t="shared" si="776"/>
        <v>53.895679999999999</v>
      </c>
      <c r="U1394" s="336">
        <f t="shared" si="777"/>
        <v>792.27134986225906</v>
      </c>
      <c r="V1394" s="336">
        <f t="shared" si="778"/>
        <v>0</v>
      </c>
      <c r="W1394" s="336">
        <f t="shared" si="779"/>
        <v>0</v>
      </c>
      <c r="X1394" s="336">
        <f t="shared" si="780"/>
        <v>0</v>
      </c>
      <c r="Y1394" s="320"/>
      <c r="Z1394" s="321" t="str">
        <f t="shared" si="916"/>
        <v>X-COLMETA</v>
      </c>
      <c r="AA1394" s="321" t="str">
        <f t="shared" si="917"/>
        <v>X-COLMETE</v>
      </c>
      <c r="AB1394" s="321" t="str">
        <f t="shared" si="918"/>
        <v>X-COLMETM</v>
      </c>
      <c r="AC1394" s="321" t="str">
        <f t="shared" si="919"/>
        <v>X-COLMETT</v>
      </c>
      <c r="AD1394" s="321" t="str">
        <f t="shared" si="920"/>
        <v>X-COLMETS</v>
      </c>
      <c r="AE1394" s="321" t="str">
        <f t="shared" si="921"/>
        <v>X-COLMETX</v>
      </c>
      <c r="AF1394" s="321" t="str">
        <f t="shared" si="922"/>
        <v>X-COLMETA</v>
      </c>
      <c r="AG1394" s="321">
        <f t="shared" si="781"/>
        <v>11</v>
      </c>
      <c r="AH1394" s="321">
        <f>IF(B1394&lt;&gt;"",IF(H1394="x",VLOOKUP(I1394,'AUX-NIV3'!B:AG,32,FALSE),0),"")</f>
        <v>0</v>
      </c>
      <c r="AI1394" s="321" t="str">
        <f t="shared" si="923"/>
        <v>X-COLMET</v>
      </c>
      <c r="AJ1394" s="320"/>
      <c r="AK1394" s="322">
        <f t="shared" si="782"/>
        <v>1393</v>
      </c>
      <c r="AL1394" s="323">
        <f t="shared" si="924"/>
        <v>1403</v>
      </c>
      <c r="AM1394" s="322">
        <f t="shared" si="925"/>
        <v>2</v>
      </c>
      <c r="AN1394" s="380">
        <f>IF(AND(AH1394&gt;0,B1394&lt;&gt;""),VLOOKUP(I1394,'AUX-NIV3'!$B:$AO,39,FALSE)*O1394,0)</f>
        <v>0</v>
      </c>
      <c r="AO1394" s="380">
        <f t="shared" si="783"/>
        <v>0.48019999999999996</v>
      </c>
      <c r="AP1394" s="380"/>
    </row>
    <row r="1395" spans="2:42">
      <c r="B1395" s="501" t="s">
        <v>4643</v>
      </c>
      <c r="C1395" s="951" t="s">
        <v>4645</v>
      </c>
      <c r="D1395" s="326" t="s">
        <v>477</v>
      </c>
      <c r="E1395" s="327">
        <f>IF(B1395&lt;&gt;"",SUMIF('AUX-NIV1'!I:I,'AUX-NIV2'!B1395,'AUX-NIV1'!Q:Q),"")</f>
        <v>0</v>
      </c>
      <c r="F1395" s="327">
        <f t="shared" si="773"/>
        <v>1095.9099589288937</v>
      </c>
      <c r="G1395" s="327">
        <f t="shared" si="774"/>
        <v>0</v>
      </c>
      <c r="H1395" s="328" t="str">
        <f t="shared" si="912"/>
        <v>M</v>
      </c>
      <c r="I1395" s="324" t="s">
        <v>4514</v>
      </c>
      <c r="J1395" s="431" t="str">
        <f>IF(B1395&lt;&gt;"",+VLOOKUP(I1395,Recursos!C:F,2,FALSE),"")</f>
        <v>Caño Estructural</v>
      </c>
      <c r="K1395" s="330" t="str">
        <f>IF(B1395&lt;&gt;"",+VLOOKUP(I1395,Recursos!C:F,3,FALSE),"")</f>
        <v>kg</v>
      </c>
      <c r="L1395" s="446">
        <f>IF(B1395&lt;&gt;"",+VLOOKUP(I1395,Recursos!C:F,4,FALSE),"")</f>
        <v>300.00000000000006</v>
      </c>
      <c r="M1395" s="1624"/>
      <c r="N1395" s="1625">
        <v>0</v>
      </c>
      <c r="O1395" s="1361">
        <f t="shared" ref="O1395:O1417" si="926">N1395</f>
        <v>0</v>
      </c>
      <c r="P1395" s="333">
        <f t="shared" ref="P1395:P1403" si="927">IF(B1395&lt;&gt;"",O1395*L1395,"")</f>
        <v>0</v>
      </c>
      <c r="Q1395" s="327">
        <f t="shared" ref="Q1395:Q1403" si="928">IF(B1395&lt;&gt;"",+O1395*E1395,"")</f>
        <v>0</v>
      </c>
      <c r="R1395" s="334">
        <f t="shared" ref="R1395:R1403" si="929">IF(B1395&lt;&gt;"",Q1395*L1395,"")</f>
        <v>0</v>
      </c>
      <c r="S1395" s="335">
        <f t="shared" si="775"/>
        <v>249.74292906663479</v>
      </c>
      <c r="T1395" s="335">
        <f t="shared" si="776"/>
        <v>53.895679999999999</v>
      </c>
      <c r="U1395" s="336">
        <f t="shared" si="777"/>
        <v>792.27134986225906</v>
      </c>
      <c r="V1395" s="336">
        <f t="shared" si="778"/>
        <v>0</v>
      </c>
      <c r="W1395" s="336">
        <f t="shared" si="779"/>
        <v>0</v>
      </c>
      <c r="X1395" s="336">
        <f t="shared" si="780"/>
        <v>0</v>
      </c>
      <c r="Y1395" s="320"/>
      <c r="Z1395" s="321" t="str">
        <f t="shared" si="916"/>
        <v>X-COLMETA</v>
      </c>
      <c r="AA1395" s="321" t="str">
        <f t="shared" si="917"/>
        <v>X-COLMETE</v>
      </c>
      <c r="AB1395" s="321" t="str">
        <f t="shared" si="918"/>
        <v>X-COLMETM</v>
      </c>
      <c r="AC1395" s="321" t="str">
        <f t="shared" si="919"/>
        <v>X-COLMETT</v>
      </c>
      <c r="AD1395" s="321" t="str">
        <f t="shared" si="920"/>
        <v>X-COLMETS</v>
      </c>
      <c r="AE1395" s="321" t="str">
        <f t="shared" si="921"/>
        <v>X-COLMETX</v>
      </c>
      <c r="AF1395" s="321" t="str">
        <f t="shared" si="922"/>
        <v>X-COLMETM</v>
      </c>
      <c r="AG1395" s="321">
        <f t="shared" si="781"/>
        <v>11</v>
      </c>
      <c r="AH1395" s="321">
        <f>IF(B1395&lt;&gt;"",IF(H1395="x",VLOOKUP(I1395,'AUX-NIV3'!B:AG,32,FALSE),0),"")</f>
        <v>0</v>
      </c>
      <c r="AI1395" s="321" t="str">
        <f t="shared" si="923"/>
        <v>X-COLMET</v>
      </c>
      <c r="AJ1395" s="320"/>
      <c r="AK1395" s="322">
        <f t="shared" si="782"/>
        <v>1393</v>
      </c>
      <c r="AL1395" s="323">
        <f t="shared" si="924"/>
        <v>1403</v>
      </c>
      <c r="AM1395" s="322">
        <f t="shared" si="925"/>
        <v>3</v>
      </c>
      <c r="AN1395" s="380">
        <f>IF(AND(AH1395&gt;0,B1395&lt;&gt;""),VLOOKUP(I1395,'AUX-NIV3'!$B:$AO,39,FALSE)*O1395,0)</f>
        <v>0</v>
      </c>
      <c r="AO1395" s="380">
        <f t="shared" si="783"/>
        <v>0.48019999999999996</v>
      </c>
      <c r="AP1395" s="380"/>
    </row>
    <row r="1396" spans="2:42">
      <c r="B1396" s="501" t="s">
        <v>4643</v>
      </c>
      <c r="C1396" s="951" t="s">
        <v>4645</v>
      </c>
      <c r="D1396" s="326" t="s">
        <v>477</v>
      </c>
      <c r="E1396" s="327">
        <f>IF(B1396&lt;&gt;"",SUMIF('AUX-NIV1'!I:I,'AUX-NIV2'!B1396,'AUX-NIV1'!Q:Q),"")</f>
        <v>0</v>
      </c>
      <c r="F1396" s="327">
        <f t="shared" si="773"/>
        <v>1095.9099589288937</v>
      </c>
      <c r="G1396" s="327">
        <f t="shared" si="774"/>
        <v>0</v>
      </c>
      <c r="H1396" s="328" t="str">
        <f t="shared" si="912"/>
        <v>M</v>
      </c>
      <c r="I1396" s="324" t="s">
        <v>4646</v>
      </c>
      <c r="J1396" s="431" t="str">
        <f>IF(B1396&lt;&gt;"",+VLOOKUP(I1396,Recursos!C:F,2,FALSE),"")</f>
        <v>PERFIL C DE CHAPA 80x50x15x2</v>
      </c>
      <c r="K1396" s="330" t="str">
        <f>IF(B1396&lt;&gt;"",+VLOOKUP(I1396,Recursos!C:F,3,FALSE),"")</f>
        <v>m</v>
      </c>
      <c r="L1396" s="446">
        <f>IF(B1396&lt;&gt;"",+VLOOKUP(I1396,Recursos!C:F,4,FALSE),"")</f>
        <v>725.8953168044078</v>
      </c>
      <c r="M1396" s="1624">
        <v>1</v>
      </c>
      <c r="N1396" s="1625">
        <v>1</v>
      </c>
      <c r="O1396" s="1361">
        <f t="shared" si="926"/>
        <v>1</v>
      </c>
      <c r="P1396" s="333">
        <f t="shared" si="927"/>
        <v>725.8953168044078</v>
      </c>
      <c r="Q1396" s="327">
        <f t="shared" si="928"/>
        <v>0</v>
      </c>
      <c r="R1396" s="334">
        <f t="shared" si="929"/>
        <v>0</v>
      </c>
      <c r="S1396" s="335">
        <f t="shared" si="775"/>
        <v>249.74292906663479</v>
      </c>
      <c r="T1396" s="335">
        <f t="shared" si="776"/>
        <v>53.895679999999999</v>
      </c>
      <c r="U1396" s="336">
        <f t="shared" si="777"/>
        <v>792.27134986225906</v>
      </c>
      <c r="V1396" s="336">
        <f t="shared" si="778"/>
        <v>0</v>
      </c>
      <c r="W1396" s="336">
        <f t="shared" si="779"/>
        <v>0</v>
      </c>
      <c r="X1396" s="336">
        <f t="shared" si="780"/>
        <v>0</v>
      </c>
      <c r="Y1396" s="320"/>
      <c r="Z1396" s="321" t="str">
        <f t="shared" si="916"/>
        <v>X-COLMETA</v>
      </c>
      <c r="AA1396" s="321" t="str">
        <f t="shared" si="917"/>
        <v>X-COLMETE</v>
      </c>
      <c r="AB1396" s="321" t="str">
        <f t="shared" si="918"/>
        <v>X-COLMETM</v>
      </c>
      <c r="AC1396" s="321" t="str">
        <f t="shared" si="919"/>
        <v>X-COLMETT</v>
      </c>
      <c r="AD1396" s="321" t="str">
        <f t="shared" si="920"/>
        <v>X-COLMETS</v>
      </c>
      <c r="AE1396" s="321" t="str">
        <f t="shared" si="921"/>
        <v>X-COLMETX</v>
      </c>
      <c r="AF1396" s="321" t="str">
        <f t="shared" si="922"/>
        <v>X-COLMETM</v>
      </c>
      <c r="AG1396" s="321">
        <f t="shared" si="781"/>
        <v>11</v>
      </c>
      <c r="AH1396" s="321">
        <f>IF(B1396&lt;&gt;"",IF(H1396="x",VLOOKUP(I1396,'AUX-NIV3'!B:AG,32,FALSE),0),"")</f>
        <v>0</v>
      </c>
      <c r="AI1396" s="321" t="str">
        <f t="shared" si="923"/>
        <v>X-COLMET</v>
      </c>
      <c r="AJ1396" s="320"/>
      <c r="AK1396" s="322">
        <f t="shared" si="782"/>
        <v>1393</v>
      </c>
      <c r="AL1396" s="323">
        <f t="shared" si="924"/>
        <v>1403</v>
      </c>
      <c r="AM1396" s="322">
        <f t="shared" si="925"/>
        <v>4</v>
      </c>
      <c r="AN1396" s="380">
        <f>IF(AND(AH1396&gt;0,B1396&lt;&gt;""),VLOOKUP(I1396,'AUX-NIV3'!$B:$AO,39,FALSE)*O1396,0)</f>
        <v>0</v>
      </c>
      <c r="AO1396" s="380">
        <f t="shared" si="783"/>
        <v>0.48019999999999996</v>
      </c>
      <c r="AP1396" s="380"/>
    </row>
    <row r="1397" spans="2:42">
      <c r="B1397" s="501" t="s">
        <v>4643</v>
      </c>
      <c r="C1397" s="951" t="s">
        <v>4645</v>
      </c>
      <c r="D1397" s="326" t="s">
        <v>477</v>
      </c>
      <c r="E1397" s="327">
        <f>IF(B1397&lt;&gt;"",SUMIF('AUX-NIV1'!I:I,'AUX-NIV2'!B1397,'AUX-NIV1'!Q:Q),"")</f>
        <v>0</v>
      </c>
      <c r="F1397" s="327">
        <f t="shared" si="773"/>
        <v>1095.9099589288937</v>
      </c>
      <c r="G1397" s="327">
        <f t="shared" si="774"/>
        <v>0</v>
      </c>
      <c r="H1397" s="328" t="str">
        <f t="shared" si="912"/>
        <v>M</v>
      </c>
      <c r="I1397" s="324" t="s">
        <v>4304</v>
      </c>
      <c r="J1397" s="431" t="str">
        <f>IF(B1397&lt;&gt;"",+VLOOKUP(I1397,Recursos!C:F,2,FALSE),"")</f>
        <v>ELECTRODOS</v>
      </c>
      <c r="K1397" s="330" t="str">
        <f>IF(B1397&lt;&gt;"",+VLOOKUP(I1397,Recursos!C:F,3,FALSE),"")</f>
        <v>KG</v>
      </c>
      <c r="L1397" s="446">
        <f>IF(B1397&lt;&gt;"",+VLOOKUP(I1397,Recursos!C:F,4,FALSE),"")</f>
        <v>700</v>
      </c>
      <c r="M1397" s="1624"/>
      <c r="N1397" s="1625">
        <f>0.02*M1396</f>
        <v>0.02</v>
      </c>
      <c r="O1397" s="1361">
        <f>N1397</f>
        <v>0.02</v>
      </c>
      <c r="P1397" s="333">
        <f>IF(B1397&lt;&gt;"",O1397*L1397,"")</f>
        <v>14</v>
      </c>
      <c r="Q1397" s="327">
        <f>IF(B1397&lt;&gt;"",+O1397*E1397,"")</f>
        <v>0</v>
      </c>
      <c r="R1397" s="334">
        <f>IF(B1397&lt;&gt;"",Q1397*L1397,"")</f>
        <v>0</v>
      </c>
      <c r="S1397" s="335">
        <f t="shared" si="775"/>
        <v>249.74292906663479</v>
      </c>
      <c r="T1397" s="335">
        <f t="shared" si="776"/>
        <v>53.895679999999999</v>
      </c>
      <c r="U1397" s="336">
        <f t="shared" si="777"/>
        <v>792.27134986225906</v>
      </c>
      <c r="V1397" s="336">
        <f t="shared" si="778"/>
        <v>0</v>
      </c>
      <c r="W1397" s="336">
        <f t="shared" si="779"/>
        <v>0</v>
      </c>
      <c r="X1397" s="336">
        <f t="shared" si="780"/>
        <v>0</v>
      </c>
      <c r="Y1397" s="320"/>
      <c r="Z1397" s="321" t="str">
        <f t="shared" si="916"/>
        <v>X-COLMETA</v>
      </c>
      <c r="AA1397" s="321" t="str">
        <f t="shared" si="917"/>
        <v>X-COLMETE</v>
      </c>
      <c r="AB1397" s="321" t="str">
        <f t="shared" si="918"/>
        <v>X-COLMETM</v>
      </c>
      <c r="AC1397" s="321" t="str">
        <f t="shared" si="919"/>
        <v>X-COLMETT</v>
      </c>
      <c r="AD1397" s="321" t="str">
        <f t="shared" si="920"/>
        <v>X-COLMETS</v>
      </c>
      <c r="AE1397" s="321" t="str">
        <f t="shared" si="921"/>
        <v>X-COLMETX</v>
      </c>
      <c r="AF1397" s="321" t="str">
        <f t="shared" si="922"/>
        <v>X-COLMETM</v>
      </c>
      <c r="AG1397" s="321">
        <f t="shared" si="781"/>
        <v>11</v>
      </c>
      <c r="AH1397" s="321">
        <f>IF(B1397&lt;&gt;"",IF(H1397="x",VLOOKUP(I1397,'AUX-NIV3'!B:AG,32,FALSE),0),"")</f>
        <v>0</v>
      </c>
      <c r="AI1397" s="321" t="str">
        <f t="shared" si="923"/>
        <v>X-COLMET</v>
      </c>
      <c r="AJ1397" s="320"/>
      <c r="AK1397" s="322">
        <f t="shared" si="782"/>
        <v>1393</v>
      </c>
      <c r="AL1397" s="323">
        <f t="shared" si="924"/>
        <v>1403</v>
      </c>
      <c r="AM1397" s="322">
        <f t="shared" si="925"/>
        <v>5</v>
      </c>
      <c r="AN1397" s="380">
        <f>IF(AND(AH1397&gt;0,B1397&lt;&gt;""),VLOOKUP(I1397,'AUX-NIV3'!$B:$AO,39,FALSE)*O1397,0)</f>
        <v>0</v>
      </c>
      <c r="AO1397" s="380">
        <f t="shared" si="783"/>
        <v>0.48019999999999996</v>
      </c>
      <c r="AP1397" s="380"/>
    </row>
    <row r="1398" spans="2:42">
      <c r="B1398" s="501" t="s">
        <v>4643</v>
      </c>
      <c r="C1398" s="951" t="s">
        <v>4645</v>
      </c>
      <c r="D1398" s="326" t="s">
        <v>477</v>
      </c>
      <c r="E1398" s="327">
        <f>IF(B1398&lt;&gt;"",SUMIF('AUX-NIV1'!I:I,'AUX-NIV2'!B1398,'AUX-NIV1'!Q:Q),"")</f>
        <v>0</v>
      </c>
      <c r="F1398" s="327">
        <f t="shared" si="773"/>
        <v>1095.9099589288937</v>
      </c>
      <c r="G1398" s="327">
        <f t="shared" si="774"/>
        <v>0</v>
      </c>
      <c r="H1398" s="328" t="str">
        <f t="shared" si="912"/>
        <v>E</v>
      </c>
      <c r="I1398" s="324" t="s">
        <v>1629</v>
      </c>
      <c r="J1398" s="431" t="str">
        <f>IF(B1398&lt;&gt;"",+VLOOKUP(I1398,Recursos!C:F,2,FALSE),"")</f>
        <v>ELECTROSOLDADORA 400 AMP</v>
      </c>
      <c r="K1398" s="330" t="str">
        <f>IF(B1398&lt;&gt;"",+VLOOKUP(I1398,Recursos!C:F,3,FALSE),"")</f>
        <v>HR</v>
      </c>
      <c r="L1398" s="446">
        <f>IF(B1398&lt;&gt;"",+VLOOKUP(I1398,Recursos!C:F,4,FALSE),"")</f>
        <v>122.46000000000001</v>
      </c>
      <c r="M1398" s="1624"/>
      <c r="N1398" s="1625">
        <f>M1393/2</f>
        <v>0.245</v>
      </c>
      <c r="O1398" s="1361">
        <f t="shared" si="926"/>
        <v>0.245</v>
      </c>
      <c r="P1398" s="333">
        <f t="shared" si="927"/>
        <v>30.002700000000001</v>
      </c>
      <c r="Q1398" s="327">
        <f t="shared" si="928"/>
        <v>0</v>
      </c>
      <c r="R1398" s="334">
        <f t="shared" si="929"/>
        <v>0</v>
      </c>
      <c r="S1398" s="335">
        <f t="shared" si="775"/>
        <v>249.74292906663479</v>
      </c>
      <c r="T1398" s="335">
        <f t="shared" si="776"/>
        <v>53.895679999999999</v>
      </c>
      <c r="U1398" s="336">
        <f t="shared" si="777"/>
        <v>792.27134986225906</v>
      </c>
      <c r="V1398" s="336">
        <f t="shared" si="778"/>
        <v>0</v>
      </c>
      <c r="W1398" s="336">
        <f t="shared" si="779"/>
        <v>0</v>
      </c>
      <c r="X1398" s="336">
        <f t="shared" si="780"/>
        <v>0</v>
      </c>
      <c r="Y1398" s="320"/>
      <c r="Z1398" s="321" t="str">
        <f t="shared" si="916"/>
        <v>X-COLMETA</v>
      </c>
      <c r="AA1398" s="321" t="str">
        <f t="shared" si="917"/>
        <v>X-COLMETE</v>
      </c>
      <c r="AB1398" s="321" t="str">
        <f t="shared" si="918"/>
        <v>X-COLMETM</v>
      </c>
      <c r="AC1398" s="321" t="str">
        <f t="shared" si="919"/>
        <v>X-COLMETT</v>
      </c>
      <c r="AD1398" s="321" t="str">
        <f t="shared" si="920"/>
        <v>X-COLMETS</v>
      </c>
      <c r="AE1398" s="321" t="str">
        <f t="shared" si="921"/>
        <v>X-COLMETX</v>
      </c>
      <c r="AF1398" s="321" t="str">
        <f t="shared" si="922"/>
        <v>X-COLMETE</v>
      </c>
      <c r="AG1398" s="321">
        <f t="shared" si="781"/>
        <v>11</v>
      </c>
      <c r="AH1398" s="321">
        <f>IF(B1398&lt;&gt;"",IF(H1398="x",VLOOKUP(I1398,'AUX-NIV3'!B:AG,32,FALSE),0),"")</f>
        <v>0</v>
      </c>
      <c r="AI1398" s="321" t="str">
        <f t="shared" si="923"/>
        <v>X-COLMET</v>
      </c>
      <c r="AJ1398" s="320"/>
      <c r="AK1398" s="322">
        <f t="shared" si="782"/>
        <v>1393</v>
      </c>
      <c r="AL1398" s="323">
        <f t="shared" si="924"/>
        <v>1403</v>
      </c>
      <c r="AM1398" s="322" t="e">
        <f>IF(B1398&lt;&gt;"",IF(B1398=#REF!,1+#REF!,1),"")</f>
        <v>#REF!</v>
      </c>
      <c r="AN1398" s="380">
        <f>IF(AND(AH1398&gt;0,B1398&lt;&gt;""),VLOOKUP(I1398,'AUX-NIV3'!$B:$AO,39,FALSE)*O1398,0)</f>
        <v>0</v>
      </c>
      <c r="AO1398" s="380">
        <f t="shared" si="783"/>
        <v>0.48019999999999996</v>
      </c>
      <c r="AP1398" s="380"/>
    </row>
    <row r="1399" spans="2:42">
      <c r="B1399" s="501" t="s">
        <v>4643</v>
      </c>
      <c r="C1399" s="951" t="s">
        <v>4645</v>
      </c>
      <c r="D1399" s="326" t="s">
        <v>477</v>
      </c>
      <c r="E1399" s="327">
        <f>IF(B1399&lt;&gt;"",SUMIF('AUX-NIV1'!I:I,'AUX-NIV2'!B1399,'AUX-NIV1'!Q:Q),"")</f>
        <v>0</v>
      </c>
      <c r="F1399" s="327">
        <f t="shared" si="773"/>
        <v>1095.9099589288937</v>
      </c>
      <c r="G1399" s="327">
        <f t="shared" si="774"/>
        <v>0</v>
      </c>
      <c r="H1399" s="328" t="str">
        <f t="shared" si="912"/>
        <v>E</v>
      </c>
      <c r="I1399" s="324" t="s">
        <v>1544</v>
      </c>
      <c r="J1399" s="431" t="str">
        <f>IF(B1399&lt;&gt;"",+VLOOKUP(I1399,Recursos!C:F,2,FALSE),"")</f>
        <v>CARRETON DE 50 TN CON CAMION</v>
      </c>
      <c r="K1399" s="330" t="str">
        <f>IF(B1399&lt;&gt;"",+VLOOKUP(I1399,Recursos!C:F,3,FALSE),"")</f>
        <v>HR</v>
      </c>
      <c r="L1399" s="446">
        <f>IF(B1399&lt;&gt;"",+VLOOKUP(I1399,Recursos!C:F,4,FALSE),"")</f>
        <v>3982.1633333333334</v>
      </c>
      <c r="M1399" s="1624"/>
      <c r="N1399" s="1625">
        <f>12/2000</f>
        <v>6.0000000000000001E-3</v>
      </c>
      <c r="O1399" s="1361">
        <f t="shared" si="926"/>
        <v>6.0000000000000001E-3</v>
      </c>
      <c r="P1399" s="333">
        <f t="shared" si="927"/>
        <v>23.892980000000001</v>
      </c>
      <c r="Q1399" s="327">
        <f t="shared" si="928"/>
        <v>0</v>
      </c>
      <c r="R1399" s="334">
        <f t="shared" si="929"/>
        <v>0</v>
      </c>
      <c r="S1399" s="335">
        <f t="shared" si="775"/>
        <v>249.74292906663479</v>
      </c>
      <c r="T1399" s="335">
        <f t="shared" si="776"/>
        <v>53.895679999999999</v>
      </c>
      <c r="U1399" s="336">
        <f t="shared" si="777"/>
        <v>792.27134986225906</v>
      </c>
      <c r="V1399" s="336">
        <f t="shared" si="778"/>
        <v>0</v>
      </c>
      <c r="W1399" s="336">
        <f t="shared" si="779"/>
        <v>0</v>
      </c>
      <c r="X1399" s="336">
        <f t="shared" si="780"/>
        <v>0</v>
      </c>
      <c r="Y1399" s="320"/>
      <c r="Z1399" s="321" t="str">
        <f t="shared" si="916"/>
        <v>X-COLMETA</v>
      </c>
      <c r="AA1399" s="321" t="str">
        <f t="shared" si="917"/>
        <v>X-COLMETE</v>
      </c>
      <c r="AB1399" s="321" t="str">
        <f t="shared" si="918"/>
        <v>X-COLMETM</v>
      </c>
      <c r="AC1399" s="321" t="str">
        <f t="shared" si="919"/>
        <v>X-COLMETT</v>
      </c>
      <c r="AD1399" s="321" t="str">
        <f t="shared" si="920"/>
        <v>X-COLMETS</v>
      </c>
      <c r="AE1399" s="321" t="str">
        <f t="shared" si="921"/>
        <v>X-COLMETX</v>
      </c>
      <c r="AF1399" s="321" t="str">
        <f t="shared" si="922"/>
        <v>X-COLMETE</v>
      </c>
      <c r="AG1399" s="321">
        <f t="shared" si="781"/>
        <v>11</v>
      </c>
      <c r="AH1399" s="321">
        <f>IF(B1399&lt;&gt;"",IF(H1399="x",VLOOKUP(I1399,'AUX-NIV3'!B:AG,32,FALSE),0),"")</f>
        <v>0</v>
      </c>
      <c r="AI1399" s="321" t="str">
        <f t="shared" si="923"/>
        <v>X-COLMET</v>
      </c>
      <c r="AJ1399" s="320"/>
      <c r="AK1399" s="322">
        <f t="shared" si="782"/>
        <v>1393</v>
      </c>
      <c r="AL1399" s="323">
        <f t="shared" si="924"/>
        <v>1403</v>
      </c>
      <c r="AM1399" s="322" t="e">
        <f t="shared" ref="AM1399:AM1406" si="930">IF(B1399&lt;&gt;"",IF(B1399=B1398,1+AM1398,1),"")</f>
        <v>#REF!</v>
      </c>
      <c r="AN1399" s="380">
        <f>IF(AND(AH1399&gt;0,B1399&lt;&gt;""),VLOOKUP(I1399,'AUX-NIV3'!$B:$AO,39,FALSE)*O1399,0)</f>
        <v>0</v>
      </c>
      <c r="AO1399" s="380">
        <f t="shared" si="783"/>
        <v>0.48019999999999996</v>
      </c>
      <c r="AP1399" s="380"/>
    </row>
    <row r="1400" spans="2:42">
      <c r="B1400" s="501" t="s">
        <v>4643</v>
      </c>
      <c r="C1400" s="951" t="s">
        <v>4645</v>
      </c>
      <c r="D1400" s="326" t="s">
        <v>477</v>
      </c>
      <c r="E1400" s="327">
        <f>IF(B1400&lt;&gt;"",SUMIF('AUX-NIV1'!I:I,'AUX-NIV2'!B1400,'AUX-NIV1'!Q:Q),"")</f>
        <v>0</v>
      </c>
      <c r="F1400" s="327">
        <f t="shared" si="773"/>
        <v>1095.9099589288937</v>
      </c>
      <c r="G1400" s="327">
        <f t="shared" si="774"/>
        <v>0</v>
      </c>
      <c r="H1400" s="328" t="str">
        <f t="shared" si="912"/>
        <v>M</v>
      </c>
      <c r="I1400" s="324" t="s">
        <v>3858</v>
      </c>
      <c r="J1400" s="431" t="str">
        <f>IF(B1400&lt;&gt;"",+VLOOKUP(I1400,Recursos!C:F,2,FALSE),"")</f>
        <v>PINTURA ESMALTE SINTETICO</v>
      </c>
      <c r="K1400" s="330" t="str">
        <f>IF(B1400&lt;&gt;"",+VLOOKUP(I1400,Recursos!C:F,3,FALSE),"")</f>
        <v>LTS</v>
      </c>
      <c r="L1400" s="446">
        <f>IF(B1400&lt;&gt;"",+VLOOKUP(I1400,Recursos!C:F,4,FALSE),"")</f>
        <v>661.15702479338847</v>
      </c>
      <c r="M1400" s="1624"/>
      <c r="N1400" s="1625">
        <f>0*1/15*M1396</f>
        <v>0</v>
      </c>
      <c r="O1400" s="1361">
        <f t="shared" si="926"/>
        <v>0</v>
      </c>
      <c r="P1400" s="333">
        <f t="shared" si="927"/>
        <v>0</v>
      </c>
      <c r="Q1400" s="327">
        <f t="shared" si="928"/>
        <v>0</v>
      </c>
      <c r="R1400" s="334">
        <f t="shared" si="929"/>
        <v>0</v>
      </c>
      <c r="S1400" s="335">
        <f t="shared" si="775"/>
        <v>249.74292906663479</v>
      </c>
      <c r="T1400" s="335">
        <f t="shared" si="776"/>
        <v>53.895679999999999</v>
      </c>
      <c r="U1400" s="336">
        <f t="shared" si="777"/>
        <v>792.27134986225906</v>
      </c>
      <c r="V1400" s="336">
        <f t="shared" si="778"/>
        <v>0</v>
      </c>
      <c r="W1400" s="336">
        <f t="shared" si="779"/>
        <v>0</v>
      </c>
      <c r="X1400" s="336">
        <f t="shared" si="780"/>
        <v>0</v>
      </c>
      <c r="Y1400" s="320"/>
      <c r="Z1400" s="321" t="str">
        <f t="shared" si="916"/>
        <v>X-COLMETA</v>
      </c>
      <c r="AA1400" s="321" t="str">
        <f t="shared" si="917"/>
        <v>X-COLMETE</v>
      </c>
      <c r="AB1400" s="321" t="str">
        <f t="shared" si="918"/>
        <v>X-COLMETM</v>
      </c>
      <c r="AC1400" s="321" t="str">
        <f t="shared" si="919"/>
        <v>X-COLMETT</v>
      </c>
      <c r="AD1400" s="321" t="str">
        <f t="shared" si="920"/>
        <v>X-COLMETS</v>
      </c>
      <c r="AE1400" s="321" t="str">
        <f t="shared" si="921"/>
        <v>X-COLMETX</v>
      </c>
      <c r="AF1400" s="321" t="str">
        <f t="shared" si="922"/>
        <v>X-COLMETM</v>
      </c>
      <c r="AG1400" s="321">
        <f t="shared" si="781"/>
        <v>11</v>
      </c>
      <c r="AH1400" s="321">
        <f>IF(B1400&lt;&gt;"",IF(H1400="x",VLOOKUP(I1400,'AUX-NIV3'!B:AG,32,FALSE),0),"")</f>
        <v>0</v>
      </c>
      <c r="AI1400" s="321" t="str">
        <f t="shared" si="923"/>
        <v>X-COLMET</v>
      </c>
      <c r="AJ1400" s="320"/>
      <c r="AK1400" s="322">
        <f t="shared" si="782"/>
        <v>1393</v>
      </c>
      <c r="AL1400" s="323">
        <f t="shared" si="924"/>
        <v>1403</v>
      </c>
      <c r="AM1400" s="322" t="e">
        <f t="shared" si="930"/>
        <v>#REF!</v>
      </c>
      <c r="AN1400" s="380">
        <f>IF(AND(AH1400&gt;0,B1400&lt;&gt;""),VLOOKUP(I1400,'AUX-NIV3'!$B:$AO,39,FALSE)*O1400,0)</f>
        <v>0</v>
      </c>
      <c r="AO1400" s="380">
        <f t="shared" si="783"/>
        <v>0.48019999999999996</v>
      </c>
      <c r="AP1400" s="380"/>
    </row>
    <row r="1401" spans="2:42">
      <c r="B1401" s="501" t="s">
        <v>4643</v>
      </c>
      <c r="C1401" s="951" t="s">
        <v>4645</v>
      </c>
      <c r="D1401" s="326" t="s">
        <v>477</v>
      </c>
      <c r="E1401" s="327">
        <f>IF(B1401&lt;&gt;"",SUMIF('AUX-NIV1'!I:I,'AUX-NIV2'!B1401,'AUX-NIV1'!Q:Q),"")</f>
        <v>0</v>
      </c>
      <c r="F1401" s="327">
        <f t="shared" si="773"/>
        <v>1095.9099589288937</v>
      </c>
      <c r="G1401" s="327">
        <f t="shared" si="774"/>
        <v>0</v>
      </c>
      <c r="H1401" s="328" t="str">
        <f t="shared" si="912"/>
        <v>M</v>
      </c>
      <c r="I1401" s="324" t="s">
        <v>3859</v>
      </c>
      <c r="J1401" s="431" t="str">
        <f>IF(B1401&lt;&gt;"",+VLOOKUP(I1401,Recursos!C:F,2,FALSE),"")</f>
        <v>PINTURA ANTIOXIDO</v>
      </c>
      <c r="K1401" s="330" t="str">
        <f>IF(B1401&lt;&gt;"",+VLOOKUP(I1401,Recursos!C:F,3,FALSE),"")</f>
        <v>LTS</v>
      </c>
      <c r="L1401" s="446">
        <f>IF(B1401&lt;&gt;"",+VLOOKUP(I1401,Recursos!C:F,4,FALSE),"")</f>
        <v>547.52066115702485</v>
      </c>
      <c r="M1401" s="1624"/>
      <c r="N1401" s="1625">
        <f>1/20*M1396</f>
        <v>0.05</v>
      </c>
      <c r="O1401" s="1361">
        <f t="shared" si="926"/>
        <v>0.05</v>
      </c>
      <c r="P1401" s="333">
        <f t="shared" si="927"/>
        <v>27.376033057851245</v>
      </c>
      <c r="Q1401" s="327">
        <f t="shared" si="928"/>
        <v>0</v>
      </c>
      <c r="R1401" s="334">
        <f t="shared" si="929"/>
        <v>0</v>
      </c>
      <c r="S1401" s="335">
        <f t="shared" si="775"/>
        <v>249.74292906663479</v>
      </c>
      <c r="T1401" s="335">
        <f t="shared" si="776"/>
        <v>53.895679999999999</v>
      </c>
      <c r="U1401" s="336">
        <f t="shared" si="777"/>
        <v>792.27134986225906</v>
      </c>
      <c r="V1401" s="336">
        <f t="shared" si="778"/>
        <v>0</v>
      </c>
      <c r="W1401" s="336">
        <f t="shared" si="779"/>
        <v>0</v>
      </c>
      <c r="X1401" s="336">
        <f t="shared" si="780"/>
        <v>0</v>
      </c>
      <c r="Y1401" s="320"/>
      <c r="Z1401" s="321" t="str">
        <f t="shared" si="916"/>
        <v>X-COLMETA</v>
      </c>
      <c r="AA1401" s="321" t="str">
        <f t="shared" si="917"/>
        <v>X-COLMETE</v>
      </c>
      <c r="AB1401" s="321" t="str">
        <f t="shared" si="918"/>
        <v>X-COLMETM</v>
      </c>
      <c r="AC1401" s="321" t="str">
        <f t="shared" si="919"/>
        <v>X-COLMETT</v>
      </c>
      <c r="AD1401" s="321" t="str">
        <f t="shared" si="920"/>
        <v>X-COLMETS</v>
      </c>
      <c r="AE1401" s="321" t="str">
        <f t="shared" si="921"/>
        <v>X-COLMETX</v>
      </c>
      <c r="AF1401" s="321" t="str">
        <f t="shared" si="922"/>
        <v>X-COLMETM</v>
      </c>
      <c r="AG1401" s="321">
        <f t="shared" si="781"/>
        <v>11</v>
      </c>
      <c r="AH1401" s="321">
        <f>IF(B1401&lt;&gt;"",IF(H1401="x",VLOOKUP(I1401,'AUX-NIV3'!B:AG,32,FALSE),0),"")</f>
        <v>0</v>
      </c>
      <c r="AI1401" s="321" t="str">
        <f t="shared" si="923"/>
        <v>X-COLMET</v>
      </c>
      <c r="AJ1401" s="320"/>
      <c r="AK1401" s="322">
        <f t="shared" si="782"/>
        <v>1393</v>
      </c>
      <c r="AL1401" s="323">
        <f t="shared" si="924"/>
        <v>1403</v>
      </c>
      <c r="AM1401" s="322" t="e">
        <f t="shared" si="930"/>
        <v>#REF!</v>
      </c>
      <c r="AN1401" s="380">
        <f>IF(AND(AH1401&gt;0,B1401&lt;&gt;""),VLOOKUP(I1401,'AUX-NIV3'!$B:$AO,39,FALSE)*O1401,0)</f>
        <v>0</v>
      </c>
      <c r="AO1401" s="380">
        <f t="shared" si="783"/>
        <v>0.48019999999999996</v>
      </c>
      <c r="AP1401" s="380"/>
    </row>
    <row r="1402" spans="2:42">
      <c r="B1402" s="501" t="s">
        <v>4643</v>
      </c>
      <c r="C1402" s="951" t="s">
        <v>4645</v>
      </c>
      <c r="D1402" s="326" t="s">
        <v>477</v>
      </c>
      <c r="E1402" s="327">
        <f>IF(B1402&lt;&gt;"",SUMIF('AUX-NIV1'!I:I,'AUX-NIV2'!B1402,'AUX-NIV1'!Q:Q),"")</f>
        <v>0</v>
      </c>
      <c r="F1402" s="327">
        <f t="shared" si="773"/>
        <v>1095.9099589288937</v>
      </c>
      <c r="G1402" s="327">
        <f t="shared" si="774"/>
        <v>0</v>
      </c>
      <c r="H1402" s="328" t="str">
        <f t="shared" si="912"/>
        <v>M</v>
      </c>
      <c r="I1402" s="324" t="s">
        <v>3860</v>
      </c>
      <c r="J1402" s="431" t="str">
        <f>IF(B1402&lt;&gt;"",+VLOOKUP(I1402,Recursos!C:F,2,FALSE),"")</f>
        <v>AGUARRAS</v>
      </c>
      <c r="K1402" s="330" t="str">
        <f>IF(B1402&lt;&gt;"",+VLOOKUP(I1402,Recursos!C:F,3,FALSE),"")</f>
        <v>LTS</v>
      </c>
      <c r="L1402" s="446">
        <f>IF(B1402&lt;&gt;"",+VLOOKUP(I1402,Recursos!C:F,4,FALSE),"")</f>
        <v>124.7</v>
      </c>
      <c r="M1402" s="1624"/>
      <c r="N1402" s="1625">
        <f>N1400/2</f>
        <v>0</v>
      </c>
      <c r="O1402" s="1361">
        <f t="shared" si="926"/>
        <v>0</v>
      </c>
      <c r="P1402" s="333">
        <f t="shared" si="927"/>
        <v>0</v>
      </c>
      <c r="Q1402" s="327">
        <f t="shared" si="928"/>
        <v>0</v>
      </c>
      <c r="R1402" s="334">
        <f t="shared" si="929"/>
        <v>0</v>
      </c>
      <c r="S1402" s="335">
        <f t="shared" si="775"/>
        <v>249.74292906663479</v>
      </c>
      <c r="T1402" s="335">
        <f t="shared" si="776"/>
        <v>53.895679999999999</v>
      </c>
      <c r="U1402" s="336">
        <f t="shared" si="777"/>
        <v>792.27134986225906</v>
      </c>
      <c r="V1402" s="336">
        <f t="shared" si="778"/>
        <v>0</v>
      </c>
      <c r="W1402" s="336">
        <f t="shared" si="779"/>
        <v>0</v>
      </c>
      <c r="X1402" s="336">
        <f t="shared" si="780"/>
        <v>0</v>
      </c>
      <c r="Y1402" s="320"/>
      <c r="Z1402" s="321" t="str">
        <f t="shared" si="916"/>
        <v>X-COLMETA</v>
      </c>
      <c r="AA1402" s="321" t="str">
        <f t="shared" si="917"/>
        <v>X-COLMETE</v>
      </c>
      <c r="AB1402" s="321" t="str">
        <f t="shared" si="918"/>
        <v>X-COLMETM</v>
      </c>
      <c r="AC1402" s="321" t="str">
        <f t="shared" si="919"/>
        <v>X-COLMETT</v>
      </c>
      <c r="AD1402" s="321" t="str">
        <f t="shared" si="920"/>
        <v>X-COLMETS</v>
      </c>
      <c r="AE1402" s="321" t="str">
        <f t="shared" si="921"/>
        <v>X-COLMETX</v>
      </c>
      <c r="AF1402" s="321" t="str">
        <f t="shared" si="922"/>
        <v>X-COLMETM</v>
      </c>
      <c r="AG1402" s="321">
        <f t="shared" si="781"/>
        <v>11</v>
      </c>
      <c r="AH1402" s="321">
        <f>IF(B1402&lt;&gt;"",IF(H1402="x",VLOOKUP(I1402,'AUX-NIV3'!B:AG,32,FALSE),0),"")</f>
        <v>0</v>
      </c>
      <c r="AI1402" s="321" t="str">
        <f t="shared" si="923"/>
        <v>X-COLMET</v>
      </c>
      <c r="AJ1402" s="320"/>
      <c r="AK1402" s="322">
        <f t="shared" si="782"/>
        <v>1393</v>
      </c>
      <c r="AL1402" s="323">
        <f t="shared" si="924"/>
        <v>1403</v>
      </c>
      <c r="AM1402" s="322" t="e">
        <f t="shared" si="930"/>
        <v>#REF!</v>
      </c>
      <c r="AN1402" s="380">
        <f>IF(AND(AH1402&gt;0,B1402&lt;&gt;""),VLOOKUP(I1402,'AUX-NIV3'!$B:$AO,39,FALSE)*O1402,0)</f>
        <v>0</v>
      </c>
      <c r="AO1402" s="380">
        <f t="shared" si="783"/>
        <v>0.48019999999999996</v>
      </c>
      <c r="AP1402" s="380"/>
    </row>
    <row r="1403" spans="2:42" ht="13.8" thickBot="1">
      <c r="B1403" s="501" t="s">
        <v>4643</v>
      </c>
      <c r="C1403" s="951" t="s">
        <v>4645</v>
      </c>
      <c r="D1403" s="326" t="s">
        <v>477</v>
      </c>
      <c r="E1403" s="327">
        <f>IF(B1403&lt;&gt;"",SUMIF('AUX-NIV1'!I:I,'AUX-NIV2'!B1403,'AUX-NIV1'!Q:Q),"")</f>
        <v>0</v>
      </c>
      <c r="F1403" s="327">
        <f t="shared" si="773"/>
        <v>1095.9099589288937</v>
      </c>
      <c r="G1403" s="327">
        <f t="shared" si="774"/>
        <v>0</v>
      </c>
      <c r="H1403" s="328" t="str">
        <f t="shared" ref="H1403:H1412" si="931">IF(B1403&lt;&gt;"",+LEFT(I1403,1),"")</f>
        <v>M</v>
      </c>
      <c r="I1403" s="324" t="s">
        <v>621</v>
      </c>
      <c r="J1403" s="431" t="str">
        <f>IF(B1403&lt;&gt;"",+VLOOKUP(I1403,Recursos!C:F,2,FALSE),"")</f>
        <v>MATERIALES VARIOS</v>
      </c>
      <c r="K1403" s="330" t="str">
        <f>IF(B1403&lt;&gt;"",+VLOOKUP(I1403,Recursos!C:F,3,FALSE),"")</f>
        <v>GL</v>
      </c>
      <c r="L1403" s="446">
        <f>IF(B1403&lt;&gt;"",+VLOOKUP(I1403,Recursos!C:F,4,FALSE),"")</f>
        <v>0.5</v>
      </c>
      <c r="M1403" s="1626"/>
      <c r="N1403" s="1627">
        <v>50</v>
      </c>
      <c r="O1403" s="1361">
        <f t="shared" si="926"/>
        <v>50</v>
      </c>
      <c r="P1403" s="333">
        <f t="shared" si="927"/>
        <v>25</v>
      </c>
      <c r="Q1403" s="327">
        <f t="shared" si="928"/>
        <v>0</v>
      </c>
      <c r="R1403" s="334">
        <f t="shared" si="929"/>
        <v>0</v>
      </c>
      <c r="S1403" s="335">
        <f t="shared" si="775"/>
        <v>249.74292906663479</v>
      </c>
      <c r="T1403" s="335">
        <f t="shared" si="776"/>
        <v>53.895679999999999</v>
      </c>
      <c r="U1403" s="336">
        <f t="shared" si="777"/>
        <v>792.27134986225906</v>
      </c>
      <c r="V1403" s="336">
        <f t="shared" si="778"/>
        <v>0</v>
      </c>
      <c r="W1403" s="336">
        <f t="shared" si="779"/>
        <v>0</v>
      </c>
      <c r="X1403" s="336">
        <f t="shared" si="780"/>
        <v>0</v>
      </c>
      <c r="Y1403" s="320"/>
      <c r="Z1403" s="321" t="str">
        <f t="shared" ref="Z1403:Z1412" si="932">IF(B1403&lt;&gt;"",+$B1403&amp;"A","")</f>
        <v>X-COLMETA</v>
      </c>
      <c r="AA1403" s="321" t="str">
        <f t="shared" ref="AA1403:AA1412" si="933">IF(B1403&lt;&gt;"",+$B1403&amp;"E","")</f>
        <v>X-COLMETE</v>
      </c>
      <c r="AB1403" s="321" t="str">
        <f t="shared" ref="AB1403:AB1412" si="934">IF(B1403&lt;&gt;"",++$B1403&amp;"M","")</f>
        <v>X-COLMETM</v>
      </c>
      <c r="AC1403" s="321" t="str">
        <f t="shared" ref="AC1403:AC1412" si="935">IF(B1403&lt;&gt;"",+$B1403&amp;"T","")</f>
        <v>X-COLMETT</v>
      </c>
      <c r="AD1403" s="321" t="str">
        <f t="shared" ref="AD1403:AD1412" si="936">IF(B1403&lt;&gt;"",+$B1403&amp;"S","")</f>
        <v>X-COLMETS</v>
      </c>
      <c r="AE1403" s="321" t="str">
        <f t="shared" ref="AE1403:AE1412" si="937">IF(B1403&lt;&gt;"",+$B1403&amp;"X","")</f>
        <v>X-COLMETX</v>
      </c>
      <c r="AF1403" s="321" t="str">
        <f t="shared" ref="AF1403:AF1412" si="938">IF(B1403&lt;&gt;"",+B1403&amp;H1403,"")</f>
        <v>X-COLMETM</v>
      </c>
      <c r="AG1403" s="321">
        <f t="shared" si="781"/>
        <v>11</v>
      </c>
      <c r="AH1403" s="321">
        <f>IF(B1403&lt;&gt;"",IF(H1403="x",VLOOKUP(I1403,'AUX-NIV3'!B:AG,32,FALSE),0),"")</f>
        <v>0</v>
      </c>
      <c r="AI1403" s="321" t="str">
        <f t="shared" ref="AI1403:AI1412" si="939">IF(B1403&lt;&gt;"",+B1403,"")</f>
        <v>X-COLMET</v>
      </c>
      <c r="AJ1403" s="320"/>
      <c r="AK1403" s="322">
        <f t="shared" si="782"/>
        <v>1393</v>
      </c>
      <c r="AL1403" s="323">
        <f t="shared" ref="AL1403:AL1412" si="940">IF(B1403&lt;&gt;"",+AK1403+AG1403-1,"")</f>
        <v>1403</v>
      </c>
      <c r="AM1403" s="322" t="e">
        <f t="shared" si="930"/>
        <v>#REF!</v>
      </c>
      <c r="AN1403" s="380">
        <f>IF(AND(AH1403&gt;0,B1403&lt;&gt;""),VLOOKUP(I1403,'AUX-NIV3'!$B:$AO,39,FALSE)*O1403,0)</f>
        <v>0</v>
      </c>
      <c r="AO1403" s="380">
        <f t="shared" si="783"/>
        <v>0.48019999999999996</v>
      </c>
      <c r="AP1403" s="380"/>
    </row>
    <row r="1404" spans="2:42" ht="13.8" thickTop="1">
      <c r="B1404" s="501" t="s">
        <v>4644</v>
      </c>
      <c r="C1404" s="951" t="s">
        <v>4648</v>
      </c>
      <c r="D1404" s="326" t="s">
        <v>610</v>
      </c>
      <c r="E1404" s="327">
        <f>IF(B1404&lt;&gt;"",SUMIF('AUX-NIV1'!I:I,'AUX-NIV2'!B1404,'AUX-NIV1'!Q:Q),"")</f>
        <v>0</v>
      </c>
      <c r="F1404" s="327">
        <f t="shared" si="773"/>
        <v>1300.0447945904373</v>
      </c>
      <c r="G1404" s="327">
        <f t="shared" si="774"/>
        <v>0</v>
      </c>
      <c r="H1404" s="328" t="str">
        <f t="shared" si="931"/>
        <v>A</v>
      </c>
      <c r="I1404" s="324" t="s">
        <v>3309</v>
      </c>
      <c r="J1404" s="431" t="str">
        <f>IF(B1404&lt;&gt;"",+VLOOKUP(I1404,Recursos!C:F,2,FALSE),"")</f>
        <v>MEDIO OFICIAL</v>
      </c>
      <c r="K1404" s="330" t="str">
        <f>IF(B1404&lt;&gt;"",+VLOOKUP(I1404,Recursos!C:F,3,FALSE),"")</f>
        <v>hh</v>
      </c>
      <c r="L1404" s="446">
        <f>IF(B1404&lt;&gt;"",+VLOOKUP(I1404,Recursos!C:F,4,FALSE),"")</f>
        <v>459.10093211890984</v>
      </c>
      <c r="M1404" s="1624">
        <f>0.7*10%+0.4*90%</f>
        <v>0.43000000000000005</v>
      </c>
      <c r="N1404" s="1625">
        <f>M1404*N1406</f>
        <v>0.81915000000000027</v>
      </c>
      <c r="O1404" s="1361">
        <f>M1404*N1408</f>
        <v>0.16383000000000006</v>
      </c>
      <c r="P1404" s="333">
        <f>IF(B1404&lt;&gt;"",O1404*L1404,"")</f>
        <v>75.214505709041021</v>
      </c>
      <c r="Q1404" s="327">
        <f>IF(B1404&lt;&gt;"",+O1404*E1404,"")</f>
        <v>0</v>
      </c>
      <c r="R1404" s="334">
        <f>IF(B1404&lt;&gt;"",Q1404*L1404,"")</f>
        <v>0</v>
      </c>
      <c r="S1404" s="335">
        <f t="shared" si="775"/>
        <v>279.88430864002396</v>
      </c>
      <c r="T1404" s="335">
        <f t="shared" si="776"/>
        <v>52.657800000000009</v>
      </c>
      <c r="U1404" s="336">
        <f t="shared" si="777"/>
        <v>967.50268595041348</v>
      </c>
      <c r="V1404" s="336">
        <f t="shared" si="778"/>
        <v>0</v>
      </c>
      <c r="W1404" s="336">
        <f t="shared" si="779"/>
        <v>0</v>
      </c>
      <c r="X1404" s="336">
        <f t="shared" si="780"/>
        <v>0</v>
      </c>
      <c r="Y1404" s="320"/>
      <c r="Z1404" s="321" t="str">
        <f t="shared" si="932"/>
        <v>X-CORMETA</v>
      </c>
      <c r="AA1404" s="321" t="str">
        <f t="shared" si="933"/>
        <v>X-CORMETE</v>
      </c>
      <c r="AB1404" s="321" t="str">
        <f t="shared" si="934"/>
        <v>X-CORMETM</v>
      </c>
      <c r="AC1404" s="321" t="str">
        <f t="shared" si="935"/>
        <v>X-CORMETT</v>
      </c>
      <c r="AD1404" s="321" t="str">
        <f t="shared" si="936"/>
        <v>X-CORMETS</v>
      </c>
      <c r="AE1404" s="321" t="str">
        <f t="shared" si="937"/>
        <v>X-CORMETX</v>
      </c>
      <c r="AF1404" s="321" t="str">
        <f t="shared" si="938"/>
        <v>X-CORMETA</v>
      </c>
      <c r="AG1404" s="321">
        <f t="shared" si="781"/>
        <v>10</v>
      </c>
      <c r="AH1404" s="321">
        <f>IF(B1404&lt;&gt;"",IF(H1404="x",VLOOKUP(I1404,'AUX-NIV3'!B:AG,32,FALSE),0),"")</f>
        <v>0</v>
      </c>
      <c r="AI1404" s="321" t="str">
        <f t="shared" si="939"/>
        <v>X-CORMET</v>
      </c>
      <c r="AJ1404" s="320"/>
      <c r="AK1404" s="322">
        <f t="shared" si="782"/>
        <v>1404</v>
      </c>
      <c r="AL1404" s="323">
        <f t="shared" si="940"/>
        <v>1413</v>
      </c>
      <c r="AM1404" s="322">
        <f t="shared" si="930"/>
        <v>1</v>
      </c>
      <c r="AN1404" s="380">
        <f>IF(AND(AH1404&gt;0,B1404&lt;&gt;""),VLOOKUP(I1404,'AUX-NIV3'!$B:$AO,39,FALSE)*O1404,0)</f>
        <v>0</v>
      </c>
      <c r="AO1404" s="380">
        <f t="shared" si="783"/>
        <v>0.51606450000000026</v>
      </c>
      <c r="AP1404" s="380"/>
    </row>
    <row r="1405" spans="2:42">
      <c r="B1405" s="501" t="s">
        <v>4644</v>
      </c>
      <c r="C1405" s="951" t="s">
        <v>4648</v>
      </c>
      <c r="D1405" s="326" t="s">
        <v>610</v>
      </c>
      <c r="E1405" s="327">
        <f>IF(B1405&lt;&gt;"",SUMIF('AUX-NIV1'!I:I,'AUX-NIV2'!B1405,'AUX-NIV1'!Q:Q),"")</f>
        <v>0</v>
      </c>
      <c r="F1405" s="327">
        <f t="shared" si="773"/>
        <v>1300.0447945904373</v>
      </c>
      <c r="G1405" s="327">
        <f t="shared" si="774"/>
        <v>0</v>
      </c>
      <c r="H1405" s="328" t="str">
        <f t="shared" si="931"/>
        <v>A</v>
      </c>
      <c r="I1405" s="324" t="s">
        <v>3310</v>
      </c>
      <c r="J1405" s="431" t="str">
        <f>IF(B1405&lt;&gt;"",+VLOOKUP(I1405,Recursos!C:F,2,FALSE),"")</f>
        <v>OFICIAL ESPECIALIZADO</v>
      </c>
      <c r="K1405" s="330" t="str">
        <f>IF(B1405&lt;&gt;"",+VLOOKUP(I1405,Recursos!C:F,3,FALSE),"")</f>
        <v>hh</v>
      </c>
      <c r="L1405" s="446">
        <f>IF(B1405&lt;&gt;"",+VLOOKUP(I1405,Recursos!C:F,4,FALSE),"")</f>
        <v>581.06120476836554</v>
      </c>
      <c r="M1405" s="1624"/>
      <c r="N1405" s="1625">
        <f>N1404</f>
        <v>0.81915000000000027</v>
      </c>
      <c r="O1405" s="1361">
        <f>N1405*M1404</f>
        <v>0.35223450000000017</v>
      </c>
      <c r="P1405" s="333">
        <f>IF(B1405&lt;&gt;"",O1405*L1405,"")</f>
        <v>204.66980293098294</v>
      </c>
      <c r="Q1405" s="327">
        <f>IF(B1405&lt;&gt;"",+O1405*E1405,"")</f>
        <v>0</v>
      </c>
      <c r="R1405" s="334">
        <f>IF(B1405&lt;&gt;"",Q1405*L1405,"")</f>
        <v>0</v>
      </c>
      <c r="S1405" s="335">
        <f t="shared" si="775"/>
        <v>279.88430864002396</v>
      </c>
      <c r="T1405" s="335">
        <f t="shared" si="776"/>
        <v>52.657800000000009</v>
      </c>
      <c r="U1405" s="336">
        <f t="shared" si="777"/>
        <v>967.50268595041348</v>
      </c>
      <c r="V1405" s="336">
        <f t="shared" si="778"/>
        <v>0</v>
      </c>
      <c r="W1405" s="336">
        <f t="shared" si="779"/>
        <v>0</v>
      </c>
      <c r="X1405" s="336">
        <f t="shared" si="780"/>
        <v>0</v>
      </c>
      <c r="Y1405" s="320"/>
      <c r="Z1405" s="321" t="str">
        <f t="shared" si="932"/>
        <v>X-CORMETA</v>
      </c>
      <c r="AA1405" s="321" t="str">
        <f t="shared" si="933"/>
        <v>X-CORMETE</v>
      </c>
      <c r="AB1405" s="321" t="str">
        <f t="shared" si="934"/>
        <v>X-CORMETM</v>
      </c>
      <c r="AC1405" s="321" t="str">
        <f t="shared" si="935"/>
        <v>X-CORMETT</v>
      </c>
      <c r="AD1405" s="321" t="str">
        <f t="shared" si="936"/>
        <v>X-CORMETS</v>
      </c>
      <c r="AE1405" s="321" t="str">
        <f t="shared" si="937"/>
        <v>X-CORMETX</v>
      </c>
      <c r="AF1405" s="321" t="str">
        <f t="shared" si="938"/>
        <v>X-CORMETA</v>
      </c>
      <c r="AG1405" s="321">
        <f t="shared" si="781"/>
        <v>10</v>
      </c>
      <c r="AH1405" s="321">
        <f>IF(B1405&lt;&gt;"",IF(H1405="x",VLOOKUP(I1405,'AUX-NIV3'!B:AG,32,FALSE),0),"")</f>
        <v>0</v>
      </c>
      <c r="AI1405" s="321" t="str">
        <f t="shared" si="939"/>
        <v>X-CORMET</v>
      </c>
      <c r="AJ1405" s="320"/>
      <c r="AK1405" s="322">
        <f t="shared" si="782"/>
        <v>1404</v>
      </c>
      <c r="AL1405" s="323">
        <f t="shared" si="940"/>
        <v>1413</v>
      </c>
      <c r="AM1405" s="322">
        <f t="shared" si="930"/>
        <v>2</v>
      </c>
      <c r="AN1405" s="380">
        <f>IF(AND(AH1405&gt;0,B1405&lt;&gt;""),VLOOKUP(I1405,'AUX-NIV3'!$B:$AO,39,FALSE)*O1405,0)</f>
        <v>0</v>
      </c>
      <c r="AO1405" s="380">
        <f t="shared" si="783"/>
        <v>0.51606450000000026</v>
      </c>
      <c r="AP1405" s="380"/>
    </row>
    <row r="1406" spans="2:42">
      <c r="B1406" s="501" t="s">
        <v>4644</v>
      </c>
      <c r="C1406" s="951" t="s">
        <v>4648</v>
      </c>
      <c r="D1406" s="326" t="s">
        <v>610</v>
      </c>
      <c r="E1406" s="327">
        <f>IF(B1406&lt;&gt;"",SUMIF('AUX-NIV1'!I:I,'AUX-NIV2'!B1406,'AUX-NIV1'!Q:Q),"")</f>
        <v>0</v>
      </c>
      <c r="F1406" s="327">
        <f t="shared" si="773"/>
        <v>1300.0447945904373</v>
      </c>
      <c r="G1406" s="327">
        <f t="shared" si="774"/>
        <v>0</v>
      </c>
      <c r="H1406" s="328" t="str">
        <f t="shared" si="931"/>
        <v>M</v>
      </c>
      <c r="I1406" s="324" t="s">
        <v>2187</v>
      </c>
      <c r="J1406" s="431" t="str">
        <f>IF(B1406&lt;&gt;"",+VLOOKUP(I1406,Recursos!C:F,2,FALSE),"")</f>
        <v>PLANCHA DE ACERO CARBONO A-36</v>
      </c>
      <c r="K1406" s="330" t="str">
        <f>IF(B1406&lt;&gt;"",+VLOOKUP(I1406,Recursos!C:F,3,FALSE),"")</f>
        <v>Kg</v>
      </c>
      <c r="L1406" s="446">
        <f>IF(B1406&lt;&gt;"",+VLOOKUP(I1406,Recursos!C:F,4,FALSE),"")</f>
        <v>300</v>
      </c>
      <c r="M1406" s="1624"/>
      <c r="N1406" s="1625">
        <f>0.2*0.2*0.00635*7500</f>
        <v>1.9050000000000005</v>
      </c>
      <c r="O1406" s="1361">
        <f>N1406</f>
        <v>1.9050000000000005</v>
      </c>
      <c r="P1406" s="333">
        <f t="shared" ref="P1406" si="941">IF(B1406&lt;&gt;"",O1406*L1406,"")</f>
        <v>571.50000000000011</v>
      </c>
      <c r="Q1406" s="327">
        <f t="shared" ref="Q1406" si="942">IF(B1406&lt;&gt;"",+O1406*E1406,"")</f>
        <v>0</v>
      </c>
      <c r="R1406" s="334">
        <f t="shared" ref="R1406" si="943">IF(B1406&lt;&gt;"",Q1406*L1406,"")</f>
        <v>0</v>
      </c>
      <c r="S1406" s="335">
        <f t="shared" si="775"/>
        <v>279.88430864002396</v>
      </c>
      <c r="T1406" s="335">
        <f t="shared" si="776"/>
        <v>52.657800000000009</v>
      </c>
      <c r="U1406" s="336">
        <f t="shared" si="777"/>
        <v>967.50268595041348</v>
      </c>
      <c r="V1406" s="336">
        <f t="shared" si="778"/>
        <v>0</v>
      </c>
      <c r="W1406" s="336">
        <f t="shared" si="779"/>
        <v>0</v>
      </c>
      <c r="X1406" s="336">
        <f t="shared" si="780"/>
        <v>0</v>
      </c>
      <c r="Y1406" s="320"/>
      <c r="Z1406" s="321" t="str">
        <f t="shared" si="932"/>
        <v>X-CORMETA</v>
      </c>
      <c r="AA1406" s="321" t="str">
        <f t="shared" si="933"/>
        <v>X-CORMETE</v>
      </c>
      <c r="AB1406" s="321" t="str">
        <f t="shared" si="934"/>
        <v>X-CORMETM</v>
      </c>
      <c r="AC1406" s="321" t="str">
        <f t="shared" si="935"/>
        <v>X-CORMETT</v>
      </c>
      <c r="AD1406" s="321" t="str">
        <f t="shared" si="936"/>
        <v>X-CORMETS</v>
      </c>
      <c r="AE1406" s="321" t="str">
        <f t="shared" si="937"/>
        <v>X-CORMETX</v>
      </c>
      <c r="AF1406" s="321" t="str">
        <f t="shared" si="938"/>
        <v>X-CORMETM</v>
      </c>
      <c r="AG1406" s="321">
        <f t="shared" si="781"/>
        <v>10</v>
      </c>
      <c r="AH1406" s="321">
        <f>IF(B1406&lt;&gt;"",IF(H1406="x",VLOOKUP(I1406,'AUX-NIV3'!B:AG,32,FALSE),0),"")</f>
        <v>0</v>
      </c>
      <c r="AI1406" s="321" t="str">
        <f t="shared" si="939"/>
        <v>X-CORMET</v>
      </c>
      <c r="AJ1406" s="320"/>
      <c r="AK1406" s="322">
        <f t="shared" si="782"/>
        <v>1404</v>
      </c>
      <c r="AL1406" s="323">
        <f t="shared" si="940"/>
        <v>1413</v>
      </c>
      <c r="AM1406" s="322">
        <f t="shared" si="930"/>
        <v>3</v>
      </c>
      <c r="AN1406" s="380">
        <f>IF(AND(AH1406&gt;0,B1406&lt;&gt;""),VLOOKUP(I1406,'AUX-NIV3'!$B:$AO,39,FALSE)*O1406,0)</f>
        <v>0</v>
      </c>
      <c r="AO1406" s="380">
        <f t="shared" si="783"/>
        <v>0.51606450000000026</v>
      </c>
      <c r="AP1406" s="380"/>
    </row>
    <row r="1407" spans="2:42">
      <c r="B1407" s="501" t="s">
        <v>4644</v>
      </c>
      <c r="C1407" s="951" t="s">
        <v>4648</v>
      </c>
      <c r="D1407" s="326" t="s">
        <v>610</v>
      </c>
      <c r="E1407" s="327">
        <f>IF(B1407&lt;&gt;"",SUMIF('AUX-NIV1'!I:I,'AUX-NIV2'!B1407,'AUX-NIV1'!Q:Q),"")</f>
        <v>0</v>
      </c>
      <c r="F1407" s="327">
        <f t="shared" si="773"/>
        <v>1300.0447945904373</v>
      </c>
      <c r="G1407" s="327">
        <f t="shared" si="774"/>
        <v>0</v>
      </c>
      <c r="H1407" s="328" t="str">
        <f t="shared" ref="H1407" si="944">IF(B1407&lt;&gt;"",+LEFT(I1407,1),"")</f>
        <v>M</v>
      </c>
      <c r="I1407" s="324" t="s">
        <v>4499</v>
      </c>
      <c r="J1407" s="431" t="str">
        <f>IF(B1407&lt;&gt;"",+VLOOKUP(I1407,Recursos!C:F,2,FALSE),"")</f>
        <v>Varilla de Acero ADN 420, fe 6mm</v>
      </c>
      <c r="K1407" s="330" t="str">
        <f>IF(B1407&lt;&gt;"",+VLOOKUP(I1407,Recursos!C:F,3,FALSE),"")</f>
        <v>m</v>
      </c>
      <c r="L1407" s="446">
        <f>IF(B1407&lt;&gt;"",+VLOOKUP(I1407,Recursos!C:F,4,FALSE),"")</f>
        <v>60</v>
      </c>
      <c r="M1407" s="1624"/>
      <c r="N1407" s="1625">
        <f>0*4</f>
        <v>0</v>
      </c>
      <c r="O1407" s="1361">
        <f>N1407</f>
        <v>0</v>
      </c>
      <c r="P1407" s="333">
        <f t="shared" ref="P1407" si="945">IF(B1407&lt;&gt;"",O1407*L1407,"")</f>
        <v>0</v>
      </c>
      <c r="Q1407" s="327">
        <f t="shared" ref="Q1407" si="946">IF(B1407&lt;&gt;"",+O1407*E1407,"")</f>
        <v>0</v>
      </c>
      <c r="R1407" s="334">
        <f t="shared" ref="R1407" si="947">IF(B1407&lt;&gt;"",Q1407*L1407,"")</f>
        <v>0</v>
      </c>
      <c r="S1407" s="335">
        <f t="shared" si="775"/>
        <v>279.88430864002396</v>
      </c>
      <c r="T1407" s="335">
        <f t="shared" si="776"/>
        <v>52.657800000000009</v>
      </c>
      <c r="U1407" s="336">
        <f t="shared" si="777"/>
        <v>967.50268595041348</v>
      </c>
      <c r="V1407" s="336">
        <f t="shared" si="778"/>
        <v>0</v>
      </c>
      <c r="W1407" s="336">
        <f t="shared" si="779"/>
        <v>0</v>
      </c>
      <c r="X1407" s="336">
        <f t="shared" si="780"/>
        <v>0</v>
      </c>
      <c r="Y1407" s="320"/>
      <c r="Z1407" s="321" t="str">
        <f t="shared" ref="Z1407" si="948">IF(B1407&lt;&gt;"",+$B1407&amp;"A","")</f>
        <v>X-CORMETA</v>
      </c>
      <c r="AA1407" s="321" t="str">
        <f t="shared" ref="AA1407" si="949">IF(B1407&lt;&gt;"",+$B1407&amp;"E","")</f>
        <v>X-CORMETE</v>
      </c>
      <c r="AB1407" s="321" t="str">
        <f t="shared" ref="AB1407" si="950">IF(B1407&lt;&gt;"",++$B1407&amp;"M","")</f>
        <v>X-CORMETM</v>
      </c>
      <c r="AC1407" s="321" t="str">
        <f t="shared" ref="AC1407" si="951">IF(B1407&lt;&gt;"",+$B1407&amp;"T","")</f>
        <v>X-CORMETT</v>
      </c>
      <c r="AD1407" s="321" t="str">
        <f t="shared" ref="AD1407" si="952">IF(B1407&lt;&gt;"",+$B1407&amp;"S","")</f>
        <v>X-CORMETS</v>
      </c>
      <c r="AE1407" s="321" t="str">
        <f t="shared" ref="AE1407" si="953">IF(B1407&lt;&gt;"",+$B1407&amp;"X","")</f>
        <v>X-CORMETX</v>
      </c>
      <c r="AF1407" s="321" t="str">
        <f t="shared" ref="AF1407" si="954">IF(B1407&lt;&gt;"",+B1407&amp;H1407,"")</f>
        <v>X-CORMETM</v>
      </c>
      <c r="AG1407" s="321">
        <f t="shared" si="781"/>
        <v>10</v>
      </c>
      <c r="AH1407" s="321">
        <f>IF(B1407&lt;&gt;"",IF(H1407="x",VLOOKUP(I1407,'AUX-NIV3'!B:AG,32,FALSE),0),"")</f>
        <v>0</v>
      </c>
      <c r="AI1407" s="321" t="str">
        <f t="shared" ref="AI1407" si="955">IF(B1407&lt;&gt;"",+B1407,"")</f>
        <v>X-CORMET</v>
      </c>
      <c r="AJ1407" s="320"/>
      <c r="AK1407" s="322">
        <f t="shared" si="782"/>
        <v>1404</v>
      </c>
      <c r="AL1407" s="323">
        <f t="shared" ref="AL1407" si="956">IF(B1407&lt;&gt;"",+AK1407+AG1407-1,"")</f>
        <v>1413</v>
      </c>
      <c r="AM1407" s="322">
        <f t="shared" ref="AM1407" si="957">IF(B1407&lt;&gt;"",IF(B1407=B1406,1+AM1406,1),"")</f>
        <v>4</v>
      </c>
      <c r="AN1407" s="380">
        <f>IF(AND(AH1407&gt;0,B1407&lt;&gt;""),VLOOKUP(I1407,'AUX-NIV3'!$B:$AO,39,FALSE)*O1407,0)</f>
        <v>0</v>
      </c>
      <c r="AO1407" s="380">
        <f t="shared" si="783"/>
        <v>0.51606450000000026</v>
      </c>
      <c r="AP1407" s="380"/>
    </row>
    <row r="1408" spans="2:42">
      <c r="B1408" s="501" t="s">
        <v>4644</v>
      </c>
      <c r="C1408" s="951" t="s">
        <v>4648</v>
      </c>
      <c r="D1408" s="326" t="s">
        <v>610</v>
      </c>
      <c r="E1408" s="327">
        <f>IF(B1408&lt;&gt;"",SUMIF('AUX-NIV1'!I:I,'AUX-NIV2'!B1408,'AUX-NIV1'!Q:Q),"")</f>
        <v>0</v>
      </c>
      <c r="F1408" s="327">
        <f t="shared" si="773"/>
        <v>1300.0447945904373</v>
      </c>
      <c r="G1408" s="327">
        <f t="shared" si="774"/>
        <v>0</v>
      </c>
      <c r="H1408" s="328" t="str">
        <f t="shared" si="931"/>
        <v>M</v>
      </c>
      <c r="I1408" s="324" t="s">
        <v>4304</v>
      </c>
      <c r="J1408" s="431" t="str">
        <f>IF(B1408&lt;&gt;"",+VLOOKUP(I1408,Recursos!C:F,2,FALSE),"")</f>
        <v>ELECTRODOS</v>
      </c>
      <c r="K1408" s="330" t="str">
        <f>IF(B1408&lt;&gt;"",+VLOOKUP(I1408,Recursos!C:F,3,FALSE),"")</f>
        <v>KG</v>
      </c>
      <c r="L1408" s="446">
        <f>IF(B1408&lt;&gt;"",+VLOOKUP(I1408,Recursos!C:F,4,FALSE),"")</f>
        <v>700</v>
      </c>
      <c r="M1408" s="1624"/>
      <c r="N1408" s="1625">
        <f>N1406*0.2</f>
        <v>0.38100000000000012</v>
      </c>
      <c r="O1408" s="1361">
        <f>N1408</f>
        <v>0.38100000000000012</v>
      </c>
      <c r="P1408" s="333">
        <f>IF(B1408&lt;&gt;"",O1408*L1408,"")</f>
        <v>266.7000000000001</v>
      </c>
      <c r="Q1408" s="327">
        <f>IF(B1408&lt;&gt;"",+O1408*E1408,"")</f>
        <v>0</v>
      </c>
      <c r="R1408" s="334">
        <f>IF(B1408&lt;&gt;"",Q1408*L1408,"")</f>
        <v>0</v>
      </c>
      <c r="S1408" s="335">
        <f t="shared" si="775"/>
        <v>279.88430864002396</v>
      </c>
      <c r="T1408" s="335">
        <f t="shared" si="776"/>
        <v>52.657800000000009</v>
      </c>
      <c r="U1408" s="336">
        <f t="shared" si="777"/>
        <v>967.50268595041348</v>
      </c>
      <c r="V1408" s="336">
        <f t="shared" si="778"/>
        <v>0</v>
      </c>
      <c r="W1408" s="336">
        <f t="shared" si="779"/>
        <v>0</v>
      </c>
      <c r="X1408" s="336">
        <f t="shared" si="780"/>
        <v>0</v>
      </c>
      <c r="Y1408" s="320"/>
      <c r="Z1408" s="321" t="str">
        <f t="shared" si="932"/>
        <v>X-CORMETA</v>
      </c>
      <c r="AA1408" s="321" t="str">
        <f t="shared" si="933"/>
        <v>X-CORMETE</v>
      </c>
      <c r="AB1408" s="321" t="str">
        <f t="shared" si="934"/>
        <v>X-CORMETM</v>
      </c>
      <c r="AC1408" s="321" t="str">
        <f t="shared" si="935"/>
        <v>X-CORMETT</v>
      </c>
      <c r="AD1408" s="321" t="str">
        <f t="shared" si="936"/>
        <v>X-CORMETS</v>
      </c>
      <c r="AE1408" s="321" t="str">
        <f t="shared" si="937"/>
        <v>X-CORMETX</v>
      </c>
      <c r="AF1408" s="321" t="str">
        <f t="shared" si="938"/>
        <v>X-CORMETM</v>
      </c>
      <c r="AG1408" s="321">
        <f t="shared" si="781"/>
        <v>10</v>
      </c>
      <c r="AH1408" s="321">
        <f>IF(B1408&lt;&gt;"",IF(H1408="x",VLOOKUP(I1408,'AUX-NIV3'!B:AG,32,FALSE),0),"")</f>
        <v>0</v>
      </c>
      <c r="AI1408" s="321" t="str">
        <f t="shared" si="939"/>
        <v>X-CORMET</v>
      </c>
      <c r="AJ1408" s="320"/>
      <c r="AK1408" s="322">
        <f t="shared" si="782"/>
        <v>1404</v>
      </c>
      <c r="AL1408" s="323">
        <f t="shared" si="940"/>
        <v>1413</v>
      </c>
      <c r="AM1408" s="322" t="e">
        <f>IF(B1408&lt;&gt;"",IF(B1408=#REF!,1+#REF!,1),"")</f>
        <v>#REF!</v>
      </c>
      <c r="AN1408" s="380">
        <f>IF(AND(AH1408&gt;0,B1408&lt;&gt;""),VLOOKUP(I1408,'AUX-NIV3'!$B:$AO,39,FALSE)*O1408,0)</f>
        <v>0</v>
      </c>
      <c r="AO1408" s="380">
        <f t="shared" si="783"/>
        <v>0.51606450000000026</v>
      </c>
      <c r="AP1408" s="380"/>
    </row>
    <row r="1409" spans="2:42">
      <c r="B1409" s="501" t="s">
        <v>4644</v>
      </c>
      <c r="C1409" s="951" t="s">
        <v>4648</v>
      </c>
      <c r="D1409" s="326" t="s">
        <v>610</v>
      </c>
      <c r="E1409" s="327">
        <f>IF(B1409&lt;&gt;"",SUMIF('AUX-NIV1'!I:I,'AUX-NIV2'!B1409,'AUX-NIV1'!Q:Q),"")</f>
        <v>0</v>
      </c>
      <c r="F1409" s="327">
        <f t="shared" si="773"/>
        <v>1300.0447945904373</v>
      </c>
      <c r="G1409" s="327">
        <f t="shared" si="774"/>
        <v>0</v>
      </c>
      <c r="H1409" s="328" t="str">
        <f t="shared" si="931"/>
        <v>E</v>
      </c>
      <c r="I1409" s="324" t="s">
        <v>1629</v>
      </c>
      <c r="J1409" s="431" t="str">
        <f>IF(B1409&lt;&gt;"",+VLOOKUP(I1409,Recursos!C:F,2,FALSE),"")</f>
        <v>ELECTROSOLDADORA 400 AMP</v>
      </c>
      <c r="K1409" s="330" t="str">
        <f>IF(B1409&lt;&gt;"",+VLOOKUP(I1409,Recursos!C:F,3,FALSE),"")</f>
        <v>HR</v>
      </c>
      <c r="L1409" s="446">
        <f>IF(B1409&lt;&gt;"",+VLOOKUP(I1409,Recursos!C:F,4,FALSE),"")</f>
        <v>122.46000000000001</v>
      </c>
      <c r="M1409" s="1624"/>
      <c r="N1409" s="1625">
        <f>M1404</f>
        <v>0.43000000000000005</v>
      </c>
      <c r="O1409" s="1361">
        <f t="shared" ref="O1409:O1413" si="958">N1409</f>
        <v>0.43000000000000005</v>
      </c>
      <c r="P1409" s="333">
        <f t="shared" ref="P1409:P1413" si="959">IF(B1409&lt;&gt;"",O1409*L1409,"")</f>
        <v>52.657800000000009</v>
      </c>
      <c r="Q1409" s="327">
        <f t="shared" ref="Q1409:Q1413" si="960">IF(B1409&lt;&gt;"",+O1409*E1409,"")</f>
        <v>0</v>
      </c>
      <c r="R1409" s="334">
        <f t="shared" ref="R1409:R1413" si="961">IF(B1409&lt;&gt;"",Q1409*L1409,"")</f>
        <v>0</v>
      </c>
      <c r="S1409" s="335">
        <f t="shared" si="775"/>
        <v>279.88430864002396</v>
      </c>
      <c r="T1409" s="335">
        <f t="shared" si="776"/>
        <v>52.657800000000009</v>
      </c>
      <c r="U1409" s="336">
        <f t="shared" si="777"/>
        <v>967.50268595041348</v>
      </c>
      <c r="V1409" s="336">
        <f t="shared" si="778"/>
        <v>0</v>
      </c>
      <c r="W1409" s="336">
        <f t="shared" si="779"/>
        <v>0</v>
      </c>
      <c r="X1409" s="336">
        <f t="shared" si="780"/>
        <v>0</v>
      </c>
      <c r="Y1409" s="320"/>
      <c r="Z1409" s="321" t="str">
        <f t="shared" si="932"/>
        <v>X-CORMETA</v>
      </c>
      <c r="AA1409" s="321" t="str">
        <f t="shared" si="933"/>
        <v>X-CORMETE</v>
      </c>
      <c r="AB1409" s="321" t="str">
        <f t="shared" si="934"/>
        <v>X-CORMETM</v>
      </c>
      <c r="AC1409" s="321" t="str">
        <f t="shared" si="935"/>
        <v>X-CORMETT</v>
      </c>
      <c r="AD1409" s="321" t="str">
        <f t="shared" si="936"/>
        <v>X-CORMETS</v>
      </c>
      <c r="AE1409" s="321" t="str">
        <f t="shared" si="937"/>
        <v>X-CORMETX</v>
      </c>
      <c r="AF1409" s="321" t="str">
        <f t="shared" si="938"/>
        <v>X-CORMETE</v>
      </c>
      <c r="AG1409" s="321">
        <f t="shared" si="781"/>
        <v>10</v>
      </c>
      <c r="AH1409" s="321">
        <f>IF(B1409&lt;&gt;"",IF(H1409="x",VLOOKUP(I1409,'AUX-NIV3'!B:AG,32,FALSE),0),"")</f>
        <v>0</v>
      </c>
      <c r="AI1409" s="321" t="str">
        <f t="shared" si="939"/>
        <v>X-CORMET</v>
      </c>
      <c r="AJ1409" s="320"/>
      <c r="AK1409" s="322">
        <f t="shared" si="782"/>
        <v>1404</v>
      </c>
      <c r="AL1409" s="323">
        <f t="shared" si="940"/>
        <v>1413</v>
      </c>
      <c r="AM1409" s="322" t="e">
        <f>IF(B1409&lt;&gt;"",IF(B1409=#REF!,1+#REF!,1),"")</f>
        <v>#REF!</v>
      </c>
      <c r="AN1409" s="380">
        <f>IF(AND(AH1409&gt;0,B1409&lt;&gt;""),VLOOKUP(I1409,'AUX-NIV3'!$B:$AO,39,FALSE)*O1409,0)</f>
        <v>0</v>
      </c>
      <c r="AO1409" s="380">
        <f t="shared" si="783"/>
        <v>0.51606450000000026</v>
      </c>
      <c r="AP1409" s="380"/>
    </row>
    <row r="1410" spans="2:42">
      <c r="B1410" s="501" t="s">
        <v>4644</v>
      </c>
      <c r="C1410" s="951" t="s">
        <v>4648</v>
      </c>
      <c r="D1410" s="326" t="s">
        <v>610</v>
      </c>
      <c r="E1410" s="327">
        <f>IF(B1410&lt;&gt;"",SUMIF('AUX-NIV1'!I:I,'AUX-NIV2'!B1410,'AUX-NIV1'!Q:Q),"")</f>
        <v>0</v>
      </c>
      <c r="F1410" s="327">
        <f t="shared" si="773"/>
        <v>1300.0447945904373</v>
      </c>
      <c r="G1410" s="327">
        <f t="shared" si="774"/>
        <v>0</v>
      </c>
      <c r="H1410" s="328" t="str">
        <f t="shared" si="931"/>
        <v>M</v>
      </c>
      <c r="I1410" s="324" t="s">
        <v>3858</v>
      </c>
      <c r="J1410" s="431" t="str">
        <f>IF(B1410&lt;&gt;"",+VLOOKUP(I1410,Recursos!C:F,2,FALSE),"")</f>
        <v>PINTURA ESMALTE SINTETICO</v>
      </c>
      <c r="K1410" s="330" t="str">
        <f>IF(B1410&lt;&gt;"",+VLOOKUP(I1410,Recursos!C:F,3,FALSE),"")</f>
        <v>LTS</v>
      </c>
      <c r="L1410" s="446">
        <f>IF(B1410&lt;&gt;"",+VLOOKUP(I1410,Recursos!C:F,4,FALSE),"")</f>
        <v>661.15702479338847</v>
      </c>
      <c r="M1410" s="1624"/>
      <c r="N1410" s="1625">
        <f>0*1/8*N1406</f>
        <v>0</v>
      </c>
      <c r="O1410" s="1361">
        <f t="shared" si="958"/>
        <v>0</v>
      </c>
      <c r="P1410" s="333">
        <f t="shared" si="959"/>
        <v>0</v>
      </c>
      <c r="Q1410" s="327">
        <f t="shared" si="960"/>
        <v>0</v>
      </c>
      <c r="R1410" s="334">
        <f t="shared" si="961"/>
        <v>0</v>
      </c>
      <c r="S1410" s="335">
        <f t="shared" si="775"/>
        <v>279.88430864002396</v>
      </c>
      <c r="T1410" s="335">
        <f t="shared" si="776"/>
        <v>52.657800000000009</v>
      </c>
      <c r="U1410" s="336">
        <f t="shared" si="777"/>
        <v>967.50268595041348</v>
      </c>
      <c r="V1410" s="336">
        <f t="shared" si="778"/>
        <v>0</v>
      </c>
      <c r="W1410" s="336">
        <f t="shared" si="779"/>
        <v>0</v>
      </c>
      <c r="X1410" s="336">
        <f t="shared" si="780"/>
        <v>0</v>
      </c>
      <c r="Y1410" s="320"/>
      <c r="Z1410" s="321" t="str">
        <f t="shared" si="932"/>
        <v>X-CORMETA</v>
      </c>
      <c r="AA1410" s="321" t="str">
        <f t="shared" si="933"/>
        <v>X-CORMETE</v>
      </c>
      <c r="AB1410" s="321" t="str">
        <f t="shared" si="934"/>
        <v>X-CORMETM</v>
      </c>
      <c r="AC1410" s="321" t="str">
        <f t="shared" si="935"/>
        <v>X-CORMETT</v>
      </c>
      <c r="AD1410" s="321" t="str">
        <f t="shared" si="936"/>
        <v>X-CORMETS</v>
      </c>
      <c r="AE1410" s="321" t="str">
        <f t="shared" si="937"/>
        <v>X-CORMETX</v>
      </c>
      <c r="AF1410" s="321" t="str">
        <f t="shared" si="938"/>
        <v>X-CORMETM</v>
      </c>
      <c r="AG1410" s="321">
        <f t="shared" si="781"/>
        <v>10</v>
      </c>
      <c r="AH1410" s="321">
        <f>IF(B1410&lt;&gt;"",IF(H1410="x",VLOOKUP(I1410,'AUX-NIV3'!B:AG,32,FALSE),0),"")</f>
        <v>0</v>
      </c>
      <c r="AI1410" s="321" t="str">
        <f t="shared" si="939"/>
        <v>X-CORMET</v>
      </c>
      <c r="AJ1410" s="320"/>
      <c r="AK1410" s="322">
        <f t="shared" si="782"/>
        <v>1404</v>
      </c>
      <c r="AL1410" s="323">
        <f t="shared" si="940"/>
        <v>1413</v>
      </c>
      <c r="AM1410" s="322" t="e">
        <f>IF(B1410&lt;&gt;"",IF(B1410=#REF!,1+#REF!,1),"")</f>
        <v>#REF!</v>
      </c>
      <c r="AN1410" s="380">
        <f>IF(AND(AH1410&gt;0,B1410&lt;&gt;""),VLOOKUP(I1410,'AUX-NIV3'!$B:$AO,39,FALSE)*O1410,0)</f>
        <v>0</v>
      </c>
      <c r="AO1410" s="380">
        <f t="shared" si="783"/>
        <v>0.51606450000000026</v>
      </c>
      <c r="AP1410" s="380"/>
    </row>
    <row r="1411" spans="2:42">
      <c r="B1411" s="501" t="s">
        <v>4644</v>
      </c>
      <c r="C1411" s="951" t="s">
        <v>4648</v>
      </c>
      <c r="D1411" s="326" t="s">
        <v>610</v>
      </c>
      <c r="E1411" s="327">
        <f>IF(B1411&lt;&gt;"",SUMIF('AUX-NIV1'!I:I,'AUX-NIV2'!B1411,'AUX-NIV1'!Q:Q),"")</f>
        <v>0</v>
      </c>
      <c r="F1411" s="327">
        <f t="shared" si="773"/>
        <v>1300.0447945904373</v>
      </c>
      <c r="G1411" s="327">
        <f t="shared" si="774"/>
        <v>0</v>
      </c>
      <c r="H1411" s="328" t="str">
        <f t="shared" si="931"/>
        <v>M</v>
      </c>
      <c r="I1411" s="324" t="s">
        <v>3859</v>
      </c>
      <c r="J1411" s="431" t="str">
        <f>IF(B1411&lt;&gt;"",+VLOOKUP(I1411,Recursos!C:F,2,FALSE),"")</f>
        <v>PINTURA ANTIOXIDO</v>
      </c>
      <c r="K1411" s="330" t="str">
        <f>IF(B1411&lt;&gt;"",+VLOOKUP(I1411,Recursos!C:F,3,FALSE),"")</f>
        <v>LTS</v>
      </c>
      <c r="L1411" s="446">
        <f>IF(B1411&lt;&gt;"",+VLOOKUP(I1411,Recursos!C:F,4,FALSE),"")</f>
        <v>547.52066115702485</v>
      </c>
      <c r="M1411" s="1624"/>
      <c r="N1411" s="1625">
        <f>1/10*N1406</f>
        <v>0.19050000000000006</v>
      </c>
      <c r="O1411" s="1361">
        <f t="shared" si="958"/>
        <v>0.19050000000000006</v>
      </c>
      <c r="P1411" s="333">
        <f t="shared" si="959"/>
        <v>104.30268595041326</v>
      </c>
      <c r="Q1411" s="327">
        <f t="shared" si="960"/>
        <v>0</v>
      </c>
      <c r="R1411" s="334">
        <f t="shared" si="961"/>
        <v>0</v>
      </c>
      <c r="S1411" s="335">
        <f t="shared" si="775"/>
        <v>279.88430864002396</v>
      </c>
      <c r="T1411" s="335">
        <f t="shared" si="776"/>
        <v>52.657800000000009</v>
      </c>
      <c r="U1411" s="336">
        <f t="shared" si="777"/>
        <v>967.50268595041348</v>
      </c>
      <c r="V1411" s="336">
        <f t="shared" si="778"/>
        <v>0</v>
      </c>
      <c r="W1411" s="336">
        <f t="shared" si="779"/>
        <v>0</v>
      </c>
      <c r="X1411" s="336">
        <f t="shared" si="780"/>
        <v>0</v>
      </c>
      <c r="Y1411" s="320"/>
      <c r="Z1411" s="321" t="str">
        <f t="shared" si="932"/>
        <v>X-CORMETA</v>
      </c>
      <c r="AA1411" s="321" t="str">
        <f t="shared" si="933"/>
        <v>X-CORMETE</v>
      </c>
      <c r="AB1411" s="321" t="str">
        <f t="shared" si="934"/>
        <v>X-CORMETM</v>
      </c>
      <c r="AC1411" s="321" t="str">
        <f t="shared" si="935"/>
        <v>X-CORMETT</v>
      </c>
      <c r="AD1411" s="321" t="str">
        <f t="shared" si="936"/>
        <v>X-CORMETS</v>
      </c>
      <c r="AE1411" s="321" t="str">
        <f t="shared" si="937"/>
        <v>X-CORMETX</v>
      </c>
      <c r="AF1411" s="321" t="str">
        <f t="shared" si="938"/>
        <v>X-CORMETM</v>
      </c>
      <c r="AG1411" s="321">
        <f t="shared" si="781"/>
        <v>10</v>
      </c>
      <c r="AH1411" s="321">
        <f>IF(B1411&lt;&gt;"",IF(H1411="x",VLOOKUP(I1411,'AUX-NIV3'!B:AG,32,FALSE),0),"")</f>
        <v>0</v>
      </c>
      <c r="AI1411" s="321" t="str">
        <f t="shared" si="939"/>
        <v>X-CORMET</v>
      </c>
      <c r="AJ1411" s="320"/>
      <c r="AK1411" s="322">
        <f t="shared" si="782"/>
        <v>1404</v>
      </c>
      <c r="AL1411" s="323">
        <f t="shared" si="940"/>
        <v>1413</v>
      </c>
      <c r="AM1411" s="322" t="e">
        <f t="shared" ref="AM1411:AM1413" si="962">IF(B1411&lt;&gt;"",IF(B1411=B1410,1+AM1410,1),"")</f>
        <v>#REF!</v>
      </c>
      <c r="AN1411" s="380">
        <f>IF(AND(AH1411&gt;0,B1411&lt;&gt;""),VLOOKUP(I1411,'AUX-NIV3'!$B:$AO,39,FALSE)*O1411,0)</f>
        <v>0</v>
      </c>
      <c r="AO1411" s="380">
        <f t="shared" si="783"/>
        <v>0.51606450000000026</v>
      </c>
      <c r="AP1411" s="380"/>
    </row>
    <row r="1412" spans="2:42">
      <c r="B1412" s="501" t="s">
        <v>4644</v>
      </c>
      <c r="C1412" s="951" t="s">
        <v>4648</v>
      </c>
      <c r="D1412" s="326" t="s">
        <v>610</v>
      </c>
      <c r="E1412" s="327">
        <f>IF(B1412&lt;&gt;"",SUMIF('AUX-NIV1'!I:I,'AUX-NIV2'!B1412,'AUX-NIV1'!Q:Q),"")</f>
        <v>0</v>
      </c>
      <c r="F1412" s="327">
        <f t="shared" si="773"/>
        <v>1300.0447945904373</v>
      </c>
      <c r="G1412" s="327">
        <f t="shared" si="774"/>
        <v>0</v>
      </c>
      <c r="H1412" s="328" t="str">
        <f t="shared" si="931"/>
        <v>M</v>
      </c>
      <c r="I1412" s="324" t="s">
        <v>3860</v>
      </c>
      <c r="J1412" s="431" t="str">
        <f>IF(B1412&lt;&gt;"",+VLOOKUP(I1412,Recursos!C:F,2,FALSE),"")</f>
        <v>AGUARRAS</v>
      </c>
      <c r="K1412" s="330" t="str">
        <f>IF(B1412&lt;&gt;"",+VLOOKUP(I1412,Recursos!C:F,3,FALSE),"")</f>
        <v>LTS</v>
      </c>
      <c r="L1412" s="446">
        <f>IF(B1412&lt;&gt;"",+VLOOKUP(I1412,Recursos!C:F,4,FALSE),"")</f>
        <v>124.7</v>
      </c>
      <c r="M1412" s="1624"/>
      <c r="N1412" s="1625">
        <f>N1410/2</f>
        <v>0</v>
      </c>
      <c r="O1412" s="1361">
        <f t="shared" si="958"/>
        <v>0</v>
      </c>
      <c r="P1412" s="333">
        <f t="shared" si="959"/>
        <v>0</v>
      </c>
      <c r="Q1412" s="327">
        <f t="shared" si="960"/>
        <v>0</v>
      </c>
      <c r="R1412" s="334">
        <f t="shared" si="961"/>
        <v>0</v>
      </c>
      <c r="S1412" s="335">
        <f t="shared" si="775"/>
        <v>279.88430864002396</v>
      </c>
      <c r="T1412" s="335">
        <f t="shared" si="776"/>
        <v>52.657800000000009</v>
      </c>
      <c r="U1412" s="336">
        <f t="shared" si="777"/>
        <v>967.50268595041348</v>
      </c>
      <c r="V1412" s="336">
        <f t="shared" si="778"/>
        <v>0</v>
      </c>
      <c r="W1412" s="336">
        <f t="shared" si="779"/>
        <v>0</v>
      </c>
      <c r="X1412" s="336">
        <f t="shared" si="780"/>
        <v>0</v>
      </c>
      <c r="Y1412" s="320"/>
      <c r="Z1412" s="321" t="str">
        <f t="shared" si="932"/>
        <v>X-CORMETA</v>
      </c>
      <c r="AA1412" s="321" t="str">
        <f t="shared" si="933"/>
        <v>X-CORMETE</v>
      </c>
      <c r="AB1412" s="321" t="str">
        <f t="shared" si="934"/>
        <v>X-CORMETM</v>
      </c>
      <c r="AC1412" s="321" t="str">
        <f t="shared" si="935"/>
        <v>X-CORMETT</v>
      </c>
      <c r="AD1412" s="321" t="str">
        <f t="shared" si="936"/>
        <v>X-CORMETS</v>
      </c>
      <c r="AE1412" s="321" t="str">
        <f t="shared" si="937"/>
        <v>X-CORMETX</v>
      </c>
      <c r="AF1412" s="321" t="str">
        <f t="shared" si="938"/>
        <v>X-CORMETM</v>
      </c>
      <c r="AG1412" s="321">
        <f t="shared" si="781"/>
        <v>10</v>
      </c>
      <c r="AH1412" s="321">
        <f>IF(B1412&lt;&gt;"",IF(H1412="x",VLOOKUP(I1412,'AUX-NIV3'!B:AG,32,FALSE),0),"")</f>
        <v>0</v>
      </c>
      <c r="AI1412" s="321" t="str">
        <f t="shared" si="939"/>
        <v>X-CORMET</v>
      </c>
      <c r="AJ1412" s="320"/>
      <c r="AK1412" s="322">
        <f t="shared" si="782"/>
        <v>1404</v>
      </c>
      <c r="AL1412" s="323">
        <f t="shared" si="940"/>
        <v>1413</v>
      </c>
      <c r="AM1412" s="322" t="e">
        <f t="shared" si="962"/>
        <v>#REF!</v>
      </c>
      <c r="AN1412" s="380">
        <f>IF(AND(AH1412&gt;0,B1412&lt;&gt;""),VLOOKUP(I1412,'AUX-NIV3'!$B:$AO,39,FALSE)*O1412,0)</f>
        <v>0</v>
      </c>
      <c r="AO1412" s="380">
        <f t="shared" si="783"/>
        <v>0.51606450000000026</v>
      </c>
      <c r="AP1412" s="380"/>
    </row>
    <row r="1413" spans="2:42" ht="13.8" thickBot="1">
      <c r="B1413" s="501" t="s">
        <v>4644</v>
      </c>
      <c r="C1413" s="951" t="s">
        <v>4648</v>
      </c>
      <c r="D1413" s="326" t="s">
        <v>610</v>
      </c>
      <c r="E1413" s="327">
        <f>IF(B1413&lt;&gt;"",SUMIF('AUX-NIV1'!I:I,'AUX-NIV2'!B1413,'AUX-NIV1'!Q:Q),"")</f>
        <v>0</v>
      </c>
      <c r="F1413" s="327">
        <f t="shared" si="773"/>
        <v>1300.0447945904373</v>
      </c>
      <c r="G1413" s="327">
        <f t="shared" si="774"/>
        <v>0</v>
      </c>
      <c r="H1413" s="328" t="str">
        <f t="shared" ref="H1413" si="963">IF(B1413&lt;&gt;"",+LEFT(I1413,1),"")</f>
        <v>M</v>
      </c>
      <c r="I1413" s="324" t="s">
        <v>621</v>
      </c>
      <c r="J1413" s="431" t="str">
        <f>IF(B1413&lt;&gt;"",+VLOOKUP(I1413,Recursos!C:F,2,FALSE),"")</f>
        <v>MATERIALES VARIOS</v>
      </c>
      <c r="K1413" s="330" t="str">
        <f>IF(B1413&lt;&gt;"",+VLOOKUP(I1413,Recursos!C:F,3,FALSE),"")</f>
        <v>GL</v>
      </c>
      <c r="L1413" s="446">
        <f>IF(B1413&lt;&gt;"",+VLOOKUP(I1413,Recursos!C:F,4,FALSE),"")</f>
        <v>0.5</v>
      </c>
      <c r="M1413" s="1626"/>
      <c r="N1413" s="1627">
        <v>50</v>
      </c>
      <c r="O1413" s="1361">
        <f t="shared" si="958"/>
        <v>50</v>
      </c>
      <c r="P1413" s="333">
        <f t="shared" si="959"/>
        <v>25</v>
      </c>
      <c r="Q1413" s="327">
        <f t="shared" si="960"/>
        <v>0</v>
      </c>
      <c r="R1413" s="334">
        <f t="shared" si="961"/>
        <v>0</v>
      </c>
      <c r="S1413" s="335">
        <f t="shared" si="775"/>
        <v>279.88430864002396</v>
      </c>
      <c r="T1413" s="335">
        <f t="shared" si="776"/>
        <v>52.657800000000009</v>
      </c>
      <c r="U1413" s="336">
        <f t="shared" si="777"/>
        <v>967.50268595041348</v>
      </c>
      <c r="V1413" s="336">
        <f t="shared" si="778"/>
        <v>0</v>
      </c>
      <c r="W1413" s="336">
        <f t="shared" si="779"/>
        <v>0</v>
      </c>
      <c r="X1413" s="336">
        <f t="shared" si="780"/>
        <v>0</v>
      </c>
      <c r="Y1413" s="320"/>
      <c r="Z1413" s="321" t="str">
        <f t="shared" ref="Z1413" si="964">IF(B1413&lt;&gt;"",+$B1413&amp;"A","")</f>
        <v>X-CORMETA</v>
      </c>
      <c r="AA1413" s="321" t="str">
        <f t="shared" ref="AA1413" si="965">IF(B1413&lt;&gt;"",+$B1413&amp;"E","")</f>
        <v>X-CORMETE</v>
      </c>
      <c r="AB1413" s="321" t="str">
        <f t="shared" ref="AB1413" si="966">IF(B1413&lt;&gt;"",++$B1413&amp;"M","")</f>
        <v>X-CORMETM</v>
      </c>
      <c r="AC1413" s="321" t="str">
        <f t="shared" ref="AC1413" si="967">IF(B1413&lt;&gt;"",+$B1413&amp;"T","")</f>
        <v>X-CORMETT</v>
      </c>
      <c r="AD1413" s="321" t="str">
        <f t="shared" ref="AD1413" si="968">IF(B1413&lt;&gt;"",+$B1413&amp;"S","")</f>
        <v>X-CORMETS</v>
      </c>
      <c r="AE1413" s="321" t="str">
        <f t="shared" ref="AE1413" si="969">IF(B1413&lt;&gt;"",+$B1413&amp;"X","")</f>
        <v>X-CORMETX</v>
      </c>
      <c r="AF1413" s="321" t="str">
        <f t="shared" ref="AF1413" si="970">IF(B1413&lt;&gt;"",+B1413&amp;H1413,"")</f>
        <v>X-CORMETM</v>
      </c>
      <c r="AG1413" s="321">
        <f t="shared" si="781"/>
        <v>10</v>
      </c>
      <c r="AH1413" s="321">
        <f>IF(B1413&lt;&gt;"",IF(H1413="x",VLOOKUP(I1413,'AUX-NIV3'!B:AG,32,FALSE),0),"")</f>
        <v>0</v>
      </c>
      <c r="AI1413" s="321" t="str">
        <f t="shared" ref="AI1413" si="971">IF(B1413&lt;&gt;"",+B1413,"")</f>
        <v>X-CORMET</v>
      </c>
      <c r="AJ1413" s="320"/>
      <c r="AK1413" s="322">
        <f t="shared" si="782"/>
        <v>1404</v>
      </c>
      <c r="AL1413" s="323">
        <f t="shared" ref="AL1413" si="972">IF(B1413&lt;&gt;"",+AK1413+AG1413-1,"")</f>
        <v>1413</v>
      </c>
      <c r="AM1413" s="322" t="e">
        <f t="shared" si="962"/>
        <v>#REF!</v>
      </c>
      <c r="AN1413" s="380">
        <f>IF(AND(AH1413&gt;0,B1413&lt;&gt;""),VLOOKUP(I1413,'AUX-NIV3'!$B:$AO,39,FALSE)*O1413,0)</f>
        <v>0</v>
      </c>
      <c r="AO1413" s="380">
        <f t="shared" si="783"/>
        <v>0.51606450000000026</v>
      </c>
      <c r="AP1413" s="380"/>
    </row>
    <row r="1414" spans="2:42" ht="13.8" hidden="1" thickTop="1">
      <c r="B1414" s="501" t="s">
        <v>4332</v>
      </c>
      <c r="C1414" s="951" t="s">
        <v>4333</v>
      </c>
      <c r="D1414" s="326" t="s">
        <v>546</v>
      </c>
      <c r="E1414" s="327">
        <f>IF(B1414&lt;&gt;"",SUMIF('AUX-NIV1'!I:I,'AUX-NIV2'!B1414,'AUX-NIV1'!Q:Q),"")</f>
        <v>0</v>
      </c>
      <c r="F1414" s="327">
        <f t="shared" si="773"/>
        <v>791.76072159233115</v>
      </c>
      <c r="G1414" s="327">
        <f t="shared" si="774"/>
        <v>0</v>
      </c>
      <c r="H1414" s="328" t="str">
        <f t="shared" ref="H1414:H1417" si="973">IF(B1414&lt;&gt;"",+LEFT(I1414,1),"")</f>
        <v>A</v>
      </c>
      <c r="I1414" s="324" t="s">
        <v>3309</v>
      </c>
      <c r="J1414" s="431" t="str">
        <f>IF(B1414&lt;&gt;"",+VLOOKUP(I1414,Recursos!C:F,2,FALSE),"")</f>
        <v>MEDIO OFICIAL</v>
      </c>
      <c r="K1414" s="330" t="str">
        <f>IF(B1414&lt;&gt;"",+VLOOKUP(I1414,Recursos!C:F,3,FALSE),"")</f>
        <v>hh</v>
      </c>
      <c r="L1414" s="446">
        <f>IF(B1414&lt;&gt;"",+VLOOKUP(I1414,Recursos!C:F,4,FALSE),"")</f>
        <v>459.10093211890984</v>
      </c>
      <c r="M1414" s="1624">
        <f>0.7*20%+0.4*80%</f>
        <v>0.46000000000000008</v>
      </c>
      <c r="N1414" s="1625">
        <f>0.2*2/2</f>
        <v>0.2</v>
      </c>
      <c r="O1414" s="1361">
        <f t="shared" si="926"/>
        <v>0.2</v>
      </c>
      <c r="P1414" s="333">
        <f t="shared" ref="P1414:P1417" si="974">IF(B1414&lt;&gt;"",O1414*L1414,"")</f>
        <v>91.820186423781976</v>
      </c>
      <c r="Q1414" s="327">
        <f t="shared" ref="Q1414:Q1417" si="975">IF(B1414&lt;&gt;"",+O1414*E1414,"")</f>
        <v>0</v>
      </c>
      <c r="R1414" s="334">
        <f t="shared" ref="R1414:R1417" si="976">IF(B1414&lt;&gt;"",Q1414*L1414,"")</f>
        <v>0</v>
      </c>
      <c r="S1414" s="335">
        <f t="shared" si="775"/>
        <v>208.03242737745509</v>
      </c>
      <c r="T1414" s="335">
        <f t="shared" si="776"/>
        <v>56.331600000000016</v>
      </c>
      <c r="U1414" s="336">
        <f t="shared" si="777"/>
        <v>527.39669421487611</v>
      </c>
      <c r="V1414" s="336">
        <f t="shared" si="778"/>
        <v>0</v>
      </c>
      <c r="W1414" s="336">
        <f t="shared" si="779"/>
        <v>0</v>
      </c>
      <c r="X1414" s="336">
        <f t="shared" si="780"/>
        <v>0</v>
      </c>
      <c r="Y1414" s="320"/>
      <c r="Z1414" s="321" t="str">
        <f t="shared" ref="Z1414:Z1417" si="977">IF(B1414&lt;&gt;"",+$B1414&amp;"A","")</f>
        <v>X-BRNDMETA</v>
      </c>
      <c r="AA1414" s="321" t="str">
        <f t="shared" ref="AA1414:AA1417" si="978">IF(B1414&lt;&gt;"",+$B1414&amp;"E","")</f>
        <v>X-BRNDMETE</v>
      </c>
      <c r="AB1414" s="321" t="str">
        <f t="shared" ref="AB1414:AB1417" si="979">IF(B1414&lt;&gt;"",++$B1414&amp;"M","")</f>
        <v>X-BRNDMETM</v>
      </c>
      <c r="AC1414" s="321" t="str">
        <f t="shared" ref="AC1414:AC1417" si="980">IF(B1414&lt;&gt;"",+$B1414&amp;"T","")</f>
        <v>X-BRNDMETT</v>
      </c>
      <c r="AD1414" s="321" t="str">
        <f t="shared" ref="AD1414:AD1417" si="981">IF(B1414&lt;&gt;"",+$B1414&amp;"S","")</f>
        <v>X-BRNDMETS</v>
      </c>
      <c r="AE1414" s="321" t="str">
        <f t="shared" ref="AE1414:AE1417" si="982">IF(B1414&lt;&gt;"",+$B1414&amp;"X","")</f>
        <v>X-BRNDMETX</v>
      </c>
      <c r="AF1414" s="321" t="str">
        <f t="shared" ref="AF1414:AF1417" si="983">IF(B1414&lt;&gt;"",+B1414&amp;H1414,"")</f>
        <v>X-BRNDMETA</v>
      </c>
      <c r="AG1414" s="321">
        <f t="shared" si="781"/>
        <v>7</v>
      </c>
      <c r="AH1414" s="321">
        <f>IF(B1414&lt;&gt;"",IF(H1414="x",VLOOKUP(I1414,'AUX-NIV3'!B:AG,32,FALSE),0),"")</f>
        <v>0</v>
      </c>
      <c r="AI1414" s="321" t="str">
        <f t="shared" ref="AI1414:AI1417" si="984">IF(B1414&lt;&gt;"",+B1414,"")</f>
        <v>X-BRNDMET</v>
      </c>
      <c r="AJ1414" s="320"/>
      <c r="AK1414" s="322">
        <f t="shared" si="782"/>
        <v>1414</v>
      </c>
      <c r="AL1414" s="323">
        <f t="shared" ref="AL1414:AL1417" si="985">IF(B1414&lt;&gt;"",+AK1414+AG1414-1,"")</f>
        <v>1420</v>
      </c>
      <c r="AM1414" s="322">
        <f>IF(B1414&lt;&gt;"",IF(B1414=B1403,1+AM1403,1),"")</f>
        <v>1</v>
      </c>
      <c r="AN1414" s="380">
        <f>IF(AND(AH1414&gt;0,B1414&lt;&gt;""),VLOOKUP(I1414,'AUX-NIV3'!$B:$AO,39,FALSE)*O1414,0)</f>
        <v>0</v>
      </c>
      <c r="AO1414" s="380">
        <f t="shared" si="783"/>
        <v>0.4</v>
      </c>
      <c r="AP1414" s="380"/>
    </row>
    <row r="1415" spans="2:42" ht="14.4" hidden="1" thickTop="1" thickBot="1">
      <c r="B1415" s="501" t="s">
        <v>4332</v>
      </c>
      <c r="C1415" s="951" t="s">
        <v>4333</v>
      </c>
      <c r="D1415" s="326" t="s">
        <v>546</v>
      </c>
      <c r="E1415" s="327">
        <f>IF(B1415&lt;&gt;"",SUMIF('AUX-NIV1'!I:I,'AUX-NIV2'!B1415,'AUX-NIV1'!Q:Q),"")</f>
        <v>0</v>
      </c>
      <c r="F1415" s="327">
        <f t="shared" ref="F1415:F1478" si="986">IF(B1415&lt;&gt;"",+SUMIF(B:B,B1415,P:P),"")</f>
        <v>791.76072159233115</v>
      </c>
      <c r="G1415" s="327">
        <f t="shared" ref="G1415:G1478" si="987">IF(B1415&lt;&gt;"",+SUMIF(B:B,B1415,R:R),"")</f>
        <v>0</v>
      </c>
      <c r="H1415" s="328" t="str">
        <f t="shared" si="973"/>
        <v>A</v>
      </c>
      <c r="I1415" s="324" t="s">
        <v>3310</v>
      </c>
      <c r="J1415" s="431" t="str">
        <f>IF(B1415&lt;&gt;"",+VLOOKUP(I1415,Recursos!C:F,2,FALSE),"")</f>
        <v>OFICIAL ESPECIALIZADO</v>
      </c>
      <c r="K1415" s="330" t="str">
        <f>IF(B1415&lt;&gt;"",+VLOOKUP(I1415,Recursos!C:F,3,FALSE),"")</f>
        <v>hh</v>
      </c>
      <c r="L1415" s="446">
        <f>IF(B1415&lt;&gt;"",+VLOOKUP(I1415,Recursos!C:F,4,FALSE),"")</f>
        <v>581.06120476836554</v>
      </c>
      <c r="M1415" s="1624"/>
      <c r="N1415" s="1625">
        <f>0.2*2/2</f>
        <v>0.2</v>
      </c>
      <c r="O1415" s="1361">
        <f t="shared" si="926"/>
        <v>0.2</v>
      </c>
      <c r="P1415" s="333">
        <f t="shared" si="974"/>
        <v>116.21224095367312</v>
      </c>
      <c r="Q1415" s="327">
        <f t="shared" si="975"/>
        <v>0</v>
      </c>
      <c r="R1415" s="334">
        <f t="shared" si="976"/>
        <v>0</v>
      </c>
      <c r="S1415" s="335">
        <f t="shared" ref="S1415:S1478" si="988">IF(B1415&lt;&gt;"",+SUMIF($AF:$AF,Z1415,$P:$P),"")</f>
        <v>208.03242737745509</v>
      </c>
      <c r="T1415" s="335">
        <f t="shared" ref="T1415:T1478" si="989">IF(B1415&lt;&gt;"",+SUMIF($AF:$AF,AA1415,$P:$P),"")</f>
        <v>56.331600000000016</v>
      </c>
      <c r="U1415" s="336">
        <f t="shared" ref="U1415:U1478" si="990">IF(B1415&lt;&gt;"",+SUMIF($AF:$AF,AB1415,$P:$P),"")</f>
        <v>527.39669421487611</v>
      </c>
      <c r="V1415" s="336">
        <f t="shared" ref="V1415:V1478" si="991">IF(B1415&lt;&gt;"",+SUMIF($AF:$AF,AC1415,$P:$P),"")</f>
        <v>0</v>
      </c>
      <c r="W1415" s="336">
        <f t="shared" ref="W1415:W1478" si="992">IF(B1415&lt;&gt;"",+SUMIF($AF:$AF,AD1415,$P:$P),"")</f>
        <v>0</v>
      </c>
      <c r="X1415" s="336">
        <f t="shared" ref="X1415:X1478" si="993">IF(B1415&lt;&gt;"",+SUMIF($AF:$AF,AE1415,$P:$P),"")</f>
        <v>0</v>
      </c>
      <c r="Y1415" s="320"/>
      <c r="Z1415" s="321" t="str">
        <f t="shared" si="977"/>
        <v>X-BRNDMETA</v>
      </c>
      <c r="AA1415" s="321" t="str">
        <f t="shared" si="978"/>
        <v>X-BRNDMETE</v>
      </c>
      <c r="AB1415" s="321" t="str">
        <f t="shared" si="979"/>
        <v>X-BRNDMETM</v>
      </c>
      <c r="AC1415" s="321" t="str">
        <f t="shared" si="980"/>
        <v>X-BRNDMETT</v>
      </c>
      <c r="AD1415" s="321" t="str">
        <f t="shared" si="981"/>
        <v>X-BRNDMETS</v>
      </c>
      <c r="AE1415" s="321" t="str">
        <f t="shared" si="982"/>
        <v>X-BRNDMETX</v>
      </c>
      <c r="AF1415" s="321" t="str">
        <f t="shared" si="983"/>
        <v>X-BRNDMETA</v>
      </c>
      <c r="AG1415" s="321">
        <f t="shared" ref="AG1415:AG1478" si="994">IF(B1415&lt;&gt;"",+COUNTIF(B:B,B1415),"")</f>
        <v>7</v>
      </c>
      <c r="AH1415" s="321">
        <f>IF(B1415&lt;&gt;"",IF(H1415="x",VLOOKUP(I1415,'AUX-NIV3'!B:AG,32,FALSE),0),"")</f>
        <v>0</v>
      </c>
      <c r="AI1415" s="321" t="str">
        <f t="shared" si="984"/>
        <v>X-BRNDMET</v>
      </c>
      <c r="AJ1415" s="320"/>
      <c r="AK1415" s="322">
        <f t="shared" ref="AK1415:AK1478" si="995">IF(B1415&lt;&gt;"",+MATCH(B1415,B:B,0),"")</f>
        <v>1414</v>
      </c>
      <c r="AL1415" s="323">
        <f t="shared" si="985"/>
        <v>1420</v>
      </c>
      <c r="AM1415" s="322">
        <f t="shared" ref="AM1415:AM1417" si="996">IF(B1415&lt;&gt;"",IF(B1415=B1414,1+AM1414,1),"")</f>
        <v>2</v>
      </c>
      <c r="AN1415" s="380">
        <f>IF(AND(AH1415&gt;0,B1415&lt;&gt;""),VLOOKUP(I1415,'AUX-NIV3'!$B:$AO,39,FALSE)*O1415,0)</f>
        <v>0</v>
      </c>
      <c r="AO1415" s="380">
        <f t="shared" ref="AO1415:AO1478" si="997">+IF(B1415&lt;&gt;"",SUMIF(AF:AF,Z1415,O:O)+SUMIF(Z:Z,Z1415,AN:AN),0)</f>
        <v>0.4</v>
      </c>
      <c r="AP1415" s="380"/>
    </row>
    <row r="1416" spans="2:42" ht="14.4" hidden="1" thickTop="1" thickBot="1">
      <c r="B1416" s="501" t="s">
        <v>4332</v>
      </c>
      <c r="C1416" s="951" t="s">
        <v>4333</v>
      </c>
      <c r="D1416" s="326" t="s">
        <v>546</v>
      </c>
      <c r="E1416" s="327">
        <f>IF(B1416&lt;&gt;"",SUMIF('AUX-NIV1'!I:I,'AUX-NIV2'!B1416,'AUX-NIV1'!Q:Q),"")</f>
        <v>0</v>
      </c>
      <c r="F1416" s="327">
        <f t="shared" si="986"/>
        <v>791.76072159233115</v>
      </c>
      <c r="G1416" s="327">
        <f t="shared" si="987"/>
        <v>0</v>
      </c>
      <c r="H1416" s="328" t="str">
        <f t="shared" si="973"/>
        <v>M</v>
      </c>
      <c r="I1416" s="324" t="s">
        <v>2189</v>
      </c>
      <c r="J1416" s="431" t="str">
        <f>IF(B1416&lt;&gt;"",+VLOOKUP(I1416,Recursos!C:F,2,FALSE),"")</f>
        <v>PERFIL LAMINADO DE ACERO CARBONO</v>
      </c>
      <c r="K1416" s="330" t="str">
        <f>IF(B1416&lt;&gt;"",+VLOOKUP(I1416,Recursos!C:F,3,FALSE),"")</f>
        <v>Kg</v>
      </c>
      <c r="L1416" s="446">
        <f>IF(B1416&lt;&gt;"",+VLOOKUP(I1416,Recursos!C:F,4,FALSE),"")</f>
        <v>320</v>
      </c>
      <c r="M1416" s="1624"/>
      <c r="N1416" s="1625">
        <v>1</v>
      </c>
      <c r="O1416" s="1361">
        <f t="shared" si="926"/>
        <v>1</v>
      </c>
      <c r="P1416" s="333">
        <f t="shared" si="974"/>
        <v>320</v>
      </c>
      <c r="Q1416" s="327">
        <f t="shared" si="975"/>
        <v>0</v>
      </c>
      <c r="R1416" s="334">
        <f t="shared" si="976"/>
        <v>0</v>
      </c>
      <c r="S1416" s="335">
        <f t="shared" si="988"/>
        <v>208.03242737745509</v>
      </c>
      <c r="T1416" s="335">
        <f t="shared" si="989"/>
        <v>56.331600000000016</v>
      </c>
      <c r="U1416" s="336">
        <f t="shared" si="990"/>
        <v>527.39669421487611</v>
      </c>
      <c r="V1416" s="336">
        <f t="shared" si="991"/>
        <v>0</v>
      </c>
      <c r="W1416" s="336">
        <f t="shared" si="992"/>
        <v>0</v>
      </c>
      <c r="X1416" s="336">
        <f t="shared" si="993"/>
        <v>0</v>
      </c>
      <c r="Y1416" s="320"/>
      <c r="Z1416" s="321" t="str">
        <f t="shared" si="977"/>
        <v>X-BRNDMETA</v>
      </c>
      <c r="AA1416" s="321" t="str">
        <f t="shared" si="978"/>
        <v>X-BRNDMETE</v>
      </c>
      <c r="AB1416" s="321" t="str">
        <f t="shared" si="979"/>
        <v>X-BRNDMETM</v>
      </c>
      <c r="AC1416" s="321" t="str">
        <f t="shared" si="980"/>
        <v>X-BRNDMETT</v>
      </c>
      <c r="AD1416" s="321" t="str">
        <f t="shared" si="981"/>
        <v>X-BRNDMETS</v>
      </c>
      <c r="AE1416" s="321" t="str">
        <f t="shared" si="982"/>
        <v>X-BRNDMETX</v>
      </c>
      <c r="AF1416" s="321" t="str">
        <f t="shared" si="983"/>
        <v>X-BRNDMETM</v>
      </c>
      <c r="AG1416" s="321">
        <f t="shared" si="994"/>
        <v>7</v>
      </c>
      <c r="AH1416" s="321">
        <f>IF(B1416&lt;&gt;"",IF(H1416="x",VLOOKUP(I1416,'AUX-NIV3'!B:AG,32,FALSE),0),"")</f>
        <v>0</v>
      </c>
      <c r="AI1416" s="321" t="str">
        <f t="shared" si="984"/>
        <v>X-BRNDMET</v>
      </c>
      <c r="AJ1416" s="320"/>
      <c r="AK1416" s="322">
        <f t="shared" si="995"/>
        <v>1414</v>
      </c>
      <c r="AL1416" s="323">
        <f t="shared" si="985"/>
        <v>1420</v>
      </c>
      <c r="AM1416" s="322">
        <f t="shared" si="996"/>
        <v>3</v>
      </c>
      <c r="AN1416" s="380">
        <f>IF(AND(AH1416&gt;0,B1416&lt;&gt;""),VLOOKUP(I1416,'AUX-NIV3'!$B:$AO,39,FALSE)*O1416,0)</f>
        <v>0</v>
      </c>
      <c r="AO1416" s="380">
        <f t="shared" si="997"/>
        <v>0.4</v>
      </c>
      <c r="AP1416" s="380"/>
    </row>
    <row r="1417" spans="2:42" ht="14.4" hidden="1" thickTop="1" thickBot="1">
      <c r="B1417" s="501" t="s">
        <v>4332</v>
      </c>
      <c r="C1417" s="951" t="s">
        <v>4333</v>
      </c>
      <c r="D1417" s="326" t="s">
        <v>546</v>
      </c>
      <c r="E1417" s="327">
        <f>IF(B1417&lt;&gt;"",SUMIF('AUX-NIV1'!I:I,'AUX-NIV2'!B1417,'AUX-NIV1'!Q:Q),"")</f>
        <v>0</v>
      </c>
      <c r="F1417" s="327">
        <f t="shared" si="986"/>
        <v>791.76072159233115</v>
      </c>
      <c r="G1417" s="327">
        <f t="shared" si="987"/>
        <v>0</v>
      </c>
      <c r="H1417" s="328" t="str">
        <f t="shared" si="973"/>
        <v>M</v>
      </c>
      <c r="I1417" s="324" t="s">
        <v>4304</v>
      </c>
      <c r="J1417" s="431" t="str">
        <f>IF(B1417&lt;&gt;"",+VLOOKUP(I1417,Recursos!C:F,2,FALSE),"")</f>
        <v>ELECTRODOS</v>
      </c>
      <c r="K1417" s="330" t="str">
        <f>IF(B1417&lt;&gt;"",+VLOOKUP(I1417,Recursos!C:F,3,FALSE),"")</f>
        <v>KG</v>
      </c>
      <c r="L1417" s="446">
        <f>IF(B1417&lt;&gt;"",+VLOOKUP(I1417,Recursos!C:F,4,FALSE),"")</f>
        <v>700</v>
      </c>
      <c r="M1417" s="1624"/>
      <c r="N1417" s="1625">
        <v>0.1</v>
      </c>
      <c r="O1417" s="1361">
        <f t="shared" si="926"/>
        <v>0.1</v>
      </c>
      <c r="P1417" s="333">
        <f t="shared" si="974"/>
        <v>70</v>
      </c>
      <c r="Q1417" s="327">
        <f t="shared" si="975"/>
        <v>0</v>
      </c>
      <c r="R1417" s="334">
        <f t="shared" si="976"/>
        <v>0</v>
      </c>
      <c r="S1417" s="335">
        <f t="shared" si="988"/>
        <v>208.03242737745509</v>
      </c>
      <c r="T1417" s="335">
        <f t="shared" si="989"/>
        <v>56.331600000000016</v>
      </c>
      <c r="U1417" s="336">
        <f t="shared" si="990"/>
        <v>527.39669421487611</v>
      </c>
      <c r="V1417" s="336">
        <f t="shared" si="991"/>
        <v>0</v>
      </c>
      <c r="W1417" s="336">
        <f t="shared" si="992"/>
        <v>0</v>
      </c>
      <c r="X1417" s="336">
        <f t="shared" si="993"/>
        <v>0</v>
      </c>
      <c r="Y1417" s="320"/>
      <c r="Z1417" s="321" t="str">
        <f t="shared" si="977"/>
        <v>X-BRNDMETA</v>
      </c>
      <c r="AA1417" s="321" t="str">
        <f t="shared" si="978"/>
        <v>X-BRNDMETE</v>
      </c>
      <c r="AB1417" s="321" t="str">
        <f t="shared" si="979"/>
        <v>X-BRNDMETM</v>
      </c>
      <c r="AC1417" s="321" t="str">
        <f t="shared" si="980"/>
        <v>X-BRNDMETT</v>
      </c>
      <c r="AD1417" s="321" t="str">
        <f t="shared" si="981"/>
        <v>X-BRNDMETS</v>
      </c>
      <c r="AE1417" s="321" t="str">
        <f t="shared" si="982"/>
        <v>X-BRNDMETX</v>
      </c>
      <c r="AF1417" s="321" t="str">
        <f t="shared" si="983"/>
        <v>X-BRNDMETM</v>
      </c>
      <c r="AG1417" s="321">
        <f t="shared" si="994"/>
        <v>7</v>
      </c>
      <c r="AH1417" s="321">
        <f>IF(B1417&lt;&gt;"",IF(H1417="x",VLOOKUP(I1417,'AUX-NIV3'!B:AG,32,FALSE),0),"")</f>
        <v>0</v>
      </c>
      <c r="AI1417" s="321" t="str">
        <f t="shared" si="984"/>
        <v>X-BRNDMET</v>
      </c>
      <c r="AJ1417" s="320"/>
      <c r="AK1417" s="322">
        <f t="shared" si="995"/>
        <v>1414</v>
      </c>
      <c r="AL1417" s="323">
        <f t="shared" si="985"/>
        <v>1420</v>
      </c>
      <c r="AM1417" s="322">
        <f t="shared" si="996"/>
        <v>4</v>
      </c>
      <c r="AN1417" s="380">
        <f>IF(AND(AH1417&gt;0,B1417&lt;&gt;""),VLOOKUP(I1417,'AUX-NIV3'!$B:$AO,39,FALSE)*O1417,0)</f>
        <v>0</v>
      </c>
      <c r="AO1417" s="380">
        <f t="shared" si="997"/>
        <v>0.4</v>
      </c>
      <c r="AP1417" s="380"/>
    </row>
    <row r="1418" spans="2:42" ht="14.4" hidden="1" thickTop="1" thickBot="1">
      <c r="B1418" s="501" t="s">
        <v>4332</v>
      </c>
      <c r="C1418" s="951" t="s">
        <v>4333</v>
      </c>
      <c r="D1418" s="326" t="s">
        <v>546</v>
      </c>
      <c r="E1418" s="327">
        <f>IF(B1418&lt;&gt;"",SUMIF('AUX-NIV1'!I:I,'AUX-NIV2'!B1418,'AUX-NIV1'!Q:Q),"")</f>
        <v>0</v>
      </c>
      <c r="F1418" s="327">
        <f t="shared" si="986"/>
        <v>791.76072159233115</v>
      </c>
      <c r="G1418" s="327">
        <f t="shared" si="987"/>
        <v>0</v>
      </c>
      <c r="H1418" s="328" t="str">
        <f t="shared" ref="H1418:H1426" si="998">IF(B1418&lt;&gt;"",+LEFT(I1418,1),"")</f>
        <v>E</v>
      </c>
      <c r="I1418" s="324" t="s">
        <v>1629</v>
      </c>
      <c r="J1418" s="431" t="str">
        <f>IF(B1418&lt;&gt;"",+VLOOKUP(I1418,Recursos!C:F,2,FALSE),"")</f>
        <v>ELECTROSOLDADORA 400 AMP</v>
      </c>
      <c r="K1418" s="330" t="str">
        <f>IF(B1418&lt;&gt;"",+VLOOKUP(I1418,Recursos!C:F,3,FALSE),"")</f>
        <v>HR</v>
      </c>
      <c r="L1418" s="446">
        <f>IF(B1418&lt;&gt;"",+VLOOKUP(I1418,Recursos!C:F,4,FALSE),"")</f>
        <v>122.46000000000001</v>
      </c>
      <c r="M1418" s="1624"/>
      <c r="N1418" s="1625">
        <f>M1414</f>
        <v>0.46000000000000008</v>
      </c>
      <c r="O1418" s="1361">
        <f t="shared" ref="O1418:O1420" si="999">N1418</f>
        <v>0.46000000000000008</v>
      </c>
      <c r="P1418" s="333">
        <f t="shared" ref="P1418:P1425" si="1000">IF(B1418&lt;&gt;"",O1418*L1418,"")</f>
        <v>56.331600000000016</v>
      </c>
      <c r="Q1418" s="327">
        <f t="shared" ref="Q1418:Q1425" si="1001">IF(B1418&lt;&gt;"",+O1418*E1418,"")</f>
        <v>0</v>
      </c>
      <c r="R1418" s="334">
        <f t="shared" ref="R1418:R1425" si="1002">IF(B1418&lt;&gt;"",Q1418*L1418,"")</f>
        <v>0</v>
      </c>
      <c r="S1418" s="335">
        <f t="shared" si="988"/>
        <v>208.03242737745509</v>
      </c>
      <c r="T1418" s="335">
        <f t="shared" si="989"/>
        <v>56.331600000000016</v>
      </c>
      <c r="U1418" s="336">
        <f t="shared" si="990"/>
        <v>527.39669421487611</v>
      </c>
      <c r="V1418" s="336">
        <f t="shared" si="991"/>
        <v>0</v>
      </c>
      <c r="W1418" s="336">
        <f t="shared" si="992"/>
        <v>0</v>
      </c>
      <c r="X1418" s="336">
        <f t="shared" si="993"/>
        <v>0</v>
      </c>
      <c r="Y1418" s="320"/>
      <c r="Z1418" s="321" t="str">
        <f t="shared" ref="Z1418:Z1426" si="1003">IF(B1418&lt;&gt;"",+$B1418&amp;"A","")</f>
        <v>X-BRNDMETA</v>
      </c>
      <c r="AA1418" s="321" t="str">
        <f t="shared" ref="AA1418:AA1426" si="1004">IF(B1418&lt;&gt;"",+$B1418&amp;"E","")</f>
        <v>X-BRNDMETE</v>
      </c>
      <c r="AB1418" s="321" t="str">
        <f t="shared" ref="AB1418:AB1426" si="1005">IF(B1418&lt;&gt;"",++$B1418&amp;"M","")</f>
        <v>X-BRNDMETM</v>
      </c>
      <c r="AC1418" s="321" t="str">
        <f t="shared" ref="AC1418:AC1426" si="1006">IF(B1418&lt;&gt;"",+$B1418&amp;"T","")</f>
        <v>X-BRNDMETT</v>
      </c>
      <c r="AD1418" s="321" t="str">
        <f t="shared" ref="AD1418:AD1426" si="1007">IF(B1418&lt;&gt;"",+$B1418&amp;"S","")</f>
        <v>X-BRNDMETS</v>
      </c>
      <c r="AE1418" s="321" t="str">
        <f t="shared" ref="AE1418:AE1426" si="1008">IF(B1418&lt;&gt;"",+$B1418&amp;"X","")</f>
        <v>X-BRNDMETX</v>
      </c>
      <c r="AF1418" s="321" t="str">
        <f t="shared" ref="AF1418:AF1426" si="1009">IF(B1418&lt;&gt;"",+B1418&amp;H1418,"")</f>
        <v>X-BRNDMETE</v>
      </c>
      <c r="AG1418" s="321">
        <f t="shared" si="994"/>
        <v>7</v>
      </c>
      <c r="AH1418" s="321">
        <f>IF(B1418&lt;&gt;"",IF(H1418="x",VLOOKUP(I1418,'AUX-NIV3'!B:AG,32,FALSE),0),"")</f>
        <v>0</v>
      </c>
      <c r="AI1418" s="321" t="str">
        <f t="shared" ref="AI1418:AI1426" si="1010">IF(B1418&lt;&gt;"",+B1418,"")</f>
        <v>X-BRNDMET</v>
      </c>
      <c r="AJ1418" s="320"/>
      <c r="AK1418" s="322">
        <f t="shared" si="995"/>
        <v>1414</v>
      </c>
      <c r="AL1418" s="323">
        <f t="shared" ref="AL1418:AL1426" si="1011">IF(B1418&lt;&gt;"",+AK1418+AG1418-1,"")</f>
        <v>1420</v>
      </c>
      <c r="AM1418" s="322" t="e">
        <f>IF(B1418&lt;&gt;"",IF(B1418=#REF!,1+#REF!,1),"")</f>
        <v>#REF!</v>
      </c>
      <c r="AN1418" s="380">
        <f>IF(AND(AH1418&gt;0,B1418&lt;&gt;""),VLOOKUP(I1418,'AUX-NIV3'!$B:$AO,39,FALSE)*O1418,0)</f>
        <v>0</v>
      </c>
      <c r="AO1418" s="380">
        <f t="shared" si="997"/>
        <v>0.4</v>
      </c>
      <c r="AP1418" s="380"/>
    </row>
    <row r="1419" spans="2:42" ht="14.4" hidden="1" thickTop="1" thickBot="1">
      <c r="B1419" s="501" t="s">
        <v>4332</v>
      </c>
      <c r="C1419" s="951" t="s">
        <v>4333</v>
      </c>
      <c r="D1419" s="326" t="s">
        <v>546</v>
      </c>
      <c r="E1419" s="327">
        <f>IF(B1419&lt;&gt;"",SUMIF('AUX-NIV1'!I:I,'AUX-NIV2'!B1419,'AUX-NIV1'!Q:Q),"")</f>
        <v>0</v>
      </c>
      <c r="F1419" s="327">
        <f t="shared" si="986"/>
        <v>791.76072159233115</v>
      </c>
      <c r="G1419" s="327">
        <f t="shared" si="987"/>
        <v>0</v>
      </c>
      <c r="H1419" s="328" t="str">
        <f t="shared" si="998"/>
        <v>M</v>
      </c>
      <c r="I1419" s="324" t="s">
        <v>3858</v>
      </c>
      <c r="J1419" s="431" t="str">
        <f>IF(B1419&lt;&gt;"",+VLOOKUP(I1419,Recursos!C:F,2,FALSE),"")</f>
        <v>PINTURA ESMALTE SINTETICO</v>
      </c>
      <c r="K1419" s="330" t="str">
        <f>IF(B1419&lt;&gt;"",+VLOOKUP(I1419,Recursos!C:F,3,FALSE),"")</f>
        <v>LTS</v>
      </c>
      <c r="L1419" s="446">
        <f>IF(B1419&lt;&gt;"",+VLOOKUP(I1419,Recursos!C:F,4,FALSE),"")</f>
        <v>661.15702479338847</v>
      </c>
      <c r="M1419" s="1624"/>
      <c r="N1419" s="1625">
        <f>1/8</f>
        <v>0.125</v>
      </c>
      <c r="O1419" s="1361">
        <f t="shared" si="999"/>
        <v>0.125</v>
      </c>
      <c r="P1419" s="333">
        <f t="shared" si="1000"/>
        <v>82.644628099173559</v>
      </c>
      <c r="Q1419" s="327">
        <f t="shared" si="1001"/>
        <v>0</v>
      </c>
      <c r="R1419" s="334">
        <f t="shared" si="1002"/>
        <v>0</v>
      </c>
      <c r="S1419" s="335">
        <f t="shared" si="988"/>
        <v>208.03242737745509</v>
      </c>
      <c r="T1419" s="335">
        <f t="shared" si="989"/>
        <v>56.331600000000016</v>
      </c>
      <c r="U1419" s="336">
        <f t="shared" si="990"/>
        <v>527.39669421487611</v>
      </c>
      <c r="V1419" s="336">
        <f t="shared" si="991"/>
        <v>0</v>
      </c>
      <c r="W1419" s="336">
        <f t="shared" si="992"/>
        <v>0</v>
      </c>
      <c r="X1419" s="336">
        <f t="shared" si="993"/>
        <v>0</v>
      </c>
      <c r="Y1419" s="320"/>
      <c r="Z1419" s="321" t="str">
        <f t="shared" si="1003"/>
        <v>X-BRNDMETA</v>
      </c>
      <c r="AA1419" s="321" t="str">
        <f t="shared" si="1004"/>
        <v>X-BRNDMETE</v>
      </c>
      <c r="AB1419" s="321" t="str">
        <f t="shared" si="1005"/>
        <v>X-BRNDMETM</v>
      </c>
      <c r="AC1419" s="321" t="str">
        <f t="shared" si="1006"/>
        <v>X-BRNDMETT</v>
      </c>
      <c r="AD1419" s="321" t="str">
        <f t="shared" si="1007"/>
        <v>X-BRNDMETS</v>
      </c>
      <c r="AE1419" s="321" t="str">
        <f t="shared" si="1008"/>
        <v>X-BRNDMETX</v>
      </c>
      <c r="AF1419" s="321" t="str">
        <f t="shared" si="1009"/>
        <v>X-BRNDMETM</v>
      </c>
      <c r="AG1419" s="321">
        <f t="shared" si="994"/>
        <v>7</v>
      </c>
      <c r="AH1419" s="321">
        <f>IF(B1419&lt;&gt;"",IF(H1419="x",VLOOKUP(I1419,'AUX-NIV3'!B:AG,32,FALSE),0),"")</f>
        <v>0</v>
      </c>
      <c r="AI1419" s="321" t="str">
        <f t="shared" si="1010"/>
        <v>X-BRNDMET</v>
      </c>
      <c r="AJ1419" s="320"/>
      <c r="AK1419" s="322">
        <f t="shared" si="995"/>
        <v>1414</v>
      </c>
      <c r="AL1419" s="323">
        <f t="shared" si="1011"/>
        <v>1420</v>
      </c>
      <c r="AM1419" s="322" t="e">
        <f t="shared" ref="AM1419:AM1420" si="1012">IF(B1419&lt;&gt;"",IF(B1419=B1418,1+AM1418,1),"")</f>
        <v>#REF!</v>
      </c>
      <c r="AN1419" s="380">
        <f>IF(AND(AH1419&gt;0,B1419&lt;&gt;""),VLOOKUP(I1419,'AUX-NIV3'!$B:$AO,39,FALSE)*O1419,0)</f>
        <v>0</v>
      </c>
      <c r="AO1419" s="380">
        <f t="shared" si="997"/>
        <v>0.4</v>
      </c>
      <c r="AP1419" s="380"/>
    </row>
    <row r="1420" spans="2:42" ht="14.4" hidden="1" thickTop="1" thickBot="1">
      <c r="B1420" s="501" t="s">
        <v>4332</v>
      </c>
      <c r="C1420" s="951" t="s">
        <v>4333</v>
      </c>
      <c r="D1420" s="326" t="s">
        <v>546</v>
      </c>
      <c r="E1420" s="327">
        <f>IF(B1420&lt;&gt;"",SUMIF('AUX-NIV1'!I:I,'AUX-NIV2'!B1420,'AUX-NIV1'!Q:Q),"")</f>
        <v>0</v>
      </c>
      <c r="F1420" s="327">
        <f t="shared" si="986"/>
        <v>791.76072159233115</v>
      </c>
      <c r="G1420" s="327">
        <f t="shared" si="987"/>
        <v>0</v>
      </c>
      <c r="H1420" s="328" t="str">
        <f t="shared" si="998"/>
        <v>M</v>
      </c>
      <c r="I1420" s="324" t="s">
        <v>3859</v>
      </c>
      <c r="J1420" s="431" t="str">
        <f>IF(B1420&lt;&gt;"",+VLOOKUP(I1420,Recursos!C:F,2,FALSE),"")</f>
        <v>PINTURA ANTIOXIDO</v>
      </c>
      <c r="K1420" s="330" t="str">
        <f>IF(B1420&lt;&gt;"",+VLOOKUP(I1420,Recursos!C:F,3,FALSE),"")</f>
        <v>LTS</v>
      </c>
      <c r="L1420" s="446">
        <f>IF(B1420&lt;&gt;"",+VLOOKUP(I1420,Recursos!C:F,4,FALSE),"")</f>
        <v>547.52066115702485</v>
      </c>
      <c r="M1420" s="1626"/>
      <c r="N1420" s="1625">
        <f>1/10</f>
        <v>0.1</v>
      </c>
      <c r="O1420" s="1361">
        <f t="shared" si="999"/>
        <v>0.1</v>
      </c>
      <c r="P1420" s="333">
        <f t="shared" si="1000"/>
        <v>54.75206611570249</v>
      </c>
      <c r="Q1420" s="327">
        <f t="shared" si="1001"/>
        <v>0</v>
      </c>
      <c r="R1420" s="334">
        <f t="shared" si="1002"/>
        <v>0</v>
      </c>
      <c r="S1420" s="335">
        <f t="shared" si="988"/>
        <v>208.03242737745509</v>
      </c>
      <c r="T1420" s="335">
        <f t="shared" si="989"/>
        <v>56.331600000000016</v>
      </c>
      <c r="U1420" s="336">
        <f t="shared" si="990"/>
        <v>527.39669421487611</v>
      </c>
      <c r="V1420" s="336">
        <f t="shared" si="991"/>
        <v>0</v>
      </c>
      <c r="W1420" s="336">
        <f t="shared" si="992"/>
        <v>0</v>
      </c>
      <c r="X1420" s="336">
        <f t="shared" si="993"/>
        <v>0</v>
      </c>
      <c r="Y1420" s="320"/>
      <c r="Z1420" s="321" t="str">
        <f t="shared" si="1003"/>
        <v>X-BRNDMETA</v>
      </c>
      <c r="AA1420" s="321" t="str">
        <f t="shared" si="1004"/>
        <v>X-BRNDMETE</v>
      </c>
      <c r="AB1420" s="321" t="str">
        <f t="shared" si="1005"/>
        <v>X-BRNDMETM</v>
      </c>
      <c r="AC1420" s="321" t="str">
        <f t="shared" si="1006"/>
        <v>X-BRNDMETT</v>
      </c>
      <c r="AD1420" s="321" t="str">
        <f t="shared" si="1007"/>
        <v>X-BRNDMETS</v>
      </c>
      <c r="AE1420" s="321" t="str">
        <f t="shared" si="1008"/>
        <v>X-BRNDMETX</v>
      </c>
      <c r="AF1420" s="321" t="str">
        <f t="shared" si="1009"/>
        <v>X-BRNDMETM</v>
      </c>
      <c r="AG1420" s="321">
        <f t="shared" si="994"/>
        <v>7</v>
      </c>
      <c r="AH1420" s="321">
        <f>IF(B1420&lt;&gt;"",IF(H1420="x",VLOOKUP(I1420,'AUX-NIV3'!B:AG,32,FALSE),0),"")</f>
        <v>0</v>
      </c>
      <c r="AI1420" s="321" t="str">
        <f t="shared" si="1010"/>
        <v>X-BRNDMET</v>
      </c>
      <c r="AJ1420" s="320"/>
      <c r="AK1420" s="322">
        <f t="shared" si="995"/>
        <v>1414</v>
      </c>
      <c r="AL1420" s="323">
        <f t="shared" si="1011"/>
        <v>1420</v>
      </c>
      <c r="AM1420" s="322" t="e">
        <f t="shared" si="1012"/>
        <v>#REF!</v>
      </c>
      <c r="AN1420" s="380">
        <f>IF(AND(AH1420&gt;0,B1420&lt;&gt;""),VLOOKUP(I1420,'AUX-NIV3'!$B:$AO,39,FALSE)*O1420,0)</f>
        <v>0</v>
      </c>
      <c r="AO1420" s="380">
        <f t="shared" si="997"/>
        <v>0.4</v>
      </c>
      <c r="AP1420" s="380"/>
    </row>
    <row r="1421" spans="2:42" ht="14.4" hidden="1" thickTop="1" thickBot="1">
      <c r="B1421" s="501" t="s">
        <v>4337</v>
      </c>
      <c r="C1421" s="951" t="s">
        <v>4336</v>
      </c>
      <c r="D1421" s="326" t="s">
        <v>501</v>
      </c>
      <c r="E1421" s="327">
        <f>IF(B1421&lt;&gt;"",SUMIF('AUX-NIV1'!I:I,'AUX-NIV2'!B1421,'AUX-NIV1'!Q:Q),"")</f>
        <v>0</v>
      </c>
      <c r="F1421" s="327">
        <f t="shared" si="986"/>
        <v>1784.1783505760031</v>
      </c>
      <c r="G1421" s="327">
        <f t="shared" si="987"/>
        <v>0</v>
      </c>
      <c r="H1421" s="328" t="str">
        <f t="shared" si="998"/>
        <v>A</v>
      </c>
      <c r="I1421" s="324" t="s">
        <v>3309</v>
      </c>
      <c r="J1421" s="431" t="str">
        <f>IF(B1421&lt;&gt;"",+VLOOKUP(I1421,Recursos!C:F,2,FALSE),"")</f>
        <v>MEDIO OFICIAL</v>
      </c>
      <c r="K1421" s="330" t="str">
        <f>IF(B1421&lt;&gt;"",+VLOOKUP(I1421,Recursos!C:F,3,FALSE),"")</f>
        <v>hh</v>
      </c>
      <c r="L1421" s="446">
        <f>IF(B1421&lt;&gt;"",+VLOOKUP(I1421,Recursos!C:F,4,FALSE),"")</f>
        <v>459.10093211890984</v>
      </c>
      <c r="M1421" s="1624">
        <f>0.7*50%+0.4*50%</f>
        <v>0.55000000000000004</v>
      </c>
      <c r="N1421" s="1352">
        <f>2*M1421</f>
        <v>1.1000000000000001</v>
      </c>
      <c r="O1421" s="1361">
        <f>N1421</f>
        <v>1.1000000000000001</v>
      </c>
      <c r="P1421" s="333">
        <f t="shared" si="1000"/>
        <v>505.01102533080086</v>
      </c>
      <c r="Q1421" s="327">
        <f t="shared" si="1001"/>
        <v>0</v>
      </c>
      <c r="R1421" s="334">
        <f t="shared" si="1002"/>
        <v>0</v>
      </c>
      <c r="S1421" s="335">
        <f t="shared" si="988"/>
        <v>1144.1783505760031</v>
      </c>
      <c r="T1421" s="335">
        <f t="shared" si="989"/>
        <v>0</v>
      </c>
      <c r="U1421" s="336">
        <f t="shared" si="990"/>
        <v>640</v>
      </c>
      <c r="V1421" s="336">
        <f t="shared" si="991"/>
        <v>0</v>
      </c>
      <c r="W1421" s="336">
        <f t="shared" si="992"/>
        <v>0</v>
      </c>
      <c r="X1421" s="336">
        <f t="shared" si="993"/>
        <v>0</v>
      </c>
      <c r="Y1421" s="320"/>
      <c r="Z1421" s="321" t="str">
        <f t="shared" si="1003"/>
        <v>X-ESCLPMETA</v>
      </c>
      <c r="AA1421" s="321" t="str">
        <f t="shared" si="1004"/>
        <v>X-ESCLPMETE</v>
      </c>
      <c r="AB1421" s="321" t="str">
        <f t="shared" si="1005"/>
        <v>X-ESCLPMETM</v>
      </c>
      <c r="AC1421" s="321" t="str">
        <f t="shared" si="1006"/>
        <v>X-ESCLPMETT</v>
      </c>
      <c r="AD1421" s="321" t="str">
        <f t="shared" si="1007"/>
        <v>X-ESCLPMETS</v>
      </c>
      <c r="AE1421" s="321" t="str">
        <f t="shared" si="1008"/>
        <v>X-ESCLPMETX</v>
      </c>
      <c r="AF1421" s="321" t="str">
        <f t="shared" si="1009"/>
        <v>X-ESCLPMETA</v>
      </c>
      <c r="AG1421" s="321">
        <f t="shared" si="994"/>
        <v>6</v>
      </c>
      <c r="AH1421" s="321">
        <f>IF(B1421&lt;&gt;"",IF(H1421="x",VLOOKUP(I1421,'AUX-NIV3'!B:AG,32,FALSE),0),"")</f>
        <v>0</v>
      </c>
      <c r="AI1421" s="321" t="str">
        <f t="shared" si="1010"/>
        <v>X-ESCLPMET</v>
      </c>
      <c r="AJ1421" s="320"/>
      <c r="AK1421" s="322">
        <f t="shared" si="995"/>
        <v>1421</v>
      </c>
      <c r="AL1421" s="323">
        <f t="shared" si="1011"/>
        <v>1426</v>
      </c>
      <c r="AM1421" s="322" t="e">
        <f>IF(B1421&lt;&gt;"",IF(B1421=#REF!,1+#REF!,1),"")</f>
        <v>#REF!</v>
      </c>
      <c r="AN1421" s="380">
        <f>IF(AND(AH1421&gt;0,B1421&lt;&gt;""),VLOOKUP(I1421,'AUX-NIV3'!$B:$AO,39,FALSE)*O1421,0)</f>
        <v>0</v>
      </c>
      <c r="AO1421" s="380">
        <f t="shared" si="997"/>
        <v>2.2000000000000002</v>
      </c>
      <c r="AP1421" s="380"/>
    </row>
    <row r="1422" spans="2:42" ht="14.4" hidden="1" thickTop="1" thickBot="1">
      <c r="B1422" s="501" t="s">
        <v>4337</v>
      </c>
      <c r="C1422" s="951" t="s">
        <v>4336</v>
      </c>
      <c r="D1422" s="326" t="s">
        <v>501</v>
      </c>
      <c r="E1422" s="327">
        <f>IF(B1422&lt;&gt;"",SUMIF('AUX-NIV1'!I:I,'AUX-NIV2'!B1422,'AUX-NIV1'!Q:Q),"")</f>
        <v>0</v>
      </c>
      <c r="F1422" s="327">
        <f t="shared" si="986"/>
        <v>1784.1783505760031</v>
      </c>
      <c r="G1422" s="327">
        <f t="shared" si="987"/>
        <v>0</v>
      </c>
      <c r="H1422" s="328" t="str">
        <f t="shared" si="998"/>
        <v>A</v>
      </c>
      <c r="I1422" s="324" t="s">
        <v>3310</v>
      </c>
      <c r="J1422" s="431" t="str">
        <f>IF(B1422&lt;&gt;"",+VLOOKUP(I1422,Recursos!C:F,2,FALSE),"")</f>
        <v>OFICIAL ESPECIALIZADO</v>
      </c>
      <c r="K1422" s="330" t="str">
        <f>IF(B1422&lt;&gt;"",+VLOOKUP(I1422,Recursos!C:F,3,FALSE),"")</f>
        <v>hh</v>
      </c>
      <c r="L1422" s="446">
        <f>IF(B1422&lt;&gt;"",+VLOOKUP(I1422,Recursos!C:F,4,FALSE),"")</f>
        <v>581.06120476836554</v>
      </c>
      <c r="M1422" s="1624"/>
      <c r="N1422" s="1625">
        <f>2*M1421</f>
        <v>1.1000000000000001</v>
      </c>
      <c r="O1422" s="1361">
        <f t="shared" ref="O1422:O1426" si="1013">N1422</f>
        <v>1.1000000000000001</v>
      </c>
      <c r="P1422" s="333">
        <f t="shared" si="1000"/>
        <v>639.16732524520216</v>
      </c>
      <c r="Q1422" s="327">
        <f t="shared" si="1001"/>
        <v>0</v>
      </c>
      <c r="R1422" s="334">
        <f t="shared" si="1002"/>
        <v>0</v>
      </c>
      <c r="S1422" s="335">
        <f t="shared" si="988"/>
        <v>1144.1783505760031</v>
      </c>
      <c r="T1422" s="335">
        <f t="shared" si="989"/>
        <v>0</v>
      </c>
      <c r="U1422" s="336">
        <f t="shared" si="990"/>
        <v>640</v>
      </c>
      <c r="V1422" s="336">
        <f t="shared" si="991"/>
        <v>0</v>
      </c>
      <c r="W1422" s="336">
        <f t="shared" si="992"/>
        <v>0</v>
      </c>
      <c r="X1422" s="336">
        <f t="shared" si="993"/>
        <v>0</v>
      </c>
      <c r="Y1422" s="320"/>
      <c r="Z1422" s="321" t="str">
        <f t="shared" si="1003"/>
        <v>X-ESCLPMETA</v>
      </c>
      <c r="AA1422" s="321" t="str">
        <f t="shared" si="1004"/>
        <v>X-ESCLPMETE</v>
      </c>
      <c r="AB1422" s="321" t="str">
        <f t="shared" si="1005"/>
        <v>X-ESCLPMETM</v>
      </c>
      <c r="AC1422" s="321" t="str">
        <f t="shared" si="1006"/>
        <v>X-ESCLPMETT</v>
      </c>
      <c r="AD1422" s="321" t="str">
        <f t="shared" si="1007"/>
        <v>X-ESCLPMETS</v>
      </c>
      <c r="AE1422" s="321" t="str">
        <f t="shared" si="1008"/>
        <v>X-ESCLPMETX</v>
      </c>
      <c r="AF1422" s="321" t="str">
        <f t="shared" si="1009"/>
        <v>X-ESCLPMETA</v>
      </c>
      <c r="AG1422" s="321">
        <f t="shared" si="994"/>
        <v>6</v>
      </c>
      <c r="AH1422" s="321">
        <f>IF(B1422&lt;&gt;"",IF(H1422="x",VLOOKUP(I1422,'AUX-NIV3'!B:AG,32,FALSE),0),"")</f>
        <v>0</v>
      </c>
      <c r="AI1422" s="321" t="str">
        <f t="shared" si="1010"/>
        <v>X-ESCLPMET</v>
      </c>
      <c r="AJ1422" s="320"/>
      <c r="AK1422" s="322">
        <f t="shared" si="995"/>
        <v>1421</v>
      </c>
      <c r="AL1422" s="323">
        <f t="shared" si="1011"/>
        <v>1426</v>
      </c>
      <c r="AM1422" s="322" t="e">
        <f t="shared" ref="AM1422:AM1426" si="1014">IF(B1422&lt;&gt;"",IF(B1422=B1421,1+AM1421,1),"")</f>
        <v>#REF!</v>
      </c>
      <c r="AN1422" s="380">
        <f>IF(AND(AH1422&gt;0,B1422&lt;&gt;""),VLOOKUP(I1422,'AUX-NIV3'!$B:$AO,39,FALSE)*O1422,0)</f>
        <v>0</v>
      </c>
      <c r="AO1422" s="380">
        <f t="shared" si="997"/>
        <v>2.2000000000000002</v>
      </c>
      <c r="AP1422" s="380"/>
    </row>
    <row r="1423" spans="2:42" ht="14.4" hidden="1" thickTop="1" thickBot="1">
      <c r="B1423" s="501" t="s">
        <v>4337</v>
      </c>
      <c r="C1423" s="951" t="s">
        <v>4336</v>
      </c>
      <c r="D1423" s="326" t="s">
        <v>501</v>
      </c>
      <c r="E1423" s="327">
        <f>IF(B1423&lt;&gt;"",SUMIF('AUX-NIV1'!I:I,'AUX-NIV2'!B1423,'AUX-NIV1'!Q:Q),"")</f>
        <v>0</v>
      </c>
      <c r="F1423" s="327">
        <f t="shared" si="986"/>
        <v>1784.1783505760031</v>
      </c>
      <c r="G1423" s="327">
        <f t="shared" si="987"/>
        <v>0</v>
      </c>
      <c r="H1423" s="328" t="str">
        <f t="shared" si="998"/>
        <v>M</v>
      </c>
      <c r="I1423" s="324" t="s">
        <v>2189</v>
      </c>
      <c r="J1423" s="431" t="str">
        <f>IF(B1423&lt;&gt;"",+VLOOKUP(I1423,Recursos!C:F,2,FALSE),"")</f>
        <v>PERFIL LAMINADO DE ACERO CARBONO</v>
      </c>
      <c r="K1423" s="330" t="str">
        <f>IF(B1423&lt;&gt;"",+VLOOKUP(I1423,Recursos!C:F,3,FALSE),"")</f>
        <v>Kg</v>
      </c>
      <c r="L1423" s="446">
        <f>IF(B1423&lt;&gt;"",+VLOOKUP(I1423,Recursos!C:F,4,FALSE),"")</f>
        <v>320</v>
      </c>
      <c r="M1423" s="1624">
        <v>1</v>
      </c>
      <c r="N1423" s="1625">
        <f>1/M1423</f>
        <v>1</v>
      </c>
      <c r="O1423" s="1361">
        <f>N1423</f>
        <v>1</v>
      </c>
      <c r="P1423" s="333">
        <f t="shared" si="1000"/>
        <v>320</v>
      </c>
      <c r="Q1423" s="327">
        <f t="shared" si="1001"/>
        <v>0</v>
      </c>
      <c r="R1423" s="334">
        <f t="shared" si="1002"/>
        <v>0</v>
      </c>
      <c r="S1423" s="335">
        <f t="shared" si="988"/>
        <v>1144.1783505760031</v>
      </c>
      <c r="T1423" s="335">
        <f t="shared" si="989"/>
        <v>0</v>
      </c>
      <c r="U1423" s="336">
        <f t="shared" si="990"/>
        <v>640</v>
      </c>
      <c r="V1423" s="336">
        <f t="shared" si="991"/>
        <v>0</v>
      </c>
      <c r="W1423" s="336">
        <f t="shared" si="992"/>
        <v>0</v>
      </c>
      <c r="X1423" s="336">
        <f t="shared" si="993"/>
        <v>0</v>
      </c>
      <c r="Y1423" s="320"/>
      <c r="Z1423" s="321" t="str">
        <f t="shared" si="1003"/>
        <v>X-ESCLPMETA</v>
      </c>
      <c r="AA1423" s="321" t="str">
        <f t="shared" si="1004"/>
        <v>X-ESCLPMETE</v>
      </c>
      <c r="AB1423" s="321" t="str">
        <f t="shared" si="1005"/>
        <v>X-ESCLPMETM</v>
      </c>
      <c r="AC1423" s="321" t="str">
        <f t="shared" si="1006"/>
        <v>X-ESCLPMETT</v>
      </c>
      <c r="AD1423" s="321" t="str">
        <f t="shared" si="1007"/>
        <v>X-ESCLPMETS</v>
      </c>
      <c r="AE1423" s="321" t="str">
        <f t="shared" si="1008"/>
        <v>X-ESCLPMETX</v>
      </c>
      <c r="AF1423" s="321" t="str">
        <f t="shared" si="1009"/>
        <v>X-ESCLPMETM</v>
      </c>
      <c r="AG1423" s="321">
        <f t="shared" si="994"/>
        <v>6</v>
      </c>
      <c r="AH1423" s="321">
        <f>IF(B1423&lt;&gt;"",IF(H1423="x",VLOOKUP(I1423,'AUX-NIV3'!B:AG,32,FALSE),0),"")</f>
        <v>0</v>
      </c>
      <c r="AI1423" s="321" t="str">
        <f t="shared" si="1010"/>
        <v>X-ESCLPMET</v>
      </c>
      <c r="AJ1423" s="320"/>
      <c r="AK1423" s="322">
        <f t="shared" si="995"/>
        <v>1421</v>
      </c>
      <c r="AL1423" s="323">
        <f t="shared" si="1011"/>
        <v>1426</v>
      </c>
      <c r="AM1423" s="322" t="e">
        <f t="shared" si="1014"/>
        <v>#REF!</v>
      </c>
      <c r="AN1423" s="380">
        <f>IF(AND(AH1423&gt;0,B1423&lt;&gt;""),VLOOKUP(I1423,'AUX-NIV3'!$B:$AO,39,FALSE)*O1423,0)</f>
        <v>0</v>
      </c>
      <c r="AO1423" s="380">
        <f t="shared" si="997"/>
        <v>2.2000000000000002</v>
      </c>
      <c r="AP1423" s="380"/>
    </row>
    <row r="1424" spans="2:42" ht="14.4" hidden="1" thickTop="1" thickBot="1">
      <c r="B1424" s="501" t="s">
        <v>4337</v>
      </c>
      <c r="C1424" s="951" t="s">
        <v>4336</v>
      </c>
      <c r="D1424" s="326" t="s">
        <v>501</v>
      </c>
      <c r="E1424" s="327">
        <f>IF(B1424&lt;&gt;"",SUMIF('AUX-NIV1'!I:I,'AUX-NIV2'!B1424,'AUX-NIV1'!Q:Q),"")</f>
        <v>0</v>
      </c>
      <c r="F1424" s="327">
        <f t="shared" si="986"/>
        <v>1784.1783505760031</v>
      </c>
      <c r="G1424" s="327">
        <f t="shared" si="987"/>
        <v>0</v>
      </c>
      <c r="H1424" s="328" t="str">
        <f t="shared" si="998"/>
        <v>M</v>
      </c>
      <c r="I1424" s="324" t="s">
        <v>2187</v>
      </c>
      <c r="J1424" s="431" t="str">
        <f>IF(B1424&lt;&gt;"",+VLOOKUP(I1424,Recursos!C:F,2,FALSE),"")</f>
        <v>PLANCHA DE ACERO CARBONO A-36</v>
      </c>
      <c r="K1424" s="330" t="str">
        <f>IF(B1424&lt;&gt;"",+VLOOKUP(I1424,Recursos!C:F,3,FALSE),"")</f>
        <v>Kg</v>
      </c>
      <c r="L1424" s="446">
        <f>IF(B1424&lt;&gt;"",+VLOOKUP(I1424,Recursos!C:F,4,FALSE),"")</f>
        <v>300</v>
      </c>
      <c r="M1424" s="1624">
        <f>0.03*0.1*0.025/8*4200</f>
        <v>3.9375E-2</v>
      </c>
      <c r="N1424" s="1625">
        <f>M1424/M1423*0</f>
        <v>0</v>
      </c>
      <c r="O1424" s="1361">
        <f>N1424</f>
        <v>0</v>
      </c>
      <c r="P1424" s="333">
        <f t="shared" si="1000"/>
        <v>0</v>
      </c>
      <c r="Q1424" s="327">
        <f t="shared" si="1001"/>
        <v>0</v>
      </c>
      <c r="R1424" s="334">
        <f t="shared" si="1002"/>
        <v>0</v>
      </c>
      <c r="S1424" s="335">
        <f t="shared" si="988"/>
        <v>1144.1783505760031</v>
      </c>
      <c r="T1424" s="335">
        <f t="shared" si="989"/>
        <v>0</v>
      </c>
      <c r="U1424" s="336">
        <f t="shared" si="990"/>
        <v>640</v>
      </c>
      <c r="V1424" s="336">
        <f t="shared" si="991"/>
        <v>0</v>
      </c>
      <c r="W1424" s="336">
        <f t="shared" si="992"/>
        <v>0</v>
      </c>
      <c r="X1424" s="336">
        <f t="shared" si="993"/>
        <v>0</v>
      </c>
      <c r="Y1424" s="320"/>
      <c r="Z1424" s="321" t="str">
        <f t="shared" si="1003"/>
        <v>X-ESCLPMETA</v>
      </c>
      <c r="AA1424" s="321" t="str">
        <f t="shared" si="1004"/>
        <v>X-ESCLPMETE</v>
      </c>
      <c r="AB1424" s="321" t="str">
        <f t="shared" si="1005"/>
        <v>X-ESCLPMETM</v>
      </c>
      <c r="AC1424" s="321" t="str">
        <f t="shared" si="1006"/>
        <v>X-ESCLPMETT</v>
      </c>
      <c r="AD1424" s="321" t="str">
        <f t="shared" si="1007"/>
        <v>X-ESCLPMETS</v>
      </c>
      <c r="AE1424" s="321" t="str">
        <f t="shared" si="1008"/>
        <v>X-ESCLPMETX</v>
      </c>
      <c r="AF1424" s="321" t="str">
        <f t="shared" si="1009"/>
        <v>X-ESCLPMETM</v>
      </c>
      <c r="AG1424" s="321">
        <f t="shared" si="994"/>
        <v>6</v>
      </c>
      <c r="AH1424" s="321">
        <f>IF(B1424&lt;&gt;"",IF(H1424="x",VLOOKUP(I1424,'AUX-NIV3'!B:AG,32,FALSE),0),"")</f>
        <v>0</v>
      </c>
      <c r="AI1424" s="321" t="str">
        <f t="shared" si="1010"/>
        <v>X-ESCLPMET</v>
      </c>
      <c r="AJ1424" s="320"/>
      <c r="AK1424" s="322">
        <f t="shared" si="995"/>
        <v>1421</v>
      </c>
      <c r="AL1424" s="323">
        <f t="shared" si="1011"/>
        <v>1426</v>
      </c>
      <c r="AM1424" s="322" t="e">
        <f t="shared" si="1014"/>
        <v>#REF!</v>
      </c>
      <c r="AN1424" s="380">
        <f>IF(AND(AH1424&gt;0,B1424&lt;&gt;""),VLOOKUP(I1424,'AUX-NIV3'!$B:$AO,39,FALSE)*O1424,0)</f>
        <v>0</v>
      </c>
      <c r="AO1424" s="380">
        <f t="shared" si="997"/>
        <v>2.2000000000000002</v>
      </c>
      <c r="AP1424" s="380"/>
    </row>
    <row r="1425" spans="2:42" ht="14.4" hidden="1" thickTop="1" thickBot="1">
      <c r="B1425" s="501" t="s">
        <v>4337</v>
      </c>
      <c r="C1425" s="951" t="s">
        <v>4336</v>
      </c>
      <c r="D1425" s="326" t="s">
        <v>501</v>
      </c>
      <c r="E1425" s="327">
        <f>IF(B1425&lt;&gt;"",SUMIF('AUX-NIV1'!I:I,'AUX-NIV2'!B1425,'AUX-NIV1'!Q:Q),"")</f>
        <v>0</v>
      </c>
      <c r="F1425" s="327">
        <f t="shared" si="986"/>
        <v>1784.1783505760031</v>
      </c>
      <c r="G1425" s="327">
        <f t="shared" si="987"/>
        <v>0</v>
      </c>
      <c r="H1425" s="328" t="str">
        <f t="shared" si="998"/>
        <v>M</v>
      </c>
      <c r="I1425" s="324" t="s">
        <v>4304</v>
      </c>
      <c r="J1425" s="431" t="str">
        <f>IF(B1425&lt;&gt;"",+VLOOKUP(I1425,Recursos!C:F,2,FALSE),"")</f>
        <v>ELECTRODOS</v>
      </c>
      <c r="K1425" s="330" t="str">
        <f>IF(B1425&lt;&gt;"",+VLOOKUP(I1425,Recursos!C:F,3,FALSE),"")</f>
        <v>KG</v>
      </c>
      <c r="L1425" s="446">
        <f>IF(B1425&lt;&gt;"",+VLOOKUP(I1425,Recursos!C:F,4,FALSE),"")</f>
        <v>700</v>
      </c>
      <c r="M1425" s="1624"/>
      <c r="N1425" s="1625">
        <v>0.1</v>
      </c>
      <c r="O1425" s="1361">
        <f t="shared" si="1013"/>
        <v>0.1</v>
      </c>
      <c r="P1425" s="333">
        <f t="shared" si="1000"/>
        <v>70</v>
      </c>
      <c r="Q1425" s="327">
        <f t="shared" si="1001"/>
        <v>0</v>
      </c>
      <c r="R1425" s="334">
        <f t="shared" si="1002"/>
        <v>0</v>
      </c>
      <c r="S1425" s="335">
        <f t="shared" si="988"/>
        <v>1144.1783505760031</v>
      </c>
      <c r="T1425" s="335">
        <f t="shared" si="989"/>
        <v>0</v>
      </c>
      <c r="U1425" s="336">
        <f t="shared" si="990"/>
        <v>640</v>
      </c>
      <c r="V1425" s="336">
        <f t="shared" si="991"/>
        <v>0</v>
      </c>
      <c r="W1425" s="336">
        <f t="shared" si="992"/>
        <v>0</v>
      </c>
      <c r="X1425" s="336">
        <f t="shared" si="993"/>
        <v>0</v>
      </c>
      <c r="Y1425" s="320"/>
      <c r="Z1425" s="321" t="str">
        <f t="shared" si="1003"/>
        <v>X-ESCLPMETA</v>
      </c>
      <c r="AA1425" s="321" t="str">
        <f t="shared" si="1004"/>
        <v>X-ESCLPMETE</v>
      </c>
      <c r="AB1425" s="321" t="str">
        <f t="shared" si="1005"/>
        <v>X-ESCLPMETM</v>
      </c>
      <c r="AC1425" s="321" t="str">
        <f t="shared" si="1006"/>
        <v>X-ESCLPMETT</v>
      </c>
      <c r="AD1425" s="321" t="str">
        <f t="shared" si="1007"/>
        <v>X-ESCLPMETS</v>
      </c>
      <c r="AE1425" s="321" t="str">
        <f t="shared" si="1008"/>
        <v>X-ESCLPMETX</v>
      </c>
      <c r="AF1425" s="321" t="str">
        <f t="shared" si="1009"/>
        <v>X-ESCLPMETM</v>
      </c>
      <c r="AG1425" s="321">
        <f t="shared" si="994"/>
        <v>6</v>
      </c>
      <c r="AH1425" s="321">
        <f>IF(B1425&lt;&gt;"",IF(H1425="x",VLOOKUP(I1425,'AUX-NIV3'!B:AG,32,FALSE),0),"")</f>
        <v>0</v>
      </c>
      <c r="AI1425" s="321" t="str">
        <f t="shared" si="1010"/>
        <v>X-ESCLPMET</v>
      </c>
      <c r="AJ1425" s="320"/>
      <c r="AK1425" s="322">
        <f t="shared" si="995"/>
        <v>1421</v>
      </c>
      <c r="AL1425" s="323">
        <f t="shared" si="1011"/>
        <v>1426</v>
      </c>
      <c r="AM1425" s="322" t="e">
        <f t="shared" si="1014"/>
        <v>#REF!</v>
      </c>
      <c r="AN1425" s="380">
        <f>IF(AND(AH1425&gt;0,B1425&lt;&gt;""),VLOOKUP(I1425,'AUX-NIV3'!$B:$AO,39,FALSE)*O1425,0)</f>
        <v>0</v>
      </c>
      <c r="AO1425" s="380">
        <f t="shared" si="997"/>
        <v>2.2000000000000002</v>
      </c>
      <c r="AP1425" s="380"/>
    </row>
    <row r="1426" spans="2:42" ht="13.8" hidden="1" thickBot="1">
      <c r="B1426" s="501" t="s">
        <v>4337</v>
      </c>
      <c r="C1426" s="951" t="s">
        <v>4336</v>
      </c>
      <c r="D1426" s="326" t="s">
        <v>501</v>
      </c>
      <c r="E1426" s="327">
        <f>IF(B1426&lt;&gt;"",SUMIF('AUX-NIV1'!I:I,'AUX-NIV2'!B1426,'AUX-NIV1'!Q:Q),"")</f>
        <v>0</v>
      </c>
      <c r="F1426" s="327">
        <f t="shared" si="986"/>
        <v>1784.1783505760031</v>
      </c>
      <c r="G1426" s="327">
        <f t="shared" si="987"/>
        <v>0</v>
      </c>
      <c r="H1426" s="328" t="str">
        <f t="shared" si="998"/>
        <v>M</v>
      </c>
      <c r="I1426" s="324" t="s">
        <v>621</v>
      </c>
      <c r="J1426" s="431" t="str">
        <f>IF(B1426&lt;&gt;"",+VLOOKUP(I1426,Recursos!C:F,2,FALSE),"")</f>
        <v>MATERIALES VARIOS</v>
      </c>
      <c r="K1426" s="330" t="str">
        <f>IF(B1426&lt;&gt;"",+VLOOKUP(I1426,Recursos!C:F,3,FALSE),"")</f>
        <v>GL</v>
      </c>
      <c r="L1426" s="446">
        <f>IF(B1426&lt;&gt;"",+VLOOKUP(I1426,Recursos!C:F,4,FALSE),"")</f>
        <v>0.5</v>
      </c>
      <c r="M1426" s="1632"/>
      <c r="N1426" s="1633">
        <v>500</v>
      </c>
      <c r="O1426" s="1361">
        <f t="shared" si="1013"/>
        <v>500</v>
      </c>
      <c r="P1426" s="333">
        <f>IF(B1426&lt;&gt;"",O1426*L1426,"")</f>
        <v>250</v>
      </c>
      <c r="Q1426" s="327">
        <f>IF(B1426&lt;&gt;"",+O1426*E1426,"")</f>
        <v>0</v>
      </c>
      <c r="R1426" s="334">
        <f>IF(B1426&lt;&gt;"",Q1426*L1426,"")</f>
        <v>0</v>
      </c>
      <c r="S1426" s="335">
        <f t="shared" si="988"/>
        <v>1144.1783505760031</v>
      </c>
      <c r="T1426" s="335">
        <f t="shared" si="989"/>
        <v>0</v>
      </c>
      <c r="U1426" s="336">
        <f t="shared" si="990"/>
        <v>640</v>
      </c>
      <c r="V1426" s="336">
        <f t="shared" si="991"/>
        <v>0</v>
      </c>
      <c r="W1426" s="336">
        <f t="shared" si="992"/>
        <v>0</v>
      </c>
      <c r="X1426" s="336">
        <f t="shared" si="993"/>
        <v>0</v>
      </c>
      <c r="Y1426" s="320"/>
      <c r="Z1426" s="321" t="str">
        <f t="shared" si="1003"/>
        <v>X-ESCLPMETA</v>
      </c>
      <c r="AA1426" s="321" t="str">
        <f t="shared" si="1004"/>
        <v>X-ESCLPMETE</v>
      </c>
      <c r="AB1426" s="321" t="str">
        <f t="shared" si="1005"/>
        <v>X-ESCLPMETM</v>
      </c>
      <c r="AC1426" s="321" t="str">
        <f t="shared" si="1006"/>
        <v>X-ESCLPMETT</v>
      </c>
      <c r="AD1426" s="321" t="str">
        <f t="shared" si="1007"/>
        <v>X-ESCLPMETS</v>
      </c>
      <c r="AE1426" s="321" t="str">
        <f t="shared" si="1008"/>
        <v>X-ESCLPMETX</v>
      </c>
      <c r="AF1426" s="321" t="str">
        <f t="shared" si="1009"/>
        <v>X-ESCLPMETM</v>
      </c>
      <c r="AG1426" s="321">
        <f t="shared" si="994"/>
        <v>6</v>
      </c>
      <c r="AH1426" s="321">
        <f>IF(B1426&lt;&gt;"",IF(H1426="x",VLOOKUP(I1426,'AUX-NIV3'!B:AG,32,FALSE),0),"")</f>
        <v>0</v>
      </c>
      <c r="AI1426" s="321" t="str">
        <f t="shared" si="1010"/>
        <v>X-ESCLPMET</v>
      </c>
      <c r="AJ1426" s="320"/>
      <c r="AK1426" s="322">
        <f t="shared" si="995"/>
        <v>1421</v>
      </c>
      <c r="AL1426" s="323">
        <f t="shared" si="1011"/>
        <v>1426</v>
      </c>
      <c r="AM1426" s="322" t="e">
        <f t="shared" si="1014"/>
        <v>#REF!</v>
      </c>
      <c r="AN1426" s="380">
        <f>IF(AND(AH1426&gt;0,B1426&lt;&gt;""),VLOOKUP(I1426,'AUX-NIV3'!$B:$AO,39,FALSE)*O1426,0)</f>
        <v>0</v>
      </c>
      <c r="AO1426" s="380">
        <f t="shared" si="997"/>
        <v>2.2000000000000002</v>
      </c>
      <c r="AP1426" s="380"/>
    </row>
    <row r="1427" spans="2:42" ht="13.8" thickTop="1">
      <c r="B1427" s="501" t="s">
        <v>4366</v>
      </c>
      <c r="C1427" s="951" t="s">
        <v>4365</v>
      </c>
      <c r="D1427" s="326" t="s">
        <v>610</v>
      </c>
      <c r="E1427" s="327">
        <f>IF(B1427&lt;&gt;"",SUMIF('AUX-NIV1'!I:I,'AUX-NIV2'!B1427,'AUX-NIV1'!Q:Q),"")</f>
        <v>0</v>
      </c>
      <c r="F1427" s="327">
        <f t="shared" si="986"/>
        <v>5072.9945387079233</v>
      </c>
      <c r="G1427" s="327">
        <f t="shared" si="987"/>
        <v>0</v>
      </c>
      <c r="H1427" s="328" t="str">
        <f t="shared" ref="H1427:H1431" si="1015">IF(B1427&lt;&gt;"",+LEFT(I1427,1),"")</f>
        <v>A</v>
      </c>
      <c r="I1427" s="324" t="s">
        <v>1745</v>
      </c>
      <c r="J1427" s="431" t="str">
        <f>IF(B1427&lt;&gt;"",+VLOOKUP(I1427,Recursos!C:F,2,FALSE),"")</f>
        <v>AYUDANTE</v>
      </c>
      <c r="K1427" s="330" t="str">
        <f>IF(B1427&lt;&gt;"",+VLOOKUP(I1427,Recursos!C:F,3,FALSE),"")</f>
        <v>hh</v>
      </c>
      <c r="L1427" s="446">
        <f>IF(B1427&lt;&gt;"",+VLOOKUP(I1427,Recursos!C:F,4,FALSE),"")</f>
        <v>422.48042769667234</v>
      </c>
      <c r="M1427" s="1270">
        <v>2</v>
      </c>
      <c r="N1427" s="1352"/>
      <c r="O1427" s="1361">
        <f t="shared" ref="O1427:O1428" si="1016">M1427*N1427</f>
        <v>0</v>
      </c>
      <c r="P1427" s="333">
        <f t="shared" ref="P1427:P1431" si="1017">IF(B1427&lt;&gt;"",O1427*L1427,"")</f>
        <v>0</v>
      </c>
      <c r="Q1427" s="327">
        <f t="shared" ref="Q1427:Q1431" si="1018">IF(B1427&lt;&gt;"",+O1427*E1427,"")</f>
        <v>0</v>
      </c>
      <c r="R1427" s="334">
        <f t="shared" ref="R1427:R1431" si="1019">IF(B1427&lt;&gt;"",Q1427*L1427,"")</f>
        <v>0</v>
      </c>
      <c r="S1427" s="335">
        <f t="shared" si="988"/>
        <v>2155.9543183222477</v>
      </c>
      <c r="T1427" s="335">
        <f t="shared" si="989"/>
        <v>0</v>
      </c>
      <c r="U1427" s="336">
        <f t="shared" si="990"/>
        <v>2917.0402203856747</v>
      </c>
      <c r="V1427" s="336">
        <f t="shared" si="991"/>
        <v>0</v>
      </c>
      <c r="W1427" s="336">
        <f t="shared" si="992"/>
        <v>0</v>
      </c>
      <c r="X1427" s="336">
        <f t="shared" si="993"/>
        <v>0</v>
      </c>
      <c r="Y1427" s="320"/>
      <c r="Z1427" s="321" t="str">
        <f t="shared" ref="Z1427:Z1431" si="1020">IF(B1427&lt;&gt;"",+$B1427&amp;"A","")</f>
        <v>X-BOCAELECTA</v>
      </c>
      <c r="AA1427" s="321" t="str">
        <f t="shared" ref="AA1427:AA1431" si="1021">IF(B1427&lt;&gt;"",+$B1427&amp;"E","")</f>
        <v>X-BOCAELECTE</v>
      </c>
      <c r="AB1427" s="321" t="str">
        <f t="shared" ref="AB1427:AB1431" si="1022">IF(B1427&lt;&gt;"",++$B1427&amp;"M","")</f>
        <v>X-BOCAELECTM</v>
      </c>
      <c r="AC1427" s="321" t="str">
        <f t="shared" ref="AC1427:AC1431" si="1023">IF(B1427&lt;&gt;"",+$B1427&amp;"T","")</f>
        <v>X-BOCAELECTT</v>
      </c>
      <c r="AD1427" s="321" t="str">
        <f t="shared" ref="AD1427:AD1431" si="1024">IF(B1427&lt;&gt;"",+$B1427&amp;"S","")</f>
        <v>X-BOCAELECTS</v>
      </c>
      <c r="AE1427" s="321" t="str">
        <f t="shared" ref="AE1427:AE1431" si="1025">IF(B1427&lt;&gt;"",+$B1427&amp;"X","")</f>
        <v>X-BOCAELECTX</v>
      </c>
      <c r="AF1427" s="321" t="str">
        <f t="shared" ref="AF1427:AF1431" si="1026">IF(B1427&lt;&gt;"",+B1427&amp;H1427,"")</f>
        <v>X-BOCAELECTA</v>
      </c>
      <c r="AG1427" s="321">
        <f t="shared" si="994"/>
        <v>12</v>
      </c>
      <c r="AH1427" s="321">
        <f>IF(B1427&lt;&gt;"",IF(H1427="x",VLOOKUP(I1427,'AUX-NIV3'!B:AG,32,FALSE),0),"")</f>
        <v>0</v>
      </c>
      <c r="AI1427" s="321" t="str">
        <f t="shared" ref="AI1427:AI1431" si="1027">IF(B1427&lt;&gt;"",+B1427,"")</f>
        <v>X-BOCAELECT</v>
      </c>
      <c r="AJ1427" s="320"/>
      <c r="AK1427" s="322">
        <f t="shared" si="995"/>
        <v>1427</v>
      </c>
      <c r="AL1427" s="323">
        <f t="shared" ref="AL1427:AL1431" si="1028">IF(B1427&lt;&gt;"",+AK1427+AG1427-1,"")</f>
        <v>1438</v>
      </c>
      <c r="AM1427" s="322" t="e">
        <f>IF(B1427&lt;&gt;"",IF(B1427=#REF!,1+#REF!,1),"")</f>
        <v>#REF!</v>
      </c>
      <c r="AN1427" s="380">
        <f>IF(AND(AH1427&gt;0,B1427&lt;&gt;""),VLOOKUP(I1427,'AUX-NIV3'!$B:$AO,39,FALSE)*O1427,0)</f>
        <v>0</v>
      </c>
      <c r="AO1427" s="380">
        <f t="shared" si="997"/>
        <v>4</v>
      </c>
      <c r="AP1427" s="380"/>
    </row>
    <row r="1428" spans="2:42">
      <c r="B1428" s="501" t="s">
        <v>4366</v>
      </c>
      <c r="C1428" s="951" t="s">
        <v>4365</v>
      </c>
      <c r="D1428" s="326" t="s">
        <v>610</v>
      </c>
      <c r="E1428" s="327">
        <f>IF(B1428&lt;&gt;"",SUMIF('AUX-NIV1'!I:I,'AUX-NIV2'!B1428,'AUX-NIV1'!Q:Q),"")</f>
        <v>0</v>
      </c>
      <c r="F1428" s="327">
        <f t="shared" si="986"/>
        <v>5072.9945387079233</v>
      </c>
      <c r="G1428" s="327">
        <f t="shared" si="987"/>
        <v>0</v>
      </c>
      <c r="H1428" s="328" t="str">
        <f t="shared" si="1015"/>
        <v>A</v>
      </c>
      <c r="I1428" s="324" t="s">
        <v>1746</v>
      </c>
      <c r="J1428" s="431" t="str">
        <f>IF(B1428&lt;&gt;"",+VLOOKUP(I1428,Recursos!C:F,2,FALSE),"")</f>
        <v>OFICIAL</v>
      </c>
      <c r="K1428" s="330" t="str">
        <f>IF(B1428&lt;&gt;"",+VLOOKUP(I1428,Recursos!C:F,3,FALSE),"")</f>
        <v>hh</v>
      </c>
      <c r="L1428" s="446">
        <f>IF(B1428&lt;&gt;"",+VLOOKUP(I1428,Recursos!C:F,4,FALSE),"")</f>
        <v>496.91595439275824</v>
      </c>
      <c r="M1428" s="1636">
        <v>2</v>
      </c>
      <c r="N1428" s="1625">
        <v>1</v>
      </c>
      <c r="O1428" s="1361">
        <f t="shared" si="1016"/>
        <v>2</v>
      </c>
      <c r="P1428" s="333">
        <f t="shared" si="1017"/>
        <v>993.83190878551648</v>
      </c>
      <c r="Q1428" s="327">
        <f t="shared" si="1018"/>
        <v>0</v>
      </c>
      <c r="R1428" s="334">
        <f t="shared" si="1019"/>
        <v>0</v>
      </c>
      <c r="S1428" s="335">
        <f t="shared" si="988"/>
        <v>2155.9543183222477</v>
      </c>
      <c r="T1428" s="335">
        <f t="shared" si="989"/>
        <v>0</v>
      </c>
      <c r="U1428" s="336">
        <f t="shared" si="990"/>
        <v>2917.0402203856747</v>
      </c>
      <c r="V1428" s="336">
        <f t="shared" si="991"/>
        <v>0</v>
      </c>
      <c r="W1428" s="336">
        <f t="shared" si="992"/>
        <v>0</v>
      </c>
      <c r="X1428" s="336">
        <f t="shared" si="993"/>
        <v>0</v>
      </c>
      <c r="Y1428" s="320"/>
      <c r="Z1428" s="321" t="str">
        <f t="shared" si="1020"/>
        <v>X-BOCAELECTA</v>
      </c>
      <c r="AA1428" s="321" t="str">
        <f t="shared" si="1021"/>
        <v>X-BOCAELECTE</v>
      </c>
      <c r="AB1428" s="321" t="str">
        <f t="shared" si="1022"/>
        <v>X-BOCAELECTM</v>
      </c>
      <c r="AC1428" s="321" t="str">
        <f t="shared" si="1023"/>
        <v>X-BOCAELECTT</v>
      </c>
      <c r="AD1428" s="321" t="str">
        <f t="shared" si="1024"/>
        <v>X-BOCAELECTS</v>
      </c>
      <c r="AE1428" s="321" t="str">
        <f t="shared" si="1025"/>
        <v>X-BOCAELECTX</v>
      </c>
      <c r="AF1428" s="321" t="str">
        <f t="shared" si="1026"/>
        <v>X-BOCAELECTA</v>
      </c>
      <c r="AG1428" s="321">
        <f t="shared" si="994"/>
        <v>12</v>
      </c>
      <c r="AH1428" s="321">
        <f>IF(B1428&lt;&gt;"",IF(H1428="x",VLOOKUP(I1428,'AUX-NIV3'!B:AG,32,FALSE),0),"")</f>
        <v>0</v>
      </c>
      <c r="AI1428" s="321" t="str">
        <f t="shared" si="1027"/>
        <v>X-BOCAELECT</v>
      </c>
      <c r="AJ1428" s="320"/>
      <c r="AK1428" s="322">
        <f t="shared" si="995"/>
        <v>1427</v>
      </c>
      <c r="AL1428" s="323">
        <f t="shared" si="1028"/>
        <v>1438</v>
      </c>
      <c r="AM1428" s="322" t="e">
        <f>IF(B1428&lt;&gt;"",IF(B1428=#REF!,1+#REF!,1),"")</f>
        <v>#REF!</v>
      </c>
      <c r="AN1428" s="380">
        <f>IF(AND(AH1428&gt;0,B1428&lt;&gt;""),VLOOKUP(I1428,'AUX-NIV3'!$B:$AO,39,FALSE)*O1428,0)</f>
        <v>0</v>
      </c>
      <c r="AO1428" s="380">
        <f t="shared" si="997"/>
        <v>4</v>
      </c>
      <c r="AP1428" s="380"/>
    </row>
    <row r="1429" spans="2:42">
      <c r="B1429" s="501" t="s">
        <v>4366</v>
      </c>
      <c r="C1429" s="951" t="s">
        <v>4365</v>
      </c>
      <c r="D1429" s="326" t="s">
        <v>610</v>
      </c>
      <c r="E1429" s="327">
        <f>IF(B1429&lt;&gt;"",SUMIF('AUX-NIV1'!I:I,'AUX-NIV2'!B1429,'AUX-NIV1'!Q:Q),"")</f>
        <v>0</v>
      </c>
      <c r="F1429" s="327">
        <f t="shared" si="986"/>
        <v>5072.9945387079233</v>
      </c>
      <c r="G1429" s="327">
        <f t="shared" si="987"/>
        <v>0</v>
      </c>
      <c r="H1429" s="328" t="str">
        <f t="shared" ref="H1429" si="1029">IF(B1429&lt;&gt;"",+LEFT(I1429,1),"")</f>
        <v>A</v>
      </c>
      <c r="I1429" s="324" t="s">
        <v>3310</v>
      </c>
      <c r="J1429" s="431" t="str">
        <f>IF(B1429&lt;&gt;"",+VLOOKUP(I1429,Recursos!C:F,2,FALSE),"")</f>
        <v>OFICIAL ESPECIALIZADO</v>
      </c>
      <c r="K1429" s="330" t="str">
        <f>IF(B1429&lt;&gt;"",+VLOOKUP(I1429,Recursos!C:F,3,FALSE),"")</f>
        <v>hh</v>
      </c>
      <c r="L1429" s="446">
        <f>IF(B1429&lt;&gt;"",+VLOOKUP(I1429,Recursos!C:F,4,FALSE),"")</f>
        <v>581.06120476836554</v>
      </c>
      <c r="M1429" s="1636">
        <v>2</v>
      </c>
      <c r="N1429" s="1625">
        <v>1</v>
      </c>
      <c r="O1429" s="1361">
        <f t="shared" ref="O1429" si="1030">M1429*N1429</f>
        <v>2</v>
      </c>
      <c r="P1429" s="333">
        <f t="shared" ref="P1429" si="1031">IF(B1429&lt;&gt;"",O1429*L1429,"")</f>
        <v>1162.1224095367311</v>
      </c>
      <c r="Q1429" s="327">
        <f t="shared" ref="Q1429" si="1032">IF(B1429&lt;&gt;"",+O1429*E1429,"")</f>
        <v>0</v>
      </c>
      <c r="R1429" s="334">
        <f t="shared" ref="R1429" si="1033">IF(B1429&lt;&gt;"",Q1429*L1429,"")</f>
        <v>0</v>
      </c>
      <c r="S1429" s="335">
        <f t="shared" si="988"/>
        <v>2155.9543183222477</v>
      </c>
      <c r="T1429" s="335">
        <f t="shared" si="989"/>
        <v>0</v>
      </c>
      <c r="U1429" s="336">
        <f t="shared" si="990"/>
        <v>2917.0402203856747</v>
      </c>
      <c r="V1429" s="336">
        <f t="shared" si="991"/>
        <v>0</v>
      </c>
      <c r="W1429" s="336">
        <f t="shared" si="992"/>
        <v>0</v>
      </c>
      <c r="X1429" s="336">
        <f t="shared" si="993"/>
        <v>0</v>
      </c>
      <c r="Y1429" s="320"/>
      <c r="Z1429" s="321" t="str">
        <f t="shared" ref="Z1429" si="1034">IF(B1429&lt;&gt;"",+$B1429&amp;"A","")</f>
        <v>X-BOCAELECTA</v>
      </c>
      <c r="AA1429" s="321" t="str">
        <f t="shared" ref="AA1429" si="1035">IF(B1429&lt;&gt;"",+$B1429&amp;"E","")</f>
        <v>X-BOCAELECTE</v>
      </c>
      <c r="AB1429" s="321" t="str">
        <f t="shared" ref="AB1429" si="1036">IF(B1429&lt;&gt;"",++$B1429&amp;"M","")</f>
        <v>X-BOCAELECTM</v>
      </c>
      <c r="AC1429" s="321" t="str">
        <f t="shared" ref="AC1429" si="1037">IF(B1429&lt;&gt;"",+$B1429&amp;"T","")</f>
        <v>X-BOCAELECTT</v>
      </c>
      <c r="AD1429" s="321" t="str">
        <f t="shared" ref="AD1429" si="1038">IF(B1429&lt;&gt;"",+$B1429&amp;"S","")</f>
        <v>X-BOCAELECTS</v>
      </c>
      <c r="AE1429" s="321" t="str">
        <f t="shared" ref="AE1429" si="1039">IF(B1429&lt;&gt;"",+$B1429&amp;"X","")</f>
        <v>X-BOCAELECTX</v>
      </c>
      <c r="AF1429" s="321" t="str">
        <f t="shared" ref="AF1429" si="1040">IF(B1429&lt;&gt;"",+B1429&amp;H1429,"")</f>
        <v>X-BOCAELECTA</v>
      </c>
      <c r="AG1429" s="321">
        <f t="shared" si="994"/>
        <v>12</v>
      </c>
      <c r="AH1429" s="321">
        <f>IF(B1429&lt;&gt;"",IF(H1429="x",VLOOKUP(I1429,'AUX-NIV3'!B:AG,32,FALSE),0),"")</f>
        <v>0</v>
      </c>
      <c r="AI1429" s="321" t="str">
        <f t="shared" ref="AI1429" si="1041">IF(B1429&lt;&gt;"",+B1429,"")</f>
        <v>X-BOCAELECT</v>
      </c>
      <c r="AJ1429" s="320"/>
      <c r="AK1429" s="322">
        <f t="shared" si="995"/>
        <v>1427</v>
      </c>
      <c r="AL1429" s="323">
        <f t="shared" ref="AL1429" si="1042">IF(B1429&lt;&gt;"",+AK1429+AG1429-1,"")</f>
        <v>1438</v>
      </c>
      <c r="AM1429" s="322" t="e">
        <f>IF(B1429&lt;&gt;"",IF(B1429=#REF!,1+#REF!,1),"")</f>
        <v>#REF!</v>
      </c>
      <c r="AN1429" s="380">
        <f>IF(AND(AH1429&gt;0,B1429&lt;&gt;""),VLOOKUP(I1429,'AUX-NIV3'!$B:$AO,39,FALSE)*O1429,0)</f>
        <v>0</v>
      </c>
      <c r="AO1429" s="380">
        <f t="shared" si="997"/>
        <v>4</v>
      </c>
      <c r="AP1429" s="380"/>
    </row>
    <row r="1430" spans="2:42">
      <c r="B1430" s="501" t="s">
        <v>4366</v>
      </c>
      <c r="C1430" s="951" t="s">
        <v>4365</v>
      </c>
      <c r="D1430" s="326" t="s">
        <v>610</v>
      </c>
      <c r="E1430" s="327">
        <f>IF(B1430&lt;&gt;"",SUMIF('AUX-NIV1'!I:I,'AUX-NIV2'!B1430,'AUX-NIV1'!Q:Q),"")</f>
        <v>0</v>
      </c>
      <c r="F1430" s="327">
        <f t="shared" si="986"/>
        <v>5072.9945387079233</v>
      </c>
      <c r="G1430" s="327">
        <f t="shared" si="987"/>
        <v>0</v>
      </c>
      <c r="H1430" s="328" t="str">
        <f t="shared" si="1015"/>
        <v>M</v>
      </c>
      <c r="I1430" s="324" t="s">
        <v>4349</v>
      </c>
      <c r="J1430" s="431" t="str">
        <f>IF(B1430&lt;&gt;"",+VLOOKUP(I1430,Recursos!C:F,2,FALSE),"")</f>
        <v>CAJA ELECTRICA OCTOGONAL 10X10</v>
      </c>
      <c r="K1430" s="330" t="str">
        <f>IF(B1430&lt;&gt;"",+VLOOKUP(I1430,Recursos!C:F,3,FALSE),"")</f>
        <v>Un</v>
      </c>
      <c r="L1430" s="446">
        <f>IF(B1430&lt;&gt;"",+VLOOKUP(I1430,Recursos!C:F,4,FALSE),"")</f>
        <v>50</v>
      </c>
      <c r="M1430" s="1636">
        <v>0.5</v>
      </c>
      <c r="N1430" s="1625">
        <v>1</v>
      </c>
      <c r="O1430" s="1361">
        <f>M1430*N1430</f>
        <v>0.5</v>
      </c>
      <c r="P1430" s="333">
        <f t="shared" si="1017"/>
        <v>25</v>
      </c>
      <c r="Q1430" s="327">
        <f t="shared" si="1018"/>
        <v>0</v>
      </c>
      <c r="R1430" s="334">
        <f t="shared" si="1019"/>
        <v>0</v>
      </c>
      <c r="S1430" s="335">
        <f t="shared" si="988"/>
        <v>2155.9543183222477</v>
      </c>
      <c r="T1430" s="335">
        <f t="shared" si="989"/>
        <v>0</v>
      </c>
      <c r="U1430" s="336">
        <f t="shared" si="990"/>
        <v>2917.0402203856747</v>
      </c>
      <c r="V1430" s="336">
        <f t="shared" si="991"/>
        <v>0</v>
      </c>
      <c r="W1430" s="336">
        <f t="shared" si="992"/>
        <v>0</v>
      </c>
      <c r="X1430" s="336">
        <f t="shared" si="993"/>
        <v>0</v>
      </c>
      <c r="Y1430" s="320"/>
      <c r="Z1430" s="321" t="str">
        <f t="shared" si="1020"/>
        <v>X-BOCAELECTA</v>
      </c>
      <c r="AA1430" s="321" t="str">
        <f t="shared" si="1021"/>
        <v>X-BOCAELECTE</v>
      </c>
      <c r="AB1430" s="321" t="str">
        <f t="shared" si="1022"/>
        <v>X-BOCAELECTM</v>
      </c>
      <c r="AC1430" s="321" t="str">
        <f t="shared" si="1023"/>
        <v>X-BOCAELECTT</v>
      </c>
      <c r="AD1430" s="321" t="str">
        <f t="shared" si="1024"/>
        <v>X-BOCAELECTS</v>
      </c>
      <c r="AE1430" s="321" t="str">
        <f t="shared" si="1025"/>
        <v>X-BOCAELECTX</v>
      </c>
      <c r="AF1430" s="321" t="str">
        <f t="shared" si="1026"/>
        <v>X-BOCAELECTM</v>
      </c>
      <c r="AG1430" s="321">
        <f t="shared" si="994"/>
        <v>12</v>
      </c>
      <c r="AH1430" s="321">
        <f>IF(B1430&lt;&gt;"",IF(H1430="x",VLOOKUP(I1430,'AUX-NIV3'!B:AG,32,FALSE),0),"")</f>
        <v>0</v>
      </c>
      <c r="AI1430" s="321" t="str">
        <f t="shared" si="1027"/>
        <v>X-BOCAELECT</v>
      </c>
      <c r="AJ1430" s="320"/>
      <c r="AK1430" s="322">
        <f t="shared" si="995"/>
        <v>1427</v>
      </c>
      <c r="AL1430" s="323">
        <f t="shared" si="1028"/>
        <v>1438</v>
      </c>
      <c r="AM1430" s="322" t="e">
        <f>IF(B1430&lt;&gt;"",IF(B1430=B1427,1+AM1427,1),"")</f>
        <v>#REF!</v>
      </c>
      <c r="AN1430" s="380">
        <f>IF(AND(AH1430&gt;0,B1430&lt;&gt;""),VLOOKUP(I1430,'AUX-NIV3'!$B:$AO,39,FALSE)*O1430,0)</f>
        <v>0</v>
      </c>
      <c r="AO1430" s="380">
        <f t="shared" si="997"/>
        <v>4</v>
      </c>
      <c r="AP1430" s="380"/>
    </row>
    <row r="1431" spans="2:42">
      <c r="B1431" s="501" t="s">
        <v>4366</v>
      </c>
      <c r="C1431" s="951" t="s">
        <v>4365</v>
      </c>
      <c r="D1431" s="326" t="s">
        <v>610</v>
      </c>
      <c r="E1431" s="327">
        <f>IF(B1431&lt;&gt;"",SUMIF('AUX-NIV1'!I:I,'AUX-NIV2'!B1431,'AUX-NIV1'!Q:Q),"")</f>
        <v>0</v>
      </c>
      <c r="F1431" s="327">
        <f t="shared" si="986"/>
        <v>5072.9945387079233</v>
      </c>
      <c r="G1431" s="327">
        <f t="shared" si="987"/>
        <v>0</v>
      </c>
      <c r="H1431" s="328" t="str">
        <f t="shared" si="1015"/>
        <v>M</v>
      </c>
      <c r="I1431" s="324" t="s">
        <v>4351</v>
      </c>
      <c r="J1431" s="431" t="str">
        <f>IF(B1431&lt;&gt;"",+VLOOKUP(I1431,Recursos!C:F,2,FALSE),"")</f>
        <v>CAJA ELECTRICA OCTOGONAL 8X8</v>
      </c>
      <c r="K1431" s="330" t="str">
        <f>IF(B1431&lt;&gt;"",+VLOOKUP(I1431,Recursos!C:F,3,FALSE),"")</f>
        <v>Un</v>
      </c>
      <c r="L1431" s="446">
        <f>IF(B1431&lt;&gt;"",+VLOOKUP(I1431,Recursos!C:F,4,FALSE),"")</f>
        <v>50</v>
      </c>
      <c r="M1431" s="1636">
        <v>0.5</v>
      </c>
      <c r="N1431" s="1625">
        <v>1</v>
      </c>
      <c r="O1431" s="1361">
        <f t="shared" ref="O1431:O1439" si="1043">M1431*N1431</f>
        <v>0.5</v>
      </c>
      <c r="P1431" s="333">
        <f t="shared" si="1017"/>
        <v>25</v>
      </c>
      <c r="Q1431" s="327">
        <f t="shared" si="1018"/>
        <v>0</v>
      </c>
      <c r="R1431" s="334">
        <f t="shared" si="1019"/>
        <v>0</v>
      </c>
      <c r="S1431" s="335">
        <f t="shared" si="988"/>
        <v>2155.9543183222477</v>
      </c>
      <c r="T1431" s="335">
        <f t="shared" si="989"/>
        <v>0</v>
      </c>
      <c r="U1431" s="336">
        <f t="shared" si="990"/>
        <v>2917.0402203856747</v>
      </c>
      <c r="V1431" s="336">
        <f t="shared" si="991"/>
        <v>0</v>
      </c>
      <c r="W1431" s="336">
        <f t="shared" si="992"/>
        <v>0</v>
      </c>
      <c r="X1431" s="336">
        <f t="shared" si="993"/>
        <v>0</v>
      </c>
      <c r="Y1431" s="320"/>
      <c r="Z1431" s="321" t="str">
        <f t="shared" si="1020"/>
        <v>X-BOCAELECTA</v>
      </c>
      <c r="AA1431" s="321" t="str">
        <f t="shared" si="1021"/>
        <v>X-BOCAELECTE</v>
      </c>
      <c r="AB1431" s="321" t="str">
        <f t="shared" si="1022"/>
        <v>X-BOCAELECTM</v>
      </c>
      <c r="AC1431" s="321" t="str">
        <f t="shared" si="1023"/>
        <v>X-BOCAELECTT</v>
      </c>
      <c r="AD1431" s="321" t="str">
        <f t="shared" si="1024"/>
        <v>X-BOCAELECTS</v>
      </c>
      <c r="AE1431" s="321" t="str">
        <f t="shared" si="1025"/>
        <v>X-BOCAELECTX</v>
      </c>
      <c r="AF1431" s="321" t="str">
        <f t="shared" si="1026"/>
        <v>X-BOCAELECTM</v>
      </c>
      <c r="AG1431" s="321">
        <f t="shared" si="994"/>
        <v>12</v>
      </c>
      <c r="AH1431" s="321">
        <f>IF(B1431&lt;&gt;"",IF(H1431="x",VLOOKUP(I1431,'AUX-NIV3'!B:AG,32,FALSE),0),"")</f>
        <v>0</v>
      </c>
      <c r="AI1431" s="321" t="str">
        <f t="shared" si="1027"/>
        <v>X-BOCAELECT</v>
      </c>
      <c r="AJ1431" s="320"/>
      <c r="AK1431" s="322">
        <f t="shared" si="995"/>
        <v>1427</v>
      </c>
      <c r="AL1431" s="323">
        <f t="shared" si="1028"/>
        <v>1438</v>
      </c>
      <c r="AM1431" s="322" t="e">
        <f t="shared" ref="AM1431" si="1044">IF(B1431&lt;&gt;"",IF(B1431=B1430,1+AM1430,1),"")</f>
        <v>#REF!</v>
      </c>
      <c r="AN1431" s="380">
        <f>IF(AND(AH1431&gt;0,B1431&lt;&gt;""),VLOOKUP(I1431,'AUX-NIV3'!$B:$AO,39,FALSE)*O1431,0)</f>
        <v>0</v>
      </c>
      <c r="AO1431" s="380">
        <f t="shared" si="997"/>
        <v>4</v>
      </c>
      <c r="AP1431" s="380"/>
    </row>
    <row r="1432" spans="2:42">
      <c r="B1432" s="501" t="s">
        <v>4366</v>
      </c>
      <c r="C1432" s="951" t="s">
        <v>4365</v>
      </c>
      <c r="D1432" s="326" t="s">
        <v>610</v>
      </c>
      <c r="E1432" s="327">
        <f>IF(B1432&lt;&gt;"",SUMIF('AUX-NIV1'!I:I,'AUX-NIV2'!B1432,'AUX-NIV1'!Q:Q),"")</f>
        <v>0</v>
      </c>
      <c r="F1432" s="327">
        <f t="shared" si="986"/>
        <v>5072.9945387079233</v>
      </c>
      <c r="G1432" s="327">
        <f t="shared" si="987"/>
        <v>0</v>
      </c>
      <c r="H1432" s="328" t="str">
        <f t="shared" ref="H1432:H1434" si="1045">IF(B1432&lt;&gt;"",+LEFT(I1432,1),"")</f>
        <v>M</v>
      </c>
      <c r="I1432" s="324" t="s">
        <v>4353</v>
      </c>
      <c r="J1432" s="431" t="str">
        <f>IF(B1432&lt;&gt;"",+VLOOKUP(I1432,Recursos!C:F,2,FALSE),"")</f>
        <v>CAJA ELECTRICA RECTANGULAR</v>
      </c>
      <c r="K1432" s="330" t="str">
        <f>IF(B1432&lt;&gt;"",+VLOOKUP(I1432,Recursos!C:F,3,FALSE),"")</f>
        <v>Un</v>
      </c>
      <c r="L1432" s="446">
        <f>IF(B1432&lt;&gt;"",+VLOOKUP(I1432,Recursos!C:F,4,FALSE),"")</f>
        <v>68</v>
      </c>
      <c r="M1432" s="1636">
        <f>9/10</f>
        <v>0.9</v>
      </c>
      <c r="N1432" s="1625">
        <v>1</v>
      </c>
      <c r="O1432" s="1361">
        <f t="shared" si="1043"/>
        <v>0.9</v>
      </c>
      <c r="P1432" s="333">
        <f t="shared" ref="P1432:P1434" si="1046">IF(B1432&lt;&gt;"",O1432*L1432,"")</f>
        <v>61.2</v>
      </c>
      <c r="Q1432" s="327">
        <f t="shared" ref="Q1432:Q1434" si="1047">IF(B1432&lt;&gt;"",+O1432*E1432,"")</f>
        <v>0</v>
      </c>
      <c r="R1432" s="334">
        <f t="shared" ref="R1432:R1434" si="1048">IF(B1432&lt;&gt;"",Q1432*L1432,"")</f>
        <v>0</v>
      </c>
      <c r="S1432" s="335">
        <f t="shared" si="988"/>
        <v>2155.9543183222477</v>
      </c>
      <c r="T1432" s="335">
        <f t="shared" si="989"/>
        <v>0</v>
      </c>
      <c r="U1432" s="336">
        <f t="shared" si="990"/>
        <v>2917.0402203856747</v>
      </c>
      <c r="V1432" s="336">
        <f t="shared" si="991"/>
        <v>0</v>
      </c>
      <c r="W1432" s="336">
        <f t="shared" si="992"/>
        <v>0</v>
      </c>
      <c r="X1432" s="336">
        <f t="shared" si="993"/>
        <v>0</v>
      </c>
      <c r="Y1432" s="320"/>
      <c r="Z1432" s="321" t="str">
        <f t="shared" ref="Z1432:Z1434" si="1049">IF(B1432&lt;&gt;"",+$B1432&amp;"A","")</f>
        <v>X-BOCAELECTA</v>
      </c>
      <c r="AA1432" s="321" t="str">
        <f t="shared" ref="AA1432:AA1434" si="1050">IF(B1432&lt;&gt;"",+$B1432&amp;"E","")</f>
        <v>X-BOCAELECTE</v>
      </c>
      <c r="AB1432" s="321" t="str">
        <f t="shared" ref="AB1432:AB1434" si="1051">IF(B1432&lt;&gt;"",++$B1432&amp;"M","")</f>
        <v>X-BOCAELECTM</v>
      </c>
      <c r="AC1432" s="321" t="str">
        <f t="shared" ref="AC1432:AC1434" si="1052">IF(B1432&lt;&gt;"",+$B1432&amp;"T","")</f>
        <v>X-BOCAELECTT</v>
      </c>
      <c r="AD1432" s="321" t="str">
        <f t="shared" ref="AD1432:AD1434" si="1053">IF(B1432&lt;&gt;"",+$B1432&amp;"S","")</f>
        <v>X-BOCAELECTS</v>
      </c>
      <c r="AE1432" s="321" t="str">
        <f t="shared" ref="AE1432:AE1434" si="1054">IF(B1432&lt;&gt;"",+$B1432&amp;"X","")</f>
        <v>X-BOCAELECTX</v>
      </c>
      <c r="AF1432" s="321" t="str">
        <f t="shared" ref="AF1432:AF1434" si="1055">IF(B1432&lt;&gt;"",+B1432&amp;H1432,"")</f>
        <v>X-BOCAELECTM</v>
      </c>
      <c r="AG1432" s="321">
        <f t="shared" si="994"/>
        <v>12</v>
      </c>
      <c r="AH1432" s="321">
        <f>IF(B1432&lt;&gt;"",IF(H1432="x",VLOOKUP(I1432,'AUX-NIV3'!B:AG,32,FALSE),0),"")</f>
        <v>0</v>
      </c>
      <c r="AI1432" s="321" t="str">
        <f t="shared" ref="AI1432:AI1434" si="1056">IF(B1432&lt;&gt;"",+B1432,"")</f>
        <v>X-BOCAELECT</v>
      </c>
      <c r="AJ1432" s="320"/>
      <c r="AK1432" s="322">
        <f t="shared" si="995"/>
        <v>1427</v>
      </c>
      <c r="AL1432" s="323">
        <f t="shared" ref="AL1432:AL1434" si="1057">IF(B1432&lt;&gt;"",+AK1432+AG1432-1,"")</f>
        <v>1438</v>
      </c>
      <c r="AM1432" s="322" t="e">
        <f t="shared" ref="AM1432:AM1434" si="1058">IF(B1432&lt;&gt;"",IF(B1432=B1431,1+AM1431,1),"")</f>
        <v>#REF!</v>
      </c>
      <c r="AN1432" s="380">
        <f>IF(AND(AH1432&gt;0,B1432&lt;&gt;""),VLOOKUP(I1432,'AUX-NIV3'!$B:$AO,39,FALSE)*O1432,0)</f>
        <v>0</v>
      </c>
      <c r="AO1432" s="380">
        <f t="shared" si="997"/>
        <v>4</v>
      </c>
      <c r="AP1432" s="380"/>
    </row>
    <row r="1433" spans="2:42">
      <c r="B1433" s="501" t="s">
        <v>4366</v>
      </c>
      <c r="C1433" s="951" t="s">
        <v>4365</v>
      </c>
      <c r="D1433" s="326" t="s">
        <v>610</v>
      </c>
      <c r="E1433" s="327">
        <f>IF(B1433&lt;&gt;"",SUMIF('AUX-NIV1'!I:I,'AUX-NIV2'!B1433,'AUX-NIV1'!Q:Q),"")</f>
        <v>0</v>
      </c>
      <c r="F1433" s="327">
        <f t="shared" si="986"/>
        <v>5072.9945387079233</v>
      </c>
      <c r="G1433" s="327">
        <f t="shared" si="987"/>
        <v>0</v>
      </c>
      <c r="H1433" s="328" t="str">
        <f t="shared" si="1045"/>
        <v>M</v>
      </c>
      <c r="I1433" s="324" t="s">
        <v>4357</v>
      </c>
      <c r="J1433" s="431" t="str">
        <f>IF(B1433&lt;&gt;"",+VLOOKUP(I1433,Recursos!C:F,2,FALSE),"")</f>
        <v>CONDUCTORES ELÉCTRICOS 1MM A 2.5MM</v>
      </c>
      <c r="K1433" s="330" t="str">
        <f>IF(B1433&lt;&gt;"",+VLOOKUP(I1433,Recursos!C:F,3,FALSE),"")</f>
        <v>m</v>
      </c>
      <c r="L1433" s="446">
        <f>IF(B1433&lt;&gt;"",+VLOOKUP(I1433,Recursos!C:F,4,FALSE),"")</f>
        <v>40</v>
      </c>
      <c r="M1433" s="1636">
        <v>4</v>
      </c>
      <c r="N1433" s="1625">
        <v>3</v>
      </c>
      <c r="O1433" s="1361">
        <f t="shared" si="1043"/>
        <v>12</v>
      </c>
      <c r="P1433" s="333">
        <f t="shared" si="1046"/>
        <v>480</v>
      </c>
      <c r="Q1433" s="327">
        <f t="shared" si="1047"/>
        <v>0</v>
      </c>
      <c r="R1433" s="334">
        <f t="shared" si="1048"/>
        <v>0</v>
      </c>
      <c r="S1433" s="335">
        <f t="shared" si="988"/>
        <v>2155.9543183222477</v>
      </c>
      <c r="T1433" s="335">
        <f t="shared" si="989"/>
        <v>0</v>
      </c>
      <c r="U1433" s="336">
        <f t="shared" si="990"/>
        <v>2917.0402203856747</v>
      </c>
      <c r="V1433" s="336">
        <f t="shared" si="991"/>
        <v>0</v>
      </c>
      <c r="W1433" s="336">
        <f t="shared" si="992"/>
        <v>0</v>
      </c>
      <c r="X1433" s="336">
        <f t="shared" si="993"/>
        <v>0</v>
      </c>
      <c r="Y1433" s="320"/>
      <c r="Z1433" s="321" t="str">
        <f t="shared" si="1049"/>
        <v>X-BOCAELECTA</v>
      </c>
      <c r="AA1433" s="321" t="str">
        <f t="shared" si="1050"/>
        <v>X-BOCAELECTE</v>
      </c>
      <c r="AB1433" s="321" t="str">
        <f t="shared" si="1051"/>
        <v>X-BOCAELECTM</v>
      </c>
      <c r="AC1433" s="321" t="str">
        <f t="shared" si="1052"/>
        <v>X-BOCAELECTT</v>
      </c>
      <c r="AD1433" s="321" t="str">
        <f t="shared" si="1053"/>
        <v>X-BOCAELECTS</v>
      </c>
      <c r="AE1433" s="321" t="str">
        <f t="shared" si="1054"/>
        <v>X-BOCAELECTX</v>
      </c>
      <c r="AF1433" s="321" t="str">
        <f t="shared" si="1055"/>
        <v>X-BOCAELECTM</v>
      </c>
      <c r="AG1433" s="321">
        <f t="shared" si="994"/>
        <v>12</v>
      </c>
      <c r="AH1433" s="321">
        <f>IF(B1433&lt;&gt;"",IF(H1433="x",VLOOKUP(I1433,'AUX-NIV3'!B:AG,32,FALSE),0),"")</f>
        <v>0</v>
      </c>
      <c r="AI1433" s="321" t="str">
        <f t="shared" si="1056"/>
        <v>X-BOCAELECT</v>
      </c>
      <c r="AJ1433" s="320"/>
      <c r="AK1433" s="322">
        <f t="shared" si="995"/>
        <v>1427</v>
      </c>
      <c r="AL1433" s="323">
        <f t="shared" si="1057"/>
        <v>1438</v>
      </c>
      <c r="AM1433" s="322" t="e">
        <f t="shared" si="1058"/>
        <v>#REF!</v>
      </c>
      <c r="AN1433" s="380">
        <f>IF(AND(AH1433&gt;0,B1433&lt;&gt;""),VLOOKUP(I1433,'AUX-NIV3'!$B:$AO,39,FALSE)*O1433,0)</f>
        <v>0</v>
      </c>
      <c r="AO1433" s="380">
        <f t="shared" si="997"/>
        <v>4</v>
      </c>
      <c r="AP1433" s="380"/>
    </row>
    <row r="1434" spans="2:42">
      <c r="B1434" s="501" t="s">
        <v>4366</v>
      </c>
      <c r="C1434" s="951" t="s">
        <v>4365</v>
      </c>
      <c r="D1434" s="326" t="s">
        <v>610</v>
      </c>
      <c r="E1434" s="327">
        <f>IF(B1434&lt;&gt;"",SUMIF('AUX-NIV1'!I:I,'AUX-NIV2'!B1434,'AUX-NIV1'!Q:Q),"")</f>
        <v>0</v>
      </c>
      <c r="F1434" s="327">
        <f t="shared" si="986"/>
        <v>5072.9945387079233</v>
      </c>
      <c r="G1434" s="327">
        <f t="shared" si="987"/>
        <v>0</v>
      </c>
      <c r="H1434" s="328" t="str">
        <f t="shared" si="1045"/>
        <v>M</v>
      </c>
      <c r="I1434" s="324" t="s">
        <v>4358</v>
      </c>
      <c r="J1434" s="431" t="str">
        <f>IF(B1434&lt;&gt;"",+VLOOKUP(I1434,Recursos!C:F,2,FALSE),"")</f>
        <v>CONDUCTORES ELÉCTRICOS 3MM A 4MM</v>
      </c>
      <c r="K1434" s="330" t="str">
        <f>IF(B1434&lt;&gt;"",+VLOOKUP(I1434,Recursos!C:F,3,FALSE),"")</f>
        <v>m</v>
      </c>
      <c r="L1434" s="446">
        <f>IF(B1434&lt;&gt;"",+VLOOKUP(I1434,Recursos!C:F,4,FALSE),"")</f>
        <v>100</v>
      </c>
      <c r="M1434" s="1636">
        <v>0.2</v>
      </c>
      <c r="N1434" s="1625">
        <v>3</v>
      </c>
      <c r="O1434" s="1361">
        <f t="shared" si="1043"/>
        <v>0.60000000000000009</v>
      </c>
      <c r="P1434" s="333">
        <f t="shared" si="1046"/>
        <v>60.000000000000007</v>
      </c>
      <c r="Q1434" s="327">
        <f t="shared" si="1047"/>
        <v>0</v>
      </c>
      <c r="R1434" s="334">
        <f t="shared" si="1048"/>
        <v>0</v>
      </c>
      <c r="S1434" s="335">
        <f t="shared" si="988"/>
        <v>2155.9543183222477</v>
      </c>
      <c r="T1434" s="335">
        <f t="shared" si="989"/>
        <v>0</v>
      </c>
      <c r="U1434" s="336">
        <f t="shared" si="990"/>
        <v>2917.0402203856747</v>
      </c>
      <c r="V1434" s="336">
        <f t="shared" si="991"/>
        <v>0</v>
      </c>
      <c r="W1434" s="336">
        <f t="shared" si="992"/>
        <v>0</v>
      </c>
      <c r="X1434" s="336">
        <f t="shared" si="993"/>
        <v>0</v>
      </c>
      <c r="Y1434" s="320"/>
      <c r="Z1434" s="321" t="str">
        <f t="shared" si="1049"/>
        <v>X-BOCAELECTA</v>
      </c>
      <c r="AA1434" s="321" t="str">
        <f t="shared" si="1050"/>
        <v>X-BOCAELECTE</v>
      </c>
      <c r="AB1434" s="321" t="str">
        <f t="shared" si="1051"/>
        <v>X-BOCAELECTM</v>
      </c>
      <c r="AC1434" s="321" t="str">
        <f t="shared" si="1052"/>
        <v>X-BOCAELECTT</v>
      </c>
      <c r="AD1434" s="321" t="str">
        <f t="shared" si="1053"/>
        <v>X-BOCAELECTS</v>
      </c>
      <c r="AE1434" s="321" t="str">
        <f t="shared" si="1054"/>
        <v>X-BOCAELECTX</v>
      </c>
      <c r="AF1434" s="321" t="str">
        <f t="shared" si="1055"/>
        <v>X-BOCAELECTM</v>
      </c>
      <c r="AG1434" s="321">
        <f t="shared" si="994"/>
        <v>12</v>
      </c>
      <c r="AH1434" s="321">
        <f>IF(B1434&lt;&gt;"",IF(H1434="x",VLOOKUP(I1434,'AUX-NIV3'!B:AG,32,FALSE),0),"")</f>
        <v>0</v>
      </c>
      <c r="AI1434" s="321" t="str">
        <f t="shared" si="1056"/>
        <v>X-BOCAELECT</v>
      </c>
      <c r="AJ1434" s="320"/>
      <c r="AK1434" s="322">
        <f t="shared" si="995"/>
        <v>1427</v>
      </c>
      <c r="AL1434" s="323">
        <f t="shared" si="1057"/>
        <v>1438</v>
      </c>
      <c r="AM1434" s="322" t="e">
        <f t="shared" si="1058"/>
        <v>#REF!</v>
      </c>
      <c r="AN1434" s="380">
        <f>IF(AND(AH1434&gt;0,B1434&lt;&gt;""),VLOOKUP(I1434,'AUX-NIV3'!$B:$AO,39,FALSE)*O1434,0)</f>
        <v>0</v>
      </c>
      <c r="AO1434" s="380">
        <f t="shared" si="997"/>
        <v>4</v>
      </c>
      <c r="AP1434" s="380"/>
    </row>
    <row r="1435" spans="2:42">
      <c r="B1435" s="501" t="s">
        <v>4366</v>
      </c>
      <c r="C1435" s="951" t="s">
        <v>4365</v>
      </c>
      <c r="D1435" s="326" t="s">
        <v>610</v>
      </c>
      <c r="E1435" s="327">
        <f>IF(B1435&lt;&gt;"",SUMIF('AUX-NIV1'!I:I,'AUX-NIV2'!B1435,'AUX-NIV1'!Q:Q),"")</f>
        <v>0</v>
      </c>
      <c r="F1435" s="327">
        <f t="shared" si="986"/>
        <v>5072.9945387079233</v>
      </c>
      <c r="G1435" s="327">
        <f t="shared" si="987"/>
        <v>0</v>
      </c>
      <c r="H1435" s="328" t="str">
        <f t="shared" ref="H1435:H1439" si="1059">IF(B1435&lt;&gt;"",+LEFT(I1435,1),"")</f>
        <v>M</v>
      </c>
      <c r="I1435" s="324" t="s">
        <v>4359</v>
      </c>
      <c r="J1435" s="431" t="str">
        <f>IF(B1435&lt;&gt;"",+VLOOKUP(I1435,Recursos!C:F,2,FALSE),"")</f>
        <v>TUBERÍAS ELÉCTRICAS PVC</v>
      </c>
      <c r="K1435" s="330" t="str">
        <f>IF(B1435&lt;&gt;"",+VLOOKUP(I1435,Recursos!C:F,3,FALSE),"")</f>
        <v>m</v>
      </c>
      <c r="L1435" s="446">
        <f>IF(B1435&lt;&gt;"",+VLOOKUP(I1435,Recursos!C:F,4,FALSE),"")</f>
        <v>316.66666666666669</v>
      </c>
      <c r="M1435" s="1636">
        <v>4</v>
      </c>
      <c r="N1435" s="1625">
        <v>1</v>
      </c>
      <c r="O1435" s="1361">
        <f t="shared" si="1043"/>
        <v>4</v>
      </c>
      <c r="P1435" s="333">
        <f t="shared" ref="P1435:P1439" si="1060">IF(B1435&lt;&gt;"",O1435*L1435,"")</f>
        <v>1266.6666666666667</v>
      </c>
      <c r="Q1435" s="327">
        <f t="shared" ref="Q1435:Q1439" si="1061">IF(B1435&lt;&gt;"",+O1435*E1435,"")</f>
        <v>0</v>
      </c>
      <c r="R1435" s="334">
        <f t="shared" ref="R1435:R1439" si="1062">IF(B1435&lt;&gt;"",Q1435*L1435,"")</f>
        <v>0</v>
      </c>
      <c r="S1435" s="335">
        <f t="shared" si="988"/>
        <v>2155.9543183222477</v>
      </c>
      <c r="T1435" s="335">
        <f t="shared" si="989"/>
        <v>0</v>
      </c>
      <c r="U1435" s="336">
        <f t="shared" si="990"/>
        <v>2917.0402203856747</v>
      </c>
      <c r="V1435" s="336">
        <f t="shared" si="991"/>
        <v>0</v>
      </c>
      <c r="W1435" s="336">
        <f t="shared" si="992"/>
        <v>0</v>
      </c>
      <c r="X1435" s="336">
        <f t="shared" si="993"/>
        <v>0</v>
      </c>
      <c r="Y1435" s="320"/>
      <c r="Z1435" s="321" t="str">
        <f t="shared" ref="Z1435:Z1439" si="1063">IF(B1435&lt;&gt;"",+$B1435&amp;"A","")</f>
        <v>X-BOCAELECTA</v>
      </c>
      <c r="AA1435" s="321" t="str">
        <f t="shared" ref="AA1435:AA1439" si="1064">IF(B1435&lt;&gt;"",+$B1435&amp;"E","")</f>
        <v>X-BOCAELECTE</v>
      </c>
      <c r="AB1435" s="321" t="str">
        <f t="shared" ref="AB1435:AB1439" si="1065">IF(B1435&lt;&gt;"",++$B1435&amp;"M","")</f>
        <v>X-BOCAELECTM</v>
      </c>
      <c r="AC1435" s="321" t="str">
        <f t="shared" ref="AC1435:AC1439" si="1066">IF(B1435&lt;&gt;"",+$B1435&amp;"T","")</f>
        <v>X-BOCAELECTT</v>
      </c>
      <c r="AD1435" s="321" t="str">
        <f t="shared" ref="AD1435:AD1439" si="1067">IF(B1435&lt;&gt;"",+$B1435&amp;"S","")</f>
        <v>X-BOCAELECTS</v>
      </c>
      <c r="AE1435" s="321" t="str">
        <f t="shared" ref="AE1435:AE1439" si="1068">IF(B1435&lt;&gt;"",+$B1435&amp;"X","")</f>
        <v>X-BOCAELECTX</v>
      </c>
      <c r="AF1435" s="321" t="str">
        <f t="shared" ref="AF1435:AF1439" si="1069">IF(B1435&lt;&gt;"",+B1435&amp;H1435,"")</f>
        <v>X-BOCAELECTM</v>
      </c>
      <c r="AG1435" s="321">
        <f t="shared" si="994"/>
        <v>12</v>
      </c>
      <c r="AH1435" s="321">
        <f>IF(B1435&lt;&gt;"",IF(H1435="x",VLOOKUP(I1435,'AUX-NIV3'!B:AG,32,FALSE),0),"")</f>
        <v>0</v>
      </c>
      <c r="AI1435" s="321" t="str">
        <f t="shared" ref="AI1435:AI1439" si="1070">IF(B1435&lt;&gt;"",+B1435,"")</f>
        <v>X-BOCAELECT</v>
      </c>
      <c r="AJ1435" s="320"/>
      <c r="AK1435" s="322">
        <f t="shared" si="995"/>
        <v>1427</v>
      </c>
      <c r="AL1435" s="323">
        <f t="shared" ref="AL1435:AL1439" si="1071">IF(B1435&lt;&gt;"",+AK1435+AG1435-1,"")</f>
        <v>1438</v>
      </c>
      <c r="AM1435" s="322" t="e">
        <f t="shared" ref="AM1435:AM1437" si="1072">IF(B1435&lt;&gt;"",IF(B1435=B1434,1+AM1434,1),"")</f>
        <v>#REF!</v>
      </c>
      <c r="AN1435" s="380">
        <f>IF(AND(AH1435&gt;0,B1435&lt;&gt;""),VLOOKUP(I1435,'AUX-NIV3'!$B:$AO,39,FALSE)*O1435,0)</f>
        <v>0</v>
      </c>
      <c r="AO1435" s="380">
        <f t="shared" si="997"/>
        <v>4</v>
      </c>
      <c r="AP1435" s="380"/>
    </row>
    <row r="1436" spans="2:42">
      <c r="B1436" s="501" t="s">
        <v>4366</v>
      </c>
      <c r="C1436" s="951" t="s">
        <v>4365</v>
      </c>
      <c r="D1436" s="326" t="s">
        <v>610</v>
      </c>
      <c r="E1436" s="327">
        <f>IF(B1436&lt;&gt;"",SUMIF('AUX-NIV1'!I:I,'AUX-NIV2'!B1436,'AUX-NIV1'!Q:Q),"")</f>
        <v>0</v>
      </c>
      <c r="F1436" s="327">
        <f t="shared" si="986"/>
        <v>5072.9945387079233</v>
      </c>
      <c r="G1436" s="327">
        <f t="shared" si="987"/>
        <v>0</v>
      </c>
      <c r="H1436" s="328" t="str">
        <f t="shared" si="1059"/>
        <v>M</v>
      </c>
      <c r="I1436" s="324" t="s">
        <v>4361</v>
      </c>
      <c r="J1436" s="431" t="str">
        <f>IF(B1436&lt;&gt;"",+VLOOKUP(I1436,Recursos!C:F,2,FALSE),"")</f>
        <v>LLAVE ELÉCTRICA</v>
      </c>
      <c r="K1436" s="330" t="str">
        <f>IF(B1436&lt;&gt;"",+VLOOKUP(I1436,Recursos!C:F,3,FALSE),"")</f>
        <v>Un</v>
      </c>
      <c r="L1436" s="446">
        <f>IF(B1436&lt;&gt;"",+VLOOKUP(I1436,Recursos!C:F,4,FALSE),"")</f>
        <v>330.57851239669424</v>
      </c>
      <c r="M1436" s="1636">
        <f>1/10</f>
        <v>0.1</v>
      </c>
      <c r="N1436" s="1625">
        <v>1</v>
      </c>
      <c r="O1436" s="1361">
        <f t="shared" si="1043"/>
        <v>0.1</v>
      </c>
      <c r="P1436" s="333">
        <f t="shared" si="1060"/>
        <v>33.057851239669425</v>
      </c>
      <c r="Q1436" s="327">
        <f t="shared" si="1061"/>
        <v>0</v>
      </c>
      <c r="R1436" s="334">
        <f t="shared" si="1062"/>
        <v>0</v>
      </c>
      <c r="S1436" s="335">
        <f t="shared" si="988"/>
        <v>2155.9543183222477</v>
      </c>
      <c r="T1436" s="335">
        <f t="shared" si="989"/>
        <v>0</v>
      </c>
      <c r="U1436" s="336">
        <f t="shared" si="990"/>
        <v>2917.0402203856747</v>
      </c>
      <c r="V1436" s="336">
        <f t="shared" si="991"/>
        <v>0</v>
      </c>
      <c r="W1436" s="336">
        <f t="shared" si="992"/>
        <v>0</v>
      </c>
      <c r="X1436" s="336">
        <f t="shared" si="993"/>
        <v>0</v>
      </c>
      <c r="Y1436" s="320"/>
      <c r="Z1436" s="321" t="str">
        <f t="shared" si="1063"/>
        <v>X-BOCAELECTA</v>
      </c>
      <c r="AA1436" s="321" t="str">
        <f t="shared" si="1064"/>
        <v>X-BOCAELECTE</v>
      </c>
      <c r="AB1436" s="321" t="str">
        <f t="shared" si="1065"/>
        <v>X-BOCAELECTM</v>
      </c>
      <c r="AC1436" s="321" t="str">
        <f t="shared" si="1066"/>
        <v>X-BOCAELECTT</v>
      </c>
      <c r="AD1436" s="321" t="str">
        <f t="shared" si="1067"/>
        <v>X-BOCAELECTS</v>
      </c>
      <c r="AE1436" s="321" t="str">
        <f t="shared" si="1068"/>
        <v>X-BOCAELECTX</v>
      </c>
      <c r="AF1436" s="321" t="str">
        <f t="shared" si="1069"/>
        <v>X-BOCAELECTM</v>
      </c>
      <c r="AG1436" s="321">
        <f t="shared" si="994"/>
        <v>12</v>
      </c>
      <c r="AH1436" s="321">
        <f>IF(B1436&lt;&gt;"",IF(H1436="x",VLOOKUP(I1436,'AUX-NIV3'!B:AG,32,FALSE),0),"")</f>
        <v>0</v>
      </c>
      <c r="AI1436" s="321" t="str">
        <f t="shared" si="1070"/>
        <v>X-BOCAELECT</v>
      </c>
      <c r="AJ1436" s="320"/>
      <c r="AK1436" s="322">
        <f t="shared" si="995"/>
        <v>1427</v>
      </c>
      <c r="AL1436" s="323">
        <f t="shared" si="1071"/>
        <v>1438</v>
      </c>
      <c r="AM1436" s="322" t="e">
        <f t="shared" si="1072"/>
        <v>#REF!</v>
      </c>
      <c r="AN1436" s="380">
        <f>IF(AND(AH1436&gt;0,B1436&lt;&gt;""),VLOOKUP(I1436,'AUX-NIV3'!$B:$AO,39,FALSE)*O1436,0)</f>
        <v>0</v>
      </c>
      <c r="AO1436" s="380">
        <f t="shared" si="997"/>
        <v>4</v>
      </c>
      <c r="AP1436" s="380"/>
    </row>
    <row r="1437" spans="2:42">
      <c r="B1437" s="501" t="s">
        <v>4366</v>
      </c>
      <c r="C1437" s="951" t="s">
        <v>4365</v>
      </c>
      <c r="D1437" s="326" t="s">
        <v>610</v>
      </c>
      <c r="E1437" s="327">
        <f>IF(B1437&lt;&gt;"",SUMIF('AUX-NIV1'!I:I,'AUX-NIV2'!B1437,'AUX-NIV1'!Q:Q),"")</f>
        <v>0</v>
      </c>
      <c r="F1437" s="327">
        <f t="shared" si="986"/>
        <v>5072.9945387079233</v>
      </c>
      <c r="G1437" s="327">
        <f t="shared" si="987"/>
        <v>0</v>
      </c>
      <c r="H1437" s="328" t="str">
        <f t="shared" si="1059"/>
        <v>M</v>
      </c>
      <c r="I1437" s="324" t="s">
        <v>4362</v>
      </c>
      <c r="J1437" s="431" t="str">
        <f>IF(B1437&lt;&gt;"",+VLOOKUP(I1437,Recursos!C:F,2,FALSE),"")</f>
        <v>TOMA ELÉCTRICA</v>
      </c>
      <c r="K1437" s="330" t="str">
        <f>IF(B1437&lt;&gt;"",+VLOOKUP(I1437,Recursos!C:F,3,FALSE),"")</f>
        <v>Un</v>
      </c>
      <c r="L1437" s="446">
        <f>IF(B1437&lt;&gt;"",+VLOOKUP(I1437,Recursos!C:F,4,FALSE),"")</f>
        <v>330.57851239669424</v>
      </c>
      <c r="M1437" s="1636">
        <f>2/10</f>
        <v>0.2</v>
      </c>
      <c r="N1437" s="1625">
        <v>1</v>
      </c>
      <c r="O1437" s="1361">
        <f t="shared" si="1043"/>
        <v>0.2</v>
      </c>
      <c r="P1437" s="333">
        <f t="shared" si="1060"/>
        <v>66.11570247933885</v>
      </c>
      <c r="Q1437" s="327">
        <f t="shared" si="1061"/>
        <v>0</v>
      </c>
      <c r="R1437" s="334">
        <f t="shared" si="1062"/>
        <v>0</v>
      </c>
      <c r="S1437" s="335">
        <f t="shared" si="988"/>
        <v>2155.9543183222477</v>
      </c>
      <c r="T1437" s="335">
        <f t="shared" si="989"/>
        <v>0</v>
      </c>
      <c r="U1437" s="336">
        <f t="shared" si="990"/>
        <v>2917.0402203856747</v>
      </c>
      <c r="V1437" s="336">
        <f t="shared" si="991"/>
        <v>0</v>
      </c>
      <c r="W1437" s="336">
        <f t="shared" si="992"/>
        <v>0</v>
      </c>
      <c r="X1437" s="336">
        <f t="shared" si="993"/>
        <v>0</v>
      </c>
      <c r="Y1437" s="320"/>
      <c r="Z1437" s="321" t="str">
        <f t="shared" si="1063"/>
        <v>X-BOCAELECTA</v>
      </c>
      <c r="AA1437" s="321" t="str">
        <f t="shared" si="1064"/>
        <v>X-BOCAELECTE</v>
      </c>
      <c r="AB1437" s="321" t="str">
        <f t="shared" si="1065"/>
        <v>X-BOCAELECTM</v>
      </c>
      <c r="AC1437" s="321" t="str">
        <f t="shared" si="1066"/>
        <v>X-BOCAELECTT</v>
      </c>
      <c r="AD1437" s="321" t="str">
        <f t="shared" si="1067"/>
        <v>X-BOCAELECTS</v>
      </c>
      <c r="AE1437" s="321" t="str">
        <f t="shared" si="1068"/>
        <v>X-BOCAELECTX</v>
      </c>
      <c r="AF1437" s="321" t="str">
        <f t="shared" si="1069"/>
        <v>X-BOCAELECTM</v>
      </c>
      <c r="AG1437" s="321">
        <f t="shared" si="994"/>
        <v>12</v>
      </c>
      <c r="AH1437" s="321">
        <f>IF(B1437&lt;&gt;"",IF(H1437="x",VLOOKUP(I1437,'AUX-NIV3'!B:AG,32,FALSE),0),"")</f>
        <v>0</v>
      </c>
      <c r="AI1437" s="321" t="str">
        <f t="shared" si="1070"/>
        <v>X-BOCAELECT</v>
      </c>
      <c r="AJ1437" s="320"/>
      <c r="AK1437" s="322">
        <f t="shared" si="995"/>
        <v>1427</v>
      </c>
      <c r="AL1437" s="323">
        <f t="shared" si="1071"/>
        <v>1438</v>
      </c>
      <c r="AM1437" s="322" t="e">
        <f t="shared" si="1072"/>
        <v>#REF!</v>
      </c>
      <c r="AN1437" s="380">
        <f>IF(AND(AH1437&gt;0,B1437&lt;&gt;""),VLOOKUP(I1437,'AUX-NIV3'!$B:$AO,39,FALSE)*O1437,0)</f>
        <v>0</v>
      </c>
      <c r="AO1437" s="380">
        <f t="shared" si="997"/>
        <v>4</v>
      </c>
      <c r="AP1437" s="380"/>
    </row>
    <row r="1438" spans="2:42" ht="13.8" thickBot="1">
      <c r="B1438" s="501" t="s">
        <v>4366</v>
      </c>
      <c r="C1438" s="951" t="s">
        <v>4365</v>
      </c>
      <c r="D1438" s="326" t="s">
        <v>610</v>
      </c>
      <c r="E1438" s="327">
        <f>IF(B1438&lt;&gt;"",SUMIF('AUX-NIV1'!I:I,'AUX-NIV2'!B1438,'AUX-NIV1'!Q:Q),"")</f>
        <v>0</v>
      </c>
      <c r="F1438" s="327">
        <f t="shared" si="986"/>
        <v>5072.9945387079233</v>
      </c>
      <c r="G1438" s="327">
        <f t="shared" si="987"/>
        <v>0</v>
      </c>
      <c r="H1438" s="328" t="str">
        <f t="shared" ref="H1438" si="1073">IF(B1438&lt;&gt;"",+LEFT(I1438,1),"")</f>
        <v>M</v>
      </c>
      <c r="I1438" s="324" t="s">
        <v>4663</v>
      </c>
      <c r="J1438" s="431" t="str">
        <f>IF(B1438&lt;&gt;"",+VLOOKUP(I1438,Recursos!C:F,2,FALSE),"")</f>
        <v>DETECTOR DE MOVIMIENTO</v>
      </c>
      <c r="K1438" s="330" t="str">
        <f>IF(B1438&lt;&gt;"",+VLOOKUP(I1438,Recursos!C:F,3,FALSE),"")</f>
        <v>Un</v>
      </c>
      <c r="L1438" s="446">
        <f>IF(B1438&lt;&gt;"",+VLOOKUP(I1438,Recursos!C:F,4,FALSE),"")</f>
        <v>1500</v>
      </c>
      <c r="M1438" s="1626">
        <f>6/10</f>
        <v>0.6</v>
      </c>
      <c r="N1438" s="1627">
        <v>1</v>
      </c>
      <c r="O1438" s="1361">
        <f t="shared" ref="O1438" si="1074">M1438*N1438</f>
        <v>0.6</v>
      </c>
      <c r="P1438" s="333">
        <f t="shared" ref="P1438" si="1075">IF(B1438&lt;&gt;"",O1438*L1438,"")</f>
        <v>900</v>
      </c>
      <c r="Q1438" s="327">
        <f t="shared" ref="Q1438" si="1076">IF(B1438&lt;&gt;"",+O1438*E1438,"")</f>
        <v>0</v>
      </c>
      <c r="R1438" s="334">
        <f t="shared" ref="R1438" si="1077">IF(B1438&lt;&gt;"",Q1438*L1438,"")</f>
        <v>0</v>
      </c>
      <c r="S1438" s="335">
        <f t="shared" si="988"/>
        <v>2155.9543183222477</v>
      </c>
      <c r="T1438" s="335">
        <f t="shared" si="989"/>
        <v>0</v>
      </c>
      <c r="U1438" s="336">
        <f t="shared" si="990"/>
        <v>2917.0402203856747</v>
      </c>
      <c r="V1438" s="336">
        <f t="shared" si="991"/>
        <v>0</v>
      </c>
      <c r="W1438" s="336">
        <f t="shared" si="992"/>
        <v>0</v>
      </c>
      <c r="X1438" s="336">
        <f t="shared" si="993"/>
        <v>0</v>
      </c>
      <c r="Y1438" s="320"/>
      <c r="Z1438" s="321" t="str">
        <f t="shared" ref="Z1438" si="1078">IF(B1438&lt;&gt;"",+$B1438&amp;"A","")</f>
        <v>X-BOCAELECTA</v>
      </c>
      <c r="AA1438" s="321" t="str">
        <f t="shared" ref="AA1438" si="1079">IF(B1438&lt;&gt;"",+$B1438&amp;"E","")</f>
        <v>X-BOCAELECTE</v>
      </c>
      <c r="AB1438" s="321" t="str">
        <f t="shared" ref="AB1438" si="1080">IF(B1438&lt;&gt;"",++$B1438&amp;"M","")</f>
        <v>X-BOCAELECTM</v>
      </c>
      <c r="AC1438" s="321" t="str">
        <f t="shared" ref="AC1438" si="1081">IF(B1438&lt;&gt;"",+$B1438&amp;"T","")</f>
        <v>X-BOCAELECTT</v>
      </c>
      <c r="AD1438" s="321" t="str">
        <f t="shared" ref="AD1438" si="1082">IF(B1438&lt;&gt;"",+$B1438&amp;"S","")</f>
        <v>X-BOCAELECTS</v>
      </c>
      <c r="AE1438" s="321" t="str">
        <f t="shared" ref="AE1438" si="1083">IF(B1438&lt;&gt;"",+$B1438&amp;"X","")</f>
        <v>X-BOCAELECTX</v>
      </c>
      <c r="AF1438" s="321" t="str">
        <f t="shared" ref="AF1438" si="1084">IF(B1438&lt;&gt;"",+B1438&amp;H1438,"")</f>
        <v>X-BOCAELECTM</v>
      </c>
      <c r="AG1438" s="321">
        <f t="shared" si="994"/>
        <v>12</v>
      </c>
      <c r="AH1438" s="321">
        <f>IF(B1438&lt;&gt;"",IF(H1438="x",VLOOKUP(I1438,'AUX-NIV3'!B:AG,32,FALSE),0),"")</f>
        <v>0</v>
      </c>
      <c r="AI1438" s="321" t="str">
        <f t="shared" ref="AI1438" si="1085">IF(B1438&lt;&gt;"",+B1438,"")</f>
        <v>X-BOCAELECT</v>
      </c>
      <c r="AJ1438" s="320"/>
      <c r="AK1438" s="322">
        <f t="shared" si="995"/>
        <v>1427</v>
      </c>
      <c r="AL1438" s="323">
        <f t="shared" ref="AL1438" si="1086">IF(B1438&lt;&gt;"",+AK1438+AG1438-1,"")</f>
        <v>1438</v>
      </c>
      <c r="AM1438" s="322" t="e">
        <f t="shared" ref="AM1438" si="1087">IF(B1438&lt;&gt;"",IF(B1438=B1437,1+AM1437,1),"")</f>
        <v>#REF!</v>
      </c>
      <c r="AN1438" s="380">
        <f>IF(AND(AH1438&gt;0,B1438&lt;&gt;""),VLOOKUP(I1438,'AUX-NIV3'!$B:$AO,39,FALSE)*O1438,0)</f>
        <v>0</v>
      </c>
      <c r="AO1438" s="380">
        <f t="shared" si="997"/>
        <v>4</v>
      </c>
      <c r="AP1438" s="380"/>
    </row>
    <row r="1439" spans="2:42" ht="13.8" thickTop="1">
      <c r="B1439" s="501" t="s">
        <v>4345</v>
      </c>
      <c r="C1439" s="951" t="s">
        <v>4346</v>
      </c>
      <c r="D1439" s="326" t="s">
        <v>1233</v>
      </c>
      <c r="E1439" s="327">
        <f>IF(B1439&lt;&gt;"",SUMIF('AUX-NIV1'!I:I,'AUX-NIV2'!B1439,'AUX-NIV1'!Q:Q),"")</f>
        <v>0</v>
      </c>
      <c r="F1439" s="327">
        <f t="shared" si="986"/>
        <v>12961.908636644495</v>
      </c>
      <c r="G1439" s="327">
        <f t="shared" si="987"/>
        <v>0</v>
      </c>
      <c r="H1439" s="328" t="str">
        <f t="shared" si="1059"/>
        <v>A</v>
      </c>
      <c r="I1439" s="324" t="s">
        <v>1745</v>
      </c>
      <c r="J1439" s="431" t="str">
        <f>IF(B1439&lt;&gt;"",+VLOOKUP(I1439,Recursos!C:F,2,FALSE),"")</f>
        <v>AYUDANTE</v>
      </c>
      <c r="K1439" s="330" t="str">
        <f>IF(B1439&lt;&gt;"",+VLOOKUP(I1439,Recursos!C:F,3,FALSE),"")</f>
        <v>hh</v>
      </c>
      <c r="L1439" s="446">
        <f>IF(B1439&lt;&gt;"",+VLOOKUP(I1439,Recursos!C:F,4,FALSE),"")</f>
        <v>422.48042769667234</v>
      </c>
      <c r="M1439" s="1270"/>
      <c r="N1439" s="1352"/>
      <c r="O1439" s="1361">
        <f t="shared" si="1043"/>
        <v>0</v>
      </c>
      <c r="P1439" s="333">
        <f t="shared" si="1060"/>
        <v>0</v>
      </c>
      <c r="Q1439" s="327">
        <f t="shared" si="1061"/>
        <v>0</v>
      </c>
      <c r="R1439" s="334">
        <f t="shared" si="1062"/>
        <v>0</v>
      </c>
      <c r="S1439" s="335">
        <f t="shared" si="988"/>
        <v>4311.9086366444953</v>
      </c>
      <c r="T1439" s="335">
        <f t="shared" si="989"/>
        <v>0</v>
      </c>
      <c r="U1439" s="336">
        <f t="shared" si="990"/>
        <v>8650</v>
      </c>
      <c r="V1439" s="336">
        <f t="shared" si="991"/>
        <v>0</v>
      </c>
      <c r="W1439" s="336">
        <f t="shared" si="992"/>
        <v>0</v>
      </c>
      <c r="X1439" s="336">
        <f t="shared" si="993"/>
        <v>0</v>
      </c>
      <c r="Y1439" s="320"/>
      <c r="Z1439" s="321" t="str">
        <f t="shared" si="1063"/>
        <v>X-TBLRELCA</v>
      </c>
      <c r="AA1439" s="321" t="str">
        <f t="shared" si="1064"/>
        <v>X-TBLRELCE</v>
      </c>
      <c r="AB1439" s="321" t="str">
        <f t="shared" si="1065"/>
        <v>X-TBLRELCM</v>
      </c>
      <c r="AC1439" s="321" t="str">
        <f t="shared" si="1066"/>
        <v>X-TBLRELCT</v>
      </c>
      <c r="AD1439" s="321" t="str">
        <f t="shared" si="1067"/>
        <v>X-TBLRELCS</v>
      </c>
      <c r="AE1439" s="321" t="str">
        <f t="shared" si="1068"/>
        <v>X-TBLRELCX</v>
      </c>
      <c r="AF1439" s="321" t="str">
        <f t="shared" si="1069"/>
        <v>X-TBLRELCA</v>
      </c>
      <c r="AG1439" s="321">
        <f t="shared" si="994"/>
        <v>10</v>
      </c>
      <c r="AH1439" s="321">
        <f>IF(B1439&lt;&gt;"",IF(H1439="x",VLOOKUP(I1439,'AUX-NIV3'!B:AG,32,FALSE),0),"")</f>
        <v>0</v>
      </c>
      <c r="AI1439" s="321" t="str">
        <f t="shared" si="1070"/>
        <v>X-TBLRELC</v>
      </c>
      <c r="AJ1439" s="320"/>
      <c r="AK1439" s="322">
        <f t="shared" si="995"/>
        <v>1439</v>
      </c>
      <c r="AL1439" s="323">
        <f t="shared" si="1071"/>
        <v>1448</v>
      </c>
      <c r="AM1439" s="322" t="e">
        <f>IF(B1439&lt;&gt;"",IF(B1439=#REF!,1+#REF!,1),"")</f>
        <v>#REF!</v>
      </c>
      <c r="AN1439" s="380">
        <f>IF(AND(AH1439&gt;0,B1439&lt;&gt;""),VLOOKUP(I1439,'AUX-NIV3'!$B:$AO,39,FALSE)*O1439,0)</f>
        <v>0</v>
      </c>
      <c r="AO1439" s="380">
        <f t="shared" si="997"/>
        <v>8</v>
      </c>
      <c r="AP1439" s="380"/>
    </row>
    <row r="1440" spans="2:42">
      <c r="B1440" s="501" t="s">
        <v>4345</v>
      </c>
      <c r="C1440" s="951" t="s">
        <v>4346</v>
      </c>
      <c r="D1440" s="326" t="s">
        <v>1233</v>
      </c>
      <c r="E1440" s="327">
        <f>IF(B1440&lt;&gt;"",SUMIF('AUX-NIV1'!I:I,'AUX-NIV2'!B1440,'AUX-NIV1'!Q:Q),"")</f>
        <v>0</v>
      </c>
      <c r="F1440" s="327">
        <f t="shared" si="986"/>
        <v>12961.908636644495</v>
      </c>
      <c r="G1440" s="327">
        <f t="shared" si="987"/>
        <v>0</v>
      </c>
      <c r="H1440" s="328" t="str">
        <f t="shared" ref="H1440:H1443" si="1088">IF(B1440&lt;&gt;"",+LEFT(I1440,1),"")</f>
        <v>A</v>
      </c>
      <c r="I1440" s="324" t="s">
        <v>1746</v>
      </c>
      <c r="J1440" s="431" t="str">
        <f>IF(B1440&lt;&gt;"",+VLOOKUP(I1440,Recursos!C:F,2,FALSE),"")</f>
        <v>OFICIAL</v>
      </c>
      <c r="K1440" s="330" t="str">
        <f>IF(B1440&lt;&gt;"",+VLOOKUP(I1440,Recursos!C:F,3,FALSE),"")</f>
        <v>hh</v>
      </c>
      <c r="L1440" s="446">
        <f>IF(B1440&lt;&gt;"",+VLOOKUP(I1440,Recursos!C:F,4,FALSE),"")</f>
        <v>496.91595439275824</v>
      </c>
      <c r="M1440" s="1636">
        <v>4</v>
      </c>
      <c r="N1440" s="1625">
        <v>1</v>
      </c>
      <c r="O1440" s="1361">
        <f t="shared" ref="O1440:O1443" si="1089">M1440*N1440</f>
        <v>4</v>
      </c>
      <c r="P1440" s="333">
        <f t="shared" ref="P1440:P1443" si="1090">IF(B1440&lt;&gt;"",O1440*L1440,"")</f>
        <v>1987.663817571033</v>
      </c>
      <c r="Q1440" s="327">
        <f t="shared" ref="Q1440:Q1443" si="1091">IF(B1440&lt;&gt;"",+O1440*E1440,"")</f>
        <v>0</v>
      </c>
      <c r="R1440" s="334">
        <f t="shared" ref="R1440:R1443" si="1092">IF(B1440&lt;&gt;"",Q1440*L1440,"")</f>
        <v>0</v>
      </c>
      <c r="S1440" s="335">
        <f t="shared" si="988"/>
        <v>4311.9086366444953</v>
      </c>
      <c r="T1440" s="335">
        <f t="shared" si="989"/>
        <v>0</v>
      </c>
      <c r="U1440" s="336">
        <f t="shared" si="990"/>
        <v>8650</v>
      </c>
      <c r="V1440" s="336">
        <f t="shared" si="991"/>
        <v>0</v>
      </c>
      <c r="W1440" s="336">
        <f t="shared" si="992"/>
        <v>0</v>
      </c>
      <c r="X1440" s="336">
        <f t="shared" si="993"/>
        <v>0</v>
      </c>
      <c r="Y1440" s="320"/>
      <c r="Z1440" s="321" t="str">
        <f t="shared" ref="Z1440:Z1443" si="1093">IF(B1440&lt;&gt;"",+$B1440&amp;"A","")</f>
        <v>X-TBLRELCA</v>
      </c>
      <c r="AA1440" s="321" t="str">
        <f t="shared" ref="AA1440:AA1443" si="1094">IF(B1440&lt;&gt;"",+$B1440&amp;"E","")</f>
        <v>X-TBLRELCE</v>
      </c>
      <c r="AB1440" s="321" t="str">
        <f t="shared" ref="AB1440:AB1443" si="1095">IF(B1440&lt;&gt;"",++$B1440&amp;"M","")</f>
        <v>X-TBLRELCM</v>
      </c>
      <c r="AC1440" s="321" t="str">
        <f t="shared" ref="AC1440:AC1443" si="1096">IF(B1440&lt;&gt;"",+$B1440&amp;"T","")</f>
        <v>X-TBLRELCT</v>
      </c>
      <c r="AD1440" s="321" t="str">
        <f t="shared" ref="AD1440:AD1443" si="1097">IF(B1440&lt;&gt;"",+$B1440&amp;"S","")</f>
        <v>X-TBLRELCS</v>
      </c>
      <c r="AE1440" s="321" t="str">
        <f t="shared" ref="AE1440:AE1443" si="1098">IF(B1440&lt;&gt;"",+$B1440&amp;"X","")</f>
        <v>X-TBLRELCX</v>
      </c>
      <c r="AF1440" s="321" t="str">
        <f t="shared" ref="AF1440:AF1443" si="1099">IF(B1440&lt;&gt;"",+B1440&amp;H1440,"")</f>
        <v>X-TBLRELCA</v>
      </c>
      <c r="AG1440" s="321">
        <f t="shared" si="994"/>
        <v>10</v>
      </c>
      <c r="AH1440" s="321">
        <f>IF(B1440&lt;&gt;"",IF(H1440="x",VLOOKUP(I1440,'AUX-NIV3'!B:AG,32,FALSE),0),"")</f>
        <v>0</v>
      </c>
      <c r="AI1440" s="321" t="str">
        <f t="shared" ref="AI1440:AI1443" si="1100">IF(B1440&lt;&gt;"",+B1440,"")</f>
        <v>X-TBLRELC</v>
      </c>
      <c r="AJ1440" s="320"/>
      <c r="AK1440" s="322">
        <f t="shared" si="995"/>
        <v>1439</v>
      </c>
      <c r="AL1440" s="323">
        <f t="shared" ref="AL1440:AL1443" si="1101">IF(B1440&lt;&gt;"",+AK1440+AG1440-1,"")</f>
        <v>1448</v>
      </c>
      <c r="AM1440" s="322" t="e">
        <f>IF(B1440&lt;&gt;"",IF(B1440=#REF!,1+#REF!,1),"")</f>
        <v>#REF!</v>
      </c>
      <c r="AN1440" s="380">
        <f>IF(AND(AH1440&gt;0,B1440&lt;&gt;""),VLOOKUP(I1440,'AUX-NIV3'!$B:$AO,39,FALSE)*O1440,0)</f>
        <v>0</v>
      </c>
      <c r="AO1440" s="380">
        <f t="shared" si="997"/>
        <v>8</v>
      </c>
      <c r="AP1440" s="380"/>
    </row>
    <row r="1441" spans="2:42">
      <c r="B1441" s="501" t="s">
        <v>4345</v>
      </c>
      <c r="C1441" s="951" t="s">
        <v>4346</v>
      </c>
      <c r="D1441" s="326" t="s">
        <v>1233</v>
      </c>
      <c r="E1441" s="327">
        <f>IF(B1441&lt;&gt;"",SUMIF('AUX-NIV1'!I:I,'AUX-NIV2'!B1441,'AUX-NIV1'!Q:Q),"")</f>
        <v>0</v>
      </c>
      <c r="F1441" s="327">
        <f t="shared" si="986"/>
        <v>12961.908636644495</v>
      </c>
      <c r="G1441" s="327">
        <f t="shared" si="987"/>
        <v>0</v>
      </c>
      <c r="H1441" s="328" t="str">
        <f t="shared" si="1088"/>
        <v>A</v>
      </c>
      <c r="I1441" s="324" t="s">
        <v>3310</v>
      </c>
      <c r="J1441" s="431" t="str">
        <f>IF(B1441&lt;&gt;"",+VLOOKUP(I1441,Recursos!C:F,2,FALSE),"")</f>
        <v>OFICIAL ESPECIALIZADO</v>
      </c>
      <c r="K1441" s="330" t="str">
        <f>IF(B1441&lt;&gt;"",+VLOOKUP(I1441,Recursos!C:F,3,FALSE),"")</f>
        <v>hh</v>
      </c>
      <c r="L1441" s="446">
        <f>IF(B1441&lt;&gt;"",+VLOOKUP(I1441,Recursos!C:F,4,FALSE),"")</f>
        <v>581.06120476836554</v>
      </c>
      <c r="M1441" s="1636">
        <v>4</v>
      </c>
      <c r="N1441" s="1625">
        <v>1</v>
      </c>
      <c r="O1441" s="1361">
        <f t="shared" si="1089"/>
        <v>4</v>
      </c>
      <c r="P1441" s="333">
        <f t="shared" si="1090"/>
        <v>2324.2448190734622</v>
      </c>
      <c r="Q1441" s="327">
        <f t="shared" si="1091"/>
        <v>0</v>
      </c>
      <c r="R1441" s="334">
        <f t="shared" si="1092"/>
        <v>0</v>
      </c>
      <c r="S1441" s="335">
        <f t="shared" si="988"/>
        <v>4311.9086366444953</v>
      </c>
      <c r="T1441" s="335">
        <f t="shared" si="989"/>
        <v>0</v>
      </c>
      <c r="U1441" s="336">
        <f t="shared" si="990"/>
        <v>8650</v>
      </c>
      <c r="V1441" s="336">
        <f t="shared" si="991"/>
        <v>0</v>
      </c>
      <c r="W1441" s="336">
        <f t="shared" si="992"/>
        <v>0</v>
      </c>
      <c r="X1441" s="336">
        <f t="shared" si="993"/>
        <v>0</v>
      </c>
      <c r="Y1441" s="320"/>
      <c r="Z1441" s="321" t="str">
        <f t="shared" si="1093"/>
        <v>X-TBLRELCA</v>
      </c>
      <c r="AA1441" s="321" t="str">
        <f t="shared" si="1094"/>
        <v>X-TBLRELCE</v>
      </c>
      <c r="AB1441" s="321" t="str">
        <f t="shared" si="1095"/>
        <v>X-TBLRELCM</v>
      </c>
      <c r="AC1441" s="321" t="str">
        <f t="shared" si="1096"/>
        <v>X-TBLRELCT</v>
      </c>
      <c r="AD1441" s="321" t="str">
        <f t="shared" si="1097"/>
        <v>X-TBLRELCS</v>
      </c>
      <c r="AE1441" s="321" t="str">
        <f t="shared" si="1098"/>
        <v>X-TBLRELCX</v>
      </c>
      <c r="AF1441" s="321" t="str">
        <f t="shared" si="1099"/>
        <v>X-TBLRELCA</v>
      </c>
      <c r="AG1441" s="321">
        <f t="shared" si="994"/>
        <v>10</v>
      </c>
      <c r="AH1441" s="321">
        <f>IF(B1441&lt;&gt;"",IF(H1441="x",VLOOKUP(I1441,'AUX-NIV3'!B:AG,32,FALSE),0),"")</f>
        <v>0</v>
      </c>
      <c r="AI1441" s="321" t="str">
        <f t="shared" si="1100"/>
        <v>X-TBLRELC</v>
      </c>
      <c r="AJ1441" s="320"/>
      <c r="AK1441" s="322">
        <f t="shared" si="995"/>
        <v>1439</v>
      </c>
      <c r="AL1441" s="323">
        <f t="shared" si="1101"/>
        <v>1448</v>
      </c>
      <c r="AM1441" s="322" t="e">
        <f t="shared" ref="AM1441:AM1443" si="1102">IF(B1441&lt;&gt;"",IF(B1441=B1440,1+AM1440,1),"")</f>
        <v>#REF!</v>
      </c>
      <c r="AN1441" s="380">
        <f>IF(AND(AH1441&gt;0,B1441&lt;&gt;""),VLOOKUP(I1441,'AUX-NIV3'!$B:$AO,39,FALSE)*O1441,0)</f>
        <v>0</v>
      </c>
      <c r="AO1441" s="380">
        <f t="shared" si="997"/>
        <v>8</v>
      </c>
      <c r="AP1441" s="380"/>
    </row>
    <row r="1442" spans="2:42">
      <c r="B1442" s="501" t="s">
        <v>4345</v>
      </c>
      <c r="C1442" s="951" t="s">
        <v>4346</v>
      </c>
      <c r="D1442" s="326" t="s">
        <v>1233</v>
      </c>
      <c r="E1442" s="327">
        <f>IF(B1442&lt;&gt;"",SUMIF('AUX-NIV1'!I:I,'AUX-NIV2'!B1442,'AUX-NIV1'!Q:Q),"")</f>
        <v>0</v>
      </c>
      <c r="F1442" s="327">
        <f t="shared" si="986"/>
        <v>12961.908636644495</v>
      </c>
      <c r="G1442" s="327">
        <f t="shared" si="987"/>
        <v>0</v>
      </c>
      <c r="H1442" s="328" t="str">
        <f t="shared" si="1088"/>
        <v>M</v>
      </c>
      <c r="I1442" s="324" t="s">
        <v>4370</v>
      </c>
      <c r="J1442" s="431" t="str">
        <f>IF(B1442&lt;&gt;"",+VLOOKUP(I1442,Recursos!C:F,2,FALSE),"")</f>
        <v>TABLERO METÁLICO LIVIANO 40 MOD</v>
      </c>
      <c r="K1442" s="330" t="str">
        <f>IF(B1442&lt;&gt;"",+VLOOKUP(I1442,Recursos!C:F,3,FALSE),"")</f>
        <v>Un</v>
      </c>
      <c r="L1442" s="446">
        <f>IF(B1442&lt;&gt;"",+VLOOKUP(I1442,Recursos!C:F,4,FALSE),"")</f>
        <v>6100</v>
      </c>
      <c r="M1442" s="1637">
        <v>1</v>
      </c>
      <c r="N1442" s="1638">
        <v>0</v>
      </c>
      <c r="O1442" s="1361">
        <f t="shared" si="1089"/>
        <v>0</v>
      </c>
      <c r="P1442" s="333">
        <f t="shared" si="1090"/>
        <v>0</v>
      </c>
      <c r="Q1442" s="327">
        <f t="shared" si="1091"/>
        <v>0</v>
      </c>
      <c r="R1442" s="334">
        <f t="shared" si="1092"/>
        <v>0</v>
      </c>
      <c r="S1442" s="335">
        <f t="shared" si="988"/>
        <v>4311.9086366444953</v>
      </c>
      <c r="T1442" s="335">
        <f t="shared" si="989"/>
        <v>0</v>
      </c>
      <c r="U1442" s="336">
        <f t="shared" si="990"/>
        <v>8650</v>
      </c>
      <c r="V1442" s="336">
        <f t="shared" si="991"/>
        <v>0</v>
      </c>
      <c r="W1442" s="336">
        <f t="shared" si="992"/>
        <v>0</v>
      </c>
      <c r="X1442" s="336">
        <f t="shared" si="993"/>
        <v>0</v>
      </c>
      <c r="Y1442" s="320"/>
      <c r="Z1442" s="321" t="str">
        <f t="shared" si="1093"/>
        <v>X-TBLRELCA</v>
      </c>
      <c r="AA1442" s="321" t="str">
        <f t="shared" si="1094"/>
        <v>X-TBLRELCE</v>
      </c>
      <c r="AB1442" s="321" t="str">
        <f t="shared" si="1095"/>
        <v>X-TBLRELCM</v>
      </c>
      <c r="AC1442" s="321" t="str">
        <f t="shared" si="1096"/>
        <v>X-TBLRELCT</v>
      </c>
      <c r="AD1442" s="321" t="str">
        <f t="shared" si="1097"/>
        <v>X-TBLRELCS</v>
      </c>
      <c r="AE1442" s="321" t="str">
        <f t="shared" si="1098"/>
        <v>X-TBLRELCX</v>
      </c>
      <c r="AF1442" s="321" t="str">
        <f t="shared" si="1099"/>
        <v>X-TBLRELCM</v>
      </c>
      <c r="AG1442" s="321">
        <f t="shared" si="994"/>
        <v>10</v>
      </c>
      <c r="AH1442" s="321">
        <f>IF(B1442&lt;&gt;"",IF(H1442="x",VLOOKUP(I1442,'AUX-NIV3'!B:AG,32,FALSE),0),"")</f>
        <v>0</v>
      </c>
      <c r="AI1442" s="321" t="str">
        <f t="shared" si="1100"/>
        <v>X-TBLRELC</v>
      </c>
      <c r="AJ1442" s="320"/>
      <c r="AK1442" s="322">
        <f t="shared" si="995"/>
        <v>1439</v>
      </c>
      <c r="AL1442" s="323">
        <f t="shared" si="1101"/>
        <v>1448</v>
      </c>
      <c r="AM1442" s="322" t="e">
        <f t="shared" si="1102"/>
        <v>#REF!</v>
      </c>
      <c r="AN1442" s="380">
        <f>IF(AND(AH1442&gt;0,B1442&lt;&gt;""),VLOOKUP(I1442,'AUX-NIV3'!$B:$AO,39,FALSE)*O1442,0)</f>
        <v>0</v>
      </c>
      <c r="AO1442" s="380">
        <f t="shared" si="997"/>
        <v>8</v>
      </c>
      <c r="AP1442" s="380"/>
    </row>
    <row r="1443" spans="2:42">
      <c r="B1443" s="501" t="s">
        <v>4345</v>
      </c>
      <c r="C1443" s="951" t="s">
        <v>4346</v>
      </c>
      <c r="D1443" s="326" t="s">
        <v>1233</v>
      </c>
      <c r="E1443" s="327">
        <f>IF(B1443&lt;&gt;"",SUMIF('AUX-NIV1'!I:I,'AUX-NIV2'!B1443,'AUX-NIV1'!Q:Q),"")</f>
        <v>0</v>
      </c>
      <c r="F1443" s="327">
        <f t="shared" si="986"/>
        <v>12961.908636644495</v>
      </c>
      <c r="G1443" s="327">
        <f t="shared" si="987"/>
        <v>0</v>
      </c>
      <c r="H1443" s="328" t="str">
        <f t="shared" si="1088"/>
        <v>M</v>
      </c>
      <c r="I1443" s="324" t="s">
        <v>4371</v>
      </c>
      <c r="J1443" s="431" t="str">
        <f>IF(B1443&lt;&gt;"",+VLOOKUP(I1443,Recursos!C:F,2,FALSE),"")</f>
        <v>TABLERO METÁLICO LIVIANO 20 MOD</v>
      </c>
      <c r="K1443" s="330" t="str">
        <f>IF(B1443&lt;&gt;"",+VLOOKUP(I1443,Recursos!C:F,3,FALSE),"")</f>
        <v>Un</v>
      </c>
      <c r="L1443" s="446">
        <f>IF(B1443&lt;&gt;"",+VLOOKUP(I1443,Recursos!C:F,4,FALSE),"")</f>
        <v>3800</v>
      </c>
      <c r="M1443" s="1637">
        <v>1</v>
      </c>
      <c r="N1443" s="1638">
        <v>0</v>
      </c>
      <c r="O1443" s="1361">
        <f t="shared" si="1089"/>
        <v>0</v>
      </c>
      <c r="P1443" s="333">
        <f t="shared" si="1090"/>
        <v>0</v>
      </c>
      <c r="Q1443" s="327">
        <f t="shared" si="1091"/>
        <v>0</v>
      </c>
      <c r="R1443" s="334">
        <f t="shared" si="1092"/>
        <v>0</v>
      </c>
      <c r="S1443" s="335">
        <f t="shared" si="988"/>
        <v>4311.9086366444953</v>
      </c>
      <c r="T1443" s="335">
        <f t="shared" si="989"/>
        <v>0</v>
      </c>
      <c r="U1443" s="336">
        <f t="shared" si="990"/>
        <v>8650</v>
      </c>
      <c r="V1443" s="336">
        <f t="shared" si="991"/>
        <v>0</v>
      </c>
      <c r="W1443" s="336">
        <f t="shared" si="992"/>
        <v>0</v>
      </c>
      <c r="X1443" s="336">
        <f t="shared" si="993"/>
        <v>0</v>
      </c>
      <c r="Y1443" s="320"/>
      <c r="Z1443" s="321" t="str">
        <f t="shared" si="1093"/>
        <v>X-TBLRELCA</v>
      </c>
      <c r="AA1443" s="321" t="str">
        <f t="shared" si="1094"/>
        <v>X-TBLRELCE</v>
      </c>
      <c r="AB1443" s="321" t="str">
        <f t="shared" si="1095"/>
        <v>X-TBLRELCM</v>
      </c>
      <c r="AC1443" s="321" t="str">
        <f t="shared" si="1096"/>
        <v>X-TBLRELCT</v>
      </c>
      <c r="AD1443" s="321" t="str">
        <f t="shared" si="1097"/>
        <v>X-TBLRELCS</v>
      </c>
      <c r="AE1443" s="321" t="str">
        <f t="shared" si="1098"/>
        <v>X-TBLRELCX</v>
      </c>
      <c r="AF1443" s="321" t="str">
        <f t="shared" si="1099"/>
        <v>X-TBLRELCM</v>
      </c>
      <c r="AG1443" s="321">
        <f t="shared" si="994"/>
        <v>10</v>
      </c>
      <c r="AH1443" s="321">
        <f>IF(B1443&lt;&gt;"",IF(H1443="x",VLOOKUP(I1443,'AUX-NIV3'!B:AG,32,FALSE),0),"")</f>
        <v>0</v>
      </c>
      <c r="AI1443" s="321" t="str">
        <f t="shared" si="1100"/>
        <v>X-TBLRELC</v>
      </c>
      <c r="AJ1443" s="320"/>
      <c r="AK1443" s="322">
        <f t="shared" si="995"/>
        <v>1439</v>
      </c>
      <c r="AL1443" s="323">
        <f t="shared" si="1101"/>
        <v>1448</v>
      </c>
      <c r="AM1443" s="322" t="e">
        <f t="shared" si="1102"/>
        <v>#REF!</v>
      </c>
      <c r="AN1443" s="380">
        <f>IF(AND(AH1443&gt;0,B1443&lt;&gt;""),VLOOKUP(I1443,'AUX-NIV3'!$B:$AO,39,FALSE)*O1443,0)</f>
        <v>0</v>
      </c>
      <c r="AO1443" s="380">
        <f t="shared" si="997"/>
        <v>8</v>
      </c>
      <c r="AP1443" s="380"/>
    </row>
    <row r="1444" spans="2:42">
      <c r="B1444" s="501" t="s">
        <v>4345</v>
      </c>
      <c r="C1444" s="951" t="s">
        <v>4346</v>
      </c>
      <c r="D1444" s="326" t="s">
        <v>1233</v>
      </c>
      <c r="E1444" s="327">
        <f>IF(B1444&lt;&gt;"",SUMIF('AUX-NIV1'!I:I,'AUX-NIV2'!B1444,'AUX-NIV1'!Q:Q),"")</f>
        <v>0</v>
      </c>
      <c r="F1444" s="327">
        <f t="shared" si="986"/>
        <v>12961.908636644495</v>
      </c>
      <c r="G1444" s="327">
        <f t="shared" si="987"/>
        <v>0</v>
      </c>
      <c r="H1444" s="328" t="str">
        <f t="shared" ref="H1444:H1448" si="1103">IF(B1444&lt;&gt;"",+LEFT(I1444,1),"")</f>
        <v>M</v>
      </c>
      <c r="I1444" s="324" t="s">
        <v>4374</v>
      </c>
      <c r="J1444" s="431" t="str">
        <f>IF(B1444&lt;&gt;"",+VLOOKUP(I1444,Recursos!C:F,2,FALSE),"")</f>
        <v>TABLERO METÁLICO LIVIANO 10 MOD</v>
      </c>
      <c r="K1444" s="330" t="str">
        <f>IF(B1444&lt;&gt;"",+VLOOKUP(I1444,Recursos!C:F,3,FALSE),"")</f>
        <v>Un</v>
      </c>
      <c r="L1444" s="446">
        <f>IF(B1444&lt;&gt;"",+VLOOKUP(I1444,Recursos!C:F,4,FALSE),"")</f>
        <v>1500</v>
      </c>
      <c r="M1444" s="1637">
        <v>1</v>
      </c>
      <c r="N1444" s="1638">
        <v>1</v>
      </c>
      <c r="O1444" s="1361">
        <f t="shared" ref="O1444:O1448" si="1104">M1444*N1444</f>
        <v>1</v>
      </c>
      <c r="P1444" s="333">
        <f t="shared" ref="P1444:P1448" si="1105">IF(B1444&lt;&gt;"",O1444*L1444,"")</f>
        <v>1500</v>
      </c>
      <c r="Q1444" s="327">
        <f t="shared" ref="Q1444:Q1448" si="1106">IF(B1444&lt;&gt;"",+O1444*E1444,"")</f>
        <v>0</v>
      </c>
      <c r="R1444" s="334">
        <f t="shared" ref="R1444:R1448" si="1107">IF(B1444&lt;&gt;"",Q1444*L1444,"")</f>
        <v>0</v>
      </c>
      <c r="S1444" s="335">
        <f t="shared" si="988"/>
        <v>4311.9086366444953</v>
      </c>
      <c r="T1444" s="335">
        <f t="shared" si="989"/>
        <v>0</v>
      </c>
      <c r="U1444" s="336">
        <f t="shared" si="990"/>
        <v>8650</v>
      </c>
      <c r="V1444" s="336">
        <f t="shared" si="991"/>
        <v>0</v>
      </c>
      <c r="W1444" s="336">
        <f t="shared" si="992"/>
        <v>0</v>
      </c>
      <c r="X1444" s="336">
        <f t="shared" si="993"/>
        <v>0</v>
      </c>
      <c r="Y1444" s="320"/>
      <c r="Z1444" s="321" t="str">
        <f t="shared" ref="Z1444:Z1448" si="1108">IF(B1444&lt;&gt;"",+$B1444&amp;"A","")</f>
        <v>X-TBLRELCA</v>
      </c>
      <c r="AA1444" s="321" t="str">
        <f t="shared" ref="AA1444:AA1448" si="1109">IF(B1444&lt;&gt;"",+$B1444&amp;"E","")</f>
        <v>X-TBLRELCE</v>
      </c>
      <c r="AB1444" s="321" t="str">
        <f t="shared" ref="AB1444:AB1448" si="1110">IF(B1444&lt;&gt;"",++$B1444&amp;"M","")</f>
        <v>X-TBLRELCM</v>
      </c>
      <c r="AC1444" s="321" t="str">
        <f t="shared" ref="AC1444:AC1448" si="1111">IF(B1444&lt;&gt;"",+$B1444&amp;"T","")</f>
        <v>X-TBLRELCT</v>
      </c>
      <c r="AD1444" s="321" t="str">
        <f t="shared" ref="AD1444:AD1448" si="1112">IF(B1444&lt;&gt;"",+$B1444&amp;"S","")</f>
        <v>X-TBLRELCS</v>
      </c>
      <c r="AE1444" s="321" t="str">
        <f t="shared" ref="AE1444:AE1448" si="1113">IF(B1444&lt;&gt;"",+$B1444&amp;"X","")</f>
        <v>X-TBLRELCX</v>
      </c>
      <c r="AF1444" s="321" t="str">
        <f t="shared" ref="AF1444:AF1448" si="1114">IF(B1444&lt;&gt;"",+B1444&amp;H1444,"")</f>
        <v>X-TBLRELCM</v>
      </c>
      <c r="AG1444" s="321">
        <f t="shared" si="994"/>
        <v>10</v>
      </c>
      <c r="AH1444" s="321">
        <f>IF(B1444&lt;&gt;"",IF(H1444="x",VLOOKUP(I1444,'AUX-NIV3'!B:AG,32,FALSE),0),"")</f>
        <v>0</v>
      </c>
      <c r="AI1444" s="321" t="str">
        <f t="shared" ref="AI1444:AI1448" si="1115">IF(B1444&lt;&gt;"",+B1444,"")</f>
        <v>X-TBLRELC</v>
      </c>
      <c r="AJ1444" s="320"/>
      <c r="AK1444" s="322">
        <f t="shared" si="995"/>
        <v>1439</v>
      </c>
      <c r="AL1444" s="323">
        <f t="shared" ref="AL1444:AL1448" si="1116">IF(B1444&lt;&gt;"",+AK1444+AG1444-1,"")</f>
        <v>1448</v>
      </c>
      <c r="AM1444" s="322" t="e">
        <f t="shared" ref="AM1444:AM1448" si="1117">IF(B1444&lt;&gt;"",IF(B1444=B1443,1+AM1443,1),"")</f>
        <v>#REF!</v>
      </c>
      <c r="AN1444" s="380">
        <f>IF(AND(AH1444&gt;0,B1444&lt;&gt;""),VLOOKUP(I1444,'AUX-NIV3'!$B:$AO,39,FALSE)*O1444,0)</f>
        <v>0</v>
      </c>
      <c r="AO1444" s="380">
        <f t="shared" si="997"/>
        <v>8</v>
      </c>
      <c r="AP1444" s="380"/>
    </row>
    <row r="1445" spans="2:42">
      <c r="B1445" s="501" t="s">
        <v>4345</v>
      </c>
      <c r="C1445" s="951" t="s">
        <v>4346</v>
      </c>
      <c r="D1445" s="326" t="s">
        <v>1233</v>
      </c>
      <c r="E1445" s="327">
        <f>IF(B1445&lt;&gt;"",SUMIF('AUX-NIV1'!I:I,'AUX-NIV2'!B1445,'AUX-NIV1'!Q:Q),"")</f>
        <v>0</v>
      </c>
      <c r="F1445" s="327">
        <f t="shared" si="986"/>
        <v>12961.908636644495</v>
      </c>
      <c r="G1445" s="327">
        <f t="shared" si="987"/>
        <v>0</v>
      </c>
      <c r="H1445" s="328" t="str">
        <f t="shared" si="1103"/>
        <v>M</v>
      </c>
      <c r="I1445" s="324" t="s">
        <v>4372</v>
      </c>
      <c r="J1445" s="431" t="str">
        <f>IF(B1445&lt;&gt;"",+VLOOKUP(I1445,Recursos!C:F,2,FALSE),"")</f>
        <v>TABLERO PRINCIPAL TRIFÁSICO</v>
      </c>
      <c r="K1445" s="330" t="str">
        <f>IF(B1445&lt;&gt;"",+VLOOKUP(I1445,Recursos!C:F,3,FALSE),"")</f>
        <v>Un</v>
      </c>
      <c r="L1445" s="446">
        <f>IF(B1445&lt;&gt;"",+VLOOKUP(I1445,Recursos!C:F,4,FALSE),"")</f>
        <v>5000</v>
      </c>
      <c r="M1445" s="1637">
        <v>1</v>
      </c>
      <c r="N1445" s="1638">
        <v>0</v>
      </c>
      <c r="O1445" s="1361">
        <f t="shared" si="1104"/>
        <v>0</v>
      </c>
      <c r="P1445" s="333">
        <f t="shared" si="1105"/>
        <v>0</v>
      </c>
      <c r="Q1445" s="327">
        <f t="shared" si="1106"/>
        <v>0</v>
      </c>
      <c r="R1445" s="334">
        <f t="shared" si="1107"/>
        <v>0</v>
      </c>
      <c r="S1445" s="335">
        <f t="shared" si="988"/>
        <v>4311.9086366444953</v>
      </c>
      <c r="T1445" s="335">
        <f t="shared" si="989"/>
        <v>0</v>
      </c>
      <c r="U1445" s="336">
        <f t="shared" si="990"/>
        <v>8650</v>
      </c>
      <c r="V1445" s="336">
        <f t="shared" si="991"/>
        <v>0</v>
      </c>
      <c r="W1445" s="336">
        <f t="shared" si="992"/>
        <v>0</v>
      </c>
      <c r="X1445" s="336">
        <f t="shared" si="993"/>
        <v>0</v>
      </c>
      <c r="Y1445" s="320"/>
      <c r="Z1445" s="321" t="str">
        <f t="shared" si="1108"/>
        <v>X-TBLRELCA</v>
      </c>
      <c r="AA1445" s="321" t="str">
        <f t="shared" si="1109"/>
        <v>X-TBLRELCE</v>
      </c>
      <c r="AB1445" s="321" t="str">
        <f t="shared" si="1110"/>
        <v>X-TBLRELCM</v>
      </c>
      <c r="AC1445" s="321" t="str">
        <f t="shared" si="1111"/>
        <v>X-TBLRELCT</v>
      </c>
      <c r="AD1445" s="321" t="str">
        <f t="shared" si="1112"/>
        <v>X-TBLRELCS</v>
      </c>
      <c r="AE1445" s="321" t="str">
        <f t="shared" si="1113"/>
        <v>X-TBLRELCX</v>
      </c>
      <c r="AF1445" s="321" t="str">
        <f t="shared" si="1114"/>
        <v>X-TBLRELCM</v>
      </c>
      <c r="AG1445" s="321">
        <f t="shared" si="994"/>
        <v>10</v>
      </c>
      <c r="AH1445" s="321">
        <f>IF(B1445&lt;&gt;"",IF(H1445="x",VLOOKUP(I1445,'AUX-NIV3'!B:AG,32,FALSE),0),"")</f>
        <v>0</v>
      </c>
      <c r="AI1445" s="321" t="str">
        <f t="shared" si="1115"/>
        <v>X-TBLRELC</v>
      </c>
      <c r="AJ1445" s="320"/>
      <c r="AK1445" s="322">
        <f t="shared" si="995"/>
        <v>1439</v>
      </c>
      <c r="AL1445" s="323">
        <f t="shared" si="1116"/>
        <v>1448</v>
      </c>
      <c r="AM1445" s="322" t="e">
        <f t="shared" si="1117"/>
        <v>#REF!</v>
      </c>
      <c r="AN1445" s="380">
        <f>IF(AND(AH1445&gt;0,B1445&lt;&gt;""),VLOOKUP(I1445,'AUX-NIV3'!$B:$AO,39,FALSE)*O1445,0)</f>
        <v>0</v>
      </c>
      <c r="AO1445" s="380">
        <f t="shared" si="997"/>
        <v>8</v>
      </c>
      <c r="AP1445" s="380"/>
    </row>
    <row r="1446" spans="2:42">
      <c r="B1446" s="501" t="s">
        <v>4345</v>
      </c>
      <c r="C1446" s="951" t="s">
        <v>4346</v>
      </c>
      <c r="D1446" s="326" t="s">
        <v>1233</v>
      </c>
      <c r="E1446" s="327">
        <f>IF(B1446&lt;&gt;"",SUMIF('AUX-NIV1'!I:I,'AUX-NIV2'!B1446,'AUX-NIV1'!Q:Q),"")</f>
        <v>0</v>
      </c>
      <c r="F1446" s="327">
        <f t="shared" si="986"/>
        <v>12961.908636644495</v>
      </c>
      <c r="G1446" s="327">
        <f t="shared" si="987"/>
        <v>0</v>
      </c>
      <c r="H1446" s="328" t="str">
        <f t="shared" si="1103"/>
        <v>M</v>
      </c>
      <c r="I1446" s="324" t="s">
        <v>4376</v>
      </c>
      <c r="J1446" s="431" t="str">
        <f>IF(B1446&lt;&gt;"",+VLOOKUP(I1446,Recursos!C:F,2,FALSE),"")</f>
        <v>LLAVE TERMOMAGNÉTICA BIPOLAR</v>
      </c>
      <c r="K1446" s="330" t="str">
        <f>IF(B1446&lt;&gt;"",+VLOOKUP(I1446,Recursos!C:F,3,FALSE),"")</f>
        <v>Un</v>
      </c>
      <c r="L1446" s="446">
        <f>IF(B1446&lt;&gt;"",+VLOOKUP(I1446,Recursos!C:F,4,FALSE),"")</f>
        <v>450</v>
      </c>
      <c r="M1446" s="1637">
        <v>1</v>
      </c>
      <c r="N1446" s="1638">
        <v>3</v>
      </c>
      <c r="O1446" s="1361">
        <f t="shared" si="1104"/>
        <v>3</v>
      </c>
      <c r="P1446" s="333">
        <f t="shared" si="1105"/>
        <v>1350</v>
      </c>
      <c r="Q1446" s="327">
        <f t="shared" si="1106"/>
        <v>0</v>
      </c>
      <c r="R1446" s="334">
        <f t="shared" si="1107"/>
        <v>0</v>
      </c>
      <c r="S1446" s="335">
        <f t="shared" si="988"/>
        <v>4311.9086366444953</v>
      </c>
      <c r="T1446" s="335">
        <f t="shared" si="989"/>
        <v>0</v>
      </c>
      <c r="U1446" s="336">
        <f t="shared" si="990"/>
        <v>8650</v>
      </c>
      <c r="V1446" s="336">
        <f t="shared" si="991"/>
        <v>0</v>
      </c>
      <c r="W1446" s="336">
        <f t="shared" si="992"/>
        <v>0</v>
      </c>
      <c r="X1446" s="336">
        <f t="shared" si="993"/>
        <v>0</v>
      </c>
      <c r="Y1446" s="320"/>
      <c r="Z1446" s="321" t="str">
        <f t="shared" si="1108"/>
        <v>X-TBLRELCA</v>
      </c>
      <c r="AA1446" s="321" t="str">
        <f t="shared" si="1109"/>
        <v>X-TBLRELCE</v>
      </c>
      <c r="AB1446" s="321" t="str">
        <f t="shared" si="1110"/>
        <v>X-TBLRELCM</v>
      </c>
      <c r="AC1446" s="321" t="str">
        <f t="shared" si="1111"/>
        <v>X-TBLRELCT</v>
      </c>
      <c r="AD1446" s="321" t="str">
        <f t="shared" si="1112"/>
        <v>X-TBLRELCS</v>
      </c>
      <c r="AE1446" s="321" t="str">
        <f t="shared" si="1113"/>
        <v>X-TBLRELCX</v>
      </c>
      <c r="AF1446" s="321" t="str">
        <f t="shared" si="1114"/>
        <v>X-TBLRELCM</v>
      </c>
      <c r="AG1446" s="321">
        <f t="shared" si="994"/>
        <v>10</v>
      </c>
      <c r="AH1446" s="321">
        <f>IF(B1446&lt;&gt;"",IF(H1446="x",VLOOKUP(I1446,'AUX-NIV3'!B:AG,32,FALSE),0),"")</f>
        <v>0</v>
      </c>
      <c r="AI1446" s="321" t="str">
        <f t="shared" si="1115"/>
        <v>X-TBLRELC</v>
      </c>
      <c r="AJ1446" s="320"/>
      <c r="AK1446" s="322">
        <f t="shared" si="995"/>
        <v>1439</v>
      </c>
      <c r="AL1446" s="323">
        <f t="shared" si="1116"/>
        <v>1448</v>
      </c>
      <c r="AM1446" s="322" t="e">
        <f t="shared" si="1117"/>
        <v>#REF!</v>
      </c>
      <c r="AN1446" s="380">
        <f>IF(AND(AH1446&gt;0,B1446&lt;&gt;""),VLOOKUP(I1446,'AUX-NIV3'!$B:$AO,39,FALSE)*O1446,0)</f>
        <v>0</v>
      </c>
      <c r="AO1446" s="380">
        <f t="shared" si="997"/>
        <v>8</v>
      </c>
      <c r="AP1446" s="380"/>
    </row>
    <row r="1447" spans="2:42">
      <c r="B1447" s="501" t="s">
        <v>4345</v>
      </c>
      <c r="C1447" s="951" t="s">
        <v>4346</v>
      </c>
      <c r="D1447" s="326" t="s">
        <v>1233</v>
      </c>
      <c r="E1447" s="327">
        <f>IF(B1447&lt;&gt;"",SUMIF('AUX-NIV1'!I:I,'AUX-NIV2'!B1447,'AUX-NIV1'!Q:Q),"")</f>
        <v>0</v>
      </c>
      <c r="F1447" s="327">
        <f t="shared" si="986"/>
        <v>12961.908636644495</v>
      </c>
      <c r="G1447" s="327">
        <f t="shared" si="987"/>
        <v>0</v>
      </c>
      <c r="H1447" s="328" t="str">
        <f t="shared" si="1103"/>
        <v>M</v>
      </c>
      <c r="I1447" s="324" t="s">
        <v>4377</v>
      </c>
      <c r="J1447" s="431" t="str">
        <f>IF(B1447&lt;&gt;"",+VLOOKUP(I1447,Recursos!C:F,2,FALSE),"")</f>
        <v>LLAVE TERMOMAGNÉTICA TETRAPOLAR</v>
      </c>
      <c r="K1447" s="330" t="str">
        <f>IF(B1447&lt;&gt;"",+VLOOKUP(I1447,Recursos!C:F,3,FALSE),"")</f>
        <v>Un</v>
      </c>
      <c r="L1447" s="446">
        <f>IF(B1447&lt;&gt;"",+VLOOKUP(I1447,Recursos!C:F,4,FALSE),"")</f>
        <v>1440</v>
      </c>
      <c r="M1447" s="1636">
        <v>1</v>
      </c>
      <c r="N1447" s="1625">
        <v>0</v>
      </c>
      <c r="O1447" s="1361">
        <f t="shared" si="1104"/>
        <v>0</v>
      </c>
      <c r="P1447" s="333">
        <f t="shared" si="1105"/>
        <v>0</v>
      </c>
      <c r="Q1447" s="327">
        <f t="shared" si="1106"/>
        <v>0</v>
      </c>
      <c r="R1447" s="334">
        <f t="shared" si="1107"/>
        <v>0</v>
      </c>
      <c r="S1447" s="335">
        <f t="shared" si="988"/>
        <v>4311.9086366444953</v>
      </c>
      <c r="T1447" s="335">
        <f t="shared" si="989"/>
        <v>0</v>
      </c>
      <c r="U1447" s="336">
        <f t="shared" si="990"/>
        <v>8650</v>
      </c>
      <c r="V1447" s="336">
        <f t="shared" si="991"/>
        <v>0</v>
      </c>
      <c r="W1447" s="336">
        <f t="shared" si="992"/>
        <v>0</v>
      </c>
      <c r="X1447" s="336">
        <f t="shared" si="993"/>
        <v>0</v>
      </c>
      <c r="Y1447" s="320"/>
      <c r="Z1447" s="321" t="str">
        <f t="shared" si="1108"/>
        <v>X-TBLRELCA</v>
      </c>
      <c r="AA1447" s="321" t="str">
        <f t="shared" si="1109"/>
        <v>X-TBLRELCE</v>
      </c>
      <c r="AB1447" s="321" t="str">
        <f t="shared" si="1110"/>
        <v>X-TBLRELCM</v>
      </c>
      <c r="AC1447" s="321" t="str">
        <f t="shared" si="1111"/>
        <v>X-TBLRELCT</v>
      </c>
      <c r="AD1447" s="321" t="str">
        <f t="shared" si="1112"/>
        <v>X-TBLRELCS</v>
      </c>
      <c r="AE1447" s="321" t="str">
        <f t="shared" si="1113"/>
        <v>X-TBLRELCX</v>
      </c>
      <c r="AF1447" s="321" t="str">
        <f t="shared" si="1114"/>
        <v>X-TBLRELCM</v>
      </c>
      <c r="AG1447" s="321">
        <f t="shared" si="994"/>
        <v>10</v>
      </c>
      <c r="AH1447" s="321">
        <f>IF(B1447&lt;&gt;"",IF(H1447="x",VLOOKUP(I1447,'AUX-NIV3'!B:AG,32,FALSE),0),"")</f>
        <v>0</v>
      </c>
      <c r="AI1447" s="321" t="str">
        <f t="shared" si="1115"/>
        <v>X-TBLRELC</v>
      </c>
      <c r="AJ1447" s="320"/>
      <c r="AK1447" s="322">
        <f t="shared" si="995"/>
        <v>1439</v>
      </c>
      <c r="AL1447" s="323">
        <f t="shared" si="1116"/>
        <v>1448</v>
      </c>
      <c r="AM1447" s="322" t="e">
        <f t="shared" si="1117"/>
        <v>#REF!</v>
      </c>
      <c r="AN1447" s="380">
        <f>IF(AND(AH1447&gt;0,B1447&lt;&gt;""),VLOOKUP(I1447,'AUX-NIV3'!$B:$AO,39,FALSE)*O1447,0)</f>
        <v>0</v>
      </c>
      <c r="AO1447" s="380">
        <f t="shared" si="997"/>
        <v>8</v>
      </c>
      <c r="AP1447" s="380"/>
    </row>
    <row r="1448" spans="2:42" ht="13.8" thickBot="1">
      <c r="B1448" s="501" t="s">
        <v>4345</v>
      </c>
      <c r="C1448" s="951" t="s">
        <v>4346</v>
      </c>
      <c r="D1448" s="326" t="s">
        <v>1233</v>
      </c>
      <c r="E1448" s="327">
        <f>IF(B1448&lt;&gt;"",SUMIF('AUX-NIV1'!I:I,'AUX-NIV2'!B1448,'AUX-NIV1'!Q:Q),"")</f>
        <v>0</v>
      </c>
      <c r="F1448" s="327">
        <f t="shared" si="986"/>
        <v>12961.908636644495</v>
      </c>
      <c r="G1448" s="327">
        <f t="shared" si="987"/>
        <v>0</v>
      </c>
      <c r="H1448" s="328" t="str">
        <f t="shared" si="1103"/>
        <v>M</v>
      </c>
      <c r="I1448" s="324" t="s">
        <v>4380</v>
      </c>
      <c r="J1448" s="431" t="str">
        <f>IF(B1448&lt;&gt;"",+VLOOKUP(I1448,Recursos!C:F,2,FALSE),"")</f>
        <v>DISYUNTOR DIFERENCIAL TETRAPOLAR</v>
      </c>
      <c r="K1448" s="330" t="str">
        <f>IF(B1448&lt;&gt;"",+VLOOKUP(I1448,Recursos!C:F,3,FALSE),"")</f>
        <v>Un</v>
      </c>
      <c r="L1448" s="446">
        <f>IF(B1448&lt;&gt;"",+VLOOKUP(I1448,Recursos!C:F,4,FALSE),"")</f>
        <v>5800</v>
      </c>
      <c r="M1448" s="1626">
        <v>1</v>
      </c>
      <c r="N1448" s="1627">
        <v>1</v>
      </c>
      <c r="O1448" s="1361">
        <f t="shared" si="1104"/>
        <v>1</v>
      </c>
      <c r="P1448" s="333">
        <f t="shared" si="1105"/>
        <v>5800</v>
      </c>
      <c r="Q1448" s="327">
        <f t="shared" si="1106"/>
        <v>0</v>
      </c>
      <c r="R1448" s="334">
        <f t="shared" si="1107"/>
        <v>0</v>
      </c>
      <c r="S1448" s="335">
        <f t="shared" si="988"/>
        <v>4311.9086366444953</v>
      </c>
      <c r="T1448" s="335">
        <f t="shared" si="989"/>
        <v>0</v>
      </c>
      <c r="U1448" s="336">
        <f t="shared" si="990"/>
        <v>8650</v>
      </c>
      <c r="V1448" s="336">
        <f t="shared" si="991"/>
        <v>0</v>
      </c>
      <c r="W1448" s="336">
        <f t="shared" si="992"/>
        <v>0</v>
      </c>
      <c r="X1448" s="336">
        <f t="shared" si="993"/>
        <v>0</v>
      </c>
      <c r="Y1448" s="320"/>
      <c r="Z1448" s="321" t="str">
        <f t="shared" si="1108"/>
        <v>X-TBLRELCA</v>
      </c>
      <c r="AA1448" s="321" t="str">
        <f t="shared" si="1109"/>
        <v>X-TBLRELCE</v>
      </c>
      <c r="AB1448" s="321" t="str">
        <f t="shared" si="1110"/>
        <v>X-TBLRELCM</v>
      </c>
      <c r="AC1448" s="321" t="str">
        <f t="shared" si="1111"/>
        <v>X-TBLRELCT</v>
      </c>
      <c r="AD1448" s="321" t="str">
        <f t="shared" si="1112"/>
        <v>X-TBLRELCS</v>
      </c>
      <c r="AE1448" s="321" t="str">
        <f t="shared" si="1113"/>
        <v>X-TBLRELCX</v>
      </c>
      <c r="AF1448" s="321" t="str">
        <f t="shared" si="1114"/>
        <v>X-TBLRELCM</v>
      </c>
      <c r="AG1448" s="321">
        <f t="shared" si="994"/>
        <v>10</v>
      </c>
      <c r="AH1448" s="321">
        <f>IF(B1448&lt;&gt;"",IF(H1448="x",VLOOKUP(I1448,'AUX-NIV3'!B:AG,32,FALSE),0),"")</f>
        <v>0</v>
      </c>
      <c r="AI1448" s="321" t="str">
        <f t="shared" si="1115"/>
        <v>X-TBLRELC</v>
      </c>
      <c r="AJ1448" s="320"/>
      <c r="AK1448" s="322">
        <f t="shared" si="995"/>
        <v>1439</v>
      </c>
      <c r="AL1448" s="323">
        <f t="shared" si="1116"/>
        <v>1448</v>
      </c>
      <c r="AM1448" s="322" t="e">
        <f t="shared" si="1117"/>
        <v>#REF!</v>
      </c>
      <c r="AN1448" s="380">
        <f>IF(AND(AH1448&gt;0,B1448&lt;&gt;""),VLOOKUP(I1448,'AUX-NIV3'!$B:$AO,39,FALSE)*O1448,0)</f>
        <v>0</v>
      </c>
      <c r="AO1448" s="380">
        <f t="shared" si="997"/>
        <v>8</v>
      </c>
      <c r="AP1448" s="380"/>
    </row>
    <row r="1449" spans="2:42" ht="13.8" hidden="1" thickTop="1">
      <c r="B1449" s="501" t="s">
        <v>4347</v>
      </c>
      <c r="C1449" s="951" t="s">
        <v>4348</v>
      </c>
      <c r="D1449" s="326" t="s">
        <v>1233</v>
      </c>
      <c r="E1449" s="327">
        <f>IF(B1449&lt;&gt;"",SUMIF('AUX-NIV1'!I:I,'AUX-NIV2'!B1449,'AUX-NIV1'!Q:Q),"")</f>
        <v>0</v>
      </c>
      <c r="F1449" s="327">
        <f t="shared" si="986"/>
        <v>15978.988330004435</v>
      </c>
      <c r="G1449" s="327">
        <f t="shared" si="987"/>
        <v>0</v>
      </c>
      <c r="H1449" s="328" t="str">
        <f t="shared" ref="H1449:H1452" si="1118">IF(B1449&lt;&gt;"",+LEFT(I1449,1),"")</f>
        <v>A</v>
      </c>
      <c r="I1449" s="324" t="s">
        <v>1745</v>
      </c>
      <c r="J1449" s="431" t="str">
        <f>IF(B1449&lt;&gt;"",+VLOOKUP(I1449,Recursos!C:F,2,FALSE),"")</f>
        <v>AYUDANTE</v>
      </c>
      <c r="K1449" s="330" t="str">
        <f>IF(B1449&lt;&gt;"",+VLOOKUP(I1449,Recursos!C:F,3,FALSE),"")</f>
        <v>hh</v>
      </c>
      <c r="L1449" s="446">
        <f>IF(B1449&lt;&gt;"",+VLOOKUP(I1449,Recursos!C:F,4,FALSE),"")</f>
        <v>422.48042769667234</v>
      </c>
      <c r="M1449" s="1634">
        <v>8</v>
      </c>
      <c r="N1449" s="1635">
        <v>1</v>
      </c>
      <c r="O1449" s="1361">
        <f t="shared" ref="O1449:O1452" si="1119">M1449*N1449</f>
        <v>8</v>
      </c>
      <c r="P1449" s="333">
        <f t="shared" ref="P1449:P1452" si="1120">IF(B1449&lt;&gt;"",O1449*L1449,"")</f>
        <v>3379.8434215733787</v>
      </c>
      <c r="Q1449" s="327">
        <f t="shared" ref="Q1449:Q1452" si="1121">IF(B1449&lt;&gt;"",+O1449*E1449,"")</f>
        <v>0</v>
      </c>
      <c r="R1449" s="334">
        <f t="shared" ref="R1449:R1452" si="1122">IF(B1449&lt;&gt;"",Q1449*L1449,"")</f>
        <v>0</v>
      </c>
      <c r="S1449" s="335">
        <f t="shared" si="988"/>
        <v>15978.988330004435</v>
      </c>
      <c r="T1449" s="335">
        <f t="shared" si="989"/>
        <v>0</v>
      </c>
      <c r="U1449" s="336">
        <f t="shared" si="990"/>
        <v>0</v>
      </c>
      <c r="V1449" s="336">
        <f t="shared" si="991"/>
        <v>0</v>
      </c>
      <c r="W1449" s="336">
        <f t="shared" si="992"/>
        <v>0</v>
      </c>
      <c r="X1449" s="336">
        <f t="shared" si="993"/>
        <v>0</v>
      </c>
      <c r="Y1449" s="320"/>
      <c r="Z1449" s="321" t="str">
        <f t="shared" ref="Z1449:Z1452" si="1123">IF(B1449&lt;&gt;"",+$B1449&amp;"A","")</f>
        <v>X-ACMTMDA</v>
      </c>
      <c r="AA1449" s="321" t="str">
        <f t="shared" ref="AA1449:AA1452" si="1124">IF(B1449&lt;&gt;"",+$B1449&amp;"E","")</f>
        <v>X-ACMTMDE</v>
      </c>
      <c r="AB1449" s="321" t="str">
        <f t="shared" ref="AB1449:AB1452" si="1125">IF(B1449&lt;&gt;"",++$B1449&amp;"M","")</f>
        <v>X-ACMTMDM</v>
      </c>
      <c r="AC1449" s="321" t="str">
        <f t="shared" ref="AC1449:AC1452" si="1126">IF(B1449&lt;&gt;"",+$B1449&amp;"T","")</f>
        <v>X-ACMTMDT</v>
      </c>
      <c r="AD1449" s="321" t="str">
        <f t="shared" ref="AD1449:AD1452" si="1127">IF(B1449&lt;&gt;"",+$B1449&amp;"S","")</f>
        <v>X-ACMTMDS</v>
      </c>
      <c r="AE1449" s="321" t="str">
        <f t="shared" ref="AE1449:AE1452" si="1128">IF(B1449&lt;&gt;"",+$B1449&amp;"X","")</f>
        <v>X-ACMTMDX</v>
      </c>
      <c r="AF1449" s="321" t="str">
        <f t="shared" ref="AF1449:AF1452" si="1129">IF(B1449&lt;&gt;"",+B1449&amp;H1449,"")</f>
        <v>X-ACMTMDA</v>
      </c>
      <c r="AG1449" s="321">
        <f t="shared" si="994"/>
        <v>6</v>
      </c>
      <c r="AH1449" s="321">
        <f>IF(B1449&lt;&gt;"",IF(H1449="x",VLOOKUP(I1449,'AUX-NIV3'!B:AG,32,FALSE),0),"")</f>
        <v>0</v>
      </c>
      <c r="AI1449" s="321" t="str">
        <f t="shared" ref="AI1449:AI1452" si="1130">IF(B1449&lt;&gt;"",+B1449,"")</f>
        <v>X-ACMTMD</v>
      </c>
      <c r="AJ1449" s="320"/>
      <c r="AK1449" s="322">
        <f t="shared" si="995"/>
        <v>1449</v>
      </c>
      <c r="AL1449" s="323">
        <f t="shared" ref="AL1449:AL1452" si="1131">IF(B1449&lt;&gt;"",+AK1449+AG1449-1,"")</f>
        <v>1454</v>
      </c>
      <c r="AM1449" s="322">
        <f>IF(B1449&lt;&gt;"",IF(B1449=B1443,1+AM1443,1),"")</f>
        <v>1</v>
      </c>
      <c r="AN1449" s="380">
        <f>IF(AND(AH1449&gt;0,B1449&lt;&gt;""),VLOOKUP(I1449,'AUX-NIV3'!$B:$AO,39,FALSE)*O1449,0)</f>
        <v>0</v>
      </c>
      <c r="AO1449" s="380">
        <f t="shared" si="997"/>
        <v>32</v>
      </c>
      <c r="AP1449" s="380"/>
    </row>
    <row r="1450" spans="2:42" ht="13.8" hidden="1" thickTop="1">
      <c r="B1450" s="501" t="s">
        <v>4347</v>
      </c>
      <c r="C1450" s="951" t="s">
        <v>4348</v>
      </c>
      <c r="D1450" s="326" t="s">
        <v>1233</v>
      </c>
      <c r="E1450" s="327">
        <f>IF(B1450&lt;&gt;"",SUMIF('AUX-NIV1'!I:I,'AUX-NIV2'!B1450,'AUX-NIV1'!Q:Q),"")</f>
        <v>0</v>
      </c>
      <c r="F1450" s="327">
        <f t="shared" si="986"/>
        <v>15978.988330004435</v>
      </c>
      <c r="G1450" s="327">
        <f t="shared" si="987"/>
        <v>0</v>
      </c>
      <c r="H1450" s="328" t="str">
        <f t="shared" si="1118"/>
        <v>A</v>
      </c>
      <c r="I1450" s="324" t="s">
        <v>1746</v>
      </c>
      <c r="J1450" s="431" t="str">
        <f>IF(B1450&lt;&gt;"",+VLOOKUP(I1450,Recursos!C:F,2,FALSE),"")</f>
        <v>OFICIAL</v>
      </c>
      <c r="K1450" s="330" t="str">
        <f>IF(B1450&lt;&gt;"",+VLOOKUP(I1450,Recursos!C:F,3,FALSE),"")</f>
        <v>hh</v>
      </c>
      <c r="L1450" s="446">
        <f>IF(B1450&lt;&gt;"",+VLOOKUP(I1450,Recursos!C:F,4,FALSE),"")</f>
        <v>496.91595439275824</v>
      </c>
      <c r="M1450" s="1636">
        <f>M1449</f>
        <v>8</v>
      </c>
      <c r="N1450" s="1625">
        <v>2</v>
      </c>
      <c r="O1450" s="1361">
        <f t="shared" si="1119"/>
        <v>16</v>
      </c>
      <c r="P1450" s="333">
        <f t="shared" si="1120"/>
        <v>7950.6552702841318</v>
      </c>
      <c r="Q1450" s="327">
        <f t="shared" si="1121"/>
        <v>0</v>
      </c>
      <c r="R1450" s="334">
        <f t="shared" si="1122"/>
        <v>0</v>
      </c>
      <c r="S1450" s="335">
        <f t="shared" si="988"/>
        <v>15978.988330004435</v>
      </c>
      <c r="T1450" s="335">
        <f t="shared" si="989"/>
        <v>0</v>
      </c>
      <c r="U1450" s="336">
        <f t="shared" si="990"/>
        <v>0</v>
      </c>
      <c r="V1450" s="336">
        <f t="shared" si="991"/>
        <v>0</v>
      </c>
      <c r="W1450" s="336">
        <f t="shared" si="992"/>
        <v>0</v>
      </c>
      <c r="X1450" s="336">
        <f t="shared" si="993"/>
        <v>0</v>
      </c>
      <c r="Y1450" s="320"/>
      <c r="Z1450" s="321" t="str">
        <f t="shared" si="1123"/>
        <v>X-ACMTMDA</v>
      </c>
      <c r="AA1450" s="321" t="str">
        <f t="shared" si="1124"/>
        <v>X-ACMTMDE</v>
      </c>
      <c r="AB1450" s="321" t="str">
        <f t="shared" si="1125"/>
        <v>X-ACMTMDM</v>
      </c>
      <c r="AC1450" s="321" t="str">
        <f t="shared" si="1126"/>
        <v>X-ACMTMDT</v>
      </c>
      <c r="AD1450" s="321" t="str">
        <f t="shared" si="1127"/>
        <v>X-ACMTMDS</v>
      </c>
      <c r="AE1450" s="321" t="str">
        <f t="shared" si="1128"/>
        <v>X-ACMTMDX</v>
      </c>
      <c r="AF1450" s="321" t="str">
        <f t="shared" si="1129"/>
        <v>X-ACMTMDA</v>
      </c>
      <c r="AG1450" s="321">
        <f t="shared" si="994"/>
        <v>6</v>
      </c>
      <c r="AH1450" s="321">
        <f>IF(B1450&lt;&gt;"",IF(H1450="x",VLOOKUP(I1450,'AUX-NIV3'!B:AG,32,FALSE),0),"")</f>
        <v>0</v>
      </c>
      <c r="AI1450" s="321" t="str">
        <f t="shared" si="1130"/>
        <v>X-ACMTMD</v>
      </c>
      <c r="AJ1450" s="320"/>
      <c r="AK1450" s="322">
        <f t="shared" si="995"/>
        <v>1449</v>
      </c>
      <c r="AL1450" s="323">
        <f t="shared" si="1131"/>
        <v>1454</v>
      </c>
      <c r="AM1450" s="322">
        <f t="shared" ref="AM1450:AM1452" si="1132">IF(B1450&lt;&gt;"",IF(B1450=B1449,1+AM1449,1),"")</f>
        <v>2</v>
      </c>
      <c r="AN1450" s="380">
        <f>IF(AND(AH1450&gt;0,B1450&lt;&gt;""),VLOOKUP(I1450,'AUX-NIV3'!$B:$AO,39,FALSE)*O1450,0)</f>
        <v>0</v>
      </c>
      <c r="AO1450" s="380">
        <f t="shared" si="997"/>
        <v>32</v>
      </c>
      <c r="AP1450" s="380"/>
    </row>
    <row r="1451" spans="2:42" ht="13.8" hidden="1" thickTop="1">
      <c r="B1451" s="501" t="s">
        <v>4347</v>
      </c>
      <c r="C1451" s="951" t="s">
        <v>4348</v>
      </c>
      <c r="D1451" s="326" t="s">
        <v>1233</v>
      </c>
      <c r="E1451" s="327">
        <f>IF(B1451&lt;&gt;"",SUMIF('AUX-NIV1'!I:I,'AUX-NIV2'!B1451,'AUX-NIV1'!Q:Q),"")</f>
        <v>0</v>
      </c>
      <c r="F1451" s="327">
        <f t="shared" si="986"/>
        <v>15978.988330004435</v>
      </c>
      <c r="G1451" s="327">
        <f t="shared" si="987"/>
        <v>0</v>
      </c>
      <c r="H1451" s="328" t="str">
        <f t="shared" si="1118"/>
        <v>A</v>
      </c>
      <c r="I1451" s="324" t="s">
        <v>3310</v>
      </c>
      <c r="J1451" s="431" t="str">
        <f>IF(B1451&lt;&gt;"",+VLOOKUP(I1451,Recursos!C:F,2,FALSE),"")</f>
        <v>OFICIAL ESPECIALIZADO</v>
      </c>
      <c r="K1451" s="330" t="str">
        <f>IF(B1451&lt;&gt;"",+VLOOKUP(I1451,Recursos!C:F,3,FALSE),"")</f>
        <v>hh</v>
      </c>
      <c r="L1451" s="446">
        <f>IF(B1451&lt;&gt;"",+VLOOKUP(I1451,Recursos!C:F,4,FALSE),"")</f>
        <v>581.06120476836554</v>
      </c>
      <c r="M1451" s="1636">
        <f>M1449</f>
        <v>8</v>
      </c>
      <c r="N1451" s="1625">
        <v>1</v>
      </c>
      <c r="O1451" s="1361">
        <f t="shared" si="1119"/>
        <v>8</v>
      </c>
      <c r="P1451" s="333">
        <f t="shared" si="1120"/>
        <v>4648.4896381469243</v>
      </c>
      <c r="Q1451" s="327">
        <f t="shared" si="1121"/>
        <v>0</v>
      </c>
      <c r="R1451" s="334">
        <f t="shared" si="1122"/>
        <v>0</v>
      </c>
      <c r="S1451" s="335">
        <f t="shared" si="988"/>
        <v>15978.988330004435</v>
      </c>
      <c r="T1451" s="335">
        <f t="shared" si="989"/>
        <v>0</v>
      </c>
      <c r="U1451" s="336">
        <f t="shared" si="990"/>
        <v>0</v>
      </c>
      <c r="V1451" s="336">
        <f t="shared" si="991"/>
        <v>0</v>
      </c>
      <c r="W1451" s="336">
        <f t="shared" si="992"/>
        <v>0</v>
      </c>
      <c r="X1451" s="336">
        <f t="shared" si="993"/>
        <v>0</v>
      </c>
      <c r="Y1451" s="320"/>
      <c r="Z1451" s="321" t="str">
        <f t="shared" si="1123"/>
        <v>X-ACMTMDA</v>
      </c>
      <c r="AA1451" s="321" t="str">
        <f t="shared" si="1124"/>
        <v>X-ACMTMDE</v>
      </c>
      <c r="AB1451" s="321" t="str">
        <f t="shared" si="1125"/>
        <v>X-ACMTMDM</v>
      </c>
      <c r="AC1451" s="321" t="str">
        <f t="shared" si="1126"/>
        <v>X-ACMTMDT</v>
      </c>
      <c r="AD1451" s="321" t="str">
        <f t="shared" si="1127"/>
        <v>X-ACMTMDS</v>
      </c>
      <c r="AE1451" s="321" t="str">
        <f t="shared" si="1128"/>
        <v>X-ACMTMDX</v>
      </c>
      <c r="AF1451" s="321" t="str">
        <f t="shared" si="1129"/>
        <v>X-ACMTMDA</v>
      </c>
      <c r="AG1451" s="321">
        <f t="shared" si="994"/>
        <v>6</v>
      </c>
      <c r="AH1451" s="321">
        <f>IF(B1451&lt;&gt;"",IF(H1451="x",VLOOKUP(I1451,'AUX-NIV3'!B:AG,32,FALSE),0),"")</f>
        <v>0</v>
      </c>
      <c r="AI1451" s="321" t="str">
        <f t="shared" si="1130"/>
        <v>X-ACMTMD</v>
      </c>
      <c r="AJ1451" s="320"/>
      <c r="AK1451" s="322">
        <f t="shared" si="995"/>
        <v>1449</v>
      </c>
      <c r="AL1451" s="323">
        <f t="shared" si="1131"/>
        <v>1454</v>
      </c>
      <c r="AM1451" s="322">
        <f t="shared" si="1132"/>
        <v>3</v>
      </c>
      <c r="AN1451" s="380">
        <f>IF(AND(AH1451&gt;0,B1451&lt;&gt;""),VLOOKUP(I1451,'AUX-NIV3'!$B:$AO,39,FALSE)*O1451,0)</f>
        <v>0</v>
      </c>
      <c r="AO1451" s="380">
        <f t="shared" si="997"/>
        <v>32</v>
      </c>
      <c r="AP1451" s="380"/>
    </row>
    <row r="1452" spans="2:42" ht="13.8" hidden="1" thickTop="1">
      <c r="B1452" s="501" t="s">
        <v>4347</v>
      </c>
      <c r="C1452" s="951" t="s">
        <v>4348</v>
      </c>
      <c r="D1452" s="326" t="s">
        <v>1233</v>
      </c>
      <c r="E1452" s="327">
        <f>IF(B1452&lt;&gt;"",SUMIF('AUX-NIV1'!I:I,'AUX-NIV2'!B1452,'AUX-NIV1'!Q:Q),"")</f>
        <v>0</v>
      </c>
      <c r="F1452" s="327">
        <f t="shared" si="986"/>
        <v>15978.988330004435</v>
      </c>
      <c r="G1452" s="327">
        <f t="shared" si="987"/>
        <v>0</v>
      </c>
      <c r="H1452" s="328" t="str">
        <f t="shared" si="1118"/>
        <v>S</v>
      </c>
      <c r="I1452" s="324" t="s">
        <v>4382</v>
      </c>
      <c r="J1452" s="431" t="str">
        <f>IF(B1452&lt;&gt;"",+VLOOKUP(I1452,Recursos!C:F,2,FALSE),"")</f>
        <v>Acometida Eléctrica</v>
      </c>
      <c r="K1452" s="330" t="str">
        <f>IF(B1452&lt;&gt;"",+VLOOKUP(I1452,Recursos!C:F,3,FALSE),"")</f>
        <v>Gl</v>
      </c>
      <c r="L1452" s="446">
        <f>IF(B1452&lt;&gt;"",+VLOOKUP(I1452,Recursos!C:F,4,FALSE),"")</f>
        <v>50000</v>
      </c>
      <c r="M1452" s="1637">
        <v>1</v>
      </c>
      <c r="N1452" s="1638">
        <v>0</v>
      </c>
      <c r="O1452" s="1361">
        <f t="shared" si="1119"/>
        <v>0</v>
      </c>
      <c r="P1452" s="333">
        <f t="shared" si="1120"/>
        <v>0</v>
      </c>
      <c r="Q1452" s="327">
        <f t="shared" si="1121"/>
        <v>0</v>
      </c>
      <c r="R1452" s="334">
        <f t="shared" si="1122"/>
        <v>0</v>
      </c>
      <c r="S1452" s="335">
        <f t="shared" si="988"/>
        <v>15978.988330004435</v>
      </c>
      <c r="T1452" s="335">
        <f t="shared" si="989"/>
        <v>0</v>
      </c>
      <c r="U1452" s="336">
        <f t="shared" si="990"/>
        <v>0</v>
      </c>
      <c r="V1452" s="336">
        <f t="shared" si="991"/>
        <v>0</v>
      </c>
      <c r="W1452" s="336">
        <f t="shared" si="992"/>
        <v>0</v>
      </c>
      <c r="X1452" s="336">
        <f t="shared" si="993"/>
        <v>0</v>
      </c>
      <c r="Y1452" s="320"/>
      <c r="Z1452" s="321" t="str">
        <f t="shared" si="1123"/>
        <v>X-ACMTMDA</v>
      </c>
      <c r="AA1452" s="321" t="str">
        <f t="shared" si="1124"/>
        <v>X-ACMTMDE</v>
      </c>
      <c r="AB1452" s="321" t="str">
        <f t="shared" si="1125"/>
        <v>X-ACMTMDM</v>
      </c>
      <c r="AC1452" s="321" t="str">
        <f t="shared" si="1126"/>
        <v>X-ACMTMDT</v>
      </c>
      <c r="AD1452" s="321" t="str">
        <f t="shared" si="1127"/>
        <v>X-ACMTMDS</v>
      </c>
      <c r="AE1452" s="321" t="str">
        <f t="shared" si="1128"/>
        <v>X-ACMTMDX</v>
      </c>
      <c r="AF1452" s="321" t="str">
        <f t="shared" si="1129"/>
        <v>X-ACMTMDS</v>
      </c>
      <c r="AG1452" s="321">
        <f t="shared" si="994"/>
        <v>6</v>
      </c>
      <c r="AH1452" s="321">
        <f>IF(B1452&lt;&gt;"",IF(H1452="x",VLOOKUP(I1452,'AUX-NIV3'!B:AG,32,FALSE),0),"")</f>
        <v>0</v>
      </c>
      <c r="AI1452" s="321" t="str">
        <f t="shared" si="1130"/>
        <v>X-ACMTMD</v>
      </c>
      <c r="AJ1452" s="320"/>
      <c r="AK1452" s="322">
        <f t="shared" si="995"/>
        <v>1449</v>
      </c>
      <c r="AL1452" s="323">
        <f t="shared" si="1131"/>
        <v>1454</v>
      </c>
      <c r="AM1452" s="322">
        <f t="shared" si="1132"/>
        <v>4</v>
      </c>
      <c r="AN1452" s="380">
        <f>IF(AND(AH1452&gt;0,B1452&lt;&gt;""),VLOOKUP(I1452,'AUX-NIV3'!$B:$AO,39,FALSE)*O1452,0)</f>
        <v>0</v>
      </c>
      <c r="AO1452" s="380">
        <f t="shared" si="997"/>
        <v>32</v>
      </c>
      <c r="AP1452" s="380"/>
    </row>
    <row r="1453" spans="2:42" ht="13.8" hidden="1" thickTop="1">
      <c r="B1453" s="501" t="s">
        <v>4347</v>
      </c>
      <c r="C1453" s="951" t="s">
        <v>4348</v>
      </c>
      <c r="D1453" s="326" t="s">
        <v>1233</v>
      </c>
      <c r="E1453" s="327">
        <f>IF(B1453&lt;&gt;"",SUMIF('AUX-NIV1'!I:I,'AUX-NIV2'!B1453,'AUX-NIV1'!Q:Q),"")</f>
        <v>0</v>
      </c>
      <c r="F1453" s="327">
        <f t="shared" si="986"/>
        <v>15978.988330004435</v>
      </c>
      <c r="G1453" s="327">
        <f t="shared" si="987"/>
        <v>0</v>
      </c>
      <c r="H1453" s="328" t="str">
        <f t="shared" ref="H1453:H1458" si="1133">IF(B1453&lt;&gt;"",+LEFT(I1453,1),"")</f>
        <v>M</v>
      </c>
      <c r="I1453" s="324" t="s">
        <v>4384</v>
      </c>
      <c r="J1453" s="431" t="str">
        <f>IF(B1453&lt;&gt;"",+VLOOKUP(I1453,Recursos!C:F,2,FALSE),"")</f>
        <v>PILASTRA EDEMSA</v>
      </c>
      <c r="K1453" s="330" t="str">
        <f>IF(B1453&lt;&gt;"",+VLOOKUP(I1453,Recursos!C:F,3,FALSE),"")</f>
        <v>Un</v>
      </c>
      <c r="L1453" s="446">
        <f>IF(B1453&lt;&gt;"",+VLOOKUP(I1453,Recursos!C:F,4,FALSE),"")</f>
        <v>27000</v>
      </c>
      <c r="M1453" s="1636">
        <v>1</v>
      </c>
      <c r="N1453" s="1625">
        <v>0</v>
      </c>
      <c r="O1453" s="1361">
        <f t="shared" ref="O1453:O1458" si="1134">M1453*N1453</f>
        <v>0</v>
      </c>
      <c r="P1453" s="333">
        <f t="shared" ref="P1453:P1458" si="1135">IF(B1453&lt;&gt;"",O1453*L1453,"")</f>
        <v>0</v>
      </c>
      <c r="Q1453" s="327">
        <f t="shared" ref="Q1453:Q1458" si="1136">IF(B1453&lt;&gt;"",+O1453*E1453,"")</f>
        <v>0</v>
      </c>
      <c r="R1453" s="334">
        <f t="shared" ref="R1453:R1458" si="1137">IF(B1453&lt;&gt;"",Q1453*L1453,"")</f>
        <v>0</v>
      </c>
      <c r="S1453" s="335">
        <f t="shared" si="988"/>
        <v>15978.988330004435</v>
      </c>
      <c r="T1453" s="335">
        <f t="shared" si="989"/>
        <v>0</v>
      </c>
      <c r="U1453" s="336">
        <f t="shared" si="990"/>
        <v>0</v>
      </c>
      <c r="V1453" s="336">
        <f t="shared" si="991"/>
        <v>0</v>
      </c>
      <c r="W1453" s="336">
        <f t="shared" si="992"/>
        <v>0</v>
      </c>
      <c r="X1453" s="336">
        <f t="shared" si="993"/>
        <v>0</v>
      </c>
      <c r="Y1453" s="320"/>
      <c r="Z1453" s="321" t="str">
        <f t="shared" ref="Z1453:Z1458" si="1138">IF(B1453&lt;&gt;"",+$B1453&amp;"A","")</f>
        <v>X-ACMTMDA</v>
      </c>
      <c r="AA1453" s="321" t="str">
        <f t="shared" ref="AA1453:AA1458" si="1139">IF(B1453&lt;&gt;"",+$B1453&amp;"E","")</f>
        <v>X-ACMTMDE</v>
      </c>
      <c r="AB1453" s="321" t="str">
        <f t="shared" ref="AB1453:AB1458" si="1140">IF(B1453&lt;&gt;"",++$B1453&amp;"M","")</f>
        <v>X-ACMTMDM</v>
      </c>
      <c r="AC1453" s="321" t="str">
        <f t="shared" ref="AC1453:AC1458" si="1141">IF(B1453&lt;&gt;"",+$B1453&amp;"T","")</f>
        <v>X-ACMTMDT</v>
      </c>
      <c r="AD1453" s="321" t="str">
        <f t="shared" ref="AD1453:AD1458" si="1142">IF(B1453&lt;&gt;"",+$B1453&amp;"S","")</f>
        <v>X-ACMTMDS</v>
      </c>
      <c r="AE1453" s="321" t="str">
        <f t="shared" ref="AE1453:AE1458" si="1143">IF(B1453&lt;&gt;"",+$B1453&amp;"X","")</f>
        <v>X-ACMTMDX</v>
      </c>
      <c r="AF1453" s="321" t="str">
        <f t="shared" ref="AF1453:AF1458" si="1144">IF(B1453&lt;&gt;"",+B1453&amp;H1453,"")</f>
        <v>X-ACMTMDM</v>
      </c>
      <c r="AG1453" s="321">
        <f t="shared" si="994"/>
        <v>6</v>
      </c>
      <c r="AH1453" s="321">
        <f>IF(B1453&lt;&gt;"",IF(H1453="x",VLOOKUP(I1453,'AUX-NIV3'!B:AG,32,FALSE),0),"")</f>
        <v>0</v>
      </c>
      <c r="AI1453" s="321" t="str">
        <f t="shared" ref="AI1453:AI1458" si="1145">IF(B1453&lt;&gt;"",+B1453,"")</f>
        <v>X-ACMTMD</v>
      </c>
      <c r="AJ1453" s="320"/>
      <c r="AK1453" s="322">
        <f t="shared" si="995"/>
        <v>1449</v>
      </c>
      <c r="AL1453" s="323">
        <f t="shared" ref="AL1453:AL1458" si="1146">IF(B1453&lt;&gt;"",+AK1453+AG1453-1,"")</f>
        <v>1454</v>
      </c>
      <c r="AM1453" s="322">
        <f t="shared" ref="AM1453:AM1454" si="1147">IF(B1453&lt;&gt;"",IF(B1453=B1452,1+AM1452,1),"")</f>
        <v>5</v>
      </c>
      <c r="AN1453" s="380">
        <f>IF(AND(AH1453&gt;0,B1453&lt;&gt;""),VLOOKUP(I1453,'AUX-NIV3'!$B:$AO,39,FALSE)*O1453,0)</f>
        <v>0</v>
      </c>
      <c r="AO1453" s="380">
        <f t="shared" si="997"/>
        <v>32</v>
      </c>
      <c r="AP1453" s="380"/>
    </row>
    <row r="1454" spans="2:42" ht="13.8" hidden="1" thickBot="1">
      <c r="B1454" s="501" t="s">
        <v>4347</v>
      </c>
      <c r="C1454" s="951" t="s">
        <v>4348</v>
      </c>
      <c r="D1454" s="326" t="s">
        <v>1233</v>
      </c>
      <c r="E1454" s="327">
        <f>IF(B1454&lt;&gt;"",SUMIF('AUX-NIV1'!I:I,'AUX-NIV2'!B1454,'AUX-NIV1'!Q:Q),"")</f>
        <v>0</v>
      </c>
      <c r="F1454" s="327">
        <f t="shared" si="986"/>
        <v>15978.988330004435</v>
      </c>
      <c r="G1454" s="327">
        <f t="shared" si="987"/>
        <v>0</v>
      </c>
      <c r="H1454" s="328" t="str">
        <f t="shared" si="1133"/>
        <v>M</v>
      </c>
      <c r="I1454" s="324" t="s">
        <v>4385</v>
      </c>
      <c r="J1454" s="431" t="str">
        <f>IF(B1454&lt;&gt;"",+VLOOKUP(I1454,Recursos!C:F,2,FALSE),"")</f>
        <v>JABALINA 5/8 PARA PUESTA A TIERRA c/CAMARA</v>
      </c>
      <c r="K1454" s="330" t="str">
        <f>IF(B1454&lt;&gt;"",+VLOOKUP(I1454,Recursos!C:F,3,FALSE),"")</f>
        <v>Un</v>
      </c>
      <c r="L1454" s="446">
        <f>IF(B1454&lt;&gt;"",+VLOOKUP(I1454,Recursos!C:F,4,FALSE),"")</f>
        <v>2200</v>
      </c>
      <c r="M1454" s="1626">
        <v>1</v>
      </c>
      <c r="N1454" s="1627">
        <v>0</v>
      </c>
      <c r="O1454" s="1361">
        <f t="shared" si="1134"/>
        <v>0</v>
      </c>
      <c r="P1454" s="333">
        <f t="shared" si="1135"/>
        <v>0</v>
      </c>
      <c r="Q1454" s="327">
        <f t="shared" si="1136"/>
        <v>0</v>
      </c>
      <c r="R1454" s="334">
        <f t="shared" si="1137"/>
        <v>0</v>
      </c>
      <c r="S1454" s="335">
        <f t="shared" si="988"/>
        <v>15978.988330004435</v>
      </c>
      <c r="T1454" s="335">
        <f t="shared" si="989"/>
        <v>0</v>
      </c>
      <c r="U1454" s="336">
        <f t="shared" si="990"/>
        <v>0</v>
      </c>
      <c r="V1454" s="336">
        <f t="shared" si="991"/>
        <v>0</v>
      </c>
      <c r="W1454" s="336">
        <f t="shared" si="992"/>
        <v>0</v>
      </c>
      <c r="X1454" s="336">
        <f t="shared" si="993"/>
        <v>0</v>
      </c>
      <c r="Y1454" s="320"/>
      <c r="Z1454" s="321" t="str">
        <f t="shared" si="1138"/>
        <v>X-ACMTMDA</v>
      </c>
      <c r="AA1454" s="321" t="str">
        <f t="shared" si="1139"/>
        <v>X-ACMTMDE</v>
      </c>
      <c r="AB1454" s="321" t="str">
        <f t="shared" si="1140"/>
        <v>X-ACMTMDM</v>
      </c>
      <c r="AC1454" s="321" t="str">
        <f t="shared" si="1141"/>
        <v>X-ACMTMDT</v>
      </c>
      <c r="AD1454" s="321" t="str">
        <f t="shared" si="1142"/>
        <v>X-ACMTMDS</v>
      </c>
      <c r="AE1454" s="321" t="str">
        <f t="shared" si="1143"/>
        <v>X-ACMTMDX</v>
      </c>
      <c r="AF1454" s="321" t="str">
        <f t="shared" si="1144"/>
        <v>X-ACMTMDM</v>
      </c>
      <c r="AG1454" s="321">
        <f t="shared" si="994"/>
        <v>6</v>
      </c>
      <c r="AH1454" s="321">
        <f>IF(B1454&lt;&gt;"",IF(H1454="x",VLOOKUP(I1454,'AUX-NIV3'!B:AG,32,FALSE),0),"")</f>
        <v>0</v>
      </c>
      <c r="AI1454" s="321" t="str">
        <f t="shared" si="1145"/>
        <v>X-ACMTMD</v>
      </c>
      <c r="AJ1454" s="320"/>
      <c r="AK1454" s="322">
        <f t="shared" si="995"/>
        <v>1449</v>
      </c>
      <c r="AL1454" s="323">
        <f t="shared" si="1146"/>
        <v>1454</v>
      </c>
      <c r="AM1454" s="322">
        <f t="shared" si="1147"/>
        <v>6</v>
      </c>
      <c r="AN1454" s="380">
        <f>IF(AND(AH1454&gt;0,B1454&lt;&gt;""),VLOOKUP(I1454,'AUX-NIV3'!$B:$AO,39,FALSE)*O1454,0)</f>
        <v>0</v>
      </c>
      <c r="AO1454" s="380">
        <f t="shared" si="997"/>
        <v>32</v>
      </c>
      <c r="AP1454" s="380"/>
    </row>
    <row r="1455" spans="2:42" ht="13.8" thickTop="1">
      <c r="B1455" s="501" t="s">
        <v>4570</v>
      </c>
      <c r="C1455" s="951" t="s">
        <v>4571</v>
      </c>
      <c r="D1455" s="326" t="s">
        <v>610</v>
      </c>
      <c r="E1455" s="327">
        <f>IF(B1455&lt;&gt;"",SUMIF('AUX-NIV1'!I:I,'AUX-NIV2'!B1455,'AUX-NIV1'!Q:Q),"")</f>
        <v>0</v>
      </c>
      <c r="F1455" s="327">
        <f t="shared" si="986"/>
        <v>3496.9159543927581</v>
      </c>
      <c r="G1455" s="327">
        <f t="shared" si="987"/>
        <v>0</v>
      </c>
      <c r="H1455" s="328" t="str">
        <f t="shared" si="1133"/>
        <v>A</v>
      </c>
      <c r="I1455" s="324" t="s">
        <v>1745</v>
      </c>
      <c r="J1455" s="431" t="str">
        <f>IF(B1455&lt;&gt;"",+VLOOKUP(I1455,Recursos!C:F,2,FALSE),"")</f>
        <v>AYUDANTE</v>
      </c>
      <c r="K1455" s="330" t="str">
        <f>IF(B1455&lt;&gt;"",+VLOOKUP(I1455,Recursos!C:F,3,FALSE),"")</f>
        <v>hh</v>
      </c>
      <c r="L1455" s="446">
        <f>IF(B1455&lt;&gt;"",+VLOOKUP(I1455,Recursos!C:F,4,FALSE),"")</f>
        <v>422.48042769667234</v>
      </c>
      <c r="M1455" s="1634"/>
      <c r="N1455" s="1635"/>
      <c r="O1455" s="1361">
        <f t="shared" si="1134"/>
        <v>0</v>
      </c>
      <c r="P1455" s="333">
        <f t="shared" si="1135"/>
        <v>0</v>
      </c>
      <c r="Q1455" s="327">
        <f t="shared" si="1136"/>
        <v>0</v>
      </c>
      <c r="R1455" s="334">
        <f t="shared" si="1137"/>
        <v>0</v>
      </c>
      <c r="S1455" s="335">
        <f t="shared" si="988"/>
        <v>496.91595439275824</v>
      </c>
      <c r="T1455" s="335">
        <f t="shared" si="989"/>
        <v>0</v>
      </c>
      <c r="U1455" s="336">
        <f t="shared" si="990"/>
        <v>3000</v>
      </c>
      <c r="V1455" s="336">
        <f t="shared" si="991"/>
        <v>0</v>
      </c>
      <c r="W1455" s="336">
        <f t="shared" si="992"/>
        <v>0</v>
      </c>
      <c r="X1455" s="336">
        <f t="shared" si="993"/>
        <v>0</v>
      </c>
      <c r="Y1455" s="320"/>
      <c r="Z1455" s="321" t="str">
        <f t="shared" si="1138"/>
        <v>X-ARTFELECA</v>
      </c>
      <c r="AA1455" s="321" t="str">
        <f t="shared" si="1139"/>
        <v>X-ARTFELECE</v>
      </c>
      <c r="AB1455" s="321" t="str">
        <f t="shared" si="1140"/>
        <v>X-ARTFELECM</v>
      </c>
      <c r="AC1455" s="321" t="str">
        <f t="shared" si="1141"/>
        <v>X-ARTFELECT</v>
      </c>
      <c r="AD1455" s="321" t="str">
        <f t="shared" si="1142"/>
        <v>X-ARTFELECS</v>
      </c>
      <c r="AE1455" s="321" t="str">
        <f t="shared" si="1143"/>
        <v>X-ARTFELECX</v>
      </c>
      <c r="AF1455" s="321" t="str">
        <f t="shared" si="1144"/>
        <v>X-ARTFELECA</v>
      </c>
      <c r="AG1455" s="321">
        <f t="shared" si="994"/>
        <v>4</v>
      </c>
      <c r="AH1455" s="321">
        <f>IF(B1455&lt;&gt;"",IF(H1455="x",VLOOKUP(I1455,'AUX-NIV3'!B:AG,32,FALSE),0),"")</f>
        <v>0</v>
      </c>
      <c r="AI1455" s="321" t="str">
        <f t="shared" si="1145"/>
        <v>X-ARTFELEC</v>
      </c>
      <c r="AJ1455" s="320"/>
      <c r="AK1455" s="322">
        <f t="shared" si="995"/>
        <v>1455</v>
      </c>
      <c r="AL1455" s="323">
        <f t="shared" si="1146"/>
        <v>1458</v>
      </c>
      <c r="AM1455" s="322">
        <f>IF(B1455&lt;&gt;"",IF(B1455=B1449,1+AM1449,1),"")</f>
        <v>1</v>
      </c>
      <c r="AN1455" s="380">
        <f>IF(AND(AH1455&gt;0,B1455&lt;&gt;""),VLOOKUP(I1455,'AUX-NIV3'!$B:$AO,39,FALSE)*O1455,0)</f>
        <v>0</v>
      </c>
      <c r="AO1455" s="380">
        <f t="shared" si="997"/>
        <v>1</v>
      </c>
      <c r="AP1455" s="380"/>
    </row>
    <row r="1456" spans="2:42">
      <c r="B1456" s="501" t="s">
        <v>4570</v>
      </c>
      <c r="C1456" s="951" t="s">
        <v>4571</v>
      </c>
      <c r="D1456" s="326" t="s">
        <v>610</v>
      </c>
      <c r="E1456" s="327">
        <f>IF(B1456&lt;&gt;"",SUMIF('AUX-NIV1'!I:I,'AUX-NIV2'!B1456,'AUX-NIV1'!Q:Q),"")</f>
        <v>0</v>
      </c>
      <c r="F1456" s="327">
        <f t="shared" si="986"/>
        <v>3496.9159543927581</v>
      </c>
      <c r="G1456" s="327">
        <f t="shared" si="987"/>
        <v>0</v>
      </c>
      <c r="H1456" s="328" t="str">
        <f t="shared" si="1133"/>
        <v>A</v>
      </c>
      <c r="I1456" s="324" t="s">
        <v>1746</v>
      </c>
      <c r="J1456" s="431" t="str">
        <f>IF(B1456&lt;&gt;"",+VLOOKUP(I1456,Recursos!C:F,2,FALSE),"")</f>
        <v>OFICIAL</v>
      </c>
      <c r="K1456" s="330" t="str">
        <f>IF(B1456&lt;&gt;"",+VLOOKUP(I1456,Recursos!C:F,3,FALSE),"")</f>
        <v>hh</v>
      </c>
      <c r="L1456" s="446">
        <f>IF(B1456&lt;&gt;"",+VLOOKUP(I1456,Recursos!C:F,4,FALSE),"")</f>
        <v>496.91595439275824</v>
      </c>
      <c r="M1456" s="1636">
        <v>0.5</v>
      </c>
      <c r="N1456" s="1625">
        <v>2</v>
      </c>
      <c r="O1456" s="1361">
        <f t="shared" si="1134"/>
        <v>1</v>
      </c>
      <c r="P1456" s="333">
        <f t="shared" si="1135"/>
        <v>496.91595439275824</v>
      </c>
      <c r="Q1456" s="327">
        <f t="shared" si="1136"/>
        <v>0</v>
      </c>
      <c r="R1456" s="334">
        <f t="shared" si="1137"/>
        <v>0</v>
      </c>
      <c r="S1456" s="335">
        <f t="shared" si="988"/>
        <v>496.91595439275824</v>
      </c>
      <c r="T1456" s="335">
        <f t="shared" si="989"/>
        <v>0</v>
      </c>
      <c r="U1456" s="336">
        <f t="shared" si="990"/>
        <v>3000</v>
      </c>
      <c r="V1456" s="336">
        <f t="shared" si="991"/>
        <v>0</v>
      </c>
      <c r="W1456" s="336">
        <f t="shared" si="992"/>
        <v>0</v>
      </c>
      <c r="X1456" s="336">
        <f t="shared" si="993"/>
        <v>0</v>
      </c>
      <c r="Y1456" s="320"/>
      <c r="Z1456" s="321" t="str">
        <f t="shared" si="1138"/>
        <v>X-ARTFELECA</v>
      </c>
      <c r="AA1456" s="321" t="str">
        <f t="shared" si="1139"/>
        <v>X-ARTFELECE</v>
      </c>
      <c r="AB1456" s="321" t="str">
        <f t="shared" si="1140"/>
        <v>X-ARTFELECM</v>
      </c>
      <c r="AC1456" s="321" t="str">
        <f t="shared" si="1141"/>
        <v>X-ARTFELECT</v>
      </c>
      <c r="AD1456" s="321" t="str">
        <f t="shared" si="1142"/>
        <v>X-ARTFELECS</v>
      </c>
      <c r="AE1456" s="321" t="str">
        <f t="shared" si="1143"/>
        <v>X-ARTFELECX</v>
      </c>
      <c r="AF1456" s="321" t="str">
        <f t="shared" si="1144"/>
        <v>X-ARTFELECA</v>
      </c>
      <c r="AG1456" s="321">
        <f t="shared" si="994"/>
        <v>4</v>
      </c>
      <c r="AH1456" s="321">
        <f>IF(B1456&lt;&gt;"",IF(H1456="x",VLOOKUP(I1456,'AUX-NIV3'!B:AG,32,FALSE),0),"")</f>
        <v>0</v>
      </c>
      <c r="AI1456" s="321" t="str">
        <f t="shared" si="1145"/>
        <v>X-ARTFELEC</v>
      </c>
      <c r="AJ1456" s="320"/>
      <c r="AK1456" s="322">
        <f t="shared" si="995"/>
        <v>1455</v>
      </c>
      <c r="AL1456" s="323">
        <f t="shared" si="1146"/>
        <v>1458</v>
      </c>
      <c r="AM1456" s="322">
        <f t="shared" ref="AM1456:AM1458" si="1148">IF(B1456&lt;&gt;"",IF(B1456=B1455,1+AM1455,1),"")</f>
        <v>2</v>
      </c>
      <c r="AN1456" s="380">
        <f>IF(AND(AH1456&gt;0,B1456&lt;&gt;""),VLOOKUP(I1456,'AUX-NIV3'!$B:$AO,39,FALSE)*O1456,0)</f>
        <v>0</v>
      </c>
      <c r="AO1456" s="380">
        <f t="shared" si="997"/>
        <v>1</v>
      </c>
      <c r="AP1456" s="380"/>
    </row>
    <row r="1457" spans="2:42">
      <c r="B1457" s="501" t="s">
        <v>4570</v>
      </c>
      <c r="C1457" s="951" t="s">
        <v>4571</v>
      </c>
      <c r="D1457" s="326" t="s">
        <v>610</v>
      </c>
      <c r="E1457" s="327">
        <f>IF(B1457&lt;&gt;"",SUMIF('AUX-NIV1'!I:I,'AUX-NIV2'!B1457,'AUX-NIV1'!Q:Q),"")</f>
        <v>0</v>
      </c>
      <c r="F1457" s="327">
        <f t="shared" si="986"/>
        <v>3496.9159543927581</v>
      </c>
      <c r="G1457" s="327">
        <f t="shared" si="987"/>
        <v>0</v>
      </c>
      <c r="H1457" s="328" t="str">
        <f t="shared" si="1133"/>
        <v>A</v>
      </c>
      <c r="I1457" s="324" t="s">
        <v>3310</v>
      </c>
      <c r="J1457" s="431" t="str">
        <f>IF(B1457&lt;&gt;"",+VLOOKUP(I1457,Recursos!C:F,2,FALSE),"")</f>
        <v>OFICIAL ESPECIALIZADO</v>
      </c>
      <c r="K1457" s="330" t="str">
        <f>IF(B1457&lt;&gt;"",+VLOOKUP(I1457,Recursos!C:F,3,FALSE),"")</f>
        <v>hh</v>
      </c>
      <c r="L1457" s="446">
        <f>IF(B1457&lt;&gt;"",+VLOOKUP(I1457,Recursos!C:F,4,FALSE),"")</f>
        <v>581.06120476836554</v>
      </c>
      <c r="M1457" s="1636"/>
      <c r="N1457" s="1625"/>
      <c r="O1457" s="1361">
        <f t="shared" si="1134"/>
        <v>0</v>
      </c>
      <c r="P1457" s="333">
        <f t="shared" si="1135"/>
        <v>0</v>
      </c>
      <c r="Q1457" s="327">
        <f t="shared" si="1136"/>
        <v>0</v>
      </c>
      <c r="R1457" s="334">
        <f t="shared" si="1137"/>
        <v>0</v>
      </c>
      <c r="S1457" s="335">
        <f t="shared" si="988"/>
        <v>496.91595439275824</v>
      </c>
      <c r="T1457" s="335">
        <f t="shared" si="989"/>
        <v>0</v>
      </c>
      <c r="U1457" s="336">
        <f t="shared" si="990"/>
        <v>3000</v>
      </c>
      <c r="V1457" s="336">
        <f t="shared" si="991"/>
        <v>0</v>
      </c>
      <c r="W1457" s="336">
        <f t="shared" si="992"/>
        <v>0</v>
      </c>
      <c r="X1457" s="336">
        <f t="shared" si="993"/>
        <v>0</v>
      </c>
      <c r="Y1457" s="320"/>
      <c r="Z1457" s="321" t="str">
        <f t="shared" si="1138"/>
        <v>X-ARTFELECA</v>
      </c>
      <c r="AA1457" s="321" t="str">
        <f t="shared" si="1139"/>
        <v>X-ARTFELECE</v>
      </c>
      <c r="AB1457" s="321" t="str">
        <f t="shared" si="1140"/>
        <v>X-ARTFELECM</v>
      </c>
      <c r="AC1457" s="321" t="str">
        <f t="shared" si="1141"/>
        <v>X-ARTFELECT</v>
      </c>
      <c r="AD1457" s="321" t="str">
        <f t="shared" si="1142"/>
        <v>X-ARTFELECS</v>
      </c>
      <c r="AE1457" s="321" t="str">
        <f t="shared" si="1143"/>
        <v>X-ARTFELECX</v>
      </c>
      <c r="AF1457" s="321" t="str">
        <f t="shared" si="1144"/>
        <v>X-ARTFELECA</v>
      </c>
      <c r="AG1457" s="321">
        <f t="shared" si="994"/>
        <v>4</v>
      </c>
      <c r="AH1457" s="321">
        <f>IF(B1457&lt;&gt;"",IF(H1457="x",VLOOKUP(I1457,'AUX-NIV3'!B:AG,32,FALSE),0),"")</f>
        <v>0</v>
      </c>
      <c r="AI1457" s="321" t="str">
        <f t="shared" si="1145"/>
        <v>X-ARTFELEC</v>
      </c>
      <c r="AJ1457" s="320"/>
      <c r="AK1457" s="322">
        <f t="shared" si="995"/>
        <v>1455</v>
      </c>
      <c r="AL1457" s="323">
        <f t="shared" si="1146"/>
        <v>1458</v>
      </c>
      <c r="AM1457" s="322">
        <f t="shared" si="1148"/>
        <v>3</v>
      </c>
      <c r="AN1457" s="380">
        <f>IF(AND(AH1457&gt;0,B1457&lt;&gt;""),VLOOKUP(I1457,'AUX-NIV3'!$B:$AO,39,FALSE)*O1457,0)</f>
        <v>0</v>
      </c>
      <c r="AO1457" s="380">
        <f t="shared" si="997"/>
        <v>1</v>
      </c>
      <c r="AP1457" s="380"/>
    </row>
    <row r="1458" spans="2:42" ht="13.8" thickBot="1">
      <c r="B1458" s="501" t="s">
        <v>4570</v>
      </c>
      <c r="C1458" s="951" t="s">
        <v>4571</v>
      </c>
      <c r="D1458" s="326" t="s">
        <v>610</v>
      </c>
      <c r="E1458" s="327">
        <f>IF(B1458&lt;&gt;"",SUMIF('AUX-NIV1'!I:I,'AUX-NIV2'!B1458,'AUX-NIV1'!Q:Q),"")</f>
        <v>0</v>
      </c>
      <c r="F1458" s="327">
        <f t="shared" si="986"/>
        <v>3496.9159543927581</v>
      </c>
      <c r="G1458" s="327">
        <f t="shared" si="987"/>
        <v>0</v>
      </c>
      <c r="H1458" s="328" t="str">
        <f t="shared" si="1133"/>
        <v>M</v>
      </c>
      <c r="I1458" s="324" t="s">
        <v>4572</v>
      </c>
      <c r="J1458" s="431" t="str">
        <f>IF(B1458&lt;&gt;"",+VLOOKUP(I1458,Recursos!C:F,2,FALSE),"")</f>
        <v>ARTEFACTO ELÉCTRICO DOMESTICO</v>
      </c>
      <c r="K1458" s="330" t="str">
        <f>IF(B1458&lt;&gt;"",+VLOOKUP(I1458,Recursos!C:F,3,FALSE),"")</f>
        <v>Un</v>
      </c>
      <c r="L1458" s="446">
        <f>IF(B1458&lt;&gt;"",+VLOOKUP(I1458,Recursos!C:F,4,FALSE),"")</f>
        <v>6000</v>
      </c>
      <c r="M1458" s="1637">
        <v>1</v>
      </c>
      <c r="N1458" s="1638">
        <v>0.5</v>
      </c>
      <c r="O1458" s="1361">
        <f t="shared" si="1134"/>
        <v>0.5</v>
      </c>
      <c r="P1458" s="333">
        <f t="shared" si="1135"/>
        <v>3000</v>
      </c>
      <c r="Q1458" s="327">
        <f t="shared" si="1136"/>
        <v>0</v>
      </c>
      <c r="R1458" s="334">
        <f t="shared" si="1137"/>
        <v>0</v>
      </c>
      <c r="S1458" s="335">
        <f t="shared" si="988"/>
        <v>496.91595439275824</v>
      </c>
      <c r="T1458" s="335">
        <f t="shared" si="989"/>
        <v>0</v>
      </c>
      <c r="U1458" s="336">
        <f t="shared" si="990"/>
        <v>3000</v>
      </c>
      <c r="V1458" s="336">
        <f t="shared" si="991"/>
        <v>0</v>
      </c>
      <c r="W1458" s="336">
        <f t="shared" si="992"/>
        <v>0</v>
      </c>
      <c r="X1458" s="336">
        <f t="shared" si="993"/>
        <v>0</v>
      </c>
      <c r="Y1458" s="320"/>
      <c r="Z1458" s="321" t="str">
        <f t="shared" si="1138"/>
        <v>X-ARTFELECA</v>
      </c>
      <c r="AA1458" s="321" t="str">
        <f t="shared" si="1139"/>
        <v>X-ARTFELECE</v>
      </c>
      <c r="AB1458" s="321" t="str">
        <f t="shared" si="1140"/>
        <v>X-ARTFELECM</v>
      </c>
      <c r="AC1458" s="321" t="str">
        <f t="shared" si="1141"/>
        <v>X-ARTFELECT</v>
      </c>
      <c r="AD1458" s="321" t="str">
        <f t="shared" si="1142"/>
        <v>X-ARTFELECS</v>
      </c>
      <c r="AE1458" s="321" t="str">
        <f t="shared" si="1143"/>
        <v>X-ARTFELECX</v>
      </c>
      <c r="AF1458" s="321" t="str">
        <f t="shared" si="1144"/>
        <v>X-ARTFELECM</v>
      </c>
      <c r="AG1458" s="321">
        <f t="shared" si="994"/>
        <v>4</v>
      </c>
      <c r="AH1458" s="321">
        <f>IF(B1458&lt;&gt;"",IF(H1458="x",VLOOKUP(I1458,'AUX-NIV3'!B:AG,32,FALSE),0),"")</f>
        <v>0</v>
      </c>
      <c r="AI1458" s="321" t="str">
        <f t="shared" si="1145"/>
        <v>X-ARTFELEC</v>
      </c>
      <c r="AJ1458" s="320"/>
      <c r="AK1458" s="322">
        <f t="shared" si="995"/>
        <v>1455</v>
      </c>
      <c r="AL1458" s="323">
        <f t="shared" si="1146"/>
        <v>1458</v>
      </c>
      <c r="AM1458" s="322">
        <f t="shared" si="1148"/>
        <v>4</v>
      </c>
      <c r="AN1458" s="380">
        <f>IF(AND(AH1458&gt;0,B1458&lt;&gt;""),VLOOKUP(I1458,'AUX-NIV3'!$B:$AO,39,FALSE)*O1458,0)</f>
        <v>0</v>
      </c>
      <c r="AO1458" s="380">
        <f t="shared" si="997"/>
        <v>1</v>
      </c>
      <c r="AP1458" s="380"/>
    </row>
    <row r="1459" spans="2:42" ht="13.8" thickTop="1">
      <c r="B1459" s="501" t="s">
        <v>4413</v>
      </c>
      <c r="C1459" s="951" t="s">
        <v>4412</v>
      </c>
      <c r="D1459" s="326" t="s">
        <v>477</v>
      </c>
      <c r="E1459" s="327">
        <f>IF(B1459&lt;&gt;"",SUMIF('AUX-NIV1'!I:I,'AUX-NIV2'!B1459,'AUX-NIV1'!Q:Q),"")</f>
        <v>0</v>
      </c>
      <c r="F1459" s="327">
        <f t="shared" si="986"/>
        <v>2032.0608560830246</v>
      </c>
      <c r="G1459" s="327">
        <f t="shared" si="987"/>
        <v>0</v>
      </c>
      <c r="H1459" s="328" t="str">
        <f t="shared" ref="H1459:H1465" si="1149">IF(B1459&lt;&gt;"",+LEFT(I1459,1),"")</f>
        <v>A</v>
      </c>
      <c r="I1459" s="324" t="s">
        <v>1745</v>
      </c>
      <c r="J1459" s="431" t="str">
        <f>IF(B1459&lt;&gt;"",+VLOOKUP(I1459,Recursos!C:F,2,FALSE),"")</f>
        <v>AYUDANTE</v>
      </c>
      <c r="K1459" s="330" t="str">
        <f>IF(B1459&lt;&gt;"",+VLOOKUP(I1459,Recursos!C:F,3,FALSE),"")</f>
        <v>hh</v>
      </c>
      <c r="L1459" s="446">
        <f>IF(B1459&lt;&gt;"",+VLOOKUP(I1459,Recursos!C:F,4,FALSE),"")</f>
        <v>422.48042769667234</v>
      </c>
      <c r="M1459" s="1270">
        <f>12/8</f>
        <v>1.5</v>
      </c>
      <c r="N1459" s="1352">
        <f>2/M1459</f>
        <v>1.3333333333333333</v>
      </c>
      <c r="O1459" s="1361">
        <f>N1459</f>
        <v>1.3333333333333333</v>
      </c>
      <c r="P1459" s="333">
        <f t="shared" ref="P1459:P1465" si="1150">IF(B1459&lt;&gt;"",O1459*L1459,"")</f>
        <v>563.30723692889637</v>
      </c>
      <c r="Q1459" s="327">
        <f t="shared" ref="Q1459:Q1465" si="1151">IF(B1459&lt;&gt;"",+O1459*E1459,"")</f>
        <v>0</v>
      </c>
      <c r="R1459" s="334">
        <f t="shared" ref="R1459:R1465" si="1152">IF(B1459&lt;&gt;"",Q1459*L1459,"")</f>
        <v>0</v>
      </c>
      <c r="S1459" s="335">
        <f t="shared" si="988"/>
        <v>1225.8618427859074</v>
      </c>
      <c r="T1459" s="335">
        <f t="shared" si="989"/>
        <v>0</v>
      </c>
      <c r="U1459" s="336">
        <f t="shared" si="990"/>
        <v>541.81818181818176</v>
      </c>
      <c r="V1459" s="336">
        <f t="shared" si="991"/>
        <v>0</v>
      </c>
      <c r="W1459" s="336">
        <f t="shared" si="992"/>
        <v>0</v>
      </c>
      <c r="X1459" s="336">
        <f t="shared" si="993"/>
        <v>264.38083147893559</v>
      </c>
      <c r="Y1459" s="320"/>
      <c r="Z1459" s="321" t="str">
        <f t="shared" ref="Z1459:Z1465" si="1153">IF(B1459&lt;&gt;"",+$B1459&amp;"A","")</f>
        <v>X-SISTPRIMEA</v>
      </c>
      <c r="AA1459" s="321" t="str">
        <f t="shared" ref="AA1459:AA1465" si="1154">IF(B1459&lt;&gt;"",+$B1459&amp;"E","")</f>
        <v>X-SISTPRIMEE</v>
      </c>
      <c r="AB1459" s="321" t="str">
        <f t="shared" ref="AB1459:AB1465" si="1155">IF(B1459&lt;&gt;"",++$B1459&amp;"M","")</f>
        <v>X-SISTPRIMEM</v>
      </c>
      <c r="AC1459" s="321" t="str">
        <f t="shared" ref="AC1459:AC1465" si="1156">IF(B1459&lt;&gt;"",+$B1459&amp;"T","")</f>
        <v>X-SISTPRIMET</v>
      </c>
      <c r="AD1459" s="321" t="str">
        <f t="shared" ref="AD1459:AD1465" si="1157">IF(B1459&lt;&gt;"",+$B1459&amp;"S","")</f>
        <v>X-SISTPRIMES</v>
      </c>
      <c r="AE1459" s="321" t="str">
        <f t="shared" ref="AE1459:AE1465" si="1158">IF(B1459&lt;&gt;"",+$B1459&amp;"X","")</f>
        <v>X-SISTPRIMEX</v>
      </c>
      <c r="AF1459" s="321" t="str">
        <f t="shared" ref="AF1459:AF1465" si="1159">IF(B1459&lt;&gt;"",+B1459&amp;H1459,"")</f>
        <v>X-SISTPRIMEA</v>
      </c>
      <c r="AG1459" s="321">
        <f t="shared" si="994"/>
        <v>7</v>
      </c>
      <c r="AH1459" s="321">
        <f>IF(B1459&lt;&gt;"",IF(H1459="x",VLOOKUP(I1459,'AUX-NIV3'!B:AG,32,FALSE),0),"")</f>
        <v>0</v>
      </c>
      <c r="AI1459" s="321" t="str">
        <f t="shared" ref="AI1459:AI1465" si="1160">IF(B1459&lt;&gt;"",+B1459,"")</f>
        <v>X-SISTPRIME</v>
      </c>
      <c r="AJ1459" s="320"/>
      <c r="AK1459" s="322">
        <f t="shared" si="995"/>
        <v>1459</v>
      </c>
      <c r="AL1459" s="323">
        <f t="shared" ref="AL1459:AL1465" si="1161">IF(B1459&lt;&gt;"",+AK1459+AG1459-1,"")</f>
        <v>1465</v>
      </c>
      <c r="AM1459" s="322">
        <f>IF(B1459&lt;&gt;"",IF(B1459=B1454,1+AM1454,1),"")</f>
        <v>1</v>
      </c>
      <c r="AN1459" s="380">
        <f>IF(AND(AH1459&gt;0,B1459&lt;&gt;""),VLOOKUP(I1459,'AUX-NIV3'!$B:$AO,39,FALSE)*O1459,0)</f>
        <v>0</v>
      </c>
      <c r="AO1459" s="380">
        <f t="shared" si="997"/>
        <v>3.2121212121212119</v>
      </c>
      <c r="AP1459" s="380"/>
    </row>
    <row r="1460" spans="2:42">
      <c r="B1460" s="501" t="s">
        <v>4413</v>
      </c>
      <c r="C1460" s="951" t="s">
        <v>4412</v>
      </c>
      <c r="D1460" s="326" t="s">
        <v>477</v>
      </c>
      <c r="E1460" s="327">
        <f>IF(B1460&lt;&gt;"",SUMIF('AUX-NIV1'!I:I,'AUX-NIV2'!B1460,'AUX-NIV1'!Q:Q),"")</f>
        <v>0</v>
      </c>
      <c r="F1460" s="327">
        <f t="shared" si="986"/>
        <v>2032.0608560830246</v>
      </c>
      <c r="G1460" s="327">
        <f t="shared" si="987"/>
        <v>0</v>
      </c>
      <c r="H1460" s="328" t="str">
        <f t="shared" si="1149"/>
        <v>A</v>
      </c>
      <c r="I1460" s="324" t="s">
        <v>1746</v>
      </c>
      <c r="J1460" s="431" t="str">
        <f>IF(B1460&lt;&gt;"",+VLOOKUP(I1460,Recursos!C:F,2,FALSE),"")</f>
        <v>OFICIAL</v>
      </c>
      <c r="K1460" s="330" t="str">
        <f>IF(B1460&lt;&gt;"",+VLOOKUP(I1460,Recursos!C:F,3,FALSE),"")</f>
        <v>hh</v>
      </c>
      <c r="L1460" s="446">
        <f>IF(B1460&lt;&gt;"",+VLOOKUP(I1460,Recursos!C:F,4,FALSE),"")</f>
        <v>496.91595439275824</v>
      </c>
      <c r="M1460" s="1637"/>
      <c r="N1460" s="1638">
        <f>2/M1459</f>
        <v>1.3333333333333333</v>
      </c>
      <c r="O1460" s="1361">
        <f>N1460</f>
        <v>1.3333333333333333</v>
      </c>
      <c r="P1460" s="333">
        <f t="shared" si="1150"/>
        <v>662.55460585701098</v>
      </c>
      <c r="Q1460" s="327">
        <f t="shared" si="1151"/>
        <v>0</v>
      </c>
      <c r="R1460" s="334">
        <f t="shared" si="1152"/>
        <v>0</v>
      </c>
      <c r="S1460" s="335">
        <f t="shared" si="988"/>
        <v>1225.8618427859074</v>
      </c>
      <c r="T1460" s="335">
        <f t="shared" si="989"/>
        <v>0</v>
      </c>
      <c r="U1460" s="336">
        <f t="shared" si="990"/>
        <v>541.81818181818176</v>
      </c>
      <c r="V1460" s="336">
        <f t="shared" si="991"/>
        <v>0</v>
      </c>
      <c r="W1460" s="336">
        <f t="shared" si="992"/>
        <v>0</v>
      </c>
      <c r="X1460" s="336">
        <f t="shared" si="993"/>
        <v>264.38083147893559</v>
      </c>
      <c r="Y1460" s="320"/>
      <c r="Z1460" s="321" t="str">
        <f t="shared" si="1153"/>
        <v>X-SISTPRIMEA</v>
      </c>
      <c r="AA1460" s="321" t="str">
        <f t="shared" si="1154"/>
        <v>X-SISTPRIMEE</v>
      </c>
      <c r="AB1460" s="321" t="str">
        <f t="shared" si="1155"/>
        <v>X-SISTPRIMEM</v>
      </c>
      <c r="AC1460" s="321" t="str">
        <f t="shared" si="1156"/>
        <v>X-SISTPRIMET</v>
      </c>
      <c r="AD1460" s="321" t="str">
        <f t="shared" si="1157"/>
        <v>X-SISTPRIMES</v>
      </c>
      <c r="AE1460" s="321" t="str">
        <f t="shared" si="1158"/>
        <v>X-SISTPRIMEX</v>
      </c>
      <c r="AF1460" s="321" t="str">
        <f t="shared" si="1159"/>
        <v>X-SISTPRIMEA</v>
      </c>
      <c r="AG1460" s="321">
        <f t="shared" si="994"/>
        <v>7</v>
      </c>
      <c r="AH1460" s="321">
        <f>IF(B1460&lt;&gt;"",IF(H1460="x",VLOOKUP(I1460,'AUX-NIV3'!B:AG,32,FALSE),0),"")</f>
        <v>0</v>
      </c>
      <c r="AI1460" s="321" t="str">
        <f t="shared" si="1160"/>
        <v>X-SISTPRIME</v>
      </c>
      <c r="AJ1460" s="320"/>
      <c r="AK1460" s="322">
        <f t="shared" si="995"/>
        <v>1459</v>
      </c>
      <c r="AL1460" s="323">
        <f t="shared" si="1161"/>
        <v>1465</v>
      </c>
      <c r="AM1460" s="322">
        <f t="shared" ref="AM1460:AM1465" si="1162">IF(B1460&lt;&gt;"",IF(B1460=B1459,1+AM1459,1),"")</f>
        <v>2</v>
      </c>
      <c r="AN1460" s="380">
        <f>IF(AND(AH1460&gt;0,B1460&lt;&gt;""),VLOOKUP(I1460,'AUX-NIV3'!$B:$AO,39,FALSE)*O1460,0)</f>
        <v>0</v>
      </c>
      <c r="AO1460" s="380">
        <f t="shared" si="997"/>
        <v>3.2121212121212119</v>
      </c>
      <c r="AP1460" s="380"/>
    </row>
    <row r="1461" spans="2:42">
      <c r="B1461" s="501" t="s">
        <v>4413</v>
      </c>
      <c r="C1461" s="951" t="s">
        <v>4412</v>
      </c>
      <c r="D1461" s="326" t="s">
        <v>477</v>
      </c>
      <c r="E1461" s="327">
        <f>IF(B1461&lt;&gt;"",SUMIF('AUX-NIV1'!I:I,'AUX-NIV2'!B1461,'AUX-NIV1'!Q:Q),"")</f>
        <v>0</v>
      </c>
      <c r="F1461" s="327">
        <f t="shared" si="986"/>
        <v>2032.0608560830246</v>
      </c>
      <c r="G1461" s="327">
        <f t="shared" si="987"/>
        <v>0</v>
      </c>
      <c r="H1461" s="328" t="str">
        <f t="shared" si="1149"/>
        <v>M</v>
      </c>
      <c r="I1461" s="324" t="s">
        <v>4390</v>
      </c>
      <c r="J1461" s="431" t="str">
        <f>IF(B1461&lt;&gt;"",+VLOOKUP(I1461,Recursos!C:F,2,FALSE),"")</f>
        <v>CAÑO CLOACAL 110MM</v>
      </c>
      <c r="K1461" s="330" t="str">
        <f>IF(B1461&lt;&gt;"",+VLOOKUP(I1461,Recursos!C:F,3,FALSE),"")</f>
        <v>m</v>
      </c>
      <c r="L1461" s="446">
        <f>IF(B1461&lt;&gt;"",+VLOOKUP(I1461,Recursos!C:F,4,FALSE),"")</f>
        <v>360</v>
      </c>
      <c r="M1461" s="1646">
        <v>22</v>
      </c>
      <c r="N1461" s="1638">
        <v>1</v>
      </c>
      <c r="O1461" s="1361">
        <f>N1461</f>
        <v>1</v>
      </c>
      <c r="P1461" s="333">
        <f t="shared" si="1150"/>
        <v>360</v>
      </c>
      <c r="Q1461" s="327">
        <f t="shared" si="1151"/>
        <v>0</v>
      </c>
      <c r="R1461" s="334">
        <f t="shared" si="1152"/>
        <v>0</v>
      </c>
      <c r="S1461" s="335">
        <f t="shared" si="988"/>
        <v>1225.8618427859074</v>
      </c>
      <c r="T1461" s="335">
        <f t="shared" si="989"/>
        <v>0</v>
      </c>
      <c r="U1461" s="336">
        <f t="shared" si="990"/>
        <v>541.81818181818176</v>
      </c>
      <c r="V1461" s="336">
        <f t="shared" si="991"/>
        <v>0</v>
      </c>
      <c r="W1461" s="336">
        <f t="shared" si="992"/>
        <v>0</v>
      </c>
      <c r="X1461" s="336">
        <f t="shared" si="993"/>
        <v>264.38083147893559</v>
      </c>
      <c r="Y1461" s="320"/>
      <c r="Z1461" s="321" t="str">
        <f t="shared" si="1153"/>
        <v>X-SISTPRIMEA</v>
      </c>
      <c r="AA1461" s="321" t="str">
        <f t="shared" si="1154"/>
        <v>X-SISTPRIMEE</v>
      </c>
      <c r="AB1461" s="321" t="str">
        <f t="shared" si="1155"/>
        <v>X-SISTPRIMEM</v>
      </c>
      <c r="AC1461" s="321" t="str">
        <f t="shared" si="1156"/>
        <v>X-SISTPRIMET</v>
      </c>
      <c r="AD1461" s="321" t="str">
        <f t="shared" si="1157"/>
        <v>X-SISTPRIMES</v>
      </c>
      <c r="AE1461" s="321" t="str">
        <f t="shared" si="1158"/>
        <v>X-SISTPRIMEX</v>
      </c>
      <c r="AF1461" s="321" t="str">
        <f t="shared" si="1159"/>
        <v>X-SISTPRIMEM</v>
      </c>
      <c r="AG1461" s="321">
        <f t="shared" si="994"/>
        <v>7</v>
      </c>
      <c r="AH1461" s="321">
        <f>IF(B1461&lt;&gt;"",IF(H1461="x",VLOOKUP(I1461,'AUX-NIV3'!B:AG,32,FALSE),0),"")</f>
        <v>0</v>
      </c>
      <c r="AI1461" s="321" t="str">
        <f t="shared" si="1160"/>
        <v>X-SISTPRIME</v>
      </c>
      <c r="AJ1461" s="320"/>
      <c r="AK1461" s="322">
        <f t="shared" si="995"/>
        <v>1459</v>
      </c>
      <c r="AL1461" s="323">
        <f t="shared" si="1161"/>
        <v>1465</v>
      </c>
      <c r="AM1461" s="322">
        <f t="shared" si="1162"/>
        <v>3</v>
      </c>
      <c r="AN1461" s="380">
        <f>IF(AND(AH1461&gt;0,B1461&lt;&gt;""),VLOOKUP(I1461,'AUX-NIV3'!$B:$AO,39,FALSE)*O1461,0)</f>
        <v>0</v>
      </c>
      <c r="AO1461" s="380">
        <f t="shared" si="997"/>
        <v>3.2121212121212119</v>
      </c>
      <c r="AP1461" s="380"/>
    </row>
    <row r="1462" spans="2:42">
      <c r="B1462" s="501" t="s">
        <v>4413</v>
      </c>
      <c r="C1462" s="951" t="s">
        <v>4412</v>
      </c>
      <c r="D1462" s="326" t="s">
        <v>477</v>
      </c>
      <c r="E1462" s="327">
        <f>IF(B1462&lt;&gt;"",SUMIF('AUX-NIV1'!I:I,'AUX-NIV2'!B1462,'AUX-NIV1'!Q:Q),"")</f>
        <v>0</v>
      </c>
      <c r="F1462" s="327">
        <f t="shared" si="986"/>
        <v>2032.0608560830246</v>
      </c>
      <c r="G1462" s="327">
        <f t="shared" si="987"/>
        <v>0</v>
      </c>
      <c r="H1462" s="328" t="str">
        <f t="shared" si="1149"/>
        <v>M</v>
      </c>
      <c r="I1462" s="324" t="s">
        <v>4396</v>
      </c>
      <c r="J1462" s="431" t="str">
        <f>IF(B1462&lt;&gt;"",+VLOOKUP(I1462,Recursos!C:F,2,FALSE),"")</f>
        <v>CAMARA DE INSPECCIÓN</v>
      </c>
      <c r="K1462" s="330" t="str">
        <f>IF(B1462&lt;&gt;"",+VLOOKUP(I1462,Recursos!C:F,3,FALSE),"")</f>
        <v>Un</v>
      </c>
      <c r="L1462" s="446">
        <f>IF(B1462&lt;&gt;"",+VLOOKUP(I1462,Recursos!C:F,4,FALSE),"")</f>
        <v>7500</v>
      </c>
      <c r="M1462" s="1637">
        <v>0</v>
      </c>
      <c r="N1462" s="1638">
        <f>M1462/$M$1461</f>
        <v>0</v>
      </c>
      <c r="O1462" s="1361">
        <f t="shared" ref="O1462:O1465" si="1163">N1462</f>
        <v>0</v>
      </c>
      <c r="P1462" s="333">
        <f t="shared" si="1150"/>
        <v>0</v>
      </c>
      <c r="Q1462" s="327">
        <f t="shared" si="1151"/>
        <v>0</v>
      </c>
      <c r="R1462" s="334">
        <f t="shared" si="1152"/>
        <v>0</v>
      </c>
      <c r="S1462" s="335">
        <f t="shared" si="988"/>
        <v>1225.8618427859074</v>
      </c>
      <c r="T1462" s="335">
        <f t="shared" si="989"/>
        <v>0</v>
      </c>
      <c r="U1462" s="336">
        <f t="shared" si="990"/>
        <v>541.81818181818176</v>
      </c>
      <c r="V1462" s="336">
        <f t="shared" si="991"/>
        <v>0</v>
      </c>
      <c r="W1462" s="336">
        <f t="shared" si="992"/>
        <v>0</v>
      </c>
      <c r="X1462" s="336">
        <f t="shared" si="993"/>
        <v>264.38083147893559</v>
      </c>
      <c r="Y1462" s="320"/>
      <c r="Z1462" s="321" t="str">
        <f t="shared" si="1153"/>
        <v>X-SISTPRIMEA</v>
      </c>
      <c r="AA1462" s="321" t="str">
        <f t="shared" si="1154"/>
        <v>X-SISTPRIMEE</v>
      </c>
      <c r="AB1462" s="321" t="str">
        <f t="shared" si="1155"/>
        <v>X-SISTPRIMEM</v>
      </c>
      <c r="AC1462" s="321" t="str">
        <f t="shared" si="1156"/>
        <v>X-SISTPRIMET</v>
      </c>
      <c r="AD1462" s="321" t="str">
        <f t="shared" si="1157"/>
        <v>X-SISTPRIMES</v>
      </c>
      <c r="AE1462" s="321" t="str">
        <f t="shared" si="1158"/>
        <v>X-SISTPRIMEX</v>
      </c>
      <c r="AF1462" s="321" t="str">
        <f t="shared" si="1159"/>
        <v>X-SISTPRIMEM</v>
      </c>
      <c r="AG1462" s="321">
        <f t="shared" si="994"/>
        <v>7</v>
      </c>
      <c r="AH1462" s="321">
        <f>IF(B1462&lt;&gt;"",IF(H1462="x",VLOOKUP(I1462,'AUX-NIV3'!B:AG,32,FALSE),0),"")</f>
        <v>0</v>
      </c>
      <c r="AI1462" s="321" t="str">
        <f t="shared" si="1160"/>
        <v>X-SISTPRIME</v>
      </c>
      <c r="AJ1462" s="320"/>
      <c r="AK1462" s="322">
        <f t="shared" si="995"/>
        <v>1459</v>
      </c>
      <c r="AL1462" s="323">
        <f t="shared" si="1161"/>
        <v>1465</v>
      </c>
      <c r="AM1462" s="322">
        <f t="shared" si="1162"/>
        <v>4</v>
      </c>
      <c r="AN1462" s="380">
        <f>IF(AND(AH1462&gt;0,B1462&lt;&gt;""),VLOOKUP(I1462,'AUX-NIV3'!$B:$AO,39,FALSE)*O1462,0)</f>
        <v>0</v>
      </c>
      <c r="AO1462" s="380">
        <f t="shared" si="997"/>
        <v>3.2121212121212119</v>
      </c>
      <c r="AP1462" s="380"/>
    </row>
    <row r="1463" spans="2:42">
      <c r="B1463" s="501" t="s">
        <v>4413</v>
      </c>
      <c r="C1463" s="951" t="s">
        <v>4412</v>
      </c>
      <c r="D1463" s="326" t="s">
        <v>477</v>
      </c>
      <c r="E1463" s="327">
        <f>IF(B1463&lt;&gt;"",SUMIF('AUX-NIV1'!I:I,'AUX-NIV2'!B1463,'AUX-NIV1'!Q:Q),"")</f>
        <v>0</v>
      </c>
      <c r="F1463" s="327">
        <f t="shared" si="986"/>
        <v>2032.0608560830246</v>
      </c>
      <c r="G1463" s="327">
        <f t="shared" si="987"/>
        <v>0</v>
      </c>
      <c r="H1463" s="328" t="str">
        <f t="shared" si="1149"/>
        <v>M</v>
      </c>
      <c r="I1463" s="324" t="s">
        <v>4398</v>
      </c>
      <c r="J1463" s="431" t="str">
        <f>IF(B1463&lt;&gt;"",+VLOOKUP(I1463,Recursos!C:F,2,FALSE),"")</f>
        <v>CAÑO CÁMARA</v>
      </c>
      <c r="K1463" s="330" t="str">
        <f>IF(B1463&lt;&gt;"",+VLOOKUP(I1463,Recursos!C:F,3,FALSE),"")</f>
        <v>Un</v>
      </c>
      <c r="L1463" s="446">
        <f>IF(B1463&lt;&gt;"",+VLOOKUP(I1463,Recursos!C:F,4,FALSE),"")</f>
        <v>670</v>
      </c>
      <c r="M1463" s="1637">
        <v>0</v>
      </c>
      <c r="N1463" s="1638">
        <f>M1463/$M$1461</f>
        <v>0</v>
      </c>
      <c r="O1463" s="1361">
        <f t="shared" si="1163"/>
        <v>0</v>
      </c>
      <c r="P1463" s="333">
        <f t="shared" si="1150"/>
        <v>0</v>
      </c>
      <c r="Q1463" s="327">
        <f t="shared" si="1151"/>
        <v>0</v>
      </c>
      <c r="R1463" s="334">
        <f t="shared" si="1152"/>
        <v>0</v>
      </c>
      <c r="S1463" s="335">
        <f t="shared" si="988"/>
        <v>1225.8618427859074</v>
      </c>
      <c r="T1463" s="335">
        <f t="shared" si="989"/>
        <v>0</v>
      </c>
      <c r="U1463" s="336">
        <f t="shared" si="990"/>
        <v>541.81818181818176</v>
      </c>
      <c r="V1463" s="336">
        <f t="shared" si="991"/>
        <v>0</v>
      </c>
      <c r="W1463" s="336">
        <f t="shared" si="992"/>
        <v>0</v>
      </c>
      <c r="X1463" s="336">
        <f t="shared" si="993"/>
        <v>264.38083147893559</v>
      </c>
      <c r="Y1463" s="320"/>
      <c r="Z1463" s="321" t="str">
        <f t="shared" si="1153"/>
        <v>X-SISTPRIMEA</v>
      </c>
      <c r="AA1463" s="321" t="str">
        <f t="shared" si="1154"/>
        <v>X-SISTPRIMEE</v>
      </c>
      <c r="AB1463" s="321" t="str">
        <f t="shared" si="1155"/>
        <v>X-SISTPRIMEM</v>
      </c>
      <c r="AC1463" s="321" t="str">
        <f t="shared" si="1156"/>
        <v>X-SISTPRIMET</v>
      </c>
      <c r="AD1463" s="321" t="str">
        <f t="shared" si="1157"/>
        <v>X-SISTPRIMES</v>
      </c>
      <c r="AE1463" s="321" t="str">
        <f t="shared" si="1158"/>
        <v>X-SISTPRIMEX</v>
      </c>
      <c r="AF1463" s="321" t="str">
        <f t="shared" si="1159"/>
        <v>X-SISTPRIMEM</v>
      </c>
      <c r="AG1463" s="321">
        <f t="shared" si="994"/>
        <v>7</v>
      </c>
      <c r="AH1463" s="321">
        <f>IF(B1463&lt;&gt;"",IF(H1463="x",VLOOKUP(I1463,'AUX-NIV3'!B:AG,32,FALSE),0),"")</f>
        <v>0</v>
      </c>
      <c r="AI1463" s="321" t="str">
        <f t="shared" si="1160"/>
        <v>X-SISTPRIME</v>
      </c>
      <c r="AJ1463" s="320"/>
      <c r="AK1463" s="322">
        <f t="shared" si="995"/>
        <v>1459</v>
      </c>
      <c r="AL1463" s="323">
        <f t="shared" si="1161"/>
        <v>1465</v>
      </c>
      <c r="AM1463" s="322">
        <f t="shared" si="1162"/>
        <v>5</v>
      </c>
      <c r="AN1463" s="380">
        <f>IF(AND(AH1463&gt;0,B1463&lt;&gt;""),VLOOKUP(I1463,'AUX-NIV3'!$B:$AO,39,FALSE)*O1463,0)</f>
        <v>0</v>
      </c>
      <c r="AO1463" s="380">
        <f t="shared" si="997"/>
        <v>3.2121212121212119</v>
      </c>
      <c r="AP1463" s="380"/>
    </row>
    <row r="1464" spans="2:42">
      <c r="B1464" s="501" t="s">
        <v>4413</v>
      </c>
      <c r="C1464" s="951" t="s">
        <v>4412</v>
      </c>
      <c r="D1464" s="326" t="s">
        <v>477</v>
      </c>
      <c r="E1464" s="327">
        <f>IF(B1464&lt;&gt;"",SUMIF('AUX-NIV1'!I:I,'AUX-NIV2'!B1464,'AUX-NIV1'!Q:Q),"")</f>
        <v>0</v>
      </c>
      <c r="F1464" s="327">
        <f t="shared" si="986"/>
        <v>2032.0608560830246</v>
      </c>
      <c r="G1464" s="327">
        <f t="shared" si="987"/>
        <v>0</v>
      </c>
      <c r="H1464" s="328" t="str">
        <f t="shared" si="1149"/>
        <v>M</v>
      </c>
      <c r="I1464" s="324" t="s">
        <v>4418</v>
      </c>
      <c r="J1464" s="431" t="str">
        <f>IF(B1464&lt;&gt;"",+VLOOKUP(I1464,Recursos!C:F,2,FALSE),"")</f>
        <v>BOCA DE TAPADA INSPECCIÓN</v>
      </c>
      <c r="K1464" s="330" t="str">
        <f>IF(B1464&lt;&gt;"",+VLOOKUP(I1464,Recursos!C:F,3,FALSE),"")</f>
        <v>Un</v>
      </c>
      <c r="L1464" s="446">
        <f>IF(B1464&lt;&gt;"",+VLOOKUP(I1464,Recursos!C:F,4,FALSE),"")</f>
        <v>1000</v>
      </c>
      <c r="M1464" s="1637">
        <v>4</v>
      </c>
      <c r="N1464" s="1638">
        <f>M1464/$M$1461</f>
        <v>0.18181818181818182</v>
      </c>
      <c r="O1464" s="1361">
        <f t="shared" si="1163"/>
        <v>0.18181818181818182</v>
      </c>
      <c r="P1464" s="333">
        <f t="shared" si="1150"/>
        <v>181.81818181818181</v>
      </c>
      <c r="Q1464" s="327">
        <f t="shared" si="1151"/>
        <v>0</v>
      </c>
      <c r="R1464" s="334">
        <f t="shared" si="1152"/>
        <v>0</v>
      </c>
      <c r="S1464" s="335">
        <f t="shared" si="988"/>
        <v>1225.8618427859074</v>
      </c>
      <c r="T1464" s="335">
        <f t="shared" si="989"/>
        <v>0</v>
      </c>
      <c r="U1464" s="336">
        <f t="shared" si="990"/>
        <v>541.81818181818176</v>
      </c>
      <c r="V1464" s="336">
        <f t="shared" si="991"/>
        <v>0</v>
      </c>
      <c r="W1464" s="336">
        <f t="shared" si="992"/>
        <v>0</v>
      </c>
      <c r="X1464" s="336">
        <f t="shared" si="993"/>
        <v>264.38083147893559</v>
      </c>
      <c r="Y1464" s="320"/>
      <c r="Z1464" s="321" t="str">
        <f t="shared" si="1153"/>
        <v>X-SISTPRIMEA</v>
      </c>
      <c r="AA1464" s="321" t="str">
        <f t="shared" si="1154"/>
        <v>X-SISTPRIMEE</v>
      </c>
      <c r="AB1464" s="321" t="str">
        <f t="shared" si="1155"/>
        <v>X-SISTPRIMEM</v>
      </c>
      <c r="AC1464" s="321" t="str">
        <f t="shared" si="1156"/>
        <v>X-SISTPRIMET</v>
      </c>
      <c r="AD1464" s="321" t="str">
        <f t="shared" si="1157"/>
        <v>X-SISTPRIMES</v>
      </c>
      <c r="AE1464" s="321" t="str">
        <f t="shared" si="1158"/>
        <v>X-SISTPRIMEX</v>
      </c>
      <c r="AF1464" s="321" t="str">
        <f t="shared" si="1159"/>
        <v>X-SISTPRIMEM</v>
      </c>
      <c r="AG1464" s="321">
        <f t="shared" si="994"/>
        <v>7</v>
      </c>
      <c r="AH1464" s="321">
        <f>IF(B1464&lt;&gt;"",IF(H1464="x",VLOOKUP(I1464,'AUX-NIV3'!B:AG,32,FALSE),0),"")</f>
        <v>0</v>
      </c>
      <c r="AI1464" s="321" t="str">
        <f t="shared" si="1160"/>
        <v>X-SISTPRIME</v>
      </c>
      <c r="AJ1464" s="320"/>
      <c r="AK1464" s="322">
        <f t="shared" si="995"/>
        <v>1459</v>
      </c>
      <c r="AL1464" s="323">
        <f t="shared" si="1161"/>
        <v>1465</v>
      </c>
      <c r="AM1464" s="322">
        <f t="shared" si="1162"/>
        <v>6</v>
      </c>
      <c r="AN1464" s="380">
        <f>IF(AND(AH1464&gt;0,B1464&lt;&gt;""),VLOOKUP(I1464,'AUX-NIV3'!$B:$AO,39,FALSE)*O1464,0)</f>
        <v>0</v>
      </c>
      <c r="AO1464" s="380">
        <f t="shared" si="997"/>
        <v>3.2121212121212119</v>
      </c>
      <c r="AP1464" s="380"/>
    </row>
    <row r="1465" spans="2:42" ht="13.8" thickBot="1">
      <c r="B1465" s="501" t="s">
        <v>4413</v>
      </c>
      <c r="C1465" s="951" t="s">
        <v>4412</v>
      </c>
      <c r="D1465" s="326" t="s">
        <v>477</v>
      </c>
      <c r="E1465" s="327">
        <f>IF(B1465&lt;&gt;"",SUMIF('AUX-NIV1'!I:I,'AUX-NIV2'!B1465,'AUX-NIV1'!Q:Q),"")</f>
        <v>0</v>
      </c>
      <c r="F1465" s="327">
        <f t="shared" si="986"/>
        <v>2032.0608560830246</v>
      </c>
      <c r="G1465" s="327">
        <f t="shared" si="987"/>
        <v>0</v>
      </c>
      <c r="H1465" s="328" t="str">
        <f t="shared" si="1149"/>
        <v>X</v>
      </c>
      <c r="I1465" s="324" t="s">
        <v>4420</v>
      </c>
      <c r="J1465" s="431" t="str">
        <f>IF(B1465&lt;&gt;"",+VLOOKUP(I1465,Recursos!C:F,2,FALSE),"")</f>
        <v>Punto de Conección Cloacal Primario</v>
      </c>
      <c r="K1465" s="330" t="str">
        <f>IF(B1465&lt;&gt;"",+VLOOKUP(I1465,Recursos!C:F,3,FALSE),"")</f>
        <v>U</v>
      </c>
      <c r="L1465" s="446">
        <f>IF(B1465&lt;&gt;"",+VLOOKUP(I1465,Recursos!C:F,4,FALSE),"")</f>
        <v>1938.792764178861</v>
      </c>
      <c r="M1465" s="1626">
        <v>3</v>
      </c>
      <c r="N1465" s="1638">
        <f>M1465/$M$1461</f>
        <v>0.13636363636363635</v>
      </c>
      <c r="O1465" s="1361">
        <f t="shared" si="1163"/>
        <v>0.13636363636363635</v>
      </c>
      <c r="P1465" s="333">
        <f t="shared" si="1150"/>
        <v>264.38083147893559</v>
      </c>
      <c r="Q1465" s="327">
        <f t="shared" si="1151"/>
        <v>0</v>
      </c>
      <c r="R1465" s="334">
        <f t="shared" si="1152"/>
        <v>0</v>
      </c>
      <c r="S1465" s="335">
        <f t="shared" si="988"/>
        <v>1225.8618427859074</v>
      </c>
      <c r="T1465" s="335">
        <f t="shared" si="989"/>
        <v>0</v>
      </c>
      <c r="U1465" s="336">
        <f t="shared" si="990"/>
        <v>541.81818181818176</v>
      </c>
      <c r="V1465" s="336">
        <f t="shared" si="991"/>
        <v>0</v>
      </c>
      <c r="W1465" s="336">
        <f t="shared" si="992"/>
        <v>0</v>
      </c>
      <c r="X1465" s="336">
        <f t="shared" si="993"/>
        <v>264.38083147893559</v>
      </c>
      <c r="Y1465" s="320"/>
      <c r="Z1465" s="321" t="str">
        <f t="shared" si="1153"/>
        <v>X-SISTPRIMEA</v>
      </c>
      <c r="AA1465" s="321" t="str">
        <f t="shared" si="1154"/>
        <v>X-SISTPRIMEE</v>
      </c>
      <c r="AB1465" s="321" t="str">
        <f t="shared" si="1155"/>
        <v>X-SISTPRIMEM</v>
      </c>
      <c r="AC1465" s="321" t="str">
        <f t="shared" si="1156"/>
        <v>X-SISTPRIMET</v>
      </c>
      <c r="AD1465" s="321" t="str">
        <f t="shared" si="1157"/>
        <v>X-SISTPRIMES</v>
      </c>
      <c r="AE1465" s="321" t="str">
        <f t="shared" si="1158"/>
        <v>X-SISTPRIMEX</v>
      </c>
      <c r="AF1465" s="321" t="str">
        <f t="shared" si="1159"/>
        <v>X-SISTPRIMEX</v>
      </c>
      <c r="AG1465" s="321">
        <f t="shared" si="994"/>
        <v>7</v>
      </c>
      <c r="AH1465" s="321">
        <f>IF(B1465&lt;&gt;"",IF(H1465="x",VLOOKUP(I1465,'AUX-NIV3'!B:AG,32,FALSE),0),"")</f>
        <v>3</v>
      </c>
      <c r="AI1465" s="321" t="str">
        <f t="shared" si="1160"/>
        <v>X-SISTPRIME</v>
      </c>
      <c r="AJ1465" s="320"/>
      <c r="AK1465" s="322">
        <f t="shared" si="995"/>
        <v>1459</v>
      </c>
      <c r="AL1465" s="323">
        <f t="shared" si="1161"/>
        <v>1465</v>
      </c>
      <c r="AM1465" s="322">
        <f t="shared" si="1162"/>
        <v>7</v>
      </c>
      <c r="AN1465" s="380">
        <f>IF(AND(AH1465&gt;0,B1465&lt;&gt;""),VLOOKUP(I1465,'AUX-NIV3'!$B:$AO,39,FALSE)*O1465,0)</f>
        <v>0.54545454545454541</v>
      </c>
      <c r="AO1465" s="380">
        <f t="shared" si="997"/>
        <v>3.2121212121212119</v>
      </c>
      <c r="AP1465" s="380"/>
    </row>
    <row r="1466" spans="2:42" ht="13.8" hidden="1" thickTop="1">
      <c r="B1466" s="501" t="s">
        <v>4411</v>
      </c>
      <c r="C1466" s="951" t="s">
        <v>4414</v>
      </c>
      <c r="D1466" s="326" t="s">
        <v>477</v>
      </c>
      <c r="E1466" s="327">
        <f>IF(B1466&lt;&gt;"",SUMIF('AUX-NIV1'!I:I,'AUX-NIV2'!B1466,'AUX-NIV1'!Q:Q),"")</f>
        <v>0</v>
      </c>
      <c r="F1466" s="327">
        <f t="shared" si="986"/>
        <v>2498.7238167559885</v>
      </c>
      <c r="G1466" s="327">
        <f t="shared" si="987"/>
        <v>0</v>
      </c>
      <c r="H1466" s="328" t="str">
        <f t="shared" ref="H1466:H1472" si="1164">IF(B1466&lt;&gt;"",+LEFT(I1466,1),"")</f>
        <v>A</v>
      </c>
      <c r="I1466" s="324" t="s">
        <v>1745</v>
      </c>
      <c r="J1466" s="431" t="str">
        <f>IF(B1466&lt;&gt;"",+VLOOKUP(I1466,Recursos!C:F,2,FALSE),"")</f>
        <v>AYUDANTE</v>
      </c>
      <c r="K1466" s="330" t="str">
        <f>IF(B1466&lt;&gt;"",+VLOOKUP(I1466,Recursos!C:F,3,FALSE),"")</f>
        <v>hh</v>
      </c>
      <c r="L1466" s="446">
        <f>IF(B1466&lt;&gt;"",+VLOOKUP(I1466,Recursos!C:F,4,FALSE),"")</f>
        <v>422.48042769667234</v>
      </c>
      <c r="M1466" s="1270">
        <f>12/8</f>
        <v>1.5</v>
      </c>
      <c r="N1466" s="1352">
        <f>2/M1466</f>
        <v>1.3333333333333333</v>
      </c>
      <c r="O1466" s="1361">
        <f>N1466</f>
        <v>1.3333333333333333</v>
      </c>
      <c r="P1466" s="333">
        <f t="shared" ref="P1466:P1472" si="1165">IF(B1466&lt;&gt;"",O1466*L1466,"")</f>
        <v>563.30723692889637</v>
      </c>
      <c r="Q1466" s="327">
        <f t="shared" ref="Q1466:Q1472" si="1166">IF(B1466&lt;&gt;"",+O1466*E1466,"")</f>
        <v>0</v>
      </c>
      <c r="R1466" s="334">
        <f t="shared" ref="R1466:R1472" si="1167">IF(B1466&lt;&gt;"",Q1466*L1466,"")</f>
        <v>0</v>
      </c>
      <c r="S1466" s="335">
        <f t="shared" si="988"/>
        <v>1225.8618427859074</v>
      </c>
      <c r="T1466" s="335">
        <f t="shared" si="989"/>
        <v>0</v>
      </c>
      <c r="U1466" s="336">
        <f t="shared" si="990"/>
        <v>730</v>
      </c>
      <c r="V1466" s="336">
        <f t="shared" si="991"/>
        <v>0</v>
      </c>
      <c r="W1466" s="336">
        <f t="shared" si="992"/>
        <v>0</v>
      </c>
      <c r="X1466" s="336">
        <f t="shared" si="993"/>
        <v>542.86197397008118</v>
      </c>
      <c r="Y1466" s="320"/>
      <c r="Z1466" s="321" t="str">
        <f t="shared" ref="Z1466:Z1472" si="1168">IF(B1466&lt;&gt;"",+$B1466&amp;"A","")</f>
        <v>X-SISTPRIMSA</v>
      </c>
      <c r="AA1466" s="321" t="str">
        <f t="shared" ref="AA1466:AA1472" si="1169">IF(B1466&lt;&gt;"",+$B1466&amp;"E","")</f>
        <v>X-SISTPRIMSE</v>
      </c>
      <c r="AB1466" s="321" t="str">
        <f t="shared" ref="AB1466:AB1472" si="1170">IF(B1466&lt;&gt;"",++$B1466&amp;"M","")</f>
        <v>X-SISTPRIMSM</v>
      </c>
      <c r="AC1466" s="321" t="str">
        <f t="shared" ref="AC1466:AC1472" si="1171">IF(B1466&lt;&gt;"",+$B1466&amp;"T","")</f>
        <v>X-SISTPRIMST</v>
      </c>
      <c r="AD1466" s="321" t="str">
        <f t="shared" ref="AD1466:AD1472" si="1172">IF(B1466&lt;&gt;"",+$B1466&amp;"S","")</f>
        <v>X-SISTPRIMSS</v>
      </c>
      <c r="AE1466" s="321" t="str">
        <f t="shared" ref="AE1466:AE1472" si="1173">IF(B1466&lt;&gt;"",+$B1466&amp;"X","")</f>
        <v>X-SISTPRIMSX</v>
      </c>
      <c r="AF1466" s="321" t="str">
        <f t="shared" ref="AF1466:AF1472" si="1174">IF(B1466&lt;&gt;"",+B1466&amp;H1466,"")</f>
        <v>X-SISTPRIMSA</v>
      </c>
      <c r="AG1466" s="321">
        <f t="shared" si="994"/>
        <v>8</v>
      </c>
      <c r="AH1466" s="321">
        <f>IF(B1466&lt;&gt;"",IF(H1466="x",VLOOKUP(I1466,'AUX-NIV3'!B:AG,32,FALSE),0),"")</f>
        <v>0</v>
      </c>
      <c r="AI1466" s="321" t="str">
        <f t="shared" ref="AI1466:AI1472" si="1175">IF(B1466&lt;&gt;"",+B1466,"")</f>
        <v>X-SISTPRIMS</v>
      </c>
      <c r="AJ1466" s="320"/>
      <c r="AK1466" s="322">
        <f t="shared" si="995"/>
        <v>1466</v>
      </c>
      <c r="AL1466" s="323">
        <f t="shared" ref="AL1466:AL1472" si="1176">IF(B1466&lt;&gt;"",+AK1466+AG1466-1,"")</f>
        <v>1473</v>
      </c>
      <c r="AM1466" s="322">
        <f t="shared" ref="AM1466:AM1472" si="1177">IF(B1466&lt;&gt;"",IF(B1466=B1465,1+AM1465,1),"")</f>
        <v>1</v>
      </c>
      <c r="AN1466" s="380">
        <f>IF(AND(AH1466&gt;0,B1466&lt;&gt;""),VLOOKUP(I1466,'AUX-NIV3'!$B:$AO,39,FALSE)*O1466,0)</f>
        <v>0</v>
      </c>
      <c r="AO1466" s="380">
        <f t="shared" si="997"/>
        <v>3.7866666666666666</v>
      </c>
      <c r="AP1466" s="380"/>
    </row>
    <row r="1467" spans="2:42" ht="14.4" hidden="1" thickTop="1" thickBot="1">
      <c r="B1467" s="501" t="s">
        <v>4411</v>
      </c>
      <c r="C1467" s="951" t="s">
        <v>4414</v>
      </c>
      <c r="D1467" s="326" t="s">
        <v>477</v>
      </c>
      <c r="E1467" s="327">
        <f>IF(B1467&lt;&gt;"",SUMIF('AUX-NIV1'!I:I,'AUX-NIV2'!B1467,'AUX-NIV1'!Q:Q),"")</f>
        <v>0</v>
      </c>
      <c r="F1467" s="327">
        <f t="shared" si="986"/>
        <v>2498.7238167559885</v>
      </c>
      <c r="G1467" s="327">
        <f t="shared" si="987"/>
        <v>0</v>
      </c>
      <c r="H1467" s="328" t="str">
        <f t="shared" si="1164"/>
        <v>A</v>
      </c>
      <c r="I1467" s="324" t="s">
        <v>1746</v>
      </c>
      <c r="J1467" s="431" t="str">
        <f>IF(B1467&lt;&gt;"",+VLOOKUP(I1467,Recursos!C:F,2,FALSE),"")</f>
        <v>OFICIAL</v>
      </c>
      <c r="K1467" s="330" t="str">
        <f>IF(B1467&lt;&gt;"",+VLOOKUP(I1467,Recursos!C:F,3,FALSE),"")</f>
        <v>hh</v>
      </c>
      <c r="L1467" s="446">
        <f>IF(B1467&lt;&gt;"",+VLOOKUP(I1467,Recursos!C:F,4,FALSE),"")</f>
        <v>496.91595439275824</v>
      </c>
      <c r="M1467" s="1637"/>
      <c r="N1467" s="1638">
        <f>2/M1466</f>
        <v>1.3333333333333333</v>
      </c>
      <c r="O1467" s="1361">
        <f>N1467</f>
        <v>1.3333333333333333</v>
      </c>
      <c r="P1467" s="333">
        <f t="shared" si="1165"/>
        <v>662.55460585701098</v>
      </c>
      <c r="Q1467" s="327">
        <f t="shared" si="1166"/>
        <v>0</v>
      </c>
      <c r="R1467" s="334">
        <f t="shared" si="1167"/>
        <v>0</v>
      </c>
      <c r="S1467" s="335">
        <f t="shared" si="988"/>
        <v>1225.8618427859074</v>
      </c>
      <c r="T1467" s="335">
        <f t="shared" si="989"/>
        <v>0</v>
      </c>
      <c r="U1467" s="336">
        <f t="shared" si="990"/>
        <v>730</v>
      </c>
      <c r="V1467" s="336">
        <f t="shared" si="991"/>
        <v>0</v>
      </c>
      <c r="W1467" s="336">
        <f t="shared" si="992"/>
        <v>0</v>
      </c>
      <c r="X1467" s="336">
        <f t="shared" si="993"/>
        <v>542.86197397008118</v>
      </c>
      <c r="Y1467" s="320"/>
      <c r="Z1467" s="321" t="str">
        <f t="shared" si="1168"/>
        <v>X-SISTPRIMSA</v>
      </c>
      <c r="AA1467" s="321" t="str">
        <f t="shared" si="1169"/>
        <v>X-SISTPRIMSE</v>
      </c>
      <c r="AB1467" s="321" t="str">
        <f t="shared" si="1170"/>
        <v>X-SISTPRIMSM</v>
      </c>
      <c r="AC1467" s="321" t="str">
        <f t="shared" si="1171"/>
        <v>X-SISTPRIMST</v>
      </c>
      <c r="AD1467" s="321" t="str">
        <f t="shared" si="1172"/>
        <v>X-SISTPRIMSS</v>
      </c>
      <c r="AE1467" s="321" t="str">
        <f t="shared" si="1173"/>
        <v>X-SISTPRIMSX</v>
      </c>
      <c r="AF1467" s="321" t="str">
        <f t="shared" si="1174"/>
        <v>X-SISTPRIMSA</v>
      </c>
      <c r="AG1467" s="321">
        <f t="shared" si="994"/>
        <v>8</v>
      </c>
      <c r="AH1467" s="321">
        <f>IF(B1467&lt;&gt;"",IF(H1467="x",VLOOKUP(I1467,'AUX-NIV3'!B:AG,32,FALSE),0),"")</f>
        <v>0</v>
      </c>
      <c r="AI1467" s="321" t="str">
        <f t="shared" si="1175"/>
        <v>X-SISTPRIMS</v>
      </c>
      <c r="AJ1467" s="320"/>
      <c r="AK1467" s="322">
        <f t="shared" si="995"/>
        <v>1466</v>
      </c>
      <c r="AL1467" s="323">
        <f t="shared" si="1176"/>
        <v>1473</v>
      </c>
      <c r="AM1467" s="322">
        <f t="shared" si="1177"/>
        <v>2</v>
      </c>
      <c r="AN1467" s="380">
        <f>IF(AND(AH1467&gt;0,B1467&lt;&gt;""),VLOOKUP(I1467,'AUX-NIV3'!$B:$AO,39,FALSE)*O1467,0)</f>
        <v>0</v>
      </c>
      <c r="AO1467" s="380">
        <f t="shared" si="997"/>
        <v>3.7866666666666666</v>
      </c>
      <c r="AP1467" s="380"/>
    </row>
    <row r="1468" spans="2:42" ht="14.4" hidden="1" thickTop="1" thickBot="1">
      <c r="B1468" s="501" t="s">
        <v>4411</v>
      </c>
      <c r="C1468" s="951" t="s">
        <v>4414</v>
      </c>
      <c r="D1468" s="326" t="s">
        <v>477</v>
      </c>
      <c r="E1468" s="327">
        <f>IF(B1468&lt;&gt;"",SUMIF('AUX-NIV1'!I:I,'AUX-NIV2'!B1468,'AUX-NIV1'!Q:Q),"")</f>
        <v>0</v>
      </c>
      <c r="F1468" s="327">
        <f t="shared" si="986"/>
        <v>2498.7238167559885</v>
      </c>
      <c r="G1468" s="327">
        <f t="shared" si="987"/>
        <v>0</v>
      </c>
      <c r="H1468" s="328" t="str">
        <f t="shared" si="1164"/>
        <v>M</v>
      </c>
      <c r="I1468" s="324" t="s">
        <v>4390</v>
      </c>
      <c r="J1468" s="431" t="str">
        <f>IF(B1468&lt;&gt;"",+VLOOKUP(I1468,Recursos!C:F,2,FALSE),"")</f>
        <v>CAÑO CLOACAL 110MM</v>
      </c>
      <c r="K1468" s="330" t="str">
        <f>IF(B1468&lt;&gt;"",+VLOOKUP(I1468,Recursos!C:F,3,FALSE),"")</f>
        <v>m</v>
      </c>
      <c r="L1468" s="446">
        <f>IF(B1468&lt;&gt;"",+VLOOKUP(I1468,Recursos!C:F,4,FALSE),"")</f>
        <v>360</v>
      </c>
      <c r="M1468" s="1646">
        <v>50</v>
      </c>
      <c r="N1468" s="1638">
        <v>1</v>
      </c>
      <c r="O1468" s="1361">
        <f>N1468</f>
        <v>1</v>
      </c>
      <c r="P1468" s="333">
        <f t="shared" si="1165"/>
        <v>360</v>
      </c>
      <c r="Q1468" s="327">
        <f t="shared" si="1166"/>
        <v>0</v>
      </c>
      <c r="R1468" s="334">
        <f t="shared" si="1167"/>
        <v>0</v>
      </c>
      <c r="S1468" s="335">
        <f t="shared" si="988"/>
        <v>1225.8618427859074</v>
      </c>
      <c r="T1468" s="335">
        <f t="shared" si="989"/>
        <v>0</v>
      </c>
      <c r="U1468" s="336">
        <f t="shared" si="990"/>
        <v>730</v>
      </c>
      <c r="V1468" s="336">
        <f t="shared" si="991"/>
        <v>0</v>
      </c>
      <c r="W1468" s="336">
        <f t="shared" si="992"/>
        <v>0</v>
      </c>
      <c r="X1468" s="336">
        <f t="shared" si="993"/>
        <v>542.86197397008118</v>
      </c>
      <c r="Y1468" s="320"/>
      <c r="Z1468" s="321" t="str">
        <f t="shared" si="1168"/>
        <v>X-SISTPRIMSA</v>
      </c>
      <c r="AA1468" s="321" t="str">
        <f t="shared" si="1169"/>
        <v>X-SISTPRIMSE</v>
      </c>
      <c r="AB1468" s="321" t="str">
        <f t="shared" si="1170"/>
        <v>X-SISTPRIMSM</v>
      </c>
      <c r="AC1468" s="321" t="str">
        <f t="shared" si="1171"/>
        <v>X-SISTPRIMST</v>
      </c>
      <c r="AD1468" s="321" t="str">
        <f t="shared" si="1172"/>
        <v>X-SISTPRIMSS</v>
      </c>
      <c r="AE1468" s="321" t="str">
        <f t="shared" si="1173"/>
        <v>X-SISTPRIMSX</v>
      </c>
      <c r="AF1468" s="321" t="str">
        <f t="shared" si="1174"/>
        <v>X-SISTPRIMSM</v>
      </c>
      <c r="AG1468" s="321">
        <f t="shared" si="994"/>
        <v>8</v>
      </c>
      <c r="AH1468" s="321">
        <f>IF(B1468&lt;&gt;"",IF(H1468="x",VLOOKUP(I1468,'AUX-NIV3'!B:AG,32,FALSE),0),"")</f>
        <v>0</v>
      </c>
      <c r="AI1468" s="321" t="str">
        <f t="shared" si="1175"/>
        <v>X-SISTPRIMS</v>
      </c>
      <c r="AJ1468" s="320"/>
      <c r="AK1468" s="322">
        <f t="shared" si="995"/>
        <v>1466</v>
      </c>
      <c r="AL1468" s="323">
        <f t="shared" si="1176"/>
        <v>1473</v>
      </c>
      <c r="AM1468" s="322">
        <f t="shared" si="1177"/>
        <v>3</v>
      </c>
      <c r="AN1468" s="380">
        <f>IF(AND(AH1468&gt;0,B1468&lt;&gt;""),VLOOKUP(I1468,'AUX-NIV3'!$B:$AO,39,FALSE)*O1468,0)</f>
        <v>0</v>
      </c>
      <c r="AO1468" s="380">
        <f t="shared" si="997"/>
        <v>3.7866666666666666</v>
      </c>
      <c r="AP1468" s="380"/>
    </row>
    <row r="1469" spans="2:42" ht="14.4" hidden="1" thickTop="1" thickBot="1">
      <c r="B1469" s="501" t="s">
        <v>4411</v>
      </c>
      <c r="C1469" s="951" t="s">
        <v>4414</v>
      </c>
      <c r="D1469" s="326" t="s">
        <v>477</v>
      </c>
      <c r="E1469" s="327">
        <f>IF(B1469&lt;&gt;"",SUMIF('AUX-NIV1'!I:I,'AUX-NIV2'!B1469,'AUX-NIV1'!Q:Q),"")</f>
        <v>0</v>
      </c>
      <c r="F1469" s="327">
        <f t="shared" si="986"/>
        <v>2498.7238167559885</v>
      </c>
      <c r="G1469" s="327">
        <f t="shared" si="987"/>
        <v>0</v>
      </c>
      <c r="H1469" s="328" t="str">
        <f t="shared" si="1164"/>
        <v>M</v>
      </c>
      <c r="I1469" s="324" t="s">
        <v>3295</v>
      </c>
      <c r="J1469" s="431" t="str">
        <f>IF(B1469&lt;&gt;"",+VLOOKUP(I1469,Recursos!C:F,2,FALSE),"")</f>
        <v>ANDAMIO TUBULAR 2x3x1,3</v>
      </c>
      <c r="K1469" s="330" t="str">
        <f>IF(B1469&lt;&gt;"",+VLOOKUP(I1469,Recursos!C:F,3,FALSE),"")</f>
        <v>Mod</v>
      </c>
      <c r="L1469" s="446">
        <f>IF(B1469&lt;&gt;"",+VLOOKUP(I1469,Recursos!C:F,4,FALSE),"")</f>
        <v>8000</v>
      </c>
      <c r="M1469" s="1637">
        <v>2</v>
      </c>
      <c r="N1469" s="1638">
        <f t="shared" ref="N1469" si="1178">M1469/$M$1468</f>
        <v>0.04</v>
      </c>
      <c r="O1469" s="1361">
        <f t="shared" ref="O1469:O1473" si="1179">N1469</f>
        <v>0.04</v>
      </c>
      <c r="P1469" s="333">
        <f t="shared" si="1165"/>
        <v>320</v>
      </c>
      <c r="Q1469" s="327">
        <f t="shared" si="1166"/>
        <v>0</v>
      </c>
      <c r="R1469" s="334">
        <f t="shared" si="1167"/>
        <v>0</v>
      </c>
      <c r="S1469" s="335">
        <f t="shared" si="988"/>
        <v>1225.8618427859074</v>
      </c>
      <c r="T1469" s="335">
        <f t="shared" si="989"/>
        <v>0</v>
      </c>
      <c r="U1469" s="336">
        <f t="shared" si="990"/>
        <v>730</v>
      </c>
      <c r="V1469" s="336">
        <f t="shared" si="991"/>
        <v>0</v>
      </c>
      <c r="W1469" s="336">
        <f t="shared" si="992"/>
        <v>0</v>
      </c>
      <c r="X1469" s="336">
        <f t="shared" si="993"/>
        <v>542.86197397008118</v>
      </c>
      <c r="Y1469" s="320"/>
      <c r="Z1469" s="321" t="str">
        <f t="shared" si="1168"/>
        <v>X-SISTPRIMSA</v>
      </c>
      <c r="AA1469" s="321" t="str">
        <f t="shared" si="1169"/>
        <v>X-SISTPRIMSE</v>
      </c>
      <c r="AB1469" s="321" t="str">
        <f t="shared" si="1170"/>
        <v>X-SISTPRIMSM</v>
      </c>
      <c r="AC1469" s="321" t="str">
        <f t="shared" si="1171"/>
        <v>X-SISTPRIMST</v>
      </c>
      <c r="AD1469" s="321" t="str">
        <f t="shared" si="1172"/>
        <v>X-SISTPRIMSS</v>
      </c>
      <c r="AE1469" s="321" t="str">
        <f t="shared" si="1173"/>
        <v>X-SISTPRIMSX</v>
      </c>
      <c r="AF1469" s="321" t="str">
        <f t="shared" si="1174"/>
        <v>X-SISTPRIMSM</v>
      </c>
      <c r="AG1469" s="321">
        <f t="shared" si="994"/>
        <v>8</v>
      </c>
      <c r="AH1469" s="321">
        <f>IF(B1469&lt;&gt;"",IF(H1469="x",VLOOKUP(I1469,'AUX-NIV3'!B:AG,32,FALSE),0),"")</f>
        <v>0</v>
      </c>
      <c r="AI1469" s="321" t="str">
        <f t="shared" si="1175"/>
        <v>X-SISTPRIMS</v>
      </c>
      <c r="AJ1469" s="320"/>
      <c r="AK1469" s="322">
        <f t="shared" si="995"/>
        <v>1466</v>
      </c>
      <c r="AL1469" s="323">
        <f t="shared" si="1176"/>
        <v>1473</v>
      </c>
      <c r="AM1469" s="322">
        <f t="shared" si="1177"/>
        <v>4</v>
      </c>
      <c r="AN1469" s="380">
        <f>IF(AND(AH1469&gt;0,B1469&lt;&gt;""),VLOOKUP(I1469,'AUX-NIV3'!$B:$AO,39,FALSE)*O1469,0)</f>
        <v>0</v>
      </c>
      <c r="AO1469" s="380">
        <f t="shared" si="997"/>
        <v>3.7866666666666666</v>
      </c>
      <c r="AP1469" s="380"/>
    </row>
    <row r="1470" spans="2:42" ht="14.4" hidden="1" thickTop="1" thickBot="1">
      <c r="B1470" s="501" t="s">
        <v>4411</v>
      </c>
      <c r="C1470" s="951" t="s">
        <v>4414</v>
      </c>
      <c r="D1470" s="326" t="s">
        <v>477</v>
      </c>
      <c r="E1470" s="327">
        <f>IF(B1470&lt;&gt;"",SUMIF('AUX-NIV1'!I:I,'AUX-NIV2'!B1470,'AUX-NIV1'!Q:Q),"")</f>
        <v>0</v>
      </c>
      <c r="F1470" s="327">
        <f t="shared" si="986"/>
        <v>2498.7238167559885</v>
      </c>
      <c r="G1470" s="327">
        <f t="shared" si="987"/>
        <v>0</v>
      </c>
      <c r="H1470" s="328" t="str">
        <f t="shared" si="1164"/>
        <v>M</v>
      </c>
      <c r="I1470" s="324" t="s">
        <v>4390</v>
      </c>
      <c r="J1470" s="431" t="str">
        <f>IF(B1470&lt;&gt;"",+VLOOKUP(I1470,Recursos!C:F,2,FALSE),"")</f>
        <v>CAÑO CLOACAL 110MM</v>
      </c>
      <c r="K1470" s="330" t="str">
        <f>IF(B1470&lt;&gt;"",+VLOOKUP(I1470,Recursos!C:F,3,FALSE),"")</f>
        <v>m</v>
      </c>
      <c r="L1470" s="446">
        <f>IF(B1470&lt;&gt;"",+VLOOKUP(I1470,Recursos!C:F,4,FALSE),"")</f>
        <v>360</v>
      </c>
      <c r="M1470" s="1637">
        <f>5*5</f>
        <v>25</v>
      </c>
      <c r="N1470" s="1638">
        <f>M1470/$M$1468*0</f>
        <v>0</v>
      </c>
      <c r="O1470" s="1361">
        <f t="shared" si="1179"/>
        <v>0</v>
      </c>
      <c r="P1470" s="333">
        <f t="shared" si="1165"/>
        <v>0</v>
      </c>
      <c r="Q1470" s="327">
        <f t="shared" si="1166"/>
        <v>0</v>
      </c>
      <c r="R1470" s="334">
        <f t="shared" si="1167"/>
        <v>0</v>
      </c>
      <c r="S1470" s="335">
        <f t="shared" si="988"/>
        <v>1225.8618427859074</v>
      </c>
      <c r="T1470" s="335">
        <f t="shared" si="989"/>
        <v>0</v>
      </c>
      <c r="U1470" s="336">
        <f t="shared" si="990"/>
        <v>730</v>
      </c>
      <c r="V1470" s="336">
        <f t="shared" si="991"/>
        <v>0</v>
      </c>
      <c r="W1470" s="336">
        <f t="shared" si="992"/>
        <v>0</v>
      </c>
      <c r="X1470" s="336">
        <f t="shared" si="993"/>
        <v>542.86197397008118</v>
      </c>
      <c r="Y1470" s="320"/>
      <c r="Z1470" s="321" t="str">
        <f t="shared" si="1168"/>
        <v>X-SISTPRIMSA</v>
      </c>
      <c r="AA1470" s="321" t="str">
        <f t="shared" si="1169"/>
        <v>X-SISTPRIMSE</v>
      </c>
      <c r="AB1470" s="321" t="str">
        <f t="shared" si="1170"/>
        <v>X-SISTPRIMSM</v>
      </c>
      <c r="AC1470" s="321" t="str">
        <f t="shared" si="1171"/>
        <v>X-SISTPRIMST</v>
      </c>
      <c r="AD1470" s="321" t="str">
        <f t="shared" si="1172"/>
        <v>X-SISTPRIMSS</v>
      </c>
      <c r="AE1470" s="321" t="str">
        <f t="shared" si="1173"/>
        <v>X-SISTPRIMSX</v>
      </c>
      <c r="AF1470" s="321" t="str">
        <f t="shared" si="1174"/>
        <v>X-SISTPRIMSM</v>
      </c>
      <c r="AG1470" s="321">
        <f t="shared" si="994"/>
        <v>8</v>
      </c>
      <c r="AH1470" s="321">
        <f>IF(B1470&lt;&gt;"",IF(H1470="x",VLOOKUP(I1470,'AUX-NIV3'!B:AG,32,FALSE),0),"")</f>
        <v>0</v>
      </c>
      <c r="AI1470" s="321" t="str">
        <f t="shared" si="1175"/>
        <v>X-SISTPRIMS</v>
      </c>
      <c r="AJ1470" s="320"/>
      <c r="AK1470" s="322">
        <f t="shared" si="995"/>
        <v>1466</v>
      </c>
      <c r="AL1470" s="323">
        <f t="shared" si="1176"/>
        <v>1473</v>
      </c>
      <c r="AM1470" s="322">
        <f t="shared" si="1177"/>
        <v>5</v>
      </c>
      <c r="AN1470" s="380">
        <f>IF(AND(AH1470&gt;0,B1470&lt;&gt;""),VLOOKUP(I1470,'AUX-NIV3'!$B:$AO,39,FALSE)*O1470,0)</f>
        <v>0</v>
      </c>
      <c r="AO1470" s="380">
        <f t="shared" si="997"/>
        <v>3.7866666666666666</v>
      </c>
      <c r="AP1470" s="380"/>
    </row>
    <row r="1471" spans="2:42" ht="14.4" hidden="1" thickTop="1" thickBot="1">
      <c r="B1471" s="501" t="s">
        <v>4411</v>
      </c>
      <c r="C1471" s="951" t="s">
        <v>4414</v>
      </c>
      <c r="D1471" s="326" t="s">
        <v>477</v>
      </c>
      <c r="E1471" s="327">
        <f>IF(B1471&lt;&gt;"",SUMIF('AUX-NIV1'!I:I,'AUX-NIV2'!B1471,'AUX-NIV1'!Q:Q),"")</f>
        <v>0</v>
      </c>
      <c r="F1471" s="327">
        <f t="shared" si="986"/>
        <v>2498.7238167559885</v>
      </c>
      <c r="G1471" s="327">
        <f t="shared" si="987"/>
        <v>0</v>
      </c>
      <c r="H1471" s="328" t="str">
        <f t="shared" si="1164"/>
        <v>M</v>
      </c>
      <c r="I1471" s="324" t="s">
        <v>4418</v>
      </c>
      <c r="J1471" s="431" t="str">
        <f>IF(B1471&lt;&gt;"",+VLOOKUP(I1471,Recursos!C:F,2,FALSE),"")</f>
        <v>BOCA DE TAPADA INSPECCIÓN</v>
      </c>
      <c r="K1471" s="330" t="str">
        <f>IF(B1471&lt;&gt;"",+VLOOKUP(I1471,Recursos!C:F,3,FALSE),"")</f>
        <v>Un</v>
      </c>
      <c r="L1471" s="446">
        <f>IF(B1471&lt;&gt;"",+VLOOKUP(I1471,Recursos!C:F,4,FALSE),"")</f>
        <v>1000</v>
      </c>
      <c r="M1471" s="1637">
        <v>0</v>
      </c>
      <c r="N1471" s="1638">
        <f>M1471/$M$1468</f>
        <v>0</v>
      </c>
      <c r="O1471" s="1361">
        <f t="shared" si="1179"/>
        <v>0</v>
      </c>
      <c r="P1471" s="333">
        <f t="shared" si="1165"/>
        <v>0</v>
      </c>
      <c r="Q1471" s="327">
        <f t="shared" si="1166"/>
        <v>0</v>
      </c>
      <c r="R1471" s="334">
        <f t="shared" si="1167"/>
        <v>0</v>
      </c>
      <c r="S1471" s="335">
        <f t="shared" si="988"/>
        <v>1225.8618427859074</v>
      </c>
      <c r="T1471" s="335">
        <f t="shared" si="989"/>
        <v>0</v>
      </c>
      <c r="U1471" s="336">
        <f t="shared" si="990"/>
        <v>730</v>
      </c>
      <c r="V1471" s="336">
        <f t="shared" si="991"/>
        <v>0</v>
      </c>
      <c r="W1471" s="336">
        <f t="shared" si="992"/>
        <v>0</v>
      </c>
      <c r="X1471" s="336">
        <f t="shared" si="993"/>
        <v>542.86197397008118</v>
      </c>
      <c r="Y1471" s="320"/>
      <c r="Z1471" s="321" t="str">
        <f t="shared" si="1168"/>
        <v>X-SISTPRIMSA</v>
      </c>
      <c r="AA1471" s="321" t="str">
        <f t="shared" si="1169"/>
        <v>X-SISTPRIMSE</v>
      </c>
      <c r="AB1471" s="321" t="str">
        <f t="shared" si="1170"/>
        <v>X-SISTPRIMSM</v>
      </c>
      <c r="AC1471" s="321" t="str">
        <f t="shared" si="1171"/>
        <v>X-SISTPRIMST</v>
      </c>
      <c r="AD1471" s="321" t="str">
        <f t="shared" si="1172"/>
        <v>X-SISTPRIMSS</v>
      </c>
      <c r="AE1471" s="321" t="str">
        <f t="shared" si="1173"/>
        <v>X-SISTPRIMSX</v>
      </c>
      <c r="AF1471" s="321" t="str">
        <f t="shared" si="1174"/>
        <v>X-SISTPRIMSM</v>
      </c>
      <c r="AG1471" s="321">
        <f t="shared" si="994"/>
        <v>8</v>
      </c>
      <c r="AH1471" s="321">
        <f>IF(B1471&lt;&gt;"",IF(H1471="x",VLOOKUP(I1471,'AUX-NIV3'!B:AG,32,FALSE),0),"")</f>
        <v>0</v>
      </c>
      <c r="AI1471" s="321" t="str">
        <f t="shared" si="1175"/>
        <v>X-SISTPRIMS</v>
      </c>
      <c r="AJ1471" s="320"/>
      <c r="AK1471" s="322">
        <f t="shared" si="995"/>
        <v>1466</v>
      </c>
      <c r="AL1471" s="323">
        <f t="shared" si="1176"/>
        <v>1473</v>
      </c>
      <c r="AM1471" s="322">
        <f t="shared" si="1177"/>
        <v>6</v>
      </c>
      <c r="AN1471" s="380">
        <f>IF(AND(AH1471&gt;0,B1471&lt;&gt;""),VLOOKUP(I1471,'AUX-NIV3'!$B:$AO,39,FALSE)*O1471,0)</f>
        <v>0</v>
      </c>
      <c r="AO1471" s="380">
        <f t="shared" si="997"/>
        <v>3.7866666666666666</v>
      </c>
      <c r="AP1471" s="380"/>
    </row>
    <row r="1472" spans="2:42" ht="14.4" hidden="1" thickTop="1" thickBot="1">
      <c r="B1472" s="501" t="s">
        <v>4411</v>
      </c>
      <c r="C1472" s="951" t="s">
        <v>4414</v>
      </c>
      <c r="D1472" s="326" t="s">
        <v>477</v>
      </c>
      <c r="E1472" s="327">
        <f>IF(B1472&lt;&gt;"",SUMIF('AUX-NIV1'!I:I,'AUX-NIV2'!B1472,'AUX-NIV1'!Q:Q),"")</f>
        <v>0</v>
      </c>
      <c r="F1472" s="327">
        <f t="shared" si="986"/>
        <v>2498.7238167559885</v>
      </c>
      <c r="G1472" s="327">
        <f t="shared" si="987"/>
        <v>0</v>
      </c>
      <c r="H1472" s="328" t="str">
        <f t="shared" si="1164"/>
        <v>X</v>
      </c>
      <c r="I1472" s="324" t="s">
        <v>4420</v>
      </c>
      <c r="J1472" s="431" t="str">
        <f>IF(B1472&lt;&gt;"",+VLOOKUP(I1472,Recursos!C:F,2,FALSE),"")</f>
        <v>Punto de Conección Cloacal Primario</v>
      </c>
      <c r="K1472" s="330" t="str">
        <f>IF(B1472&lt;&gt;"",+VLOOKUP(I1472,Recursos!C:F,3,FALSE),"")</f>
        <v>U</v>
      </c>
      <c r="L1472" s="446">
        <f>IF(B1472&lt;&gt;"",+VLOOKUP(I1472,Recursos!C:F,4,FALSE),"")</f>
        <v>1938.792764178861</v>
      </c>
      <c r="M1472" s="1637">
        <v>14</v>
      </c>
      <c r="N1472" s="1638">
        <f>M1472/$M$1468</f>
        <v>0.28000000000000003</v>
      </c>
      <c r="O1472" s="1361">
        <f t="shared" si="1179"/>
        <v>0.28000000000000003</v>
      </c>
      <c r="P1472" s="333">
        <f t="shared" si="1165"/>
        <v>542.86197397008118</v>
      </c>
      <c r="Q1472" s="327">
        <f t="shared" si="1166"/>
        <v>0</v>
      </c>
      <c r="R1472" s="334">
        <f t="shared" si="1167"/>
        <v>0</v>
      </c>
      <c r="S1472" s="335">
        <f t="shared" si="988"/>
        <v>1225.8618427859074</v>
      </c>
      <c r="T1472" s="335">
        <f t="shared" si="989"/>
        <v>0</v>
      </c>
      <c r="U1472" s="336">
        <f t="shared" si="990"/>
        <v>730</v>
      </c>
      <c r="V1472" s="336">
        <f t="shared" si="991"/>
        <v>0</v>
      </c>
      <c r="W1472" s="336">
        <f t="shared" si="992"/>
        <v>0</v>
      </c>
      <c r="X1472" s="336">
        <f t="shared" si="993"/>
        <v>542.86197397008118</v>
      </c>
      <c r="Y1472" s="320"/>
      <c r="Z1472" s="321" t="str">
        <f t="shared" si="1168"/>
        <v>X-SISTPRIMSA</v>
      </c>
      <c r="AA1472" s="321" t="str">
        <f t="shared" si="1169"/>
        <v>X-SISTPRIMSE</v>
      </c>
      <c r="AB1472" s="321" t="str">
        <f t="shared" si="1170"/>
        <v>X-SISTPRIMSM</v>
      </c>
      <c r="AC1472" s="321" t="str">
        <f t="shared" si="1171"/>
        <v>X-SISTPRIMST</v>
      </c>
      <c r="AD1472" s="321" t="str">
        <f t="shared" si="1172"/>
        <v>X-SISTPRIMSS</v>
      </c>
      <c r="AE1472" s="321" t="str">
        <f t="shared" si="1173"/>
        <v>X-SISTPRIMSX</v>
      </c>
      <c r="AF1472" s="321" t="str">
        <f t="shared" si="1174"/>
        <v>X-SISTPRIMSX</v>
      </c>
      <c r="AG1472" s="321">
        <f t="shared" si="994"/>
        <v>8</v>
      </c>
      <c r="AH1472" s="321">
        <f>IF(B1472&lt;&gt;"",IF(H1472="x",VLOOKUP(I1472,'AUX-NIV3'!B:AG,32,FALSE),0),"")</f>
        <v>3</v>
      </c>
      <c r="AI1472" s="321" t="str">
        <f t="shared" si="1175"/>
        <v>X-SISTPRIMS</v>
      </c>
      <c r="AJ1472" s="320"/>
      <c r="AK1472" s="322">
        <f t="shared" si="995"/>
        <v>1466</v>
      </c>
      <c r="AL1472" s="323">
        <f t="shared" si="1176"/>
        <v>1473</v>
      </c>
      <c r="AM1472" s="322">
        <f t="shared" si="1177"/>
        <v>7</v>
      </c>
      <c r="AN1472" s="380">
        <f>IF(AND(AH1472&gt;0,B1472&lt;&gt;""),VLOOKUP(I1472,'AUX-NIV3'!$B:$AO,39,FALSE)*O1472,0)</f>
        <v>1.1200000000000001</v>
      </c>
      <c r="AO1472" s="380">
        <f t="shared" si="997"/>
        <v>3.7866666666666666</v>
      </c>
      <c r="AP1472" s="380"/>
    </row>
    <row r="1473" spans="2:42" ht="13.8" hidden="1" thickBot="1">
      <c r="B1473" s="501" t="s">
        <v>4411</v>
      </c>
      <c r="C1473" s="951" t="s">
        <v>4414</v>
      </c>
      <c r="D1473" s="326" t="s">
        <v>477</v>
      </c>
      <c r="E1473" s="327">
        <f>IF(B1473&lt;&gt;"",SUMIF('AUX-NIV1'!I:I,'AUX-NIV2'!B1473,'AUX-NIV1'!Q:Q),"")</f>
        <v>0</v>
      </c>
      <c r="F1473" s="327">
        <f t="shared" si="986"/>
        <v>2498.7238167559885</v>
      </c>
      <c r="G1473" s="327">
        <f t="shared" si="987"/>
        <v>0</v>
      </c>
      <c r="H1473" s="328" t="str">
        <f t="shared" ref="H1473" si="1180">IF(B1473&lt;&gt;"",+LEFT(I1473,1),"")</f>
        <v>M</v>
      </c>
      <c r="I1473" s="324" t="s">
        <v>621</v>
      </c>
      <c r="J1473" s="431" t="str">
        <f>IF(B1473&lt;&gt;"",+VLOOKUP(I1473,Recursos!C:F,2,FALSE),"")</f>
        <v>MATERIALES VARIOS</v>
      </c>
      <c r="K1473" s="330" t="str">
        <f>IF(B1473&lt;&gt;"",+VLOOKUP(I1473,Recursos!C:F,3,FALSE),"")</f>
        <v>GL</v>
      </c>
      <c r="L1473" s="446">
        <f>IF(B1473&lt;&gt;"",+VLOOKUP(I1473,Recursos!C:F,4,FALSE),"")</f>
        <v>0.5</v>
      </c>
      <c r="M1473" s="1626"/>
      <c r="N1473" s="1638">
        <v>100</v>
      </c>
      <c r="O1473" s="1361">
        <f t="shared" si="1179"/>
        <v>100</v>
      </c>
      <c r="P1473" s="333">
        <f t="shared" ref="P1473" si="1181">IF(B1473&lt;&gt;"",O1473*L1473,"")</f>
        <v>50</v>
      </c>
      <c r="Q1473" s="327">
        <f t="shared" ref="Q1473" si="1182">IF(B1473&lt;&gt;"",+O1473*E1473,"")</f>
        <v>0</v>
      </c>
      <c r="R1473" s="334">
        <f t="shared" ref="R1473" si="1183">IF(B1473&lt;&gt;"",Q1473*L1473,"")</f>
        <v>0</v>
      </c>
      <c r="S1473" s="335">
        <f t="shared" si="988"/>
        <v>1225.8618427859074</v>
      </c>
      <c r="T1473" s="335">
        <f t="shared" si="989"/>
        <v>0</v>
      </c>
      <c r="U1473" s="336">
        <f t="shared" si="990"/>
        <v>730</v>
      </c>
      <c r="V1473" s="336">
        <f t="shared" si="991"/>
        <v>0</v>
      </c>
      <c r="W1473" s="336">
        <f t="shared" si="992"/>
        <v>0</v>
      </c>
      <c r="X1473" s="336">
        <f t="shared" si="993"/>
        <v>542.86197397008118</v>
      </c>
      <c r="Y1473" s="320"/>
      <c r="Z1473" s="321" t="str">
        <f t="shared" ref="Z1473" si="1184">IF(B1473&lt;&gt;"",+$B1473&amp;"A","")</f>
        <v>X-SISTPRIMSA</v>
      </c>
      <c r="AA1473" s="321" t="str">
        <f t="shared" ref="AA1473" si="1185">IF(B1473&lt;&gt;"",+$B1473&amp;"E","")</f>
        <v>X-SISTPRIMSE</v>
      </c>
      <c r="AB1473" s="321" t="str">
        <f t="shared" ref="AB1473" si="1186">IF(B1473&lt;&gt;"",++$B1473&amp;"M","")</f>
        <v>X-SISTPRIMSM</v>
      </c>
      <c r="AC1473" s="321" t="str">
        <f t="shared" ref="AC1473" si="1187">IF(B1473&lt;&gt;"",+$B1473&amp;"T","")</f>
        <v>X-SISTPRIMST</v>
      </c>
      <c r="AD1473" s="321" t="str">
        <f t="shared" ref="AD1473" si="1188">IF(B1473&lt;&gt;"",+$B1473&amp;"S","")</f>
        <v>X-SISTPRIMSS</v>
      </c>
      <c r="AE1473" s="321" t="str">
        <f t="shared" ref="AE1473" si="1189">IF(B1473&lt;&gt;"",+$B1473&amp;"X","")</f>
        <v>X-SISTPRIMSX</v>
      </c>
      <c r="AF1473" s="321" t="str">
        <f t="shared" ref="AF1473" si="1190">IF(B1473&lt;&gt;"",+B1473&amp;H1473,"")</f>
        <v>X-SISTPRIMSM</v>
      </c>
      <c r="AG1473" s="321">
        <f t="shared" si="994"/>
        <v>8</v>
      </c>
      <c r="AH1473" s="321">
        <f>IF(B1473&lt;&gt;"",IF(H1473="x",VLOOKUP(I1473,'AUX-NIV3'!B:AG,32,FALSE),0),"")</f>
        <v>0</v>
      </c>
      <c r="AI1473" s="321" t="str">
        <f t="shared" ref="AI1473" si="1191">IF(B1473&lt;&gt;"",+B1473,"")</f>
        <v>X-SISTPRIMS</v>
      </c>
      <c r="AJ1473" s="320"/>
      <c r="AK1473" s="322">
        <f t="shared" si="995"/>
        <v>1466</v>
      </c>
      <c r="AL1473" s="323">
        <f t="shared" ref="AL1473" si="1192">IF(B1473&lt;&gt;"",+AK1473+AG1473-1,"")</f>
        <v>1473</v>
      </c>
      <c r="AM1473" s="322">
        <f t="shared" ref="AM1473" si="1193">IF(B1473&lt;&gt;"",IF(B1473=B1472,1+AM1472,1),"")</f>
        <v>8</v>
      </c>
      <c r="AN1473" s="380">
        <f>IF(AND(AH1473&gt;0,B1473&lt;&gt;""),VLOOKUP(I1473,'AUX-NIV3'!$B:$AO,39,FALSE)*O1473,0)</f>
        <v>0</v>
      </c>
      <c r="AO1473" s="380">
        <f t="shared" si="997"/>
        <v>3.7866666666666666</v>
      </c>
      <c r="AP1473" s="380"/>
    </row>
    <row r="1474" spans="2:42" ht="13.8" thickTop="1">
      <c r="B1474" s="501" t="s">
        <v>4408</v>
      </c>
      <c r="C1474" s="951" t="s">
        <v>4415</v>
      </c>
      <c r="D1474" s="326" t="s">
        <v>477</v>
      </c>
      <c r="E1474" s="327">
        <f>IF(B1474&lt;&gt;"",SUMIF('AUX-NIV1'!I:I,'AUX-NIV2'!B1474,'AUX-NIV1'!Q:Q),"")</f>
        <v>0</v>
      </c>
      <c r="F1474" s="327">
        <f t="shared" si="986"/>
        <v>1972.1118427859074</v>
      </c>
      <c r="G1474" s="327">
        <f t="shared" si="987"/>
        <v>0</v>
      </c>
      <c r="H1474" s="328" t="str">
        <f t="shared" ref="H1474:H1480" si="1194">IF(B1474&lt;&gt;"",+LEFT(I1474,1),"")</f>
        <v>A</v>
      </c>
      <c r="I1474" s="324" t="s">
        <v>1745</v>
      </c>
      <c r="J1474" s="431" t="str">
        <f>IF(B1474&lt;&gt;"",+VLOOKUP(I1474,Recursos!C:F,2,FALSE),"")</f>
        <v>AYUDANTE</v>
      </c>
      <c r="K1474" s="330" t="str">
        <f>IF(B1474&lt;&gt;"",+VLOOKUP(I1474,Recursos!C:F,3,FALSE),"")</f>
        <v>hh</v>
      </c>
      <c r="L1474" s="446">
        <f>IF(B1474&lt;&gt;"",+VLOOKUP(I1474,Recursos!C:F,4,FALSE),"")</f>
        <v>422.48042769667234</v>
      </c>
      <c r="M1474" s="1270">
        <f>12/8</f>
        <v>1.5</v>
      </c>
      <c r="N1474" s="1352">
        <f>2/M1474</f>
        <v>1.3333333333333333</v>
      </c>
      <c r="O1474" s="1361">
        <f>N1474</f>
        <v>1.3333333333333333</v>
      </c>
      <c r="P1474" s="333">
        <f t="shared" ref="P1474:P1480" si="1195">IF(B1474&lt;&gt;"",O1474*L1474,"")</f>
        <v>563.30723692889637</v>
      </c>
      <c r="Q1474" s="327">
        <f t="shared" ref="Q1474:Q1480" si="1196">IF(B1474&lt;&gt;"",+O1474*E1474,"")</f>
        <v>0</v>
      </c>
      <c r="R1474" s="334">
        <f t="shared" ref="R1474:R1480" si="1197">IF(B1474&lt;&gt;"",Q1474*L1474,"")</f>
        <v>0</v>
      </c>
      <c r="S1474" s="335">
        <f t="shared" si="988"/>
        <v>1225.8618427859074</v>
      </c>
      <c r="T1474" s="335">
        <f t="shared" si="989"/>
        <v>0</v>
      </c>
      <c r="U1474" s="336">
        <f t="shared" si="990"/>
        <v>746.25</v>
      </c>
      <c r="V1474" s="336">
        <f t="shared" si="991"/>
        <v>0</v>
      </c>
      <c r="W1474" s="336">
        <f t="shared" si="992"/>
        <v>0</v>
      </c>
      <c r="X1474" s="336">
        <f t="shared" si="993"/>
        <v>0</v>
      </c>
      <c r="Y1474" s="320"/>
      <c r="Z1474" s="321" t="str">
        <f t="shared" ref="Z1474:Z1480" si="1198">IF(B1474&lt;&gt;"",+$B1474&amp;"A","")</f>
        <v>X-SISTSECNA</v>
      </c>
      <c r="AA1474" s="321" t="str">
        <f t="shared" ref="AA1474:AA1480" si="1199">IF(B1474&lt;&gt;"",+$B1474&amp;"E","")</f>
        <v>X-SISTSECNE</v>
      </c>
      <c r="AB1474" s="321" t="str">
        <f t="shared" ref="AB1474:AB1480" si="1200">IF(B1474&lt;&gt;"",++$B1474&amp;"M","")</f>
        <v>X-SISTSECNM</v>
      </c>
      <c r="AC1474" s="321" t="str">
        <f t="shared" ref="AC1474:AC1480" si="1201">IF(B1474&lt;&gt;"",+$B1474&amp;"T","")</f>
        <v>X-SISTSECNT</v>
      </c>
      <c r="AD1474" s="321" t="str">
        <f t="shared" ref="AD1474:AD1480" si="1202">IF(B1474&lt;&gt;"",+$B1474&amp;"S","")</f>
        <v>X-SISTSECNS</v>
      </c>
      <c r="AE1474" s="321" t="str">
        <f t="shared" ref="AE1474:AE1480" si="1203">IF(B1474&lt;&gt;"",+$B1474&amp;"X","")</f>
        <v>X-SISTSECNX</v>
      </c>
      <c r="AF1474" s="321" t="str">
        <f t="shared" ref="AF1474:AF1480" si="1204">IF(B1474&lt;&gt;"",+B1474&amp;H1474,"")</f>
        <v>X-SISTSECNA</v>
      </c>
      <c r="AG1474" s="321">
        <f t="shared" si="994"/>
        <v>7</v>
      </c>
      <c r="AH1474" s="321">
        <f>IF(B1474&lt;&gt;"",IF(H1474="x",VLOOKUP(I1474,'AUX-NIV3'!B:AG,32,FALSE),0),"")</f>
        <v>0</v>
      </c>
      <c r="AI1474" s="321" t="str">
        <f t="shared" ref="AI1474:AI1480" si="1205">IF(B1474&lt;&gt;"",+B1474,"")</f>
        <v>X-SISTSECN</v>
      </c>
      <c r="AJ1474" s="320"/>
      <c r="AK1474" s="322">
        <f t="shared" si="995"/>
        <v>1474</v>
      </c>
      <c r="AL1474" s="323">
        <f t="shared" ref="AL1474:AL1480" si="1206">IF(B1474&lt;&gt;"",+AK1474+AG1474-1,"")</f>
        <v>1480</v>
      </c>
      <c r="AM1474" s="322">
        <f>IF(B1474&lt;&gt;"",IF(B1474=B1465,1+AM1465,1),"")</f>
        <v>1</v>
      </c>
      <c r="AN1474" s="380">
        <f>IF(AND(AH1474&gt;0,B1474&lt;&gt;""),VLOOKUP(I1474,'AUX-NIV3'!$B:$AO,39,FALSE)*O1474,0)</f>
        <v>0</v>
      </c>
      <c r="AO1474" s="380">
        <f t="shared" si="997"/>
        <v>2.6666666666666665</v>
      </c>
      <c r="AP1474" s="380"/>
    </row>
    <row r="1475" spans="2:42">
      <c r="B1475" s="501" t="s">
        <v>4408</v>
      </c>
      <c r="C1475" s="951" t="s">
        <v>4415</v>
      </c>
      <c r="D1475" s="326" t="s">
        <v>477</v>
      </c>
      <c r="E1475" s="327">
        <f>IF(B1475&lt;&gt;"",SUMIF('AUX-NIV1'!I:I,'AUX-NIV2'!B1475,'AUX-NIV1'!Q:Q),"")</f>
        <v>0</v>
      </c>
      <c r="F1475" s="327">
        <f t="shared" si="986"/>
        <v>1972.1118427859074</v>
      </c>
      <c r="G1475" s="327">
        <f t="shared" si="987"/>
        <v>0</v>
      </c>
      <c r="H1475" s="328" t="str">
        <f t="shared" si="1194"/>
        <v>A</v>
      </c>
      <c r="I1475" s="324" t="s">
        <v>1746</v>
      </c>
      <c r="J1475" s="431" t="str">
        <f>IF(B1475&lt;&gt;"",+VLOOKUP(I1475,Recursos!C:F,2,FALSE),"")</f>
        <v>OFICIAL</v>
      </c>
      <c r="K1475" s="330" t="str">
        <f>IF(B1475&lt;&gt;"",+VLOOKUP(I1475,Recursos!C:F,3,FALSE),"")</f>
        <v>hh</v>
      </c>
      <c r="L1475" s="446">
        <f>IF(B1475&lt;&gt;"",+VLOOKUP(I1475,Recursos!C:F,4,FALSE),"")</f>
        <v>496.91595439275824</v>
      </c>
      <c r="M1475" s="1637"/>
      <c r="N1475" s="1638">
        <f>2/M1474</f>
        <v>1.3333333333333333</v>
      </c>
      <c r="O1475" s="1361">
        <f>N1475</f>
        <v>1.3333333333333333</v>
      </c>
      <c r="P1475" s="333">
        <f t="shared" si="1195"/>
        <v>662.55460585701098</v>
      </c>
      <c r="Q1475" s="327">
        <f t="shared" si="1196"/>
        <v>0</v>
      </c>
      <c r="R1475" s="334">
        <f t="shared" si="1197"/>
        <v>0</v>
      </c>
      <c r="S1475" s="335">
        <f t="shared" si="988"/>
        <v>1225.8618427859074</v>
      </c>
      <c r="T1475" s="335">
        <f t="shared" si="989"/>
        <v>0</v>
      </c>
      <c r="U1475" s="336">
        <f t="shared" si="990"/>
        <v>746.25</v>
      </c>
      <c r="V1475" s="336">
        <f t="shared" si="991"/>
        <v>0</v>
      </c>
      <c r="W1475" s="336">
        <f t="shared" si="992"/>
        <v>0</v>
      </c>
      <c r="X1475" s="336">
        <f t="shared" si="993"/>
        <v>0</v>
      </c>
      <c r="Y1475" s="320"/>
      <c r="Z1475" s="321" t="str">
        <f t="shared" si="1198"/>
        <v>X-SISTSECNA</v>
      </c>
      <c r="AA1475" s="321" t="str">
        <f t="shared" si="1199"/>
        <v>X-SISTSECNE</v>
      </c>
      <c r="AB1475" s="321" t="str">
        <f t="shared" si="1200"/>
        <v>X-SISTSECNM</v>
      </c>
      <c r="AC1475" s="321" t="str">
        <f t="shared" si="1201"/>
        <v>X-SISTSECNT</v>
      </c>
      <c r="AD1475" s="321" t="str">
        <f t="shared" si="1202"/>
        <v>X-SISTSECNS</v>
      </c>
      <c r="AE1475" s="321" t="str">
        <f t="shared" si="1203"/>
        <v>X-SISTSECNX</v>
      </c>
      <c r="AF1475" s="321" t="str">
        <f t="shared" si="1204"/>
        <v>X-SISTSECNA</v>
      </c>
      <c r="AG1475" s="321">
        <f t="shared" si="994"/>
        <v>7</v>
      </c>
      <c r="AH1475" s="321">
        <f>IF(B1475&lt;&gt;"",IF(H1475="x",VLOOKUP(I1475,'AUX-NIV3'!B:AG,32,FALSE),0),"")</f>
        <v>0</v>
      </c>
      <c r="AI1475" s="321" t="str">
        <f t="shared" si="1205"/>
        <v>X-SISTSECN</v>
      </c>
      <c r="AJ1475" s="320"/>
      <c r="AK1475" s="322">
        <f t="shared" si="995"/>
        <v>1474</v>
      </c>
      <c r="AL1475" s="323">
        <f t="shared" si="1206"/>
        <v>1480</v>
      </c>
      <c r="AM1475" s="322">
        <f t="shared" ref="AM1475:AM1480" si="1207">IF(B1475&lt;&gt;"",IF(B1475=B1474,1+AM1474,1),"")</f>
        <v>2</v>
      </c>
      <c r="AN1475" s="380">
        <f>IF(AND(AH1475&gt;0,B1475&lt;&gt;""),VLOOKUP(I1475,'AUX-NIV3'!$B:$AO,39,FALSE)*O1475,0)</f>
        <v>0</v>
      </c>
      <c r="AO1475" s="380">
        <f t="shared" si="997"/>
        <v>2.6666666666666665</v>
      </c>
      <c r="AP1475" s="380"/>
    </row>
    <row r="1476" spans="2:42">
      <c r="B1476" s="501" t="s">
        <v>4408</v>
      </c>
      <c r="C1476" s="951" t="s">
        <v>4415</v>
      </c>
      <c r="D1476" s="326" t="s">
        <v>477</v>
      </c>
      <c r="E1476" s="327">
        <f>IF(B1476&lt;&gt;"",SUMIF('AUX-NIV1'!I:I,'AUX-NIV2'!B1476,'AUX-NIV1'!Q:Q),"")</f>
        <v>0</v>
      </c>
      <c r="F1476" s="327">
        <f t="shared" si="986"/>
        <v>1972.1118427859074</v>
      </c>
      <c r="G1476" s="327">
        <f t="shared" si="987"/>
        <v>0</v>
      </c>
      <c r="H1476" s="328" t="str">
        <f t="shared" si="1194"/>
        <v>M</v>
      </c>
      <c r="I1476" s="324" t="s">
        <v>4391</v>
      </c>
      <c r="J1476" s="431" t="str">
        <f>IF(B1476&lt;&gt;"",+VLOOKUP(I1476,Recursos!C:F,2,FALSE),"")</f>
        <v>CAÑO CLOACAL 60MM</v>
      </c>
      <c r="K1476" s="330" t="str">
        <f>IF(B1476&lt;&gt;"",+VLOOKUP(I1476,Recursos!C:F,3,FALSE),"")</f>
        <v>m</v>
      </c>
      <c r="L1476" s="446">
        <f>IF(B1476&lt;&gt;"",+VLOOKUP(I1476,Recursos!C:F,4,FALSE),"")</f>
        <v>286.25</v>
      </c>
      <c r="M1476" s="1646">
        <v>5</v>
      </c>
      <c r="N1476" s="1638">
        <v>1</v>
      </c>
      <c r="O1476" s="1361">
        <f>N1476</f>
        <v>1</v>
      </c>
      <c r="P1476" s="333">
        <f t="shared" si="1195"/>
        <v>286.25</v>
      </c>
      <c r="Q1476" s="327">
        <f t="shared" si="1196"/>
        <v>0</v>
      </c>
      <c r="R1476" s="334">
        <f t="shared" si="1197"/>
        <v>0</v>
      </c>
      <c r="S1476" s="335">
        <f t="shared" si="988"/>
        <v>1225.8618427859074</v>
      </c>
      <c r="T1476" s="335">
        <f t="shared" si="989"/>
        <v>0</v>
      </c>
      <c r="U1476" s="336">
        <f t="shared" si="990"/>
        <v>746.25</v>
      </c>
      <c r="V1476" s="336">
        <f t="shared" si="991"/>
        <v>0</v>
      </c>
      <c r="W1476" s="336">
        <f t="shared" si="992"/>
        <v>0</v>
      </c>
      <c r="X1476" s="336">
        <f t="shared" si="993"/>
        <v>0</v>
      </c>
      <c r="Y1476" s="320"/>
      <c r="Z1476" s="321" t="str">
        <f t="shared" si="1198"/>
        <v>X-SISTSECNA</v>
      </c>
      <c r="AA1476" s="321" t="str">
        <f t="shared" si="1199"/>
        <v>X-SISTSECNE</v>
      </c>
      <c r="AB1476" s="321" t="str">
        <f t="shared" si="1200"/>
        <v>X-SISTSECNM</v>
      </c>
      <c r="AC1476" s="321" t="str">
        <f t="shared" si="1201"/>
        <v>X-SISTSECNT</v>
      </c>
      <c r="AD1476" s="321" t="str">
        <f t="shared" si="1202"/>
        <v>X-SISTSECNS</v>
      </c>
      <c r="AE1476" s="321" t="str">
        <f t="shared" si="1203"/>
        <v>X-SISTSECNX</v>
      </c>
      <c r="AF1476" s="321" t="str">
        <f t="shared" si="1204"/>
        <v>X-SISTSECNM</v>
      </c>
      <c r="AG1476" s="321">
        <f t="shared" si="994"/>
        <v>7</v>
      </c>
      <c r="AH1476" s="321">
        <f>IF(B1476&lt;&gt;"",IF(H1476="x",VLOOKUP(I1476,'AUX-NIV3'!B:AG,32,FALSE),0),"")</f>
        <v>0</v>
      </c>
      <c r="AI1476" s="321" t="str">
        <f t="shared" si="1205"/>
        <v>X-SISTSECN</v>
      </c>
      <c r="AJ1476" s="320"/>
      <c r="AK1476" s="322">
        <f t="shared" si="995"/>
        <v>1474</v>
      </c>
      <c r="AL1476" s="323">
        <f t="shared" si="1206"/>
        <v>1480</v>
      </c>
      <c r="AM1476" s="322">
        <f t="shared" si="1207"/>
        <v>3</v>
      </c>
      <c r="AN1476" s="380">
        <f>IF(AND(AH1476&gt;0,B1476&lt;&gt;""),VLOOKUP(I1476,'AUX-NIV3'!$B:$AO,39,FALSE)*O1476,0)</f>
        <v>0</v>
      </c>
      <c r="AO1476" s="380">
        <f t="shared" si="997"/>
        <v>2.6666666666666665</v>
      </c>
      <c r="AP1476" s="380"/>
    </row>
    <row r="1477" spans="2:42">
      <c r="B1477" s="501" t="s">
        <v>4408</v>
      </c>
      <c r="C1477" s="951" t="s">
        <v>4415</v>
      </c>
      <c r="D1477" s="326" t="s">
        <v>477</v>
      </c>
      <c r="E1477" s="327">
        <f>IF(B1477&lt;&gt;"",SUMIF('AUX-NIV1'!I:I,'AUX-NIV2'!B1477,'AUX-NIV1'!Q:Q),"")</f>
        <v>0</v>
      </c>
      <c r="F1477" s="327">
        <f t="shared" si="986"/>
        <v>1972.1118427859074</v>
      </c>
      <c r="G1477" s="327">
        <f t="shared" si="987"/>
        <v>0</v>
      </c>
      <c r="H1477" s="328" t="str">
        <f t="shared" si="1194"/>
        <v>M</v>
      </c>
      <c r="I1477" s="324" t="s">
        <v>4392</v>
      </c>
      <c r="J1477" s="431" t="str">
        <f>IF(B1477&lt;&gt;"",+VLOOKUP(I1477,Recursos!C:F,2,FALSE),"")</f>
        <v>PILETA DE PATIO</v>
      </c>
      <c r="K1477" s="330" t="str">
        <f>IF(B1477&lt;&gt;"",+VLOOKUP(I1477,Recursos!C:F,3,FALSE),"")</f>
        <v>Un</v>
      </c>
      <c r="L1477" s="446">
        <f>IF(B1477&lt;&gt;"",+VLOOKUP(I1477,Recursos!C:F,4,FALSE),"")</f>
        <v>725</v>
      </c>
      <c r="M1477" s="1637">
        <v>3</v>
      </c>
      <c r="N1477" s="1638">
        <f>M1477/$M$1476</f>
        <v>0.6</v>
      </c>
      <c r="O1477" s="1361">
        <f t="shared" ref="O1477:O1480" si="1208">N1477</f>
        <v>0.6</v>
      </c>
      <c r="P1477" s="333">
        <f t="shared" si="1195"/>
        <v>435</v>
      </c>
      <c r="Q1477" s="327">
        <f t="shared" si="1196"/>
        <v>0</v>
      </c>
      <c r="R1477" s="334">
        <f t="shared" si="1197"/>
        <v>0</v>
      </c>
      <c r="S1477" s="335">
        <f t="shared" si="988"/>
        <v>1225.8618427859074</v>
      </c>
      <c r="T1477" s="335">
        <f t="shared" si="989"/>
        <v>0</v>
      </c>
      <c r="U1477" s="336">
        <f t="shared" si="990"/>
        <v>746.25</v>
      </c>
      <c r="V1477" s="336">
        <f t="shared" si="991"/>
        <v>0</v>
      </c>
      <c r="W1477" s="336">
        <f t="shared" si="992"/>
        <v>0</v>
      </c>
      <c r="X1477" s="336">
        <f t="shared" si="993"/>
        <v>0</v>
      </c>
      <c r="Y1477" s="320"/>
      <c r="Z1477" s="321" t="str">
        <f t="shared" si="1198"/>
        <v>X-SISTSECNA</v>
      </c>
      <c r="AA1477" s="321" t="str">
        <f t="shared" si="1199"/>
        <v>X-SISTSECNE</v>
      </c>
      <c r="AB1477" s="321" t="str">
        <f t="shared" si="1200"/>
        <v>X-SISTSECNM</v>
      </c>
      <c r="AC1477" s="321" t="str">
        <f t="shared" si="1201"/>
        <v>X-SISTSECNT</v>
      </c>
      <c r="AD1477" s="321" t="str">
        <f t="shared" si="1202"/>
        <v>X-SISTSECNS</v>
      </c>
      <c r="AE1477" s="321" t="str">
        <f t="shared" si="1203"/>
        <v>X-SISTSECNX</v>
      </c>
      <c r="AF1477" s="321" t="str">
        <f t="shared" si="1204"/>
        <v>X-SISTSECNM</v>
      </c>
      <c r="AG1477" s="321">
        <f t="shared" si="994"/>
        <v>7</v>
      </c>
      <c r="AH1477" s="321">
        <f>IF(B1477&lt;&gt;"",IF(H1477="x",VLOOKUP(I1477,'AUX-NIV3'!B:AG,32,FALSE),0),"")</f>
        <v>0</v>
      </c>
      <c r="AI1477" s="321" t="str">
        <f t="shared" si="1205"/>
        <v>X-SISTSECN</v>
      </c>
      <c r="AJ1477" s="320"/>
      <c r="AK1477" s="322">
        <f t="shared" si="995"/>
        <v>1474</v>
      </c>
      <c r="AL1477" s="323">
        <f t="shared" si="1206"/>
        <v>1480</v>
      </c>
      <c r="AM1477" s="322">
        <f t="shared" si="1207"/>
        <v>4</v>
      </c>
      <c r="AN1477" s="380">
        <f>IF(AND(AH1477&gt;0,B1477&lt;&gt;""),VLOOKUP(I1477,'AUX-NIV3'!$B:$AO,39,FALSE)*O1477,0)</f>
        <v>0</v>
      </c>
      <c r="AO1477" s="380">
        <f t="shared" si="997"/>
        <v>2.6666666666666665</v>
      </c>
      <c r="AP1477" s="380"/>
    </row>
    <row r="1478" spans="2:42">
      <c r="B1478" s="501" t="s">
        <v>4408</v>
      </c>
      <c r="C1478" s="951" t="s">
        <v>4415</v>
      </c>
      <c r="D1478" s="326" t="s">
        <v>477</v>
      </c>
      <c r="E1478" s="327">
        <f>IF(B1478&lt;&gt;"",SUMIF('AUX-NIV1'!I:I,'AUX-NIV2'!B1478,'AUX-NIV1'!Q:Q),"")</f>
        <v>0</v>
      </c>
      <c r="F1478" s="327">
        <f t="shared" si="986"/>
        <v>1972.1118427859074</v>
      </c>
      <c r="G1478" s="327">
        <f t="shared" si="987"/>
        <v>0</v>
      </c>
      <c r="H1478" s="328" t="str">
        <f t="shared" si="1194"/>
        <v>X</v>
      </c>
      <c r="I1478" s="324" t="s">
        <v>4421</v>
      </c>
      <c r="J1478" s="431" t="str">
        <f>IF(B1478&lt;&gt;"",+VLOOKUP(I1478,Recursos!C:F,2,FALSE),"")</f>
        <v>Punto de Conección Cloacal Secundario</v>
      </c>
      <c r="K1478" s="330" t="str">
        <f>IF(B1478&lt;&gt;"",+VLOOKUP(I1478,Recursos!C:F,3,FALSE),"")</f>
        <v>U</v>
      </c>
      <c r="L1478" s="446">
        <f>IF(B1478&lt;&gt;"",+VLOOKUP(I1478,Recursos!C:F,4,FALSE),"")</f>
        <v>969.39638208943052</v>
      </c>
      <c r="M1478" s="1637"/>
      <c r="N1478" s="1638">
        <f>M1478/$M$1476</f>
        <v>0</v>
      </c>
      <c r="O1478" s="1361">
        <f t="shared" si="1208"/>
        <v>0</v>
      </c>
      <c r="P1478" s="333">
        <f t="shared" si="1195"/>
        <v>0</v>
      </c>
      <c r="Q1478" s="327">
        <f t="shared" si="1196"/>
        <v>0</v>
      </c>
      <c r="R1478" s="334">
        <f t="shared" si="1197"/>
        <v>0</v>
      </c>
      <c r="S1478" s="335">
        <f t="shared" si="988"/>
        <v>1225.8618427859074</v>
      </c>
      <c r="T1478" s="335">
        <f t="shared" si="989"/>
        <v>0</v>
      </c>
      <c r="U1478" s="336">
        <f t="shared" si="990"/>
        <v>746.25</v>
      </c>
      <c r="V1478" s="336">
        <f t="shared" si="991"/>
        <v>0</v>
      </c>
      <c r="W1478" s="336">
        <f t="shared" si="992"/>
        <v>0</v>
      </c>
      <c r="X1478" s="336">
        <f t="shared" si="993"/>
        <v>0</v>
      </c>
      <c r="Y1478" s="320"/>
      <c r="Z1478" s="321" t="str">
        <f t="shared" si="1198"/>
        <v>X-SISTSECNA</v>
      </c>
      <c r="AA1478" s="321" t="str">
        <f t="shared" si="1199"/>
        <v>X-SISTSECNE</v>
      </c>
      <c r="AB1478" s="321" t="str">
        <f t="shared" si="1200"/>
        <v>X-SISTSECNM</v>
      </c>
      <c r="AC1478" s="321" t="str">
        <f t="shared" si="1201"/>
        <v>X-SISTSECNT</v>
      </c>
      <c r="AD1478" s="321" t="str">
        <f t="shared" si="1202"/>
        <v>X-SISTSECNS</v>
      </c>
      <c r="AE1478" s="321" t="str">
        <f t="shared" si="1203"/>
        <v>X-SISTSECNX</v>
      </c>
      <c r="AF1478" s="321" t="str">
        <f t="shared" si="1204"/>
        <v>X-SISTSECNX</v>
      </c>
      <c r="AG1478" s="321">
        <f t="shared" si="994"/>
        <v>7</v>
      </c>
      <c r="AH1478" s="321">
        <f>IF(B1478&lt;&gt;"",IF(H1478="x",VLOOKUP(I1478,'AUX-NIV3'!B:AG,32,FALSE),0),"")</f>
        <v>3</v>
      </c>
      <c r="AI1478" s="321" t="str">
        <f t="shared" si="1205"/>
        <v>X-SISTSECN</v>
      </c>
      <c r="AJ1478" s="320"/>
      <c r="AK1478" s="322">
        <f t="shared" si="995"/>
        <v>1474</v>
      </c>
      <c r="AL1478" s="323">
        <f t="shared" si="1206"/>
        <v>1480</v>
      </c>
      <c r="AM1478" s="322">
        <f t="shared" si="1207"/>
        <v>5</v>
      </c>
      <c r="AN1478" s="380">
        <f>IF(AND(AH1478&gt;0,B1478&lt;&gt;""),VLOOKUP(I1478,'AUX-NIV3'!$B:$AO,39,FALSE)*O1478,0)</f>
        <v>0</v>
      </c>
      <c r="AO1478" s="380">
        <f t="shared" si="997"/>
        <v>2.6666666666666665</v>
      </c>
      <c r="AP1478" s="380"/>
    </row>
    <row r="1479" spans="2:42">
      <c r="B1479" s="501" t="s">
        <v>4408</v>
      </c>
      <c r="C1479" s="951" t="s">
        <v>4415</v>
      </c>
      <c r="D1479" s="326" t="s">
        <v>477</v>
      </c>
      <c r="E1479" s="327">
        <f>IF(B1479&lt;&gt;"",SUMIF('AUX-NIV1'!I:I,'AUX-NIV2'!B1479,'AUX-NIV1'!Q:Q),"")</f>
        <v>0</v>
      </c>
      <c r="F1479" s="327">
        <f t="shared" ref="F1479:F1507" si="1209">IF(B1479&lt;&gt;"",+SUMIF(B:B,B1479,P:P),"")</f>
        <v>1972.1118427859074</v>
      </c>
      <c r="G1479" s="327">
        <f t="shared" ref="G1479:G1507" si="1210">IF(B1479&lt;&gt;"",+SUMIF(B:B,B1479,R:R),"")</f>
        <v>0</v>
      </c>
      <c r="H1479" s="328" t="str">
        <f t="shared" si="1194"/>
        <v>M</v>
      </c>
      <c r="I1479" s="324" t="s">
        <v>3295</v>
      </c>
      <c r="J1479" s="431" t="str">
        <f>IF(B1479&lt;&gt;"",+VLOOKUP(I1479,Recursos!C:F,2,FALSE),"")</f>
        <v>ANDAMIO TUBULAR 2x3x1,3</v>
      </c>
      <c r="K1479" s="330" t="str">
        <f>IF(B1479&lt;&gt;"",+VLOOKUP(I1479,Recursos!C:F,3,FALSE),"")</f>
        <v>Mod</v>
      </c>
      <c r="L1479" s="446">
        <f>IF(B1479&lt;&gt;"",+VLOOKUP(I1479,Recursos!C:F,4,FALSE),"")</f>
        <v>8000</v>
      </c>
      <c r="M1479" s="1637">
        <v>0</v>
      </c>
      <c r="N1479" s="1638">
        <f>M1479/$M$1476</f>
        <v>0</v>
      </c>
      <c r="O1479" s="1361">
        <f t="shared" si="1208"/>
        <v>0</v>
      </c>
      <c r="P1479" s="333">
        <f t="shared" si="1195"/>
        <v>0</v>
      </c>
      <c r="Q1479" s="327">
        <f t="shared" si="1196"/>
        <v>0</v>
      </c>
      <c r="R1479" s="334">
        <f t="shared" si="1197"/>
        <v>0</v>
      </c>
      <c r="S1479" s="335">
        <f t="shared" ref="S1479:S1507" si="1211">IF(B1479&lt;&gt;"",+SUMIF($AF:$AF,Z1479,$P:$P),"")</f>
        <v>1225.8618427859074</v>
      </c>
      <c r="T1479" s="335">
        <f t="shared" ref="T1479:T1507" si="1212">IF(B1479&lt;&gt;"",+SUMIF($AF:$AF,AA1479,$P:$P),"")</f>
        <v>0</v>
      </c>
      <c r="U1479" s="336">
        <f t="shared" ref="U1479:U1507" si="1213">IF(B1479&lt;&gt;"",+SUMIF($AF:$AF,AB1479,$P:$P),"")</f>
        <v>746.25</v>
      </c>
      <c r="V1479" s="336">
        <f t="shared" ref="V1479:V1507" si="1214">IF(B1479&lt;&gt;"",+SUMIF($AF:$AF,AC1479,$P:$P),"")</f>
        <v>0</v>
      </c>
      <c r="W1479" s="336">
        <f t="shared" ref="W1479:W1507" si="1215">IF(B1479&lt;&gt;"",+SUMIF($AF:$AF,AD1479,$P:$P),"")</f>
        <v>0</v>
      </c>
      <c r="X1479" s="336">
        <f t="shared" ref="X1479:X1507" si="1216">IF(B1479&lt;&gt;"",+SUMIF($AF:$AF,AE1479,$P:$P),"")</f>
        <v>0</v>
      </c>
      <c r="Y1479" s="320"/>
      <c r="Z1479" s="321" t="str">
        <f t="shared" si="1198"/>
        <v>X-SISTSECNA</v>
      </c>
      <c r="AA1479" s="321" t="str">
        <f t="shared" si="1199"/>
        <v>X-SISTSECNE</v>
      </c>
      <c r="AB1479" s="321" t="str">
        <f t="shared" si="1200"/>
        <v>X-SISTSECNM</v>
      </c>
      <c r="AC1479" s="321" t="str">
        <f t="shared" si="1201"/>
        <v>X-SISTSECNT</v>
      </c>
      <c r="AD1479" s="321" t="str">
        <f t="shared" si="1202"/>
        <v>X-SISTSECNS</v>
      </c>
      <c r="AE1479" s="321" t="str">
        <f t="shared" si="1203"/>
        <v>X-SISTSECNX</v>
      </c>
      <c r="AF1479" s="321" t="str">
        <f t="shared" si="1204"/>
        <v>X-SISTSECNM</v>
      </c>
      <c r="AG1479" s="321">
        <f t="shared" ref="AG1479:AG1507" si="1217">IF(B1479&lt;&gt;"",+COUNTIF(B:B,B1479),"")</f>
        <v>7</v>
      </c>
      <c r="AH1479" s="321">
        <f>IF(B1479&lt;&gt;"",IF(H1479="x",VLOOKUP(I1479,'AUX-NIV3'!B:AG,32,FALSE),0),"")</f>
        <v>0</v>
      </c>
      <c r="AI1479" s="321" t="str">
        <f t="shared" si="1205"/>
        <v>X-SISTSECN</v>
      </c>
      <c r="AJ1479" s="320"/>
      <c r="AK1479" s="322">
        <f t="shared" ref="AK1479:AK1507" si="1218">IF(B1479&lt;&gt;"",+MATCH(B1479,B:B,0),"")</f>
        <v>1474</v>
      </c>
      <c r="AL1479" s="323">
        <f t="shared" si="1206"/>
        <v>1480</v>
      </c>
      <c r="AM1479" s="322">
        <f t="shared" si="1207"/>
        <v>6</v>
      </c>
      <c r="AN1479" s="380">
        <f>IF(AND(AH1479&gt;0,B1479&lt;&gt;""),VLOOKUP(I1479,'AUX-NIV3'!$B:$AO,39,FALSE)*O1479,0)</f>
        <v>0</v>
      </c>
      <c r="AO1479" s="380">
        <f t="shared" ref="AO1479:AO1507" si="1219">+IF(B1479&lt;&gt;"",SUMIF(AF:AF,Z1479,O:O)+SUMIF(Z:Z,Z1479,AN:AN),0)</f>
        <v>2.6666666666666665</v>
      </c>
      <c r="AP1479" s="380"/>
    </row>
    <row r="1480" spans="2:42" ht="13.8" thickBot="1">
      <c r="B1480" s="501" t="s">
        <v>4408</v>
      </c>
      <c r="C1480" s="951" t="s">
        <v>4415</v>
      </c>
      <c r="D1480" s="326" t="s">
        <v>477</v>
      </c>
      <c r="E1480" s="327">
        <f>IF(B1480&lt;&gt;"",SUMIF('AUX-NIV1'!I:I,'AUX-NIV2'!B1480,'AUX-NIV1'!Q:Q),"")</f>
        <v>0</v>
      </c>
      <c r="F1480" s="327">
        <f t="shared" si="1209"/>
        <v>1972.1118427859074</v>
      </c>
      <c r="G1480" s="327">
        <f t="shared" si="1210"/>
        <v>0</v>
      </c>
      <c r="H1480" s="328" t="str">
        <f t="shared" si="1194"/>
        <v>M</v>
      </c>
      <c r="I1480" s="324" t="s">
        <v>621</v>
      </c>
      <c r="J1480" s="431" t="str">
        <f>IF(B1480&lt;&gt;"",+VLOOKUP(I1480,Recursos!C:F,2,FALSE),"")</f>
        <v>MATERIALES VARIOS</v>
      </c>
      <c r="K1480" s="330" t="str">
        <f>IF(B1480&lt;&gt;"",+VLOOKUP(I1480,Recursos!C:F,3,FALSE),"")</f>
        <v>GL</v>
      </c>
      <c r="L1480" s="446">
        <f>IF(B1480&lt;&gt;"",+VLOOKUP(I1480,Recursos!C:F,4,FALSE),"")</f>
        <v>0.5</v>
      </c>
      <c r="M1480" s="1626"/>
      <c r="N1480" s="1627">
        <v>50</v>
      </c>
      <c r="O1480" s="1361">
        <f t="shared" si="1208"/>
        <v>50</v>
      </c>
      <c r="P1480" s="333">
        <f t="shared" si="1195"/>
        <v>25</v>
      </c>
      <c r="Q1480" s="327">
        <f t="shared" si="1196"/>
        <v>0</v>
      </c>
      <c r="R1480" s="334">
        <f t="shared" si="1197"/>
        <v>0</v>
      </c>
      <c r="S1480" s="335">
        <f t="shared" si="1211"/>
        <v>1225.8618427859074</v>
      </c>
      <c r="T1480" s="335">
        <f t="shared" si="1212"/>
        <v>0</v>
      </c>
      <c r="U1480" s="336">
        <f t="shared" si="1213"/>
        <v>746.25</v>
      </c>
      <c r="V1480" s="336">
        <f t="shared" si="1214"/>
        <v>0</v>
      </c>
      <c r="W1480" s="336">
        <f t="shared" si="1215"/>
        <v>0</v>
      </c>
      <c r="X1480" s="336">
        <f t="shared" si="1216"/>
        <v>0</v>
      </c>
      <c r="Y1480" s="320"/>
      <c r="Z1480" s="321" t="str">
        <f t="shared" si="1198"/>
        <v>X-SISTSECNA</v>
      </c>
      <c r="AA1480" s="321" t="str">
        <f t="shared" si="1199"/>
        <v>X-SISTSECNE</v>
      </c>
      <c r="AB1480" s="321" t="str">
        <f t="shared" si="1200"/>
        <v>X-SISTSECNM</v>
      </c>
      <c r="AC1480" s="321" t="str">
        <f t="shared" si="1201"/>
        <v>X-SISTSECNT</v>
      </c>
      <c r="AD1480" s="321" t="str">
        <f t="shared" si="1202"/>
        <v>X-SISTSECNS</v>
      </c>
      <c r="AE1480" s="321" t="str">
        <f t="shared" si="1203"/>
        <v>X-SISTSECNX</v>
      </c>
      <c r="AF1480" s="321" t="str">
        <f t="shared" si="1204"/>
        <v>X-SISTSECNM</v>
      </c>
      <c r="AG1480" s="321">
        <f t="shared" si="1217"/>
        <v>7</v>
      </c>
      <c r="AH1480" s="321">
        <f>IF(B1480&lt;&gt;"",IF(H1480="x",VLOOKUP(I1480,'AUX-NIV3'!B:AG,32,FALSE),0),"")</f>
        <v>0</v>
      </c>
      <c r="AI1480" s="321" t="str">
        <f t="shared" si="1205"/>
        <v>X-SISTSECN</v>
      </c>
      <c r="AJ1480" s="320"/>
      <c r="AK1480" s="322">
        <f t="shared" si="1218"/>
        <v>1474</v>
      </c>
      <c r="AL1480" s="323">
        <f t="shared" si="1206"/>
        <v>1480</v>
      </c>
      <c r="AM1480" s="322">
        <f t="shared" si="1207"/>
        <v>7</v>
      </c>
      <c r="AN1480" s="380">
        <f>IF(AND(AH1480&gt;0,B1480&lt;&gt;""),VLOOKUP(I1480,'AUX-NIV3'!$B:$AO,39,FALSE)*O1480,0)</f>
        <v>0</v>
      </c>
      <c r="AO1480" s="380">
        <f t="shared" si="1219"/>
        <v>2.6666666666666665</v>
      </c>
      <c r="AP1480" s="380"/>
    </row>
    <row r="1481" spans="2:42" ht="13.8" thickTop="1">
      <c r="B1481" s="501" t="s">
        <v>4409</v>
      </c>
      <c r="C1481" s="951" t="s">
        <v>4410</v>
      </c>
      <c r="D1481" s="326" t="s">
        <v>477</v>
      </c>
      <c r="E1481" s="327">
        <f>IF(B1481&lt;&gt;"",SUMIF('AUX-NIV1'!I:I,'AUX-NIV2'!B1481,'AUX-NIV1'!Q:Q),"")</f>
        <v>0</v>
      </c>
      <c r="F1481" s="327">
        <f t="shared" si="1209"/>
        <v>1646.3618427859074</v>
      </c>
      <c r="G1481" s="327">
        <f t="shared" si="1210"/>
        <v>0</v>
      </c>
      <c r="H1481" s="328" t="str">
        <f t="shared" ref="H1481:H1490" si="1220">IF(B1481&lt;&gt;"",+LEFT(I1481,1),"")</f>
        <v>A</v>
      </c>
      <c r="I1481" s="324" t="s">
        <v>1745</v>
      </c>
      <c r="J1481" s="431" t="str">
        <f>IF(B1481&lt;&gt;"",+VLOOKUP(I1481,Recursos!C:F,2,FALSE),"")</f>
        <v>AYUDANTE</v>
      </c>
      <c r="K1481" s="330" t="str">
        <f>IF(B1481&lt;&gt;"",+VLOOKUP(I1481,Recursos!C:F,3,FALSE),"")</f>
        <v>hh</v>
      </c>
      <c r="L1481" s="446">
        <f>IF(B1481&lt;&gt;"",+VLOOKUP(I1481,Recursos!C:F,4,FALSE),"")</f>
        <v>422.48042769667234</v>
      </c>
      <c r="M1481" s="1270">
        <f>12/8</f>
        <v>1.5</v>
      </c>
      <c r="N1481" s="1352">
        <f>2/M1481</f>
        <v>1.3333333333333333</v>
      </c>
      <c r="O1481" s="1361">
        <f>N1481</f>
        <v>1.3333333333333333</v>
      </c>
      <c r="P1481" s="333">
        <f t="shared" ref="P1481:P1485" si="1221">IF(B1481&lt;&gt;"",O1481*L1481,"")</f>
        <v>563.30723692889637</v>
      </c>
      <c r="Q1481" s="327">
        <f t="shared" ref="Q1481:Q1490" si="1222">IF(B1481&lt;&gt;"",+O1481*E1481,"")</f>
        <v>0</v>
      </c>
      <c r="R1481" s="334">
        <f t="shared" ref="R1481:R1490" si="1223">IF(B1481&lt;&gt;"",Q1481*L1481,"")</f>
        <v>0</v>
      </c>
      <c r="S1481" s="335">
        <f t="shared" si="1211"/>
        <v>1225.8618427859074</v>
      </c>
      <c r="T1481" s="335">
        <f t="shared" si="1212"/>
        <v>0</v>
      </c>
      <c r="U1481" s="336">
        <f t="shared" si="1213"/>
        <v>420.5</v>
      </c>
      <c r="V1481" s="336">
        <f t="shared" si="1214"/>
        <v>0</v>
      </c>
      <c r="W1481" s="336">
        <f t="shared" si="1215"/>
        <v>0</v>
      </c>
      <c r="X1481" s="336">
        <f t="shared" si="1216"/>
        <v>0</v>
      </c>
      <c r="Y1481" s="320"/>
      <c r="Z1481" s="321" t="str">
        <f t="shared" ref="Z1481:Z1490" si="1224">IF(B1481&lt;&gt;"",+$B1481&amp;"A","")</f>
        <v>X-SISTAGUAA</v>
      </c>
      <c r="AA1481" s="321" t="str">
        <f t="shared" ref="AA1481:AA1490" si="1225">IF(B1481&lt;&gt;"",+$B1481&amp;"E","")</f>
        <v>X-SISTAGUAE</v>
      </c>
      <c r="AB1481" s="321" t="str">
        <f t="shared" ref="AB1481:AB1490" si="1226">IF(B1481&lt;&gt;"",++$B1481&amp;"M","")</f>
        <v>X-SISTAGUAM</v>
      </c>
      <c r="AC1481" s="321" t="str">
        <f t="shared" ref="AC1481:AC1490" si="1227">IF(B1481&lt;&gt;"",+$B1481&amp;"T","")</f>
        <v>X-SISTAGUAT</v>
      </c>
      <c r="AD1481" s="321" t="str">
        <f t="shared" ref="AD1481:AD1490" si="1228">IF(B1481&lt;&gt;"",+$B1481&amp;"S","")</f>
        <v>X-SISTAGUAS</v>
      </c>
      <c r="AE1481" s="321" t="str">
        <f t="shared" ref="AE1481:AE1490" si="1229">IF(B1481&lt;&gt;"",+$B1481&amp;"X","")</f>
        <v>X-SISTAGUAX</v>
      </c>
      <c r="AF1481" s="321" t="str">
        <f t="shared" ref="AF1481:AF1490" si="1230">IF(B1481&lt;&gt;"",+B1481&amp;H1481,"")</f>
        <v>X-SISTAGUAA</v>
      </c>
      <c r="AG1481" s="321">
        <f t="shared" si="1217"/>
        <v>10</v>
      </c>
      <c r="AH1481" s="321">
        <f>IF(B1481&lt;&gt;"",IF(H1481="x",VLOOKUP(I1481,'AUX-NIV3'!B:AG,32,FALSE),0),"")</f>
        <v>0</v>
      </c>
      <c r="AI1481" s="321" t="str">
        <f t="shared" ref="AI1481:AI1490" si="1231">IF(B1481&lt;&gt;"",+B1481,"")</f>
        <v>X-SISTAGUA</v>
      </c>
      <c r="AJ1481" s="320"/>
      <c r="AK1481" s="322">
        <f t="shared" si="1218"/>
        <v>1481</v>
      </c>
      <c r="AL1481" s="323">
        <f t="shared" ref="AL1481:AL1490" si="1232">IF(B1481&lt;&gt;"",+AK1481+AG1481-1,"")</f>
        <v>1490</v>
      </c>
      <c r="AM1481" s="322">
        <f t="shared" ref="AM1481:AM1490" si="1233">IF(B1481&lt;&gt;"",IF(B1481=B1480,1+AM1480,1),"")</f>
        <v>1</v>
      </c>
      <c r="AN1481" s="380">
        <f>IF(AND(AH1481&gt;0,B1481&lt;&gt;""),VLOOKUP(I1481,'AUX-NIV3'!$B:$AO,39,FALSE)*O1481,0)</f>
        <v>0</v>
      </c>
      <c r="AO1481" s="380">
        <f t="shared" si="1219"/>
        <v>2.6666666666666665</v>
      </c>
      <c r="AP1481" s="380"/>
    </row>
    <row r="1482" spans="2:42">
      <c r="B1482" s="501" t="s">
        <v>4409</v>
      </c>
      <c r="C1482" s="951" t="s">
        <v>4410</v>
      </c>
      <c r="D1482" s="326" t="s">
        <v>477</v>
      </c>
      <c r="E1482" s="327">
        <f>IF(B1482&lt;&gt;"",SUMIF('AUX-NIV1'!I:I,'AUX-NIV2'!B1482,'AUX-NIV1'!Q:Q),"")</f>
        <v>0</v>
      </c>
      <c r="F1482" s="327">
        <f t="shared" si="1209"/>
        <v>1646.3618427859074</v>
      </c>
      <c r="G1482" s="327">
        <f t="shared" si="1210"/>
        <v>0</v>
      </c>
      <c r="H1482" s="328" t="str">
        <f t="shared" si="1220"/>
        <v>A</v>
      </c>
      <c r="I1482" s="324" t="s">
        <v>1746</v>
      </c>
      <c r="J1482" s="431" t="str">
        <f>IF(B1482&lt;&gt;"",+VLOOKUP(I1482,Recursos!C:F,2,FALSE),"")</f>
        <v>OFICIAL</v>
      </c>
      <c r="K1482" s="330" t="str">
        <f>IF(B1482&lt;&gt;"",+VLOOKUP(I1482,Recursos!C:F,3,FALSE),"")</f>
        <v>hh</v>
      </c>
      <c r="L1482" s="446">
        <f>IF(B1482&lt;&gt;"",+VLOOKUP(I1482,Recursos!C:F,4,FALSE),"")</f>
        <v>496.91595439275824</v>
      </c>
      <c r="M1482" s="1637"/>
      <c r="N1482" s="1638">
        <f>2/M1481</f>
        <v>1.3333333333333333</v>
      </c>
      <c r="O1482" s="1361">
        <f>N1482</f>
        <v>1.3333333333333333</v>
      </c>
      <c r="P1482" s="333">
        <f t="shared" si="1221"/>
        <v>662.55460585701098</v>
      </c>
      <c r="Q1482" s="327">
        <f t="shared" si="1222"/>
        <v>0</v>
      </c>
      <c r="R1482" s="334">
        <f t="shared" si="1223"/>
        <v>0</v>
      </c>
      <c r="S1482" s="335">
        <f t="shared" si="1211"/>
        <v>1225.8618427859074</v>
      </c>
      <c r="T1482" s="335">
        <f t="shared" si="1212"/>
        <v>0</v>
      </c>
      <c r="U1482" s="336">
        <f t="shared" si="1213"/>
        <v>420.5</v>
      </c>
      <c r="V1482" s="336">
        <f t="shared" si="1214"/>
        <v>0</v>
      </c>
      <c r="W1482" s="336">
        <f t="shared" si="1215"/>
        <v>0</v>
      </c>
      <c r="X1482" s="336">
        <f t="shared" si="1216"/>
        <v>0</v>
      </c>
      <c r="Y1482" s="320"/>
      <c r="Z1482" s="321" t="str">
        <f t="shared" si="1224"/>
        <v>X-SISTAGUAA</v>
      </c>
      <c r="AA1482" s="321" t="str">
        <f t="shared" si="1225"/>
        <v>X-SISTAGUAE</v>
      </c>
      <c r="AB1482" s="321" t="str">
        <f t="shared" si="1226"/>
        <v>X-SISTAGUAM</v>
      </c>
      <c r="AC1482" s="321" t="str">
        <f t="shared" si="1227"/>
        <v>X-SISTAGUAT</v>
      </c>
      <c r="AD1482" s="321" t="str">
        <f t="shared" si="1228"/>
        <v>X-SISTAGUAS</v>
      </c>
      <c r="AE1482" s="321" t="str">
        <f t="shared" si="1229"/>
        <v>X-SISTAGUAX</v>
      </c>
      <c r="AF1482" s="321" t="str">
        <f t="shared" si="1230"/>
        <v>X-SISTAGUAA</v>
      </c>
      <c r="AG1482" s="321">
        <f t="shared" si="1217"/>
        <v>10</v>
      </c>
      <c r="AH1482" s="321">
        <f>IF(B1482&lt;&gt;"",IF(H1482="x",VLOOKUP(I1482,'AUX-NIV3'!B:AG,32,FALSE),0),"")</f>
        <v>0</v>
      </c>
      <c r="AI1482" s="321" t="str">
        <f t="shared" si="1231"/>
        <v>X-SISTAGUA</v>
      </c>
      <c r="AJ1482" s="320"/>
      <c r="AK1482" s="322">
        <f t="shared" si="1218"/>
        <v>1481</v>
      </c>
      <c r="AL1482" s="323">
        <f t="shared" si="1232"/>
        <v>1490</v>
      </c>
      <c r="AM1482" s="322">
        <f t="shared" si="1233"/>
        <v>2</v>
      </c>
      <c r="AN1482" s="380">
        <f>IF(AND(AH1482&gt;0,B1482&lt;&gt;""),VLOOKUP(I1482,'AUX-NIV3'!$B:$AO,39,FALSE)*O1482,0)</f>
        <v>0</v>
      </c>
      <c r="AO1482" s="380">
        <f t="shared" si="1219"/>
        <v>2.6666666666666665</v>
      </c>
      <c r="AP1482" s="380"/>
    </row>
    <row r="1483" spans="2:42">
      <c r="B1483" s="501" t="s">
        <v>4409</v>
      </c>
      <c r="C1483" s="951" t="s">
        <v>4410</v>
      </c>
      <c r="D1483" s="326" t="s">
        <v>477</v>
      </c>
      <c r="E1483" s="327">
        <f>IF(B1483&lt;&gt;"",SUMIF('AUX-NIV1'!I:I,'AUX-NIV2'!B1483,'AUX-NIV1'!Q:Q),"")</f>
        <v>0</v>
      </c>
      <c r="F1483" s="327">
        <f t="shared" si="1209"/>
        <v>1646.3618427859074</v>
      </c>
      <c r="G1483" s="327">
        <f t="shared" si="1210"/>
        <v>0</v>
      </c>
      <c r="H1483" s="328" t="str">
        <f t="shared" si="1220"/>
        <v>M</v>
      </c>
      <c r="I1483" s="324" t="s">
        <v>4467</v>
      </c>
      <c r="J1483" s="431" t="str">
        <f>IF(B1483&lt;&gt;"",+VLOOKUP(I1483,Recursos!C:F,2,FALSE),"")</f>
        <v>CAÑO 3/4" TERMOFUSION</v>
      </c>
      <c r="K1483" s="330" t="str">
        <f>IF(B1483&lt;&gt;"",+VLOOKUP(I1483,Recursos!C:F,3,FALSE),"")</f>
        <v>m</v>
      </c>
      <c r="L1483" s="446">
        <f>IF(B1483&lt;&gt;"",+VLOOKUP(I1483,Recursos!C:F,4,FALSE),"")</f>
        <v>209</v>
      </c>
      <c r="M1483" s="1646">
        <v>20</v>
      </c>
      <c r="N1483" s="1638">
        <v>1</v>
      </c>
      <c r="O1483" s="1361">
        <f>N1483</f>
        <v>1</v>
      </c>
      <c r="P1483" s="333">
        <f t="shared" si="1221"/>
        <v>209</v>
      </c>
      <c r="Q1483" s="327">
        <f t="shared" si="1222"/>
        <v>0</v>
      </c>
      <c r="R1483" s="334">
        <f t="shared" si="1223"/>
        <v>0</v>
      </c>
      <c r="S1483" s="335">
        <f t="shared" si="1211"/>
        <v>1225.8618427859074</v>
      </c>
      <c r="T1483" s="335">
        <f t="shared" si="1212"/>
        <v>0</v>
      </c>
      <c r="U1483" s="336">
        <f t="shared" si="1213"/>
        <v>420.5</v>
      </c>
      <c r="V1483" s="336">
        <f t="shared" si="1214"/>
        <v>0</v>
      </c>
      <c r="W1483" s="336">
        <f t="shared" si="1215"/>
        <v>0</v>
      </c>
      <c r="X1483" s="336">
        <f t="shared" si="1216"/>
        <v>0</v>
      </c>
      <c r="Y1483" s="320"/>
      <c r="Z1483" s="321" t="str">
        <f t="shared" si="1224"/>
        <v>X-SISTAGUAA</v>
      </c>
      <c r="AA1483" s="321" t="str">
        <f t="shared" si="1225"/>
        <v>X-SISTAGUAE</v>
      </c>
      <c r="AB1483" s="321" t="str">
        <f t="shared" si="1226"/>
        <v>X-SISTAGUAM</v>
      </c>
      <c r="AC1483" s="321" t="str">
        <f t="shared" si="1227"/>
        <v>X-SISTAGUAT</v>
      </c>
      <c r="AD1483" s="321" t="str">
        <f t="shared" si="1228"/>
        <v>X-SISTAGUAS</v>
      </c>
      <c r="AE1483" s="321" t="str">
        <f t="shared" si="1229"/>
        <v>X-SISTAGUAX</v>
      </c>
      <c r="AF1483" s="321" t="str">
        <f t="shared" si="1230"/>
        <v>X-SISTAGUAM</v>
      </c>
      <c r="AG1483" s="321">
        <f t="shared" si="1217"/>
        <v>10</v>
      </c>
      <c r="AH1483" s="321">
        <f>IF(B1483&lt;&gt;"",IF(H1483="x",VLOOKUP(I1483,'AUX-NIV3'!B:AG,32,FALSE),0),"")</f>
        <v>0</v>
      </c>
      <c r="AI1483" s="321" t="str">
        <f t="shared" si="1231"/>
        <v>X-SISTAGUA</v>
      </c>
      <c r="AJ1483" s="320"/>
      <c r="AK1483" s="322">
        <f t="shared" si="1218"/>
        <v>1481</v>
      </c>
      <c r="AL1483" s="323">
        <f t="shared" si="1232"/>
        <v>1490</v>
      </c>
      <c r="AM1483" s="322">
        <f t="shared" si="1233"/>
        <v>3</v>
      </c>
      <c r="AN1483" s="380">
        <f>IF(AND(AH1483&gt;0,B1483&lt;&gt;""),VLOOKUP(I1483,'AUX-NIV3'!$B:$AO,39,FALSE)*O1483,0)</f>
        <v>0</v>
      </c>
      <c r="AO1483" s="380">
        <f t="shared" si="1219"/>
        <v>2.6666666666666665</v>
      </c>
      <c r="AP1483" s="380"/>
    </row>
    <row r="1484" spans="2:42">
      <c r="B1484" s="501" t="s">
        <v>4409</v>
      </c>
      <c r="C1484" s="951" t="s">
        <v>4410</v>
      </c>
      <c r="D1484" s="326" t="s">
        <v>477</v>
      </c>
      <c r="E1484" s="327">
        <f>IF(B1484&lt;&gt;"",SUMIF('AUX-NIV1'!I:I,'AUX-NIV2'!B1484,'AUX-NIV1'!Q:Q),"")</f>
        <v>0</v>
      </c>
      <c r="F1484" s="327">
        <f t="shared" si="1209"/>
        <v>1646.3618427859074</v>
      </c>
      <c r="G1484" s="327">
        <f t="shared" si="1210"/>
        <v>0</v>
      </c>
      <c r="H1484" s="328" t="str">
        <f t="shared" si="1220"/>
        <v>M</v>
      </c>
      <c r="I1484" s="324" t="s">
        <v>4465</v>
      </c>
      <c r="J1484" s="431" t="str">
        <f>IF(B1484&lt;&gt;"",+VLOOKUP(I1484,Recursos!C:F,2,FALSE),"")</f>
        <v>CAÑO 1" TERMOFUSION</v>
      </c>
      <c r="K1484" s="330" t="str">
        <f>IF(B1484&lt;&gt;"",+VLOOKUP(I1484,Recursos!C:F,3,FALSE),"")</f>
        <v>m</v>
      </c>
      <c r="L1484" s="446">
        <f>IF(B1484&lt;&gt;"",+VLOOKUP(I1484,Recursos!C:F,4,FALSE),"")</f>
        <v>195.5</v>
      </c>
      <c r="M1484" s="1637">
        <v>0</v>
      </c>
      <c r="N1484" s="1638">
        <f>M1484/$M$1483</f>
        <v>0</v>
      </c>
      <c r="O1484" s="1361">
        <f t="shared" ref="O1484:O1490" si="1234">N1484</f>
        <v>0</v>
      </c>
      <c r="P1484" s="333">
        <f t="shared" si="1221"/>
        <v>0</v>
      </c>
      <c r="Q1484" s="327">
        <f t="shared" si="1222"/>
        <v>0</v>
      </c>
      <c r="R1484" s="334">
        <f t="shared" si="1223"/>
        <v>0</v>
      </c>
      <c r="S1484" s="335">
        <f t="shared" si="1211"/>
        <v>1225.8618427859074</v>
      </c>
      <c r="T1484" s="335">
        <f t="shared" si="1212"/>
        <v>0</v>
      </c>
      <c r="U1484" s="336">
        <f t="shared" si="1213"/>
        <v>420.5</v>
      </c>
      <c r="V1484" s="336">
        <f t="shared" si="1214"/>
        <v>0</v>
      </c>
      <c r="W1484" s="336">
        <f t="shared" si="1215"/>
        <v>0</v>
      </c>
      <c r="X1484" s="336">
        <f t="shared" si="1216"/>
        <v>0</v>
      </c>
      <c r="Y1484" s="320"/>
      <c r="Z1484" s="321" t="str">
        <f t="shared" si="1224"/>
        <v>X-SISTAGUAA</v>
      </c>
      <c r="AA1484" s="321" t="str">
        <f t="shared" si="1225"/>
        <v>X-SISTAGUAE</v>
      </c>
      <c r="AB1484" s="321" t="str">
        <f t="shared" si="1226"/>
        <v>X-SISTAGUAM</v>
      </c>
      <c r="AC1484" s="321" t="str">
        <f t="shared" si="1227"/>
        <v>X-SISTAGUAT</v>
      </c>
      <c r="AD1484" s="321" t="str">
        <f t="shared" si="1228"/>
        <v>X-SISTAGUAS</v>
      </c>
      <c r="AE1484" s="321" t="str">
        <f t="shared" si="1229"/>
        <v>X-SISTAGUAX</v>
      </c>
      <c r="AF1484" s="321" t="str">
        <f t="shared" si="1230"/>
        <v>X-SISTAGUAM</v>
      </c>
      <c r="AG1484" s="321">
        <f t="shared" si="1217"/>
        <v>10</v>
      </c>
      <c r="AH1484" s="321">
        <f>IF(B1484&lt;&gt;"",IF(H1484="x",VLOOKUP(I1484,'AUX-NIV3'!B:AG,32,FALSE),0),"")</f>
        <v>0</v>
      </c>
      <c r="AI1484" s="321" t="str">
        <f t="shared" si="1231"/>
        <v>X-SISTAGUA</v>
      </c>
      <c r="AJ1484" s="320"/>
      <c r="AK1484" s="322">
        <f t="shared" si="1218"/>
        <v>1481</v>
      </c>
      <c r="AL1484" s="323">
        <f t="shared" si="1232"/>
        <v>1490</v>
      </c>
      <c r="AM1484" s="322">
        <f t="shared" si="1233"/>
        <v>4</v>
      </c>
      <c r="AN1484" s="380">
        <f>IF(AND(AH1484&gt;0,B1484&lt;&gt;""),VLOOKUP(I1484,'AUX-NIV3'!$B:$AO,39,FALSE)*O1484,0)</f>
        <v>0</v>
      </c>
      <c r="AO1484" s="380">
        <f t="shared" si="1219"/>
        <v>2.6666666666666665</v>
      </c>
      <c r="AP1484" s="380"/>
    </row>
    <row r="1485" spans="2:42">
      <c r="B1485" s="501" t="s">
        <v>4409</v>
      </c>
      <c r="C1485" s="951" t="s">
        <v>4410</v>
      </c>
      <c r="D1485" s="326" t="s">
        <v>477</v>
      </c>
      <c r="E1485" s="327">
        <f>IF(B1485&lt;&gt;"",SUMIF('AUX-NIV1'!I:I,'AUX-NIV2'!B1485,'AUX-NIV1'!Q:Q),"")</f>
        <v>0</v>
      </c>
      <c r="F1485" s="327">
        <f t="shared" si="1209"/>
        <v>1646.3618427859074</v>
      </c>
      <c r="G1485" s="327">
        <f t="shared" si="1210"/>
        <v>0</v>
      </c>
      <c r="H1485" s="328" t="str">
        <f t="shared" si="1220"/>
        <v>M</v>
      </c>
      <c r="I1485" s="324" t="s">
        <v>4469</v>
      </c>
      <c r="J1485" s="431" t="str">
        <f>IF(B1485&lt;&gt;"",+VLOOKUP(I1485,Recursos!C:F,2,FALSE),"")</f>
        <v>CAÑO 1/2" TERMOFUSION</v>
      </c>
      <c r="K1485" s="330" t="str">
        <f>IF(B1485&lt;&gt;"",+VLOOKUP(I1485,Recursos!C:F,3,FALSE),"")</f>
        <v>m</v>
      </c>
      <c r="L1485" s="446">
        <f>IF(B1485&lt;&gt;"",+VLOOKUP(I1485,Recursos!C:F,4,FALSE),"")</f>
        <v>137.5</v>
      </c>
      <c r="M1485" s="1637">
        <v>0</v>
      </c>
      <c r="N1485" s="1638">
        <f>M1485/$M$1483</f>
        <v>0</v>
      </c>
      <c r="O1485" s="1361">
        <f t="shared" si="1234"/>
        <v>0</v>
      </c>
      <c r="P1485" s="333">
        <f t="shared" si="1221"/>
        <v>0</v>
      </c>
      <c r="Q1485" s="327">
        <f t="shared" si="1222"/>
        <v>0</v>
      </c>
      <c r="R1485" s="334">
        <f t="shared" si="1223"/>
        <v>0</v>
      </c>
      <c r="S1485" s="335">
        <f t="shared" si="1211"/>
        <v>1225.8618427859074</v>
      </c>
      <c r="T1485" s="335">
        <f t="shared" si="1212"/>
        <v>0</v>
      </c>
      <c r="U1485" s="336">
        <f t="shared" si="1213"/>
        <v>420.5</v>
      </c>
      <c r="V1485" s="336">
        <f t="shared" si="1214"/>
        <v>0</v>
      </c>
      <c r="W1485" s="336">
        <f t="shared" si="1215"/>
        <v>0</v>
      </c>
      <c r="X1485" s="336">
        <f t="shared" si="1216"/>
        <v>0</v>
      </c>
      <c r="Y1485" s="320"/>
      <c r="Z1485" s="321" t="str">
        <f t="shared" si="1224"/>
        <v>X-SISTAGUAA</v>
      </c>
      <c r="AA1485" s="321" t="str">
        <f t="shared" si="1225"/>
        <v>X-SISTAGUAE</v>
      </c>
      <c r="AB1485" s="321" t="str">
        <f t="shared" si="1226"/>
        <v>X-SISTAGUAM</v>
      </c>
      <c r="AC1485" s="321" t="str">
        <f t="shared" si="1227"/>
        <v>X-SISTAGUAT</v>
      </c>
      <c r="AD1485" s="321" t="str">
        <f t="shared" si="1228"/>
        <v>X-SISTAGUAS</v>
      </c>
      <c r="AE1485" s="321" t="str">
        <f t="shared" si="1229"/>
        <v>X-SISTAGUAX</v>
      </c>
      <c r="AF1485" s="321" t="str">
        <f t="shared" si="1230"/>
        <v>X-SISTAGUAM</v>
      </c>
      <c r="AG1485" s="321">
        <f t="shared" si="1217"/>
        <v>10</v>
      </c>
      <c r="AH1485" s="321">
        <f>IF(B1485&lt;&gt;"",IF(H1485="x",VLOOKUP(I1485,'AUX-NIV3'!B:AG,32,FALSE),0),"")</f>
        <v>0</v>
      </c>
      <c r="AI1485" s="321" t="str">
        <f t="shared" si="1231"/>
        <v>X-SISTAGUA</v>
      </c>
      <c r="AJ1485" s="320"/>
      <c r="AK1485" s="322">
        <f t="shared" si="1218"/>
        <v>1481</v>
      </c>
      <c r="AL1485" s="323">
        <f t="shared" si="1232"/>
        <v>1490</v>
      </c>
      <c r="AM1485" s="322">
        <f t="shared" si="1233"/>
        <v>5</v>
      </c>
      <c r="AN1485" s="380">
        <f>IF(AND(AH1485&gt;0,B1485&lt;&gt;""),VLOOKUP(I1485,'AUX-NIV3'!$B:$AO,39,FALSE)*O1485,0)</f>
        <v>0</v>
      </c>
      <c r="AO1485" s="380">
        <f t="shared" si="1219"/>
        <v>2.6666666666666665</v>
      </c>
      <c r="AP1485" s="380"/>
    </row>
    <row r="1486" spans="2:42">
      <c r="B1486" s="501" t="s">
        <v>4409</v>
      </c>
      <c r="C1486" s="951" t="s">
        <v>4410</v>
      </c>
      <c r="D1486" s="326" t="s">
        <v>477</v>
      </c>
      <c r="E1486" s="327">
        <f>IF(B1486&lt;&gt;"",SUMIF('AUX-NIV1'!I:I,'AUX-NIV2'!B1486,'AUX-NIV1'!Q:Q),"")</f>
        <v>0</v>
      </c>
      <c r="F1486" s="327">
        <f t="shared" si="1209"/>
        <v>1646.3618427859074</v>
      </c>
      <c r="G1486" s="327">
        <f t="shared" si="1210"/>
        <v>0</v>
      </c>
      <c r="H1486" s="328" t="str">
        <f t="shared" ref="H1486:H1488" si="1235">IF(B1486&lt;&gt;"",+LEFT(I1486,1),"")</f>
        <v>M</v>
      </c>
      <c r="I1486" s="324" t="s">
        <v>4471</v>
      </c>
      <c r="J1486" s="431" t="str">
        <f>IF(B1486&lt;&gt;"",+VLOOKUP(I1486,Recursos!C:F,2,FALSE),"")</f>
        <v>LLAVE DE PASO 3/4 TERMOFUSION</v>
      </c>
      <c r="K1486" s="330" t="str">
        <f>IF(B1486&lt;&gt;"",+VLOOKUP(I1486,Recursos!C:F,3,FALSE),"")</f>
        <v>Un</v>
      </c>
      <c r="L1486" s="446">
        <f>IF(B1486&lt;&gt;"",+VLOOKUP(I1486,Recursos!C:F,4,FALSE),"")</f>
        <v>730</v>
      </c>
      <c r="M1486" s="1648">
        <v>1</v>
      </c>
      <c r="N1486" s="1649">
        <f t="shared" ref="N1486:N1488" si="1236">M1486/$M$1483</f>
        <v>0.05</v>
      </c>
      <c r="O1486" s="1361">
        <f t="shared" ref="O1486:O1488" si="1237">N1486</f>
        <v>0.05</v>
      </c>
      <c r="P1486" s="333">
        <f t="shared" ref="P1486:P1488" si="1238">IF(B1486&lt;&gt;"",O1486*L1486,"")</f>
        <v>36.5</v>
      </c>
      <c r="Q1486" s="327">
        <f t="shared" ref="Q1486:Q1488" si="1239">IF(B1486&lt;&gt;"",+O1486*E1486,"")</f>
        <v>0</v>
      </c>
      <c r="R1486" s="334">
        <f t="shared" ref="R1486:R1488" si="1240">IF(B1486&lt;&gt;"",Q1486*L1486,"")</f>
        <v>0</v>
      </c>
      <c r="S1486" s="335">
        <f t="shared" si="1211"/>
        <v>1225.8618427859074</v>
      </c>
      <c r="T1486" s="335">
        <f t="shared" si="1212"/>
        <v>0</v>
      </c>
      <c r="U1486" s="336">
        <f t="shared" si="1213"/>
        <v>420.5</v>
      </c>
      <c r="V1486" s="336">
        <f t="shared" si="1214"/>
        <v>0</v>
      </c>
      <c r="W1486" s="336">
        <f t="shared" si="1215"/>
        <v>0</v>
      </c>
      <c r="X1486" s="336">
        <f t="shared" si="1216"/>
        <v>0</v>
      </c>
      <c r="Y1486" s="320"/>
      <c r="Z1486" s="321" t="str">
        <f t="shared" ref="Z1486:Z1488" si="1241">IF(B1486&lt;&gt;"",+$B1486&amp;"A","")</f>
        <v>X-SISTAGUAA</v>
      </c>
      <c r="AA1486" s="321" t="str">
        <f t="shared" ref="AA1486:AA1488" si="1242">IF(B1486&lt;&gt;"",+$B1486&amp;"E","")</f>
        <v>X-SISTAGUAE</v>
      </c>
      <c r="AB1486" s="321" t="str">
        <f t="shared" ref="AB1486:AB1488" si="1243">IF(B1486&lt;&gt;"",++$B1486&amp;"M","")</f>
        <v>X-SISTAGUAM</v>
      </c>
      <c r="AC1486" s="321" t="str">
        <f t="shared" ref="AC1486:AC1488" si="1244">IF(B1486&lt;&gt;"",+$B1486&amp;"T","")</f>
        <v>X-SISTAGUAT</v>
      </c>
      <c r="AD1486" s="321" t="str">
        <f t="shared" ref="AD1486:AD1488" si="1245">IF(B1486&lt;&gt;"",+$B1486&amp;"S","")</f>
        <v>X-SISTAGUAS</v>
      </c>
      <c r="AE1486" s="321" t="str">
        <f t="shared" ref="AE1486:AE1488" si="1246">IF(B1486&lt;&gt;"",+$B1486&amp;"X","")</f>
        <v>X-SISTAGUAX</v>
      </c>
      <c r="AF1486" s="321" t="str">
        <f t="shared" ref="AF1486:AF1488" si="1247">IF(B1486&lt;&gt;"",+B1486&amp;H1486,"")</f>
        <v>X-SISTAGUAM</v>
      </c>
      <c r="AG1486" s="321">
        <f t="shared" si="1217"/>
        <v>10</v>
      </c>
      <c r="AH1486" s="321">
        <f>IF(B1486&lt;&gt;"",IF(H1486="x",VLOOKUP(I1486,'AUX-NIV3'!B:AG,32,FALSE),0),"")</f>
        <v>0</v>
      </c>
      <c r="AI1486" s="321" t="str">
        <f t="shared" ref="AI1486:AI1488" si="1248">IF(B1486&lt;&gt;"",+B1486,"")</f>
        <v>X-SISTAGUA</v>
      </c>
      <c r="AJ1486" s="320"/>
      <c r="AK1486" s="322">
        <f t="shared" si="1218"/>
        <v>1481</v>
      </c>
      <c r="AL1486" s="323">
        <f t="shared" ref="AL1486:AL1488" si="1249">IF(B1486&lt;&gt;"",+AK1486+AG1486-1,"")</f>
        <v>1490</v>
      </c>
      <c r="AM1486" s="322">
        <f t="shared" ref="AM1486:AM1488" si="1250">IF(B1486&lt;&gt;"",IF(B1486=B1482,1+AM1482,1),"")</f>
        <v>3</v>
      </c>
      <c r="AN1486" s="380">
        <f>IF(AND(AH1486&gt;0,B1486&lt;&gt;""),VLOOKUP(I1486,'AUX-NIV3'!$B:$AO,39,FALSE)*O1486,0)</f>
        <v>0</v>
      </c>
      <c r="AO1486" s="380">
        <f t="shared" si="1219"/>
        <v>2.6666666666666665</v>
      </c>
      <c r="AP1486" s="380"/>
    </row>
    <row r="1487" spans="2:42">
      <c r="B1487" s="501" t="s">
        <v>4409</v>
      </c>
      <c r="C1487" s="951" t="s">
        <v>4410</v>
      </c>
      <c r="D1487" s="326" t="s">
        <v>477</v>
      </c>
      <c r="E1487" s="327">
        <f>IF(B1487&lt;&gt;"",SUMIF('AUX-NIV1'!I:I,'AUX-NIV2'!B1487,'AUX-NIV1'!Q:Q),"")</f>
        <v>0</v>
      </c>
      <c r="F1487" s="327">
        <f t="shared" si="1209"/>
        <v>1646.3618427859074</v>
      </c>
      <c r="G1487" s="327">
        <f t="shared" si="1210"/>
        <v>0</v>
      </c>
      <c r="H1487" s="328" t="str">
        <f t="shared" si="1235"/>
        <v>M</v>
      </c>
      <c r="I1487" s="324" t="s">
        <v>4473</v>
      </c>
      <c r="J1487" s="431" t="str">
        <f>IF(B1487&lt;&gt;"",+VLOOKUP(I1487,Recursos!C:F,2,FALSE),"")</f>
        <v>ACCESORIOS 3/4" TERMOFUSION</v>
      </c>
      <c r="K1487" s="330" t="str">
        <f>IF(B1487&lt;&gt;"",+VLOOKUP(I1487,Recursos!C:F,3,FALSE),"")</f>
        <v>Un</v>
      </c>
      <c r="L1487" s="446">
        <f>IF(B1487&lt;&gt;"",+VLOOKUP(I1487,Recursos!C:F,4,FALSE),"")</f>
        <v>100</v>
      </c>
      <c r="M1487" s="1648">
        <v>20</v>
      </c>
      <c r="N1487" s="1649">
        <f t="shared" si="1236"/>
        <v>1</v>
      </c>
      <c r="O1487" s="1361">
        <f t="shared" si="1237"/>
        <v>1</v>
      </c>
      <c r="P1487" s="333">
        <f t="shared" si="1238"/>
        <v>100</v>
      </c>
      <c r="Q1487" s="327">
        <f t="shared" si="1239"/>
        <v>0</v>
      </c>
      <c r="R1487" s="334">
        <f t="shared" si="1240"/>
        <v>0</v>
      </c>
      <c r="S1487" s="335">
        <f t="shared" si="1211"/>
        <v>1225.8618427859074</v>
      </c>
      <c r="T1487" s="335">
        <f t="shared" si="1212"/>
        <v>0</v>
      </c>
      <c r="U1487" s="336">
        <f t="shared" si="1213"/>
        <v>420.5</v>
      </c>
      <c r="V1487" s="336">
        <f t="shared" si="1214"/>
        <v>0</v>
      </c>
      <c r="W1487" s="336">
        <f t="shared" si="1215"/>
        <v>0</v>
      </c>
      <c r="X1487" s="336">
        <f t="shared" si="1216"/>
        <v>0</v>
      </c>
      <c r="Y1487" s="320"/>
      <c r="Z1487" s="321" t="str">
        <f t="shared" si="1241"/>
        <v>X-SISTAGUAA</v>
      </c>
      <c r="AA1487" s="321" t="str">
        <f t="shared" si="1242"/>
        <v>X-SISTAGUAE</v>
      </c>
      <c r="AB1487" s="321" t="str">
        <f t="shared" si="1243"/>
        <v>X-SISTAGUAM</v>
      </c>
      <c r="AC1487" s="321" t="str">
        <f t="shared" si="1244"/>
        <v>X-SISTAGUAT</v>
      </c>
      <c r="AD1487" s="321" t="str">
        <f t="shared" si="1245"/>
        <v>X-SISTAGUAS</v>
      </c>
      <c r="AE1487" s="321" t="str">
        <f t="shared" si="1246"/>
        <v>X-SISTAGUAX</v>
      </c>
      <c r="AF1487" s="321" t="str">
        <f t="shared" si="1247"/>
        <v>X-SISTAGUAM</v>
      </c>
      <c r="AG1487" s="321">
        <f t="shared" si="1217"/>
        <v>10</v>
      </c>
      <c r="AH1487" s="321">
        <f>IF(B1487&lt;&gt;"",IF(H1487="x",VLOOKUP(I1487,'AUX-NIV3'!B:AG,32,FALSE),0),"")</f>
        <v>0</v>
      </c>
      <c r="AI1487" s="321" t="str">
        <f t="shared" si="1248"/>
        <v>X-SISTAGUA</v>
      </c>
      <c r="AJ1487" s="320"/>
      <c r="AK1487" s="322">
        <f t="shared" si="1218"/>
        <v>1481</v>
      </c>
      <c r="AL1487" s="323">
        <f t="shared" si="1249"/>
        <v>1490</v>
      </c>
      <c r="AM1487" s="322">
        <f t="shared" si="1250"/>
        <v>4</v>
      </c>
      <c r="AN1487" s="380">
        <f>IF(AND(AH1487&gt;0,B1487&lt;&gt;""),VLOOKUP(I1487,'AUX-NIV3'!$B:$AO,39,FALSE)*O1487,0)</f>
        <v>0</v>
      </c>
      <c r="AO1487" s="380">
        <f t="shared" si="1219"/>
        <v>2.6666666666666665</v>
      </c>
      <c r="AP1487" s="380"/>
    </row>
    <row r="1488" spans="2:42">
      <c r="B1488" s="501" t="s">
        <v>4409</v>
      </c>
      <c r="C1488" s="951" t="s">
        <v>4410</v>
      </c>
      <c r="D1488" s="326" t="s">
        <v>477</v>
      </c>
      <c r="E1488" s="327">
        <f>IF(B1488&lt;&gt;"",SUMIF('AUX-NIV1'!I:I,'AUX-NIV2'!B1488,'AUX-NIV1'!Q:Q),"")</f>
        <v>0</v>
      </c>
      <c r="F1488" s="327">
        <f t="shared" si="1209"/>
        <v>1646.3618427859074</v>
      </c>
      <c r="G1488" s="327">
        <f t="shared" si="1210"/>
        <v>0</v>
      </c>
      <c r="H1488" s="328" t="str">
        <f t="shared" si="1235"/>
        <v>M</v>
      </c>
      <c r="I1488" s="324" t="s">
        <v>4475</v>
      </c>
      <c r="J1488" s="431" t="str">
        <f>IF(B1488&lt;&gt;"",+VLOOKUP(I1488,Recursos!C:F,2,FALSE),"")</f>
        <v>LLAVE DE PASO 1" TERMOFUSION</v>
      </c>
      <c r="K1488" s="330" t="str">
        <f>IF(B1488&lt;&gt;"",+VLOOKUP(I1488,Recursos!C:F,3,FALSE),"")</f>
        <v>Un</v>
      </c>
      <c r="L1488" s="446">
        <f>IF(B1488&lt;&gt;"",+VLOOKUP(I1488,Recursos!C:F,4,FALSE),"")</f>
        <v>850</v>
      </c>
      <c r="M1488" s="1648">
        <v>0</v>
      </c>
      <c r="N1488" s="1649">
        <f t="shared" si="1236"/>
        <v>0</v>
      </c>
      <c r="O1488" s="1361">
        <f t="shared" si="1237"/>
        <v>0</v>
      </c>
      <c r="P1488" s="333">
        <f t="shared" si="1238"/>
        <v>0</v>
      </c>
      <c r="Q1488" s="327">
        <f t="shared" si="1239"/>
        <v>0</v>
      </c>
      <c r="R1488" s="334">
        <f t="shared" si="1240"/>
        <v>0</v>
      </c>
      <c r="S1488" s="335">
        <f t="shared" si="1211"/>
        <v>1225.8618427859074</v>
      </c>
      <c r="T1488" s="335">
        <f t="shared" si="1212"/>
        <v>0</v>
      </c>
      <c r="U1488" s="336">
        <f t="shared" si="1213"/>
        <v>420.5</v>
      </c>
      <c r="V1488" s="336">
        <f t="shared" si="1214"/>
        <v>0</v>
      </c>
      <c r="W1488" s="336">
        <f t="shared" si="1215"/>
        <v>0</v>
      </c>
      <c r="X1488" s="336">
        <f t="shared" si="1216"/>
        <v>0</v>
      </c>
      <c r="Y1488" s="320"/>
      <c r="Z1488" s="321" t="str">
        <f t="shared" si="1241"/>
        <v>X-SISTAGUAA</v>
      </c>
      <c r="AA1488" s="321" t="str">
        <f t="shared" si="1242"/>
        <v>X-SISTAGUAE</v>
      </c>
      <c r="AB1488" s="321" t="str">
        <f t="shared" si="1243"/>
        <v>X-SISTAGUAM</v>
      </c>
      <c r="AC1488" s="321" t="str">
        <f t="shared" si="1244"/>
        <v>X-SISTAGUAT</v>
      </c>
      <c r="AD1488" s="321" t="str">
        <f t="shared" si="1245"/>
        <v>X-SISTAGUAS</v>
      </c>
      <c r="AE1488" s="321" t="str">
        <f t="shared" si="1246"/>
        <v>X-SISTAGUAX</v>
      </c>
      <c r="AF1488" s="321" t="str">
        <f t="shared" si="1247"/>
        <v>X-SISTAGUAM</v>
      </c>
      <c r="AG1488" s="321">
        <f t="shared" si="1217"/>
        <v>10</v>
      </c>
      <c r="AH1488" s="321">
        <f>IF(B1488&lt;&gt;"",IF(H1488="x",VLOOKUP(I1488,'AUX-NIV3'!B:AG,32,FALSE),0),"")</f>
        <v>0</v>
      </c>
      <c r="AI1488" s="321" t="str">
        <f t="shared" si="1248"/>
        <v>X-SISTAGUA</v>
      </c>
      <c r="AJ1488" s="320"/>
      <c r="AK1488" s="322">
        <f t="shared" si="1218"/>
        <v>1481</v>
      </c>
      <c r="AL1488" s="323">
        <f t="shared" si="1249"/>
        <v>1490</v>
      </c>
      <c r="AM1488" s="322">
        <f t="shared" si="1250"/>
        <v>5</v>
      </c>
      <c r="AN1488" s="380">
        <f>IF(AND(AH1488&gt;0,B1488&lt;&gt;""),VLOOKUP(I1488,'AUX-NIV3'!$B:$AO,39,FALSE)*O1488,0)</f>
        <v>0</v>
      </c>
      <c r="AO1488" s="380">
        <f t="shared" si="1219"/>
        <v>2.6666666666666665</v>
      </c>
      <c r="AP1488" s="380"/>
    </row>
    <row r="1489" spans="2:42">
      <c r="B1489" s="501" t="s">
        <v>4409</v>
      </c>
      <c r="C1489" s="951" t="s">
        <v>4410</v>
      </c>
      <c r="D1489" s="326" t="s">
        <v>477</v>
      </c>
      <c r="E1489" s="327">
        <f>IF(B1489&lt;&gt;"",SUMIF('AUX-NIV1'!I:I,'AUX-NIV2'!B1489,'AUX-NIV1'!Q:Q),"")</f>
        <v>0</v>
      </c>
      <c r="F1489" s="327">
        <f t="shared" si="1209"/>
        <v>1646.3618427859074</v>
      </c>
      <c r="G1489" s="327">
        <f t="shared" si="1210"/>
        <v>0</v>
      </c>
      <c r="H1489" s="328" t="str">
        <f t="shared" si="1220"/>
        <v>M</v>
      </c>
      <c r="I1489" s="324" t="s">
        <v>4406</v>
      </c>
      <c r="J1489" s="431" t="str">
        <f>IF(B1489&lt;&gt;"",+VLOOKUP(I1489,Recursos!C:F,2,FALSE),"")</f>
        <v>TANQUE AGUA FV 5500LT</v>
      </c>
      <c r="K1489" s="330" t="str">
        <f>IF(B1489&lt;&gt;"",+VLOOKUP(I1489,Recursos!C:F,3,FALSE),"")</f>
        <v>Un</v>
      </c>
      <c r="L1489" s="446">
        <f>IF(B1489&lt;&gt;"",+VLOOKUP(I1489,Recursos!C:F,4,FALSE),"")</f>
        <v>120000</v>
      </c>
      <c r="M1489" s="1648">
        <v>0</v>
      </c>
      <c r="N1489" s="1649">
        <f>M1489/$M$1483</f>
        <v>0</v>
      </c>
      <c r="O1489" s="1361">
        <f t="shared" si="1234"/>
        <v>0</v>
      </c>
      <c r="P1489" s="333">
        <f>IF(B1489&lt;&gt;"",O1489*L1489,"")</f>
        <v>0</v>
      </c>
      <c r="Q1489" s="327">
        <f t="shared" si="1222"/>
        <v>0</v>
      </c>
      <c r="R1489" s="334">
        <f t="shared" si="1223"/>
        <v>0</v>
      </c>
      <c r="S1489" s="335">
        <f t="shared" si="1211"/>
        <v>1225.8618427859074</v>
      </c>
      <c r="T1489" s="335">
        <f t="shared" si="1212"/>
        <v>0</v>
      </c>
      <c r="U1489" s="336">
        <f t="shared" si="1213"/>
        <v>420.5</v>
      </c>
      <c r="V1489" s="336">
        <f t="shared" si="1214"/>
        <v>0</v>
      </c>
      <c r="W1489" s="336">
        <f t="shared" si="1215"/>
        <v>0</v>
      </c>
      <c r="X1489" s="336">
        <f t="shared" si="1216"/>
        <v>0</v>
      </c>
      <c r="Y1489" s="320"/>
      <c r="Z1489" s="321" t="str">
        <f t="shared" si="1224"/>
        <v>X-SISTAGUAA</v>
      </c>
      <c r="AA1489" s="321" t="str">
        <f t="shared" si="1225"/>
        <v>X-SISTAGUAE</v>
      </c>
      <c r="AB1489" s="321" t="str">
        <f t="shared" si="1226"/>
        <v>X-SISTAGUAM</v>
      </c>
      <c r="AC1489" s="321" t="str">
        <f t="shared" si="1227"/>
        <v>X-SISTAGUAT</v>
      </c>
      <c r="AD1489" s="321" t="str">
        <f t="shared" si="1228"/>
        <v>X-SISTAGUAS</v>
      </c>
      <c r="AE1489" s="321" t="str">
        <f t="shared" si="1229"/>
        <v>X-SISTAGUAX</v>
      </c>
      <c r="AF1489" s="321" t="str">
        <f t="shared" si="1230"/>
        <v>X-SISTAGUAM</v>
      </c>
      <c r="AG1489" s="321">
        <f t="shared" si="1217"/>
        <v>10</v>
      </c>
      <c r="AH1489" s="321">
        <f>IF(B1489&lt;&gt;"",IF(H1489="x",VLOOKUP(I1489,'AUX-NIV3'!B:AG,32,FALSE),0),"")</f>
        <v>0</v>
      </c>
      <c r="AI1489" s="321" t="str">
        <f t="shared" si="1231"/>
        <v>X-SISTAGUA</v>
      </c>
      <c r="AJ1489" s="320"/>
      <c r="AK1489" s="322">
        <f t="shared" si="1218"/>
        <v>1481</v>
      </c>
      <c r="AL1489" s="323">
        <f t="shared" si="1232"/>
        <v>1490</v>
      </c>
      <c r="AM1489" s="322">
        <f>IF(B1489&lt;&gt;"",IF(B1489=B1485,1+AM1485,1),"")</f>
        <v>6</v>
      </c>
      <c r="AN1489" s="380">
        <f>IF(AND(AH1489&gt;0,B1489&lt;&gt;""),VLOOKUP(I1489,'AUX-NIV3'!$B:$AO,39,FALSE)*O1489,0)</f>
        <v>0</v>
      </c>
      <c r="AO1489" s="380">
        <f t="shared" si="1219"/>
        <v>2.6666666666666665</v>
      </c>
      <c r="AP1489" s="380"/>
    </row>
    <row r="1490" spans="2:42" ht="13.8" thickBot="1">
      <c r="B1490" s="501" t="s">
        <v>4409</v>
      </c>
      <c r="C1490" s="951" t="s">
        <v>4410</v>
      </c>
      <c r="D1490" s="326" t="s">
        <v>477</v>
      </c>
      <c r="E1490" s="327">
        <f>IF(B1490&lt;&gt;"",SUMIF('AUX-NIV1'!I:I,'AUX-NIV2'!B1490,'AUX-NIV1'!Q:Q),"")</f>
        <v>0</v>
      </c>
      <c r="F1490" s="327">
        <f t="shared" si="1209"/>
        <v>1646.3618427859074</v>
      </c>
      <c r="G1490" s="327">
        <f t="shared" si="1210"/>
        <v>0</v>
      </c>
      <c r="H1490" s="328" t="str">
        <f t="shared" si="1220"/>
        <v>M</v>
      </c>
      <c r="I1490" s="324" t="s">
        <v>621</v>
      </c>
      <c r="J1490" s="431" t="str">
        <f>IF(B1490&lt;&gt;"",+VLOOKUP(I1490,Recursos!C:F,2,FALSE),"")</f>
        <v>MATERIALES VARIOS</v>
      </c>
      <c r="K1490" s="330" t="str">
        <f>IF(B1490&lt;&gt;"",+VLOOKUP(I1490,Recursos!C:F,3,FALSE),"")</f>
        <v>GL</v>
      </c>
      <c r="L1490" s="446">
        <f>IF(B1490&lt;&gt;"",+VLOOKUP(I1490,Recursos!C:F,4,FALSE),"")</f>
        <v>0.5</v>
      </c>
      <c r="M1490" s="1648"/>
      <c r="N1490" s="1649">
        <v>150</v>
      </c>
      <c r="O1490" s="1361">
        <f t="shared" si="1234"/>
        <v>150</v>
      </c>
      <c r="P1490" s="333">
        <f>IF(B1490&lt;&gt;"",O1490*L1490,"")</f>
        <v>75</v>
      </c>
      <c r="Q1490" s="327">
        <f t="shared" si="1222"/>
        <v>0</v>
      </c>
      <c r="R1490" s="334">
        <f t="shared" si="1223"/>
        <v>0</v>
      </c>
      <c r="S1490" s="335">
        <f t="shared" si="1211"/>
        <v>1225.8618427859074</v>
      </c>
      <c r="T1490" s="335">
        <f t="shared" si="1212"/>
        <v>0</v>
      </c>
      <c r="U1490" s="336">
        <f t="shared" si="1213"/>
        <v>420.5</v>
      </c>
      <c r="V1490" s="336">
        <f t="shared" si="1214"/>
        <v>0</v>
      </c>
      <c r="W1490" s="336">
        <f t="shared" si="1215"/>
        <v>0</v>
      </c>
      <c r="X1490" s="336">
        <f t="shared" si="1216"/>
        <v>0</v>
      </c>
      <c r="Y1490" s="320"/>
      <c r="Z1490" s="321" t="str">
        <f t="shared" si="1224"/>
        <v>X-SISTAGUAA</v>
      </c>
      <c r="AA1490" s="321" t="str">
        <f t="shared" si="1225"/>
        <v>X-SISTAGUAE</v>
      </c>
      <c r="AB1490" s="321" t="str">
        <f t="shared" si="1226"/>
        <v>X-SISTAGUAM</v>
      </c>
      <c r="AC1490" s="321" t="str">
        <f t="shared" si="1227"/>
        <v>X-SISTAGUAT</v>
      </c>
      <c r="AD1490" s="321" t="str">
        <f t="shared" si="1228"/>
        <v>X-SISTAGUAS</v>
      </c>
      <c r="AE1490" s="321" t="str">
        <f t="shared" si="1229"/>
        <v>X-SISTAGUAX</v>
      </c>
      <c r="AF1490" s="321" t="str">
        <f t="shared" si="1230"/>
        <v>X-SISTAGUAM</v>
      </c>
      <c r="AG1490" s="321">
        <f t="shared" si="1217"/>
        <v>10</v>
      </c>
      <c r="AH1490" s="321">
        <f>IF(B1490&lt;&gt;"",IF(H1490="x",VLOOKUP(I1490,'AUX-NIV3'!B:AG,32,FALSE),0),"")</f>
        <v>0</v>
      </c>
      <c r="AI1490" s="321" t="str">
        <f t="shared" si="1231"/>
        <v>X-SISTAGUA</v>
      </c>
      <c r="AJ1490" s="320"/>
      <c r="AK1490" s="322">
        <f t="shared" si="1218"/>
        <v>1481</v>
      </c>
      <c r="AL1490" s="323">
        <f t="shared" si="1232"/>
        <v>1490</v>
      </c>
      <c r="AM1490" s="322">
        <f t="shared" si="1233"/>
        <v>7</v>
      </c>
      <c r="AN1490" s="380">
        <f>IF(AND(AH1490&gt;0,B1490&lt;&gt;""),VLOOKUP(I1490,'AUX-NIV3'!$B:$AO,39,FALSE)*O1490,0)</f>
        <v>0</v>
      </c>
      <c r="AO1490" s="380">
        <f t="shared" si="1219"/>
        <v>2.6666666666666665</v>
      </c>
      <c r="AP1490" s="380"/>
    </row>
    <row r="1491" spans="2:42" ht="13.8" thickTop="1">
      <c r="B1491" s="501" t="s">
        <v>4416</v>
      </c>
      <c r="C1491" s="951" t="s">
        <v>4417</v>
      </c>
      <c r="D1491" s="326" t="s">
        <v>1172</v>
      </c>
      <c r="E1491" s="327">
        <f>IF(B1491&lt;&gt;"",SUMIF('AUX-NIV1'!I:I,'AUX-NIV2'!B1491,'AUX-NIV1'!Q:Q),"")</f>
        <v>0</v>
      </c>
      <c r="F1491" s="327">
        <f t="shared" si="1209"/>
        <v>4298.792764178861</v>
      </c>
      <c r="G1491" s="327">
        <f t="shared" si="1210"/>
        <v>0</v>
      </c>
      <c r="H1491" s="328" t="str">
        <f t="shared" ref="H1491:H1495" si="1251">IF(B1491&lt;&gt;"",+LEFT(I1491,1),"")</f>
        <v>A</v>
      </c>
      <c r="I1491" s="324" t="s">
        <v>1745</v>
      </c>
      <c r="J1491" s="431" t="str">
        <f>IF(B1491&lt;&gt;"",+VLOOKUP(I1491,Recursos!C:F,2,FALSE),"")</f>
        <v>AYUDANTE</v>
      </c>
      <c r="K1491" s="330" t="str">
        <f>IF(B1491&lt;&gt;"",+VLOOKUP(I1491,Recursos!C:F,3,FALSE),"")</f>
        <v>hh</v>
      </c>
      <c r="L1491" s="446">
        <f>IF(B1491&lt;&gt;"",+VLOOKUP(I1491,Recursos!C:F,4,FALSE),"")</f>
        <v>422.48042769667234</v>
      </c>
      <c r="M1491" s="1270">
        <v>2</v>
      </c>
      <c r="N1491" s="1352">
        <f>1*M1491</f>
        <v>2</v>
      </c>
      <c r="O1491" s="1361">
        <f>N1491</f>
        <v>2</v>
      </c>
      <c r="P1491" s="333">
        <f>IF(B1491&lt;&gt;"",O1491*L1491,"")</f>
        <v>844.96085539334467</v>
      </c>
      <c r="Q1491" s="327">
        <f t="shared" ref="Q1491:Q1495" si="1252">IF(B1491&lt;&gt;"",+O1491*E1491,"")</f>
        <v>0</v>
      </c>
      <c r="R1491" s="334">
        <f t="shared" ref="R1491:R1495" si="1253">IF(B1491&lt;&gt;"",Q1491*L1491,"")</f>
        <v>0</v>
      </c>
      <c r="S1491" s="335">
        <f t="shared" si="1211"/>
        <v>1838.792764178861</v>
      </c>
      <c r="T1491" s="335">
        <f t="shared" si="1212"/>
        <v>0</v>
      </c>
      <c r="U1491" s="336">
        <f t="shared" si="1213"/>
        <v>2460</v>
      </c>
      <c r="V1491" s="336">
        <f t="shared" si="1214"/>
        <v>0</v>
      </c>
      <c r="W1491" s="336">
        <f t="shared" si="1215"/>
        <v>0</v>
      </c>
      <c r="X1491" s="336">
        <f t="shared" si="1216"/>
        <v>0</v>
      </c>
      <c r="Y1491" s="320"/>
      <c r="Z1491" s="321" t="str">
        <f t="shared" ref="Z1491:Z1495" si="1254">IF(B1491&lt;&gt;"",+$B1491&amp;"A","")</f>
        <v>X-SISTVENTA</v>
      </c>
      <c r="AA1491" s="321" t="str">
        <f t="shared" ref="AA1491:AA1495" si="1255">IF(B1491&lt;&gt;"",+$B1491&amp;"E","")</f>
        <v>X-SISTVENTE</v>
      </c>
      <c r="AB1491" s="321" t="str">
        <f t="shared" ref="AB1491:AB1495" si="1256">IF(B1491&lt;&gt;"",++$B1491&amp;"M","")</f>
        <v>X-SISTVENTM</v>
      </c>
      <c r="AC1491" s="321" t="str">
        <f t="shared" ref="AC1491:AC1495" si="1257">IF(B1491&lt;&gt;"",+$B1491&amp;"T","")</f>
        <v>X-SISTVENTT</v>
      </c>
      <c r="AD1491" s="321" t="str">
        <f t="shared" ref="AD1491:AD1495" si="1258">IF(B1491&lt;&gt;"",+$B1491&amp;"S","")</f>
        <v>X-SISTVENTS</v>
      </c>
      <c r="AE1491" s="321" t="str">
        <f t="shared" ref="AE1491:AE1495" si="1259">IF(B1491&lt;&gt;"",+$B1491&amp;"X","")</f>
        <v>X-SISTVENTX</v>
      </c>
      <c r="AF1491" s="321" t="str">
        <f t="shared" ref="AF1491:AF1495" si="1260">IF(B1491&lt;&gt;"",+B1491&amp;H1491,"")</f>
        <v>X-SISTVENTA</v>
      </c>
      <c r="AG1491" s="321">
        <f t="shared" si="1217"/>
        <v>6</v>
      </c>
      <c r="AH1491" s="321">
        <f>IF(B1491&lt;&gt;"",IF(H1491="x",VLOOKUP(I1491,'AUX-NIV3'!B:AG,32,FALSE),0),"")</f>
        <v>0</v>
      </c>
      <c r="AI1491" s="321" t="str">
        <f t="shared" ref="AI1491:AI1495" si="1261">IF(B1491&lt;&gt;"",+B1491,"")</f>
        <v>X-SISTVENT</v>
      </c>
      <c r="AJ1491" s="320"/>
      <c r="AK1491" s="322">
        <f t="shared" si="1218"/>
        <v>1491</v>
      </c>
      <c r="AL1491" s="323">
        <f t="shared" ref="AL1491:AL1495" si="1262">IF(B1491&lt;&gt;"",+AK1491+AG1491-1,"")</f>
        <v>1496</v>
      </c>
      <c r="AM1491" s="322" t="e">
        <f>IF(B1491&lt;&gt;"",IF(B1491=#REF!,1+#REF!,1),"")</f>
        <v>#REF!</v>
      </c>
      <c r="AN1491" s="380">
        <f>IF(AND(AH1491&gt;0,B1491&lt;&gt;""),VLOOKUP(I1491,'AUX-NIV3'!$B:$AO,39,FALSE)*O1491,0)</f>
        <v>0</v>
      </c>
      <c r="AO1491" s="380">
        <f t="shared" si="1219"/>
        <v>4</v>
      </c>
      <c r="AP1491" s="380"/>
    </row>
    <row r="1492" spans="2:42">
      <c r="B1492" s="501" t="s">
        <v>4416</v>
      </c>
      <c r="C1492" s="951" t="s">
        <v>4417</v>
      </c>
      <c r="D1492" s="326" t="s">
        <v>1172</v>
      </c>
      <c r="E1492" s="327">
        <f>IF(B1492&lt;&gt;"",SUMIF('AUX-NIV1'!I:I,'AUX-NIV2'!B1492,'AUX-NIV1'!Q:Q),"")</f>
        <v>0</v>
      </c>
      <c r="F1492" s="327">
        <f t="shared" si="1209"/>
        <v>4298.792764178861</v>
      </c>
      <c r="G1492" s="327">
        <f t="shared" si="1210"/>
        <v>0</v>
      </c>
      <c r="H1492" s="328" t="str">
        <f t="shared" si="1251"/>
        <v>A</v>
      </c>
      <c r="I1492" s="324" t="s">
        <v>1746</v>
      </c>
      <c r="J1492" s="431" t="str">
        <f>IF(B1492&lt;&gt;"",+VLOOKUP(I1492,Recursos!C:F,2,FALSE),"")</f>
        <v>OFICIAL</v>
      </c>
      <c r="K1492" s="330" t="str">
        <f>IF(B1492&lt;&gt;"",+VLOOKUP(I1492,Recursos!C:F,3,FALSE),"")</f>
        <v>hh</v>
      </c>
      <c r="L1492" s="446">
        <f>IF(B1492&lt;&gt;"",+VLOOKUP(I1492,Recursos!C:F,4,FALSE),"")</f>
        <v>496.91595439275824</v>
      </c>
      <c r="M1492" s="1637"/>
      <c r="N1492" s="1638">
        <f>1*M1491</f>
        <v>2</v>
      </c>
      <c r="O1492" s="1361">
        <f>N1492</f>
        <v>2</v>
      </c>
      <c r="P1492" s="333">
        <f>IF(B1492&lt;&gt;"",O1492*L1492,"")</f>
        <v>993.83190878551648</v>
      </c>
      <c r="Q1492" s="327">
        <f t="shared" si="1252"/>
        <v>0</v>
      </c>
      <c r="R1492" s="334">
        <f t="shared" si="1253"/>
        <v>0</v>
      </c>
      <c r="S1492" s="335">
        <f t="shared" si="1211"/>
        <v>1838.792764178861</v>
      </c>
      <c r="T1492" s="335">
        <f t="shared" si="1212"/>
        <v>0</v>
      </c>
      <c r="U1492" s="336">
        <f t="shared" si="1213"/>
        <v>2460</v>
      </c>
      <c r="V1492" s="336">
        <f t="shared" si="1214"/>
        <v>0</v>
      </c>
      <c r="W1492" s="336">
        <f t="shared" si="1215"/>
        <v>0</v>
      </c>
      <c r="X1492" s="336">
        <f t="shared" si="1216"/>
        <v>0</v>
      </c>
      <c r="Y1492" s="320"/>
      <c r="Z1492" s="321" t="str">
        <f t="shared" si="1254"/>
        <v>X-SISTVENTA</v>
      </c>
      <c r="AA1492" s="321" t="str">
        <f t="shared" si="1255"/>
        <v>X-SISTVENTE</v>
      </c>
      <c r="AB1492" s="321" t="str">
        <f t="shared" si="1256"/>
        <v>X-SISTVENTM</v>
      </c>
      <c r="AC1492" s="321" t="str">
        <f t="shared" si="1257"/>
        <v>X-SISTVENTT</v>
      </c>
      <c r="AD1492" s="321" t="str">
        <f t="shared" si="1258"/>
        <v>X-SISTVENTS</v>
      </c>
      <c r="AE1492" s="321" t="str">
        <f t="shared" si="1259"/>
        <v>X-SISTVENTX</v>
      </c>
      <c r="AF1492" s="321" t="str">
        <f t="shared" si="1260"/>
        <v>X-SISTVENTA</v>
      </c>
      <c r="AG1492" s="321">
        <f t="shared" si="1217"/>
        <v>6</v>
      </c>
      <c r="AH1492" s="321">
        <f>IF(B1492&lt;&gt;"",IF(H1492="x",VLOOKUP(I1492,'AUX-NIV3'!B:AG,32,FALSE),0),"")</f>
        <v>0</v>
      </c>
      <c r="AI1492" s="321" t="str">
        <f t="shared" si="1261"/>
        <v>X-SISTVENT</v>
      </c>
      <c r="AJ1492" s="320"/>
      <c r="AK1492" s="322">
        <f t="shared" si="1218"/>
        <v>1491</v>
      </c>
      <c r="AL1492" s="323">
        <f t="shared" si="1262"/>
        <v>1496</v>
      </c>
      <c r="AM1492" s="322" t="e">
        <f t="shared" ref="AM1492:AM1493" si="1263">IF(B1492&lt;&gt;"",IF(B1492=B1491,1+AM1491,1),"")</f>
        <v>#REF!</v>
      </c>
      <c r="AN1492" s="380">
        <f>IF(AND(AH1492&gt;0,B1492&lt;&gt;""),VLOOKUP(I1492,'AUX-NIV3'!$B:$AO,39,FALSE)*O1492,0)</f>
        <v>0</v>
      </c>
      <c r="AO1492" s="380">
        <f t="shared" si="1219"/>
        <v>4</v>
      </c>
      <c r="AP1492" s="380"/>
    </row>
    <row r="1493" spans="2:42">
      <c r="B1493" s="501" t="s">
        <v>4416</v>
      </c>
      <c r="C1493" s="951" t="s">
        <v>4417</v>
      </c>
      <c r="D1493" s="326" t="s">
        <v>1172</v>
      </c>
      <c r="E1493" s="327">
        <f>IF(B1493&lt;&gt;"",SUMIF('AUX-NIV1'!I:I,'AUX-NIV2'!B1493,'AUX-NIV1'!Q:Q),"")</f>
        <v>0</v>
      </c>
      <c r="F1493" s="327">
        <f t="shared" si="1209"/>
        <v>4298.792764178861</v>
      </c>
      <c r="G1493" s="327">
        <f t="shared" si="1210"/>
        <v>0</v>
      </c>
      <c r="H1493" s="328" t="str">
        <f t="shared" si="1251"/>
        <v>M</v>
      </c>
      <c r="I1493" s="324" t="s">
        <v>4390</v>
      </c>
      <c r="J1493" s="431" t="str">
        <f>IF(B1493&lt;&gt;"",+VLOOKUP(I1493,Recursos!C:F,2,FALSE),"")</f>
        <v>CAÑO CLOACAL 110MM</v>
      </c>
      <c r="K1493" s="330" t="str">
        <f>IF(B1493&lt;&gt;"",+VLOOKUP(I1493,Recursos!C:F,3,FALSE),"")</f>
        <v>m</v>
      </c>
      <c r="L1493" s="446">
        <f>IF(B1493&lt;&gt;"",+VLOOKUP(I1493,Recursos!C:F,4,FALSE),"")</f>
        <v>360</v>
      </c>
      <c r="M1493" s="1646">
        <v>6</v>
      </c>
      <c r="N1493" s="1638">
        <f>M1493</f>
        <v>6</v>
      </c>
      <c r="O1493" s="1361">
        <f>N1493</f>
        <v>6</v>
      </c>
      <c r="P1493" s="333">
        <f t="shared" ref="P1493:P1495" si="1264">IF(B1493&lt;&gt;"",O1493*L1493,"")</f>
        <v>2160</v>
      </c>
      <c r="Q1493" s="327">
        <f t="shared" si="1252"/>
        <v>0</v>
      </c>
      <c r="R1493" s="334">
        <f t="shared" si="1253"/>
        <v>0</v>
      </c>
      <c r="S1493" s="335">
        <f t="shared" si="1211"/>
        <v>1838.792764178861</v>
      </c>
      <c r="T1493" s="335">
        <f t="shared" si="1212"/>
        <v>0</v>
      </c>
      <c r="U1493" s="336">
        <f t="shared" si="1213"/>
        <v>2460</v>
      </c>
      <c r="V1493" s="336">
        <f t="shared" si="1214"/>
        <v>0</v>
      </c>
      <c r="W1493" s="336">
        <f t="shared" si="1215"/>
        <v>0</v>
      </c>
      <c r="X1493" s="336">
        <f t="shared" si="1216"/>
        <v>0</v>
      </c>
      <c r="Y1493" s="320"/>
      <c r="Z1493" s="321" t="str">
        <f t="shared" si="1254"/>
        <v>X-SISTVENTA</v>
      </c>
      <c r="AA1493" s="321" t="str">
        <f t="shared" si="1255"/>
        <v>X-SISTVENTE</v>
      </c>
      <c r="AB1493" s="321" t="str">
        <f t="shared" si="1256"/>
        <v>X-SISTVENTM</v>
      </c>
      <c r="AC1493" s="321" t="str">
        <f t="shared" si="1257"/>
        <v>X-SISTVENTT</v>
      </c>
      <c r="AD1493" s="321" t="str">
        <f t="shared" si="1258"/>
        <v>X-SISTVENTS</v>
      </c>
      <c r="AE1493" s="321" t="str">
        <f t="shared" si="1259"/>
        <v>X-SISTVENTX</v>
      </c>
      <c r="AF1493" s="321" t="str">
        <f t="shared" si="1260"/>
        <v>X-SISTVENTM</v>
      </c>
      <c r="AG1493" s="321">
        <f t="shared" si="1217"/>
        <v>6</v>
      </c>
      <c r="AH1493" s="321">
        <f>IF(B1493&lt;&gt;"",IF(H1493="x",VLOOKUP(I1493,'AUX-NIV3'!B:AG,32,FALSE),0),"")</f>
        <v>0</v>
      </c>
      <c r="AI1493" s="321" t="str">
        <f t="shared" si="1261"/>
        <v>X-SISTVENT</v>
      </c>
      <c r="AJ1493" s="320"/>
      <c r="AK1493" s="322">
        <f t="shared" si="1218"/>
        <v>1491</v>
      </c>
      <c r="AL1493" s="323">
        <f t="shared" si="1262"/>
        <v>1496</v>
      </c>
      <c r="AM1493" s="322" t="e">
        <f t="shared" si="1263"/>
        <v>#REF!</v>
      </c>
      <c r="AN1493" s="380">
        <f>IF(AND(AH1493&gt;0,B1493&lt;&gt;""),VLOOKUP(I1493,'AUX-NIV3'!$B:$AO,39,FALSE)*O1493,0)</f>
        <v>0</v>
      </c>
      <c r="AO1493" s="380">
        <f t="shared" si="1219"/>
        <v>4</v>
      </c>
      <c r="AP1493" s="380"/>
    </row>
    <row r="1494" spans="2:42">
      <c r="B1494" s="501" t="s">
        <v>4416</v>
      </c>
      <c r="C1494" s="951" t="s">
        <v>4417</v>
      </c>
      <c r="D1494" s="326" t="s">
        <v>1172</v>
      </c>
      <c r="E1494" s="327">
        <f>IF(B1494&lt;&gt;"",SUMIF('AUX-NIV1'!I:I,'AUX-NIV2'!B1494,'AUX-NIV1'!Q:Q),"")</f>
        <v>0</v>
      </c>
      <c r="F1494" s="327">
        <f t="shared" si="1209"/>
        <v>4298.792764178861</v>
      </c>
      <c r="G1494" s="327">
        <f t="shared" si="1210"/>
        <v>0</v>
      </c>
      <c r="H1494" s="328" t="str">
        <f t="shared" si="1251"/>
        <v>M</v>
      </c>
      <c r="I1494" s="324" t="s">
        <v>4482</v>
      </c>
      <c r="J1494" s="431" t="str">
        <f>IF(B1494&lt;&gt;"",+VLOOKUP(I1494,Recursos!C:F,2,FALSE),"")</f>
        <v>Extractor 4pulg, 20W</v>
      </c>
      <c r="K1494" s="330" t="str">
        <f>IF(B1494&lt;&gt;"",+VLOOKUP(I1494,Recursos!C:F,3,FALSE),"")</f>
        <v>Un</v>
      </c>
      <c r="L1494" s="446">
        <f>IF(B1494&lt;&gt;"",+VLOOKUP(I1494,Recursos!C:F,4,FALSE),"")</f>
        <v>2200</v>
      </c>
      <c r="M1494" s="1637"/>
      <c r="N1494" s="1638">
        <v>0</v>
      </c>
      <c r="O1494" s="1361">
        <f>N1494</f>
        <v>0</v>
      </c>
      <c r="P1494" s="333">
        <f t="shared" si="1264"/>
        <v>0</v>
      </c>
      <c r="Q1494" s="327">
        <f t="shared" si="1252"/>
        <v>0</v>
      </c>
      <c r="R1494" s="334">
        <f t="shared" si="1253"/>
        <v>0</v>
      </c>
      <c r="S1494" s="335">
        <f t="shared" si="1211"/>
        <v>1838.792764178861</v>
      </c>
      <c r="T1494" s="335">
        <f t="shared" si="1212"/>
        <v>0</v>
      </c>
      <c r="U1494" s="336">
        <f t="shared" si="1213"/>
        <v>2460</v>
      </c>
      <c r="V1494" s="336">
        <f t="shared" si="1214"/>
        <v>0</v>
      </c>
      <c r="W1494" s="336">
        <f t="shared" si="1215"/>
        <v>0</v>
      </c>
      <c r="X1494" s="336">
        <f t="shared" si="1216"/>
        <v>0</v>
      </c>
      <c r="Y1494" s="320"/>
      <c r="Z1494" s="321" t="str">
        <f t="shared" si="1254"/>
        <v>X-SISTVENTA</v>
      </c>
      <c r="AA1494" s="321" t="str">
        <f t="shared" si="1255"/>
        <v>X-SISTVENTE</v>
      </c>
      <c r="AB1494" s="321" t="str">
        <f t="shared" si="1256"/>
        <v>X-SISTVENTM</v>
      </c>
      <c r="AC1494" s="321" t="str">
        <f t="shared" si="1257"/>
        <v>X-SISTVENTT</v>
      </c>
      <c r="AD1494" s="321" t="str">
        <f t="shared" si="1258"/>
        <v>X-SISTVENTS</v>
      </c>
      <c r="AE1494" s="321" t="str">
        <f t="shared" si="1259"/>
        <v>X-SISTVENTX</v>
      </c>
      <c r="AF1494" s="321" t="str">
        <f t="shared" si="1260"/>
        <v>X-SISTVENTM</v>
      </c>
      <c r="AG1494" s="321">
        <f t="shared" si="1217"/>
        <v>6</v>
      </c>
      <c r="AH1494" s="321">
        <f>IF(B1494&lt;&gt;"",IF(H1494="x",VLOOKUP(I1494,'AUX-NIV3'!B:AG,32,FALSE),0),"")</f>
        <v>0</v>
      </c>
      <c r="AI1494" s="321" t="str">
        <f t="shared" si="1261"/>
        <v>X-SISTVENT</v>
      </c>
      <c r="AJ1494" s="320"/>
      <c r="AK1494" s="322">
        <f t="shared" si="1218"/>
        <v>1491</v>
      </c>
      <c r="AL1494" s="323">
        <f t="shared" si="1262"/>
        <v>1496</v>
      </c>
      <c r="AM1494" s="322" t="e">
        <f>IF(B1494&lt;&gt;"",IF(B1494=B1492,1+AM1492,1),"")</f>
        <v>#REF!</v>
      </c>
      <c r="AN1494" s="380">
        <f>IF(AND(AH1494&gt;0,B1494&lt;&gt;""),VLOOKUP(I1494,'AUX-NIV3'!$B:$AO,39,FALSE)*O1494,0)</f>
        <v>0</v>
      </c>
      <c r="AO1494" s="380">
        <f t="shared" si="1219"/>
        <v>4</v>
      </c>
      <c r="AP1494" s="380"/>
    </row>
    <row r="1495" spans="2:42">
      <c r="B1495" s="501" t="s">
        <v>4416</v>
      </c>
      <c r="C1495" s="951" t="s">
        <v>4417</v>
      </c>
      <c r="D1495" s="326" t="s">
        <v>1172</v>
      </c>
      <c r="E1495" s="327">
        <f>IF(B1495&lt;&gt;"",SUMIF('AUX-NIV1'!I:I,'AUX-NIV2'!B1495,'AUX-NIV1'!Q:Q),"")</f>
        <v>0</v>
      </c>
      <c r="F1495" s="327">
        <f t="shared" si="1209"/>
        <v>4298.792764178861</v>
      </c>
      <c r="G1495" s="327">
        <f t="shared" si="1210"/>
        <v>0</v>
      </c>
      <c r="H1495" s="328" t="str">
        <f t="shared" si="1251"/>
        <v>M</v>
      </c>
      <c r="I1495" s="324" t="s">
        <v>4483</v>
      </c>
      <c r="J1495" s="431" t="str">
        <f>IF(B1495&lt;&gt;"",+VLOOKUP(I1495,Recursos!C:F,2,FALSE),"")</f>
        <v>Conducto Chapa Galv 30x30</v>
      </c>
      <c r="K1495" s="330" t="str">
        <f>IF(B1495&lt;&gt;"",+VLOOKUP(I1495,Recursos!C:F,3,FALSE),"")</f>
        <v>m</v>
      </c>
      <c r="L1495" s="446">
        <f>IF(B1495&lt;&gt;"",+VLOOKUP(I1495,Recursos!C:F,4,FALSE),"")</f>
        <v>450</v>
      </c>
      <c r="M1495" s="1637"/>
      <c r="N1495" s="1638">
        <v>0</v>
      </c>
      <c r="O1495" s="1361">
        <f t="shared" ref="O1495:O1496" si="1265">N1495</f>
        <v>0</v>
      </c>
      <c r="P1495" s="333">
        <f t="shared" si="1264"/>
        <v>0</v>
      </c>
      <c r="Q1495" s="327">
        <f t="shared" si="1252"/>
        <v>0</v>
      </c>
      <c r="R1495" s="334">
        <f t="shared" si="1253"/>
        <v>0</v>
      </c>
      <c r="S1495" s="335">
        <f t="shared" si="1211"/>
        <v>1838.792764178861</v>
      </c>
      <c r="T1495" s="335">
        <f t="shared" si="1212"/>
        <v>0</v>
      </c>
      <c r="U1495" s="336">
        <f t="shared" si="1213"/>
        <v>2460</v>
      </c>
      <c r="V1495" s="336">
        <f t="shared" si="1214"/>
        <v>0</v>
      </c>
      <c r="W1495" s="336">
        <f t="shared" si="1215"/>
        <v>0</v>
      </c>
      <c r="X1495" s="336">
        <f t="shared" si="1216"/>
        <v>0</v>
      </c>
      <c r="Y1495" s="320"/>
      <c r="Z1495" s="321" t="str">
        <f t="shared" si="1254"/>
        <v>X-SISTVENTA</v>
      </c>
      <c r="AA1495" s="321" t="str">
        <f t="shared" si="1255"/>
        <v>X-SISTVENTE</v>
      </c>
      <c r="AB1495" s="321" t="str">
        <f t="shared" si="1256"/>
        <v>X-SISTVENTM</v>
      </c>
      <c r="AC1495" s="321" t="str">
        <f t="shared" si="1257"/>
        <v>X-SISTVENTT</v>
      </c>
      <c r="AD1495" s="321" t="str">
        <f t="shared" si="1258"/>
        <v>X-SISTVENTS</v>
      </c>
      <c r="AE1495" s="321" t="str">
        <f t="shared" si="1259"/>
        <v>X-SISTVENTX</v>
      </c>
      <c r="AF1495" s="321" t="str">
        <f t="shared" si="1260"/>
        <v>X-SISTVENTM</v>
      </c>
      <c r="AG1495" s="321">
        <f t="shared" si="1217"/>
        <v>6</v>
      </c>
      <c r="AH1495" s="321">
        <f>IF(B1495&lt;&gt;"",IF(H1495="x",VLOOKUP(I1495,'AUX-NIV3'!B:AG,32,FALSE),0),"")</f>
        <v>0</v>
      </c>
      <c r="AI1495" s="321" t="str">
        <f t="shared" si="1261"/>
        <v>X-SISTVENT</v>
      </c>
      <c r="AJ1495" s="320"/>
      <c r="AK1495" s="322">
        <f t="shared" si="1218"/>
        <v>1491</v>
      </c>
      <c r="AL1495" s="323">
        <f t="shared" si="1262"/>
        <v>1496</v>
      </c>
      <c r="AM1495" s="322" t="e">
        <f>IF(B1495&lt;&gt;"",IF(B1495=#REF!,1+#REF!,1),"")</f>
        <v>#REF!</v>
      </c>
      <c r="AN1495" s="380">
        <f>IF(AND(AH1495&gt;0,B1495&lt;&gt;""),VLOOKUP(I1495,'AUX-NIV3'!$B:$AO,39,FALSE)*O1495,0)</f>
        <v>0</v>
      </c>
      <c r="AO1495" s="380">
        <f t="shared" si="1219"/>
        <v>4</v>
      </c>
      <c r="AP1495" s="380"/>
    </row>
    <row r="1496" spans="2:42" ht="13.8" thickBot="1">
      <c r="B1496" s="501" t="s">
        <v>4416</v>
      </c>
      <c r="C1496" s="951" t="s">
        <v>4417</v>
      </c>
      <c r="D1496" s="326" t="s">
        <v>1172</v>
      </c>
      <c r="E1496" s="327">
        <f>IF(B1496&lt;&gt;"",SUMIF('AUX-NIV1'!I:I,'AUX-NIV2'!B1496,'AUX-NIV1'!Q:Q),"")</f>
        <v>0</v>
      </c>
      <c r="F1496" s="327">
        <f t="shared" si="1209"/>
        <v>4298.792764178861</v>
      </c>
      <c r="G1496" s="327">
        <f t="shared" si="1210"/>
        <v>0</v>
      </c>
      <c r="H1496" s="328" t="str">
        <f t="shared" ref="H1496" si="1266">IF(B1496&lt;&gt;"",+LEFT(I1496,1),"")</f>
        <v>M</v>
      </c>
      <c r="I1496" s="324" t="s">
        <v>621</v>
      </c>
      <c r="J1496" s="431" t="str">
        <f>IF(B1496&lt;&gt;"",+VLOOKUP(I1496,Recursos!C:F,2,FALSE),"")</f>
        <v>MATERIALES VARIOS</v>
      </c>
      <c r="K1496" s="330" t="str">
        <f>IF(B1496&lt;&gt;"",+VLOOKUP(I1496,Recursos!C:F,3,FALSE),"")</f>
        <v>GL</v>
      </c>
      <c r="L1496" s="446">
        <f>IF(B1496&lt;&gt;"",+VLOOKUP(I1496,Recursos!C:F,4,FALSE),"")</f>
        <v>0.5</v>
      </c>
      <c r="M1496" s="1637"/>
      <c r="N1496" s="1638">
        <v>600</v>
      </c>
      <c r="O1496" s="1361">
        <f t="shared" si="1265"/>
        <v>600</v>
      </c>
      <c r="P1496" s="333">
        <f t="shared" ref="P1496" si="1267">IF(B1496&lt;&gt;"",O1496*L1496,"")</f>
        <v>300</v>
      </c>
      <c r="Q1496" s="327">
        <f t="shared" ref="Q1496" si="1268">IF(B1496&lt;&gt;"",+O1496*E1496,"")</f>
        <v>0</v>
      </c>
      <c r="R1496" s="334">
        <f t="shared" ref="R1496" si="1269">IF(B1496&lt;&gt;"",Q1496*L1496,"")</f>
        <v>0</v>
      </c>
      <c r="S1496" s="335">
        <f t="shared" si="1211"/>
        <v>1838.792764178861</v>
      </c>
      <c r="T1496" s="335">
        <f t="shared" si="1212"/>
        <v>0</v>
      </c>
      <c r="U1496" s="336">
        <f t="shared" si="1213"/>
        <v>2460</v>
      </c>
      <c r="V1496" s="336">
        <f t="shared" si="1214"/>
        <v>0</v>
      </c>
      <c r="W1496" s="336">
        <f t="shared" si="1215"/>
        <v>0</v>
      </c>
      <c r="X1496" s="336">
        <f t="shared" si="1216"/>
        <v>0</v>
      </c>
      <c r="Y1496" s="320"/>
      <c r="Z1496" s="321" t="str">
        <f t="shared" ref="Z1496" si="1270">IF(B1496&lt;&gt;"",+$B1496&amp;"A","")</f>
        <v>X-SISTVENTA</v>
      </c>
      <c r="AA1496" s="321" t="str">
        <f t="shared" ref="AA1496" si="1271">IF(B1496&lt;&gt;"",+$B1496&amp;"E","")</f>
        <v>X-SISTVENTE</v>
      </c>
      <c r="AB1496" s="321" t="str">
        <f t="shared" ref="AB1496" si="1272">IF(B1496&lt;&gt;"",++$B1496&amp;"M","")</f>
        <v>X-SISTVENTM</v>
      </c>
      <c r="AC1496" s="321" t="str">
        <f t="shared" ref="AC1496" si="1273">IF(B1496&lt;&gt;"",+$B1496&amp;"T","")</f>
        <v>X-SISTVENTT</v>
      </c>
      <c r="AD1496" s="321" t="str">
        <f t="shared" ref="AD1496" si="1274">IF(B1496&lt;&gt;"",+$B1496&amp;"S","")</f>
        <v>X-SISTVENTS</v>
      </c>
      <c r="AE1496" s="321" t="str">
        <f t="shared" ref="AE1496" si="1275">IF(B1496&lt;&gt;"",+$B1496&amp;"X","")</f>
        <v>X-SISTVENTX</v>
      </c>
      <c r="AF1496" s="321" t="str">
        <f t="shared" ref="AF1496" si="1276">IF(B1496&lt;&gt;"",+B1496&amp;H1496,"")</f>
        <v>X-SISTVENTM</v>
      </c>
      <c r="AG1496" s="321">
        <f t="shared" si="1217"/>
        <v>6</v>
      </c>
      <c r="AH1496" s="321">
        <f>IF(B1496&lt;&gt;"",IF(H1496="x",VLOOKUP(I1496,'AUX-NIV3'!B:AG,32,FALSE),0),"")</f>
        <v>0</v>
      </c>
      <c r="AI1496" s="321" t="str">
        <f t="shared" ref="AI1496" si="1277">IF(B1496&lt;&gt;"",+B1496,"")</f>
        <v>X-SISTVENT</v>
      </c>
      <c r="AJ1496" s="320"/>
      <c r="AK1496" s="322">
        <f t="shared" si="1218"/>
        <v>1491</v>
      </c>
      <c r="AL1496" s="323">
        <f t="shared" ref="AL1496" si="1278">IF(B1496&lt;&gt;"",+AK1496+AG1496-1,"")</f>
        <v>1496</v>
      </c>
      <c r="AM1496" s="322" t="e">
        <f t="shared" ref="AM1496" si="1279">IF(B1496&lt;&gt;"",IF(B1496=B1495,1+AM1495,1),"")</f>
        <v>#REF!</v>
      </c>
      <c r="AN1496" s="380">
        <f>IF(AND(AH1496&gt;0,B1496&lt;&gt;""),VLOOKUP(I1496,'AUX-NIV3'!$B:$AO,39,FALSE)*O1496,0)</f>
        <v>0</v>
      </c>
      <c r="AO1496" s="380">
        <f t="shared" si="1219"/>
        <v>4</v>
      </c>
      <c r="AP1496" s="380"/>
    </row>
    <row r="1497" spans="2:42" ht="13.8" thickTop="1">
      <c r="B1497" s="501" t="s">
        <v>4477</v>
      </c>
      <c r="C1497" s="951" t="s">
        <v>4478</v>
      </c>
      <c r="D1497" s="326" t="s">
        <v>477</v>
      </c>
      <c r="E1497" s="327">
        <f>IF(B1497&lt;&gt;"",SUMIF('AUX-NIV1'!I:I,'AUX-NIV2'!B1497,'AUX-NIV1'!Q:Q),"")</f>
        <v>0</v>
      </c>
      <c r="F1497" s="327">
        <f t="shared" si="1209"/>
        <v>868.62061426196908</v>
      </c>
      <c r="G1497" s="327">
        <f t="shared" si="1210"/>
        <v>0</v>
      </c>
      <c r="H1497" s="328" t="str">
        <f t="shared" ref="H1497:H1499" si="1280">IF(B1497&lt;&gt;"",+LEFT(I1497,1),"")</f>
        <v>A</v>
      </c>
      <c r="I1497" s="324" t="s">
        <v>1745</v>
      </c>
      <c r="J1497" s="431" t="str">
        <f>IF(B1497&lt;&gt;"",+VLOOKUP(I1497,Recursos!C:F,2,FALSE),"")</f>
        <v>AYUDANTE</v>
      </c>
      <c r="K1497" s="330" t="str">
        <f>IF(B1497&lt;&gt;"",+VLOOKUP(I1497,Recursos!C:F,3,FALSE),"")</f>
        <v>hh</v>
      </c>
      <c r="L1497" s="446">
        <f>IF(B1497&lt;&gt;"",+VLOOKUP(I1497,Recursos!C:F,4,FALSE),"")</f>
        <v>422.48042769667234</v>
      </c>
      <c r="M1497" s="1270">
        <f>12/8</f>
        <v>1.5</v>
      </c>
      <c r="N1497" s="1352">
        <f>1/M1497</f>
        <v>0.66666666666666663</v>
      </c>
      <c r="O1497" s="1361">
        <f>N1497/M1497</f>
        <v>0.44444444444444442</v>
      </c>
      <c r="P1497" s="333">
        <f t="shared" ref="P1497:P1499" si="1281">IF(B1497&lt;&gt;"",O1497*L1497,"")</f>
        <v>187.7690789762988</v>
      </c>
      <c r="Q1497" s="327">
        <f t="shared" ref="Q1497:Q1499" si="1282">IF(B1497&lt;&gt;"",+O1497*E1497,"")</f>
        <v>0</v>
      </c>
      <c r="R1497" s="334">
        <f t="shared" ref="R1497:R1499" si="1283">IF(B1497&lt;&gt;"",Q1497*L1497,"")</f>
        <v>0</v>
      </c>
      <c r="S1497" s="335">
        <f t="shared" si="1211"/>
        <v>408.62061426196908</v>
      </c>
      <c r="T1497" s="335">
        <f t="shared" si="1212"/>
        <v>0</v>
      </c>
      <c r="U1497" s="336">
        <f t="shared" si="1213"/>
        <v>460</v>
      </c>
      <c r="V1497" s="336">
        <f t="shared" si="1214"/>
        <v>0</v>
      </c>
      <c r="W1497" s="336">
        <f t="shared" si="1215"/>
        <v>0</v>
      </c>
      <c r="X1497" s="336">
        <f t="shared" si="1216"/>
        <v>0</v>
      </c>
      <c r="Y1497" s="320"/>
      <c r="Z1497" s="321" t="str">
        <f>IF(B1497&lt;&gt;"",+$B1497&amp;"A","")</f>
        <v>X-SISTPLUVA</v>
      </c>
      <c r="AA1497" s="321" t="str">
        <f>IF(B1497&lt;&gt;"",+$B1497&amp;"E","")</f>
        <v>X-SISTPLUVE</v>
      </c>
      <c r="AB1497" s="321" t="str">
        <f>IF(B1497&lt;&gt;"",++$B1497&amp;"M","")</f>
        <v>X-SISTPLUVM</v>
      </c>
      <c r="AC1497" s="321" t="str">
        <f>IF(B1497&lt;&gt;"",+$B1497&amp;"T","")</f>
        <v>X-SISTPLUVT</v>
      </c>
      <c r="AD1497" s="321" t="str">
        <f>IF(B1497&lt;&gt;"",+$B1497&amp;"S","")</f>
        <v>X-SISTPLUVS</v>
      </c>
      <c r="AE1497" s="321" t="str">
        <f>IF(B1497&lt;&gt;"",+$B1497&amp;"X","")</f>
        <v>X-SISTPLUVX</v>
      </c>
      <c r="AF1497" s="321" t="str">
        <f t="shared" ref="AF1497:AF1499" si="1284">IF(B1497&lt;&gt;"",+B1497&amp;H1497,"")</f>
        <v>X-SISTPLUVA</v>
      </c>
      <c r="AG1497" s="321">
        <f t="shared" si="1217"/>
        <v>5</v>
      </c>
      <c r="AH1497" s="321">
        <f>IF(B1497&lt;&gt;"",IF(H1497="x",VLOOKUP(I1497,'AUX-NIV3'!B:AG,32,FALSE),0),"")</f>
        <v>0</v>
      </c>
      <c r="AI1497" s="321" t="str">
        <f t="shared" ref="AI1497:AI1499" si="1285">IF(B1497&lt;&gt;"",+B1497,"")</f>
        <v>X-SISTPLUV</v>
      </c>
      <c r="AJ1497" s="320"/>
      <c r="AK1497" s="322">
        <f t="shared" si="1218"/>
        <v>1497</v>
      </c>
      <c r="AL1497" s="323">
        <f t="shared" ref="AL1497:AL1499" si="1286">IF(B1497&lt;&gt;"",+AK1497+AG1497-1,"")</f>
        <v>1501</v>
      </c>
      <c r="AM1497" s="322">
        <f>IF(B1497&lt;&gt;"",IF(B1497=B1490,1+AM1490,1),"")</f>
        <v>1</v>
      </c>
      <c r="AN1497" s="380">
        <f>IF(AND(AH1497&gt;0,B1497&lt;&gt;""),VLOOKUP(I1497,'AUX-NIV3'!$B:$AO,39,FALSE)*O1497,0)</f>
        <v>0</v>
      </c>
      <c r="AO1497" s="380">
        <f t="shared" si="1219"/>
        <v>0.88888888888888884</v>
      </c>
      <c r="AP1497" s="380"/>
    </row>
    <row r="1498" spans="2:42">
      <c r="B1498" s="501" t="s">
        <v>4477</v>
      </c>
      <c r="C1498" s="951" t="s">
        <v>4478</v>
      </c>
      <c r="D1498" s="326" t="s">
        <v>477</v>
      </c>
      <c r="E1498" s="327">
        <f>IF(B1498&lt;&gt;"",SUMIF('AUX-NIV1'!I:I,'AUX-NIV2'!B1498,'AUX-NIV1'!Q:Q),"")</f>
        <v>0</v>
      </c>
      <c r="F1498" s="327">
        <f t="shared" si="1209"/>
        <v>868.62061426196908</v>
      </c>
      <c r="G1498" s="327">
        <f t="shared" si="1210"/>
        <v>0</v>
      </c>
      <c r="H1498" s="328" t="str">
        <f t="shared" si="1280"/>
        <v>A</v>
      </c>
      <c r="I1498" s="324" t="s">
        <v>1746</v>
      </c>
      <c r="J1498" s="431" t="str">
        <f>IF(B1498&lt;&gt;"",+VLOOKUP(I1498,Recursos!C:F,2,FALSE),"")</f>
        <v>OFICIAL</v>
      </c>
      <c r="K1498" s="330" t="str">
        <f>IF(B1498&lt;&gt;"",+VLOOKUP(I1498,Recursos!C:F,3,FALSE),"")</f>
        <v>hh</v>
      </c>
      <c r="L1498" s="446">
        <f>IF(B1498&lt;&gt;"",+VLOOKUP(I1498,Recursos!C:F,4,FALSE),"")</f>
        <v>496.91595439275824</v>
      </c>
      <c r="M1498" s="1637"/>
      <c r="N1498" s="1638">
        <f>1/M1497</f>
        <v>0.66666666666666663</v>
      </c>
      <c r="O1498" s="1361">
        <f>N1498/M1497</f>
        <v>0.44444444444444442</v>
      </c>
      <c r="P1498" s="333">
        <f t="shared" si="1281"/>
        <v>220.85153528567031</v>
      </c>
      <c r="Q1498" s="327">
        <f t="shared" si="1282"/>
        <v>0</v>
      </c>
      <c r="R1498" s="334">
        <f t="shared" si="1283"/>
        <v>0</v>
      </c>
      <c r="S1498" s="335">
        <f t="shared" si="1211"/>
        <v>408.62061426196908</v>
      </c>
      <c r="T1498" s="335">
        <f t="shared" si="1212"/>
        <v>0</v>
      </c>
      <c r="U1498" s="336">
        <f t="shared" si="1213"/>
        <v>460</v>
      </c>
      <c r="V1498" s="336">
        <f t="shared" si="1214"/>
        <v>0</v>
      </c>
      <c r="W1498" s="336">
        <f t="shared" si="1215"/>
        <v>0</v>
      </c>
      <c r="X1498" s="336">
        <f t="shared" si="1216"/>
        <v>0</v>
      </c>
      <c r="Y1498" s="320"/>
      <c r="Z1498" s="321" t="str">
        <f>IF(B1498&lt;&gt;"",+$B1498&amp;"A","")</f>
        <v>X-SISTPLUVA</v>
      </c>
      <c r="AA1498" s="321" t="str">
        <f>IF(B1498&lt;&gt;"",+$B1498&amp;"E","")</f>
        <v>X-SISTPLUVE</v>
      </c>
      <c r="AB1498" s="321" t="str">
        <f>IF(B1498&lt;&gt;"",++$B1498&amp;"M","")</f>
        <v>X-SISTPLUVM</v>
      </c>
      <c r="AC1498" s="321" t="str">
        <f>IF(B1498&lt;&gt;"",+$B1498&amp;"T","")</f>
        <v>X-SISTPLUVT</v>
      </c>
      <c r="AD1498" s="321" t="str">
        <f>IF(B1498&lt;&gt;"",+$B1498&amp;"S","")</f>
        <v>X-SISTPLUVS</v>
      </c>
      <c r="AE1498" s="321" t="str">
        <f>IF(B1498&lt;&gt;"",+$B1498&amp;"X","")</f>
        <v>X-SISTPLUVX</v>
      </c>
      <c r="AF1498" s="321" t="str">
        <f t="shared" si="1284"/>
        <v>X-SISTPLUVA</v>
      </c>
      <c r="AG1498" s="321">
        <f t="shared" si="1217"/>
        <v>5</v>
      </c>
      <c r="AH1498" s="321">
        <f>IF(B1498&lt;&gt;"",IF(H1498="x",VLOOKUP(I1498,'AUX-NIV3'!B:AG,32,FALSE),0),"")</f>
        <v>0</v>
      </c>
      <c r="AI1498" s="321" t="str">
        <f t="shared" si="1285"/>
        <v>X-SISTPLUV</v>
      </c>
      <c r="AJ1498" s="320"/>
      <c r="AK1498" s="322">
        <f t="shared" si="1218"/>
        <v>1497</v>
      </c>
      <c r="AL1498" s="323">
        <f t="shared" si="1286"/>
        <v>1501</v>
      </c>
      <c r="AM1498" s="322">
        <f t="shared" ref="AM1498:AM1499" si="1287">IF(B1498&lt;&gt;"",IF(B1498=B1497,1+AM1497,1),"")</f>
        <v>2</v>
      </c>
      <c r="AN1498" s="380">
        <f>IF(AND(AH1498&gt;0,B1498&lt;&gt;""),VLOOKUP(I1498,'AUX-NIV3'!$B:$AO,39,FALSE)*O1498,0)</f>
        <v>0</v>
      </c>
      <c r="AO1498" s="380">
        <f t="shared" si="1219"/>
        <v>0.88888888888888884</v>
      </c>
      <c r="AP1498" s="380"/>
    </row>
    <row r="1499" spans="2:42">
      <c r="B1499" s="501" t="s">
        <v>4477</v>
      </c>
      <c r="C1499" s="951" t="s">
        <v>4478</v>
      </c>
      <c r="D1499" s="326" t="s">
        <v>477</v>
      </c>
      <c r="E1499" s="327">
        <f>IF(B1499&lt;&gt;"",SUMIF('AUX-NIV1'!I:I,'AUX-NIV2'!B1499,'AUX-NIV1'!Q:Q),"")</f>
        <v>0</v>
      </c>
      <c r="F1499" s="327">
        <f t="shared" si="1209"/>
        <v>868.62061426196908</v>
      </c>
      <c r="G1499" s="327">
        <f t="shared" si="1210"/>
        <v>0</v>
      </c>
      <c r="H1499" s="328" t="str">
        <f t="shared" si="1280"/>
        <v>M</v>
      </c>
      <c r="I1499" s="324" t="s">
        <v>4489</v>
      </c>
      <c r="J1499" s="431" t="str">
        <f>IF(B1499&lt;&gt;"",+VLOOKUP(I1499,Recursos!C:F,2,FALSE),"")</f>
        <v>CAÑO PLUVIAL 110MM</v>
      </c>
      <c r="K1499" s="330" t="str">
        <f>IF(B1499&lt;&gt;"",+VLOOKUP(I1499,Recursos!C:F,3,FALSE),"")</f>
        <v>m</v>
      </c>
      <c r="L1499" s="446">
        <f>IF(B1499&lt;&gt;"",+VLOOKUP(I1499,Recursos!C:F,4,FALSE),"")</f>
        <v>360</v>
      </c>
      <c r="M1499" s="1646">
        <v>15</v>
      </c>
      <c r="N1499" s="1638">
        <v>1</v>
      </c>
      <c r="O1499" s="1361">
        <f>N1499</f>
        <v>1</v>
      </c>
      <c r="P1499" s="333">
        <f t="shared" si="1281"/>
        <v>360</v>
      </c>
      <c r="Q1499" s="327">
        <f t="shared" si="1282"/>
        <v>0</v>
      </c>
      <c r="R1499" s="334">
        <f t="shared" si="1283"/>
        <v>0</v>
      </c>
      <c r="S1499" s="335">
        <f t="shared" si="1211"/>
        <v>408.62061426196908</v>
      </c>
      <c r="T1499" s="335">
        <f t="shared" si="1212"/>
        <v>0</v>
      </c>
      <c r="U1499" s="336">
        <f t="shared" si="1213"/>
        <v>460</v>
      </c>
      <c r="V1499" s="336">
        <f t="shared" si="1214"/>
        <v>0</v>
      </c>
      <c r="W1499" s="336">
        <f t="shared" si="1215"/>
        <v>0</v>
      </c>
      <c r="X1499" s="336">
        <f t="shared" si="1216"/>
        <v>0</v>
      </c>
      <c r="Y1499" s="320"/>
      <c r="Z1499" s="321" t="str">
        <f>IF(B1499&lt;&gt;"",+$B1499&amp;"A","")</f>
        <v>X-SISTPLUVA</v>
      </c>
      <c r="AA1499" s="321" t="str">
        <f>IF(B1499&lt;&gt;"",+$B1499&amp;"E","")</f>
        <v>X-SISTPLUVE</v>
      </c>
      <c r="AB1499" s="321" t="str">
        <f>IF(B1499&lt;&gt;"",++$B1499&amp;"M","")</f>
        <v>X-SISTPLUVM</v>
      </c>
      <c r="AC1499" s="321" t="str">
        <f>IF(B1499&lt;&gt;"",+$B1499&amp;"T","")</f>
        <v>X-SISTPLUVT</v>
      </c>
      <c r="AD1499" s="321" t="str">
        <f>IF(B1499&lt;&gt;"",+$B1499&amp;"S","")</f>
        <v>X-SISTPLUVS</v>
      </c>
      <c r="AE1499" s="321" t="str">
        <f>IF(B1499&lt;&gt;"",+$B1499&amp;"X","")</f>
        <v>X-SISTPLUVX</v>
      </c>
      <c r="AF1499" s="321" t="str">
        <f t="shared" si="1284"/>
        <v>X-SISTPLUVM</v>
      </c>
      <c r="AG1499" s="321">
        <f t="shared" si="1217"/>
        <v>5</v>
      </c>
      <c r="AH1499" s="321">
        <f>IF(B1499&lt;&gt;"",IF(H1499="x",VLOOKUP(I1499,'AUX-NIV3'!B:AG,32,FALSE),0),"")</f>
        <v>0</v>
      </c>
      <c r="AI1499" s="321" t="str">
        <f t="shared" si="1285"/>
        <v>X-SISTPLUV</v>
      </c>
      <c r="AJ1499" s="320"/>
      <c r="AK1499" s="322">
        <f t="shared" si="1218"/>
        <v>1497</v>
      </c>
      <c r="AL1499" s="323">
        <f t="shared" si="1286"/>
        <v>1501</v>
      </c>
      <c r="AM1499" s="322">
        <f t="shared" si="1287"/>
        <v>3</v>
      </c>
      <c r="AN1499" s="380">
        <f>IF(AND(AH1499&gt;0,B1499&lt;&gt;""),VLOOKUP(I1499,'AUX-NIV3'!$B:$AO,39,FALSE)*O1499,0)</f>
        <v>0</v>
      </c>
      <c r="AO1499" s="380">
        <f t="shared" si="1219"/>
        <v>0.88888888888888884</v>
      </c>
      <c r="AP1499" s="380"/>
    </row>
    <row r="1500" spans="2:42">
      <c r="B1500" s="501" t="s">
        <v>4477</v>
      </c>
      <c r="C1500" s="951" t="s">
        <v>4478</v>
      </c>
      <c r="D1500" s="326" t="s">
        <v>477</v>
      </c>
      <c r="E1500" s="327">
        <f>IF(B1500&lt;&gt;"",SUMIF('AUX-NIV1'!I:I,'AUX-NIV2'!B1500,'AUX-NIV1'!Q:Q),"")</f>
        <v>0</v>
      </c>
      <c r="F1500" s="327">
        <f t="shared" si="1209"/>
        <v>868.62061426196908</v>
      </c>
      <c r="G1500" s="327">
        <f t="shared" si="1210"/>
        <v>0</v>
      </c>
      <c r="H1500" s="328" t="str">
        <f t="shared" ref="H1500:H1501" si="1288">IF(B1500&lt;&gt;"",+LEFT(I1500,1),"")</f>
        <v>M</v>
      </c>
      <c r="I1500" s="324" t="s">
        <v>4487</v>
      </c>
      <c r="J1500" s="431" t="str">
        <f>IF(B1500&lt;&gt;"",+VLOOKUP(I1500,Recursos!C:F,2,FALSE),"")</f>
        <v>Boca de DesaGúe Pluvial Premoldeada</v>
      </c>
      <c r="K1500" s="330" t="str">
        <f>IF(B1500&lt;&gt;"",+VLOOKUP(I1500,Recursos!C:F,3,FALSE),"")</f>
        <v>Un</v>
      </c>
      <c r="L1500" s="446">
        <f>IF(B1500&lt;&gt;"",+VLOOKUP(I1500,Recursos!C:F,4,FALSE),"")</f>
        <v>1500</v>
      </c>
      <c r="M1500" s="1637">
        <v>1</v>
      </c>
      <c r="N1500" s="1638">
        <f t="shared" ref="N1500" si="1289">M1500/$M$1499</f>
        <v>6.6666666666666666E-2</v>
      </c>
      <c r="O1500" s="1361">
        <f t="shared" ref="O1500:O1501" si="1290">N1500</f>
        <v>6.6666666666666666E-2</v>
      </c>
      <c r="P1500" s="333">
        <f t="shared" ref="P1500:P1501" si="1291">IF(B1500&lt;&gt;"",O1500*L1500,"")</f>
        <v>100</v>
      </c>
      <c r="Q1500" s="327">
        <f t="shared" ref="Q1500:Q1501" si="1292">IF(B1500&lt;&gt;"",+O1500*E1500,"")</f>
        <v>0</v>
      </c>
      <c r="R1500" s="334">
        <f t="shared" ref="R1500:R1501" si="1293">IF(B1500&lt;&gt;"",Q1500*L1500,"")</f>
        <v>0</v>
      </c>
      <c r="S1500" s="335">
        <f t="shared" si="1211"/>
        <v>408.62061426196908</v>
      </c>
      <c r="T1500" s="335">
        <f t="shared" si="1212"/>
        <v>0</v>
      </c>
      <c r="U1500" s="336">
        <f t="shared" si="1213"/>
        <v>460</v>
      </c>
      <c r="V1500" s="336">
        <f t="shared" si="1214"/>
        <v>0</v>
      </c>
      <c r="W1500" s="336">
        <f t="shared" si="1215"/>
        <v>0</v>
      </c>
      <c r="X1500" s="336">
        <f t="shared" si="1216"/>
        <v>0</v>
      </c>
      <c r="Y1500" s="320"/>
      <c r="Z1500" s="321" t="str">
        <f t="shared" ref="Z1500:Z1501" si="1294">IF(B1500&lt;&gt;"",+$B1500&amp;"A","")</f>
        <v>X-SISTPLUVA</v>
      </c>
      <c r="AA1500" s="321" t="str">
        <f t="shared" ref="AA1500:AA1501" si="1295">IF(B1500&lt;&gt;"",+$B1500&amp;"E","")</f>
        <v>X-SISTPLUVE</v>
      </c>
      <c r="AB1500" s="321" t="str">
        <f t="shared" ref="AB1500:AB1501" si="1296">IF(B1500&lt;&gt;"",++$B1500&amp;"M","")</f>
        <v>X-SISTPLUVM</v>
      </c>
      <c r="AC1500" s="321" t="str">
        <f t="shared" ref="AC1500:AC1501" si="1297">IF(B1500&lt;&gt;"",+$B1500&amp;"T","")</f>
        <v>X-SISTPLUVT</v>
      </c>
      <c r="AD1500" s="321" t="str">
        <f t="shared" ref="AD1500:AD1501" si="1298">IF(B1500&lt;&gt;"",+$B1500&amp;"S","")</f>
        <v>X-SISTPLUVS</v>
      </c>
      <c r="AE1500" s="321" t="str">
        <f t="shared" ref="AE1500:AE1501" si="1299">IF(B1500&lt;&gt;"",+$B1500&amp;"X","")</f>
        <v>X-SISTPLUVX</v>
      </c>
      <c r="AF1500" s="321" t="str">
        <f t="shared" ref="AF1500:AF1501" si="1300">IF(B1500&lt;&gt;"",+B1500&amp;H1500,"")</f>
        <v>X-SISTPLUVM</v>
      </c>
      <c r="AG1500" s="321">
        <f t="shared" si="1217"/>
        <v>5</v>
      </c>
      <c r="AH1500" s="321">
        <f>IF(B1500&lt;&gt;"",IF(H1500="x",VLOOKUP(I1500,'AUX-NIV3'!B:AG,32,FALSE),0),"")</f>
        <v>0</v>
      </c>
      <c r="AI1500" s="321" t="str">
        <f t="shared" ref="AI1500:AI1501" si="1301">IF(B1500&lt;&gt;"",+B1500,"")</f>
        <v>X-SISTPLUV</v>
      </c>
      <c r="AJ1500" s="320"/>
      <c r="AK1500" s="322">
        <f t="shared" si="1218"/>
        <v>1497</v>
      </c>
      <c r="AL1500" s="323">
        <f t="shared" ref="AL1500:AL1501" si="1302">IF(B1500&lt;&gt;"",+AK1500+AG1500-1,"")</f>
        <v>1501</v>
      </c>
      <c r="AM1500" s="322" t="e">
        <f>IF(B1500&lt;&gt;"",IF(B1500=#REF!,1+#REF!,1),"")</f>
        <v>#REF!</v>
      </c>
      <c r="AN1500" s="380">
        <f>IF(AND(AH1500&gt;0,B1500&lt;&gt;""),VLOOKUP(I1500,'AUX-NIV3'!$B:$AO,39,FALSE)*O1500,0)</f>
        <v>0</v>
      </c>
      <c r="AO1500" s="380">
        <f t="shared" si="1219"/>
        <v>0.88888888888888884</v>
      </c>
      <c r="AP1500" s="380"/>
    </row>
    <row r="1501" spans="2:42">
      <c r="B1501" s="501" t="s">
        <v>4477</v>
      </c>
      <c r="C1501" s="951" t="s">
        <v>4478</v>
      </c>
      <c r="D1501" s="326" t="s">
        <v>477</v>
      </c>
      <c r="E1501" s="327">
        <f>IF(B1501&lt;&gt;"",SUMIF('AUX-NIV1'!I:I,'AUX-NIV2'!B1501,'AUX-NIV1'!Q:Q),"")</f>
        <v>0</v>
      </c>
      <c r="F1501" s="327">
        <f t="shared" si="1209"/>
        <v>868.62061426196908</v>
      </c>
      <c r="G1501" s="327">
        <f t="shared" si="1210"/>
        <v>0</v>
      </c>
      <c r="H1501" s="328" t="str">
        <f t="shared" si="1288"/>
        <v>M</v>
      </c>
      <c r="I1501" s="324" t="s">
        <v>4398</v>
      </c>
      <c r="J1501" s="431" t="str">
        <f>IF(B1501&lt;&gt;"",+VLOOKUP(I1501,Recursos!C:F,2,FALSE),"")</f>
        <v>CAÑO CÁMARA</v>
      </c>
      <c r="K1501" s="330" t="str">
        <f>IF(B1501&lt;&gt;"",+VLOOKUP(I1501,Recursos!C:F,3,FALSE),"")</f>
        <v>Un</v>
      </c>
      <c r="L1501" s="446">
        <f>IF(B1501&lt;&gt;"",+VLOOKUP(I1501,Recursos!C:F,4,FALSE),"")</f>
        <v>670</v>
      </c>
      <c r="M1501" s="1637">
        <v>0</v>
      </c>
      <c r="N1501" s="1638">
        <f>M1501/$M$1499</f>
        <v>0</v>
      </c>
      <c r="O1501" s="1361">
        <f t="shared" si="1290"/>
        <v>0</v>
      </c>
      <c r="P1501" s="333">
        <f t="shared" si="1291"/>
        <v>0</v>
      </c>
      <c r="Q1501" s="327">
        <f t="shared" si="1292"/>
        <v>0</v>
      </c>
      <c r="R1501" s="334">
        <f t="shared" si="1293"/>
        <v>0</v>
      </c>
      <c r="S1501" s="335">
        <f t="shared" si="1211"/>
        <v>408.62061426196908</v>
      </c>
      <c r="T1501" s="335">
        <f t="shared" si="1212"/>
        <v>0</v>
      </c>
      <c r="U1501" s="336">
        <f t="shared" si="1213"/>
        <v>460</v>
      </c>
      <c r="V1501" s="336">
        <f t="shared" si="1214"/>
        <v>0</v>
      </c>
      <c r="W1501" s="336">
        <f t="shared" si="1215"/>
        <v>0</v>
      </c>
      <c r="X1501" s="336">
        <f t="shared" si="1216"/>
        <v>0</v>
      </c>
      <c r="Y1501" s="320"/>
      <c r="Z1501" s="321" t="str">
        <f t="shared" si="1294"/>
        <v>X-SISTPLUVA</v>
      </c>
      <c r="AA1501" s="321" t="str">
        <f t="shared" si="1295"/>
        <v>X-SISTPLUVE</v>
      </c>
      <c r="AB1501" s="321" t="str">
        <f t="shared" si="1296"/>
        <v>X-SISTPLUVM</v>
      </c>
      <c r="AC1501" s="321" t="str">
        <f t="shared" si="1297"/>
        <v>X-SISTPLUVT</v>
      </c>
      <c r="AD1501" s="321" t="str">
        <f t="shared" si="1298"/>
        <v>X-SISTPLUVS</v>
      </c>
      <c r="AE1501" s="321" t="str">
        <f t="shared" si="1299"/>
        <v>X-SISTPLUVX</v>
      </c>
      <c r="AF1501" s="321" t="str">
        <f t="shared" si="1300"/>
        <v>X-SISTPLUVM</v>
      </c>
      <c r="AG1501" s="321">
        <f t="shared" si="1217"/>
        <v>5</v>
      </c>
      <c r="AH1501" s="321">
        <f>IF(B1501&lt;&gt;"",IF(H1501="x",VLOOKUP(I1501,'AUX-NIV3'!B:AG,32,FALSE),0),"")</f>
        <v>0</v>
      </c>
      <c r="AI1501" s="321" t="str">
        <f t="shared" si="1301"/>
        <v>X-SISTPLUV</v>
      </c>
      <c r="AJ1501" s="320"/>
      <c r="AK1501" s="322">
        <f t="shared" si="1218"/>
        <v>1497</v>
      </c>
      <c r="AL1501" s="323">
        <f t="shared" si="1302"/>
        <v>1501</v>
      </c>
      <c r="AM1501" s="322" t="e">
        <f>IF(B1501&lt;&gt;"",IF(B1501=#REF!,1+#REF!,1),"")</f>
        <v>#REF!</v>
      </c>
      <c r="AN1501" s="380">
        <f>IF(AND(AH1501&gt;0,B1501&lt;&gt;""),VLOOKUP(I1501,'AUX-NIV3'!$B:$AO,39,FALSE)*O1501,0)</f>
        <v>0</v>
      </c>
      <c r="AO1501" s="380">
        <f t="shared" si="1219"/>
        <v>0.88888888888888884</v>
      </c>
      <c r="AP1501" s="380"/>
    </row>
    <row r="1502" spans="2:42" ht="13.8" hidden="1" thickTop="1">
      <c r="B1502" s="501" t="s">
        <v>4511</v>
      </c>
      <c r="C1502" s="951" t="s">
        <v>4512</v>
      </c>
      <c r="D1502" s="326" t="s">
        <v>1160</v>
      </c>
      <c r="E1502" s="327">
        <f>IF(B1502&lt;&gt;"",SUMIF('AUX-NIV1'!I:I,'AUX-NIV2'!B1502,'AUX-NIV1'!Q:Q),"")</f>
        <v>0</v>
      </c>
      <c r="F1502" s="327">
        <f t="shared" si="1209"/>
        <v>28537.750716925741</v>
      </c>
      <c r="G1502" s="327">
        <f t="shared" si="1210"/>
        <v>0</v>
      </c>
      <c r="H1502" s="328" t="str">
        <f t="shared" ref="H1502:H1507" si="1303">IF(B1502&lt;&gt;"",+LEFT(I1502,1),"")</f>
        <v>A</v>
      </c>
      <c r="I1502" s="324" t="s">
        <v>1745</v>
      </c>
      <c r="J1502" s="431" t="str">
        <f>IF(B1502&lt;&gt;"",+VLOOKUP(I1502,Recursos!C:F,2,FALSE),"")</f>
        <v>AYUDANTE</v>
      </c>
      <c r="K1502" s="330" t="str">
        <f>IF(B1502&lt;&gt;"",+VLOOKUP(I1502,Recursos!C:F,3,FALSE),"")</f>
        <v>hh</v>
      </c>
      <c r="L1502" s="446">
        <f>IF(B1502&lt;&gt;"",+VLOOKUP(I1502,Recursos!C:F,4,FALSE),"")</f>
        <v>422.48042769667234</v>
      </c>
      <c r="M1502" s="1270">
        <v>16</v>
      </c>
      <c r="N1502" s="1352">
        <v>4</v>
      </c>
      <c r="O1502" s="1361">
        <f>N1502/$M$1502</f>
        <v>0.25</v>
      </c>
      <c r="P1502" s="333">
        <f t="shared" ref="P1502:P1507" si="1304">IF(B1502&lt;&gt;"",O1502*L1502,"")</f>
        <v>105.62010692416808</v>
      </c>
      <c r="Q1502" s="327">
        <f t="shared" ref="Q1502:Q1507" si="1305">IF(B1502&lt;&gt;"",+O1502*E1502,"")</f>
        <v>0</v>
      </c>
      <c r="R1502" s="334">
        <f t="shared" ref="R1502:R1507" si="1306">IF(B1502&lt;&gt;"",Q1502*L1502,"")</f>
        <v>0</v>
      </c>
      <c r="S1502" s="335">
        <f t="shared" si="1211"/>
        <v>167.73460122326287</v>
      </c>
      <c r="T1502" s="335">
        <f t="shared" si="1212"/>
        <v>0</v>
      </c>
      <c r="U1502" s="336">
        <f t="shared" si="1213"/>
        <v>28370.016115702478</v>
      </c>
      <c r="V1502" s="336">
        <f t="shared" si="1214"/>
        <v>0</v>
      </c>
      <c r="W1502" s="336">
        <f t="shared" si="1215"/>
        <v>0</v>
      </c>
      <c r="X1502" s="336">
        <f t="shared" si="1216"/>
        <v>0</v>
      </c>
      <c r="Y1502" s="320"/>
      <c r="Z1502" s="321" t="str">
        <f t="shared" ref="Z1502:Z1507" si="1307">IF(B1502&lt;&gt;"",+$B1502&amp;"A","")</f>
        <v>X-HoHaVIGCOLA</v>
      </c>
      <c r="AA1502" s="321" t="str">
        <f t="shared" ref="AA1502:AA1507" si="1308">IF(B1502&lt;&gt;"",+$B1502&amp;"E","")</f>
        <v>X-HoHaVIGCOLE</v>
      </c>
      <c r="AB1502" s="321" t="str">
        <f t="shared" ref="AB1502:AB1507" si="1309">IF(B1502&lt;&gt;"",++$B1502&amp;"M","")</f>
        <v>X-HoHaVIGCOLM</v>
      </c>
      <c r="AC1502" s="321" t="str">
        <f t="shared" ref="AC1502:AC1507" si="1310">IF(B1502&lt;&gt;"",+$B1502&amp;"T","")</f>
        <v>X-HoHaVIGCOLT</v>
      </c>
      <c r="AD1502" s="321" t="str">
        <f t="shared" ref="AD1502:AD1507" si="1311">IF(B1502&lt;&gt;"",+$B1502&amp;"S","")</f>
        <v>X-HoHaVIGCOLS</v>
      </c>
      <c r="AE1502" s="321" t="str">
        <f t="shared" ref="AE1502:AE1507" si="1312">IF(B1502&lt;&gt;"",+$B1502&amp;"X","")</f>
        <v>X-HoHaVIGCOLX</v>
      </c>
      <c r="AF1502" s="321" t="str">
        <f t="shared" ref="AF1502:AF1507" si="1313">IF(B1502&lt;&gt;"",+B1502&amp;H1502,"")</f>
        <v>X-HoHaVIGCOLA</v>
      </c>
      <c r="AG1502" s="321">
        <f t="shared" si="1217"/>
        <v>6</v>
      </c>
      <c r="AH1502" s="321">
        <f>IF(B1502&lt;&gt;"",IF(H1502="x",VLOOKUP(I1502,'AUX-NIV3'!B:AG,32,FALSE),0),"")</f>
        <v>0</v>
      </c>
      <c r="AI1502" s="321" t="str">
        <f t="shared" ref="AI1502:AI1507" si="1314">IF(B1502&lt;&gt;"",+B1502,"")</f>
        <v>X-HoHaVIGCOL</v>
      </c>
      <c r="AJ1502" s="320"/>
      <c r="AK1502" s="322">
        <f t="shared" si="1218"/>
        <v>1502</v>
      </c>
      <c r="AL1502" s="323">
        <f t="shared" ref="AL1502:AL1507" si="1315">IF(B1502&lt;&gt;"",+AK1502+AG1502-1,"")</f>
        <v>1507</v>
      </c>
      <c r="AM1502" s="322" t="e">
        <f>IF(B1502&lt;&gt;"",IF(B1502=#REF!,1+#REF!,1),"")</f>
        <v>#REF!</v>
      </c>
      <c r="AN1502" s="380">
        <f>IF(AND(AH1502&gt;0,B1502&lt;&gt;""),VLOOKUP(I1502,'AUX-NIV3'!$B:$AO,39,FALSE)*O1502,0)</f>
        <v>0</v>
      </c>
      <c r="AO1502" s="380">
        <f t="shared" si="1219"/>
        <v>0.375</v>
      </c>
      <c r="AP1502" s="380"/>
    </row>
    <row r="1503" spans="2:42" hidden="1">
      <c r="B1503" s="501" t="s">
        <v>4511</v>
      </c>
      <c r="C1503" s="951" t="s">
        <v>4512</v>
      </c>
      <c r="D1503" s="326" t="s">
        <v>1160</v>
      </c>
      <c r="E1503" s="327">
        <f>IF(B1503&lt;&gt;"",SUMIF('AUX-NIV1'!I:I,'AUX-NIV2'!B1503,'AUX-NIV1'!Q:Q),"")</f>
        <v>0</v>
      </c>
      <c r="F1503" s="327">
        <f t="shared" si="1209"/>
        <v>28537.750716925741</v>
      </c>
      <c r="G1503" s="327">
        <f t="shared" si="1210"/>
        <v>0</v>
      </c>
      <c r="H1503" s="328" t="str">
        <f t="shared" si="1303"/>
        <v>A</v>
      </c>
      <c r="I1503" s="324" t="s">
        <v>1746</v>
      </c>
      <c r="J1503" s="431" t="str">
        <f>IF(B1503&lt;&gt;"",+VLOOKUP(I1503,Recursos!C:F,2,FALSE),"")</f>
        <v>OFICIAL</v>
      </c>
      <c r="K1503" s="330" t="str">
        <f>IF(B1503&lt;&gt;"",+VLOOKUP(I1503,Recursos!C:F,3,FALSE),"")</f>
        <v>hh</v>
      </c>
      <c r="L1503" s="446">
        <f>IF(B1503&lt;&gt;"",+VLOOKUP(I1503,Recursos!C:F,4,FALSE),"")</f>
        <v>496.91595439275824</v>
      </c>
      <c r="M1503" s="1637"/>
      <c r="N1503" s="1638">
        <v>2</v>
      </c>
      <c r="O1503" s="1361">
        <f>N1503/$M$1502</f>
        <v>0.125</v>
      </c>
      <c r="P1503" s="333">
        <f t="shared" si="1304"/>
        <v>62.11449429909478</v>
      </c>
      <c r="Q1503" s="327">
        <f t="shared" si="1305"/>
        <v>0</v>
      </c>
      <c r="R1503" s="334">
        <f t="shared" si="1306"/>
        <v>0</v>
      </c>
      <c r="S1503" s="335">
        <f t="shared" si="1211"/>
        <v>167.73460122326287</v>
      </c>
      <c r="T1503" s="335">
        <f t="shared" si="1212"/>
        <v>0</v>
      </c>
      <c r="U1503" s="336">
        <f t="shared" si="1213"/>
        <v>28370.016115702478</v>
      </c>
      <c r="V1503" s="336">
        <f t="shared" si="1214"/>
        <v>0</v>
      </c>
      <c r="W1503" s="336">
        <f t="shared" si="1215"/>
        <v>0</v>
      </c>
      <c r="X1503" s="336">
        <f t="shared" si="1216"/>
        <v>0</v>
      </c>
      <c r="Y1503" s="320"/>
      <c r="Z1503" s="321" t="str">
        <f t="shared" si="1307"/>
        <v>X-HoHaVIGCOLA</v>
      </c>
      <c r="AA1503" s="321" t="str">
        <f t="shared" si="1308"/>
        <v>X-HoHaVIGCOLE</v>
      </c>
      <c r="AB1503" s="321" t="str">
        <f t="shared" si="1309"/>
        <v>X-HoHaVIGCOLM</v>
      </c>
      <c r="AC1503" s="321" t="str">
        <f t="shared" si="1310"/>
        <v>X-HoHaVIGCOLT</v>
      </c>
      <c r="AD1503" s="321" t="str">
        <f t="shared" si="1311"/>
        <v>X-HoHaVIGCOLS</v>
      </c>
      <c r="AE1503" s="321" t="str">
        <f t="shared" si="1312"/>
        <v>X-HoHaVIGCOLX</v>
      </c>
      <c r="AF1503" s="321" t="str">
        <f t="shared" si="1313"/>
        <v>X-HoHaVIGCOLA</v>
      </c>
      <c r="AG1503" s="321">
        <f t="shared" si="1217"/>
        <v>6</v>
      </c>
      <c r="AH1503" s="321">
        <f>IF(B1503&lt;&gt;"",IF(H1503="x",VLOOKUP(I1503,'AUX-NIV3'!B:AG,32,FALSE),0),"")</f>
        <v>0</v>
      </c>
      <c r="AI1503" s="321" t="str">
        <f t="shared" si="1314"/>
        <v>X-HoHaVIGCOL</v>
      </c>
      <c r="AJ1503" s="320"/>
      <c r="AK1503" s="322">
        <f t="shared" si="1218"/>
        <v>1502</v>
      </c>
      <c r="AL1503" s="323">
        <f t="shared" si="1315"/>
        <v>1507</v>
      </c>
      <c r="AM1503" s="322" t="e">
        <f>IF(B1503&lt;&gt;"",IF(B1503=#REF!,1+#REF!,1),"")</f>
        <v>#REF!</v>
      </c>
      <c r="AN1503" s="380">
        <f>IF(AND(AH1503&gt;0,B1503&lt;&gt;""),VLOOKUP(I1503,'AUX-NIV3'!$B:$AO,39,FALSE)*O1503,0)</f>
        <v>0</v>
      </c>
      <c r="AO1503" s="380">
        <f t="shared" si="1219"/>
        <v>0.375</v>
      </c>
      <c r="AP1503" s="380"/>
    </row>
    <row r="1504" spans="2:42" hidden="1">
      <c r="B1504" s="501" t="s">
        <v>4511</v>
      </c>
      <c r="C1504" s="951" t="s">
        <v>4512</v>
      </c>
      <c r="D1504" s="326" t="s">
        <v>1160</v>
      </c>
      <c r="E1504" s="327">
        <f>IF(B1504&lt;&gt;"",SUMIF('AUX-NIV1'!I:I,'AUX-NIV2'!B1504,'AUX-NIV1'!Q:Q),"")</f>
        <v>0</v>
      </c>
      <c r="F1504" s="327">
        <f t="shared" si="1209"/>
        <v>28537.750716925741</v>
      </c>
      <c r="G1504" s="327">
        <f t="shared" si="1210"/>
        <v>0</v>
      </c>
      <c r="H1504" s="328" t="str">
        <f t="shared" si="1303"/>
        <v>M</v>
      </c>
      <c r="I1504" s="324" t="s">
        <v>439</v>
      </c>
      <c r="J1504" s="431" t="str">
        <f>IF(B1504&lt;&gt;"",+VLOOKUP(I1504,Recursos!C:F,2,FALSE),"")</f>
        <v>ACERO TIPO ADN 420</v>
      </c>
      <c r="K1504" s="330" t="str">
        <f>IF(B1504&lt;&gt;"",+VLOOKUP(I1504,Recursos!C:F,3,FALSE),"")</f>
        <v>tn</v>
      </c>
      <c r="L1504" s="446">
        <f>IF(B1504&lt;&gt;"",+VLOOKUP(I1504,Recursos!C:F,4,FALSE),"")</f>
        <v>190082.64462809917</v>
      </c>
      <c r="M1504" s="1637">
        <v>0.11</v>
      </c>
      <c r="N1504" s="1638">
        <v>1</v>
      </c>
      <c r="O1504" s="1361">
        <f>N1504*M1504</f>
        <v>0.11</v>
      </c>
      <c r="P1504" s="333">
        <f t="shared" si="1304"/>
        <v>20909.090909090908</v>
      </c>
      <c r="Q1504" s="327">
        <f t="shared" si="1305"/>
        <v>0</v>
      </c>
      <c r="R1504" s="334">
        <f t="shared" si="1306"/>
        <v>0</v>
      </c>
      <c r="S1504" s="335">
        <f t="shared" si="1211"/>
        <v>167.73460122326287</v>
      </c>
      <c r="T1504" s="335">
        <f t="shared" si="1212"/>
        <v>0</v>
      </c>
      <c r="U1504" s="336">
        <f t="shared" si="1213"/>
        <v>28370.016115702478</v>
      </c>
      <c r="V1504" s="336">
        <f t="shared" si="1214"/>
        <v>0</v>
      </c>
      <c r="W1504" s="336">
        <f t="shared" si="1215"/>
        <v>0</v>
      </c>
      <c r="X1504" s="336">
        <f t="shared" si="1216"/>
        <v>0</v>
      </c>
      <c r="Y1504" s="320"/>
      <c r="Z1504" s="321" t="str">
        <f t="shared" si="1307"/>
        <v>X-HoHaVIGCOLA</v>
      </c>
      <c r="AA1504" s="321" t="str">
        <f t="shared" si="1308"/>
        <v>X-HoHaVIGCOLE</v>
      </c>
      <c r="AB1504" s="321" t="str">
        <f t="shared" si="1309"/>
        <v>X-HoHaVIGCOLM</v>
      </c>
      <c r="AC1504" s="321" t="str">
        <f t="shared" si="1310"/>
        <v>X-HoHaVIGCOLT</v>
      </c>
      <c r="AD1504" s="321" t="str">
        <f t="shared" si="1311"/>
        <v>X-HoHaVIGCOLS</v>
      </c>
      <c r="AE1504" s="321" t="str">
        <f t="shared" si="1312"/>
        <v>X-HoHaVIGCOLX</v>
      </c>
      <c r="AF1504" s="321" t="str">
        <f t="shared" si="1313"/>
        <v>X-HoHaVIGCOLM</v>
      </c>
      <c r="AG1504" s="321">
        <f t="shared" si="1217"/>
        <v>6</v>
      </c>
      <c r="AH1504" s="321">
        <f>IF(B1504&lt;&gt;"",IF(H1504="x",VLOOKUP(I1504,'AUX-NIV3'!B:AG,32,FALSE),0),"")</f>
        <v>0</v>
      </c>
      <c r="AI1504" s="321" t="str">
        <f t="shared" si="1314"/>
        <v>X-HoHaVIGCOL</v>
      </c>
      <c r="AJ1504" s="320"/>
      <c r="AK1504" s="322">
        <f t="shared" si="1218"/>
        <v>1502</v>
      </c>
      <c r="AL1504" s="323">
        <f t="shared" si="1315"/>
        <v>1507</v>
      </c>
      <c r="AM1504" s="322" t="e">
        <f>IF(B1504&lt;&gt;"",IF(B1504=#REF!,1+#REF!,1),"")</f>
        <v>#REF!</v>
      </c>
      <c r="AN1504" s="380">
        <f>IF(AND(AH1504&gt;0,B1504&lt;&gt;""),VLOOKUP(I1504,'AUX-NIV3'!$B:$AO,39,FALSE)*O1504,0)</f>
        <v>0</v>
      </c>
      <c r="AO1504" s="380">
        <f t="shared" si="1219"/>
        <v>0.375</v>
      </c>
      <c r="AP1504" s="380"/>
    </row>
    <row r="1505" spans="2:42" hidden="1">
      <c r="B1505" s="501" t="s">
        <v>4511</v>
      </c>
      <c r="C1505" s="951" t="s">
        <v>4512</v>
      </c>
      <c r="D1505" s="326" t="s">
        <v>1160</v>
      </c>
      <c r="E1505" s="327">
        <f>IF(B1505&lt;&gt;"",SUMIF('AUX-NIV1'!I:I,'AUX-NIV2'!B1505,'AUX-NIV1'!Q:Q),"")</f>
        <v>0</v>
      </c>
      <c r="F1505" s="327">
        <f t="shared" si="1209"/>
        <v>28537.750716925741</v>
      </c>
      <c r="G1505" s="327">
        <f t="shared" si="1210"/>
        <v>0</v>
      </c>
      <c r="H1505" s="328" t="str">
        <f t="shared" si="1303"/>
        <v>M</v>
      </c>
      <c r="I1505" s="324" t="s">
        <v>3213</v>
      </c>
      <c r="J1505" s="431" t="str">
        <f>IF(B1505&lt;&gt;"",+VLOOKUP(I1505,Recursos!C:F,2,FALSE),"")</f>
        <v>HORMIGON ELABORADO H25 TRANSPORTADO</v>
      </c>
      <c r="K1505" s="330" t="str">
        <f>IF(B1505&lt;&gt;"",+VLOOKUP(I1505,Recursos!C:F,3,FALSE),"")</f>
        <v>m3</v>
      </c>
      <c r="L1505" s="446">
        <f>IF(B1505&lt;&gt;"",+VLOOKUP(I1505,Recursos!C:F,4,FALSE),"")</f>
        <v>6117.95</v>
      </c>
      <c r="M1505" s="1637">
        <v>1</v>
      </c>
      <c r="N1505" s="1638">
        <v>1</v>
      </c>
      <c r="O1505" s="1361">
        <f t="shared" ref="O1505:O1507" si="1316">N1505*M1505</f>
        <v>1</v>
      </c>
      <c r="P1505" s="333">
        <f t="shared" si="1304"/>
        <v>6117.95</v>
      </c>
      <c r="Q1505" s="327">
        <f t="shared" si="1305"/>
        <v>0</v>
      </c>
      <c r="R1505" s="334">
        <f t="shared" si="1306"/>
        <v>0</v>
      </c>
      <c r="S1505" s="335">
        <f t="shared" si="1211"/>
        <v>167.73460122326287</v>
      </c>
      <c r="T1505" s="335">
        <f t="shared" si="1212"/>
        <v>0</v>
      </c>
      <c r="U1505" s="336">
        <f t="shared" si="1213"/>
        <v>28370.016115702478</v>
      </c>
      <c r="V1505" s="336">
        <f t="shared" si="1214"/>
        <v>0</v>
      </c>
      <c r="W1505" s="336">
        <f t="shared" si="1215"/>
        <v>0</v>
      </c>
      <c r="X1505" s="336">
        <f t="shared" si="1216"/>
        <v>0</v>
      </c>
      <c r="Y1505" s="320"/>
      <c r="Z1505" s="321" t="str">
        <f t="shared" si="1307"/>
        <v>X-HoHaVIGCOLA</v>
      </c>
      <c r="AA1505" s="321" t="str">
        <f t="shared" si="1308"/>
        <v>X-HoHaVIGCOLE</v>
      </c>
      <c r="AB1505" s="321" t="str">
        <f t="shared" si="1309"/>
        <v>X-HoHaVIGCOLM</v>
      </c>
      <c r="AC1505" s="321" t="str">
        <f t="shared" si="1310"/>
        <v>X-HoHaVIGCOLT</v>
      </c>
      <c r="AD1505" s="321" t="str">
        <f t="shared" si="1311"/>
        <v>X-HoHaVIGCOLS</v>
      </c>
      <c r="AE1505" s="321" t="str">
        <f t="shared" si="1312"/>
        <v>X-HoHaVIGCOLX</v>
      </c>
      <c r="AF1505" s="321" t="str">
        <f t="shared" si="1313"/>
        <v>X-HoHaVIGCOLM</v>
      </c>
      <c r="AG1505" s="321">
        <f t="shared" si="1217"/>
        <v>6</v>
      </c>
      <c r="AH1505" s="321">
        <f>IF(B1505&lt;&gt;"",IF(H1505="x",VLOOKUP(I1505,'AUX-NIV3'!B:AG,32,FALSE),0),"")</f>
        <v>0</v>
      </c>
      <c r="AI1505" s="321" t="str">
        <f t="shared" si="1314"/>
        <v>X-HoHaVIGCOL</v>
      </c>
      <c r="AJ1505" s="320"/>
      <c r="AK1505" s="322">
        <f t="shared" si="1218"/>
        <v>1502</v>
      </c>
      <c r="AL1505" s="323">
        <f t="shared" si="1315"/>
        <v>1507</v>
      </c>
      <c r="AM1505" s="322" t="e">
        <f>IF(B1505&lt;&gt;"",IF(B1505=#REF!,1+#REF!,1),"")</f>
        <v>#REF!</v>
      </c>
      <c r="AN1505" s="380">
        <f>IF(AND(AH1505&gt;0,B1505&lt;&gt;""),VLOOKUP(I1505,'AUX-NIV3'!$B:$AO,39,FALSE)*O1505,0)</f>
        <v>0</v>
      </c>
      <c r="AO1505" s="380">
        <f t="shared" si="1219"/>
        <v>0.375</v>
      </c>
      <c r="AP1505" s="380"/>
    </row>
    <row r="1506" spans="2:42" hidden="1">
      <c r="B1506" s="501" t="s">
        <v>4511</v>
      </c>
      <c r="C1506" s="951" t="s">
        <v>4512</v>
      </c>
      <c r="D1506" s="326" t="s">
        <v>1160</v>
      </c>
      <c r="E1506" s="327">
        <f>IF(B1506&lt;&gt;"",SUMIF('AUX-NIV1'!I:I,'AUX-NIV2'!B1506,'AUX-NIV1'!Q:Q),"")</f>
        <v>0</v>
      </c>
      <c r="F1506" s="327">
        <f t="shared" si="1209"/>
        <v>28537.750716925741</v>
      </c>
      <c r="G1506" s="327">
        <f t="shared" si="1210"/>
        <v>0</v>
      </c>
      <c r="H1506" s="328" t="str">
        <f t="shared" si="1303"/>
        <v>M</v>
      </c>
      <c r="I1506" s="324" t="s">
        <v>4314</v>
      </c>
      <c r="J1506" s="431" t="str">
        <f>IF(B1506&lt;&gt;"",+VLOOKUP(I1506,Recursos!C:F,2,FALSE),"")</f>
        <v>TABLAS 1X6 PARA ENCOFRADO</v>
      </c>
      <c r="K1506" s="330" t="str">
        <f>IF(B1506&lt;&gt;"",+VLOOKUP(I1506,Recursos!C:F,3,FALSE),"")</f>
        <v>m</v>
      </c>
      <c r="L1506" s="446">
        <f>IF(B1506&lt;&gt;"",+VLOOKUP(I1506,Recursos!C:F,4,FALSE),"")</f>
        <v>92.975206611570258</v>
      </c>
      <c r="M1506" s="1637">
        <f>1/0.15*13</f>
        <v>86.666666666666671</v>
      </c>
      <c r="N1506" s="1638">
        <v>6</v>
      </c>
      <c r="O1506" s="1361">
        <f>M1506/N1506</f>
        <v>14.444444444444445</v>
      </c>
      <c r="P1506" s="333">
        <f>IF(B1506&lt;&gt;"",O1506*L1506,"")</f>
        <v>1342.9752066115705</v>
      </c>
      <c r="Q1506" s="327">
        <f>IF(B1506&lt;&gt;"",+O1506*E1506,"")</f>
        <v>0</v>
      </c>
      <c r="R1506" s="334">
        <f>IF(B1506&lt;&gt;"",Q1506*L1506,"")</f>
        <v>0</v>
      </c>
      <c r="S1506" s="335">
        <f t="shared" si="1211"/>
        <v>167.73460122326287</v>
      </c>
      <c r="T1506" s="335">
        <f t="shared" si="1212"/>
        <v>0</v>
      </c>
      <c r="U1506" s="336">
        <f t="shared" si="1213"/>
        <v>28370.016115702478</v>
      </c>
      <c r="V1506" s="336">
        <f t="shared" si="1214"/>
        <v>0</v>
      </c>
      <c r="W1506" s="336">
        <f t="shared" si="1215"/>
        <v>0</v>
      </c>
      <c r="X1506" s="336">
        <f t="shared" si="1216"/>
        <v>0</v>
      </c>
      <c r="Y1506" s="320"/>
      <c r="Z1506" s="321" t="str">
        <f t="shared" si="1307"/>
        <v>X-HoHaVIGCOLA</v>
      </c>
      <c r="AA1506" s="321" t="str">
        <f t="shared" si="1308"/>
        <v>X-HoHaVIGCOLE</v>
      </c>
      <c r="AB1506" s="321" t="str">
        <f t="shared" si="1309"/>
        <v>X-HoHaVIGCOLM</v>
      </c>
      <c r="AC1506" s="321" t="str">
        <f t="shared" si="1310"/>
        <v>X-HoHaVIGCOLT</v>
      </c>
      <c r="AD1506" s="321" t="str">
        <f t="shared" si="1311"/>
        <v>X-HoHaVIGCOLS</v>
      </c>
      <c r="AE1506" s="321" t="str">
        <f t="shared" si="1312"/>
        <v>X-HoHaVIGCOLX</v>
      </c>
      <c r="AF1506" s="321" t="str">
        <f t="shared" si="1313"/>
        <v>X-HoHaVIGCOLM</v>
      </c>
      <c r="AG1506" s="321">
        <f t="shared" si="1217"/>
        <v>6</v>
      </c>
      <c r="AH1506" s="321">
        <f>IF(B1506&lt;&gt;"",IF(H1506="x",VLOOKUP(I1506,'AUX-NIV3'!B:AG,32,FALSE),0),"")</f>
        <v>0</v>
      </c>
      <c r="AI1506" s="321" t="str">
        <f t="shared" si="1314"/>
        <v>X-HoHaVIGCOL</v>
      </c>
      <c r="AJ1506" s="320"/>
      <c r="AK1506" s="322">
        <f t="shared" si="1218"/>
        <v>1502</v>
      </c>
      <c r="AL1506" s="323">
        <f t="shared" si="1315"/>
        <v>1507</v>
      </c>
      <c r="AM1506" s="322" t="e">
        <f>IF(B1506&lt;&gt;"",IF(B1506=#REF!,1+#REF!,1),"")</f>
        <v>#REF!</v>
      </c>
      <c r="AN1506" s="380">
        <f>IF(AND(AH1506&gt;0,B1506&lt;&gt;""),VLOOKUP(I1506,'AUX-NIV3'!$B:$AO,39,FALSE)*O1506,0)</f>
        <v>0</v>
      </c>
      <c r="AO1506" s="380">
        <f t="shared" si="1219"/>
        <v>0.375</v>
      </c>
      <c r="AP1506" s="380"/>
    </row>
    <row r="1507" spans="2:42" hidden="1">
      <c r="B1507" s="501" t="s">
        <v>4511</v>
      </c>
      <c r="C1507" s="951" t="s">
        <v>4512</v>
      </c>
      <c r="D1507" s="326" t="s">
        <v>1160</v>
      </c>
      <c r="E1507" s="327">
        <f>IF(B1507&lt;&gt;"",SUMIF('AUX-NIV1'!I:I,'AUX-NIV2'!B1507,'AUX-NIV1'!Q:Q),"")</f>
        <v>0</v>
      </c>
      <c r="F1507" s="327">
        <f t="shared" si="1209"/>
        <v>28537.750716925741</v>
      </c>
      <c r="G1507" s="327">
        <f t="shared" si="1210"/>
        <v>0</v>
      </c>
      <c r="H1507" s="328" t="str">
        <f t="shared" si="1303"/>
        <v>M</v>
      </c>
      <c r="I1507" s="324" t="s">
        <v>621</v>
      </c>
      <c r="J1507" s="431" t="str">
        <f>IF(B1507&lt;&gt;"",+VLOOKUP(I1507,Recursos!C:F,2,FALSE),"")</f>
        <v>MATERIALES VARIOS</v>
      </c>
      <c r="K1507" s="330" t="str">
        <f>IF(B1507&lt;&gt;"",+VLOOKUP(I1507,Recursos!C:F,3,FALSE),"")</f>
        <v>GL</v>
      </c>
      <c r="L1507" s="446">
        <f>IF(B1507&lt;&gt;"",+VLOOKUP(I1507,Recursos!C:F,4,FALSE),"")</f>
        <v>0.5</v>
      </c>
      <c r="M1507" s="1637"/>
      <c r="N1507" s="1638"/>
      <c r="O1507" s="1361">
        <f t="shared" si="1316"/>
        <v>0</v>
      </c>
      <c r="P1507" s="333">
        <f t="shared" si="1304"/>
        <v>0</v>
      </c>
      <c r="Q1507" s="327">
        <f t="shared" si="1305"/>
        <v>0</v>
      </c>
      <c r="R1507" s="334">
        <f t="shared" si="1306"/>
        <v>0</v>
      </c>
      <c r="S1507" s="335">
        <f t="shared" si="1211"/>
        <v>167.73460122326287</v>
      </c>
      <c r="T1507" s="335">
        <f t="shared" si="1212"/>
        <v>0</v>
      </c>
      <c r="U1507" s="336">
        <f t="shared" si="1213"/>
        <v>28370.016115702478</v>
      </c>
      <c r="V1507" s="336">
        <f t="shared" si="1214"/>
        <v>0</v>
      </c>
      <c r="W1507" s="336">
        <f t="shared" si="1215"/>
        <v>0</v>
      </c>
      <c r="X1507" s="336">
        <f t="shared" si="1216"/>
        <v>0</v>
      </c>
      <c r="Y1507" s="320"/>
      <c r="Z1507" s="321" t="str">
        <f t="shared" si="1307"/>
        <v>X-HoHaVIGCOLA</v>
      </c>
      <c r="AA1507" s="321" t="str">
        <f t="shared" si="1308"/>
        <v>X-HoHaVIGCOLE</v>
      </c>
      <c r="AB1507" s="321" t="str">
        <f t="shared" si="1309"/>
        <v>X-HoHaVIGCOLM</v>
      </c>
      <c r="AC1507" s="321" t="str">
        <f t="shared" si="1310"/>
        <v>X-HoHaVIGCOLT</v>
      </c>
      <c r="AD1507" s="321" t="str">
        <f t="shared" si="1311"/>
        <v>X-HoHaVIGCOLS</v>
      </c>
      <c r="AE1507" s="321" t="str">
        <f t="shared" si="1312"/>
        <v>X-HoHaVIGCOLX</v>
      </c>
      <c r="AF1507" s="321" t="str">
        <f t="shared" si="1313"/>
        <v>X-HoHaVIGCOLM</v>
      </c>
      <c r="AG1507" s="321">
        <f t="shared" si="1217"/>
        <v>6</v>
      </c>
      <c r="AH1507" s="321">
        <f>IF(B1507&lt;&gt;"",IF(H1507="x",VLOOKUP(I1507,'AUX-NIV3'!B:AG,32,FALSE),0),"")</f>
        <v>0</v>
      </c>
      <c r="AI1507" s="321" t="str">
        <f t="shared" si="1314"/>
        <v>X-HoHaVIGCOL</v>
      </c>
      <c r="AJ1507" s="320"/>
      <c r="AK1507" s="322">
        <f t="shared" si="1218"/>
        <v>1502</v>
      </c>
      <c r="AL1507" s="323">
        <f t="shared" si="1315"/>
        <v>1507</v>
      </c>
      <c r="AM1507" s="322" t="e">
        <f>IF(B1507&lt;&gt;"",IF(B1507=#REF!,1+#REF!,1),"")</f>
        <v>#REF!</v>
      </c>
      <c r="AN1507" s="380">
        <f>IF(AND(AH1507&gt;0,B1507&lt;&gt;""),VLOOKUP(I1507,'AUX-NIV3'!$B:$AO,39,FALSE)*O1507,0)</f>
        <v>0</v>
      </c>
      <c r="AO1507" s="380">
        <f t="shared" si="1219"/>
        <v>0.375</v>
      </c>
      <c r="AP1507" s="380"/>
    </row>
  </sheetData>
  <autoFilter ref="B6:X1507">
    <filterColumn colId="3">
      <filters>
        <filter val="0.04"/>
        <filter val="0.23"/>
        <filter val="0.24"/>
        <filter val="0.26"/>
        <filter val="0.90"/>
        <filter val="1.00"/>
        <filter val="10.00"/>
        <filter val="11.00"/>
        <filter val="14.48"/>
        <filter val="15.00"/>
        <filter val="15.14"/>
        <filter val="16.51"/>
        <filter val="173.95"/>
        <filter val="20.00"/>
        <filter val="23.00"/>
        <filter val="3.62"/>
        <filter val="38.53"/>
        <filter val="5.00"/>
        <filter val="6.00"/>
        <filter val="7.99"/>
      </filters>
    </filterColumn>
  </autoFilter>
  <phoneticPr fontId="0" type="noConversion"/>
  <pageMargins left="0.75" right="0.75" top="1" bottom="1" header="0.5" footer="0.5"/>
  <pageSetup orientation="portrait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B1:CB489"/>
  <sheetViews>
    <sheetView zoomScale="85" zoomScaleNormal="85" workbookViewId="0">
      <pane ySplit="6" topLeftCell="A476" activePane="bottomLeft" state="frozen"/>
      <selection pane="bottomLeft" activeCell="B1" sqref="B1:B1048576"/>
    </sheetView>
  </sheetViews>
  <sheetFormatPr baseColWidth="10" defaultColWidth="9.109375" defaultRowHeight="13.2"/>
  <cols>
    <col min="1" max="1" width="0.88671875" customWidth="1"/>
    <col min="2" max="2" width="13.33203125" customWidth="1"/>
    <col min="3" max="3" width="38.5546875" customWidth="1"/>
    <col min="5" max="5" width="11.33203125" bestFit="1" customWidth="1"/>
    <col min="6" max="6" width="10.44140625" customWidth="1"/>
    <col min="9" max="9" width="11.6640625" customWidth="1"/>
    <col min="10" max="10" width="36.44140625" customWidth="1"/>
    <col min="12" max="12" width="10" customWidth="1"/>
    <col min="13" max="14" width="10.33203125" bestFit="1" customWidth="1"/>
    <col min="15" max="15" width="10.6640625" bestFit="1" customWidth="1"/>
    <col min="16" max="16" width="10.109375" customWidth="1"/>
    <col min="40" max="40" width="9.5546875" customWidth="1"/>
    <col min="43" max="43" width="12.33203125" bestFit="1" customWidth="1"/>
  </cols>
  <sheetData>
    <row r="1" spans="2:41" ht="3.75" customHeight="1"/>
    <row r="2" spans="2:41" ht="15" customHeight="1">
      <c r="B2" s="82" t="s">
        <v>1224</v>
      </c>
      <c r="D2" s="306">
        <f>+COUNTA(B:B)-3</f>
        <v>482</v>
      </c>
    </row>
    <row r="3" spans="2:41" ht="15" customHeight="1"/>
    <row r="4" spans="2:41" ht="15" customHeight="1" thickBot="1">
      <c r="S4" s="393">
        <f t="shared" ref="S4:X4" si="0">+S7/SUM($S$7:$X$7)</f>
        <v>0.1034802884615781</v>
      </c>
      <c r="T4" s="393">
        <f t="shared" si="0"/>
        <v>0.89494143176676411</v>
      </c>
      <c r="U4" s="393">
        <f t="shared" si="0"/>
        <v>1.5782797716577931E-3</v>
      </c>
      <c r="V4" s="393">
        <f t="shared" si="0"/>
        <v>0</v>
      </c>
      <c r="W4" s="393">
        <f t="shared" si="0"/>
        <v>0</v>
      </c>
      <c r="X4" s="393">
        <f t="shared" si="0"/>
        <v>0</v>
      </c>
    </row>
    <row r="5" spans="2:41" ht="33.75" customHeight="1" thickTop="1" thickBot="1">
      <c r="B5" s="299" t="s">
        <v>206</v>
      </c>
      <c r="C5" s="300"/>
      <c r="D5" s="300"/>
      <c r="E5" s="300"/>
      <c r="F5" s="300"/>
      <c r="G5" s="301"/>
      <c r="H5" s="237" t="s">
        <v>1218</v>
      </c>
      <c r="I5" s="238"/>
      <c r="J5" s="238"/>
      <c r="K5" s="238"/>
      <c r="L5" s="239"/>
      <c r="M5" s="240" t="s">
        <v>1219</v>
      </c>
      <c r="N5" s="240"/>
      <c r="O5" s="240"/>
      <c r="P5" s="240"/>
      <c r="Q5" s="240"/>
      <c r="R5" s="241"/>
      <c r="S5" s="240" t="s">
        <v>1225</v>
      </c>
      <c r="T5" s="240"/>
      <c r="U5" s="240"/>
      <c r="V5" s="240"/>
      <c r="W5" s="240"/>
      <c r="X5" s="240"/>
      <c r="Z5" s="244" t="s">
        <v>1248</v>
      </c>
      <c r="AA5" s="243"/>
      <c r="AB5" s="243"/>
      <c r="AC5" s="243"/>
      <c r="AD5" s="243"/>
      <c r="AE5" s="243"/>
      <c r="AF5" s="243"/>
      <c r="AG5" s="243"/>
      <c r="AH5" s="243"/>
      <c r="AI5" s="243"/>
      <c r="AK5" s="303" t="s">
        <v>1161</v>
      </c>
      <c r="AL5" s="303"/>
      <c r="AM5" s="303"/>
      <c r="AN5" s="303"/>
      <c r="AO5" s="303"/>
    </row>
    <row r="6" spans="2:41" ht="33.75" customHeight="1" thickTop="1" thickBot="1">
      <c r="B6" s="234" t="s">
        <v>1206</v>
      </c>
      <c r="C6" s="235" t="s">
        <v>1211</v>
      </c>
      <c r="D6" s="235" t="s">
        <v>610</v>
      </c>
      <c r="E6" s="235" t="s">
        <v>1212</v>
      </c>
      <c r="F6" s="235" t="s">
        <v>372</v>
      </c>
      <c r="G6" s="236" t="s">
        <v>325</v>
      </c>
      <c r="H6" s="230" t="s">
        <v>1214</v>
      </c>
      <c r="I6" s="230" t="s">
        <v>1213</v>
      </c>
      <c r="J6" s="231" t="s">
        <v>1215</v>
      </c>
      <c r="K6" s="231" t="s">
        <v>1216</v>
      </c>
      <c r="L6" s="231" t="s">
        <v>1209</v>
      </c>
      <c r="M6" s="232" t="s">
        <v>1220</v>
      </c>
      <c r="N6" s="232" t="s">
        <v>1210</v>
      </c>
      <c r="O6" s="232" t="s">
        <v>1217</v>
      </c>
      <c r="P6" s="232" t="s">
        <v>1221</v>
      </c>
      <c r="Q6" s="232" t="s">
        <v>1222</v>
      </c>
      <c r="R6" s="233" t="s">
        <v>1223</v>
      </c>
      <c r="S6" s="232" t="s">
        <v>1226</v>
      </c>
      <c r="T6" s="232" t="s">
        <v>1227</v>
      </c>
      <c r="U6" s="232" t="s">
        <v>1228</v>
      </c>
      <c r="V6" s="232" t="s">
        <v>1229</v>
      </c>
      <c r="W6" s="232" t="s">
        <v>1230</v>
      </c>
      <c r="X6" s="232" t="s">
        <v>1231</v>
      </c>
      <c r="Z6" s="242" t="s">
        <v>1226</v>
      </c>
      <c r="AA6" s="242" t="s">
        <v>1227</v>
      </c>
      <c r="AB6" s="242" t="s">
        <v>1228</v>
      </c>
      <c r="AC6" s="242" t="s">
        <v>1229</v>
      </c>
      <c r="AD6" s="242" t="s">
        <v>1230</v>
      </c>
      <c r="AE6" s="242" t="s">
        <v>1231</v>
      </c>
      <c r="AF6" s="242" t="s">
        <v>1249</v>
      </c>
      <c r="AG6" s="242" t="s">
        <v>188</v>
      </c>
      <c r="AH6" s="242"/>
      <c r="AI6" s="242" t="s">
        <v>23</v>
      </c>
      <c r="AK6" s="379" t="s">
        <v>1162</v>
      </c>
      <c r="AL6" s="379" t="s">
        <v>1163</v>
      </c>
      <c r="AM6" s="379" t="s">
        <v>1331</v>
      </c>
      <c r="AN6" s="379" t="s">
        <v>1330</v>
      </c>
      <c r="AO6" s="302"/>
    </row>
    <row r="7" spans="2:41" ht="13.8" thickTop="1">
      <c r="B7" s="307" t="s">
        <v>1207</v>
      </c>
      <c r="C7" s="308" t="s">
        <v>1208</v>
      </c>
      <c r="D7" s="309" t="s">
        <v>447</v>
      </c>
      <c r="E7" s="310">
        <f>+SUMIF('AUX-NIV2'!I:I,'AUX-NIV3'!B7,'AUX-NIV2'!Q:Q)</f>
        <v>9.8909999999999982</v>
      </c>
      <c r="F7" s="310">
        <f t="shared" ref="F7:F70" si="1">IF(B7&lt;&gt;"",+SUMIF(B:B,B7,P:P),"")</f>
        <v>633.60122708131803</v>
      </c>
      <c r="G7" s="310">
        <f t="shared" ref="G7:G70" si="2">IF(B7&lt;&gt;"",+SUMIF(B:B,B7,R:R),"")</f>
        <v>6266.9497370613135</v>
      </c>
      <c r="H7" s="311" t="str">
        <f t="shared" ref="H7:H28" si="3">IF(B7&lt;&gt;"",+LEFT(I7,1),"")</f>
        <v>A</v>
      </c>
      <c r="I7" s="308" t="s">
        <v>3312</v>
      </c>
      <c r="J7" s="312" t="str">
        <f>IF(B7&lt;&gt;"",+VLOOKUP(I7,Recursos!C:F,2,FALSE),"")</f>
        <v>CHOFER</v>
      </c>
      <c r="K7" s="313" t="str">
        <f>IF(B7&lt;&gt;"",+VLOOKUP(I7,Recursos!C:F,3,FALSE),"")</f>
        <v>hh</v>
      </c>
      <c r="L7" s="310">
        <f>IF(B7&lt;&gt;"",+VLOOKUP(I7,Recursos!C:F,4,FALSE),"")</f>
        <v>496.91595439275824</v>
      </c>
      <c r="M7" s="314">
        <v>62.5</v>
      </c>
      <c r="N7" s="314">
        <v>1.25</v>
      </c>
      <c r="O7" s="435">
        <f>1/M7*N7</f>
        <v>0.02</v>
      </c>
      <c r="P7" s="316">
        <f>IF(B7&lt;&gt;"",O7*L7,"")</f>
        <v>9.9383190878551648</v>
      </c>
      <c r="Q7" s="310">
        <f>IF(B7&lt;&gt;"",+O7*E7,"")</f>
        <v>0.19781999999999997</v>
      </c>
      <c r="R7" s="317">
        <f>IF(B7&lt;&gt;"",Q7*L7,"")</f>
        <v>98.299914097975417</v>
      </c>
      <c r="S7" s="318">
        <f t="shared" ref="S7:S70" si="4">IF(B7&lt;&gt;"",+SUMIF($AF:$AF,Z7,$P:$P),"")</f>
        <v>65.565237747984625</v>
      </c>
      <c r="T7" s="318">
        <f t="shared" ref="T7:T70" si="5">IF(B7&lt;&gt;"",+SUMIF($AF:$AF,AA7,$P:$P),"")</f>
        <v>567.0359893333333</v>
      </c>
      <c r="U7" s="319">
        <f t="shared" ref="U7:U70" si="6">IF(B7&lt;&gt;"",+SUMIF($AF:$AF,AB7,$P:$P),"")</f>
        <v>1</v>
      </c>
      <c r="V7" s="319">
        <f t="shared" ref="V7:V70" si="7">IF(B7&lt;&gt;"",+SUMIF($AF:$AF,AC7,$P:$P),"")</f>
        <v>0</v>
      </c>
      <c r="W7" s="319">
        <f t="shared" ref="W7:W70" si="8">IF(B7&lt;&gt;"",+SUMIF($AF:$AF,AD7,$P:$P),"")</f>
        <v>0</v>
      </c>
      <c r="X7" s="319">
        <f t="shared" ref="X7:X70" si="9">IF(B7&lt;&gt;"",+SUMIF($AF:$AF,AE7,$P:$P),"")</f>
        <v>0</v>
      </c>
      <c r="Y7" s="320"/>
      <c r="Z7" s="321" t="str">
        <f>IF(B7&lt;&gt;"",+$B7&amp;"A","")</f>
        <v>X-PTAARIDOSA</v>
      </c>
      <c r="AA7" s="321" t="str">
        <f>IF(B7&lt;&gt;"",+$B7&amp;"E","")</f>
        <v>X-PTAARIDOSE</v>
      </c>
      <c r="AB7" s="321" t="str">
        <f>IF(B7&lt;&gt;"",++$B7&amp;"M","")</f>
        <v>X-PTAARIDOSM</v>
      </c>
      <c r="AC7" s="321" t="str">
        <f>IF(B7&lt;&gt;"",+$B7&amp;"T","")</f>
        <v>X-PTAARIDOST</v>
      </c>
      <c r="AD7" s="321" t="str">
        <f>IF(B7&lt;&gt;"",+$B7&amp;"S","")</f>
        <v>X-PTAARIDOSS</v>
      </c>
      <c r="AE7" s="321" t="str">
        <f>IF(B7&lt;&gt;"",+$B7&amp;"X","")</f>
        <v>X-PTAARIDOSX</v>
      </c>
      <c r="AF7" s="321" t="str">
        <f>IF(B7&lt;&gt;"",+B7&amp;H7,"")</f>
        <v>X-PTAARIDOSA</v>
      </c>
      <c r="AG7" s="321">
        <f t="shared" ref="AG7:AG70" si="10">IF(B7&lt;&gt;"",+COUNTIF(B:B,B7),"")</f>
        <v>21</v>
      </c>
      <c r="AH7" s="321"/>
      <c r="AI7" s="321" t="str">
        <f>IF(B7&lt;&gt;"",+B7,"")</f>
        <v>X-PTAARIDOS</v>
      </c>
      <c r="AJ7" s="320"/>
      <c r="AK7" s="322">
        <f t="shared" ref="AK7:AK70" si="11">IF(B7&lt;&gt;"",+MATCH(B7,B:B,0),"")</f>
        <v>7</v>
      </c>
      <c r="AL7" s="323">
        <f>IF(B7&lt;&gt;"",+AK7+AG7-1,"")</f>
        <v>27</v>
      </c>
      <c r="AM7" s="322">
        <f>IF(B7&lt;&gt;"",IF(B7=B6,1+AM6,1),"")</f>
        <v>1</v>
      </c>
      <c r="AN7" s="381">
        <f t="shared" ref="AN7:AN70" si="12">+IF(B7&lt;&gt;"",SUMIF(AF:AF,Z7,O:O),"")</f>
        <v>0.12128888888888889</v>
      </c>
      <c r="AO7" s="322"/>
    </row>
    <row r="8" spans="2:41">
      <c r="B8" s="324" t="s">
        <v>1207</v>
      </c>
      <c r="C8" s="325" t="s">
        <v>1208</v>
      </c>
      <c r="D8" s="326" t="s">
        <v>447</v>
      </c>
      <c r="E8" s="327">
        <f>+SUMIF('AUX-NIV2'!I:I,'AUX-NIV3'!B8,'AUX-NIV2'!Q:Q)</f>
        <v>9.8909999999999982</v>
      </c>
      <c r="F8" s="327">
        <f t="shared" si="1"/>
        <v>633.60122708131803</v>
      </c>
      <c r="G8" s="327">
        <f t="shared" si="2"/>
        <v>6266.9497370613135</v>
      </c>
      <c r="H8" s="328" t="str">
        <f t="shared" si="3"/>
        <v>A</v>
      </c>
      <c r="I8" s="325" t="s">
        <v>3309</v>
      </c>
      <c r="J8" s="329" t="str">
        <f>IF(B8&lt;&gt;"",+VLOOKUP(I8,Recursos!C:F,2,FALSE),"")</f>
        <v>MEDIO OFICIAL</v>
      </c>
      <c r="K8" s="330" t="str">
        <f>IF(B8&lt;&gt;"",+VLOOKUP(I8,Recursos!C:F,3,FALSE),"")</f>
        <v>hh</v>
      </c>
      <c r="L8" s="327">
        <f>IF(B8&lt;&gt;"",+VLOOKUP(I8,Recursos!C:F,4,FALSE),"")</f>
        <v>459.10093211890984</v>
      </c>
      <c r="M8" s="331">
        <v>62.5</v>
      </c>
      <c r="N8" s="331">
        <v>0.4</v>
      </c>
      <c r="O8" s="433">
        <f t="shared" ref="O8:O27" si="13">1/M8*N8</f>
        <v>6.4000000000000003E-3</v>
      </c>
      <c r="P8" s="333">
        <f t="shared" ref="P8:P71" si="14">IF(B8&lt;&gt;"",O8*L8,"")</f>
        <v>2.9382459655610229</v>
      </c>
      <c r="Q8" s="327">
        <f t="shared" ref="Q8:Q71" si="15">IF(B8&lt;&gt;"",+O8*E8,"")</f>
        <v>6.3302399999999995E-2</v>
      </c>
      <c r="R8" s="334">
        <f t="shared" ref="R8:R71" si="16">IF(B8&lt;&gt;"",Q8*L8,"")</f>
        <v>29.062190845364075</v>
      </c>
      <c r="S8" s="335">
        <f t="shared" si="4"/>
        <v>65.565237747984625</v>
      </c>
      <c r="T8" s="335">
        <f t="shared" si="5"/>
        <v>567.0359893333333</v>
      </c>
      <c r="U8" s="336">
        <f t="shared" si="6"/>
        <v>1</v>
      </c>
      <c r="V8" s="336">
        <f t="shared" si="7"/>
        <v>0</v>
      </c>
      <c r="W8" s="336">
        <f t="shared" si="8"/>
        <v>0</v>
      </c>
      <c r="X8" s="336">
        <f t="shared" si="9"/>
        <v>0</v>
      </c>
      <c r="Y8" s="320"/>
      <c r="Z8" s="321" t="str">
        <f t="shared" ref="Z8:Z71" si="17">IF(B8&lt;&gt;"",+$B8&amp;"A","")</f>
        <v>X-PTAARIDOSA</v>
      </c>
      <c r="AA8" s="321" t="str">
        <f t="shared" ref="AA8:AA71" si="18">IF(B8&lt;&gt;"",+$B8&amp;"E","")</f>
        <v>X-PTAARIDOSE</v>
      </c>
      <c r="AB8" s="321" t="str">
        <f t="shared" ref="AB8:AB71" si="19">IF(B8&lt;&gt;"",++$B8&amp;"M","")</f>
        <v>X-PTAARIDOSM</v>
      </c>
      <c r="AC8" s="321" t="str">
        <f t="shared" ref="AC8:AC71" si="20">IF(B8&lt;&gt;"",+$B8&amp;"T","")</f>
        <v>X-PTAARIDOST</v>
      </c>
      <c r="AD8" s="321" t="str">
        <f t="shared" ref="AD8:AD71" si="21">IF(B8&lt;&gt;"",+$B8&amp;"S","")</f>
        <v>X-PTAARIDOSS</v>
      </c>
      <c r="AE8" s="321" t="str">
        <f t="shared" ref="AE8:AE71" si="22">IF(B8&lt;&gt;"",+$B8&amp;"X","")</f>
        <v>X-PTAARIDOSX</v>
      </c>
      <c r="AF8" s="321" t="str">
        <f t="shared" ref="AF8:AF71" si="23">IF(B8&lt;&gt;"",+B8&amp;H8,"")</f>
        <v>X-PTAARIDOSA</v>
      </c>
      <c r="AG8" s="321">
        <f t="shared" si="10"/>
        <v>21</v>
      </c>
      <c r="AH8" s="321"/>
      <c r="AI8" s="321" t="str">
        <f t="shared" ref="AI8:AI71" si="24">IF(B8&lt;&gt;"",+B8,"")</f>
        <v>X-PTAARIDOS</v>
      </c>
      <c r="AJ8" s="320"/>
      <c r="AK8" s="322">
        <f t="shared" si="11"/>
        <v>7</v>
      </c>
      <c r="AL8" s="323">
        <f t="shared" ref="AL8:AL71" si="25">IF(B8&lt;&gt;"",+AK8+AG8-1,"")</f>
        <v>27</v>
      </c>
      <c r="AM8" s="322">
        <f t="shared" ref="AM8:AM71" si="26">IF(B8&lt;&gt;"",IF(B8=B7,1+AM7,1),"")</f>
        <v>2</v>
      </c>
      <c r="AN8" s="381">
        <f t="shared" si="12"/>
        <v>0.12128888888888889</v>
      </c>
      <c r="AO8" s="322"/>
    </row>
    <row r="9" spans="2:41">
      <c r="B9" s="324" t="s">
        <v>1207</v>
      </c>
      <c r="C9" s="325" t="s">
        <v>1208</v>
      </c>
      <c r="D9" s="326" t="s">
        <v>447</v>
      </c>
      <c r="E9" s="327">
        <f>+SUMIF('AUX-NIV2'!I:I,'AUX-NIV3'!B9,'AUX-NIV2'!Q:Q)</f>
        <v>9.8909999999999982</v>
      </c>
      <c r="F9" s="327">
        <f t="shared" si="1"/>
        <v>633.60122708131803</v>
      </c>
      <c r="G9" s="327">
        <f t="shared" si="2"/>
        <v>6266.9497370613135</v>
      </c>
      <c r="H9" s="328" t="str">
        <f t="shared" si="3"/>
        <v>A</v>
      </c>
      <c r="I9" s="325" t="s">
        <v>3311</v>
      </c>
      <c r="J9" s="329" t="str">
        <f>IF(B9&lt;&gt;"",+VLOOKUP(I9,Recursos!C:F,2,FALSE),"")</f>
        <v>OPER. EQUIPO</v>
      </c>
      <c r="K9" s="330" t="str">
        <f>IF(B9&lt;&gt;"",+VLOOKUP(I9,Recursos!C:F,3,FALSE),"")</f>
        <v>hh</v>
      </c>
      <c r="L9" s="327">
        <f>IF(B9&lt;&gt;"",+VLOOKUP(I9,Recursos!C:F,4,FALSE),"")</f>
        <v>581.06120476836554</v>
      </c>
      <c r="M9" s="331">
        <v>250</v>
      </c>
      <c r="N9" s="331">
        <v>1.25</v>
      </c>
      <c r="O9" s="433">
        <f t="shared" si="13"/>
        <v>5.0000000000000001E-3</v>
      </c>
      <c r="P9" s="333">
        <f t="shared" si="14"/>
        <v>2.9053060238418276</v>
      </c>
      <c r="Q9" s="327">
        <f t="shared" si="15"/>
        <v>4.9454999999999992E-2</v>
      </c>
      <c r="R9" s="334">
        <f t="shared" si="16"/>
        <v>28.736381881819515</v>
      </c>
      <c r="S9" s="335">
        <f t="shared" si="4"/>
        <v>65.565237747984625</v>
      </c>
      <c r="T9" s="335">
        <f t="shared" si="5"/>
        <v>567.0359893333333</v>
      </c>
      <c r="U9" s="336">
        <f t="shared" si="6"/>
        <v>1</v>
      </c>
      <c r="V9" s="336">
        <f t="shared" si="7"/>
        <v>0</v>
      </c>
      <c r="W9" s="336">
        <f t="shared" si="8"/>
        <v>0</v>
      </c>
      <c r="X9" s="336">
        <f t="shared" si="9"/>
        <v>0</v>
      </c>
      <c r="Y9" s="320"/>
      <c r="Z9" s="321" t="str">
        <f t="shared" si="17"/>
        <v>X-PTAARIDOSA</v>
      </c>
      <c r="AA9" s="321" t="str">
        <f t="shared" si="18"/>
        <v>X-PTAARIDOSE</v>
      </c>
      <c r="AB9" s="321" t="str">
        <f t="shared" si="19"/>
        <v>X-PTAARIDOSM</v>
      </c>
      <c r="AC9" s="321" t="str">
        <f t="shared" si="20"/>
        <v>X-PTAARIDOST</v>
      </c>
      <c r="AD9" s="321" t="str">
        <f t="shared" si="21"/>
        <v>X-PTAARIDOSS</v>
      </c>
      <c r="AE9" s="321" t="str">
        <f t="shared" si="22"/>
        <v>X-PTAARIDOSX</v>
      </c>
      <c r="AF9" s="321" t="str">
        <f t="shared" si="23"/>
        <v>X-PTAARIDOSA</v>
      </c>
      <c r="AG9" s="321">
        <f t="shared" si="10"/>
        <v>21</v>
      </c>
      <c r="AH9" s="321"/>
      <c r="AI9" s="321" t="str">
        <f t="shared" si="24"/>
        <v>X-PTAARIDOS</v>
      </c>
      <c r="AJ9" s="320"/>
      <c r="AK9" s="322">
        <f t="shared" si="11"/>
        <v>7</v>
      </c>
      <c r="AL9" s="323">
        <f t="shared" si="25"/>
        <v>27</v>
      </c>
      <c r="AM9" s="322">
        <f t="shared" si="26"/>
        <v>3</v>
      </c>
      <c r="AN9" s="381">
        <f t="shared" si="12"/>
        <v>0.12128888888888889</v>
      </c>
      <c r="AO9" s="322"/>
    </row>
    <row r="10" spans="2:41">
      <c r="B10" s="324" t="s">
        <v>1207</v>
      </c>
      <c r="C10" s="325" t="s">
        <v>1208</v>
      </c>
      <c r="D10" s="326" t="s">
        <v>447</v>
      </c>
      <c r="E10" s="327">
        <f>+SUMIF('AUX-NIV2'!I:I,'AUX-NIV3'!B10,'AUX-NIV2'!Q:Q)</f>
        <v>9.8909999999999982</v>
      </c>
      <c r="F10" s="327">
        <f t="shared" si="1"/>
        <v>633.60122708131803</v>
      </c>
      <c r="G10" s="327">
        <f t="shared" si="2"/>
        <v>6266.9497370613135</v>
      </c>
      <c r="H10" s="328" t="str">
        <f t="shared" si="3"/>
        <v>A</v>
      </c>
      <c r="I10" s="325" t="s">
        <v>3310</v>
      </c>
      <c r="J10" s="329" t="str">
        <f>IF(B10&lt;&gt;"",+VLOOKUP(I10,Recursos!C:F,2,FALSE),"")</f>
        <v>OFICIAL ESPECIALIZADO</v>
      </c>
      <c r="K10" s="330" t="str">
        <f>IF(B10&lt;&gt;"",+VLOOKUP(I10,Recursos!C:F,3,FALSE),"")</f>
        <v>hh</v>
      </c>
      <c r="L10" s="327">
        <f>IF(B10&lt;&gt;"",+VLOOKUP(I10,Recursos!C:F,4,FALSE),"")</f>
        <v>581.06120476836554</v>
      </c>
      <c r="M10" s="331">
        <v>62.5</v>
      </c>
      <c r="N10" s="331">
        <v>2.5</v>
      </c>
      <c r="O10" s="433">
        <f t="shared" si="13"/>
        <v>0.04</v>
      </c>
      <c r="P10" s="333">
        <f t="shared" si="14"/>
        <v>23.242448190734621</v>
      </c>
      <c r="Q10" s="327">
        <f t="shared" si="15"/>
        <v>0.39563999999999994</v>
      </c>
      <c r="R10" s="334">
        <f t="shared" si="16"/>
        <v>229.89105505455612</v>
      </c>
      <c r="S10" s="335">
        <f t="shared" si="4"/>
        <v>65.565237747984625</v>
      </c>
      <c r="T10" s="335">
        <f t="shared" si="5"/>
        <v>567.0359893333333</v>
      </c>
      <c r="U10" s="336">
        <f t="shared" si="6"/>
        <v>1</v>
      </c>
      <c r="V10" s="336">
        <f t="shared" si="7"/>
        <v>0</v>
      </c>
      <c r="W10" s="336">
        <f t="shared" si="8"/>
        <v>0</v>
      </c>
      <c r="X10" s="336">
        <f t="shared" si="9"/>
        <v>0</v>
      </c>
      <c r="Y10" s="320"/>
      <c r="Z10" s="321" t="str">
        <f t="shared" si="17"/>
        <v>X-PTAARIDOSA</v>
      </c>
      <c r="AA10" s="321" t="str">
        <f t="shared" si="18"/>
        <v>X-PTAARIDOSE</v>
      </c>
      <c r="AB10" s="321" t="str">
        <f t="shared" si="19"/>
        <v>X-PTAARIDOSM</v>
      </c>
      <c r="AC10" s="321" t="str">
        <f t="shared" si="20"/>
        <v>X-PTAARIDOST</v>
      </c>
      <c r="AD10" s="321" t="str">
        <f t="shared" si="21"/>
        <v>X-PTAARIDOSS</v>
      </c>
      <c r="AE10" s="321" t="str">
        <f t="shared" si="22"/>
        <v>X-PTAARIDOSX</v>
      </c>
      <c r="AF10" s="321" t="str">
        <f t="shared" si="23"/>
        <v>X-PTAARIDOSA</v>
      </c>
      <c r="AG10" s="321">
        <f t="shared" si="10"/>
        <v>21</v>
      </c>
      <c r="AH10" s="321"/>
      <c r="AI10" s="321" t="str">
        <f t="shared" si="24"/>
        <v>X-PTAARIDOS</v>
      </c>
      <c r="AJ10" s="320"/>
      <c r="AK10" s="322">
        <f t="shared" si="11"/>
        <v>7</v>
      </c>
      <c r="AL10" s="323">
        <f t="shared" si="25"/>
        <v>27</v>
      </c>
      <c r="AM10" s="322">
        <f t="shared" si="26"/>
        <v>4</v>
      </c>
      <c r="AN10" s="381">
        <f t="shared" si="12"/>
        <v>0.12128888888888889</v>
      </c>
      <c r="AO10" s="322"/>
    </row>
    <row r="11" spans="2:41">
      <c r="B11" s="324" t="s">
        <v>1207</v>
      </c>
      <c r="C11" s="325" t="s">
        <v>1208</v>
      </c>
      <c r="D11" s="326" t="s">
        <v>447</v>
      </c>
      <c r="E11" s="327">
        <f>+SUMIF('AUX-NIV2'!I:I,'AUX-NIV3'!B11,'AUX-NIV2'!Q:Q)</f>
        <v>9.8909999999999982</v>
      </c>
      <c r="F11" s="327">
        <f t="shared" si="1"/>
        <v>633.60122708131803</v>
      </c>
      <c r="G11" s="327">
        <f t="shared" si="2"/>
        <v>6266.9497370613135</v>
      </c>
      <c r="H11" s="328" t="str">
        <f t="shared" si="3"/>
        <v>A</v>
      </c>
      <c r="I11" s="325" t="s">
        <v>3311</v>
      </c>
      <c r="J11" s="329" t="str">
        <f>IF(B11&lt;&gt;"",+VLOOKUP(I11,Recursos!C:F,2,FALSE),"")</f>
        <v>OPER. EQUIPO</v>
      </c>
      <c r="K11" s="330" t="str">
        <f>IF(B11&lt;&gt;"",+VLOOKUP(I11,Recursos!C:F,3,FALSE),"")</f>
        <v>hh</v>
      </c>
      <c r="L11" s="327">
        <f>IF(B11&lt;&gt;"",+VLOOKUP(I11,Recursos!C:F,4,FALSE),"")</f>
        <v>581.06120476836554</v>
      </c>
      <c r="M11" s="331">
        <v>62.5</v>
      </c>
      <c r="N11" s="331">
        <v>1.25</v>
      </c>
      <c r="O11" s="433">
        <f t="shared" si="13"/>
        <v>0.02</v>
      </c>
      <c r="P11" s="333">
        <f t="shared" si="14"/>
        <v>11.62122409536731</v>
      </c>
      <c r="Q11" s="327">
        <f t="shared" si="15"/>
        <v>0.19781999999999997</v>
      </c>
      <c r="R11" s="334">
        <f t="shared" si="16"/>
        <v>114.94552752727806</v>
      </c>
      <c r="S11" s="335">
        <f t="shared" si="4"/>
        <v>65.565237747984625</v>
      </c>
      <c r="T11" s="335">
        <f t="shared" si="5"/>
        <v>567.0359893333333</v>
      </c>
      <c r="U11" s="336">
        <f t="shared" si="6"/>
        <v>1</v>
      </c>
      <c r="V11" s="336">
        <f t="shared" si="7"/>
        <v>0</v>
      </c>
      <c r="W11" s="336">
        <f t="shared" si="8"/>
        <v>0</v>
      </c>
      <c r="X11" s="336">
        <f t="shared" si="9"/>
        <v>0</v>
      </c>
      <c r="Y11" s="320"/>
      <c r="Z11" s="321" t="str">
        <f t="shared" si="17"/>
        <v>X-PTAARIDOSA</v>
      </c>
      <c r="AA11" s="321" t="str">
        <f t="shared" si="18"/>
        <v>X-PTAARIDOSE</v>
      </c>
      <c r="AB11" s="321" t="str">
        <f t="shared" si="19"/>
        <v>X-PTAARIDOSM</v>
      </c>
      <c r="AC11" s="321" t="str">
        <f t="shared" si="20"/>
        <v>X-PTAARIDOST</v>
      </c>
      <c r="AD11" s="321" t="str">
        <f t="shared" si="21"/>
        <v>X-PTAARIDOSS</v>
      </c>
      <c r="AE11" s="321" t="str">
        <f t="shared" si="22"/>
        <v>X-PTAARIDOSX</v>
      </c>
      <c r="AF11" s="321" t="str">
        <f t="shared" si="23"/>
        <v>X-PTAARIDOSA</v>
      </c>
      <c r="AG11" s="321">
        <f t="shared" si="10"/>
        <v>21</v>
      </c>
      <c r="AH11" s="321"/>
      <c r="AI11" s="321" t="str">
        <f t="shared" si="24"/>
        <v>X-PTAARIDOS</v>
      </c>
      <c r="AJ11" s="320"/>
      <c r="AK11" s="322">
        <f t="shared" si="11"/>
        <v>7</v>
      </c>
      <c r="AL11" s="323">
        <f t="shared" si="25"/>
        <v>27</v>
      </c>
      <c r="AM11" s="322">
        <f t="shared" si="26"/>
        <v>5</v>
      </c>
      <c r="AN11" s="381">
        <f t="shared" si="12"/>
        <v>0.12128888888888889</v>
      </c>
      <c r="AO11" s="322"/>
    </row>
    <row r="12" spans="2:41">
      <c r="B12" s="324" t="s">
        <v>1207</v>
      </c>
      <c r="C12" s="325" t="s">
        <v>1208</v>
      </c>
      <c r="D12" s="326" t="s">
        <v>447</v>
      </c>
      <c r="E12" s="327">
        <f>+SUMIF('AUX-NIV2'!I:I,'AUX-NIV3'!B12,'AUX-NIV2'!Q:Q)</f>
        <v>9.8909999999999982</v>
      </c>
      <c r="F12" s="327">
        <f t="shared" si="1"/>
        <v>633.60122708131803</v>
      </c>
      <c r="G12" s="327">
        <f t="shared" si="2"/>
        <v>6266.9497370613135</v>
      </c>
      <c r="H12" s="328" t="str">
        <f t="shared" si="3"/>
        <v>A</v>
      </c>
      <c r="I12" s="325" t="s">
        <v>1746</v>
      </c>
      <c r="J12" s="329" t="str">
        <f>IF(B12&lt;&gt;"",+VLOOKUP(I12,Recursos!C:F,2,FALSE),"")</f>
        <v>OFICIAL</v>
      </c>
      <c r="K12" s="330" t="str">
        <f>IF(B12&lt;&gt;"",+VLOOKUP(I12,Recursos!C:F,3,FALSE),"")</f>
        <v>hh</v>
      </c>
      <c r="L12" s="327">
        <f>IF(B12&lt;&gt;"",+VLOOKUP(I12,Recursos!C:F,4,FALSE),"")</f>
        <v>496.91595439275824</v>
      </c>
      <c r="M12" s="331">
        <v>62.5</v>
      </c>
      <c r="N12" s="331">
        <v>1</v>
      </c>
      <c r="O12" s="433">
        <f t="shared" si="13"/>
        <v>1.6E-2</v>
      </c>
      <c r="P12" s="333">
        <f t="shared" si="14"/>
        <v>7.9506552702841322</v>
      </c>
      <c r="Q12" s="327">
        <f t="shared" si="15"/>
        <v>0.15825599999999998</v>
      </c>
      <c r="R12" s="334">
        <f t="shared" si="16"/>
        <v>78.639931278380331</v>
      </c>
      <c r="S12" s="335">
        <f t="shared" si="4"/>
        <v>65.565237747984625</v>
      </c>
      <c r="T12" s="335">
        <f t="shared" si="5"/>
        <v>567.0359893333333</v>
      </c>
      <c r="U12" s="336">
        <f t="shared" si="6"/>
        <v>1</v>
      </c>
      <c r="V12" s="336">
        <f t="shared" si="7"/>
        <v>0</v>
      </c>
      <c r="W12" s="336">
        <f t="shared" si="8"/>
        <v>0</v>
      </c>
      <c r="X12" s="336">
        <f t="shared" si="9"/>
        <v>0</v>
      </c>
      <c r="Y12" s="320"/>
      <c r="Z12" s="321" t="str">
        <f t="shared" si="17"/>
        <v>X-PTAARIDOSA</v>
      </c>
      <c r="AA12" s="321" t="str">
        <f t="shared" si="18"/>
        <v>X-PTAARIDOSE</v>
      </c>
      <c r="AB12" s="321" t="str">
        <f t="shared" si="19"/>
        <v>X-PTAARIDOSM</v>
      </c>
      <c r="AC12" s="321" t="str">
        <f t="shared" si="20"/>
        <v>X-PTAARIDOST</v>
      </c>
      <c r="AD12" s="321" t="str">
        <f t="shared" si="21"/>
        <v>X-PTAARIDOSS</v>
      </c>
      <c r="AE12" s="321" t="str">
        <f t="shared" si="22"/>
        <v>X-PTAARIDOSX</v>
      </c>
      <c r="AF12" s="321" t="str">
        <f t="shared" si="23"/>
        <v>X-PTAARIDOSA</v>
      </c>
      <c r="AG12" s="321">
        <f t="shared" si="10"/>
        <v>21</v>
      </c>
      <c r="AH12" s="321"/>
      <c r="AI12" s="321" t="str">
        <f t="shared" si="24"/>
        <v>X-PTAARIDOS</v>
      </c>
      <c r="AJ12" s="320"/>
      <c r="AK12" s="322">
        <f t="shared" si="11"/>
        <v>7</v>
      </c>
      <c r="AL12" s="323">
        <f t="shared" si="25"/>
        <v>27</v>
      </c>
      <c r="AM12" s="322">
        <f t="shared" si="26"/>
        <v>6</v>
      </c>
      <c r="AN12" s="381">
        <f t="shared" si="12"/>
        <v>0.12128888888888889</v>
      </c>
      <c r="AO12" s="322"/>
    </row>
    <row r="13" spans="2:41">
      <c r="B13" s="324" t="s">
        <v>1207</v>
      </c>
      <c r="C13" s="325" t="s">
        <v>1208</v>
      </c>
      <c r="D13" s="326" t="s">
        <v>447</v>
      </c>
      <c r="E13" s="327">
        <f>+SUMIF('AUX-NIV2'!I:I,'AUX-NIV3'!B13,'AUX-NIV2'!Q:Q)</f>
        <v>9.8909999999999982</v>
      </c>
      <c r="F13" s="327">
        <f t="shared" si="1"/>
        <v>633.60122708131803</v>
      </c>
      <c r="G13" s="327">
        <f t="shared" si="2"/>
        <v>6266.9497370613135</v>
      </c>
      <c r="H13" s="328" t="str">
        <f t="shared" si="3"/>
        <v>A</v>
      </c>
      <c r="I13" s="325" t="s">
        <v>3311</v>
      </c>
      <c r="J13" s="329" t="str">
        <f>IF(B13&lt;&gt;"",+VLOOKUP(I13,Recursos!C:F,2,FALSE),"")</f>
        <v>OPER. EQUIPO</v>
      </c>
      <c r="K13" s="330" t="str">
        <f>IF(B13&lt;&gt;"",+VLOOKUP(I13,Recursos!C:F,3,FALSE),"")</f>
        <v>hh</v>
      </c>
      <c r="L13" s="327">
        <f>IF(B13&lt;&gt;"",+VLOOKUP(I13,Recursos!C:F,4,FALSE),"")</f>
        <v>581.06120476836554</v>
      </c>
      <c r="M13" s="331">
        <v>180</v>
      </c>
      <c r="N13" s="331">
        <v>1.25</v>
      </c>
      <c r="O13" s="433">
        <f t="shared" si="13"/>
        <v>6.9444444444444449E-3</v>
      </c>
      <c r="P13" s="333">
        <f t="shared" si="14"/>
        <v>4.0351472553358718</v>
      </c>
      <c r="Q13" s="327">
        <f t="shared" si="15"/>
        <v>6.8687499999999999E-2</v>
      </c>
      <c r="R13" s="334">
        <f t="shared" si="16"/>
        <v>39.911641502527104</v>
      </c>
      <c r="S13" s="335">
        <f t="shared" si="4"/>
        <v>65.565237747984625</v>
      </c>
      <c r="T13" s="335">
        <f t="shared" si="5"/>
        <v>567.0359893333333</v>
      </c>
      <c r="U13" s="336">
        <f t="shared" si="6"/>
        <v>1</v>
      </c>
      <c r="V13" s="336">
        <f t="shared" si="7"/>
        <v>0</v>
      </c>
      <c r="W13" s="336">
        <f t="shared" si="8"/>
        <v>0</v>
      </c>
      <c r="X13" s="336">
        <f t="shared" si="9"/>
        <v>0</v>
      </c>
      <c r="Y13" s="320"/>
      <c r="Z13" s="321" t="str">
        <f t="shared" si="17"/>
        <v>X-PTAARIDOSA</v>
      </c>
      <c r="AA13" s="321" t="str">
        <f t="shared" si="18"/>
        <v>X-PTAARIDOSE</v>
      </c>
      <c r="AB13" s="321" t="str">
        <f t="shared" si="19"/>
        <v>X-PTAARIDOSM</v>
      </c>
      <c r="AC13" s="321" t="str">
        <f t="shared" si="20"/>
        <v>X-PTAARIDOST</v>
      </c>
      <c r="AD13" s="321" t="str">
        <f t="shared" si="21"/>
        <v>X-PTAARIDOSS</v>
      </c>
      <c r="AE13" s="321" t="str">
        <f t="shared" si="22"/>
        <v>X-PTAARIDOSX</v>
      </c>
      <c r="AF13" s="321" t="str">
        <f t="shared" si="23"/>
        <v>X-PTAARIDOSA</v>
      </c>
      <c r="AG13" s="321">
        <f t="shared" si="10"/>
        <v>21</v>
      </c>
      <c r="AH13" s="321"/>
      <c r="AI13" s="321" t="str">
        <f t="shared" si="24"/>
        <v>X-PTAARIDOS</v>
      </c>
      <c r="AJ13" s="320"/>
      <c r="AK13" s="322">
        <f t="shared" si="11"/>
        <v>7</v>
      </c>
      <c r="AL13" s="323">
        <f t="shared" si="25"/>
        <v>27</v>
      </c>
      <c r="AM13" s="322">
        <f t="shared" si="26"/>
        <v>7</v>
      </c>
      <c r="AN13" s="381">
        <f t="shared" si="12"/>
        <v>0.12128888888888889</v>
      </c>
      <c r="AO13" s="322"/>
    </row>
    <row r="14" spans="2:41">
      <c r="B14" s="324" t="s">
        <v>1207</v>
      </c>
      <c r="C14" s="325" t="s">
        <v>1208</v>
      </c>
      <c r="D14" s="326" t="s">
        <v>447</v>
      </c>
      <c r="E14" s="327">
        <f>+SUMIF('AUX-NIV2'!I:I,'AUX-NIV3'!B14,'AUX-NIV2'!Q:Q)</f>
        <v>9.8909999999999982</v>
      </c>
      <c r="F14" s="327">
        <f t="shared" si="1"/>
        <v>633.60122708131803</v>
      </c>
      <c r="G14" s="327">
        <f t="shared" si="2"/>
        <v>6266.9497370613135</v>
      </c>
      <c r="H14" s="328" t="str">
        <f t="shared" si="3"/>
        <v>A</v>
      </c>
      <c r="I14" s="325" t="s">
        <v>1745</v>
      </c>
      <c r="J14" s="329" t="str">
        <f>IF(B14&lt;&gt;"",+VLOOKUP(I14,Recursos!C:F,2,FALSE),"")</f>
        <v>AYUDANTE</v>
      </c>
      <c r="K14" s="330" t="str">
        <f>IF(B14&lt;&gt;"",+VLOOKUP(I14,Recursos!C:F,3,FALSE),"")</f>
        <v>hh</v>
      </c>
      <c r="L14" s="327">
        <f>IF(B14&lt;&gt;"",+VLOOKUP(I14,Recursos!C:F,4,FALSE),"")</f>
        <v>422.48042769667234</v>
      </c>
      <c r="M14" s="331">
        <v>180</v>
      </c>
      <c r="N14" s="331">
        <v>1.25</v>
      </c>
      <c r="O14" s="433">
        <f t="shared" si="13"/>
        <v>6.9444444444444449E-3</v>
      </c>
      <c r="P14" s="333">
        <f t="shared" si="14"/>
        <v>2.9338918590046692</v>
      </c>
      <c r="Q14" s="327">
        <f t="shared" si="15"/>
        <v>6.8687499999999999E-2</v>
      </c>
      <c r="R14" s="334">
        <f t="shared" si="16"/>
        <v>29.019124377415181</v>
      </c>
      <c r="S14" s="335">
        <f t="shared" si="4"/>
        <v>65.565237747984625</v>
      </c>
      <c r="T14" s="335">
        <f t="shared" si="5"/>
        <v>567.0359893333333</v>
      </c>
      <c r="U14" s="336">
        <f t="shared" si="6"/>
        <v>1</v>
      </c>
      <c r="V14" s="336">
        <f t="shared" si="7"/>
        <v>0</v>
      </c>
      <c r="W14" s="336">
        <f t="shared" si="8"/>
        <v>0</v>
      </c>
      <c r="X14" s="336">
        <f t="shared" si="9"/>
        <v>0</v>
      </c>
      <c r="Y14" s="320"/>
      <c r="Z14" s="321" t="str">
        <f t="shared" si="17"/>
        <v>X-PTAARIDOSA</v>
      </c>
      <c r="AA14" s="321" t="str">
        <f t="shared" si="18"/>
        <v>X-PTAARIDOSE</v>
      </c>
      <c r="AB14" s="321" t="str">
        <f t="shared" si="19"/>
        <v>X-PTAARIDOSM</v>
      </c>
      <c r="AC14" s="321" t="str">
        <f t="shared" si="20"/>
        <v>X-PTAARIDOST</v>
      </c>
      <c r="AD14" s="321" t="str">
        <f t="shared" si="21"/>
        <v>X-PTAARIDOSS</v>
      </c>
      <c r="AE14" s="321" t="str">
        <f t="shared" si="22"/>
        <v>X-PTAARIDOSX</v>
      </c>
      <c r="AF14" s="321" t="str">
        <f t="shared" si="23"/>
        <v>X-PTAARIDOSA</v>
      </c>
      <c r="AG14" s="321">
        <f t="shared" si="10"/>
        <v>21</v>
      </c>
      <c r="AH14" s="321"/>
      <c r="AI14" s="321" t="str">
        <f t="shared" si="24"/>
        <v>X-PTAARIDOS</v>
      </c>
      <c r="AJ14" s="320"/>
      <c r="AK14" s="322">
        <f t="shared" si="11"/>
        <v>7</v>
      </c>
      <c r="AL14" s="323">
        <f t="shared" si="25"/>
        <v>27</v>
      </c>
      <c r="AM14" s="322">
        <f t="shared" si="26"/>
        <v>8</v>
      </c>
      <c r="AN14" s="381">
        <f t="shared" si="12"/>
        <v>0.12128888888888889</v>
      </c>
      <c r="AO14" s="322"/>
    </row>
    <row r="15" spans="2:41">
      <c r="B15" s="324" t="s">
        <v>1207</v>
      </c>
      <c r="C15" s="325" t="s">
        <v>1208</v>
      </c>
      <c r="D15" s="326" t="s">
        <v>447</v>
      </c>
      <c r="E15" s="327">
        <f>+SUMIF('AUX-NIV2'!I:I,'AUX-NIV3'!B15,'AUX-NIV2'!Q:Q)</f>
        <v>9.8909999999999982</v>
      </c>
      <c r="F15" s="327">
        <f t="shared" si="1"/>
        <v>633.60122708131803</v>
      </c>
      <c r="G15" s="327">
        <f t="shared" si="2"/>
        <v>6266.9497370613135</v>
      </c>
      <c r="H15" s="328" t="str">
        <f t="shared" si="3"/>
        <v>E</v>
      </c>
      <c r="I15" s="325" t="s">
        <v>1641</v>
      </c>
      <c r="J15" s="329" t="str">
        <f>IF(B15&lt;&gt;"",+VLOOKUP(I15,Recursos!C:F,2,FALSE),"")</f>
        <v>RETROEXCAVADORA S/CARRILES  2,5 M3</v>
      </c>
      <c r="K15" s="330" t="str">
        <f>IF(B15&lt;&gt;"",+VLOOKUP(I15,Recursos!C:F,3,FALSE),"")</f>
        <v>HR</v>
      </c>
      <c r="L15" s="327">
        <f>IF(B15&lt;&gt;"",+VLOOKUP(I15,Recursos!C:F,4,FALSE),"")</f>
        <v>6372.6</v>
      </c>
      <c r="M15" s="331">
        <v>180</v>
      </c>
      <c r="N15" s="331">
        <v>1</v>
      </c>
      <c r="O15" s="433">
        <f t="shared" si="13"/>
        <v>5.5555555555555558E-3</v>
      </c>
      <c r="P15" s="333">
        <f t="shared" si="14"/>
        <v>35.403333333333336</v>
      </c>
      <c r="Q15" s="327">
        <f t="shared" si="15"/>
        <v>5.4949999999999992E-2</v>
      </c>
      <c r="R15" s="334">
        <f t="shared" si="16"/>
        <v>350.17436999999995</v>
      </c>
      <c r="S15" s="335">
        <f t="shared" si="4"/>
        <v>65.565237747984625</v>
      </c>
      <c r="T15" s="335">
        <f t="shared" si="5"/>
        <v>567.0359893333333</v>
      </c>
      <c r="U15" s="336">
        <f t="shared" si="6"/>
        <v>1</v>
      </c>
      <c r="V15" s="336">
        <f t="shared" si="7"/>
        <v>0</v>
      </c>
      <c r="W15" s="336">
        <f t="shared" si="8"/>
        <v>0</v>
      </c>
      <c r="X15" s="336">
        <f t="shared" si="9"/>
        <v>0</v>
      </c>
      <c r="Y15" s="320"/>
      <c r="Z15" s="321" t="str">
        <f t="shared" si="17"/>
        <v>X-PTAARIDOSA</v>
      </c>
      <c r="AA15" s="321" t="str">
        <f t="shared" si="18"/>
        <v>X-PTAARIDOSE</v>
      </c>
      <c r="AB15" s="321" t="str">
        <f t="shared" si="19"/>
        <v>X-PTAARIDOSM</v>
      </c>
      <c r="AC15" s="321" t="str">
        <f t="shared" si="20"/>
        <v>X-PTAARIDOST</v>
      </c>
      <c r="AD15" s="321" t="str">
        <f t="shared" si="21"/>
        <v>X-PTAARIDOSS</v>
      </c>
      <c r="AE15" s="321" t="str">
        <f t="shared" si="22"/>
        <v>X-PTAARIDOSX</v>
      </c>
      <c r="AF15" s="321" t="str">
        <f t="shared" si="23"/>
        <v>X-PTAARIDOSE</v>
      </c>
      <c r="AG15" s="321">
        <f t="shared" si="10"/>
        <v>21</v>
      </c>
      <c r="AH15" s="321"/>
      <c r="AI15" s="321" t="str">
        <f t="shared" si="24"/>
        <v>X-PTAARIDOS</v>
      </c>
      <c r="AJ15" s="320"/>
      <c r="AK15" s="322">
        <f t="shared" si="11"/>
        <v>7</v>
      </c>
      <c r="AL15" s="323">
        <f t="shared" si="25"/>
        <v>27</v>
      </c>
      <c r="AM15" s="322">
        <f t="shared" si="26"/>
        <v>9</v>
      </c>
      <c r="AN15" s="381">
        <f t="shared" si="12"/>
        <v>0.12128888888888889</v>
      </c>
      <c r="AO15" s="322"/>
    </row>
    <row r="16" spans="2:41">
      <c r="B16" s="324" t="s">
        <v>1207</v>
      </c>
      <c r="C16" s="325" t="s">
        <v>1208</v>
      </c>
      <c r="D16" s="326" t="s">
        <v>447</v>
      </c>
      <c r="E16" s="327">
        <f>+SUMIF('AUX-NIV2'!I:I,'AUX-NIV3'!B16,'AUX-NIV2'!Q:Q)</f>
        <v>9.8909999999999982</v>
      </c>
      <c r="F16" s="327">
        <f t="shared" si="1"/>
        <v>633.60122708131803</v>
      </c>
      <c r="G16" s="327">
        <f t="shared" si="2"/>
        <v>6266.9497370613135</v>
      </c>
      <c r="H16" s="328" t="str">
        <f t="shared" si="3"/>
        <v>E</v>
      </c>
      <c r="I16" s="325" t="s">
        <v>1545</v>
      </c>
      <c r="J16" s="329" t="str">
        <f>IF(B16&lt;&gt;"",+VLOOKUP(I16,Recursos!C:F,2,FALSE),"")</f>
        <v>TORRE DE ILUMINACION</v>
      </c>
      <c r="K16" s="330" t="str">
        <f>IF(B16&lt;&gt;"",+VLOOKUP(I16,Recursos!C:F,3,FALSE),"")</f>
        <v>HR</v>
      </c>
      <c r="L16" s="327">
        <f>IF(B16&lt;&gt;"",+VLOOKUP(I16,Recursos!C:F,4,FALSE),"")</f>
        <v>323.2944</v>
      </c>
      <c r="M16" s="331">
        <v>25</v>
      </c>
      <c r="N16" s="331">
        <v>0.5</v>
      </c>
      <c r="O16" s="433">
        <f t="shared" si="13"/>
        <v>0.02</v>
      </c>
      <c r="P16" s="333">
        <f t="shared" si="14"/>
        <v>6.4658879999999996</v>
      </c>
      <c r="Q16" s="327">
        <f t="shared" si="15"/>
        <v>0.19781999999999997</v>
      </c>
      <c r="R16" s="334">
        <f t="shared" si="16"/>
        <v>63.954098207999991</v>
      </c>
      <c r="S16" s="335">
        <f t="shared" si="4"/>
        <v>65.565237747984625</v>
      </c>
      <c r="T16" s="335">
        <f t="shared" si="5"/>
        <v>567.0359893333333</v>
      </c>
      <c r="U16" s="336">
        <f t="shared" si="6"/>
        <v>1</v>
      </c>
      <c r="V16" s="336">
        <f t="shared" si="7"/>
        <v>0</v>
      </c>
      <c r="W16" s="336">
        <f t="shared" si="8"/>
        <v>0</v>
      </c>
      <c r="X16" s="336">
        <f t="shared" si="9"/>
        <v>0</v>
      </c>
      <c r="Y16" s="320"/>
      <c r="Z16" s="321" t="str">
        <f t="shared" si="17"/>
        <v>X-PTAARIDOSA</v>
      </c>
      <c r="AA16" s="321" t="str">
        <f t="shared" si="18"/>
        <v>X-PTAARIDOSE</v>
      </c>
      <c r="AB16" s="321" t="str">
        <f t="shared" si="19"/>
        <v>X-PTAARIDOSM</v>
      </c>
      <c r="AC16" s="321" t="str">
        <f t="shared" si="20"/>
        <v>X-PTAARIDOST</v>
      </c>
      <c r="AD16" s="321" t="str">
        <f t="shared" si="21"/>
        <v>X-PTAARIDOSS</v>
      </c>
      <c r="AE16" s="321" t="str">
        <f t="shared" si="22"/>
        <v>X-PTAARIDOSX</v>
      </c>
      <c r="AF16" s="321" t="str">
        <f t="shared" si="23"/>
        <v>X-PTAARIDOSE</v>
      </c>
      <c r="AG16" s="321">
        <f t="shared" si="10"/>
        <v>21</v>
      </c>
      <c r="AH16" s="321"/>
      <c r="AI16" s="321" t="str">
        <f t="shared" si="24"/>
        <v>X-PTAARIDOS</v>
      </c>
      <c r="AJ16" s="320"/>
      <c r="AK16" s="322">
        <f t="shared" si="11"/>
        <v>7</v>
      </c>
      <c r="AL16" s="323">
        <f t="shared" si="25"/>
        <v>27</v>
      </c>
      <c r="AM16" s="322">
        <f t="shared" si="26"/>
        <v>10</v>
      </c>
      <c r="AN16" s="381">
        <f t="shared" si="12"/>
        <v>0.12128888888888889</v>
      </c>
      <c r="AO16" s="322"/>
    </row>
    <row r="17" spans="2:41">
      <c r="B17" s="324" t="s">
        <v>1207</v>
      </c>
      <c r="C17" s="325" t="s">
        <v>1208</v>
      </c>
      <c r="D17" s="326" t="s">
        <v>447</v>
      </c>
      <c r="E17" s="327">
        <f>+SUMIF('AUX-NIV2'!I:I,'AUX-NIV3'!B17,'AUX-NIV2'!Q:Q)</f>
        <v>9.8909999999999982</v>
      </c>
      <c r="F17" s="327">
        <f t="shared" si="1"/>
        <v>633.60122708131803</v>
      </c>
      <c r="G17" s="327">
        <f t="shared" si="2"/>
        <v>6266.9497370613135</v>
      </c>
      <c r="H17" s="328" t="str">
        <f t="shared" si="3"/>
        <v>E</v>
      </c>
      <c r="I17" s="325" t="s">
        <v>1555</v>
      </c>
      <c r="J17" s="329" t="str">
        <f>IF(B17&lt;&gt;"",+VLOOKUP(I17,Recursos!C:F,2,FALSE),"")</f>
        <v>CAMION VOLCADOR 6x4 CAP. 24 T=15 m3</v>
      </c>
      <c r="K17" s="330" t="str">
        <f>IF(B17&lt;&gt;"",+VLOOKUP(I17,Recursos!C:F,3,FALSE),"")</f>
        <v>HR</v>
      </c>
      <c r="L17" s="327">
        <f>IF(B17&lt;&gt;"",+VLOOKUP(I17,Recursos!C:F,4,FALSE),"")</f>
        <v>3333.261</v>
      </c>
      <c r="M17" s="331">
        <v>25</v>
      </c>
      <c r="N17" s="331">
        <v>1</v>
      </c>
      <c r="O17" s="433">
        <f t="shared" si="13"/>
        <v>0.04</v>
      </c>
      <c r="P17" s="333">
        <f t="shared" si="14"/>
        <v>133.33044000000001</v>
      </c>
      <c r="Q17" s="327">
        <f t="shared" si="15"/>
        <v>0.39563999999999994</v>
      </c>
      <c r="R17" s="334">
        <f t="shared" si="16"/>
        <v>1318.7713820399997</v>
      </c>
      <c r="S17" s="335">
        <f t="shared" si="4"/>
        <v>65.565237747984625</v>
      </c>
      <c r="T17" s="335">
        <f t="shared" si="5"/>
        <v>567.0359893333333</v>
      </c>
      <c r="U17" s="336">
        <f t="shared" si="6"/>
        <v>1</v>
      </c>
      <c r="V17" s="336">
        <f t="shared" si="7"/>
        <v>0</v>
      </c>
      <c r="W17" s="336">
        <f t="shared" si="8"/>
        <v>0</v>
      </c>
      <c r="X17" s="336">
        <f t="shared" si="9"/>
        <v>0</v>
      </c>
      <c r="Y17" s="320"/>
      <c r="Z17" s="321" t="str">
        <f t="shared" si="17"/>
        <v>X-PTAARIDOSA</v>
      </c>
      <c r="AA17" s="321" t="str">
        <f t="shared" si="18"/>
        <v>X-PTAARIDOSE</v>
      </c>
      <c r="AB17" s="321" t="str">
        <f t="shared" si="19"/>
        <v>X-PTAARIDOSM</v>
      </c>
      <c r="AC17" s="321" t="str">
        <f t="shared" si="20"/>
        <v>X-PTAARIDOST</v>
      </c>
      <c r="AD17" s="321" t="str">
        <f t="shared" si="21"/>
        <v>X-PTAARIDOSS</v>
      </c>
      <c r="AE17" s="321" t="str">
        <f t="shared" si="22"/>
        <v>X-PTAARIDOSX</v>
      </c>
      <c r="AF17" s="321" t="str">
        <f t="shared" si="23"/>
        <v>X-PTAARIDOSE</v>
      </c>
      <c r="AG17" s="321">
        <f t="shared" si="10"/>
        <v>21</v>
      </c>
      <c r="AH17" s="321"/>
      <c r="AI17" s="321" t="str">
        <f t="shared" si="24"/>
        <v>X-PTAARIDOS</v>
      </c>
      <c r="AJ17" s="320"/>
      <c r="AK17" s="322">
        <f t="shared" si="11"/>
        <v>7</v>
      </c>
      <c r="AL17" s="323">
        <f t="shared" si="25"/>
        <v>27</v>
      </c>
      <c r="AM17" s="322">
        <f t="shared" si="26"/>
        <v>11</v>
      </c>
      <c r="AN17" s="381">
        <f t="shared" si="12"/>
        <v>0.12128888888888889</v>
      </c>
      <c r="AO17" s="322"/>
    </row>
    <row r="18" spans="2:41">
      <c r="B18" s="324" t="s">
        <v>1207</v>
      </c>
      <c r="C18" s="325" t="s">
        <v>1208</v>
      </c>
      <c r="D18" s="326" t="s">
        <v>447</v>
      </c>
      <c r="E18" s="327">
        <f>+SUMIF('AUX-NIV2'!I:I,'AUX-NIV3'!B18,'AUX-NIV2'!Q:Q)</f>
        <v>9.8909999999999982</v>
      </c>
      <c r="F18" s="327">
        <f t="shared" si="1"/>
        <v>633.60122708131803</v>
      </c>
      <c r="G18" s="327">
        <f t="shared" si="2"/>
        <v>6266.9497370613135</v>
      </c>
      <c r="H18" s="328" t="str">
        <f t="shared" si="3"/>
        <v>E</v>
      </c>
      <c r="I18" s="325" t="s">
        <v>1542</v>
      </c>
      <c r="J18" s="329" t="str">
        <f>IF(B18&lt;&gt;"",+VLOOKUP(I18,Recursos!C:F,2,FALSE),"")</f>
        <v>CARGADOR FRONTAL S/NEUM. (2,30 M3)</v>
      </c>
      <c r="K18" s="330" t="str">
        <f>IF(B18&lt;&gt;"",+VLOOKUP(I18,Recursos!C:F,3,FALSE),"")</f>
        <v>HR</v>
      </c>
      <c r="L18" s="327">
        <f>IF(B18&lt;&gt;"",+VLOOKUP(I18,Recursos!C:F,4,FALSE),"")</f>
        <v>3152.8359999999998</v>
      </c>
      <c r="M18" s="331">
        <v>25</v>
      </c>
      <c r="N18" s="331">
        <v>1</v>
      </c>
      <c r="O18" s="433">
        <f t="shared" si="13"/>
        <v>0.04</v>
      </c>
      <c r="P18" s="333">
        <f t="shared" si="14"/>
        <v>126.11344</v>
      </c>
      <c r="Q18" s="327">
        <f t="shared" si="15"/>
        <v>0.39563999999999994</v>
      </c>
      <c r="R18" s="334">
        <f t="shared" si="16"/>
        <v>1247.3880350399997</v>
      </c>
      <c r="S18" s="335">
        <f t="shared" si="4"/>
        <v>65.565237747984625</v>
      </c>
      <c r="T18" s="335">
        <f t="shared" si="5"/>
        <v>567.0359893333333</v>
      </c>
      <c r="U18" s="336">
        <f t="shared" si="6"/>
        <v>1</v>
      </c>
      <c r="V18" s="336">
        <f t="shared" si="7"/>
        <v>0</v>
      </c>
      <c r="W18" s="336">
        <f t="shared" si="8"/>
        <v>0</v>
      </c>
      <c r="X18" s="336">
        <f t="shared" si="9"/>
        <v>0</v>
      </c>
      <c r="Y18" s="320"/>
      <c r="Z18" s="321" t="str">
        <f t="shared" si="17"/>
        <v>X-PTAARIDOSA</v>
      </c>
      <c r="AA18" s="321" t="str">
        <f t="shared" si="18"/>
        <v>X-PTAARIDOSE</v>
      </c>
      <c r="AB18" s="321" t="str">
        <f t="shared" si="19"/>
        <v>X-PTAARIDOSM</v>
      </c>
      <c r="AC18" s="321" t="str">
        <f t="shared" si="20"/>
        <v>X-PTAARIDOST</v>
      </c>
      <c r="AD18" s="321" t="str">
        <f t="shared" si="21"/>
        <v>X-PTAARIDOSS</v>
      </c>
      <c r="AE18" s="321" t="str">
        <f t="shared" si="22"/>
        <v>X-PTAARIDOSX</v>
      </c>
      <c r="AF18" s="321" t="str">
        <f t="shared" si="23"/>
        <v>X-PTAARIDOSE</v>
      </c>
      <c r="AG18" s="321">
        <f t="shared" si="10"/>
        <v>21</v>
      </c>
      <c r="AH18" s="321"/>
      <c r="AI18" s="321" t="str">
        <f t="shared" si="24"/>
        <v>X-PTAARIDOS</v>
      </c>
      <c r="AJ18" s="320"/>
      <c r="AK18" s="322">
        <f t="shared" si="11"/>
        <v>7</v>
      </c>
      <c r="AL18" s="323">
        <f t="shared" si="25"/>
        <v>27</v>
      </c>
      <c r="AM18" s="322">
        <f t="shared" si="26"/>
        <v>12</v>
      </c>
      <c r="AN18" s="381">
        <f t="shared" si="12"/>
        <v>0.12128888888888889</v>
      </c>
      <c r="AO18" s="322"/>
    </row>
    <row r="19" spans="2:41">
      <c r="B19" s="324" t="s">
        <v>1207</v>
      </c>
      <c r="C19" s="325" t="s">
        <v>1208</v>
      </c>
      <c r="D19" s="326" t="s">
        <v>447</v>
      </c>
      <c r="E19" s="327">
        <f>+SUMIF('AUX-NIV2'!I:I,'AUX-NIV3'!B19,'AUX-NIV2'!Q:Q)</f>
        <v>9.8909999999999982</v>
      </c>
      <c r="F19" s="327">
        <f t="shared" si="1"/>
        <v>633.60122708131803</v>
      </c>
      <c r="G19" s="327">
        <f t="shared" si="2"/>
        <v>6266.9497370613135</v>
      </c>
      <c r="H19" s="328" t="str">
        <f t="shared" si="3"/>
        <v>E</v>
      </c>
      <c r="I19" s="325" t="s">
        <v>1555</v>
      </c>
      <c r="J19" s="329" t="str">
        <f>IF(B19&lt;&gt;"",+VLOOKUP(I19,Recursos!C:F,2,FALSE),"")</f>
        <v>CAMION VOLCADOR 6x4 CAP. 24 T=15 m3</v>
      </c>
      <c r="K19" s="330" t="str">
        <f>IF(B19&lt;&gt;"",+VLOOKUP(I19,Recursos!C:F,3,FALSE),"")</f>
        <v>HR</v>
      </c>
      <c r="L19" s="327">
        <f>IF(B19&lt;&gt;"",+VLOOKUP(I19,Recursos!C:F,4,FALSE),"")</f>
        <v>3333.261</v>
      </c>
      <c r="M19" s="331">
        <v>25</v>
      </c>
      <c r="N19" s="331">
        <v>1</v>
      </c>
      <c r="O19" s="433">
        <f t="shared" si="13"/>
        <v>0.04</v>
      </c>
      <c r="P19" s="333">
        <f t="shared" si="14"/>
        <v>133.33044000000001</v>
      </c>
      <c r="Q19" s="327">
        <f t="shared" si="15"/>
        <v>0.39563999999999994</v>
      </c>
      <c r="R19" s="334">
        <f t="shared" si="16"/>
        <v>1318.7713820399997</v>
      </c>
      <c r="S19" s="335">
        <f t="shared" si="4"/>
        <v>65.565237747984625</v>
      </c>
      <c r="T19" s="335">
        <f t="shared" si="5"/>
        <v>567.0359893333333</v>
      </c>
      <c r="U19" s="336">
        <f t="shared" si="6"/>
        <v>1</v>
      </c>
      <c r="V19" s="336">
        <f t="shared" si="7"/>
        <v>0</v>
      </c>
      <c r="W19" s="336">
        <f t="shared" si="8"/>
        <v>0</v>
      </c>
      <c r="X19" s="336">
        <f t="shared" si="9"/>
        <v>0</v>
      </c>
      <c r="Y19" s="320"/>
      <c r="Z19" s="321" t="str">
        <f t="shared" si="17"/>
        <v>X-PTAARIDOSA</v>
      </c>
      <c r="AA19" s="321" t="str">
        <f t="shared" si="18"/>
        <v>X-PTAARIDOSE</v>
      </c>
      <c r="AB19" s="321" t="str">
        <f t="shared" si="19"/>
        <v>X-PTAARIDOSM</v>
      </c>
      <c r="AC19" s="321" t="str">
        <f t="shared" si="20"/>
        <v>X-PTAARIDOST</v>
      </c>
      <c r="AD19" s="321" t="str">
        <f t="shared" si="21"/>
        <v>X-PTAARIDOSS</v>
      </c>
      <c r="AE19" s="321" t="str">
        <f t="shared" si="22"/>
        <v>X-PTAARIDOSX</v>
      </c>
      <c r="AF19" s="321" t="str">
        <f t="shared" si="23"/>
        <v>X-PTAARIDOSE</v>
      </c>
      <c r="AG19" s="321">
        <f t="shared" si="10"/>
        <v>21</v>
      </c>
      <c r="AH19" s="321"/>
      <c r="AI19" s="321" t="str">
        <f t="shared" si="24"/>
        <v>X-PTAARIDOS</v>
      </c>
      <c r="AJ19" s="320"/>
      <c r="AK19" s="322">
        <f t="shared" si="11"/>
        <v>7</v>
      </c>
      <c r="AL19" s="323">
        <f t="shared" si="25"/>
        <v>27</v>
      </c>
      <c r="AM19" s="322">
        <f t="shared" si="26"/>
        <v>13</v>
      </c>
      <c r="AN19" s="381">
        <f t="shared" si="12"/>
        <v>0.12128888888888889</v>
      </c>
      <c r="AO19" s="322"/>
    </row>
    <row r="20" spans="2:41">
      <c r="B20" s="324" t="s">
        <v>1207</v>
      </c>
      <c r="C20" s="325" t="s">
        <v>1208</v>
      </c>
      <c r="D20" s="326" t="s">
        <v>447</v>
      </c>
      <c r="E20" s="327">
        <f>+SUMIF('AUX-NIV2'!I:I,'AUX-NIV3'!B20,'AUX-NIV2'!Q:Q)</f>
        <v>9.8909999999999982</v>
      </c>
      <c r="F20" s="327">
        <f t="shared" si="1"/>
        <v>633.60122708131803</v>
      </c>
      <c r="G20" s="327">
        <f t="shared" si="2"/>
        <v>6266.9497370613135</v>
      </c>
      <c r="H20" s="328" t="str">
        <f t="shared" si="3"/>
        <v>E</v>
      </c>
      <c r="I20" s="325" t="s">
        <v>1606</v>
      </c>
      <c r="J20" s="329" t="str">
        <f>IF(B20&lt;&gt;"",+VLOOKUP(I20,Recursos!C:F,2,FALSE),"")</f>
        <v>PLANTA DE ZARANDEO 100/175 T/H</v>
      </c>
      <c r="K20" s="330" t="str">
        <f>IF(B20&lt;&gt;"",+VLOOKUP(I20,Recursos!C:F,3,FALSE),"")</f>
        <v>HR</v>
      </c>
      <c r="L20" s="327">
        <f>IF(B20&lt;&gt;"",+VLOOKUP(I20,Recursos!C:F,4,FALSE),"")</f>
        <v>793.94899999999996</v>
      </c>
      <c r="M20" s="331">
        <v>62.5</v>
      </c>
      <c r="N20" s="331">
        <v>2</v>
      </c>
      <c r="O20" s="433">
        <f t="shared" si="13"/>
        <v>3.2000000000000001E-2</v>
      </c>
      <c r="P20" s="333">
        <f t="shared" si="14"/>
        <v>25.406368000000001</v>
      </c>
      <c r="Q20" s="327">
        <f t="shared" si="15"/>
        <v>0.31651199999999996</v>
      </c>
      <c r="R20" s="334">
        <f t="shared" si="16"/>
        <v>251.29438588799997</v>
      </c>
      <c r="S20" s="335">
        <f t="shared" si="4"/>
        <v>65.565237747984625</v>
      </c>
      <c r="T20" s="335">
        <f t="shared" si="5"/>
        <v>567.0359893333333</v>
      </c>
      <c r="U20" s="336">
        <f t="shared" si="6"/>
        <v>1</v>
      </c>
      <c r="V20" s="336">
        <f t="shared" si="7"/>
        <v>0</v>
      </c>
      <c r="W20" s="336">
        <f t="shared" si="8"/>
        <v>0</v>
      </c>
      <c r="X20" s="336">
        <f t="shared" si="9"/>
        <v>0</v>
      </c>
      <c r="Y20" s="320"/>
      <c r="Z20" s="321" t="str">
        <f t="shared" si="17"/>
        <v>X-PTAARIDOSA</v>
      </c>
      <c r="AA20" s="321" t="str">
        <f t="shared" si="18"/>
        <v>X-PTAARIDOSE</v>
      </c>
      <c r="AB20" s="321" t="str">
        <f t="shared" si="19"/>
        <v>X-PTAARIDOSM</v>
      </c>
      <c r="AC20" s="321" t="str">
        <f t="shared" si="20"/>
        <v>X-PTAARIDOST</v>
      </c>
      <c r="AD20" s="321" t="str">
        <f t="shared" si="21"/>
        <v>X-PTAARIDOSS</v>
      </c>
      <c r="AE20" s="321" t="str">
        <f t="shared" si="22"/>
        <v>X-PTAARIDOSX</v>
      </c>
      <c r="AF20" s="321" t="str">
        <f t="shared" si="23"/>
        <v>X-PTAARIDOSE</v>
      </c>
      <c r="AG20" s="321">
        <f t="shared" si="10"/>
        <v>21</v>
      </c>
      <c r="AH20" s="321"/>
      <c r="AI20" s="321" t="str">
        <f t="shared" si="24"/>
        <v>X-PTAARIDOS</v>
      </c>
      <c r="AJ20" s="320"/>
      <c r="AK20" s="322">
        <f t="shared" si="11"/>
        <v>7</v>
      </c>
      <c r="AL20" s="323">
        <f t="shared" si="25"/>
        <v>27</v>
      </c>
      <c r="AM20" s="322">
        <f t="shared" si="26"/>
        <v>14</v>
      </c>
      <c r="AN20" s="381">
        <f t="shared" si="12"/>
        <v>0.12128888888888889</v>
      </c>
      <c r="AO20" s="322"/>
    </row>
    <row r="21" spans="2:41">
      <c r="B21" s="324" t="s">
        <v>1207</v>
      </c>
      <c r="C21" s="325" t="s">
        <v>1208</v>
      </c>
      <c r="D21" s="326" t="s">
        <v>447</v>
      </c>
      <c r="E21" s="327">
        <f>+SUMIF('AUX-NIV2'!I:I,'AUX-NIV3'!B21,'AUX-NIV2'!Q:Q)</f>
        <v>9.8909999999999982</v>
      </c>
      <c r="F21" s="327">
        <f t="shared" si="1"/>
        <v>633.60122708131803</v>
      </c>
      <c r="G21" s="327">
        <f t="shared" si="2"/>
        <v>6266.9497370613135</v>
      </c>
      <c r="H21" s="328" t="str">
        <f t="shared" si="3"/>
        <v>E</v>
      </c>
      <c r="I21" s="325" t="s">
        <v>1607</v>
      </c>
      <c r="J21" s="329" t="str">
        <f>IF(B21&lt;&gt;"",+VLOOKUP(I21,Recursos!C:F,2,FALSE),"")</f>
        <v>ALIMENTADOR VIBRAT.CAP.200 T/H</v>
      </c>
      <c r="K21" s="330" t="str">
        <f>IF(B21&lt;&gt;"",+VLOOKUP(I21,Recursos!C:F,3,FALSE),"")</f>
        <v>HR</v>
      </c>
      <c r="L21" s="327">
        <f>IF(B21&lt;&gt;"",+VLOOKUP(I21,Recursos!C:F,4,FALSE),"")</f>
        <v>163.27999999999997</v>
      </c>
      <c r="M21" s="331">
        <v>62.5</v>
      </c>
      <c r="N21" s="331">
        <v>1</v>
      </c>
      <c r="O21" s="433">
        <f t="shared" si="13"/>
        <v>1.6E-2</v>
      </c>
      <c r="P21" s="333">
        <f t="shared" si="14"/>
        <v>2.6124799999999997</v>
      </c>
      <c r="Q21" s="327">
        <f t="shared" si="15"/>
        <v>0.15825599999999998</v>
      </c>
      <c r="R21" s="334">
        <f t="shared" si="16"/>
        <v>25.840039679999993</v>
      </c>
      <c r="S21" s="335">
        <f t="shared" si="4"/>
        <v>65.565237747984625</v>
      </c>
      <c r="T21" s="335">
        <f t="shared" si="5"/>
        <v>567.0359893333333</v>
      </c>
      <c r="U21" s="336">
        <f t="shared" si="6"/>
        <v>1</v>
      </c>
      <c r="V21" s="336">
        <f t="shared" si="7"/>
        <v>0</v>
      </c>
      <c r="W21" s="336">
        <f t="shared" si="8"/>
        <v>0</v>
      </c>
      <c r="X21" s="336">
        <f t="shared" si="9"/>
        <v>0</v>
      </c>
      <c r="Y21" s="320"/>
      <c r="Z21" s="321" t="str">
        <f t="shared" si="17"/>
        <v>X-PTAARIDOSA</v>
      </c>
      <c r="AA21" s="321" t="str">
        <f t="shared" si="18"/>
        <v>X-PTAARIDOSE</v>
      </c>
      <c r="AB21" s="321" t="str">
        <f t="shared" si="19"/>
        <v>X-PTAARIDOSM</v>
      </c>
      <c r="AC21" s="321" t="str">
        <f t="shared" si="20"/>
        <v>X-PTAARIDOST</v>
      </c>
      <c r="AD21" s="321" t="str">
        <f t="shared" si="21"/>
        <v>X-PTAARIDOSS</v>
      </c>
      <c r="AE21" s="321" t="str">
        <f t="shared" si="22"/>
        <v>X-PTAARIDOSX</v>
      </c>
      <c r="AF21" s="321" t="str">
        <f t="shared" si="23"/>
        <v>X-PTAARIDOSE</v>
      </c>
      <c r="AG21" s="321">
        <f t="shared" si="10"/>
        <v>21</v>
      </c>
      <c r="AH21" s="321"/>
      <c r="AI21" s="321" t="str">
        <f t="shared" si="24"/>
        <v>X-PTAARIDOS</v>
      </c>
      <c r="AJ21" s="320"/>
      <c r="AK21" s="322">
        <f t="shared" si="11"/>
        <v>7</v>
      </c>
      <c r="AL21" s="323">
        <f t="shared" si="25"/>
        <v>27</v>
      </c>
      <c r="AM21" s="322">
        <f t="shared" si="26"/>
        <v>15</v>
      </c>
      <c r="AN21" s="381">
        <f t="shared" si="12"/>
        <v>0.12128888888888889</v>
      </c>
      <c r="AO21" s="322"/>
    </row>
    <row r="22" spans="2:41">
      <c r="B22" s="324" t="s">
        <v>1207</v>
      </c>
      <c r="C22" s="325" t="s">
        <v>1208</v>
      </c>
      <c r="D22" s="326" t="s">
        <v>447</v>
      </c>
      <c r="E22" s="327">
        <f>+SUMIF('AUX-NIV2'!I:I,'AUX-NIV3'!B22,'AUX-NIV2'!Q:Q)</f>
        <v>9.8909999999999982</v>
      </c>
      <c r="F22" s="327">
        <f t="shared" si="1"/>
        <v>633.60122708131803</v>
      </c>
      <c r="G22" s="327">
        <f t="shared" si="2"/>
        <v>6266.9497370613135</v>
      </c>
      <c r="H22" s="328" t="str">
        <f t="shared" si="3"/>
        <v>E</v>
      </c>
      <c r="I22" s="325" t="s">
        <v>1643</v>
      </c>
      <c r="J22" s="329" t="str">
        <f>IF(B22&lt;&gt;"",+VLOOKUP(I22,Recursos!C:F,2,FALSE),"")</f>
        <v>TRITUR.PRIMARIA A IMPACTO ALIM. 32"</v>
      </c>
      <c r="K22" s="330" t="str">
        <f>IF(B22&lt;&gt;"",+VLOOKUP(I22,Recursos!C:F,3,FALSE),"")</f>
        <v>HR</v>
      </c>
      <c r="L22" s="327">
        <f>IF(B22&lt;&gt;"",+VLOOKUP(I22,Recursos!C:F,4,FALSE),"")</f>
        <v>2204.2799999999997</v>
      </c>
      <c r="M22" s="331">
        <v>1</v>
      </c>
      <c r="N22" s="331">
        <v>0</v>
      </c>
      <c r="O22" s="433">
        <f t="shared" si="13"/>
        <v>0</v>
      </c>
      <c r="P22" s="333">
        <f t="shared" si="14"/>
        <v>0</v>
      </c>
      <c r="Q22" s="327">
        <f t="shared" si="15"/>
        <v>0</v>
      </c>
      <c r="R22" s="334">
        <f t="shared" si="16"/>
        <v>0</v>
      </c>
      <c r="S22" s="335">
        <f t="shared" si="4"/>
        <v>65.565237747984625</v>
      </c>
      <c r="T22" s="335">
        <f t="shared" si="5"/>
        <v>567.0359893333333</v>
      </c>
      <c r="U22" s="336">
        <f t="shared" si="6"/>
        <v>1</v>
      </c>
      <c r="V22" s="336">
        <f t="shared" si="7"/>
        <v>0</v>
      </c>
      <c r="W22" s="336">
        <f t="shared" si="8"/>
        <v>0</v>
      </c>
      <c r="X22" s="336">
        <f t="shared" si="9"/>
        <v>0</v>
      </c>
      <c r="Y22" s="320"/>
      <c r="Z22" s="321" t="str">
        <f t="shared" si="17"/>
        <v>X-PTAARIDOSA</v>
      </c>
      <c r="AA22" s="321" t="str">
        <f t="shared" si="18"/>
        <v>X-PTAARIDOSE</v>
      </c>
      <c r="AB22" s="321" t="str">
        <f t="shared" si="19"/>
        <v>X-PTAARIDOSM</v>
      </c>
      <c r="AC22" s="321" t="str">
        <f t="shared" si="20"/>
        <v>X-PTAARIDOST</v>
      </c>
      <c r="AD22" s="321" t="str">
        <f t="shared" si="21"/>
        <v>X-PTAARIDOSS</v>
      </c>
      <c r="AE22" s="321" t="str">
        <f t="shared" si="22"/>
        <v>X-PTAARIDOSX</v>
      </c>
      <c r="AF22" s="321" t="str">
        <f t="shared" si="23"/>
        <v>X-PTAARIDOSE</v>
      </c>
      <c r="AG22" s="321">
        <f t="shared" si="10"/>
        <v>21</v>
      </c>
      <c r="AH22" s="321"/>
      <c r="AI22" s="321" t="str">
        <f t="shared" si="24"/>
        <v>X-PTAARIDOS</v>
      </c>
      <c r="AJ22" s="320"/>
      <c r="AK22" s="322">
        <f t="shared" si="11"/>
        <v>7</v>
      </c>
      <c r="AL22" s="323">
        <f t="shared" si="25"/>
        <v>27</v>
      </c>
      <c r="AM22" s="322">
        <f t="shared" si="26"/>
        <v>16</v>
      </c>
      <c r="AN22" s="381">
        <f t="shared" si="12"/>
        <v>0.12128888888888889</v>
      </c>
      <c r="AO22" s="322"/>
    </row>
    <row r="23" spans="2:41">
      <c r="B23" s="324" t="s">
        <v>1207</v>
      </c>
      <c r="C23" s="325" t="s">
        <v>1208</v>
      </c>
      <c r="D23" s="326" t="s">
        <v>447</v>
      </c>
      <c r="E23" s="327">
        <f>+SUMIF('AUX-NIV2'!I:I,'AUX-NIV3'!B23,'AUX-NIV2'!Q:Q)</f>
        <v>9.8909999999999982</v>
      </c>
      <c r="F23" s="327">
        <f t="shared" si="1"/>
        <v>633.60122708131803</v>
      </c>
      <c r="G23" s="327">
        <f t="shared" si="2"/>
        <v>6266.9497370613135</v>
      </c>
      <c r="H23" s="328" t="str">
        <f t="shared" si="3"/>
        <v>E</v>
      </c>
      <c r="I23" s="325" t="s">
        <v>1644</v>
      </c>
      <c r="J23" s="329" t="str">
        <f>IF(B23&lt;&gt;"",+VLOOKUP(I23,Recursos!C:F,2,FALSE),"")</f>
        <v>TRITUR.SECUND.A CONO 36" C/ZARANDA</v>
      </c>
      <c r="K23" s="330" t="str">
        <f>IF(B23&lt;&gt;"",+VLOOKUP(I23,Recursos!C:F,3,FALSE),"")</f>
        <v>HR</v>
      </c>
      <c r="L23" s="327">
        <f>IF(B23&lt;&gt;"",+VLOOKUP(I23,Recursos!C:F,4,FALSE),"")</f>
        <v>1714.4399999999996</v>
      </c>
      <c r="M23" s="331">
        <v>62.5</v>
      </c>
      <c r="N23" s="331">
        <v>0</v>
      </c>
      <c r="O23" s="433">
        <f t="shared" si="13"/>
        <v>0</v>
      </c>
      <c r="P23" s="333">
        <f t="shared" si="14"/>
        <v>0</v>
      </c>
      <c r="Q23" s="327">
        <f t="shared" si="15"/>
        <v>0</v>
      </c>
      <c r="R23" s="334">
        <f t="shared" si="16"/>
        <v>0</v>
      </c>
      <c r="S23" s="335">
        <f t="shared" si="4"/>
        <v>65.565237747984625</v>
      </c>
      <c r="T23" s="335">
        <f t="shared" si="5"/>
        <v>567.0359893333333</v>
      </c>
      <c r="U23" s="336">
        <f t="shared" si="6"/>
        <v>1</v>
      </c>
      <c r="V23" s="336">
        <f t="shared" si="7"/>
        <v>0</v>
      </c>
      <c r="W23" s="336">
        <f t="shared" si="8"/>
        <v>0</v>
      </c>
      <c r="X23" s="336">
        <f t="shared" si="9"/>
        <v>0</v>
      </c>
      <c r="Y23" s="320"/>
      <c r="Z23" s="321" t="str">
        <f t="shared" si="17"/>
        <v>X-PTAARIDOSA</v>
      </c>
      <c r="AA23" s="321" t="str">
        <f t="shared" si="18"/>
        <v>X-PTAARIDOSE</v>
      </c>
      <c r="AB23" s="321" t="str">
        <f t="shared" si="19"/>
        <v>X-PTAARIDOSM</v>
      </c>
      <c r="AC23" s="321" t="str">
        <f t="shared" si="20"/>
        <v>X-PTAARIDOST</v>
      </c>
      <c r="AD23" s="321" t="str">
        <f t="shared" si="21"/>
        <v>X-PTAARIDOSS</v>
      </c>
      <c r="AE23" s="321" t="str">
        <f t="shared" si="22"/>
        <v>X-PTAARIDOSX</v>
      </c>
      <c r="AF23" s="321" t="str">
        <f t="shared" si="23"/>
        <v>X-PTAARIDOSE</v>
      </c>
      <c r="AG23" s="321">
        <f t="shared" si="10"/>
        <v>21</v>
      </c>
      <c r="AH23" s="321"/>
      <c r="AI23" s="321" t="str">
        <f t="shared" si="24"/>
        <v>X-PTAARIDOS</v>
      </c>
      <c r="AJ23" s="320"/>
      <c r="AK23" s="322">
        <f t="shared" si="11"/>
        <v>7</v>
      </c>
      <c r="AL23" s="323">
        <f t="shared" si="25"/>
        <v>27</v>
      </c>
      <c r="AM23" s="322">
        <f t="shared" si="26"/>
        <v>17</v>
      </c>
      <c r="AN23" s="381">
        <f t="shared" si="12"/>
        <v>0.12128888888888889</v>
      </c>
      <c r="AO23" s="322"/>
    </row>
    <row r="24" spans="2:41">
      <c r="B24" s="324" t="s">
        <v>1207</v>
      </c>
      <c r="C24" s="325" t="s">
        <v>1208</v>
      </c>
      <c r="D24" s="326" t="s">
        <v>447</v>
      </c>
      <c r="E24" s="327">
        <f>+SUMIF('AUX-NIV2'!I:I,'AUX-NIV3'!B24,'AUX-NIV2'!Q:Q)</f>
        <v>9.8909999999999982</v>
      </c>
      <c r="F24" s="327">
        <f t="shared" si="1"/>
        <v>633.60122708131803</v>
      </c>
      <c r="G24" s="327">
        <f t="shared" si="2"/>
        <v>6266.9497370613135</v>
      </c>
      <c r="H24" s="328" t="str">
        <f t="shared" si="3"/>
        <v>E</v>
      </c>
      <c r="I24" s="325" t="s">
        <v>1645</v>
      </c>
      <c r="J24" s="329" t="str">
        <f>IF(B24&lt;&gt;"",+VLOOKUP(I24,Recursos!C:F,2,FALSE),"")</f>
        <v>TRITUR.SECUND.A CONO 45" C/ZARANDA</v>
      </c>
      <c r="K24" s="330" t="str">
        <f>IF(B24&lt;&gt;"",+VLOOKUP(I24,Recursos!C:F,3,FALSE),"")</f>
        <v>HR</v>
      </c>
      <c r="L24" s="327">
        <f>IF(B24&lt;&gt;"",+VLOOKUP(I24,Recursos!C:F,4,FALSE),"")</f>
        <v>1714.4399999999996</v>
      </c>
      <c r="M24" s="331">
        <v>62.5</v>
      </c>
      <c r="N24" s="331">
        <v>0</v>
      </c>
      <c r="O24" s="433">
        <f t="shared" si="13"/>
        <v>0</v>
      </c>
      <c r="P24" s="333">
        <f t="shared" si="14"/>
        <v>0</v>
      </c>
      <c r="Q24" s="327">
        <f t="shared" si="15"/>
        <v>0</v>
      </c>
      <c r="R24" s="334">
        <f t="shared" si="16"/>
        <v>0</v>
      </c>
      <c r="S24" s="335">
        <f t="shared" si="4"/>
        <v>65.565237747984625</v>
      </c>
      <c r="T24" s="335">
        <f t="shared" si="5"/>
        <v>567.0359893333333</v>
      </c>
      <c r="U24" s="336">
        <f t="shared" si="6"/>
        <v>1</v>
      </c>
      <c r="V24" s="336">
        <f t="shared" si="7"/>
        <v>0</v>
      </c>
      <c r="W24" s="336">
        <f t="shared" si="8"/>
        <v>0</v>
      </c>
      <c r="X24" s="336">
        <f t="shared" si="9"/>
        <v>0</v>
      </c>
      <c r="Y24" s="320"/>
      <c r="Z24" s="321" t="str">
        <f t="shared" si="17"/>
        <v>X-PTAARIDOSA</v>
      </c>
      <c r="AA24" s="321" t="str">
        <f t="shared" si="18"/>
        <v>X-PTAARIDOSE</v>
      </c>
      <c r="AB24" s="321" t="str">
        <f t="shared" si="19"/>
        <v>X-PTAARIDOSM</v>
      </c>
      <c r="AC24" s="321" t="str">
        <f t="shared" si="20"/>
        <v>X-PTAARIDOST</v>
      </c>
      <c r="AD24" s="321" t="str">
        <f t="shared" si="21"/>
        <v>X-PTAARIDOSS</v>
      </c>
      <c r="AE24" s="321" t="str">
        <f t="shared" si="22"/>
        <v>X-PTAARIDOSX</v>
      </c>
      <c r="AF24" s="321" t="str">
        <f t="shared" si="23"/>
        <v>X-PTAARIDOSE</v>
      </c>
      <c r="AG24" s="321">
        <f t="shared" si="10"/>
        <v>21</v>
      </c>
      <c r="AH24" s="321"/>
      <c r="AI24" s="321" t="str">
        <f t="shared" si="24"/>
        <v>X-PTAARIDOS</v>
      </c>
      <c r="AJ24" s="320"/>
      <c r="AK24" s="322">
        <f t="shared" si="11"/>
        <v>7</v>
      </c>
      <c r="AL24" s="323">
        <f t="shared" si="25"/>
        <v>27</v>
      </c>
      <c r="AM24" s="322">
        <f t="shared" si="26"/>
        <v>18</v>
      </c>
      <c r="AN24" s="381">
        <f t="shared" si="12"/>
        <v>0.12128888888888889</v>
      </c>
      <c r="AO24" s="322"/>
    </row>
    <row r="25" spans="2:41">
      <c r="B25" s="324" t="s">
        <v>1207</v>
      </c>
      <c r="C25" s="325" t="s">
        <v>1208</v>
      </c>
      <c r="D25" s="326" t="s">
        <v>447</v>
      </c>
      <c r="E25" s="327">
        <f>+SUMIF('AUX-NIV2'!I:I,'AUX-NIV3'!B25,'AUX-NIV2'!Q:Q)</f>
        <v>9.8909999999999982</v>
      </c>
      <c r="F25" s="327">
        <f t="shared" si="1"/>
        <v>633.60122708131803</v>
      </c>
      <c r="G25" s="327">
        <f t="shared" si="2"/>
        <v>6266.9497370613135</v>
      </c>
      <c r="H25" s="328" t="str">
        <f t="shared" si="3"/>
        <v>E</v>
      </c>
      <c r="I25" s="325" t="s">
        <v>1646</v>
      </c>
      <c r="J25" s="329" t="str">
        <f>IF(B25&lt;&gt;"",+VLOOKUP(I25,Recursos!C:F,2,FALSE),"")</f>
        <v>ALIMENTADOR VIBRAT. 3'x14'</v>
      </c>
      <c r="K25" s="330" t="str">
        <f>IF(B25&lt;&gt;"",+VLOOKUP(I25,Recursos!C:F,3,FALSE),"")</f>
        <v>HR</v>
      </c>
      <c r="L25" s="327">
        <f>IF(B25&lt;&gt;"",+VLOOKUP(I25,Recursos!C:F,4,FALSE),"")</f>
        <v>306.14999999999998</v>
      </c>
      <c r="M25" s="331">
        <v>62.5</v>
      </c>
      <c r="N25" s="331">
        <v>1</v>
      </c>
      <c r="O25" s="433">
        <f t="shared" si="13"/>
        <v>1.6E-2</v>
      </c>
      <c r="P25" s="333">
        <f t="shared" si="14"/>
        <v>4.8983999999999996</v>
      </c>
      <c r="Q25" s="327">
        <f t="shared" si="15"/>
        <v>0.15825599999999998</v>
      </c>
      <c r="R25" s="334">
        <f t="shared" si="16"/>
        <v>48.450074399999991</v>
      </c>
      <c r="S25" s="335">
        <f t="shared" si="4"/>
        <v>65.565237747984625</v>
      </c>
      <c r="T25" s="335">
        <f t="shared" si="5"/>
        <v>567.0359893333333</v>
      </c>
      <c r="U25" s="336">
        <f t="shared" si="6"/>
        <v>1</v>
      </c>
      <c r="V25" s="336">
        <f t="shared" si="7"/>
        <v>0</v>
      </c>
      <c r="W25" s="336">
        <f t="shared" si="8"/>
        <v>0</v>
      </c>
      <c r="X25" s="336">
        <f t="shared" si="9"/>
        <v>0</v>
      </c>
      <c r="Y25" s="320"/>
      <c r="Z25" s="321" t="str">
        <f t="shared" si="17"/>
        <v>X-PTAARIDOSA</v>
      </c>
      <c r="AA25" s="321" t="str">
        <f t="shared" si="18"/>
        <v>X-PTAARIDOSE</v>
      </c>
      <c r="AB25" s="321" t="str">
        <f t="shared" si="19"/>
        <v>X-PTAARIDOSM</v>
      </c>
      <c r="AC25" s="321" t="str">
        <f t="shared" si="20"/>
        <v>X-PTAARIDOST</v>
      </c>
      <c r="AD25" s="321" t="str">
        <f t="shared" si="21"/>
        <v>X-PTAARIDOSS</v>
      </c>
      <c r="AE25" s="321" t="str">
        <f t="shared" si="22"/>
        <v>X-PTAARIDOSX</v>
      </c>
      <c r="AF25" s="321" t="str">
        <f t="shared" si="23"/>
        <v>X-PTAARIDOSE</v>
      </c>
      <c r="AG25" s="321">
        <f t="shared" si="10"/>
        <v>21</v>
      </c>
      <c r="AH25" s="321"/>
      <c r="AI25" s="321" t="str">
        <f t="shared" si="24"/>
        <v>X-PTAARIDOS</v>
      </c>
      <c r="AJ25" s="320"/>
      <c r="AK25" s="322">
        <f t="shared" si="11"/>
        <v>7</v>
      </c>
      <c r="AL25" s="323">
        <f t="shared" si="25"/>
        <v>27</v>
      </c>
      <c r="AM25" s="322">
        <f t="shared" si="26"/>
        <v>19</v>
      </c>
      <c r="AN25" s="381">
        <f t="shared" si="12"/>
        <v>0.12128888888888889</v>
      </c>
      <c r="AO25" s="322"/>
    </row>
    <row r="26" spans="2:41">
      <c r="B26" s="324" t="s">
        <v>1207</v>
      </c>
      <c r="C26" s="325" t="s">
        <v>1208</v>
      </c>
      <c r="D26" s="326" t="s">
        <v>447</v>
      </c>
      <c r="E26" s="327">
        <f>+SUMIF('AUX-NIV2'!I:I,'AUX-NIV3'!B26,'AUX-NIV2'!Q:Q)</f>
        <v>9.8909999999999982</v>
      </c>
      <c r="F26" s="327">
        <f t="shared" si="1"/>
        <v>633.60122708131803</v>
      </c>
      <c r="G26" s="327">
        <f t="shared" si="2"/>
        <v>6266.9497370613135</v>
      </c>
      <c r="H26" s="328" t="str">
        <f t="shared" si="3"/>
        <v>E</v>
      </c>
      <c r="I26" s="325" t="s">
        <v>1651</v>
      </c>
      <c r="J26" s="329" t="str">
        <f>IF(B26&lt;&gt;"",+VLOOKUP(I26,Recursos!C:F,2,FALSE),"")</f>
        <v>CINTA TRANSPORTADORA 0,90 m x 15 m</v>
      </c>
      <c r="K26" s="330" t="str">
        <f>IF(B26&lt;&gt;"",+VLOOKUP(I26,Recursos!C:F,3,FALSE),"")</f>
        <v>HR</v>
      </c>
      <c r="L26" s="327">
        <f>IF(B26&lt;&gt;"",+VLOOKUP(I26,Recursos!C:F,4,FALSE),"")</f>
        <v>310.85999999999996</v>
      </c>
      <c r="M26" s="331">
        <v>62.5</v>
      </c>
      <c r="N26" s="331">
        <v>20</v>
      </c>
      <c r="O26" s="433">
        <f t="shared" si="13"/>
        <v>0.32</v>
      </c>
      <c r="P26" s="333">
        <f t="shared" si="14"/>
        <v>99.475199999999987</v>
      </c>
      <c r="Q26" s="327">
        <f t="shared" si="15"/>
        <v>3.1651199999999995</v>
      </c>
      <c r="R26" s="334">
        <f t="shared" si="16"/>
        <v>983.90920319999975</v>
      </c>
      <c r="S26" s="335">
        <f t="shared" si="4"/>
        <v>65.565237747984625</v>
      </c>
      <c r="T26" s="335">
        <f t="shared" si="5"/>
        <v>567.0359893333333</v>
      </c>
      <c r="U26" s="336">
        <f t="shared" si="6"/>
        <v>1</v>
      </c>
      <c r="V26" s="336">
        <f t="shared" si="7"/>
        <v>0</v>
      </c>
      <c r="W26" s="336">
        <f t="shared" si="8"/>
        <v>0</v>
      </c>
      <c r="X26" s="336">
        <f t="shared" si="9"/>
        <v>0</v>
      </c>
      <c r="Y26" s="320"/>
      <c r="Z26" s="321" t="str">
        <f t="shared" si="17"/>
        <v>X-PTAARIDOSA</v>
      </c>
      <c r="AA26" s="321" t="str">
        <f t="shared" si="18"/>
        <v>X-PTAARIDOSE</v>
      </c>
      <c r="AB26" s="321" t="str">
        <f t="shared" si="19"/>
        <v>X-PTAARIDOSM</v>
      </c>
      <c r="AC26" s="321" t="str">
        <f t="shared" si="20"/>
        <v>X-PTAARIDOST</v>
      </c>
      <c r="AD26" s="321" t="str">
        <f t="shared" si="21"/>
        <v>X-PTAARIDOSS</v>
      </c>
      <c r="AE26" s="321" t="str">
        <f t="shared" si="22"/>
        <v>X-PTAARIDOSX</v>
      </c>
      <c r="AF26" s="321" t="str">
        <f t="shared" si="23"/>
        <v>X-PTAARIDOSE</v>
      </c>
      <c r="AG26" s="321">
        <f t="shared" si="10"/>
        <v>21</v>
      </c>
      <c r="AH26" s="321"/>
      <c r="AI26" s="321" t="str">
        <f t="shared" si="24"/>
        <v>X-PTAARIDOS</v>
      </c>
      <c r="AJ26" s="320"/>
      <c r="AK26" s="322">
        <f t="shared" si="11"/>
        <v>7</v>
      </c>
      <c r="AL26" s="323">
        <f t="shared" si="25"/>
        <v>27</v>
      </c>
      <c r="AM26" s="322">
        <f t="shared" si="26"/>
        <v>20</v>
      </c>
      <c r="AN26" s="381">
        <f t="shared" si="12"/>
        <v>0.12128888888888889</v>
      </c>
      <c r="AO26" s="322"/>
    </row>
    <row r="27" spans="2:41">
      <c r="B27" s="324" t="s">
        <v>1207</v>
      </c>
      <c r="C27" s="325" t="s">
        <v>1208</v>
      </c>
      <c r="D27" s="326" t="s">
        <v>447</v>
      </c>
      <c r="E27" s="327">
        <f>+SUMIF('AUX-NIV2'!I:I,'AUX-NIV3'!B27,'AUX-NIV2'!Q:Q)</f>
        <v>9.8909999999999982</v>
      </c>
      <c r="F27" s="327">
        <f t="shared" si="1"/>
        <v>633.60122708131803</v>
      </c>
      <c r="G27" s="327">
        <f t="shared" si="2"/>
        <v>6266.9497370613135</v>
      </c>
      <c r="H27" s="328" t="str">
        <f t="shared" si="3"/>
        <v>M</v>
      </c>
      <c r="I27" s="325" t="s">
        <v>621</v>
      </c>
      <c r="J27" s="329" t="str">
        <f>IF(B27&lt;&gt;"",+VLOOKUP(I27,Recursos!C:F,2,FALSE),"")</f>
        <v>MATERIALES VARIOS</v>
      </c>
      <c r="K27" s="330" t="str">
        <f>IF(B27&lt;&gt;"",+VLOOKUP(I27,Recursos!C:F,3,FALSE),"")</f>
        <v>GL</v>
      </c>
      <c r="L27" s="327">
        <f>IF(B27&lt;&gt;"",+VLOOKUP(I27,Recursos!C:F,4,FALSE),"")</f>
        <v>0.5</v>
      </c>
      <c r="M27" s="331">
        <v>1</v>
      </c>
      <c r="N27" s="331">
        <v>2</v>
      </c>
      <c r="O27" s="433">
        <f t="shared" si="13"/>
        <v>2</v>
      </c>
      <c r="P27" s="333">
        <f t="shared" si="14"/>
        <v>1</v>
      </c>
      <c r="Q27" s="327">
        <f t="shared" si="15"/>
        <v>19.781999999999996</v>
      </c>
      <c r="R27" s="334">
        <f t="shared" si="16"/>
        <v>9.8909999999999982</v>
      </c>
      <c r="S27" s="335">
        <f t="shared" si="4"/>
        <v>65.565237747984625</v>
      </c>
      <c r="T27" s="335">
        <f t="shared" si="5"/>
        <v>567.0359893333333</v>
      </c>
      <c r="U27" s="336">
        <f t="shared" si="6"/>
        <v>1</v>
      </c>
      <c r="V27" s="336">
        <f t="shared" si="7"/>
        <v>0</v>
      </c>
      <c r="W27" s="336">
        <f t="shared" si="8"/>
        <v>0</v>
      </c>
      <c r="X27" s="336">
        <f t="shared" si="9"/>
        <v>0</v>
      </c>
      <c r="Y27" s="320"/>
      <c r="Z27" s="321" t="str">
        <f t="shared" si="17"/>
        <v>X-PTAARIDOSA</v>
      </c>
      <c r="AA27" s="321" t="str">
        <f t="shared" si="18"/>
        <v>X-PTAARIDOSE</v>
      </c>
      <c r="AB27" s="321" t="str">
        <f t="shared" si="19"/>
        <v>X-PTAARIDOSM</v>
      </c>
      <c r="AC27" s="321" t="str">
        <f t="shared" si="20"/>
        <v>X-PTAARIDOST</v>
      </c>
      <c r="AD27" s="321" t="str">
        <f t="shared" si="21"/>
        <v>X-PTAARIDOSS</v>
      </c>
      <c r="AE27" s="321" t="str">
        <f t="shared" si="22"/>
        <v>X-PTAARIDOSX</v>
      </c>
      <c r="AF27" s="321" t="str">
        <f t="shared" si="23"/>
        <v>X-PTAARIDOSM</v>
      </c>
      <c r="AG27" s="321">
        <f t="shared" si="10"/>
        <v>21</v>
      </c>
      <c r="AH27" s="321"/>
      <c r="AI27" s="321" t="str">
        <f t="shared" si="24"/>
        <v>X-PTAARIDOS</v>
      </c>
      <c r="AJ27" s="320"/>
      <c r="AK27" s="322">
        <f t="shared" si="11"/>
        <v>7</v>
      </c>
      <c r="AL27" s="323">
        <f t="shared" si="25"/>
        <v>27</v>
      </c>
      <c r="AM27" s="322">
        <f t="shared" si="26"/>
        <v>21</v>
      </c>
      <c r="AN27" s="381">
        <f t="shared" si="12"/>
        <v>0.12128888888888889</v>
      </c>
      <c r="AO27" s="322"/>
    </row>
    <row r="28" spans="2:41">
      <c r="B28" s="324" t="s">
        <v>851</v>
      </c>
      <c r="C28" s="325" t="s">
        <v>852</v>
      </c>
      <c r="D28" s="326" t="s">
        <v>1160</v>
      </c>
      <c r="E28" s="327">
        <f>+SUMIF('AUX-NIV2'!I:I,'AUX-NIV3'!B28,'AUX-NIV2'!Q:Q)</f>
        <v>0</v>
      </c>
      <c r="F28" s="327">
        <f t="shared" si="1"/>
        <v>1</v>
      </c>
      <c r="G28" s="327">
        <f t="shared" si="2"/>
        <v>0</v>
      </c>
      <c r="H28" s="328" t="str">
        <f t="shared" si="3"/>
        <v>M</v>
      </c>
      <c r="I28" s="325" t="s">
        <v>621</v>
      </c>
      <c r="J28" s="329" t="str">
        <f>IF(B28&lt;&gt;"",+VLOOKUP(I28,Recursos!C:F,2,FALSE),"")</f>
        <v>MATERIALES VARIOS</v>
      </c>
      <c r="K28" s="330" t="str">
        <f>IF(B28&lt;&gt;"",+VLOOKUP(I28,Recursos!C:F,3,FALSE),"")</f>
        <v>GL</v>
      </c>
      <c r="L28" s="327">
        <f>IF(B28&lt;&gt;"",+VLOOKUP(I28,Recursos!C:F,4,FALSE),"")</f>
        <v>0.5</v>
      </c>
      <c r="M28" s="331">
        <v>1</v>
      </c>
      <c r="N28" s="331">
        <v>2</v>
      </c>
      <c r="O28" s="332">
        <f>1/M28*N28</f>
        <v>2</v>
      </c>
      <c r="P28" s="333">
        <f t="shared" si="14"/>
        <v>1</v>
      </c>
      <c r="Q28" s="327">
        <f t="shared" si="15"/>
        <v>0</v>
      </c>
      <c r="R28" s="334">
        <f t="shared" si="16"/>
        <v>0</v>
      </c>
      <c r="S28" s="335">
        <f t="shared" si="4"/>
        <v>0</v>
      </c>
      <c r="T28" s="335">
        <f t="shared" si="5"/>
        <v>0</v>
      </c>
      <c r="U28" s="336">
        <f t="shared" si="6"/>
        <v>1</v>
      </c>
      <c r="V28" s="336">
        <f t="shared" si="7"/>
        <v>0</v>
      </c>
      <c r="W28" s="336">
        <f t="shared" si="8"/>
        <v>0</v>
      </c>
      <c r="X28" s="336">
        <f t="shared" si="9"/>
        <v>0</v>
      </c>
      <c r="Y28" s="320"/>
      <c r="Z28" s="321" t="str">
        <f t="shared" si="17"/>
        <v>X-PTAHGONA</v>
      </c>
      <c r="AA28" s="321" t="str">
        <f t="shared" si="18"/>
        <v>X-PTAHGONE</v>
      </c>
      <c r="AB28" s="321" t="str">
        <f t="shared" si="19"/>
        <v>X-PTAHGONM</v>
      </c>
      <c r="AC28" s="321" t="str">
        <f t="shared" si="20"/>
        <v>X-PTAHGONT</v>
      </c>
      <c r="AD28" s="321" t="str">
        <f t="shared" si="21"/>
        <v>X-PTAHGONS</v>
      </c>
      <c r="AE28" s="321" t="str">
        <f t="shared" si="22"/>
        <v>X-PTAHGONX</v>
      </c>
      <c r="AF28" s="321" t="str">
        <f t="shared" si="23"/>
        <v>X-PTAHGONM</v>
      </c>
      <c r="AG28" s="321">
        <f t="shared" si="10"/>
        <v>1</v>
      </c>
      <c r="AH28" s="321"/>
      <c r="AI28" s="321" t="str">
        <f t="shared" si="24"/>
        <v>X-PTAHGON</v>
      </c>
      <c r="AJ28" s="320"/>
      <c r="AK28" s="322">
        <f t="shared" si="11"/>
        <v>28</v>
      </c>
      <c r="AL28" s="323">
        <f t="shared" si="25"/>
        <v>28</v>
      </c>
      <c r="AM28" s="322">
        <f t="shared" si="26"/>
        <v>1</v>
      </c>
      <c r="AN28" s="381">
        <f t="shared" si="12"/>
        <v>0</v>
      </c>
      <c r="AO28" s="322"/>
    </row>
    <row r="29" spans="2:41">
      <c r="B29" s="324" t="s">
        <v>1387</v>
      </c>
      <c r="C29" s="325" t="s">
        <v>1393</v>
      </c>
      <c r="D29" s="326" t="s">
        <v>501</v>
      </c>
      <c r="E29" s="327">
        <f>+SUMIF('AUX-NIV2'!I:I,'AUX-NIV3'!B29,'AUX-NIV2'!Q:Q)</f>
        <v>0</v>
      </c>
      <c r="F29" s="327">
        <f t="shared" si="1"/>
        <v>11.99733938744173</v>
      </c>
      <c r="G29" s="327">
        <f t="shared" si="2"/>
        <v>0</v>
      </c>
      <c r="H29" s="328" t="str">
        <f t="shared" ref="H29:H42" si="27">IF(B29&lt;&gt;"",+LEFT(I29,1),"")</f>
        <v>A</v>
      </c>
      <c r="I29" s="325" t="s">
        <v>1745</v>
      </c>
      <c r="J29" s="329" t="str">
        <f>IF(B29&lt;&gt;"",+VLOOKUP(I29,Recursos!C:F,2,FALSE),"")</f>
        <v>AYUDANTE</v>
      </c>
      <c r="K29" s="330" t="str">
        <f>IF(B29&lt;&gt;"",+VLOOKUP(I29,Recursos!C:F,3,FALSE),"")</f>
        <v>hh</v>
      </c>
      <c r="L29" s="327">
        <f>IF(B29&lt;&gt;"",+VLOOKUP(I29,Recursos!C:F,4,FALSE),"")</f>
        <v>422.48042769667234</v>
      </c>
      <c r="M29" s="414">
        <v>600</v>
      </c>
      <c r="N29" s="414">
        <v>1</v>
      </c>
      <c r="O29" s="332">
        <f>+N29/M29</f>
        <v>1.6666666666666668E-3</v>
      </c>
      <c r="P29" s="333">
        <f t="shared" si="14"/>
        <v>0.70413404616112063</v>
      </c>
      <c r="Q29" s="327">
        <f t="shared" si="15"/>
        <v>0</v>
      </c>
      <c r="R29" s="334">
        <f t="shared" si="16"/>
        <v>0</v>
      </c>
      <c r="S29" s="335">
        <f t="shared" si="4"/>
        <v>1.67256938744173</v>
      </c>
      <c r="T29" s="335">
        <f t="shared" si="5"/>
        <v>10.324770000000001</v>
      </c>
      <c r="U29" s="336">
        <f t="shared" si="6"/>
        <v>0</v>
      </c>
      <c r="V29" s="336">
        <f t="shared" si="7"/>
        <v>0</v>
      </c>
      <c r="W29" s="336">
        <f t="shared" si="8"/>
        <v>0</v>
      </c>
      <c r="X29" s="336">
        <f t="shared" si="9"/>
        <v>0</v>
      </c>
      <c r="Y29" s="320"/>
      <c r="Z29" s="321" t="str">
        <f t="shared" si="17"/>
        <v>X-BDA.0080A</v>
      </c>
      <c r="AA29" s="321" t="str">
        <f t="shared" si="18"/>
        <v>X-BDA.0080E</v>
      </c>
      <c r="AB29" s="321" t="str">
        <f t="shared" si="19"/>
        <v>X-BDA.0080M</v>
      </c>
      <c r="AC29" s="321" t="str">
        <f t="shared" si="20"/>
        <v>X-BDA.0080T</v>
      </c>
      <c r="AD29" s="321" t="str">
        <f t="shared" si="21"/>
        <v>X-BDA.0080S</v>
      </c>
      <c r="AE29" s="321" t="str">
        <f t="shared" si="22"/>
        <v>X-BDA.0080X</v>
      </c>
      <c r="AF29" s="321" t="str">
        <f t="shared" si="23"/>
        <v>X-BDA.0080A</v>
      </c>
      <c r="AG29" s="321">
        <f t="shared" si="10"/>
        <v>3</v>
      </c>
      <c r="AH29" s="321"/>
      <c r="AI29" s="321" t="str">
        <f t="shared" si="24"/>
        <v>X-BDA.0080</v>
      </c>
      <c r="AJ29" s="320"/>
      <c r="AK29" s="322">
        <f t="shared" si="11"/>
        <v>29</v>
      </c>
      <c r="AL29" s="323">
        <f t="shared" si="25"/>
        <v>31</v>
      </c>
      <c r="AM29" s="322">
        <f t="shared" si="26"/>
        <v>1</v>
      </c>
      <c r="AN29" s="381">
        <f t="shared" si="12"/>
        <v>3.3333333333333335E-3</v>
      </c>
      <c r="AO29" s="322"/>
    </row>
    <row r="30" spans="2:41">
      <c r="B30" s="324" t="s">
        <v>1387</v>
      </c>
      <c r="C30" s="325" t="s">
        <v>1393</v>
      </c>
      <c r="D30" s="326" t="s">
        <v>501</v>
      </c>
      <c r="E30" s="327">
        <f>+SUMIF('AUX-NIV2'!I:I,'AUX-NIV3'!B30,'AUX-NIV2'!Q:Q)</f>
        <v>0</v>
      </c>
      <c r="F30" s="327">
        <f t="shared" si="1"/>
        <v>11.99733938744173</v>
      </c>
      <c r="G30" s="327">
        <f t="shared" si="2"/>
        <v>0</v>
      </c>
      <c r="H30" s="328" t="str">
        <f t="shared" si="27"/>
        <v>A</v>
      </c>
      <c r="I30" s="325" t="s">
        <v>3311</v>
      </c>
      <c r="J30" s="329" t="str">
        <f>IF(B30&lt;&gt;"",+VLOOKUP(I30,Recursos!C:F,2,FALSE),"")</f>
        <v>OPER. EQUIPO</v>
      </c>
      <c r="K30" s="330" t="str">
        <f>IF(B30&lt;&gt;"",+VLOOKUP(I30,Recursos!C:F,3,FALSE),"")</f>
        <v>hh</v>
      </c>
      <c r="L30" s="327">
        <f>IF(B30&lt;&gt;"",+VLOOKUP(I30,Recursos!C:F,4,FALSE),"")</f>
        <v>581.06120476836554</v>
      </c>
      <c r="M30" s="414"/>
      <c r="N30" s="414"/>
      <c r="O30" s="332">
        <f>+O29</f>
        <v>1.6666666666666668E-3</v>
      </c>
      <c r="P30" s="333">
        <f t="shared" si="14"/>
        <v>0.96843534128060926</v>
      </c>
      <c r="Q30" s="327">
        <f t="shared" si="15"/>
        <v>0</v>
      </c>
      <c r="R30" s="334">
        <f t="shared" si="16"/>
        <v>0</v>
      </c>
      <c r="S30" s="335">
        <f t="shared" si="4"/>
        <v>1.67256938744173</v>
      </c>
      <c r="T30" s="335">
        <f t="shared" si="5"/>
        <v>10.324770000000001</v>
      </c>
      <c r="U30" s="336">
        <f t="shared" si="6"/>
        <v>0</v>
      </c>
      <c r="V30" s="336">
        <f t="shared" si="7"/>
        <v>0</v>
      </c>
      <c r="W30" s="336">
        <f t="shared" si="8"/>
        <v>0</v>
      </c>
      <c r="X30" s="336">
        <f t="shared" si="9"/>
        <v>0</v>
      </c>
      <c r="Y30" s="320"/>
      <c r="Z30" s="321" t="str">
        <f t="shared" si="17"/>
        <v>X-BDA.0080A</v>
      </c>
      <c r="AA30" s="321" t="str">
        <f t="shared" si="18"/>
        <v>X-BDA.0080E</v>
      </c>
      <c r="AB30" s="321" t="str">
        <f t="shared" si="19"/>
        <v>X-BDA.0080M</v>
      </c>
      <c r="AC30" s="321" t="str">
        <f t="shared" si="20"/>
        <v>X-BDA.0080T</v>
      </c>
      <c r="AD30" s="321" t="str">
        <f t="shared" si="21"/>
        <v>X-BDA.0080S</v>
      </c>
      <c r="AE30" s="321" t="str">
        <f t="shared" si="22"/>
        <v>X-BDA.0080X</v>
      </c>
      <c r="AF30" s="321" t="str">
        <f t="shared" si="23"/>
        <v>X-BDA.0080A</v>
      </c>
      <c r="AG30" s="321">
        <f t="shared" si="10"/>
        <v>3</v>
      </c>
      <c r="AH30" s="321"/>
      <c r="AI30" s="321" t="str">
        <f t="shared" si="24"/>
        <v>X-BDA.0080</v>
      </c>
      <c r="AJ30" s="320"/>
      <c r="AK30" s="322">
        <f t="shared" si="11"/>
        <v>29</v>
      </c>
      <c r="AL30" s="323">
        <f t="shared" si="25"/>
        <v>31</v>
      </c>
      <c r="AM30" s="322">
        <f t="shared" si="26"/>
        <v>2</v>
      </c>
      <c r="AN30" s="381">
        <f t="shared" si="12"/>
        <v>3.3333333333333335E-3</v>
      </c>
      <c r="AO30" s="322"/>
    </row>
    <row r="31" spans="2:41">
      <c r="B31" s="324" t="s">
        <v>1387</v>
      </c>
      <c r="C31" s="325" t="s">
        <v>1393</v>
      </c>
      <c r="D31" s="326" t="s">
        <v>501</v>
      </c>
      <c r="E31" s="327">
        <f>+SUMIF('AUX-NIV2'!I:I,'AUX-NIV3'!B31,'AUX-NIV2'!Q:Q)</f>
        <v>0</v>
      </c>
      <c r="F31" s="327">
        <f t="shared" si="1"/>
        <v>11.99733938744173</v>
      </c>
      <c r="G31" s="327">
        <f t="shared" si="2"/>
        <v>0</v>
      </c>
      <c r="H31" s="328" t="str">
        <f t="shared" si="27"/>
        <v>E</v>
      </c>
      <c r="I31" s="325" t="s">
        <v>1547</v>
      </c>
      <c r="J31" s="329" t="str">
        <f>IF(B31&lt;&gt;"",+VLOOKUP(I31,Recursos!C:F,2,FALSE),"")</f>
        <v>MOTONIVELADORA 14" (21 T)</v>
      </c>
      <c r="K31" s="330" t="str">
        <f>IF(B31&lt;&gt;"",+VLOOKUP(I31,Recursos!C:F,3,FALSE),"")</f>
        <v>HR</v>
      </c>
      <c r="L31" s="327">
        <f>IF(B31&lt;&gt;"",+VLOOKUP(I31,Recursos!C:F,4,FALSE),"")</f>
        <v>6194.8620000000001</v>
      </c>
      <c r="M31" s="414"/>
      <c r="N31" s="414"/>
      <c r="O31" s="332">
        <f>+O30</f>
        <v>1.6666666666666668E-3</v>
      </c>
      <c r="P31" s="333">
        <f t="shared" si="14"/>
        <v>10.324770000000001</v>
      </c>
      <c r="Q31" s="327">
        <f t="shared" si="15"/>
        <v>0</v>
      </c>
      <c r="R31" s="334">
        <f t="shared" si="16"/>
        <v>0</v>
      </c>
      <c r="S31" s="335">
        <f t="shared" si="4"/>
        <v>1.67256938744173</v>
      </c>
      <c r="T31" s="335">
        <f t="shared" si="5"/>
        <v>10.324770000000001</v>
      </c>
      <c r="U31" s="336">
        <f t="shared" si="6"/>
        <v>0</v>
      </c>
      <c r="V31" s="336">
        <f t="shared" si="7"/>
        <v>0</v>
      </c>
      <c r="W31" s="336">
        <f t="shared" si="8"/>
        <v>0</v>
      </c>
      <c r="X31" s="336">
        <f t="shared" si="9"/>
        <v>0</v>
      </c>
      <c r="Y31" s="320"/>
      <c r="Z31" s="321" t="str">
        <f t="shared" si="17"/>
        <v>X-BDA.0080A</v>
      </c>
      <c r="AA31" s="321" t="str">
        <f t="shared" si="18"/>
        <v>X-BDA.0080E</v>
      </c>
      <c r="AB31" s="321" t="str">
        <f t="shared" si="19"/>
        <v>X-BDA.0080M</v>
      </c>
      <c r="AC31" s="321" t="str">
        <f t="shared" si="20"/>
        <v>X-BDA.0080T</v>
      </c>
      <c r="AD31" s="321" t="str">
        <f t="shared" si="21"/>
        <v>X-BDA.0080S</v>
      </c>
      <c r="AE31" s="321" t="str">
        <f t="shared" si="22"/>
        <v>X-BDA.0080X</v>
      </c>
      <c r="AF31" s="321" t="str">
        <f t="shared" si="23"/>
        <v>X-BDA.0080E</v>
      </c>
      <c r="AG31" s="321">
        <f t="shared" si="10"/>
        <v>3</v>
      </c>
      <c r="AH31" s="321"/>
      <c r="AI31" s="321" t="str">
        <f t="shared" si="24"/>
        <v>X-BDA.0080</v>
      </c>
      <c r="AJ31" s="320"/>
      <c r="AK31" s="322">
        <f t="shared" si="11"/>
        <v>29</v>
      </c>
      <c r="AL31" s="323">
        <f t="shared" si="25"/>
        <v>31</v>
      </c>
      <c r="AM31" s="322">
        <f t="shared" si="26"/>
        <v>3</v>
      </c>
      <c r="AN31" s="381">
        <f t="shared" si="12"/>
        <v>3.3333333333333335E-3</v>
      </c>
      <c r="AO31" s="322"/>
    </row>
    <row r="32" spans="2:41">
      <c r="B32" s="324" t="s">
        <v>1388</v>
      </c>
      <c r="C32" s="325" t="s">
        <v>1394</v>
      </c>
      <c r="D32" s="326" t="s">
        <v>1160</v>
      </c>
      <c r="E32" s="327">
        <f>+SUMIF('AUX-NIV2'!I:I,'AUX-NIV3'!B32,'AUX-NIV2'!Q:Q)</f>
        <v>0</v>
      </c>
      <c r="F32" s="327">
        <f t="shared" si="1"/>
        <v>43.481296096028451</v>
      </c>
      <c r="G32" s="327">
        <f t="shared" si="2"/>
        <v>0</v>
      </c>
      <c r="H32" s="328" t="str">
        <f t="shared" si="27"/>
        <v>A</v>
      </c>
      <c r="I32" s="325" t="s">
        <v>1745</v>
      </c>
      <c r="J32" s="329" t="str">
        <f>IF(B32&lt;&gt;"",+VLOOKUP(I32,Recursos!C:F,2,FALSE),"")</f>
        <v>AYUDANTE</v>
      </c>
      <c r="K32" s="330" t="str">
        <f>IF(B32&lt;&gt;"",+VLOOKUP(I32,Recursos!C:F,3,FALSE),"")</f>
        <v>hh</v>
      </c>
      <c r="L32" s="327">
        <f>IF(B32&lt;&gt;"",+VLOOKUP(I32,Recursos!C:F,4,FALSE),"")</f>
        <v>422.48042769667234</v>
      </c>
      <c r="M32" s="415"/>
      <c r="N32" s="415"/>
      <c r="O32" s="433">
        <f>+O33*0.5</f>
        <v>6.6666666666666671E-3</v>
      </c>
      <c r="P32" s="333">
        <f t="shared" si="14"/>
        <v>2.8165361846444825</v>
      </c>
      <c r="Q32" s="327">
        <f t="shared" si="15"/>
        <v>0</v>
      </c>
      <c r="R32" s="334">
        <f t="shared" si="16"/>
        <v>0</v>
      </c>
      <c r="S32" s="335">
        <f t="shared" si="4"/>
        <v>9.4420822432145926</v>
      </c>
      <c r="T32" s="335">
        <f t="shared" si="5"/>
        <v>34.039213852813859</v>
      </c>
      <c r="U32" s="336">
        <f t="shared" si="6"/>
        <v>0</v>
      </c>
      <c r="V32" s="336">
        <f t="shared" si="7"/>
        <v>0</v>
      </c>
      <c r="W32" s="336">
        <f t="shared" si="8"/>
        <v>0</v>
      </c>
      <c r="X32" s="336">
        <f t="shared" si="9"/>
        <v>0</v>
      </c>
      <c r="Y32" s="320"/>
      <c r="Z32" s="321" t="str">
        <f t="shared" si="17"/>
        <v>X-TER.0060A</v>
      </c>
      <c r="AA32" s="321" t="str">
        <f t="shared" si="18"/>
        <v>X-TER.0060E</v>
      </c>
      <c r="AB32" s="321" t="str">
        <f t="shared" si="19"/>
        <v>X-TER.0060M</v>
      </c>
      <c r="AC32" s="321" t="str">
        <f t="shared" si="20"/>
        <v>X-TER.0060T</v>
      </c>
      <c r="AD32" s="321" t="str">
        <f t="shared" si="21"/>
        <v>X-TER.0060S</v>
      </c>
      <c r="AE32" s="321" t="str">
        <f t="shared" si="22"/>
        <v>X-TER.0060X</v>
      </c>
      <c r="AF32" s="321" t="str">
        <f t="shared" si="23"/>
        <v>X-TER.0060A</v>
      </c>
      <c r="AG32" s="321">
        <f t="shared" si="10"/>
        <v>4</v>
      </c>
      <c r="AH32" s="321"/>
      <c r="AI32" s="321" t="str">
        <f t="shared" si="24"/>
        <v>X-TER.0060</v>
      </c>
      <c r="AJ32" s="320"/>
      <c r="AK32" s="322">
        <f t="shared" si="11"/>
        <v>32</v>
      </c>
      <c r="AL32" s="323">
        <f t="shared" si="25"/>
        <v>35</v>
      </c>
      <c r="AM32" s="322">
        <f t="shared" si="26"/>
        <v>1</v>
      </c>
      <c r="AN32" s="381">
        <f t="shared" si="12"/>
        <v>0.02</v>
      </c>
      <c r="AO32" s="322"/>
    </row>
    <row r="33" spans="2:41">
      <c r="B33" s="324" t="s">
        <v>1388</v>
      </c>
      <c r="C33" s="325" t="s">
        <v>1394</v>
      </c>
      <c r="D33" s="326" t="s">
        <v>1160</v>
      </c>
      <c r="E33" s="327">
        <f>+SUMIF('AUX-NIV2'!I:I,'AUX-NIV3'!B33,'AUX-NIV2'!Q:Q)</f>
        <v>0</v>
      </c>
      <c r="F33" s="327">
        <f t="shared" si="1"/>
        <v>43.481296096028451</v>
      </c>
      <c r="G33" s="327">
        <f t="shared" si="2"/>
        <v>0</v>
      </c>
      <c r="H33" s="328" t="str">
        <f>IF(B33&lt;&gt;"",+LEFT(I33,1),"")</f>
        <v>A</v>
      </c>
      <c r="I33" s="325" t="s">
        <v>3312</v>
      </c>
      <c r="J33" s="329" t="str">
        <f>IF(B33&lt;&gt;"",+VLOOKUP(I33,Recursos!C:F,2,FALSE),"")</f>
        <v>CHOFER</v>
      </c>
      <c r="K33" s="330" t="str">
        <f>IF(B33&lt;&gt;"",+VLOOKUP(I33,Recursos!C:F,3,FALSE),"")</f>
        <v>hh</v>
      </c>
      <c r="L33" s="327">
        <f>IF(B33&lt;&gt;"",+VLOOKUP(I33,Recursos!C:F,4,FALSE),"")</f>
        <v>496.91595439275824</v>
      </c>
      <c r="M33" s="415"/>
      <c r="N33" s="415"/>
      <c r="O33" s="433">
        <f>+O34</f>
        <v>1.3333333333333334E-2</v>
      </c>
      <c r="P33" s="333">
        <f t="shared" si="14"/>
        <v>6.6255460585701105</v>
      </c>
      <c r="Q33" s="327">
        <f t="shared" si="15"/>
        <v>0</v>
      </c>
      <c r="R33" s="334">
        <f t="shared" si="16"/>
        <v>0</v>
      </c>
      <c r="S33" s="335">
        <f t="shared" si="4"/>
        <v>9.4420822432145926</v>
      </c>
      <c r="T33" s="335">
        <f t="shared" si="5"/>
        <v>34.039213852813859</v>
      </c>
      <c r="U33" s="336">
        <f t="shared" si="6"/>
        <v>0</v>
      </c>
      <c r="V33" s="336">
        <f t="shared" si="7"/>
        <v>0</v>
      </c>
      <c r="W33" s="336">
        <f t="shared" si="8"/>
        <v>0</v>
      </c>
      <c r="X33" s="336">
        <f t="shared" si="9"/>
        <v>0</v>
      </c>
      <c r="Y33" s="320"/>
      <c r="Z33" s="321" t="str">
        <f t="shared" si="17"/>
        <v>X-TER.0060A</v>
      </c>
      <c r="AA33" s="321" t="str">
        <f t="shared" si="18"/>
        <v>X-TER.0060E</v>
      </c>
      <c r="AB33" s="321" t="str">
        <f t="shared" si="19"/>
        <v>X-TER.0060M</v>
      </c>
      <c r="AC33" s="321" t="str">
        <f t="shared" si="20"/>
        <v>X-TER.0060T</v>
      </c>
      <c r="AD33" s="321" t="str">
        <f t="shared" si="21"/>
        <v>X-TER.0060S</v>
      </c>
      <c r="AE33" s="321" t="str">
        <f t="shared" si="22"/>
        <v>X-TER.0060X</v>
      </c>
      <c r="AF33" s="321" t="str">
        <f t="shared" si="23"/>
        <v>X-TER.0060A</v>
      </c>
      <c r="AG33" s="321">
        <f t="shared" si="10"/>
        <v>4</v>
      </c>
      <c r="AH33" s="321"/>
      <c r="AI33" s="321" t="str">
        <f t="shared" si="24"/>
        <v>X-TER.0060</v>
      </c>
      <c r="AJ33" s="320"/>
      <c r="AK33" s="322">
        <f t="shared" si="11"/>
        <v>32</v>
      </c>
      <c r="AL33" s="323">
        <f t="shared" si="25"/>
        <v>35</v>
      </c>
      <c r="AM33" s="322">
        <f t="shared" si="26"/>
        <v>2</v>
      </c>
      <c r="AN33" s="381">
        <f t="shared" si="12"/>
        <v>0.02</v>
      </c>
      <c r="AO33" s="322"/>
    </row>
    <row r="34" spans="2:41">
      <c r="B34" s="324" t="s">
        <v>1388</v>
      </c>
      <c r="C34" s="325" t="s">
        <v>1394</v>
      </c>
      <c r="D34" s="326" t="s">
        <v>1160</v>
      </c>
      <c r="E34" s="327">
        <f>+SUMIF('AUX-NIV2'!I:I,'AUX-NIV3'!B34,'AUX-NIV2'!Q:Q)</f>
        <v>0</v>
      </c>
      <c r="F34" s="327">
        <f t="shared" si="1"/>
        <v>43.481296096028451</v>
      </c>
      <c r="G34" s="327">
        <f t="shared" si="2"/>
        <v>0</v>
      </c>
      <c r="H34" s="328" t="str">
        <f>IF(B34&lt;&gt;"",+LEFT(I34,1),"")</f>
        <v>E</v>
      </c>
      <c r="I34" s="325" t="s">
        <v>1563</v>
      </c>
      <c r="J34" s="329" t="str">
        <f>IF(B34&lt;&gt;"",+VLOOKUP(I34,Recursos!C:F,2,FALSE),"")</f>
        <v>CAMION REGADOR CAP. 11 m3</v>
      </c>
      <c r="K34" s="330" t="str">
        <f>IF(B34&lt;&gt;"",+VLOOKUP(I34,Recursos!C:F,3,FALSE),"")</f>
        <v>HR</v>
      </c>
      <c r="L34" s="327">
        <f>IF(B34&lt;&gt;"",+VLOOKUP(I34,Recursos!C:F,4,FALSE),"")</f>
        <v>2430.5830389610392</v>
      </c>
      <c r="M34" s="415">
        <v>1</v>
      </c>
      <c r="N34" s="415">
        <v>75</v>
      </c>
      <c r="O34" s="433">
        <f>+M34/N34</f>
        <v>1.3333333333333334E-2</v>
      </c>
      <c r="P34" s="333">
        <f t="shared" si="14"/>
        <v>32.407773852813861</v>
      </c>
      <c r="Q34" s="327">
        <f t="shared" si="15"/>
        <v>0</v>
      </c>
      <c r="R34" s="334">
        <f t="shared" si="16"/>
        <v>0</v>
      </c>
      <c r="S34" s="335">
        <f t="shared" si="4"/>
        <v>9.4420822432145926</v>
      </c>
      <c r="T34" s="335">
        <f t="shared" si="5"/>
        <v>34.039213852813859</v>
      </c>
      <c r="U34" s="336">
        <f t="shared" si="6"/>
        <v>0</v>
      </c>
      <c r="V34" s="336">
        <f t="shared" si="7"/>
        <v>0</v>
      </c>
      <c r="W34" s="336">
        <f t="shared" si="8"/>
        <v>0</v>
      </c>
      <c r="X34" s="336">
        <f t="shared" si="9"/>
        <v>0</v>
      </c>
      <c r="Y34" s="320"/>
      <c r="Z34" s="321" t="str">
        <f t="shared" si="17"/>
        <v>X-TER.0060A</v>
      </c>
      <c r="AA34" s="321" t="str">
        <f t="shared" si="18"/>
        <v>X-TER.0060E</v>
      </c>
      <c r="AB34" s="321" t="str">
        <f t="shared" si="19"/>
        <v>X-TER.0060M</v>
      </c>
      <c r="AC34" s="321" t="str">
        <f t="shared" si="20"/>
        <v>X-TER.0060T</v>
      </c>
      <c r="AD34" s="321" t="str">
        <f t="shared" si="21"/>
        <v>X-TER.0060S</v>
      </c>
      <c r="AE34" s="321" t="str">
        <f t="shared" si="22"/>
        <v>X-TER.0060X</v>
      </c>
      <c r="AF34" s="321" t="str">
        <f t="shared" si="23"/>
        <v>X-TER.0060E</v>
      </c>
      <c r="AG34" s="321">
        <f t="shared" si="10"/>
        <v>4</v>
      </c>
      <c r="AH34" s="321"/>
      <c r="AI34" s="321" t="str">
        <f t="shared" si="24"/>
        <v>X-TER.0060</v>
      </c>
      <c r="AJ34" s="320"/>
      <c r="AK34" s="322">
        <f t="shared" si="11"/>
        <v>32</v>
      </c>
      <c r="AL34" s="323">
        <f t="shared" si="25"/>
        <v>35</v>
      </c>
      <c r="AM34" s="322">
        <f t="shared" si="26"/>
        <v>3</v>
      </c>
      <c r="AN34" s="381">
        <f t="shared" si="12"/>
        <v>0.02</v>
      </c>
      <c r="AO34" s="322"/>
    </row>
    <row r="35" spans="2:41">
      <c r="B35" s="324" t="s">
        <v>1388</v>
      </c>
      <c r="C35" s="325" t="s">
        <v>1394</v>
      </c>
      <c r="D35" s="326" t="s">
        <v>1160</v>
      </c>
      <c r="E35" s="327">
        <f>+SUMIF('AUX-NIV2'!I:I,'AUX-NIV3'!B35,'AUX-NIV2'!Q:Q)</f>
        <v>0</v>
      </c>
      <c r="F35" s="327">
        <f t="shared" si="1"/>
        <v>43.481296096028451</v>
      </c>
      <c r="G35" s="327">
        <f t="shared" si="2"/>
        <v>0</v>
      </c>
      <c r="H35" s="328" t="str">
        <f t="shared" si="27"/>
        <v>E</v>
      </c>
      <c r="I35" s="325" t="s">
        <v>1590</v>
      </c>
      <c r="J35" s="329" t="str">
        <f>IF(B35&lt;&gt;"",+VLOOKUP(I35,Recursos!C:F,2,FALSE),"")</f>
        <v>MOTOBOMBA 5 HP (52 m3/h)</v>
      </c>
      <c r="K35" s="330" t="str">
        <f>IF(B35&lt;&gt;"",+VLOOKUP(I35,Recursos!C:F,3,FALSE),"")</f>
        <v>HR</v>
      </c>
      <c r="L35" s="327">
        <f>IF(B35&lt;&gt;"",+VLOOKUP(I35,Recursos!C:F,4,FALSE),"")</f>
        <v>122.358</v>
      </c>
      <c r="M35" s="415"/>
      <c r="N35" s="415"/>
      <c r="O35" s="433">
        <f>+O34</f>
        <v>1.3333333333333334E-2</v>
      </c>
      <c r="P35" s="333">
        <f t="shared" si="14"/>
        <v>1.6314400000000002</v>
      </c>
      <c r="Q35" s="327">
        <f t="shared" si="15"/>
        <v>0</v>
      </c>
      <c r="R35" s="334">
        <f t="shared" si="16"/>
        <v>0</v>
      </c>
      <c r="S35" s="335">
        <f t="shared" si="4"/>
        <v>9.4420822432145926</v>
      </c>
      <c r="T35" s="335">
        <f t="shared" si="5"/>
        <v>34.039213852813859</v>
      </c>
      <c r="U35" s="336">
        <f t="shared" si="6"/>
        <v>0</v>
      </c>
      <c r="V35" s="336">
        <f t="shared" si="7"/>
        <v>0</v>
      </c>
      <c r="W35" s="336">
        <f t="shared" si="8"/>
        <v>0</v>
      </c>
      <c r="X35" s="336">
        <f t="shared" si="9"/>
        <v>0</v>
      </c>
      <c r="Y35" s="320"/>
      <c r="Z35" s="321" t="str">
        <f t="shared" si="17"/>
        <v>X-TER.0060A</v>
      </c>
      <c r="AA35" s="321" t="str">
        <f t="shared" si="18"/>
        <v>X-TER.0060E</v>
      </c>
      <c r="AB35" s="321" t="str">
        <f t="shared" si="19"/>
        <v>X-TER.0060M</v>
      </c>
      <c r="AC35" s="321" t="str">
        <f t="shared" si="20"/>
        <v>X-TER.0060T</v>
      </c>
      <c r="AD35" s="321" t="str">
        <f t="shared" si="21"/>
        <v>X-TER.0060S</v>
      </c>
      <c r="AE35" s="321" t="str">
        <f t="shared" si="22"/>
        <v>X-TER.0060X</v>
      </c>
      <c r="AF35" s="321" t="str">
        <f t="shared" si="23"/>
        <v>X-TER.0060E</v>
      </c>
      <c r="AG35" s="321">
        <f t="shared" si="10"/>
        <v>4</v>
      </c>
      <c r="AH35" s="321"/>
      <c r="AI35" s="321" t="str">
        <f t="shared" si="24"/>
        <v>X-TER.0060</v>
      </c>
      <c r="AJ35" s="320"/>
      <c r="AK35" s="322">
        <f t="shared" si="11"/>
        <v>32</v>
      </c>
      <c r="AL35" s="323">
        <f t="shared" si="25"/>
        <v>35</v>
      </c>
      <c r="AM35" s="322">
        <f t="shared" si="26"/>
        <v>4</v>
      </c>
      <c r="AN35" s="381">
        <f t="shared" si="12"/>
        <v>0.02</v>
      </c>
      <c r="AO35" s="322"/>
    </row>
    <row r="36" spans="2:41">
      <c r="B36" s="324" t="s">
        <v>1389</v>
      </c>
      <c r="C36" s="325" t="s">
        <v>1395</v>
      </c>
      <c r="D36" s="326" t="s">
        <v>1160</v>
      </c>
      <c r="E36" s="327">
        <f>+SUMIF('AUX-NIV2'!I:I,'AUX-NIV3'!B36,'AUX-NIV2'!Q:Q)</f>
        <v>0</v>
      </c>
      <c r="F36" s="327">
        <f t="shared" si="1"/>
        <v>120.18495973415189</v>
      </c>
      <c r="G36" s="327">
        <f t="shared" si="2"/>
        <v>0</v>
      </c>
      <c r="H36" s="328" t="str">
        <f t="shared" si="27"/>
        <v>A</v>
      </c>
      <c r="I36" s="325" t="s">
        <v>3312</v>
      </c>
      <c r="J36" s="329" t="str">
        <f>IF(B36&lt;&gt;"",+VLOOKUP(I36,Recursos!C:F,2,FALSE),"")</f>
        <v>CHOFER</v>
      </c>
      <c r="K36" s="330" t="str">
        <f>IF(B36&lt;&gt;"",+VLOOKUP(I36,Recursos!C:F,3,FALSE),"")</f>
        <v>hh</v>
      </c>
      <c r="L36" s="327">
        <f>IF(B36&lt;&gt;"",+VLOOKUP(I36,Recursos!C:F,4,FALSE),"")</f>
        <v>496.91595439275824</v>
      </c>
      <c r="M36" s="331"/>
      <c r="N36" s="331"/>
      <c r="O36" s="433">
        <f>+O37</f>
        <v>0.04</v>
      </c>
      <c r="P36" s="333">
        <f t="shared" si="14"/>
        <v>19.87663817571033</v>
      </c>
      <c r="Q36" s="327">
        <f t="shared" si="15"/>
        <v>0</v>
      </c>
      <c r="R36" s="334">
        <f t="shared" si="16"/>
        <v>0</v>
      </c>
      <c r="S36" s="335">
        <f t="shared" si="4"/>
        <v>19.87663817571033</v>
      </c>
      <c r="T36" s="335">
        <f t="shared" si="5"/>
        <v>97.223321558441569</v>
      </c>
      <c r="U36" s="336">
        <f t="shared" si="6"/>
        <v>3.085</v>
      </c>
      <c r="V36" s="336">
        <f t="shared" si="7"/>
        <v>0</v>
      </c>
      <c r="W36" s="336">
        <f t="shared" si="8"/>
        <v>0</v>
      </c>
      <c r="X36" s="336">
        <f t="shared" si="9"/>
        <v>0</v>
      </c>
      <c r="Y36" s="320"/>
      <c r="Z36" s="321" t="str">
        <f t="shared" si="17"/>
        <v>X-TER.0070A</v>
      </c>
      <c r="AA36" s="321" t="str">
        <f t="shared" si="18"/>
        <v>X-TER.0070E</v>
      </c>
      <c r="AB36" s="321" t="str">
        <f t="shared" si="19"/>
        <v>X-TER.0070M</v>
      </c>
      <c r="AC36" s="321" t="str">
        <f t="shared" si="20"/>
        <v>X-TER.0070T</v>
      </c>
      <c r="AD36" s="321" t="str">
        <f t="shared" si="21"/>
        <v>X-TER.0070S</v>
      </c>
      <c r="AE36" s="321" t="str">
        <f t="shared" si="22"/>
        <v>X-TER.0070X</v>
      </c>
      <c r="AF36" s="321" t="str">
        <f t="shared" si="23"/>
        <v>X-TER.0070A</v>
      </c>
      <c r="AG36" s="321">
        <f t="shared" si="10"/>
        <v>3</v>
      </c>
      <c r="AH36" s="321"/>
      <c r="AI36" s="321" t="str">
        <f t="shared" si="24"/>
        <v>X-TER.0070</v>
      </c>
      <c r="AJ36" s="320"/>
      <c r="AK36" s="322">
        <f t="shared" si="11"/>
        <v>36</v>
      </c>
      <c r="AL36" s="323">
        <f t="shared" si="25"/>
        <v>38</v>
      </c>
      <c r="AM36" s="322">
        <f t="shared" si="26"/>
        <v>1</v>
      </c>
      <c r="AN36" s="381">
        <f t="shared" si="12"/>
        <v>0.04</v>
      </c>
      <c r="AO36" s="322"/>
    </row>
    <row r="37" spans="2:41">
      <c r="B37" s="324" t="s">
        <v>1389</v>
      </c>
      <c r="C37" s="325" t="s">
        <v>1395</v>
      </c>
      <c r="D37" s="326" t="s">
        <v>1160</v>
      </c>
      <c r="E37" s="327">
        <f>+SUMIF('AUX-NIV2'!I:I,'AUX-NIV3'!B37,'AUX-NIV2'!Q:Q)</f>
        <v>0</v>
      </c>
      <c r="F37" s="327">
        <f t="shared" si="1"/>
        <v>120.18495973415189</v>
      </c>
      <c r="G37" s="327">
        <f t="shared" si="2"/>
        <v>0</v>
      </c>
      <c r="H37" s="328" t="str">
        <f>IF(B37&lt;&gt;"",+LEFT(I37,1),"")</f>
        <v>E</v>
      </c>
      <c r="I37" s="325" t="s">
        <v>1563</v>
      </c>
      <c r="J37" s="329" t="str">
        <f>IF(B37&lt;&gt;"",+VLOOKUP(I37,Recursos!C:F,2,FALSE),"")</f>
        <v>CAMION REGADOR CAP. 11 m3</v>
      </c>
      <c r="K37" s="330" t="str">
        <f>IF(B37&lt;&gt;"",+VLOOKUP(I37,Recursos!C:F,3,FALSE),"")</f>
        <v>HR</v>
      </c>
      <c r="L37" s="327">
        <f>IF(B37&lt;&gt;"",+VLOOKUP(I37,Recursos!C:F,4,FALSE),"")</f>
        <v>2430.5830389610392</v>
      </c>
      <c r="M37" s="331">
        <v>1</v>
      </c>
      <c r="N37" s="331">
        <v>25</v>
      </c>
      <c r="O37" s="433">
        <f>+M37/N37</f>
        <v>0.04</v>
      </c>
      <c r="P37" s="333">
        <f t="shared" si="14"/>
        <v>97.223321558441569</v>
      </c>
      <c r="Q37" s="327">
        <f t="shared" si="15"/>
        <v>0</v>
      </c>
      <c r="R37" s="334">
        <f t="shared" si="16"/>
        <v>0</v>
      </c>
      <c r="S37" s="335">
        <f t="shared" si="4"/>
        <v>19.87663817571033</v>
      </c>
      <c r="T37" s="335">
        <f t="shared" si="5"/>
        <v>97.223321558441569</v>
      </c>
      <c r="U37" s="336">
        <f t="shared" si="6"/>
        <v>3.085</v>
      </c>
      <c r="V37" s="336">
        <f t="shared" si="7"/>
        <v>0</v>
      </c>
      <c r="W37" s="336">
        <f t="shared" si="8"/>
        <v>0</v>
      </c>
      <c r="X37" s="336">
        <f t="shared" si="9"/>
        <v>0</v>
      </c>
      <c r="Y37" s="320"/>
      <c r="Z37" s="321" t="str">
        <f t="shared" si="17"/>
        <v>X-TER.0070A</v>
      </c>
      <c r="AA37" s="321" t="str">
        <f t="shared" si="18"/>
        <v>X-TER.0070E</v>
      </c>
      <c r="AB37" s="321" t="str">
        <f t="shared" si="19"/>
        <v>X-TER.0070M</v>
      </c>
      <c r="AC37" s="321" t="str">
        <f t="shared" si="20"/>
        <v>X-TER.0070T</v>
      </c>
      <c r="AD37" s="321" t="str">
        <f t="shared" si="21"/>
        <v>X-TER.0070S</v>
      </c>
      <c r="AE37" s="321" t="str">
        <f t="shared" si="22"/>
        <v>X-TER.0070X</v>
      </c>
      <c r="AF37" s="321" t="str">
        <f t="shared" si="23"/>
        <v>X-TER.0070E</v>
      </c>
      <c r="AG37" s="321">
        <f t="shared" si="10"/>
        <v>3</v>
      </c>
      <c r="AH37" s="321"/>
      <c r="AI37" s="321" t="str">
        <f t="shared" si="24"/>
        <v>X-TER.0070</v>
      </c>
      <c r="AJ37" s="320"/>
      <c r="AK37" s="322">
        <f t="shared" si="11"/>
        <v>36</v>
      </c>
      <c r="AL37" s="323">
        <f t="shared" si="25"/>
        <v>38</v>
      </c>
      <c r="AM37" s="322">
        <f t="shared" si="26"/>
        <v>2</v>
      </c>
      <c r="AN37" s="381">
        <f t="shared" si="12"/>
        <v>0.04</v>
      </c>
      <c r="AO37" s="322"/>
    </row>
    <row r="38" spans="2:41">
      <c r="B38" s="324" t="s">
        <v>1389</v>
      </c>
      <c r="C38" s="325" t="s">
        <v>1395</v>
      </c>
      <c r="D38" s="326" t="s">
        <v>1160</v>
      </c>
      <c r="E38" s="327">
        <f>+SUMIF('AUX-NIV2'!I:I,'AUX-NIV3'!B38,'AUX-NIV2'!Q:Q)</f>
        <v>0</v>
      </c>
      <c r="F38" s="327">
        <f t="shared" si="1"/>
        <v>120.18495973415189</v>
      </c>
      <c r="G38" s="327">
        <f t="shared" si="2"/>
        <v>0</v>
      </c>
      <c r="H38" s="328" t="str">
        <f>IF(B38&lt;&gt;"",+LEFT(I38,1),"")</f>
        <v>M</v>
      </c>
      <c r="I38" s="325" t="s">
        <v>621</v>
      </c>
      <c r="J38" s="329" t="str">
        <f>IF(B38&lt;&gt;"",+VLOOKUP(I38,Recursos!C:F,2,FALSE),"")</f>
        <v>MATERIALES VARIOS</v>
      </c>
      <c r="K38" s="330" t="str">
        <f>IF(B38&lt;&gt;"",+VLOOKUP(I38,Recursos!C:F,3,FALSE),"")</f>
        <v>GL</v>
      </c>
      <c r="L38" s="327">
        <f>IF(B38&lt;&gt;"",+VLOOKUP(I38,Recursos!C:F,4,FALSE),"")</f>
        <v>0.5</v>
      </c>
      <c r="M38" s="331">
        <v>1</v>
      </c>
      <c r="N38" s="331">
        <v>6.17</v>
      </c>
      <c r="O38" s="433">
        <f>+M38*N38</f>
        <v>6.17</v>
      </c>
      <c r="P38" s="333">
        <f t="shared" si="14"/>
        <v>3.085</v>
      </c>
      <c r="Q38" s="327">
        <f t="shared" si="15"/>
        <v>0</v>
      </c>
      <c r="R38" s="334">
        <f t="shared" si="16"/>
        <v>0</v>
      </c>
      <c r="S38" s="335">
        <f t="shared" si="4"/>
        <v>19.87663817571033</v>
      </c>
      <c r="T38" s="335">
        <f t="shared" si="5"/>
        <v>97.223321558441569</v>
      </c>
      <c r="U38" s="336">
        <f t="shared" si="6"/>
        <v>3.085</v>
      </c>
      <c r="V38" s="336">
        <f t="shared" si="7"/>
        <v>0</v>
      </c>
      <c r="W38" s="336">
        <f t="shared" si="8"/>
        <v>0</v>
      </c>
      <c r="X38" s="336">
        <f t="shared" si="9"/>
        <v>0</v>
      </c>
      <c r="Y38" s="320"/>
      <c r="Z38" s="321" t="str">
        <f t="shared" si="17"/>
        <v>X-TER.0070A</v>
      </c>
      <c r="AA38" s="321" t="str">
        <f t="shared" si="18"/>
        <v>X-TER.0070E</v>
      </c>
      <c r="AB38" s="321" t="str">
        <f t="shared" si="19"/>
        <v>X-TER.0070M</v>
      </c>
      <c r="AC38" s="321" t="str">
        <f t="shared" si="20"/>
        <v>X-TER.0070T</v>
      </c>
      <c r="AD38" s="321" t="str">
        <f t="shared" si="21"/>
        <v>X-TER.0070S</v>
      </c>
      <c r="AE38" s="321" t="str">
        <f t="shared" si="22"/>
        <v>X-TER.0070X</v>
      </c>
      <c r="AF38" s="321" t="str">
        <f t="shared" si="23"/>
        <v>X-TER.0070M</v>
      </c>
      <c r="AG38" s="321">
        <f t="shared" si="10"/>
        <v>3</v>
      </c>
      <c r="AH38" s="321"/>
      <c r="AI38" s="321" t="str">
        <f t="shared" si="24"/>
        <v>X-TER.0070</v>
      </c>
      <c r="AJ38" s="320"/>
      <c r="AK38" s="322">
        <f t="shared" si="11"/>
        <v>36</v>
      </c>
      <c r="AL38" s="323">
        <f t="shared" si="25"/>
        <v>38</v>
      </c>
      <c r="AM38" s="322">
        <f t="shared" si="26"/>
        <v>3</v>
      </c>
      <c r="AN38" s="381">
        <f t="shared" si="12"/>
        <v>0.04</v>
      </c>
      <c r="AO38" s="322"/>
    </row>
    <row r="39" spans="2:41">
      <c r="B39" s="324" t="s">
        <v>1390</v>
      </c>
      <c r="C39" s="325" t="s">
        <v>1396</v>
      </c>
      <c r="D39" s="326" t="s">
        <v>1160</v>
      </c>
      <c r="E39" s="327">
        <f>+SUMIF('AUX-NIV2'!I:I,'AUX-NIV3'!B39,'AUX-NIV2'!Q:Q)</f>
        <v>0</v>
      </c>
      <c r="F39" s="327">
        <f t="shared" si="1"/>
        <v>39.234240090026674</v>
      </c>
      <c r="G39" s="327">
        <f t="shared" si="2"/>
        <v>0</v>
      </c>
      <c r="H39" s="328" t="str">
        <f t="shared" si="27"/>
        <v>A</v>
      </c>
      <c r="I39" s="325" t="s">
        <v>1745</v>
      </c>
      <c r="J39" s="329" t="str">
        <f>IF(B39&lt;&gt;"",+VLOOKUP(I39,Recursos!C:F,2,FALSE),"")</f>
        <v>AYUDANTE</v>
      </c>
      <c r="K39" s="330" t="str">
        <f>IF(B39&lt;&gt;"",+VLOOKUP(I39,Recursos!C:F,3,FALSE),"")</f>
        <v>hh</v>
      </c>
      <c r="L39" s="327">
        <f>IF(B39&lt;&gt;"",+VLOOKUP(I39,Recursos!C:F,4,FALSE),"")</f>
        <v>422.48042769667234</v>
      </c>
      <c r="M39" s="415"/>
      <c r="N39" s="415"/>
      <c r="O39" s="433">
        <f>0.5*O40</f>
        <v>6.2500000000000003E-3</v>
      </c>
      <c r="P39" s="333">
        <f t="shared" si="14"/>
        <v>2.6405026731042023</v>
      </c>
      <c r="Q39" s="327">
        <f t="shared" si="15"/>
        <v>0</v>
      </c>
      <c r="R39" s="334">
        <f t="shared" si="16"/>
        <v>0</v>
      </c>
      <c r="S39" s="335">
        <f t="shared" si="4"/>
        <v>8.8519521030136801</v>
      </c>
      <c r="T39" s="335">
        <f t="shared" si="5"/>
        <v>30.38228798701299</v>
      </c>
      <c r="U39" s="336">
        <f t="shared" si="6"/>
        <v>0</v>
      </c>
      <c r="V39" s="336">
        <f t="shared" si="7"/>
        <v>0</v>
      </c>
      <c r="W39" s="336">
        <f t="shared" si="8"/>
        <v>0</v>
      </c>
      <c r="X39" s="336">
        <f t="shared" si="9"/>
        <v>0</v>
      </c>
      <c r="Y39" s="320"/>
      <c r="Z39" s="321" t="str">
        <f t="shared" si="17"/>
        <v>X-TER.0080A</v>
      </c>
      <c r="AA39" s="321" t="str">
        <f t="shared" si="18"/>
        <v>X-TER.0080E</v>
      </c>
      <c r="AB39" s="321" t="str">
        <f t="shared" si="19"/>
        <v>X-TER.0080M</v>
      </c>
      <c r="AC39" s="321" t="str">
        <f t="shared" si="20"/>
        <v>X-TER.0080T</v>
      </c>
      <c r="AD39" s="321" t="str">
        <f t="shared" si="21"/>
        <v>X-TER.0080S</v>
      </c>
      <c r="AE39" s="321" t="str">
        <f t="shared" si="22"/>
        <v>X-TER.0080X</v>
      </c>
      <c r="AF39" s="321" t="str">
        <f t="shared" si="23"/>
        <v>X-TER.0080A</v>
      </c>
      <c r="AG39" s="321">
        <f t="shared" si="10"/>
        <v>3</v>
      </c>
      <c r="AH39" s="321"/>
      <c r="AI39" s="321" t="str">
        <f t="shared" si="24"/>
        <v>X-TER.0080</v>
      </c>
      <c r="AJ39" s="320"/>
      <c r="AK39" s="322">
        <f t="shared" si="11"/>
        <v>39</v>
      </c>
      <c r="AL39" s="323">
        <f t="shared" si="25"/>
        <v>41</v>
      </c>
      <c r="AM39" s="322">
        <f t="shared" si="26"/>
        <v>1</v>
      </c>
      <c r="AN39" s="381">
        <f t="shared" si="12"/>
        <v>1.8750000000000003E-2</v>
      </c>
      <c r="AO39" s="322"/>
    </row>
    <row r="40" spans="2:41">
      <c r="B40" s="324" t="s">
        <v>1390</v>
      </c>
      <c r="C40" s="325" t="s">
        <v>1396</v>
      </c>
      <c r="D40" s="326" t="s">
        <v>1160</v>
      </c>
      <c r="E40" s="327">
        <f>+SUMIF('AUX-NIV2'!I:I,'AUX-NIV3'!B40,'AUX-NIV2'!Q:Q)</f>
        <v>0</v>
      </c>
      <c r="F40" s="327">
        <f t="shared" si="1"/>
        <v>39.234240090026674</v>
      </c>
      <c r="G40" s="327">
        <f t="shared" si="2"/>
        <v>0</v>
      </c>
      <c r="H40" s="328" t="str">
        <f>IF(B40&lt;&gt;"",+LEFT(I40,1),"")</f>
        <v>A</v>
      </c>
      <c r="I40" s="325" t="s">
        <v>3312</v>
      </c>
      <c r="J40" s="329" t="str">
        <f>IF(B40&lt;&gt;"",+VLOOKUP(I40,Recursos!C:F,2,FALSE),"")</f>
        <v>CHOFER</v>
      </c>
      <c r="K40" s="330" t="str">
        <f>IF(B40&lt;&gt;"",+VLOOKUP(I40,Recursos!C:F,3,FALSE),"")</f>
        <v>hh</v>
      </c>
      <c r="L40" s="327">
        <f>IF(B40&lt;&gt;"",+VLOOKUP(I40,Recursos!C:F,4,FALSE),"")</f>
        <v>496.91595439275824</v>
      </c>
      <c r="M40" s="415"/>
      <c r="N40" s="415"/>
      <c r="O40" s="433">
        <f>+O41</f>
        <v>1.2500000000000001E-2</v>
      </c>
      <c r="P40" s="333">
        <f t="shared" si="14"/>
        <v>6.2114494299094787</v>
      </c>
      <c r="Q40" s="327">
        <f t="shared" si="15"/>
        <v>0</v>
      </c>
      <c r="R40" s="334">
        <f t="shared" si="16"/>
        <v>0</v>
      </c>
      <c r="S40" s="335">
        <f t="shared" si="4"/>
        <v>8.8519521030136801</v>
      </c>
      <c r="T40" s="335">
        <f t="shared" si="5"/>
        <v>30.38228798701299</v>
      </c>
      <c r="U40" s="336">
        <f t="shared" si="6"/>
        <v>0</v>
      </c>
      <c r="V40" s="336">
        <f t="shared" si="7"/>
        <v>0</v>
      </c>
      <c r="W40" s="336">
        <f t="shared" si="8"/>
        <v>0</v>
      </c>
      <c r="X40" s="336">
        <f t="shared" si="9"/>
        <v>0</v>
      </c>
      <c r="Y40" s="320"/>
      <c r="Z40" s="321" t="str">
        <f t="shared" si="17"/>
        <v>X-TER.0080A</v>
      </c>
      <c r="AA40" s="321" t="str">
        <f t="shared" si="18"/>
        <v>X-TER.0080E</v>
      </c>
      <c r="AB40" s="321" t="str">
        <f t="shared" si="19"/>
        <v>X-TER.0080M</v>
      </c>
      <c r="AC40" s="321" t="str">
        <f t="shared" si="20"/>
        <v>X-TER.0080T</v>
      </c>
      <c r="AD40" s="321" t="str">
        <f t="shared" si="21"/>
        <v>X-TER.0080S</v>
      </c>
      <c r="AE40" s="321" t="str">
        <f t="shared" si="22"/>
        <v>X-TER.0080X</v>
      </c>
      <c r="AF40" s="321" t="str">
        <f t="shared" si="23"/>
        <v>X-TER.0080A</v>
      </c>
      <c r="AG40" s="321">
        <f t="shared" si="10"/>
        <v>3</v>
      </c>
      <c r="AH40" s="321"/>
      <c r="AI40" s="321" t="str">
        <f t="shared" si="24"/>
        <v>X-TER.0080</v>
      </c>
      <c r="AJ40" s="320"/>
      <c r="AK40" s="322">
        <f t="shared" si="11"/>
        <v>39</v>
      </c>
      <c r="AL40" s="323">
        <f t="shared" si="25"/>
        <v>41</v>
      </c>
      <c r="AM40" s="322">
        <f t="shared" si="26"/>
        <v>2</v>
      </c>
      <c r="AN40" s="381">
        <f t="shared" si="12"/>
        <v>1.8750000000000003E-2</v>
      </c>
      <c r="AO40" s="322"/>
    </row>
    <row r="41" spans="2:41">
      <c r="B41" s="324" t="s">
        <v>1390</v>
      </c>
      <c r="C41" s="325" t="s">
        <v>1396</v>
      </c>
      <c r="D41" s="326" t="s">
        <v>1160</v>
      </c>
      <c r="E41" s="327">
        <f>+SUMIF('AUX-NIV2'!I:I,'AUX-NIV3'!B41,'AUX-NIV2'!Q:Q)</f>
        <v>0</v>
      </c>
      <c r="F41" s="327">
        <f t="shared" si="1"/>
        <v>39.234240090026674</v>
      </c>
      <c r="G41" s="327">
        <f t="shared" si="2"/>
        <v>0</v>
      </c>
      <c r="H41" s="328" t="str">
        <f>IF(B41&lt;&gt;"",+LEFT(I41,1),"")</f>
        <v>E</v>
      </c>
      <c r="I41" s="325" t="s">
        <v>1563</v>
      </c>
      <c r="J41" s="329" t="str">
        <f>IF(B41&lt;&gt;"",+VLOOKUP(I41,Recursos!C:F,2,FALSE),"")</f>
        <v>CAMION REGADOR CAP. 11 m3</v>
      </c>
      <c r="K41" s="330" t="str">
        <f>IF(B41&lt;&gt;"",+VLOOKUP(I41,Recursos!C:F,3,FALSE),"")</f>
        <v>HR</v>
      </c>
      <c r="L41" s="327">
        <f>IF(B41&lt;&gt;"",+VLOOKUP(I41,Recursos!C:F,4,FALSE),"")</f>
        <v>2430.5830389610392</v>
      </c>
      <c r="M41" s="415">
        <v>1</v>
      </c>
      <c r="N41" s="415">
        <v>80</v>
      </c>
      <c r="O41" s="433">
        <f>+M41/N41</f>
        <v>1.2500000000000001E-2</v>
      </c>
      <c r="P41" s="333">
        <f t="shared" si="14"/>
        <v>30.38228798701299</v>
      </c>
      <c r="Q41" s="327">
        <f t="shared" si="15"/>
        <v>0</v>
      </c>
      <c r="R41" s="334">
        <f t="shared" si="16"/>
        <v>0</v>
      </c>
      <c r="S41" s="335">
        <f t="shared" si="4"/>
        <v>8.8519521030136801</v>
      </c>
      <c r="T41" s="335">
        <f t="shared" si="5"/>
        <v>30.38228798701299</v>
      </c>
      <c r="U41" s="336">
        <f t="shared" si="6"/>
        <v>0</v>
      </c>
      <c r="V41" s="336">
        <f t="shared" si="7"/>
        <v>0</v>
      </c>
      <c r="W41" s="336">
        <f t="shared" si="8"/>
        <v>0</v>
      </c>
      <c r="X41" s="336">
        <f t="shared" si="9"/>
        <v>0</v>
      </c>
      <c r="Y41" s="320"/>
      <c r="Z41" s="321" t="str">
        <f t="shared" si="17"/>
        <v>X-TER.0080A</v>
      </c>
      <c r="AA41" s="321" t="str">
        <f t="shared" si="18"/>
        <v>X-TER.0080E</v>
      </c>
      <c r="AB41" s="321" t="str">
        <f t="shared" si="19"/>
        <v>X-TER.0080M</v>
      </c>
      <c r="AC41" s="321" t="str">
        <f t="shared" si="20"/>
        <v>X-TER.0080T</v>
      </c>
      <c r="AD41" s="321" t="str">
        <f t="shared" si="21"/>
        <v>X-TER.0080S</v>
      </c>
      <c r="AE41" s="321" t="str">
        <f t="shared" si="22"/>
        <v>X-TER.0080X</v>
      </c>
      <c r="AF41" s="321" t="str">
        <f t="shared" si="23"/>
        <v>X-TER.0080E</v>
      </c>
      <c r="AG41" s="321">
        <f t="shared" si="10"/>
        <v>3</v>
      </c>
      <c r="AH41" s="321"/>
      <c r="AI41" s="321" t="str">
        <f t="shared" si="24"/>
        <v>X-TER.0080</v>
      </c>
      <c r="AJ41" s="320"/>
      <c r="AK41" s="322">
        <f t="shared" si="11"/>
        <v>39</v>
      </c>
      <c r="AL41" s="323">
        <f t="shared" si="25"/>
        <v>41</v>
      </c>
      <c r="AM41" s="322">
        <f t="shared" si="26"/>
        <v>3</v>
      </c>
      <c r="AN41" s="381">
        <f t="shared" si="12"/>
        <v>1.8750000000000003E-2</v>
      </c>
      <c r="AO41" s="322"/>
    </row>
    <row r="42" spans="2:41">
      <c r="B42" s="324" t="s">
        <v>1391</v>
      </c>
      <c r="C42" s="325" t="s">
        <v>1397</v>
      </c>
      <c r="D42" s="326" t="s">
        <v>501</v>
      </c>
      <c r="E42" s="327">
        <f>+SUMIF('AUX-NIV2'!I:I,'AUX-NIV3'!B42,'AUX-NIV2'!Q:Q)</f>
        <v>0</v>
      </c>
      <c r="F42" s="327">
        <f t="shared" si="1"/>
        <v>11.07446712686929</v>
      </c>
      <c r="G42" s="327">
        <f t="shared" si="2"/>
        <v>0</v>
      </c>
      <c r="H42" s="328" t="str">
        <f t="shared" si="27"/>
        <v>A</v>
      </c>
      <c r="I42" s="325" t="s">
        <v>1745</v>
      </c>
      <c r="J42" s="329" t="str">
        <f>IF(B42&lt;&gt;"",+VLOOKUP(I42,Recursos!C:F,2,FALSE),"")</f>
        <v>AYUDANTE</v>
      </c>
      <c r="K42" s="330" t="str">
        <f>IF(B42&lt;&gt;"",+VLOOKUP(I42,Recursos!C:F,3,FALSE),"")</f>
        <v>hh</v>
      </c>
      <c r="L42" s="327">
        <f>IF(B42&lt;&gt;"",+VLOOKUP(I42,Recursos!C:F,4,FALSE),"")</f>
        <v>422.48042769667234</v>
      </c>
      <c r="M42" s="331"/>
      <c r="N42" s="331"/>
      <c r="O42" s="332">
        <f>+O43</f>
        <v>1.5384615384615385E-3</v>
      </c>
      <c r="P42" s="333">
        <f t="shared" si="14"/>
        <v>0.64996988876411133</v>
      </c>
      <c r="Q42" s="327">
        <f t="shared" si="15"/>
        <v>0</v>
      </c>
      <c r="R42" s="334">
        <f t="shared" si="16"/>
        <v>0</v>
      </c>
      <c r="S42" s="335">
        <f t="shared" si="4"/>
        <v>1.543910203792366</v>
      </c>
      <c r="T42" s="335">
        <f t="shared" si="5"/>
        <v>9.530556923076924</v>
      </c>
      <c r="U42" s="336">
        <f t="shared" si="6"/>
        <v>0</v>
      </c>
      <c r="V42" s="336">
        <f t="shared" si="7"/>
        <v>0</v>
      </c>
      <c r="W42" s="336">
        <f t="shared" si="8"/>
        <v>0</v>
      </c>
      <c r="X42" s="336">
        <f t="shared" si="9"/>
        <v>0</v>
      </c>
      <c r="Y42" s="320"/>
      <c r="Z42" s="321" t="str">
        <f t="shared" si="17"/>
        <v>X-BDA.0050A</v>
      </c>
      <c r="AA42" s="321" t="str">
        <f t="shared" si="18"/>
        <v>X-BDA.0050E</v>
      </c>
      <c r="AB42" s="321" t="str">
        <f t="shared" si="19"/>
        <v>X-BDA.0050M</v>
      </c>
      <c r="AC42" s="321" t="str">
        <f t="shared" si="20"/>
        <v>X-BDA.0050T</v>
      </c>
      <c r="AD42" s="321" t="str">
        <f t="shared" si="21"/>
        <v>X-BDA.0050S</v>
      </c>
      <c r="AE42" s="321" t="str">
        <f t="shared" si="22"/>
        <v>X-BDA.0050X</v>
      </c>
      <c r="AF42" s="321" t="str">
        <f t="shared" si="23"/>
        <v>X-BDA.0050A</v>
      </c>
      <c r="AG42" s="321">
        <f t="shared" si="10"/>
        <v>3</v>
      </c>
      <c r="AH42" s="321"/>
      <c r="AI42" s="321" t="str">
        <f t="shared" si="24"/>
        <v>X-BDA.0050</v>
      </c>
      <c r="AJ42" s="320"/>
      <c r="AK42" s="322">
        <f t="shared" si="11"/>
        <v>42</v>
      </c>
      <c r="AL42" s="323">
        <f t="shared" si="25"/>
        <v>44</v>
      </c>
      <c r="AM42" s="322">
        <f t="shared" si="26"/>
        <v>1</v>
      </c>
      <c r="AN42" s="381">
        <f t="shared" si="12"/>
        <v>3.0769230769230769E-3</v>
      </c>
      <c r="AO42" s="322"/>
    </row>
    <row r="43" spans="2:41">
      <c r="B43" s="324" t="s">
        <v>1391</v>
      </c>
      <c r="C43" s="325" t="s">
        <v>1397</v>
      </c>
      <c r="D43" s="326" t="s">
        <v>501</v>
      </c>
      <c r="E43" s="327">
        <f>+SUMIF('AUX-NIV2'!I:I,'AUX-NIV3'!B43,'AUX-NIV2'!Q:Q)</f>
        <v>0</v>
      </c>
      <c r="F43" s="327">
        <f t="shared" si="1"/>
        <v>11.07446712686929</v>
      </c>
      <c r="G43" s="327">
        <f t="shared" si="2"/>
        <v>0</v>
      </c>
      <c r="H43" s="328" t="str">
        <f>IF(B43&lt;&gt;"",+LEFT(I43,1),"")</f>
        <v>A</v>
      </c>
      <c r="I43" s="325" t="s">
        <v>3311</v>
      </c>
      <c r="J43" s="329" t="str">
        <f>IF(B43&lt;&gt;"",+VLOOKUP(I43,Recursos!C:F,2,FALSE),"")</f>
        <v>OPER. EQUIPO</v>
      </c>
      <c r="K43" s="330" t="str">
        <f>IF(B43&lt;&gt;"",+VLOOKUP(I43,Recursos!C:F,3,FALSE),"")</f>
        <v>hh</v>
      </c>
      <c r="L43" s="327">
        <f>IF(B43&lt;&gt;"",+VLOOKUP(I43,Recursos!C:F,4,FALSE),"")</f>
        <v>581.06120476836554</v>
      </c>
      <c r="M43" s="331"/>
      <c r="N43" s="331"/>
      <c r="O43" s="332">
        <f>+O44</f>
        <v>1.5384615384615385E-3</v>
      </c>
      <c r="P43" s="333">
        <f t="shared" si="14"/>
        <v>0.89394031502825466</v>
      </c>
      <c r="Q43" s="327">
        <f t="shared" si="15"/>
        <v>0</v>
      </c>
      <c r="R43" s="334">
        <f t="shared" si="16"/>
        <v>0</v>
      </c>
      <c r="S43" s="335">
        <f t="shared" si="4"/>
        <v>1.543910203792366</v>
      </c>
      <c r="T43" s="335">
        <f t="shared" si="5"/>
        <v>9.530556923076924</v>
      </c>
      <c r="U43" s="336">
        <f t="shared" si="6"/>
        <v>0</v>
      </c>
      <c r="V43" s="336">
        <f t="shared" si="7"/>
        <v>0</v>
      </c>
      <c r="W43" s="336">
        <f t="shared" si="8"/>
        <v>0</v>
      </c>
      <c r="X43" s="336">
        <f t="shared" si="9"/>
        <v>0</v>
      </c>
      <c r="Y43" s="320"/>
      <c r="Z43" s="321" t="str">
        <f t="shared" si="17"/>
        <v>X-BDA.0050A</v>
      </c>
      <c r="AA43" s="321" t="str">
        <f t="shared" si="18"/>
        <v>X-BDA.0050E</v>
      </c>
      <c r="AB43" s="321" t="str">
        <f t="shared" si="19"/>
        <v>X-BDA.0050M</v>
      </c>
      <c r="AC43" s="321" t="str">
        <f t="shared" si="20"/>
        <v>X-BDA.0050T</v>
      </c>
      <c r="AD43" s="321" t="str">
        <f t="shared" si="21"/>
        <v>X-BDA.0050S</v>
      </c>
      <c r="AE43" s="321" t="str">
        <f t="shared" si="22"/>
        <v>X-BDA.0050X</v>
      </c>
      <c r="AF43" s="321" t="str">
        <f t="shared" si="23"/>
        <v>X-BDA.0050A</v>
      </c>
      <c r="AG43" s="321">
        <f t="shared" si="10"/>
        <v>3</v>
      </c>
      <c r="AH43" s="321"/>
      <c r="AI43" s="321" t="str">
        <f t="shared" si="24"/>
        <v>X-BDA.0050</v>
      </c>
      <c r="AJ43" s="320"/>
      <c r="AK43" s="322">
        <f t="shared" si="11"/>
        <v>42</v>
      </c>
      <c r="AL43" s="323">
        <f t="shared" si="25"/>
        <v>44</v>
      </c>
      <c r="AM43" s="322">
        <f t="shared" si="26"/>
        <v>2</v>
      </c>
      <c r="AN43" s="381">
        <f t="shared" si="12"/>
        <v>3.0769230769230769E-3</v>
      </c>
      <c r="AO43" s="322"/>
    </row>
    <row r="44" spans="2:41">
      <c r="B44" s="324" t="s">
        <v>1391</v>
      </c>
      <c r="C44" s="325" t="s">
        <v>1397</v>
      </c>
      <c r="D44" s="326" t="s">
        <v>501</v>
      </c>
      <c r="E44" s="327">
        <f>+SUMIF('AUX-NIV2'!I:I,'AUX-NIV3'!B44,'AUX-NIV2'!Q:Q)</f>
        <v>0</v>
      </c>
      <c r="F44" s="327">
        <f t="shared" si="1"/>
        <v>11.07446712686929</v>
      </c>
      <c r="G44" s="327">
        <f t="shared" si="2"/>
        <v>0</v>
      </c>
      <c r="H44" s="328" t="str">
        <f>IF(B44&lt;&gt;"",+LEFT(I44,1),"")</f>
        <v>E</v>
      </c>
      <c r="I44" s="325" t="s">
        <v>1547</v>
      </c>
      <c r="J44" s="329" t="str">
        <f>IF(B44&lt;&gt;"",+VLOOKUP(I44,Recursos!C:F,2,FALSE),"")</f>
        <v>MOTONIVELADORA 14" (21 T)</v>
      </c>
      <c r="K44" s="330" t="str">
        <f>IF(B44&lt;&gt;"",+VLOOKUP(I44,Recursos!C:F,3,FALSE),"")</f>
        <v>HR</v>
      </c>
      <c r="L44" s="327">
        <f>IF(B44&lt;&gt;"",+VLOOKUP(I44,Recursos!C:F,4,FALSE),"")</f>
        <v>6194.8620000000001</v>
      </c>
      <c r="M44" s="331">
        <v>1</v>
      </c>
      <c r="N44" s="331">
        <v>650</v>
      </c>
      <c r="O44" s="332">
        <f>+M44/N44</f>
        <v>1.5384615384615385E-3</v>
      </c>
      <c r="P44" s="333">
        <f t="shared" si="14"/>
        <v>9.530556923076924</v>
      </c>
      <c r="Q44" s="327">
        <f t="shared" si="15"/>
        <v>0</v>
      </c>
      <c r="R44" s="334">
        <f t="shared" si="16"/>
        <v>0</v>
      </c>
      <c r="S44" s="335">
        <f t="shared" si="4"/>
        <v>1.543910203792366</v>
      </c>
      <c r="T44" s="335">
        <f t="shared" si="5"/>
        <v>9.530556923076924</v>
      </c>
      <c r="U44" s="336">
        <f t="shared" si="6"/>
        <v>0</v>
      </c>
      <c r="V44" s="336">
        <f t="shared" si="7"/>
        <v>0</v>
      </c>
      <c r="W44" s="336">
        <f t="shared" si="8"/>
        <v>0</v>
      </c>
      <c r="X44" s="336">
        <f t="shared" si="9"/>
        <v>0</v>
      </c>
      <c r="Y44" s="320"/>
      <c r="Z44" s="321" t="str">
        <f t="shared" si="17"/>
        <v>X-BDA.0050A</v>
      </c>
      <c r="AA44" s="321" t="str">
        <f t="shared" si="18"/>
        <v>X-BDA.0050E</v>
      </c>
      <c r="AB44" s="321" t="str">
        <f t="shared" si="19"/>
        <v>X-BDA.0050M</v>
      </c>
      <c r="AC44" s="321" t="str">
        <f t="shared" si="20"/>
        <v>X-BDA.0050T</v>
      </c>
      <c r="AD44" s="321" t="str">
        <f t="shared" si="21"/>
        <v>X-BDA.0050S</v>
      </c>
      <c r="AE44" s="321" t="str">
        <f t="shared" si="22"/>
        <v>X-BDA.0050X</v>
      </c>
      <c r="AF44" s="321" t="str">
        <f t="shared" si="23"/>
        <v>X-BDA.0050E</v>
      </c>
      <c r="AG44" s="321">
        <f t="shared" si="10"/>
        <v>3</v>
      </c>
      <c r="AH44" s="321"/>
      <c r="AI44" s="321" t="str">
        <f t="shared" si="24"/>
        <v>X-BDA.0050</v>
      </c>
      <c r="AJ44" s="320"/>
      <c r="AK44" s="322">
        <f t="shared" si="11"/>
        <v>42</v>
      </c>
      <c r="AL44" s="323">
        <f t="shared" si="25"/>
        <v>44</v>
      </c>
      <c r="AM44" s="322">
        <f t="shared" si="26"/>
        <v>3</v>
      </c>
      <c r="AN44" s="381">
        <f t="shared" si="12"/>
        <v>3.0769230769230769E-3</v>
      </c>
      <c r="AO44" s="322"/>
    </row>
    <row r="45" spans="2:41">
      <c r="B45" s="324" t="s">
        <v>1392</v>
      </c>
      <c r="C45" s="325" t="s">
        <v>1398</v>
      </c>
      <c r="D45" s="326" t="s">
        <v>501</v>
      </c>
      <c r="E45" s="327">
        <f>+SUMIF('AUX-NIV2'!I:I,'AUX-NIV3'!B45,'AUX-NIV2'!Q:Q)</f>
        <v>0</v>
      </c>
      <c r="F45" s="327">
        <f t="shared" si="1"/>
        <v>5.9805788372334039</v>
      </c>
      <c r="G45" s="327">
        <f t="shared" si="2"/>
        <v>0</v>
      </c>
      <c r="H45" s="328" t="str">
        <f t="shared" ref="H45:H65" si="28">IF(B45&lt;&gt;"",+LEFT(I45,1),"")</f>
        <v>A</v>
      </c>
      <c r="I45" s="325" t="s">
        <v>1745</v>
      </c>
      <c r="J45" s="329" t="str">
        <f>IF(B45&lt;&gt;"",+VLOOKUP(I45,Recursos!C:F,2,FALSE),"")</f>
        <v>AYUDANTE</v>
      </c>
      <c r="K45" s="330" t="str">
        <f>IF(B45&lt;&gt;"",+VLOOKUP(I45,Recursos!C:F,3,FALSE),"")</f>
        <v>hh</v>
      </c>
      <c r="L45" s="327">
        <f>IF(B45&lt;&gt;"",+VLOOKUP(I45,Recursos!C:F,4,FALSE),"")</f>
        <v>422.48042769667234</v>
      </c>
      <c r="M45" s="414"/>
      <c r="N45" s="414"/>
      <c r="O45" s="332">
        <f>0.5*O46</f>
        <v>1E-3</v>
      </c>
      <c r="P45" s="333">
        <f t="shared" si="14"/>
        <v>0.42248042769667232</v>
      </c>
      <c r="Q45" s="327">
        <f t="shared" si="15"/>
        <v>0</v>
      </c>
      <c r="R45" s="334">
        <f t="shared" si="16"/>
        <v>0</v>
      </c>
      <c r="S45" s="335">
        <f t="shared" si="4"/>
        <v>1.5846028372334033</v>
      </c>
      <c r="T45" s="335">
        <f t="shared" si="5"/>
        <v>4.3959760000000001</v>
      </c>
      <c r="U45" s="336">
        <f t="shared" si="6"/>
        <v>0</v>
      </c>
      <c r="V45" s="336">
        <f t="shared" si="7"/>
        <v>0</v>
      </c>
      <c r="W45" s="336">
        <f t="shared" si="8"/>
        <v>0</v>
      </c>
      <c r="X45" s="336">
        <f t="shared" si="9"/>
        <v>0</v>
      </c>
      <c r="Y45" s="320"/>
      <c r="Z45" s="321" t="str">
        <f t="shared" si="17"/>
        <v>X-BDA.0090A</v>
      </c>
      <c r="AA45" s="321" t="str">
        <f t="shared" si="18"/>
        <v>X-BDA.0090E</v>
      </c>
      <c r="AB45" s="321" t="str">
        <f t="shared" si="19"/>
        <v>X-BDA.0090M</v>
      </c>
      <c r="AC45" s="321" t="str">
        <f t="shared" si="20"/>
        <v>X-BDA.0090T</v>
      </c>
      <c r="AD45" s="321" t="str">
        <f t="shared" si="21"/>
        <v>X-BDA.0090S</v>
      </c>
      <c r="AE45" s="321" t="str">
        <f t="shared" si="22"/>
        <v>X-BDA.0090X</v>
      </c>
      <c r="AF45" s="321" t="str">
        <f t="shared" si="23"/>
        <v>X-BDA.0090A</v>
      </c>
      <c r="AG45" s="321">
        <f t="shared" si="10"/>
        <v>3</v>
      </c>
      <c r="AH45" s="321"/>
      <c r="AI45" s="321" t="str">
        <f t="shared" si="24"/>
        <v>X-BDA.0090</v>
      </c>
      <c r="AJ45" s="320"/>
      <c r="AK45" s="322">
        <f t="shared" si="11"/>
        <v>45</v>
      </c>
      <c r="AL45" s="323">
        <f t="shared" si="25"/>
        <v>47</v>
      </c>
      <c r="AM45" s="322">
        <f t="shared" si="26"/>
        <v>1</v>
      </c>
      <c r="AN45" s="381">
        <f t="shared" si="12"/>
        <v>3.0000000000000001E-3</v>
      </c>
      <c r="AO45" s="322"/>
    </row>
    <row r="46" spans="2:41">
      <c r="B46" s="324" t="s">
        <v>1392</v>
      </c>
      <c r="C46" s="325" t="s">
        <v>1398</v>
      </c>
      <c r="D46" s="326" t="s">
        <v>501</v>
      </c>
      <c r="E46" s="327">
        <f>+SUMIF('AUX-NIV2'!I:I,'AUX-NIV3'!B46,'AUX-NIV2'!Q:Q)</f>
        <v>0</v>
      </c>
      <c r="F46" s="327">
        <f t="shared" si="1"/>
        <v>5.9805788372334039</v>
      </c>
      <c r="G46" s="327">
        <f t="shared" si="2"/>
        <v>0</v>
      </c>
      <c r="H46" s="328" t="str">
        <f t="shared" si="28"/>
        <v>A</v>
      </c>
      <c r="I46" s="325" t="s">
        <v>3311</v>
      </c>
      <c r="J46" s="329" t="str">
        <f>IF(B46&lt;&gt;"",+VLOOKUP(I46,Recursos!C:F,2,FALSE),"")</f>
        <v>OPER. EQUIPO</v>
      </c>
      <c r="K46" s="330" t="str">
        <f>IF(B46&lt;&gt;"",+VLOOKUP(I46,Recursos!C:F,3,FALSE),"")</f>
        <v>hh</v>
      </c>
      <c r="L46" s="327">
        <f>IF(B46&lt;&gt;"",+VLOOKUP(I46,Recursos!C:F,4,FALSE),"")</f>
        <v>581.06120476836554</v>
      </c>
      <c r="M46" s="414"/>
      <c r="N46" s="414"/>
      <c r="O46" s="332">
        <f>+O47</f>
        <v>2E-3</v>
      </c>
      <c r="P46" s="333">
        <f t="shared" si="14"/>
        <v>1.1621224095367311</v>
      </c>
      <c r="Q46" s="327">
        <f t="shared" si="15"/>
        <v>0</v>
      </c>
      <c r="R46" s="334">
        <f t="shared" si="16"/>
        <v>0</v>
      </c>
      <c r="S46" s="335">
        <f t="shared" si="4"/>
        <v>1.5846028372334033</v>
      </c>
      <c r="T46" s="335">
        <f t="shared" si="5"/>
        <v>4.3959760000000001</v>
      </c>
      <c r="U46" s="336">
        <f t="shared" si="6"/>
        <v>0</v>
      </c>
      <c r="V46" s="336">
        <f t="shared" si="7"/>
        <v>0</v>
      </c>
      <c r="W46" s="336">
        <f t="shared" si="8"/>
        <v>0</v>
      </c>
      <c r="X46" s="336">
        <f t="shared" si="9"/>
        <v>0</v>
      </c>
      <c r="Y46" s="320"/>
      <c r="Z46" s="321" t="str">
        <f t="shared" si="17"/>
        <v>X-BDA.0090A</v>
      </c>
      <c r="AA46" s="321" t="str">
        <f t="shared" si="18"/>
        <v>X-BDA.0090E</v>
      </c>
      <c r="AB46" s="321" t="str">
        <f t="shared" si="19"/>
        <v>X-BDA.0090M</v>
      </c>
      <c r="AC46" s="321" t="str">
        <f t="shared" si="20"/>
        <v>X-BDA.0090T</v>
      </c>
      <c r="AD46" s="321" t="str">
        <f t="shared" si="21"/>
        <v>X-BDA.0090S</v>
      </c>
      <c r="AE46" s="321" t="str">
        <f t="shared" si="22"/>
        <v>X-BDA.0090X</v>
      </c>
      <c r="AF46" s="321" t="str">
        <f t="shared" si="23"/>
        <v>X-BDA.0090A</v>
      </c>
      <c r="AG46" s="321">
        <f t="shared" si="10"/>
        <v>3</v>
      </c>
      <c r="AH46" s="321"/>
      <c r="AI46" s="321" t="str">
        <f t="shared" si="24"/>
        <v>X-BDA.0090</v>
      </c>
      <c r="AJ46" s="320"/>
      <c r="AK46" s="322">
        <f t="shared" si="11"/>
        <v>45</v>
      </c>
      <c r="AL46" s="323">
        <f t="shared" si="25"/>
        <v>47</v>
      </c>
      <c r="AM46" s="322">
        <f t="shared" si="26"/>
        <v>2</v>
      </c>
      <c r="AN46" s="381">
        <f t="shared" si="12"/>
        <v>3.0000000000000001E-3</v>
      </c>
      <c r="AO46" s="322"/>
    </row>
    <row r="47" spans="2:41">
      <c r="B47" s="324" t="s">
        <v>1392</v>
      </c>
      <c r="C47" s="325" t="s">
        <v>1398</v>
      </c>
      <c r="D47" s="326" t="s">
        <v>501</v>
      </c>
      <c r="E47" s="327">
        <f>+SUMIF('AUX-NIV2'!I:I,'AUX-NIV3'!B47,'AUX-NIV2'!Q:Q)</f>
        <v>0</v>
      </c>
      <c r="F47" s="327">
        <f t="shared" si="1"/>
        <v>5.9805788372334039</v>
      </c>
      <c r="G47" s="327">
        <f t="shared" si="2"/>
        <v>0</v>
      </c>
      <c r="H47" s="328" t="str">
        <f t="shared" si="28"/>
        <v>E</v>
      </c>
      <c r="I47" s="325" t="s">
        <v>1567</v>
      </c>
      <c r="J47" s="329" t="str">
        <f>IF(B47&lt;&gt;"",+VLOOKUP(I47,Recursos!C:F,2,FALSE),"")</f>
        <v>COMPACT.LISO VIBR.AUTOPROP.(11 T)</v>
      </c>
      <c r="K47" s="330" t="str">
        <f>IF(B47&lt;&gt;"",+VLOOKUP(I47,Recursos!C:F,3,FALSE),"")</f>
        <v>HR</v>
      </c>
      <c r="L47" s="327">
        <f>IF(B47&lt;&gt;"",+VLOOKUP(I47,Recursos!C:F,4,FALSE),"")</f>
        <v>2197.9879999999998</v>
      </c>
      <c r="M47" s="414">
        <v>1</v>
      </c>
      <c r="N47" s="414">
        <v>500</v>
      </c>
      <c r="O47" s="332">
        <f>+M47/N47</f>
        <v>2E-3</v>
      </c>
      <c r="P47" s="333">
        <f t="shared" si="14"/>
        <v>4.3959760000000001</v>
      </c>
      <c r="Q47" s="327">
        <f t="shared" si="15"/>
        <v>0</v>
      </c>
      <c r="R47" s="334">
        <f t="shared" si="16"/>
        <v>0</v>
      </c>
      <c r="S47" s="335">
        <f t="shared" si="4"/>
        <v>1.5846028372334033</v>
      </c>
      <c r="T47" s="335">
        <f t="shared" si="5"/>
        <v>4.3959760000000001</v>
      </c>
      <c r="U47" s="336">
        <f t="shared" si="6"/>
        <v>0</v>
      </c>
      <c r="V47" s="336">
        <f t="shared" si="7"/>
        <v>0</v>
      </c>
      <c r="W47" s="336">
        <f t="shared" si="8"/>
        <v>0</v>
      </c>
      <c r="X47" s="336">
        <f t="shared" si="9"/>
        <v>0</v>
      </c>
      <c r="Y47" s="320"/>
      <c r="Z47" s="321" t="str">
        <f t="shared" si="17"/>
        <v>X-BDA.0090A</v>
      </c>
      <c r="AA47" s="321" t="str">
        <f t="shared" si="18"/>
        <v>X-BDA.0090E</v>
      </c>
      <c r="AB47" s="321" t="str">
        <f t="shared" si="19"/>
        <v>X-BDA.0090M</v>
      </c>
      <c r="AC47" s="321" t="str">
        <f t="shared" si="20"/>
        <v>X-BDA.0090T</v>
      </c>
      <c r="AD47" s="321" t="str">
        <f t="shared" si="21"/>
        <v>X-BDA.0090S</v>
      </c>
      <c r="AE47" s="321" t="str">
        <f t="shared" si="22"/>
        <v>X-BDA.0090X</v>
      </c>
      <c r="AF47" s="321" t="str">
        <f t="shared" si="23"/>
        <v>X-BDA.0090E</v>
      </c>
      <c r="AG47" s="321">
        <f t="shared" si="10"/>
        <v>3</v>
      </c>
      <c r="AH47" s="321"/>
      <c r="AI47" s="321" t="str">
        <f t="shared" si="24"/>
        <v>X-BDA.0090</v>
      </c>
      <c r="AJ47" s="320"/>
      <c r="AK47" s="322">
        <f t="shared" si="11"/>
        <v>45</v>
      </c>
      <c r="AL47" s="323">
        <f t="shared" si="25"/>
        <v>47</v>
      </c>
      <c r="AM47" s="322">
        <f t="shared" si="26"/>
        <v>3</v>
      </c>
      <c r="AN47" s="381">
        <f t="shared" si="12"/>
        <v>3.0000000000000001E-3</v>
      </c>
      <c r="AO47" s="322"/>
    </row>
    <row r="48" spans="2:41">
      <c r="B48" s="324" t="s">
        <v>1399</v>
      </c>
      <c r="C48" s="325" t="s">
        <v>1406</v>
      </c>
      <c r="D48" s="326" t="s">
        <v>1160</v>
      </c>
      <c r="E48" s="327">
        <f>+SUMIF('AUX-NIV2'!I:I,'AUX-NIV3'!B48,'AUX-NIV2'!Q:Q)</f>
        <v>0</v>
      </c>
      <c r="F48" s="327">
        <f t="shared" si="1"/>
        <v>161.64053674466808</v>
      </c>
      <c r="G48" s="327">
        <f t="shared" si="2"/>
        <v>0</v>
      </c>
      <c r="H48" s="328" t="str">
        <f t="shared" si="28"/>
        <v>A</v>
      </c>
      <c r="I48" s="325" t="s">
        <v>1745</v>
      </c>
      <c r="J48" s="329" t="str">
        <f>IF(B48&lt;&gt;"",+VLOOKUP(I48,Recursos!C:F,2,FALSE),"")</f>
        <v>AYUDANTE</v>
      </c>
      <c r="K48" s="330" t="str">
        <f>IF(B48&lt;&gt;"",+VLOOKUP(I48,Recursos!C:F,3,FALSE),"")</f>
        <v>hh</v>
      </c>
      <c r="L48" s="327">
        <f>IF(B48&lt;&gt;"",+VLOOKUP(I48,Recursos!C:F,4,FALSE),"")</f>
        <v>422.48042769667234</v>
      </c>
      <c r="M48" s="416"/>
      <c r="N48" s="416"/>
      <c r="O48" s="417">
        <f>0.5*O49</f>
        <v>0.02</v>
      </c>
      <c r="P48" s="333">
        <f t="shared" si="14"/>
        <v>8.4496085539334462</v>
      </c>
      <c r="Q48" s="327">
        <f t="shared" si="15"/>
        <v>0</v>
      </c>
      <c r="R48" s="334">
        <f t="shared" si="16"/>
        <v>0</v>
      </c>
      <c r="S48" s="335">
        <f t="shared" si="4"/>
        <v>31.692056744668065</v>
      </c>
      <c r="T48" s="335">
        <f t="shared" si="5"/>
        <v>129.94848000000002</v>
      </c>
      <c r="U48" s="336">
        <f t="shared" si="6"/>
        <v>0</v>
      </c>
      <c r="V48" s="336">
        <f t="shared" si="7"/>
        <v>0</v>
      </c>
      <c r="W48" s="336">
        <f t="shared" si="8"/>
        <v>0</v>
      </c>
      <c r="X48" s="336">
        <f t="shared" si="9"/>
        <v>0</v>
      </c>
      <c r="Y48" s="320"/>
      <c r="Z48" s="321" t="str">
        <f t="shared" si="17"/>
        <v>X-EXC00A</v>
      </c>
      <c r="AA48" s="321" t="str">
        <f t="shared" si="18"/>
        <v>X-EXC00E</v>
      </c>
      <c r="AB48" s="321" t="str">
        <f t="shared" si="19"/>
        <v>X-EXC00M</v>
      </c>
      <c r="AC48" s="321" t="str">
        <f t="shared" si="20"/>
        <v>X-EXC00T</v>
      </c>
      <c r="AD48" s="321" t="str">
        <f t="shared" si="21"/>
        <v>X-EXC00S</v>
      </c>
      <c r="AE48" s="321" t="str">
        <f t="shared" si="22"/>
        <v>X-EXC00X</v>
      </c>
      <c r="AF48" s="321" t="str">
        <f t="shared" si="23"/>
        <v>X-EXC00A</v>
      </c>
      <c r="AG48" s="321">
        <f t="shared" si="10"/>
        <v>3</v>
      </c>
      <c r="AH48" s="321"/>
      <c r="AI48" s="321" t="str">
        <f t="shared" si="24"/>
        <v>X-EXC00</v>
      </c>
      <c r="AJ48" s="320"/>
      <c r="AK48" s="322">
        <f t="shared" si="11"/>
        <v>48</v>
      </c>
      <c r="AL48" s="323">
        <f t="shared" si="25"/>
        <v>50</v>
      </c>
      <c r="AM48" s="322">
        <f t="shared" si="26"/>
        <v>1</v>
      </c>
      <c r="AN48" s="381">
        <f t="shared" si="12"/>
        <v>0.06</v>
      </c>
      <c r="AO48" s="322"/>
    </row>
    <row r="49" spans="2:41">
      <c r="B49" s="324" t="s">
        <v>1399</v>
      </c>
      <c r="C49" s="325" t="s">
        <v>1406</v>
      </c>
      <c r="D49" s="326" t="s">
        <v>1160</v>
      </c>
      <c r="E49" s="327">
        <f>+SUMIF('AUX-NIV2'!I:I,'AUX-NIV3'!B49,'AUX-NIV2'!Q:Q)</f>
        <v>0</v>
      </c>
      <c r="F49" s="327">
        <f t="shared" si="1"/>
        <v>161.64053674466808</v>
      </c>
      <c r="G49" s="327">
        <f t="shared" si="2"/>
        <v>0</v>
      </c>
      <c r="H49" s="328" t="str">
        <f t="shared" si="28"/>
        <v>A</v>
      </c>
      <c r="I49" s="325" t="s">
        <v>3311</v>
      </c>
      <c r="J49" s="329" t="str">
        <f>IF(B49&lt;&gt;"",+VLOOKUP(I49,Recursos!C:F,2,FALSE),"")</f>
        <v>OPER. EQUIPO</v>
      </c>
      <c r="K49" s="330" t="str">
        <f>IF(B49&lt;&gt;"",+VLOOKUP(I49,Recursos!C:F,3,FALSE),"")</f>
        <v>hh</v>
      </c>
      <c r="L49" s="327">
        <f>IF(B49&lt;&gt;"",+VLOOKUP(I49,Recursos!C:F,4,FALSE),"")</f>
        <v>581.06120476836554</v>
      </c>
      <c r="M49" s="416"/>
      <c r="N49" s="416"/>
      <c r="O49" s="332">
        <f>+O50</f>
        <v>0.04</v>
      </c>
      <c r="P49" s="333">
        <f t="shared" si="14"/>
        <v>23.242448190734621</v>
      </c>
      <c r="Q49" s="327">
        <f t="shared" si="15"/>
        <v>0</v>
      </c>
      <c r="R49" s="334">
        <f t="shared" si="16"/>
        <v>0</v>
      </c>
      <c r="S49" s="335">
        <f t="shared" si="4"/>
        <v>31.692056744668065</v>
      </c>
      <c r="T49" s="335">
        <f t="shared" si="5"/>
        <v>129.94848000000002</v>
      </c>
      <c r="U49" s="336">
        <f t="shared" si="6"/>
        <v>0</v>
      </c>
      <c r="V49" s="336">
        <f t="shared" si="7"/>
        <v>0</v>
      </c>
      <c r="W49" s="336">
        <f t="shared" si="8"/>
        <v>0</v>
      </c>
      <c r="X49" s="336">
        <f t="shared" si="9"/>
        <v>0</v>
      </c>
      <c r="Y49" s="320"/>
      <c r="Z49" s="321" t="str">
        <f t="shared" si="17"/>
        <v>X-EXC00A</v>
      </c>
      <c r="AA49" s="321" t="str">
        <f t="shared" si="18"/>
        <v>X-EXC00E</v>
      </c>
      <c r="AB49" s="321" t="str">
        <f t="shared" si="19"/>
        <v>X-EXC00M</v>
      </c>
      <c r="AC49" s="321" t="str">
        <f t="shared" si="20"/>
        <v>X-EXC00T</v>
      </c>
      <c r="AD49" s="321" t="str">
        <f t="shared" si="21"/>
        <v>X-EXC00S</v>
      </c>
      <c r="AE49" s="321" t="str">
        <f t="shared" si="22"/>
        <v>X-EXC00X</v>
      </c>
      <c r="AF49" s="321" t="str">
        <f t="shared" si="23"/>
        <v>X-EXC00A</v>
      </c>
      <c r="AG49" s="321">
        <f t="shared" si="10"/>
        <v>3</v>
      </c>
      <c r="AH49" s="321"/>
      <c r="AI49" s="321" t="str">
        <f t="shared" si="24"/>
        <v>X-EXC00</v>
      </c>
      <c r="AJ49" s="320"/>
      <c r="AK49" s="322">
        <f t="shared" si="11"/>
        <v>48</v>
      </c>
      <c r="AL49" s="323">
        <f t="shared" si="25"/>
        <v>50</v>
      </c>
      <c r="AM49" s="322">
        <f t="shared" si="26"/>
        <v>2</v>
      </c>
      <c r="AN49" s="381">
        <f t="shared" si="12"/>
        <v>0.06</v>
      </c>
      <c r="AO49" s="322"/>
    </row>
    <row r="50" spans="2:41">
      <c r="B50" s="324" t="s">
        <v>1399</v>
      </c>
      <c r="C50" s="325" t="s">
        <v>1406</v>
      </c>
      <c r="D50" s="326" t="s">
        <v>1160</v>
      </c>
      <c r="E50" s="327">
        <f>+SUMIF('AUX-NIV2'!I:I,'AUX-NIV3'!B50,'AUX-NIV2'!Q:Q)</f>
        <v>0</v>
      </c>
      <c r="F50" s="327">
        <f t="shared" si="1"/>
        <v>161.64053674466808</v>
      </c>
      <c r="G50" s="327">
        <f t="shared" si="2"/>
        <v>0</v>
      </c>
      <c r="H50" s="328" t="str">
        <f t="shared" si="28"/>
        <v>E</v>
      </c>
      <c r="I50" s="325" t="s">
        <v>1553</v>
      </c>
      <c r="J50" s="329" t="str">
        <f>IF(B50&lt;&gt;"",+VLOOKUP(I50,Recursos!C:F,2,FALSE),"")</f>
        <v>RETROEXCAVADORA S/CARRILES  1,1 M3</v>
      </c>
      <c r="K50" s="330" t="str">
        <f>IF(B50&lt;&gt;"",+VLOOKUP(I50,Recursos!C:F,3,FALSE),"")</f>
        <v>HR</v>
      </c>
      <c r="L50" s="327">
        <f>IF(B50&lt;&gt;"",+VLOOKUP(I50,Recursos!C:F,4,FALSE),"")</f>
        <v>3248.7120000000004</v>
      </c>
      <c r="M50" s="416">
        <v>1</v>
      </c>
      <c r="N50" s="416">
        <v>25</v>
      </c>
      <c r="O50" s="332">
        <f>+M50/N50</f>
        <v>0.04</v>
      </c>
      <c r="P50" s="333">
        <f t="shared" si="14"/>
        <v>129.94848000000002</v>
      </c>
      <c r="Q50" s="327">
        <f t="shared" si="15"/>
        <v>0</v>
      </c>
      <c r="R50" s="334">
        <f t="shared" si="16"/>
        <v>0</v>
      </c>
      <c r="S50" s="335">
        <f t="shared" si="4"/>
        <v>31.692056744668065</v>
      </c>
      <c r="T50" s="335">
        <f t="shared" si="5"/>
        <v>129.94848000000002</v>
      </c>
      <c r="U50" s="336">
        <f t="shared" si="6"/>
        <v>0</v>
      </c>
      <c r="V50" s="336">
        <f t="shared" si="7"/>
        <v>0</v>
      </c>
      <c r="W50" s="336">
        <f t="shared" si="8"/>
        <v>0</v>
      </c>
      <c r="X50" s="336">
        <f t="shared" si="9"/>
        <v>0</v>
      </c>
      <c r="Y50" s="320"/>
      <c r="Z50" s="321" t="str">
        <f t="shared" si="17"/>
        <v>X-EXC00A</v>
      </c>
      <c r="AA50" s="321" t="str">
        <f t="shared" si="18"/>
        <v>X-EXC00E</v>
      </c>
      <c r="AB50" s="321" t="str">
        <f t="shared" si="19"/>
        <v>X-EXC00M</v>
      </c>
      <c r="AC50" s="321" t="str">
        <f t="shared" si="20"/>
        <v>X-EXC00T</v>
      </c>
      <c r="AD50" s="321" t="str">
        <f t="shared" si="21"/>
        <v>X-EXC00S</v>
      </c>
      <c r="AE50" s="321" t="str">
        <f t="shared" si="22"/>
        <v>X-EXC00X</v>
      </c>
      <c r="AF50" s="321" t="str">
        <f t="shared" si="23"/>
        <v>X-EXC00E</v>
      </c>
      <c r="AG50" s="321">
        <f t="shared" si="10"/>
        <v>3</v>
      </c>
      <c r="AH50" s="321"/>
      <c r="AI50" s="321" t="str">
        <f t="shared" si="24"/>
        <v>X-EXC00</v>
      </c>
      <c r="AJ50" s="320"/>
      <c r="AK50" s="322">
        <f t="shared" si="11"/>
        <v>48</v>
      </c>
      <c r="AL50" s="323">
        <f t="shared" si="25"/>
        <v>50</v>
      </c>
      <c r="AM50" s="322">
        <f t="shared" si="26"/>
        <v>3</v>
      </c>
      <c r="AN50" s="381">
        <f t="shared" si="12"/>
        <v>0.06</v>
      </c>
      <c r="AO50" s="322"/>
    </row>
    <row r="51" spans="2:41">
      <c r="B51" s="324" t="s">
        <v>1400</v>
      </c>
      <c r="C51" s="325" t="s">
        <v>1407</v>
      </c>
      <c r="D51" s="326" t="s">
        <v>1408</v>
      </c>
      <c r="E51" s="327">
        <f>+SUMIF('AUX-NIV2'!I:I,'AUX-NIV3'!B51,'AUX-NIV2'!Q:Q)</f>
        <v>0</v>
      </c>
      <c r="F51" s="327">
        <f t="shared" si="1"/>
        <v>76187.486324650381</v>
      </c>
      <c r="G51" s="327">
        <f t="shared" si="2"/>
        <v>0</v>
      </c>
      <c r="H51" s="328" t="str">
        <f t="shared" si="28"/>
        <v>A</v>
      </c>
      <c r="I51" s="325" t="s">
        <v>1745</v>
      </c>
      <c r="J51" s="329" t="str">
        <f>IF(B51&lt;&gt;"",+VLOOKUP(I51,Recursos!C:F,2,FALSE),"")</f>
        <v>AYUDANTE</v>
      </c>
      <c r="K51" s="330" t="str">
        <f>IF(B51&lt;&gt;"",+VLOOKUP(I51,Recursos!C:F,3,FALSE),"")</f>
        <v>hh</v>
      </c>
      <c r="L51" s="327">
        <f>IF(B51&lt;&gt;"",+VLOOKUP(I51,Recursos!C:F,4,FALSE),"")</f>
        <v>422.48042769667234</v>
      </c>
      <c r="M51" s="331">
        <v>10000</v>
      </c>
      <c r="N51" s="331">
        <v>1</v>
      </c>
      <c r="O51" s="433">
        <f>N51*M51/N53</f>
        <v>10</v>
      </c>
      <c r="P51" s="333">
        <f t="shared" si="14"/>
        <v>4224.8042769667236</v>
      </c>
      <c r="Q51" s="327">
        <f t="shared" si="15"/>
        <v>0</v>
      </c>
      <c r="R51" s="334">
        <f t="shared" si="16"/>
        <v>0</v>
      </c>
      <c r="S51" s="335">
        <f t="shared" si="4"/>
        <v>10035.416324650378</v>
      </c>
      <c r="T51" s="335">
        <f t="shared" si="5"/>
        <v>66152.070000000007</v>
      </c>
      <c r="U51" s="336">
        <f t="shared" si="6"/>
        <v>0</v>
      </c>
      <c r="V51" s="336">
        <f t="shared" si="7"/>
        <v>0</v>
      </c>
      <c r="W51" s="336">
        <f t="shared" si="8"/>
        <v>0</v>
      </c>
      <c r="X51" s="336">
        <f t="shared" si="9"/>
        <v>0</v>
      </c>
      <c r="Y51" s="320"/>
      <c r="Z51" s="321" t="str">
        <f t="shared" si="17"/>
        <v>X-EXCLI01A</v>
      </c>
      <c r="AA51" s="321" t="str">
        <f t="shared" si="18"/>
        <v>X-EXCLI01E</v>
      </c>
      <c r="AB51" s="321" t="str">
        <f t="shared" si="19"/>
        <v>X-EXCLI01M</v>
      </c>
      <c r="AC51" s="321" t="str">
        <f t="shared" si="20"/>
        <v>X-EXCLI01T</v>
      </c>
      <c r="AD51" s="321" t="str">
        <f t="shared" si="21"/>
        <v>X-EXCLI01S</v>
      </c>
      <c r="AE51" s="321" t="str">
        <f t="shared" si="22"/>
        <v>X-EXCLI01X</v>
      </c>
      <c r="AF51" s="321" t="str">
        <f t="shared" si="23"/>
        <v>X-EXCLI01A</v>
      </c>
      <c r="AG51" s="321">
        <f t="shared" si="10"/>
        <v>3</v>
      </c>
      <c r="AH51" s="321"/>
      <c r="AI51" s="321" t="str">
        <f t="shared" si="24"/>
        <v>X-EXCLI01</v>
      </c>
      <c r="AJ51" s="320"/>
      <c r="AK51" s="322">
        <f t="shared" si="11"/>
        <v>51</v>
      </c>
      <c r="AL51" s="323">
        <f t="shared" si="25"/>
        <v>53</v>
      </c>
      <c r="AM51" s="322">
        <f t="shared" si="26"/>
        <v>1</v>
      </c>
      <c r="AN51" s="381">
        <f t="shared" si="12"/>
        <v>20</v>
      </c>
      <c r="AO51" s="322"/>
    </row>
    <row r="52" spans="2:41">
      <c r="B52" s="324" t="s">
        <v>1400</v>
      </c>
      <c r="C52" s="325" t="s">
        <v>1407</v>
      </c>
      <c r="D52" s="326" t="s">
        <v>1408</v>
      </c>
      <c r="E52" s="327">
        <f>+SUMIF('AUX-NIV2'!I:I,'AUX-NIV3'!B52,'AUX-NIV2'!Q:Q)</f>
        <v>0</v>
      </c>
      <c r="F52" s="327">
        <f t="shared" si="1"/>
        <v>76187.486324650381</v>
      </c>
      <c r="G52" s="327">
        <f t="shared" si="2"/>
        <v>0</v>
      </c>
      <c r="H52" s="328" t="str">
        <f>IF(B52&lt;&gt;"",+LEFT(I52,1),"")</f>
        <v>A</v>
      </c>
      <c r="I52" s="325" t="s">
        <v>3311</v>
      </c>
      <c r="J52" s="329" t="str">
        <f>IF(B52&lt;&gt;"",+VLOOKUP(I52,Recursos!C:F,2,FALSE),"")</f>
        <v>OPER. EQUIPO</v>
      </c>
      <c r="K52" s="330" t="str">
        <f>IF(B52&lt;&gt;"",+VLOOKUP(I52,Recursos!C:F,3,FALSE),"")</f>
        <v>hh</v>
      </c>
      <c r="L52" s="327">
        <f>IF(B52&lt;&gt;"",+VLOOKUP(I52,Recursos!C:F,4,FALSE),"")</f>
        <v>581.06120476836554</v>
      </c>
      <c r="M52" s="331"/>
      <c r="N52" s="331"/>
      <c r="O52" s="433">
        <f>+M51/N53</f>
        <v>10</v>
      </c>
      <c r="P52" s="333">
        <f t="shared" si="14"/>
        <v>5810.612047683655</v>
      </c>
      <c r="Q52" s="327">
        <f t="shared" si="15"/>
        <v>0</v>
      </c>
      <c r="R52" s="334">
        <f t="shared" si="16"/>
        <v>0</v>
      </c>
      <c r="S52" s="335">
        <f t="shared" si="4"/>
        <v>10035.416324650378</v>
      </c>
      <c r="T52" s="335">
        <f t="shared" si="5"/>
        <v>66152.070000000007</v>
      </c>
      <c r="U52" s="336">
        <f t="shared" si="6"/>
        <v>0</v>
      </c>
      <c r="V52" s="336">
        <f t="shared" si="7"/>
        <v>0</v>
      </c>
      <c r="W52" s="336">
        <f t="shared" si="8"/>
        <v>0</v>
      </c>
      <c r="X52" s="336">
        <f t="shared" si="9"/>
        <v>0</v>
      </c>
      <c r="Y52" s="320"/>
      <c r="Z52" s="321" t="str">
        <f t="shared" si="17"/>
        <v>X-EXCLI01A</v>
      </c>
      <c r="AA52" s="321" t="str">
        <f t="shared" si="18"/>
        <v>X-EXCLI01E</v>
      </c>
      <c r="AB52" s="321" t="str">
        <f t="shared" si="19"/>
        <v>X-EXCLI01M</v>
      </c>
      <c r="AC52" s="321" t="str">
        <f t="shared" si="20"/>
        <v>X-EXCLI01T</v>
      </c>
      <c r="AD52" s="321" t="str">
        <f t="shared" si="21"/>
        <v>X-EXCLI01S</v>
      </c>
      <c r="AE52" s="321" t="str">
        <f t="shared" si="22"/>
        <v>X-EXCLI01X</v>
      </c>
      <c r="AF52" s="321" t="str">
        <f t="shared" si="23"/>
        <v>X-EXCLI01A</v>
      </c>
      <c r="AG52" s="321">
        <f t="shared" si="10"/>
        <v>3</v>
      </c>
      <c r="AH52" s="321"/>
      <c r="AI52" s="321" t="str">
        <f t="shared" si="24"/>
        <v>X-EXCLI01</v>
      </c>
      <c r="AJ52" s="320"/>
      <c r="AK52" s="322">
        <f t="shared" si="11"/>
        <v>51</v>
      </c>
      <c r="AL52" s="323">
        <f t="shared" si="25"/>
        <v>53</v>
      </c>
      <c r="AM52" s="322">
        <f t="shared" si="26"/>
        <v>2</v>
      </c>
      <c r="AN52" s="381">
        <f t="shared" si="12"/>
        <v>20</v>
      </c>
      <c r="AO52" s="322"/>
    </row>
    <row r="53" spans="2:41">
      <c r="B53" s="324" t="s">
        <v>1400</v>
      </c>
      <c r="C53" s="325" t="s">
        <v>1407</v>
      </c>
      <c r="D53" s="326" t="s">
        <v>1408</v>
      </c>
      <c r="E53" s="327">
        <f>+SUMIF('AUX-NIV2'!I:I,'AUX-NIV3'!B53,'AUX-NIV2'!Q:Q)</f>
        <v>0</v>
      </c>
      <c r="F53" s="327">
        <f t="shared" si="1"/>
        <v>76187.486324650381</v>
      </c>
      <c r="G53" s="327">
        <f t="shared" si="2"/>
        <v>0</v>
      </c>
      <c r="H53" s="328" t="str">
        <f>IF(B53&lt;&gt;"",+LEFT(I53,1),"")</f>
        <v>E</v>
      </c>
      <c r="I53" s="325" t="s">
        <v>1537</v>
      </c>
      <c r="J53" s="329" t="str">
        <f>IF(B53&lt;&gt;"",+VLOOKUP(I53,Recursos!C:F,2,FALSE),"")</f>
        <v xml:space="preserve">TOPADORA SIN ESC.(34 T) </v>
      </c>
      <c r="K53" s="330" t="str">
        <f>IF(B53&lt;&gt;"",+VLOOKUP(I53,Recursos!C:F,3,FALSE),"")</f>
        <v>HR</v>
      </c>
      <c r="L53" s="327">
        <f>IF(B53&lt;&gt;"",+VLOOKUP(I53,Recursos!C:F,4,FALSE),"")</f>
        <v>6615.2070000000003</v>
      </c>
      <c r="M53" s="331"/>
      <c r="N53" s="331">
        <v>1000</v>
      </c>
      <c r="O53" s="433">
        <f>+M51/N53</f>
        <v>10</v>
      </c>
      <c r="P53" s="333">
        <f t="shared" si="14"/>
        <v>66152.070000000007</v>
      </c>
      <c r="Q53" s="327">
        <f t="shared" si="15"/>
        <v>0</v>
      </c>
      <c r="R53" s="334">
        <f t="shared" si="16"/>
        <v>0</v>
      </c>
      <c r="S53" s="335">
        <f t="shared" si="4"/>
        <v>10035.416324650378</v>
      </c>
      <c r="T53" s="335">
        <f t="shared" si="5"/>
        <v>66152.070000000007</v>
      </c>
      <c r="U53" s="336">
        <f t="shared" si="6"/>
        <v>0</v>
      </c>
      <c r="V53" s="336">
        <f t="shared" si="7"/>
        <v>0</v>
      </c>
      <c r="W53" s="336">
        <f t="shared" si="8"/>
        <v>0</v>
      </c>
      <c r="X53" s="336">
        <f t="shared" si="9"/>
        <v>0</v>
      </c>
      <c r="Y53" s="320"/>
      <c r="Z53" s="321" t="str">
        <f t="shared" si="17"/>
        <v>X-EXCLI01A</v>
      </c>
      <c r="AA53" s="321" t="str">
        <f t="shared" si="18"/>
        <v>X-EXCLI01E</v>
      </c>
      <c r="AB53" s="321" t="str">
        <f t="shared" si="19"/>
        <v>X-EXCLI01M</v>
      </c>
      <c r="AC53" s="321" t="str">
        <f t="shared" si="20"/>
        <v>X-EXCLI01T</v>
      </c>
      <c r="AD53" s="321" t="str">
        <f t="shared" si="21"/>
        <v>X-EXCLI01S</v>
      </c>
      <c r="AE53" s="321" t="str">
        <f t="shared" si="22"/>
        <v>X-EXCLI01X</v>
      </c>
      <c r="AF53" s="321" t="str">
        <f t="shared" si="23"/>
        <v>X-EXCLI01E</v>
      </c>
      <c r="AG53" s="321">
        <f t="shared" si="10"/>
        <v>3</v>
      </c>
      <c r="AH53" s="321"/>
      <c r="AI53" s="321" t="str">
        <f t="shared" si="24"/>
        <v>X-EXCLI01</v>
      </c>
      <c r="AJ53" s="320"/>
      <c r="AK53" s="322">
        <f t="shared" si="11"/>
        <v>51</v>
      </c>
      <c r="AL53" s="323">
        <f t="shared" si="25"/>
        <v>53</v>
      </c>
      <c r="AM53" s="322">
        <f t="shared" si="26"/>
        <v>3</v>
      </c>
      <c r="AN53" s="381">
        <f t="shared" si="12"/>
        <v>20</v>
      </c>
      <c r="AO53" s="322"/>
    </row>
    <row r="54" spans="2:41">
      <c r="B54" s="324" t="s">
        <v>1401</v>
      </c>
      <c r="C54" s="325" t="s">
        <v>1409</v>
      </c>
      <c r="D54" s="326" t="s">
        <v>1160</v>
      </c>
      <c r="E54" s="327">
        <f>+SUMIF('AUX-NIV2'!I:I,'AUX-NIV3'!B54,'AUX-NIV2'!Q:Q)</f>
        <v>0</v>
      </c>
      <c r="F54" s="327">
        <f t="shared" si="1"/>
        <v>67.350223643611713</v>
      </c>
      <c r="G54" s="327">
        <f t="shared" si="2"/>
        <v>0</v>
      </c>
      <c r="H54" s="328" t="str">
        <f t="shared" si="28"/>
        <v>A</v>
      </c>
      <c r="I54" s="325" t="s">
        <v>1745</v>
      </c>
      <c r="J54" s="329" t="str">
        <f>IF(B54&lt;&gt;"",+VLOOKUP(I54,Recursos!C:F,2,FALSE),"")</f>
        <v>AYUDANTE</v>
      </c>
      <c r="K54" s="330" t="str">
        <f>IF(B54&lt;&gt;"",+VLOOKUP(I54,Recursos!C:F,3,FALSE),"")</f>
        <v>hh</v>
      </c>
      <c r="L54" s="327">
        <f>IF(B54&lt;&gt;"",+VLOOKUP(I54,Recursos!C:F,4,FALSE),"")</f>
        <v>422.48042769667234</v>
      </c>
      <c r="M54" s="416"/>
      <c r="N54" s="416"/>
      <c r="O54" s="417">
        <f>0.5*O55</f>
        <v>8.3333333333333332E-3</v>
      </c>
      <c r="P54" s="333">
        <f t="shared" si="14"/>
        <v>3.5206702308056026</v>
      </c>
      <c r="Q54" s="327">
        <f t="shared" si="15"/>
        <v>0</v>
      </c>
      <c r="R54" s="334">
        <f t="shared" si="16"/>
        <v>0</v>
      </c>
      <c r="S54" s="335">
        <f t="shared" si="4"/>
        <v>13.205023643611696</v>
      </c>
      <c r="T54" s="335">
        <f t="shared" si="5"/>
        <v>54.14520000000001</v>
      </c>
      <c r="U54" s="336">
        <f t="shared" si="6"/>
        <v>0</v>
      </c>
      <c r="V54" s="336">
        <f t="shared" si="7"/>
        <v>0</v>
      </c>
      <c r="W54" s="336">
        <f t="shared" si="8"/>
        <v>0</v>
      </c>
      <c r="X54" s="336">
        <f t="shared" si="9"/>
        <v>0</v>
      </c>
      <c r="Y54" s="320"/>
      <c r="Z54" s="321" t="str">
        <f t="shared" si="17"/>
        <v>X-EXC01A</v>
      </c>
      <c r="AA54" s="321" t="str">
        <f t="shared" si="18"/>
        <v>X-EXC01E</v>
      </c>
      <c r="AB54" s="321" t="str">
        <f t="shared" si="19"/>
        <v>X-EXC01M</v>
      </c>
      <c r="AC54" s="321" t="str">
        <f t="shared" si="20"/>
        <v>X-EXC01T</v>
      </c>
      <c r="AD54" s="321" t="str">
        <f t="shared" si="21"/>
        <v>X-EXC01S</v>
      </c>
      <c r="AE54" s="321" t="str">
        <f t="shared" si="22"/>
        <v>X-EXC01X</v>
      </c>
      <c r="AF54" s="321" t="str">
        <f t="shared" si="23"/>
        <v>X-EXC01A</v>
      </c>
      <c r="AG54" s="321">
        <f t="shared" si="10"/>
        <v>3</v>
      </c>
      <c r="AH54" s="321"/>
      <c r="AI54" s="321" t="str">
        <f t="shared" si="24"/>
        <v>X-EXC01</v>
      </c>
      <c r="AJ54" s="320"/>
      <c r="AK54" s="322">
        <f t="shared" si="11"/>
        <v>54</v>
      </c>
      <c r="AL54" s="323">
        <f t="shared" si="25"/>
        <v>56</v>
      </c>
      <c r="AM54" s="322">
        <f t="shared" si="26"/>
        <v>1</v>
      </c>
      <c r="AN54" s="381">
        <f t="shared" si="12"/>
        <v>2.5000000000000001E-2</v>
      </c>
      <c r="AO54" s="322"/>
    </row>
    <row r="55" spans="2:41">
      <c r="B55" s="324" t="s">
        <v>1401</v>
      </c>
      <c r="C55" s="325" t="s">
        <v>1409</v>
      </c>
      <c r="D55" s="326" t="s">
        <v>1160</v>
      </c>
      <c r="E55" s="327">
        <f>+SUMIF('AUX-NIV2'!I:I,'AUX-NIV3'!B55,'AUX-NIV2'!Q:Q)</f>
        <v>0</v>
      </c>
      <c r="F55" s="327">
        <f t="shared" si="1"/>
        <v>67.350223643611713</v>
      </c>
      <c r="G55" s="327">
        <f t="shared" si="2"/>
        <v>0</v>
      </c>
      <c r="H55" s="328" t="str">
        <f>IF(B55&lt;&gt;"",+LEFT(I55,1),"")</f>
        <v>A</v>
      </c>
      <c r="I55" s="325" t="s">
        <v>3311</v>
      </c>
      <c r="J55" s="329" t="str">
        <f>IF(B55&lt;&gt;"",+VLOOKUP(I55,Recursos!C:F,2,FALSE),"")</f>
        <v>OPER. EQUIPO</v>
      </c>
      <c r="K55" s="330" t="str">
        <f>IF(B55&lt;&gt;"",+VLOOKUP(I55,Recursos!C:F,3,FALSE),"")</f>
        <v>hh</v>
      </c>
      <c r="L55" s="327">
        <f>IF(B55&lt;&gt;"",+VLOOKUP(I55,Recursos!C:F,4,FALSE),"")</f>
        <v>581.06120476836554</v>
      </c>
      <c r="M55" s="416"/>
      <c r="N55" s="416"/>
      <c r="O55" s="332">
        <f>+O56</f>
        <v>1.6666666666666666E-2</v>
      </c>
      <c r="P55" s="333">
        <f t="shared" si="14"/>
        <v>9.6843534128060931</v>
      </c>
      <c r="Q55" s="327">
        <f t="shared" si="15"/>
        <v>0</v>
      </c>
      <c r="R55" s="334">
        <f t="shared" si="16"/>
        <v>0</v>
      </c>
      <c r="S55" s="335">
        <f t="shared" si="4"/>
        <v>13.205023643611696</v>
      </c>
      <c r="T55" s="335">
        <f t="shared" si="5"/>
        <v>54.14520000000001</v>
      </c>
      <c r="U55" s="336">
        <f t="shared" si="6"/>
        <v>0</v>
      </c>
      <c r="V55" s="336">
        <f t="shared" si="7"/>
        <v>0</v>
      </c>
      <c r="W55" s="336">
        <f t="shared" si="8"/>
        <v>0</v>
      </c>
      <c r="X55" s="336">
        <f t="shared" si="9"/>
        <v>0</v>
      </c>
      <c r="Y55" s="320"/>
      <c r="Z55" s="321" t="str">
        <f t="shared" si="17"/>
        <v>X-EXC01A</v>
      </c>
      <c r="AA55" s="321" t="str">
        <f t="shared" si="18"/>
        <v>X-EXC01E</v>
      </c>
      <c r="AB55" s="321" t="str">
        <f t="shared" si="19"/>
        <v>X-EXC01M</v>
      </c>
      <c r="AC55" s="321" t="str">
        <f t="shared" si="20"/>
        <v>X-EXC01T</v>
      </c>
      <c r="AD55" s="321" t="str">
        <f t="shared" si="21"/>
        <v>X-EXC01S</v>
      </c>
      <c r="AE55" s="321" t="str">
        <f t="shared" si="22"/>
        <v>X-EXC01X</v>
      </c>
      <c r="AF55" s="321" t="str">
        <f t="shared" si="23"/>
        <v>X-EXC01A</v>
      </c>
      <c r="AG55" s="321">
        <f t="shared" si="10"/>
        <v>3</v>
      </c>
      <c r="AH55" s="321"/>
      <c r="AI55" s="321" t="str">
        <f t="shared" si="24"/>
        <v>X-EXC01</v>
      </c>
      <c r="AJ55" s="320"/>
      <c r="AK55" s="322">
        <f t="shared" si="11"/>
        <v>54</v>
      </c>
      <c r="AL55" s="323">
        <f t="shared" si="25"/>
        <v>56</v>
      </c>
      <c r="AM55" s="322">
        <f t="shared" si="26"/>
        <v>2</v>
      </c>
      <c r="AN55" s="381">
        <f t="shared" si="12"/>
        <v>2.5000000000000001E-2</v>
      </c>
      <c r="AO55" s="322"/>
    </row>
    <row r="56" spans="2:41">
      <c r="B56" s="324" t="s">
        <v>1401</v>
      </c>
      <c r="C56" s="325" t="s">
        <v>1409</v>
      </c>
      <c r="D56" s="326" t="s">
        <v>1160</v>
      </c>
      <c r="E56" s="327">
        <f>+SUMIF('AUX-NIV2'!I:I,'AUX-NIV3'!B56,'AUX-NIV2'!Q:Q)</f>
        <v>0</v>
      </c>
      <c r="F56" s="327">
        <f t="shared" si="1"/>
        <v>67.350223643611713</v>
      </c>
      <c r="G56" s="327">
        <f t="shared" si="2"/>
        <v>0</v>
      </c>
      <c r="H56" s="328" t="str">
        <f>IF(B56&lt;&gt;"",+LEFT(I56,1),"")</f>
        <v>E</v>
      </c>
      <c r="I56" s="325" t="s">
        <v>1553</v>
      </c>
      <c r="J56" s="329" t="str">
        <f>IF(B56&lt;&gt;"",+VLOOKUP(I56,Recursos!C:F,2,FALSE),"")</f>
        <v>RETROEXCAVADORA S/CARRILES  1,1 M3</v>
      </c>
      <c r="K56" s="330" t="str">
        <f>IF(B56&lt;&gt;"",+VLOOKUP(I56,Recursos!C:F,3,FALSE),"")</f>
        <v>HR</v>
      </c>
      <c r="L56" s="327">
        <f>IF(B56&lt;&gt;"",+VLOOKUP(I56,Recursos!C:F,4,FALSE),"")</f>
        <v>3248.7120000000004</v>
      </c>
      <c r="M56" s="416">
        <v>1</v>
      </c>
      <c r="N56" s="416">
        <v>60</v>
      </c>
      <c r="O56" s="332">
        <f>+M56/N56</f>
        <v>1.6666666666666666E-2</v>
      </c>
      <c r="P56" s="333">
        <f t="shared" si="14"/>
        <v>54.14520000000001</v>
      </c>
      <c r="Q56" s="327">
        <f t="shared" si="15"/>
        <v>0</v>
      </c>
      <c r="R56" s="334">
        <f t="shared" si="16"/>
        <v>0</v>
      </c>
      <c r="S56" s="335">
        <f t="shared" si="4"/>
        <v>13.205023643611696</v>
      </c>
      <c r="T56" s="335">
        <f t="shared" si="5"/>
        <v>54.14520000000001</v>
      </c>
      <c r="U56" s="336">
        <f t="shared" si="6"/>
        <v>0</v>
      </c>
      <c r="V56" s="336">
        <f t="shared" si="7"/>
        <v>0</v>
      </c>
      <c r="W56" s="336">
        <f t="shared" si="8"/>
        <v>0</v>
      </c>
      <c r="X56" s="336">
        <f t="shared" si="9"/>
        <v>0</v>
      </c>
      <c r="Y56" s="320"/>
      <c r="Z56" s="321" t="str">
        <f t="shared" si="17"/>
        <v>X-EXC01A</v>
      </c>
      <c r="AA56" s="321" t="str">
        <f t="shared" si="18"/>
        <v>X-EXC01E</v>
      </c>
      <c r="AB56" s="321" t="str">
        <f t="shared" si="19"/>
        <v>X-EXC01M</v>
      </c>
      <c r="AC56" s="321" t="str">
        <f t="shared" si="20"/>
        <v>X-EXC01T</v>
      </c>
      <c r="AD56" s="321" t="str">
        <f t="shared" si="21"/>
        <v>X-EXC01S</v>
      </c>
      <c r="AE56" s="321" t="str">
        <f t="shared" si="22"/>
        <v>X-EXC01X</v>
      </c>
      <c r="AF56" s="321" t="str">
        <f t="shared" si="23"/>
        <v>X-EXC01E</v>
      </c>
      <c r="AG56" s="321">
        <f t="shared" si="10"/>
        <v>3</v>
      </c>
      <c r="AH56" s="321"/>
      <c r="AI56" s="321" t="str">
        <f t="shared" si="24"/>
        <v>X-EXC01</v>
      </c>
      <c r="AJ56" s="320"/>
      <c r="AK56" s="322">
        <f t="shared" si="11"/>
        <v>54</v>
      </c>
      <c r="AL56" s="323">
        <f t="shared" si="25"/>
        <v>56</v>
      </c>
      <c r="AM56" s="322">
        <f t="shared" si="26"/>
        <v>3</v>
      </c>
      <c r="AN56" s="381">
        <f t="shared" si="12"/>
        <v>2.5000000000000001E-2</v>
      </c>
      <c r="AO56" s="322"/>
    </row>
    <row r="57" spans="2:41">
      <c r="B57" s="324" t="s">
        <v>1402</v>
      </c>
      <c r="C57" s="325" t="s">
        <v>1410</v>
      </c>
      <c r="D57" s="326" t="s">
        <v>1411</v>
      </c>
      <c r="E57" s="327">
        <f>+SUMIF('AUX-NIV2'!I:I,'AUX-NIV3'!B57,'AUX-NIV2'!Q:Q)</f>
        <v>0</v>
      </c>
      <c r="F57" s="327">
        <f t="shared" si="1"/>
        <v>157.1824058108524</v>
      </c>
      <c r="G57" s="327">
        <f t="shared" si="2"/>
        <v>0</v>
      </c>
      <c r="H57" s="328" t="str">
        <f t="shared" si="28"/>
        <v>A</v>
      </c>
      <c r="I57" s="325" t="s">
        <v>3312</v>
      </c>
      <c r="J57" s="329" t="str">
        <f>IF(B57&lt;&gt;"",+VLOOKUP(I57,Recursos!C:F,2,FALSE),"")</f>
        <v>CHOFER</v>
      </c>
      <c r="K57" s="330" t="str">
        <f>IF(B57&lt;&gt;"",+VLOOKUP(I57,Recursos!C:F,3,FALSE),"")</f>
        <v>hh</v>
      </c>
      <c r="L57" s="327">
        <f>IF(B57&lt;&gt;"",+VLOOKUP(I57,Recursos!C:F,4,FALSE),"")</f>
        <v>496.91595439275824</v>
      </c>
      <c r="M57" s="331"/>
      <c r="N57" s="331">
        <v>1.2</v>
      </c>
      <c r="O57" s="332">
        <f>+N57*O58</f>
        <v>4.8000000000000001E-2</v>
      </c>
      <c r="P57" s="333">
        <f t="shared" si="14"/>
        <v>23.851965810852395</v>
      </c>
      <c r="Q57" s="327">
        <f t="shared" si="15"/>
        <v>0</v>
      </c>
      <c r="R57" s="334">
        <f t="shared" si="16"/>
        <v>0</v>
      </c>
      <c r="S57" s="335">
        <f t="shared" si="4"/>
        <v>23.851965810852395</v>
      </c>
      <c r="T57" s="335">
        <f t="shared" si="5"/>
        <v>133.33044000000001</v>
      </c>
      <c r="U57" s="336">
        <f t="shared" si="6"/>
        <v>0</v>
      </c>
      <c r="V57" s="336">
        <f t="shared" si="7"/>
        <v>0</v>
      </c>
      <c r="W57" s="336">
        <f t="shared" si="8"/>
        <v>0</v>
      </c>
      <c r="X57" s="336">
        <f t="shared" si="9"/>
        <v>0</v>
      </c>
      <c r="Y57" s="320"/>
      <c r="Z57" s="321" t="str">
        <f t="shared" si="17"/>
        <v>X-EXST1A</v>
      </c>
      <c r="AA57" s="321" t="str">
        <f t="shared" si="18"/>
        <v>X-EXST1E</v>
      </c>
      <c r="AB57" s="321" t="str">
        <f t="shared" si="19"/>
        <v>X-EXST1M</v>
      </c>
      <c r="AC57" s="321" t="str">
        <f t="shared" si="20"/>
        <v>X-EXST1T</v>
      </c>
      <c r="AD57" s="321" t="str">
        <f t="shared" si="21"/>
        <v>X-EXST1S</v>
      </c>
      <c r="AE57" s="321" t="str">
        <f t="shared" si="22"/>
        <v>X-EXST1X</v>
      </c>
      <c r="AF57" s="321" t="str">
        <f t="shared" si="23"/>
        <v>X-EXST1A</v>
      </c>
      <c r="AG57" s="321">
        <f t="shared" si="10"/>
        <v>2</v>
      </c>
      <c r="AH57" s="321"/>
      <c r="AI57" s="321" t="str">
        <f t="shared" si="24"/>
        <v>X-EXST1</v>
      </c>
      <c r="AJ57" s="320"/>
      <c r="AK57" s="322">
        <f t="shared" si="11"/>
        <v>57</v>
      </c>
      <c r="AL57" s="323">
        <f t="shared" si="25"/>
        <v>58</v>
      </c>
      <c r="AM57" s="322">
        <f t="shared" si="26"/>
        <v>1</v>
      </c>
      <c r="AN57" s="381">
        <f t="shared" si="12"/>
        <v>4.8000000000000001E-2</v>
      </c>
      <c r="AO57" s="322"/>
    </row>
    <row r="58" spans="2:41">
      <c r="B58" s="324" t="s">
        <v>1402</v>
      </c>
      <c r="C58" s="325" t="s">
        <v>1410</v>
      </c>
      <c r="D58" s="326" t="s">
        <v>1411</v>
      </c>
      <c r="E58" s="327">
        <f>+SUMIF('AUX-NIV2'!I:I,'AUX-NIV3'!B58,'AUX-NIV2'!Q:Q)</f>
        <v>0</v>
      </c>
      <c r="F58" s="327">
        <f t="shared" si="1"/>
        <v>157.1824058108524</v>
      </c>
      <c r="G58" s="327">
        <f t="shared" si="2"/>
        <v>0</v>
      </c>
      <c r="H58" s="328" t="str">
        <f>IF(B58&lt;&gt;"",+LEFT(I58,1),"")</f>
        <v>E</v>
      </c>
      <c r="I58" s="325" t="s">
        <v>1555</v>
      </c>
      <c r="J58" s="329" t="str">
        <f>IF(B58&lt;&gt;"",+VLOOKUP(I58,Recursos!C:F,2,FALSE),"")</f>
        <v>CAMION VOLCADOR 6x4 CAP. 24 T=15 m3</v>
      </c>
      <c r="K58" s="330" t="str">
        <f>IF(B58&lt;&gt;"",+VLOOKUP(I58,Recursos!C:F,3,FALSE),"")</f>
        <v>HR</v>
      </c>
      <c r="L58" s="327">
        <f>IF(B58&lt;&gt;"",+VLOOKUP(I58,Recursos!C:F,4,FALSE),"")</f>
        <v>3333.261</v>
      </c>
      <c r="M58" s="331">
        <v>1</v>
      </c>
      <c r="N58" s="331">
        <v>25</v>
      </c>
      <c r="O58" s="332">
        <f>+M58/N58</f>
        <v>0.04</v>
      </c>
      <c r="P58" s="333">
        <f t="shared" si="14"/>
        <v>133.33044000000001</v>
      </c>
      <c r="Q58" s="327">
        <f t="shared" si="15"/>
        <v>0</v>
      </c>
      <c r="R58" s="334">
        <f t="shared" si="16"/>
        <v>0</v>
      </c>
      <c r="S58" s="335">
        <f t="shared" si="4"/>
        <v>23.851965810852395</v>
      </c>
      <c r="T58" s="335">
        <f t="shared" si="5"/>
        <v>133.33044000000001</v>
      </c>
      <c r="U58" s="336">
        <f t="shared" si="6"/>
        <v>0</v>
      </c>
      <c r="V58" s="336">
        <f t="shared" si="7"/>
        <v>0</v>
      </c>
      <c r="W58" s="336">
        <f t="shared" si="8"/>
        <v>0</v>
      </c>
      <c r="X58" s="336">
        <f t="shared" si="9"/>
        <v>0</v>
      </c>
      <c r="Y58" s="320"/>
      <c r="Z58" s="321" t="str">
        <f t="shared" si="17"/>
        <v>X-EXST1A</v>
      </c>
      <c r="AA58" s="321" t="str">
        <f t="shared" si="18"/>
        <v>X-EXST1E</v>
      </c>
      <c r="AB58" s="321" t="str">
        <f t="shared" si="19"/>
        <v>X-EXST1M</v>
      </c>
      <c r="AC58" s="321" t="str">
        <f t="shared" si="20"/>
        <v>X-EXST1T</v>
      </c>
      <c r="AD58" s="321" t="str">
        <f t="shared" si="21"/>
        <v>X-EXST1S</v>
      </c>
      <c r="AE58" s="321" t="str">
        <f t="shared" si="22"/>
        <v>X-EXST1X</v>
      </c>
      <c r="AF58" s="321" t="str">
        <f t="shared" si="23"/>
        <v>X-EXST1E</v>
      </c>
      <c r="AG58" s="321">
        <f t="shared" si="10"/>
        <v>2</v>
      </c>
      <c r="AH58" s="321"/>
      <c r="AI58" s="321" t="str">
        <f t="shared" si="24"/>
        <v>X-EXST1</v>
      </c>
      <c r="AJ58" s="320"/>
      <c r="AK58" s="322">
        <f t="shared" si="11"/>
        <v>57</v>
      </c>
      <c r="AL58" s="323">
        <f t="shared" si="25"/>
        <v>58</v>
      </c>
      <c r="AM58" s="322">
        <f t="shared" si="26"/>
        <v>2</v>
      </c>
      <c r="AN58" s="381">
        <f t="shared" si="12"/>
        <v>4.8000000000000001E-2</v>
      </c>
      <c r="AO58" s="322"/>
    </row>
    <row r="59" spans="2:41">
      <c r="B59" s="324" t="s">
        <v>1403</v>
      </c>
      <c r="C59" s="325" t="s">
        <v>1412</v>
      </c>
      <c r="D59" s="326" t="s">
        <v>1160</v>
      </c>
      <c r="E59" s="327">
        <f>+SUMIF('AUX-NIV2'!I:I,'AUX-NIV3'!B59,'AUX-NIV2'!Q:Q)</f>
        <v>0</v>
      </c>
      <c r="F59" s="327">
        <f t="shared" si="1"/>
        <v>57.570145638146933</v>
      </c>
      <c r="G59" s="327">
        <f t="shared" si="2"/>
        <v>0</v>
      </c>
      <c r="H59" s="328" t="str">
        <f t="shared" si="28"/>
        <v>A</v>
      </c>
      <c r="I59" s="325" t="s">
        <v>3311</v>
      </c>
      <c r="J59" s="329" t="str">
        <f>IF(B59&lt;&gt;"",+VLOOKUP(I59,Recursos!C:F,2,FALSE),"")</f>
        <v>OPER. EQUIPO</v>
      </c>
      <c r="K59" s="330" t="str">
        <f>IF(B59&lt;&gt;"",+VLOOKUP(I59,Recursos!C:F,3,FALSE),"")</f>
        <v>hh</v>
      </c>
      <c r="L59" s="327">
        <f>IF(B59&lt;&gt;"",+VLOOKUP(I59,Recursos!C:F,4,FALSE),"")</f>
        <v>581.06120476836554</v>
      </c>
      <c r="M59" s="416"/>
      <c r="N59" s="416"/>
      <c r="O59" s="332">
        <f>+O60</f>
        <v>8.0000000000000002E-3</v>
      </c>
      <c r="P59" s="333">
        <f t="shared" si="14"/>
        <v>4.6484896381469243</v>
      </c>
      <c r="Q59" s="327">
        <f t="shared" si="15"/>
        <v>0</v>
      </c>
      <c r="R59" s="334">
        <f t="shared" si="16"/>
        <v>0</v>
      </c>
      <c r="S59" s="335">
        <f t="shared" si="4"/>
        <v>4.6484896381469243</v>
      </c>
      <c r="T59" s="335">
        <f t="shared" si="5"/>
        <v>52.921656000000006</v>
      </c>
      <c r="U59" s="336">
        <f t="shared" si="6"/>
        <v>0</v>
      </c>
      <c r="V59" s="336">
        <f t="shared" si="7"/>
        <v>0</v>
      </c>
      <c r="W59" s="336">
        <f t="shared" si="8"/>
        <v>0</v>
      </c>
      <c r="X59" s="336">
        <f t="shared" si="9"/>
        <v>0</v>
      </c>
      <c r="Y59" s="320"/>
      <c r="Z59" s="321" t="str">
        <f t="shared" si="17"/>
        <v>X-EXC03A</v>
      </c>
      <c r="AA59" s="321" t="str">
        <f t="shared" si="18"/>
        <v>X-EXC03E</v>
      </c>
      <c r="AB59" s="321" t="str">
        <f t="shared" si="19"/>
        <v>X-EXC03M</v>
      </c>
      <c r="AC59" s="321" t="str">
        <f t="shared" si="20"/>
        <v>X-EXC03T</v>
      </c>
      <c r="AD59" s="321" t="str">
        <f t="shared" si="21"/>
        <v>X-EXC03S</v>
      </c>
      <c r="AE59" s="321" t="str">
        <f t="shared" si="22"/>
        <v>X-EXC03X</v>
      </c>
      <c r="AF59" s="321" t="str">
        <f t="shared" si="23"/>
        <v>X-EXC03A</v>
      </c>
      <c r="AG59" s="321">
        <f t="shared" si="10"/>
        <v>2</v>
      </c>
      <c r="AH59" s="321"/>
      <c r="AI59" s="321" t="str">
        <f t="shared" si="24"/>
        <v>X-EXC03</v>
      </c>
      <c r="AJ59" s="320"/>
      <c r="AK59" s="322">
        <f t="shared" si="11"/>
        <v>59</v>
      </c>
      <c r="AL59" s="323">
        <f t="shared" si="25"/>
        <v>60</v>
      </c>
      <c r="AM59" s="322">
        <f t="shared" si="26"/>
        <v>1</v>
      </c>
      <c r="AN59" s="381">
        <f t="shared" si="12"/>
        <v>8.0000000000000002E-3</v>
      </c>
      <c r="AO59" s="322"/>
    </row>
    <row r="60" spans="2:41">
      <c r="B60" s="324" t="s">
        <v>1403</v>
      </c>
      <c r="C60" s="325" t="s">
        <v>1412</v>
      </c>
      <c r="D60" s="326" t="s">
        <v>1160</v>
      </c>
      <c r="E60" s="327">
        <f>+SUMIF('AUX-NIV2'!I:I,'AUX-NIV3'!B60,'AUX-NIV2'!Q:Q)</f>
        <v>0</v>
      </c>
      <c r="F60" s="327">
        <f t="shared" si="1"/>
        <v>57.570145638146933</v>
      </c>
      <c r="G60" s="327">
        <f t="shared" si="2"/>
        <v>0</v>
      </c>
      <c r="H60" s="328" t="str">
        <f t="shared" si="28"/>
        <v>E</v>
      </c>
      <c r="I60" s="325" t="s">
        <v>1537</v>
      </c>
      <c r="J60" s="329" t="str">
        <f>IF(B60&lt;&gt;"",+VLOOKUP(I60,Recursos!C:F,2,FALSE),"")</f>
        <v xml:space="preserve">TOPADORA SIN ESC.(34 T) </v>
      </c>
      <c r="K60" s="330" t="str">
        <f>IF(B60&lt;&gt;"",+VLOOKUP(I60,Recursos!C:F,3,FALSE),"")</f>
        <v>HR</v>
      </c>
      <c r="L60" s="327">
        <f>IF(B60&lt;&gt;"",+VLOOKUP(I60,Recursos!C:F,4,FALSE),"")</f>
        <v>6615.2070000000003</v>
      </c>
      <c r="M60" s="416">
        <v>1</v>
      </c>
      <c r="N60" s="416">
        <v>125</v>
      </c>
      <c r="O60" s="332">
        <f>+M60/N60</f>
        <v>8.0000000000000002E-3</v>
      </c>
      <c r="P60" s="333">
        <f t="shared" si="14"/>
        <v>52.921656000000006</v>
      </c>
      <c r="Q60" s="327">
        <f t="shared" si="15"/>
        <v>0</v>
      </c>
      <c r="R60" s="334">
        <f t="shared" si="16"/>
        <v>0</v>
      </c>
      <c r="S60" s="335">
        <f t="shared" si="4"/>
        <v>4.6484896381469243</v>
      </c>
      <c r="T60" s="335">
        <f t="shared" si="5"/>
        <v>52.921656000000006</v>
      </c>
      <c r="U60" s="336">
        <f t="shared" si="6"/>
        <v>0</v>
      </c>
      <c r="V60" s="336">
        <f t="shared" si="7"/>
        <v>0</v>
      </c>
      <c r="W60" s="336">
        <f t="shared" si="8"/>
        <v>0</v>
      </c>
      <c r="X60" s="336">
        <f t="shared" si="9"/>
        <v>0</v>
      </c>
      <c r="Y60" s="320"/>
      <c r="Z60" s="321" t="str">
        <f t="shared" si="17"/>
        <v>X-EXC03A</v>
      </c>
      <c r="AA60" s="321" t="str">
        <f t="shared" si="18"/>
        <v>X-EXC03E</v>
      </c>
      <c r="AB60" s="321" t="str">
        <f t="shared" si="19"/>
        <v>X-EXC03M</v>
      </c>
      <c r="AC60" s="321" t="str">
        <f t="shared" si="20"/>
        <v>X-EXC03T</v>
      </c>
      <c r="AD60" s="321" t="str">
        <f t="shared" si="21"/>
        <v>X-EXC03S</v>
      </c>
      <c r="AE60" s="321" t="str">
        <f t="shared" si="22"/>
        <v>X-EXC03X</v>
      </c>
      <c r="AF60" s="321" t="str">
        <f t="shared" si="23"/>
        <v>X-EXC03E</v>
      </c>
      <c r="AG60" s="321">
        <f t="shared" si="10"/>
        <v>2</v>
      </c>
      <c r="AH60" s="321"/>
      <c r="AI60" s="321" t="str">
        <f t="shared" si="24"/>
        <v>X-EXC03</v>
      </c>
      <c r="AJ60" s="320"/>
      <c r="AK60" s="322">
        <f t="shared" si="11"/>
        <v>59</v>
      </c>
      <c r="AL60" s="323">
        <f t="shared" si="25"/>
        <v>60</v>
      </c>
      <c r="AM60" s="322">
        <f t="shared" si="26"/>
        <v>2</v>
      </c>
      <c r="AN60" s="381">
        <f t="shared" si="12"/>
        <v>8.0000000000000002E-3</v>
      </c>
      <c r="AO60" s="322"/>
    </row>
    <row r="61" spans="2:41">
      <c r="B61" s="324" t="s">
        <v>1404</v>
      </c>
      <c r="C61" s="325" t="s">
        <v>1413</v>
      </c>
      <c r="D61" s="326" t="s">
        <v>1411</v>
      </c>
      <c r="E61" s="327">
        <f>+SUMIF('AUX-NIV2'!I:I,'AUX-NIV3'!B61,'AUX-NIV2'!Q:Q)</f>
        <v>0</v>
      </c>
      <c r="F61" s="327">
        <f t="shared" si="1"/>
        <v>56.971255567769411</v>
      </c>
      <c r="G61" s="327">
        <f t="shared" si="2"/>
        <v>0</v>
      </c>
      <c r="H61" s="328" t="str">
        <f t="shared" si="28"/>
        <v>A</v>
      </c>
      <c r="I61" s="325" t="s">
        <v>3311</v>
      </c>
      <c r="J61" s="329" t="str">
        <f>IF(B61&lt;&gt;"",+VLOOKUP(I61,Recursos!C:F,2,FALSE),"")</f>
        <v>OPER. EQUIPO</v>
      </c>
      <c r="K61" s="330" t="str">
        <f>IF(B61&lt;&gt;"",+VLOOKUP(I61,Recursos!C:F,3,FALSE),"")</f>
        <v>hh</v>
      </c>
      <c r="L61" s="327">
        <f>IF(B61&lt;&gt;"",+VLOOKUP(I61,Recursos!C:F,4,FALSE),"")</f>
        <v>581.06120476836554</v>
      </c>
      <c r="M61" s="331"/>
      <c r="N61" s="331"/>
      <c r="O61" s="332">
        <f>+O63</f>
        <v>5.0000000000000001E-3</v>
      </c>
      <c r="P61" s="333">
        <f t="shared" si="14"/>
        <v>2.9053060238418276</v>
      </c>
      <c r="Q61" s="327">
        <f t="shared" si="15"/>
        <v>0</v>
      </c>
      <c r="R61" s="334">
        <f t="shared" si="16"/>
        <v>0</v>
      </c>
      <c r="S61" s="335">
        <f t="shared" si="4"/>
        <v>7.87446556776941</v>
      </c>
      <c r="T61" s="335">
        <f t="shared" si="5"/>
        <v>49.096789999999999</v>
      </c>
      <c r="U61" s="336">
        <f t="shared" si="6"/>
        <v>0</v>
      </c>
      <c r="V61" s="336">
        <f t="shared" si="7"/>
        <v>0</v>
      </c>
      <c r="W61" s="336">
        <f t="shared" si="8"/>
        <v>0</v>
      </c>
      <c r="X61" s="336">
        <f t="shared" si="9"/>
        <v>0</v>
      </c>
      <c r="Y61" s="320"/>
      <c r="Z61" s="321" t="str">
        <f t="shared" si="17"/>
        <v>X-EXST3A</v>
      </c>
      <c r="AA61" s="321" t="str">
        <f t="shared" si="18"/>
        <v>X-EXST3E</v>
      </c>
      <c r="AB61" s="321" t="str">
        <f t="shared" si="19"/>
        <v>X-EXST3M</v>
      </c>
      <c r="AC61" s="321" t="str">
        <f t="shared" si="20"/>
        <v>X-EXST3T</v>
      </c>
      <c r="AD61" s="321" t="str">
        <f t="shared" si="21"/>
        <v>X-EXST3S</v>
      </c>
      <c r="AE61" s="321" t="str">
        <f t="shared" si="22"/>
        <v>X-EXST3X</v>
      </c>
      <c r="AF61" s="321" t="str">
        <f t="shared" si="23"/>
        <v>X-EXST3A</v>
      </c>
      <c r="AG61" s="321">
        <f t="shared" si="10"/>
        <v>4</v>
      </c>
      <c r="AH61" s="321"/>
      <c r="AI61" s="321" t="str">
        <f t="shared" si="24"/>
        <v>X-EXST3</v>
      </c>
      <c r="AJ61" s="320"/>
      <c r="AK61" s="322">
        <f t="shared" si="11"/>
        <v>61</v>
      </c>
      <c r="AL61" s="323">
        <f t="shared" si="25"/>
        <v>64</v>
      </c>
      <c r="AM61" s="322">
        <f t="shared" si="26"/>
        <v>1</v>
      </c>
      <c r="AN61" s="381">
        <f t="shared" si="12"/>
        <v>1.4999999999999999E-2</v>
      </c>
      <c r="AO61" s="322"/>
    </row>
    <row r="62" spans="2:41">
      <c r="B62" s="324" t="s">
        <v>1404</v>
      </c>
      <c r="C62" s="325" t="s">
        <v>1413</v>
      </c>
      <c r="D62" s="326" t="s">
        <v>1411</v>
      </c>
      <c r="E62" s="327">
        <f>+SUMIF('AUX-NIV2'!I:I,'AUX-NIV3'!B62,'AUX-NIV2'!Q:Q)</f>
        <v>0</v>
      </c>
      <c r="F62" s="327">
        <f t="shared" si="1"/>
        <v>56.971255567769411</v>
      </c>
      <c r="G62" s="327">
        <f t="shared" si="2"/>
        <v>0</v>
      </c>
      <c r="H62" s="328" t="str">
        <f>IF(B62&lt;&gt;"",+LEFT(I62,1),"")</f>
        <v>A</v>
      </c>
      <c r="I62" s="325" t="s">
        <v>3312</v>
      </c>
      <c r="J62" s="329" t="str">
        <f>IF(B62&lt;&gt;"",+VLOOKUP(I62,Recursos!C:F,2,FALSE),"")</f>
        <v>CHOFER</v>
      </c>
      <c r="K62" s="330" t="str">
        <f>IF(B62&lt;&gt;"",+VLOOKUP(I62,Recursos!C:F,3,FALSE),"")</f>
        <v>hh</v>
      </c>
      <c r="L62" s="327">
        <f>IF(B62&lt;&gt;"",+VLOOKUP(I62,Recursos!C:F,4,FALSE),"")</f>
        <v>496.91595439275824</v>
      </c>
      <c r="M62" s="331"/>
      <c r="N62" s="331"/>
      <c r="O62" s="332">
        <f>+O64</f>
        <v>0.01</v>
      </c>
      <c r="P62" s="333">
        <f t="shared" si="14"/>
        <v>4.9691595439275824</v>
      </c>
      <c r="Q62" s="327">
        <f t="shared" si="15"/>
        <v>0</v>
      </c>
      <c r="R62" s="334">
        <f t="shared" si="16"/>
        <v>0</v>
      </c>
      <c r="S62" s="335">
        <f t="shared" si="4"/>
        <v>7.87446556776941</v>
      </c>
      <c r="T62" s="335">
        <f t="shared" si="5"/>
        <v>49.096789999999999</v>
      </c>
      <c r="U62" s="336">
        <f t="shared" si="6"/>
        <v>0</v>
      </c>
      <c r="V62" s="336">
        <f t="shared" si="7"/>
        <v>0</v>
      </c>
      <c r="W62" s="336">
        <f t="shared" si="8"/>
        <v>0</v>
      </c>
      <c r="X62" s="336">
        <f t="shared" si="9"/>
        <v>0</v>
      </c>
      <c r="Y62" s="320"/>
      <c r="Z62" s="321" t="str">
        <f t="shared" si="17"/>
        <v>X-EXST3A</v>
      </c>
      <c r="AA62" s="321" t="str">
        <f t="shared" si="18"/>
        <v>X-EXST3E</v>
      </c>
      <c r="AB62" s="321" t="str">
        <f t="shared" si="19"/>
        <v>X-EXST3M</v>
      </c>
      <c r="AC62" s="321" t="str">
        <f t="shared" si="20"/>
        <v>X-EXST3T</v>
      </c>
      <c r="AD62" s="321" t="str">
        <f t="shared" si="21"/>
        <v>X-EXST3S</v>
      </c>
      <c r="AE62" s="321" t="str">
        <f t="shared" si="22"/>
        <v>X-EXST3X</v>
      </c>
      <c r="AF62" s="321" t="str">
        <f t="shared" si="23"/>
        <v>X-EXST3A</v>
      </c>
      <c r="AG62" s="321">
        <f t="shared" si="10"/>
        <v>4</v>
      </c>
      <c r="AH62" s="321"/>
      <c r="AI62" s="321" t="str">
        <f t="shared" si="24"/>
        <v>X-EXST3</v>
      </c>
      <c r="AJ62" s="320"/>
      <c r="AK62" s="322">
        <f t="shared" si="11"/>
        <v>61</v>
      </c>
      <c r="AL62" s="323">
        <f t="shared" si="25"/>
        <v>64</v>
      </c>
      <c r="AM62" s="322">
        <f t="shared" si="26"/>
        <v>2</v>
      </c>
      <c r="AN62" s="381">
        <f t="shared" si="12"/>
        <v>1.4999999999999999E-2</v>
      </c>
      <c r="AO62" s="322"/>
    </row>
    <row r="63" spans="2:41">
      <c r="B63" s="324" t="s">
        <v>1404</v>
      </c>
      <c r="C63" s="325" t="s">
        <v>1413</v>
      </c>
      <c r="D63" s="326" t="s">
        <v>1411</v>
      </c>
      <c r="E63" s="327">
        <f>+SUMIF('AUX-NIV2'!I:I,'AUX-NIV3'!B63,'AUX-NIV2'!Q:Q)</f>
        <v>0</v>
      </c>
      <c r="F63" s="327">
        <f t="shared" si="1"/>
        <v>56.971255567769411</v>
      </c>
      <c r="G63" s="327">
        <f t="shared" si="2"/>
        <v>0</v>
      </c>
      <c r="H63" s="328" t="str">
        <f>IF(B63&lt;&gt;"",+LEFT(I63,1),"")</f>
        <v>E</v>
      </c>
      <c r="I63" s="325" t="s">
        <v>1542</v>
      </c>
      <c r="J63" s="329" t="str">
        <f>IF(B63&lt;&gt;"",+VLOOKUP(I63,Recursos!C:F,2,FALSE),"")</f>
        <v>CARGADOR FRONTAL S/NEUM. (2,30 M3)</v>
      </c>
      <c r="K63" s="330" t="str">
        <f>IF(B63&lt;&gt;"",+VLOOKUP(I63,Recursos!C:F,3,FALSE),"")</f>
        <v>HR</v>
      </c>
      <c r="L63" s="327">
        <f>IF(B63&lt;&gt;"",+VLOOKUP(I63,Recursos!C:F,4,FALSE),"")</f>
        <v>3152.8359999999998</v>
      </c>
      <c r="M63" s="331"/>
      <c r="N63" s="331"/>
      <c r="O63" s="332">
        <f>0.5*O64</f>
        <v>5.0000000000000001E-3</v>
      </c>
      <c r="P63" s="333">
        <f t="shared" si="14"/>
        <v>15.76418</v>
      </c>
      <c r="Q63" s="327">
        <f t="shared" si="15"/>
        <v>0</v>
      </c>
      <c r="R63" s="334">
        <f t="shared" si="16"/>
        <v>0</v>
      </c>
      <c r="S63" s="335">
        <f t="shared" si="4"/>
        <v>7.87446556776941</v>
      </c>
      <c r="T63" s="335">
        <f t="shared" si="5"/>
        <v>49.096789999999999</v>
      </c>
      <c r="U63" s="336">
        <f t="shared" si="6"/>
        <v>0</v>
      </c>
      <c r="V63" s="336">
        <f t="shared" si="7"/>
        <v>0</v>
      </c>
      <c r="W63" s="336">
        <f t="shared" si="8"/>
        <v>0</v>
      </c>
      <c r="X63" s="336">
        <f t="shared" si="9"/>
        <v>0</v>
      </c>
      <c r="Y63" s="320"/>
      <c r="Z63" s="321" t="str">
        <f t="shared" si="17"/>
        <v>X-EXST3A</v>
      </c>
      <c r="AA63" s="321" t="str">
        <f t="shared" si="18"/>
        <v>X-EXST3E</v>
      </c>
      <c r="AB63" s="321" t="str">
        <f t="shared" si="19"/>
        <v>X-EXST3M</v>
      </c>
      <c r="AC63" s="321" t="str">
        <f t="shared" si="20"/>
        <v>X-EXST3T</v>
      </c>
      <c r="AD63" s="321" t="str">
        <f t="shared" si="21"/>
        <v>X-EXST3S</v>
      </c>
      <c r="AE63" s="321" t="str">
        <f t="shared" si="22"/>
        <v>X-EXST3X</v>
      </c>
      <c r="AF63" s="321" t="str">
        <f t="shared" si="23"/>
        <v>X-EXST3E</v>
      </c>
      <c r="AG63" s="321">
        <f t="shared" si="10"/>
        <v>4</v>
      </c>
      <c r="AH63" s="321"/>
      <c r="AI63" s="321" t="str">
        <f t="shared" si="24"/>
        <v>X-EXST3</v>
      </c>
      <c r="AJ63" s="320"/>
      <c r="AK63" s="322">
        <f t="shared" si="11"/>
        <v>61</v>
      </c>
      <c r="AL63" s="323">
        <f t="shared" si="25"/>
        <v>64</v>
      </c>
      <c r="AM63" s="322">
        <f t="shared" si="26"/>
        <v>3</v>
      </c>
      <c r="AN63" s="381">
        <f t="shared" si="12"/>
        <v>1.4999999999999999E-2</v>
      </c>
      <c r="AO63" s="322"/>
    </row>
    <row r="64" spans="2:41">
      <c r="B64" s="324" t="s">
        <v>1404</v>
      </c>
      <c r="C64" s="325" t="s">
        <v>1413</v>
      </c>
      <c r="D64" s="326" t="s">
        <v>1411</v>
      </c>
      <c r="E64" s="327">
        <f>+SUMIF('AUX-NIV2'!I:I,'AUX-NIV3'!B64,'AUX-NIV2'!Q:Q)</f>
        <v>0</v>
      </c>
      <c r="F64" s="327">
        <f t="shared" si="1"/>
        <v>56.971255567769411</v>
      </c>
      <c r="G64" s="327">
        <f t="shared" si="2"/>
        <v>0</v>
      </c>
      <c r="H64" s="328" t="str">
        <f t="shared" si="28"/>
        <v>E</v>
      </c>
      <c r="I64" s="325" t="s">
        <v>1555</v>
      </c>
      <c r="J64" s="329" t="str">
        <f>IF(B64&lt;&gt;"",+VLOOKUP(I64,Recursos!C:F,2,FALSE),"")</f>
        <v>CAMION VOLCADOR 6x4 CAP. 24 T=15 m3</v>
      </c>
      <c r="K64" s="330" t="str">
        <f>IF(B64&lt;&gt;"",+VLOOKUP(I64,Recursos!C:F,3,FALSE),"")</f>
        <v>HR</v>
      </c>
      <c r="L64" s="327">
        <f>IF(B64&lt;&gt;"",+VLOOKUP(I64,Recursos!C:F,4,FALSE),"")</f>
        <v>3333.261</v>
      </c>
      <c r="M64" s="331">
        <v>1</v>
      </c>
      <c r="N64" s="331">
        <v>100</v>
      </c>
      <c r="O64" s="332">
        <f>+M64/N64</f>
        <v>0.01</v>
      </c>
      <c r="P64" s="333">
        <f t="shared" si="14"/>
        <v>33.332610000000003</v>
      </c>
      <c r="Q64" s="327">
        <f t="shared" si="15"/>
        <v>0</v>
      </c>
      <c r="R64" s="334">
        <f t="shared" si="16"/>
        <v>0</v>
      </c>
      <c r="S64" s="335">
        <f t="shared" si="4"/>
        <v>7.87446556776941</v>
      </c>
      <c r="T64" s="335">
        <f t="shared" si="5"/>
        <v>49.096789999999999</v>
      </c>
      <c r="U64" s="336">
        <f t="shared" si="6"/>
        <v>0</v>
      </c>
      <c r="V64" s="336">
        <f t="shared" si="7"/>
        <v>0</v>
      </c>
      <c r="W64" s="336">
        <f t="shared" si="8"/>
        <v>0</v>
      </c>
      <c r="X64" s="336">
        <f t="shared" si="9"/>
        <v>0</v>
      </c>
      <c r="Y64" s="320"/>
      <c r="Z64" s="321" t="str">
        <f t="shared" si="17"/>
        <v>X-EXST3A</v>
      </c>
      <c r="AA64" s="321" t="str">
        <f t="shared" si="18"/>
        <v>X-EXST3E</v>
      </c>
      <c r="AB64" s="321" t="str">
        <f t="shared" si="19"/>
        <v>X-EXST3M</v>
      </c>
      <c r="AC64" s="321" t="str">
        <f t="shared" si="20"/>
        <v>X-EXST3T</v>
      </c>
      <c r="AD64" s="321" t="str">
        <f t="shared" si="21"/>
        <v>X-EXST3S</v>
      </c>
      <c r="AE64" s="321" t="str">
        <f t="shared" si="22"/>
        <v>X-EXST3X</v>
      </c>
      <c r="AF64" s="321" t="str">
        <f t="shared" si="23"/>
        <v>X-EXST3E</v>
      </c>
      <c r="AG64" s="321">
        <f t="shared" si="10"/>
        <v>4</v>
      </c>
      <c r="AH64" s="321"/>
      <c r="AI64" s="321" t="str">
        <f t="shared" si="24"/>
        <v>X-EXST3</v>
      </c>
      <c r="AJ64" s="320"/>
      <c r="AK64" s="322">
        <f t="shared" si="11"/>
        <v>61</v>
      </c>
      <c r="AL64" s="323">
        <f t="shared" si="25"/>
        <v>64</v>
      </c>
      <c r="AM64" s="322">
        <f t="shared" si="26"/>
        <v>4</v>
      </c>
      <c r="AN64" s="381">
        <f t="shared" si="12"/>
        <v>1.4999999999999999E-2</v>
      </c>
      <c r="AO64" s="322"/>
    </row>
    <row r="65" spans="2:42">
      <c r="B65" s="324" t="s">
        <v>1405</v>
      </c>
      <c r="C65" s="325" t="s">
        <v>1414</v>
      </c>
      <c r="D65" s="326" t="s">
        <v>1384</v>
      </c>
      <c r="E65" s="327">
        <f>+SUMIF('AUX-NIV2'!I:I,'AUX-NIV3'!B65,'AUX-NIV2'!Q:Q)</f>
        <v>0</v>
      </c>
      <c r="F65" s="327">
        <f t="shared" si="1"/>
        <v>123.4584736436117</v>
      </c>
      <c r="G65" s="327">
        <f t="shared" si="2"/>
        <v>0</v>
      </c>
      <c r="H65" s="328" t="str">
        <f t="shared" si="28"/>
        <v>A</v>
      </c>
      <c r="I65" s="325" t="s">
        <v>1745</v>
      </c>
      <c r="J65" s="329" t="str">
        <f>IF(B65&lt;&gt;"",+VLOOKUP(I65,Recursos!C:F,2,FALSE),"")</f>
        <v>AYUDANTE</v>
      </c>
      <c r="K65" s="330" t="str">
        <f>IF(B65&lt;&gt;"",+VLOOKUP(I65,Recursos!C:F,3,FALSE),"")</f>
        <v>hh</v>
      </c>
      <c r="L65" s="327">
        <f>IF(B65&lt;&gt;"",+VLOOKUP(I65,Recursos!C:F,4,FALSE),"")</f>
        <v>422.48042769667234</v>
      </c>
      <c r="M65" s="416"/>
      <c r="N65" s="416"/>
      <c r="O65" s="332">
        <f>0.5*O66</f>
        <v>8.3333333333333332E-3</v>
      </c>
      <c r="P65" s="333">
        <f t="shared" si="14"/>
        <v>3.5206702308056026</v>
      </c>
      <c r="Q65" s="327">
        <f t="shared" si="15"/>
        <v>0</v>
      </c>
      <c r="R65" s="334">
        <f t="shared" si="16"/>
        <v>0</v>
      </c>
      <c r="S65" s="335">
        <f t="shared" si="4"/>
        <v>13.205023643611696</v>
      </c>
      <c r="T65" s="335">
        <f t="shared" si="5"/>
        <v>110.25345</v>
      </c>
      <c r="U65" s="336">
        <f t="shared" si="6"/>
        <v>0</v>
      </c>
      <c r="V65" s="336">
        <f t="shared" si="7"/>
        <v>0</v>
      </c>
      <c r="W65" s="336">
        <f t="shared" si="8"/>
        <v>0</v>
      </c>
      <c r="X65" s="336">
        <f t="shared" si="9"/>
        <v>0</v>
      </c>
      <c r="Y65" s="320"/>
      <c r="Z65" s="321" t="str">
        <f t="shared" si="17"/>
        <v>X-EXRD8A</v>
      </c>
      <c r="AA65" s="321" t="str">
        <f t="shared" si="18"/>
        <v>X-EXRD8E</v>
      </c>
      <c r="AB65" s="321" t="str">
        <f t="shared" si="19"/>
        <v>X-EXRD8M</v>
      </c>
      <c r="AC65" s="321" t="str">
        <f t="shared" si="20"/>
        <v>X-EXRD8T</v>
      </c>
      <c r="AD65" s="321" t="str">
        <f t="shared" si="21"/>
        <v>X-EXRD8S</v>
      </c>
      <c r="AE65" s="321" t="str">
        <f t="shared" si="22"/>
        <v>X-EXRD8X</v>
      </c>
      <c r="AF65" s="321" t="str">
        <f t="shared" si="23"/>
        <v>X-EXRD8A</v>
      </c>
      <c r="AG65" s="321">
        <f t="shared" si="10"/>
        <v>3</v>
      </c>
      <c r="AH65" s="321"/>
      <c r="AI65" s="321" t="str">
        <f t="shared" si="24"/>
        <v>X-EXRD8</v>
      </c>
      <c r="AJ65" s="320"/>
      <c r="AK65" s="322">
        <f t="shared" si="11"/>
        <v>65</v>
      </c>
      <c r="AL65" s="323">
        <f t="shared" si="25"/>
        <v>67</v>
      </c>
      <c r="AM65" s="322">
        <f t="shared" si="26"/>
        <v>1</v>
      </c>
      <c r="AN65" s="381">
        <f t="shared" si="12"/>
        <v>2.5000000000000001E-2</v>
      </c>
      <c r="AO65" s="322"/>
    </row>
    <row r="66" spans="2:42">
      <c r="B66" s="324" t="s">
        <v>1405</v>
      </c>
      <c r="C66" s="325" t="s">
        <v>1414</v>
      </c>
      <c r="D66" s="326" t="s">
        <v>1384</v>
      </c>
      <c r="E66" s="327">
        <f>+SUMIF('AUX-NIV2'!I:I,'AUX-NIV3'!B66,'AUX-NIV2'!Q:Q)</f>
        <v>0</v>
      </c>
      <c r="F66" s="327">
        <f t="shared" si="1"/>
        <v>123.4584736436117</v>
      </c>
      <c r="G66" s="327">
        <f t="shared" si="2"/>
        <v>0</v>
      </c>
      <c r="H66" s="328" t="str">
        <f t="shared" ref="H66:H88" si="29">IF(B66&lt;&gt;"",+LEFT(I66,1),"")</f>
        <v>A</v>
      </c>
      <c r="I66" s="325" t="s">
        <v>3311</v>
      </c>
      <c r="J66" s="329" t="str">
        <f>IF(B66&lt;&gt;"",+VLOOKUP(I66,Recursos!C:F,2,FALSE),"")</f>
        <v>OPER. EQUIPO</v>
      </c>
      <c r="K66" s="330" t="str">
        <f>IF(B66&lt;&gt;"",+VLOOKUP(I66,Recursos!C:F,3,FALSE),"")</f>
        <v>hh</v>
      </c>
      <c r="L66" s="327">
        <f>IF(B66&lt;&gt;"",+VLOOKUP(I66,Recursos!C:F,4,FALSE),"")</f>
        <v>581.06120476836554</v>
      </c>
      <c r="M66" s="416"/>
      <c r="N66" s="416"/>
      <c r="O66" s="332">
        <f>+O67</f>
        <v>1.6666666666666666E-2</v>
      </c>
      <c r="P66" s="333">
        <f t="shared" si="14"/>
        <v>9.6843534128060931</v>
      </c>
      <c r="Q66" s="327">
        <f t="shared" si="15"/>
        <v>0</v>
      </c>
      <c r="R66" s="334">
        <f t="shared" si="16"/>
        <v>0</v>
      </c>
      <c r="S66" s="335">
        <f t="shared" si="4"/>
        <v>13.205023643611696</v>
      </c>
      <c r="T66" s="335">
        <f t="shared" si="5"/>
        <v>110.25345</v>
      </c>
      <c r="U66" s="336">
        <f t="shared" si="6"/>
        <v>0</v>
      </c>
      <c r="V66" s="336">
        <f t="shared" si="7"/>
        <v>0</v>
      </c>
      <c r="W66" s="336">
        <f t="shared" si="8"/>
        <v>0</v>
      </c>
      <c r="X66" s="336">
        <f t="shared" si="9"/>
        <v>0</v>
      </c>
      <c r="Y66" s="320"/>
      <c r="Z66" s="321" t="str">
        <f t="shared" si="17"/>
        <v>X-EXRD8A</v>
      </c>
      <c r="AA66" s="321" t="str">
        <f t="shared" si="18"/>
        <v>X-EXRD8E</v>
      </c>
      <c r="AB66" s="321" t="str">
        <f t="shared" si="19"/>
        <v>X-EXRD8M</v>
      </c>
      <c r="AC66" s="321" t="str">
        <f t="shared" si="20"/>
        <v>X-EXRD8T</v>
      </c>
      <c r="AD66" s="321" t="str">
        <f t="shared" si="21"/>
        <v>X-EXRD8S</v>
      </c>
      <c r="AE66" s="321" t="str">
        <f t="shared" si="22"/>
        <v>X-EXRD8X</v>
      </c>
      <c r="AF66" s="321" t="str">
        <f t="shared" si="23"/>
        <v>X-EXRD8A</v>
      </c>
      <c r="AG66" s="321">
        <f t="shared" si="10"/>
        <v>3</v>
      </c>
      <c r="AH66" s="321"/>
      <c r="AI66" s="321" t="str">
        <f t="shared" si="24"/>
        <v>X-EXRD8</v>
      </c>
      <c r="AJ66" s="320"/>
      <c r="AK66" s="322">
        <f t="shared" si="11"/>
        <v>65</v>
      </c>
      <c r="AL66" s="323">
        <f t="shared" si="25"/>
        <v>67</v>
      </c>
      <c r="AM66" s="322">
        <f t="shared" si="26"/>
        <v>2</v>
      </c>
      <c r="AN66" s="381">
        <f t="shared" si="12"/>
        <v>2.5000000000000001E-2</v>
      </c>
      <c r="AO66" s="322"/>
    </row>
    <row r="67" spans="2:42">
      <c r="B67" s="324" t="s">
        <v>1405</v>
      </c>
      <c r="C67" s="325" t="s">
        <v>1414</v>
      </c>
      <c r="D67" s="326" t="s">
        <v>1384</v>
      </c>
      <c r="E67" s="327">
        <f>+SUMIF('AUX-NIV2'!I:I,'AUX-NIV3'!B67,'AUX-NIV2'!Q:Q)</f>
        <v>0</v>
      </c>
      <c r="F67" s="327">
        <f t="shared" si="1"/>
        <v>123.4584736436117</v>
      </c>
      <c r="G67" s="327">
        <f t="shared" si="2"/>
        <v>0</v>
      </c>
      <c r="H67" s="328" t="str">
        <f t="shared" si="29"/>
        <v>E</v>
      </c>
      <c r="I67" s="325" t="s">
        <v>1537</v>
      </c>
      <c r="J67" s="329" t="str">
        <f>IF(B67&lt;&gt;"",+VLOOKUP(I67,Recursos!C:F,2,FALSE),"")</f>
        <v xml:space="preserve">TOPADORA SIN ESC.(34 T) </v>
      </c>
      <c r="K67" s="330" t="str">
        <f>IF(B67&lt;&gt;"",+VLOOKUP(I67,Recursos!C:F,3,FALSE),"")</f>
        <v>HR</v>
      </c>
      <c r="L67" s="327">
        <f>IF(B67&lt;&gt;"",+VLOOKUP(I67,Recursos!C:F,4,FALSE),"")</f>
        <v>6615.2070000000003</v>
      </c>
      <c r="M67" s="416"/>
      <c r="N67" s="416">
        <v>60</v>
      </c>
      <c r="O67" s="332">
        <f>1/N67</f>
        <v>1.6666666666666666E-2</v>
      </c>
      <c r="P67" s="333">
        <f t="shared" si="14"/>
        <v>110.25345</v>
      </c>
      <c r="Q67" s="327">
        <f t="shared" si="15"/>
        <v>0</v>
      </c>
      <c r="R67" s="334">
        <f t="shared" si="16"/>
        <v>0</v>
      </c>
      <c r="S67" s="335">
        <f t="shared" si="4"/>
        <v>13.205023643611696</v>
      </c>
      <c r="T67" s="335">
        <f t="shared" si="5"/>
        <v>110.25345</v>
      </c>
      <c r="U67" s="336">
        <f t="shared" si="6"/>
        <v>0</v>
      </c>
      <c r="V67" s="336">
        <f t="shared" si="7"/>
        <v>0</v>
      </c>
      <c r="W67" s="336">
        <f t="shared" si="8"/>
        <v>0</v>
      </c>
      <c r="X67" s="336">
        <f t="shared" si="9"/>
        <v>0</v>
      </c>
      <c r="Y67" s="320"/>
      <c r="Z67" s="321" t="str">
        <f t="shared" si="17"/>
        <v>X-EXRD8A</v>
      </c>
      <c r="AA67" s="321" t="str">
        <f t="shared" si="18"/>
        <v>X-EXRD8E</v>
      </c>
      <c r="AB67" s="321" t="str">
        <f t="shared" si="19"/>
        <v>X-EXRD8M</v>
      </c>
      <c r="AC67" s="321" t="str">
        <f t="shared" si="20"/>
        <v>X-EXRD8T</v>
      </c>
      <c r="AD67" s="321" t="str">
        <f t="shared" si="21"/>
        <v>X-EXRD8S</v>
      </c>
      <c r="AE67" s="321" t="str">
        <f t="shared" si="22"/>
        <v>X-EXRD8X</v>
      </c>
      <c r="AF67" s="321" t="str">
        <f t="shared" si="23"/>
        <v>X-EXRD8E</v>
      </c>
      <c r="AG67" s="321">
        <f t="shared" si="10"/>
        <v>3</v>
      </c>
      <c r="AH67" s="321"/>
      <c r="AI67" s="321" t="str">
        <f t="shared" si="24"/>
        <v>X-EXRD8</v>
      </c>
      <c r="AJ67" s="320"/>
      <c r="AK67" s="322">
        <f t="shared" si="11"/>
        <v>65</v>
      </c>
      <c r="AL67" s="323">
        <f t="shared" si="25"/>
        <v>67</v>
      </c>
      <c r="AM67" s="322">
        <f t="shared" si="26"/>
        <v>3</v>
      </c>
      <c r="AN67" s="381">
        <f t="shared" si="12"/>
        <v>2.5000000000000001E-2</v>
      </c>
      <c r="AO67" s="322"/>
    </row>
    <row r="68" spans="2:42">
      <c r="B68" s="324" t="s">
        <v>1497</v>
      </c>
      <c r="C68" s="325" t="s">
        <v>1413</v>
      </c>
      <c r="D68" s="326" t="s">
        <v>1411</v>
      </c>
      <c r="E68" s="327">
        <f>+SUMIF('AUX-NIV2'!I:I,'AUX-NIV3'!B68,'AUX-NIV2'!Q:Q)</f>
        <v>0</v>
      </c>
      <c r="F68" s="327">
        <f t="shared" si="1"/>
        <v>0</v>
      </c>
      <c r="G68" s="327">
        <f t="shared" si="2"/>
        <v>0</v>
      </c>
      <c r="H68" s="328" t="str">
        <f t="shared" si="29"/>
        <v>A</v>
      </c>
      <c r="I68" s="325" t="s">
        <v>3311</v>
      </c>
      <c r="J68" s="329" t="str">
        <f>IF(B68&lt;&gt;"",+VLOOKUP(I68,Recursos!C:F,2,FALSE),"")</f>
        <v>OPER. EQUIPO</v>
      </c>
      <c r="K68" s="330" t="str">
        <f>IF(B68&lt;&gt;"",+VLOOKUP(I68,Recursos!C:F,3,FALSE),"")</f>
        <v>hh</v>
      </c>
      <c r="L68" s="327">
        <f>IF(B68&lt;&gt;"",+VLOOKUP(I68,Recursos!C:F,4,FALSE),"")</f>
        <v>581.06120476836554</v>
      </c>
      <c r="M68" s="331"/>
      <c r="N68" s="331"/>
      <c r="O68" s="332"/>
      <c r="P68" s="333">
        <f t="shared" si="14"/>
        <v>0</v>
      </c>
      <c r="Q68" s="327">
        <f t="shared" si="15"/>
        <v>0</v>
      </c>
      <c r="R68" s="334">
        <f t="shared" si="16"/>
        <v>0</v>
      </c>
      <c r="S68" s="335">
        <f t="shared" si="4"/>
        <v>0</v>
      </c>
      <c r="T68" s="335">
        <f t="shared" si="5"/>
        <v>0</v>
      </c>
      <c r="U68" s="336">
        <f t="shared" si="6"/>
        <v>0</v>
      </c>
      <c r="V68" s="336">
        <f t="shared" si="7"/>
        <v>0</v>
      </c>
      <c r="W68" s="336">
        <f t="shared" si="8"/>
        <v>0</v>
      </c>
      <c r="X68" s="336">
        <f t="shared" si="9"/>
        <v>0</v>
      </c>
      <c r="Y68" s="320"/>
      <c r="Z68" s="321" t="str">
        <f t="shared" si="17"/>
        <v>X-EXST3aA</v>
      </c>
      <c r="AA68" s="321" t="str">
        <f t="shared" si="18"/>
        <v>X-EXST3aE</v>
      </c>
      <c r="AB68" s="321" t="str">
        <f t="shared" si="19"/>
        <v>X-EXST3aM</v>
      </c>
      <c r="AC68" s="321" t="str">
        <f t="shared" si="20"/>
        <v>X-EXST3aT</v>
      </c>
      <c r="AD68" s="321" t="str">
        <f t="shared" si="21"/>
        <v>X-EXST3aS</v>
      </c>
      <c r="AE68" s="321" t="str">
        <f t="shared" si="22"/>
        <v>X-EXST3aX</v>
      </c>
      <c r="AF68" s="321" t="str">
        <f t="shared" si="23"/>
        <v>X-EXST3aA</v>
      </c>
      <c r="AG68" s="321">
        <f t="shared" si="10"/>
        <v>4</v>
      </c>
      <c r="AH68" s="321"/>
      <c r="AI68" s="321" t="str">
        <f t="shared" si="24"/>
        <v>X-EXST3a</v>
      </c>
      <c r="AJ68" s="320"/>
      <c r="AK68" s="322">
        <f t="shared" si="11"/>
        <v>68</v>
      </c>
      <c r="AL68" s="323">
        <f t="shared" si="25"/>
        <v>71</v>
      </c>
      <c r="AM68" s="322">
        <f t="shared" si="26"/>
        <v>1</v>
      </c>
      <c r="AN68" s="381">
        <f t="shared" si="12"/>
        <v>0</v>
      </c>
      <c r="AO68" s="322"/>
    </row>
    <row r="69" spans="2:42">
      <c r="B69" s="324" t="s">
        <v>1497</v>
      </c>
      <c r="C69" s="325" t="s">
        <v>1413</v>
      </c>
      <c r="D69" s="326" t="s">
        <v>1411</v>
      </c>
      <c r="E69" s="327">
        <f>+SUMIF('AUX-NIV2'!I:I,'AUX-NIV3'!B69,'AUX-NIV2'!Q:Q)</f>
        <v>0</v>
      </c>
      <c r="F69" s="327">
        <f t="shared" si="1"/>
        <v>0</v>
      </c>
      <c r="G69" s="327">
        <f t="shared" si="2"/>
        <v>0</v>
      </c>
      <c r="H69" s="328" t="str">
        <f t="shared" si="29"/>
        <v>A</v>
      </c>
      <c r="I69" s="325" t="s">
        <v>3312</v>
      </c>
      <c r="J69" s="329" t="str">
        <f>IF(B69&lt;&gt;"",+VLOOKUP(I69,Recursos!C:F,2,FALSE),"")</f>
        <v>CHOFER</v>
      </c>
      <c r="K69" s="330" t="str">
        <f>IF(B69&lt;&gt;"",+VLOOKUP(I69,Recursos!C:F,3,FALSE),"")</f>
        <v>hh</v>
      </c>
      <c r="L69" s="327">
        <f>IF(B69&lt;&gt;"",+VLOOKUP(I69,Recursos!C:F,4,FALSE),"")</f>
        <v>496.91595439275824</v>
      </c>
      <c r="M69" s="331"/>
      <c r="N69" s="331"/>
      <c r="O69" s="332"/>
      <c r="P69" s="333">
        <f t="shared" si="14"/>
        <v>0</v>
      </c>
      <c r="Q69" s="327">
        <f t="shared" si="15"/>
        <v>0</v>
      </c>
      <c r="R69" s="334">
        <f t="shared" si="16"/>
        <v>0</v>
      </c>
      <c r="S69" s="335">
        <f t="shared" si="4"/>
        <v>0</v>
      </c>
      <c r="T69" s="335">
        <f t="shared" si="5"/>
        <v>0</v>
      </c>
      <c r="U69" s="336">
        <f t="shared" si="6"/>
        <v>0</v>
      </c>
      <c r="V69" s="336">
        <f t="shared" si="7"/>
        <v>0</v>
      </c>
      <c r="W69" s="336">
        <f t="shared" si="8"/>
        <v>0</v>
      </c>
      <c r="X69" s="336">
        <f t="shared" si="9"/>
        <v>0</v>
      </c>
      <c r="Y69" s="320"/>
      <c r="Z69" s="321" t="str">
        <f t="shared" si="17"/>
        <v>X-EXST3aA</v>
      </c>
      <c r="AA69" s="321" t="str">
        <f t="shared" si="18"/>
        <v>X-EXST3aE</v>
      </c>
      <c r="AB69" s="321" t="str">
        <f t="shared" si="19"/>
        <v>X-EXST3aM</v>
      </c>
      <c r="AC69" s="321" t="str">
        <f t="shared" si="20"/>
        <v>X-EXST3aT</v>
      </c>
      <c r="AD69" s="321" t="str">
        <f t="shared" si="21"/>
        <v>X-EXST3aS</v>
      </c>
      <c r="AE69" s="321" t="str">
        <f t="shared" si="22"/>
        <v>X-EXST3aX</v>
      </c>
      <c r="AF69" s="321" t="str">
        <f t="shared" si="23"/>
        <v>X-EXST3aA</v>
      </c>
      <c r="AG69" s="321">
        <f t="shared" si="10"/>
        <v>4</v>
      </c>
      <c r="AH69" s="321"/>
      <c r="AI69" s="321" t="str">
        <f t="shared" si="24"/>
        <v>X-EXST3a</v>
      </c>
      <c r="AJ69" s="320"/>
      <c r="AK69" s="322">
        <f t="shared" si="11"/>
        <v>68</v>
      </c>
      <c r="AL69" s="323">
        <f t="shared" si="25"/>
        <v>71</v>
      </c>
      <c r="AM69" s="322">
        <f t="shared" si="26"/>
        <v>2</v>
      </c>
      <c r="AN69" s="381">
        <f t="shared" si="12"/>
        <v>0</v>
      </c>
      <c r="AO69" s="322"/>
    </row>
    <row r="70" spans="2:42">
      <c r="B70" s="324" t="s">
        <v>1497</v>
      </c>
      <c r="C70" s="325" t="s">
        <v>1413</v>
      </c>
      <c r="D70" s="326" t="s">
        <v>1411</v>
      </c>
      <c r="E70" s="327">
        <f>+SUMIF('AUX-NIV2'!I:I,'AUX-NIV3'!B70,'AUX-NIV2'!Q:Q)</f>
        <v>0</v>
      </c>
      <c r="F70" s="327">
        <f t="shared" si="1"/>
        <v>0</v>
      </c>
      <c r="G70" s="327">
        <f t="shared" si="2"/>
        <v>0</v>
      </c>
      <c r="H70" s="328" t="str">
        <f t="shared" si="29"/>
        <v>E</v>
      </c>
      <c r="I70" s="325" t="s">
        <v>1542</v>
      </c>
      <c r="J70" s="329" t="str">
        <f>IF(B70&lt;&gt;"",+VLOOKUP(I70,Recursos!C:F,2,FALSE),"")</f>
        <v>CARGADOR FRONTAL S/NEUM. (2,30 M3)</v>
      </c>
      <c r="K70" s="330" t="str">
        <f>IF(B70&lt;&gt;"",+VLOOKUP(I70,Recursos!C:F,3,FALSE),"")</f>
        <v>HR</v>
      </c>
      <c r="L70" s="327">
        <f>IF(B70&lt;&gt;"",+VLOOKUP(I70,Recursos!C:F,4,FALSE),"")</f>
        <v>3152.8359999999998</v>
      </c>
      <c r="M70" s="331"/>
      <c r="N70" s="331"/>
      <c r="O70" s="332"/>
      <c r="P70" s="333">
        <f t="shared" si="14"/>
        <v>0</v>
      </c>
      <c r="Q70" s="327">
        <f t="shared" si="15"/>
        <v>0</v>
      </c>
      <c r="R70" s="334">
        <f t="shared" si="16"/>
        <v>0</v>
      </c>
      <c r="S70" s="335">
        <f t="shared" si="4"/>
        <v>0</v>
      </c>
      <c r="T70" s="335">
        <f t="shared" si="5"/>
        <v>0</v>
      </c>
      <c r="U70" s="336">
        <f t="shared" si="6"/>
        <v>0</v>
      </c>
      <c r="V70" s="336">
        <f t="shared" si="7"/>
        <v>0</v>
      </c>
      <c r="W70" s="336">
        <f t="shared" si="8"/>
        <v>0</v>
      </c>
      <c r="X70" s="336">
        <f t="shared" si="9"/>
        <v>0</v>
      </c>
      <c r="Y70" s="320"/>
      <c r="Z70" s="321" t="str">
        <f t="shared" si="17"/>
        <v>X-EXST3aA</v>
      </c>
      <c r="AA70" s="321" t="str">
        <f t="shared" si="18"/>
        <v>X-EXST3aE</v>
      </c>
      <c r="AB70" s="321" t="str">
        <f t="shared" si="19"/>
        <v>X-EXST3aM</v>
      </c>
      <c r="AC70" s="321" t="str">
        <f t="shared" si="20"/>
        <v>X-EXST3aT</v>
      </c>
      <c r="AD70" s="321" t="str">
        <f t="shared" si="21"/>
        <v>X-EXST3aS</v>
      </c>
      <c r="AE70" s="321" t="str">
        <f t="shared" si="22"/>
        <v>X-EXST3aX</v>
      </c>
      <c r="AF70" s="321" t="str">
        <f t="shared" si="23"/>
        <v>X-EXST3aE</v>
      </c>
      <c r="AG70" s="321">
        <f t="shared" si="10"/>
        <v>4</v>
      </c>
      <c r="AH70" s="321"/>
      <c r="AI70" s="321" t="str">
        <f t="shared" si="24"/>
        <v>X-EXST3a</v>
      </c>
      <c r="AJ70" s="320"/>
      <c r="AK70" s="322">
        <f t="shared" si="11"/>
        <v>68</v>
      </c>
      <c r="AL70" s="323">
        <f t="shared" si="25"/>
        <v>71</v>
      </c>
      <c r="AM70" s="322">
        <f t="shared" si="26"/>
        <v>3</v>
      </c>
      <c r="AN70" s="381">
        <f t="shared" si="12"/>
        <v>0</v>
      </c>
      <c r="AO70" s="322"/>
    </row>
    <row r="71" spans="2:42">
      <c r="B71" s="324" t="s">
        <v>1497</v>
      </c>
      <c r="C71" s="325" t="s">
        <v>1413</v>
      </c>
      <c r="D71" s="326" t="s">
        <v>1411</v>
      </c>
      <c r="E71" s="327">
        <f>+SUMIF('AUX-NIV2'!I:I,'AUX-NIV3'!B71,'AUX-NIV2'!Q:Q)</f>
        <v>0</v>
      </c>
      <c r="F71" s="327">
        <f t="shared" ref="F71:F134" si="30">IF(B71&lt;&gt;"",+SUMIF(B:B,B71,P:P),"")</f>
        <v>0</v>
      </c>
      <c r="G71" s="327">
        <f t="shared" ref="G71:G134" si="31">IF(B71&lt;&gt;"",+SUMIF(B:B,B71,R:R),"")</f>
        <v>0</v>
      </c>
      <c r="H71" s="328" t="str">
        <f t="shared" si="29"/>
        <v>E</v>
      </c>
      <c r="I71" s="325" t="s">
        <v>1555</v>
      </c>
      <c r="J71" s="329" t="str">
        <f>IF(B71&lt;&gt;"",+VLOOKUP(I71,Recursos!C:F,2,FALSE),"")</f>
        <v>CAMION VOLCADOR 6x4 CAP. 24 T=15 m3</v>
      </c>
      <c r="K71" s="330" t="str">
        <f>IF(B71&lt;&gt;"",+VLOOKUP(I71,Recursos!C:F,3,FALSE),"")</f>
        <v>HR</v>
      </c>
      <c r="L71" s="327">
        <f>IF(B71&lt;&gt;"",+VLOOKUP(I71,Recursos!C:F,4,FALSE),"")</f>
        <v>3333.261</v>
      </c>
      <c r="M71" s="331"/>
      <c r="N71" s="331"/>
      <c r="O71" s="332"/>
      <c r="P71" s="333">
        <f t="shared" si="14"/>
        <v>0</v>
      </c>
      <c r="Q71" s="327">
        <f t="shared" si="15"/>
        <v>0</v>
      </c>
      <c r="R71" s="334">
        <f t="shared" si="16"/>
        <v>0</v>
      </c>
      <c r="S71" s="335">
        <f t="shared" ref="S71:S134" si="32">IF(B71&lt;&gt;"",+SUMIF($AF:$AF,Z71,$P:$P),"")</f>
        <v>0</v>
      </c>
      <c r="T71" s="335">
        <f t="shared" ref="T71:T134" si="33">IF(B71&lt;&gt;"",+SUMIF($AF:$AF,AA71,$P:$P),"")</f>
        <v>0</v>
      </c>
      <c r="U71" s="336">
        <f t="shared" ref="U71:U134" si="34">IF(B71&lt;&gt;"",+SUMIF($AF:$AF,AB71,$P:$P),"")</f>
        <v>0</v>
      </c>
      <c r="V71" s="336">
        <f t="shared" ref="V71:V134" si="35">IF(B71&lt;&gt;"",+SUMIF($AF:$AF,AC71,$P:$P),"")</f>
        <v>0</v>
      </c>
      <c r="W71" s="336">
        <f t="shared" ref="W71:W134" si="36">IF(B71&lt;&gt;"",+SUMIF($AF:$AF,AD71,$P:$P),"")</f>
        <v>0</v>
      </c>
      <c r="X71" s="336">
        <f t="shared" ref="X71:X134" si="37">IF(B71&lt;&gt;"",+SUMIF($AF:$AF,AE71,$P:$P),"")</f>
        <v>0</v>
      </c>
      <c r="Y71" s="320"/>
      <c r="Z71" s="321" t="str">
        <f t="shared" si="17"/>
        <v>X-EXST3aA</v>
      </c>
      <c r="AA71" s="321" t="str">
        <f t="shared" si="18"/>
        <v>X-EXST3aE</v>
      </c>
      <c r="AB71" s="321" t="str">
        <f t="shared" si="19"/>
        <v>X-EXST3aM</v>
      </c>
      <c r="AC71" s="321" t="str">
        <f t="shared" si="20"/>
        <v>X-EXST3aT</v>
      </c>
      <c r="AD71" s="321" t="str">
        <f t="shared" si="21"/>
        <v>X-EXST3aS</v>
      </c>
      <c r="AE71" s="321" t="str">
        <f t="shared" si="22"/>
        <v>X-EXST3aX</v>
      </c>
      <c r="AF71" s="321" t="str">
        <f t="shared" si="23"/>
        <v>X-EXST3aE</v>
      </c>
      <c r="AG71" s="321">
        <f t="shared" ref="AG71:AG134" si="38">IF(B71&lt;&gt;"",+COUNTIF(B:B,B71),"")</f>
        <v>4</v>
      </c>
      <c r="AH71" s="321"/>
      <c r="AI71" s="321" t="str">
        <f t="shared" si="24"/>
        <v>X-EXST3a</v>
      </c>
      <c r="AJ71" s="320"/>
      <c r="AK71" s="322">
        <f t="shared" ref="AK71:AK134" si="39">IF(B71&lt;&gt;"",+MATCH(B71,B:B,0),"")</f>
        <v>68</v>
      </c>
      <c r="AL71" s="323">
        <f t="shared" si="25"/>
        <v>71</v>
      </c>
      <c r="AM71" s="322">
        <f t="shared" si="26"/>
        <v>4</v>
      </c>
      <c r="AN71" s="381">
        <f t="shared" ref="AN71:AN134" si="40">+IF(B71&lt;&gt;"",SUMIF(AF:AF,Z71,O:O),"")</f>
        <v>0</v>
      </c>
      <c r="AO71" s="322"/>
    </row>
    <row r="72" spans="2:42">
      <c r="B72" s="325" t="s">
        <v>1365</v>
      </c>
      <c r="C72" s="325" t="s">
        <v>1377</v>
      </c>
      <c r="D72" s="326" t="s">
        <v>1385</v>
      </c>
      <c r="E72" s="327">
        <f>+SUMIF('AUX-NIV2'!I:I,'AUX-NIV3'!B72,'AUX-NIV2'!Q:Q)</f>
        <v>0</v>
      </c>
      <c r="F72" s="327">
        <f t="shared" si="30"/>
        <v>38.301769543927584</v>
      </c>
      <c r="G72" s="327">
        <f t="shared" si="31"/>
        <v>0</v>
      </c>
      <c r="H72" s="328" t="str">
        <f t="shared" si="29"/>
        <v>A</v>
      </c>
      <c r="I72" s="325" t="s">
        <v>3312</v>
      </c>
      <c r="J72" s="329" t="str">
        <f>IF(B72&lt;&gt;"",+VLOOKUP(I72,Recursos!C:F,2,FALSE),"")</f>
        <v>CHOFER</v>
      </c>
      <c r="K72" s="330" t="str">
        <f>IF(B72&lt;&gt;"",+VLOOKUP(I72,Recursos!C:F,3,FALSE),"")</f>
        <v>hh</v>
      </c>
      <c r="L72" s="327">
        <f>IF(B72&lt;&gt;"",+VLOOKUP(I72,Recursos!C:F,4,FALSE),"")</f>
        <v>496.91595439275824</v>
      </c>
      <c r="M72" s="416"/>
      <c r="N72" s="416"/>
      <c r="O72" s="433">
        <f>+O73</f>
        <v>0.01</v>
      </c>
      <c r="P72" s="333">
        <f t="shared" ref="P72:P135" si="41">IF(B72&lt;&gt;"",O72*L72,"")</f>
        <v>4.9691595439275824</v>
      </c>
      <c r="Q72" s="327">
        <f t="shared" ref="Q72:Q135" si="42">IF(B72&lt;&gt;"",+O72*E72,"")</f>
        <v>0</v>
      </c>
      <c r="R72" s="334">
        <f t="shared" ref="R72:R135" si="43">IF(B72&lt;&gt;"",Q72*L72,"")</f>
        <v>0</v>
      </c>
      <c r="S72" s="335">
        <f t="shared" si="32"/>
        <v>4.9691595439275824</v>
      </c>
      <c r="T72" s="335">
        <f t="shared" si="33"/>
        <v>33.332610000000003</v>
      </c>
      <c r="U72" s="336">
        <f t="shared" si="34"/>
        <v>0</v>
      </c>
      <c r="V72" s="336">
        <f t="shared" si="35"/>
        <v>0</v>
      </c>
      <c r="W72" s="336">
        <f t="shared" si="36"/>
        <v>0</v>
      </c>
      <c r="X72" s="336">
        <f t="shared" si="37"/>
        <v>0</v>
      </c>
      <c r="Y72" s="320"/>
      <c r="Z72" s="321" t="str">
        <f t="shared" ref="Z72:Z135" si="44">IF(B72&lt;&gt;"",+$B72&amp;"A","")</f>
        <v>X-T0045A</v>
      </c>
      <c r="AA72" s="321" t="str">
        <f t="shared" ref="AA72:AA135" si="45">IF(B72&lt;&gt;"",+$B72&amp;"E","")</f>
        <v>X-T0045E</v>
      </c>
      <c r="AB72" s="321" t="str">
        <f t="shared" ref="AB72:AB135" si="46">IF(B72&lt;&gt;"",++$B72&amp;"M","")</f>
        <v>X-T0045M</v>
      </c>
      <c r="AC72" s="321" t="str">
        <f t="shared" ref="AC72:AC135" si="47">IF(B72&lt;&gt;"",+$B72&amp;"T","")</f>
        <v>X-T0045T</v>
      </c>
      <c r="AD72" s="321" t="str">
        <f t="shared" ref="AD72:AD135" si="48">IF(B72&lt;&gt;"",+$B72&amp;"S","")</f>
        <v>X-T0045S</v>
      </c>
      <c r="AE72" s="321" t="str">
        <f t="shared" ref="AE72:AE135" si="49">IF(B72&lt;&gt;"",+$B72&amp;"X","")</f>
        <v>X-T0045X</v>
      </c>
      <c r="AF72" s="321" t="str">
        <f t="shared" ref="AF72:AF135" si="50">IF(B72&lt;&gt;"",+B72&amp;H72,"")</f>
        <v>X-T0045A</v>
      </c>
      <c r="AG72" s="321">
        <f t="shared" si="38"/>
        <v>2</v>
      </c>
      <c r="AH72" s="321"/>
      <c r="AI72" s="321" t="str">
        <f t="shared" ref="AI72:AI135" si="51">IF(B72&lt;&gt;"",+B72,"")</f>
        <v>X-T0045</v>
      </c>
      <c r="AJ72" s="320"/>
      <c r="AK72" s="322">
        <f t="shared" si="39"/>
        <v>72</v>
      </c>
      <c r="AL72" s="323">
        <f t="shared" ref="AL72:AL135" si="52">IF(B72&lt;&gt;"",+AK72+AG72-1,"")</f>
        <v>73</v>
      </c>
      <c r="AM72" s="322">
        <f t="shared" ref="AM72:AM135" si="53">IF(B72&lt;&gt;"",IF(B72=B71,1+AM71,1),"")</f>
        <v>1</v>
      </c>
      <c r="AN72" s="380">
        <f t="shared" si="40"/>
        <v>0.01</v>
      </c>
      <c r="AO72" s="380"/>
      <c r="AP72" s="380"/>
    </row>
    <row r="73" spans="2:42">
      <c r="B73" s="325" t="s">
        <v>1365</v>
      </c>
      <c r="C73" s="325" t="s">
        <v>1377</v>
      </c>
      <c r="D73" s="326" t="s">
        <v>1385</v>
      </c>
      <c r="E73" s="327">
        <f>+SUMIF('AUX-NIV2'!I:I,'AUX-NIV3'!B73,'AUX-NIV2'!Q:Q)</f>
        <v>0</v>
      </c>
      <c r="F73" s="327">
        <f t="shared" si="30"/>
        <v>38.301769543927584</v>
      </c>
      <c r="G73" s="327">
        <f t="shared" si="31"/>
        <v>0</v>
      </c>
      <c r="H73" s="328" t="str">
        <f t="shared" si="29"/>
        <v>E</v>
      </c>
      <c r="I73" s="325" t="s">
        <v>1555</v>
      </c>
      <c r="J73" s="329" t="str">
        <f>IF(B73&lt;&gt;"",+VLOOKUP(I73,Recursos!C:F,2,FALSE),"")</f>
        <v>CAMION VOLCADOR 6x4 CAP. 24 T=15 m3</v>
      </c>
      <c r="K73" s="330" t="str">
        <f>IF(B73&lt;&gt;"",+VLOOKUP(I73,Recursos!C:F,3,FALSE),"")</f>
        <v>HR</v>
      </c>
      <c r="L73" s="327">
        <f>IF(B73&lt;&gt;"",+VLOOKUP(I73,Recursos!C:F,4,FALSE),"")</f>
        <v>3333.261</v>
      </c>
      <c r="M73" s="416">
        <v>1</v>
      </c>
      <c r="N73" s="416">
        <v>100</v>
      </c>
      <c r="O73" s="433">
        <f>+M73/N73</f>
        <v>0.01</v>
      </c>
      <c r="P73" s="333">
        <f t="shared" si="41"/>
        <v>33.332610000000003</v>
      </c>
      <c r="Q73" s="327">
        <f t="shared" si="42"/>
        <v>0</v>
      </c>
      <c r="R73" s="334">
        <f t="shared" si="43"/>
        <v>0</v>
      </c>
      <c r="S73" s="335">
        <f t="shared" si="32"/>
        <v>4.9691595439275824</v>
      </c>
      <c r="T73" s="335">
        <f t="shared" si="33"/>
        <v>33.332610000000003</v>
      </c>
      <c r="U73" s="336">
        <f t="shared" si="34"/>
        <v>0</v>
      </c>
      <c r="V73" s="336">
        <f t="shared" si="35"/>
        <v>0</v>
      </c>
      <c r="W73" s="336">
        <f t="shared" si="36"/>
        <v>0</v>
      </c>
      <c r="X73" s="336">
        <f t="shared" si="37"/>
        <v>0</v>
      </c>
      <c r="Y73" s="320"/>
      <c r="Z73" s="321" t="str">
        <f t="shared" si="44"/>
        <v>X-T0045A</v>
      </c>
      <c r="AA73" s="321" t="str">
        <f t="shared" si="45"/>
        <v>X-T0045E</v>
      </c>
      <c r="AB73" s="321" t="str">
        <f t="shared" si="46"/>
        <v>X-T0045M</v>
      </c>
      <c r="AC73" s="321" t="str">
        <f t="shared" si="47"/>
        <v>X-T0045T</v>
      </c>
      <c r="AD73" s="321" t="str">
        <f t="shared" si="48"/>
        <v>X-T0045S</v>
      </c>
      <c r="AE73" s="321" t="str">
        <f t="shared" si="49"/>
        <v>X-T0045X</v>
      </c>
      <c r="AF73" s="321" t="str">
        <f t="shared" si="50"/>
        <v>X-T0045E</v>
      </c>
      <c r="AG73" s="321">
        <f t="shared" si="38"/>
        <v>2</v>
      </c>
      <c r="AH73" s="321"/>
      <c r="AI73" s="321" t="str">
        <f t="shared" si="51"/>
        <v>X-T0045</v>
      </c>
      <c r="AJ73" s="320"/>
      <c r="AK73" s="322">
        <f t="shared" si="39"/>
        <v>72</v>
      </c>
      <c r="AL73" s="323">
        <f t="shared" si="52"/>
        <v>73</v>
      </c>
      <c r="AM73" s="322">
        <f t="shared" si="53"/>
        <v>2</v>
      </c>
      <c r="AN73" s="380">
        <f t="shared" si="40"/>
        <v>0.01</v>
      </c>
      <c r="AO73" s="380"/>
      <c r="AP73" s="380"/>
    </row>
    <row r="74" spans="2:42">
      <c r="B74" s="325" t="s">
        <v>1366</v>
      </c>
      <c r="C74" s="325" t="s">
        <v>1498</v>
      </c>
      <c r="D74" s="326" t="s">
        <v>1385</v>
      </c>
      <c r="E74" s="327">
        <f>+SUMIF('AUX-NIV2'!I:I,'AUX-NIV3'!B74,'AUX-NIV2'!Q:Q)</f>
        <v>0</v>
      </c>
      <c r="F74" s="327">
        <f t="shared" si="30"/>
        <v>47.877211929909478</v>
      </c>
      <c r="G74" s="327">
        <f t="shared" si="31"/>
        <v>0</v>
      </c>
      <c r="H74" s="328" t="str">
        <f t="shared" si="29"/>
        <v>A</v>
      </c>
      <c r="I74" s="325" t="s">
        <v>3312</v>
      </c>
      <c r="J74" s="329" t="str">
        <f>IF(B74&lt;&gt;"",+VLOOKUP(I74,Recursos!C:F,2,FALSE),"")</f>
        <v>CHOFER</v>
      </c>
      <c r="K74" s="330" t="str">
        <f>IF(B74&lt;&gt;"",+VLOOKUP(I74,Recursos!C:F,3,FALSE),"")</f>
        <v>hh</v>
      </c>
      <c r="L74" s="327">
        <f>IF(B74&lt;&gt;"",+VLOOKUP(I74,Recursos!C:F,4,FALSE),"")</f>
        <v>496.91595439275824</v>
      </c>
      <c r="M74" s="418"/>
      <c r="N74" s="418"/>
      <c r="O74" s="332">
        <f>+O75</f>
        <v>1.2500000000000001E-2</v>
      </c>
      <c r="P74" s="333">
        <f t="shared" si="41"/>
        <v>6.2114494299094787</v>
      </c>
      <c r="Q74" s="327">
        <f t="shared" si="42"/>
        <v>0</v>
      </c>
      <c r="R74" s="334">
        <f t="shared" si="43"/>
        <v>0</v>
      </c>
      <c r="S74" s="335">
        <f t="shared" si="32"/>
        <v>6.2114494299094787</v>
      </c>
      <c r="T74" s="335">
        <f t="shared" si="33"/>
        <v>41.6657625</v>
      </c>
      <c r="U74" s="336">
        <f t="shared" si="34"/>
        <v>0</v>
      </c>
      <c r="V74" s="336">
        <f t="shared" si="35"/>
        <v>0</v>
      </c>
      <c r="W74" s="336">
        <f t="shared" si="36"/>
        <v>0</v>
      </c>
      <c r="X74" s="336">
        <f t="shared" si="37"/>
        <v>0</v>
      </c>
      <c r="Y74" s="320"/>
      <c r="Z74" s="321" t="str">
        <f t="shared" si="44"/>
        <v>X-T0055A</v>
      </c>
      <c r="AA74" s="321" t="str">
        <f t="shared" si="45"/>
        <v>X-T0055E</v>
      </c>
      <c r="AB74" s="321" t="str">
        <f t="shared" si="46"/>
        <v>X-T0055M</v>
      </c>
      <c r="AC74" s="321" t="str">
        <f t="shared" si="47"/>
        <v>X-T0055T</v>
      </c>
      <c r="AD74" s="321" t="str">
        <f t="shared" si="48"/>
        <v>X-T0055S</v>
      </c>
      <c r="AE74" s="321" t="str">
        <f t="shared" si="49"/>
        <v>X-T0055X</v>
      </c>
      <c r="AF74" s="321" t="str">
        <f t="shared" si="50"/>
        <v>X-T0055A</v>
      </c>
      <c r="AG74" s="321">
        <f t="shared" si="38"/>
        <v>2</v>
      </c>
      <c r="AH74" s="321"/>
      <c r="AI74" s="321" t="str">
        <f t="shared" si="51"/>
        <v>X-T0055</v>
      </c>
      <c r="AJ74" s="320"/>
      <c r="AK74" s="322">
        <f t="shared" si="39"/>
        <v>74</v>
      </c>
      <c r="AL74" s="323">
        <f t="shared" si="52"/>
        <v>75</v>
      </c>
      <c r="AM74" s="322">
        <f t="shared" si="53"/>
        <v>1</v>
      </c>
      <c r="AN74" s="380">
        <f t="shared" si="40"/>
        <v>1.2500000000000001E-2</v>
      </c>
      <c r="AO74" s="380"/>
      <c r="AP74" s="380"/>
    </row>
    <row r="75" spans="2:42">
      <c r="B75" s="325" t="s">
        <v>1366</v>
      </c>
      <c r="C75" s="325" t="s">
        <v>1498</v>
      </c>
      <c r="D75" s="326" t="s">
        <v>1385</v>
      </c>
      <c r="E75" s="327">
        <f>+SUMIF('AUX-NIV2'!I:I,'AUX-NIV3'!B75,'AUX-NIV2'!Q:Q)</f>
        <v>0</v>
      </c>
      <c r="F75" s="327">
        <f t="shared" si="30"/>
        <v>47.877211929909478</v>
      </c>
      <c r="G75" s="327">
        <f t="shared" si="31"/>
        <v>0</v>
      </c>
      <c r="H75" s="328" t="str">
        <f t="shared" si="29"/>
        <v>E</v>
      </c>
      <c r="I75" s="325" t="s">
        <v>1555</v>
      </c>
      <c r="J75" s="329" t="str">
        <f>IF(B75&lt;&gt;"",+VLOOKUP(I75,Recursos!C:F,2,FALSE),"")</f>
        <v>CAMION VOLCADOR 6x4 CAP. 24 T=15 m3</v>
      </c>
      <c r="K75" s="330" t="str">
        <f>IF(B75&lt;&gt;"",+VLOOKUP(I75,Recursos!C:F,3,FALSE),"")</f>
        <v>HR</v>
      </c>
      <c r="L75" s="327">
        <f>IF(B75&lt;&gt;"",+VLOOKUP(I75,Recursos!C:F,4,FALSE),"")</f>
        <v>3333.261</v>
      </c>
      <c r="M75" s="418">
        <v>1</v>
      </c>
      <c r="N75" s="418">
        <v>80</v>
      </c>
      <c r="O75" s="332">
        <f>+M75/N75</f>
        <v>1.2500000000000001E-2</v>
      </c>
      <c r="P75" s="333">
        <f t="shared" si="41"/>
        <v>41.6657625</v>
      </c>
      <c r="Q75" s="327">
        <f t="shared" si="42"/>
        <v>0</v>
      </c>
      <c r="R75" s="334">
        <f t="shared" si="43"/>
        <v>0</v>
      </c>
      <c r="S75" s="335">
        <f t="shared" si="32"/>
        <v>6.2114494299094787</v>
      </c>
      <c r="T75" s="335">
        <f t="shared" si="33"/>
        <v>41.6657625</v>
      </c>
      <c r="U75" s="336">
        <f t="shared" si="34"/>
        <v>0</v>
      </c>
      <c r="V75" s="336">
        <f t="shared" si="35"/>
        <v>0</v>
      </c>
      <c r="W75" s="336">
        <f t="shared" si="36"/>
        <v>0</v>
      </c>
      <c r="X75" s="336">
        <f t="shared" si="37"/>
        <v>0</v>
      </c>
      <c r="Y75" s="320"/>
      <c r="Z75" s="321" t="str">
        <f t="shared" si="44"/>
        <v>X-T0055A</v>
      </c>
      <c r="AA75" s="321" t="str">
        <f t="shared" si="45"/>
        <v>X-T0055E</v>
      </c>
      <c r="AB75" s="321" t="str">
        <f t="shared" si="46"/>
        <v>X-T0055M</v>
      </c>
      <c r="AC75" s="321" t="str">
        <f t="shared" si="47"/>
        <v>X-T0055T</v>
      </c>
      <c r="AD75" s="321" t="str">
        <f t="shared" si="48"/>
        <v>X-T0055S</v>
      </c>
      <c r="AE75" s="321" t="str">
        <f t="shared" si="49"/>
        <v>X-T0055X</v>
      </c>
      <c r="AF75" s="321" t="str">
        <f t="shared" si="50"/>
        <v>X-T0055E</v>
      </c>
      <c r="AG75" s="321">
        <f t="shared" si="38"/>
        <v>2</v>
      </c>
      <c r="AH75" s="321"/>
      <c r="AI75" s="321" t="str">
        <f t="shared" si="51"/>
        <v>X-T0055</v>
      </c>
      <c r="AJ75" s="320"/>
      <c r="AK75" s="322">
        <f t="shared" si="39"/>
        <v>74</v>
      </c>
      <c r="AL75" s="323">
        <f t="shared" si="52"/>
        <v>75</v>
      </c>
      <c r="AM75" s="322">
        <f t="shared" si="53"/>
        <v>2</v>
      </c>
      <c r="AN75" s="380">
        <f t="shared" si="40"/>
        <v>1.2500000000000001E-2</v>
      </c>
      <c r="AO75" s="380"/>
      <c r="AP75" s="380"/>
    </row>
    <row r="76" spans="2:42">
      <c r="B76" s="325" t="s">
        <v>1367</v>
      </c>
      <c r="C76" s="325" t="s">
        <v>1379</v>
      </c>
      <c r="D76" s="326" t="s">
        <v>501</v>
      </c>
      <c r="E76" s="327">
        <f>+SUMIF('AUX-NIV2'!I:I,'AUX-NIV3'!B76,'AUX-NIV2'!Q:Q)</f>
        <v>0</v>
      </c>
      <c r="F76" s="327">
        <f t="shared" si="30"/>
        <v>90.372286926557678</v>
      </c>
      <c r="G76" s="327">
        <f t="shared" si="31"/>
        <v>0</v>
      </c>
      <c r="H76" s="328" t="str">
        <f t="shared" si="29"/>
        <v>A</v>
      </c>
      <c r="I76" s="325" t="s">
        <v>1745</v>
      </c>
      <c r="J76" s="329" t="str">
        <f>IF(B76&lt;&gt;"",+VLOOKUP(I76,Recursos!C:F,2,FALSE),"")</f>
        <v>AYUDANTE</v>
      </c>
      <c r="K76" s="330" t="str">
        <f>IF(B76&lt;&gt;"",+VLOOKUP(I76,Recursos!C:F,3,FALSE),"")</f>
        <v>hh</v>
      </c>
      <c r="L76" s="327">
        <f>IF(B76&lt;&gt;"",+VLOOKUP(I76,Recursos!C:F,4,FALSE),"")</f>
        <v>422.48042769667234</v>
      </c>
      <c r="M76" s="416"/>
      <c r="N76" s="416"/>
      <c r="O76" s="332"/>
      <c r="P76" s="333">
        <f t="shared" si="41"/>
        <v>0</v>
      </c>
      <c r="Q76" s="327">
        <f t="shared" si="42"/>
        <v>0</v>
      </c>
      <c r="R76" s="334">
        <f t="shared" si="43"/>
        <v>0</v>
      </c>
      <c r="S76" s="335">
        <f t="shared" si="32"/>
        <v>13.558094777928529</v>
      </c>
      <c r="T76" s="335">
        <f t="shared" si="33"/>
        <v>76.814192148629161</v>
      </c>
      <c r="U76" s="336">
        <f t="shared" si="34"/>
        <v>0</v>
      </c>
      <c r="V76" s="336">
        <f t="shared" si="35"/>
        <v>0</v>
      </c>
      <c r="W76" s="336">
        <f t="shared" si="36"/>
        <v>0</v>
      </c>
      <c r="X76" s="336">
        <f t="shared" si="37"/>
        <v>0</v>
      </c>
      <c r="Y76" s="320"/>
      <c r="Z76" s="321" t="str">
        <f t="shared" si="44"/>
        <v>X-T0002A</v>
      </c>
      <c r="AA76" s="321" t="str">
        <f t="shared" si="45"/>
        <v>X-T0002E</v>
      </c>
      <c r="AB76" s="321" t="str">
        <f t="shared" si="46"/>
        <v>X-T0002M</v>
      </c>
      <c r="AC76" s="321" t="str">
        <f t="shared" si="47"/>
        <v>X-T0002T</v>
      </c>
      <c r="AD76" s="321" t="str">
        <f t="shared" si="48"/>
        <v>X-T0002S</v>
      </c>
      <c r="AE76" s="321" t="str">
        <f t="shared" si="49"/>
        <v>X-T0002X</v>
      </c>
      <c r="AF76" s="321" t="str">
        <f t="shared" si="50"/>
        <v>X-T0002A</v>
      </c>
      <c r="AG76" s="321">
        <f t="shared" si="38"/>
        <v>9</v>
      </c>
      <c r="AH76" s="321"/>
      <c r="AI76" s="321" t="str">
        <f t="shared" si="51"/>
        <v>X-T0002</v>
      </c>
      <c r="AJ76" s="320"/>
      <c r="AK76" s="322">
        <f t="shared" si="39"/>
        <v>76</v>
      </c>
      <c r="AL76" s="323">
        <f t="shared" si="52"/>
        <v>84</v>
      </c>
      <c r="AM76" s="322">
        <f t="shared" si="53"/>
        <v>1</v>
      </c>
      <c r="AN76" s="381">
        <f t="shared" si="40"/>
        <v>2.3333333333333334E-2</v>
      </c>
      <c r="AO76" s="322"/>
    </row>
    <row r="77" spans="2:42">
      <c r="B77" s="325" t="s">
        <v>1367</v>
      </c>
      <c r="C77" s="325" t="s">
        <v>1379</v>
      </c>
      <c r="D77" s="326" t="s">
        <v>501</v>
      </c>
      <c r="E77" s="327">
        <f>+SUMIF('AUX-NIV2'!I:I,'AUX-NIV3'!B77,'AUX-NIV2'!Q:Q)</f>
        <v>0</v>
      </c>
      <c r="F77" s="327">
        <f t="shared" si="30"/>
        <v>90.372286926557678</v>
      </c>
      <c r="G77" s="327">
        <f t="shared" si="31"/>
        <v>0</v>
      </c>
      <c r="H77" s="328" t="str">
        <f t="shared" si="29"/>
        <v>A</v>
      </c>
      <c r="I77" s="325" t="s">
        <v>3311</v>
      </c>
      <c r="J77" s="329" t="str">
        <f>IF(B77&lt;&gt;"",+VLOOKUP(I77,Recursos!C:F,2,FALSE),"")</f>
        <v>OPER. EQUIPO</v>
      </c>
      <c r="K77" s="330" t="str">
        <f>IF(B77&lt;&gt;"",+VLOOKUP(I77,Recursos!C:F,3,FALSE),"")</f>
        <v>hh</v>
      </c>
      <c r="L77" s="327">
        <f>IF(B77&lt;&gt;"",+VLOOKUP(I77,Recursos!C:F,4,FALSE),"")</f>
        <v>581.06120476836554</v>
      </c>
      <c r="M77" s="416"/>
      <c r="N77" s="416"/>
      <c r="O77" s="332">
        <f>+O81</f>
        <v>6.6666666666666671E-3</v>
      </c>
      <c r="P77" s="333">
        <f t="shared" si="41"/>
        <v>3.8737413651224371</v>
      </c>
      <c r="Q77" s="327">
        <f t="shared" si="42"/>
        <v>0</v>
      </c>
      <c r="R77" s="334">
        <f t="shared" si="43"/>
        <v>0</v>
      </c>
      <c r="S77" s="335">
        <f t="shared" si="32"/>
        <v>13.558094777928529</v>
      </c>
      <c r="T77" s="335">
        <f t="shared" si="33"/>
        <v>76.814192148629161</v>
      </c>
      <c r="U77" s="336">
        <f t="shared" si="34"/>
        <v>0</v>
      </c>
      <c r="V77" s="336">
        <f t="shared" si="35"/>
        <v>0</v>
      </c>
      <c r="W77" s="336">
        <f t="shared" si="36"/>
        <v>0</v>
      </c>
      <c r="X77" s="336">
        <f t="shared" si="37"/>
        <v>0</v>
      </c>
      <c r="Y77" s="320"/>
      <c r="Z77" s="321" t="str">
        <f t="shared" si="44"/>
        <v>X-T0002A</v>
      </c>
      <c r="AA77" s="321" t="str">
        <f t="shared" si="45"/>
        <v>X-T0002E</v>
      </c>
      <c r="AB77" s="321" t="str">
        <f t="shared" si="46"/>
        <v>X-T0002M</v>
      </c>
      <c r="AC77" s="321" t="str">
        <f t="shared" si="47"/>
        <v>X-T0002T</v>
      </c>
      <c r="AD77" s="321" t="str">
        <f t="shared" si="48"/>
        <v>X-T0002S</v>
      </c>
      <c r="AE77" s="321" t="str">
        <f t="shared" si="49"/>
        <v>X-T0002X</v>
      </c>
      <c r="AF77" s="321" t="str">
        <f t="shared" si="50"/>
        <v>X-T0002A</v>
      </c>
      <c r="AG77" s="321">
        <f t="shared" si="38"/>
        <v>9</v>
      </c>
      <c r="AH77" s="321"/>
      <c r="AI77" s="321" t="str">
        <f t="shared" si="51"/>
        <v>X-T0002</v>
      </c>
      <c r="AJ77" s="320"/>
      <c r="AK77" s="322">
        <f t="shared" si="39"/>
        <v>76</v>
      </c>
      <c r="AL77" s="323">
        <f t="shared" si="52"/>
        <v>84</v>
      </c>
      <c r="AM77" s="322">
        <f t="shared" si="53"/>
        <v>2</v>
      </c>
      <c r="AN77" s="381">
        <f t="shared" si="40"/>
        <v>2.3333333333333334E-2</v>
      </c>
      <c r="AO77" s="322"/>
    </row>
    <row r="78" spans="2:42">
      <c r="B78" s="325" t="s">
        <v>1367</v>
      </c>
      <c r="C78" s="325" t="s">
        <v>1379</v>
      </c>
      <c r="D78" s="326" t="s">
        <v>501</v>
      </c>
      <c r="E78" s="327">
        <f>+SUMIF('AUX-NIV2'!I:I,'AUX-NIV3'!B78,'AUX-NIV2'!Q:Q)</f>
        <v>0</v>
      </c>
      <c r="F78" s="327">
        <f t="shared" si="30"/>
        <v>90.372286926557678</v>
      </c>
      <c r="G78" s="327">
        <f t="shared" si="31"/>
        <v>0</v>
      </c>
      <c r="H78" s="328" t="str">
        <f t="shared" si="29"/>
        <v>A</v>
      </c>
      <c r="I78" s="325" t="s">
        <v>3311</v>
      </c>
      <c r="J78" s="329" t="str">
        <f>IF(B78&lt;&gt;"",+VLOOKUP(I78,Recursos!C:F,2,FALSE),"")</f>
        <v>OPER. EQUIPO</v>
      </c>
      <c r="K78" s="330" t="str">
        <f>IF(B78&lt;&gt;"",+VLOOKUP(I78,Recursos!C:F,3,FALSE),"")</f>
        <v>hh</v>
      </c>
      <c r="L78" s="327">
        <f>IF(B78&lt;&gt;"",+VLOOKUP(I78,Recursos!C:F,4,FALSE),"")</f>
        <v>581.06120476836554</v>
      </c>
      <c r="M78" s="416"/>
      <c r="N78" s="416"/>
      <c r="O78" s="332">
        <f>+O84</f>
        <v>6.6666666666666671E-3</v>
      </c>
      <c r="P78" s="333">
        <f t="shared" si="41"/>
        <v>3.8737413651224371</v>
      </c>
      <c r="Q78" s="327">
        <f t="shared" si="42"/>
        <v>0</v>
      </c>
      <c r="R78" s="334">
        <f t="shared" si="43"/>
        <v>0</v>
      </c>
      <c r="S78" s="335">
        <f t="shared" si="32"/>
        <v>13.558094777928529</v>
      </c>
      <c r="T78" s="335">
        <f t="shared" si="33"/>
        <v>76.814192148629161</v>
      </c>
      <c r="U78" s="336">
        <f t="shared" si="34"/>
        <v>0</v>
      </c>
      <c r="V78" s="336">
        <f t="shared" si="35"/>
        <v>0</v>
      </c>
      <c r="W78" s="336">
        <f t="shared" si="36"/>
        <v>0</v>
      </c>
      <c r="X78" s="336">
        <f t="shared" si="37"/>
        <v>0</v>
      </c>
      <c r="Y78" s="320"/>
      <c r="Z78" s="321" t="str">
        <f t="shared" si="44"/>
        <v>X-T0002A</v>
      </c>
      <c r="AA78" s="321" t="str">
        <f t="shared" si="45"/>
        <v>X-T0002E</v>
      </c>
      <c r="AB78" s="321" t="str">
        <f t="shared" si="46"/>
        <v>X-T0002M</v>
      </c>
      <c r="AC78" s="321" t="str">
        <f t="shared" si="47"/>
        <v>X-T0002T</v>
      </c>
      <c r="AD78" s="321" t="str">
        <f t="shared" si="48"/>
        <v>X-T0002S</v>
      </c>
      <c r="AE78" s="321" t="str">
        <f t="shared" si="49"/>
        <v>X-T0002X</v>
      </c>
      <c r="AF78" s="321" t="str">
        <f t="shared" si="50"/>
        <v>X-T0002A</v>
      </c>
      <c r="AG78" s="321">
        <f t="shared" si="38"/>
        <v>9</v>
      </c>
      <c r="AH78" s="321"/>
      <c r="AI78" s="321" t="str">
        <f t="shared" si="51"/>
        <v>X-T0002</v>
      </c>
      <c r="AJ78" s="320"/>
      <c r="AK78" s="322">
        <f t="shared" si="39"/>
        <v>76</v>
      </c>
      <c r="AL78" s="323">
        <f t="shared" si="52"/>
        <v>84</v>
      </c>
      <c r="AM78" s="322">
        <f t="shared" si="53"/>
        <v>3</v>
      </c>
      <c r="AN78" s="381">
        <f t="shared" si="40"/>
        <v>2.3333333333333334E-2</v>
      </c>
      <c r="AO78" s="322"/>
    </row>
    <row r="79" spans="2:42">
      <c r="B79" s="325" t="s">
        <v>1367</v>
      </c>
      <c r="C79" s="325" t="s">
        <v>1379</v>
      </c>
      <c r="D79" s="326" t="s">
        <v>501</v>
      </c>
      <c r="E79" s="327">
        <f>+SUMIF('AUX-NIV2'!I:I,'AUX-NIV3'!B79,'AUX-NIV2'!Q:Q)</f>
        <v>0</v>
      </c>
      <c r="F79" s="327">
        <f t="shared" si="30"/>
        <v>90.372286926557678</v>
      </c>
      <c r="G79" s="327">
        <f t="shared" si="31"/>
        <v>0</v>
      </c>
      <c r="H79" s="328" t="str">
        <f t="shared" si="29"/>
        <v>A</v>
      </c>
      <c r="I79" s="325" t="s">
        <v>3310</v>
      </c>
      <c r="J79" s="329" t="str">
        <f>IF(B79&lt;&gt;"",+VLOOKUP(I79,Recursos!C:F,2,FALSE),"")</f>
        <v>OFICIAL ESPECIALIZADO</v>
      </c>
      <c r="K79" s="330" t="str">
        <f>IF(B79&lt;&gt;"",+VLOOKUP(I79,Recursos!C:F,3,FALSE),"")</f>
        <v>hh</v>
      </c>
      <c r="L79" s="327">
        <f>IF(B79&lt;&gt;"",+VLOOKUP(I79,Recursos!C:F,4,FALSE),"")</f>
        <v>581.06120476836554</v>
      </c>
      <c r="M79" s="416"/>
      <c r="N79" s="416"/>
      <c r="O79" s="332">
        <f>+O82</f>
        <v>6.6666666666666671E-3</v>
      </c>
      <c r="P79" s="333">
        <f t="shared" si="41"/>
        <v>3.8737413651224371</v>
      </c>
      <c r="Q79" s="327">
        <f t="shared" si="42"/>
        <v>0</v>
      </c>
      <c r="R79" s="334">
        <f t="shared" si="43"/>
        <v>0</v>
      </c>
      <c r="S79" s="335">
        <f t="shared" si="32"/>
        <v>13.558094777928529</v>
      </c>
      <c r="T79" s="335">
        <f t="shared" si="33"/>
        <v>76.814192148629161</v>
      </c>
      <c r="U79" s="336">
        <f t="shared" si="34"/>
        <v>0</v>
      </c>
      <c r="V79" s="336">
        <f t="shared" si="35"/>
        <v>0</v>
      </c>
      <c r="W79" s="336">
        <f t="shared" si="36"/>
        <v>0</v>
      </c>
      <c r="X79" s="336">
        <f t="shared" si="37"/>
        <v>0</v>
      </c>
      <c r="Y79" s="320"/>
      <c r="Z79" s="321" t="str">
        <f t="shared" si="44"/>
        <v>X-T0002A</v>
      </c>
      <c r="AA79" s="321" t="str">
        <f t="shared" si="45"/>
        <v>X-T0002E</v>
      </c>
      <c r="AB79" s="321" t="str">
        <f t="shared" si="46"/>
        <v>X-T0002M</v>
      </c>
      <c r="AC79" s="321" t="str">
        <f t="shared" si="47"/>
        <v>X-T0002T</v>
      </c>
      <c r="AD79" s="321" t="str">
        <f t="shared" si="48"/>
        <v>X-T0002S</v>
      </c>
      <c r="AE79" s="321" t="str">
        <f t="shared" si="49"/>
        <v>X-T0002X</v>
      </c>
      <c r="AF79" s="321" t="str">
        <f t="shared" si="50"/>
        <v>X-T0002A</v>
      </c>
      <c r="AG79" s="321">
        <f t="shared" si="38"/>
        <v>9</v>
      </c>
      <c r="AH79" s="321"/>
      <c r="AI79" s="321" t="str">
        <f t="shared" si="51"/>
        <v>X-T0002</v>
      </c>
      <c r="AJ79" s="320"/>
      <c r="AK79" s="322">
        <f t="shared" si="39"/>
        <v>76</v>
      </c>
      <c r="AL79" s="323">
        <f t="shared" si="52"/>
        <v>84</v>
      </c>
      <c r="AM79" s="322">
        <f t="shared" si="53"/>
        <v>4</v>
      </c>
      <c r="AN79" s="381">
        <f t="shared" si="40"/>
        <v>2.3333333333333334E-2</v>
      </c>
      <c r="AO79" s="322"/>
    </row>
    <row r="80" spans="2:42">
      <c r="B80" s="325" t="s">
        <v>1367</v>
      </c>
      <c r="C80" s="325" t="s">
        <v>1379</v>
      </c>
      <c r="D80" s="326" t="s">
        <v>501</v>
      </c>
      <c r="E80" s="327">
        <f>+SUMIF('AUX-NIV2'!I:I,'AUX-NIV3'!B80,'AUX-NIV2'!Q:Q)</f>
        <v>0</v>
      </c>
      <c r="F80" s="327">
        <f t="shared" si="30"/>
        <v>90.372286926557678</v>
      </c>
      <c r="G80" s="327">
        <f t="shared" si="31"/>
        <v>0</v>
      </c>
      <c r="H80" s="328" t="str">
        <f t="shared" si="29"/>
        <v>A</v>
      </c>
      <c r="I80" s="325" t="s">
        <v>3310</v>
      </c>
      <c r="J80" s="329" t="str">
        <f>IF(B80&lt;&gt;"",+VLOOKUP(I80,Recursos!C:F,2,FALSE),"")</f>
        <v>OFICIAL ESPECIALIZADO</v>
      </c>
      <c r="K80" s="330" t="str">
        <f>IF(B80&lt;&gt;"",+VLOOKUP(I80,Recursos!C:F,3,FALSE),"")</f>
        <v>hh</v>
      </c>
      <c r="L80" s="327">
        <f>IF(B80&lt;&gt;"",+VLOOKUP(I80,Recursos!C:F,4,FALSE),"")</f>
        <v>581.06120476836554</v>
      </c>
      <c r="M80" s="416"/>
      <c r="N80" s="416"/>
      <c r="O80" s="332">
        <f>+O83</f>
        <v>3.3333333333333335E-3</v>
      </c>
      <c r="P80" s="333">
        <f t="shared" si="41"/>
        <v>1.9368706825612185</v>
      </c>
      <c r="Q80" s="327">
        <f t="shared" si="42"/>
        <v>0</v>
      </c>
      <c r="R80" s="334">
        <f t="shared" si="43"/>
        <v>0</v>
      </c>
      <c r="S80" s="335">
        <f t="shared" si="32"/>
        <v>13.558094777928529</v>
      </c>
      <c r="T80" s="335">
        <f t="shared" si="33"/>
        <v>76.814192148629161</v>
      </c>
      <c r="U80" s="336">
        <f t="shared" si="34"/>
        <v>0</v>
      </c>
      <c r="V80" s="336">
        <f t="shared" si="35"/>
        <v>0</v>
      </c>
      <c r="W80" s="336">
        <f t="shared" si="36"/>
        <v>0</v>
      </c>
      <c r="X80" s="336">
        <f t="shared" si="37"/>
        <v>0</v>
      </c>
      <c r="Y80" s="320"/>
      <c r="Z80" s="321" t="str">
        <f t="shared" si="44"/>
        <v>X-T0002A</v>
      </c>
      <c r="AA80" s="321" t="str">
        <f t="shared" si="45"/>
        <v>X-T0002E</v>
      </c>
      <c r="AB80" s="321" t="str">
        <f t="shared" si="46"/>
        <v>X-T0002M</v>
      </c>
      <c r="AC80" s="321" t="str">
        <f t="shared" si="47"/>
        <v>X-T0002T</v>
      </c>
      <c r="AD80" s="321" t="str">
        <f t="shared" si="48"/>
        <v>X-T0002S</v>
      </c>
      <c r="AE80" s="321" t="str">
        <f t="shared" si="49"/>
        <v>X-T0002X</v>
      </c>
      <c r="AF80" s="321" t="str">
        <f t="shared" si="50"/>
        <v>X-T0002A</v>
      </c>
      <c r="AG80" s="321">
        <f t="shared" si="38"/>
        <v>9</v>
      </c>
      <c r="AH80" s="321"/>
      <c r="AI80" s="321" t="str">
        <f t="shared" si="51"/>
        <v>X-T0002</v>
      </c>
      <c r="AJ80" s="320"/>
      <c r="AK80" s="322">
        <f t="shared" si="39"/>
        <v>76</v>
      </c>
      <c r="AL80" s="323">
        <f t="shared" si="52"/>
        <v>84</v>
      </c>
      <c r="AM80" s="322">
        <f t="shared" si="53"/>
        <v>5</v>
      </c>
      <c r="AN80" s="381">
        <f t="shared" si="40"/>
        <v>2.3333333333333334E-2</v>
      </c>
      <c r="AO80" s="322"/>
    </row>
    <row r="81" spans="2:41">
      <c r="B81" s="325" t="s">
        <v>1367</v>
      </c>
      <c r="C81" s="325" t="s">
        <v>1379</v>
      </c>
      <c r="D81" s="326" t="s">
        <v>501</v>
      </c>
      <c r="E81" s="327">
        <f>+SUMIF('AUX-NIV2'!I:I,'AUX-NIV3'!B81,'AUX-NIV2'!Q:Q)</f>
        <v>0</v>
      </c>
      <c r="F81" s="327">
        <f t="shared" si="30"/>
        <v>90.372286926557678</v>
      </c>
      <c r="G81" s="327">
        <f t="shared" si="31"/>
        <v>0</v>
      </c>
      <c r="H81" s="328" t="str">
        <f t="shared" si="29"/>
        <v>E</v>
      </c>
      <c r="I81" s="325" t="s">
        <v>1547</v>
      </c>
      <c r="J81" s="329" t="str">
        <f>IF(B81&lt;&gt;"",+VLOOKUP(I81,Recursos!C:F,2,FALSE),"")</f>
        <v>MOTONIVELADORA 14" (21 T)</v>
      </c>
      <c r="K81" s="330" t="str">
        <f>IF(B81&lt;&gt;"",+VLOOKUP(I81,Recursos!C:F,3,FALSE),"")</f>
        <v>HR</v>
      </c>
      <c r="L81" s="327">
        <f>IF(B81&lt;&gt;"",+VLOOKUP(I81,Recursos!C:F,4,FALSE),"")</f>
        <v>6194.8620000000001</v>
      </c>
      <c r="M81" s="416">
        <v>1</v>
      </c>
      <c r="N81" s="416">
        <v>150</v>
      </c>
      <c r="O81" s="332">
        <f>+M81/N81</f>
        <v>6.6666666666666671E-3</v>
      </c>
      <c r="P81" s="333">
        <f t="shared" si="41"/>
        <v>41.299080000000004</v>
      </c>
      <c r="Q81" s="327">
        <f t="shared" si="42"/>
        <v>0</v>
      </c>
      <c r="R81" s="334">
        <f t="shared" si="43"/>
        <v>0</v>
      </c>
      <c r="S81" s="335">
        <f t="shared" si="32"/>
        <v>13.558094777928529</v>
      </c>
      <c r="T81" s="335">
        <f t="shared" si="33"/>
        <v>76.814192148629161</v>
      </c>
      <c r="U81" s="336">
        <f t="shared" si="34"/>
        <v>0</v>
      </c>
      <c r="V81" s="336">
        <f t="shared" si="35"/>
        <v>0</v>
      </c>
      <c r="W81" s="336">
        <f t="shared" si="36"/>
        <v>0</v>
      </c>
      <c r="X81" s="336">
        <f t="shared" si="37"/>
        <v>0</v>
      </c>
      <c r="Y81" s="320"/>
      <c r="Z81" s="321" t="str">
        <f t="shared" si="44"/>
        <v>X-T0002A</v>
      </c>
      <c r="AA81" s="321" t="str">
        <f t="shared" si="45"/>
        <v>X-T0002E</v>
      </c>
      <c r="AB81" s="321" t="str">
        <f t="shared" si="46"/>
        <v>X-T0002M</v>
      </c>
      <c r="AC81" s="321" t="str">
        <f t="shared" si="47"/>
        <v>X-T0002T</v>
      </c>
      <c r="AD81" s="321" t="str">
        <f t="shared" si="48"/>
        <v>X-T0002S</v>
      </c>
      <c r="AE81" s="321" t="str">
        <f t="shared" si="49"/>
        <v>X-T0002X</v>
      </c>
      <c r="AF81" s="321" t="str">
        <f t="shared" si="50"/>
        <v>X-T0002E</v>
      </c>
      <c r="AG81" s="321">
        <f t="shared" si="38"/>
        <v>9</v>
      </c>
      <c r="AH81" s="321"/>
      <c r="AI81" s="321" t="str">
        <f t="shared" si="51"/>
        <v>X-T0002</v>
      </c>
      <c r="AJ81" s="320"/>
      <c r="AK81" s="322">
        <f t="shared" si="39"/>
        <v>76</v>
      </c>
      <c r="AL81" s="323">
        <f t="shared" si="52"/>
        <v>84</v>
      </c>
      <c r="AM81" s="322">
        <f t="shared" si="53"/>
        <v>6</v>
      </c>
      <c r="AN81" s="381">
        <f t="shared" si="40"/>
        <v>2.3333333333333334E-2</v>
      </c>
      <c r="AO81" s="322"/>
    </row>
    <row r="82" spans="2:41">
      <c r="B82" s="325" t="s">
        <v>1367</v>
      </c>
      <c r="C82" s="325" t="s">
        <v>1379</v>
      </c>
      <c r="D82" s="326" t="s">
        <v>501</v>
      </c>
      <c r="E82" s="327">
        <f>+SUMIF('AUX-NIV2'!I:I,'AUX-NIV3'!B82,'AUX-NIV2'!Q:Q)</f>
        <v>0</v>
      </c>
      <c r="F82" s="327">
        <f t="shared" si="30"/>
        <v>90.372286926557678</v>
      </c>
      <c r="G82" s="327">
        <f t="shared" si="31"/>
        <v>0</v>
      </c>
      <c r="H82" s="328" t="str">
        <f t="shared" si="29"/>
        <v>E</v>
      </c>
      <c r="I82" s="325" t="s">
        <v>1563</v>
      </c>
      <c r="J82" s="329" t="str">
        <f>IF(B82&lt;&gt;"",+VLOOKUP(I82,Recursos!C:F,2,FALSE),"")</f>
        <v>CAMION REGADOR CAP. 11 m3</v>
      </c>
      <c r="K82" s="330" t="str">
        <f>IF(B82&lt;&gt;"",+VLOOKUP(I82,Recursos!C:F,3,FALSE),"")</f>
        <v>HR</v>
      </c>
      <c r="L82" s="327">
        <f>IF(B82&lt;&gt;"",+VLOOKUP(I82,Recursos!C:F,4,FALSE),"")</f>
        <v>2430.5830389610392</v>
      </c>
      <c r="M82" s="416"/>
      <c r="N82" s="416"/>
      <c r="O82" s="332">
        <f>+O81</f>
        <v>6.6666666666666671E-3</v>
      </c>
      <c r="P82" s="333">
        <f t="shared" si="41"/>
        <v>16.203886926406931</v>
      </c>
      <c r="Q82" s="327">
        <f t="shared" si="42"/>
        <v>0</v>
      </c>
      <c r="R82" s="334">
        <f t="shared" si="43"/>
        <v>0</v>
      </c>
      <c r="S82" s="335">
        <f t="shared" si="32"/>
        <v>13.558094777928529</v>
      </c>
      <c r="T82" s="335">
        <f t="shared" si="33"/>
        <v>76.814192148629161</v>
      </c>
      <c r="U82" s="336">
        <f t="shared" si="34"/>
        <v>0</v>
      </c>
      <c r="V82" s="336">
        <f t="shared" si="35"/>
        <v>0</v>
      </c>
      <c r="W82" s="336">
        <f t="shared" si="36"/>
        <v>0</v>
      </c>
      <c r="X82" s="336">
        <f t="shared" si="37"/>
        <v>0</v>
      </c>
      <c r="Y82" s="320"/>
      <c r="Z82" s="321" t="str">
        <f t="shared" si="44"/>
        <v>X-T0002A</v>
      </c>
      <c r="AA82" s="321" t="str">
        <f t="shared" si="45"/>
        <v>X-T0002E</v>
      </c>
      <c r="AB82" s="321" t="str">
        <f t="shared" si="46"/>
        <v>X-T0002M</v>
      </c>
      <c r="AC82" s="321" t="str">
        <f t="shared" si="47"/>
        <v>X-T0002T</v>
      </c>
      <c r="AD82" s="321" t="str">
        <f t="shared" si="48"/>
        <v>X-T0002S</v>
      </c>
      <c r="AE82" s="321" t="str">
        <f t="shared" si="49"/>
        <v>X-T0002X</v>
      </c>
      <c r="AF82" s="321" t="str">
        <f t="shared" si="50"/>
        <v>X-T0002E</v>
      </c>
      <c r="AG82" s="321">
        <f t="shared" si="38"/>
        <v>9</v>
      </c>
      <c r="AH82" s="321"/>
      <c r="AI82" s="321" t="str">
        <f t="shared" si="51"/>
        <v>X-T0002</v>
      </c>
      <c r="AJ82" s="320"/>
      <c r="AK82" s="322">
        <f t="shared" si="39"/>
        <v>76</v>
      </c>
      <c r="AL82" s="323">
        <f t="shared" si="52"/>
        <v>84</v>
      </c>
      <c r="AM82" s="322">
        <f t="shared" si="53"/>
        <v>7</v>
      </c>
      <c r="AN82" s="381">
        <f t="shared" si="40"/>
        <v>2.3333333333333334E-2</v>
      </c>
      <c r="AO82" s="322"/>
    </row>
    <row r="83" spans="2:41">
      <c r="B83" s="325" t="s">
        <v>1367</v>
      </c>
      <c r="C83" s="325" t="s">
        <v>1379</v>
      </c>
      <c r="D83" s="326" t="s">
        <v>501</v>
      </c>
      <c r="E83" s="327">
        <f>+SUMIF('AUX-NIV2'!I:I,'AUX-NIV3'!B83,'AUX-NIV2'!Q:Q)</f>
        <v>0</v>
      </c>
      <c r="F83" s="327">
        <f t="shared" si="30"/>
        <v>90.372286926557678</v>
      </c>
      <c r="G83" s="327">
        <f t="shared" si="31"/>
        <v>0</v>
      </c>
      <c r="H83" s="328" t="str">
        <f t="shared" si="29"/>
        <v>E</v>
      </c>
      <c r="I83" s="325" t="s">
        <v>1567</v>
      </c>
      <c r="J83" s="329" t="str">
        <f>IF(B83&lt;&gt;"",+VLOOKUP(I83,Recursos!C:F,2,FALSE),"")</f>
        <v>COMPACT.LISO VIBR.AUTOPROP.(11 T)</v>
      </c>
      <c r="K83" s="330" t="str">
        <f>IF(B83&lt;&gt;"",+VLOOKUP(I83,Recursos!C:F,3,FALSE),"")</f>
        <v>HR</v>
      </c>
      <c r="L83" s="327">
        <f>IF(B83&lt;&gt;"",+VLOOKUP(I83,Recursos!C:F,4,FALSE),"")</f>
        <v>2197.9879999999998</v>
      </c>
      <c r="M83" s="416"/>
      <c r="N83" s="416">
        <v>0.5</v>
      </c>
      <c r="O83" s="417">
        <f>+N83*O82</f>
        <v>3.3333333333333335E-3</v>
      </c>
      <c r="P83" s="333">
        <f t="shared" si="41"/>
        <v>7.3266266666666668</v>
      </c>
      <c r="Q83" s="327">
        <f t="shared" si="42"/>
        <v>0</v>
      </c>
      <c r="R83" s="334">
        <f t="shared" si="43"/>
        <v>0</v>
      </c>
      <c r="S83" s="335">
        <f t="shared" si="32"/>
        <v>13.558094777928529</v>
      </c>
      <c r="T83" s="335">
        <f t="shared" si="33"/>
        <v>76.814192148629161</v>
      </c>
      <c r="U83" s="336">
        <f t="shared" si="34"/>
        <v>0</v>
      </c>
      <c r="V83" s="336">
        <f t="shared" si="35"/>
        <v>0</v>
      </c>
      <c r="W83" s="336">
        <f t="shared" si="36"/>
        <v>0</v>
      </c>
      <c r="X83" s="336">
        <f t="shared" si="37"/>
        <v>0</v>
      </c>
      <c r="Y83" s="320"/>
      <c r="Z83" s="321" t="str">
        <f t="shared" si="44"/>
        <v>X-T0002A</v>
      </c>
      <c r="AA83" s="321" t="str">
        <f t="shared" si="45"/>
        <v>X-T0002E</v>
      </c>
      <c r="AB83" s="321" t="str">
        <f t="shared" si="46"/>
        <v>X-T0002M</v>
      </c>
      <c r="AC83" s="321" t="str">
        <f t="shared" si="47"/>
        <v>X-T0002T</v>
      </c>
      <c r="AD83" s="321" t="str">
        <f t="shared" si="48"/>
        <v>X-T0002S</v>
      </c>
      <c r="AE83" s="321" t="str">
        <f t="shared" si="49"/>
        <v>X-T0002X</v>
      </c>
      <c r="AF83" s="321" t="str">
        <f t="shared" si="50"/>
        <v>X-T0002E</v>
      </c>
      <c r="AG83" s="321">
        <f t="shared" si="38"/>
        <v>9</v>
      </c>
      <c r="AH83" s="321"/>
      <c r="AI83" s="321" t="str">
        <f t="shared" si="51"/>
        <v>X-T0002</v>
      </c>
      <c r="AJ83" s="320"/>
      <c r="AK83" s="322">
        <f t="shared" si="39"/>
        <v>76</v>
      </c>
      <c r="AL83" s="323">
        <f t="shared" si="52"/>
        <v>84</v>
      </c>
      <c r="AM83" s="322">
        <f t="shared" si="53"/>
        <v>8</v>
      </c>
      <c r="AN83" s="381">
        <f t="shared" si="40"/>
        <v>2.3333333333333334E-2</v>
      </c>
      <c r="AO83" s="322"/>
    </row>
    <row r="84" spans="2:41">
      <c r="B84" s="325" t="s">
        <v>1367</v>
      </c>
      <c r="C84" s="325" t="s">
        <v>1379</v>
      </c>
      <c r="D84" s="326" t="s">
        <v>501</v>
      </c>
      <c r="E84" s="327">
        <f>+SUMIF('AUX-NIV2'!I:I,'AUX-NIV3'!B84,'AUX-NIV2'!Q:Q)</f>
        <v>0</v>
      </c>
      <c r="F84" s="327">
        <f t="shared" si="30"/>
        <v>90.372286926557678</v>
      </c>
      <c r="G84" s="327">
        <f t="shared" si="31"/>
        <v>0</v>
      </c>
      <c r="H84" s="328" t="str">
        <f t="shared" si="29"/>
        <v>E</v>
      </c>
      <c r="I84" s="325" t="s">
        <v>1569</v>
      </c>
      <c r="J84" s="329" t="str">
        <f>IF(B84&lt;&gt;"",+VLOOKUP(I84,Recursos!C:F,2,FALSE),"")</f>
        <v>COMPACTADOR NEUMAT.AUTOPROP.(22 T)</v>
      </c>
      <c r="K84" s="330" t="str">
        <f>IF(B84&lt;&gt;"",+VLOOKUP(I84,Recursos!C:F,3,FALSE),"")</f>
        <v>HR</v>
      </c>
      <c r="L84" s="327">
        <f>IF(B84&lt;&gt;"",+VLOOKUP(I84,Recursos!C:F,4,FALSE),"")</f>
        <v>1797.6897833333335</v>
      </c>
      <c r="M84" s="416"/>
      <c r="N84" s="416"/>
      <c r="O84" s="332">
        <f>+O82</f>
        <v>6.6666666666666671E-3</v>
      </c>
      <c r="P84" s="333">
        <f t="shared" si="41"/>
        <v>11.984598555555557</v>
      </c>
      <c r="Q84" s="327">
        <f t="shared" si="42"/>
        <v>0</v>
      </c>
      <c r="R84" s="334">
        <f t="shared" si="43"/>
        <v>0</v>
      </c>
      <c r="S84" s="335">
        <f t="shared" si="32"/>
        <v>13.558094777928529</v>
      </c>
      <c r="T84" s="335">
        <f t="shared" si="33"/>
        <v>76.814192148629161</v>
      </c>
      <c r="U84" s="336">
        <f t="shared" si="34"/>
        <v>0</v>
      </c>
      <c r="V84" s="336">
        <f t="shared" si="35"/>
        <v>0</v>
      </c>
      <c r="W84" s="336">
        <f t="shared" si="36"/>
        <v>0</v>
      </c>
      <c r="X84" s="336">
        <f t="shared" si="37"/>
        <v>0</v>
      </c>
      <c r="Y84" s="320"/>
      <c r="Z84" s="321" t="str">
        <f t="shared" si="44"/>
        <v>X-T0002A</v>
      </c>
      <c r="AA84" s="321" t="str">
        <f t="shared" si="45"/>
        <v>X-T0002E</v>
      </c>
      <c r="AB84" s="321" t="str">
        <f t="shared" si="46"/>
        <v>X-T0002M</v>
      </c>
      <c r="AC84" s="321" t="str">
        <f t="shared" si="47"/>
        <v>X-T0002T</v>
      </c>
      <c r="AD84" s="321" t="str">
        <f t="shared" si="48"/>
        <v>X-T0002S</v>
      </c>
      <c r="AE84" s="321" t="str">
        <f t="shared" si="49"/>
        <v>X-T0002X</v>
      </c>
      <c r="AF84" s="321" t="str">
        <f t="shared" si="50"/>
        <v>X-T0002E</v>
      </c>
      <c r="AG84" s="321">
        <f t="shared" si="38"/>
        <v>9</v>
      </c>
      <c r="AH84" s="321"/>
      <c r="AI84" s="321" t="str">
        <f t="shared" si="51"/>
        <v>X-T0002</v>
      </c>
      <c r="AJ84" s="320"/>
      <c r="AK84" s="322">
        <f t="shared" si="39"/>
        <v>76</v>
      </c>
      <c r="AL84" s="323">
        <f t="shared" si="52"/>
        <v>84</v>
      </c>
      <c r="AM84" s="322">
        <f t="shared" si="53"/>
        <v>9</v>
      </c>
      <c r="AN84" s="381">
        <f t="shared" si="40"/>
        <v>2.3333333333333334E-2</v>
      </c>
      <c r="AO84" s="322"/>
    </row>
    <row r="85" spans="2:41">
      <c r="B85" s="324" t="s">
        <v>1415</v>
      </c>
      <c r="C85" s="325" t="s">
        <v>1418</v>
      </c>
      <c r="D85" s="326" t="s">
        <v>1411</v>
      </c>
      <c r="E85" s="327">
        <f>+SUMIF('AUX-NIV2'!I:I,'AUX-NIV3'!B85,'AUX-NIV2'!Q:Q)</f>
        <v>0</v>
      </c>
      <c r="F85" s="327">
        <f t="shared" si="30"/>
        <v>23.290544728722342</v>
      </c>
      <c r="G85" s="327">
        <f t="shared" si="31"/>
        <v>0</v>
      </c>
      <c r="H85" s="328" t="str">
        <f t="shared" si="29"/>
        <v>A</v>
      </c>
      <c r="I85" s="325" t="s">
        <v>1745</v>
      </c>
      <c r="J85" s="329" t="str">
        <f>IF(B85&lt;&gt;"",+VLOOKUP(I85,Recursos!C:F,2,FALSE),"")</f>
        <v>AYUDANTE</v>
      </c>
      <c r="K85" s="330" t="str">
        <f>IF(B85&lt;&gt;"",+VLOOKUP(I85,Recursos!C:F,3,FALSE),"")</f>
        <v>hh</v>
      </c>
      <c r="L85" s="327">
        <f>IF(B85&lt;&gt;"",+VLOOKUP(I85,Recursos!C:F,4,FALSE),"")</f>
        <v>422.48042769667234</v>
      </c>
      <c r="M85" s="331"/>
      <c r="N85" s="331">
        <v>0.5</v>
      </c>
      <c r="O85" s="332">
        <f>+N85*O86</f>
        <v>1.6666666666666668E-3</v>
      </c>
      <c r="P85" s="333">
        <f t="shared" si="41"/>
        <v>0.70413404616112063</v>
      </c>
      <c r="Q85" s="327">
        <f t="shared" si="42"/>
        <v>0</v>
      </c>
      <c r="R85" s="334">
        <f t="shared" si="43"/>
        <v>0</v>
      </c>
      <c r="S85" s="335">
        <f t="shared" si="32"/>
        <v>2.641004728722339</v>
      </c>
      <c r="T85" s="335">
        <f t="shared" si="33"/>
        <v>20.649540000000002</v>
      </c>
      <c r="U85" s="336">
        <f t="shared" si="34"/>
        <v>0</v>
      </c>
      <c r="V85" s="336">
        <f t="shared" si="35"/>
        <v>0</v>
      </c>
      <c r="W85" s="336">
        <f t="shared" si="36"/>
        <v>0</v>
      </c>
      <c r="X85" s="336">
        <f t="shared" si="37"/>
        <v>0</v>
      </c>
      <c r="Y85" s="320"/>
      <c r="Z85" s="321" t="str">
        <f t="shared" si="44"/>
        <v>X-TER.0040A</v>
      </c>
      <c r="AA85" s="321" t="str">
        <f t="shared" si="45"/>
        <v>X-TER.0040E</v>
      </c>
      <c r="AB85" s="321" t="str">
        <f t="shared" si="46"/>
        <v>X-TER.0040M</v>
      </c>
      <c r="AC85" s="321" t="str">
        <f t="shared" si="47"/>
        <v>X-TER.0040T</v>
      </c>
      <c r="AD85" s="321" t="str">
        <f t="shared" si="48"/>
        <v>X-TER.0040S</v>
      </c>
      <c r="AE85" s="321" t="str">
        <f t="shared" si="49"/>
        <v>X-TER.0040X</v>
      </c>
      <c r="AF85" s="321" t="str">
        <f t="shared" si="50"/>
        <v>X-TER.0040A</v>
      </c>
      <c r="AG85" s="321">
        <f t="shared" si="38"/>
        <v>3</v>
      </c>
      <c r="AH85" s="321"/>
      <c r="AI85" s="321" t="str">
        <f t="shared" si="51"/>
        <v>X-TER.0040</v>
      </c>
      <c r="AJ85" s="320"/>
      <c r="AK85" s="322">
        <f t="shared" si="39"/>
        <v>85</v>
      </c>
      <c r="AL85" s="323">
        <f t="shared" si="52"/>
        <v>87</v>
      </c>
      <c r="AM85" s="322">
        <f t="shared" si="53"/>
        <v>1</v>
      </c>
      <c r="AN85" s="381">
        <f t="shared" si="40"/>
        <v>5.0000000000000001E-3</v>
      </c>
      <c r="AO85" s="322"/>
    </row>
    <row r="86" spans="2:41">
      <c r="B86" s="324" t="s">
        <v>1415</v>
      </c>
      <c r="C86" s="325" t="s">
        <v>1418</v>
      </c>
      <c r="D86" s="326" t="s">
        <v>1411</v>
      </c>
      <c r="E86" s="327">
        <f>+SUMIF('AUX-NIV2'!I:I,'AUX-NIV3'!B86,'AUX-NIV2'!Q:Q)</f>
        <v>0</v>
      </c>
      <c r="F86" s="327">
        <f t="shared" si="30"/>
        <v>23.290544728722342</v>
      </c>
      <c r="G86" s="327">
        <f t="shared" si="31"/>
        <v>0</v>
      </c>
      <c r="H86" s="328" t="str">
        <f t="shared" si="29"/>
        <v>A</v>
      </c>
      <c r="I86" s="325" t="s">
        <v>3311</v>
      </c>
      <c r="J86" s="329" t="str">
        <f>IF(B86&lt;&gt;"",+VLOOKUP(I86,Recursos!C:F,2,FALSE),"")</f>
        <v>OPER. EQUIPO</v>
      </c>
      <c r="K86" s="330" t="str">
        <f>IF(B86&lt;&gt;"",+VLOOKUP(I86,Recursos!C:F,3,FALSE),"")</f>
        <v>hh</v>
      </c>
      <c r="L86" s="327">
        <f>IF(B86&lt;&gt;"",+VLOOKUP(I86,Recursos!C:F,4,FALSE),"")</f>
        <v>581.06120476836554</v>
      </c>
      <c r="M86" s="331"/>
      <c r="N86" s="331"/>
      <c r="O86" s="332">
        <f>+O87</f>
        <v>3.3333333333333335E-3</v>
      </c>
      <c r="P86" s="333">
        <f t="shared" si="41"/>
        <v>1.9368706825612185</v>
      </c>
      <c r="Q86" s="327">
        <f t="shared" si="42"/>
        <v>0</v>
      </c>
      <c r="R86" s="334">
        <f t="shared" si="43"/>
        <v>0</v>
      </c>
      <c r="S86" s="335">
        <f t="shared" si="32"/>
        <v>2.641004728722339</v>
      </c>
      <c r="T86" s="335">
        <f t="shared" si="33"/>
        <v>20.649540000000002</v>
      </c>
      <c r="U86" s="336">
        <f t="shared" si="34"/>
        <v>0</v>
      </c>
      <c r="V86" s="336">
        <f t="shared" si="35"/>
        <v>0</v>
      </c>
      <c r="W86" s="336">
        <f t="shared" si="36"/>
        <v>0</v>
      </c>
      <c r="X86" s="336">
        <f t="shared" si="37"/>
        <v>0</v>
      </c>
      <c r="Y86" s="320"/>
      <c r="Z86" s="321" t="str">
        <f t="shared" si="44"/>
        <v>X-TER.0040A</v>
      </c>
      <c r="AA86" s="321" t="str">
        <f t="shared" si="45"/>
        <v>X-TER.0040E</v>
      </c>
      <c r="AB86" s="321" t="str">
        <f t="shared" si="46"/>
        <v>X-TER.0040M</v>
      </c>
      <c r="AC86" s="321" t="str">
        <f t="shared" si="47"/>
        <v>X-TER.0040T</v>
      </c>
      <c r="AD86" s="321" t="str">
        <f t="shared" si="48"/>
        <v>X-TER.0040S</v>
      </c>
      <c r="AE86" s="321" t="str">
        <f t="shared" si="49"/>
        <v>X-TER.0040X</v>
      </c>
      <c r="AF86" s="321" t="str">
        <f t="shared" si="50"/>
        <v>X-TER.0040A</v>
      </c>
      <c r="AG86" s="321">
        <f t="shared" si="38"/>
        <v>3</v>
      </c>
      <c r="AH86" s="321"/>
      <c r="AI86" s="321" t="str">
        <f t="shared" si="51"/>
        <v>X-TER.0040</v>
      </c>
      <c r="AJ86" s="320"/>
      <c r="AK86" s="322">
        <f t="shared" si="39"/>
        <v>85</v>
      </c>
      <c r="AL86" s="323">
        <f t="shared" si="52"/>
        <v>87</v>
      </c>
      <c r="AM86" s="322">
        <f t="shared" si="53"/>
        <v>2</v>
      </c>
      <c r="AN86" s="381">
        <f t="shared" si="40"/>
        <v>5.0000000000000001E-3</v>
      </c>
      <c r="AO86" s="322"/>
    </row>
    <row r="87" spans="2:41">
      <c r="B87" s="324" t="s">
        <v>1415</v>
      </c>
      <c r="C87" s="325" t="s">
        <v>1418</v>
      </c>
      <c r="D87" s="326" t="s">
        <v>1411</v>
      </c>
      <c r="E87" s="327">
        <f>+SUMIF('AUX-NIV2'!I:I,'AUX-NIV3'!B87,'AUX-NIV2'!Q:Q)</f>
        <v>0</v>
      </c>
      <c r="F87" s="327">
        <f t="shared" si="30"/>
        <v>23.290544728722342</v>
      </c>
      <c r="G87" s="327">
        <f t="shared" si="31"/>
        <v>0</v>
      </c>
      <c r="H87" s="328" t="str">
        <f t="shared" si="29"/>
        <v>E</v>
      </c>
      <c r="I87" s="325" t="s">
        <v>1547</v>
      </c>
      <c r="J87" s="329" t="str">
        <f>IF(B87&lt;&gt;"",+VLOOKUP(I87,Recursos!C:F,2,FALSE),"")</f>
        <v>MOTONIVELADORA 14" (21 T)</v>
      </c>
      <c r="K87" s="330" t="str">
        <f>IF(B87&lt;&gt;"",+VLOOKUP(I87,Recursos!C:F,3,FALSE),"")</f>
        <v>HR</v>
      </c>
      <c r="L87" s="327">
        <f>IF(B87&lt;&gt;"",+VLOOKUP(I87,Recursos!C:F,4,FALSE),"")</f>
        <v>6194.8620000000001</v>
      </c>
      <c r="M87" s="331">
        <v>1</v>
      </c>
      <c r="N87" s="331">
        <v>300</v>
      </c>
      <c r="O87" s="332">
        <f>+M87/N87</f>
        <v>3.3333333333333335E-3</v>
      </c>
      <c r="P87" s="333">
        <f t="shared" si="41"/>
        <v>20.649540000000002</v>
      </c>
      <c r="Q87" s="327">
        <f t="shared" si="42"/>
        <v>0</v>
      </c>
      <c r="R87" s="334">
        <f t="shared" si="43"/>
        <v>0</v>
      </c>
      <c r="S87" s="335">
        <f t="shared" si="32"/>
        <v>2.641004728722339</v>
      </c>
      <c r="T87" s="335">
        <f t="shared" si="33"/>
        <v>20.649540000000002</v>
      </c>
      <c r="U87" s="336">
        <f t="shared" si="34"/>
        <v>0</v>
      </c>
      <c r="V87" s="336">
        <f t="shared" si="35"/>
        <v>0</v>
      </c>
      <c r="W87" s="336">
        <f t="shared" si="36"/>
        <v>0</v>
      </c>
      <c r="X87" s="336">
        <f t="shared" si="37"/>
        <v>0</v>
      </c>
      <c r="Y87" s="320"/>
      <c r="Z87" s="321" t="str">
        <f t="shared" si="44"/>
        <v>X-TER.0040A</v>
      </c>
      <c r="AA87" s="321" t="str">
        <f t="shared" si="45"/>
        <v>X-TER.0040E</v>
      </c>
      <c r="AB87" s="321" t="str">
        <f t="shared" si="46"/>
        <v>X-TER.0040M</v>
      </c>
      <c r="AC87" s="321" t="str">
        <f t="shared" si="47"/>
        <v>X-TER.0040T</v>
      </c>
      <c r="AD87" s="321" t="str">
        <f t="shared" si="48"/>
        <v>X-TER.0040S</v>
      </c>
      <c r="AE87" s="321" t="str">
        <f t="shared" si="49"/>
        <v>X-TER.0040X</v>
      </c>
      <c r="AF87" s="321" t="str">
        <f t="shared" si="50"/>
        <v>X-TER.0040E</v>
      </c>
      <c r="AG87" s="321">
        <f t="shared" si="38"/>
        <v>3</v>
      </c>
      <c r="AH87" s="321"/>
      <c r="AI87" s="321" t="str">
        <f t="shared" si="51"/>
        <v>X-TER.0040</v>
      </c>
      <c r="AJ87" s="320"/>
      <c r="AK87" s="322">
        <f t="shared" si="39"/>
        <v>85</v>
      </c>
      <c r="AL87" s="323">
        <f t="shared" si="52"/>
        <v>87</v>
      </c>
      <c r="AM87" s="322">
        <f t="shared" si="53"/>
        <v>3</v>
      </c>
      <c r="AN87" s="381">
        <f t="shared" si="40"/>
        <v>5.0000000000000001E-3</v>
      </c>
      <c r="AO87" s="322"/>
    </row>
    <row r="88" spans="2:41">
      <c r="B88" s="324" t="s">
        <v>1416</v>
      </c>
      <c r="C88" s="325" t="s">
        <v>1419</v>
      </c>
      <c r="D88" s="326" t="s">
        <v>1411</v>
      </c>
      <c r="E88" s="327">
        <f>+SUMIF('AUX-NIV2'!I:I,'AUX-NIV3'!B88,'AUX-NIV2'!Q:Q)</f>
        <v>0</v>
      </c>
      <c r="F88" s="327">
        <f t="shared" si="30"/>
        <v>57.95891082256712</v>
      </c>
      <c r="G88" s="327">
        <f t="shared" si="31"/>
        <v>0</v>
      </c>
      <c r="H88" s="328" t="str">
        <f t="shared" si="29"/>
        <v>A</v>
      </c>
      <c r="I88" s="325" t="s">
        <v>1745</v>
      </c>
      <c r="J88" s="329" t="str">
        <f>IF(B88&lt;&gt;"",+VLOOKUP(I88,Recursos!C:F,2,FALSE),"")</f>
        <v>AYUDANTE</v>
      </c>
      <c r="K88" s="330" t="str">
        <f>IF(B88&lt;&gt;"",+VLOOKUP(I88,Recursos!C:F,3,FALSE),"")</f>
        <v>hh</v>
      </c>
      <c r="L88" s="327">
        <f>IF(B88&lt;&gt;"",+VLOOKUP(I88,Recursos!C:F,4,FALSE),"")</f>
        <v>422.48042769667234</v>
      </c>
      <c r="M88" s="416"/>
      <c r="N88" s="416"/>
      <c r="O88" s="332">
        <f>+O89</f>
        <v>3.3333333333333335E-3</v>
      </c>
      <c r="P88" s="333">
        <f t="shared" si="41"/>
        <v>1.4082680923222413</v>
      </c>
      <c r="Q88" s="327">
        <f t="shared" si="42"/>
        <v>0</v>
      </c>
      <c r="R88" s="334">
        <f t="shared" si="43"/>
        <v>0</v>
      </c>
      <c r="S88" s="335">
        <f t="shared" si="32"/>
        <v>9.155750822567116</v>
      </c>
      <c r="T88" s="335">
        <f t="shared" si="33"/>
        <v>48.803160000000005</v>
      </c>
      <c r="U88" s="336">
        <f t="shared" si="34"/>
        <v>0</v>
      </c>
      <c r="V88" s="336">
        <f t="shared" si="35"/>
        <v>0</v>
      </c>
      <c r="W88" s="336">
        <f t="shared" si="36"/>
        <v>0</v>
      </c>
      <c r="X88" s="336">
        <f t="shared" si="37"/>
        <v>0</v>
      </c>
      <c r="Y88" s="320"/>
      <c r="Z88" s="321" t="str">
        <f t="shared" si="44"/>
        <v>X-TER.0051A</v>
      </c>
      <c r="AA88" s="321" t="str">
        <f t="shared" si="45"/>
        <v>X-TER.0051E</v>
      </c>
      <c r="AB88" s="321" t="str">
        <f t="shared" si="46"/>
        <v>X-TER.0051M</v>
      </c>
      <c r="AC88" s="321" t="str">
        <f t="shared" si="47"/>
        <v>X-TER.0051T</v>
      </c>
      <c r="AD88" s="321" t="str">
        <f t="shared" si="48"/>
        <v>X-TER.0051S</v>
      </c>
      <c r="AE88" s="321" t="str">
        <f t="shared" si="49"/>
        <v>X-TER.0051X</v>
      </c>
      <c r="AF88" s="321" t="str">
        <f t="shared" si="50"/>
        <v>X-TER.0051A</v>
      </c>
      <c r="AG88" s="321">
        <f t="shared" si="38"/>
        <v>7</v>
      </c>
      <c r="AH88" s="321"/>
      <c r="AI88" s="321" t="str">
        <f t="shared" si="51"/>
        <v>X-TER.0051</v>
      </c>
      <c r="AJ88" s="320"/>
      <c r="AK88" s="322">
        <f t="shared" si="39"/>
        <v>88</v>
      </c>
      <c r="AL88" s="323">
        <f t="shared" si="52"/>
        <v>94</v>
      </c>
      <c r="AM88" s="322">
        <f t="shared" si="53"/>
        <v>1</v>
      </c>
      <c r="AN88" s="381">
        <f t="shared" si="40"/>
        <v>1.6666666666666666E-2</v>
      </c>
      <c r="AO88" s="322"/>
    </row>
    <row r="89" spans="2:41">
      <c r="B89" s="324" t="s">
        <v>1416</v>
      </c>
      <c r="C89" s="325" t="s">
        <v>1419</v>
      </c>
      <c r="D89" s="326" t="s">
        <v>1411</v>
      </c>
      <c r="E89" s="327">
        <f>+SUMIF('AUX-NIV2'!I:I,'AUX-NIV3'!B89,'AUX-NIV2'!Q:Q)</f>
        <v>0</v>
      </c>
      <c r="F89" s="327">
        <f t="shared" si="30"/>
        <v>57.95891082256712</v>
      </c>
      <c r="G89" s="327">
        <f t="shared" si="31"/>
        <v>0</v>
      </c>
      <c r="H89" s="328" t="str">
        <f t="shared" ref="H89:H94" si="54">IF(B89&lt;&gt;"",+LEFT(I89,1),"")</f>
        <v>A</v>
      </c>
      <c r="I89" s="325" t="s">
        <v>3311</v>
      </c>
      <c r="J89" s="329" t="str">
        <f>IF(B89&lt;&gt;"",+VLOOKUP(I89,Recursos!C:F,2,FALSE),"")</f>
        <v>OPER. EQUIPO</v>
      </c>
      <c r="K89" s="330" t="str">
        <f>IF(B89&lt;&gt;"",+VLOOKUP(I89,Recursos!C:F,3,FALSE),"")</f>
        <v>hh</v>
      </c>
      <c r="L89" s="327">
        <f>IF(B89&lt;&gt;"",+VLOOKUP(I89,Recursos!C:F,4,FALSE),"")</f>
        <v>581.06120476836554</v>
      </c>
      <c r="M89" s="416"/>
      <c r="N89" s="416"/>
      <c r="O89" s="332">
        <f>+O91</f>
        <v>3.3333333333333335E-3</v>
      </c>
      <c r="P89" s="333">
        <f t="shared" si="41"/>
        <v>1.9368706825612185</v>
      </c>
      <c r="Q89" s="327">
        <f t="shared" si="42"/>
        <v>0</v>
      </c>
      <c r="R89" s="334">
        <f t="shared" si="43"/>
        <v>0</v>
      </c>
      <c r="S89" s="335">
        <f t="shared" si="32"/>
        <v>9.155750822567116</v>
      </c>
      <c r="T89" s="335">
        <f t="shared" si="33"/>
        <v>48.803160000000005</v>
      </c>
      <c r="U89" s="336">
        <f t="shared" si="34"/>
        <v>0</v>
      </c>
      <c r="V89" s="336">
        <f t="shared" si="35"/>
        <v>0</v>
      </c>
      <c r="W89" s="336">
        <f t="shared" si="36"/>
        <v>0</v>
      </c>
      <c r="X89" s="336">
        <f t="shared" si="37"/>
        <v>0</v>
      </c>
      <c r="Y89" s="320"/>
      <c r="Z89" s="321" t="str">
        <f t="shared" si="44"/>
        <v>X-TER.0051A</v>
      </c>
      <c r="AA89" s="321" t="str">
        <f t="shared" si="45"/>
        <v>X-TER.0051E</v>
      </c>
      <c r="AB89" s="321" t="str">
        <f t="shared" si="46"/>
        <v>X-TER.0051M</v>
      </c>
      <c r="AC89" s="321" t="str">
        <f t="shared" si="47"/>
        <v>X-TER.0051T</v>
      </c>
      <c r="AD89" s="321" t="str">
        <f t="shared" si="48"/>
        <v>X-TER.0051S</v>
      </c>
      <c r="AE89" s="321" t="str">
        <f t="shared" si="49"/>
        <v>X-TER.0051X</v>
      </c>
      <c r="AF89" s="321" t="str">
        <f t="shared" si="50"/>
        <v>X-TER.0051A</v>
      </c>
      <c r="AG89" s="321">
        <f t="shared" si="38"/>
        <v>7</v>
      </c>
      <c r="AH89" s="321"/>
      <c r="AI89" s="321" t="str">
        <f t="shared" si="51"/>
        <v>X-TER.0051</v>
      </c>
      <c r="AJ89" s="320"/>
      <c r="AK89" s="322">
        <f t="shared" si="39"/>
        <v>88</v>
      </c>
      <c r="AL89" s="323">
        <f t="shared" si="52"/>
        <v>94</v>
      </c>
      <c r="AM89" s="322">
        <f t="shared" si="53"/>
        <v>2</v>
      </c>
      <c r="AN89" s="381">
        <f t="shared" si="40"/>
        <v>1.6666666666666666E-2</v>
      </c>
      <c r="AO89" s="322"/>
    </row>
    <row r="90" spans="2:41">
      <c r="B90" s="324" t="s">
        <v>1416</v>
      </c>
      <c r="C90" s="325" t="s">
        <v>1419</v>
      </c>
      <c r="D90" s="326" t="s">
        <v>1411</v>
      </c>
      <c r="E90" s="327">
        <f>+SUMIF('AUX-NIV2'!I:I,'AUX-NIV3'!B90,'AUX-NIV2'!Q:Q)</f>
        <v>0</v>
      </c>
      <c r="F90" s="327">
        <f t="shared" si="30"/>
        <v>57.95891082256712</v>
      </c>
      <c r="G90" s="327">
        <f t="shared" si="31"/>
        <v>0</v>
      </c>
      <c r="H90" s="328" t="str">
        <f t="shared" si="54"/>
        <v>A</v>
      </c>
      <c r="I90" s="325" t="s">
        <v>3310</v>
      </c>
      <c r="J90" s="329" t="str">
        <f>IF(B90&lt;&gt;"",+VLOOKUP(I90,Recursos!C:F,2,FALSE),"")</f>
        <v>OFICIAL ESPECIALIZADO</v>
      </c>
      <c r="K90" s="330" t="str">
        <f>IF(B90&lt;&gt;"",+VLOOKUP(I90,Recursos!C:F,3,FALSE),"")</f>
        <v>hh</v>
      </c>
      <c r="L90" s="327">
        <f>IF(B90&lt;&gt;"",+VLOOKUP(I90,Recursos!C:F,4,FALSE),"")</f>
        <v>581.06120476836554</v>
      </c>
      <c r="M90" s="416"/>
      <c r="N90" s="416"/>
      <c r="O90" s="332">
        <f>+O92</f>
        <v>6.6666666666666671E-3</v>
      </c>
      <c r="P90" s="333">
        <f t="shared" si="41"/>
        <v>3.8737413651224371</v>
      </c>
      <c r="Q90" s="327">
        <f t="shared" si="42"/>
        <v>0</v>
      </c>
      <c r="R90" s="334">
        <f t="shared" si="43"/>
        <v>0</v>
      </c>
      <c r="S90" s="335">
        <f t="shared" si="32"/>
        <v>9.155750822567116</v>
      </c>
      <c r="T90" s="335">
        <f t="shared" si="33"/>
        <v>48.803160000000005</v>
      </c>
      <c r="U90" s="336">
        <f t="shared" si="34"/>
        <v>0</v>
      </c>
      <c r="V90" s="336">
        <f t="shared" si="35"/>
        <v>0</v>
      </c>
      <c r="W90" s="336">
        <f t="shared" si="36"/>
        <v>0</v>
      </c>
      <c r="X90" s="336">
        <f t="shared" si="37"/>
        <v>0</v>
      </c>
      <c r="Y90" s="320"/>
      <c r="Z90" s="321" t="str">
        <f t="shared" si="44"/>
        <v>X-TER.0051A</v>
      </c>
      <c r="AA90" s="321" t="str">
        <f t="shared" si="45"/>
        <v>X-TER.0051E</v>
      </c>
      <c r="AB90" s="321" t="str">
        <f t="shared" si="46"/>
        <v>X-TER.0051M</v>
      </c>
      <c r="AC90" s="321" t="str">
        <f t="shared" si="47"/>
        <v>X-TER.0051T</v>
      </c>
      <c r="AD90" s="321" t="str">
        <f t="shared" si="48"/>
        <v>X-TER.0051S</v>
      </c>
      <c r="AE90" s="321" t="str">
        <f t="shared" si="49"/>
        <v>X-TER.0051X</v>
      </c>
      <c r="AF90" s="321" t="str">
        <f t="shared" si="50"/>
        <v>X-TER.0051A</v>
      </c>
      <c r="AG90" s="321">
        <f t="shared" si="38"/>
        <v>7</v>
      </c>
      <c r="AH90" s="321"/>
      <c r="AI90" s="321" t="str">
        <f t="shared" si="51"/>
        <v>X-TER.0051</v>
      </c>
      <c r="AJ90" s="320"/>
      <c r="AK90" s="322">
        <f t="shared" si="39"/>
        <v>88</v>
      </c>
      <c r="AL90" s="323">
        <f t="shared" si="52"/>
        <v>94</v>
      </c>
      <c r="AM90" s="322">
        <f t="shared" si="53"/>
        <v>3</v>
      </c>
      <c r="AN90" s="381">
        <f t="shared" si="40"/>
        <v>1.6666666666666666E-2</v>
      </c>
      <c r="AO90" s="322"/>
    </row>
    <row r="91" spans="2:41">
      <c r="B91" s="324" t="s">
        <v>1416</v>
      </c>
      <c r="C91" s="325" t="s">
        <v>1419</v>
      </c>
      <c r="D91" s="326" t="s">
        <v>1411</v>
      </c>
      <c r="E91" s="327">
        <f>+SUMIF('AUX-NIV2'!I:I,'AUX-NIV3'!B91,'AUX-NIV2'!Q:Q)</f>
        <v>0</v>
      </c>
      <c r="F91" s="327">
        <f t="shared" si="30"/>
        <v>57.95891082256712</v>
      </c>
      <c r="G91" s="327">
        <f t="shared" si="31"/>
        <v>0</v>
      </c>
      <c r="H91" s="328" t="str">
        <f t="shared" si="54"/>
        <v>A</v>
      </c>
      <c r="I91" s="325" t="s">
        <v>3310</v>
      </c>
      <c r="J91" s="329" t="str">
        <f>IF(B91&lt;&gt;"",+VLOOKUP(I91,Recursos!C:F,2,FALSE),"")</f>
        <v>OFICIAL ESPECIALIZADO</v>
      </c>
      <c r="K91" s="330" t="str">
        <f>IF(B91&lt;&gt;"",+VLOOKUP(I91,Recursos!C:F,3,FALSE),"")</f>
        <v>hh</v>
      </c>
      <c r="L91" s="327">
        <f>IF(B91&lt;&gt;"",+VLOOKUP(I91,Recursos!C:F,4,FALSE),"")</f>
        <v>581.06120476836554</v>
      </c>
      <c r="M91" s="416"/>
      <c r="N91" s="416"/>
      <c r="O91" s="332">
        <f>+O93</f>
        <v>3.3333333333333335E-3</v>
      </c>
      <c r="P91" s="333">
        <f t="shared" si="41"/>
        <v>1.9368706825612185</v>
      </c>
      <c r="Q91" s="327">
        <f t="shared" si="42"/>
        <v>0</v>
      </c>
      <c r="R91" s="334">
        <f t="shared" si="43"/>
        <v>0</v>
      </c>
      <c r="S91" s="335">
        <f t="shared" si="32"/>
        <v>9.155750822567116</v>
      </c>
      <c r="T91" s="335">
        <f t="shared" si="33"/>
        <v>48.803160000000005</v>
      </c>
      <c r="U91" s="336">
        <f t="shared" si="34"/>
        <v>0</v>
      </c>
      <c r="V91" s="336">
        <f t="shared" si="35"/>
        <v>0</v>
      </c>
      <c r="W91" s="336">
        <f t="shared" si="36"/>
        <v>0</v>
      </c>
      <c r="X91" s="336">
        <f t="shared" si="37"/>
        <v>0</v>
      </c>
      <c r="Y91" s="320"/>
      <c r="Z91" s="321" t="str">
        <f t="shared" si="44"/>
        <v>X-TER.0051A</v>
      </c>
      <c r="AA91" s="321" t="str">
        <f t="shared" si="45"/>
        <v>X-TER.0051E</v>
      </c>
      <c r="AB91" s="321" t="str">
        <f t="shared" si="46"/>
        <v>X-TER.0051M</v>
      </c>
      <c r="AC91" s="321" t="str">
        <f t="shared" si="47"/>
        <v>X-TER.0051T</v>
      </c>
      <c r="AD91" s="321" t="str">
        <f t="shared" si="48"/>
        <v>X-TER.0051S</v>
      </c>
      <c r="AE91" s="321" t="str">
        <f t="shared" si="49"/>
        <v>X-TER.0051X</v>
      </c>
      <c r="AF91" s="321" t="str">
        <f t="shared" si="50"/>
        <v>X-TER.0051A</v>
      </c>
      <c r="AG91" s="321">
        <f t="shared" si="38"/>
        <v>7</v>
      </c>
      <c r="AH91" s="321"/>
      <c r="AI91" s="321" t="str">
        <f t="shared" si="51"/>
        <v>X-TER.0051</v>
      </c>
      <c r="AJ91" s="320"/>
      <c r="AK91" s="322">
        <f t="shared" si="39"/>
        <v>88</v>
      </c>
      <c r="AL91" s="323">
        <f t="shared" si="52"/>
        <v>94</v>
      </c>
      <c r="AM91" s="322">
        <f t="shared" si="53"/>
        <v>4</v>
      </c>
      <c r="AN91" s="381">
        <f t="shared" si="40"/>
        <v>1.6666666666666666E-2</v>
      </c>
      <c r="AO91" s="322"/>
    </row>
    <row r="92" spans="2:41">
      <c r="B92" s="324" t="s">
        <v>1416</v>
      </c>
      <c r="C92" s="325" t="s">
        <v>1419</v>
      </c>
      <c r="D92" s="326" t="s">
        <v>1411</v>
      </c>
      <c r="E92" s="327">
        <f>+SUMIF('AUX-NIV2'!I:I,'AUX-NIV3'!B92,'AUX-NIV2'!Q:Q)</f>
        <v>0</v>
      </c>
      <c r="F92" s="327">
        <f t="shared" si="30"/>
        <v>57.95891082256712</v>
      </c>
      <c r="G92" s="327">
        <f t="shared" si="31"/>
        <v>0</v>
      </c>
      <c r="H92" s="328" t="str">
        <f t="shared" si="54"/>
        <v>E</v>
      </c>
      <c r="I92" s="325" t="s">
        <v>1547</v>
      </c>
      <c r="J92" s="329" t="str">
        <f>IF(B92&lt;&gt;"",+VLOOKUP(I92,Recursos!C:F,2,FALSE),"")</f>
        <v>MOTONIVELADORA 14" (21 T)</v>
      </c>
      <c r="K92" s="330" t="str">
        <f>IF(B92&lt;&gt;"",+VLOOKUP(I92,Recursos!C:F,3,FALSE),"")</f>
        <v>HR</v>
      </c>
      <c r="L92" s="327">
        <f>IF(B92&lt;&gt;"",+VLOOKUP(I92,Recursos!C:F,4,FALSE),"")</f>
        <v>6194.8620000000001</v>
      </c>
      <c r="M92" s="416"/>
      <c r="N92" s="416">
        <v>150</v>
      </c>
      <c r="O92" s="332">
        <f>+M93/N92</f>
        <v>6.6666666666666671E-3</v>
      </c>
      <c r="P92" s="333">
        <f t="shared" si="41"/>
        <v>41.299080000000004</v>
      </c>
      <c r="Q92" s="327">
        <f t="shared" si="42"/>
        <v>0</v>
      </c>
      <c r="R92" s="334">
        <f t="shared" si="43"/>
        <v>0</v>
      </c>
      <c r="S92" s="335">
        <f t="shared" si="32"/>
        <v>9.155750822567116</v>
      </c>
      <c r="T92" s="335">
        <f t="shared" si="33"/>
        <v>48.803160000000005</v>
      </c>
      <c r="U92" s="336">
        <f t="shared" si="34"/>
        <v>0</v>
      </c>
      <c r="V92" s="336">
        <f t="shared" si="35"/>
        <v>0</v>
      </c>
      <c r="W92" s="336">
        <f t="shared" si="36"/>
        <v>0</v>
      </c>
      <c r="X92" s="336">
        <f t="shared" si="37"/>
        <v>0</v>
      </c>
      <c r="Y92" s="320"/>
      <c r="Z92" s="321" t="str">
        <f t="shared" si="44"/>
        <v>X-TER.0051A</v>
      </c>
      <c r="AA92" s="321" t="str">
        <f t="shared" si="45"/>
        <v>X-TER.0051E</v>
      </c>
      <c r="AB92" s="321" t="str">
        <f t="shared" si="46"/>
        <v>X-TER.0051M</v>
      </c>
      <c r="AC92" s="321" t="str">
        <f t="shared" si="47"/>
        <v>X-TER.0051T</v>
      </c>
      <c r="AD92" s="321" t="str">
        <f t="shared" si="48"/>
        <v>X-TER.0051S</v>
      </c>
      <c r="AE92" s="321" t="str">
        <f t="shared" si="49"/>
        <v>X-TER.0051X</v>
      </c>
      <c r="AF92" s="321" t="str">
        <f t="shared" si="50"/>
        <v>X-TER.0051E</v>
      </c>
      <c r="AG92" s="321">
        <f t="shared" si="38"/>
        <v>7</v>
      </c>
      <c r="AH92" s="321"/>
      <c r="AI92" s="321" t="str">
        <f t="shared" si="51"/>
        <v>X-TER.0051</v>
      </c>
      <c r="AJ92" s="320"/>
      <c r="AK92" s="322">
        <f t="shared" si="39"/>
        <v>88</v>
      </c>
      <c r="AL92" s="323">
        <f t="shared" si="52"/>
        <v>94</v>
      </c>
      <c r="AM92" s="322">
        <f t="shared" si="53"/>
        <v>5</v>
      </c>
      <c r="AN92" s="381">
        <f t="shared" si="40"/>
        <v>1.6666666666666666E-2</v>
      </c>
      <c r="AO92" s="322"/>
    </row>
    <row r="93" spans="2:41">
      <c r="B93" s="324" t="s">
        <v>1416</v>
      </c>
      <c r="C93" s="325" t="s">
        <v>1419</v>
      </c>
      <c r="D93" s="326" t="s">
        <v>1411</v>
      </c>
      <c r="E93" s="327">
        <f>+SUMIF('AUX-NIV2'!I:I,'AUX-NIV3'!B93,'AUX-NIV2'!Q:Q)</f>
        <v>0</v>
      </c>
      <c r="F93" s="327">
        <f t="shared" si="30"/>
        <v>57.95891082256712</v>
      </c>
      <c r="G93" s="327">
        <f t="shared" si="31"/>
        <v>0</v>
      </c>
      <c r="H93" s="328" t="str">
        <f t="shared" si="54"/>
        <v>E</v>
      </c>
      <c r="I93" s="325" t="s">
        <v>1649</v>
      </c>
      <c r="J93" s="329" t="str">
        <f>IF(B93&lt;&gt;"",+VLOOKUP(I93,Recursos!C:F,2,FALSE),"")</f>
        <v>TRACTOR DE ARRASTE CON RASTRA</v>
      </c>
      <c r="K93" s="330" t="str">
        <f>IF(B93&lt;&gt;"",+VLOOKUP(I93,Recursos!C:F,3,FALSE),"")</f>
        <v>HR</v>
      </c>
      <c r="L93" s="327">
        <f>IF(B93&lt;&gt;"",+VLOOKUP(I93,Recursos!C:F,4,FALSE),"")</f>
        <v>2128.7640000000001</v>
      </c>
      <c r="M93" s="416">
        <v>1</v>
      </c>
      <c r="N93" s="416">
        <v>0.5</v>
      </c>
      <c r="O93" s="332">
        <f>+M93/N92*N93</f>
        <v>3.3333333333333335E-3</v>
      </c>
      <c r="P93" s="333">
        <f t="shared" si="41"/>
        <v>7.0958800000000011</v>
      </c>
      <c r="Q93" s="327">
        <f t="shared" si="42"/>
        <v>0</v>
      </c>
      <c r="R93" s="334">
        <f t="shared" si="43"/>
        <v>0</v>
      </c>
      <c r="S93" s="335">
        <f t="shared" si="32"/>
        <v>9.155750822567116</v>
      </c>
      <c r="T93" s="335">
        <f t="shared" si="33"/>
        <v>48.803160000000005</v>
      </c>
      <c r="U93" s="336">
        <f t="shared" si="34"/>
        <v>0</v>
      </c>
      <c r="V93" s="336">
        <f t="shared" si="35"/>
        <v>0</v>
      </c>
      <c r="W93" s="336">
        <f t="shared" si="36"/>
        <v>0</v>
      </c>
      <c r="X93" s="336">
        <f t="shared" si="37"/>
        <v>0</v>
      </c>
      <c r="Y93" s="320"/>
      <c r="Z93" s="321" t="str">
        <f t="shared" si="44"/>
        <v>X-TER.0051A</v>
      </c>
      <c r="AA93" s="321" t="str">
        <f t="shared" si="45"/>
        <v>X-TER.0051E</v>
      </c>
      <c r="AB93" s="321" t="str">
        <f t="shared" si="46"/>
        <v>X-TER.0051M</v>
      </c>
      <c r="AC93" s="321" t="str">
        <f t="shared" si="47"/>
        <v>X-TER.0051T</v>
      </c>
      <c r="AD93" s="321" t="str">
        <f t="shared" si="48"/>
        <v>X-TER.0051S</v>
      </c>
      <c r="AE93" s="321" t="str">
        <f t="shared" si="49"/>
        <v>X-TER.0051X</v>
      </c>
      <c r="AF93" s="321" t="str">
        <f t="shared" si="50"/>
        <v>X-TER.0051E</v>
      </c>
      <c r="AG93" s="321">
        <f t="shared" si="38"/>
        <v>7</v>
      </c>
      <c r="AH93" s="321"/>
      <c r="AI93" s="321" t="str">
        <f t="shared" si="51"/>
        <v>X-TER.0051</v>
      </c>
      <c r="AJ93" s="320"/>
      <c r="AK93" s="322">
        <f t="shared" si="39"/>
        <v>88</v>
      </c>
      <c r="AL93" s="323">
        <f t="shared" si="52"/>
        <v>94</v>
      </c>
      <c r="AM93" s="322">
        <f t="shared" si="53"/>
        <v>6</v>
      </c>
      <c r="AN93" s="381">
        <f t="shared" si="40"/>
        <v>1.6666666666666666E-2</v>
      </c>
      <c r="AO93" s="322"/>
    </row>
    <row r="94" spans="2:41">
      <c r="B94" s="324" t="s">
        <v>1416</v>
      </c>
      <c r="C94" s="325" t="s">
        <v>1419</v>
      </c>
      <c r="D94" s="326" t="s">
        <v>1411</v>
      </c>
      <c r="E94" s="327">
        <f>+SUMIF('AUX-NIV2'!I:I,'AUX-NIV3'!B94,'AUX-NIV2'!Q:Q)</f>
        <v>0</v>
      </c>
      <c r="F94" s="327">
        <f t="shared" si="30"/>
        <v>57.95891082256712</v>
      </c>
      <c r="G94" s="327">
        <f t="shared" si="31"/>
        <v>0</v>
      </c>
      <c r="H94" s="328" t="str">
        <f t="shared" si="54"/>
        <v>E</v>
      </c>
      <c r="I94" s="325" t="s">
        <v>1650</v>
      </c>
      <c r="J94" s="329" t="str">
        <f>IF(B94&lt;&gt;"",+VLOOKUP(I94,Recursos!C:F,2,FALSE),"")</f>
        <v>RASTRA DE 16 DISCOS</v>
      </c>
      <c r="K94" s="330" t="str">
        <f>IF(B94&lt;&gt;"",+VLOOKUP(I94,Recursos!C:F,3,FALSE),"")</f>
        <v>HR</v>
      </c>
      <c r="L94" s="327">
        <f>IF(B94&lt;&gt;"",+VLOOKUP(I94,Recursos!C:F,4,FALSE),"")</f>
        <v>122.46000000000001</v>
      </c>
      <c r="M94" s="416"/>
      <c r="N94" s="416"/>
      <c r="O94" s="332">
        <f>+O93</f>
        <v>3.3333333333333335E-3</v>
      </c>
      <c r="P94" s="333">
        <f t="shared" si="41"/>
        <v>0.40820000000000006</v>
      </c>
      <c r="Q94" s="327">
        <f t="shared" si="42"/>
        <v>0</v>
      </c>
      <c r="R94" s="334">
        <f t="shared" si="43"/>
        <v>0</v>
      </c>
      <c r="S94" s="335">
        <f t="shared" si="32"/>
        <v>9.155750822567116</v>
      </c>
      <c r="T94" s="335">
        <f t="shared" si="33"/>
        <v>48.803160000000005</v>
      </c>
      <c r="U94" s="336">
        <f t="shared" si="34"/>
        <v>0</v>
      </c>
      <c r="V94" s="336">
        <f t="shared" si="35"/>
        <v>0</v>
      </c>
      <c r="W94" s="336">
        <f t="shared" si="36"/>
        <v>0</v>
      </c>
      <c r="X94" s="336">
        <f t="shared" si="37"/>
        <v>0</v>
      </c>
      <c r="Y94" s="320"/>
      <c r="Z94" s="321" t="str">
        <f t="shared" si="44"/>
        <v>X-TER.0051A</v>
      </c>
      <c r="AA94" s="321" t="str">
        <f t="shared" si="45"/>
        <v>X-TER.0051E</v>
      </c>
      <c r="AB94" s="321" t="str">
        <f t="shared" si="46"/>
        <v>X-TER.0051M</v>
      </c>
      <c r="AC94" s="321" t="str">
        <f t="shared" si="47"/>
        <v>X-TER.0051T</v>
      </c>
      <c r="AD94" s="321" t="str">
        <f t="shared" si="48"/>
        <v>X-TER.0051S</v>
      </c>
      <c r="AE94" s="321" t="str">
        <f t="shared" si="49"/>
        <v>X-TER.0051X</v>
      </c>
      <c r="AF94" s="321" t="str">
        <f t="shared" si="50"/>
        <v>X-TER.0051E</v>
      </c>
      <c r="AG94" s="321">
        <f t="shared" si="38"/>
        <v>7</v>
      </c>
      <c r="AH94" s="321"/>
      <c r="AI94" s="321" t="str">
        <f t="shared" si="51"/>
        <v>X-TER.0051</v>
      </c>
      <c r="AJ94" s="320"/>
      <c r="AK94" s="322">
        <f t="shared" si="39"/>
        <v>88</v>
      </c>
      <c r="AL94" s="323">
        <f t="shared" si="52"/>
        <v>94</v>
      </c>
      <c r="AM94" s="322">
        <f t="shared" si="53"/>
        <v>7</v>
      </c>
      <c r="AN94" s="381">
        <f t="shared" si="40"/>
        <v>1.6666666666666666E-2</v>
      </c>
      <c r="AO94" s="322"/>
    </row>
    <row r="95" spans="2:41">
      <c r="B95" s="324" t="s">
        <v>1417</v>
      </c>
      <c r="C95" s="325" t="s">
        <v>1420</v>
      </c>
      <c r="D95" s="326" t="s">
        <v>1386</v>
      </c>
      <c r="E95" s="327">
        <f>+SUMIF('AUX-NIV2'!I:I,'AUX-NIV3'!B95,'AUX-NIV2'!Q:Q)</f>
        <v>0</v>
      </c>
      <c r="F95" s="327">
        <f t="shared" si="30"/>
        <v>40.604182634863236</v>
      </c>
      <c r="G95" s="327">
        <f t="shared" si="31"/>
        <v>0</v>
      </c>
      <c r="H95" s="328" t="str">
        <f t="shared" ref="H95:H105" si="55">IF(B95&lt;&gt;"",+LEFT(I95,1),"")</f>
        <v>A</v>
      </c>
      <c r="I95" s="325" t="s">
        <v>1745</v>
      </c>
      <c r="J95" s="329" t="str">
        <f>IF(B95&lt;&gt;"",+VLOOKUP(I95,Recursos!C:F,2,FALSE),"")</f>
        <v>AYUDANTE</v>
      </c>
      <c r="K95" s="330" t="str">
        <f>IF(B95&lt;&gt;"",+VLOOKUP(I95,Recursos!C:F,3,FALSE),"")</f>
        <v>hh</v>
      </c>
      <c r="L95" s="327">
        <f>IF(B95&lt;&gt;"",+VLOOKUP(I95,Recursos!C:F,4,FALSE),"")</f>
        <v>422.48042769667234</v>
      </c>
      <c r="M95" s="331"/>
      <c r="N95" s="331"/>
      <c r="O95" s="332">
        <f>+O98</f>
        <v>2.5000000000000001E-3</v>
      </c>
      <c r="P95" s="333">
        <f t="shared" si="41"/>
        <v>1.0562010692416808</v>
      </c>
      <c r="Q95" s="327">
        <f t="shared" si="42"/>
        <v>0</v>
      </c>
      <c r="R95" s="334">
        <f t="shared" si="43"/>
        <v>0</v>
      </c>
      <c r="S95" s="335">
        <f t="shared" si="32"/>
        <v>14.130078176529905</v>
      </c>
      <c r="T95" s="335">
        <f t="shared" si="33"/>
        <v>26.474104458333333</v>
      </c>
      <c r="U95" s="336">
        <f t="shared" si="34"/>
        <v>0</v>
      </c>
      <c r="V95" s="336">
        <f t="shared" si="35"/>
        <v>0</v>
      </c>
      <c r="W95" s="336">
        <f t="shared" si="36"/>
        <v>0</v>
      </c>
      <c r="X95" s="336">
        <f t="shared" si="37"/>
        <v>0</v>
      </c>
      <c r="Y95" s="320"/>
      <c r="Z95" s="321" t="str">
        <f t="shared" si="44"/>
        <v>X-TER.0090A</v>
      </c>
      <c r="AA95" s="321" t="str">
        <f t="shared" si="45"/>
        <v>X-TER.0090E</v>
      </c>
      <c r="AB95" s="321" t="str">
        <f t="shared" si="46"/>
        <v>X-TER.0090M</v>
      </c>
      <c r="AC95" s="321" t="str">
        <f t="shared" si="47"/>
        <v>X-TER.0090T</v>
      </c>
      <c r="AD95" s="321" t="str">
        <f t="shared" si="48"/>
        <v>X-TER.0090S</v>
      </c>
      <c r="AE95" s="321" t="str">
        <f t="shared" si="49"/>
        <v>X-TER.0090X</v>
      </c>
      <c r="AF95" s="321" t="str">
        <f t="shared" si="50"/>
        <v>X-TER.0090A</v>
      </c>
      <c r="AG95" s="321">
        <f t="shared" si="38"/>
        <v>6</v>
      </c>
      <c r="AH95" s="321"/>
      <c r="AI95" s="321" t="str">
        <f t="shared" si="51"/>
        <v>X-TER.0090</v>
      </c>
      <c r="AJ95" s="320"/>
      <c r="AK95" s="322">
        <f t="shared" si="39"/>
        <v>95</v>
      </c>
      <c r="AL95" s="323">
        <f t="shared" si="52"/>
        <v>100</v>
      </c>
      <c r="AM95" s="322">
        <f t="shared" si="53"/>
        <v>1</v>
      </c>
      <c r="AN95" s="381">
        <f t="shared" si="40"/>
        <v>2.4999999999999998E-2</v>
      </c>
      <c r="AO95" s="322"/>
    </row>
    <row r="96" spans="2:41">
      <c r="B96" s="324" t="s">
        <v>1417</v>
      </c>
      <c r="C96" s="325" t="s">
        <v>1420</v>
      </c>
      <c r="D96" s="326" t="s">
        <v>1386</v>
      </c>
      <c r="E96" s="327">
        <f>+SUMIF('AUX-NIV2'!I:I,'AUX-NIV3'!B96,'AUX-NIV2'!Q:Q)</f>
        <v>0</v>
      </c>
      <c r="F96" s="327">
        <f t="shared" si="30"/>
        <v>40.604182634863236</v>
      </c>
      <c r="G96" s="327">
        <f t="shared" si="31"/>
        <v>0</v>
      </c>
      <c r="H96" s="328" t="str">
        <f t="shared" si="55"/>
        <v>A</v>
      </c>
      <c r="I96" s="325" t="s">
        <v>3311</v>
      </c>
      <c r="J96" s="329" t="str">
        <f>IF(B96&lt;&gt;"",+VLOOKUP(I96,Recursos!C:F,2,FALSE),"")</f>
        <v>OPER. EQUIPO</v>
      </c>
      <c r="K96" s="330" t="str">
        <f>IF(B96&lt;&gt;"",+VLOOKUP(I96,Recursos!C:F,3,FALSE),"")</f>
        <v>hh</v>
      </c>
      <c r="L96" s="327">
        <f>IF(B96&lt;&gt;"",+VLOOKUP(I96,Recursos!C:F,4,FALSE),"")</f>
        <v>581.06120476836554</v>
      </c>
      <c r="M96" s="331"/>
      <c r="N96" s="331"/>
      <c r="O96" s="332">
        <f>+O97</f>
        <v>0.01</v>
      </c>
      <c r="P96" s="333">
        <f t="shared" si="41"/>
        <v>5.8106120476836551</v>
      </c>
      <c r="Q96" s="327">
        <f t="shared" si="42"/>
        <v>0</v>
      </c>
      <c r="R96" s="334">
        <f t="shared" si="43"/>
        <v>0</v>
      </c>
      <c r="S96" s="335">
        <f t="shared" si="32"/>
        <v>14.130078176529905</v>
      </c>
      <c r="T96" s="335">
        <f t="shared" si="33"/>
        <v>26.474104458333333</v>
      </c>
      <c r="U96" s="336">
        <f t="shared" si="34"/>
        <v>0</v>
      </c>
      <c r="V96" s="336">
        <f t="shared" si="35"/>
        <v>0</v>
      </c>
      <c r="W96" s="336">
        <f t="shared" si="36"/>
        <v>0</v>
      </c>
      <c r="X96" s="336">
        <f t="shared" si="37"/>
        <v>0</v>
      </c>
      <c r="Y96" s="320"/>
      <c r="Z96" s="321" t="str">
        <f t="shared" si="44"/>
        <v>X-TER.0090A</v>
      </c>
      <c r="AA96" s="321" t="str">
        <f t="shared" si="45"/>
        <v>X-TER.0090E</v>
      </c>
      <c r="AB96" s="321" t="str">
        <f t="shared" si="46"/>
        <v>X-TER.0090M</v>
      </c>
      <c r="AC96" s="321" t="str">
        <f t="shared" si="47"/>
        <v>X-TER.0090T</v>
      </c>
      <c r="AD96" s="321" t="str">
        <f t="shared" si="48"/>
        <v>X-TER.0090S</v>
      </c>
      <c r="AE96" s="321" t="str">
        <f t="shared" si="49"/>
        <v>X-TER.0090X</v>
      </c>
      <c r="AF96" s="321" t="str">
        <f t="shared" si="50"/>
        <v>X-TER.0090A</v>
      </c>
      <c r="AG96" s="321">
        <f t="shared" si="38"/>
        <v>6</v>
      </c>
      <c r="AH96" s="321"/>
      <c r="AI96" s="321" t="str">
        <f t="shared" si="51"/>
        <v>X-TER.0090</v>
      </c>
      <c r="AJ96" s="320"/>
      <c r="AK96" s="322">
        <f t="shared" si="39"/>
        <v>95</v>
      </c>
      <c r="AL96" s="323">
        <f t="shared" si="52"/>
        <v>100</v>
      </c>
      <c r="AM96" s="322">
        <f t="shared" si="53"/>
        <v>2</v>
      </c>
      <c r="AN96" s="381">
        <f t="shared" si="40"/>
        <v>2.4999999999999998E-2</v>
      </c>
      <c r="AO96" s="322"/>
    </row>
    <row r="97" spans="2:41">
      <c r="B97" s="324" t="s">
        <v>1417</v>
      </c>
      <c r="C97" s="325" t="s">
        <v>1420</v>
      </c>
      <c r="D97" s="326" t="s">
        <v>1386</v>
      </c>
      <c r="E97" s="327">
        <f>+SUMIF('AUX-NIV2'!I:I,'AUX-NIV3'!B97,'AUX-NIV2'!Q:Q)</f>
        <v>0</v>
      </c>
      <c r="F97" s="327">
        <f t="shared" si="30"/>
        <v>40.604182634863236</v>
      </c>
      <c r="G97" s="327">
        <f t="shared" si="31"/>
        <v>0</v>
      </c>
      <c r="H97" s="328" t="str">
        <f t="shared" si="55"/>
        <v>A</v>
      </c>
      <c r="I97" s="325" t="s">
        <v>3310</v>
      </c>
      <c r="J97" s="329" t="str">
        <f>IF(B97&lt;&gt;"",+VLOOKUP(I97,Recursos!C:F,2,FALSE),"")</f>
        <v>OFICIAL ESPECIALIZADO</v>
      </c>
      <c r="K97" s="330" t="str">
        <f>IF(B97&lt;&gt;"",+VLOOKUP(I97,Recursos!C:F,3,FALSE),"")</f>
        <v>hh</v>
      </c>
      <c r="L97" s="327">
        <f>IF(B97&lt;&gt;"",+VLOOKUP(I97,Recursos!C:F,4,FALSE),"")</f>
        <v>581.06120476836554</v>
      </c>
      <c r="M97" s="331"/>
      <c r="N97" s="331"/>
      <c r="O97" s="332">
        <f>+O99</f>
        <v>0.01</v>
      </c>
      <c r="P97" s="333">
        <f t="shared" si="41"/>
        <v>5.8106120476836551</v>
      </c>
      <c r="Q97" s="327">
        <f t="shared" si="42"/>
        <v>0</v>
      </c>
      <c r="R97" s="334">
        <f t="shared" si="43"/>
        <v>0</v>
      </c>
      <c r="S97" s="335">
        <f t="shared" si="32"/>
        <v>14.130078176529905</v>
      </c>
      <c r="T97" s="335">
        <f t="shared" si="33"/>
        <v>26.474104458333333</v>
      </c>
      <c r="U97" s="336">
        <f t="shared" si="34"/>
        <v>0</v>
      </c>
      <c r="V97" s="336">
        <f t="shared" si="35"/>
        <v>0</v>
      </c>
      <c r="W97" s="336">
        <f t="shared" si="36"/>
        <v>0</v>
      </c>
      <c r="X97" s="336">
        <f t="shared" si="37"/>
        <v>0</v>
      </c>
      <c r="Y97" s="320"/>
      <c r="Z97" s="321" t="str">
        <f t="shared" si="44"/>
        <v>X-TER.0090A</v>
      </c>
      <c r="AA97" s="321" t="str">
        <f t="shared" si="45"/>
        <v>X-TER.0090E</v>
      </c>
      <c r="AB97" s="321" t="str">
        <f t="shared" si="46"/>
        <v>X-TER.0090M</v>
      </c>
      <c r="AC97" s="321" t="str">
        <f t="shared" si="47"/>
        <v>X-TER.0090T</v>
      </c>
      <c r="AD97" s="321" t="str">
        <f t="shared" si="48"/>
        <v>X-TER.0090S</v>
      </c>
      <c r="AE97" s="321" t="str">
        <f t="shared" si="49"/>
        <v>X-TER.0090X</v>
      </c>
      <c r="AF97" s="321" t="str">
        <f t="shared" si="50"/>
        <v>X-TER.0090A</v>
      </c>
      <c r="AG97" s="321">
        <f t="shared" si="38"/>
        <v>6</v>
      </c>
      <c r="AH97" s="321"/>
      <c r="AI97" s="321" t="str">
        <f t="shared" si="51"/>
        <v>X-TER.0090</v>
      </c>
      <c r="AJ97" s="320"/>
      <c r="AK97" s="322">
        <f t="shared" si="39"/>
        <v>95</v>
      </c>
      <c r="AL97" s="323">
        <f t="shared" si="52"/>
        <v>100</v>
      </c>
      <c r="AM97" s="322">
        <f t="shared" si="53"/>
        <v>3</v>
      </c>
      <c r="AN97" s="381">
        <f t="shared" si="40"/>
        <v>2.4999999999999998E-2</v>
      </c>
      <c r="AO97" s="322"/>
    </row>
    <row r="98" spans="2:41">
      <c r="B98" s="324" t="s">
        <v>1417</v>
      </c>
      <c r="C98" s="325" t="s">
        <v>1420</v>
      </c>
      <c r="D98" s="326" t="s">
        <v>1386</v>
      </c>
      <c r="E98" s="327">
        <f>+SUMIF('AUX-NIV2'!I:I,'AUX-NIV3'!B98,'AUX-NIV2'!Q:Q)</f>
        <v>0</v>
      </c>
      <c r="F98" s="327">
        <f t="shared" si="30"/>
        <v>40.604182634863236</v>
      </c>
      <c r="G98" s="327">
        <f t="shared" si="31"/>
        <v>0</v>
      </c>
      <c r="H98" s="328" t="str">
        <f t="shared" si="55"/>
        <v>A</v>
      </c>
      <c r="I98" s="325" t="s">
        <v>3310</v>
      </c>
      <c r="J98" s="329" t="str">
        <f>IF(B98&lt;&gt;"",+VLOOKUP(I98,Recursos!C:F,2,FALSE),"")</f>
        <v>OFICIAL ESPECIALIZADO</v>
      </c>
      <c r="K98" s="330" t="str">
        <f>IF(B98&lt;&gt;"",+VLOOKUP(I98,Recursos!C:F,3,FALSE),"")</f>
        <v>hh</v>
      </c>
      <c r="L98" s="327">
        <f>IF(B98&lt;&gt;"",+VLOOKUP(I98,Recursos!C:F,4,FALSE),"")</f>
        <v>581.06120476836554</v>
      </c>
      <c r="M98" s="331"/>
      <c r="N98" s="331"/>
      <c r="O98" s="332">
        <f>+O100</f>
        <v>2.5000000000000001E-3</v>
      </c>
      <c r="P98" s="333">
        <f t="shared" si="41"/>
        <v>1.4526530119209138</v>
      </c>
      <c r="Q98" s="327">
        <f t="shared" si="42"/>
        <v>0</v>
      </c>
      <c r="R98" s="334">
        <f t="shared" si="43"/>
        <v>0</v>
      </c>
      <c r="S98" s="335">
        <f t="shared" si="32"/>
        <v>14.130078176529905</v>
      </c>
      <c r="T98" s="335">
        <f t="shared" si="33"/>
        <v>26.474104458333333</v>
      </c>
      <c r="U98" s="336">
        <f t="shared" si="34"/>
        <v>0</v>
      </c>
      <c r="V98" s="336">
        <f t="shared" si="35"/>
        <v>0</v>
      </c>
      <c r="W98" s="336">
        <f t="shared" si="36"/>
        <v>0</v>
      </c>
      <c r="X98" s="336">
        <f t="shared" si="37"/>
        <v>0</v>
      </c>
      <c r="Y98" s="320"/>
      <c r="Z98" s="321" t="str">
        <f t="shared" si="44"/>
        <v>X-TER.0090A</v>
      </c>
      <c r="AA98" s="321" t="str">
        <f t="shared" si="45"/>
        <v>X-TER.0090E</v>
      </c>
      <c r="AB98" s="321" t="str">
        <f t="shared" si="46"/>
        <v>X-TER.0090M</v>
      </c>
      <c r="AC98" s="321" t="str">
        <f t="shared" si="47"/>
        <v>X-TER.0090T</v>
      </c>
      <c r="AD98" s="321" t="str">
        <f t="shared" si="48"/>
        <v>X-TER.0090S</v>
      </c>
      <c r="AE98" s="321" t="str">
        <f t="shared" si="49"/>
        <v>X-TER.0090X</v>
      </c>
      <c r="AF98" s="321" t="str">
        <f t="shared" si="50"/>
        <v>X-TER.0090A</v>
      </c>
      <c r="AG98" s="321">
        <f t="shared" si="38"/>
        <v>6</v>
      </c>
      <c r="AH98" s="321"/>
      <c r="AI98" s="321" t="str">
        <f t="shared" si="51"/>
        <v>X-TER.0090</v>
      </c>
      <c r="AJ98" s="320"/>
      <c r="AK98" s="322">
        <f t="shared" si="39"/>
        <v>95</v>
      </c>
      <c r="AL98" s="323">
        <f t="shared" si="52"/>
        <v>100</v>
      </c>
      <c r="AM98" s="322">
        <f t="shared" si="53"/>
        <v>4</v>
      </c>
      <c r="AN98" s="381">
        <f t="shared" si="40"/>
        <v>2.4999999999999998E-2</v>
      </c>
      <c r="AO98" s="322"/>
    </row>
    <row r="99" spans="2:41">
      <c r="B99" s="324" t="s">
        <v>1417</v>
      </c>
      <c r="C99" s="325" t="s">
        <v>1420</v>
      </c>
      <c r="D99" s="326" t="s">
        <v>1386</v>
      </c>
      <c r="E99" s="327">
        <f>+SUMIF('AUX-NIV2'!I:I,'AUX-NIV3'!B99,'AUX-NIV2'!Q:Q)</f>
        <v>0</v>
      </c>
      <c r="F99" s="327">
        <f t="shared" si="30"/>
        <v>40.604182634863236</v>
      </c>
      <c r="G99" s="327">
        <f t="shared" si="31"/>
        <v>0</v>
      </c>
      <c r="H99" s="328" t="str">
        <f t="shared" si="55"/>
        <v>E</v>
      </c>
      <c r="I99" s="325" t="s">
        <v>1567</v>
      </c>
      <c r="J99" s="329" t="str">
        <f>IF(B99&lt;&gt;"",+VLOOKUP(I99,Recursos!C:F,2,FALSE),"")</f>
        <v>COMPACT.LISO VIBR.AUTOPROP.(11 T)</v>
      </c>
      <c r="K99" s="330" t="str">
        <f>IF(B99&lt;&gt;"",+VLOOKUP(I99,Recursos!C:F,3,FALSE),"")</f>
        <v>HR</v>
      </c>
      <c r="L99" s="327">
        <f>IF(B99&lt;&gt;"",+VLOOKUP(I99,Recursos!C:F,4,FALSE),"")</f>
        <v>2197.9879999999998</v>
      </c>
      <c r="M99" s="331">
        <v>1</v>
      </c>
      <c r="N99" s="331">
        <v>100</v>
      </c>
      <c r="O99" s="332">
        <f>+M99/N99</f>
        <v>0.01</v>
      </c>
      <c r="P99" s="333">
        <f t="shared" si="41"/>
        <v>21.979879999999998</v>
      </c>
      <c r="Q99" s="327">
        <f t="shared" si="42"/>
        <v>0</v>
      </c>
      <c r="R99" s="334">
        <f t="shared" si="43"/>
        <v>0</v>
      </c>
      <c r="S99" s="335">
        <f t="shared" si="32"/>
        <v>14.130078176529905</v>
      </c>
      <c r="T99" s="335">
        <f t="shared" si="33"/>
        <v>26.474104458333333</v>
      </c>
      <c r="U99" s="336">
        <f t="shared" si="34"/>
        <v>0</v>
      </c>
      <c r="V99" s="336">
        <f t="shared" si="35"/>
        <v>0</v>
      </c>
      <c r="W99" s="336">
        <f t="shared" si="36"/>
        <v>0</v>
      </c>
      <c r="X99" s="336">
        <f t="shared" si="37"/>
        <v>0</v>
      </c>
      <c r="Y99" s="320"/>
      <c r="Z99" s="321" t="str">
        <f t="shared" si="44"/>
        <v>X-TER.0090A</v>
      </c>
      <c r="AA99" s="321" t="str">
        <f t="shared" si="45"/>
        <v>X-TER.0090E</v>
      </c>
      <c r="AB99" s="321" t="str">
        <f t="shared" si="46"/>
        <v>X-TER.0090M</v>
      </c>
      <c r="AC99" s="321" t="str">
        <f t="shared" si="47"/>
        <v>X-TER.0090T</v>
      </c>
      <c r="AD99" s="321" t="str">
        <f t="shared" si="48"/>
        <v>X-TER.0090S</v>
      </c>
      <c r="AE99" s="321" t="str">
        <f t="shared" si="49"/>
        <v>X-TER.0090X</v>
      </c>
      <c r="AF99" s="321" t="str">
        <f t="shared" si="50"/>
        <v>X-TER.0090E</v>
      </c>
      <c r="AG99" s="321">
        <f t="shared" si="38"/>
        <v>6</v>
      </c>
      <c r="AH99" s="321"/>
      <c r="AI99" s="321" t="str">
        <f t="shared" si="51"/>
        <v>X-TER.0090</v>
      </c>
      <c r="AJ99" s="320"/>
      <c r="AK99" s="322">
        <f t="shared" si="39"/>
        <v>95</v>
      </c>
      <c r="AL99" s="323">
        <f t="shared" si="52"/>
        <v>100</v>
      </c>
      <c r="AM99" s="322">
        <f t="shared" si="53"/>
        <v>5</v>
      </c>
      <c r="AN99" s="381">
        <f t="shared" si="40"/>
        <v>2.4999999999999998E-2</v>
      </c>
      <c r="AO99" s="322"/>
    </row>
    <row r="100" spans="2:41">
      <c r="B100" s="324" t="s">
        <v>1417</v>
      </c>
      <c r="C100" s="325" t="s">
        <v>1420</v>
      </c>
      <c r="D100" s="326" t="s">
        <v>1386</v>
      </c>
      <c r="E100" s="327">
        <f>+SUMIF('AUX-NIV2'!I:I,'AUX-NIV3'!B100,'AUX-NIV2'!Q:Q)</f>
        <v>0</v>
      </c>
      <c r="F100" s="327">
        <f t="shared" si="30"/>
        <v>40.604182634863236</v>
      </c>
      <c r="G100" s="327">
        <f t="shared" si="31"/>
        <v>0</v>
      </c>
      <c r="H100" s="328" t="str">
        <f t="shared" si="55"/>
        <v>E</v>
      </c>
      <c r="I100" s="325" t="s">
        <v>1569</v>
      </c>
      <c r="J100" s="329" t="str">
        <f>IF(B100&lt;&gt;"",+VLOOKUP(I100,Recursos!C:F,2,FALSE),"")</f>
        <v>COMPACTADOR NEUMAT.AUTOPROP.(22 T)</v>
      </c>
      <c r="K100" s="330" t="str">
        <f>IF(B100&lt;&gt;"",+VLOOKUP(I100,Recursos!C:F,3,FALSE),"")</f>
        <v>HR</v>
      </c>
      <c r="L100" s="327">
        <f>IF(B100&lt;&gt;"",+VLOOKUP(I100,Recursos!C:F,4,FALSE),"")</f>
        <v>1797.6897833333335</v>
      </c>
      <c r="M100" s="331"/>
      <c r="N100" s="331">
        <v>0.25</v>
      </c>
      <c r="O100" s="332">
        <f>+N100*O99</f>
        <v>2.5000000000000001E-3</v>
      </c>
      <c r="P100" s="333">
        <f t="shared" si="41"/>
        <v>4.4942244583333339</v>
      </c>
      <c r="Q100" s="327">
        <f t="shared" si="42"/>
        <v>0</v>
      </c>
      <c r="R100" s="334">
        <f t="shared" si="43"/>
        <v>0</v>
      </c>
      <c r="S100" s="335">
        <f t="shared" si="32"/>
        <v>14.130078176529905</v>
      </c>
      <c r="T100" s="335">
        <f t="shared" si="33"/>
        <v>26.474104458333333</v>
      </c>
      <c r="U100" s="336">
        <f t="shared" si="34"/>
        <v>0</v>
      </c>
      <c r="V100" s="336">
        <f t="shared" si="35"/>
        <v>0</v>
      </c>
      <c r="W100" s="336">
        <f t="shared" si="36"/>
        <v>0</v>
      </c>
      <c r="X100" s="336">
        <f t="shared" si="37"/>
        <v>0</v>
      </c>
      <c r="Y100" s="320"/>
      <c r="Z100" s="321" t="str">
        <f t="shared" si="44"/>
        <v>X-TER.0090A</v>
      </c>
      <c r="AA100" s="321" t="str">
        <f t="shared" si="45"/>
        <v>X-TER.0090E</v>
      </c>
      <c r="AB100" s="321" t="str">
        <f t="shared" si="46"/>
        <v>X-TER.0090M</v>
      </c>
      <c r="AC100" s="321" t="str">
        <f t="shared" si="47"/>
        <v>X-TER.0090T</v>
      </c>
      <c r="AD100" s="321" t="str">
        <f t="shared" si="48"/>
        <v>X-TER.0090S</v>
      </c>
      <c r="AE100" s="321" t="str">
        <f t="shared" si="49"/>
        <v>X-TER.0090X</v>
      </c>
      <c r="AF100" s="321" t="str">
        <f t="shared" si="50"/>
        <v>X-TER.0090E</v>
      </c>
      <c r="AG100" s="321">
        <f t="shared" si="38"/>
        <v>6</v>
      </c>
      <c r="AH100" s="321"/>
      <c r="AI100" s="321" t="str">
        <f t="shared" si="51"/>
        <v>X-TER.0090</v>
      </c>
      <c r="AJ100" s="320"/>
      <c r="AK100" s="322">
        <f t="shared" si="39"/>
        <v>95</v>
      </c>
      <c r="AL100" s="323">
        <f t="shared" si="52"/>
        <v>100</v>
      </c>
      <c r="AM100" s="322">
        <f t="shared" si="53"/>
        <v>6</v>
      </c>
      <c r="AN100" s="381">
        <f t="shared" si="40"/>
        <v>2.4999999999999998E-2</v>
      </c>
      <c r="AO100" s="322"/>
    </row>
    <row r="101" spans="2:41">
      <c r="B101" s="324" t="s">
        <v>1421</v>
      </c>
      <c r="C101" s="325" t="s">
        <v>1425</v>
      </c>
      <c r="D101" s="326" t="s">
        <v>1160</v>
      </c>
      <c r="E101" s="327">
        <f>+SUMIF('AUX-NIV2'!I:I,'AUX-NIV3'!B101,'AUX-NIV2'!Q:Q)</f>
        <v>0</v>
      </c>
      <c r="F101" s="327" t="e">
        <f t="shared" si="30"/>
        <v>#N/A</v>
      </c>
      <c r="G101" s="327" t="e">
        <f t="shared" si="31"/>
        <v>#N/A</v>
      </c>
      <c r="H101" s="328" t="str">
        <f t="shared" si="55"/>
        <v>E</v>
      </c>
      <c r="I101" s="325" t="s">
        <v>1572</v>
      </c>
      <c r="J101" s="420" t="str">
        <f>IF(B101&lt;&gt;"",+VLOOKUP(I101,Recursos!C:F,2,FALSE),"")</f>
        <v>TRACK DRILL NEUMATICO (10-14 M/H)</v>
      </c>
      <c r="K101" s="330" t="str">
        <f>IF(B101&lt;&gt;"",+VLOOKUP(I101,Recursos!C:F,3,FALSE),"")</f>
        <v>HR</v>
      </c>
      <c r="L101" s="327">
        <f>IF(B101&lt;&gt;"",+VLOOKUP(I101,Recursos!C:F,4,FALSE),"")</f>
        <v>1116.8352</v>
      </c>
      <c r="M101" s="416"/>
      <c r="N101" s="416">
        <v>26</v>
      </c>
      <c r="O101" s="332">
        <f>1/N101</f>
        <v>3.8461538461538464E-2</v>
      </c>
      <c r="P101" s="333">
        <f t="shared" si="41"/>
        <v>42.955200000000005</v>
      </c>
      <c r="Q101" s="327">
        <f t="shared" si="42"/>
        <v>0</v>
      </c>
      <c r="R101" s="334">
        <f t="shared" si="43"/>
        <v>0</v>
      </c>
      <c r="S101" s="335" t="e">
        <f t="shared" si="32"/>
        <v>#N/A</v>
      </c>
      <c r="T101" s="335">
        <f t="shared" si="33"/>
        <v>404.95755956043962</v>
      </c>
      <c r="U101" s="336">
        <f t="shared" si="34"/>
        <v>238.22963550988095</v>
      </c>
      <c r="V101" s="336">
        <f t="shared" si="35"/>
        <v>0</v>
      </c>
      <c r="W101" s="336">
        <f t="shared" si="36"/>
        <v>0</v>
      </c>
      <c r="X101" s="336">
        <f t="shared" si="37"/>
        <v>0</v>
      </c>
      <c r="Y101" s="320"/>
      <c r="Z101" s="321" t="str">
        <f t="shared" si="44"/>
        <v>X-EXC0RA</v>
      </c>
      <c r="AA101" s="321" t="str">
        <f t="shared" si="45"/>
        <v>X-EXC0RE</v>
      </c>
      <c r="AB101" s="321" t="str">
        <f t="shared" si="46"/>
        <v>X-EXC0RM</v>
      </c>
      <c r="AC101" s="321" t="str">
        <f t="shared" si="47"/>
        <v>X-EXC0RT</v>
      </c>
      <c r="AD101" s="321" t="str">
        <f t="shared" si="48"/>
        <v>X-EXC0RS</v>
      </c>
      <c r="AE101" s="321" t="str">
        <f t="shared" si="49"/>
        <v>X-EXC0RX</v>
      </c>
      <c r="AF101" s="321" t="str">
        <f t="shared" si="50"/>
        <v>X-EXC0RE</v>
      </c>
      <c r="AG101" s="321">
        <f t="shared" si="38"/>
        <v>40</v>
      </c>
      <c r="AH101" s="321"/>
      <c r="AI101" s="321" t="str">
        <f t="shared" si="51"/>
        <v>X-EXC0R</v>
      </c>
      <c r="AJ101" s="320"/>
      <c r="AK101" s="322">
        <f t="shared" si="39"/>
        <v>101</v>
      </c>
      <c r="AL101" s="323">
        <f t="shared" si="52"/>
        <v>140</v>
      </c>
      <c r="AM101" s="322">
        <f t="shared" si="53"/>
        <v>1</v>
      </c>
      <c r="AN101" s="381">
        <f t="shared" si="40"/>
        <v>0.64214896214896222</v>
      </c>
      <c r="AO101" s="322"/>
    </row>
    <row r="102" spans="2:41">
      <c r="B102" s="324" t="s">
        <v>1421</v>
      </c>
      <c r="C102" s="325" t="s">
        <v>1425</v>
      </c>
      <c r="D102" s="326" t="s">
        <v>1160</v>
      </c>
      <c r="E102" s="327">
        <f>+SUMIF('AUX-NIV2'!I:I,'AUX-NIV3'!B102,'AUX-NIV2'!Q:Q)</f>
        <v>0</v>
      </c>
      <c r="F102" s="327" t="e">
        <f t="shared" si="30"/>
        <v>#N/A</v>
      </c>
      <c r="G102" s="327" t="e">
        <f t="shared" si="31"/>
        <v>#N/A</v>
      </c>
      <c r="H102" s="328" t="str">
        <f t="shared" si="55"/>
        <v>E</v>
      </c>
      <c r="I102" s="325" t="s">
        <v>1583</v>
      </c>
      <c r="J102" s="420" t="str">
        <f>IF(B102&lt;&gt;"",+VLOOKUP(I102,Recursos!C:F,2,FALSE),"")</f>
        <v>MOTOCOMPRESOR 21 M3/MIN-750 CFM</v>
      </c>
      <c r="K102" s="330" t="str">
        <f>IF(B102&lt;&gt;"",+VLOOKUP(I102,Recursos!C:F,3,FALSE),"")</f>
        <v>HR</v>
      </c>
      <c r="L102" s="327">
        <f>IF(B102&lt;&gt;"",+VLOOKUP(I102,Recursos!C:F,4,FALSE),"")</f>
        <v>3148.9333999999999</v>
      </c>
      <c r="M102" s="416"/>
      <c r="N102" s="416"/>
      <c r="O102" s="332">
        <f>+O101</f>
        <v>3.8461538461538464E-2</v>
      </c>
      <c r="P102" s="333">
        <f t="shared" si="41"/>
        <v>121.11282307692308</v>
      </c>
      <c r="Q102" s="327">
        <f t="shared" si="42"/>
        <v>0</v>
      </c>
      <c r="R102" s="334">
        <f t="shared" si="43"/>
        <v>0</v>
      </c>
      <c r="S102" s="335" t="e">
        <f t="shared" si="32"/>
        <v>#N/A</v>
      </c>
      <c r="T102" s="335">
        <f t="shared" si="33"/>
        <v>404.95755956043962</v>
      </c>
      <c r="U102" s="336">
        <f t="shared" si="34"/>
        <v>238.22963550988095</v>
      </c>
      <c r="V102" s="336">
        <f t="shared" si="35"/>
        <v>0</v>
      </c>
      <c r="W102" s="336">
        <f t="shared" si="36"/>
        <v>0</v>
      </c>
      <c r="X102" s="336">
        <f t="shared" si="37"/>
        <v>0</v>
      </c>
      <c r="Y102" s="320"/>
      <c r="Z102" s="321" t="str">
        <f t="shared" si="44"/>
        <v>X-EXC0RA</v>
      </c>
      <c r="AA102" s="321" t="str">
        <f t="shared" si="45"/>
        <v>X-EXC0RE</v>
      </c>
      <c r="AB102" s="321" t="str">
        <f t="shared" si="46"/>
        <v>X-EXC0RM</v>
      </c>
      <c r="AC102" s="321" t="str">
        <f t="shared" si="47"/>
        <v>X-EXC0RT</v>
      </c>
      <c r="AD102" s="321" t="str">
        <f t="shared" si="48"/>
        <v>X-EXC0RS</v>
      </c>
      <c r="AE102" s="321" t="str">
        <f t="shared" si="49"/>
        <v>X-EXC0RX</v>
      </c>
      <c r="AF102" s="321" t="str">
        <f t="shared" si="50"/>
        <v>X-EXC0RE</v>
      </c>
      <c r="AG102" s="321">
        <f t="shared" si="38"/>
        <v>40</v>
      </c>
      <c r="AH102" s="321"/>
      <c r="AI102" s="321" t="str">
        <f t="shared" si="51"/>
        <v>X-EXC0R</v>
      </c>
      <c r="AJ102" s="320"/>
      <c r="AK102" s="322">
        <f t="shared" si="39"/>
        <v>101</v>
      </c>
      <c r="AL102" s="323">
        <f t="shared" si="52"/>
        <v>140</v>
      </c>
      <c r="AM102" s="322">
        <f t="shared" si="53"/>
        <v>2</v>
      </c>
      <c r="AN102" s="381">
        <f t="shared" si="40"/>
        <v>0.64214896214896222</v>
      </c>
      <c r="AO102" s="322"/>
    </row>
    <row r="103" spans="2:41">
      <c r="B103" s="324" t="s">
        <v>1421</v>
      </c>
      <c r="C103" s="325" t="s">
        <v>1425</v>
      </c>
      <c r="D103" s="326" t="s">
        <v>1160</v>
      </c>
      <c r="E103" s="327">
        <f>+SUMIF('AUX-NIV2'!I:I,'AUX-NIV3'!B103,'AUX-NIV2'!Q:Q)</f>
        <v>0</v>
      </c>
      <c r="F103" s="327" t="e">
        <f t="shared" si="30"/>
        <v>#N/A</v>
      </c>
      <c r="G103" s="327" t="e">
        <f t="shared" si="31"/>
        <v>#N/A</v>
      </c>
      <c r="H103" s="328" t="str">
        <f t="shared" si="55"/>
        <v>E</v>
      </c>
      <c r="I103" s="325" t="s">
        <v>1575</v>
      </c>
      <c r="J103" s="422" t="str">
        <f>IF(B103&lt;&gt;"",+VLOOKUP(I103,Recursos!C:F,2,FALSE),"")</f>
        <v>MARTILLO NEUMATICO PERFORADOR</v>
      </c>
      <c r="K103" s="330" t="str">
        <f>IF(B103&lt;&gt;"",+VLOOKUP(I103,Recursos!C:F,3,FALSE),"")</f>
        <v>HR</v>
      </c>
      <c r="L103" s="327">
        <f>IF(B103&lt;&gt;"",+VLOOKUP(I103,Recursos!C:F,4,FALSE),"")</f>
        <v>117.5616</v>
      </c>
      <c r="M103" s="416">
        <v>2</v>
      </c>
      <c r="N103" s="416">
        <v>0.7</v>
      </c>
      <c r="O103" s="332">
        <f>1/N103*O102*M103</f>
        <v>0.1098901098901099</v>
      </c>
      <c r="P103" s="333">
        <f t="shared" si="41"/>
        <v>12.918857142857144</v>
      </c>
      <c r="Q103" s="327">
        <f t="shared" si="42"/>
        <v>0</v>
      </c>
      <c r="R103" s="334">
        <f t="shared" si="43"/>
        <v>0</v>
      </c>
      <c r="S103" s="335" t="e">
        <f t="shared" si="32"/>
        <v>#N/A</v>
      </c>
      <c r="T103" s="335">
        <f t="shared" si="33"/>
        <v>404.95755956043962</v>
      </c>
      <c r="U103" s="336">
        <f t="shared" si="34"/>
        <v>238.22963550988095</v>
      </c>
      <c r="V103" s="336">
        <f t="shared" si="35"/>
        <v>0</v>
      </c>
      <c r="W103" s="336">
        <f t="shared" si="36"/>
        <v>0</v>
      </c>
      <c r="X103" s="336">
        <f t="shared" si="37"/>
        <v>0</v>
      </c>
      <c r="Y103" s="320"/>
      <c r="Z103" s="321" t="str">
        <f t="shared" si="44"/>
        <v>X-EXC0RA</v>
      </c>
      <c r="AA103" s="321" t="str">
        <f t="shared" si="45"/>
        <v>X-EXC0RE</v>
      </c>
      <c r="AB103" s="321" t="str">
        <f t="shared" si="46"/>
        <v>X-EXC0RM</v>
      </c>
      <c r="AC103" s="321" t="str">
        <f t="shared" si="47"/>
        <v>X-EXC0RT</v>
      </c>
      <c r="AD103" s="321" t="str">
        <f t="shared" si="48"/>
        <v>X-EXC0RS</v>
      </c>
      <c r="AE103" s="321" t="str">
        <f t="shared" si="49"/>
        <v>X-EXC0RX</v>
      </c>
      <c r="AF103" s="321" t="str">
        <f t="shared" si="50"/>
        <v>X-EXC0RE</v>
      </c>
      <c r="AG103" s="321">
        <f t="shared" si="38"/>
        <v>40</v>
      </c>
      <c r="AH103" s="321"/>
      <c r="AI103" s="321" t="str">
        <f t="shared" si="51"/>
        <v>X-EXC0R</v>
      </c>
      <c r="AJ103" s="320"/>
      <c r="AK103" s="322">
        <f t="shared" si="39"/>
        <v>101</v>
      </c>
      <c r="AL103" s="323">
        <f t="shared" si="52"/>
        <v>140</v>
      </c>
      <c r="AM103" s="322">
        <f t="shared" si="53"/>
        <v>3</v>
      </c>
      <c r="AN103" s="381">
        <f t="shared" si="40"/>
        <v>0.64214896214896222</v>
      </c>
      <c r="AO103" s="322"/>
    </row>
    <row r="104" spans="2:41">
      <c r="B104" s="324" t="s">
        <v>1421</v>
      </c>
      <c r="C104" s="325" t="s">
        <v>1425</v>
      </c>
      <c r="D104" s="326" t="s">
        <v>1160</v>
      </c>
      <c r="E104" s="327">
        <f>+SUMIF('AUX-NIV2'!I:I,'AUX-NIV3'!B104,'AUX-NIV2'!Q:Q)</f>
        <v>0</v>
      </c>
      <c r="F104" s="327" t="e">
        <f t="shared" si="30"/>
        <v>#N/A</v>
      </c>
      <c r="G104" s="327" t="e">
        <f t="shared" si="31"/>
        <v>#N/A</v>
      </c>
      <c r="H104" s="328" t="str">
        <f t="shared" si="55"/>
        <v>E</v>
      </c>
      <c r="I104" s="325" t="s">
        <v>1581</v>
      </c>
      <c r="J104" s="422" t="str">
        <f>IF(B104&lt;&gt;"",+VLOOKUP(I104,Recursos!C:F,2,FALSE),"")</f>
        <v>MOTOCOMPRESOR 5 M3/MIN-175 CFM</v>
      </c>
      <c r="K104" s="330" t="str">
        <f>IF(B104&lt;&gt;"",+VLOOKUP(I104,Recursos!C:F,3,FALSE),"")</f>
        <v>HR</v>
      </c>
      <c r="L104" s="327">
        <f>IF(B104&lt;&gt;"",+VLOOKUP(I104,Recursos!C:F,4,FALSE),"")</f>
        <v>1186.33205</v>
      </c>
      <c r="M104" s="416"/>
      <c r="N104" s="416"/>
      <c r="O104" s="332">
        <f>+O103</f>
        <v>0.1098901098901099</v>
      </c>
      <c r="P104" s="333">
        <f t="shared" si="41"/>
        <v>130.36615934065935</v>
      </c>
      <c r="Q104" s="327">
        <f t="shared" si="42"/>
        <v>0</v>
      </c>
      <c r="R104" s="334">
        <f t="shared" si="43"/>
        <v>0</v>
      </c>
      <c r="S104" s="335" t="e">
        <f t="shared" si="32"/>
        <v>#N/A</v>
      </c>
      <c r="T104" s="335">
        <f t="shared" si="33"/>
        <v>404.95755956043962</v>
      </c>
      <c r="U104" s="336">
        <f t="shared" si="34"/>
        <v>238.22963550988095</v>
      </c>
      <c r="V104" s="336">
        <f t="shared" si="35"/>
        <v>0</v>
      </c>
      <c r="W104" s="336">
        <f t="shared" si="36"/>
        <v>0</v>
      </c>
      <c r="X104" s="336">
        <f t="shared" si="37"/>
        <v>0</v>
      </c>
      <c r="Y104" s="320"/>
      <c r="Z104" s="321" t="str">
        <f t="shared" si="44"/>
        <v>X-EXC0RA</v>
      </c>
      <c r="AA104" s="321" t="str">
        <f t="shared" si="45"/>
        <v>X-EXC0RE</v>
      </c>
      <c r="AB104" s="321" t="str">
        <f t="shared" si="46"/>
        <v>X-EXC0RM</v>
      </c>
      <c r="AC104" s="321" t="str">
        <f t="shared" si="47"/>
        <v>X-EXC0RT</v>
      </c>
      <c r="AD104" s="321" t="str">
        <f t="shared" si="48"/>
        <v>X-EXC0RS</v>
      </c>
      <c r="AE104" s="321" t="str">
        <f t="shared" si="49"/>
        <v>X-EXC0RX</v>
      </c>
      <c r="AF104" s="321" t="str">
        <f t="shared" si="50"/>
        <v>X-EXC0RE</v>
      </c>
      <c r="AG104" s="321">
        <f t="shared" si="38"/>
        <v>40</v>
      </c>
      <c r="AH104" s="321"/>
      <c r="AI104" s="321" t="str">
        <f t="shared" si="51"/>
        <v>X-EXC0R</v>
      </c>
      <c r="AJ104" s="320"/>
      <c r="AK104" s="322">
        <f t="shared" si="39"/>
        <v>101</v>
      </c>
      <c r="AL104" s="323">
        <f t="shared" si="52"/>
        <v>140</v>
      </c>
      <c r="AM104" s="322">
        <f t="shared" si="53"/>
        <v>4</v>
      </c>
      <c r="AN104" s="381">
        <f t="shared" si="40"/>
        <v>0.64214896214896222</v>
      </c>
      <c r="AO104" s="322"/>
    </row>
    <row r="105" spans="2:41">
      <c r="B105" s="324" t="s">
        <v>1421</v>
      </c>
      <c r="C105" s="325" t="s">
        <v>1425</v>
      </c>
      <c r="D105" s="326" t="s">
        <v>1160</v>
      </c>
      <c r="E105" s="327">
        <f>+SUMIF('AUX-NIV2'!I:I,'AUX-NIV3'!B105,'AUX-NIV2'!Q:Q)</f>
        <v>0</v>
      </c>
      <c r="F105" s="327" t="e">
        <f t="shared" si="30"/>
        <v>#N/A</v>
      </c>
      <c r="G105" s="327" t="e">
        <f t="shared" si="31"/>
        <v>#N/A</v>
      </c>
      <c r="H105" s="328" t="str">
        <f t="shared" si="55"/>
        <v>E</v>
      </c>
      <c r="I105" s="325" t="s">
        <v>3301</v>
      </c>
      <c r="J105" s="424" t="str">
        <f>IF(B105&lt;&gt;"",+VLOOKUP(I105,Recursos!C:F,2,FALSE),"")</f>
        <v>TOPADORA CON ESC.(39 T) 302 HP</v>
      </c>
      <c r="K105" s="330" t="str">
        <f>IF(B105&lt;&gt;"",+VLOOKUP(I105,Recursos!C:F,3,FALSE),"")</f>
        <v>HR</v>
      </c>
      <c r="L105" s="327">
        <f>IF(B105&lt;&gt;"",+VLOOKUP(I105,Recursos!C:F,4,FALSE),"")</f>
        <v>7320.3390000000009</v>
      </c>
      <c r="M105" s="416">
        <v>1.6</v>
      </c>
      <c r="N105" s="416">
        <v>120</v>
      </c>
      <c r="O105" s="332">
        <f>+M105/N105</f>
        <v>1.3333333333333334E-2</v>
      </c>
      <c r="P105" s="333">
        <f t="shared" si="41"/>
        <v>97.604520000000022</v>
      </c>
      <c r="Q105" s="327">
        <f t="shared" si="42"/>
        <v>0</v>
      </c>
      <c r="R105" s="334">
        <f t="shared" si="43"/>
        <v>0</v>
      </c>
      <c r="S105" s="335" t="e">
        <f t="shared" si="32"/>
        <v>#N/A</v>
      </c>
      <c r="T105" s="335">
        <f t="shared" si="33"/>
        <v>404.95755956043962</v>
      </c>
      <c r="U105" s="336">
        <f t="shared" si="34"/>
        <v>238.22963550988095</v>
      </c>
      <c r="V105" s="336">
        <f t="shared" si="35"/>
        <v>0</v>
      </c>
      <c r="W105" s="336">
        <f t="shared" si="36"/>
        <v>0</v>
      </c>
      <c r="X105" s="336">
        <f t="shared" si="37"/>
        <v>0</v>
      </c>
      <c r="Y105" s="320"/>
      <c r="Z105" s="321" t="str">
        <f t="shared" si="44"/>
        <v>X-EXC0RA</v>
      </c>
      <c r="AA105" s="321" t="str">
        <f t="shared" si="45"/>
        <v>X-EXC0RE</v>
      </c>
      <c r="AB105" s="321" t="str">
        <f t="shared" si="46"/>
        <v>X-EXC0RM</v>
      </c>
      <c r="AC105" s="321" t="str">
        <f t="shared" si="47"/>
        <v>X-EXC0RT</v>
      </c>
      <c r="AD105" s="321" t="str">
        <f t="shared" si="48"/>
        <v>X-EXC0RS</v>
      </c>
      <c r="AE105" s="321" t="str">
        <f t="shared" si="49"/>
        <v>X-EXC0RX</v>
      </c>
      <c r="AF105" s="321" t="str">
        <f t="shared" si="50"/>
        <v>X-EXC0RE</v>
      </c>
      <c r="AG105" s="321">
        <f t="shared" si="38"/>
        <v>40</v>
      </c>
      <c r="AH105" s="321"/>
      <c r="AI105" s="321" t="str">
        <f t="shared" si="51"/>
        <v>X-EXC0R</v>
      </c>
      <c r="AJ105" s="320"/>
      <c r="AK105" s="322">
        <f t="shared" si="39"/>
        <v>101</v>
      </c>
      <c r="AL105" s="323">
        <f t="shared" si="52"/>
        <v>140</v>
      </c>
      <c r="AM105" s="322">
        <f t="shared" si="53"/>
        <v>5</v>
      </c>
      <c r="AN105" s="381">
        <f t="shared" si="40"/>
        <v>0.64214896214896222</v>
      </c>
      <c r="AO105" s="322"/>
    </row>
    <row r="106" spans="2:41">
      <c r="B106" s="324" t="s">
        <v>1421</v>
      </c>
      <c r="C106" s="325" t="s">
        <v>1425</v>
      </c>
      <c r="D106" s="326" t="s">
        <v>1160</v>
      </c>
      <c r="E106" s="327">
        <f>+SUMIF('AUX-NIV2'!I:I,'AUX-NIV3'!B106,'AUX-NIV2'!Q:Q)</f>
        <v>0</v>
      </c>
      <c r="F106" s="327" t="e">
        <f t="shared" si="30"/>
        <v>#N/A</v>
      </c>
      <c r="G106" s="327" t="e">
        <f t="shared" si="31"/>
        <v>#N/A</v>
      </c>
      <c r="H106" s="328" t="str">
        <f t="shared" ref="H106:H114" si="56">IF(B106&lt;&gt;"",+LEFT(I106,1),"")</f>
        <v>A</v>
      </c>
      <c r="I106" s="325" t="s">
        <v>3314</v>
      </c>
      <c r="J106" s="420" t="e">
        <f>IF(B106&lt;&gt;"",+VLOOKUP(I106,Recursos!C:F,2,FALSE),"")</f>
        <v>#N/A</v>
      </c>
      <c r="K106" s="330" t="e">
        <f>IF(B106&lt;&gt;"",+VLOOKUP(I106,Recursos!C:F,3,FALSE),"")</f>
        <v>#N/A</v>
      </c>
      <c r="L106" s="327" t="e">
        <f>IF(B106&lt;&gt;"",+VLOOKUP(I106,Recursos!C:F,4,FALSE),"")</f>
        <v>#N/A</v>
      </c>
      <c r="M106" s="416"/>
      <c r="N106" s="416"/>
      <c r="O106" s="332">
        <f>+O107</f>
        <v>3.8461538461538464E-2</v>
      </c>
      <c r="P106" s="333" t="e">
        <f t="shared" si="41"/>
        <v>#N/A</v>
      </c>
      <c r="Q106" s="327">
        <f t="shared" si="42"/>
        <v>0</v>
      </c>
      <c r="R106" s="334" t="e">
        <f t="shared" si="43"/>
        <v>#N/A</v>
      </c>
      <c r="S106" s="335" t="e">
        <f t="shared" si="32"/>
        <v>#N/A</v>
      </c>
      <c r="T106" s="335">
        <f t="shared" si="33"/>
        <v>404.95755956043962</v>
      </c>
      <c r="U106" s="336">
        <f t="shared" si="34"/>
        <v>238.22963550988095</v>
      </c>
      <c r="V106" s="336">
        <f t="shared" si="35"/>
        <v>0</v>
      </c>
      <c r="W106" s="336">
        <f t="shared" si="36"/>
        <v>0</v>
      </c>
      <c r="X106" s="336">
        <f t="shared" si="37"/>
        <v>0</v>
      </c>
      <c r="Y106" s="320"/>
      <c r="Z106" s="321" t="str">
        <f t="shared" si="44"/>
        <v>X-EXC0RA</v>
      </c>
      <c r="AA106" s="321" t="str">
        <f t="shared" si="45"/>
        <v>X-EXC0RE</v>
      </c>
      <c r="AB106" s="321" t="str">
        <f t="shared" si="46"/>
        <v>X-EXC0RM</v>
      </c>
      <c r="AC106" s="321" t="str">
        <f t="shared" si="47"/>
        <v>X-EXC0RT</v>
      </c>
      <c r="AD106" s="321" t="str">
        <f t="shared" si="48"/>
        <v>X-EXC0RS</v>
      </c>
      <c r="AE106" s="321" t="str">
        <f t="shared" si="49"/>
        <v>X-EXC0RX</v>
      </c>
      <c r="AF106" s="321" t="str">
        <f t="shared" si="50"/>
        <v>X-EXC0RA</v>
      </c>
      <c r="AG106" s="321">
        <f t="shared" si="38"/>
        <v>40</v>
      </c>
      <c r="AH106" s="321"/>
      <c r="AI106" s="321" t="str">
        <f t="shared" si="51"/>
        <v>X-EXC0R</v>
      </c>
      <c r="AJ106" s="320"/>
      <c r="AK106" s="322">
        <f t="shared" si="39"/>
        <v>101</v>
      </c>
      <c r="AL106" s="323">
        <f t="shared" si="52"/>
        <v>140</v>
      </c>
      <c r="AM106" s="322">
        <f t="shared" si="53"/>
        <v>6</v>
      </c>
      <c r="AN106" s="381">
        <f t="shared" si="40"/>
        <v>0.64214896214896222</v>
      </c>
      <c r="AO106" s="322"/>
    </row>
    <row r="107" spans="2:41">
      <c r="B107" s="324" t="s">
        <v>1421</v>
      </c>
      <c r="C107" s="325" t="s">
        <v>1425</v>
      </c>
      <c r="D107" s="326" t="s">
        <v>1160</v>
      </c>
      <c r="E107" s="327">
        <f>+SUMIF('AUX-NIV2'!I:I,'AUX-NIV3'!B107,'AUX-NIV2'!Q:Q)</f>
        <v>0</v>
      </c>
      <c r="F107" s="327" t="e">
        <f t="shared" si="30"/>
        <v>#N/A</v>
      </c>
      <c r="G107" s="327" t="e">
        <f t="shared" si="31"/>
        <v>#N/A</v>
      </c>
      <c r="H107" s="328" t="str">
        <f t="shared" si="56"/>
        <v>A</v>
      </c>
      <c r="I107" s="325" t="s">
        <v>3311</v>
      </c>
      <c r="J107" s="420" t="str">
        <f>IF(B107&lt;&gt;"",+VLOOKUP(I107,Recursos!C:F,2,FALSE),"")</f>
        <v>OPER. EQUIPO</v>
      </c>
      <c r="K107" s="330" t="str">
        <f>IF(B107&lt;&gt;"",+VLOOKUP(I107,Recursos!C:F,3,FALSE),"")</f>
        <v>hh</v>
      </c>
      <c r="L107" s="327">
        <f>IF(B107&lt;&gt;"",+VLOOKUP(I107,Recursos!C:F,4,FALSE),"")</f>
        <v>581.06120476836554</v>
      </c>
      <c r="M107" s="416"/>
      <c r="N107" s="416"/>
      <c r="O107" s="332">
        <f>+O101</f>
        <v>3.8461538461538464E-2</v>
      </c>
      <c r="P107" s="333">
        <f t="shared" si="41"/>
        <v>22.348507875706368</v>
      </c>
      <c r="Q107" s="327">
        <f t="shared" si="42"/>
        <v>0</v>
      </c>
      <c r="R107" s="334">
        <f t="shared" si="43"/>
        <v>0</v>
      </c>
      <c r="S107" s="335" t="e">
        <f t="shared" si="32"/>
        <v>#N/A</v>
      </c>
      <c r="T107" s="335">
        <f t="shared" si="33"/>
        <v>404.95755956043962</v>
      </c>
      <c r="U107" s="336">
        <f t="shared" si="34"/>
        <v>238.22963550988095</v>
      </c>
      <c r="V107" s="336">
        <f t="shared" si="35"/>
        <v>0</v>
      </c>
      <c r="W107" s="336">
        <f t="shared" si="36"/>
        <v>0</v>
      </c>
      <c r="X107" s="336">
        <f t="shared" si="37"/>
        <v>0</v>
      </c>
      <c r="Y107" s="320"/>
      <c r="Z107" s="321" t="str">
        <f t="shared" si="44"/>
        <v>X-EXC0RA</v>
      </c>
      <c r="AA107" s="321" t="str">
        <f t="shared" si="45"/>
        <v>X-EXC0RE</v>
      </c>
      <c r="AB107" s="321" t="str">
        <f t="shared" si="46"/>
        <v>X-EXC0RM</v>
      </c>
      <c r="AC107" s="321" t="str">
        <f t="shared" si="47"/>
        <v>X-EXC0RT</v>
      </c>
      <c r="AD107" s="321" t="str">
        <f t="shared" si="48"/>
        <v>X-EXC0RS</v>
      </c>
      <c r="AE107" s="321" t="str">
        <f t="shared" si="49"/>
        <v>X-EXC0RX</v>
      </c>
      <c r="AF107" s="321" t="str">
        <f t="shared" si="50"/>
        <v>X-EXC0RA</v>
      </c>
      <c r="AG107" s="321">
        <f t="shared" si="38"/>
        <v>40</v>
      </c>
      <c r="AH107" s="321"/>
      <c r="AI107" s="321" t="str">
        <f t="shared" si="51"/>
        <v>X-EXC0R</v>
      </c>
      <c r="AJ107" s="320"/>
      <c r="AK107" s="322">
        <f t="shared" si="39"/>
        <v>101</v>
      </c>
      <c r="AL107" s="323">
        <f t="shared" si="52"/>
        <v>140</v>
      </c>
      <c r="AM107" s="322">
        <f t="shared" si="53"/>
        <v>7</v>
      </c>
      <c r="AN107" s="381">
        <f t="shared" si="40"/>
        <v>0.64214896214896222</v>
      </c>
      <c r="AO107" s="322"/>
    </row>
    <row r="108" spans="2:41">
      <c r="B108" s="324" t="s">
        <v>1421</v>
      </c>
      <c r="C108" s="325" t="s">
        <v>1425</v>
      </c>
      <c r="D108" s="326" t="s">
        <v>1160</v>
      </c>
      <c r="E108" s="327">
        <f>+SUMIF('AUX-NIV2'!I:I,'AUX-NIV3'!B108,'AUX-NIV2'!Q:Q)</f>
        <v>0</v>
      </c>
      <c r="F108" s="327" t="e">
        <f t="shared" si="30"/>
        <v>#N/A</v>
      </c>
      <c r="G108" s="327" t="e">
        <f t="shared" si="31"/>
        <v>#N/A</v>
      </c>
      <c r="H108" s="328" t="str">
        <f t="shared" si="56"/>
        <v>A</v>
      </c>
      <c r="I108" s="325" t="s">
        <v>3311</v>
      </c>
      <c r="J108" s="424" t="str">
        <f>IF(B108&lt;&gt;"",+VLOOKUP(I108,Recursos!C:F,2,FALSE),"")</f>
        <v>OPER. EQUIPO</v>
      </c>
      <c r="K108" s="330" t="str">
        <f>IF(B108&lt;&gt;"",+VLOOKUP(I108,Recursos!C:F,3,FALSE),"")</f>
        <v>hh</v>
      </c>
      <c r="L108" s="327">
        <f>IF(B108&lt;&gt;"",+VLOOKUP(I108,Recursos!C:F,4,FALSE),"")</f>
        <v>581.06120476836554</v>
      </c>
      <c r="M108" s="416"/>
      <c r="N108" s="416"/>
      <c r="O108" s="332">
        <f>+O105</f>
        <v>1.3333333333333334E-2</v>
      </c>
      <c r="P108" s="333">
        <f t="shared" si="41"/>
        <v>7.7474827302448741</v>
      </c>
      <c r="Q108" s="327">
        <f t="shared" si="42"/>
        <v>0</v>
      </c>
      <c r="R108" s="334">
        <f t="shared" si="43"/>
        <v>0</v>
      </c>
      <c r="S108" s="335" t="e">
        <f t="shared" si="32"/>
        <v>#N/A</v>
      </c>
      <c r="T108" s="335">
        <f t="shared" si="33"/>
        <v>404.95755956043962</v>
      </c>
      <c r="U108" s="336">
        <f t="shared" si="34"/>
        <v>238.22963550988095</v>
      </c>
      <c r="V108" s="336">
        <f t="shared" si="35"/>
        <v>0</v>
      </c>
      <c r="W108" s="336">
        <f t="shared" si="36"/>
        <v>0</v>
      </c>
      <c r="X108" s="336">
        <f t="shared" si="37"/>
        <v>0</v>
      </c>
      <c r="Y108" s="320"/>
      <c r="Z108" s="321" t="str">
        <f t="shared" si="44"/>
        <v>X-EXC0RA</v>
      </c>
      <c r="AA108" s="321" t="str">
        <f t="shared" si="45"/>
        <v>X-EXC0RE</v>
      </c>
      <c r="AB108" s="321" t="str">
        <f t="shared" si="46"/>
        <v>X-EXC0RM</v>
      </c>
      <c r="AC108" s="321" t="str">
        <f t="shared" si="47"/>
        <v>X-EXC0RT</v>
      </c>
      <c r="AD108" s="321" t="str">
        <f t="shared" si="48"/>
        <v>X-EXC0RS</v>
      </c>
      <c r="AE108" s="321" t="str">
        <f t="shared" si="49"/>
        <v>X-EXC0RX</v>
      </c>
      <c r="AF108" s="321" t="str">
        <f t="shared" si="50"/>
        <v>X-EXC0RA</v>
      </c>
      <c r="AG108" s="321">
        <f t="shared" si="38"/>
        <v>40</v>
      </c>
      <c r="AH108" s="321"/>
      <c r="AI108" s="321" t="str">
        <f t="shared" si="51"/>
        <v>X-EXC0R</v>
      </c>
      <c r="AJ108" s="320"/>
      <c r="AK108" s="322">
        <f t="shared" si="39"/>
        <v>101</v>
      </c>
      <c r="AL108" s="323">
        <f t="shared" si="52"/>
        <v>140</v>
      </c>
      <c r="AM108" s="322">
        <f t="shared" si="53"/>
        <v>8</v>
      </c>
      <c r="AN108" s="381">
        <f t="shared" si="40"/>
        <v>0.64214896214896222</v>
      </c>
      <c r="AO108" s="322"/>
    </row>
    <row r="109" spans="2:41">
      <c r="B109" s="324" t="s">
        <v>1421</v>
      </c>
      <c r="C109" s="325" t="s">
        <v>1425</v>
      </c>
      <c r="D109" s="326" t="s">
        <v>1160</v>
      </c>
      <c r="E109" s="327">
        <f>+SUMIF('AUX-NIV2'!I:I,'AUX-NIV3'!B109,'AUX-NIV2'!Q:Q)</f>
        <v>0</v>
      </c>
      <c r="F109" s="327" t="e">
        <f t="shared" si="30"/>
        <v>#N/A</v>
      </c>
      <c r="G109" s="327" t="e">
        <f t="shared" si="31"/>
        <v>#N/A</v>
      </c>
      <c r="H109" s="328" t="str">
        <f t="shared" si="56"/>
        <v>A</v>
      </c>
      <c r="I109" s="325" t="s">
        <v>3314</v>
      </c>
      <c r="J109" s="425" t="e">
        <f>IF(B109&lt;&gt;"",+VLOOKUP(I109,Recursos!C:F,2,FALSE),"")</f>
        <v>#N/A</v>
      </c>
      <c r="K109" s="330" t="e">
        <f>IF(B109&lt;&gt;"",+VLOOKUP(I109,Recursos!C:F,3,FALSE),"")</f>
        <v>#N/A</v>
      </c>
      <c r="L109" s="327" t="e">
        <f>IF(B109&lt;&gt;"",+VLOOKUP(I109,Recursos!C:F,4,FALSE),"")</f>
        <v>#N/A</v>
      </c>
      <c r="M109" s="416"/>
      <c r="N109" s="416"/>
      <c r="O109" s="332">
        <f>2*O110</f>
        <v>0.2197802197802198</v>
      </c>
      <c r="P109" s="333" t="e">
        <f t="shared" si="41"/>
        <v>#N/A</v>
      </c>
      <c r="Q109" s="327">
        <f t="shared" si="42"/>
        <v>0</v>
      </c>
      <c r="R109" s="334" t="e">
        <f t="shared" si="43"/>
        <v>#N/A</v>
      </c>
      <c r="S109" s="335" t="e">
        <f t="shared" si="32"/>
        <v>#N/A</v>
      </c>
      <c r="T109" s="335">
        <f t="shared" si="33"/>
        <v>404.95755956043962</v>
      </c>
      <c r="U109" s="336">
        <f t="shared" si="34"/>
        <v>238.22963550988095</v>
      </c>
      <c r="V109" s="336">
        <f t="shared" si="35"/>
        <v>0</v>
      </c>
      <c r="W109" s="336">
        <f t="shared" si="36"/>
        <v>0</v>
      </c>
      <c r="X109" s="336">
        <f t="shared" si="37"/>
        <v>0</v>
      </c>
      <c r="Y109" s="320"/>
      <c r="Z109" s="321" t="str">
        <f t="shared" si="44"/>
        <v>X-EXC0RA</v>
      </c>
      <c r="AA109" s="321" t="str">
        <f t="shared" si="45"/>
        <v>X-EXC0RE</v>
      </c>
      <c r="AB109" s="321" t="str">
        <f t="shared" si="46"/>
        <v>X-EXC0RM</v>
      </c>
      <c r="AC109" s="321" t="str">
        <f t="shared" si="47"/>
        <v>X-EXC0RT</v>
      </c>
      <c r="AD109" s="321" t="str">
        <f t="shared" si="48"/>
        <v>X-EXC0RS</v>
      </c>
      <c r="AE109" s="321" t="str">
        <f t="shared" si="49"/>
        <v>X-EXC0RX</v>
      </c>
      <c r="AF109" s="321" t="str">
        <f t="shared" si="50"/>
        <v>X-EXC0RA</v>
      </c>
      <c r="AG109" s="321">
        <f t="shared" si="38"/>
        <v>40</v>
      </c>
      <c r="AH109" s="321"/>
      <c r="AI109" s="321" t="str">
        <f t="shared" si="51"/>
        <v>X-EXC0R</v>
      </c>
      <c r="AJ109" s="320"/>
      <c r="AK109" s="322">
        <f t="shared" si="39"/>
        <v>101</v>
      </c>
      <c r="AL109" s="323">
        <f t="shared" si="52"/>
        <v>140</v>
      </c>
      <c r="AM109" s="322">
        <f t="shared" si="53"/>
        <v>9</v>
      </c>
      <c r="AN109" s="381">
        <f t="shared" si="40"/>
        <v>0.64214896214896222</v>
      </c>
      <c r="AO109" s="322"/>
    </row>
    <row r="110" spans="2:41">
      <c r="B110" s="324" t="s">
        <v>1421</v>
      </c>
      <c r="C110" s="325" t="s">
        <v>1425</v>
      </c>
      <c r="D110" s="326" t="s">
        <v>1160</v>
      </c>
      <c r="E110" s="327">
        <f>+SUMIF('AUX-NIV2'!I:I,'AUX-NIV3'!B110,'AUX-NIV2'!Q:Q)</f>
        <v>0</v>
      </c>
      <c r="F110" s="327" t="e">
        <f t="shared" si="30"/>
        <v>#N/A</v>
      </c>
      <c r="G110" s="327" t="e">
        <f t="shared" si="31"/>
        <v>#N/A</v>
      </c>
      <c r="H110" s="328" t="str">
        <f t="shared" si="56"/>
        <v>A</v>
      </c>
      <c r="I110" s="325" t="s">
        <v>1746</v>
      </c>
      <c r="J110" s="425" t="str">
        <f>IF(B110&lt;&gt;"",+VLOOKUP(I110,Recursos!C:F,2,FALSE),"")</f>
        <v>OFICIAL</v>
      </c>
      <c r="K110" s="330" t="str">
        <f>IF(B110&lt;&gt;"",+VLOOKUP(I110,Recursos!C:F,3,FALSE),"")</f>
        <v>hh</v>
      </c>
      <c r="L110" s="327">
        <f>IF(B110&lt;&gt;"",+VLOOKUP(I110,Recursos!C:F,4,FALSE),"")</f>
        <v>496.91595439275824</v>
      </c>
      <c r="M110" s="416"/>
      <c r="N110" s="416"/>
      <c r="O110" s="332">
        <f>+O103</f>
        <v>0.1098901098901099</v>
      </c>
      <c r="P110" s="333">
        <f t="shared" si="41"/>
        <v>54.606148834369044</v>
      </c>
      <c r="Q110" s="327">
        <f t="shared" si="42"/>
        <v>0</v>
      </c>
      <c r="R110" s="334">
        <f t="shared" si="43"/>
        <v>0</v>
      </c>
      <c r="S110" s="335" t="e">
        <f t="shared" si="32"/>
        <v>#N/A</v>
      </c>
      <c r="T110" s="335">
        <f t="shared" si="33"/>
        <v>404.95755956043962</v>
      </c>
      <c r="U110" s="336">
        <f t="shared" si="34"/>
        <v>238.22963550988095</v>
      </c>
      <c r="V110" s="336">
        <f t="shared" si="35"/>
        <v>0</v>
      </c>
      <c r="W110" s="336">
        <f t="shared" si="36"/>
        <v>0</v>
      </c>
      <c r="X110" s="336">
        <f t="shared" si="37"/>
        <v>0</v>
      </c>
      <c r="Y110" s="320"/>
      <c r="Z110" s="321" t="str">
        <f t="shared" si="44"/>
        <v>X-EXC0RA</v>
      </c>
      <c r="AA110" s="321" t="str">
        <f t="shared" si="45"/>
        <v>X-EXC0RE</v>
      </c>
      <c r="AB110" s="321" t="str">
        <f t="shared" si="46"/>
        <v>X-EXC0RM</v>
      </c>
      <c r="AC110" s="321" t="str">
        <f t="shared" si="47"/>
        <v>X-EXC0RT</v>
      </c>
      <c r="AD110" s="321" t="str">
        <f t="shared" si="48"/>
        <v>X-EXC0RS</v>
      </c>
      <c r="AE110" s="321" t="str">
        <f t="shared" si="49"/>
        <v>X-EXC0RX</v>
      </c>
      <c r="AF110" s="321" t="str">
        <f t="shared" si="50"/>
        <v>X-EXC0RA</v>
      </c>
      <c r="AG110" s="321">
        <f t="shared" si="38"/>
        <v>40</v>
      </c>
      <c r="AH110" s="321"/>
      <c r="AI110" s="321" t="str">
        <f t="shared" si="51"/>
        <v>X-EXC0R</v>
      </c>
      <c r="AJ110" s="320"/>
      <c r="AK110" s="322">
        <f t="shared" si="39"/>
        <v>101</v>
      </c>
      <c r="AL110" s="323">
        <f t="shared" si="52"/>
        <v>140</v>
      </c>
      <c r="AM110" s="322">
        <f t="shared" si="53"/>
        <v>10</v>
      </c>
      <c r="AN110" s="381">
        <f t="shared" si="40"/>
        <v>0.64214896214896222</v>
      </c>
      <c r="AO110" s="322"/>
    </row>
    <row r="111" spans="2:41">
      <c r="B111" s="324" t="s">
        <v>1421</v>
      </c>
      <c r="C111" s="325" t="s">
        <v>1425</v>
      </c>
      <c r="D111" s="326" t="s">
        <v>1160</v>
      </c>
      <c r="E111" s="327">
        <f>+SUMIF('AUX-NIV2'!I:I,'AUX-NIV3'!B111,'AUX-NIV2'!Q:Q)</f>
        <v>0</v>
      </c>
      <c r="F111" s="327" t="e">
        <f t="shared" si="30"/>
        <v>#N/A</v>
      </c>
      <c r="G111" s="327" t="e">
        <f t="shared" si="31"/>
        <v>#N/A</v>
      </c>
      <c r="H111" s="328" t="str">
        <f t="shared" si="56"/>
        <v>A</v>
      </c>
      <c r="I111" s="325" t="s">
        <v>3314</v>
      </c>
      <c r="J111" s="421" t="e">
        <f>IF(B111&lt;&gt;"",+VLOOKUP(I111,Recursos!C:F,2,FALSE),"")</f>
        <v>#N/A</v>
      </c>
      <c r="K111" s="330" t="e">
        <f>IF(B111&lt;&gt;"",+VLOOKUP(I111,Recursos!C:F,3,FALSE),"")</f>
        <v>#N/A</v>
      </c>
      <c r="L111" s="327" t="e">
        <f>IF(B111&lt;&gt;"",+VLOOKUP(I111,Recursos!C:F,4,FALSE),"")</f>
        <v>#N/A</v>
      </c>
      <c r="M111" s="416"/>
      <c r="N111" s="416">
        <v>2</v>
      </c>
      <c r="O111" s="332">
        <f>+N111*O112</f>
        <v>0.1111111111111111</v>
      </c>
      <c r="P111" s="333" t="e">
        <f t="shared" si="41"/>
        <v>#N/A</v>
      </c>
      <c r="Q111" s="327">
        <f t="shared" si="42"/>
        <v>0</v>
      </c>
      <c r="R111" s="334" t="e">
        <f t="shared" si="43"/>
        <v>#N/A</v>
      </c>
      <c r="S111" s="335" t="e">
        <f t="shared" si="32"/>
        <v>#N/A</v>
      </c>
      <c r="T111" s="335">
        <f t="shared" si="33"/>
        <v>404.95755956043962</v>
      </c>
      <c r="U111" s="336">
        <f t="shared" si="34"/>
        <v>238.22963550988095</v>
      </c>
      <c r="V111" s="336">
        <f t="shared" si="35"/>
        <v>0</v>
      </c>
      <c r="W111" s="336">
        <f t="shared" si="36"/>
        <v>0</v>
      </c>
      <c r="X111" s="336">
        <f t="shared" si="37"/>
        <v>0</v>
      </c>
      <c r="Y111" s="320"/>
      <c r="Z111" s="321" t="str">
        <f t="shared" si="44"/>
        <v>X-EXC0RA</v>
      </c>
      <c r="AA111" s="321" t="str">
        <f t="shared" si="45"/>
        <v>X-EXC0RE</v>
      </c>
      <c r="AB111" s="321" t="str">
        <f t="shared" si="46"/>
        <v>X-EXC0RM</v>
      </c>
      <c r="AC111" s="321" t="str">
        <f t="shared" si="47"/>
        <v>X-EXC0RT</v>
      </c>
      <c r="AD111" s="321" t="str">
        <f t="shared" si="48"/>
        <v>X-EXC0RS</v>
      </c>
      <c r="AE111" s="321" t="str">
        <f t="shared" si="49"/>
        <v>X-EXC0RX</v>
      </c>
      <c r="AF111" s="321" t="str">
        <f t="shared" si="50"/>
        <v>X-EXC0RA</v>
      </c>
      <c r="AG111" s="321">
        <f t="shared" si="38"/>
        <v>40</v>
      </c>
      <c r="AH111" s="321"/>
      <c r="AI111" s="321" t="str">
        <f t="shared" si="51"/>
        <v>X-EXC0R</v>
      </c>
      <c r="AJ111" s="320"/>
      <c r="AK111" s="322">
        <f t="shared" si="39"/>
        <v>101</v>
      </c>
      <c r="AL111" s="323">
        <f t="shared" si="52"/>
        <v>140</v>
      </c>
      <c r="AM111" s="322">
        <f t="shared" si="53"/>
        <v>11</v>
      </c>
      <c r="AN111" s="381">
        <f t="shared" si="40"/>
        <v>0.64214896214896222</v>
      </c>
      <c r="AO111" s="322"/>
    </row>
    <row r="112" spans="2:41">
      <c r="B112" s="324" t="s">
        <v>1421</v>
      </c>
      <c r="C112" s="325" t="s">
        <v>1425</v>
      </c>
      <c r="D112" s="326" t="s">
        <v>1160</v>
      </c>
      <c r="E112" s="327">
        <f>+SUMIF('AUX-NIV2'!I:I,'AUX-NIV3'!B112,'AUX-NIV2'!Q:Q)</f>
        <v>0</v>
      </c>
      <c r="F112" s="327" t="e">
        <f t="shared" si="30"/>
        <v>#N/A</v>
      </c>
      <c r="G112" s="327" t="e">
        <f t="shared" si="31"/>
        <v>#N/A</v>
      </c>
      <c r="H112" s="328" t="str">
        <f t="shared" si="56"/>
        <v>A</v>
      </c>
      <c r="I112" s="325" t="s">
        <v>3315</v>
      </c>
      <c r="J112" s="421" t="e">
        <f>IF(B112&lt;&gt;"",+VLOOKUP(I112,Recursos!C:F,2,FALSE),"")</f>
        <v>#N/A</v>
      </c>
      <c r="K112" s="330" t="e">
        <f>IF(B112&lt;&gt;"",+VLOOKUP(I112,Recursos!C:F,3,FALSE),"")</f>
        <v>#N/A</v>
      </c>
      <c r="L112" s="327" t="e">
        <f>IF(B112&lt;&gt;"",+VLOOKUP(I112,Recursos!C:F,4,FALSE),"")</f>
        <v>#N/A</v>
      </c>
      <c r="M112" s="416"/>
      <c r="N112" s="416">
        <v>18</v>
      </c>
      <c r="O112" s="332">
        <f>1/N112</f>
        <v>5.5555555555555552E-2</v>
      </c>
      <c r="P112" s="333" t="e">
        <f t="shared" si="41"/>
        <v>#N/A</v>
      </c>
      <c r="Q112" s="327">
        <f t="shared" si="42"/>
        <v>0</v>
      </c>
      <c r="R112" s="334" t="e">
        <f t="shared" si="43"/>
        <v>#N/A</v>
      </c>
      <c r="S112" s="335" t="e">
        <f t="shared" si="32"/>
        <v>#N/A</v>
      </c>
      <c r="T112" s="335">
        <f t="shared" si="33"/>
        <v>404.95755956043962</v>
      </c>
      <c r="U112" s="336">
        <f t="shared" si="34"/>
        <v>238.22963550988095</v>
      </c>
      <c r="V112" s="336">
        <f t="shared" si="35"/>
        <v>0</v>
      </c>
      <c r="W112" s="336">
        <f t="shared" si="36"/>
        <v>0</v>
      </c>
      <c r="X112" s="336">
        <f t="shared" si="37"/>
        <v>0</v>
      </c>
      <c r="Y112" s="320"/>
      <c r="Z112" s="321" t="str">
        <f t="shared" si="44"/>
        <v>X-EXC0RA</v>
      </c>
      <c r="AA112" s="321" t="str">
        <f t="shared" si="45"/>
        <v>X-EXC0RE</v>
      </c>
      <c r="AB112" s="321" t="str">
        <f t="shared" si="46"/>
        <v>X-EXC0RM</v>
      </c>
      <c r="AC112" s="321" t="str">
        <f t="shared" si="47"/>
        <v>X-EXC0RT</v>
      </c>
      <c r="AD112" s="321" t="str">
        <f t="shared" si="48"/>
        <v>X-EXC0RS</v>
      </c>
      <c r="AE112" s="321" t="str">
        <f t="shared" si="49"/>
        <v>X-EXC0RX</v>
      </c>
      <c r="AF112" s="321" t="str">
        <f t="shared" si="50"/>
        <v>X-EXC0RA</v>
      </c>
      <c r="AG112" s="321">
        <f t="shared" si="38"/>
        <v>40</v>
      </c>
      <c r="AH112" s="321"/>
      <c r="AI112" s="321" t="str">
        <f t="shared" si="51"/>
        <v>X-EXC0R</v>
      </c>
      <c r="AJ112" s="320"/>
      <c r="AK112" s="322">
        <f t="shared" si="39"/>
        <v>101</v>
      </c>
      <c r="AL112" s="323">
        <f t="shared" si="52"/>
        <v>140</v>
      </c>
      <c r="AM112" s="322">
        <f t="shared" si="53"/>
        <v>12</v>
      </c>
      <c r="AN112" s="381">
        <f t="shared" si="40"/>
        <v>0.64214896214896222</v>
      </c>
      <c r="AO112" s="322"/>
    </row>
    <row r="113" spans="2:41">
      <c r="B113" s="324" t="s">
        <v>1421</v>
      </c>
      <c r="C113" s="325" t="s">
        <v>1425</v>
      </c>
      <c r="D113" s="326" t="s">
        <v>1160</v>
      </c>
      <c r="E113" s="327">
        <f>+SUMIF('AUX-NIV2'!I:I,'AUX-NIV3'!B113,'AUX-NIV2'!Q:Q)</f>
        <v>0</v>
      </c>
      <c r="F113" s="327" t="e">
        <f t="shared" si="30"/>
        <v>#N/A</v>
      </c>
      <c r="G113" s="327" t="e">
        <f t="shared" si="31"/>
        <v>#N/A</v>
      </c>
      <c r="H113" s="328" t="str">
        <f t="shared" si="56"/>
        <v>A</v>
      </c>
      <c r="I113" s="325" t="s">
        <v>1746</v>
      </c>
      <c r="J113" s="421" t="str">
        <f>IF(B113&lt;&gt;"",+VLOOKUP(I113,Recursos!C:F,2,FALSE),"")</f>
        <v>OFICIAL</v>
      </c>
      <c r="K113" s="330" t="str">
        <f>IF(B113&lt;&gt;"",+VLOOKUP(I113,Recursos!C:F,3,FALSE),"")</f>
        <v>hh</v>
      </c>
      <c r="L113" s="327">
        <f>IF(B113&lt;&gt;"",+VLOOKUP(I113,Recursos!C:F,4,FALSE),"")</f>
        <v>496.91595439275824</v>
      </c>
      <c r="M113" s="416"/>
      <c r="N113" s="416">
        <v>1</v>
      </c>
      <c r="O113" s="332">
        <f>+N113*O112</f>
        <v>5.5555555555555552E-2</v>
      </c>
      <c r="P113" s="333">
        <f t="shared" si="41"/>
        <v>27.606441910708789</v>
      </c>
      <c r="Q113" s="327">
        <f t="shared" si="42"/>
        <v>0</v>
      </c>
      <c r="R113" s="334">
        <f t="shared" si="43"/>
        <v>0</v>
      </c>
      <c r="S113" s="335" t="e">
        <f t="shared" si="32"/>
        <v>#N/A</v>
      </c>
      <c r="T113" s="335">
        <f t="shared" si="33"/>
        <v>404.95755956043962</v>
      </c>
      <c r="U113" s="336">
        <f t="shared" si="34"/>
        <v>238.22963550988095</v>
      </c>
      <c r="V113" s="336">
        <f t="shared" si="35"/>
        <v>0</v>
      </c>
      <c r="W113" s="336">
        <f t="shared" si="36"/>
        <v>0</v>
      </c>
      <c r="X113" s="336">
        <f t="shared" si="37"/>
        <v>0</v>
      </c>
      <c r="Y113" s="320"/>
      <c r="Z113" s="321" t="str">
        <f t="shared" si="44"/>
        <v>X-EXC0RA</v>
      </c>
      <c r="AA113" s="321" t="str">
        <f t="shared" si="45"/>
        <v>X-EXC0RE</v>
      </c>
      <c r="AB113" s="321" t="str">
        <f t="shared" si="46"/>
        <v>X-EXC0RM</v>
      </c>
      <c r="AC113" s="321" t="str">
        <f t="shared" si="47"/>
        <v>X-EXC0RT</v>
      </c>
      <c r="AD113" s="321" t="str">
        <f t="shared" si="48"/>
        <v>X-EXC0RS</v>
      </c>
      <c r="AE113" s="321" t="str">
        <f t="shared" si="49"/>
        <v>X-EXC0RX</v>
      </c>
      <c r="AF113" s="321" t="str">
        <f t="shared" si="50"/>
        <v>X-EXC0RA</v>
      </c>
      <c r="AG113" s="321">
        <f t="shared" si="38"/>
        <v>40</v>
      </c>
      <c r="AH113" s="321"/>
      <c r="AI113" s="321" t="str">
        <f t="shared" si="51"/>
        <v>X-EXC0R</v>
      </c>
      <c r="AJ113" s="320"/>
      <c r="AK113" s="322">
        <f t="shared" si="39"/>
        <v>101</v>
      </c>
      <c r="AL113" s="323">
        <f t="shared" si="52"/>
        <v>140</v>
      </c>
      <c r="AM113" s="322">
        <f t="shared" si="53"/>
        <v>13</v>
      </c>
      <c r="AN113" s="381">
        <f t="shared" si="40"/>
        <v>0.64214896214896222</v>
      </c>
      <c r="AO113" s="322"/>
    </row>
    <row r="114" spans="2:41">
      <c r="B114" s="324" t="s">
        <v>1421</v>
      </c>
      <c r="C114" s="325" t="s">
        <v>1425</v>
      </c>
      <c r="D114" s="326" t="s">
        <v>1160</v>
      </c>
      <c r="E114" s="327">
        <f>+SUMIF('AUX-NIV2'!I:I,'AUX-NIV3'!B114,'AUX-NIV2'!Q:Q)</f>
        <v>0</v>
      </c>
      <c r="F114" s="327" t="e">
        <f t="shared" si="30"/>
        <v>#N/A</v>
      </c>
      <c r="G114" s="327" t="e">
        <f t="shared" si="31"/>
        <v>#N/A</v>
      </c>
      <c r="H114" s="328" t="str">
        <f t="shared" si="56"/>
        <v>M</v>
      </c>
      <c r="I114" s="325" t="s">
        <v>621</v>
      </c>
      <c r="J114" s="419" t="str">
        <f>IF(B114&lt;&gt;"",+VLOOKUP(I114,Recursos!C:F,2,FALSE),"")</f>
        <v>MATERIALES VARIOS</v>
      </c>
      <c r="K114" s="330" t="str">
        <f>IF(B114&lt;&gt;"",+VLOOKUP(I114,Recursos!C:F,3,FALSE),"")</f>
        <v>GL</v>
      </c>
      <c r="L114" s="327">
        <f>IF(B114&lt;&gt;"",+VLOOKUP(I114,Recursos!C:F,4,FALSE),"")</f>
        <v>0.5</v>
      </c>
      <c r="M114" s="416"/>
      <c r="N114" s="416">
        <v>1</v>
      </c>
      <c r="O114" s="332">
        <v>1</v>
      </c>
      <c r="P114" s="333">
        <f t="shared" si="41"/>
        <v>0.5</v>
      </c>
      <c r="Q114" s="327">
        <f t="shared" si="42"/>
        <v>0</v>
      </c>
      <c r="R114" s="334">
        <f t="shared" si="43"/>
        <v>0</v>
      </c>
      <c r="S114" s="335" t="e">
        <f t="shared" si="32"/>
        <v>#N/A</v>
      </c>
      <c r="T114" s="335">
        <f t="shared" si="33"/>
        <v>404.95755956043962</v>
      </c>
      <c r="U114" s="336">
        <f t="shared" si="34"/>
        <v>238.22963550988095</v>
      </c>
      <c r="V114" s="336">
        <f t="shared" si="35"/>
        <v>0</v>
      </c>
      <c r="W114" s="336">
        <f t="shared" si="36"/>
        <v>0</v>
      </c>
      <c r="X114" s="336">
        <f t="shared" si="37"/>
        <v>0</v>
      </c>
      <c r="Y114" s="320"/>
      <c r="Z114" s="321" t="str">
        <f t="shared" si="44"/>
        <v>X-EXC0RA</v>
      </c>
      <c r="AA114" s="321" t="str">
        <f t="shared" si="45"/>
        <v>X-EXC0RE</v>
      </c>
      <c r="AB114" s="321" t="str">
        <f t="shared" si="46"/>
        <v>X-EXC0RM</v>
      </c>
      <c r="AC114" s="321" t="str">
        <f t="shared" si="47"/>
        <v>X-EXC0RT</v>
      </c>
      <c r="AD114" s="321" t="str">
        <f t="shared" si="48"/>
        <v>X-EXC0RS</v>
      </c>
      <c r="AE114" s="321" t="str">
        <f t="shared" si="49"/>
        <v>X-EXC0RX</v>
      </c>
      <c r="AF114" s="321" t="str">
        <f t="shared" si="50"/>
        <v>X-EXC0RM</v>
      </c>
      <c r="AG114" s="321">
        <f t="shared" si="38"/>
        <v>40</v>
      </c>
      <c r="AH114" s="321"/>
      <c r="AI114" s="321" t="str">
        <f t="shared" si="51"/>
        <v>X-EXC0R</v>
      </c>
      <c r="AJ114" s="320"/>
      <c r="AK114" s="322">
        <f t="shared" si="39"/>
        <v>101</v>
      </c>
      <c r="AL114" s="323">
        <f t="shared" si="52"/>
        <v>140</v>
      </c>
      <c r="AM114" s="322">
        <f t="shared" si="53"/>
        <v>14</v>
      </c>
      <c r="AN114" s="381">
        <f t="shared" si="40"/>
        <v>0.64214896214896222</v>
      </c>
      <c r="AO114" s="322"/>
    </row>
    <row r="115" spans="2:41">
      <c r="B115" s="324" t="s">
        <v>1421</v>
      </c>
      <c r="C115" s="325" t="s">
        <v>1425</v>
      </c>
      <c r="D115" s="326" t="s">
        <v>1160</v>
      </c>
      <c r="E115" s="327">
        <f>+SUMIF('AUX-NIV2'!I:I,'AUX-NIV3'!B115,'AUX-NIV2'!Q:Q)</f>
        <v>0</v>
      </c>
      <c r="F115" s="327" t="e">
        <f t="shared" si="30"/>
        <v>#N/A</v>
      </c>
      <c r="G115" s="327" t="e">
        <f t="shared" si="31"/>
        <v>#N/A</v>
      </c>
      <c r="H115" s="328" t="str">
        <f t="shared" ref="H115:H137" si="57">IF(B115&lt;&gt;"",+LEFT(I115,1),"")</f>
        <v>M</v>
      </c>
      <c r="I115" s="325" t="s">
        <v>1426</v>
      </c>
      <c r="J115" s="419" t="str">
        <f>IF(B115&lt;&gt;"",+VLOOKUP(I115,Recursos!C:F,2,FALSE),"")</f>
        <v>BROCA BOTON D=75 mm = 3"-T38</v>
      </c>
      <c r="K115" s="330" t="str">
        <f>IF(B115&lt;&gt;"",+VLOOKUP(I115,Recursos!C:F,3,FALSE),"")</f>
        <v>Un</v>
      </c>
      <c r="L115" s="327">
        <f>IF(B115&lt;&gt;"",+VLOOKUP(I115,Recursos!C:F,4,FALSE),"")</f>
        <v>2811.1750000000002</v>
      </c>
      <c r="M115" s="428">
        <v>0.45</v>
      </c>
      <c r="N115" s="416">
        <v>300</v>
      </c>
      <c r="O115" s="332">
        <f>1/N115*M115</f>
        <v>1.5E-3</v>
      </c>
      <c r="P115" s="333">
        <f t="shared" si="41"/>
        <v>4.2167625000000006</v>
      </c>
      <c r="Q115" s="327">
        <f t="shared" si="42"/>
        <v>0</v>
      </c>
      <c r="R115" s="334">
        <f t="shared" si="43"/>
        <v>0</v>
      </c>
      <c r="S115" s="335" t="e">
        <f t="shared" si="32"/>
        <v>#N/A</v>
      </c>
      <c r="T115" s="335">
        <f t="shared" si="33"/>
        <v>404.95755956043962</v>
      </c>
      <c r="U115" s="336">
        <f t="shared" si="34"/>
        <v>238.22963550988095</v>
      </c>
      <c r="V115" s="336">
        <f t="shared" si="35"/>
        <v>0</v>
      </c>
      <c r="W115" s="336">
        <f t="shared" si="36"/>
        <v>0</v>
      </c>
      <c r="X115" s="336">
        <f t="shared" si="37"/>
        <v>0</v>
      </c>
      <c r="Y115" s="320"/>
      <c r="Z115" s="321" t="str">
        <f t="shared" si="44"/>
        <v>X-EXC0RA</v>
      </c>
      <c r="AA115" s="321" t="str">
        <f t="shared" si="45"/>
        <v>X-EXC0RE</v>
      </c>
      <c r="AB115" s="321" t="str">
        <f t="shared" si="46"/>
        <v>X-EXC0RM</v>
      </c>
      <c r="AC115" s="321" t="str">
        <f t="shared" si="47"/>
        <v>X-EXC0RT</v>
      </c>
      <c r="AD115" s="321" t="str">
        <f t="shared" si="48"/>
        <v>X-EXC0RS</v>
      </c>
      <c r="AE115" s="321" t="str">
        <f t="shared" si="49"/>
        <v>X-EXC0RX</v>
      </c>
      <c r="AF115" s="321" t="str">
        <f t="shared" si="50"/>
        <v>X-EXC0RM</v>
      </c>
      <c r="AG115" s="321">
        <f t="shared" si="38"/>
        <v>40</v>
      </c>
      <c r="AH115" s="321"/>
      <c r="AI115" s="321" t="str">
        <f t="shared" si="51"/>
        <v>X-EXC0R</v>
      </c>
      <c r="AJ115" s="320"/>
      <c r="AK115" s="322">
        <f t="shared" si="39"/>
        <v>101</v>
      </c>
      <c r="AL115" s="323">
        <f t="shared" si="52"/>
        <v>140</v>
      </c>
      <c r="AM115" s="322">
        <f t="shared" si="53"/>
        <v>15</v>
      </c>
      <c r="AN115" s="381">
        <f t="shared" si="40"/>
        <v>0.64214896214896222</v>
      </c>
      <c r="AO115" s="322"/>
    </row>
    <row r="116" spans="2:41">
      <c r="B116" s="324" t="s">
        <v>1421</v>
      </c>
      <c r="C116" s="325" t="s">
        <v>1425</v>
      </c>
      <c r="D116" s="326" t="s">
        <v>1160</v>
      </c>
      <c r="E116" s="327">
        <f>+SUMIF('AUX-NIV2'!I:I,'AUX-NIV3'!B116,'AUX-NIV2'!Q:Q)</f>
        <v>0</v>
      </c>
      <c r="F116" s="327" t="e">
        <f t="shared" si="30"/>
        <v>#N/A</v>
      </c>
      <c r="G116" s="327" t="e">
        <f t="shared" si="31"/>
        <v>#N/A</v>
      </c>
      <c r="H116" s="328" t="str">
        <f t="shared" si="57"/>
        <v>M</v>
      </c>
      <c r="I116" s="325" t="s">
        <v>1427</v>
      </c>
      <c r="J116" s="419" t="str">
        <f>IF(B116&lt;&gt;"",+VLOOKUP(I116,Recursos!C:F,2,FALSE),"")</f>
        <v>BARRA EXTENS.10 pies T38-T38</v>
      </c>
      <c r="K116" s="330" t="str">
        <f>IF(B116&lt;&gt;"",+VLOOKUP(I116,Recursos!C:F,3,FALSE),"")</f>
        <v>Un</v>
      </c>
      <c r="L116" s="327">
        <f>IF(B116&lt;&gt;"",+VLOOKUP(I116,Recursos!C:F,4,FALSE),"")</f>
        <v>27539.625</v>
      </c>
      <c r="M116" s="416"/>
      <c r="N116" s="416">
        <v>1250</v>
      </c>
      <c r="O116" s="332">
        <f>1/N116*M115</f>
        <v>3.6000000000000002E-4</v>
      </c>
      <c r="P116" s="333">
        <f t="shared" si="41"/>
        <v>9.9142650000000003</v>
      </c>
      <c r="Q116" s="327">
        <f t="shared" si="42"/>
        <v>0</v>
      </c>
      <c r="R116" s="334">
        <f t="shared" si="43"/>
        <v>0</v>
      </c>
      <c r="S116" s="335" t="e">
        <f t="shared" si="32"/>
        <v>#N/A</v>
      </c>
      <c r="T116" s="335">
        <f t="shared" si="33"/>
        <v>404.95755956043962</v>
      </c>
      <c r="U116" s="336">
        <f t="shared" si="34"/>
        <v>238.22963550988095</v>
      </c>
      <c r="V116" s="336">
        <f t="shared" si="35"/>
        <v>0</v>
      </c>
      <c r="W116" s="336">
        <f t="shared" si="36"/>
        <v>0</v>
      </c>
      <c r="X116" s="336">
        <f t="shared" si="37"/>
        <v>0</v>
      </c>
      <c r="Y116" s="320"/>
      <c r="Z116" s="321" t="str">
        <f t="shared" si="44"/>
        <v>X-EXC0RA</v>
      </c>
      <c r="AA116" s="321" t="str">
        <f t="shared" si="45"/>
        <v>X-EXC0RE</v>
      </c>
      <c r="AB116" s="321" t="str">
        <f t="shared" si="46"/>
        <v>X-EXC0RM</v>
      </c>
      <c r="AC116" s="321" t="str">
        <f t="shared" si="47"/>
        <v>X-EXC0RT</v>
      </c>
      <c r="AD116" s="321" t="str">
        <f t="shared" si="48"/>
        <v>X-EXC0RS</v>
      </c>
      <c r="AE116" s="321" t="str">
        <f t="shared" si="49"/>
        <v>X-EXC0RX</v>
      </c>
      <c r="AF116" s="321" t="str">
        <f t="shared" si="50"/>
        <v>X-EXC0RM</v>
      </c>
      <c r="AG116" s="321">
        <f t="shared" si="38"/>
        <v>40</v>
      </c>
      <c r="AH116" s="321"/>
      <c r="AI116" s="321" t="str">
        <f t="shared" si="51"/>
        <v>X-EXC0R</v>
      </c>
      <c r="AJ116" s="320"/>
      <c r="AK116" s="322">
        <f t="shared" si="39"/>
        <v>101</v>
      </c>
      <c r="AL116" s="323">
        <f t="shared" si="52"/>
        <v>140</v>
      </c>
      <c r="AM116" s="322">
        <f t="shared" si="53"/>
        <v>16</v>
      </c>
      <c r="AN116" s="381">
        <f t="shared" si="40"/>
        <v>0.64214896214896222</v>
      </c>
      <c r="AO116" s="322"/>
    </row>
    <row r="117" spans="2:41">
      <c r="B117" s="324" t="s">
        <v>1421</v>
      </c>
      <c r="C117" s="325" t="s">
        <v>1425</v>
      </c>
      <c r="D117" s="326" t="s">
        <v>1160</v>
      </c>
      <c r="E117" s="327">
        <f>+SUMIF('AUX-NIV2'!I:I,'AUX-NIV3'!B117,'AUX-NIV2'!Q:Q)</f>
        <v>0</v>
      </c>
      <c r="F117" s="327" t="e">
        <f t="shared" si="30"/>
        <v>#N/A</v>
      </c>
      <c r="G117" s="327" t="e">
        <f t="shared" si="31"/>
        <v>#N/A</v>
      </c>
      <c r="H117" s="328" t="str">
        <f t="shared" si="57"/>
        <v>M</v>
      </c>
      <c r="I117" s="325" t="s">
        <v>1428</v>
      </c>
      <c r="J117" s="419" t="str">
        <f>IF(B117&lt;&gt;"",+VLOOKUP(I117,Recursos!C:F,2,FALSE),"")</f>
        <v>MANGUITO DE ACOPLE T38-T38</v>
      </c>
      <c r="K117" s="330" t="str">
        <f>IF(B117&lt;&gt;"",+VLOOKUP(I117,Recursos!C:F,3,FALSE),"")</f>
        <v>Un</v>
      </c>
      <c r="L117" s="327">
        <f>IF(B117&lt;&gt;"",+VLOOKUP(I117,Recursos!C:F,4,FALSE),"")</f>
        <v>5184.7749999999996</v>
      </c>
      <c r="M117" s="416">
        <v>1.5</v>
      </c>
      <c r="N117" s="416"/>
      <c r="O117" s="332">
        <f>+O116*M117*M115</f>
        <v>2.43E-4</v>
      </c>
      <c r="P117" s="333">
        <f t="shared" si="41"/>
        <v>1.2599003249999998</v>
      </c>
      <c r="Q117" s="327">
        <f t="shared" si="42"/>
        <v>0</v>
      </c>
      <c r="R117" s="334">
        <f t="shared" si="43"/>
        <v>0</v>
      </c>
      <c r="S117" s="335" t="e">
        <f t="shared" si="32"/>
        <v>#N/A</v>
      </c>
      <c r="T117" s="335">
        <f t="shared" si="33"/>
        <v>404.95755956043962</v>
      </c>
      <c r="U117" s="336">
        <f t="shared" si="34"/>
        <v>238.22963550988095</v>
      </c>
      <c r="V117" s="336">
        <f t="shared" si="35"/>
        <v>0</v>
      </c>
      <c r="W117" s="336">
        <f t="shared" si="36"/>
        <v>0</v>
      </c>
      <c r="X117" s="336">
        <f t="shared" si="37"/>
        <v>0</v>
      </c>
      <c r="Y117" s="320"/>
      <c r="Z117" s="321" t="str">
        <f t="shared" si="44"/>
        <v>X-EXC0RA</v>
      </c>
      <c r="AA117" s="321" t="str">
        <f t="shared" si="45"/>
        <v>X-EXC0RE</v>
      </c>
      <c r="AB117" s="321" t="str">
        <f t="shared" si="46"/>
        <v>X-EXC0RM</v>
      </c>
      <c r="AC117" s="321" t="str">
        <f t="shared" si="47"/>
        <v>X-EXC0RT</v>
      </c>
      <c r="AD117" s="321" t="str">
        <f t="shared" si="48"/>
        <v>X-EXC0RS</v>
      </c>
      <c r="AE117" s="321" t="str">
        <f t="shared" si="49"/>
        <v>X-EXC0RX</v>
      </c>
      <c r="AF117" s="321" t="str">
        <f t="shared" si="50"/>
        <v>X-EXC0RM</v>
      </c>
      <c r="AG117" s="321">
        <f t="shared" si="38"/>
        <v>40</v>
      </c>
      <c r="AH117" s="321"/>
      <c r="AI117" s="321" t="str">
        <f t="shared" si="51"/>
        <v>X-EXC0R</v>
      </c>
      <c r="AJ117" s="320"/>
      <c r="AK117" s="322">
        <f t="shared" si="39"/>
        <v>101</v>
      </c>
      <c r="AL117" s="323">
        <f t="shared" si="52"/>
        <v>140</v>
      </c>
      <c r="AM117" s="322">
        <f t="shared" si="53"/>
        <v>17</v>
      </c>
      <c r="AN117" s="381">
        <f t="shared" si="40"/>
        <v>0.64214896214896222</v>
      </c>
      <c r="AO117" s="322"/>
    </row>
    <row r="118" spans="2:41">
      <c r="B118" s="324" t="s">
        <v>1421</v>
      </c>
      <c r="C118" s="325" t="s">
        <v>1425</v>
      </c>
      <c r="D118" s="326" t="s">
        <v>1160</v>
      </c>
      <c r="E118" s="327">
        <f>+SUMIF('AUX-NIV2'!I:I,'AUX-NIV3'!B118,'AUX-NIV2'!Q:Q)</f>
        <v>0</v>
      </c>
      <c r="F118" s="327" t="e">
        <f t="shared" si="30"/>
        <v>#N/A</v>
      </c>
      <c r="G118" s="327" t="e">
        <f t="shared" si="31"/>
        <v>#N/A</v>
      </c>
      <c r="H118" s="328" t="str">
        <f t="shared" si="57"/>
        <v>M</v>
      </c>
      <c r="I118" s="325" t="s">
        <v>1429</v>
      </c>
      <c r="J118" s="419" t="str">
        <f>IF(B118&lt;&gt;"",+VLOOKUP(I118,Recursos!C:F,2,FALSE),"")</f>
        <v>ADAPTADOR CULATA T.DRILL HIDR.-T38</v>
      </c>
      <c r="K118" s="330" t="str">
        <f>IF(B118&lt;&gt;"",+VLOOKUP(I118,Recursos!C:F,3,FALSE),"")</f>
        <v>Un</v>
      </c>
      <c r="L118" s="327">
        <f>IF(B118&lt;&gt;"",+VLOOKUP(I118,Recursos!C:F,4,FALSE),"")</f>
        <v>14950</v>
      </c>
      <c r="M118" s="416">
        <v>4</v>
      </c>
      <c r="N118" s="416"/>
      <c r="O118" s="332">
        <f>+O117*M115*M118</f>
        <v>4.3740000000000001E-4</v>
      </c>
      <c r="P118" s="333">
        <f t="shared" si="41"/>
        <v>6.5391300000000001</v>
      </c>
      <c r="Q118" s="327">
        <f t="shared" si="42"/>
        <v>0</v>
      </c>
      <c r="R118" s="334">
        <f t="shared" si="43"/>
        <v>0</v>
      </c>
      <c r="S118" s="335" t="e">
        <f t="shared" si="32"/>
        <v>#N/A</v>
      </c>
      <c r="T118" s="335">
        <f t="shared" si="33"/>
        <v>404.95755956043962</v>
      </c>
      <c r="U118" s="336">
        <f t="shared" si="34"/>
        <v>238.22963550988095</v>
      </c>
      <c r="V118" s="336">
        <f t="shared" si="35"/>
        <v>0</v>
      </c>
      <c r="W118" s="336">
        <f t="shared" si="36"/>
        <v>0</v>
      </c>
      <c r="X118" s="336">
        <f t="shared" si="37"/>
        <v>0</v>
      </c>
      <c r="Y118" s="320"/>
      <c r="Z118" s="321" t="str">
        <f t="shared" si="44"/>
        <v>X-EXC0RA</v>
      </c>
      <c r="AA118" s="321" t="str">
        <f t="shared" si="45"/>
        <v>X-EXC0RE</v>
      </c>
      <c r="AB118" s="321" t="str">
        <f t="shared" si="46"/>
        <v>X-EXC0RM</v>
      </c>
      <c r="AC118" s="321" t="str">
        <f t="shared" si="47"/>
        <v>X-EXC0RT</v>
      </c>
      <c r="AD118" s="321" t="str">
        <f t="shared" si="48"/>
        <v>X-EXC0RS</v>
      </c>
      <c r="AE118" s="321" t="str">
        <f t="shared" si="49"/>
        <v>X-EXC0RX</v>
      </c>
      <c r="AF118" s="321" t="str">
        <f t="shared" si="50"/>
        <v>X-EXC0RM</v>
      </c>
      <c r="AG118" s="321">
        <f t="shared" si="38"/>
        <v>40</v>
      </c>
      <c r="AH118" s="321"/>
      <c r="AI118" s="321" t="str">
        <f t="shared" si="51"/>
        <v>X-EXC0R</v>
      </c>
      <c r="AJ118" s="320"/>
      <c r="AK118" s="322">
        <f t="shared" si="39"/>
        <v>101</v>
      </c>
      <c r="AL118" s="323">
        <f t="shared" si="52"/>
        <v>140</v>
      </c>
      <c r="AM118" s="322">
        <f t="shared" si="53"/>
        <v>18</v>
      </c>
      <c r="AN118" s="381">
        <f t="shared" si="40"/>
        <v>0.64214896214896222</v>
      </c>
      <c r="AO118" s="322"/>
    </row>
    <row r="119" spans="2:41">
      <c r="B119" s="324" t="s">
        <v>1421</v>
      </c>
      <c r="C119" s="325" t="s">
        <v>1425</v>
      </c>
      <c r="D119" s="326" t="s">
        <v>1160</v>
      </c>
      <c r="E119" s="327">
        <f>+SUMIF('AUX-NIV2'!I:I,'AUX-NIV3'!B119,'AUX-NIV2'!Q:Q)</f>
        <v>0</v>
      </c>
      <c r="F119" s="327" t="e">
        <f t="shared" si="30"/>
        <v>#N/A</v>
      </c>
      <c r="G119" s="327" t="e">
        <f t="shared" si="31"/>
        <v>#N/A</v>
      </c>
      <c r="H119" s="328" t="str">
        <f t="shared" si="57"/>
        <v>M</v>
      </c>
      <c r="I119" s="325" t="s">
        <v>1430</v>
      </c>
      <c r="J119" s="426" t="str">
        <f>IF(B119&lt;&gt;"",+VLOOKUP(I119,Recursos!C:F,2,FALSE),"")</f>
        <v>BARRENO INTEGRAL S.12 x 800 mm</v>
      </c>
      <c r="K119" s="330" t="str">
        <f>IF(B119&lt;&gt;"",+VLOOKUP(I119,Recursos!C:F,3,FALSE),"")</f>
        <v>Un</v>
      </c>
      <c r="L119" s="327">
        <f>IF(B119&lt;&gt;"",+VLOOKUP(I119,Recursos!C:F,4,FALSE),"")</f>
        <v>15480.000000000002</v>
      </c>
      <c r="M119" s="416"/>
      <c r="N119" s="416">
        <v>350</v>
      </c>
      <c r="O119" s="332">
        <f>1/N119*M120</f>
        <v>1.5714285714285715E-3</v>
      </c>
      <c r="P119" s="333">
        <f t="shared" si="41"/>
        <v>24.325714285714291</v>
      </c>
      <c r="Q119" s="327">
        <f t="shared" si="42"/>
        <v>0</v>
      </c>
      <c r="R119" s="334">
        <f t="shared" si="43"/>
        <v>0</v>
      </c>
      <c r="S119" s="335" t="e">
        <f t="shared" si="32"/>
        <v>#N/A</v>
      </c>
      <c r="T119" s="335">
        <f t="shared" si="33"/>
        <v>404.95755956043962</v>
      </c>
      <c r="U119" s="336">
        <f t="shared" si="34"/>
        <v>238.22963550988095</v>
      </c>
      <c r="V119" s="336">
        <f t="shared" si="35"/>
        <v>0</v>
      </c>
      <c r="W119" s="336">
        <f t="shared" si="36"/>
        <v>0</v>
      </c>
      <c r="X119" s="336">
        <f t="shared" si="37"/>
        <v>0</v>
      </c>
      <c r="Y119" s="320"/>
      <c r="Z119" s="321" t="str">
        <f t="shared" si="44"/>
        <v>X-EXC0RA</v>
      </c>
      <c r="AA119" s="321" t="str">
        <f t="shared" si="45"/>
        <v>X-EXC0RE</v>
      </c>
      <c r="AB119" s="321" t="str">
        <f t="shared" si="46"/>
        <v>X-EXC0RM</v>
      </c>
      <c r="AC119" s="321" t="str">
        <f t="shared" si="47"/>
        <v>X-EXC0RT</v>
      </c>
      <c r="AD119" s="321" t="str">
        <f t="shared" si="48"/>
        <v>X-EXC0RS</v>
      </c>
      <c r="AE119" s="321" t="str">
        <f t="shared" si="49"/>
        <v>X-EXC0RX</v>
      </c>
      <c r="AF119" s="321" t="str">
        <f t="shared" si="50"/>
        <v>X-EXC0RM</v>
      </c>
      <c r="AG119" s="321">
        <f t="shared" si="38"/>
        <v>40</v>
      </c>
      <c r="AH119" s="321"/>
      <c r="AI119" s="321" t="str">
        <f t="shared" si="51"/>
        <v>X-EXC0R</v>
      </c>
      <c r="AJ119" s="320"/>
      <c r="AK119" s="322">
        <f t="shared" si="39"/>
        <v>101</v>
      </c>
      <c r="AL119" s="323">
        <f t="shared" si="52"/>
        <v>140</v>
      </c>
      <c r="AM119" s="322">
        <f t="shared" si="53"/>
        <v>19</v>
      </c>
      <c r="AN119" s="381">
        <f t="shared" si="40"/>
        <v>0.64214896214896222</v>
      </c>
      <c r="AO119" s="322"/>
    </row>
    <row r="120" spans="2:41">
      <c r="B120" s="324" t="s">
        <v>1421</v>
      </c>
      <c r="C120" s="325" t="s">
        <v>1425</v>
      </c>
      <c r="D120" s="326" t="s">
        <v>1160</v>
      </c>
      <c r="E120" s="327">
        <f>+SUMIF('AUX-NIV2'!I:I,'AUX-NIV3'!B120,'AUX-NIV2'!Q:Q)</f>
        <v>0</v>
      </c>
      <c r="F120" s="327" t="e">
        <f t="shared" si="30"/>
        <v>#N/A</v>
      </c>
      <c r="G120" s="327" t="e">
        <f t="shared" si="31"/>
        <v>#N/A</v>
      </c>
      <c r="H120" s="328" t="str">
        <f t="shared" si="57"/>
        <v>M</v>
      </c>
      <c r="I120" s="325" t="s">
        <v>1431</v>
      </c>
      <c r="J120" s="426" t="str">
        <f>IF(B120&lt;&gt;"",+VLOOKUP(I120,Recursos!C:F,2,FALSE),"")</f>
        <v>BARRENO INTEGRAL S.12 x 1600 mm</v>
      </c>
      <c r="K120" s="330" t="str">
        <f>IF(B120&lt;&gt;"",+VLOOKUP(I120,Recursos!C:F,3,FALSE),"")</f>
        <v>Un</v>
      </c>
      <c r="L120" s="327">
        <f>IF(B120&lt;&gt;"",+VLOOKUP(I120,Recursos!C:F,4,FALSE),"")</f>
        <v>17810</v>
      </c>
      <c r="M120" s="416">
        <f>1-M115</f>
        <v>0.55000000000000004</v>
      </c>
      <c r="N120" s="416">
        <v>500</v>
      </c>
      <c r="O120" s="332">
        <f>1/N120*M120</f>
        <v>1.1000000000000001E-3</v>
      </c>
      <c r="P120" s="333">
        <f t="shared" si="41"/>
        <v>19.591000000000001</v>
      </c>
      <c r="Q120" s="327">
        <f t="shared" si="42"/>
        <v>0</v>
      </c>
      <c r="R120" s="334">
        <f t="shared" si="43"/>
        <v>0</v>
      </c>
      <c r="S120" s="335" t="e">
        <f t="shared" si="32"/>
        <v>#N/A</v>
      </c>
      <c r="T120" s="335">
        <f t="shared" si="33"/>
        <v>404.95755956043962</v>
      </c>
      <c r="U120" s="336">
        <f t="shared" si="34"/>
        <v>238.22963550988095</v>
      </c>
      <c r="V120" s="336">
        <f t="shared" si="35"/>
        <v>0</v>
      </c>
      <c r="W120" s="336">
        <f t="shared" si="36"/>
        <v>0</v>
      </c>
      <c r="X120" s="336">
        <f t="shared" si="37"/>
        <v>0</v>
      </c>
      <c r="Y120" s="320"/>
      <c r="Z120" s="321" t="str">
        <f t="shared" si="44"/>
        <v>X-EXC0RA</v>
      </c>
      <c r="AA120" s="321" t="str">
        <f t="shared" si="45"/>
        <v>X-EXC0RE</v>
      </c>
      <c r="AB120" s="321" t="str">
        <f t="shared" si="46"/>
        <v>X-EXC0RM</v>
      </c>
      <c r="AC120" s="321" t="str">
        <f t="shared" si="47"/>
        <v>X-EXC0RT</v>
      </c>
      <c r="AD120" s="321" t="str">
        <f t="shared" si="48"/>
        <v>X-EXC0RS</v>
      </c>
      <c r="AE120" s="321" t="str">
        <f t="shared" si="49"/>
        <v>X-EXC0RX</v>
      </c>
      <c r="AF120" s="321" t="str">
        <f t="shared" si="50"/>
        <v>X-EXC0RM</v>
      </c>
      <c r="AG120" s="321">
        <f t="shared" si="38"/>
        <v>40</v>
      </c>
      <c r="AH120" s="321"/>
      <c r="AI120" s="321" t="str">
        <f t="shared" si="51"/>
        <v>X-EXC0R</v>
      </c>
      <c r="AJ120" s="320"/>
      <c r="AK120" s="322">
        <f t="shared" si="39"/>
        <v>101</v>
      </c>
      <c r="AL120" s="323">
        <f t="shared" si="52"/>
        <v>140</v>
      </c>
      <c r="AM120" s="322">
        <f t="shared" si="53"/>
        <v>20</v>
      </c>
      <c r="AN120" s="381">
        <f t="shared" si="40"/>
        <v>0.64214896214896222</v>
      </c>
      <c r="AO120" s="322"/>
    </row>
    <row r="121" spans="2:41">
      <c r="B121" s="324" t="s">
        <v>1421</v>
      </c>
      <c r="C121" s="325" t="s">
        <v>1425</v>
      </c>
      <c r="D121" s="326" t="s">
        <v>1160</v>
      </c>
      <c r="E121" s="327">
        <f>+SUMIF('AUX-NIV2'!I:I,'AUX-NIV3'!B121,'AUX-NIV2'!Q:Q)</f>
        <v>0</v>
      </c>
      <c r="F121" s="327" t="e">
        <f t="shared" si="30"/>
        <v>#N/A</v>
      </c>
      <c r="G121" s="327" t="e">
        <f t="shared" si="31"/>
        <v>#N/A</v>
      </c>
      <c r="H121" s="328" t="str">
        <f t="shared" si="57"/>
        <v>M</v>
      </c>
      <c r="I121" s="325" t="s">
        <v>1432</v>
      </c>
      <c r="J121" s="426" t="str">
        <f>IF(B121&lt;&gt;"",+VLOOKUP(I121,Recursos!C:F,2,FALSE),"")</f>
        <v>BARRENO INTEGRAL S.12 x 2400 mm</v>
      </c>
      <c r="K121" s="330" t="str">
        <f>IF(B121&lt;&gt;"",+VLOOKUP(I121,Recursos!C:F,3,FALSE),"")</f>
        <v>Un</v>
      </c>
      <c r="L121" s="327">
        <f>IF(B121&lt;&gt;"",+VLOOKUP(I121,Recursos!C:F,4,FALSE),"")</f>
        <v>20467.5</v>
      </c>
      <c r="M121" s="416"/>
      <c r="N121" s="416">
        <v>750</v>
      </c>
      <c r="O121" s="332">
        <f>1/N121*M120</f>
        <v>7.3333333333333334E-4</v>
      </c>
      <c r="P121" s="333">
        <f t="shared" si="41"/>
        <v>15.009500000000001</v>
      </c>
      <c r="Q121" s="327">
        <f t="shared" si="42"/>
        <v>0</v>
      </c>
      <c r="R121" s="334">
        <f t="shared" si="43"/>
        <v>0</v>
      </c>
      <c r="S121" s="335" t="e">
        <f t="shared" si="32"/>
        <v>#N/A</v>
      </c>
      <c r="T121" s="335">
        <f t="shared" si="33"/>
        <v>404.95755956043962</v>
      </c>
      <c r="U121" s="336">
        <f t="shared" si="34"/>
        <v>238.22963550988095</v>
      </c>
      <c r="V121" s="336">
        <f t="shared" si="35"/>
        <v>0</v>
      </c>
      <c r="W121" s="336">
        <f t="shared" si="36"/>
        <v>0</v>
      </c>
      <c r="X121" s="336">
        <f t="shared" si="37"/>
        <v>0</v>
      </c>
      <c r="Y121" s="320"/>
      <c r="Z121" s="321" t="str">
        <f t="shared" si="44"/>
        <v>X-EXC0RA</v>
      </c>
      <c r="AA121" s="321" t="str">
        <f t="shared" si="45"/>
        <v>X-EXC0RE</v>
      </c>
      <c r="AB121" s="321" t="str">
        <f t="shared" si="46"/>
        <v>X-EXC0RM</v>
      </c>
      <c r="AC121" s="321" t="str">
        <f t="shared" si="47"/>
        <v>X-EXC0RT</v>
      </c>
      <c r="AD121" s="321" t="str">
        <f t="shared" si="48"/>
        <v>X-EXC0RS</v>
      </c>
      <c r="AE121" s="321" t="str">
        <f t="shared" si="49"/>
        <v>X-EXC0RX</v>
      </c>
      <c r="AF121" s="321" t="str">
        <f t="shared" si="50"/>
        <v>X-EXC0RM</v>
      </c>
      <c r="AG121" s="321">
        <f t="shared" si="38"/>
        <v>40</v>
      </c>
      <c r="AH121" s="321"/>
      <c r="AI121" s="321" t="str">
        <f t="shared" si="51"/>
        <v>X-EXC0R</v>
      </c>
      <c r="AJ121" s="320"/>
      <c r="AK121" s="322">
        <f t="shared" si="39"/>
        <v>101</v>
      </c>
      <c r="AL121" s="323">
        <f t="shared" si="52"/>
        <v>140</v>
      </c>
      <c r="AM121" s="322">
        <f t="shared" si="53"/>
        <v>21</v>
      </c>
      <c r="AN121" s="381">
        <f t="shared" si="40"/>
        <v>0.64214896214896222</v>
      </c>
      <c r="AO121" s="322"/>
    </row>
    <row r="122" spans="2:41">
      <c r="B122" s="324" t="s">
        <v>1421</v>
      </c>
      <c r="C122" s="325" t="s">
        <v>1425</v>
      </c>
      <c r="D122" s="326" t="s">
        <v>1160</v>
      </c>
      <c r="E122" s="327">
        <f>+SUMIF('AUX-NIV2'!I:I,'AUX-NIV3'!B122,'AUX-NIV2'!Q:Q)</f>
        <v>0</v>
      </c>
      <c r="F122" s="327" t="e">
        <f t="shared" si="30"/>
        <v>#N/A</v>
      </c>
      <c r="G122" s="327" t="e">
        <f t="shared" si="31"/>
        <v>#N/A</v>
      </c>
      <c r="H122" s="328" t="str">
        <f t="shared" si="57"/>
        <v>M</v>
      </c>
      <c r="I122" s="325" t="s">
        <v>1433</v>
      </c>
      <c r="J122" s="426" t="str">
        <f>IF(B122&lt;&gt;"",+VLOOKUP(I122,Recursos!C:F,2,FALSE),"")</f>
        <v>BARRENO INTEGRAL S.12 x 3200 mm</v>
      </c>
      <c r="K122" s="330" t="str">
        <f>IF(B122&lt;&gt;"",+VLOOKUP(I122,Recursos!C:F,3,FALSE),"")</f>
        <v>Un</v>
      </c>
      <c r="L122" s="327">
        <f>IF(B122&lt;&gt;"",+VLOOKUP(I122,Recursos!C:F,4,FALSE),"")</f>
        <v>5462.5</v>
      </c>
      <c r="M122" s="416"/>
      <c r="N122" s="416">
        <v>1500</v>
      </c>
      <c r="O122" s="332">
        <f>1/N122*M120</f>
        <v>3.6666666666666667E-4</v>
      </c>
      <c r="P122" s="333">
        <f t="shared" si="41"/>
        <v>2.0029166666666667</v>
      </c>
      <c r="Q122" s="327">
        <f t="shared" si="42"/>
        <v>0</v>
      </c>
      <c r="R122" s="334">
        <f t="shared" si="43"/>
        <v>0</v>
      </c>
      <c r="S122" s="335" t="e">
        <f t="shared" si="32"/>
        <v>#N/A</v>
      </c>
      <c r="T122" s="335">
        <f t="shared" si="33"/>
        <v>404.95755956043962</v>
      </c>
      <c r="U122" s="336">
        <f t="shared" si="34"/>
        <v>238.22963550988095</v>
      </c>
      <c r="V122" s="336">
        <f t="shared" si="35"/>
        <v>0</v>
      </c>
      <c r="W122" s="336">
        <f t="shared" si="36"/>
        <v>0</v>
      </c>
      <c r="X122" s="336">
        <f t="shared" si="37"/>
        <v>0</v>
      </c>
      <c r="Y122" s="320"/>
      <c r="Z122" s="321" t="str">
        <f t="shared" si="44"/>
        <v>X-EXC0RA</v>
      </c>
      <c r="AA122" s="321" t="str">
        <f t="shared" si="45"/>
        <v>X-EXC0RE</v>
      </c>
      <c r="AB122" s="321" t="str">
        <f t="shared" si="46"/>
        <v>X-EXC0RM</v>
      </c>
      <c r="AC122" s="321" t="str">
        <f t="shared" si="47"/>
        <v>X-EXC0RT</v>
      </c>
      <c r="AD122" s="321" t="str">
        <f t="shared" si="48"/>
        <v>X-EXC0RS</v>
      </c>
      <c r="AE122" s="321" t="str">
        <f t="shared" si="49"/>
        <v>X-EXC0RX</v>
      </c>
      <c r="AF122" s="321" t="str">
        <f t="shared" si="50"/>
        <v>X-EXC0RM</v>
      </c>
      <c r="AG122" s="321">
        <f t="shared" si="38"/>
        <v>40</v>
      </c>
      <c r="AH122" s="321"/>
      <c r="AI122" s="321" t="str">
        <f t="shared" si="51"/>
        <v>X-EXC0R</v>
      </c>
      <c r="AJ122" s="320"/>
      <c r="AK122" s="322">
        <f t="shared" si="39"/>
        <v>101</v>
      </c>
      <c r="AL122" s="323">
        <f t="shared" si="52"/>
        <v>140</v>
      </c>
      <c r="AM122" s="322">
        <f t="shared" si="53"/>
        <v>22</v>
      </c>
      <c r="AN122" s="381">
        <f t="shared" si="40"/>
        <v>0.64214896214896222</v>
      </c>
      <c r="AO122" s="322"/>
    </row>
    <row r="123" spans="2:41">
      <c r="B123" s="324" t="s">
        <v>1421</v>
      </c>
      <c r="C123" s="325" t="s">
        <v>1425</v>
      </c>
      <c r="D123" s="326" t="s">
        <v>1160</v>
      </c>
      <c r="E123" s="327">
        <f>+SUMIF('AUX-NIV2'!I:I,'AUX-NIV3'!B123,'AUX-NIV2'!Q:Q)</f>
        <v>0</v>
      </c>
      <c r="F123" s="327" t="e">
        <f t="shared" si="30"/>
        <v>#N/A</v>
      </c>
      <c r="G123" s="327" t="e">
        <f t="shared" si="31"/>
        <v>#N/A</v>
      </c>
      <c r="H123" s="328" t="str">
        <f t="shared" si="57"/>
        <v>M</v>
      </c>
      <c r="I123" s="325" t="s">
        <v>1434</v>
      </c>
      <c r="J123" s="421" t="str">
        <f>IF(B123&lt;&gt;"",+VLOOKUP(I123,Recursos!C:F,2,FALSE),"")</f>
        <v>GELAMON V.F. 80 %</v>
      </c>
      <c r="K123" s="330" t="str">
        <f>IF(B123&lt;&gt;"",+VLOOKUP(I123,Recursos!C:F,3,FALSE),"")</f>
        <v>Kg</v>
      </c>
      <c r="L123" s="327">
        <f>IF(B123&lt;&gt;"",+VLOOKUP(I123,Recursos!C:F,4,FALSE),"")</f>
        <v>326.60000000000002</v>
      </c>
      <c r="M123" s="428">
        <v>0.35</v>
      </c>
      <c r="N123" s="430">
        <v>0.05</v>
      </c>
      <c r="O123" s="332">
        <f t="shared" ref="O123:O128" si="58">+N123*$M$123</f>
        <v>1.7499999999999998E-2</v>
      </c>
      <c r="P123" s="333">
        <f t="shared" si="41"/>
        <v>5.7154999999999996</v>
      </c>
      <c r="Q123" s="327">
        <f t="shared" si="42"/>
        <v>0</v>
      </c>
      <c r="R123" s="334">
        <f t="shared" si="43"/>
        <v>0</v>
      </c>
      <c r="S123" s="335" t="e">
        <f t="shared" si="32"/>
        <v>#N/A</v>
      </c>
      <c r="T123" s="335">
        <f t="shared" si="33"/>
        <v>404.95755956043962</v>
      </c>
      <c r="U123" s="336">
        <f t="shared" si="34"/>
        <v>238.22963550988095</v>
      </c>
      <c r="V123" s="336">
        <f t="shared" si="35"/>
        <v>0</v>
      </c>
      <c r="W123" s="336">
        <f t="shared" si="36"/>
        <v>0</v>
      </c>
      <c r="X123" s="336">
        <f t="shared" si="37"/>
        <v>0</v>
      </c>
      <c r="Y123" s="320"/>
      <c r="Z123" s="321" t="str">
        <f t="shared" si="44"/>
        <v>X-EXC0RA</v>
      </c>
      <c r="AA123" s="321" t="str">
        <f t="shared" si="45"/>
        <v>X-EXC0RE</v>
      </c>
      <c r="AB123" s="321" t="str">
        <f t="shared" si="46"/>
        <v>X-EXC0RM</v>
      </c>
      <c r="AC123" s="321" t="str">
        <f t="shared" si="47"/>
        <v>X-EXC0RT</v>
      </c>
      <c r="AD123" s="321" t="str">
        <f t="shared" si="48"/>
        <v>X-EXC0RS</v>
      </c>
      <c r="AE123" s="321" t="str">
        <f t="shared" si="49"/>
        <v>X-EXC0RX</v>
      </c>
      <c r="AF123" s="321" t="str">
        <f t="shared" si="50"/>
        <v>X-EXC0RM</v>
      </c>
      <c r="AG123" s="321">
        <f t="shared" si="38"/>
        <v>40</v>
      </c>
      <c r="AH123" s="321"/>
      <c r="AI123" s="321" t="str">
        <f t="shared" si="51"/>
        <v>X-EXC0R</v>
      </c>
      <c r="AJ123" s="320"/>
      <c r="AK123" s="322">
        <f t="shared" si="39"/>
        <v>101</v>
      </c>
      <c r="AL123" s="323">
        <f t="shared" si="52"/>
        <v>140</v>
      </c>
      <c r="AM123" s="322">
        <f t="shared" si="53"/>
        <v>23</v>
      </c>
      <c r="AN123" s="381">
        <f t="shared" si="40"/>
        <v>0.64214896214896222</v>
      </c>
      <c r="AO123" s="322"/>
    </row>
    <row r="124" spans="2:41">
      <c r="B124" s="324" t="s">
        <v>1421</v>
      </c>
      <c r="C124" s="325" t="s">
        <v>1425</v>
      </c>
      <c r="D124" s="326" t="s">
        <v>1160</v>
      </c>
      <c r="E124" s="327">
        <f>+SUMIF('AUX-NIV2'!I:I,'AUX-NIV3'!B124,'AUX-NIV2'!Q:Q)</f>
        <v>0</v>
      </c>
      <c r="F124" s="327" t="e">
        <f t="shared" si="30"/>
        <v>#N/A</v>
      </c>
      <c r="G124" s="327" t="e">
        <f t="shared" si="31"/>
        <v>#N/A</v>
      </c>
      <c r="H124" s="328" t="str">
        <f t="shared" si="57"/>
        <v>M</v>
      </c>
      <c r="I124" s="325" t="s">
        <v>1435</v>
      </c>
      <c r="J124" s="421" t="str">
        <f>IF(B124&lt;&gt;"",+VLOOKUP(I124,Recursos!C:F,2,FALSE),"")</f>
        <v>ANFO</v>
      </c>
      <c r="K124" s="330" t="str">
        <f>IF(B124&lt;&gt;"",+VLOOKUP(I124,Recursos!C:F,3,FALSE),"")</f>
        <v>Kg</v>
      </c>
      <c r="L124" s="327">
        <f>IF(B124&lt;&gt;"",+VLOOKUP(I124,Recursos!C:F,4,FALSE),"")</f>
        <v>219</v>
      </c>
      <c r="M124" s="416">
        <v>0.12</v>
      </c>
      <c r="N124" s="430">
        <v>0.2</v>
      </c>
      <c r="O124" s="332">
        <f t="shared" si="58"/>
        <v>6.9999999999999993E-2</v>
      </c>
      <c r="P124" s="333">
        <f t="shared" si="41"/>
        <v>15.329999999999998</v>
      </c>
      <c r="Q124" s="327">
        <f t="shared" si="42"/>
        <v>0</v>
      </c>
      <c r="R124" s="334">
        <f t="shared" si="43"/>
        <v>0</v>
      </c>
      <c r="S124" s="335" t="e">
        <f t="shared" si="32"/>
        <v>#N/A</v>
      </c>
      <c r="T124" s="335">
        <f t="shared" si="33"/>
        <v>404.95755956043962</v>
      </c>
      <c r="U124" s="336">
        <f t="shared" si="34"/>
        <v>238.22963550988095</v>
      </c>
      <c r="V124" s="336">
        <f t="shared" si="35"/>
        <v>0</v>
      </c>
      <c r="W124" s="336">
        <f t="shared" si="36"/>
        <v>0</v>
      </c>
      <c r="X124" s="336">
        <f t="shared" si="37"/>
        <v>0</v>
      </c>
      <c r="Y124" s="320"/>
      <c r="Z124" s="321" t="str">
        <f t="shared" si="44"/>
        <v>X-EXC0RA</v>
      </c>
      <c r="AA124" s="321" t="str">
        <f t="shared" si="45"/>
        <v>X-EXC0RE</v>
      </c>
      <c r="AB124" s="321" t="str">
        <f t="shared" si="46"/>
        <v>X-EXC0RM</v>
      </c>
      <c r="AC124" s="321" t="str">
        <f t="shared" si="47"/>
        <v>X-EXC0RT</v>
      </c>
      <c r="AD124" s="321" t="str">
        <f t="shared" si="48"/>
        <v>X-EXC0RS</v>
      </c>
      <c r="AE124" s="321" t="str">
        <f t="shared" si="49"/>
        <v>X-EXC0RX</v>
      </c>
      <c r="AF124" s="321" t="str">
        <f t="shared" si="50"/>
        <v>X-EXC0RM</v>
      </c>
      <c r="AG124" s="321">
        <f t="shared" si="38"/>
        <v>40</v>
      </c>
      <c r="AH124" s="321"/>
      <c r="AI124" s="321" t="str">
        <f t="shared" si="51"/>
        <v>X-EXC0R</v>
      </c>
      <c r="AJ124" s="320"/>
      <c r="AK124" s="322">
        <f t="shared" si="39"/>
        <v>101</v>
      </c>
      <c r="AL124" s="323">
        <f t="shared" si="52"/>
        <v>140</v>
      </c>
      <c r="AM124" s="322">
        <f t="shared" si="53"/>
        <v>24</v>
      </c>
      <c r="AN124" s="381">
        <f t="shared" si="40"/>
        <v>0.64214896214896222</v>
      </c>
      <c r="AO124" s="322"/>
    </row>
    <row r="125" spans="2:41">
      <c r="B125" s="324" t="s">
        <v>1421</v>
      </c>
      <c r="C125" s="325" t="s">
        <v>1425</v>
      </c>
      <c r="D125" s="326" t="s">
        <v>1160</v>
      </c>
      <c r="E125" s="327">
        <f>+SUMIF('AUX-NIV2'!I:I,'AUX-NIV3'!B125,'AUX-NIV2'!Q:Q)</f>
        <v>0</v>
      </c>
      <c r="F125" s="327" t="e">
        <f t="shared" si="30"/>
        <v>#N/A</v>
      </c>
      <c r="G125" s="327" t="e">
        <f t="shared" si="31"/>
        <v>#N/A</v>
      </c>
      <c r="H125" s="328" t="str">
        <f t="shared" si="57"/>
        <v>M</v>
      </c>
      <c r="I125" s="325" t="s">
        <v>1436</v>
      </c>
      <c r="J125" s="421" t="str">
        <f>IF(B125&lt;&gt;"",+VLOOKUP(I125,Recursos!C:F,2,FALSE),"")</f>
        <v>CORDON DETONANTE 5 gr/m</v>
      </c>
      <c r="K125" s="330" t="str">
        <f>IF(B125&lt;&gt;"",+VLOOKUP(I125,Recursos!C:F,3,FALSE),"")</f>
        <v>m</v>
      </c>
      <c r="L125" s="327">
        <f>IF(B125&lt;&gt;"",+VLOOKUP(I125,Recursos!C:F,4,FALSE),"")</f>
        <v>28.75</v>
      </c>
      <c r="M125" s="416"/>
      <c r="N125" s="430">
        <v>0.12</v>
      </c>
      <c r="O125" s="332">
        <f t="shared" si="58"/>
        <v>4.1999999999999996E-2</v>
      </c>
      <c r="P125" s="333">
        <f t="shared" si="41"/>
        <v>1.2074999999999998</v>
      </c>
      <c r="Q125" s="327">
        <f t="shared" si="42"/>
        <v>0</v>
      </c>
      <c r="R125" s="334">
        <f t="shared" si="43"/>
        <v>0</v>
      </c>
      <c r="S125" s="335" t="e">
        <f t="shared" si="32"/>
        <v>#N/A</v>
      </c>
      <c r="T125" s="335">
        <f t="shared" si="33"/>
        <v>404.95755956043962</v>
      </c>
      <c r="U125" s="336">
        <f t="shared" si="34"/>
        <v>238.22963550988095</v>
      </c>
      <c r="V125" s="336">
        <f t="shared" si="35"/>
        <v>0</v>
      </c>
      <c r="W125" s="336">
        <f t="shared" si="36"/>
        <v>0</v>
      </c>
      <c r="X125" s="336">
        <f t="shared" si="37"/>
        <v>0</v>
      </c>
      <c r="Y125" s="320"/>
      <c r="Z125" s="321" t="str">
        <f t="shared" si="44"/>
        <v>X-EXC0RA</v>
      </c>
      <c r="AA125" s="321" t="str">
        <f t="shared" si="45"/>
        <v>X-EXC0RE</v>
      </c>
      <c r="AB125" s="321" t="str">
        <f t="shared" si="46"/>
        <v>X-EXC0RM</v>
      </c>
      <c r="AC125" s="321" t="str">
        <f t="shared" si="47"/>
        <v>X-EXC0RT</v>
      </c>
      <c r="AD125" s="321" t="str">
        <f t="shared" si="48"/>
        <v>X-EXC0RS</v>
      </c>
      <c r="AE125" s="321" t="str">
        <f t="shared" si="49"/>
        <v>X-EXC0RX</v>
      </c>
      <c r="AF125" s="321" t="str">
        <f t="shared" si="50"/>
        <v>X-EXC0RM</v>
      </c>
      <c r="AG125" s="321">
        <f t="shared" si="38"/>
        <v>40</v>
      </c>
      <c r="AH125" s="321"/>
      <c r="AI125" s="321" t="str">
        <f t="shared" si="51"/>
        <v>X-EXC0R</v>
      </c>
      <c r="AJ125" s="320"/>
      <c r="AK125" s="322">
        <f t="shared" si="39"/>
        <v>101</v>
      </c>
      <c r="AL125" s="323">
        <f t="shared" si="52"/>
        <v>140</v>
      </c>
      <c r="AM125" s="322">
        <f t="shared" si="53"/>
        <v>25</v>
      </c>
      <c r="AN125" s="381">
        <f t="shared" si="40"/>
        <v>0.64214896214896222</v>
      </c>
      <c r="AO125" s="322"/>
    </row>
    <row r="126" spans="2:41">
      <c r="B126" s="324" t="s">
        <v>1421</v>
      </c>
      <c r="C126" s="325" t="s">
        <v>1425</v>
      </c>
      <c r="D126" s="326" t="s">
        <v>1160</v>
      </c>
      <c r="E126" s="327">
        <f>+SUMIF('AUX-NIV2'!I:I,'AUX-NIV3'!B126,'AUX-NIV2'!Q:Q)</f>
        <v>0</v>
      </c>
      <c r="F126" s="327" t="e">
        <f t="shared" si="30"/>
        <v>#N/A</v>
      </c>
      <c r="G126" s="327" t="e">
        <f t="shared" si="31"/>
        <v>#N/A</v>
      </c>
      <c r="H126" s="328" t="str">
        <f t="shared" si="57"/>
        <v>M</v>
      </c>
      <c r="I126" s="325" t="s">
        <v>1437</v>
      </c>
      <c r="J126" s="421" t="str">
        <f>IF(B126&lt;&gt;"",+VLOOKUP(I126,Recursos!C:F,2,FALSE),"")</f>
        <v>MECHA LENTA</v>
      </c>
      <c r="K126" s="330" t="str">
        <f>IF(B126&lt;&gt;"",+VLOOKUP(I126,Recursos!C:F,3,FALSE),"")</f>
        <v>m</v>
      </c>
      <c r="L126" s="327">
        <f>IF(B126&lt;&gt;"",+VLOOKUP(I126,Recursos!C:F,4,FALSE),"")</f>
        <v>26.45</v>
      </c>
      <c r="M126" s="416"/>
      <c r="N126" s="430">
        <v>2.5000000000000001E-3</v>
      </c>
      <c r="O126" s="332">
        <f t="shared" si="58"/>
        <v>8.7499999999999991E-4</v>
      </c>
      <c r="P126" s="333">
        <f t="shared" si="41"/>
        <v>2.3143749999999998E-2</v>
      </c>
      <c r="Q126" s="327">
        <f t="shared" si="42"/>
        <v>0</v>
      </c>
      <c r="R126" s="334">
        <f t="shared" si="43"/>
        <v>0</v>
      </c>
      <c r="S126" s="335" t="e">
        <f t="shared" si="32"/>
        <v>#N/A</v>
      </c>
      <c r="T126" s="335">
        <f t="shared" si="33"/>
        <v>404.95755956043962</v>
      </c>
      <c r="U126" s="336">
        <f t="shared" si="34"/>
        <v>238.22963550988095</v>
      </c>
      <c r="V126" s="336">
        <f t="shared" si="35"/>
        <v>0</v>
      </c>
      <c r="W126" s="336">
        <f t="shared" si="36"/>
        <v>0</v>
      </c>
      <c r="X126" s="336">
        <f t="shared" si="37"/>
        <v>0</v>
      </c>
      <c r="Y126" s="320"/>
      <c r="Z126" s="321" t="str">
        <f t="shared" si="44"/>
        <v>X-EXC0RA</v>
      </c>
      <c r="AA126" s="321" t="str">
        <f t="shared" si="45"/>
        <v>X-EXC0RE</v>
      </c>
      <c r="AB126" s="321" t="str">
        <f t="shared" si="46"/>
        <v>X-EXC0RM</v>
      </c>
      <c r="AC126" s="321" t="str">
        <f t="shared" si="47"/>
        <v>X-EXC0RT</v>
      </c>
      <c r="AD126" s="321" t="str">
        <f t="shared" si="48"/>
        <v>X-EXC0RS</v>
      </c>
      <c r="AE126" s="321" t="str">
        <f t="shared" si="49"/>
        <v>X-EXC0RX</v>
      </c>
      <c r="AF126" s="321" t="str">
        <f t="shared" si="50"/>
        <v>X-EXC0RM</v>
      </c>
      <c r="AG126" s="321">
        <f t="shared" si="38"/>
        <v>40</v>
      </c>
      <c r="AH126" s="321"/>
      <c r="AI126" s="321" t="str">
        <f t="shared" si="51"/>
        <v>X-EXC0R</v>
      </c>
      <c r="AJ126" s="320"/>
      <c r="AK126" s="322">
        <f t="shared" si="39"/>
        <v>101</v>
      </c>
      <c r="AL126" s="323">
        <f t="shared" si="52"/>
        <v>140</v>
      </c>
      <c r="AM126" s="322">
        <f t="shared" si="53"/>
        <v>26</v>
      </c>
      <c r="AN126" s="381">
        <f t="shared" si="40"/>
        <v>0.64214896214896222</v>
      </c>
      <c r="AO126" s="322"/>
    </row>
    <row r="127" spans="2:41">
      <c r="B127" s="324" t="s">
        <v>1421</v>
      </c>
      <c r="C127" s="325" t="s">
        <v>1425</v>
      </c>
      <c r="D127" s="326" t="s">
        <v>1160</v>
      </c>
      <c r="E127" s="327">
        <f>+SUMIF('AUX-NIV2'!I:I,'AUX-NIV3'!B127,'AUX-NIV2'!Q:Q)</f>
        <v>0</v>
      </c>
      <c r="F127" s="327" t="e">
        <f t="shared" si="30"/>
        <v>#N/A</v>
      </c>
      <c r="G127" s="327" t="e">
        <f t="shared" si="31"/>
        <v>#N/A</v>
      </c>
      <c r="H127" s="328" t="str">
        <f t="shared" si="57"/>
        <v>M</v>
      </c>
      <c r="I127" s="325" t="s">
        <v>1438</v>
      </c>
      <c r="J127" s="421" t="str">
        <f>IF(B127&lt;&gt;"",+VLOOKUP(I127,Recursos!C:F,2,FALSE),"")</f>
        <v>FULMINANTE #8</v>
      </c>
      <c r="K127" s="330" t="str">
        <f>IF(B127&lt;&gt;"",+VLOOKUP(I127,Recursos!C:F,3,FALSE),"")</f>
        <v>Un</v>
      </c>
      <c r="L127" s="327">
        <f>IF(B127&lt;&gt;"",+VLOOKUP(I127,Recursos!C:F,4,FALSE),"")</f>
        <v>23.574999999999999</v>
      </c>
      <c r="M127" s="416"/>
      <c r="N127" s="430">
        <v>8.2999999999999998E-5</v>
      </c>
      <c r="O127" s="332">
        <f t="shared" si="58"/>
        <v>2.9049999999999998E-5</v>
      </c>
      <c r="P127" s="333">
        <f t="shared" si="41"/>
        <v>6.8485374999999995E-4</v>
      </c>
      <c r="Q127" s="327">
        <f t="shared" si="42"/>
        <v>0</v>
      </c>
      <c r="R127" s="334">
        <f t="shared" si="43"/>
        <v>0</v>
      </c>
      <c r="S127" s="335" t="e">
        <f t="shared" si="32"/>
        <v>#N/A</v>
      </c>
      <c r="T127" s="335">
        <f t="shared" si="33"/>
        <v>404.95755956043962</v>
      </c>
      <c r="U127" s="336">
        <f t="shared" si="34"/>
        <v>238.22963550988095</v>
      </c>
      <c r="V127" s="336">
        <f t="shared" si="35"/>
        <v>0</v>
      </c>
      <c r="W127" s="336">
        <f t="shared" si="36"/>
        <v>0</v>
      </c>
      <c r="X127" s="336">
        <f t="shared" si="37"/>
        <v>0</v>
      </c>
      <c r="Y127" s="320"/>
      <c r="Z127" s="321" t="str">
        <f t="shared" si="44"/>
        <v>X-EXC0RA</v>
      </c>
      <c r="AA127" s="321" t="str">
        <f t="shared" si="45"/>
        <v>X-EXC0RE</v>
      </c>
      <c r="AB127" s="321" t="str">
        <f t="shared" si="46"/>
        <v>X-EXC0RM</v>
      </c>
      <c r="AC127" s="321" t="str">
        <f t="shared" si="47"/>
        <v>X-EXC0RT</v>
      </c>
      <c r="AD127" s="321" t="str">
        <f t="shared" si="48"/>
        <v>X-EXC0RS</v>
      </c>
      <c r="AE127" s="321" t="str">
        <f t="shared" si="49"/>
        <v>X-EXC0RX</v>
      </c>
      <c r="AF127" s="321" t="str">
        <f t="shared" si="50"/>
        <v>X-EXC0RM</v>
      </c>
      <c r="AG127" s="321">
        <f t="shared" si="38"/>
        <v>40</v>
      </c>
      <c r="AH127" s="321"/>
      <c r="AI127" s="321" t="str">
        <f t="shared" si="51"/>
        <v>X-EXC0R</v>
      </c>
      <c r="AJ127" s="320"/>
      <c r="AK127" s="322">
        <f t="shared" si="39"/>
        <v>101</v>
      </c>
      <c r="AL127" s="323">
        <f t="shared" si="52"/>
        <v>140</v>
      </c>
      <c r="AM127" s="322">
        <f t="shared" si="53"/>
        <v>27</v>
      </c>
      <c r="AN127" s="381">
        <f t="shared" si="40"/>
        <v>0.64214896214896222</v>
      </c>
      <c r="AO127" s="322"/>
    </row>
    <row r="128" spans="2:41">
      <c r="B128" s="324" t="s">
        <v>1421</v>
      </c>
      <c r="C128" s="325" t="s">
        <v>1425</v>
      </c>
      <c r="D128" s="326" t="s">
        <v>1160</v>
      </c>
      <c r="E128" s="327">
        <f>+SUMIF('AUX-NIV2'!I:I,'AUX-NIV3'!B128,'AUX-NIV2'!Q:Q)</f>
        <v>0</v>
      </c>
      <c r="F128" s="327" t="e">
        <f t="shared" si="30"/>
        <v>#N/A</v>
      </c>
      <c r="G128" s="327" t="e">
        <f t="shared" si="31"/>
        <v>#N/A</v>
      </c>
      <c r="H128" s="328" t="str">
        <f t="shared" si="57"/>
        <v>M</v>
      </c>
      <c r="I128" s="325" t="s">
        <v>1439</v>
      </c>
      <c r="J128" s="421" t="str">
        <f>IF(B128&lt;&gt;"",+VLOOKUP(I128,Recursos!C:F,2,FALSE),"")</f>
        <v>FULMINANTE NONEL L=14 pies</v>
      </c>
      <c r="K128" s="330" t="str">
        <f>IF(B128&lt;&gt;"",+VLOOKUP(I128,Recursos!C:F,3,FALSE),"")</f>
        <v>Un</v>
      </c>
      <c r="L128" s="327">
        <f>IF(B128&lt;&gt;"",+VLOOKUP(I128,Recursos!C:F,4,FALSE),"")</f>
        <v>272.55</v>
      </c>
      <c r="M128" s="416"/>
      <c r="N128" s="416">
        <v>7.0000000000000007E-2</v>
      </c>
      <c r="O128" s="332">
        <f t="shared" si="58"/>
        <v>2.4500000000000001E-2</v>
      </c>
      <c r="P128" s="333">
        <f t="shared" si="41"/>
        <v>6.6774750000000003</v>
      </c>
      <c r="Q128" s="327">
        <f t="shared" si="42"/>
        <v>0</v>
      </c>
      <c r="R128" s="334">
        <f t="shared" si="43"/>
        <v>0</v>
      </c>
      <c r="S128" s="335" t="e">
        <f t="shared" si="32"/>
        <v>#N/A</v>
      </c>
      <c r="T128" s="335">
        <f t="shared" si="33"/>
        <v>404.95755956043962</v>
      </c>
      <c r="U128" s="336">
        <f t="shared" si="34"/>
        <v>238.22963550988095</v>
      </c>
      <c r="V128" s="336">
        <f t="shared" si="35"/>
        <v>0</v>
      </c>
      <c r="W128" s="336">
        <f t="shared" si="36"/>
        <v>0</v>
      </c>
      <c r="X128" s="336">
        <f t="shared" si="37"/>
        <v>0</v>
      </c>
      <c r="Y128" s="320"/>
      <c r="Z128" s="321" t="str">
        <f t="shared" si="44"/>
        <v>X-EXC0RA</v>
      </c>
      <c r="AA128" s="321" t="str">
        <f t="shared" si="45"/>
        <v>X-EXC0RE</v>
      </c>
      <c r="AB128" s="321" t="str">
        <f t="shared" si="46"/>
        <v>X-EXC0RM</v>
      </c>
      <c r="AC128" s="321" t="str">
        <f t="shared" si="47"/>
        <v>X-EXC0RT</v>
      </c>
      <c r="AD128" s="321" t="str">
        <f t="shared" si="48"/>
        <v>X-EXC0RS</v>
      </c>
      <c r="AE128" s="321" t="str">
        <f t="shared" si="49"/>
        <v>X-EXC0RX</v>
      </c>
      <c r="AF128" s="321" t="str">
        <f t="shared" si="50"/>
        <v>X-EXC0RM</v>
      </c>
      <c r="AG128" s="321">
        <f t="shared" si="38"/>
        <v>40</v>
      </c>
      <c r="AH128" s="321"/>
      <c r="AI128" s="321" t="str">
        <f t="shared" si="51"/>
        <v>X-EXC0R</v>
      </c>
      <c r="AJ128" s="320"/>
      <c r="AK128" s="322">
        <f t="shared" si="39"/>
        <v>101</v>
      </c>
      <c r="AL128" s="323">
        <f t="shared" si="52"/>
        <v>140</v>
      </c>
      <c r="AM128" s="322">
        <f t="shared" si="53"/>
        <v>28</v>
      </c>
      <c r="AN128" s="381">
        <f t="shared" si="40"/>
        <v>0.64214896214896222</v>
      </c>
      <c r="AO128" s="322"/>
    </row>
    <row r="129" spans="2:41">
      <c r="B129" s="324" t="s">
        <v>1421</v>
      </c>
      <c r="C129" s="325" t="s">
        <v>1425</v>
      </c>
      <c r="D129" s="326" t="s">
        <v>1160</v>
      </c>
      <c r="E129" s="327">
        <f>+SUMIF('AUX-NIV2'!I:I,'AUX-NIV3'!B129,'AUX-NIV2'!Q:Q)</f>
        <v>0</v>
      </c>
      <c r="F129" s="327" t="e">
        <f t="shared" si="30"/>
        <v>#N/A</v>
      </c>
      <c r="G129" s="327" t="e">
        <f t="shared" si="31"/>
        <v>#N/A</v>
      </c>
      <c r="H129" s="328" t="str">
        <f t="shared" si="57"/>
        <v>M</v>
      </c>
      <c r="I129" s="325" t="s">
        <v>1434</v>
      </c>
      <c r="J129" s="429" t="str">
        <f>IF(B129&lt;&gt;"",+VLOOKUP(I129,Recursos!C:F,2,FALSE),"")</f>
        <v>GELAMON V.F. 80 %</v>
      </c>
      <c r="K129" s="330" t="str">
        <f>IF(B129&lt;&gt;"",+VLOOKUP(I129,Recursos!C:F,3,FALSE),"")</f>
        <v>Kg</v>
      </c>
      <c r="L129" s="327">
        <f>IF(B129&lt;&gt;"",+VLOOKUP(I129,Recursos!C:F,4,FALSE),"")</f>
        <v>326.60000000000002</v>
      </c>
      <c r="M129" s="416">
        <f>1-M123</f>
        <v>0.65</v>
      </c>
      <c r="N129" s="416">
        <v>0.18</v>
      </c>
      <c r="O129" s="332">
        <f t="shared" ref="O129:O134" si="59">+N129*$M$129</f>
        <v>0.11699999999999999</v>
      </c>
      <c r="P129" s="333">
        <f t="shared" si="41"/>
        <v>38.212200000000003</v>
      </c>
      <c r="Q129" s="327">
        <f t="shared" si="42"/>
        <v>0</v>
      </c>
      <c r="R129" s="334">
        <f t="shared" si="43"/>
        <v>0</v>
      </c>
      <c r="S129" s="335" t="e">
        <f t="shared" si="32"/>
        <v>#N/A</v>
      </c>
      <c r="T129" s="335">
        <f t="shared" si="33"/>
        <v>404.95755956043962</v>
      </c>
      <c r="U129" s="336">
        <f t="shared" si="34"/>
        <v>238.22963550988095</v>
      </c>
      <c r="V129" s="336">
        <f t="shared" si="35"/>
        <v>0</v>
      </c>
      <c r="W129" s="336">
        <f t="shared" si="36"/>
        <v>0</v>
      </c>
      <c r="X129" s="336">
        <f t="shared" si="37"/>
        <v>0</v>
      </c>
      <c r="Y129" s="320"/>
      <c r="Z129" s="321" t="str">
        <f t="shared" si="44"/>
        <v>X-EXC0RA</v>
      </c>
      <c r="AA129" s="321" t="str">
        <f t="shared" si="45"/>
        <v>X-EXC0RE</v>
      </c>
      <c r="AB129" s="321" t="str">
        <f t="shared" si="46"/>
        <v>X-EXC0RM</v>
      </c>
      <c r="AC129" s="321" t="str">
        <f t="shared" si="47"/>
        <v>X-EXC0RT</v>
      </c>
      <c r="AD129" s="321" t="str">
        <f t="shared" si="48"/>
        <v>X-EXC0RS</v>
      </c>
      <c r="AE129" s="321" t="str">
        <f t="shared" si="49"/>
        <v>X-EXC0RX</v>
      </c>
      <c r="AF129" s="321" t="str">
        <f t="shared" si="50"/>
        <v>X-EXC0RM</v>
      </c>
      <c r="AG129" s="321">
        <f t="shared" si="38"/>
        <v>40</v>
      </c>
      <c r="AH129" s="321"/>
      <c r="AI129" s="321" t="str">
        <f t="shared" si="51"/>
        <v>X-EXC0R</v>
      </c>
      <c r="AJ129" s="320"/>
      <c r="AK129" s="322">
        <f t="shared" si="39"/>
        <v>101</v>
      </c>
      <c r="AL129" s="323">
        <f t="shared" si="52"/>
        <v>140</v>
      </c>
      <c r="AM129" s="322">
        <f t="shared" si="53"/>
        <v>29</v>
      </c>
      <c r="AN129" s="381">
        <f t="shared" si="40"/>
        <v>0.64214896214896222</v>
      </c>
      <c r="AO129" s="322"/>
    </row>
    <row r="130" spans="2:41">
      <c r="B130" s="324" t="s">
        <v>1421</v>
      </c>
      <c r="C130" s="325" t="s">
        <v>1425</v>
      </c>
      <c r="D130" s="326" t="s">
        <v>1160</v>
      </c>
      <c r="E130" s="327">
        <f>+SUMIF('AUX-NIV2'!I:I,'AUX-NIV3'!B130,'AUX-NIV2'!Q:Q)</f>
        <v>0</v>
      </c>
      <c r="F130" s="327" t="e">
        <f t="shared" si="30"/>
        <v>#N/A</v>
      </c>
      <c r="G130" s="327" t="e">
        <f t="shared" si="31"/>
        <v>#N/A</v>
      </c>
      <c r="H130" s="328" t="str">
        <f t="shared" si="57"/>
        <v>M</v>
      </c>
      <c r="I130" s="325" t="s">
        <v>1435</v>
      </c>
      <c r="J130" s="429" t="str">
        <f>IF(B130&lt;&gt;"",+VLOOKUP(I130,Recursos!C:F,2,FALSE),"")</f>
        <v>ANFO</v>
      </c>
      <c r="K130" s="330" t="str">
        <f>IF(B130&lt;&gt;"",+VLOOKUP(I130,Recursos!C:F,3,FALSE),"")</f>
        <v>Kg</v>
      </c>
      <c r="L130" s="327">
        <f>IF(B130&lt;&gt;"",+VLOOKUP(I130,Recursos!C:F,4,FALSE),"")</f>
        <v>219</v>
      </c>
      <c r="M130" s="416"/>
      <c r="N130" s="416">
        <v>0.27</v>
      </c>
      <c r="O130" s="332">
        <f t="shared" si="59"/>
        <v>0.17550000000000002</v>
      </c>
      <c r="P130" s="333">
        <f t="shared" si="41"/>
        <v>38.434500000000007</v>
      </c>
      <c r="Q130" s="327">
        <f t="shared" si="42"/>
        <v>0</v>
      </c>
      <c r="R130" s="334">
        <f t="shared" si="43"/>
        <v>0</v>
      </c>
      <c r="S130" s="335" t="e">
        <f t="shared" si="32"/>
        <v>#N/A</v>
      </c>
      <c r="T130" s="335">
        <f t="shared" si="33"/>
        <v>404.95755956043962</v>
      </c>
      <c r="U130" s="336">
        <f t="shared" si="34"/>
        <v>238.22963550988095</v>
      </c>
      <c r="V130" s="336">
        <f t="shared" si="35"/>
        <v>0</v>
      </c>
      <c r="W130" s="336">
        <f t="shared" si="36"/>
        <v>0</v>
      </c>
      <c r="X130" s="336">
        <f t="shared" si="37"/>
        <v>0</v>
      </c>
      <c r="Y130" s="320"/>
      <c r="Z130" s="321" t="str">
        <f t="shared" si="44"/>
        <v>X-EXC0RA</v>
      </c>
      <c r="AA130" s="321" t="str">
        <f t="shared" si="45"/>
        <v>X-EXC0RE</v>
      </c>
      <c r="AB130" s="321" t="str">
        <f t="shared" si="46"/>
        <v>X-EXC0RM</v>
      </c>
      <c r="AC130" s="321" t="str">
        <f t="shared" si="47"/>
        <v>X-EXC0RT</v>
      </c>
      <c r="AD130" s="321" t="str">
        <f t="shared" si="48"/>
        <v>X-EXC0RS</v>
      </c>
      <c r="AE130" s="321" t="str">
        <f t="shared" si="49"/>
        <v>X-EXC0RX</v>
      </c>
      <c r="AF130" s="321" t="str">
        <f t="shared" si="50"/>
        <v>X-EXC0RM</v>
      </c>
      <c r="AG130" s="321">
        <f t="shared" si="38"/>
        <v>40</v>
      </c>
      <c r="AH130" s="321"/>
      <c r="AI130" s="321" t="str">
        <f t="shared" si="51"/>
        <v>X-EXC0R</v>
      </c>
      <c r="AJ130" s="320"/>
      <c r="AK130" s="322">
        <f t="shared" si="39"/>
        <v>101</v>
      </c>
      <c r="AL130" s="323">
        <f t="shared" si="52"/>
        <v>140</v>
      </c>
      <c r="AM130" s="322">
        <f t="shared" si="53"/>
        <v>30</v>
      </c>
      <c r="AN130" s="381">
        <f t="shared" si="40"/>
        <v>0.64214896214896222</v>
      </c>
      <c r="AO130" s="322"/>
    </row>
    <row r="131" spans="2:41">
      <c r="B131" s="324" t="s">
        <v>1421</v>
      </c>
      <c r="C131" s="325" t="s">
        <v>1425</v>
      </c>
      <c r="D131" s="326" t="s">
        <v>1160</v>
      </c>
      <c r="E131" s="327">
        <f>+SUMIF('AUX-NIV2'!I:I,'AUX-NIV3'!B131,'AUX-NIV2'!Q:Q)</f>
        <v>0</v>
      </c>
      <c r="F131" s="327" t="e">
        <f t="shared" si="30"/>
        <v>#N/A</v>
      </c>
      <c r="G131" s="327" t="e">
        <f t="shared" si="31"/>
        <v>#N/A</v>
      </c>
      <c r="H131" s="328" t="str">
        <f t="shared" si="57"/>
        <v>M</v>
      </c>
      <c r="I131" s="325" t="s">
        <v>1436</v>
      </c>
      <c r="J131" s="429" t="str">
        <f>IF(B131&lt;&gt;"",+VLOOKUP(I131,Recursos!C:F,2,FALSE),"")</f>
        <v>CORDON DETONANTE 5 gr/m</v>
      </c>
      <c r="K131" s="330" t="str">
        <f>IF(B131&lt;&gt;"",+VLOOKUP(I131,Recursos!C:F,3,FALSE),"")</f>
        <v>m</v>
      </c>
      <c r="L131" s="327">
        <f>IF(B131&lt;&gt;"",+VLOOKUP(I131,Recursos!C:F,4,FALSE),"")</f>
        <v>28.75</v>
      </c>
      <c r="M131" s="416"/>
      <c r="N131" s="416">
        <v>0.33</v>
      </c>
      <c r="O131" s="332">
        <f t="shared" si="59"/>
        <v>0.21450000000000002</v>
      </c>
      <c r="P131" s="333">
        <f t="shared" si="41"/>
        <v>6.166875000000001</v>
      </c>
      <c r="Q131" s="327">
        <f t="shared" si="42"/>
        <v>0</v>
      </c>
      <c r="R131" s="334">
        <f t="shared" si="43"/>
        <v>0</v>
      </c>
      <c r="S131" s="335" t="e">
        <f t="shared" si="32"/>
        <v>#N/A</v>
      </c>
      <c r="T131" s="335">
        <f t="shared" si="33"/>
        <v>404.95755956043962</v>
      </c>
      <c r="U131" s="336">
        <f t="shared" si="34"/>
        <v>238.22963550988095</v>
      </c>
      <c r="V131" s="336">
        <f t="shared" si="35"/>
        <v>0</v>
      </c>
      <c r="W131" s="336">
        <f t="shared" si="36"/>
        <v>0</v>
      </c>
      <c r="X131" s="336">
        <f t="shared" si="37"/>
        <v>0</v>
      </c>
      <c r="Y131" s="320"/>
      <c r="Z131" s="321" t="str">
        <f t="shared" si="44"/>
        <v>X-EXC0RA</v>
      </c>
      <c r="AA131" s="321" t="str">
        <f t="shared" si="45"/>
        <v>X-EXC0RE</v>
      </c>
      <c r="AB131" s="321" t="str">
        <f t="shared" si="46"/>
        <v>X-EXC0RM</v>
      </c>
      <c r="AC131" s="321" t="str">
        <f t="shared" si="47"/>
        <v>X-EXC0RT</v>
      </c>
      <c r="AD131" s="321" t="str">
        <f t="shared" si="48"/>
        <v>X-EXC0RS</v>
      </c>
      <c r="AE131" s="321" t="str">
        <f t="shared" si="49"/>
        <v>X-EXC0RX</v>
      </c>
      <c r="AF131" s="321" t="str">
        <f t="shared" si="50"/>
        <v>X-EXC0RM</v>
      </c>
      <c r="AG131" s="321">
        <f t="shared" si="38"/>
        <v>40</v>
      </c>
      <c r="AH131" s="321"/>
      <c r="AI131" s="321" t="str">
        <f t="shared" si="51"/>
        <v>X-EXC0R</v>
      </c>
      <c r="AJ131" s="320"/>
      <c r="AK131" s="322">
        <f t="shared" si="39"/>
        <v>101</v>
      </c>
      <c r="AL131" s="323">
        <f t="shared" si="52"/>
        <v>140</v>
      </c>
      <c r="AM131" s="322">
        <f t="shared" si="53"/>
        <v>31</v>
      </c>
      <c r="AN131" s="381">
        <f t="shared" si="40"/>
        <v>0.64214896214896222</v>
      </c>
      <c r="AO131" s="322"/>
    </row>
    <row r="132" spans="2:41">
      <c r="B132" s="324" t="s">
        <v>1421</v>
      </c>
      <c r="C132" s="325" t="s">
        <v>1425</v>
      </c>
      <c r="D132" s="326" t="s">
        <v>1160</v>
      </c>
      <c r="E132" s="327">
        <f>+SUMIF('AUX-NIV2'!I:I,'AUX-NIV3'!B132,'AUX-NIV2'!Q:Q)</f>
        <v>0</v>
      </c>
      <c r="F132" s="327" t="e">
        <f t="shared" si="30"/>
        <v>#N/A</v>
      </c>
      <c r="G132" s="327" t="e">
        <f t="shared" si="31"/>
        <v>#N/A</v>
      </c>
      <c r="H132" s="328" t="str">
        <f t="shared" si="57"/>
        <v>M</v>
      </c>
      <c r="I132" s="325" t="s">
        <v>1437</v>
      </c>
      <c r="J132" s="429" t="str">
        <f>IF(B132&lt;&gt;"",+VLOOKUP(I132,Recursos!C:F,2,FALSE),"")</f>
        <v>MECHA LENTA</v>
      </c>
      <c r="K132" s="330" t="str">
        <f>IF(B132&lt;&gt;"",+VLOOKUP(I132,Recursos!C:F,3,FALSE),"")</f>
        <v>m</v>
      </c>
      <c r="L132" s="327">
        <f>IF(B132&lt;&gt;"",+VLOOKUP(I132,Recursos!C:F,4,FALSE),"")</f>
        <v>26.45</v>
      </c>
      <c r="M132" s="416"/>
      <c r="N132" s="416">
        <v>5.0000000000000001E-3</v>
      </c>
      <c r="O132" s="332">
        <f t="shared" si="59"/>
        <v>3.2500000000000003E-3</v>
      </c>
      <c r="P132" s="333">
        <f t="shared" si="41"/>
        <v>8.5962500000000011E-2</v>
      </c>
      <c r="Q132" s="327">
        <f t="shared" si="42"/>
        <v>0</v>
      </c>
      <c r="R132" s="334">
        <f t="shared" si="43"/>
        <v>0</v>
      </c>
      <c r="S132" s="335" t="e">
        <f t="shared" si="32"/>
        <v>#N/A</v>
      </c>
      <c r="T132" s="335">
        <f t="shared" si="33"/>
        <v>404.95755956043962</v>
      </c>
      <c r="U132" s="336">
        <f t="shared" si="34"/>
        <v>238.22963550988095</v>
      </c>
      <c r="V132" s="336">
        <f t="shared" si="35"/>
        <v>0</v>
      </c>
      <c r="W132" s="336">
        <f t="shared" si="36"/>
        <v>0</v>
      </c>
      <c r="X132" s="336">
        <f t="shared" si="37"/>
        <v>0</v>
      </c>
      <c r="Y132" s="320"/>
      <c r="Z132" s="321" t="str">
        <f t="shared" si="44"/>
        <v>X-EXC0RA</v>
      </c>
      <c r="AA132" s="321" t="str">
        <f t="shared" si="45"/>
        <v>X-EXC0RE</v>
      </c>
      <c r="AB132" s="321" t="str">
        <f t="shared" si="46"/>
        <v>X-EXC0RM</v>
      </c>
      <c r="AC132" s="321" t="str">
        <f t="shared" si="47"/>
        <v>X-EXC0RT</v>
      </c>
      <c r="AD132" s="321" t="str">
        <f t="shared" si="48"/>
        <v>X-EXC0RS</v>
      </c>
      <c r="AE132" s="321" t="str">
        <f t="shared" si="49"/>
        <v>X-EXC0RX</v>
      </c>
      <c r="AF132" s="321" t="str">
        <f t="shared" si="50"/>
        <v>X-EXC0RM</v>
      </c>
      <c r="AG132" s="321">
        <f t="shared" si="38"/>
        <v>40</v>
      </c>
      <c r="AH132" s="321"/>
      <c r="AI132" s="321" t="str">
        <f t="shared" si="51"/>
        <v>X-EXC0R</v>
      </c>
      <c r="AJ132" s="320"/>
      <c r="AK132" s="322">
        <f t="shared" si="39"/>
        <v>101</v>
      </c>
      <c r="AL132" s="323">
        <f t="shared" si="52"/>
        <v>140</v>
      </c>
      <c r="AM132" s="322">
        <f t="shared" si="53"/>
        <v>32</v>
      </c>
      <c r="AN132" s="381">
        <f t="shared" si="40"/>
        <v>0.64214896214896222</v>
      </c>
      <c r="AO132" s="322"/>
    </row>
    <row r="133" spans="2:41">
      <c r="B133" s="324" t="s">
        <v>1421</v>
      </c>
      <c r="C133" s="325" t="s">
        <v>1425</v>
      </c>
      <c r="D133" s="326" t="s">
        <v>1160</v>
      </c>
      <c r="E133" s="327">
        <f>+SUMIF('AUX-NIV2'!I:I,'AUX-NIV3'!B133,'AUX-NIV2'!Q:Q)</f>
        <v>0</v>
      </c>
      <c r="F133" s="327" t="e">
        <f t="shared" si="30"/>
        <v>#N/A</v>
      </c>
      <c r="G133" s="327" t="e">
        <f t="shared" si="31"/>
        <v>#N/A</v>
      </c>
      <c r="H133" s="328" t="str">
        <f t="shared" si="57"/>
        <v>M</v>
      </c>
      <c r="I133" s="325" t="s">
        <v>1438</v>
      </c>
      <c r="J133" s="429" t="str">
        <f>IF(B133&lt;&gt;"",+VLOOKUP(I133,Recursos!C:F,2,FALSE),"")</f>
        <v>FULMINANTE #8</v>
      </c>
      <c r="K133" s="330" t="str">
        <f>IF(B133&lt;&gt;"",+VLOOKUP(I133,Recursos!C:F,3,FALSE),"")</f>
        <v>Un</v>
      </c>
      <c r="L133" s="327">
        <f>IF(B133&lt;&gt;"",+VLOOKUP(I133,Recursos!C:F,4,FALSE),"")</f>
        <v>23.574999999999999</v>
      </c>
      <c r="M133" s="416"/>
      <c r="N133" s="416">
        <v>1.6670000000000001E-3</v>
      </c>
      <c r="O133" s="332">
        <f t="shared" si="59"/>
        <v>1.0835500000000002E-3</v>
      </c>
      <c r="P133" s="333">
        <f t="shared" si="41"/>
        <v>2.5544691250000005E-2</v>
      </c>
      <c r="Q133" s="327">
        <f t="shared" si="42"/>
        <v>0</v>
      </c>
      <c r="R133" s="334">
        <f t="shared" si="43"/>
        <v>0</v>
      </c>
      <c r="S133" s="335" t="e">
        <f t="shared" si="32"/>
        <v>#N/A</v>
      </c>
      <c r="T133" s="335">
        <f t="shared" si="33"/>
        <v>404.95755956043962</v>
      </c>
      <c r="U133" s="336">
        <f t="shared" si="34"/>
        <v>238.22963550988095</v>
      </c>
      <c r="V133" s="336">
        <f t="shared" si="35"/>
        <v>0</v>
      </c>
      <c r="W133" s="336">
        <f t="shared" si="36"/>
        <v>0</v>
      </c>
      <c r="X133" s="336">
        <f t="shared" si="37"/>
        <v>0</v>
      </c>
      <c r="Y133" s="320"/>
      <c r="Z133" s="321" t="str">
        <f t="shared" si="44"/>
        <v>X-EXC0RA</v>
      </c>
      <c r="AA133" s="321" t="str">
        <f t="shared" si="45"/>
        <v>X-EXC0RE</v>
      </c>
      <c r="AB133" s="321" t="str">
        <f t="shared" si="46"/>
        <v>X-EXC0RM</v>
      </c>
      <c r="AC133" s="321" t="str">
        <f t="shared" si="47"/>
        <v>X-EXC0RT</v>
      </c>
      <c r="AD133" s="321" t="str">
        <f t="shared" si="48"/>
        <v>X-EXC0RS</v>
      </c>
      <c r="AE133" s="321" t="str">
        <f t="shared" si="49"/>
        <v>X-EXC0RX</v>
      </c>
      <c r="AF133" s="321" t="str">
        <f t="shared" si="50"/>
        <v>X-EXC0RM</v>
      </c>
      <c r="AG133" s="321">
        <f t="shared" si="38"/>
        <v>40</v>
      </c>
      <c r="AH133" s="321"/>
      <c r="AI133" s="321" t="str">
        <f t="shared" si="51"/>
        <v>X-EXC0R</v>
      </c>
      <c r="AJ133" s="320"/>
      <c r="AK133" s="322">
        <f t="shared" si="39"/>
        <v>101</v>
      </c>
      <c r="AL133" s="323">
        <f t="shared" si="52"/>
        <v>140</v>
      </c>
      <c r="AM133" s="322">
        <f t="shared" si="53"/>
        <v>33</v>
      </c>
      <c r="AN133" s="381">
        <f t="shared" si="40"/>
        <v>0.64214896214896222</v>
      </c>
      <c r="AO133" s="322"/>
    </row>
    <row r="134" spans="2:41">
      <c r="B134" s="324" t="s">
        <v>1421</v>
      </c>
      <c r="C134" s="325" t="s">
        <v>1425</v>
      </c>
      <c r="D134" s="326" t="s">
        <v>1160</v>
      </c>
      <c r="E134" s="327">
        <f>+SUMIF('AUX-NIV2'!I:I,'AUX-NIV3'!B134,'AUX-NIV2'!Q:Q)</f>
        <v>0</v>
      </c>
      <c r="F134" s="327" t="e">
        <f t="shared" si="30"/>
        <v>#N/A</v>
      </c>
      <c r="G134" s="327" t="e">
        <f t="shared" si="31"/>
        <v>#N/A</v>
      </c>
      <c r="H134" s="328" t="str">
        <f t="shared" si="57"/>
        <v>M</v>
      </c>
      <c r="I134" s="325" t="s">
        <v>1439</v>
      </c>
      <c r="J134" s="429" t="str">
        <f>IF(B134&lt;&gt;"",+VLOOKUP(I134,Recursos!C:F,2,FALSE),"")</f>
        <v>FULMINANTE NONEL L=14 pies</v>
      </c>
      <c r="K134" s="330" t="str">
        <f>IF(B134&lt;&gt;"",+VLOOKUP(I134,Recursos!C:F,3,FALSE),"")</f>
        <v>Un</v>
      </c>
      <c r="L134" s="327">
        <f>IF(B134&lt;&gt;"",+VLOOKUP(I134,Recursos!C:F,4,FALSE),"")</f>
        <v>272.55</v>
      </c>
      <c r="M134" s="416"/>
      <c r="N134" s="416">
        <v>0.1925</v>
      </c>
      <c r="O134" s="332">
        <f t="shared" si="59"/>
        <v>0.12512500000000001</v>
      </c>
      <c r="P134" s="333">
        <f t="shared" si="41"/>
        <v>34.102818750000004</v>
      </c>
      <c r="Q134" s="327">
        <f t="shared" si="42"/>
        <v>0</v>
      </c>
      <c r="R134" s="334">
        <f t="shared" si="43"/>
        <v>0</v>
      </c>
      <c r="S134" s="335" t="e">
        <f t="shared" si="32"/>
        <v>#N/A</v>
      </c>
      <c r="T134" s="335">
        <f t="shared" si="33"/>
        <v>404.95755956043962</v>
      </c>
      <c r="U134" s="336">
        <f t="shared" si="34"/>
        <v>238.22963550988095</v>
      </c>
      <c r="V134" s="336">
        <f t="shared" si="35"/>
        <v>0</v>
      </c>
      <c r="W134" s="336">
        <f t="shared" si="36"/>
        <v>0</v>
      </c>
      <c r="X134" s="336">
        <f t="shared" si="37"/>
        <v>0</v>
      </c>
      <c r="Y134" s="320"/>
      <c r="Z134" s="321" t="str">
        <f t="shared" si="44"/>
        <v>X-EXC0RA</v>
      </c>
      <c r="AA134" s="321" t="str">
        <f t="shared" si="45"/>
        <v>X-EXC0RE</v>
      </c>
      <c r="AB134" s="321" t="str">
        <f t="shared" si="46"/>
        <v>X-EXC0RM</v>
      </c>
      <c r="AC134" s="321" t="str">
        <f t="shared" si="47"/>
        <v>X-EXC0RT</v>
      </c>
      <c r="AD134" s="321" t="str">
        <f t="shared" si="48"/>
        <v>X-EXC0RS</v>
      </c>
      <c r="AE134" s="321" t="str">
        <f t="shared" si="49"/>
        <v>X-EXC0RX</v>
      </c>
      <c r="AF134" s="321" t="str">
        <f t="shared" si="50"/>
        <v>X-EXC0RM</v>
      </c>
      <c r="AG134" s="321">
        <f t="shared" si="38"/>
        <v>40</v>
      </c>
      <c r="AH134" s="321"/>
      <c r="AI134" s="321" t="str">
        <f t="shared" si="51"/>
        <v>X-EXC0R</v>
      </c>
      <c r="AJ134" s="320"/>
      <c r="AK134" s="322">
        <f t="shared" si="39"/>
        <v>101</v>
      </c>
      <c r="AL134" s="323">
        <f t="shared" si="52"/>
        <v>140</v>
      </c>
      <c r="AM134" s="322">
        <f t="shared" si="53"/>
        <v>34</v>
      </c>
      <c r="AN134" s="381">
        <f t="shared" si="40"/>
        <v>0.64214896214896222</v>
      </c>
      <c r="AO134" s="322"/>
    </row>
    <row r="135" spans="2:41">
      <c r="B135" s="324" t="s">
        <v>1421</v>
      </c>
      <c r="C135" s="325" t="s">
        <v>1425</v>
      </c>
      <c r="D135" s="326" t="s">
        <v>1160</v>
      </c>
      <c r="E135" s="327">
        <f>+SUMIF('AUX-NIV2'!I:I,'AUX-NIV3'!B135,'AUX-NIV2'!Q:Q)</f>
        <v>0</v>
      </c>
      <c r="F135" s="327" t="e">
        <f t="shared" ref="F135:F198" si="60">IF(B135&lt;&gt;"",+SUMIF(B:B,B135,P:P),"")</f>
        <v>#N/A</v>
      </c>
      <c r="G135" s="327" t="e">
        <f t="shared" ref="G135:G198" si="61">IF(B135&lt;&gt;"",+SUMIF(B:B,B135,R:R),"")</f>
        <v>#N/A</v>
      </c>
      <c r="H135" s="328" t="str">
        <f t="shared" si="57"/>
        <v>M</v>
      </c>
      <c r="I135" s="325" t="s">
        <v>1440</v>
      </c>
      <c r="J135" s="423" t="str">
        <f>IF(B135&lt;&gt;"",+VLOOKUP(I135,Recursos!C:F,2,FALSE),"")</f>
        <v>EXPLOSIVO EN PLUMILLAS</v>
      </c>
      <c r="K135" s="330" t="str">
        <f>IF(B135&lt;&gt;"",+VLOOKUP(I135,Recursos!C:F,3,FALSE),"")</f>
        <v>Kg</v>
      </c>
      <c r="L135" s="327">
        <f>IF(B135&lt;&gt;"",+VLOOKUP(I135,Recursos!C:F,4,FALSE),"")</f>
        <v>460</v>
      </c>
      <c r="M135" s="416">
        <v>0.1</v>
      </c>
      <c r="N135" s="416">
        <v>0.25</v>
      </c>
      <c r="O135" s="332">
        <f>+N135*$M$129*M135</f>
        <v>1.6250000000000001E-2</v>
      </c>
      <c r="P135" s="333">
        <f t="shared" si="41"/>
        <v>7.4750000000000005</v>
      </c>
      <c r="Q135" s="327">
        <f t="shared" si="42"/>
        <v>0</v>
      </c>
      <c r="R135" s="334">
        <f t="shared" si="43"/>
        <v>0</v>
      </c>
      <c r="S135" s="335" t="e">
        <f t="shared" ref="S135:S198" si="62">IF(B135&lt;&gt;"",+SUMIF($AF:$AF,Z135,$P:$P),"")</f>
        <v>#N/A</v>
      </c>
      <c r="T135" s="335">
        <f t="shared" ref="T135:T198" si="63">IF(B135&lt;&gt;"",+SUMIF($AF:$AF,AA135,$P:$P),"")</f>
        <v>404.95755956043962</v>
      </c>
      <c r="U135" s="336">
        <f t="shared" ref="U135:U198" si="64">IF(B135&lt;&gt;"",+SUMIF($AF:$AF,AB135,$P:$P),"")</f>
        <v>238.22963550988095</v>
      </c>
      <c r="V135" s="336">
        <f t="shared" ref="V135:V198" si="65">IF(B135&lt;&gt;"",+SUMIF($AF:$AF,AC135,$P:$P),"")</f>
        <v>0</v>
      </c>
      <c r="W135" s="336">
        <f t="shared" ref="W135:W198" si="66">IF(B135&lt;&gt;"",+SUMIF($AF:$AF,AD135,$P:$P),"")</f>
        <v>0</v>
      </c>
      <c r="X135" s="336">
        <f t="shared" ref="X135:X198" si="67">IF(B135&lt;&gt;"",+SUMIF($AF:$AF,AE135,$P:$P),"")</f>
        <v>0</v>
      </c>
      <c r="Y135" s="320"/>
      <c r="Z135" s="321" t="str">
        <f t="shared" si="44"/>
        <v>X-EXC0RA</v>
      </c>
      <c r="AA135" s="321" t="str">
        <f t="shared" si="45"/>
        <v>X-EXC0RE</v>
      </c>
      <c r="AB135" s="321" t="str">
        <f t="shared" si="46"/>
        <v>X-EXC0RM</v>
      </c>
      <c r="AC135" s="321" t="str">
        <f t="shared" si="47"/>
        <v>X-EXC0RT</v>
      </c>
      <c r="AD135" s="321" t="str">
        <f t="shared" si="48"/>
        <v>X-EXC0RS</v>
      </c>
      <c r="AE135" s="321" t="str">
        <f t="shared" si="49"/>
        <v>X-EXC0RX</v>
      </c>
      <c r="AF135" s="321" t="str">
        <f t="shared" si="50"/>
        <v>X-EXC0RM</v>
      </c>
      <c r="AG135" s="321">
        <f t="shared" ref="AG135:AG198" si="68">IF(B135&lt;&gt;"",+COUNTIF(B:B,B135),"")</f>
        <v>40</v>
      </c>
      <c r="AH135" s="321"/>
      <c r="AI135" s="321" t="str">
        <f t="shared" si="51"/>
        <v>X-EXC0R</v>
      </c>
      <c r="AJ135" s="320"/>
      <c r="AK135" s="322">
        <f t="shared" ref="AK135:AK198" si="69">IF(B135&lt;&gt;"",+MATCH(B135,B:B,0),"")</f>
        <v>101</v>
      </c>
      <c r="AL135" s="323">
        <f t="shared" si="52"/>
        <v>140</v>
      </c>
      <c r="AM135" s="322">
        <f t="shared" si="53"/>
        <v>35</v>
      </c>
      <c r="AN135" s="381">
        <f t="shared" ref="AN135:AN198" si="70">+IF(B135&lt;&gt;"",SUMIF(AF:AF,Z135,O:O),"")</f>
        <v>0.64214896214896222</v>
      </c>
      <c r="AO135" s="322"/>
    </row>
    <row r="136" spans="2:41">
      <c r="B136" s="324" t="s">
        <v>1421</v>
      </c>
      <c r="C136" s="325" t="s">
        <v>1425</v>
      </c>
      <c r="D136" s="326" t="s">
        <v>1160</v>
      </c>
      <c r="E136" s="327">
        <f>+SUMIF('AUX-NIV2'!I:I,'AUX-NIV3'!B136,'AUX-NIV2'!Q:Q)</f>
        <v>0</v>
      </c>
      <c r="F136" s="327" t="e">
        <f t="shared" si="60"/>
        <v>#N/A</v>
      </c>
      <c r="G136" s="327" t="e">
        <f t="shared" si="61"/>
        <v>#N/A</v>
      </c>
      <c r="H136" s="328" t="str">
        <f t="shared" si="57"/>
        <v>M</v>
      </c>
      <c r="I136" s="325" t="s">
        <v>1436</v>
      </c>
      <c r="J136" s="423" t="str">
        <f>IF(B136&lt;&gt;"",+VLOOKUP(I136,Recursos!C:F,2,FALSE),"")</f>
        <v>CORDON DETONANTE 5 gr/m</v>
      </c>
      <c r="K136" s="330" t="str">
        <f>IF(B136&lt;&gt;"",+VLOOKUP(I136,Recursos!C:F,3,FALSE),"")</f>
        <v>m</v>
      </c>
      <c r="L136" s="327">
        <f>IF(B136&lt;&gt;"",+VLOOKUP(I136,Recursos!C:F,4,FALSE),"")</f>
        <v>28.75</v>
      </c>
      <c r="M136" s="416"/>
      <c r="N136" s="416">
        <v>0.5</v>
      </c>
      <c r="O136" s="332">
        <f>+N136*$M$129*M135</f>
        <v>3.2500000000000001E-2</v>
      </c>
      <c r="P136" s="333">
        <f t="shared" ref="P136:P199" si="71">IF(B136&lt;&gt;"",O136*L136,"")</f>
        <v>0.93437500000000007</v>
      </c>
      <c r="Q136" s="327">
        <f t="shared" ref="Q136:Q199" si="72">IF(B136&lt;&gt;"",+O136*E136,"")</f>
        <v>0</v>
      </c>
      <c r="R136" s="334">
        <f t="shared" ref="R136:R199" si="73">IF(B136&lt;&gt;"",Q136*L136,"")</f>
        <v>0</v>
      </c>
      <c r="S136" s="335" t="e">
        <f t="shared" si="62"/>
        <v>#N/A</v>
      </c>
      <c r="T136" s="335">
        <f t="shared" si="63"/>
        <v>404.95755956043962</v>
      </c>
      <c r="U136" s="336">
        <f t="shared" si="64"/>
        <v>238.22963550988095</v>
      </c>
      <c r="V136" s="336">
        <f t="shared" si="65"/>
        <v>0</v>
      </c>
      <c r="W136" s="336">
        <f t="shared" si="66"/>
        <v>0</v>
      </c>
      <c r="X136" s="336">
        <f t="shared" si="67"/>
        <v>0</v>
      </c>
      <c r="Y136" s="320"/>
      <c r="Z136" s="321" t="str">
        <f t="shared" ref="Z136:Z199" si="74">IF(B136&lt;&gt;"",+$B136&amp;"A","")</f>
        <v>X-EXC0RA</v>
      </c>
      <c r="AA136" s="321" t="str">
        <f t="shared" ref="AA136:AA199" si="75">IF(B136&lt;&gt;"",+$B136&amp;"E","")</f>
        <v>X-EXC0RE</v>
      </c>
      <c r="AB136" s="321" t="str">
        <f t="shared" ref="AB136:AB199" si="76">IF(B136&lt;&gt;"",++$B136&amp;"M","")</f>
        <v>X-EXC0RM</v>
      </c>
      <c r="AC136" s="321" t="str">
        <f t="shared" ref="AC136:AC199" si="77">IF(B136&lt;&gt;"",+$B136&amp;"T","")</f>
        <v>X-EXC0RT</v>
      </c>
      <c r="AD136" s="321" t="str">
        <f t="shared" ref="AD136:AD199" si="78">IF(B136&lt;&gt;"",+$B136&amp;"S","")</f>
        <v>X-EXC0RS</v>
      </c>
      <c r="AE136" s="321" t="str">
        <f t="shared" ref="AE136:AE199" si="79">IF(B136&lt;&gt;"",+$B136&amp;"X","")</f>
        <v>X-EXC0RX</v>
      </c>
      <c r="AF136" s="321" t="str">
        <f t="shared" ref="AF136:AF199" si="80">IF(B136&lt;&gt;"",+B136&amp;H136,"")</f>
        <v>X-EXC0RM</v>
      </c>
      <c r="AG136" s="321">
        <f t="shared" si="68"/>
        <v>40</v>
      </c>
      <c r="AH136" s="321"/>
      <c r="AI136" s="321" t="str">
        <f t="shared" ref="AI136:AI199" si="81">IF(B136&lt;&gt;"",+B136,"")</f>
        <v>X-EXC0R</v>
      </c>
      <c r="AJ136" s="320"/>
      <c r="AK136" s="322">
        <f t="shared" si="69"/>
        <v>101</v>
      </c>
      <c r="AL136" s="323">
        <f t="shared" ref="AL136:AL199" si="82">IF(B136&lt;&gt;"",+AK136+AG136-1,"")</f>
        <v>140</v>
      </c>
      <c r="AM136" s="322">
        <f t="shared" ref="AM136:AM199" si="83">IF(B136&lt;&gt;"",IF(B136=B135,1+AM135,1),"")</f>
        <v>36</v>
      </c>
      <c r="AN136" s="381">
        <f t="shared" si="70"/>
        <v>0.64214896214896222</v>
      </c>
      <c r="AO136" s="322"/>
    </row>
    <row r="137" spans="2:41">
      <c r="B137" s="324" t="s">
        <v>1421</v>
      </c>
      <c r="C137" s="325" t="s">
        <v>1425</v>
      </c>
      <c r="D137" s="326" t="s">
        <v>1160</v>
      </c>
      <c r="E137" s="327">
        <f>+SUMIF('AUX-NIV2'!I:I,'AUX-NIV3'!B137,'AUX-NIV2'!Q:Q)</f>
        <v>0</v>
      </c>
      <c r="F137" s="327" t="e">
        <f t="shared" si="60"/>
        <v>#N/A</v>
      </c>
      <c r="G137" s="327" t="e">
        <f t="shared" si="61"/>
        <v>#N/A</v>
      </c>
      <c r="H137" s="328" t="str">
        <f t="shared" si="57"/>
        <v>M</v>
      </c>
      <c r="I137" s="325" t="s">
        <v>1438</v>
      </c>
      <c r="J137" s="423" t="str">
        <f>IF(B137&lt;&gt;"",+VLOOKUP(I137,Recursos!C:F,2,FALSE),"")</f>
        <v>FULMINANTE #8</v>
      </c>
      <c r="K137" s="330" t="str">
        <f>IF(B137&lt;&gt;"",+VLOOKUP(I137,Recursos!C:F,3,FALSE),"")</f>
        <v>Un</v>
      </c>
      <c r="L137" s="327">
        <f>IF(B137&lt;&gt;"",+VLOOKUP(I137,Recursos!C:F,4,FALSE),"")</f>
        <v>23.574999999999999</v>
      </c>
      <c r="M137" s="416"/>
      <c r="N137" s="416">
        <v>0.3125</v>
      </c>
      <c r="O137" s="332">
        <f>+N137*$M$129*M135</f>
        <v>2.0312500000000001E-2</v>
      </c>
      <c r="P137" s="333">
        <f t="shared" si="71"/>
        <v>0.47886718750000001</v>
      </c>
      <c r="Q137" s="327">
        <f t="shared" si="72"/>
        <v>0</v>
      </c>
      <c r="R137" s="334">
        <f t="shared" si="73"/>
        <v>0</v>
      </c>
      <c r="S137" s="335" t="e">
        <f t="shared" si="62"/>
        <v>#N/A</v>
      </c>
      <c r="T137" s="335">
        <f t="shared" si="63"/>
        <v>404.95755956043962</v>
      </c>
      <c r="U137" s="336">
        <f t="shared" si="64"/>
        <v>238.22963550988095</v>
      </c>
      <c r="V137" s="336">
        <f t="shared" si="65"/>
        <v>0</v>
      </c>
      <c r="W137" s="336">
        <f t="shared" si="66"/>
        <v>0</v>
      </c>
      <c r="X137" s="336">
        <f t="shared" si="67"/>
        <v>0</v>
      </c>
      <c r="Y137" s="320"/>
      <c r="Z137" s="321" t="str">
        <f t="shared" si="74"/>
        <v>X-EXC0RA</v>
      </c>
      <c r="AA137" s="321" t="str">
        <f t="shared" si="75"/>
        <v>X-EXC0RE</v>
      </c>
      <c r="AB137" s="321" t="str">
        <f t="shared" si="76"/>
        <v>X-EXC0RM</v>
      </c>
      <c r="AC137" s="321" t="str">
        <f t="shared" si="77"/>
        <v>X-EXC0RT</v>
      </c>
      <c r="AD137" s="321" t="str">
        <f t="shared" si="78"/>
        <v>X-EXC0RS</v>
      </c>
      <c r="AE137" s="321" t="str">
        <f t="shared" si="79"/>
        <v>X-EXC0RX</v>
      </c>
      <c r="AF137" s="321" t="str">
        <f t="shared" si="80"/>
        <v>X-EXC0RM</v>
      </c>
      <c r="AG137" s="321">
        <f t="shared" si="68"/>
        <v>40</v>
      </c>
      <c r="AH137" s="321"/>
      <c r="AI137" s="321" t="str">
        <f t="shared" si="81"/>
        <v>X-EXC0R</v>
      </c>
      <c r="AJ137" s="320"/>
      <c r="AK137" s="322">
        <f t="shared" si="69"/>
        <v>101</v>
      </c>
      <c r="AL137" s="323">
        <f t="shared" si="82"/>
        <v>140</v>
      </c>
      <c r="AM137" s="322">
        <f t="shared" si="83"/>
        <v>37</v>
      </c>
      <c r="AN137" s="381">
        <f t="shared" si="70"/>
        <v>0.64214896214896222</v>
      </c>
      <c r="AO137" s="322"/>
    </row>
    <row r="138" spans="2:41">
      <c r="B138" s="324" t="s">
        <v>1421</v>
      </c>
      <c r="C138" s="325" t="s">
        <v>1425</v>
      </c>
      <c r="D138" s="326" t="s">
        <v>1372</v>
      </c>
      <c r="E138" s="327">
        <f>+SUMIF('AUX-NIV2'!I:I,'AUX-NIV3'!B138,'AUX-NIV2'!Q:Q)</f>
        <v>0</v>
      </c>
      <c r="F138" s="327" t="e">
        <f t="shared" si="60"/>
        <v>#N/A</v>
      </c>
      <c r="G138" s="327" t="e">
        <f t="shared" si="61"/>
        <v>#N/A</v>
      </c>
      <c r="H138" s="328" t="str">
        <f>IF(B138&lt;&gt;"",+LEFT(I138,1),"")</f>
        <v>E</v>
      </c>
      <c r="I138" s="325" t="s">
        <v>3301</v>
      </c>
      <c r="J138" s="427" t="str">
        <f>IF(B138&lt;&gt;"",+VLOOKUP(I138,Recursos!C:F,2,FALSE),"")</f>
        <v>TOPADORA CON ESC.(39 T) 302 HP</v>
      </c>
      <c r="K138" s="330" t="str">
        <f>IF(B138&lt;&gt;"",+VLOOKUP(I138,Recursos!C:F,3,FALSE),"")</f>
        <v>HR</v>
      </c>
      <c r="L138" s="327">
        <f>IF(B138&lt;&gt;"",+VLOOKUP(I138,Recursos!C:F,4,FALSE),"")</f>
        <v>7320.3390000000009</v>
      </c>
      <c r="M138" s="416"/>
      <c r="N138" s="416"/>
      <c r="O138" s="332"/>
      <c r="P138" s="333">
        <f t="shared" si="71"/>
        <v>0</v>
      </c>
      <c r="Q138" s="327">
        <f t="shared" si="72"/>
        <v>0</v>
      </c>
      <c r="R138" s="334">
        <f t="shared" si="73"/>
        <v>0</v>
      </c>
      <c r="S138" s="335" t="e">
        <f t="shared" si="62"/>
        <v>#N/A</v>
      </c>
      <c r="T138" s="335">
        <f t="shared" si="63"/>
        <v>404.95755956043962</v>
      </c>
      <c r="U138" s="336">
        <f t="shared" si="64"/>
        <v>238.22963550988095</v>
      </c>
      <c r="V138" s="336">
        <f t="shared" si="65"/>
        <v>0</v>
      </c>
      <c r="W138" s="336">
        <f t="shared" si="66"/>
        <v>0</v>
      </c>
      <c r="X138" s="336">
        <f t="shared" si="67"/>
        <v>0</v>
      </c>
      <c r="Y138" s="320"/>
      <c r="Z138" s="321" t="str">
        <f t="shared" si="74"/>
        <v>X-EXC0RA</v>
      </c>
      <c r="AA138" s="321" t="str">
        <f t="shared" si="75"/>
        <v>X-EXC0RE</v>
      </c>
      <c r="AB138" s="321" t="str">
        <f t="shared" si="76"/>
        <v>X-EXC0RM</v>
      </c>
      <c r="AC138" s="321" t="str">
        <f t="shared" si="77"/>
        <v>X-EXC0RT</v>
      </c>
      <c r="AD138" s="321" t="str">
        <f t="shared" si="78"/>
        <v>X-EXC0RS</v>
      </c>
      <c r="AE138" s="321" t="str">
        <f t="shared" si="79"/>
        <v>X-EXC0RX</v>
      </c>
      <c r="AF138" s="321" t="str">
        <f t="shared" si="80"/>
        <v>X-EXC0RE</v>
      </c>
      <c r="AG138" s="321">
        <f t="shared" si="68"/>
        <v>40</v>
      </c>
      <c r="AH138" s="321"/>
      <c r="AI138" s="321" t="str">
        <f t="shared" si="81"/>
        <v>X-EXC0R</v>
      </c>
      <c r="AJ138" s="320"/>
      <c r="AK138" s="322">
        <f t="shared" si="69"/>
        <v>101</v>
      </c>
      <c r="AL138" s="323">
        <f t="shared" si="82"/>
        <v>140</v>
      </c>
      <c r="AM138" s="322">
        <f t="shared" si="83"/>
        <v>38</v>
      </c>
      <c r="AN138" s="381">
        <f t="shared" si="70"/>
        <v>0.64214896214896222</v>
      </c>
      <c r="AO138" s="322"/>
    </row>
    <row r="139" spans="2:41">
      <c r="B139" s="324" t="s">
        <v>1421</v>
      </c>
      <c r="C139" s="325" t="s">
        <v>1425</v>
      </c>
      <c r="D139" s="326" t="s">
        <v>1373</v>
      </c>
      <c r="E139" s="327">
        <f>+SUMIF('AUX-NIV2'!I:I,'AUX-NIV3'!B139,'AUX-NIV2'!Q:Q)</f>
        <v>0</v>
      </c>
      <c r="F139" s="327" t="e">
        <f t="shared" si="60"/>
        <v>#N/A</v>
      </c>
      <c r="G139" s="327" t="e">
        <f t="shared" si="61"/>
        <v>#N/A</v>
      </c>
      <c r="H139" s="328" t="str">
        <f>IF(B139&lt;&gt;"",+LEFT(I139,1),"")</f>
        <v>A</v>
      </c>
      <c r="I139" s="325" t="s">
        <v>3314</v>
      </c>
      <c r="J139" s="427" t="e">
        <f>IF(B139&lt;&gt;"",+VLOOKUP(I139,Recursos!C:F,2,FALSE),"")</f>
        <v>#N/A</v>
      </c>
      <c r="K139" s="330" t="e">
        <f>IF(B139&lt;&gt;"",+VLOOKUP(I139,Recursos!C:F,3,FALSE),"")</f>
        <v>#N/A</v>
      </c>
      <c r="L139" s="327" t="e">
        <f>IF(B139&lt;&gt;"",+VLOOKUP(I139,Recursos!C:F,4,FALSE),"")</f>
        <v>#N/A</v>
      </c>
      <c r="M139" s="416"/>
      <c r="N139" s="416"/>
      <c r="O139" s="332"/>
      <c r="P139" s="333" t="e">
        <f t="shared" si="71"/>
        <v>#N/A</v>
      </c>
      <c r="Q139" s="327">
        <f t="shared" si="72"/>
        <v>0</v>
      </c>
      <c r="R139" s="334" t="e">
        <f t="shared" si="73"/>
        <v>#N/A</v>
      </c>
      <c r="S139" s="335" t="e">
        <f t="shared" si="62"/>
        <v>#N/A</v>
      </c>
      <c r="T139" s="335">
        <f t="shared" si="63"/>
        <v>404.95755956043962</v>
      </c>
      <c r="U139" s="336">
        <f t="shared" si="64"/>
        <v>238.22963550988095</v>
      </c>
      <c r="V139" s="336">
        <f t="shared" si="65"/>
        <v>0</v>
      </c>
      <c r="W139" s="336">
        <f t="shared" si="66"/>
        <v>0</v>
      </c>
      <c r="X139" s="336">
        <f t="shared" si="67"/>
        <v>0</v>
      </c>
      <c r="Y139" s="320"/>
      <c r="Z139" s="321" t="str">
        <f t="shared" si="74"/>
        <v>X-EXC0RA</v>
      </c>
      <c r="AA139" s="321" t="str">
        <f t="shared" si="75"/>
        <v>X-EXC0RE</v>
      </c>
      <c r="AB139" s="321" t="str">
        <f t="shared" si="76"/>
        <v>X-EXC0RM</v>
      </c>
      <c r="AC139" s="321" t="str">
        <f t="shared" si="77"/>
        <v>X-EXC0RT</v>
      </c>
      <c r="AD139" s="321" t="str">
        <f t="shared" si="78"/>
        <v>X-EXC0RS</v>
      </c>
      <c r="AE139" s="321" t="str">
        <f t="shared" si="79"/>
        <v>X-EXC0RX</v>
      </c>
      <c r="AF139" s="321" t="str">
        <f t="shared" si="80"/>
        <v>X-EXC0RA</v>
      </c>
      <c r="AG139" s="321">
        <f t="shared" si="68"/>
        <v>40</v>
      </c>
      <c r="AH139" s="321"/>
      <c r="AI139" s="321" t="str">
        <f t="shared" si="81"/>
        <v>X-EXC0R</v>
      </c>
      <c r="AJ139" s="320"/>
      <c r="AK139" s="322">
        <f t="shared" si="69"/>
        <v>101</v>
      </c>
      <c r="AL139" s="323">
        <f t="shared" si="82"/>
        <v>140</v>
      </c>
      <c r="AM139" s="322">
        <f t="shared" si="83"/>
        <v>39</v>
      </c>
      <c r="AN139" s="381">
        <f t="shared" si="70"/>
        <v>0.64214896214896222</v>
      </c>
      <c r="AO139" s="322"/>
    </row>
    <row r="140" spans="2:41">
      <c r="B140" s="324" t="s">
        <v>1421</v>
      </c>
      <c r="C140" s="325" t="s">
        <v>1425</v>
      </c>
      <c r="D140" s="326" t="s">
        <v>1374</v>
      </c>
      <c r="E140" s="327">
        <f>+SUMIF('AUX-NIV2'!I:I,'AUX-NIV3'!B140,'AUX-NIV2'!Q:Q)</f>
        <v>0</v>
      </c>
      <c r="F140" s="327" t="e">
        <f t="shared" si="60"/>
        <v>#N/A</v>
      </c>
      <c r="G140" s="327" t="e">
        <f t="shared" si="61"/>
        <v>#N/A</v>
      </c>
      <c r="H140" s="328" t="str">
        <f>IF(B140&lt;&gt;"",+LEFT(I140,1),"")</f>
        <v>A</v>
      </c>
      <c r="I140" s="325" t="s">
        <v>3311</v>
      </c>
      <c r="J140" s="427" t="str">
        <f>IF(B140&lt;&gt;"",+VLOOKUP(I140,Recursos!C:F,2,FALSE),"")</f>
        <v>OPER. EQUIPO</v>
      </c>
      <c r="K140" s="330" t="str">
        <f>IF(B140&lt;&gt;"",+VLOOKUP(I140,Recursos!C:F,3,FALSE),"")</f>
        <v>hh</v>
      </c>
      <c r="L140" s="327">
        <f>IF(B140&lt;&gt;"",+VLOOKUP(I140,Recursos!C:F,4,FALSE),"")</f>
        <v>581.06120476836554</v>
      </c>
      <c r="M140" s="416"/>
      <c r="N140" s="416"/>
      <c r="O140" s="332"/>
      <c r="P140" s="333">
        <f t="shared" si="71"/>
        <v>0</v>
      </c>
      <c r="Q140" s="327">
        <f t="shared" si="72"/>
        <v>0</v>
      </c>
      <c r="R140" s="334">
        <f t="shared" si="73"/>
        <v>0</v>
      </c>
      <c r="S140" s="335" t="e">
        <f t="shared" si="62"/>
        <v>#N/A</v>
      </c>
      <c r="T140" s="335">
        <f t="shared" si="63"/>
        <v>404.95755956043962</v>
      </c>
      <c r="U140" s="336">
        <f t="shared" si="64"/>
        <v>238.22963550988095</v>
      </c>
      <c r="V140" s="336">
        <f t="shared" si="65"/>
        <v>0</v>
      </c>
      <c r="W140" s="336">
        <f t="shared" si="66"/>
        <v>0</v>
      </c>
      <c r="X140" s="336">
        <f t="shared" si="67"/>
        <v>0</v>
      </c>
      <c r="Y140" s="320"/>
      <c r="Z140" s="321" t="str">
        <f t="shared" si="74"/>
        <v>X-EXC0RA</v>
      </c>
      <c r="AA140" s="321" t="str">
        <f t="shared" si="75"/>
        <v>X-EXC0RE</v>
      </c>
      <c r="AB140" s="321" t="str">
        <f t="shared" si="76"/>
        <v>X-EXC0RM</v>
      </c>
      <c r="AC140" s="321" t="str">
        <f t="shared" si="77"/>
        <v>X-EXC0RT</v>
      </c>
      <c r="AD140" s="321" t="str">
        <f t="shared" si="78"/>
        <v>X-EXC0RS</v>
      </c>
      <c r="AE140" s="321" t="str">
        <f t="shared" si="79"/>
        <v>X-EXC0RX</v>
      </c>
      <c r="AF140" s="321" t="str">
        <f t="shared" si="80"/>
        <v>X-EXC0RA</v>
      </c>
      <c r="AG140" s="321">
        <f t="shared" si="68"/>
        <v>40</v>
      </c>
      <c r="AH140" s="321"/>
      <c r="AI140" s="321" t="str">
        <f t="shared" si="81"/>
        <v>X-EXC0R</v>
      </c>
      <c r="AJ140" s="320"/>
      <c r="AK140" s="322">
        <f t="shared" si="69"/>
        <v>101</v>
      </c>
      <c r="AL140" s="323">
        <f t="shared" si="82"/>
        <v>140</v>
      </c>
      <c r="AM140" s="322">
        <f t="shared" si="83"/>
        <v>40</v>
      </c>
      <c r="AN140" s="381">
        <f t="shared" si="70"/>
        <v>0.64214896214896222</v>
      </c>
      <c r="AO140" s="322"/>
    </row>
    <row r="141" spans="2:41">
      <c r="B141" s="324" t="s">
        <v>1422</v>
      </c>
      <c r="C141" s="325" t="s">
        <v>1456</v>
      </c>
      <c r="D141" s="326" t="s">
        <v>1384</v>
      </c>
      <c r="E141" s="327">
        <f>+SUMIF('AUX-NIV2'!I:I,'AUX-NIV3'!B141,'AUX-NIV2'!Q:Q)</f>
        <v>0</v>
      </c>
      <c r="F141" s="327" t="e">
        <f t="shared" si="60"/>
        <v>#N/A</v>
      </c>
      <c r="G141" s="327" t="e">
        <f t="shared" si="61"/>
        <v>#N/A</v>
      </c>
      <c r="H141" s="328" t="str">
        <f>IF(B141&lt;&gt;"",+LEFT(I141,1),"")</f>
        <v>E</v>
      </c>
      <c r="I141" s="325" t="s">
        <v>1572</v>
      </c>
      <c r="J141" s="420" t="str">
        <f>IF(B141&lt;&gt;"",+VLOOKUP(I141,Recursos!C:F,2,FALSE),"")</f>
        <v>TRACK DRILL NEUMATICO (10-14 M/H)</v>
      </c>
      <c r="K141" s="330" t="str">
        <f>IF(B141&lt;&gt;"",+VLOOKUP(I141,Recursos!C:F,3,FALSE),"")</f>
        <v>HR</v>
      </c>
      <c r="L141" s="327">
        <f>IF(B141&lt;&gt;"",+VLOOKUP(I141,Recursos!C:F,4,FALSE),"")</f>
        <v>1116.8352</v>
      </c>
      <c r="M141" s="416"/>
      <c r="N141" s="416">
        <v>24</v>
      </c>
      <c r="O141" s="332">
        <f>1/N141</f>
        <v>4.1666666666666664E-2</v>
      </c>
      <c r="P141" s="333">
        <f t="shared" si="71"/>
        <v>46.534799999999997</v>
      </c>
      <c r="Q141" s="327">
        <f t="shared" si="72"/>
        <v>0</v>
      </c>
      <c r="R141" s="334">
        <f t="shared" si="73"/>
        <v>0</v>
      </c>
      <c r="S141" s="335" t="e">
        <f t="shared" si="62"/>
        <v>#N/A</v>
      </c>
      <c r="T141" s="335">
        <f t="shared" si="63"/>
        <v>122.09010208333332</v>
      </c>
      <c r="U141" s="336">
        <f t="shared" si="64"/>
        <v>237.77622197218253</v>
      </c>
      <c r="V141" s="336">
        <f t="shared" si="65"/>
        <v>0</v>
      </c>
      <c r="W141" s="336">
        <f t="shared" si="66"/>
        <v>0</v>
      </c>
      <c r="X141" s="336">
        <f t="shared" si="67"/>
        <v>0</v>
      </c>
      <c r="Y141" s="320"/>
      <c r="Z141" s="321" t="str">
        <f t="shared" si="74"/>
        <v>X-EXR02A</v>
      </c>
      <c r="AA141" s="321" t="str">
        <f t="shared" si="75"/>
        <v>X-EXR02E</v>
      </c>
      <c r="AB141" s="321" t="str">
        <f t="shared" si="76"/>
        <v>X-EXR02M</v>
      </c>
      <c r="AC141" s="321" t="str">
        <f t="shared" si="77"/>
        <v>X-EXR02T</v>
      </c>
      <c r="AD141" s="321" t="str">
        <f t="shared" si="78"/>
        <v>X-EXR02S</v>
      </c>
      <c r="AE141" s="321" t="str">
        <f t="shared" si="79"/>
        <v>X-EXR02X</v>
      </c>
      <c r="AF141" s="321" t="str">
        <f t="shared" si="80"/>
        <v>X-EXR02E</v>
      </c>
      <c r="AG141" s="321">
        <f t="shared" si="68"/>
        <v>39</v>
      </c>
      <c r="AH141" s="321"/>
      <c r="AI141" s="321" t="str">
        <f t="shared" si="81"/>
        <v>X-EXR02</v>
      </c>
      <c r="AJ141" s="320"/>
      <c r="AK141" s="322">
        <f t="shared" si="69"/>
        <v>141</v>
      </c>
      <c r="AL141" s="323">
        <f t="shared" si="82"/>
        <v>179</v>
      </c>
      <c r="AM141" s="322">
        <f t="shared" si="83"/>
        <v>1</v>
      </c>
      <c r="AN141" s="381">
        <f t="shared" si="70"/>
        <v>0.61</v>
      </c>
      <c r="AO141" s="322"/>
    </row>
    <row r="142" spans="2:41">
      <c r="B142" s="324" t="s">
        <v>1422</v>
      </c>
      <c r="C142" s="325" t="s">
        <v>1456</v>
      </c>
      <c r="D142" s="326" t="s">
        <v>1384</v>
      </c>
      <c r="E142" s="327">
        <f>+SUMIF('AUX-NIV2'!I:I,'AUX-NIV3'!B142,'AUX-NIV2'!Q:Q)</f>
        <v>0</v>
      </c>
      <c r="F142" s="327" t="e">
        <f t="shared" si="60"/>
        <v>#N/A</v>
      </c>
      <c r="G142" s="327" t="e">
        <f t="shared" si="61"/>
        <v>#N/A</v>
      </c>
      <c r="H142" s="328" t="str">
        <f t="shared" ref="H142:H153" si="84">IF(B142&lt;&gt;"",+LEFT(I142,1),"")</f>
        <v>E</v>
      </c>
      <c r="I142" s="325" t="s">
        <v>1581</v>
      </c>
      <c r="J142" s="420" t="str">
        <f>IF(B142&lt;&gt;"",+VLOOKUP(I142,Recursos!C:F,2,FALSE),"")</f>
        <v>MOTOCOMPRESOR 5 M3/MIN-175 CFM</v>
      </c>
      <c r="K142" s="330" t="str">
        <f>IF(B142&lt;&gt;"",+VLOOKUP(I142,Recursos!C:F,3,FALSE),"")</f>
        <v>HR</v>
      </c>
      <c r="L142" s="327">
        <f>IF(B142&lt;&gt;"",+VLOOKUP(I142,Recursos!C:F,4,FALSE),"")</f>
        <v>1186.33205</v>
      </c>
      <c r="M142" s="416"/>
      <c r="N142" s="416"/>
      <c r="O142" s="332">
        <f>+O141</f>
        <v>4.1666666666666664E-2</v>
      </c>
      <c r="P142" s="333">
        <f t="shared" si="71"/>
        <v>49.43050208333333</v>
      </c>
      <c r="Q142" s="327">
        <f t="shared" si="72"/>
        <v>0</v>
      </c>
      <c r="R142" s="334">
        <f t="shared" si="73"/>
        <v>0</v>
      </c>
      <c r="S142" s="335" t="e">
        <f t="shared" si="62"/>
        <v>#N/A</v>
      </c>
      <c r="T142" s="335">
        <f t="shared" si="63"/>
        <v>122.09010208333332</v>
      </c>
      <c r="U142" s="336">
        <f t="shared" si="64"/>
        <v>237.77622197218253</v>
      </c>
      <c r="V142" s="336">
        <f t="shared" si="65"/>
        <v>0</v>
      </c>
      <c r="W142" s="336">
        <f t="shared" si="66"/>
        <v>0</v>
      </c>
      <c r="X142" s="336">
        <f t="shared" si="67"/>
        <v>0</v>
      </c>
      <c r="Y142" s="320"/>
      <c r="Z142" s="321" t="str">
        <f t="shared" si="74"/>
        <v>X-EXR02A</v>
      </c>
      <c r="AA142" s="321" t="str">
        <f t="shared" si="75"/>
        <v>X-EXR02E</v>
      </c>
      <c r="AB142" s="321" t="str">
        <f t="shared" si="76"/>
        <v>X-EXR02M</v>
      </c>
      <c r="AC142" s="321" t="str">
        <f t="shared" si="77"/>
        <v>X-EXR02T</v>
      </c>
      <c r="AD142" s="321" t="str">
        <f t="shared" si="78"/>
        <v>X-EXR02S</v>
      </c>
      <c r="AE142" s="321" t="str">
        <f t="shared" si="79"/>
        <v>X-EXR02X</v>
      </c>
      <c r="AF142" s="321" t="str">
        <f t="shared" si="80"/>
        <v>X-EXR02E</v>
      </c>
      <c r="AG142" s="321">
        <f t="shared" si="68"/>
        <v>39</v>
      </c>
      <c r="AH142" s="321"/>
      <c r="AI142" s="321" t="str">
        <f t="shared" si="81"/>
        <v>X-EXR02</v>
      </c>
      <c r="AJ142" s="320"/>
      <c r="AK142" s="322">
        <f t="shared" si="69"/>
        <v>141</v>
      </c>
      <c r="AL142" s="323">
        <f t="shared" si="82"/>
        <v>179</v>
      </c>
      <c r="AM142" s="322">
        <f t="shared" si="83"/>
        <v>2</v>
      </c>
      <c r="AN142" s="381">
        <f t="shared" si="70"/>
        <v>0.61</v>
      </c>
      <c r="AO142" s="322"/>
    </row>
    <row r="143" spans="2:41">
      <c r="B143" s="324" t="s">
        <v>1422</v>
      </c>
      <c r="C143" s="325" t="s">
        <v>1456</v>
      </c>
      <c r="D143" s="326" t="s">
        <v>1384</v>
      </c>
      <c r="E143" s="327">
        <f>+SUMIF('AUX-NIV2'!I:I,'AUX-NIV3'!B143,'AUX-NIV2'!Q:Q)</f>
        <v>0</v>
      </c>
      <c r="F143" s="327" t="e">
        <f t="shared" si="60"/>
        <v>#N/A</v>
      </c>
      <c r="G143" s="327" t="e">
        <f t="shared" si="61"/>
        <v>#N/A</v>
      </c>
      <c r="H143" s="328" t="str">
        <f t="shared" si="84"/>
        <v>E</v>
      </c>
      <c r="I143" s="325" t="s">
        <v>1575</v>
      </c>
      <c r="J143" s="422" t="str">
        <f>IF(B143&lt;&gt;"",+VLOOKUP(I143,Recursos!C:F,2,FALSE),"")</f>
        <v>MARTILLO NEUMATICO PERFORADOR</v>
      </c>
      <c r="K143" s="330" t="str">
        <f>IF(B143&lt;&gt;"",+VLOOKUP(I143,Recursos!C:F,3,FALSE),"")</f>
        <v>HR</v>
      </c>
      <c r="L143" s="327">
        <f>IF(B143&lt;&gt;"",+VLOOKUP(I143,Recursos!C:F,4,FALSE),"")</f>
        <v>117.5616</v>
      </c>
      <c r="M143" s="416">
        <v>2</v>
      </c>
      <c r="N143" s="416">
        <v>0.75</v>
      </c>
      <c r="O143" s="332">
        <f>1/N143*O142*M143</f>
        <v>0.1111111111111111</v>
      </c>
      <c r="P143" s="333">
        <f t="shared" si="71"/>
        <v>13.062399999999998</v>
      </c>
      <c r="Q143" s="327">
        <f t="shared" si="72"/>
        <v>0</v>
      </c>
      <c r="R143" s="334">
        <f t="shared" si="73"/>
        <v>0</v>
      </c>
      <c r="S143" s="335" t="e">
        <f t="shared" si="62"/>
        <v>#N/A</v>
      </c>
      <c r="T143" s="335">
        <f t="shared" si="63"/>
        <v>122.09010208333332</v>
      </c>
      <c r="U143" s="336">
        <f t="shared" si="64"/>
        <v>237.77622197218253</v>
      </c>
      <c r="V143" s="336">
        <f t="shared" si="65"/>
        <v>0</v>
      </c>
      <c r="W143" s="336">
        <f t="shared" si="66"/>
        <v>0</v>
      </c>
      <c r="X143" s="336">
        <f t="shared" si="67"/>
        <v>0</v>
      </c>
      <c r="Y143" s="320"/>
      <c r="Z143" s="321" t="str">
        <f t="shared" si="74"/>
        <v>X-EXR02A</v>
      </c>
      <c r="AA143" s="321" t="str">
        <f t="shared" si="75"/>
        <v>X-EXR02E</v>
      </c>
      <c r="AB143" s="321" t="str">
        <f t="shared" si="76"/>
        <v>X-EXR02M</v>
      </c>
      <c r="AC143" s="321" t="str">
        <f t="shared" si="77"/>
        <v>X-EXR02T</v>
      </c>
      <c r="AD143" s="321" t="str">
        <f t="shared" si="78"/>
        <v>X-EXR02S</v>
      </c>
      <c r="AE143" s="321" t="str">
        <f t="shared" si="79"/>
        <v>X-EXR02X</v>
      </c>
      <c r="AF143" s="321" t="str">
        <f t="shared" si="80"/>
        <v>X-EXR02E</v>
      </c>
      <c r="AG143" s="321">
        <f t="shared" si="68"/>
        <v>39</v>
      </c>
      <c r="AH143" s="321"/>
      <c r="AI143" s="321" t="str">
        <f t="shared" si="81"/>
        <v>X-EXR02</v>
      </c>
      <c r="AJ143" s="320"/>
      <c r="AK143" s="322">
        <f t="shared" si="69"/>
        <v>141</v>
      </c>
      <c r="AL143" s="323">
        <f t="shared" si="82"/>
        <v>179</v>
      </c>
      <c r="AM143" s="322">
        <f t="shared" si="83"/>
        <v>3</v>
      </c>
      <c r="AN143" s="381">
        <f t="shared" si="70"/>
        <v>0.61</v>
      </c>
      <c r="AO143" s="322"/>
    </row>
    <row r="144" spans="2:41">
      <c r="B144" s="324" t="s">
        <v>1422</v>
      </c>
      <c r="C144" s="325" t="s">
        <v>1456</v>
      </c>
      <c r="D144" s="326" t="s">
        <v>1384</v>
      </c>
      <c r="E144" s="327">
        <f>+SUMIF('AUX-NIV2'!I:I,'AUX-NIV3'!B144,'AUX-NIV2'!Q:Q)</f>
        <v>0</v>
      </c>
      <c r="F144" s="327" t="e">
        <f t="shared" si="60"/>
        <v>#N/A</v>
      </c>
      <c r="G144" s="327" t="e">
        <f t="shared" si="61"/>
        <v>#N/A</v>
      </c>
      <c r="H144" s="328" t="str">
        <f t="shared" si="84"/>
        <v>E</v>
      </c>
      <c r="I144" s="325" t="s">
        <v>1575</v>
      </c>
      <c r="J144" s="422" t="str">
        <f>IF(B144&lt;&gt;"",+VLOOKUP(I144,Recursos!C:F,2,FALSE),"")</f>
        <v>MARTILLO NEUMATICO PERFORADOR</v>
      </c>
      <c r="K144" s="330" t="str">
        <f>IF(B144&lt;&gt;"",+VLOOKUP(I144,Recursos!C:F,3,FALSE),"")</f>
        <v>HR</v>
      </c>
      <c r="L144" s="327">
        <f>IF(B144&lt;&gt;"",+VLOOKUP(I144,Recursos!C:F,4,FALSE),"")</f>
        <v>117.5616</v>
      </c>
      <c r="M144" s="416"/>
      <c r="N144" s="416"/>
      <c r="O144" s="332">
        <f>+O143</f>
        <v>0.1111111111111111</v>
      </c>
      <c r="P144" s="333">
        <f t="shared" si="71"/>
        <v>13.062399999999998</v>
      </c>
      <c r="Q144" s="327">
        <f t="shared" si="72"/>
        <v>0</v>
      </c>
      <c r="R144" s="334">
        <f t="shared" si="73"/>
        <v>0</v>
      </c>
      <c r="S144" s="335" t="e">
        <f t="shared" si="62"/>
        <v>#N/A</v>
      </c>
      <c r="T144" s="335">
        <f t="shared" si="63"/>
        <v>122.09010208333332</v>
      </c>
      <c r="U144" s="336">
        <f t="shared" si="64"/>
        <v>237.77622197218253</v>
      </c>
      <c r="V144" s="336">
        <f t="shared" si="65"/>
        <v>0</v>
      </c>
      <c r="W144" s="336">
        <f t="shared" si="66"/>
        <v>0</v>
      </c>
      <c r="X144" s="336">
        <f t="shared" si="67"/>
        <v>0</v>
      </c>
      <c r="Y144" s="320"/>
      <c r="Z144" s="321" t="str">
        <f t="shared" si="74"/>
        <v>X-EXR02A</v>
      </c>
      <c r="AA144" s="321" t="str">
        <f t="shared" si="75"/>
        <v>X-EXR02E</v>
      </c>
      <c r="AB144" s="321" t="str">
        <f t="shared" si="76"/>
        <v>X-EXR02M</v>
      </c>
      <c r="AC144" s="321" t="str">
        <f t="shared" si="77"/>
        <v>X-EXR02T</v>
      </c>
      <c r="AD144" s="321" t="str">
        <f t="shared" si="78"/>
        <v>X-EXR02S</v>
      </c>
      <c r="AE144" s="321" t="str">
        <f t="shared" si="79"/>
        <v>X-EXR02X</v>
      </c>
      <c r="AF144" s="321" t="str">
        <f t="shared" si="80"/>
        <v>X-EXR02E</v>
      </c>
      <c r="AG144" s="321">
        <f t="shared" si="68"/>
        <v>39</v>
      </c>
      <c r="AH144" s="321"/>
      <c r="AI144" s="321" t="str">
        <f t="shared" si="81"/>
        <v>X-EXR02</v>
      </c>
      <c r="AJ144" s="320"/>
      <c r="AK144" s="322">
        <f t="shared" si="69"/>
        <v>141</v>
      </c>
      <c r="AL144" s="323">
        <f t="shared" si="82"/>
        <v>179</v>
      </c>
      <c r="AM144" s="322">
        <f t="shared" si="83"/>
        <v>4</v>
      </c>
      <c r="AN144" s="381">
        <f t="shared" si="70"/>
        <v>0.61</v>
      </c>
      <c r="AO144" s="322"/>
    </row>
    <row r="145" spans="2:41">
      <c r="B145" s="324" t="s">
        <v>1422</v>
      </c>
      <c r="C145" s="325" t="s">
        <v>1456</v>
      </c>
      <c r="D145" s="326" t="s">
        <v>1384</v>
      </c>
      <c r="E145" s="327">
        <f>+SUMIF('AUX-NIV2'!I:I,'AUX-NIV3'!B145,'AUX-NIV2'!Q:Q)</f>
        <v>0</v>
      </c>
      <c r="F145" s="327" t="e">
        <f t="shared" si="60"/>
        <v>#N/A</v>
      </c>
      <c r="G145" s="327" t="e">
        <f t="shared" si="61"/>
        <v>#N/A</v>
      </c>
      <c r="H145" s="328" t="str">
        <f t="shared" si="84"/>
        <v>A</v>
      </c>
      <c r="I145" s="325" t="s">
        <v>3314</v>
      </c>
      <c r="J145" s="424" t="e">
        <f>IF(B145&lt;&gt;"",+VLOOKUP(I145,Recursos!C:F,2,FALSE),"")</f>
        <v>#N/A</v>
      </c>
      <c r="K145" s="330" t="e">
        <f>IF(B145&lt;&gt;"",+VLOOKUP(I145,Recursos!C:F,3,FALSE),"")</f>
        <v>#N/A</v>
      </c>
      <c r="L145" s="327" t="e">
        <f>IF(B145&lt;&gt;"",+VLOOKUP(I145,Recursos!C:F,4,FALSE),"")</f>
        <v>#N/A</v>
      </c>
      <c r="M145" s="416">
        <v>1.6</v>
      </c>
      <c r="N145" s="416">
        <v>120</v>
      </c>
      <c r="O145" s="332">
        <f>+M145/N145</f>
        <v>1.3333333333333334E-2</v>
      </c>
      <c r="P145" s="333" t="e">
        <f t="shared" si="71"/>
        <v>#N/A</v>
      </c>
      <c r="Q145" s="327">
        <f t="shared" si="72"/>
        <v>0</v>
      </c>
      <c r="R145" s="334" t="e">
        <f t="shared" si="73"/>
        <v>#N/A</v>
      </c>
      <c r="S145" s="335" t="e">
        <f t="shared" si="62"/>
        <v>#N/A</v>
      </c>
      <c r="T145" s="335">
        <f t="shared" si="63"/>
        <v>122.09010208333332</v>
      </c>
      <c r="U145" s="336">
        <f t="shared" si="64"/>
        <v>237.77622197218253</v>
      </c>
      <c r="V145" s="336">
        <f t="shared" si="65"/>
        <v>0</v>
      </c>
      <c r="W145" s="336">
        <f t="shared" si="66"/>
        <v>0</v>
      </c>
      <c r="X145" s="336">
        <f t="shared" si="67"/>
        <v>0</v>
      </c>
      <c r="Y145" s="320"/>
      <c r="Z145" s="321" t="str">
        <f t="shared" si="74"/>
        <v>X-EXR02A</v>
      </c>
      <c r="AA145" s="321" t="str">
        <f t="shared" si="75"/>
        <v>X-EXR02E</v>
      </c>
      <c r="AB145" s="321" t="str">
        <f t="shared" si="76"/>
        <v>X-EXR02M</v>
      </c>
      <c r="AC145" s="321" t="str">
        <f t="shared" si="77"/>
        <v>X-EXR02T</v>
      </c>
      <c r="AD145" s="321" t="str">
        <f t="shared" si="78"/>
        <v>X-EXR02S</v>
      </c>
      <c r="AE145" s="321" t="str">
        <f t="shared" si="79"/>
        <v>X-EXR02X</v>
      </c>
      <c r="AF145" s="321" t="str">
        <f t="shared" si="80"/>
        <v>X-EXR02A</v>
      </c>
      <c r="AG145" s="321">
        <f t="shared" si="68"/>
        <v>39</v>
      </c>
      <c r="AH145" s="321"/>
      <c r="AI145" s="321" t="str">
        <f t="shared" si="81"/>
        <v>X-EXR02</v>
      </c>
      <c r="AJ145" s="320"/>
      <c r="AK145" s="322">
        <f t="shared" si="69"/>
        <v>141</v>
      </c>
      <c r="AL145" s="323">
        <f t="shared" si="82"/>
        <v>179</v>
      </c>
      <c r="AM145" s="322">
        <f t="shared" si="83"/>
        <v>5</v>
      </c>
      <c r="AN145" s="381">
        <f t="shared" si="70"/>
        <v>0.61</v>
      </c>
      <c r="AO145" s="322"/>
    </row>
    <row r="146" spans="2:41">
      <c r="B146" s="324" t="s">
        <v>1422</v>
      </c>
      <c r="C146" s="325" t="s">
        <v>1456</v>
      </c>
      <c r="D146" s="326" t="s">
        <v>1384</v>
      </c>
      <c r="E146" s="327">
        <f>+SUMIF('AUX-NIV2'!I:I,'AUX-NIV3'!B146,'AUX-NIV2'!Q:Q)</f>
        <v>0</v>
      </c>
      <c r="F146" s="327" t="e">
        <f t="shared" si="60"/>
        <v>#N/A</v>
      </c>
      <c r="G146" s="327" t="e">
        <f t="shared" si="61"/>
        <v>#N/A</v>
      </c>
      <c r="H146" s="328" t="str">
        <f t="shared" si="84"/>
        <v>A</v>
      </c>
      <c r="I146" s="325" t="s">
        <v>3315</v>
      </c>
      <c r="J146" s="420" t="e">
        <f>IF(B146&lt;&gt;"",+VLOOKUP(I146,Recursos!C:F,2,FALSE),"")</f>
        <v>#N/A</v>
      </c>
      <c r="K146" s="330" t="e">
        <f>IF(B146&lt;&gt;"",+VLOOKUP(I146,Recursos!C:F,3,FALSE),"")</f>
        <v>#N/A</v>
      </c>
      <c r="L146" s="327" t="e">
        <f>IF(B146&lt;&gt;"",+VLOOKUP(I146,Recursos!C:F,4,FALSE),"")</f>
        <v>#N/A</v>
      </c>
      <c r="M146" s="416"/>
      <c r="N146" s="416"/>
      <c r="O146" s="332">
        <f>+O147</f>
        <v>4.1666666666666664E-2</v>
      </c>
      <c r="P146" s="333" t="e">
        <f t="shared" si="71"/>
        <v>#N/A</v>
      </c>
      <c r="Q146" s="327">
        <f t="shared" si="72"/>
        <v>0</v>
      </c>
      <c r="R146" s="334" t="e">
        <f t="shared" si="73"/>
        <v>#N/A</v>
      </c>
      <c r="S146" s="335" t="e">
        <f t="shared" si="62"/>
        <v>#N/A</v>
      </c>
      <c r="T146" s="335">
        <f t="shared" si="63"/>
        <v>122.09010208333332</v>
      </c>
      <c r="U146" s="336">
        <f t="shared" si="64"/>
        <v>237.77622197218253</v>
      </c>
      <c r="V146" s="336">
        <f t="shared" si="65"/>
        <v>0</v>
      </c>
      <c r="W146" s="336">
        <f t="shared" si="66"/>
        <v>0</v>
      </c>
      <c r="X146" s="336">
        <f t="shared" si="67"/>
        <v>0</v>
      </c>
      <c r="Y146" s="320"/>
      <c r="Z146" s="321" t="str">
        <f t="shared" si="74"/>
        <v>X-EXR02A</v>
      </c>
      <c r="AA146" s="321" t="str">
        <f t="shared" si="75"/>
        <v>X-EXR02E</v>
      </c>
      <c r="AB146" s="321" t="str">
        <f t="shared" si="76"/>
        <v>X-EXR02M</v>
      </c>
      <c r="AC146" s="321" t="str">
        <f t="shared" si="77"/>
        <v>X-EXR02T</v>
      </c>
      <c r="AD146" s="321" t="str">
        <f t="shared" si="78"/>
        <v>X-EXR02S</v>
      </c>
      <c r="AE146" s="321" t="str">
        <f t="shared" si="79"/>
        <v>X-EXR02X</v>
      </c>
      <c r="AF146" s="321" t="str">
        <f t="shared" si="80"/>
        <v>X-EXR02A</v>
      </c>
      <c r="AG146" s="321">
        <f t="shared" si="68"/>
        <v>39</v>
      </c>
      <c r="AH146" s="321"/>
      <c r="AI146" s="321" t="str">
        <f t="shared" si="81"/>
        <v>X-EXR02</v>
      </c>
      <c r="AJ146" s="320"/>
      <c r="AK146" s="322">
        <f t="shared" si="69"/>
        <v>141</v>
      </c>
      <c r="AL146" s="323">
        <f t="shared" si="82"/>
        <v>179</v>
      </c>
      <c r="AM146" s="322">
        <f t="shared" si="83"/>
        <v>6</v>
      </c>
      <c r="AN146" s="381">
        <f t="shared" si="70"/>
        <v>0.61</v>
      </c>
      <c r="AO146" s="322"/>
    </row>
    <row r="147" spans="2:41">
      <c r="B147" s="324" t="s">
        <v>1422</v>
      </c>
      <c r="C147" s="325" t="s">
        <v>1456</v>
      </c>
      <c r="D147" s="326" t="s">
        <v>1384</v>
      </c>
      <c r="E147" s="327">
        <f>+SUMIF('AUX-NIV2'!I:I,'AUX-NIV3'!B147,'AUX-NIV2'!Q:Q)</f>
        <v>0</v>
      </c>
      <c r="F147" s="327" t="e">
        <f t="shared" si="60"/>
        <v>#N/A</v>
      </c>
      <c r="G147" s="327" t="e">
        <f t="shared" si="61"/>
        <v>#N/A</v>
      </c>
      <c r="H147" s="328" t="str">
        <f t="shared" si="84"/>
        <v>A</v>
      </c>
      <c r="I147" s="325" t="s">
        <v>3311</v>
      </c>
      <c r="J147" s="420" t="str">
        <f>IF(B147&lt;&gt;"",+VLOOKUP(I147,Recursos!C:F,2,FALSE),"")</f>
        <v>OPER. EQUIPO</v>
      </c>
      <c r="K147" s="330" t="str">
        <f>IF(B147&lt;&gt;"",+VLOOKUP(I147,Recursos!C:F,3,FALSE),"")</f>
        <v>hh</v>
      </c>
      <c r="L147" s="327">
        <f>IF(B147&lt;&gt;"",+VLOOKUP(I147,Recursos!C:F,4,FALSE),"")</f>
        <v>581.06120476836554</v>
      </c>
      <c r="M147" s="416"/>
      <c r="N147" s="416"/>
      <c r="O147" s="332">
        <f>+O141</f>
        <v>4.1666666666666664E-2</v>
      </c>
      <c r="P147" s="333">
        <f t="shared" si="71"/>
        <v>24.210883532015231</v>
      </c>
      <c r="Q147" s="327">
        <f t="shared" si="72"/>
        <v>0</v>
      </c>
      <c r="R147" s="334">
        <f t="shared" si="73"/>
        <v>0</v>
      </c>
      <c r="S147" s="335" t="e">
        <f t="shared" si="62"/>
        <v>#N/A</v>
      </c>
      <c r="T147" s="335">
        <f t="shared" si="63"/>
        <v>122.09010208333332</v>
      </c>
      <c r="U147" s="336">
        <f t="shared" si="64"/>
        <v>237.77622197218253</v>
      </c>
      <c r="V147" s="336">
        <f t="shared" si="65"/>
        <v>0</v>
      </c>
      <c r="W147" s="336">
        <f t="shared" si="66"/>
        <v>0</v>
      </c>
      <c r="X147" s="336">
        <f t="shared" si="67"/>
        <v>0</v>
      </c>
      <c r="Y147" s="320"/>
      <c r="Z147" s="321" t="str">
        <f t="shared" si="74"/>
        <v>X-EXR02A</v>
      </c>
      <c r="AA147" s="321" t="str">
        <f t="shared" si="75"/>
        <v>X-EXR02E</v>
      </c>
      <c r="AB147" s="321" t="str">
        <f t="shared" si="76"/>
        <v>X-EXR02M</v>
      </c>
      <c r="AC147" s="321" t="str">
        <f t="shared" si="77"/>
        <v>X-EXR02T</v>
      </c>
      <c r="AD147" s="321" t="str">
        <f t="shared" si="78"/>
        <v>X-EXR02S</v>
      </c>
      <c r="AE147" s="321" t="str">
        <f t="shared" si="79"/>
        <v>X-EXR02X</v>
      </c>
      <c r="AF147" s="321" t="str">
        <f t="shared" si="80"/>
        <v>X-EXR02A</v>
      </c>
      <c r="AG147" s="321">
        <f t="shared" si="68"/>
        <v>39</v>
      </c>
      <c r="AH147" s="321"/>
      <c r="AI147" s="321" t="str">
        <f t="shared" si="81"/>
        <v>X-EXR02</v>
      </c>
      <c r="AJ147" s="320"/>
      <c r="AK147" s="322">
        <f t="shared" si="69"/>
        <v>141</v>
      </c>
      <c r="AL147" s="323">
        <f t="shared" si="82"/>
        <v>179</v>
      </c>
      <c r="AM147" s="322">
        <f t="shared" si="83"/>
        <v>7</v>
      </c>
      <c r="AN147" s="381">
        <f t="shared" si="70"/>
        <v>0.61</v>
      </c>
      <c r="AO147" s="322"/>
    </row>
    <row r="148" spans="2:41">
      <c r="B148" s="324" t="s">
        <v>1422</v>
      </c>
      <c r="C148" s="325" t="s">
        <v>1456</v>
      </c>
      <c r="D148" s="326" t="s">
        <v>1384</v>
      </c>
      <c r="E148" s="327">
        <f>+SUMIF('AUX-NIV2'!I:I,'AUX-NIV3'!B148,'AUX-NIV2'!Q:Q)</f>
        <v>0</v>
      </c>
      <c r="F148" s="327" t="e">
        <f t="shared" si="60"/>
        <v>#N/A</v>
      </c>
      <c r="G148" s="327" t="e">
        <f t="shared" si="61"/>
        <v>#N/A</v>
      </c>
      <c r="H148" s="328" t="str">
        <f t="shared" si="84"/>
        <v>A</v>
      </c>
      <c r="I148" s="325" t="s">
        <v>3314</v>
      </c>
      <c r="J148" s="424" t="e">
        <f>IF(B148&lt;&gt;"",+VLOOKUP(I148,Recursos!C:F,2,FALSE),"")</f>
        <v>#N/A</v>
      </c>
      <c r="K148" s="330" t="e">
        <f>IF(B148&lt;&gt;"",+VLOOKUP(I148,Recursos!C:F,3,FALSE),"")</f>
        <v>#N/A</v>
      </c>
      <c r="L148" s="327" t="e">
        <f>IF(B148&lt;&gt;"",+VLOOKUP(I148,Recursos!C:F,4,FALSE),"")</f>
        <v>#N/A</v>
      </c>
      <c r="M148" s="416"/>
      <c r="N148" s="416"/>
      <c r="O148" s="332">
        <f>+O145</f>
        <v>1.3333333333333334E-2</v>
      </c>
      <c r="P148" s="333" t="e">
        <f t="shared" si="71"/>
        <v>#N/A</v>
      </c>
      <c r="Q148" s="327">
        <f t="shared" si="72"/>
        <v>0</v>
      </c>
      <c r="R148" s="334" t="e">
        <f t="shared" si="73"/>
        <v>#N/A</v>
      </c>
      <c r="S148" s="335" t="e">
        <f t="shared" si="62"/>
        <v>#N/A</v>
      </c>
      <c r="T148" s="335">
        <f t="shared" si="63"/>
        <v>122.09010208333332</v>
      </c>
      <c r="U148" s="336">
        <f t="shared" si="64"/>
        <v>237.77622197218253</v>
      </c>
      <c r="V148" s="336">
        <f t="shared" si="65"/>
        <v>0</v>
      </c>
      <c r="W148" s="336">
        <f t="shared" si="66"/>
        <v>0</v>
      </c>
      <c r="X148" s="336">
        <f t="shared" si="67"/>
        <v>0</v>
      </c>
      <c r="Y148" s="320"/>
      <c r="Z148" s="321" t="str">
        <f t="shared" si="74"/>
        <v>X-EXR02A</v>
      </c>
      <c r="AA148" s="321" t="str">
        <f t="shared" si="75"/>
        <v>X-EXR02E</v>
      </c>
      <c r="AB148" s="321" t="str">
        <f t="shared" si="76"/>
        <v>X-EXR02M</v>
      </c>
      <c r="AC148" s="321" t="str">
        <f t="shared" si="77"/>
        <v>X-EXR02T</v>
      </c>
      <c r="AD148" s="321" t="str">
        <f t="shared" si="78"/>
        <v>X-EXR02S</v>
      </c>
      <c r="AE148" s="321" t="str">
        <f t="shared" si="79"/>
        <v>X-EXR02X</v>
      </c>
      <c r="AF148" s="321" t="str">
        <f t="shared" si="80"/>
        <v>X-EXR02A</v>
      </c>
      <c r="AG148" s="321">
        <f t="shared" si="68"/>
        <v>39</v>
      </c>
      <c r="AH148" s="321"/>
      <c r="AI148" s="321" t="str">
        <f t="shared" si="81"/>
        <v>X-EXR02</v>
      </c>
      <c r="AJ148" s="320"/>
      <c r="AK148" s="322">
        <f t="shared" si="69"/>
        <v>141</v>
      </c>
      <c r="AL148" s="323">
        <f t="shared" si="82"/>
        <v>179</v>
      </c>
      <c r="AM148" s="322">
        <f t="shared" si="83"/>
        <v>8</v>
      </c>
      <c r="AN148" s="381">
        <f t="shared" si="70"/>
        <v>0.61</v>
      </c>
      <c r="AO148" s="322"/>
    </row>
    <row r="149" spans="2:41">
      <c r="B149" s="324" t="s">
        <v>1422</v>
      </c>
      <c r="C149" s="325" t="s">
        <v>1456</v>
      </c>
      <c r="D149" s="326" t="s">
        <v>1384</v>
      </c>
      <c r="E149" s="327">
        <f>+SUMIF('AUX-NIV2'!I:I,'AUX-NIV3'!B149,'AUX-NIV2'!Q:Q)</f>
        <v>0</v>
      </c>
      <c r="F149" s="327" t="e">
        <f t="shared" si="60"/>
        <v>#N/A</v>
      </c>
      <c r="G149" s="327" t="e">
        <f t="shared" si="61"/>
        <v>#N/A</v>
      </c>
      <c r="H149" s="328" t="str">
        <f t="shared" si="84"/>
        <v>A</v>
      </c>
      <c r="I149" s="325" t="s">
        <v>1746</v>
      </c>
      <c r="J149" s="425" t="str">
        <f>IF(B149&lt;&gt;"",+VLOOKUP(I149,Recursos!C:F,2,FALSE),"")</f>
        <v>OFICIAL</v>
      </c>
      <c r="K149" s="330" t="str">
        <f>IF(B149&lt;&gt;"",+VLOOKUP(I149,Recursos!C:F,3,FALSE),"")</f>
        <v>hh</v>
      </c>
      <c r="L149" s="327">
        <f>IF(B149&lt;&gt;"",+VLOOKUP(I149,Recursos!C:F,4,FALSE),"")</f>
        <v>496.91595439275824</v>
      </c>
      <c r="M149" s="416"/>
      <c r="N149" s="416"/>
      <c r="O149" s="332">
        <f>2*O150</f>
        <v>0.22222222222222221</v>
      </c>
      <c r="P149" s="333">
        <f t="shared" si="71"/>
        <v>110.42576764283515</v>
      </c>
      <c r="Q149" s="327">
        <f t="shared" si="72"/>
        <v>0</v>
      </c>
      <c r="R149" s="334">
        <f t="shared" si="73"/>
        <v>0</v>
      </c>
      <c r="S149" s="335" t="e">
        <f t="shared" si="62"/>
        <v>#N/A</v>
      </c>
      <c r="T149" s="335">
        <f t="shared" si="63"/>
        <v>122.09010208333332</v>
      </c>
      <c r="U149" s="336">
        <f t="shared" si="64"/>
        <v>237.77622197218253</v>
      </c>
      <c r="V149" s="336">
        <f t="shared" si="65"/>
        <v>0</v>
      </c>
      <c r="W149" s="336">
        <f t="shared" si="66"/>
        <v>0</v>
      </c>
      <c r="X149" s="336">
        <f t="shared" si="67"/>
        <v>0</v>
      </c>
      <c r="Y149" s="320"/>
      <c r="Z149" s="321" t="str">
        <f t="shared" si="74"/>
        <v>X-EXR02A</v>
      </c>
      <c r="AA149" s="321" t="str">
        <f t="shared" si="75"/>
        <v>X-EXR02E</v>
      </c>
      <c r="AB149" s="321" t="str">
        <f t="shared" si="76"/>
        <v>X-EXR02M</v>
      </c>
      <c r="AC149" s="321" t="str">
        <f t="shared" si="77"/>
        <v>X-EXR02T</v>
      </c>
      <c r="AD149" s="321" t="str">
        <f t="shared" si="78"/>
        <v>X-EXR02S</v>
      </c>
      <c r="AE149" s="321" t="str">
        <f t="shared" si="79"/>
        <v>X-EXR02X</v>
      </c>
      <c r="AF149" s="321" t="str">
        <f t="shared" si="80"/>
        <v>X-EXR02A</v>
      </c>
      <c r="AG149" s="321">
        <f t="shared" si="68"/>
        <v>39</v>
      </c>
      <c r="AH149" s="321"/>
      <c r="AI149" s="321" t="str">
        <f t="shared" si="81"/>
        <v>X-EXR02</v>
      </c>
      <c r="AJ149" s="320"/>
      <c r="AK149" s="322">
        <f t="shared" si="69"/>
        <v>141</v>
      </c>
      <c r="AL149" s="323">
        <f t="shared" si="82"/>
        <v>179</v>
      </c>
      <c r="AM149" s="322">
        <f t="shared" si="83"/>
        <v>9</v>
      </c>
      <c r="AN149" s="381">
        <f t="shared" si="70"/>
        <v>0.61</v>
      </c>
      <c r="AO149" s="322"/>
    </row>
    <row r="150" spans="2:41">
      <c r="B150" s="324" t="s">
        <v>1422</v>
      </c>
      <c r="C150" s="325" t="s">
        <v>1456</v>
      </c>
      <c r="D150" s="326" t="s">
        <v>1384</v>
      </c>
      <c r="E150" s="327">
        <f>+SUMIF('AUX-NIV2'!I:I,'AUX-NIV3'!B150,'AUX-NIV2'!Q:Q)</f>
        <v>0</v>
      </c>
      <c r="F150" s="327" t="e">
        <f t="shared" si="60"/>
        <v>#N/A</v>
      </c>
      <c r="G150" s="327" t="e">
        <f t="shared" si="61"/>
        <v>#N/A</v>
      </c>
      <c r="H150" s="328" t="str">
        <f t="shared" si="84"/>
        <v>A</v>
      </c>
      <c r="I150" s="325" t="s">
        <v>3314</v>
      </c>
      <c r="J150" s="425" t="e">
        <f>IF(B150&lt;&gt;"",+VLOOKUP(I150,Recursos!C:F,2,FALSE),"")</f>
        <v>#N/A</v>
      </c>
      <c r="K150" s="330" t="e">
        <f>IF(B150&lt;&gt;"",+VLOOKUP(I150,Recursos!C:F,3,FALSE),"")</f>
        <v>#N/A</v>
      </c>
      <c r="L150" s="327" t="e">
        <f>IF(B150&lt;&gt;"",+VLOOKUP(I150,Recursos!C:F,4,FALSE),"")</f>
        <v>#N/A</v>
      </c>
      <c r="M150" s="416"/>
      <c r="N150" s="416"/>
      <c r="O150" s="332">
        <f>+O143</f>
        <v>0.1111111111111111</v>
      </c>
      <c r="P150" s="333" t="e">
        <f t="shared" si="71"/>
        <v>#N/A</v>
      </c>
      <c r="Q150" s="327">
        <f t="shared" si="72"/>
        <v>0</v>
      </c>
      <c r="R150" s="334" t="e">
        <f t="shared" si="73"/>
        <v>#N/A</v>
      </c>
      <c r="S150" s="335" t="e">
        <f t="shared" si="62"/>
        <v>#N/A</v>
      </c>
      <c r="T150" s="335">
        <f t="shared" si="63"/>
        <v>122.09010208333332</v>
      </c>
      <c r="U150" s="336">
        <f t="shared" si="64"/>
        <v>237.77622197218253</v>
      </c>
      <c r="V150" s="336">
        <f t="shared" si="65"/>
        <v>0</v>
      </c>
      <c r="W150" s="336">
        <f t="shared" si="66"/>
        <v>0</v>
      </c>
      <c r="X150" s="336">
        <f t="shared" si="67"/>
        <v>0</v>
      </c>
      <c r="Y150" s="320"/>
      <c r="Z150" s="321" t="str">
        <f t="shared" si="74"/>
        <v>X-EXR02A</v>
      </c>
      <c r="AA150" s="321" t="str">
        <f t="shared" si="75"/>
        <v>X-EXR02E</v>
      </c>
      <c r="AB150" s="321" t="str">
        <f t="shared" si="76"/>
        <v>X-EXR02M</v>
      </c>
      <c r="AC150" s="321" t="str">
        <f t="shared" si="77"/>
        <v>X-EXR02T</v>
      </c>
      <c r="AD150" s="321" t="str">
        <f t="shared" si="78"/>
        <v>X-EXR02S</v>
      </c>
      <c r="AE150" s="321" t="str">
        <f t="shared" si="79"/>
        <v>X-EXR02X</v>
      </c>
      <c r="AF150" s="321" t="str">
        <f t="shared" si="80"/>
        <v>X-EXR02A</v>
      </c>
      <c r="AG150" s="321">
        <f t="shared" si="68"/>
        <v>39</v>
      </c>
      <c r="AH150" s="321"/>
      <c r="AI150" s="321" t="str">
        <f t="shared" si="81"/>
        <v>X-EXR02</v>
      </c>
      <c r="AJ150" s="320"/>
      <c r="AK150" s="322">
        <f t="shared" si="69"/>
        <v>141</v>
      </c>
      <c r="AL150" s="323">
        <f t="shared" si="82"/>
        <v>179</v>
      </c>
      <c r="AM150" s="322">
        <f t="shared" si="83"/>
        <v>10</v>
      </c>
      <c r="AN150" s="381">
        <f t="shared" si="70"/>
        <v>0.61</v>
      </c>
      <c r="AO150" s="322"/>
    </row>
    <row r="151" spans="2:41">
      <c r="B151" s="324" t="s">
        <v>1422</v>
      </c>
      <c r="C151" s="325" t="s">
        <v>1456</v>
      </c>
      <c r="D151" s="326" t="s">
        <v>1384</v>
      </c>
      <c r="E151" s="327">
        <f>+SUMIF('AUX-NIV2'!I:I,'AUX-NIV3'!B151,'AUX-NIV2'!Q:Q)</f>
        <v>0</v>
      </c>
      <c r="F151" s="327" t="e">
        <f t="shared" si="60"/>
        <v>#N/A</v>
      </c>
      <c r="G151" s="327" t="e">
        <f t="shared" si="61"/>
        <v>#N/A</v>
      </c>
      <c r="H151" s="328" t="str">
        <f t="shared" si="84"/>
        <v>A</v>
      </c>
      <c r="I151" s="325" t="s">
        <v>3315</v>
      </c>
      <c r="J151" s="421" t="e">
        <f>IF(B151&lt;&gt;"",+VLOOKUP(I151,Recursos!C:F,2,FALSE),"")</f>
        <v>#N/A</v>
      </c>
      <c r="K151" s="330" t="e">
        <f>IF(B151&lt;&gt;"",+VLOOKUP(I151,Recursos!C:F,3,FALSE),"")</f>
        <v>#N/A</v>
      </c>
      <c r="L151" s="327" t="e">
        <f>IF(B151&lt;&gt;"",+VLOOKUP(I151,Recursos!C:F,4,FALSE),"")</f>
        <v>#N/A</v>
      </c>
      <c r="M151" s="416"/>
      <c r="N151" s="416">
        <v>2</v>
      </c>
      <c r="O151" s="332">
        <f>+N151*O152</f>
        <v>0.1111111111111111</v>
      </c>
      <c r="P151" s="333" t="e">
        <f t="shared" si="71"/>
        <v>#N/A</v>
      </c>
      <c r="Q151" s="327">
        <f t="shared" si="72"/>
        <v>0</v>
      </c>
      <c r="R151" s="334" t="e">
        <f t="shared" si="73"/>
        <v>#N/A</v>
      </c>
      <c r="S151" s="335" t="e">
        <f t="shared" si="62"/>
        <v>#N/A</v>
      </c>
      <c r="T151" s="335">
        <f t="shared" si="63"/>
        <v>122.09010208333332</v>
      </c>
      <c r="U151" s="336">
        <f t="shared" si="64"/>
        <v>237.77622197218253</v>
      </c>
      <c r="V151" s="336">
        <f t="shared" si="65"/>
        <v>0</v>
      </c>
      <c r="W151" s="336">
        <f t="shared" si="66"/>
        <v>0</v>
      </c>
      <c r="X151" s="336">
        <f t="shared" si="67"/>
        <v>0</v>
      </c>
      <c r="Y151" s="320"/>
      <c r="Z151" s="321" t="str">
        <f t="shared" si="74"/>
        <v>X-EXR02A</v>
      </c>
      <c r="AA151" s="321" t="str">
        <f t="shared" si="75"/>
        <v>X-EXR02E</v>
      </c>
      <c r="AB151" s="321" t="str">
        <f t="shared" si="76"/>
        <v>X-EXR02M</v>
      </c>
      <c r="AC151" s="321" t="str">
        <f t="shared" si="77"/>
        <v>X-EXR02T</v>
      </c>
      <c r="AD151" s="321" t="str">
        <f t="shared" si="78"/>
        <v>X-EXR02S</v>
      </c>
      <c r="AE151" s="321" t="str">
        <f t="shared" si="79"/>
        <v>X-EXR02X</v>
      </c>
      <c r="AF151" s="321" t="str">
        <f t="shared" si="80"/>
        <v>X-EXR02A</v>
      </c>
      <c r="AG151" s="321">
        <f t="shared" si="68"/>
        <v>39</v>
      </c>
      <c r="AH151" s="321"/>
      <c r="AI151" s="321" t="str">
        <f t="shared" si="81"/>
        <v>X-EXR02</v>
      </c>
      <c r="AJ151" s="320"/>
      <c r="AK151" s="322">
        <f t="shared" si="69"/>
        <v>141</v>
      </c>
      <c r="AL151" s="323">
        <f t="shared" si="82"/>
        <v>179</v>
      </c>
      <c r="AM151" s="322">
        <f t="shared" si="83"/>
        <v>11</v>
      </c>
      <c r="AN151" s="381">
        <f t="shared" si="70"/>
        <v>0.61</v>
      </c>
      <c r="AO151" s="322"/>
    </row>
    <row r="152" spans="2:41">
      <c r="B152" s="324" t="s">
        <v>1422</v>
      </c>
      <c r="C152" s="325" t="s">
        <v>1456</v>
      </c>
      <c r="D152" s="326" t="s">
        <v>1384</v>
      </c>
      <c r="E152" s="327">
        <f>+SUMIF('AUX-NIV2'!I:I,'AUX-NIV3'!B152,'AUX-NIV2'!Q:Q)</f>
        <v>0</v>
      </c>
      <c r="F152" s="327" t="e">
        <f t="shared" si="60"/>
        <v>#N/A</v>
      </c>
      <c r="G152" s="327" t="e">
        <f t="shared" si="61"/>
        <v>#N/A</v>
      </c>
      <c r="H152" s="328" t="str">
        <f t="shared" si="84"/>
        <v>A</v>
      </c>
      <c r="I152" s="325" t="s">
        <v>1746</v>
      </c>
      <c r="J152" s="421" t="str">
        <f>IF(B152&lt;&gt;"",+VLOOKUP(I152,Recursos!C:F,2,FALSE),"")</f>
        <v>OFICIAL</v>
      </c>
      <c r="K152" s="330" t="str">
        <f>IF(B152&lt;&gt;"",+VLOOKUP(I152,Recursos!C:F,3,FALSE),"")</f>
        <v>hh</v>
      </c>
      <c r="L152" s="327">
        <f>IF(B152&lt;&gt;"",+VLOOKUP(I152,Recursos!C:F,4,FALSE),"")</f>
        <v>496.91595439275824</v>
      </c>
      <c r="M152" s="416"/>
      <c r="N152" s="416">
        <v>18</v>
      </c>
      <c r="O152" s="332">
        <f>1/N152</f>
        <v>5.5555555555555552E-2</v>
      </c>
      <c r="P152" s="333">
        <f t="shared" si="71"/>
        <v>27.606441910708789</v>
      </c>
      <c r="Q152" s="327">
        <f t="shared" si="72"/>
        <v>0</v>
      </c>
      <c r="R152" s="334">
        <f t="shared" si="73"/>
        <v>0</v>
      </c>
      <c r="S152" s="335" t="e">
        <f t="shared" si="62"/>
        <v>#N/A</v>
      </c>
      <c r="T152" s="335">
        <f t="shared" si="63"/>
        <v>122.09010208333332</v>
      </c>
      <c r="U152" s="336">
        <f t="shared" si="64"/>
        <v>237.77622197218253</v>
      </c>
      <c r="V152" s="336">
        <f t="shared" si="65"/>
        <v>0</v>
      </c>
      <c r="W152" s="336">
        <f t="shared" si="66"/>
        <v>0</v>
      </c>
      <c r="X152" s="336">
        <f t="shared" si="67"/>
        <v>0</v>
      </c>
      <c r="Y152" s="320"/>
      <c r="Z152" s="321" t="str">
        <f t="shared" si="74"/>
        <v>X-EXR02A</v>
      </c>
      <c r="AA152" s="321" t="str">
        <f t="shared" si="75"/>
        <v>X-EXR02E</v>
      </c>
      <c r="AB152" s="321" t="str">
        <f t="shared" si="76"/>
        <v>X-EXR02M</v>
      </c>
      <c r="AC152" s="321" t="str">
        <f t="shared" si="77"/>
        <v>X-EXR02T</v>
      </c>
      <c r="AD152" s="321" t="str">
        <f t="shared" si="78"/>
        <v>X-EXR02S</v>
      </c>
      <c r="AE152" s="321" t="str">
        <f t="shared" si="79"/>
        <v>X-EXR02X</v>
      </c>
      <c r="AF152" s="321" t="str">
        <f t="shared" si="80"/>
        <v>X-EXR02A</v>
      </c>
      <c r="AG152" s="321">
        <f t="shared" si="68"/>
        <v>39</v>
      </c>
      <c r="AH152" s="321"/>
      <c r="AI152" s="321" t="str">
        <f t="shared" si="81"/>
        <v>X-EXR02</v>
      </c>
      <c r="AJ152" s="320"/>
      <c r="AK152" s="322">
        <f t="shared" si="69"/>
        <v>141</v>
      </c>
      <c r="AL152" s="323">
        <f t="shared" si="82"/>
        <v>179</v>
      </c>
      <c r="AM152" s="322">
        <f t="shared" si="83"/>
        <v>12</v>
      </c>
      <c r="AN152" s="381">
        <f t="shared" si="70"/>
        <v>0.61</v>
      </c>
      <c r="AO152" s="322"/>
    </row>
    <row r="153" spans="2:41">
      <c r="B153" s="324" t="s">
        <v>1422</v>
      </c>
      <c r="C153" s="325" t="s">
        <v>1456</v>
      </c>
      <c r="D153" s="326" t="s">
        <v>1384</v>
      </c>
      <c r="E153" s="327">
        <f>+SUMIF('AUX-NIV2'!I:I,'AUX-NIV3'!B153,'AUX-NIV2'!Q:Q)</f>
        <v>0</v>
      </c>
      <c r="F153" s="327" t="e">
        <f t="shared" si="60"/>
        <v>#N/A</v>
      </c>
      <c r="G153" s="327" t="e">
        <f t="shared" si="61"/>
        <v>#N/A</v>
      </c>
      <c r="H153" s="328" t="str">
        <f t="shared" si="84"/>
        <v>M</v>
      </c>
      <c r="I153" s="325" t="s">
        <v>621</v>
      </c>
      <c r="J153" s="421" t="str">
        <f>IF(B153&lt;&gt;"",+VLOOKUP(I153,Recursos!C:F,2,FALSE),"")</f>
        <v>MATERIALES VARIOS</v>
      </c>
      <c r="K153" s="330" t="str">
        <f>IF(B153&lt;&gt;"",+VLOOKUP(I153,Recursos!C:F,3,FALSE),"")</f>
        <v>GL</v>
      </c>
      <c r="L153" s="327">
        <f>IF(B153&lt;&gt;"",+VLOOKUP(I153,Recursos!C:F,4,FALSE),"")</f>
        <v>0.5</v>
      </c>
      <c r="M153" s="416"/>
      <c r="N153" s="416">
        <v>1</v>
      </c>
      <c r="O153" s="332">
        <f>+N153*O152</f>
        <v>5.5555555555555552E-2</v>
      </c>
      <c r="P153" s="333">
        <f t="shared" si="71"/>
        <v>2.7777777777777776E-2</v>
      </c>
      <c r="Q153" s="327">
        <f t="shared" si="72"/>
        <v>0</v>
      </c>
      <c r="R153" s="334">
        <f t="shared" si="73"/>
        <v>0</v>
      </c>
      <c r="S153" s="335" t="e">
        <f t="shared" si="62"/>
        <v>#N/A</v>
      </c>
      <c r="T153" s="335">
        <f t="shared" si="63"/>
        <v>122.09010208333332</v>
      </c>
      <c r="U153" s="336">
        <f t="shared" si="64"/>
        <v>237.77622197218253</v>
      </c>
      <c r="V153" s="336">
        <f t="shared" si="65"/>
        <v>0</v>
      </c>
      <c r="W153" s="336">
        <f t="shared" si="66"/>
        <v>0</v>
      </c>
      <c r="X153" s="336">
        <f t="shared" si="67"/>
        <v>0</v>
      </c>
      <c r="Y153" s="320"/>
      <c r="Z153" s="321" t="str">
        <f t="shared" si="74"/>
        <v>X-EXR02A</v>
      </c>
      <c r="AA153" s="321" t="str">
        <f t="shared" si="75"/>
        <v>X-EXR02E</v>
      </c>
      <c r="AB153" s="321" t="str">
        <f t="shared" si="76"/>
        <v>X-EXR02M</v>
      </c>
      <c r="AC153" s="321" t="str">
        <f t="shared" si="77"/>
        <v>X-EXR02T</v>
      </c>
      <c r="AD153" s="321" t="str">
        <f t="shared" si="78"/>
        <v>X-EXR02S</v>
      </c>
      <c r="AE153" s="321" t="str">
        <f t="shared" si="79"/>
        <v>X-EXR02X</v>
      </c>
      <c r="AF153" s="321" t="str">
        <f t="shared" si="80"/>
        <v>X-EXR02M</v>
      </c>
      <c r="AG153" s="321">
        <f t="shared" si="68"/>
        <v>39</v>
      </c>
      <c r="AH153" s="321"/>
      <c r="AI153" s="321" t="str">
        <f t="shared" si="81"/>
        <v>X-EXR02</v>
      </c>
      <c r="AJ153" s="320"/>
      <c r="AK153" s="322">
        <f t="shared" si="69"/>
        <v>141</v>
      </c>
      <c r="AL153" s="323">
        <f t="shared" si="82"/>
        <v>179</v>
      </c>
      <c r="AM153" s="322">
        <f t="shared" si="83"/>
        <v>13</v>
      </c>
      <c r="AN153" s="381">
        <f t="shared" si="70"/>
        <v>0.61</v>
      </c>
      <c r="AO153" s="322"/>
    </row>
    <row r="154" spans="2:41">
      <c r="B154" s="324" t="s">
        <v>1422</v>
      </c>
      <c r="C154" s="325" t="s">
        <v>1456</v>
      </c>
      <c r="D154" s="326" t="s">
        <v>1384</v>
      </c>
      <c r="E154" s="327">
        <f>+SUMIF('AUX-NIV2'!I:I,'AUX-NIV3'!B154,'AUX-NIV2'!Q:Q)</f>
        <v>0</v>
      </c>
      <c r="F154" s="327" t="e">
        <f t="shared" si="60"/>
        <v>#N/A</v>
      </c>
      <c r="G154" s="327" t="e">
        <f t="shared" si="61"/>
        <v>#N/A</v>
      </c>
      <c r="H154" s="328" t="str">
        <f t="shared" ref="H154:H176" si="85">IF(B154&lt;&gt;"",+LEFT(I154,1),"")</f>
        <v>M</v>
      </c>
      <c r="I154" s="325" t="s">
        <v>1426</v>
      </c>
      <c r="J154" s="419" t="str">
        <f>IF(B154&lt;&gt;"",+VLOOKUP(I154,Recursos!C:F,2,FALSE),"")</f>
        <v>BROCA BOTON D=75 mm = 3"-T38</v>
      </c>
      <c r="K154" s="330" t="str">
        <f>IF(B154&lt;&gt;"",+VLOOKUP(I154,Recursos!C:F,3,FALSE),"")</f>
        <v>Un</v>
      </c>
      <c r="L154" s="327">
        <f>IF(B154&lt;&gt;"",+VLOOKUP(I154,Recursos!C:F,4,FALSE),"")</f>
        <v>2811.1750000000002</v>
      </c>
      <c r="M154" s="428">
        <v>0.7</v>
      </c>
      <c r="N154" s="416">
        <v>300</v>
      </c>
      <c r="O154" s="332">
        <f>1/N154*M154</f>
        <v>2.3333333333333335E-3</v>
      </c>
      <c r="P154" s="333">
        <f t="shared" si="71"/>
        <v>6.5594083333333346</v>
      </c>
      <c r="Q154" s="327">
        <f t="shared" si="72"/>
        <v>0</v>
      </c>
      <c r="R154" s="334">
        <f t="shared" si="73"/>
        <v>0</v>
      </c>
      <c r="S154" s="335" t="e">
        <f t="shared" si="62"/>
        <v>#N/A</v>
      </c>
      <c r="T154" s="335">
        <f t="shared" si="63"/>
        <v>122.09010208333332</v>
      </c>
      <c r="U154" s="336">
        <f t="shared" si="64"/>
        <v>237.77622197218253</v>
      </c>
      <c r="V154" s="336">
        <f t="shared" si="65"/>
        <v>0</v>
      </c>
      <c r="W154" s="336">
        <f t="shared" si="66"/>
        <v>0</v>
      </c>
      <c r="X154" s="336">
        <f t="shared" si="67"/>
        <v>0</v>
      </c>
      <c r="Y154" s="320"/>
      <c r="Z154" s="321" t="str">
        <f t="shared" si="74"/>
        <v>X-EXR02A</v>
      </c>
      <c r="AA154" s="321" t="str">
        <f t="shared" si="75"/>
        <v>X-EXR02E</v>
      </c>
      <c r="AB154" s="321" t="str">
        <f t="shared" si="76"/>
        <v>X-EXR02M</v>
      </c>
      <c r="AC154" s="321" t="str">
        <f t="shared" si="77"/>
        <v>X-EXR02T</v>
      </c>
      <c r="AD154" s="321" t="str">
        <f t="shared" si="78"/>
        <v>X-EXR02S</v>
      </c>
      <c r="AE154" s="321" t="str">
        <f t="shared" si="79"/>
        <v>X-EXR02X</v>
      </c>
      <c r="AF154" s="321" t="str">
        <f t="shared" si="80"/>
        <v>X-EXR02M</v>
      </c>
      <c r="AG154" s="321">
        <f t="shared" si="68"/>
        <v>39</v>
      </c>
      <c r="AH154" s="321"/>
      <c r="AI154" s="321" t="str">
        <f t="shared" si="81"/>
        <v>X-EXR02</v>
      </c>
      <c r="AJ154" s="320"/>
      <c r="AK154" s="322">
        <f t="shared" si="69"/>
        <v>141</v>
      </c>
      <c r="AL154" s="323">
        <f t="shared" si="82"/>
        <v>179</v>
      </c>
      <c r="AM154" s="322">
        <f t="shared" si="83"/>
        <v>14</v>
      </c>
      <c r="AN154" s="381">
        <f t="shared" si="70"/>
        <v>0.61</v>
      </c>
      <c r="AO154" s="322"/>
    </row>
    <row r="155" spans="2:41">
      <c r="B155" s="324" t="s">
        <v>1422</v>
      </c>
      <c r="C155" s="325" t="s">
        <v>1456</v>
      </c>
      <c r="D155" s="326" t="s">
        <v>1384</v>
      </c>
      <c r="E155" s="327">
        <f>+SUMIF('AUX-NIV2'!I:I,'AUX-NIV3'!B155,'AUX-NIV2'!Q:Q)</f>
        <v>0</v>
      </c>
      <c r="F155" s="327" t="e">
        <f t="shared" si="60"/>
        <v>#N/A</v>
      </c>
      <c r="G155" s="327" t="e">
        <f t="shared" si="61"/>
        <v>#N/A</v>
      </c>
      <c r="H155" s="328" t="str">
        <f t="shared" si="85"/>
        <v>M</v>
      </c>
      <c r="I155" s="325" t="s">
        <v>1427</v>
      </c>
      <c r="J155" s="419" t="str">
        <f>IF(B155&lt;&gt;"",+VLOOKUP(I155,Recursos!C:F,2,FALSE),"")</f>
        <v>BARRA EXTENS.10 pies T38-T38</v>
      </c>
      <c r="K155" s="330" t="str">
        <f>IF(B155&lt;&gt;"",+VLOOKUP(I155,Recursos!C:F,3,FALSE),"")</f>
        <v>Un</v>
      </c>
      <c r="L155" s="327">
        <f>IF(B155&lt;&gt;"",+VLOOKUP(I155,Recursos!C:F,4,FALSE),"")</f>
        <v>27539.625</v>
      </c>
      <c r="M155" s="416"/>
      <c r="N155" s="416">
        <v>1250</v>
      </c>
      <c r="O155" s="332">
        <f>1/N155*M154</f>
        <v>5.5999999999999995E-4</v>
      </c>
      <c r="P155" s="333">
        <f t="shared" si="71"/>
        <v>15.422189999999999</v>
      </c>
      <c r="Q155" s="327">
        <f t="shared" si="72"/>
        <v>0</v>
      </c>
      <c r="R155" s="334">
        <f t="shared" si="73"/>
        <v>0</v>
      </c>
      <c r="S155" s="335" t="e">
        <f t="shared" si="62"/>
        <v>#N/A</v>
      </c>
      <c r="T155" s="335">
        <f t="shared" si="63"/>
        <v>122.09010208333332</v>
      </c>
      <c r="U155" s="336">
        <f t="shared" si="64"/>
        <v>237.77622197218253</v>
      </c>
      <c r="V155" s="336">
        <f t="shared" si="65"/>
        <v>0</v>
      </c>
      <c r="W155" s="336">
        <f t="shared" si="66"/>
        <v>0</v>
      </c>
      <c r="X155" s="336">
        <f t="shared" si="67"/>
        <v>0</v>
      </c>
      <c r="Y155" s="320"/>
      <c r="Z155" s="321" t="str">
        <f t="shared" si="74"/>
        <v>X-EXR02A</v>
      </c>
      <c r="AA155" s="321" t="str">
        <f t="shared" si="75"/>
        <v>X-EXR02E</v>
      </c>
      <c r="AB155" s="321" t="str">
        <f t="shared" si="76"/>
        <v>X-EXR02M</v>
      </c>
      <c r="AC155" s="321" t="str">
        <f t="shared" si="77"/>
        <v>X-EXR02T</v>
      </c>
      <c r="AD155" s="321" t="str">
        <f t="shared" si="78"/>
        <v>X-EXR02S</v>
      </c>
      <c r="AE155" s="321" t="str">
        <f t="shared" si="79"/>
        <v>X-EXR02X</v>
      </c>
      <c r="AF155" s="321" t="str">
        <f t="shared" si="80"/>
        <v>X-EXR02M</v>
      </c>
      <c r="AG155" s="321">
        <f t="shared" si="68"/>
        <v>39</v>
      </c>
      <c r="AH155" s="321"/>
      <c r="AI155" s="321" t="str">
        <f t="shared" si="81"/>
        <v>X-EXR02</v>
      </c>
      <c r="AJ155" s="320"/>
      <c r="AK155" s="322">
        <f t="shared" si="69"/>
        <v>141</v>
      </c>
      <c r="AL155" s="323">
        <f t="shared" si="82"/>
        <v>179</v>
      </c>
      <c r="AM155" s="322">
        <f t="shared" si="83"/>
        <v>15</v>
      </c>
      <c r="AN155" s="381">
        <f t="shared" si="70"/>
        <v>0.61</v>
      </c>
      <c r="AO155" s="322"/>
    </row>
    <row r="156" spans="2:41">
      <c r="B156" s="324" t="s">
        <v>1422</v>
      </c>
      <c r="C156" s="325" t="s">
        <v>1456</v>
      </c>
      <c r="D156" s="326" t="s">
        <v>1384</v>
      </c>
      <c r="E156" s="327">
        <f>+SUMIF('AUX-NIV2'!I:I,'AUX-NIV3'!B156,'AUX-NIV2'!Q:Q)</f>
        <v>0</v>
      </c>
      <c r="F156" s="327" t="e">
        <f t="shared" si="60"/>
        <v>#N/A</v>
      </c>
      <c r="G156" s="327" t="e">
        <f t="shared" si="61"/>
        <v>#N/A</v>
      </c>
      <c r="H156" s="328" t="str">
        <f t="shared" si="85"/>
        <v>M</v>
      </c>
      <c r="I156" s="325" t="s">
        <v>1428</v>
      </c>
      <c r="J156" s="419" t="str">
        <f>IF(B156&lt;&gt;"",+VLOOKUP(I156,Recursos!C:F,2,FALSE),"")</f>
        <v>MANGUITO DE ACOPLE T38-T38</v>
      </c>
      <c r="K156" s="330" t="str">
        <f>IF(B156&lt;&gt;"",+VLOOKUP(I156,Recursos!C:F,3,FALSE),"")</f>
        <v>Un</v>
      </c>
      <c r="L156" s="327">
        <f>IF(B156&lt;&gt;"",+VLOOKUP(I156,Recursos!C:F,4,FALSE),"")</f>
        <v>5184.7749999999996</v>
      </c>
      <c r="M156" s="416">
        <v>1.5</v>
      </c>
      <c r="N156" s="416"/>
      <c r="O156" s="332">
        <f>+O155*M156*M154</f>
        <v>5.8799999999999987E-4</v>
      </c>
      <c r="P156" s="333">
        <f t="shared" si="71"/>
        <v>3.0486476999999992</v>
      </c>
      <c r="Q156" s="327">
        <f t="shared" si="72"/>
        <v>0</v>
      </c>
      <c r="R156" s="334">
        <f t="shared" si="73"/>
        <v>0</v>
      </c>
      <c r="S156" s="335" t="e">
        <f t="shared" si="62"/>
        <v>#N/A</v>
      </c>
      <c r="T156" s="335">
        <f t="shared" si="63"/>
        <v>122.09010208333332</v>
      </c>
      <c r="U156" s="336">
        <f t="shared" si="64"/>
        <v>237.77622197218253</v>
      </c>
      <c r="V156" s="336">
        <f t="shared" si="65"/>
        <v>0</v>
      </c>
      <c r="W156" s="336">
        <f t="shared" si="66"/>
        <v>0</v>
      </c>
      <c r="X156" s="336">
        <f t="shared" si="67"/>
        <v>0</v>
      </c>
      <c r="Y156" s="320"/>
      <c r="Z156" s="321" t="str">
        <f t="shared" si="74"/>
        <v>X-EXR02A</v>
      </c>
      <c r="AA156" s="321" t="str">
        <f t="shared" si="75"/>
        <v>X-EXR02E</v>
      </c>
      <c r="AB156" s="321" t="str">
        <f t="shared" si="76"/>
        <v>X-EXR02M</v>
      </c>
      <c r="AC156" s="321" t="str">
        <f t="shared" si="77"/>
        <v>X-EXR02T</v>
      </c>
      <c r="AD156" s="321" t="str">
        <f t="shared" si="78"/>
        <v>X-EXR02S</v>
      </c>
      <c r="AE156" s="321" t="str">
        <f t="shared" si="79"/>
        <v>X-EXR02X</v>
      </c>
      <c r="AF156" s="321" t="str">
        <f t="shared" si="80"/>
        <v>X-EXR02M</v>
      </c>
      <c r="AG156" s="321">
        <f t="shared" si="68"/>
        <v>39</v>
      </c>
      <c r="AH156" s="321"/>
      <c r="AI156" s="321" t="str">
        <f t="shared" si="81"/>
        <v>X-EXR02</v>
      </c>
      <c r="AJ156" s="320"/>
      <c r="AK156" s="322">
        <f t="shared" si="69"/>
        <v>141</v>
      </c>
      <c r="AL156" s="323">
        <f t="shared" si="82"/>
        <v>179</v>
      </c>
      <c r="AM156" s="322">
        <f t="shared" si="83"/>
        <v>16</v>
      </c>
      <c r="AN156" s="381">
        <f t="shared" si="70"/>
        <v>0.61</v>
      </c>
      <c r="AO156" s="322"/>
    </row>
    <row r="157" spans="2:41">
      <c r="B157" s="324" t="s">
        <v>1422</v>
      </c>
      <c r="C157" s="325" t="s">
        <v>1456</v>
      </c>
      <c r="D157" s="326" t="s">
        <v>1384</v>
      </c>
      <c r="E157" s="327">
        <f>+SUMIF('AUX-NIV2'!I:I,'AUX-NIV3'!B157,'AUX-NIV2'!Q:Q)</f>
        <v>0</v>
      </c>
      <c r="F157" s="327" t="e">
        <f t="shared" si="60"/>
        <v>#N/A</v>
      </c>
      <c r="G157" s="327" t="e">
        <f t="shared" si="61"/>
        <v>#N/A</v>
      </c>
      <c r="H157" s="328" t="str">
        <f t="shared" si="85"/>
        <v>M</v>
      </c>
      <c r="I157" s="325" t="s">
        <v>1429</v>
      </c>
      <c r="J157" s="419" t="str">
        <f>IF(B157&lt;&gt;"",+VLOOKUP(I157,Recursos!C:F,2,FALSE),"")</f>
        <v>ADAPTADOR CULATA T.DRILL HIDR.-T38</v>
      </c>
      <c r="K157" s="330" t="str">
        <f>IF(B157&lt;&gt;"",+VLOOKUP(I157,Recursos!C:F,3,FALSE),"")</f>
        <v>Un</v>
      </c>
      <c r="L157" s="327">
        <f>IF(B157&lt;&gt;"",+VLOOKUP(I157,Recursos!C:F,4,FALSE),"")</f>
        <v>14950</v>
      </c>
      <c r="M157" s="416">
        <v>4</v>
      </c>
      <c r="N157" s="416"/>
      <c r="O157" s="332">
        <f>+O156*M154*M157</f>
        <v>1.6463999999999995E-3</v>
      </c>
      <c r="P157" s="333">
        <f t="shared" si="71"/>
        <v>24.613679999999992</v>
      </c>
      <c r="Q157" s="327">
        <f t="shared" si="72"/>
        <v>0</v>
      </c>
      <c r="R157" s="334">
        <f t="shared" si="73"/>
        <v>0</v>
      </c>
      <c r="S157" s="335" t="e">
        <f t="shared" si="62"/>
        <v>#N/A</v>
      </c>
      <c r="T157" s="335">
        <f t="shared" si="63"/>
        <v>122.09010208333332</v>
      </c>
      <c r="U157" s="336">
        <f t="shared" si="64"/>
        <v>237.77622197218253</v>
      </c>
      <c r="V157" s="336">
        <f t="shared" si="65"/>
        <v>0</v>
      </c>
      <c r="W157" s="336">
        <f t="shared" si="66"/>
        <v>0</v>
      </c>
      <c r="X157" s="336">
        <f t="shared" si="67"/>
        <v>0</v>
      </c>
      <c r="Y157" s="320"/>
      <c r="Z157" s="321" t="str">
        <f t="shared" si="74"/>
        <v>X-EXR02A</v>
      </c>
      <c r="AA157" s="321" t="str">
        <f t="shared" si="75"/>
        <v>X-EXR02E</v>
      </c>
      <c r="AB157" s="321" t="str">
        <f t="shared" si="76"/>
        <v>X-EXR02M</v>
      </c>
      <c r="AC157" s="321" t="str">
        <f t="shared" si="77"/>
        <v>X-EXR02T</v>
      </c>
      <c r="AD157" s="321" t="str">
        <f t="shared" si="78"/>
        <v>X-EXR02S</v>
      </c>
      <c r="AE157" s="321" t="str">
        <f t="shared" si="79"/>
        <v>X-EXR02X</v>
      </c>
      <c r="AF157" s="321" t="str">
        <f t="shared" si="80"/>
        <v>X-EXR02M</v>
      </c>
      <c r="AG157" s="321">
        <f t="shared" si="68"/>
        <v>39</v>
      </c>
      <c r="AH157" s="321"/>
      <c r="AI157" s="321" t="str">
        <f t="shared" si="81"/>
        <v>X-EXR02</v>
      </c>
      <c r="AJ157" s="320"/>
      <c r="AK157" s="322">
        <f t="shared" si="69"/>
        <v>141</v>
      </c>
      <c r="AL157" s="323">
        <f t="shared" si="82"/>
        <v>179</v>
      </c>
      <c r="AM157" s="322">
        <f t="shared" si="83"/>
        <v>17</v>
      </c>
      <c r="AN157" s="381">
        <f t="shared" si="70"/>
        <v>0.61</v>
      </c>
      <c r="AO157" s="322"/>
    </row>
    <row r="158" spans="2:41">
      <c r="B158" s="324" t="s">
        <v>1422</v>
      </c>
      <c r="C158" s="325" t="s">
        <v>1456</v>
      </c>
      <c r="D158" s="326" t="s">
        <v>1384</v>
      </c>
      <c r="E158" s="327">
        <f>+SUMIF('AUX-NIV2'!I:I,'AUX-NIV3'!B158,'AUX-NIV2'!Q:Q)</f>
        <v>0</v>
      </c>
      <c r="F158" s="327" t="e">
        <f t="shared" si="60"/>
        <v>#N/A</v>
      </c>
      <c r="G158" s="327" t="e">
        <f t="shared" si="61"/>
        <v>#N/A</v>
      </c>
      <c r="H158" s="328" t="str">
        <f t="shared" si="85"/>
        <v>M</v>
      </c>
      <c r="I158" s="325" t="s">
        <v>1430</v>
      </c>
      <c r="J158" s="419" t="str">
        <f>IF(B158&lt;&gt;"",+VLOOKUP(I158,Recursos!C:F,2,FALSE),"")</f>
        <v>BARRENO INTEGRAL S.12 x 800 mm</v>
      </c>
      <c r="K158" s="330" t="str">
        <f>IF(B158&lt;&gt;"",+VLOOKUP(I158,Recursos!C:F,3,FALSE),"")</f>
        <v>Un</v>
      </c>
      <c r="L158" s="327">
        <f>IF(B158&lt;&gt;"",+VLOOKUP(I158,Recursos!C:F,4,FALSE),"")</f>
        <v>15480.000000000002</v>
      </c>
      <c r="M158" s="416"/>
      <c r="N158" s="416">
        <v>350</v>
      </c>
      <c r="O158" s="332">
        <f>1/N158*M159</f>
        <v>8.5714285714285732E-4</v>
      </c>
      <c r="P158" s="333">
        <f t="shared" si="71"/>
        <v>13.268571428571432</v>
      </c>
      <c r="Q158" s="327">
        <f t="shared" si="72"/>
        <v>0</v>
      </c>
      <c r="R158" s="334">
        <f t="shared" si="73"/>
        <v>0</v>
      </c>
      <c r="S158" s="335" t="e">
        <f t="shared" si="62"/>
        <v>#N/A</v>
      </c>
      <c r="T158" s="335">
        <f t="shared" si="63"/>
        <v>122.09010208333332</v>
      </c>
      <c r="U158" s="336">
        <f t="shared" si="64"/>
        <v>237.77622197218253</v>
      </c>
      <c r="V158" s="336">
        <f t="shared" si="65"/>
        <v>0</v>
      </c>
      <c r="W158" s="336">
        <f t="shared" si="66"/>
        <v>0</v>
      </c>
      <c r="X158" s="336">
        <f t="shared" si="67"/>
        <v>0</v>
      </c>
      <c r="Y158" s="320"/>
      <c r="Z158" s="321" t="str">
        <f t="shared" si="74"/>
        <v>X-EXR02A</v>
      </c>
      <c r="AA158" s="321" t="str">
        <f t="shared" si="75"/>
        <v>X-EXR02E</v>
      </c>
      <c r="AB158" s="321" t="str">
        <f t="shared" si="76"/>
        <v>X-EXR02M</v>
      </c>
      <c r="AC158" s="321" t="str">
        <f t="shared" si="77"/>
        <v>X-EXR02T</v>
      </c>
      <c r="AD158" s="321" t="str">
        <f t="shared" si="78"/>
        <v>X-EXR02S</v>
      </c>
      <c r="AE158" s="321" t="str">
        <f t="shared" si="79"/>
        <v>X-EXR02X</v>
      </c>
      <c r="AF158" s="321" t="str">
        <f t="shared" si="80"/>
        <v>X-EXR02M</v>
      </c>
      <c r="AG158" s="321">
        <f t="shared" si="68"/>
        <v>39</v>
      </c>
      <c r="AH158" s="321"/>
      <c r="AI158" s="321" t="str">
        <f t="shared" si="81"/>
        <v>X-EXR02</v>
      </c>
      <c r="AJ158" s="320"/>
      <c r="AK158" s="322">
        <f t="shared" si="69"/>
        <v>141</v>
      </c>
      <c r="AL158" s="323">
        <f t="shared" si="82"/>
        <v>179</v>
      </c>
      <c r="AM158" s="322">
        <f t="shared" si="83"/>
        <v>18</v>
      </c>
      <c r="AN158" s="381">
        <f t="shared" si="70"/>
        <v>0.61</v>
      </c>
      <c r="AO158" s="322"/>
    </row>
    <row r="159" spans="2:41">
      <c r="B159" s="324" t="s">
        <v>1422</v>
      </c>
      <c r="C159" s="325" t="s">
        <v>1456</v>
      </c>
      <c r="D159" s="326" t="s">
        <v>1384</v>
      </c>
      <c r="E159" s="327">
        <f>+SUMIF('AUX-NIV2'!I:I,'AUX-NIV3'!B159,'AUX-NIV2'!Q:Q)</f>
        <v>0</v>
      </c>
      <c r="F159" s="327" t="e">
        <f t="shared" si="60"/>
        <v>#N/A</v>
      </c>
      <c r="G159" s="327" t="e">
        <f t="shared" si="61"/>
        <v>#N/A</v>
      </c>
      <c r="H159" s="328" t="str">
        <f t="shared" si="85"/>
        <v>M</v>
      </c>
      <c r="I159" s="325" t="s">
        <v>1431</v>
      </c>
      <c r="J159" s="426" t="str">
        <f>IF(B159&lt;&gt;"",+VLOOKUP(I159,Recursos!C:F,2,FALSE),"")</f>
        <v>BARRENO INTEGRAL S.12 x 1600 mm</v>
      </c>
      <c r="K159" s="330" t="str">
        <f>IF(B159&lt;&gt;"",+VLOOKUP(I159,Recursos!C:F,3,FALSE),"")</f>
        <v>Un</v>
      </c>
      <c r="L159" s="327">
        <f>IF(B159&lt;&gt;"",+VLOOKUP(I159,Recursos!C:F,4,FALSE),"")</f>
        <v>17810</v>
      </c>
      <c r="M159" s="416">
        <f>1-M154</f>
        <v>0.30000000000000004</v>
      </c>
      <c r="N159" s="416">
        <v>500</v>
      </c>
      <c r="O159" s="332">
        <f>1/N159*M159</f>
        <v>6.0000000000000006E-4</v>
      </c>
      <c r="P159" s="333">
        <f t="shared" si="71"/>
        <v>10.686000000000002</v>
      </c>
      <c r="Q159" s="327">
        <f t="shared" si="72"/>
        <v>0</v>
      </c>
      <c r="R159" s="334">
        <f t="shared" si="73"/>
        <v>0</v>
      </c>
      <c r="S159" s="335" t="e">
        <f t="shared" si="62"/>
        <v>#N/A</v>
      </c>
      <c r="T159" s="335">
        <f t="shared" si="63"/>
        <v>122.09010208333332</v>
      </c>
      <c r="U159" s="336">
        <f t="shared" si="64"/>
        <v>237.77622197218253</v>
      </c>
      <c r="V159" s="336">
        <f t="shared" si="65"/>
        <v>0</v>
      </c>
      <c r="W159" s="336">
        <f t="shared" si="66"/>
        <v>0</v>
      </c>
      <c r="X159" s="336">
        <f t="shared" si="67"/>
        <v>0</v>
      </c>
      <c r="Y159" s="320"/>
      <c r="Z159" s="321" t="str">
        <f t="shared" si="74"/>
        <v>X-EXR02A</v>
      </c>
      <c r="AA159" s="321" t="str">
        <f t="shared" si="75"/>
        <v>X-EXR02E</v>
      </c>
      <c r="AB159" s="321" t="str">
        <f t="shared" si="76"/>
        <v>X-EXR02M</v>
      </c>
      <c r="AC159" s="321" t="str">
        <f t="shared" si="77"/>
        <v>X-EXR02T</v>
      </c>
      <c r="AD159" s="321" t="str">
        <f t="shared" si="78"/>
        <v>X-EXR02S</v>
      </c>
      <c r="AE159" s="321" t="str">
        <f t="shared" si="79"/>
        <v>X-EXR02X</v>
      </c>
      <c r="AF159" s="321" t="str">
        <f t="shared" si="80"/>
        <v>X-EXR02M</v>
      </c>
      <c r="AG159" s="321">
        <f t="shared" si="68"/>
        <v>39</v>
      </c>
      <c r="AH159" s="321"/>
      <c r="AI159" s="321" t="str">
        <f t="shared" si="81"/>
        <v>X-EXR02</v>
      </c>
      <c r="AJ159" s="320"/>
      <c r="AK159" s="322">
        <f t="shared" si="69"/>
        <v>141</v>
      </c>
      <c r="AL159" s="323">
        <f t="shared" si="82"/>
        <v>179</v>
      </c>
      <c r="AM159" s="322">
        <f t="shared" si="83"/>
        <v>19</v>
      </c>
      <c r="AN159" s="381">
        <f t="shared" si="70"/>
        <v>0.61</v>
      </c>
      <c r="AO159" s="322"/>
    </row>
    <row r="160" spans="2:41">
      <c r="B160" s="324" t="s">
        <v>1422</v>
      </c>
      <c r="C160" s="325" t="s">
        <v>1456</v>
      </c>
      <c r="D160" s="326" t="s">
        <v>1384</v>
      </c>
      <c r="E160" s="327">
        <f>+SUMIF('AUX-NIV2'!I:I,'AUX-NIV3'!B160,'AUX-NIV2'!Q:Q)</f>
        <v>0</v>
      </c>
      <c r="F160" s="327" t="e">
        <f t="shared" si="60"/>
        <v>#N/A</v>
      </c>
      <c r="G160" s="327" t="e">
        <f t="shared" si="61"/>
        <v>#N/A</v>
      </c>
      <c r="H160" s="328" t="str">
        <f t="shared" si="85"/>
        <v>M</v>
      </c>
      <c r="I160" s="325" t="s">
        <v>1432</v>
      </c>
      <c r="J160" s="329" t="str">
        <f>IF(B160&lt;&gt;"",+VLOOKUP(I160,Recursos!C:F,2,FALSE),"")</f>
        <v>BARRENO INTEGRAL S.12 x 2400 mm</v>
      </c>
      <c r="K160" s="330" t="str">
        <f>IF(B160&lt;&gt;"",+VLOOKUP(I160,Recursos!C:F,3,FALSE),"")</f>
        <v>Un</v>
      </c>
      <c r="L160" s="327">
        <f>IF(B160&lt;&gt;"",+VLOOKUP(I160,Recursos!C:F,4,FALSE),"")</f>
        <v>20467.5</v>
      </c>
      <c r="M160" s="416"/>
      <c r="N160" s="416">
        <v>750</v>
      </c>
      <c r="O160" s="332">
        <f>1/N160*M159</f>
        <v>4.0000000000000002E-4</v>
      </c>
      <c r="P160" s="333">
        <f t="shared" si="71"/>
        <v>8.1870000000000012</v>
      </c>
      <c r="Q160" s="327">
        <f t="shared" si="72"/>
        <v>0</v>
      </c>
      <c r="R160" s="334">
        <f t="shared" si="73"/>
        <v>0</v>
      </c>
      <c r="S160" s="335" t="e">
        <f t="shared" si="62"/>
        <v>#N/A</v>
      </c>
      <c r="T160" s="335">
        <f t="shared" si="63"/>
        <v>122.09010208333332</v>
      </c>
      <c r="U160" s="336">
        <f t="shared" si="64"/>
        <v>237.77622197218253</v>
      </c>
      <c r="V160" s="336">
        <f t="shared" si="65"/>
        <v>0</v>
      </c>
      <c r="W160" s="336">
        <f t="shared" si="66"/>
        <v>0</v>
      </c>
      <c r="X160" s="336">
        <f t="shared" si="67"/>
        <v>0</v>
      </c>
      <c r="Y160" s="320"/>
      <c r="Z160" s="321" t="str">
        <f t="shared" si="74"/>
        <v>X-EXR02A</v>
      </c>
      <c r="AA160" s="321" t="str">
        <f t="shared" si="75"/>
        <v>X-EXR02E</v>
      </c>
      <c r="AB160" s="321" t="str">
        <f t="shared" si="76"/>
        <v>X-EXR02M</v>
      </c>
      <c r="AC160" s="321" t="str">
        <f t="shared" si="77"/>
        <v>X-EXR02T</v>
      </c>
      <c r="AD160" s="321" t="str">
        <f t="shared" si="78"/>
        <v>X-EXR02S</v>
      </c>
      <c r="AE160" s="321" t="str">
        <f t="shared" si="79"/>
        <v>X-EXR02X</v>
      </c>
      <c r="AF160" s="321" t="str">
        <f t="shared" si="80"/>
        <v>X-EXR02M</v>
      </c>
      <c r="AG160" s="321">
        <f t="shared" si="68"/>
        <v>39</v>
      </c>
      <c r="AH160" s="321"/>
      <c r="AI160" s="321" t="str">
        <f t="shared" si="81"/>
        <v>X-EXR02</v>
      </c>
      <c r="AJ160" s="320"/>
      <c r="AK160" s="322">
        <f t="shared" si="69"/>
        <v>141</v>
      </c>
      <c r="AL160" s="323">
        <f t="shared" si="82"/>
        <v>179</v>
      </c>
      <c r="AM160" s="322">
        <f t="shared" si="83"/>
        <v>20</v>
      </c>
      <c r="AN160" s="381">
        <f t="shared" si="70"/>
        <v>0.61</v>
      </c>
      <c r="AO160" s="322"/>
    </row>
    <row r="161" spans="2:41">
      <c r="B161" s="324" t="s">
        <v>1422</v>
      </c>
      <c r="C161" s="325" t="s">
        <v>1456</v>
      </c>
      <c r="D161" s="326" t="s">
        <v>1384</v>
      </c>
      <c r="E161" s="327">
        <f>+SUMIF('AUX-NIV2'!I:I,'AUX-NIV3'!B161,'AUX-NIV2'!Q:Q)</f>
        <v>0</v>
      </c>
      <c r="F161" s="327" t="e">
        <f t="shared" si="60"/>
        <v>#N/A</v>
      </c>
      <c r="G161" s="327" t="e">
        <f t="shared" si="61"/>
        <v>#N/A</v>
      </c>
      <c r="H161" s="328" t="str">
        <f t="shared" si="85"/>
        <v>M</v>
      </c>
      <c r="I161" s="325" t="s">
        <v>1433</v>
      </c>
      <c r="J161" s="329" t="str">
        <f>IF(B161&lt;&gt;"",+VLOOKUP(I161,Recursos!C:F,2,FALSE),"")</f>
        <v>BARRENO INTEGRAL S.12 x 3200 mm</v>
      </c>
      <c r="K161" s="330" t="str">
        <f>IF(B161&lt;&gt;"",+VLOOKUP(I161,Recursos!C:F,3,FALSE),"")</f>
        <v>Un</v>
      </c>
      <c r="L161" s="327">
        <f>IF(B161&lt;&gt;"",+VLOOKUP(I161,Recursos!C:F,4,FALSE),"")</f>
        <v>5462.5</v>
      </c>
      <c r="M161" s="416"/>
      <c r="N161" s="416">
        <v>1500</v>
      </c>
      <c r="O161" s="332">
        <f>1/N161*M159</f>
        <v>2.0000000000000001E-4</v>
      </c>
      <c r="P161" s="333">
        <f t="shared" si="71"/>
        <v>1.0925</v>
      </c>
      <c r="Q161" s="327">
        <f t="shared" si="72"/>
        <v>0</v>
      </c>
      <c r="R161" s="334">
        <f t="shared" si="73"/>
        <v>0</v>
      </c>
      <c r="S161" s="335" t="e">
        <f t="shared" si="62"/>
        <v>#N/A</v>
      </c>
      <c r="T161" s="335">
        <f t="shared" si="63"/>
        <v>122.09010208333332</v>
      </c>
      <c r="U161" s="336">
        <f t="shared" si="64"/>
        <v>237.77622197218253</v>
      </c>
      <c r="V161" s="336">
        <f t="shared" si="65"/>
        <v>0</v>
      </c>
      <c r="W161" s="336">
        <f t="shared" si="66"/>
        <v>0</v>
      </c>
      <c r="X161" s="336">
        <f t="shared" si="67"/>
        <v>0</v>
      </c>
      <c r="Y161" s="320"/>
      <c r="Z161" s="321" t="str">
        <f t="shared" si="74"/>
        <v>X-EXR02A</v>
      </c>
      <c r="AA161" s="321" t="str">
        <f t="shared" si="75"/>
        <v>X-EXR02E</v>
      </c>
      <c r="AB161" s="321" t="str">
        <f t="shared" si="76"/>
        <v>X-EXR02M</v>
      </c>
      <c r="AC161" s="321" t="str">
        <f t="shared" si="77"/>
        <v>X-EXR02T</v>
      </c>
      <c r="AD161" s="321" t="str">
        <f t="shared" si="78"/>
        <v>X-EXR02S</v>
      </c>
      <c r="AE161" s="321" t="str">
        <f t="shared" si="79"/>
        <v>X-EXR02X</v>
      </c>
      <c r="AF161" s="321" t="str">
        <f t="shared" si="80"/>
        <v>X-EXR02M</v>
      </c>
      <c r="AG161" s="321">
        <f t="shared" si="68"/>
        <v>39</v>
      </c>
      <c r="AH161" s="321"/>
      <c r="AI161" s="321" t="str">
        <f t="shared" si="81"/>
        <v>X-EXR02</v>
      </c>
      <c r="AJ161" s="320"/>
      <c r="AK161" s="322">
        <f t="shared" si="69"/>
        <v>141</v>
      </c>
      <c r="AL161" s="323">
        <f t="shared" si="82"/>
        <v>179</v>
      </c>
      <c r="AM161" s="322">
        <f t="shared" si="83"/>
        <v>21</v>
      </c>
      <c r="AN161" s="381">
        <f t="shared" si="70"/>
        <v>0.61</v>
      </c>
      <c r="AO161" s="322"/>
    </row>
    <row r="162" spans="2:41">
      <c r="B162" s="324" t="s">
        <v>1422</v>
      </c>
      <c r="C162" s="325" t="s">
        <v>1456</v>
      </c>
      <c r="D162" s="326" t="s">
        <v>1384</v>
      </c>
      <c r="E162" s="327">
        <f>+SUMIF('AUX-NIV2'!I:I,'AUX-NIV3'!B162,'AUX-NIV2'!Q:Q)</f>
        <v>0</v>
      </c>
      <c r="F162" s="327" t="e">
        <f t="shared" si="60"/>
        <v>#N/A</v>
      </c>
      <c r="G162" s="327" t="e">
        <f t="shared" si="61"/>
        <v>#N/A</v>
      </c>
      <c r="H162" s="328" t="str">
        <f t="shared" si="85"/>
        <v>M</v>
      </c>
      <c r="I162" s="325" t="s">
        <v>1434</v>
      </c>
      <c r="J162" s="329" t="str">
        <f>IF(B162&lt;&gt;"",+VLOOKUP(I162,Recursos!C:F,2,FALSE),"")</f>
        <v>GELAMON V.F. 80 %</v>
      </c>
      <c r="K162" s="330" t="str">
        <f>IF(B162&lt;&gt;"",+VLOOKUP(I162,Recursos!C:F,3,FALSE),"")</f>
        <v>Kg</v>
      </c>
      <c r="L162" s="327">
        <f>IF(B162&lt;&gt;"",+VLOOKUP(I162,Recursos!C:F,4,FALSE),"")</f>
        <v>326.60000000000002</v>
      </c>
      <c r="M162" s="428">
        <v>0.35</v>
      </c>
      <c r="N162" s="430">
        <v>0.05</v>
      </c>
      <c r="O162" s="332">
        <f t="shared" ref="O162:O167" si="86">+N162*$M$123</f>
        <v>1.7499999999999998E-2</v>
      </c>
      <c r="P162" s="333">
        <f t="shared" si="71"/>
        <v>5.7154999999999996</v>
      </c>
      <c r="Q162" s="327">
        <f t="shared" si="72"/>
        <v>0</v>
      </c>
      <c r="R162" s="334">
        <f t="shared" si="73"/>
        <v>0</v>
      </c>
      <c r="S162" s="335" t="e">
        <f t="shared" si="62"/>
        <v>#N/A</v>
      </c>
      <c r="T162" s="335">
        <f t="shared" si="63"/>
        <v>122.09010208333332</v>
      </c>
      <c r="U162" s="336">
        <f t="shared" si="64"/>
        <v>237.77622197218253</v>
      </c>
      <c r="V162" s="336">
        <f t="shared" si="65"/>
        <v>0</v>
      </c>
      <c r="W162" s="336">
        <f t="shared" si="66"/>
        <v>0</v>
      </c>
      <c r="X162" s="336">
        <f t="shared" si="67"/>
        <v>0</v>
      </c>
      <c r="Y162" s="320"/>
      <c r="Z162" s="321" t="str">
        <f t="shared" si="74"/>
        <v>X-EXR02A</v>
      </c>
      <c r="AA162" s="321" t="str">
        <f t="shared" si="75"/>
        <v>X-EXR02E</v>
      </c>
      <c r="AB162" s="321" t="str">
        <f t="shared" si="76"/>
        <v>X-EXR02M</v>
      </c>
      <c r="AC162" s="321" t="str">
        <f t="shared" si="77"/>
        <v>X-EXR02T</v>
      </c>
      <c r="AD162" s="321" t="str">
        <f t="shared" si="78"/>
        <v>X-EXR02S</v>
      </c>
      <c r="AE162" s="321" t="str">
        <f t="shared" si="79"/>
        <v>X-EXR02X</v>
      </c>
      <c r="AF162" s="321" t="str">
        <f t="shared" si="80"/>
        <v>X-EXR02M</v>
      </c>
      <c r="AG162" s="321">
        <f t="shared" si="68"/>
        <v>39</v>
      </c>
      <c r="AH162" s="321"/>
      <c r="AI162" s="321" t="str">
        <f t="shared" si="81"/>
        <v>X-EXR02</v>
      </c>
      <c r="AJ162" s="320"/>
      <c r="AK162" s="322">
        <f t="shared" si="69"/>
        <v>141</v>
      </c>
      <c r="AL162" s="323">
        <f t="shared" si="82"/>
        <v>179</v>
      </c>
      <c r="AM162" s="322">
        <f t="shared" si="83"/>
        <v>22</v>
      </c>
      <c r="AN162" s="381">
        <f t="shared" si="70"/>
        <v>0.61</v>
      </c>
      <c r="AO162" s="322"/>
    </row>
    <row r="163" spans="2:41">
      <c r="B163" s="324" t="s">
        <v>1422</v>
      </c>
      <c r="C163" s="325" t="s">
        <v>1456</v>
      </c>
      <c r="D163" s="326" t="s">
        <v>1384</v>
      </c>
      <c r="E163" s="327">
        <f>+SUMIF('AUX-NIV2'!I:I,'AUX-NIV3'!B163,'AUX-NIV2'!Q:Q)</f>
        <v>0</v>
      </c>
      <c r="F163" s="327" t="e">
        <f t="shared" si="60"/>
        <v>#N/A</v>
      </c>
      <c r="G163" s="327" t="e">
        <f t="shared" si="61"/>
        <v>#N/A</v>
      </c>
      <c r="H163" s="328" t="str">
        <f t="shared" si="85"/>
        <v>M</v>
      </c>
      <c r="I163" s="325" t="s">
        <v>1435</v>
      </c>
      <c r="J163" s="329" t="str">
        <f>IF(B163&lt;&gt;"",+VLOOKUP(I163,Recursos!C:F,2,FALSE),"")</f>
        <v>ANFO</v>
      </c>
      <c r="K163" s="330" t="str">
        <f>IF(B163&lt;&gt;"",+VLOOKUP(I163,Recursos!C:F,3,FALSE),"")</f>
        <v>Kg</v>
      </c>
      <c r="L163" s="327">
        <f>IF(B163&lt;&gt;"",+VLOOKUP(I163,Recursos!C:F,4,FALSE),"")</f>
        <v>219</v>
      </c>
      <c r="M163" s="416">
        <v>0.12</v>
      </c>
      <c r="N163" s="430">
        <v>0.2</v>
      </c>
      <c r="O163" s="332">
        <f t="shared" si="86"/>
        <v>6.9999999999999993E-2</v>
      </c>
      <c r="P163" s="333">
        <f t="shared" si="71"/>
        <v>15.329999999999998</v>
      </c>
      <c r="Q163" s="327">
        <f t="shared" si="72"/>
        <v>0</v>
      </c>
      <c r="R163" s="334">
        <f t="shared" si="73"/>
        <v>0</v>
      </c>
      <c r="S163" s="335" t="e">
        <f t="shared" si="62"/>
        <v>#N/A</v>
      </c>
      <c r="T163" s="335">
        <f t="shared" si="63"/>
        <v>122.09010208333332</v>
      </c>
      <c r="U163" s="336">
        <f t="shared" si="64"/>
        <v>237.77622197218253</v>
      </c>
      <c r="V163" s="336">
        <f t="shared" si="65"/>
        <v>0</v>
      </c>
      <c r="W163" s="336">
        <f t="shared" si="66"/>
        <v>0</v>
      </c>
      <c r="X163" s="336">
        <f t="shared" si="67"/>
        <v>0</v>
      </c>
      <c r="Y163" s="320"/>
      <c r="Z163" s="321" t="str">
        <f t="shared" si="74"/>
        <v>X-EXR02A</v>
      </c>
      <c r="AA163" s="321" t="str">
        <f t="shared" si="75"/>
        <v>X-EXR02E</v>
      </c>
      <c r="AB163" s="321" t="str">
        <f t="shared" si="76"/>
        <v>X-EXR02M</v>
      </c>
      <c r="AC163" s="321" t="str">
        <f t="shared" si="77"/>
        <v>X-EXR02T</v>
      </c>
      <c r="AD163" s="321" t="str">
        <f t="shared" si="78"/>
        <v>X-EXR02S</v>
      </c>
      <c r="AE163" s="321" t="str">
        <f t="shared" si="79"/>
        <v>X-EXR02X</v>
      </c>
      <c r="AF163" s="321" t="str">
        <f t="shared" si="80"/>
        <v>X-EXR02M</v>
      </c>
      <c r="AG163" s="321">
        <f t="shared" si="68"/>
        <v>39</v>
      </c>
      <c r="AH163" s="321"/>
      <c r="AI163" s="321" t="str">
        <f t="shared" si="81"/>
        <v>X-EXR02</v>
      </c>
      <c r="AJ163" s="320"/>
      <c r="AK163" s="322">
        <f t="shared" si="69"/>
        <v>141</v>
      </c>
      <c r="AL163" s="323">
        <f t="shared" si="82"/>
        <v>179</v>
      </c>
      <c r="AM163" s="322">
        <f t="shared" si="83"/>
        <v>23</v>
      </c>
      <c r="AN163" s="381">
        <f t="shared" si="70"/>
        <v>0.61</v>
      </c>
      <c r="AO163" s="322"/>
    </row>
    <row r="164" spans="2:41">
      <c r="B164" s="324" t="s">
        <v>1422</v>
      </c>
      <c r="C164" s="325" t="s">
        <v>1456</v>
      </c>
      <c r="D164" s="326" t="s">
        <v>1384</v>
      </c>
      <c r="E164" s="327">
        <f>+SUMIF('AUX-NIV2'!I:I,'AUX-NIV3'!B164,'AUX-NIV2'!Q:Q)</f>
        <v>0</v>
      </c>
      <c r="F164" s="327" t="e">
        <f t="shared" si="60"/>
        <v>#N/A</v>
      </c>
      <c r="G164" s="327" t="e">
        <f t="shared" si="61"/>
        <v>#N/A</v>
      </c>
      <c r="H164" s="328" t="str">
        <f t="shared" si="85"/>
        <v>M</v>
      </c>
      <c r="I164" s="325" t="s">
        <v>1436</v>
      </c>
      <c r="J164" s="329" t="str">
        <f>IF(B164&lt;&gt;"",+VLOOKUP(I164,Recursos!C:F,2,FALSE),"")</f>
        <v>CORDON DETONANTE 5 gr/m</v>
      </c>
      <c r="K164" s="330" t="str">
        <f>IF(B164&lt;&gt;"",+VLOOKUP(I164,Recursos!C:F,3,FALSE),"")</f>
        <v>m</v>
      </c>
      <c r="L164" s="327">
        <f>IF(B164&lt;&gt;"",+VLOOKUP(I164,Recursos!C:F,4,FALSE),"")</f>
        <v>28.75</v>
      </c>
      <c r="M164" s="416"/>
      <c r="N164" s="430">
        <v>0.12</v>
      </c>
      <c r="O164" s="332">
        <f t="shared" si="86"/>
        <v>4.1999999999999996E-2</v>
      </c>
      <c r="P164" s="333">
        <f t="shared" si="71"/>
        <v>1.2074999999999998</v>
      </c>
      <c r="Q164" s="327">
        <f t="shared" si="72"/>
        <v>0</v>
      </c>
      <c r="R164" s="334">
        <f t="shared" si="73"/>
        <v>0</v>
      </c>
      <c r="S164" s="335" t="e">
        <f t="shared" si="62"/>
        <v>#N/A</v>
      </c>
      <c r="T164" s="335">
        <f t="shared" si="63"/>
        <v>122.09010208333332</v>
      </c>
      <c r="U164" s="336">
        <f t="shared" si="64"/>
        <v>237.77622197218253</v>
      </c>
      <c r="V164" s="336">
        <f t="shared" si="65"/>
        <v>0</v>
      </c>
      <c r="W164" s="336">
        <f t="shared" si="66"/>
        <v>0</v>
      </c>
      <c r="X164" s="336">
        <f t="shared" si="67"/>
        <v>0</v>
      </c>
      <c r="Y164" s="320"/>
      <c r="Z164" s="321" t="str">
        <f t="shared" si="74"/>
        <v>X-EXR02A</v>
      </c>
      <c r="AA164" s="321" t="str">
        <f t="shared" si="75"/>
        <v>X-EXR02E</v>
      </c>
      <c r="AB164" s="321" t="str">
        <f t="shared" si="76"/>
        <v>X-EXR02M</v>
      </c>
      <c r="AC164" s="321" t="str">
        <f t="shared" si="77"/>
        <v>X-EXR02T</v>
      </c>
      <c r="AD164" s="321" t="str">
        <f t="shared" si="78"/>
        <v>X-EXR02S</v>
      </c>
      <c r="AE164" s="321" t="str">
        <f t="shared" si="79"/>
        <v>X-EXR02X</v>
      </c>
      <c r="AF164" s="321" t="str">
        <f t="shared" si="80"/>
        <v>X-EXR02M</v>
      </c>
      <c r="AG164" s="321">
        <f t="shared" si="68"/>
        <v>39</v>
      </c>
      <c r="AH164" s="321"/>
      <c r="AI164" s="321" t="str">
        <f t="shared" si="81"/>
        <v>X-EXR02</v>
      </c>
      <c r="AJ164" s="320"/>
      <c r="AK164" s="322">
        <f t="shared" si="69"/>
        <v>141</v>
      </c>
      <c r="AL164" s="323">
        <f t="shared" si="82"/>
        <v>179</v>
      </c>
      <c r="AM164" s="322">
        <f t="shared" si="83"/>
        <v>24</v>
      </c>
      <c r="AN164" s="381">
        <f t="shared" si="70"/>
        <v>0.61</v>
      </c>
      <c r="AO164" s="322"/>
    </row>
    <row r="165" spans="2:41">
      <c r="B165" s="324" t="s">
        <v>1422</v>
      </c>
      <c r="C165" s="325" t="s">
        <v>1456</v>
      </c>
      <c r="D165" s="326" t="s">
        <v>1384</v>
      </c>
      <c r="E165" s="327">
        <f>+SUMIF('AUX-NIV2'!I:I,'AUX-NIV3'!B165,'AUX-NIV2'!Q:Q)</f>
        <v>0</v>
      </c>
      <c r="F165" s="327" t="e">
        <f t="shared" si="60"/>
        <v>#N/A</v>
      </c>
      <c r="G165" s="327" t="e">
        <f t="shared" si="61"/>
        <v>#N/A</v>
      </c>
      <c r="H165" s="328" t="str">
        <f t="shared" si="85"/>
        <v>M</v>
      </c>
      <c r="I165" s="325" t="s">
        <v>1437</v>
      </c>
      <c r="J165" s="329" t="str">
        <f>IF(B165&lt;&gt;"",+VLOOKUP(I165,Recursos!C:F,2,FALSE),"")</f>
        <v>MECHA LENTA</v>
      </c>
      <c r="K165" s="330" t="str">
        <f>IF(B165&lt;&gt;"",+VLOOKUP(I165,Recursos!C:F,3,FALSE),"")</f>
        <v>m</v>
      </c>
      <c r="L165" s="327">
        <f>IF(B165&lt;&gt;"",+VLOOKUP(I165,Recursos!C:F,4,FALSE),"")</f>
        <v>26.45</v>
      </c>
      <c r="M165" s="416"/>
      <c r="N165" s="430">
        <v>2.5000000000000001E-3</v>
      </c>
      <c r="O165" s="332">
        <f t="shared" si="86"/>
        <v>8.7499999999999991E-4</v>
      </c>
      <c r="P165" s="333">
        <f t="shared" si="71"/>
        <v>2.3143749999999998E-2</v>
      </c>
      <c r="Q165" s="327">
        <f t="shared" si="72"/>
        <v>0</v>
      </c>
      <c r="R165" s="334">
        <f t="shared" si="73"/>
        <v>0</v>
      </c>
      <c r="S165" s="335" t="e">
        <f t="shared" si="62"/>
        <v>#N/A</v>
      </c>
      <c r="T165" s="335">
        <f t="shared" si="63"/>
        <v>122.09010208333332</v>
      </c>
      <c r="U165" s="336">
        <f t="shared" si="64"/>
        <v>237.77622197218253</v>
      </c>
      <c r="V165" s="336">
        <f t="shared" si="65"/>
        <v>0</v>
      </c>
      <c r="W165" s="336">
        <f t="shared" si="66"/>
        <v>0</v>
      </c>
      <c r="X165" s="336">
        <f t="shared" si="67"/>
        <v>0</v>
      </c>
      <c r="Y165" s="320"/>
      <c r="Z165" s="321" t="str">
        <f t="shared" si="74"/>
        <v>X-EXR02A</v>
      </c>
      <c r="AA165" s="321" t="str">
        <f t="shared" si="75"/>
        <v>X-EXR02E</v>
      </c>
      <c r="AB165" s="321" t="str">
        <f t="shared" si="76"/>
        <v>X-EXR02M</v>
      </c>
      <c r="AC165" s="321" t="str">
        <f t="shared" si="77"/>
        <v>X-EXR02T</v>
      </c>
      <c r="AD165" s="321" t="str">
        <f t="shared" si="78"/>
        <v>X-EXR02S</v>
      </c>
      <c r="AE165" s="321" t="str">
        <f t="shared" si="79"/>
        <v>X-EXR02X</v>
      </c>
      <c r="AF165" s="321" t="str">
        <f t="shared" si="80"/>
        <v>X-EXR02M</v>
      </c>
      <c r="AG165" s="321">
        <f t="shared" si="68"/>
        <v>39</v>
      </c>
      <c r="AH165" s="321"/>
      <c r="AI165" s="321" t="str">
        <f t="shared" si="81"/>
        <v>X-EXR02</v>
      </c>
      <c r="AJ165" s="320"/>
      <c r="AK165" s="322">
        <f t="shared" si="69"/>
        <v>141</v>
      </c>
      <c r="AL165" s="323">
        <f t="shared" si="82"/>
        <v>179</v>
      </c>
      <c r="AM165" s="322">
        <f t="shared" si="83"/>
        <v>25</v>
      </c>
      <c r="AN165" s="381">
        <f t="shared" si="70"/>
        <v>0.61</v>
      </c>
      <c r="AO165" s="322"/>
    </row>
    <row r="166" spans="2:41">
      <c r="B166" s="324" t="s">
        <v>1422</v>
      </c>
      <c r="C166" s="325" t="s">
        <v>1456</v>
      </c>
      <c r="D166" s="326" t="s">
        <v>1384</v>
      </c>
      <c r="E166" s="327">
        <f>+SUMIF('AUX-NIV2'!I:I,'AUX-NIV3'!B166,'AUX-NIV2'!Q:Q)</f>
        <v>0</v>
      </c>
      <c r="F166" s="327" t="e">
        <f t="shared" si="60"/>
        <v>#N/A</v>
      </c>
      <c r="G166" s="327" t="e">
        <f t="shared" si="61"/>
        <v>#N/A</v>
      </c>
      <c r="H166" s="328" t="str">
        <f t="shared" si="85"/>
        <v>M</v>
      </c>
      <c r="I166" s="325" t="s">
        <v>1438</v>
      </c>
      <c r="J166" s="329" t="str">
        <f>IF(B166&lt;&gt;"",+VLOOKUP(I166,Recursos!C:F,2,FALSE),"")</f>
        <v>FULMINANTE #8</v>
      </c>
      <c r="K166" s="330" t="str">
        <f>IF(B166&lt;&gt;"",+VLOOKUP(I166,Recursos!C:F,3,FALSE),"")</f>
        <v>Un</v>
      </c>
      <c r="L166" s="327">
        <f>IF(B166&lt;&gt;"",+VLOOKUP(I166,Recursos!C:F,4,FALSE),"")</f>
        <v>23.574999999999999</v>
      </c>
      <c r="M166" s="416"/>
      <c r="N166" s="430">
        <v>8.2999999999999998E-5</v>
      </c>
      <c r="O166" s="332">
        <f t="shared" si="86"/>
        <v>2.9049999999999998E-5</v>
      </c>
      <c r="P166" s="333">
        <f t="shared" si="71"/>
        <v>6.8485374999999995E-4</v>
      </c>
      <c r="Q166" s="327">
        <f t="shared" si="72"/>
        <v>0</v>
      </c>
      <c r="R166" s="334">
        <f t="shared" si="73"/>
        <v>0</v>
      </c>
      <c r="S166" s="335" t="e">
        <f t="shared" si="62"/>
        <v>#N/A</v>
      </c>
      <c r="T166" s="335">
        <f t="shared" si="63"/>
        <v>122.09010208333332</v>
      </c>
      <c r="U166" s="336">
        <f t="shared" si="64"/>
        <v>237.77622197218253</v>
      </c>
      <c r="V166" s="336">
        <f t="shared" si="65"/>
        <v>0</v>
      </c>
      <c r="W166" s="336">
        <f t="shared" si="66"/>
        <v>0</v>
      </c>
      <c r="X166" s="336">
        <f t="shared" si="67"/>
        <v>0</v>
      </c>
      <c r="Y166" s="320"/>
      <c r="Z166" s="321" t="str">
        <f t="shared" si="74"/>
        <v>X-EXR02A</v>
      </c>
      <c r="AA166" s="321" t="str">
        <f t="shared" si="75"/>
        <v>X-EXR02E</v>
      </c>
      <c r="AB166" s="321" t="str">
        <f t="shared" si="76"/>
        <v>X-EXR02M</v>
      </c>
      <c r="AC166" s="321" t="str">
        <f t="shared" si="77"/>
        <v>X-EXR02T</v>
      </c>
      <c r="AD166" s="321" t="str">
        <f t="shared" si="78"/>
        <v>X-EXR02S</v>
      </c>
      <c r="AE166" s="321" t="str">
        <f t="shared" si="79"/>
        <v>X-EXR02X</v>
      </c>
      <c r="AF166" s="321" t="str">
        <f t="shared" si="80"/>
        <v>X-EXR02M</v>
      </c>
      <c r="AG166" s="321">
        <f t="shared" si="68"/>
        <v>39</v>
      </c>
      <c r="AH166" s="321"/>
      <c r="AI166" s="321" t="str">
        <f t="shared" si="81"/>
        <v>X-EXR02</v>
      </c>
      <c r="AJ166" s="320"/>
      <c r="AK166" s="322">
        <f t="shared" si="69"/>
        <v>141</v>
      </c>
      <c r="AL166" s="323">
        <f t="shared" si="82"/>
        <v>179</v>
      </c>
      <c r="AM166" s="322">
        <f t="shared" si="83"/>
        <v>26</v>
      </c>
      <c r="AN166" s="381">
        <f t="shared" si="70"/>
        <v>0.61</v>
      </c>
      <c r="AO166" s="322"/>
    </row>
    <row r="167" spans="2:41">
      <c r="B167" s="324" t="s">
        <v>1422</v>
      </c>
      <c r="C167" s="325" t="s">
        <v>1456</v>
      </c>
      <c r="D167" s="326" t="s">
        <v>1384</v>
      </c>
      <c r="E167" s="327">
        <f>+SUMIF('AUX-NIV2'!I:I,'AUX-NIV3'!B167,'AUX-NIV2'!Q:Q)</f>
        <v>0</v>
      </c>
      <c r="F167" s="327" t="e">
        <f t="shared" si="60"/>
        <v>#N/A</v>
      </c>
      <c r="G167" s="327" t="e">
        <f t="shared" si="61"/>
        <v>#N/A</v>
      </c>
      <c r="H167" s="328" t="str">
        <f t="shared" si="85"/>
        <v>M</v>
      </c>
      <c r="I167" s="325" t="s">
        <v>1439</v>
      </c>
      <c r="J167" s="329" t="str">
        <f>IF(B167&lt;&gt;"",+VLOOKUP(I167,Recursos!C:F,2,FALSE),"")</f>
        <v>FULMINANTE NONEL L=14 pies</v>
      </c>
      <c r="K167" s="330" t="str">
        <f>IF(B167&lt;&gt;"",+VLOOKUP(I167,Recursos!C:F,3,FALSE),"")</f>
        <v>Un</v>
      </c>
      <c r="L167" s="327">
        <f>IF(B167&lt;&gt;"",+VLOOKUP(I167,Recursos!C:F,4,FALSE),"")</f>
        <v>272.55</v>
      </c>
      <c r="M167" s="416"/>
      <c r="N167" s="416">
        <v>7.0000000000000007E-2</v>
      </c>
      <c r="O167" s="332">
        <f t="shared" si="86"/>
        <v>2.4500000000000001E-2</v>
      </c>
      <c r="P167" s="333">
        <f t="shared" si="71"/>
        <v>6.6774750000000003</v>
      </c>
      <c r="Q167" s="327">
        <f t="shared" si="72"/>
        <v>0</v>
      </c>
      <c r="R167" s="334">
        <f t="shared" si="73"/>
        <v>0</v>
      </c>
      <c r="S167" s="335" t="e">
        <f t="shared" si="62"/>
        <v>#N/A</v>
      </c>
      <c r="T167" s="335">
        <f t="shared" si="63"/>
        <v>122.09010208333332</v>
      </c>
      <c r="U167" s="336">
        <f t="shared" si="64"/>
        <v>237.77622197218253</v>
      </c>
      <c r="V167" s="336">
        <f t="shared" si="65"/>
        <v>0</v>
      </c>
      <c r="W167" s="336">
        <f t="shared" si="66"/>
        <v>0</v>
      </c>
      <c r="X167" s="336">
        <f t="shared" si="67"/>
        <v>0</v>
      </c>
      <c r="Y167" s="320"/>
      <c r="Z167" s="321" t="str">
        <f t="shared" si="74"/>
        <v>X-EXR02A</v>
      </c>
      <c r="AA167" s="321" t="str">
        <f t="shared" si="75"/>
        <v>X-EXR02E</v>
      </c>
      <c r="AB167" s="321" t="str">
        <f t="shared" si="76"/>
        <v>X-EXR02M</v>
      </c>
      <c r="AC167" s="321" t="str">
        <f t="shared" si="77"/>
        <v>X-EXR02T</v>
      </c>
      <c r="AD167" s="321" t="str">
        <f t="shared" si="78"/>
        <v>X-EXR02S</v>
      </c>
      <c r="AE167" s="321" t="str">
        <f t="shared" si="79"/>
        <v>X-EXR02X</v>
      </c>
      <c r="AF167" s="321" t="str">
        <f t="shared" si="80"/>
        <v>X-EXR02M</v>
      </c>
      <c r="AG167" s="321">
        <f t="shared" si="68"/>
        <v>39</v>
      </c>
      <c r="AH167" s="321"/>
      <c r="AI167" s="321" t="str">
        <f t="shared" si="81"/>
        <v>X-EXR02</v>
      </c>
      <c r="AJ167" s="320"/>
      <c r="AK167" s="322">
        <f t="shared" si="69"/>
        <v>141</v>
      </c>
      <c r="AL167" s="323">
        <f t="shared" si="82"/>
        <v>179</v>
      </c>
      <c r="AM167" s="322">
        <f t="shared" si="83"/>
        <v>27</v>
      </c>
      <c r="AN167" s="381">
        <f t="shared" si="70"/>
        <v>0.61</v>
      </c>
      <c r="AO167" s="322"/>
    </row>
    <row r="168" spans="2:41">
      <c r="B168" s="324" t="s">
        <v>1422</v>
      </c>
      <c r="C168" s="325" t="s">
        <v>1456</v>
      </c>
      <c r="D168" s="326" t="s">
        <v>1384</v>
      </c>
      <c r="E168" s="327">
        <f>+SUMIF('AUX-NIV2'!I:I,'AUX-NIV3'!B168,'AUX-NIV2'!Q:Q)</f>
        <v>0</v>
      </c>
      <c r="F168" s="327" t="e">
        <f t="shared" si="60"/>
        <v>#N/A</v>
      </c>
      <c r="G168" s="327" t="e">
        <f t="shared" si="61"/>
        <v>#N/A</v>
      </c>
      <c r="H168" s="328" t="str">
        <f t="shared" si="85"/>
        <v>M</v>
      </c>
      <c r="I168" s="325" t="s">
        <v>1434</v>
      </c>
      <c r="J168" s="329" t="str">
        <f>IF(B168&lt;&gt;"",+VLOOKUP(I168,Recursos!C:F,2,FALSE),"")</f>
        <v>GELAMON V.F. 80 %</v>
      </c>
      <c r="K168" s="330" t="str">
        <f>IF(B168&lt;&gt;"",+VLOOKUP(I168,Recursos!C:F,3,FALSE),"")</f>
        <v>Kg</v>
      </c>
      <c r="L168" s="327">
        <f>IF(B168&lt;&gt;"",+VLOOKUP(I168,Recursos!C:F,4,FALSE),"")</f>
        <v>326.60000000000002</v>
      </c>
      <c r="M168" s="416">
        <f>1-M162</f>
        <v>0.65</v>
      </c>
      <c r="N168" s="416">
        <v>0.18</v>
      </c>
      <c r="O168" s="332">
        <f t="shared" ref="O168:O173" si="87">+N168*$M$129</f>
        <v>0.11699999999999999</v>
      </c>
      <c r="P168" s="333">
        <f t="shared" si="71"/>
        <v>38.212200000000003</v>
      </c>
      <c r="Q168" s="327">
        <f t="shared" si="72"/>
        <v>0</v>
      </c>
      <c r="R168" s="334">
        <f t="shared" si="73"/>
        <v>0</v>
      </c>
      <c r="S168" s="335" t="e">
        <f t="shared" si="62"/>
        <v>#N/A</v>
      </c>
      <c r="T168" s="335">
        <f t="shared" si="63"/>
        <v>122.09010208333332</v>
      </c>
      <c r="U168" s="336">
        <f t="shared" si="64"/>
        <v>237.77622197218253</v>
      </c>
      <c r="V168" s="336">
        <f t="shared" si="65"/>
        <v>0</v>
      </c>
      <c r="W168" s="336">
        <f t="shared" si="66"/>
        <v>0</v>
      </c>
      <c r="X168" s="336">
        <f t="shared" si="67"/>
        <v>0</v>
      </c>
      <c r="Y168" s="320"/>
      <c r="Z168" s="321" t="str">
        <f t="shared" si="74"/>
        <v>X-EXR02A</v>
      </c>
      <c r="AA168" s="321" t="str">
        <f t="shared" si="75"/>
        <v>X-EXR02E</v>
      </c>
      <c r="AB168" s="321" t="str">
        <f t="shared" si="76"/>
        <v>X-EXR02M</v>
      </c>
      <c r="AC168" s="321" t="str">
        <f t="shared" si="77"/>
        <v>X-EXR02T</v>
      </c>
      <c r="AD168" s="321" t="str">
        <f t="shared" si="78"/>
        <v>X-EXR02S</v>
      </c>
      <c r="AE168" s="321" t="str">
        <f t="shared" si="79"/>
        <v>X-EXR02X</v>
      </c>
      <c r="AF168" s="321" t="str">
        <f t="shared" si="80"/>
        <v>X-EXR02M</v>
      </c>
      <c r="AG168" s="321">
        <f t="shared" si="68"/>
        <v>39</v>
      </c>
      <c r="AH168" s="321"/>
      <c r="AI168" s="321" t="str">
        <f t="shared" si="81"/>
        <v>X-EXR02</v>
      </c>
      <c r="AJ168" s="320"/>
      <c r="AK168" s="322">
        <f t="shared" si="69"/>
        <v>141</v>
      </c>
      <c r="AL168" s="323">
        <f t="shared" si="82"/>
        <v>179</v>
      </c>
      <c r="AM168" s="322">
        <f t="shared" si="83"/>
        <v>28</v>
      </c>
      <c r="AN168" s="381">
        <f t="shared" si="70"/>
        <v>0.61</v>
      </c>
      <c r="AO168" s="322"/>
    </row>
    <row r="169" spans="2:41">
      <c r="B169" s="324" t="s">
        <v>1422</v>
      </c>
      <c r="C169" s="325" t="s">
        <v>1456</v>
      </c>
      <c r="D169" s="326" t="s">
        <v>1384</v>
      </c>
      <c r="E169" s="327">
        <f>+SUMIF('AUX-NIV2'!I:I,'AUX-NIV3'!B169,'AUX-NIV2'!Q:Q)</f>
        <v>0</v>
      </c>
      <c r="F169" s="327" t="e">
        <f t="shared" si="60"/>
        <v>#N/A</v>
      </c>
      <c r="G169" s="327" t="e">
        <f t="shared" si="61"/>
        <v>#N/A</v>
      </c>
      <c r="H169" s="328" t="str">
        <f t="shared" si="85"/>
        <v>M</v>
      </c>
      <c r="I169" s="325" t="s">
        <v>1435</v>
      </c>
      <c r="J169" s="329" t="str">
        <f>IF(B169&lt;&gt;"",+VLOOKUP(I169,Recursos!C:F,2,FALSE),"")</f>
        <v>ANFO</v>
      </c>
      <c r="K169" s="330" t="str">
        <f>IF(B169&lt;&gt;"",+VLOOKUP(I169,Recursos!C:F,3,FALSE),"")</f>
        <v>Kg</v>
      </c>
      <c r="L169" s="327">
        <f>IF(B169&lt;&gt;"",+VLOOKUP(I169,Recursos!C:F,4,FALSE),"")</f>
        <v>219</v>
      </c>
      <c r="M169" s="416"/>
      <c r="N169" s="416">
        <v>0.27</v>
      </c>
      <c r="O169" s="332">
        <f t="shared" si="87"/>
        <v>0.17550000000000002</v>
      </c>
      <c r="P169" s="333">
        <f t="shared" si="71"/>
        <v>38.434500000000007</v>
      </c>
      <c r="Q169" s="327">
        <f t="shared" si="72"/>
        <v>0</v>
      </c>
      <c r="R169" s="334">
        <f t="shared" si="73"/>
        <v>0</v>
      </c>
      <c r="S169" s="335" t="e">
        <f t="shared" si="62"/>
        <v>#N/A</v>
      </c>
      <c r="T169" s="335">
        <f t="shared" si="63"/>
        <v>122.09010208333332</v>
      </c>
      <c r="U169" s="336">
        <f t="shared" si="64"/>
        <v>237.77622197218253</v>
      </c>
      <c r="V169" s="336">
        <f t="shared" si="65"/>
        <v>0</v>
      </c>
      <c r="W169" s="336">
        <f t="shared" si="66"/>
        <v>0</v>
      </c>
      <c r="X169" s="336">
        <f t="shared" si="67"/>
        <v>0</v>
      </c>
      <c r="Y169" s="320"/>
      <c r="Z169" s="321" t="str">
        <f t="shared" si="74"/>
        <v>X-EXR02A</v>
      </c>
      <c r="AA169" s="321" t="str">
        <f t="shared" si="75"/>
        <v>X-EXR02E</v>
      </c>
      <c r="AB169" s="321" t="str">
        <f t="shared" si="76"/>
        <v>X-EXR02M</v>
      </c>
      <c r="AC169" s="321" t="str">
        <f t="shared" si="77"/>
        <v>X-EXR02T</v>
      </c>
      <c r="AD169" s="321" t="str">
        <f t="shared" si="78"/>
        <v>X-EXR02S</v>
      </c>
      <c r="AE169" s="321" t="str">
        <f t="shared" si="79"/>
        <v>X-EXR02X</v>
      </c>
      <c r="AF169" s="321" t="str">
        <f t="shared" si="80"/>
        <v>X-EXR02M</v>
      </c>
      <c r="AG169" s="321">
        <f t="shared" si="68"/>
        <v>39</v>
      </c>
      <c r="AH169" s="321"/>
      <c r="AI169" s="321" t="str">
        <f t="shared" si="81"/>
        <v>X-EXR02</v>
      </c>
      <c r="AJ169" s="320"/>
      <c r="AK169" s="322">
        <f t="shared" si="69"/>
        <v>141</v>
      </c>
      <c r="AL169" s="323">
        <f t="shared" si="82"/>
        <v>179</v>
      </c>
      <c r="AM169" s="322">
        <f t="shared" si="83"/>
        <v>29</v>
      </c>
      <c r="AN169" s="381">
        <f t="shared" si="70"/>
        <v>0.61</v>
      </c>
      <c r="AO169" s="322"/>
    </row>
    <row r="170" spans="2:41">
      <c r="B170" s="324" t="s">
        <v>1422</v>
      </c>
      <c r="C170" s="325" t="s">
        <v>1456</v>
      </c>
      <c r="D170" s="326" t="s">
        <v>1384</v>
      </c>
      <c r="E170" s="327">
        <f>+SUMIF('AUX-NIV2'!I:I,'AUX-NIV3'!B170,'AUX-NIV2'!Q:Q)</f>
        <v>0</v>
      </c>
      <c r="F170" s="327" t="e">
        <f t="shared" si="60"/>
        <v>#N/A</v>
      </c>
      <c r="G170" s="327" t="e">
        <f t="shared" si="61"/>
        <v>#N/A</v>
      </c>
      <c r="H170" s="328" t="str">
        <f t="shared" si="85"/>
        <v>M</v>
      </c>
      <c r="I170" s="325" t="s">
        <v>1436</v>
      </c>
      <c r="J170" s="329" t="str">
        <f>IF(B170&lt;&gt;"",+VLOOKUP(I170,Recursos!C:F,2,FALSE),"")</f>
        <v>CORDON DETONANTE 5 gr/m</v>
      </c>
      <c r="K170" s="330" t="str">
        <f>IF(B170&lt;&gt;"",+VLOOKUP(I170,Recursos!C:F,3,FALSE),"")</f>
        <v>m</v>
      </c>
      <c r="L170" s="327">
        <f>IF(B170&lt;&gt;"",+VLOOKUP(I170,Recursos!C:F,4,FALSE),"")</f>
        <v>28.75</v>
      </c>
      <c r="M170" s="416"/>
      <c r="N170" s="416">
        <v>0.33</v>
      </c>
      <c r="O170" s="332">
        <f t="shared" si="87"/>
        <v>0.21450000000000002</v>
      </c>
      <c r="P170" s="333">
        <f t="shared" si="71"/>
        <v>6.166875000000001</v>
      </c>
      <c r="Q170" s="327">
        <f t="shared" si="72"/>
        <v>0</v>
      </c>
      <c r="R170" s="334">
        <f t="shared" si="73"/>
        <v>0</v>
      </c>
      <c r="S170" s="335" t="e">
        <f t="shared" si="62"/>
        <v>#N/A</v>
      </c>
      <c r="T170" s="335">
        <f t="shared" si="63"/>
        <v>122.09010208333332</v>
      </c>
      <c r="U170" s="336">
        <f t="shared" si="64"/>
        <v>237.77622197218253</v>
      </c>
      <c r="V170" s="336">
        <f t="shared" si="65"/>
        <v>0</v>
      </c>
      <c r="W170" s="336">
        <f t="shared" si="66"/>
        <v>0</v>
      </c>
      <c r="X170" s="336">
        <f t="shared" si="67"/>
        <v>0</v>
      </c>
      <c r="Y170" s="320"/>
      <c r="Z170" s="321" t="str">
        <f t="shared" si="74"/>
        <v>X-EXR02A</v>
      </c>
      <c r="AA170" s="321" t="str">
        <f t="shared" si="75"/>
        <v>X-EXR02E</v>
      </c>
      <c r="AB170" s="321" t="str">
        <f t="shared" si="76"/>
        <v>X-EXR02M</v>
      </c>
      <c r="AC170" s="321" t="str">
        <f t="shared" si="77"/>
        <v>X-EXR02T</v>
      </c>
      <c r="AD170" s="321" t="str">
        <f t="shared" si="78"/>
        <v>X-EXR02S</v>
      </c>
      <c r="AE170" s="321" t="str">
        <f t="shared" si="79"/>
        <v>X-EXR02X</v>
      </c>
      <c r="AF170" s="321" t="str">
        <f t="shared" si="80"/>
        <v>X-EXR02M</v>
      </c>
      <c r="AG170" s="321">
        <f t="shared" si="68"/>
        <v>39</v>
      </c>
      <c r="AH170" s="321"/>
      <c r="AI170" s="321" t="str">
        <f t="shared" si="81"/>
        <v>X-EXR02</v>
      </c>
      <c r="AJ170" s="320"/>
      <c r="AK170" s="322">
        <f t="shared" si="69"/>
        <v>141</v>
      </c>
      <c r="AL170" s="323">
        <f t="shared" si="82"/>
        <v>179</v>
      </c>
      <c r="AM170" s="322">
        <f t="shared" si="83"/>
        <v>30</v>
      </c>
      <c r="AN170" s="381">
        <f t="shared" si="70"/>
        <v>0.61</v>
      </c>
      <c r="AO170" s="322"/>
    </row>
    <row r="171" spans="2:41">
      <c r="B171" s="324" t="s">
        <v>1422</v>
      </c>
      <c r="C171" s="325" t="s">
        <v>1456</v>
      </c>
      <c r="D171" s="326" t="s">
        <v>1384</v>
      </c>
      <c r="E171" s="327">
        <f>+SUMIF('AUX-NIV2'!I:I,'AUX-NIV3'!B171,'AUX-NIV2'!Q:Q)</f>
        <v>0</v>
      </c>
      <c r="F171" s="327" t="e">
        <f t="shared" si="60"/>
        <v>#N/A</v>
      </c>
      <c r="G171" s="327" t="e">
        <f t="shared" si="61"/>
        <v>#N/A</v>
      </c>
      <c r="H171" s="328" t="str">
        <f t="shared" si="85"/>
        <v>M</v>
      </c>
      <c r="I171" s="325" t="s">
        <v>1437</v>
      </c>
      <c r="J171" s="329" t="str">
        <f>IF(B171&lt;&gt;"",+VLOOKUP(I171,Recursos!C:F,2,FALSE),"")</f>
        <v>MECHA LENTA</v>
      </c>
      <c r="K171" s="330" t="str">
        <f>IF(B171&lt;&gt;"",+VLOOKUP(I171,Recursos!C:F,3,FALSE),"")</f>
        <v>m</v>
      </c>
      <c r="L171" s="327">
        <f>IF(B171&lt;&gt;"",+VLOOKUP(I171,Recursos!C:F,4,FALSE),"")</f>
        <v>26.45</v>
      </c>
      <c r="M171" s="416"/>
      <c r="N171" s="416">
        <v>5.0000000000000001E-3</v>
      </c>
      <c r="O171" s="332">
        <f t="shared" si="87"/>
        <v>3.2500000000000003E-3</v>
      </c>
      <c r="P171" s="333">
        <f t="shared" si="71"/>
        <v>8.5962500000000011E-2</v>
      </c>
      <c r="Q171" s="327">
        <f t="shared" si="72"/>
        <v>0</v>
      </c>
      <c r="R171" s="334">
        <f t="shared" si="73"/>
        <v>0</v>
      </c>
      <c r="S171" s="335" t="e">
        <f t="shared" si="62"/>
        <v>#N/A</v>
      </c>
      <c r="T171" s="335">
        <f t="shared" si="63"/>
        <v>122.09010208333332</v>
      </c>
      <c r="U171" s="336">
        <f t="shared" si="64"/>
        <v>237.77622197218253</v>
      </c>
      <c r="V171" s="336">
        <f t="shared" si="65"/>
        <v>0</v>
      </c>
      <c r="W171" s="336">
        <f t="shared" si="66"/>
        <v>0</v>
      </c>
      <c r="X171" s="336">
        <f t="shared" si="67"/>
        <v>0</v>
      </c>
      <c r="Y171" s="320"/>
      <c r="Z171" s="321" t="str">
        <f t="shared" si="74"/>
        <v>X-EXR02A</v>
      </c>
      <c r="AA171" s="321" t="str">
        <f t="shared" si="75"/>
        <v>X-EXR02E</v>
      </c>
      <c r="AB171" s="321" t="str">
        <f t="shared" si="76"/>
        <v>X-EXR02M</v>
      </c>
      <c r="AC171" s="321" t="str">
        <f t="shared" si="77"/>
        <v>X-EXR02T</v>
      </c>
      <c r="AD171" s="321" t="str">
        <f t="shared" si="78"/>
        <v>X-EXR02S</v>
      </c>
      <c r="AE171" s="321" t="str">
        <f t="shared" si="79"/>
        <v>X-EXR02X</v>
      </c>
      <c r="AF171" s="321" t="str">
        <f t="shared" si="80"/>
        <v>X-EXR02M</v>
      </c>
      <c r="AG171" s="321">
        <f t="shared" si="68"/>
        <v>39</v>
      </c>
      <c r="AH171" s="321"/>
      <c r="AI171" s="321" t="str">
        <f t="shared" si="81"/>
        <v>X-EXR02</v>
      </c>
      <c r="AJ171" s="320"/>
      <c r="AK171" s="322">
        <f t="shared" si="69"/>
        <v>141</v>
      </c>
      <c r="AL171" s="323">
        <f t="shared" si="82"/>
        <v>179</v>
      </c>
      <c r="AM171" s="322">
        <f t="shared" si="83"/>
        <v>31</v>
      </c>
      <c r="AN171" s="381">
        <f t="shared" si="70"/>
        <v>0.61</v>
      </c>
      <c r="AO171" s="322"/>
    </row>
    <row r="172" spans="2:41">
      <c r="B172" s="324" t="s">
        <v>1422</v>
      </c>
      <c r="C172" s="325" t="s">
        <v>1456</v>
      </c>
      <c r="D172" s="326" t="s">
        <v>1384</v>
      </c>
      <c r="E172" s="327">
        <f>+SUMIF('AUX-NIV2'!I:I,'AUX-NIV3'!B172,'AUX-NIV2'!Q:Q)</f>
        <v>0</v>
      </c>
      <c r="F172" s="327" t="e">
        <f t="shared" si="60"/>
        <v>#N/A</v>
      </c>
      <c r="G172" s="327" t="e">
        <f t="shared" si="61"/>
        <v>#N/A</v>
      </c>
      <c r="H172" s="328" t="str">
        <f t="shared" si="85"/>
        <v>M</v>
      </c>
      <c r="I172" s="325" t="s">
        <v>1438</v>
      </c>
      <c r="J172" s="329" t="str">
        <f>IF(B172&lt;&gt;"",+VLOOKUP(I172,Recursos!C:F,2,FALSE),"")</f>
        <v>FULMINANTE #8</v>
      </c>
      <c r="K172" s="330" t="str">
        <f>IF(B172&lt;&gt;"",+VLOOKUP(I172,Recursos!C:F,3,FALSE),"")</f>
        <v>Un</v>
      </c>
      <c r="L172" s="327">
        <f>IF(B172&lt;&gt;"",+VLOOKUP(I172,Recursos!C:F,4,FALSE),"")</f>
        <v>23.574999999999999</v>
      </c>
      <c r="M172" s="416"/>
      <c r="N172" s="416">
        <v>1.6670000000000001E-3</v>
      </c>
      <c r="O172" s="332">
        <f t="shared" si="87"/>
        <v>1.0835500000000002E-3</v>
      </c>
      <c r="P172" s="333">
        <f t="shared" si="71"/>
        <v>2.5544691250000005E-2</v>
      </c>
      <c r="Q172" s="327">
        <f t="shared" si="72"/>
        <v>0</v>
      </c>
      <c r="R172" s="334">
        <f t="shared" si="73"/>
        <v>0</v>
      </c>
      <c r="S172" s="335" t="e">
        <f t="shared" si="62"/>
        <v>#N/A</v>
      </c>
      <c r="T172" s="335">
        <f t="shared" si="63"/>
        <v>122.09010208333332</v>
      </c>
      <c r="U172" s="336">
        <f t="shared" si="64"/>
        <v>237.77622197218253</v>
      </c>
      <c r="V172" s="336">
        <f t="shared" si="65"/>
        <v>0</v>
      </c>
      <c r="W172" s="336">
        <f t="shared" si="66"/>
        <v>0</v>
      </c>
      <c r="X172" s="336">
        <f t="shared" si="67"/>
        <v>0</v>
      </c>
      <c r="Y172" s="320"/>
      <c r="Z172" s="321" t="str">
        <f t="shared" si="74"/>
        <v>X-EXR02A</v>
      </c>
      <c r="AA172" s="321" t="str">
        <f t="shared" si="75"/>
        <v>X-EXR02E</v>
      </c>
      <c r="AB172" s="321" t="str">
        <f t="shared" si="76"/>
        <v>X-EXR02M</v>
      </c>
      <c r="AC172" s="321" t="str">
        <f t="shared" si="77"/>
        <v>X-EXR02T</v>
      </c>
      <c r="AD172" s="321" t="str">
        <f t="shared" si="78"/>
        <v>X-EXR02S</v>
      </c>
      <c r="AE172" s="321" t="str">
        <f t="shared" si="79"/>
        <v>X-EXR02X</v>
      </c>
      <c r="AF172" s="321" t="str">
        <f t="shared" si="80"/>
        <v>X-EXR02M</v>
      </c>
      <c r="AG172" s="321">
        <f t="shared" si="68"/>
        <v>39</v>
      </c>
      <c r="AH172" s="321"/>
      <c r="AI172" s="321" t="str">
        <f t="shared" si="81"/>
        <v>X-EXR02</v>
      </c>
      <c r="AJ172" s="320"/>
      <c r="AK172" s="322">
        <f t="shared" si="69"/>
        <v>141</v>
      </c>
      <c r="AL172" s="323">
        <f t="shared" si="82"/>
        <v>179</v>
      </c>
      <c r="AM172" s="322">
        <f t="shared" si="83"/>
        <v>32</v>
      </c>
      <c r="AN172" s="381">
        <f t="shared" si="70"/>
        <v>0.61</v>
      </c>
      <c r="AO172" s="322"/>
    </row>
    <row r="173" spans="2:41">
      <c r="B173" s="324" t="s">
        <v>1422</v>
      </c>
      <c r="C173" s="325" t="s">
        <v>1456</v>
      </c>
      <c r="D173" s="326" t="s">
        <v>1384</v>
      </c>
      <c r="E173" s="327">
        <f>+SUMIF('AUX-NIV2'!I:I,'AUX-NIV3'!B173,'AUX-NIV2'!Q:Q)</f>
        <v>0</v>
      </c>
      <c r="F173" s="327" t="e">
        <f t="shared" si="60"/>
        <v>#N/A</v>
      </c>
      <c r="G173" s="327" t="e">
        <f t="shared" si="61"/>
        <v>#N/A</v>
      </c>
      <c r="H173" s="328" t="str">
        <f t="shared" si="85"/>
        <v>M</v>
      </c>
      <c r="I173" s="325" t="s">
        <v>1439</v>
      </c>
      <c r="J173" s="329" t="str">
        <f>IF(B173&lt;&gt;"",+VLOOKUP(I173,Recursos!C:F,2,FALSE),"")</f>
        <v>FULMINANTE NONEL L=14 pies</v>
      </c>
      <c r="K173" s="330" t="str">
        <f>IF(B173&lt;&gt;"",+VLOOKUP(I173,Recursos!C:F,3,FALSE),"")</f>
        <v>Un</v>
      </c>
      <c r="L173" s="327">
        <f>IF(B173&lt;&gt;"",+VLOOKUP(I173,Recursos!C:F,4,FALSE),"")</f>
        <v>272.55</v>
      </c>
      <c r="M173" s="416"/>
      <c r="N173" s="416">
        <v>0.1925</v>
      </c>
      <c r="O173" s="332">
        <f t="shared" si="87"/>
        <v>0.12512500000000001</v>
      </c>
      <c r="P173" s="333">
        <f t="shared" si="71"/>
        <v>34.102818750000004</v>
      </c>
      <c r="Q173" s="327">
        <f t="shared" si="72"/>
        <v>0</v>
      </c>
      <c r="R173" s="334">
        <f t="shared" si="73"/>
        <v>0</v>
      </c>
      <c r="S173" s="335" t="e">
        <f t="shared" si="62"/>
        <v>#N/A</v>
      </c>
      <c r="T173" s="335">
        <f t="shared" si="63"/>
        <v>122.09010208333332</v>
      </c>
      <c r="U173" s="336">
        <f t="shared" si="64"/>
        <v>237.77622197218253</v>
      </c>
      <c r="V173" s="336">
        <f t="shared" si="65"/>
        <v>0</v>
      </c>
      <c r="W173" s="336">
        <f t="shared" si="66"/>
        <v>0</v>
      </c>
      <c r="X173" s="336">
        <f t="shared" si="67"/>
        <v>0</v>
      </c>
      <c r="Y173" s="320"/>
      <c r="Z173" s="321" t="str">
        <f t="shared" si="74"/>
        <v>X-EXR02A</v>
      </c>
      <c r="AA173" s="321" t="str">
        <f t="shared" si="75"/>
        <v>X-EXR02E</v>
      </c>
      <c r="AB173" s="321" t="str">
        <f t="shared" si="76"/>
        <v>X-EXR02M</v>
      </c>
      <c r="AC173" s="321" t="str">
        <f t="shared" si="77"/>
        <v>X-EXR02T</v>
      </c>
      <c r="AD173" s="321" t="str">
        <f t="shared" si="78"/>
        <v>X-EXR02S</v>
      </c>
      <c r="AE173" s="321" t="str">
        <f t="shared" si="79"/>
        <v>X-EXR02X</v>
      </c>
      <c r="AF173" s="321" t="str">
        <f t="shared" si="80"/>
        <v>X-EXR02M</v>
      </c>
      <c r="AG173" s="321">
        <f t="shared" si="68"/>
        <v>39</v>
      </c>
      <c r="AH173" s="321"/>
      <c r="AI173" s="321" t="str">
        <f t="shared" si="81"/>
        <v>X-EXR02</v>
      </c>
      <c r="AJ173" s="320"/>
      <c r="AK173" s="322">
        <f t="shared" si="69"/>
        <v>141</v>
      </c>
      <c r="AL173" s="323">
        <f t="shared" si="82"/>
        <v>179</v>
      </c>
      <c r="AM173" s="322">
        <f t="shared" si="83"/>
        <v>33</v>
      </c>
      <c r="AN173" s="381">
        <f t="shared" si="70"/>
        <v>0.61</v>
      </c>
      <c r="AO173" s="322"/>
    </row>
    <row r="174" spans="2:41">
      <c r="B174" s="324" t="s">
        <v>1422</v>
      </c>
      <c r="C174" s="325" t="s">
        <v>1456</v>
      </c>
      <c r="D174" s="326" t="s">
        <v>1384</v>
      </c>
      <c r="E174" s="327">
        <f>+SUMIF('AUX-NIV2'!I:I,'AUX-NIV3'!B174,'AUX-NIV2'!Q:Q)</f>
        <v>0</v>
      </c>
      <c r="F174" s="327" t="e">
        <f t="shared" si="60"/>
        <v>#N/A</v>
      </c>
      <c r="G174" s="327" t="e">
        <f t="shared" si="61"/>
        <v>#N/A</v>
      </c>
      <c r="H174" s="328" t="str">
        <f t="shared" si="85"/>
        <v>M</v>
      </c>
      <c r="I174" s="325" t="s">
        <v>1440</v>
      </c>
      <c r="J174" s="329" t="str">
        <f>IF(B174&lt;&gt;"",+VLOOKUP(I174,Recursos!C:F,2,FALSE),"")</f>
        <v>EXPLOSIVO EN PLUMILLAS</v>
      </c>
      <c r="K174" s="330" t="str">
        <f>IF(B174&lt;&gt;"",+VLOOKUP(I174,Recursos!C:F,3,FALSE),"")</f>
        <v>Kg</v>
      </c>
      <c r="L174" s="327">
        <f>IF(B174&lt;&gt;"",+VLOOKUP(I174,Recursos!C:F,4,FALSE),"")</f>
        <v>460</v>
      </c>
      <c r="M174" s="416">
        <v>0.1</v>
      </c>
      <c r="N174" s="416">
        <v>0.25</v>
      </c>
      <c r="O174" s="332">
        <f>+N174*$M$129*M174</f>
        <v>1.6250000000000001E-2</v>
      </c>
      <c r="P174" s="333">
        <f t="shared" si="71"/>
        <v>7.4750000000000005</v>
      </c>
      <c r="Q174" s="327">
        <f t="shared" si="72"/>
        <v>0</v>
      </c>
      <c r="R174" s="334">
        <f t="shared" si="73"/>
        <v>0</v>
      </c>
      <c r="S174" s="335" t="e">
        <f t="shared" si="62"/>
        <v>#N/A</v>
      </c>
      <c r="T174" s="335">
        <f t="shared" si="63"/>
        <v>122.09010208333332</v>
      </c>
      <c r="U174" s="336">
        <f t="shared" si="64"/>
        <v>237.77622197218253</v>
      </c>
      <c r="V174" s="336">
        <f t="shared" si="65"/>
        <v>0</v>
      </c>
      <c r="W174" s="336">
        <f t="shared" si="66"/>
        <v>0</v>
      </c>
      <c r="X174" s="336">
        <f t="shared" si="67"/>
        <v>0</v>
      </c>
      <c r="Y174" s="320"/>
      <c r="Z174" s="321" t="str">
        <f t="shared" si="74"/>
        <v>X-EXR02A</v>
      </c>
      <c r="AA174" s="321" t="str">
        <f t="shared" si="75"/>
        <v>X-EXR02E</v>
      </c>
      <c r="AB174" s="321" t="str">
        <f t="shared" si="76"/>
        <v>X-EXR02M</v>
      </c>
      <c r="AC174" s="321" t="str">
        <f t="shared" si="77"/>
        <v>X-EXR02T</v>
      </c>
      <c r="AD174" s="321" t="str">
        <f t="shared" si="78"/>
        <v>X-EXR02S</v>
      </c>
      <c r="AE174" s="321" t="str">
        <f t="shared" si="79"/>
        <v>X-EXR02X</v>
      </c>
      <c r="AF174" s="321" t="str">
        <f t="shared" si="80"/>
        <v>X-EXR02M</v>
      </c>
      <c r="AG174" s="321">
        <f t="shared" si="68"/>
        <v>39</v>
      </c>
      <c r="AH174" s="321"/>
      <c r="AI174" s="321" t="str">
        <f t="shared" si="81"/>
        <v>X-EXR02</v>
      </c>
      <c r="AJ174" s="320"/>
      <c r="AK174" s="322">
        <f t="shared" si="69"/>
        <v>141</v>
      </c>
      <c r="AL174" s="323">
        <f t="shared" si="82"/>
        <v>179</v>
      </c>
      <c r="AM174" s="322">
        <f t="shared" si="83"/>
        <v>34</v>
      </c>
      <c r="AN174" s="381">
        <f t="shared" si="70"/>
        <v>0.61</v>
      </c>
      <c r="AO174" s="322"/>
    </row>
    <row r="175" spans="2:41">
      <c r="B175" s="324" t="s">
        <v>1422</v>
      </c>
      <c r="C175" s="325" t="s">
        <v>1456</v>
      </c>
      <c r="D175" s="326" t="s">
        <v>1384</v>
      </c>
      <c r="E175" s="327">
        <f>+SUMIF('AUX-NIV2'!I:I,'AUX-NIV3'!B175,'AUX-NIV2'!Q:Q)</f>
        <v>0</v>
      </c>
      <c r="F175" s="327" t="e">
        <f t="shared" si="60"/>
        <v>#N/A</v>
      </c>
      <c r="G175" s="327" t="e">
        <f t="shared" si="61"/>
        <v>#N/A</v>
      </c>
      <c r="H175" s="328" t="str">
        <f t="shared" si="85"/>
        <v>M</v>
      </c>
      <c r="I175" s="325" t="s">
        <v>1436</v>
      </c>
      <c r="J175" s="329" t="str">
        <f>IF(B175&lt;&gt;"",+VLOOKUP(I175,Recursos!C:F,2,FALSE),"")</f>
        <v>CORDON DETONANTE 5 gr/m</v>
      </c>
      <c r="K175" s="330" t="str">
        <f>IF(B175&lt;&gt;"",+VLOOKUP(I175,Recursos!C:F,3,FALSE),"")</f>
        <v>m</v>
      </c>
      <c r="L175" s="327">
        <f>IF(B175&lt;&gt;"",+VLOOKUP(I175,Recursos!C:F,4,FALSE),"")</f>
        <v>28.75</v>
      </c>
      <c r="M175" s="416"/>
      <c r="N175" s="416">
        <v>0.5</v>
      </c>
      <c r="O175" s="332">
        <f>+N175*$M$129*M174</f>
        <v>3.2500000000000001E-2</v>
      </c>
      <c r="P175" s="333">
        <f t="shared" si="71"/>
        <v>0.93437500000000007</v>
      </c>
      <c r="Q175" s="327">
        <f t="shared" si="72"/>
        <v>0</v>
      </c>
      <c r="R175" s="334">
        <f t="shared" si="73"/>
        <v>0</v>
      </c>
      <c r="S175" s="335" t="e">
        <f t="shared" si="62"/>
        <v>#N/A</v>
      </c>
      <c r="T175" s="335">
        <f t="shared" si="63"/>
        <v>122.09010208333332</v>
      </c>
      <c r="U175" s="336">
        <f t="shared" si="64"/>
        <v>237.77622197218253</v>
      </c>
      <c r="V175" s="336">
        <f t="shared" si="65"/>
        <v>0</v>
      </c>
      <c r="W175" s="336">
        <f t="shared" si="66"/>
        <v>0</v>
      </c>
      <c r="X175" s="336">
        <f t="shared" si="67"/>
        <v>0</v>
      </c>
      <c r="Y175" s="320"/>
      <c r="Z175" s="321" t="str">
        <f t="shared" si="74"/>
        <v>X-EXR02A</v>
      </c>
      <c r="AA175" s="321" t="str">
        <f t="shared" si="75"/>
        <v>X-EXR02E</v>
      </c>
      <c r="AB175" s="321" t="str">
        <f t="shared" si="76"/>
        <v>X-EXR02M</v>
      </c>
      <c r="AC175" s="321" t="str">
        <f t="shared" si="77"/>
        <v>X-EXR02T</v>
      </c>
      <c r="AD175" s="321" t="str">
        <f t="shared" si="78"/>
        <v>X-EXR02S</v>
      </c>
      <c r="AE175" s="321" t="str">
        <f t="shared" si="79"/>
        <v>X-EXR02X</v>
      </c>
      <c r="AF175" s="321" t="str">
        <f t="shared" si="80"/>
        <v>X-EXR02M</v>
      </c>
      <c r="AG175" s="321">
        <f t="shared" si="68"/>
        <v>39</v>
      </c>
      <c r="AH175" s="321"/>
      <c r="AI175" s="321" t="str">
        <f t="shared" si="81"/>
        <v>X-EXR02</v>
      </c>
      <c r="AJ175" s="320"/>
      <c r="AK175" s="322">
        <f t="shared" si="69"/>
        <v>141</v>
      </c>
      <c r="AL175" s="323">
        <f t="shared" si="82"/>
        <v>179</v>
      </c>
      <c r="AM175" s="322">
        <f t="shared" si="83"/>
        <v>35</v>
      </c>
      <c r="AN175" s="381">
        <f t="shared" si="70"/>
        <v>0.61</v>
      </c>
      <c r="AO175" s="322"/>
    </row>
    <row r="176" spans="2:41">
      <c r="B176" s="324" t="s">
        <v>1422</v>
      </c>
      <c r="C176" s="325" t="s">
        <v>1456</v>
      </c>
      <c r="D176" s="326" t="s">
        <v>1384</v>
      </c>
      <c r="E176" s="327">
        <f>+SUMIF('AUX-NIV2'!I:I,'AUX-NIV3'!B176,'AUX-NIV2'!Q:Q)</f>
        <v>0</v>
      </c>
      <c r="F176" s="327" t="e">
        <f t="shared" si="60"/>
        <v>#N/A</v>
      </c>
      <c r="G176" s="327" t="e">
        <f t="shared" si="61"/>
        <v>#N/A</v>
      </c>
      <c r="H176" s="328" t="str">
        <f t="shared" si="85"/>
        <v>M</v>
      </c>
      <c r="I176" s="325" t="s">
        <v>1438</v>
      </c>
      <c r="J176" s="329" t="str">
        <f>IF(B176&lt;&gt;"",+VLOOKUP(I176,Recursos!C:F,2,FALSE),"")</f>
        <v>FULMINANTE #8</v>
      </c>
      <c r="K176" s="330" t="str">
        <f>IF(B176&lt;&gt;"",+VLOOKUP(I176,Recursos!C:F,3,FALSE),"")</f>
        <v>Un</v>
      </c>
      <c r="L176" s="327">
        <f>IF(B176&lt;&gt;"",+VLOOKUP(I176,Recursos!C:F,4,FALSE),"")</f>
        <v>23.574999999999999</v>
      </c>
      <c r="M176" s="416"/>
      <c r="N176" s="416">
        <v>0.3125</v>
      </c>
      <c r="O176" s="332">
        <f>+N176*$M$129*M174</f>
        <v>2.0312500000000001E-2</v>
      </c>
      <c r="P176" s="333">
        <f t="shared" si="71"/>
        <v>0.47886718750000001</v>
      </c>
      <c r="Q176" s="327">
        <f t="shared" si="72"/>
        <v>0</v>
      </c>
      <c r="R176" s="334">
        <f t="shared" si="73"/>
        <v>0</v>
      </c>
      <c r="S176" s="335" t="e">
        <f t="shared" si="62"/>
        <v>#N/A</v>
      </c>
      <c r="T176" s="335">
        <f t="shared" si="63"/>
        <v>122.09010208333332</v>
      </c>
      <c r="U176" s="336">
        <f t="shared" si="64"/>
        <v>237.77622197218253</v>
      </c>
      <c r="V176" s="336">
        <f t="shared" si="65"/>
        <v>0</v>
      </c>
      <c r="W176" s="336">
        <f t="shared" si="66"/>
        <v>0</v>
      </c>
      <c r="X176" s="336">
        <f t="shared" si="67"/>
        <v>0</v>
      </c>
      <c r="Y176" s="320"/>
      <c r="Z176" s="321" t="str">
        <f t="shared" si="74"/>
        <v>X-EXR02A</v>
      </c>
      <c r="AA176" s="321" t="str">
        <f t="shared" si="75"/>
        <v>X-EXR02E</v>
      </c>
      <c r="AB176" s="321" t="str">
        <f t="shared" si="76"/>
        <v>X-EXR02M</v>
      </c>
      <c r="AC176" s="321" t="str">
        <f t="shared" si="77"/>
        <v>X-EXR02T</v>
      </c>
      <c r="AD176" s="321" t="str">
        <f t="shared" si="78"/>
        <v>X-EXR02S</v>
      </c>
      <c r="AE176" s="321" t="str">
        <f t="shared" si="79"/>
        <v>X-EXR02X</v>
      </c>
      <c r="AF176" s="321" t="str">
        <f t="shared" si="80"/>
        <v>X-EXR02M</v>
      </c>
      <c r="AG176" s="321">
        <f t="shared" si="68"/>
        <v>39</v>
      </c>
      <c r="AH176" s="321"/>
      <c r="AI176" s="321" t="str">
        <f t="shared" si="81"/>
        <v>X-EXR02</v>
      </c>
      <c r="AJ176" s="320"/>
      <c r="AK176" s="322">
        <f t="shared" si="69"/>
        <v>141</v>
      </c>
      <c r="AL176" s="323">
        <f t="shared" si="82"/>
        <v>179</v>
      </c>
      <c r="AM176" s="322">
        <f t="shared" si="83"/>
        <v>36</v>
      </c>
      <c r="AN176" s="381">
        <f t="shared" si="70"/>
        <v>0.61</v>
      </c>
      <c r="AO176" s="322"/>
    </row>
    <row r="177" spans="2:41">
      <c r="B177" s="324" t="s">
        <v>1422</v>
      </c>
      <c r="C177" s="325" t="s">
        <v>1456</v>
      </c>
      <c r="D177" s="326" t="s">
        <v>1384</v>
      </c>
      <c r="E177" s="327">
        <f>+SUMIF('AUX-NIV2'!I:I,'AUX-NIV3'!B177,'AUX-NIV2'!Q:Q)</f>
        <v>0</v>
      </c>
      <c r="F177" s="327" t="e">
        <f t="shared" si="60"/>
        <v>#N/A</v>
      </c>
      <c r="G177" s="327" t="e">
        <f t="shared" si="61"/>
        <v>#N/A</v>
      </c>
      <c r="H177" s="328" t="str">
        <f>IF(B177&lt;&gt;"",+LEFT(I177,1),"")</f>
        <v>E</v>
      </c>
      <c r="I177" s="325" t="s">
        <v>3301</v>
      </c>
      <c r="J177" s="329" t="str">
        <f>IF(B177&lt;&gt;"",+VLOOKUP(I177,Recursos!C:F,2,FALSE),"")</f>
        <v>TOPADORA CON ESC.(39 T) 302 HP</v>
      </c>
      <c r="K177" s="330" t="str">
        <f>IF(B177&lt;&gt;"",+VLOOKUP(I177,Recursos!C:F,3,FALSE),"")</f>
        <v>HR</v>
      </c>
      <c r="L177" s="327">
        <f>IF(B177&lt;&gt;"",+VLOOKUP(I177,Recursos!C:F,4,FALSE),"")</f>
        <v>7320.3390000000009</v>
      </c>
      <c r="M177" s="416"/>
      <c r="N177" s="416"/>
      <c r="O177" s="332"/>
      <c r="P177" s="333">
        <f t="shared" si="71"/>
        <v>0</v>
      </c>
      <c r="Q177" s="327">
        <f t="shared" si="72"/>
        <v>0</v>
      </c>
      <c r="R177" s="334">
        <f t="shared" si="73"/>
        <v>0</v>
      </c>
      <c r="S177" s="335" t="e">
        <f t="shared" si="62"/>
        <v>#N/A</v>
      </c>
      <c r="T177" s="335">
        <f t="shared" si="63"/>
        <v>122.09010208333332</v>
      </c>
      <c r="U177" s="336">
        <f t="shared" si="64"/>
        <v>237.77622197218253</v>
      </c>
      <c r="V177" s="336">
        <f t="shared" si="65"/>
        <v>0</v>
      </c>
      <c r="W177" s="336">
        <f t="shared" si="66"/>
        <v>0</v>
      </c>
      <c r="X177" s="336">
        <f t="shared" si="67"/>
        <v>0</v>
      </c>
      <c r="Y177" s="320"/>
      <c r="Z177" s="321" t="str">
        <f t="shared" si="74"/>
        <v>X-EXR02A</v>
      </c>
      <c r="AA177" s="321" t="str">
        <f t="shared" si="75"/>
        <v>X-EXR02E</v>
      </c>
      <c r="AB177" s="321" t="str">
        <f t="shared" si="76"/>
        <v>X-EXR02M</v>
      </c>
      <c r="AC177" s="321" t="str">
        <f t="shared" si="77"/>
        <v>X-EXR02T</v>
      </c>
      <c r="AD177" s="321" t="str">
        <f t="shared" si="78"/>
        <v>X-EXR02S</v>
      </c>
      <c r="AE177" s="321" t="str">
        <f t="shared" si="79"/>
        <v>X-EXR02X</v>
      </c>
      <c r="AF177" s="321" t="str">
        <f t="shared" si="80"/>
        <v>X-EXR02E</v>
      </c>
      <c r="AG177" s="321">
        <f t="shared" si="68"/>
        <v>39</v>
      </c>
      <c r="AH177" s="321"/>
      <c r="AI177" s="321" t="str">
        <f t="shared" si="81"/>
        <v>X-EXR02</v>
      </c>
      <c r="AJ177" s="320"/>
      <c r="AK177" s="322">
        <f t="shared" si="69"/>
        <v>141</v>
      </c>
      <c r="AL177" s="323">
        <f t="shared" si="82"/>
        <v>179</v>
      </c>
      <c r="AM177" s="322">
        <f t="shared" si="83"/>
        <v>37</v>
      </c>
      <c r="AN177" s="381">
        <f t="shared" si="70"/>
        <v>0.61</v>
      </c>
      <c r="AO177" s="322"/>
    </row>
    <row r="178" spans="2:41">
      <c r="B178" s="324" t="s">
        <v>1422</v>
      </c>
      <c r="C178" s="325" t="s">
        <v>1456</v>
      </c>
      <c r="D178" s="326" t="s">
        <v>1384</v>
      </c>
      <c r="E178" s="327">
        <f>+SUMIF('AUX-NIV2'!I:I,'AUX-NIV3'!B178,'AUX-NIV2'!Q:Q)</f>
        <v>0</v>
      </c>
      <c r="F178" s="327" t="e">
        <f t="shared" si="60"/>
        <v>#N/A</v>
      </c>
      <c r="G178" s="327" t="e">
        <f t="shared" si="61"/>
        <v>#N/A</v>
      </c>
      <c r="H178" s="328" t="str">
        <f>IF(B178&lt;&gt;"",+LEFT(I178,1),"")</f>
        <v>A</v>
      </c>
      <c r="I178" s="325" t="s">
        <v>3314</v>
      </c>
      <c r="J178" s="329" t="e">
        <f>IF(B178&lt;&gt;"",+VLOOKUP(I178,Recursos!C:F,2,FALSE),"")</f>
        <v>#N/A</v>
      </c>
      <c r="K178" s="330" t="e">
        <f>IF(B178&lt;&gt;"",+VLOOKUP(I178,Recursos!C:F,3,FALSE),"")</f>
        <v>#N/A</v>
      </c>
      <c r="L178" s="327" t="e">
        <f>IF(B178&lt;&gt;"",+VLOOKUP(I178,Recursos!C:F,4,FALSE),"")</f>
        <v>#N/A</v>
      </c>
      <c r="M178" s="416"/>
      <c r="N178" s="416"/>
      <c r="O178" s="332"/>
      <c r="P178" s="333" t="e">
        <f t="shared" si="71"/>
        <v>#N/A</v>
      </c>
      <c r="Q178" s="327">
        <f t="shared" si="72"/>
        <v>0</v>
      </c>
      <c r="R178" s="334" t="e">
        <f t="shared" si="73"/>
        <v>#N/A</v>
      </c>
      <c r="S178" s="335" t="e">
        <f t="shared" si="62"/>
        <v>#N/A</v>
      </c>
      <c r="T178" s="335">
        <f t="shared" si="63"/>
        <v>122.09010208333332</v>
      </c>
      <c r="U178" s="336">
        <f t="shared" si="64"/>
        <v>237.77622197218253</v>
      </c>
      <c r="V178" s="336">
        <f t="shared" si="65"/>
        <v>0</v>
      </c>
      <c r="W178" s="336">
        <f t="shared" si="66"/>
        <v>0</v>
      </c>
      <c r="X178" s="336">
        <f t="shared" si="67"/>
        <v>0</v>
      </c>
      <c r="Y178" s="320"/>
      <c r="Z178" s="321" t="str">
        <f t="shared" si="74"/>
        <v>X-EXR02A</v>
      </c>
      <c r="AA178" s="321" t="str">
        <f t="shared" si="75"/>
        <v>X-EXR02E</v>
      </c>
      <c r="AB178" s="321" t="str">
        <f t="shared" si="76"/>
        <v>X-EXR02M</v>
      </c>
      <c r="AC178" s="321" t="str">
        <f t="shared" si="77"/>
        <v>X-EXR02T</v>
      </c>
      <c r="AD178" s="321" t="str">
        <f t="shared" si="78"/>
        <v>X-EXR02S</v>
      </c>
      <c r="AE178" s="321" t="str">
        <f t="shared" si="79"/>
        <v>X-EXR02X</v>
      </c>
      <c r="AF178" s="321" t="str">
        <f t="shared" si="80"/>
        <v>X-EXR02A</v>
      </c>
      <c r="AG178" s="321">
        <f t="shared" si="68"/>
        <v>39</v>
      </c>
      <c r="AH178" s="321"/>
      <c r="AI178" s="321" t="str">
        <f t="shared" si="81"/>
        <v>X-EXR02</v>
      </c>
      <c r="AJ178" s="320"/>
      <c r="AK178" s="322">
        <f t="shared" si="69"/>
        <v>141</v>
      </c>
      <c r="AL178" s="323">
        <f t="shared" si="82"/>
        <v>179</v>
      </c>
      <c r="AM178" s="322">
        <f t="shared" si="83"/>
        <v>38</v>
      </c>
      <c r="AN178" s="381">
        <f t="shared" si="70"/>
        <v>0.61</v>
      </c>
      <c r="AO178" s="322"/>
    </row>
    <row r="179" spans="2:41">
      <c r="B179" s="324" t="s">
        <v>1422</v>
      </c>
      <c r="C179" s="325" t="s">
        <v>1456</v>
      </c>
      <c r="D179" s="326" t="s">
        <v>1384</v>
      </c>
      <c r="E179" s="327">
        <f>+SUMIF('AUX-NIV2'!I:I,'AUX-NIV3'!B179,'AUX-NIV2'!Q:Q)</f>
        <v>0</v>
      </c>
      <c r="F179" s="327" t="e">
        <f t="shared" si="60"/>
        <v>#N/A</v>
      </c>
      <c r="G179" s="327" t="e">
        <f t="shared" si="61"/>
        <v>#N/A</v>
      </c>
      <c r="H179" s="328" t="str">
        <f>IF(B179&lt;&gt;"",+LEFT(I179,1),"")</f>
        <v>A</v>
      </c>
      <c r="I179" s="325" t="s">
        <v>3311</v>
      </c>
      <c r="J179" s="329" t="str">
        <f>IF(B179&lt;&gt;"",+VLOOKUP(I179,Recursos!C:F,2,FALSE),"")</f>
        <v>OPER. EQUIPO</v>
      </c>
      <c r="K179" s="330" t="str">
        <f>IF(B179&lt;&gt;"",+VLOOKUP(I179,Recursos!C:F,3,FALSE),"")</f>
        <v>hh</v>
      </c>
      <c r="L179" s="327">
        <f>IF(B179&lt;&gt;"",+VLOOKUP(I179,Recursos!C:F,4,FALSE),"")</f>
        <v>581.06120476836554</v>
      </c>
      <c r="M179" s="416"/>
      <c r="N179" s="416"/>
      <c r="O179" s="332"/>
      <c r="P179" s="333">
        <f t="shared" si="71"/>
        <v>0</v>
      </c>
      <c r="Q179" s="327">
        <f t="shared" si="72"/>
        <v>0</v>
      </c>
      <c r="R179" s="334">
        <f t="shared" si="73"/>
        <v>0</v>
      </c>
      <c r="S179" s="335" t="e">
        <f t="shared" si="62"/>
        <v>#N/A</v>
      </c>
      <c r="T179" s="335">
        <f t="shared" si="63"/>
        <v>122.09010208333332</v>
      </c>
      <c r="U179" s="336">
        <f t="shared" si="64"/>
        <v>237.77622197218253</v>
      </c>
      <c r="V179" s="336">
        <f t="shared" si="65"/>
        <v>0</v>
      </c>
      <c r="W179" s="336">
        <f t="shared" si="66"/>
        <v>0</v>
      </c>
      <c r="X179" s="336">
        <f t="shared" si="67"/>
        <v>0</v>
      </c>
      <c r="Y179" s="320"/>
      <c r="Z179" s="321" t="str">
        <f t="shared" si="74"/>
        <v>X-EXR02A</v>
      </c>
      <c r="AA179" s="321" t="str">
        <f t="shared" si="75"/>
        <v>X-EXR02E</v>
      </c>
      <c r="AB179" s="321" t="str">
        <f t="shared" si="76"/>
        <v>X-EXR02M</v>
      </c>
      <c r="AC179" s="321" t="str">
        <f t="shared" si="77"/>
        <v>X-EXR02T</v>
      </c>
      <c r="AD179" s="321" t="str">
        <f t="shared" si="78"/>
        <v>X-EXR02S</v>
      </c>
      <c r="AE179" s="321" t="str">
        <f t="shared" si="79"/>
        <v>X-EXR02X</v>
      </c>
      <c r="AF179" s="321" t="str">
        <f t="shared" si="80"/>
        <v>X-EXR02A</v>
      </c>
      <c r="AG179" s="321">
        <f t="shared" si="68"/>
        <v>39</v>
      </c>
      <c r="AH179" s="321"/>
      <c r="AI179" s="321" t="str">
        <f t="shared" si="81"/>
        <v>X-EXR02</v>
      </c>
      <c r="AJ179" s="320"/>
      <c r="AK179" s="322">
        <f t="shared" si="69"/>
        <v>141</v>
      </c>
      <c r="AL179" s="323">
        <f t="shared" si="82"/>
        <v>179</v>
      </c>
      <c r="AM179" s="322">
        <f t="shared" si="83"/>
        <v>39</v>
      </c>
      <c r="AN179" s="381">
        <f t="shared" si="70"/>
        <v>0.61</v>
      </c>
      <c r="AO179" s="322"/>
    </row>
    <row r="180" spans="2:41">
      <c r="B180" s="324" t="s">
        <v>1423</v>
      </c>
      <c r="C180" s="325" t="s">
        <v>1457</v>
      </c>
      <c r="D180" s="326" t="s">
        <v>1411</v>
      </c>
      <c r="E180" s="327">
        <f>+SUMIF('AUX-NIV2'!I:I,'AUX-NIV3'!B180,'AUX-NIV2'!Q:Q)</f>
        <v>0</v>
      </c>
      <c r="F180" s="327">
        <f t="shared" si="60"/>
        <v>45.577004454215526</v>
      </c>
      <c r="G180" s="327">
        <f t="shared" si="61"/>
        <v>0</v>
      </c>
      <c r="H180" s="328" t="str">
        <f>IF(B180&lt;&gt;"",+LEFT(I180,1),"")</f>
        <v>A</v>
      </c>
      <c r="I180" s="325" t="s">
        <v>3312</v>
      </c>
      <c r="J180" s="329" t="str">
        <f>IF(B180&lt;&gt;"",+VLOOKUP(I180,Recursos!C:F,2,FALSE),"")</f>
        <v>CHOFER</v>
      </c>
      <c r="K180" s="330" t="str">
        <f>IF(B180&lt;&gt;"",+VLOOKUP(I180,Recursos!C:F,3,FALSE),"")</f>
        <v>hh</v>
      </c>
      <c r="L180" s="327">
        <f>IF(B180&lt;&gt;"",+VLOOKUP(I180,Recursos!C:F,4,FALSE),"")</f>
        <v>496.91595439275824</v>
      </c>
      <c r="M180" s="428"/>
      <c r="N180" s="428"/>
      <c r="O180" s="332">
        <f>+O184</f>
        <v>8.0000000000000002E-3</v>
      </c>
      <c r="P180" s="333">
        <f t="shared" si="71"/>
        <v>3.9753276351420661</v>
      </c>
      <c r="Q180" s="327">
        <f t="shared" si="72"/>
        <v>0</v>
      </c>
      <c r="R180" s="334">
        <f t="shared" si="73"/>
        <v>0</v>
      </c>
      <c r="S180" s="335">
        <f t="shared" si="62"/>
        <v>6.2995724542155287</v>
      </c>
      <c r="T180" s="335">
        <f t="shared" si="63"/>
        <v>39.277432000000005</v>
      </c>
      <c r="U180" s="336">
        <f t="shared" si="64"/>
        <v>0</v>
      </c>
      <c r="V180" s="336">
        <f t="shared" si="65"/>
        <v>0</v>
      </c>
      <c r="W180" s="336">
        <f t="shared" si="66"/>
        <v>0</v>
      </c>
      <c r="X180" s="336">
        <f t="shared" si="67"/>
        <v>0</v>
      </c>
      <c r="Y180" s="320"/>
      <c r="Z180" s="321" t="str">
        <f t="shared" si="74"/>
        <v>X-EXST4A</v>
      </c>
      <c r="AA180" s="321" t="str">
        <f t="shared" si="75"/>
        <v>X-EXST4E</v>
      </c>
      <c r="AB180" s="321" t="str">
        <f t="shared" si="76"/>
        <v>X-EXST4M</v>
      </c>
      <c r="AC180" s="321" t="str">
        <f t="shared" si="77"/>
        <v>X-EXST4T</v>
      </c>
      <c r="AD180" s="321" t="str">
        <f t="shared" si="78"/>
        <v>X-EXST4S</v>
      </c>
      <c r="AE180" s="321" t="str">
        <f t="shared" si="79"/>
        <v>X-EXST4X</v>
      </c>
      <c r="AF180" s="321" t="str">
        <f t="shared" si="80"/>
        <v>X-EXST4A</v>
      </c>
      <c r="AG180" s="321">
        <f t="shared" si="68"/>
        <v>5</v>
      </c>
      <c r="AH180" s="321"/>
      <c r="AI180" s="321" t="str">
        <f t="shared" si="81"/>
        <v>X-EXST4</v>
      </c>
      <c r="AJ180" s="320"/>
      <c r="AK180" s="322">
        <f t="shared" si="69"/>
        <v>180</v>
      </c>
      <c r="AL180" s="323">
        <f t="shared" si="82"/>
        <v>184</v>
      </c>
      <c r="AM180" s="322">
        <f t="shared" si="83"/>
        <v>1</v>
      </c>
      <c r="AN180" s="381">
        <f t="shared" si="70"/>
        <v>1.2E-2</v>
      </c>
      <c r="AO180" s="322"/>
    </row>
    <row r="181" spans="2:41">
      <c r="B181" s="324" t="s">
        <v>1423</v>
      </c>
      <c r="C181" s="325" t="s">
        <v>1457</v>
      </c>
      <c r="D181" s="326" t="s">
        <v>1411</v>
      </c>
      <c r="E181" s="327">
        <f>+SUMIF('AUX-NIV2'!I:I,'AUX-NIV3'!B181,'AUX-NIV2'!Q:Q)</f>
        <v>0</v>
      </c>
      <c r="F181" s="327">
        <f t="shared" si="60"/>
        <v>45.577004454215526</v>
      </c>
      <c r="G181" s="327">
        <f t="shared" si="61"/>
        <v>0</v>
      </c>
      <c r="H181" s="328" t="str">
        <f t="shared" ref="H181:H223" si="88">IF(B181&lt;&gt;"",+LEFT(I181,1),"")</f>
        <v>A</v>
      </c>
      <c r="I181" s="325" t="s">
        <v>3310</v>
      </c>
      <c r="J181" s="329" t="str">
        <f>IF(B181&lt;&gt;"",+VLOOKUP(I181,Recursos!C:F,2,FALSE),"")</f>
        <v>OFICIAL ESPECIALIZADO</v>
      </c>
      <c r="K181" s="330" t="str">
        <f>IF(B181&lt;&gt;"",+VLOOKUP(I181,Recursos!C:F,3,FALSE),"")</f>
        <v>hh</v>
      </c>
      <c r="L181" s="327">
        <f>IF(B181&lt;&gt;"",+VLOOKUP(I181,Recursos!C:F,4,FALSE),"")</f>
        <v>581.06120476836554</v>
      </c>
      <c r="M181" s="428"/>
      <c r="N181" s="428"/>
      <c r="O181" s="332">
        <v>0</v>
      </c>
      <c r="P181" s="333">
        <f t="shared" si="71"/>
        <v>0</v>
      </c>
      <c r="Q181" s="327">
        <f t="shared" si="72"/>
        <v>0</v>
      </c>
      <c r="R181" s="334">
        <f t="shared" si="73"/>
        <v>0</v>
      </c>
      <c r="S181" s="335">
        <f t="shared" si="62"/>
        <v>6.2995724542155287</v>
      </c>
      <c r="T181" s="335">
        <f t="shared" si="63"/>
        <v>39.277432000000005</v>
      </c>
      <c r="U181" s="336">
        <f t="shared" si="64"/>
        <v>0</v>
      </c>
      <c r="V181" s="336">
        <f t="shared" si="65"/>
        <v>0</v>
      </c>
      <c r="W181" s="336">
        <f t="shared" si="66"/>
        <v>0</v>
      </c>
      <c r="X181" s="336">
        <f t="shared" si="67"/>
        <v>0</v>
      </c>
      <c r="Y181" s="320"/>
      <c r="Z181" s="321" t="str">
        <f t="shared" si="74"/>
        <v>X-EXST4A</v>
      </c>
      <c r="AA181" s="321" t="str">
        <f t="shared" si="75"/>
        <v>X-EXST4E</v>
      </c>
      <c r="AB181" s="321" t="str">
        <f t="shared" si="76"/>
        <v>X-EXST4M</v>
      </c>
      <c r="AC181" s="321" t="str">
        <f t="shared" si="77"/>
        <v>X-EXST4T</v>
      </c>
      <c r="AD181" s="321" t="str">
        <f t="shared" si="78"/>
        <v>X-EXST4S</v>
      </c>
      <c r="AE181" s="321" t="str">
        <f t="shared" si="79"/>
        <v>X-EXST4X</v>
      </c>
      <c r="AF181" s="321" t="str">
        <f t="shared" si="80"/>
        <v>X-EXST4A</v>
      </c>
      <c r="AG181" s="321">
        <f t="shared" si="68"/>
        <v>5</v>
      </c>
      <c r="AH181" s="321"/>
      <c r="AI181" s="321" t="str">
        <f t="shared" si="81"/>
        <v>X-EXST4</v>
      </c>
      <c r="AJ181" s="320"/>
      <c r="AK181" s="322">
        <f t="shared" si="69"/>
        <v>180</v>
      </c>
      <c r="AL181" s="323">
        <f t="shared" si="82"/>
        <v>184</v>
      </c>
      <c r="AM181" s="322">
        <f t="shared" si="83"/>
        <v>2</v>
      </c>
      <c r="AN181" s="381">
        <f t="shared" si="70"/>
        <v>1.2E-2</v>
      </c>
      <c r="AO181" s="322"/>
    </row>
    <row r="182" spans="2:41">
      <c r="B182" s="324" t="s">
        <v>1423</v>
      </c>
      <c r="C182" s="325" t="s">
        <v>1457</v>
      </c>
      <c r="D182" s="326" t="s">
        <v>1411</v>
      </c>
      <c r="E182" s="327">
        <f>+SUMIF('AUX-NIV2'!I:I,'AUX-NIV3'!B182,'AUX-NIV2'!Q:Q)</f>
        <v>0</v>
      </c>
      <c r="F182" s="327">
        <f t="shared" si="60"/>
        <v>45.577004454215526</v>
      </c>
      <c r="G182" s="327">
        <f t="shared" si="61"/>
        <v>0</v>
      </c>
      <c r="H182" s="328" t="str">
        <f t="shared" si="88"/>
        <v>A</v>
      </c>
      <c r="I182" s="325" t="s">
        <v>3311</v>
      </c>
      <c r="J182" s="329" t="str">
        <f>IF(B182&lt;&gt;"",+VLOOKUP(I182,Recursos!C:F,2,FALSE),"")</f>
        <v>OPER. EQUIPO</v>
      </c>
      <c r="K182" s="330" t="str">
        <f>IF(B182&lt;&gt;"",+VLOOKUP(I182,Recursos!C:F,3,FALSE),"")</f>
        <v>hh</v>
      </c>
      <c r="L182" s="327">
        <f>IF(B182&lt;&gt;"",+VLOOKUP(I182,Recursos!C:F,4,FALSE),"")</f>
        <v>581.06120476836554</v>
      </c>
      <c r="M182" s="428"/>
      <c r="N182" s="428"/>
      <c r="O182" s="332">
        <f>+O183</f>
        <v>4.0000000000000001E-3</v>
      </c>
      <c r="P182" s="333">
        <f t="shared" si="71"/>
        <v>2.3242448190734621</v>
      </c>
      <c r="Q182" s="327">
        <f t="shared" si="72"/>
        <v>0</v>
      </c>
      <c r="R182" s="334">
        <f t="shared" si="73"/>
        <v>0</v>
      </c>
      <c r="S182" s="335">
        <f t="shared" si="62"/>
        <v>6.2995724542155287</v>
      </c>
      <c r="T182" s="335">
        <f t="shared" si="63"/>
        <v>39.277432000000005</v>
      </c>
      <c r="U182" s="336">
        <f t="shared" si="64"/>
        <v>0</v>
      </c>
      <c r="V182" s="336">
        <f t="shared" si="65"/>
        <v>0</v>
      </c>
      <c r="W182" s="336">
        <f t="shared" si="66"/>
        <v>0</v>
      </c>
      <c r="X182" s="336">
        <f t="shared" si="67"/>
        <v>0</v>
      </c>
      <c r="Y182" s="320"/>
      <c r="Z182" s="321" t="str">
        <f t="shared" si="74"/>
        <v>X-EXST4A</v>
      </c>
      <c r="AA182" s="321" t="str">
        <f t="shared" si="75"/>
        <v>X-EXST4E</v>
      </c>
      <c r="AB182" s="321" t="str">
        <f t="shared" si="76"/>
        <v>X-EXST4M</v>
      </c>
      <c r="AC182" s="321" t="str">
        <f t="shared" si="77"/>
        <v>X-EXST4T</v>
      </c>
      <c r="AD182" s="321" t="str">
        <f t="shared" si="78"/>
        <v>X-EXST4S</v>
      </c>
      <c r="AE182" s="321" t="str">
        <f t="shared" si="79"/>
        <v>X-EXST4X</v>
      </c>
      <c r="AF182" s="321" t="str">
        <f t="shared" si="80"/>
        <v>X-EXST4A</v>
      </c>
      <c r="AG182" s="321">
        <f t="shared" si="68"/>
        <v>5</v>
      </c>
      <c r="AH182" s="321"/>
      <c r="AI182" s="321" t="str">
        <f t="shared" si="81"/>
        <v>X-EXST4</v>
      </c>
      <c r="AJ182" s="320"/>
      <c r="AK182" s="322">
        <f t="shared" si="69"/>
        <v>180</v>
      </c>
      <c r="AL182" s="323">
        <f t="shared" si="82"/>
        <v>184</v>
      </c>
      <c r="AM182" s="322">
        <f t="shared" si="83"/>
        <v>3</v>
      </c>
      <c r="AN182" s="381">
        <f t="shared" si="70"/>
        <v>1.2E-2</v>
      </c>
      <c r="AO182" s="322"/>
    </row>
    <row r="183" spans="2:41">
      <c r="B183" s="324" t="s">
        <v>1423</v>
      </c>
      <c r="C183" s="325" t="s">
        <v>1457</v>
      </c>
      <c r="D183" s="326" t="s">
        <v>1411</v>
      </c>
      <c r="E183" s="327">
        <f>+SUMIF('AUX-NIV2'!I:I,'AUX-NIV3'!B183,'AUX-NIV2'!Q:Q)</f>
        <v>0</v>
      </c>
      <c r="F183" s="327">
        <f t="shared" si="60"/>
        <v>45.577004454215526</v>
      </c>
      <c r="G183" s="327">
        <f t="shared" si="61"/>
        <v>0</v>
      </c>
      <c r="H183" s="328" t="str">
        <f t="shared" si="88"/>
        <v>E</v>
      </c>
      <c r="I183" s="325" t="s">
        <v>1542</v>
      </c>
      <c r="J183" s="329" t="str">
        <f>IF(B183&lt;&gt;"",+VLOOKUP(I183,Recursos!C:F,2,FALSE),"")</f>
        <v>CARGADOR FRONTAL S/NEUM. (2,30 M3)</v>
      </c>
      <c r="K183" s="330" t="str">
        <f>IF(B183&lt;&gt;"",+VLOOKUP(I183,Recursos!C:F,3,FALSE),"")</f>
        <v>HR</v>
      </c>
      <c r="L183" s="327">
        <f>IF(B183&lt;&gt;"",+VLOOKUP(I183,Recursos!C:F,4,FALSE),"")</f>
        <v>3152.8359999999998</v>
      </c>
      <c r="M183" s="428"/>
      <c r="N183" s="428">
        <v>250</v>
      </c>
      <c r="O183" s="332">
        <f>1/N183</f>
        <v>4.0000000000000001E-3</v>
      </c>
      <c r="P183" s="333">
        <f t="shared" si="71"/>
        <v>12.611343999999999</v>
      </c>
      <c r="Q183" s="327">
        <f t="shared" si="72"/>
        <v>0</v>
      </c>
      <c r="R183" s="334">
        <f t="shared" si="73"/>
        <v>0</v>
      </c>
      <c r="S183" s="335">
        <f t="shared" si="62"/>
        <v>6.2995724542155287</v>
      </c>
      <c r="T183" s="335">
        <f t="shared" si="63"/>
        <v>39.277432000000005</v>
      </c>
      <c r="U183" s="336">
        <f t="shared" si="64"/>
        <v>0</v>
      </c>
      <c r="V183" s="336">
        <f t="shared" si="65"/>
        <v>0</v>
      </c>
      <c r="W183" s="336">
        <f t="shared" si="66"/>
        <v>0</v>
      </c>
      <c r="X183" s="336">
        <f t="shared" si="67"/>
        <v>0</v>
      </c>
      <c r="Y183" s="320"/>
      <c r="Z183" s="321" t="str">
        <f t="shared" si="74"/>
        <v>X-EXST4A</v>
      </c>
      <c r="AA183" s="321" t="str">
        <f t="shared" si="75"/>
        <v>X-EXST4E</v>
      </c>
      <c r="AB183" s="321" t="str">
        <f t="shared" si="76"/>
        <v>X-EXST4M</v>
      </c>
      <c r="AC183" s="321" t="str">
        <f t="shared" si="77"/>
        <v>X-EXST4T</v>
      </c>
      <c r="AD183" s="321" t="str">
        <f t="shared" si="78"/>
        <v>X-EXST4S</v>
      </c>
      <c r="AE183" s="321" t="str">
        <f t="shared" si="79"/>
        <v>X-EXST4X</v>
      </c>
      <c r="AF183" s="321" t="str">
        <f t="shared" si="80"/>
        <v>X-EXST4E</v>
      </c>
      <c r="AG183" s="321">
        <f t="shared" si="68"/>
        <v>5</v>
      </c>
      <c r="AH183" s="321"/>
      <c r="AI183" s="321" t="str">
        <f t="shared" si="81"/>
        <v>X-EXST4</v>
      </c>
      <c r="AJ183" s="320"/>
      <c r="AK183" s="322">
        <f t="shared" si="69"/>
        <v>180</v>
      </c>
      <c r="AL183" s="323">
        <f t="shared" si="82"/>
        <v>184</v>
      </c>
      <c r="AM183" s="322">
        <f t="shared" si="83"/>
        <v>4</v>
      </c>
      <c r="AN183" s="381">
        <f t="shared" si="70"/>
        <v>1.2E-2</v>
      </c>
      <c r="AO183" s="322"/>
    </row>
    <row r="184" spans="2:41">
      <c r="B184" s="324" t="s">
        <v>1423</v>
      </c>
      <c r="C184" s="325" t="s">
        <v>1457</v>
      </c>
      <c r="D184" s="326" t="s">
        <v>1411</v>
      </c>
      <c r="E184" s="327">
        <f>+SUMIF('AUX-NIV2'!I:I,'AUX-NIV3'!B184,'AUX-NIV2'!Q:Q)</f>
        <v>0</v>
      </c>
      <c r="F184" s="327">
        <f t="shared" si="60"/>
        <v>45.577004454215526</v>
      </c>
      <c r="G184" s="327">
        <f t="shared" si="61"/>
        <v>0</v>
      </c>
      <c r="H184" s="328" t="str">
        <f t="shared" si="88"/>
        <v>E</v>
      </c>
      <c r="I184" s="325" t="s">
        <v>1555</v>
      </c>
      <c r="J184" s="329" t="str">
        <f>IF(B184&lt;&gt;"",+VLOOKUP(I184,Recursos!C:F,2,FALSE),"")</f>
        <v>CAMION VOLCADOR 6x4 CAP. 24 T=15 m3</v>
      </c>
      <c r="K184" s="330" t="str">
        <f>IF(B184&lt;&gt;"",+VLOOKUP(I184,Recursos!C:F,3,FALSE),"")</f>
        <v>HR</v>
      </c>
      <c r="L184" s="327">
        <f>IF(B184&lt;&gt;"",+VLOOKUP(I184,Recursos!C:F,4,FALSE),"")</f>
        <v>3333.261</v>
      </c>
      <c r="M184" s="428">
        <v>2</v>
      </c>
      <c r="N184" s="428"/>
      <c r="O184" s="332">
        <f>+M184*O183</f>
        <v>8.0000000000000002E-3</v>
      </c>
      <c r="P184" s="333">
        <f t="shared" si="71"/>
        <v>26.666088000000002</v>
      </c>
      <c r="Q184" s="327">
        <f t="shared" si="72"/>
        <v>0</v>
      </c>
      <c r="R184" s="334">
        <f t="shared" si="73"/>
        <v>0</v>
      </c>
      <c r="S184" s="335">
        <f t="shared" si="62"/>
        <v>6.2995724542155287</v>
      </c>
      <c r="T184" s="335">
        <f t="shared" si="63"/>
        <v>39.277432000000005</v>
      </c>
      <c r="U184" s="336">
        <f t="shared" si="64"/>
        <v>0</v>
      </c>
      <c r="V184" s="336">
        <f t="shared" si="65"/>
        <v>0</v>
      </c>
      <c r="W184" s="336">
        <f t="shared" si="66"/>
        <v>0</v>
      </c>
      <c r="X184" s="336">
        <f t="shared" si="67"/>
        <v>0</v>
      </c>
      <c r="Y184" s="320"/>
      <c r="Z184" s="321" t="str">
        <f t="shared" si="74"/>
        <v>X-EXST4A</v>
      </c>
      <c r="AA184" s="321" t="str">
        <f t="shared" si="75"/>
        <v>X-EXST4E</v>
      </c>
      <c r="AB184" s="321" t="str">
        <f t="shared" si="76"/>
        <v>X-EXST4M</v>
      </c>
      <c r="AC184" s="321" t="str">
        <f t="shared" si="77"/>
        <v>X-EXST4T</v>
      </c>
      <c r="AD184" s="321" t="str">
        <f t="shared" si="78"/>
        <v>X-EXST4S</v>
      </c>
      <c r="AE184" s="321" t="str">
        <f t="shared" si="79"/>
        <v>X-EXST4X</v>
      </c>
      <c r="AF184" s="321" t="str">
        <f t="shared" si="80"/>
        <v>X-EXST4E</v>
      </c>
      <c r="AG184" s="321">
        <f t="shared" si="68"/>
        <v>5</v>
      </c>
      <c r="AH184" s="321"/>
      <c r="AI184" s="321" t="str">
        <f t="shared" si="81"/>
        <v>X-EXST4</v>
      </c>
      <c r="AJ184" s="320"/>
      <c r="AK184" s="322">
        <f t="shared" si="69"/>
        <v>180</v>
      </c>
      <c r="AL184" s="323">
        <f t="shared" si="82"/>
        <v>184</v>
      </c>
      <c r="AM184" s="322">
        <f t="shared" si="83"/>
        <v>5</v>
      </c>
      <c r="AN184" s="381">
        <f t="shared" si="70"/>
        <v>1.2E-2</v>
      </c>
      <c r="AO184" s="322"/>
    </row>
    <row r="185" spans="2:41">
      <c r="B185" s="324" t="s">
        <v>1424</v>
      </c>
      <c r="C185" s="325" t="s">
        <v>1458</v>
      </c>
      <c r="D185" s="326" t="s">
        <v>1384</v>
      </c>
      <c r="E185" s="327">
        <f>+SUMIF('AUX-NIV2'!I:I,'AUX-NIV3'!B185,'AUX-NIV2'!Q:Q)</f>
        <v>0</v>
      </c>
      <c r="F185" s="327" t="e">
        <f t="shared" si="60"/>
        <v>#N/A</v>
      </c>
      <c r="G185" s="327" t="e">
        <f t="shared" si="61"/>
        <v>#N/A</v>
      </c>
      <c r="H185" s="328" t="str">
        <f t="shared" si="88"/>
        <v>E</v>
      </c>
      <c r="I185" s="325" t="s">
        <v>1572</v>
      </c>
      <c r="J185" s="420" t="str">
        <f>IF(B185&lt;&gt;"",+VLOOKUP(I185,Recursos!C:F,2,FALSE),"")</f>
        <v>TRACK DRILL NEUMATICO (10-14 M/H)</v>
      </c>
      <c r="K185" s="330" t="str">
        <f>IF(B185&lt;&gt;"",+VLOOKUP(I185,Recursos!C:F,3,FALSE),"")</f>
        <v>HR</v>
      </c>
      <c r="L185" s="327">
        <f>IF(B185&lt;&gt;"",+VLOOKUP(I185,Recursos!C:F,4,FALSE),"")</f>
        <v>1116.8352</v>
      </c>
      <c r="M185" s="416"/>
      <c r="N185" s="416">
        <v>40</v>
      </c>
      <c r="O185" s="332">
        <f>1/N185</f>
        <v>2.5000000000000001E-2</v>
      </c>
      <c r="P185" s="333">
        <f t="shared" si="71"/>
        <v>27.92088</v>
      </c>
      <c r="Q185" s="327">
        <f t="shared" si="72"/>
        <v>0</v>
      </c>
      <c r="R185" s="334">
        <f t="shared" si="73"/>
        <v>0</v>
      </c>
      <c r="S185" s="335" t="e">
        <f t="shared" si="62"/>
        <v>#N/A</v>
      </c>
      <c r="T185" s="335">
        <f t="shared" si="63"/>
        <v>57.579181250000005</v>
      </c>
      <c r="U185" s="336">
        <f t="shared" si="64"/>
        <v>264.28223784361109</v>
      </c>
      <c r="V185" s="336">
        <f t="shared" si="65"/>
        <v>0</v>
      </c>
      <c r="W185" s="336">
        <f t="shared" si="66"/>
        <v>0</v>
      </c>
      <c r="X185" s="336">
        <f t="shared" si="67"/>
        <v>0</v>
      </c>
      <c r="Y185" s="320"/>
      <c r="Z185" s="321" t="str">
        <f t="shared" si="74"/>
        <v>X-EXR01A</v>
      </c>
      <c r="AA185" s="321" t="str">
        <f t="shared" si="75"/>
        <v>X-EXR01E</v>
      </c>
      <c r="AB185" s="321" t="str">
        <f t="shared" si="76"/>
        <v>X-EXR01M</v>
      </c>
      <c r="AC185" s="321" t="str">
        <f t="shared" si="77"/>
        <v>X-EXR01T</v>
      </c>
      <c r="AD185" s="321" t="str">
        <f t="shared" si="78"/>
        <v>X-EXR01S</v>
      </c>
      <c r="AE185" s="321" t="str">
        <f t="shared" si="79"/>
        <v>X-EXR01X</v>
      </c>
      <c r="AF185" s="321" t="str">
        <f t="shared" si="80"/>
        <v>X-EXR01E</v>
      </c>
      <c r="AG185" s="321">
        <f t="shared" si="68"/>
        <v>39</v>
      </c>
      <c r="AH185" s="321"/>
      <c r="AI185" s="321" t="str">
        <f t="shared" si="81"/>
        <v>X-EXR01</v>
      </c>
      <c r="AJ185" s="320"/>
      <c r="AK185" s="322">
        <f t="shared" si="69"/>
        <v>185</v>
      </c>
      <c r="AL185" s="323">
        <f t="shared" si="82"/>
        <v>223</v>
      </c>
      <c r="AM185" s="322">
        <f t="shared" si="83"/>
        <v>1</v>
      </c>
      <c r="AN185" s="381">
        <f t="shared" si="70"/>
        <v>0.24333333333333332</v>
      </c>
      <c r="AO185" s="322"/>
    </row>
    <row r="186" spans="2:41">
      <c r="B186" s="324" t="s">
        <v>1424</v>
      </c>
      <c r="C186" s="325" t="s">
        <v>1458</v>
      </c>
      <c r="D186" s="326" t="s">
        <v>1384</v>
      </c>
      <c r="E186" s="327">
        <f>+SUMIF('AUX-NIV2'!I:I,'AUX-NIV3'!B186,'AUX-NIV2'!Q:Q)</f>
        <v>0</v>
      </c>
      <c r="F186" s="327" t="e">
        <f t="shared" si="60"/>
        <v>#N/A</v>
      </c>
      <c r="G186" s="327" t="e">
        <f t="shared" si="61"/>
        <v>#N/A</v>
      </c>
      <c r="H186" s="328" t="str">
        <f t="shared" si="88"/>
        <v>E</v>
      </c>
      <c r="I186" s="325" t="s">
        <v>1581</v>
      </c>
      <c r="J186" s="420" t="str">
        <f>IF(B186&lt;&gt;"",+VLOOKUP(I186,Recursos!C:F,2,FALSE),"")</f>
        <v>MOTOCOMPRESOR 5 M3/MIN-175 CFM</v>
      </c>
      <c r="K186" s="330" t="str">
        <f>IF(B186&lt;&gt;"",+VLOOKUP(I186,Recursos!C:F,3,FALSE),"")</f>
        <v>HR</v>
      </c>
      <c r="L186" s="327">
        <f>IF(B186&lt;&gt;"",+VLOOKUP(I186,Recursos!C:F,4,FALSE),"")</f>
        <v>1186.33205</v>
      </c>
      <c r="M186" s="416"/>
      <c r="N186" s="416"/>
      <c r="O186" s="332">
        <f>+O185</f>
        <v>2.5000000000000001E-2</v>
      </c>
      <c r="P186" s="333">
        <f t="shared" si="71"/>
        <v>29.658301250000001</v>
      </c>
      <c r="Q186" s="327">
        <f t="shared" si="72"/>
        <v>0</v>
      </c>
      <c r="R186" s="334">
        <f t="shared" si="73"/>
        <v>0</v>
      </c>
      <c r="S186" s="335" t="e">
        <f t="shared" si="62"/>
        <v>#N/A</v>
      </c>
      <c r="T186" s="335">
        <f t="shared" si="63"/>
        <v>57.579181250000005</v>
      </c>
      <c r="U186" s="336">
        <f t="shared" si="64"/>
        <v>264.28223784361109</v>
      </c>
      <c r="V186" s="336">
        <f t="shared" si="65"/>
        <v>0</v>
      </c>
      <c r="W186" s="336">
        <f t="shared" si="66"/>
        <v>0</v>
      </c>
      <c r="X186" s="336">
        <f t="shared" si="67"/>
        <v>0</v>
      </c>
      <c r="Y186" s="320"/>
      <c r="Z186" s="321" t="str">
        <f t="shared" si="74"/>
        <v>X-EXR01A</v>
      </c>
      <c r="AA186" s="321" t="str">
        <f t="shared" si="75"/>
        <v>X-EXR01E</v>
      </c>
      <c r="AB186" s="321" t="str">
        <f t="shared" si="76"/>
        <v>X-EXR01M</v>
      </c>
      <c r="AC186" s="321" t="str">
        <f t="shared" si="77"/>
        <v>X-EXR01T</v>
      </c>
      <c r="AD186" s="321" t="str">
        <f t="shared" si="78"/>
        <v>X-EXR01S</v>
      </c>
      <c r="AE186" s="321" t="str">
        <f t="shared" si="79"/>
        <v>X-EXR01X</v>
      </c>
      <c r="AF186" s="321" t="str">
        <f t="shared" si="80"/>
        <v>X-EXR01E</v>
      </c>
      <c r="AG186" s="321">
        <f t="shared" si="68"/>
        <v>39</v>
      </c>
      <c r="AH186" s="321"/>
      <c r="AI186" s="321" t="str">
        <f t="shared" si="81"/>
        <v>X-EXR01</v>
      </c>
      <c r="AJ186" s="320"/>
      <c r="AK186" s="322">
        <f t="shared" si="69"/>
        <v>185</v>
      </c>
      <c r="AL186" s="323">
        <f t="shared" si="82"/>
        <v>223</v>
      </c>
      <c r="AM186" s="322">
        <f t="shared" si="83"/>
        <v>2</v>
      </c>
      <c r="AN186" s="381">
        <f t="shared" si="70"/>
        <v>0.24333333333333332</v>
      </c>
      <c r="AO186" s="322"/>
    </row>
    <row r="187" spans="2:41">
      <c r="B187" s="324" t="s">
        <v>1424</v>
      </c>
      <c r="C187" s="325" t="s">
        <v>1458</v>
      </c>
      <c r="D187" s="326" t="s">
        <v>1384</v>
      </c>
      <c r="E187" s="327">
        <f>+SUMIF('AUX-NIV2'!I:I,'AUX-NIV3'!B187,'AUX-NIV2'!Q:Q)</f>
        <v>0</v>
      </c>
      <c r="F187" s="327" t="e">
        <f t="shared" si="60"/>
        <v>#N/A</v>
      </c>
      <c r="G187" s="327" t="e">
        <f t="shared" si="61"/>
        <v>#N/A</v>
      </c>
      <c r="H187" s="328" t="str">
        <f t="shared" si="88"/>
        <v>E</v>
      </c>
      <c r="I187" s="325" t="s">
        <v>1575</v>
      </c>
      <c r="J187" s="422" t="str">
        <f>IF(B187&lt;&gt;"",+VLOOKUP(I187,Recursos!C:F,2,FALSE),"")</f>
        <v>MARTILLO NEUMATICO PERFORADOR</v>
      </c>
      <c r="K187" s="330" t="str">
        <f>IF(B187&lt;&gt;"",+VLOOKUP(I187,Recursos!C:F,3,FALSE),"")</f>
        <v>HR</v>
      </c>
      <c r="L187" s="327">
        <f>IF(B187&lt;&gt;"",+VLOOKUP(I187,Recursos!C:F,4,FALSE),"")</f>
        <v>117.5616</v>
      </c>
      <c r="M187" s="416">
        <v>0</v>
      </c>
      <c r="N187" s="416">
        <v>0.75</v>
      </c>
      <c r="O187" s="332">
        <f>1/N187*O186*M187</f>
        <v>0</v>
      </c>
      <c r="P187" s="333">
        <f t="shared" si="71"/>
        <v>0</v>
      </c>
      <c r="Q187" s="327">
        <f t="shared" si="72"/>
        <v>0</v>
      </c>
      <c r="R187" s="334">
        <f t="shared" si="73"/>
        <v>0</v>
      </c>
      <c r="S187" s="335" t="e">
        <f t="shared" si="62"/>
        <v>#N/A</v>
      </c>
      <c r="T187" s="335">
        <f t="shared" si="63"/>
        <v>57.579181250000005</v>
      </c>
      <c r="U187" s="336">
        <f t="shared" si="64"/>
        <v>264.28223784361109</v>
      </c>
      <c r="V187" s="336">
        <f t="shared" si="65"/>
        <v>0</v>
      </c>
      <c r="W187" s="336">
        <f t="shared" si="66"/>
        <v>0</v>
      </c>
      <c r="X187" s="336">
        <f t="shared" si="67"/>
        <v>0</v>
      </c>
      <c r="Y187" s="320"/>
      <c r="Z187" s="321" t="str">
        <f t="shared" si="74"/>
        <v>X-EXR01A</v>
      </c>
      <c r="AA187" s="321" t="str">
        <f t="shared" si="75"/>
        <v>X-EXR01E</v>
      </c>
      <c r="AB187" s="321" t="str">
        <f t="shared" si="76"/>
        <v>X-EXR01M</v>
      </c>
      <c r="AC187" s="321" t="str">
        <f t="shared" si="77"/>
        <v>X-EXR01T</v>
      </c>
      <c r="AD187" s="321" t="str">
        <f t="shared" si="78"/>
        <v>X-EXR01S</v>
      </c>
      <c r="AE187" s="321" t="str">
        <f t="shared" si="79"/>
        <v>X-EXR01X</v>
      </c>
      <c r="AF187" s="321" t="str">
        <f t="shared" si="80"/>
        <v>X-EXR01E</v>
      </c>
      <c r="AG187" s="321">
        <f t="shared" si="68"/>
        <v>39</v>
      </c>
      <c r="AH187" s="321"/>
      <c r="AI187" s="321" t="str">
        <f t="shared" si="81"/>
        <v>X-EXR01</v>
      </c>
      <c r="AJ187" s="320"/>
      <c r="AK187" s="322">
        <f t="shared" si="69"/>
        <v>185</v>
      </c>
      <c r="AL187" s="323">
        <f t="shared" si="82"/>
        <v>223</v>
      </c>
      <c r="AM187" s="322">
        <f t="shared" si="83"/>
        <v>3</v>
      </c>
      <c r="AN187" s="381">
        <f t="shared" si="70"/>
        <v>0.24333333333333332</v>
      </c>
      <c r="AO187" s="322"/>
    </row>
    <row r="188" spans="2:41">
      <c r="B188" s="324" t="s">
        <v>1424</v>
      </c>
      <c r="C188" s="325" t="s">
        <v>1458</v>
      </c>
      <c r="D188" s="326" t="s">
        <v>1384</v>
      </c>
      <c r="E188" s="327">
        <f>+SUMIF('AUX-NIV2'!I:I,'AUX-NIV3'!B188,'AUX-NIV2'!Q:Q)</f>
        <v>0</v>
      </c>
      <c r="F188" s="327" t="e">
        <f t="shared" si="60"/>
        <v>#N/A</v>
      </c>
      <c r="G188" s="327" t="e">
        <f t="shared" si="61"/>
        <v>#N/A</v>
      </c>
      <c r="H188" s="328" t="str">
        <f t="shared" si="88"/>
        <v>E</v>
      </c>
      <c r="I188" s="325" t="s">
        <v>1575</v>
      </c>
      <c r="J188" s="422" t="str">
        <f>IF(B188&lt;&gt;"",+VLOOKUP(I188,Recursos!C:F,2,FALSE),"")</f>
        <v>MARTILLO NEUMATICO PERFORADOR</v>
      </c>
      <c r="K188" s="330" t="str">
        <f>IF(B188&lt;&gt;"",+VLOOKUP(I188,Recursos!C:F,3,FALSE),"")</f>
        <v>HR</v>
      </c>
      <c r="L188" s="327">
        <f>IF(B188&lt;&gt;"",+VLOOKUP(I188,Recursos!C:F,4,FALSE),"")</f>
        <v>117.5616</v>
      </c>
      <c r="M188" s="416"/>
      <c r="N188" s="416"/>
      <c r="O188" s="332">
        <f>+O187</f>
        <v>0</v>
      </c>
      <c r="P188" s="333">
        <f t="shared" si="71"/>
        <v>0</v>
      </c>
      <c r="Q188" s="327">
        <f t="shared" si="72"/>
        <v>0</v>
      </c>
      <c r="R188" s="334">
        <f t="shared" si="73"/>
        <v>0</v>
      </c>
      <c r="S188" s="335" t="e">
        <f t="shared" si="62"/>
        <v>#N/A</v>
      </c>
      <c r="T188" s="335">
        <f t="shared" si="63"/>
        <v>57.579181250000005</v>
      </c>
      <c r="U188" s="336">
        <f t="shared" si="64"/>
        <v>264.28223784361109</v>
      </c>
      <c r="V188" s="336">
        <f t="shared" si="65"/>
        <v>0</v>
      </c>
      <c r="W188" s="336">
        <f t="shared" si="66"/>
        <v>0</v>
      </c>
      <c r="X188" s="336">
        <f t="shared" si="67"/>
        <v>0</v>
      </c>
      <c r="Y188" s="320"/>
      <c r="Z188" s="321" t="str">
        <f t="shared" si="74"/>
        <v>X-EXR01A</v>
      </c>
      <c r="AA188" s="321" t="str">
        <f t="shared" si="75"/>
        <v>X-EXR01E</v>
      </c>
      <c r="AB188" s="321" t="str">
        <f t="shared" si="76"/>
        <v>X-EXR01M</v>
      </c>
      <c r="AC188" s="321" t="str">
        <f t="shared" si="77"/>
        <v>X-EXR01T</v>
      </c>
      <c r="AD188" s="321" t="str">
        <f t="shared" si="78"/>
        <v>X-EXR01S</v>
      </c>
      <c r="AE188" s="321" t="str">
        <f t="shared" si="79"/>
        <v>X-EXR01X</v>
      </c>
      <c r="AF188" s="321" t="str">
        <f t="shared" si="80"/>
        <v>X-EXR01E</v>
      </c>
      <c r="AG188" s="321">
        <f t="shared" si="68"/>
        <v>39</v>
      </c>
      <c r="AH188" s="321"/>
      <c r="AI188" s="321" t="str">
        <f t="shared" si="81"/>
        <v>X-EXR01</v>
      </c>
      <c r="AJ188" s="320"/>
      <c r="AK188" s="322">
        <f t="shared" si="69"/>
        <v>185</v>
      </c>
      <c r="AL188" s="323">
        <f t="shared" si="82"/>
        <v>223</v>
      </c>
      <c r="AM188" s="322">
        <f t="shared" si="83"/>
        <v>4</v>
      </c>
      <c r="AN188" s="381">
        <f t="shared" si="70"/>
        <v>0.24333333333333332</v>
      </c>
      <c r="AO188" s="322"/>
    </row>
    <row r="189" spans="2:41">
      <c r="B189" s="324" t="s">
        <v>1424</v>
      </c>
      <c r="C189" s="325" t="s">
        <v>1458</v>
      </c>
      <c r="D189" s="326" t="s">
        <v>1384</v>
      </c>
      <c r="E189" s="327">
        <f>+SUMIF('AUX-NIV2'!I:I,'AUX-NIV3'!B189,'AUX-NIV2'!Q:Q)</f>
        <v>0</v>
      </c>
      <c r="F189" s="327" t="e">
        <f t="shared" si="60"/>
        <v>#N/A</v>
      </c>
      <c r="G189" s="327" t="e">
        <f t="shared" si="61"/>
        <v>#N/A</v>
      </c>
      <c r="H189" s="328" t="str">
        <f t="shared" si="88"/>
        <v>A</v>
      </c>
      <c r="I189" s="325" t="s">
        <v>3314</v>
      </c>
      <c r="J189" s="424" t="e">
        <f>IF(B189&lt;&gt;"",+VLOOKUP(I189,Recursos!C:F,2,FALSE),"")</f>
        <v>#N/A</v>
      </c>
      <c r="K189" s="330" t="e">
        <f>IF(B189&lt;&gt;"",+VLOOKUP(I189,Recursos!C:F,3,FALSE),"")</f>
        <v>#N/A</v>
      </c>
      <c r="L189" s="327" t="e">
        <f>IF(B189&lt;&gt;"",+VLOOKUP(I189,Recursos!C:F,4,FALSE),"")</f>
        <v>#N/A</v>
      </c>
      <c r="M189" s="416">
        <v>1.6</v>
      </c>
      <c r="N189" s="416">
        <v>120</v>
      </c>
      <c r="O189" s="332">
        <f>+M189/N189</f>
        <v>1.3333333333333334E-2</v>
      </c>
      <c r="P189" s="333" t="e">
        <f t="shared" si="71"/>
        <v>#N/A</v>
      </c>
      <c r="Q189" s="327">
        <f t="shared" si="72"/>
        <v>0</v>
      </c>
      <c r="R189" s="334" t="e">
        <f t="shared" si="73"/>
        <v>#N/A</v>
      </c>
      <c r="S189" s="335" t="e">
        <f t="shared" si="62"/>
        <v>#N/A</v>
      </c>
      <c r="T189" s="335">
        <f t="shared" si="63"/>
        <v>57.579181250000005</v>
      </c>
      <c r="U189" s="336">
        <f t="shared" si="64"/>
        <v>264.28223784361109</v>
      </c>
      <c r="V189" s="336">
        <f t="shared" si="65"/>
        <v>0</v>
      </c>
      <c r="W189" s="336">
        <f t="shared" si="66"/>
        <v>0</v>
      </c>
      <c r="X189" s="336">
        <f t="shared" si="67"/>
        <v>0</v>
      </c>
      <c r="Y189" s="320"/>
      <c r="Z189" s="321" t="str">
        <f t="shared" si="74"/>
        <v>X-EXR01A</v>
      </c>
      <c r="AA189" s="321" t="str">
        <f t="shared" si="75"/>
        <v>X-EXR01E</v>
      </c>
      <c r="AB189" s="321" t="str">
        <f t="shared" si="76"/>
        <v>X-EXR01M</v>
      </c>
      <c r="AC189" s="321" t="str">
        <f t="shared" si="77"/>
        <v>X-EXR01T</v>
      </c>
      <c r="AD189" s="321" t="str">
        <f t="shared" si="78"/>
        <v>X-EXR01S</v>
      </c>
      <c r="AE189" s="321" t="str">
        <f t="shared" si="79"/>
        <v>X-EXR01X</v>
      </c>
      <c r="AF189" s="321" t="str">
        <f t="shared" si="80"/>
        <v>X-EXR01A</v>
      </c>
      <c r="AG189" s="321">
        <f t="shared" si="68"/>
        <v>39</v>
      </c>
      <c r="AH189" s="321"/>
      <c r="AI189" s="321" t="str">
        <f t="shared" si="81"/>
        <v>X-EXR01</v>
      </c>
      <c r="AJ189" s="320"/>
      <c r="AK189" s="322">
        <f t="shared" si="69"/>
        <v>185</v>
      </c>
      <c r="AL189" s="323">
        <f t="shared" si="82"/>
        <v>223</v>
      </c>
      <c r="AM189" s="322">
        <f t="shared" si="83"/>
        <v>5</v>
      </c>
      <c r="AN189" s="381">
        <f t="shared" si="70"/>
        <v>0.24333333333333332</v>
      </c>
      <c r="AO189" s="322"/>
    </row>
    <row r="190" spans="2:41">
      <c r="B190" s="324" t="s">
        <v>1424</v>
      </c>
      <c r="C190" s="325" t="s">
        <v>1458</v>
      </c>
      <c r="D190" s="326" t="s">
        <v>1384</v>
      </c>
      <c r="E190" s="327">
        <f>+SUMIF('AUX-NIV2'!I:I,'AUX-NIV3'!B190,'AUX-NIV2'!Q:Q)</f>
        <v>0</v>
      </c>
      <c r="F190" s="327" t="e">
        <f t="shared" si="60"/>
        <v>#N/A</v>
      </c>
      <c r="G190" s="327" t="e">
        <f t="shared" si="61"/>
        <v>#N/A</v>
      </c>
      <c r="H190" s="328" t="str">
        <f t="shared" si="88"/>
        <v>A</v>
      </c>
      <c r="I190" s="325" t="s">
        <v>3315</v>
      </c>
      <c r="J190" s="420" t="e">
        <f>IF(B190&lt;&gt;"",+VLOOKUP(I190,Recursos!C:F,2,FALSE),"")</f>
        <v>#N/A</v>
      </c>
      <c r="K190" s="330" t="e">
        <f>IF(B190&lt;&gt;"",+VLOOKUP(I190,Recursos!C:F,3,FALSE),"")</f>
        <v>#N/A</v>
      </c>
      <c r="L190" s="327" t="e">
        <f>IF(B190&lt;&gt;"",+VLOOKUP(I190,Recursos!C:F,4,FALSE),"")</f>
        <v>#N/A</v>
      </c>
      <c r="M190" s="416"/>
      <c r="N190" s="416"/>
      <c r="O190" s="332">
        <f>+O191</f>
        <v>2.5000000000000001E-2</v>
      </c>
      <c r="P190" s="333" t="e">
        <f t="shared" si="71"/>
        <v>#N/A</v>
      </c>
      <c r="Q190" s="327">
        <f t="shared" si="72"/>
        <v>0</v>
      </c>
      <c r="R190" s="334" t="e">
        <f t="shared" si="73"/>
        <v>#N/A</v>
      </c>
      <c r="S190" s="335" t="e">
        <f t="shared" si="62"/>
        <v>#N/A</v>
      </c>
      <c r="T190" s="335">
        <f t="shared" si="63"/>
        <v>57.579181250000005</v>
      </c>
      <c r="U190" s="336">
        <f t="shared" si="64"/>
        <v>264.28223784361109</v>
      </c>
      <c r="V190" s="336">
        <f t="shared" si="65"/>
        <v>0</v>
      </c>
      <c r="W190" s="336">
        <f t="shared" si="66"/>
        <v>0</v>
      </c>
      <c r="X190" s="336">
        <f t="shared" si="67"/>
        <v>0</v>
      </c>
      <c r="Y190" s="320"/>
      <c r="Z190" s="321" t="str">
        <f t="shared" si="74"/>
        <v>X-EXR01A</v>
      </c>
      <c r="AA190" s="321" t="str">
        <f t="shared" si="75"/>
        <v>X-EXR01E</v>
      </c>
      <c r="AB190" s="321" t="str">
        <f t="shared" si="76"/>
        <v>X-EXR01M</v>
      </c>
      <c r="AC190" s="321" t="str">
        <f t="shared" si="77"/>
        <v>X-EXR01T</v>
      </c>
      <c r="AD190" s="321" t="str">
        <f t="shared" si="78"/>
        <v>X-EXR01S</v>
      </c>
      <c r="AE190" s="321" t="str">
        <f t="shared" si="79"/>
        <v>X-EXR01X</v>
      </c>
      <c r="AF190" s="321" t="str">
        <f t="shared" si="80"/>
        <v>X-EXR01A</v>
      </c>
      <c r="AG190" s="321">
        <f t="shared" si="68"/>
        <v>39</v>
      </c>
      <c r="AH190" s="321"/>
      <c r="AI190" s="321" t="str">
        <f t="shared" si="81"/>
        <v>X-EXR01</v>
      </c>
      <c r="AJ190" s="320"/>
      <c r="AK190" s="322">
        <f t="shared" si="69"/>
        <v>185</v>
      </c>
      <c r="AL190" s="323">
        <f t="shared" si="82"/>
        <v>223</v>
      </c>
      <c r="AM190" s="322">
        <f t="shared" si="83"/>
        <v>6</v>
      </c>
      <c r="AN190" s="381">
        <f t="shared" si="70"/>
        <v>0.24333333333333332</v>
      </c>
      <c r="AO190" s="322"/>
    </row>
    <row r="191" spans="2:41">
      <c r="B191" s="324" t="s">
        <v>1424</v>
      </c>
      <c r="C191" s="325" t="s">
        <v>1458</v>
      </c>
      <c r="D191" s="326" t="s">
        <v>1384</v>
      </c>
      <c r="E191" s="327">
        <f>+SUMIF('AUX-NIV2'!I:I,'AUX-NIV3'!B191,'AUX-NIV2'!Q:Q)</f>
        <v>0</v>
      </c>
      <c r="F191" s="327" t="e">
        <f t="shared" si="60"/>
        <v>#N/A</v>
      </c>
      <c r="G191" s="327" t="e">
        <f t="shared" si="61"/>
        <v>#N/A</v>
      </c>
      <c r="H191" s="328" t="str">
        <f t="shared" si="88"/>
        <v>A</v>
      </c>
      <c r="I191" s="325" t="s">
        <v>3311</v>
      </c>
      <c r="J191" s="420" t="str">
        <f>IF(B191&lt;&gt;"",+VLOOKUP(I191,Recursos!C:F,2,FALSE),"")</f>
        <v>OPER. EQUIPO</v>
      </c>
      <c r="K191" s="330" t="str">
        <f>IF(B191&lt;&gt;"",+VLOOKUP(I191,Recursos!C:F,3,FALSE),"")</f>
        <v>hh</v>
      </c>
      <c r="L191" s="327">
        <f>IF(B191&lt;&gt;"",+VLOOKUP(I191,Recursos!C:F,4,FALSE),"")</f>
        <v>581.06120476836554</v>
      </c>
      <c r="M191" s="416"/>
      <c r="N191" s="416"/>
      <c r="O191" s="332">
        <f>+O185</f>
        <v>2.5000000000000001E-2</v>
      </c>
      <c r="P191" s="333">
        <f t="shared" si="71"/>
        <v>14.52653011920914</v>
      </c>
      <c r="Q191" s="327">
        <f t="shared" si="72"/>
        <v>0</v>
      </c>
      <c r="R191" s="334">
        <f t="shared" si="73"/>
        <v>0</v>
      </c>
      <c r="S191" s="335" t="e">
        <f t="shared" si="62"/>
        <v>#N/A</v>
      </c>
      <c r="T191" s="335">
        <f t="shared" si="63"/>
        <v>57.579181250000005</v>
      </c>
      <c r="U191" s="336">
        <f t="shared" si="64"/>
        <v>264.28223784361109</v>
      </c>
      <c r="V191" s="336">
        <f t="shared" si="65"/>
        <v>0</v>
      </c>
      <c r="W191" s="336">
        <f t="shared" si="66"/>
        <v>0</v>
      </c>
      <c r="X191" s="336">
        <f t="shared" si="67"/>
        <v>0</v>
      </c>
      <c r="Y191" s="320"/>
      <c r="Z191" s="321" t="str">
        <f t="shared" si="74"/>
        <v>X-EXR01A</v>
      </c>
      <c r="AA191" s="321" t="str">
        <f t="shared" si="75"/>
        <v>X-EXR01E</v>
      </c>
      <c r="AB191" s="321" t="str">
        <f t="shared" si="76"/>
        <v>X-EXR01M</v>
      </c>
      <c r="AC191" s="321" t="str">
        <f t="shared" si="77"/>
        <v>X-EXR01T</v>
      </c>
      <c r="AD191" s="321" t="str">
        <f t="shared" si="78"/>
        <v>X-EXR01S</v>
      </c>
      <c r="AE191" s="321" t="str">
        <f t="shared" si="79"/>
        <v>X-EXR01X</v>
      </c>
      <c r="AF191" s="321" t="str">
        <f t="shared" si="80"/>
        <v>X-EXR01A</v>
      </c>
      <c r="AG191" s="321">
        <f t="shared" si="68"/>
        <v>39</v>
      </c>
      <c r="AH191" s="321"/>
      <c r="AI191" s="321" t="str">
        <f t="shared" si="81"/>
        <v>X-EXR01</v>
      </c>
      <c r="AJ191" s="320"/>
      <c r="AK191" s="322">
        <f t="shared" si="69"/>
        <v>185</v>
      </c>
      <c r="AL191" s="323">
        <f t="shared" si="82"/>
        <v>223</v>
      </c>
      <c r="AM191" s="322">
        <f t="shared" si="83"/>
        <v>7</v>
      </c>
      <c r="AN191" s="381">
        <f t="shared" si="70"/>
        <v>0.24333333333333332</v>
      </c>
      <c r="AO191" s="322"/>
    </row>
    <row r="192" spans="2:41">
      <c r="B192" s="324" t="s">
        <v>1424</v>
      </c>
      <c r="C192" s="325" t="s">
        <v>1458</v>
      </c>
      <c r="D192" s="326" t="s">
        <v>1384</v>
      </c>
      <c r="E192" s="327">
        <f>+SUMIF('AUX-NIV2'!I:I,'AUX-NIV3'!B192,'AUX-NIV2'!Q:Q)</f>
        <v>0</v>
      </c>
      <c r="F192" s="327" t="e">
        <f t="shared" si="60"/>
        <v>#N/A</v>
      </c>
      <c r="G192" s="327" t="e">
        <f t="shared" si="61"/>
        <v>#N/A</v>
      </c>
      <c r="H192" s="328" t="str">
        <f t="shared" si="88"/>
        <v>A</v>
      </c>
      <c r="I192" s="325" t="s">
        <v>3314</v>
      </c>
      <c r="J192" s="424" t="e">
        <f>IF(B192&lt;&gt;"",+VLOOKUP(I192,Recursos!C:F,2,FALSE),"")</f>
        <v>#N/A</v>
      </c>
      <c r="K192" s="330" t="e">
        <f>IF(B192&lt;&gt;"",+VLOOKUP(I192,Recursos!C:F,3,FALSE),"")</f>
        <v>#N/A</v>
      </c>
      <c r="L192" s="327" t="e">
        <f>IF(B192&lt;&gt;"",+VLOOKUP(I192,Recursos!C:F,4,FALSE),"")</f>
        <v>#N/A</v>
      </c>
      <c r="M192" s="416"/>
      <c r="N192" s="416"/>
      <c r="O192" s="332">
        <f>+O189</f>
        <v>1.3333333333333334E-2</v>
      </c>
      <c r="P192" s="333" t="e">
        <f t="shared" si="71"/>
        <v>#N/A</v>
      </c>
      <c r="Q192" s="327">
        <f t="shared" si="72"/>
        <v>0</v>
      </c>
      <c r="R192" s="334" t="e">
        <f t="shared" si="73"/>
        <v>#N/A</v>
      </c>
      <c r="S192" s="335" t="e">
        <f t="shared" si="62"/>
        <v>#N/A</v>
      </c>
      <c r="T192" s="335">
        <f t="shared" si="63"/>
        <v>57.579181250000005</v>
      </c>
      <c r="U192" s="336">
        <f t="shared" si="64"/>
        <v>264.28223784361109</v>
      </c>
      <c r="V192" s="336">
        <f t="shared" si="65"/>
        <v>0</v>
      </c>
      <c r="W192" s="336">
        <f t="shared" si="66"/>
        <v>0</v>
      </c>
      <c r="X192" s="336">
        <f t="shared" si="67"/>
        <v>0</v>
      </c>
      <c r="Y192" s="320"/>
      <c r="Z192" s="321" t="str">
        <f t="shared" si="74"/>
        <v>X-EXR01A</v>
      </c>
      <c r="AA192" s="321" t="str">
        <f t="shared" si="75"/>
        <v>X-EXR01E</v>
      </c>
      <c r="AB192" s="321" t="str">
        <f t="shared" si="76"/>
        <v>X-EXR01M</v>
      </c>
      <c r="AC192" s="321" t="str">
        <f t="shared" si="77"/>
        <v>X-EXR01T</v>
      </c>
      <c r="AD192" s="321" t="str">
        <f t="shared" si="78"/>
        <v>X-EXR01S</v>
      </c>
      <c r="AE192" s="321" t="str">
        <f t="shared" si="79"/>
        <v>X-EXR01X</v>
      </c>
      <c r="AF192" s="321" t="str">
        <f t="shared" si="80"/>
        <v>X-EXR01A</v>
      </c>
      <c r="AG192" s="321">
        <f t="shared" si="68"/>
        <v>39</v>
      </c>
      <c r="AH192" s="321"/>
      <c r="AI192" s="321" t="str">
        <f t="shared" si="81"/>
        <v>X-EXR01</v>
      </c>
      <c r="AJ192" s="320"/>
      <c r="AK192" s="322">
        <f t="shared" si="69"/>
        <v>185</v>
      </c>
      <c r="AL192" s="323">
        <f t="shared" si="82"/>
        <v>223</v>
      </c>
      <c r="AM192" s="322">
        <f t="shared" si="83"/>
        <v>8</v>
      </c>
      <c r="AN192" s="381">
        <f t="shared" si="70"/>
        <v>0.24333333333333332</v>
      </c>
      <c r="AO192" s="322"/>
    </row>
    <row r="193" spans="2:41">
      <c r="B193" s="324" t="s">
        <v>1424</v>
      </c>
      <c r="C193" s="325" t="s">
        <v>1458</v>
      </c>
      <c r="D193" s="326" t="s">
        <v>1384</v>
      </c>
      <c r="E193" s="327">
        <f>+SUMIF('AUX-NIV2'!I:I,'AUX-NIV3'!B193,'AUX-NIV2'!Q:Q)</f>
        <v>0</v>
      </c>
      <c r="F193" s="327" t="e">
        <f t="shared" si="60"/>
        <v>#N/A</v>
      </c>
      <c r="G193" s="327" t="e">
        <f t="shared" si="61"/>
        <v>#N/A</v>
      </c>
      <c r="H193" s="328" t="str">
        <f t="shared" si="88"/>
        <v>A</v>
      </c>
      <c r="I193" s="325" t="s">
        <v>1746</v>
      </c>
      <c r="J193" s="425" t="str">
        <f>IF(B193&lt;&gt;"",+VLOOKUP(I193,Recursos!C:F,2,FALSE),"")</f>
        <v>OFICIAL</v>
      </c>
      <c r="K193" s="330" t="str">
        <f>IF(B193&lt;&gt;"",+VLOOKUP(I193,Recursos!C:F,3,FALSE),"")</f>
        <v>hh</v>
      </c>
      <c r="L193" s="327">
        <f>IF(B193&lt;&gt;"",+VLOOKUP(I193,Recursos!C:F,4,FALSE),"")</f>
        <v>496.91595439275824</v>
      </c>
      <c r="M193" s="416"/>
      <c r="N193" s="416"/>
      <c r="O193" s="332">
        <f>2*O194</f>
        <v>0</v>
      </c>
      <c r="P193" s="333">
        <f t="shared" si="71"/>
        <v>0</v>
      </c>
      <c r="Q193" s="327">
        <f t="shared" si="72"/>
        <v>0</v>
      </c>
      <c r="R193" s="334">
        <f t="shared" si="73"/>
        <v>0</v>
      </c>
      <c r="S193" s="335" t="e">
        <f t="shared" si="62"/>
        <v>#N/A</v>
      </c>
      <c r="T193" s="335">
        <f t="shared" si="63"/>
        <v>57.579181250000005</v>
      </c>
      <c r="U193" s="336">
        <f t="shared" si="64"/>
        <v>264.28223784361109</v>
      </c>
      <c r="V193" s="336">
        <f t="shared" si="65"/>
        <v>0</v>
      </c>
      <c r="W193" s="336">
        <f t="shared" si="66"/>
        <v>0</v>
      </c>
      <c r="X193" s="336">
        <f t="shared" si="67"/>
        <v>0</v>
      </c>
      <c r="Y193" s="320"/>
      <c r="Z193" s="321" t="str">
        <f t="shared" si="74"/>
        <v>X-EXR01A</v>
      </c>
      <c r="AA193" s="321" t="str">
        <f t="shared" si="75"/>
        <v>X-EXR01E</v>
      </c>
      <c r="AB193" s="321" t="str">
        <f t="shared" si="76"/>
        <v>X-EXR01M</v>
      </c>
      <c r="AC193" s="321" t="str">
        <f t="shared" si="77"/>
        <v>X-EXR01T</v>
      </c>
      <c r="AD193" s="321" t="str">
        <f t="shared" si="78"/>
        <v>X-EXR01S</v>
      </c>
      <c r="AE193" s="321" t="str">
        <f t="shared" si="79"/>
        <v>X-EXR01X</v>
      </c>
      <c r="AF193" s="321" t="str">
        <f t="shared" si="80"/>
        <v>X-EXR01A</v>
      </c>
      <c r="AG193" s="321">
        <f t="shared" si="68"/>
        <v>39</v>
      </c>
      <c r="AH193" s="321"/>
      <c r="AI193" s="321" t="str">
        <f t="shared" si="81"/>
        <v>X-EXR01</v>
      </c>
      <c r="AJ193" s="320"/>
      <c r="AK193" s="322">
        <f t="shared" si="69"/>
        <v>185</v>
      </c>
      <c r="AL193" s="323">
        <f t="shared" si="82"/>
        <v>223</v>
      </c>
      <c r="AM193" s="322">
        <f t="shared" si="83"/>
        <v>9</v>
      </c>
      <c r="AN193" s="381">
        <f t="shared" si="70"/>
        <v>0.24333333333333332</v>
      </c>
      <c r="AO193" s="322"/>
    </row>
    <row r="194" spans="2:41">
      <c r="B194" s="324" t="s">
        <v>1424</v>
      </c>
      <c r="C194" s="325" t="s">
        <v>1458</v>
      </c>
      <c r="D194" s="326" t="s">
        <v>1384</v>
      </c>
      <c r="E194" s="327">
        <f>+SUMIF('AUX-NIV2'!I:I,'AUX-NIV3'!B194,'AUX-NIV2'!Q:Q)</f>
        <v>0</v>
      </c>
      <c r="F194" s="327" t="e">
        <f t="shared" si="60"/>
        <v>#N/A</v>
      </c>
      <c r="G194" s="327" t="e">
        <f t="shared" si="61"/>
        <v>#N/A</v>
      </c>
      <c r="H194" s="328" t="str">
        <f t="shared" si="88"/>
        <v>A</v>
      </c>
      <c r="I194" s="325" t="s">
        <v>3314</v>
      </c>
      <c r="J194" s="425" t="e">
        <f>IF(B194&lt;&gt;"",+VLOOKUP(I194,Recursos!C:F,2,FALSE),"")</f>
        <v>#N/A</v>
      </c>
      <c r="K194" s="330" t="e">
        <f>IF(B194&lt;&gt;"",+VLOOKUP(I194,Recursos!C:F,3,FALSE),"")</f>
        <v>#N/A</v>
      </c>
      <c r="L194" s="327" t="e">
        <f>IF(B194&lt;&gt;"",+VLOOKUP(I194,Recursos!C:F,4,FALSE),"")</f>
        <v>#N/A</v>
      </c>
      <c r="M194" s="416"/>
      <c r="N194" s="416"/>
      <c r="O194" s="332">
        <f>+O187</f>
        <v>0</v>
      </c>
      <c r="P194" s="333" t="e">
        <f t="shared" si="71"/>
        <v>#N/A</v>
      </c>
      <c r="Q194" s="327">
        <f t="shared" si="72"/>
        <v>0</v>
      </c>
      <c r="R194" s="334" t="e">
        <f t="shared" si="73"/>
        <v>#N/A</v>
      </c>
      <c r="S194" s="335" t="e">
        <f t="shared" si="62"/>
        <v>#N/A</v>
      </c>
      <c r="T194" s="335">
        <f t="shared" si="63"/>
        <v>57.579181250000005</v>
      </c>
      <c r="U194" s="336">
        <f t="shared" si="64"/>
        <v>264.28223784361109</v>
      </c>
      <c r="V194" s="336">
        <f t="shared" si="65"/>
        <v>0</v>
      </c>
      <c r="W194" s="336">
        <f t="shared" si="66"/>
        <v>0</v>
      </c>
      <c r="X194" s="336">
        <f t="shared" si="67"/>
        <v>0</v>
      </c>
      <c r="Y194" s="320"/>
      <c r="Z194" s="321" t="str">
        <f t="shared" si="74"/>
        <v>X-EXR01A</v>
      </c>
      <c r="AA194" s="321" t="str">
        <f t="shared" si="75"/>
        <v>X-EXR01E</v>
      </c>
      <c r="AB194" s="321" t="str">
        <f t="shared" si="76"/>
        <v>X-EXR01M</v>
      </c>
      <c r="AC194" s="321" t="str">
        <f t="shared" si="77"/>
        <v>X-EXR01T</v>
      </c>
      <c r="AD194" s="321" t="str">
        <f t="shared" si="78"/>
        <v>X-EXR01S</v>
      </c>
      <c r="AE194" s="321" t="str">
        <f t="shared" si="79"/>
        <v>X-EXR01X</v>
      </c>
      <c r="AF194" s="321" t="str">
        <f t="shared" si="80"/>
        <v>X-EXR01A</v>
      </c>
      <c r="AG194" s="321">
        <f t="shared" si="68"/>
        <v>39</v>
      </c>
      <c r="AH194" s="321"/>
      <c r="AI194" s="321" t="str">
        <f t="shared" si="81"/>
        <v>X-EXR01</v>
      </c>
      <c r="AJ194" s="320"/>
      <c r="AK194" s="322">
        <f t="shared" si="69"/>
        <v>185</v>
      </c>
      <c r="AL194" s="323">
        <f t="shared" si="82"/>
        <v>223</v>
      </c>
      <c r="AM194" s="322">
        <f t="shared" si="83"/>
        <v>10</v>
      </c>
      <c r="AN194" s="381">
        <f t="shared" si="70"/>
        <v>0.24333333333333332</v>
      </c>
      <c r="AO194" s="322"/>
    </row>
    <row r="195" spans="2:41">
      <c r="B195" s="324" t="s">
        <v>1424</v>
      </c>
      <c r="C195" s="325" t="s">
        <v>1458</v>
      </c>
      <c r="D195" s="326" t="s">
        <v>1384</v>
      </c>
      <c r="E195" s="327">
        <f>+SUMIF('AUX-NIV2'!I:I,'AUX-NIV3'!B195,'AUX-NIV2'!Q:Q)</f>
        <v>0</v>
      </c>
      <c r="F195" s="327" t="e">
        <f t="shared" si="60"/>
        <v>#N/A</v>
      </c>
      <c r="G195" s="327" t="e">
        <f t="shared" si="61"/>
        <v>#N/A</v>
      </c>
      <c r="H195" s="328" t="str">
        <f t="shared" si="88"/>
        <v>A</v>
      </c>
      <c r="I195" s="325" t="s">
        <v>3315</v>
      </c>
      <c r="J195" s="421" t="e">
        <f>IF(B195&lt;&gt;"",+VLOOKUP(I195,Recursos!C:F,2,FALSE),"")</f>
        <v>#N/A</v>
      </c>
      <c r="K195" s="330" t="e">
        <f>IF(B195&lt;&gt;"",+VLOOKUP(I195,Recursos!C:F,3,FALSE),"")</f>
        <v>#N/A</v>
      </c>
      <c r="L195" s="327" t="e">
        <f>IF(B195&lt;&gt;"",+VLOOKUP(I195,Recursos!C:F,4,FALSE),"")</f>
        <v>#N/A</v>
      </c>
      <c r="M195" s="416"/>
      <c r="N195" s="416">
        <v>2</v>
      </c>
      <c r="O195" s="332">
        <f>+N195*O196</f>
        <v>0.1111111111111111</v>
      </c>
      <c r="P195" s="333" t="e">
        <f t="shared" si="71"/>
        <v>#N/A</v>
      </c>
      <c r="Q195" s="327">
        <f t="shared" si="72"/>
        <v>0</v>
      </c>
      <c r="R195" s="334" t="e">
        <f t="shared" si="73"/>
        <v>#N/A</v>
      </c>
      <c r="S195" s="335" t="e">
        <f t="shared" si="62"/>
        <v>#N/A</v>
      </c>
      <c r="T195" s="335">
        <f t="shared" si="63"/>
        <v>57.579181250000005</v>
      </c>
      <c r="U195" s="336">
        <f t="shared" si="64"/>
        <v>264.28223784361109</v>
      </c>
      <c r="V195" s="336">
        <f t="shared" si="65"/>
        <v>0</v>
      </c>
      <c r="W195" s="336">
        <f t="shared" si="66"/>
        <v>0</v>
      </c>
      <c r="X195" s="336">
        <f t="shared" si="67"/>
        <v>0</v>
      </c>
      <c r="Y195" s="320"/>
      <c r="Z195" s="321" t="str">
        <f t="shared" si="74"/>
        <v>X-EXR01A</v>
      </c>
      <c r="AA195" s="321" t="str">
        <f t="shared" si="75"/>
        <v>X-EXR01E</v>
      </c>
      <c r="AB195" s="321" t="str">
        <f t="shared" si="76"/>
        <v>X-EXR01M</v>
      </c>
      <c r="AC195" s="321" t="str">
        <f t="shared" si="77"/>
        <v>X-EXR01T</v>
      </c>
      <c r="AD195" s="321" t="str">
        <f t="shared" si="78"/>
        <v>X-EXR01S</v>
      </c>
      <c r="AE195" s="321" t="str">
        <f t="shared" si="79"/>
        <v>X-EXR01X</v>
      </c>
      <c r="AF195" s="321" t="str">
        <f t="shared" si="80"/>
        <v>X-EXR01A</v>
      </c>
      <c r="AG195" s="321">
        <f t="shared" si="68"/>
        <v>39</v>
      </c>
      <c r="AH195" s="321"/>
      <c r="AI195" s="321" t="str">
        <f t="shared" si="81"/>
        <v>X-EXR01</v>
      </c>
      <c r="AJ195" s="320"/>
      <c r="AK195" s="322">
        <f t="shared" si="69"/>
        <v>185</v>
      </c>
      <c r="AL195" s="323">
        <f t="shared" si="82"/>
        <v>223</v>
      </c>
      <c r="AM195" s="322">
        <f t="shared" si="83"/>
        <v>11</v>
      </c>
      <c r="AN195" s="381">
        <f t="shared" si="70"/>
        <v>0.24333333333333332</v>
      </c>
      <c r="AO195" s="322"/>
    </row>
    <row r="196" spans="2:41">
      <c r="B196" s="324" t="s">
        <v>1424</v>
      </c>
      <c r="C196" s="325" t="s">
        <v>1458</v>
      </c>
      <c r="D196" s="326" t="s">
        <v>1384</v>
      </c>
      <c r="E196" s="327">
        <f>+SUMIF('AUX-NIV2'!I:I,'AUX-NIV3'!B196,'AUX-NIV2'!Q:Q)</f>
        <v>0</v>
      </c>
      <c r="F196" s="327" t="e">
        <f t="shared" si="60"/>
        <v>#N/A</v>
      </c>
      <c r="G196" s="327" t="e">
        <f t="shared" si="61"/>
        <v>#N/A</v>
      </c>
      <c r="H196" s="328" t="str">
        <f t="shared" si="88"/>
        <v>A</v>
      </c>
      <c r="I196" s="325" t="s">
        <v>1746</v>
      </c>
      <c r="J196" s="421" t="str">
        <f>IF(B196&lt;&gt;"",+VLOOKUP(I196,Recursos!C:F,2,FALSE),"")</f>
        <v>OFICIAL</v>
      </c>
      <c r="K196" s="330" t="str">
        <f>IF(B196&lt;&gt;"",+VLOOKUP(I196,Recursos!C:F,3,FALSE),"")</f>
        <v>hh</v>
      </c>
      <c r="L196" s="327">
        <f>IF(B196&lt;&gt;"",+VLOOKUP(I196,Recursos!C:F,4,FALSE),"")</f>
        <v>496.91595439275824</v>
      </c>
      <c r="M196" s="416"/>
      <c r="N196" s="416">
        <v>18</v>
      </c>
      <c r="O196" s="332">
        <f>1/N196</f>
        <v>5.5555555555555552E-2</v>
      </c>
      <c r="P196" s="333">
        <f t="shared" si="71"/>
        <v>27.606441910708789</v>
      </c>
      <c r="Q196" s="327">
        <f t="shared" si="72"/>
        <v>0</v>
      </c>
      <c r="R196" s="334">
        <f t="shared" si="73"/>
        <v>0</v>
      </c>
      <c r="S196" s="335" t="e">
        <f t="shared" si="62"/>
        <v>#N/A</v>
      </c>
      <c r="T196" s="335">
        <f t="shared" si="63"/>
        <v>57.579181250000005</v>
      </c>
      <c r="U196" s="336">
        <f t="shared" si="64"/>
        <v>264.28223784361109</v>
      </c>
      <c r="V196" s="336">
        <f t="shared" si="65"/>
        <v>0</v>
      </c>
      <c r="W196" s="336">
        <f t="shared" si="66"/>
        <v>0</v>
      </c>
      <c r="X196" s="336">
        <f t="shared" si="67"/>
        <v>0</v>
      </c>
      <c r="Y196" s="320"/>
      <c r="Z196" s="321" t="str">
        <f t="shared" si="74"/>
        <v>X-EXR01A</v>
      </c>
      <c r="AA196" s="321" t="str">
        <f t="shared" si="75"/>
        <v>X-EXR01E</v>
      </c>
      <c r="AB196" s="321" t="str">
        <f t="shared" si="76"/>
        <v>X-EXR01M</v>
      </c>
      <c r="AC196" s="321" t="str">
        <f t="shared" si="77"/>
        <v>X-EXR01T</v>
      </c>
      <c r="AD196" s="321" t="str">
        <f t="shared" si="78"/>
        <v>X-EXR01S</v>
      </c>
      <c r="AE196" s="321" t="str">
        <f t="shared" si="79"/>
        <v>X-EXR01X</v>
      </c>
      <c r="AF196" s="321" t="str">
        <f t="shared" si="80"/>
        <v>X-EXR01A</v>
      </c>
      <c r="AG196" s="321">
        <f t="shared" si="68"/>
        <v>39</v>
      </c>
      <c r="AH196" s="321"/>
      <c r="AI196" s="321" t="str">
        <f t="shared" si="81"/>
        <v>X-EXR01</v>
      </c>
      <c r="AJ196" s="320"/>
      <c r="AK196" s="322">
        <f t="shared" si="69"/>
        <v>185</v>
      </c>
      <c r="AL196" s="323">
        <f t="shared" si="82"/>
        <v>223</v>
      </c>
      <c r="AM196" s="322">
        <f t="shared" si="83"/>
        <v>12</v>
      </c>
      <c r="AN196" s="381">
        <f t="shared" si="70"/>
        <v>0.24333333333333332</v>
      </c>
      <c r="AO196" s="322"/>
    </row>
    <row r="197" spans="2:41">
      <c r="B197" s="324" t="s">
        <v>1424</v>
      </c>
      <c r="C197" s="325" t="s">
        <v>1458</v>
      </c>
      <c r="D197" s="326" t="s">
        <v>1384</v>
      </c>
      <c r="E197" s="327">
        <f>+SUMIF('AUX-NIV2'!I:I,'AUX-NIV3'!B197,'AUX-NIV2'!Q:Q)</f>
        <v>0</v>
      </c>
      <c r="F197" s="327" t="e">
        <f t="shared" si="60"/>
        <v>#N/A</v>
      </c>
      <c r="G197" s="327" t="e">
        <f t="shared" si="61"/>
        <v>#N/A</v>
      </c>
      <c r="H197" s="328" t="str">
        <f t="shared" si="88"/>
        <v>M</v>
      </c>
      <c r="I197" s="325" t="s">
        <v>621</v>
      </c>
      <c r="J197" s="421" t="str">
        <f>IF(B197&lt;&gt;"",+VLOOKUP(I197,Recursos!C:F,2,FALSE),"")</f>
        <v>MATERIALES VARIOS</v>
      </c>
      <c r="K197" s="330" t="str">
        <f>IF(B197&lt;&gt;"",+VLOOKUP(I197,Recursos!C:F,3,FALSE),"")</f>
        <v>GL</v>
      </c>
      <c r="L197" s="327">
        <f>IF(B197&lt;&gt;"",+VLOOKUP(I197,Recursos!C:F,4,FALSE),"")</f>
        <v>0.5</v>
      </c>
      <c r="M197" s="416"/>
      <c r="N197" s="416">
        <v>1</v>
      </c>
      <c r="O197" s="332">
        <f>+N197*O196</f>
        <v>5.5555555555555552E-2</v>
      </c>
      <c r="P197" s="333">
        <f t="shared" si="71"/>
        <v>2.7777777777777776E-2</v>
      </c>
      <c r="Q197" s="327">
        <f t="shared" si="72"/>
        <v>0</v>
      </c>
      <c r="R197" s="334">
        <f t="shared" si="73"/>
        <v>0</v>
      </c>
      <c r="S197" s="335" t="e">
        <f t="shared" si="62"/>
        <v>#N/A</v>
      </c>
      <c r="T197" s="335">
        <f t="shared" si="63"/>
        <v>57.579181250000005</v>
      </c>
      <c r="U197" s="336">
        <f t="shared" si="64"/>
        <v>264.28223784361109</v>
      </c>
      <c r="V197" s="336">
        <f t="shared" si="65"/>
        <v>0</v>
      </c>
      <c r="W197" s="336">
        <f t="shared" si="66"/>
        <v>0</v>
      </c>
      <c r="X197" s="336">
        <f t="shared" si="67"/>
        <v>0</v>
      </c>
      <c r="Y197" s="320"/>
      <c r="Z197" s="321" t="str">
        <f t="shared" si="74"/>
        <v>X-EXR01A</v>
      </c>
      <c r="AA197" s="321" t="str">
        <f t="shared" si="75"/>
        <v>X-EXR01E</v>
      </c>
      <c r="AB197" s="321" t="str">
        <f t="shared" si="76"/>
        <v>X-EXR01M</v>
      </c>
      <c r="AC197" s="321" t="str">
        <f t="shared" si="77"/>
        <v>X-EXR01T</v>
      </c>
      <c r="AD197" s="321" t="str">
        <f t="shared" si="78"/>
        <v>X-EXR01S</v>
      </c>
      <c r="AE197" s="321" t="str">
        <f t="shared" si="79"/>
        <v>X-EXR01X</v>
      </c>
      <c r="AF197" s="321" t="str">
        <f t="shared" si="80"/>
        <v>X-EXR01M</v>
      </c>
      <c r="AG197" s="321">
        <f t="shared" si="68"/>
        <v>39</v>
      </c>
      <c r="AH197" s="321"/>
      <c r="AI197" s="321" t="str">
        <f t="shared" si="81"/>
        <v>X-EXR01</v>
      </c>
      <c r="AJ197" s="320"/>
      <c r="AK197" s="322">
        <f t="shared" si="69"/>
        <v>185</v>
      </c>
      <c r="AL197" s="323">
        <f t="shared" si="82"/>
        <v>223</v>
      </c>
      <c r="AM197" s="322">
        <f t="shared" si="83"/>
        <v>13</v>
      </c>
      <c r="AN197" s="381">
        <f t="shared" si="70"/>
        <v>0.24333333333333332</v>
      </c>
      <c r="AO197" s="322"/>
    </row>
    <row r="198" spans="2:41">
      <c r="B198" s="324" t="s">
        <v>1424</v>
      </c>
      <c r="C198" s="325" t="s">
        <v>1458</v>
      </c>
      <c r="D198" s="326" t="s">
        <v>1384</v>
      </c>
      <c r="E198" s="327">
        <f>+SUMIF('AUX-NIV2'!I:I,'AUX-NIV3'!B198,'AUX-NIV2'!Q:Q)</f>
        <v>0</v>
      </c>
      <c r="F198" s="327" t="e">
        <f t="shared" si="60"/>
        <v>#N/A</v>
      </c>
      <c r="G198" s="327" t="e">
        <f t="shared" si="61"/>
        <v>#N/A</v>
      </c>
      <c r="H198" s="328" t="str">
        <f t="shared" si="88"/>
        <v>M</v>
      </c>
      <c r="I198" s="325" t="s">
        <v>1426</v>
      </c>
      <c r="J198" s="419" t="str">
        <f>IF(B198&lt;&gt;"",+VLOOKUP(I198,Recursos!C:F,2,FALSE),"")</f>
        <v>BROCA BOTON D=75 mm = 3"-T38</v>
      </c>
      <c r="K198" s="330" t="str">
        <f>IF(B198&lt;&gt;"",+VLOOKUP(I198,Recursos!C:F,3,FALSE),"")</f>
        <v>Un</v>
      </c>
      <c r="L198" s="327">
        <f>IF(B198&lt;&gt;"",+VLOOKUP(I198,Recursos!C:F,4,FALSE),"")</f>
        <v>2811.1750000000002</v>
      </c>
      <c r="M198" s="428">
        <v>1</v>
      </c>
      <c r="N198" s="416">
        <v>300</v>
      </c>
      <c r="O198" s="332">
        <f>1/N198*M198</f>
        <v>3.3333333333333335E-3</v>
      </c>
      <c r="P198" s="333">
        <f t="shared" si="71"/>
        <v>9.3705833333333342</v>
      </c>
      <c r="Q198" s="327">
        <f t="shared" si="72"/>
        <v>0</v>
      </c>
      <c r="R198" s="334">
        <f t="shared" si="73"/>
        <v>0</v>
      </c>
      <c r="S198" s="335" t="e">
        <f t="shared" si="62"/>
        <v>#N/A</v>
      </c>
      <c r="T198" s="335">
        <f t="shared" si="63"/>
        <v>57.579181250000005</v>
      </c>
      <c r="U198" s="336">
        <f t="shared" si="64"/>
        <v>264.28223784361109</v>
      </c>
      <c r="V198" s="336">
        <f t="shared" si="65"/>
        <v>0</v>
      </c>
      <c r="W198" s="336">
        <f t="shared" si="66"/>
        <v>0</v>
      </c>
      <c r="X198" s="336">
        <f t="shared" si="67"/>
        <v>0</v>
      </c>
      <c r="Y198" s="320"/>
      <c r="Z198" s="321" t="str">
        <f t="shared" si="74"/>
        <v>X-EXR01A</v>
      </c>
      <c r="AA198" s="321" t="str">
        <f t="shared" si="75"/>
        <v>X-EXR01E</v>
      </c>
      <c r="AB198" s="321" t="str">
        <f t="shared" si="76"/>
        <v>X-EXR01M</v>
      </c>
      <c r="AC198" s="321" t="str">
        <f t="shared" si="77"/>
        <v>X-EXR01T</v>
      </c>
      <c r="AD198" s="321" t="str">
        <f t="shared" si="78"/>
        <v>X-EXR01S</v>
      </c>
      <c r="AE198" s="321" t="str">
        <f t="shared" si="79"/>
        <v>X-EXR01X</v>
      </c>
      <c r="AF198" s="321" t="str">
        <f t="shared" si="80"/>
        <v>X-EXR01M</v>
      </c>
      <c r="AG198" s="321">
        <f t="shared" si="68"/>
        <v>39</v>
      </c>
      <c r="AH198" s="321"/>
      <c r="AI198" s="321" t="str">
        <f t="shared" si="81"/>
        <v>X-EXR01</v>
      </c>
      <c r="AJ198" s="320"/>
      <c r="AK198" s="322">
        <f t="shared" si="69"/>
        <v>185</v>
      </c>
      <c r="AL198" s="323">
        <f t="shared" si="82"/>
        <v>223</v>
      </c>
      <c r="AM198" s="322">
        <f t="shared" si="83"/>
        <v>14</v>
      </c>
      <c r="AN198" s="381">
        <f t="shared" si="70"/>
        <v>0.24333333333333332</v>
      </c>
      <c r="AO198" s="322"/>
    </row>
    <row r="199" spans="2:41">
      <c r="B199" s="324" t="s">
        <v>1424</v>
      </c>
      <c r="C199" s="325" t="s">
        <v>1458</v>
      </c>
      <c r="D199" s="326" t="s">
        <v>1384</v>
      </c>
      <c r="E199" s="327">
        <f>+SUMIF('AUX-NIV2'!I:I,'AUX-NIV3'!B199,'AUX-NIV2'!Q:Q)</f>
        <v>0</v>
      </c>
      <c r="F199" s="327" t="e">
        <f t="shared" ref="F199:F262" si="89">IF(B199&lt;&gt;"",+SUMIF(B:B,B199,P:P),"")</f>
        <v>#N/A</v>
      </c>
      <c r="G199" s="327" t="e">
        <f t="shared" ref="G199:G262" si="90">IF(B199&lt;&gt;"",+SUMIF(B:B,B199,R:R),"")</f>
        <v>#N/A</v>
      </c>
      <c r="H199" s="328" t="str">
        <f t="shared" si="88"/>
        <v>M</v>
      </c>
      <c r="I199" s="325" t="s">
        <v>1427</v>
      </c>
      <c r="J199" s="419" t="str">
        <f>IF(B199&lt;&gt;"",+VLOOKUP(I199,Recursos!C:F,2,FALSE),"")</f>
        <v>BARRA EXTENS.10 pies T38-T38</v>
      </c>
      <c r="K199" s="330" t="str">
        <f>IF(B199&lt;&gt;"",+VLOOKUP(I199,Recursos!C:F,3,FALSE),"")</f>
        <v>Un</v>
      </c>
      <c r="L199" s="327">
        <f>IF(B199&lt;&gt;"",+VLOOKUP(I199,Recursos!C:F,4,FALSE),"")</f>
        <v>27539.625</v>
      </c>
      <c r="M199" s="416"/>
      <c r="N199" s="416">
        <v>1250</v>
      </c>
      <c r="O199" s="332">
        <f>1/N199*M198</f>
        <v>8.0000000000000004E-4</v>
      </c>
      <c r="P199" s="333">
        <f t="shared" si="71"/>
        <v>22.031700000000001</v>
      </c>
      <c r="Q199" s="327">
        <f t="shared" si="72"/>
        <v>0</v>
      </c>
      <c r="R199" s="334">
        <f t="shared" si="73"/>
        <v>0</v>
      </c>
      <c r="S199" s="335" t="e">
        <f t="shared" ref="S199:S262" si="91">IF(B199&lt;&gt;"",+SUMIF($AF:$AF,Z199,$P:$P),"")</f>
        <v>#N/A</v>
      </c>
      <c r="T199" s="335">
        <f t="shared" ref="T199:T262" si="92">IF(B199&lt;&gt;"",+SUMIF($AF:$AF,AA199,$P:$P),"")</f>
        <v>57.579181250000005</v>
      </c>
      <c r="U199" s="336">
        <f t="shared" ref="U199:U262" si="93">IF(B199&lt;&gt;"",+SUMIF($AF:$AF,AB199,$P:$P),"")</f>
        <v>264.28223784361109</v>
      </c>
      <c r="V199" s="336">
        <f t="shared" ref="V199:V262" si="94">IF(B199&lt;&gt;"",+SUMIF($AF:$AF,AC199,$P:$P),"")</f>
        <v>0</v>
      </c>
      <c r="W199" s="336">
        <f t="shared" ref="W199:W262" si="95">IF(B199&lt;&gt;"",+SUMIF($AF:$AF,AD199,$P:$P),"")</f>
        <v>0</v>
      </c>
      <c r="X199" s="336">
        <f t="shared" ref="X199:X262" si="96">IF(B199&lt;&gt;"",+SUMIF($AF:$AF,AE199,$P:$P),"")</f>
        <v>0</v>
      </c>
      <c r="Y199" s="320"/>
      <c r="Z199" s="321" t="str">
        <f t="shared" si="74"/>
        <v>X-EXR01A</v>
      </c>
      <c r="AA199" s="321" t="str">
        <f t="shared" si="75"/>
        <v>X-EXR01E</v>
      </c>
      <c r="AB199" s="321" t="str">
        <f t="shared" si="76"/>
        <v>X-EXR01M</v>
      </c>
      <c r="AC199" s="321" t="str">
        <f t="shared" si="77"/>
        <v>X-EXR01T</v>
      </c>
      <c r="AD199" s="321" t="str">
        <f t="shared" si="78"/>
        <v>X-EXR01S</v>
      </c>
      <c r="AE199" s="321" t="str">
        <f t="shared" si="79"/>
        <v>X-EXR01X</v>
      </c>
      <c r="AF199" s="321" t="str">
        <f t="shared" si="80"/>
        <v>X-EXR01M</v>
      </c>
      <c r="AG199" s="321">
        <f t="shared" ref="AG199:AG262" si="97">IF(B199&lt;&gt;"",+COUNTIF(B:B,B199),"")</f>
        <v>39</v>
      </c>
      <c r="AH199" s="321"/>
      <c r="AI199" s="321" t="str">
        <f t="shared" si="81"/>
        <v>X-EXR01</v>
      </c>
      <c r="AJ199" s="320"/>
      <c r="AK199" s="322">
        <f t="shared" ref="AK199:AK262" si="98">IF(B199&lt;&gt;"",+MATCH(B199,B:B,0),"")</f>
        <v>185</v>
      </c>
      <c r="AL199" s="323">
        <f t="shared" si="82"/>
        <v>223</v>
      </c>
      <c r="AM199" s="322">
        <f t="shared" si="83"/>
        <v>15</v>
      </c>
      <c r="AN199" s="381">
        <f t="shared" ref="AN199:AN262" si="99">+IF(B199&lt;&gt;"",SUMIF(AF:AF,Z199,O:O),"")</f>
        <v>0.24333333333333332</v>
      </c>
      <c r="AO199" s="322"/>
    </row>
    <row r="200" spans="2:41">
      <c r="B200" s="324" t="s">
        <v>1424</v>
      </c>
      <c r="C200" s="325" t="s">
        <v>1458</v>
      </c>
      <c r="D200" s="326" t="s">
        <v>1384</v>
      </c>
      <c r="E200" s="327">
        <f>+SUMIF('AUX-NIV2'!I:I,'AUX-NIV3'!B200,'AUX-NIV2'!Q:Q)</f>
        <v>0</v>
      </c>
      <c r="F200" s="327" t="e">
        <f t="shared" si="89"/>
        <v>#N/A</v>
      </c>
      <c r="G200" s="327" t="e">
        <f t="shared" si="90"/>
        <v>#N/A</v>
      </c>
      <c r="H200" s="328" t="str">
        <f t="shared" si="88"/>
        <v>M</v>
      </c>
      <c r="I200" s="325" t="s">
        <v>1428</v>
      </c>
      <c r="J200" s="419" t="str">
        <f>IF(B200&lt;&gt;"",+VLOOKUP(I200,Recursos!C:F,2,FALSE),"")</f>
        <v>MANGUITO DE ACOPLE T38-T38</v>
      </c>
      <c r="K200" s="330" t="str">
        <f>IF(B200&lt;&gt;"",+VLOOKUP(I200,Recursos!C:F,3,FALSE),"")</f>
        <v>Un</v>
      </c>
      <c r="L200" s="327">
        <f>IF(B200&lt;&gt;"",+VLOOKUP(I200,Recursos!C:F,4,FALSE),"")</f>
        <v>5184.7749999999996</v>
      </c>
      <c r="M200" s="416">
        <v>1.5</v>
      </c>
      <c r="N200" s="416"/>
      <c r="O200" s="332">
        <f>+O199*M200*M198</f>
        <v>1.2000000000000001E-3</v>
      </c>
      <c r="P200" s="333">
        <f t="shared" ref="P200:P263" si="100">IF(B200&lt;&gt;"",O200*L200,"")</f>
        <v>6.22173</v>
      </c>
      <c r="Q200" s="327">
        <f t="shared" ref="Q200:Q263" si="101">IF(B200&lt;&gt;"",+O200*E200,"")</f>
        <v>0</v>
      </c>
      <c r="R200" s="334">
        <f t="shared" ref="R200:R263" si="102">IF(B200&lt;&gt;"",Q200*L200,"")</f>
        <v>0</v>
      </c>
      <c r="S200" s="335" t="e">
        <f t="shared" si="91"/>
        <v>#N/A</v>
      </c>
      <c r="T200" s="335">
        <f t="shared" si="92"/>
        <v>57.579181250000005</v>
      </c>
      <c r="U200" s="336">
        <f t="shared" si="93"/>
        <v>264.28223784361109</v>
      </c>
      <c r="V200" s="336">
        <f t="shared" si="94"/>
        <v>0</v>
      </c>
      <c r="W200" s="336">
        <f t="shared" si="95"/>
        <v>0</v>
      </c>
      <c r="X200" s="336">
        <f t="shared" si="96"/>
        <v>0</v>
      </c>
      <c r="Y200" s="320"/>
      <c r="Z200" s="321" t="str">
        <f t="shared" ref="Z200:Z263" si="103">IF(B200&lt;&gt;"",+$B200&amp;"A","")</f>
        <v>X-EXR01A</v>
      </c>
      <c r="AA200" s="321" t="str">
        <f t="shared" ref="AA200:AA263" si="104">IF(B200&lt;&gt;"",+$B200&amp;"E","")</f>
        <v>X-EXR01E</v>
      </c>
      <c r="AB200" s="321" t="str">
        <f t="shared" ref="AB200:AB263" si="105">IF(B200&lt;&gt;"",++$B200&amp;"M","")</f>
        <v>X-EXR01M</v>
      </c>
      <c r="AC200" s="321" t="str">
        <f t="shared" ref="AC200:AC263" si="106">IF(B200&lt;&gt;"",+$B200&amp;"T","")</f>
        <v>X-EXR01T</v>
      </c>
      <c r="AD200" s="321" t="str">
        <f t="shared" ref="AD200:AD263" si="107">IF(B200&lt;&gt;"",+$B200&amp;"S","")</f>
        <v>X-EXR01S</v>
      </c>
      <c r="AE200" s="321" t="str">
        <f t="shared" ref="AE200:AE263" si="108">IF(B200&lt;&gt;"",+$B200&amp;"X","")</f>
        <v>X-EXR01X</v>
      </c>
      <c r="AF200" s="321" t="str">
        <f t="shared" ref="AF200:AF263" si="109">IF(B200&lt;&gt;"",+B200&amp;H200,"")</f>
        <v>X-EXR01M</v>
      </c>
      <c r="AG200" s="321">
        <f t="shared" si="97"/>
        <v>39</v>
      </c>
      <c r="AH200" s="321"/>
      <c r="AI200" s="321" t="str">
        <f t="shared" ref="AI200:AI263" si="110">IF(B200&lt;&gt;"",+B200,"")</f>
        <v>X-EXR01</v>
      </c>
      <c r="AJ200" s="320"/>
      <c r="AK200" s="322">
        <f t="shared" si="98"/>
        <v>185</v>
      </c>
      <c r="AL200" s="323">
        <f t="shared" ref="AL200:AL263" si="111">IF(B200&lt;&gt;"",+AK200+AG200-1,"")</f>
        <v>223</v>
      </c>
      <c r="AM200" s="322">
        <f t="shared" ref="AM200:AM263" si="112">IF(B200&lt;&gt;"",IF(B200=B199,1+AM199,1),"")</f>
        <v>16</v>
      </c>
      <c r="AN200" s="381">
        <f t="shared" si="99"/>
        <v>0.24333333333333332</v>
      </c>
      <c r="AO200" s="322"/>
    </row>
    <row r="201" spans="2:41">
      <c r="B201" s="324" t="s">
        <v>1424</v>
      </c>
      <c r="C201" s="325" t="s">
        <v>1458</v>
      </c>
      <c r="D201" s="326" t="s">
        <v>1384</v>
      </c>
      <c r="E201" s="327">
        <f>+SUMIF('AUX-NIV2'!I:I,'AUX-NIV3'!B201,'AUX-NIV2'!Q:Q)</f>
        <v>0</v>
      </c>
      <c r="F201" s="327" t="e">
        <f t="shared" si="89"/>
        <v>#N/A</v>
      </c>
      <c r="G201" s="327" t="e">
        <f t="shared" si="90"/>
        <v>#N/A</v>
      </c>
      <c r="H201" s="328" t="str">
        <f t="shared" si="88"/>
        <v>M</v>
      </c>
      <c r="I201" s="325" t="s">
        <v>1429</v>
      </c>
      <c r="J201" s="419" t="str">
        <f>IF(B201&lt;&gt;"",+VLOOKUP(I201,Recursos!C:F,2,FALSE),"")</f>
        <v>ADAPTADOR CULATA T.DRILL HIDR.-T38</v>
      </c>
      <c r="K201" s="330" t="str">
        <f>IF(B201&lt;&gt;"",+VLOOKUP(I201,Recursos!C:F,3,FALSE),"")</f>
        <v>Un</v>
      </c>
      <c r="L201" s="327">
        <f>IF(B201&lt;&gt;"",+VLOOKUP(I201,Recursos!C:F,4,FALSE),"")</f>
        <v>14950</v>
      </c>
      <c r="M201" s="416">
        <v>4</v>
      </c>
      <c r="N201" s="416"/>
      <c r="O201" s="332">
        <f>+O200*M198*M201</f>
        <v>4.8000000000000004E-3</v>
      </c>
      <c r="P201" s="333">
        <f t="shared" si="100"/>
        <v>71.760000000000005</v>
      </c>
      <c r="Q201" s="327">
        <f t="shared" si="101"/>
        <v>0</v>
      </c>
      <c r="R201" s="334">
        <f t="shared" si="102"/>
        <v>0</v>
      </c>
      <c r="S201" s="335" t="e">
        <f t="shared" si="91"/>
        <v>#N/A</v>
      </c>
      <c r="T201" s="335">
        <f t="shared" si="92"/>
        <v>57.579181250000005</v>
      </c>
      <c r="U201" s="336">
        <f t="shared" si="93"/>
        <v>264.28223784361109</v>
      </c>
      <c r="V201" s="336">
        <f t="shared" si="94"/>
        <v>0</v>
      </c>
      <c r="W201" s="336">
        <f t="shared" si="95"/>
        <v>0</v>
      </c>
      <c r="X201" s="336">
        <f t="shared" si="96"/>
        <v>0</v>
      </c>
      <c r="Y201" s="320"/>
      <c r="Z201" s="321" t="str">
        <f t="shared" si="103"/>
        <v>X-EXR01A</v>
      </c>
      <c r="AA201" s="321" t="str">
        <f t="shared" si="104"/>
        <v>X-EXR01E</v>
      </c>
      <c r="AB201" s="321" t="str">
        <f t="shared" si="105"/>
        <v>X-EXR01M</v>
      </c>
      <c r="AC201" s="321" t="str">
        <f t="shared" si="106"/>
        <v>X-EXR01T</v>
      </c>
      <c r="AD201" s="321" t="str">
        <f t="shared" si="107"/>
        <v>X-EXR01S</v>
      </c>
      <c r="AE201" s="321" t="str">
        <f t="shared" si="108"/>
        <v>X-EXR01X</v>
      </c>
      <c r="AF201" s="321" t="str">
        <f t="shared" si="109"/>
        <v>X-EXR01M</v>
      </c>
      <c r="AG201" s="321">
        <f t="shared" si="97"/>
        <v>39</v>
      </c>
      <c r="AH201" s="321"/>
      <c r="AI201" s="321" t="str">
        <f t="shared" si="110"/>
        <v>X-EXR01</v>
      </c>
      <c r="AJ201" s="320"/>
      <c r="AK201" s="322">
        <f t="shared" si="98"/>
        <v>185</v>
      </c>
      <c r="AL201" s="323">
        <f t="shared" si="111"/>
        <v>223</v>
      </c>
      <c r="AM201" s="322">
        <f t="shared" si="112"/>
        <v>17</v>
      </c>
      <c r="AN201" s="381">
        <f t="shared" si="99"/>
        <v>0.24333333333333332</v>
      </c>
      <c r="AO201" s="322"/>
    </row>
    <row r="202" spans="2:41">
      <c r="B202" s="324" t="s">
        <v>1424</v>
      </c>
      <c r="C202" s="325" t="s">
        <v>1458</v>
      </c>
      <c r="D202" s="326" t="s">
        <v>1384</v>
      </c>
      <c r="E202" s="327">
        <f>+SUMIF('AUX-NIV2'!I:I,'AUX-NIV3'!B202,'AUX-NIV2'!Q:Q)</f>
        <v>0</v>
      </c>
      <c r="F202" s="327" t="e">
        <f t="shared" si="89"/>
        <v>#N/A</v>
      </c>
      <c r="G202" s="327" t="e">
        <f t="shared" si="90"/>
        <v>#N/A</v>
      </c>
      <c r="H202" s="328" t="str">
        <f t="shared" si="88"/>
        <v>M</v>
      </c>
      <c r="I202" s="325" t="s">
        <v>1430</v>
      </c>
      <c r="J202" s="419" t="str">
        <f>IF(B202&lt;&gt;"",+VLOOKUP(I202,Recursos!C:F,2,FALSE),"")</f>
        <v>BARRENO INTEGRAL S.12 x 800 mm</v>
      </c>
      <c r="K202" s="330" t="str">
        <f>IF(B202&lt;&gt;"",+VLOOKUP(I202,Recursos!C:F,3,FALSE),"")</f>
        <v>Un</v>
      </c>
      <c r="L202" s="327">
        <f>IF(B202&lt;&gt;"",+VLOOKUP(I202,Recursos!C:F,4,FALSE),"")</f>
        <v>15480.000000000002</v>
      </c>
      <c r="M202" s="416"/>
      <c r="N202" s="416">
        <v>350</v>
      </c>
      <c r="O202" s="332">
        <f>1/N202*M203</f>
        <v>0</v>
      </c>
      <c r="P202" s="333">
        <f t="shared" si="100"/>
        <v>0</v>
      </c>
      <c r="Q202" s="327">
        <f t="shared" si="101"/>
        <v>0</v>
      </c>
      <c r="R202" s="334">
        <f t="shared" si="102"/>
        <v>0</v>
      </c>
      <c r="S202" s="335" t="e">
        <f t="shared" si="91"/>
        <v>#N/A</v>
      </c>
      <c r="T202" s="335">
        <f t="shared" si="92"/>
        <v>57.579181250000005</v>
      </c>
      <c r="U202" s="336">
        <f t="shared" si="93"/>
        <v>264.28223784361109</v>
      </c>
      <c r="V202" s="336">
        <f t="shared" si="94"/>
        <v>0</v>
      </c>
      <c r="W202" s="336">
        <f t="shared" si="95"/>
        <v>0</v>
      </c>
      <c r="X202" s="336">
        <f t="shared" si="96"/>
        <v>0</v>
      </c>
      <c r="Y202" s="320"/>
      <c r="Z202" s="321" t="str">
        <f t="shared" si="103"/>
        <v>X-EXR01A</v>
      </c>
      <c r="AA202" s="321" t="str">
        <f t="shared" si="104"/>
        <v>X-EXR01E</v>
      </c>
      <c r="AB202" s="321" t="str">
        <f t="shared" si="105"/>
        <v>X-EXR01M</v>
      </c>
      <c r="AC202" s="321" t="str">
        <f t="shared" si="106"/>
        <v>X-EXR01T</v>
      </c>
      <c r="AD202" s="321" t="str">
        <f t="shared" si="107"/>
        <v>X-EXR01S</v>
      </c>
      <c r="AE202" s="321" t="str">
        <f t="shared" si="108"/>
        <v>X-EXR01X</v>
      </c>
      <c r="AF202" s="321" t="str">
        <f t="shared" si="109"/>
        <v>X-EXR01M</v>
      </c>
      <c r="AG202" s="321">
        <f t="shared" si="97"/>
        <v>39</v>
      </c>
      <c r="AH202" s="321"/>
      <c r="AI202" s="321" t="str">
        <f t="shared" si="110"/>
        <v>X-EXR01</v>
      </c>
      <c r="AJ202" s="320"/>
      <c r="AK202" s="322">
        <f t="shared" si="98"/>
        <v>185</v>
      </c>
      <c r="AL202" s="323">
        <f t="shared" si="111"/>
        <v>223</v>
      </c>
      <c r="AM202" s="322">
        <f t="shared" si="112"/>
        <v>18</v>
      </c>
      <c r="AN202" s="381">
        <f t="shared" si="99"/>
        <v>0.24333333333333332</v>
      </c>
      <c r="AO202" s="322"/>
    </row>
    <row r="203" spans="2:41">
      <c r="B203" s="324" t="s">
        <v>1424</v>
      </c>
      <c r="C203" s="325" t="s">
        <v>1458</v>
      </c>
      <c r="D203" s="326" t="s">
        <v>1384</v>
      </c>
      <c r="E203" s="327">
        <f>+SUMIF('AUX-NIV2'!I:I,'AUX-NIV3'!B203,'AUX-NIV2'!Q:Q)</f>
        <v>0</v>
      </c>
      <c r="F203" s="327" t="e">
        <f t="shared" si="89"/>
        <v>#N/A</v>
      </c>
      <c r="G203" s="327" t="e">
        <f t="shared" si="90"/>
        <v>#N/A</v>
      </c>
      <c r="H203" s="328" t="str">
        <f t="shared" si="88"/>
        <v>M</v>
      </c>
      <c r="I203" s="325" t="s">
        <v>1431</v>
      </c>
      <c r="J203" s="426" t="str">
        <f>IF(B203&lt;&gt;"",+VLOOKUP(I203,Recursos!C:F,2,FALSE),"")</f>
        <v>BARRENO INTEGRAL S.12 x 1600 mm</v>
      </c>
      <c r="K203" s="330" t="str">
        <f>IF(B203&lt;&gt;"",+VLOOKUP(I203,Recursos!C:F,3,FALSE),"")</f>
        <v>Un</v>
      </c>
      <c r="L203" s="327">
        <f>IF(B203&lt;&gt;"",+VLOOKUP(I203,Recursos!C:F,4,FALSE),"")</f>
        <v>17810</v>
      </c>
      <c r="M203" s="416">
        <f>1-M198</f>
        <v>0</v>
      </c>
      <c r="N203" s="416">
        <v>500</v>
      </c>
      <c r="O203" s="332">
        <f>1/N203*M203</f>
        <v>0</v>
      </c>
      <c r="P203" s="333">
        <f t="shared" si="100"/>
        <v>0</v>
      </c>
      <c r="Q203" s="327">
        <f t="shared" si="101"/>
        <v>0</v>
      </c>
      <c r="R203" s="334">
        <f t="shared" si="102"/>
        <v>0</v>
      </c>
      <c r="S203" s="335" t="e">
        <f t="shared" si="91"/>
        <v>#N/A</v>
      </c>
      <c r="T203" s="335">
        <f t="shared" si="92"/>
        <v>57.579181250000005</v>
      </c>
      <c r="U203" s="336">
        <f t="shared" si="93"/>
        <v>264.28223784361109</v>
      </c>
      <c r="V203" s="336">
        <f t="shared" si="94"/>
        <v>0</v>
      </c>
      <c r="W203" s="336">
        <f t="shared" si="95"/>
        <v>0</v>
      </c>
      <c r="X203" s="336">
        <f t="shared" si="96"/>
        <v>0</v>
      </c>
      <c r="Y203" s="320"/>
      <c r="Z203" s="321" t="str">
        <f t="shared" si="103"/>
        <v>X-EXR01A</v>
      </c>
      <c r="AA203" s="321" t="str">
        <f t="shared" si="104"/>
        <v>X-EXR01E</v>
      </c>
      <c r="AB203" s="321" t="str">
        <f t="shared" si="105"/>
        <v>X-EXR01M</v>
      </c>
      <c r="AC203" s="321" t="str">
        <f t="shared" si="106"/>
        <v>X-EXR01T</v>
      </c>
      <c r="AD203" s="321" t="str">
        <f t="shared" si="107"/>
        <v>X-EXR01S</v>
      </c>
      <c r="AE203" s="321" t="str">
        <f t="shared" si="108"/>
        <v>X-EXR01X</v>
      </c>
      <c r="AF203" s="321" t="str">
        <f t="shared" si="109"/>
        <v>X-EXR01M</v>
      </c>
      <c r="AG203" s="321">
        <f t="shared" si="97"/>
        <v>39</v>
      </c>
      <c r="AH203" s="321"/>
      <c r="AI203" s="321" t="str">
        <f t="shared" si="110"/>
        <v>X-EXR01</v>
      </c>
      <c r="AJ203" s="320"/>
      <c r="AK203" s="322">
        <f t="shared" si="98"/>
        <v>185</v>
      </c>
      <c r="AL203" s="323">
        <f t="shared" si="111"/>
        <v>223</v>
      </c>
      <c r="AM203" s="322">
        <f t="shared" si="112"/>
        <v>19</v>
      </c>
      <c r="AN203" s="381">
        <f t="shared" si="99"/>
        <v>0.24333333333333332</v>
      </c>
      <c r="AO203" s="322"/>
    </row>
    <row r="204" spans="2:41">
      <c r="B204" s="324" t="s">
        <v>1424</v>
      </c>
      <c r="C204" s="325" t="s">
        <v>1458</v>
      </c>
      <c r="D204" s="326" t="s">
        <v>1384</v>
      </c>
      <c r="E204" s="327">
        <f>+SUMIF('AUX-NIV2'!I:I,'AUX-NIV3'!B204,'AUX-NIV2'!Q:Q)</f>
        <v>0</v>
      </c>
      <c r="F204" s="327" t="e">
        <f t="shared" si="89"/>
        <v>#N/A</v>
      </c>
      <c r="G204" s="327" t="e">
        <f t="shared" si="90"/>
        <v>#N/A</v>
      </c>
      <c r="H204" s="328" t="str">
        <f t="shared" si="88"/>
        <v>M</v>
      </c>
      <c r="I204" s="325" t="s">
        <v>1432</v>
      </c>
      <c r="J204" s="426" t="str">
        <f>IF(B204&lt;&gt;"",+VLOOKUP(I204,Recursos!C:F,2,FALSE),"")</f>
        <v>BARRENO INTEGRAL S.12 x 2400 mm</v>
      </c>
      <c r="K204" s="330" t="str">
        <f>IF(B204&lt;&gt;"",+VLOOKUP(I204,Recursos!C:F,3,FALSE),"")</f>
        <v>Un</v>
      </c>
      <c r="L204" s="327">
        <f>IF(B204&lt;&gt;"",+VLOOKUP(I204,Recursos!C:F,4,FALSE),"")</f>
        <v>20467.5</v>
      </c>
      <c r="M204" s="416"/>
      <c r="N204" s="416">
        <v>750</v>
      </c>
      <c r="O204" s="332">
        <f>1/N204*M203</f>
        <v>0</v>
      </c>
      <c r="P204" s="333">
        <f t="shared" si="100"/>
        <v>0</v>
      </c>
      <c r="Q204" s="327">
        <f t="shared" si="101"/>
        <v>0</v>
      </c>
      <c r="R204" s="334">
        <f t="shared" si="102"/>
        <v>0</v>
      </c>
      <c r="S204" s="335" t="e">
        <f t="shared" si="91"/>
        <v>#N/A</v>
      </c>
      <c r="T204" s="335">
        <f t="shared" si="92"/>
        <v>57.579181250000005</v>
      </c>
      <c r="U204" s="336">
        <f t="shared" si="93"/>
        <v>264.28223784361109</v>
      </c>
      <c r="V204" s="336">
        <f t="shared" si="94"/>
        <v>0</v>
      </c>
      <c r="W204" s="336">
        <f t="shared" si="95"/>
        <v>0</v>
      </c>
      <c r="X204" s="336">
        <f t="shared" si="96"/>
        <v>0</v>
      </c>
      <c r="Y204" s="320"/>
      <c r="Z204" s="321" t="str">
        <f t="shared" si="103"/>
        <v>X-EXR01A</v>
      </c>
      <c r="AA204" s="321" t="str">
        <f t="shared" si="104"/>
        <v>X-EXR01E</v>
      </c>
      <c r="AB204" s="321" t="str">
        <f t="shared" si="105"/>
        <v>X-EXR01M</v>
      </c>
      <c r="AC204" s="321" t="str">
        <f t="shared" si="106"/>
        <v>X-EXR01T</v>
      </c>
      <c r="AD204" s="321" t="str">
        <f t="shared" si="107"/>
        <v>X-EXR01S</v>
      </c>
      <c r="AE204" s="321" t="str">
        <f t="shared" si="108"/>
        <v>X-EXR01X</v>
      </c>
      <c r="AF204" s="321" t="str">
        <f t="shared" si="109"/>
        <v>X-EXR01M</v>
      </c>
      <c r="AG204" s="321">
        <f t="shared" si="97"/>
        <v>39</v>
      </c>
      <c r="AH204" s="321"/>
      <c r="AI204" s="321" t="str">
        <f t="shared" si="110"/>
        <v>X-EXR01</v>
      </c>
      <c r="AJ204" s="320"/>
      <c r="AK204" s="322">
        <f t="shared" si="98"/>
        <v>185</v>
      </c>
      <c r="AL204" s="323">
        <f t="shared" si="111"/>
        <v>223</v>
      </c>
      <c r="AM204" s="322">
        <f t="shared" si="112"/>
        <v>20</v>
      </c>
      <c r="AN204" s="381">
        <f t="shared" si="99"/>
        <v>0.24333333333333332</v>
      </c>
      <c r="AO204" s="322"/>
    </row>
    <row r="205" spans="2:41">
      <c r="B205" s="324" t="s">
        <v>1424</v>
      </c>
      <c r="C205" s="325" t="s">
        <v>1458</v>
      </c>
      <c r="D205" s="326" t="s">
        <v>1384</v>
      </c>
      <c r="E205" s="327">
        <f>+SUMIF('AUX-NIV2'!I:I,'AUX-NIV3'!B205,'AUX-NIV2'!Q:Q)</f>
        <v>0</v>
      </c>
      <c r="F205" s="327" t="e">
        <f t="shared" si="89"/>
        <v>#N/A</v>
      </c>
      <c r="G205" s="327" t="e">
        <f t="shared" si="90"/>
        <v>#N/A</v>
      </c>
      <c r="H205" s="328" t="str">
        <f t="shared" si="88"/>
        <v>M</v>
      </c>
      <c r="I205" s="325" t="s">
        <v>1433</v>
      </c>
      <c r="J205" s="426" t="str">
        <f>IF(B205&lt;&gt;"",+VLOOKUP(I205,Recursos!C:F,2,FALSE),"")</f>
        <v>BARRENO INTEGRAL S.12 x 3200 mm</v>
      </c>
      <c r="K205" s="330" t="str">
        <f>IF(B205&lt;&gt;"",+VLOOKUP(I205,Recursos!C:F,3,FALSE),"")</f>
        <v>Un</v>
      </c>
      <c r="L205" s="327">
        <f>IF(B205&lt;&gt;"",+VLOOKUP(I205,Recursos!C:F,4,FALSE),"")</f>
        <v>5462.5</v>
      </c>
      <c r="M205" s="416"/>
      <c r="N205" s="416">
        <v>1500</v>
      </c>
      <c r="O205" s="332">
        <f>1/N205*M203</f>
        <v>0</v>
      </c>
      <c r="P205" s="333">
        <f t="shared" si="100"/>
        <v>0</v>
      </c>
      <c r="Q205" s="327">
        <f t="shared" si="101"/>
        <v>0</v>
      </c>
      <c r="R205" s="334">
        <f t="shared" si="102"/>
        <v>0</v>
      </c>
      <c r="S205" s="335" t="e">
        <f t="shared" si="91"/>
        <v>#N/A</v>
      </c>
      <c r="T205" s="335">
        <f t="shared" si="92"/>
        <v>57.579181250000005</v>
      </c>
      <c r="U205" s="336">
        <f t="shared" si="93"/>
        <v>264.28223784361109</v>
      </c>
      <c r="V205" s="336">
        <f t="shared" si="94"/>
        <v>0</v>
      </c>
      <c r="W205" s="336">
        <f t="shared" si="95"/>
        <v>0</v>
      </c>
      <c r="X205" s="336">
        <f t="shared" si="96"/>
        <v>0</v>
      </c>
      <c r="Y205" s="320"/>
      <c r="Z205" s="321" t="str">
        <f t="shared" si="103"/>
        <v>X-EXR01A</v>
      </c>
      <c r="AA205" s="321" t="str">
        <f t="shared" si="104"/>
        <v>X-EXR01E</v>
      </c>
      <c r="AB205" s="321" t="str">
        <f t="shared" si="105"/>
        <v>X-EXR01M</v>
      </c>
      <c r="AC205" s="321" t="str">
        <f t="shared" si="106"/>
        <v>X-EXR01T</v>
      </c>
      <c r="AD205" s="321" t="str">
        <f t="shared" si="107"/>
        <v>X-EXR01S</v>
      </c>
      <c r="AE205" s="321" t="str">
        <f t="shared" si="108"/>
        <v>X-EXR01X</v>
      </c>
      <c r="AF205" s="321" t="str">
        <f t="shared" si="109"/>
        <v>X-EXR01M</v>
      </c>
      <c r="AG205" s="321">
        <f t="shared" si="97"/>
        <v>39</v>
      </c>
      <c r="AH205" s="321"/>
      <c r="AI205" s="321" t="str">
        <f t="shared" si="110"/>
        <v>X-EXR01</v>
      </c>
      <c r="AJ205" s="320"/>
      <c r="AK205" s="322">
        <f t="shared" si="98"/>
        <v>185</v>
      </c>
      <c r="AL205" s="323">
        <f t="shared" si="111"/>
        <v>223</v>
      </c>
      <c r="AM205" s="322">
        <f t="shared" si="112"/>
        <v>21</v>
      </c>
      <c r="AN205" s="381">
        <f t="shared" si="99"/>
        <v>0.24333333333333332</v>
      </c>
      <c r="AO205" s="322"/>
    </row>
    <row r="206" spans="2:41">
      <c r="B206" s="324" t="s">
        <v>1424</v>
      </c>
      <c r="C206" s="325" t="s">
        <v>1458</v>
      </c>
      <c r="D206" s="326" t="s">
        <v>1384</v>
      </c>
      <c r="E206" s="327">
        <f>+SUMIF('AUX-NIV2'!I:I,'AUX-NIV3'!B206,'AUX-NIV2'!Q:Q)</f>
        <v>0</v>
      </c>
      <c r="F206" s="327" t="e">
        <f t="shared" si="89"/>
        <v>#N/A</v>
      </c>
      <c r="G206" s="327" t="e">
        <f t="shared" si="90"/>
        <v>#N/A</v>
      </c>
      <c r="H206" s="328" t="str">
        <f t="shared" si="88"/>
        <v>M</v>
      </c>
      <c r="I206" s="325" t="s">
        <v>1434</v>
      </c>
      <c r="J206" s="426" t="str">
        <f>IF(B206&lt;&gt;"",+VLOOKUP(I206,Recursos!C:F,2,FALSE),"")</f>
        <v>GELAMON V.F. 80 %</v>
      </c>
      <c r="K206" s="330" t="str">
        <f>IF(B206&lt;&gt;"",+VLOOKUP(I206,Recursos!C:F,3,FALSE),"")</f>
        <v>Kg</v>
      </c>
      <c r="L206" s="327">
        <f>IF(B206&lt;&gt;"",+VLOOKUP(I206,Recursos!C:F,4,FALSE),"")</f>
        <v>326.60000000000002</v>
      </c>
      <c r="M206" s="428">
        <v>1</v>
      </c>
      <c r="N206" s="430">
        <v>0.05</v>
      </c>
      <c r="O206" s="332">
        <f t="shared" ref="O206:O211" si="113">+N206*$M$123</f>
        <v>1.7499999999999998E-2</v>
      </c>
      <c r="P206" s="333">
        <f t="shared" si="100"/>
        <v>5.7154999999999996</v>
      </c>
      <c r="Q206" s="327">
        <f t="shared" si="101"/>
        <v>0</v>
      </c>
      <c r="R206" s="334">
        <f t="shared" si="102"/>
        <v>0</v>
      </c>
      <c r="S206" s="335" t="e">
        <f t="shared" si="91"/>
        <v>#N/A</v>
      </c>
      <c r="T206" s="335">
        <f t="shared" si="92"/>
        <v>57.579181250000005</v>
      </c>
      <c r="U206" s="336">
        <f t="shared" si="93"/>
        <v>264.28223784361109</v>
      </c>
      <c r="V206" s="336">
        <f t="shared" si="94"/>
        <v>0</v>
      </c>
      <c r="W206" s="336">
        <f t="shared" si="95"/>
        <v>0</v>
      </c>
      <c r="X206" s="336">
        <f t="shared" si="96"/>
        <v>0</v>
      </c>
      <c r="Y206" s="320"/>
      <c r="Z206" s="321" t="str">
        <f t="shared" si="103"/>
        <v>X-EXR01A</v>
      </c>
      <c r="AA206" s="321" t="str">
        <f t="shared" si="104"/>
        <v>X-EXR01E</v>
      </c>
      <c r="AB206" s="321" t="str">
        <f t="shared" si="105"/>
        <v>X-EXR01M</v>
      </c>
      <c r="AC206" s="321" t="str">
        <f t="shared" si="106"/>
        <v>X-EXR01T</v>
      </c>
      <c r="AD206" s="321" t="str">
        <f t="shared" si="107"/>
        <v>X-EXR01S</v>
      </c>
      <c r="AE206" s="321" t="str">
        <f t="shared" si="108"/>
        <v>X-EXR01X</v>
      </c>
      <c r="AF206" s="321" t="str">
        <f t="shared" si="109"/>
        <v>X-EXR01M</v>
      </c>
      <c r="AG206" s="321">
        <f t="shared" si="97"/>
        <v>39</v>
      </c>
      <c r="AH206" s="321"/>
      <c r="AI206" s="321" t="str">
        <f t="shared" si="110"/>
        <v>X-EXR01</v>
      </c>
      <c r="AJ206" s="320"/>
      <c r="AK206" s="322">
        <f t="shared" si="98"/>
        <v>185</v>
      </c>
      <c r="AL206" s="323">
        <f t="shared" si="111"/>
        <v>223</v>
      </c>
      <c r="AM206" s="322">
        <f t="shared" si="112"/>
        <v>22</v>
      </c>
      <c r="AN206" s="381">
        <f t="shared" si="99"/>
        <v>0.24333333333333332</v>
      </c>
      <c r="AO206" s="322"/>
    </row>
    <row r="207" spans="2:41">
      <c r="B207" s="324" t="s">
        <v>1424</v>
      </c>
      <c r="C207" s="325" t="s">
        <v>1458</v>
      </c>
      <c r="D207" s="326" t="s">
        <v>1384</v>
      </c>
      <c r="E207" s="327">
        <f>+SUMIF('AUX-NIV2'!I:I,'AUX-NIV3'!B207,'AUX-NIV2'!Q:Q)</f>
        <v>0</v>
      </c>
      <c r="F207" s="327" t="e">
        <f t="shared" si="89"/>
        <v>#N/A</v>
      </c>
      <c r="G207" s="327" t="e">
        <f t="shared" si="90"/>
        <v>#N/A</v>
      </c>
      <c r="H207" s="328" t="str">
        <f t="shared" si="88"/>
        <v>M</v>
      </c>
      <c r="I207" s="325" t="s">
        <v>1435</v>
      </c>
      <c r="J207" s="421" t="str">
        <f>IF(B207&lt;&gt;"",+VLOOKUP(I207,Recursos!C:F,2,FALSE),"")</f>
        <v>ANFO</v>
      </c>
      <c r="K207" s="330" t="str">
        <f>IF(B207&lt;&gt;"",+VLOOKUP(I207,Recursos!C:F,3,FALSE),"")</f>
        <v>Kg</v>
      </c>
      <c r="L207" s="327">
        <f>IF(B207&lt;&gt;"",+VLOOKUP(I207,Recursos!C:F,4,FALSE),"")</f>
        <v>219</v>
      </c>
      <c r="M207" s="416">
        <v>0.12</v>
      </c>
      <c r="N207" s="430">
        <v>0.2</v>
      </c>
      <c r="O207" s="332">
        <f t="shared" si="113"/>
        <v>6.9999999999999993E-2</v>
      </c>
      <c r="P207" s="333">
        <f t="shared" si="100"/>
        <v>15.329999999999998</v>
      </c>
      <c r="Q207" s="327">
        <f t="shared" si="101"/>
        <v>0</v>
      </c>
      <c r="R207" s="334">
        <f t="shared" si="102"/>
        <v>0</v>
      </c>
      <c r="S207" s="335" t="e">
        <f t="shared" si="91"/>
        <v>#N/A</v>
      </c>
      <c r="T207" s="335">
        <f t="shared" si="92"/>
        <v>57.579181250000005</v>
      </c>
      <c r="U207" s="336">
        <f t="shared" si="93"/>
        <v>264.28223784361109</v>
      </c>
      <c r="V207" s="336">
        <f t="shared" si="94"/>
        <v>0</v>
      </c>
      <c r="W207" s="336">
        <f t="shared" si="95"/>
        <v>0</v>
      </c>
      <c r="X207" s="336">
        <f t="shared" si="96"/>
        <v>0</v>
      </c>
      <c r="Y207" s="320"/>
      <c r="Z207" s="321" t="str">
        <f t="shared" si="103"/>
        <v>X-EXR01A</v>
      </c>
      <c r="AA207" s="321" t="str">
        <f t="shared" si="104"/>
        <v>X-EXR01E</v>
      </c>
      <c r="AB207" s="321" t="str">
        <f t="shared" si="105"/>
        <v>X-EXR01M</v>
      </c>
      <c r="AC207" s="321" t="str">
        <f t="shared" si="106"/>
        <v>X-EXR01T</v>
      </c>
      <c r="AD207" s="321" t="str">
        <f t="shared" si="107"/>
        <v>X-EXR01S</v>
      </c>
      <c r="AE207" s="321" t="str">
        <f t="shared" si="108"/>
        <v>X-EXR01X</v>
      </c>
      <c r="AF207" s="321" t="str">
        <f t="shared" si="109"/>
        <v>X-EXR01M</v>
      </c>
      <c r="AG207" s="321">
        <f t="shared" si="97"/>
        <v>39</v>
      </c>
      <c r="AH207" s="321"/>
      <c r="AI207" s="321" t="str">
        <f t="shared" si="110"/>
        <v>X-EXR01</v>
      </c>
      <c r="AJ207" s="320"/>
      <c r="AK207" s="322">
        <f t="shared" si="98"/>
        <v>185</v>
      </c>
      <c r="AL207" s="323">
        <f t="shared" si="111"/>
        <v>223</v>
      </c>
      <c r="AM207" s="322">
        <f t="shared" si="112"/>
        <v>23</v>
      </c>
      <c r="AN207" s="381">
        <f t="shared" si="99"/>
        <v>0.24333333333333332</v>
      </c>
      <c r="AO207" s="322"/>
    </row>
    <row r="208" spans="2:41">
      <c r="B208" s="324" t="s">
        <v>1424</v>
      </c>
      <c r="C208" s="325" t="s">
        <v>1458</v>
      </c>
      <c r="D208" s="326" t="s">
        <v>1384</v>
      </c>
      <c r="E208" s="327">
        <f>+SUMIF('AUX-NIV2'!I:I,'AUX-NIV3'!B208,'AUX-NIV2'!Q:Q)</f>
        <v>0</v>
      </c>
      <c r="F208" s="327" t="e">
        <f t="shared" si="89"/>
        <v>#N/A</v>
      </c>
      <c r="G208" s="327" t="e">
        <f t="shared" si="90"/>
        <v>#N/A</v>
      </c>
      <c r="H208" s="328" t="str">
        <f t="shared" si="88"/>
        <v>M</v>
      </c>
      <c r="I208" s="325" t="s">
        <v>1436</v>
      </c>
      <c r="J208" s="421" t="str">
        <f>IF(B208&lt;&gt;"",+VLOOKUP(I208,Recursos!C:F,2,FALSE),"")</f>
        <v>CORDON DETONANTE 5 gr/m</v>
      </c>
      <c r="K208" s="330" t="str">
        <f>IF(B208&lt;&gt;"",+VLOOKUP(I208,Recursos!C:F,3,FALSE),"")</f>
        <v>m</v>
      </c>
      <c r="L208" s="327">
        <f>IF(B208&lt;&gt;"",+VLOOKUP(I208,Recursos!C:F,4,FALSE),"")</f>
        <v>28.75</v>
      </c>
      <c r="M208" s="416"/>
      <c r="N208" s="430">
        <v>0.12</v>
      </c>
      <c r="O208" s="332">
        <f t="shared" si="113"/>
        <v>4.1999999999999996E-2</v>
      </c>
      <c r="P208" s="333">
        <f t="shared" si="100"/>
        <v>1.2074999999999998</v>
      </c>
      <c r="Q208" s="327">
        <f t="shared" si="101"/>
        <v>0</v>
      </c>
      <c r="R208" s="334">
        <f t="shared" si="102"/>
        <v>0</v>
      </c>
      <c r="S208" s="335" t="e">
        <f t="shared" si="91"/>
        <v>#N/A</v>
      </c>
      <c r="T208" s="335">
        <f t="shared" si="92"/>
        <v>57.579181250000005</v>
      </c>
      <c r="U208" s="336">
        <f t="shared" si="93"/>
        <v>264.28223784361109</v>
      </c>
      <c r="V208" s="336">
        <f t="shared" si="94"/>
        <v>0</v>
      </c>
      <c r="W208" s="336">
        <f t="shared" si="95"/>
        <v>0</v>
      </c>
      <c r="X208" s="336">
        <f t="shared" si="96"/>
        <v>0</v>
      </c>
      <c r="Y208" s="320"/>
      <c r="Z208" s="321" t="str">
        <f t="shared" si="103"/>
        <v>X-EXR01A</v>
      </c>
      <c r="AA208" s="321" t="str">
        <f t="shared" si="104"/>
        <v>X-EXR01E</v>
      </c>
      <c r="AB208" s="321" t="str">
        <f t="shared" si="105"/>
        <v>X-EXR01M</v>
      </c>
      <c r="AC208" s="321" t="str">
        <f t="shared" si="106"/>
        <v>X-EXR01T</v>
      </c>
      <c r="AD208" s="321" t="str">
        <f t="shared" si="107"/>
        <v>X-EXR01S</v>
      </c>
      <c r="AE208" s="321" t="str">
        <f t="shared" si="108"/>
        <v>X-EXR01X</v>
      </c>
      <c r="AF208" s="321" t="str">
        <f t="shared" si="109"/>
        <v>X-EXR01M</v>
      </c>
      <c r="AG208" s="321">
        <f t="shared" si="97"/>
        <v>39</v>
      </c>
      <c r="AH208" s="321"/>
      <c r="AI208" s="321" t="str">
        <f t="shared" si="110"/>
        <v>X-EXR01</v>
      </c>
      <c r="AJ208" s="320"/>
      <c r="AK208" s="322">
        <f t="shared" si="98"/>
        <v>185</v>
      </c>
      <c r="AL208" s="323">
        <f t="shared" si="111"/>
        <v>223</v>
      </c>
      <c r="AM208" s="322">
        <f t="shared" si="112"/>
        <v>24</v>
      </c>
      <c r="AN208" s="381">
        <f t="shared" si="99"/>
        <v>0.24333333333333332</v>
      </c>
      <c r="AO208" s="322"/>
    </row>
    <row r="209" spans="2:41">
      <c r="B209" s="324" t="s">
        <v>1424</v>
      </c>
      <c r="C209" s="325" t="s">
        <v>1458</v>
      </c>
      <c r="D209" s="326" t="s">
        <v>1384</v>
      </c>
      <c r="E209" s="327">
        <f>+SUMIF('AUX-NIV2'!I:I,'AUX-NIV3'!B209,'AUX-NIV2'!Q:Q)</f>
        <v>0</v>
      </c>
      <c r="F209" s="327" t="e">
        <f t="shared" si="89"/>
        <v>#N/A</v>
      </c>
      <c r="G209" s="327" t="e">
        <f t="shared" si="90"/>
        <v>#N/A</v>
      </c>
      <c r="H209" s="328" t="str">
        <f t="shared" si="88"/>
        <v>M</v>
      </c>
      <c r="I209" s="325" t="s">
        <v>1437</v>
      </c>
      <c r="J209" s="421" t="str">
        <f>IF(B209&lt;&gt;"",+VLOOKUP(I209,Recursos!C:F,2,FALSE),"")</f>
        <v>MECHA LENTA</v>
      </c>
      <c r="K209" s="330" t="str">
        <f>IF(B209&lt;&gt;"",+VLOOKUP(I209,Recursos!C:F,3,FALSE),"")</f>
        <v>m</v>
      </c>
      <c r="L209" s="327">
        <f>IF(B209&lt;&gt;"",+VLOOKUP(I209,Recursos!C:F,4,FALSE),"")</f>
        <v>26.45</v>
      </c>
      <c r="M209" s="416"/>
      <c r="N209" s="430">
        <v>2.5000000000000001E-3</v>
      </c>
      <c r="O209" s="332">
        <f t="shared" si="113"/>
        <v>8.7499999999999991E-4</v>
      </c>
      <c r="P209" s="333">
        <f t="shared" si="100"/>
        <v>2.3143749999999998E-2</v>
      </c>
      <c r="Q209" s="327">
        <f t="shared" si="101"/>
        <v>0</v>
      </c>
      <c r="R209" s="334">
        <f t="shared" si="102"/>
        <v>0</v>
      </c>
      <c r="S209" s="335" t="e">
        <f t="shared" si="91"/>
        <v>#N/A</v>
      </c>
      <c r="T209" s="335">
        <f t="shared" si="92"/>
        <v>57.579181250000005</v>
      </c>
      <c r="U209" s="336">
        <f t="shared" si="93"/>
        <v>264.28223784361109</v>
      </c>
      <c r="V209" s="336">
        <f t="shared" si="94"/>
        <v>0</v>
      </c>
      <c r="W209" s="336">
        <f t="shared" si="95"/>
        <v>0</v>
      </c>
      <c r="X209" s="336">
        <f t="shared" si="96"/>
        <v>0</v>
      </c>
      <c r="Y209" s="320"/>
      <c r="Z209" s="321" t="str">
        <f t="shared" si="103"/>
        <v>X-EXR01A</v>
      </c>
      <c r="AA209" s="321" t="str">
        <f t="shared" si="104"/>
        <v>X-EXR01E</v>
      </c>
      <c r="AB209" s="321" t="str">
        <f t="shared" si="105"/>
        <v>X-EXR01M</v>
      </c>
      <c r="AC209" s="321" t="str">
        <f t="shared" si="106"/>
        <v>X-EXR01T</v>
      </c>
      <c r="AD209" s="321" t="str">
        <f t="shared" si="107"/>
        <v>X-EXR01S</v>
      </c>
      <c r="AE209" s="321" t="str">
        <f t="shared" si="108"/>
        <v>X-EXR01X</v>
      </c>
      <c r="AF209" s="321" t="str">
        <f t="shared" si="109"/>
        <v>X-EXR01M</v>
      </c>
      <c r="AG209" s="321">
        <f t="shared" si="97"/>
        <v>39</v>
      </c>
      <c r="AH209" s="321"/>
      <c r="AI209" s="321" t="str">
        <f t="shared" si="110"/>
        <v>X-EXR01</v>
      </c>
      <c r="AJ209" s="320"/>
      <c r="AK209" s="322">
        <f t="shared" si="98"/>
        <v>185</v>
      </c>
      <c r="AL209" s="323">
        <f t="shared" si="111"/>
        <v>223</v>
      </c>
      <c r="AM209" s="322">
        <f t="shared" si="112"/>
        <v>25</v>
      </c>
      <c r="AN209" s="381">
        <f t="shared" si="99"/>
        <v>0.24333333333333332</v>
      </c>
      <c r="AO209" s="322"/>
    </row>
    <row r="210" spans="2:41">
      <c r="B210" s="324" t="s">
        <v>1424</v>
      </c>
      <c r="C210" s="325" t="s">
        <v>1458</v>
      </c>
      <c r="D210" s="326" t="s">
        <v>1384</v>
      </c>
      <c r="E210" s="327">
        <f>+SUMIF('AUX-NIV2'!I:I,'AUX-NIV3'!B210,'AUX-NIV2'!Q:Q)</f>
        <v>0</v>
      </c>
      <c r="F210" s="327" t="e">
        <f t="shared" si="89"/>
        <v>#N/A</v>
      </c>
      <c r="G210" s="327" t="e">
        <f t="shared" si="90"/>
        <v>#N/A</v>
      </c>
      <c r="H210" s="328" t="str">
        <f t="shared" si="88"/>
        <v>M</v>
      </c>
      <c r="I210" s="325" t="s">
        <v>1438</v>
      </c>
      <c r="J210" s="421" t="str">
        <f>IF(B210&lt;&gt;"",+VLOOKUP(I210,Recursos!C:F,2,FALSE),"")</f>
        <v>FULMINANTE #8</v>
      </c>
      <c r="K210" s="330" t="str">
        <f>IF(B210&lt;&gt;"",+VLOOKUP(I210,Recursos!C:F,3,FALSE),"")</f>
        <v>Un</v>
      </c>
      <c r="L210" s="327">
        <f>IF(B210&lt;&gt;"",+VLOOKUP(I210,Recursos!C:F,4,FALSE),"")</f>
        <v>23.574999999999999</v>
      </c>
      <c r="M210" s="416"/>
      <c r="N210" s="430">
        <v>8.2999999999999998E-5</v>
      </c>
      <c r="O210" s="332">
        <f t="shared" si="113"/>
        <v>2.9049999999999998E-5</v>
      </c>
      <c r="P210" s="333">
        <f t="shared" si="100"/>
        <v>6.8485374999999995E-4</v>
      </c>
      <c r="Q210" s="327">
        <f t="shared" si="101"/>
        <v>0</v>
      </c>
      <c r="R210" s="334">
        <f t="shared" si="102"/>
        <v>0</v>
      </c>
      <c r="S210" s="335" t="e">
        <f t="shared" si="91"/>
        <v>#N/A</v>
      </c>
      <c r="T210" s="335">
        <f t="shared" si="92"/>
        <v>57.579181250000005</v>
      </c>
      <c r="U210" s="336">
        <f t="shared" si="93"/>
        <v>264.28223784361109</v>
      </c>
      <c r="V210" s="336">
        <f t="shared" si="94"/>
        <v>0</v>
      </c>
      <c r="W210" s="336">
        <f t="shared" si="95"/>
        <v>0</v>
      </c>
      <c r="X210" s="336">
        <f t="shared" si="96"/>
        <v>0</v>
      </c>
      <c r="Y210" s="320"/>
      <c r="Z210" s="321" t="str">
        <f t="shared" si="103"/>
        <v>X-EXR01A</v>
      </c>
      <c r="AA210" s="321" t="str">
        <f t="shared" si="104"/>
        <v>X-EXR01E</v>
      </c>
      <c r="AB210" s="321" t="str">
        <f t="shared" si="105"/>
        <v>X-EXR01M</v>
      </c>
      <c r="AC210" s="321" t="str">
        <f t="shared" si="106"/>
        <v>X-EXR01T</v>
      </c>
      <c r="AD210" s="321" t="str">
        <f t="shared" si="107"/>
        <v>X-EXR01S</v>
      </c>
      <c r="AE210" s="321" t="str">
        <f t="shared" si="108"/>
        <v>X-EXR01X</v>
      </c>
      <c r="AF210" s="321" t="str">
        <f t="shared" si="109"/>
        <v>X-EXR01M</v>
      </c>
      <c r="AG210" s="321">
        <f t="shared" si="97"/>
        <v>39</v>
      </c>
      <c r="AH210" s="321"/>
      <c r="AI210" s="321" t="str">
        <f t="shared" si="110"/>
        <v>X-EXR01</v>
      </c>
      <c r="AJ210" s="320"/>
      <c r="AK210" s="322">
        <f t="shared" si="98"/>
        <v>185</v>
      </c>
      <c r="AL210" s="323">
        <f t="shared" si="111"/>
        <v>223</v>
      </c>
      <c r="AM210" s="322">
        <f t="shared" si="112"/>
        <v>26</v>
      </c>
      <c r="AN210" s="381">
        <f t="shared" si="99"/>
        <v>0.24333333333333332</v>
      </c>
      <c r="AO210" s="322"/>
    </row>
    <row r="211" spans="2:41">
      <c r="B211" s="324" t="s">
        <v>1424</v>
      </c>
      <c r="C211" s="325" t="s">
        <v>1458</v>
      </c>
      <c r="D211" s="326" t="s">
        <v>1384</v>
      </c>
      <c r="E211" s="327">
        <f>+SUMIF('AUX-NIV2'!I:I,'AUX-NIV3'!B211,'AUX-NIV2'!Q:Q)</f>
        <v>0</v>
      </c>
      <c r="F211" s="327" t="e">
        <f t="shared" si="89"/>
        <v>#N/A</v>
      </c>
      <c r="G211" s="327" t="e">
        <f t="shared" si="90"/>
        <v>#N/A</v>
      </c>
      <c r="H211" s="328" t="str">
        <f t="shared" si="88"/>
        <v>M</v>
      </c>
      <c r="I211" s="325" t="s">
        <v>1439</v>
      </c>
      <c r="J211" s="421" t="str">
        <f>IF(B211&lt;&gt;"",+VLOOKUP(I211,Recursos!C:F,2,FALSE),"")</f>
        <v>FULMINANTE NONEL L=14 pies</v>
      </c>
      <c r="K211" s="330" t="str">
        <f>IF(B211&lt;&gt;"",+VLOOKUP(I211,Recursos!C:F,3,FALSE),"")</f>
        <v>Un</v>
      </c>
      <c r="L211" s="327">
        <f>IF(B211&lt;&gt;"",+VLOOKUP(I211,Recursos!C:F,4,FALSE),"")</f>
        <v>272.55</v>
      </c>
      <c r="M211" s="416"/>
      <c r="N211" s="416">
        <v>7.0000000000000007E-2</v>
      </c>
      <c r="O211" s="332">
        <f t="shared" si="113"/>
        <v>2.4500000000000001E-2</v>
      </c>
      <c r="P211" s="333">
        <f t="shared" si="100"/>
        <v>6.6774750000000003</v>
      </c>
      <c r="Q211" s="327">
        <f t="shared" si="101"/>
        <v>0</v>
      </c>
      <c r="R211" s="334">
        <f t="shared" si="102"/>
        <v>0</v>
      </c>
      <c r="S211" s="335" t="e">
        <f t="shared" si="91"/>
        <v>#N/A</v>
      </c>
      <c r="T211" s="335">
        <f t="shared" si="92"/>
        <v>57.579181250000005</v>
      </c>
      <c r="U211" s="336">
        <f t="shared" si="93"/>
        <v>264.28223784361109</v>
      </c>
      <c r="V211" s="336">
        <f t="shared" si="94"/>
        <v>0</v>
      </c>
      <c r="W211" s="336">
        <f t="shared" si="95"/>
        <v>0</v>
      </c>
      <c r="X211" s="336">
        <f t="shared" si="96"/>
        <v>0</v>
      </c>
      <c r="Y211" s="320"/>
      <c r="Z211" s="321" t="str">
        <f t="shared" si="103"/>
        <v>X-EXR01A</v>
      </c>
      <c r="AA211" s="321" t="str">
        <f t="shared" si="104"/>
        <v>X-EXR01E</v>
      </c>
      <c r="AB211" s="321" t="str">
        <f t="shared" si="105"/>
        <v>X-EXR01M</v>
      </c>
      <c r="AC211" s="321" t="str">
        <f t="shared" si="106"/>
        <v>X-EXR01T</v>
      </c>
      <c r="AD211" s="321" t="str">
        <f t="shared" si="107"/>
        <v>X-EXR01S</v>
      </c>
      <c r="AE211" s="321" t="str">
        <f t="shared" si="108"/>
        <v>X-EXR01X</v>
      </c>
      <c r="AF211" s="321" t="str">
        <f t="shared" si="109"/>
        <v>X-EXR01M</v>
      </c>
      <c r="AG211" s="321">
        <f t="shared" si="97"/>
        <v>39</v>
      </c>
      <c r="AH211" s="321"/>
      <c r="AI211" s="321" t="str">
        <f t="shared" si="110"/>
        <v>X-EXR01</v>
      </c>
      <c r="AJ211" s="320"/>
      <c r="AK211" s="322">
        <f t="shared" si="98"/>
        <v>185</v>
      </c>
      <c r="AL211" s="323">
        <f t="shared" si="111"/>
        <v>223</v>
      </c>
      <c r="AM211" s="322">
        <f t="shared" si="112"/>
        <v>27</v>
      </c>
      <c r="AN211" s="381">
        <f t="shared" si="99"/>
        <v>0.24333333333333332</v>
      </c>
      <c r="AO211" s="322"/>
    </row>
    <row r="212" spans="2:41">
      <c r="B212" s="324" t="s">
        <v>1424</v>
      </c>
      <c r="C212" s="325" t="s">
        <v>1458</v>
      </c>
      <c r="D212" s="326" t="s">
        <v>1384</v>
      </c>
      <c r="E212" s="327">
        <f>+SUMIF('AUX-NIV2'!I:I,'AUX-NIV3'!B212,'AUX-NIV2'!Q:Q)</f>
        <v>0</v>
      </c>
      <c r="F212" s="327" t="e">
        <f t="shared" si="89"/>
        <v>#N/A</v>
      </c>
      <c r="G212" s="327" t="e">
        <f t="shared" si="90"/>
        <v>#N/A</v>
      </c>
      <c r="H212" s="328" t="str">
        <f t="shared" si="88"/>
        <v>M</v>
      </c>
      <c r="I212" s="325" t="s">
        <v>1434</v>
      </c>
      <c r="J212" s="421" t="str">
        <f>IF(B212&lt;&gt;"",+VLOOKUP(I212,Recursos!C:F,2,FALSE),"")</f>
        <v>GELAMON V.F. 80 %</v>
      </c>
      <c r="K212" s="330" t="str">
        <f>IF(B212&lt;&gt;"",+VLOOKUP(I212,Recursos!C:F,3,FALSE),"")</f>
        <v>Kg</v>
      </c>
      <c r="L212" s="327">
        <f>IF(B212&lt;&gt;"",+VLOOKUP(I212,Recursos!C:F,4,FALSE),"")</f>
        <v>326.60000000000002</v>
      </c>
      <c r="M212" s="416">
        <f>1-M206</f>
        <v>0</v>
      </c>
      <c r="N212" s="416">
        <v>0.18</v>
      </c>
      <c r="O212" s="332">
        <f t="shared" ref="O212:O217" si="114">+N212*$M$129</f>
        <v>0.11699999999999999</v>
      </c>
      <c r="P212" s="333">
        <f t="shared" si="100"/>
        <v>38.212200000000003</v>
      </c>
      <c r="Q212" s="327">
        <f t="shared" si="101"/>
        <v>0</v>
      </c>
      <c r="R212" s="334">
        <f t="shared" si="102"/>
        <v>0</v>
      </c>
      <c r="S212" s="335" t="e">
        <f t="shared" si="91"/>
        <v>#N/A</v>
      </c>
      <c r="T212" s="335">
        <f t="shared" si="92"/>
        <v>57.579181250000005</v>
      </c>
      <c r="U212" s="336">
        <f t="shared" si="93"/>
        <v>264.28223784361109</v>
      </c>
      <c r="V212" s="336">
        <f t="shared" si="94"/>
        <v>0</v>
      </c>
      <c r="W212" s="336">
        <f t="shared" si="95"/>
        <v>0</v>
      </c>
      <c r="X212" s="336">
        <f t="shared" si="96"/>
        <v>0</v>
      </c>
      <c r="Y212" s="320"/>
      <c r="Z212" s="321" t="str">
        <f t="shared" si="103"/>
        <v>X-EXR01A</v>
      </c>
      <c r="AA212" s="321" t="str">
        <f t="shared" si="104"/>
        <v>X-EXR01E</v>
      </c>
      <c r="AB212" s="321" t="str">
        <f t="shared" si="105"/>
        <v>X-EXR01M</v>
      </c>
      <c r="AC212" s="321" t="str">
        <f t="shared" si="106"/>
        <v>X-EXR01T</v>
      </c>
      <c r="AD212" s="321" t="str">
        <f t="shared" si="107"/>
        <v>X-EXR01S</v>
      </c>
      <c r="AE212" s="321" t="str">
        <f t="shared" si="108"/>
        <v>X-EXR01X</v>
      </c>
      <c r="AF212" s="321" t="str">
        <f t="shared" si="109"/>
        <v>X-EXR01M</v>
      </c>
      <c r="AG212" s="321">
        <f t="shared" si="97"/>
        <v>39</v>
      </c>
      <c r="AH212" s="321"/>
      <c r="AI212" s="321" t="str">
        <f t="shared" si="110"/>
        <v>X-EXR01</v>
      </c>
      <c r="AJ212" s="320"/>
      <c r="AK212" s="322">
        <f t="shared" si="98"/>
        <v>185</v>
      </c>
      <c r="AL212" s="323">
        <f t="shared" si="111"/>
        <v>223</v>
      </c>
      <c r="AM212" s="322">
        <f t="shared" si="112"/>
        <v>28</v>
      </c>
      <c r="AN212" s="381">
        <f t="shared" si="99"/>
        <v>0.24333333333333332</v>
      </c>
      <c r="AO212" s="322"/>
    </row>
    <row r="213" spans="2:41">
      <c r="B213" s="324" t="s">
        <v>1424</v>
      </c>
      <c r="C213" s="325" t="s">
        <v>1458</v>
      </c>
      <c r="D213" s="326" t="s">
        <v>1384</v>
      </c>
      <c r="E213" s="327">
        <f>+SUMIF('AUX-NIV2'!I:I,'AUX-NIV3'!B213,'AUX-NIV2'!Q:Q)</f>
        <v>0</v>
      </c>
      <c r="F213" s="327" t="e">
        <f t="shared" si="89"/>
        <v>#N/A</v>
      </c>
      <c r="G213" s="327" t="e">
        <f t="shared" si="90"/>
        <v>#N/A</v>
      </c>
      <c r="H213" s="328" t="str">
        <f t="shared" si="88"/>
        <v>M</v>
      </c>
      <c r="I213" s="325" t="s">
        <v>1435</v>
      </c>
      <c r="J213" s="429" t="str">
        <f>IF(B213&lt;&gt;"",+VLOOKUP(I213,Recursos!C:F,2,FALSE),"")</f>
        <v>ANFO</v>
      </c>
      <c r="K213" s="330" t="str">
        <f>IF(B213&lt;&gt;"",+VLOOKUP(I213,Recursos!C:F,3,FALSE),"")</f>
        <v>Kg</v>
      </c>
      <c r="L213" s="327">
        <f>IF(B213&lt;&gt;"",+VLOOKUP(I213,Recursos!C:F,4,FALSE),"")</f>
        <v>219</v>
      </c>
      <c r="M213" s="416"/>
      <c r="N213" s="416">
        <v>0.27</v>
      </c>
      <c r="O213" s="332">
        <f t="shared" si="114"/>
        <v>0.17550000000000002</v>
      </c>
      <c r="P213" s="333">
        <f t="shared" si="100"/>
        <v>38.434500000000007</v>
      </c>
      <c r="Q213" s="327">
        <f t="shared" si="101"/>
        <v>0</v>
      </c>
      <c r="R213" s="334">
        <f t="shared" si="102"/>
        <v>0</v>
      </c>
      <c r="S213" s="335" t="e">
        <f t="shared" si="91"/>
        <v>#N/A</v>
      </c>
      <c r="T213" s="335">
        <f t="shared" si="92"/>
        <v>57.579181250000005</v>
      </c>
      <c r="U213" s="336">
        <f t="shared" si="93"/>
        <v>264.28223784361109</v>
      </c>
      <c r="V213" s="336">
        <f t="shared" si="94"/>
        <v>0</v>
      </c>
      <c r="W213" s="336">
        <f t="shared" si="95"/>
        <v>0</v>
      </c>
      <c r="X213" s="336">
        <f t="shared" si="96"/>
        <v>0</v>
      </c>
      <c r="Y213" s="320"/>
      <c r="Z213" s="321" t="str">
        <f t="shared" si="103"/>
        <v>X-EXR01A</v>
      </c>
      <c r="AA213" s="321" t="str">
        <f t="shared" si="104"/>
        <v>X-EXR01E</v>
      </c>
      <c r="AB213" s="321" t="str">
        <f t="shared" si="105"/>
        <v>X-EXR01M</v>
      </c>
      <c r="AC213" s="321" t="str">
        <f t="shared" si="106"/>
        <v>X-EXR01T</v>
      </c>
      <c r="AD213" s="321" t="str">
        <f t="shared" si="107"/>
        <v>X-EXR01S</v>
      </c>
      <c r="AE213" s="321" t="str">
        <f t="shared" si="108"/>
        <v>X-EXR01X</v>
      </c>
      <c r="AF213" s="321" t="str">
        <f t="shared" si="109"/>
        <v>X-EXR01M</v>
      </c>
      <c r="AG213" s="321">
        <f t="shared" si="97"/>
        <v>39</v>
      </c>
      <c r="AH213" s="321"/>
      <c r="AI213" s="321" t="str">
        <f t="shared" si="110"/>
        <v>X-EXR01</v>
      </c>
      <c r="AJ213" s="320"/>
      <c r="AK213" s="322">
        <f t="shared" si="98"/>
        <v>185</v>
      </c>
      <c r="AL213" s="323">
        <f t="shared" si="111"/>
        <v>223</v>
      </c>
      <c r="AM213" s="322">
        <f t="shared" si="112"/>
        <v>29</v>
      </c>
      <c r="AN213" s="381">
        <f t="shared" si="99"/>
        <v>0.24333333333333332</v>
      </c>
      <c r="AO213" s="322"/>
    </row>
    <row r="214" spans="2:41">
      <c r="B214" s="324" t="s">
        <v>1424</v>
      </c>
      <c r="C214" s="325" t="s">
        <v>1458</v>
      </c>
      <c r="D214" s="326" t="s">
        <v>1384</v>
      </c>
      <c r="E214" s="327">
        <f>+SUMIF('AUX-NIV2'!I:I,'AUX-NIV3'!B214,'AUX-NIV2'!Q:Q)</f>
        <v>0</v>
      </c>
      <c r="F214" s="327" t="e">
        <f t="shared" si="89"/>
        <v>#N/A</v>
      </c>
      <c r="G214" s="327" t="e">
        <f t="shared" si="90"/>
        <v>#N/A</v>
      </c>
      <c r="H214" s="328" t="str">
        <f t="shared" si="88"/>
        <v>M</v>
      </c>
      <c r="I214" s="325" t="s">
        <v>1436</v>
      </c>
      <c r="J214" s="429" t="str">
        <f>IF(B214&lt;&gt;"",+VLOOKUP(I214,Recursos!C:F,2,FALSE),"")</f>
        <v>CORDON DETONANTE 5 gr/m</v>
      </c>
      <c r="K214" s="330" t="str">
        <f>IF(B214&lt;&gt;"",+VLOOKUP(I214,Recursos!C:F,3,FALSE),"")</f>
        <v>m</v>
      </c>
      <c r="L214" s="327">
        <f>IF(B214&lt;&gt;"",+VLOOKUP(I214,Recursos!C:F,4,FALSE),"")</f>
        <v>28.75</v>
      </c>
      <c r="M214" s="416"/>
      <c r="N214" s="416">
        <v>0.33</v>
      </c>
      <c r="O214" s="332">
        <f t="shared" si="114"/>
        <v>0.21450000000000002</v>
      </c>
      <c r="P214" s="333">
        <f t="shared" si="100"/>
        <v>6.166875000000001</v>
      </c>
      <c r="Q214" s="327">
        <f t="shared" si="101"/>
        <v>0</v>
      </c>
      <c r="R214" s="334">
        <f t="shared" si="102"/>
        <v>0</v>
      </c>
      <c r="S214" s="335" t="e">
        <f t="shared" si="91"/>
        <v>#N/A</v>
      </c>
      <c r="T214" s="335">
        <f t="shared" si="92"/>
        <v>57.579181250000005</v>
      </c>
      <c r="U214" s="336">
        <f t="shared" si="93"/>
        <v>264.28223784361109</v>
      </c>
      <c r="V214" s="336">
        <f t="shared" si="94"/>
        <v>0</v>
      </c>
      <c r="W214" s="336">
        <f t="shared" si="95"/>
        <v>0</v>
      </c>
      <c r="X214" s="336">
        <f t="shared" si="96"/>
        <v>0</v>
      </c>
      <c r="Y214" s="320"/>
      <c r="Z214" s="321" t="str">
        <f t="shared" si="103"/>
        <v>X-EXR01A</v>
      </c>
      <c r="AA214" s="321" t="str">
        <f t="shared" si="104"/>
        <v>X-EXR01E</v>
      </c>
      <c r="AB214" s="321" t="str">
        <f t="shared" si="105"/>
        <v>X-EXR01M</v>
      </c>
      <c r="AC214" s="321" t="str">
        <f t="shared" si="106"/>
        <v>X-EXR01T</v>
      </c>
      <c r="AD214" s="321" t="str">
        <f t="shared" si="107"/>
        <v>X-EXR01S</v>
      </c>
      <c r="AE214" s="321" t="str">
        <f t="shared" si="108"/>
        <v>X-EXR01X</v>
      </c>
      <c r="AF214" s="321" t="str">
        <f t="shared" si="109"/>
        <v>X-EXR01M</v>
      </c>
      <c r="AG214" s="321">
        <f t="shared" si="97"/>
        <v>39</v>
      </c>
      <c r="AH214" s="321"/>
      <c r="AI214" s="321" t="str">
        <f t="shared" si="110"/>
        <v>X-EXR01</v>
      </c>
      <c r="AJ214" s="320"/>
      <c r="AK214" s="322">
        <f t="shared" si="98"/>
        <v>185</v>
      </c>
      <c r="AL214" s="323">
        <f t="shared" si="111"/>
        <v>223</v>
      </c>
      <c r="AM214" s="322">
        <f t="shared" si="112"/>
        <v>30</v>
      </c>
      <c r="AN214" s="381">
        <f t="shared" si="99"/>
        <v>0.24333333333333332</v>
      </c>
      <c r="AO214" s="322"/>
    </row>
    <row r="215" spans="2:41">
      <c r="B215" s="324" t="s">
        <v>1424</v>
      </c>
      <c r="C215" s="325" t="s">
        <v>1458</v>
      </c>
      <c r="D215" s="326" t="s">
        <v>1384</v>
      </c>
      <c r="E215" s="327">
        <f>+SUMIF('AUX-NIV2'!I:I,'AUX-NIV3'!B215,'AUX-NIV2'!Q:Q)</f>
        <v>0</v>
      </c>
      <c r="F215" s="327" t="e">
        <f t="shared" si="89"/>
        <v>#N/A</v>
      </c>
      <c r="G215" s="327" t="e">
        <f t="shared" si="90"/>
        <v>#N/A</v>
      </c>
      <c r="H215" s="328" t="str">
        <f t="shared" si="88"/>
        <v>M</v>
      </c>
      <c r="I215" s="325" t="s">
        <v>1437</v>
      </c>
      <c r="J215" s="429" t="str">
        <f>IF(B215&lt;&gt;"",+VLOOKUP(I215,Recursos!C:F,2,FALSE),"")</f>
        <v>MECHA LENTA</v>
      </c>
      <c r="K215" s="330" t="str">
        <f>IF(B215&lt;&gt;"",+VLOOKUP(I215,Recursos!C:F,3,FALSE),"")</f>
        <v>m</v>
      </c>
      <c r="L215" s="327">
        <f>IF(B215&lt;&gt;"",+VLOOKUP(I215,Recursos!C:F,4,FALSE),"")</f>
        <v>26.45</v>
      </c>
      <c r="M215" s="416"/>
      <c r="N215" s="416">
        <v>5.0000000000000001E-3</v>
      </c>
      <c r="O215" s="332">
        <f t="shared" si="114"/>
        <v>3.2500000000000003E-3</v>
      </c>
      <c r="P215" s="333">
        <f t="shared" si="100"/>
        <v>8.5962500000000011E-2</v>
      </c>
      <c r="Q215" s="327">
        <f t="shared" si="101"/>
        <v>0</v>
      </c>
      <c r="R215" s="334">
        <f t="shared" si="102"/>
        <v>0</v>
      </c>
      <c r="S215" s="335" t="e">
        <f t="shared" si="91"/>
        <v>#N/A</v>
      </c>
      <c r="T215" s="335">
        <f t="shared" si="92"/>
        <v>57.579181250000005</v>
      </c>
      <c r="U215" s="336">
        <f t="shared" si="93"/>
        <v>264.28223784361109</v>
      </c>
      <c r="V215" s="336">
        <f t="shared" si="94"/>
        <v>0</v>
      </c>
      <c r="W215" s="336">
        <f t="shared" si="95"/>
        <v>0</v>
      </c>
      <c r="X215" s="336">
        <f t="shared" si="96"/>
        <v>0</v>
      </c>
      <c r="Y215" s="320"/>
      <c r="Z215" s="321" t="str">
        <f t="shared" si="103"/>
        <v>X-EXR01A</v>
      </c>
      <c r="AA215" s="321" t="str">
        <f t="shared" si="104"/>
        <v>X-EXR01E</v>
      </c>
      <c r="AB215" s="321" t="str">
        <f t="shared" si="105"/>
        <v>X-EXR01M</v>
      </c>
      <c r="AC215" s="321" t="str">
        <f t="shared" si="106"/>
        <v>X-EXR01T</v>
      </c>
      <c r="AD215" s="321" t="str">
        <f t="shared" si="107"/>
        <v>X-EXR01S</v>
      </c>
      <c r="AE215" s="321" t="str">
        <f t="shared" si="108"/>
        <v>X-EXR01X</v>
      </c>
      <c r="AF215" s="321" t="str">
        <f t="shared" si="109"/>
        <v>X-EXR01M</v>
      </c>
      <c r="AG215" s="321">
        <f t="shared" si="97"/>
        <v>39</v>
      </c>
      <c r="AH215" s="321"/>
      <c r="AI215" s="321" t="str">
        <f t="shared" si="110"/>
        <v>X-EXR01</v>
      </c>
      <c r="AJ215" s="320"/>
      <c r="AK215" s="322">
        <f t="shared" si="98"/>
        <v>185</v>
      </c>
      <c r="AL215" s="323">
        <f t="shared" si="111"/>
        <v>223</v>
      </c>
      <c r="AM215" s="322">
        <f t="shared" si="112"/>
        <v>31</v>
      </c>
      <c r="AN215" s="381">
        <f t="shared" si="99"/>
        <v>0.24333333333333332</v>
      </c>
      <c r="AO215" s="322"/>
    </row>
    <row r="216" spans="2:41">
      <c r="B216" s="324" t="s">
        <v>1424</v>
      </c>
      <c r="C216" s="325" t="s">
        <v>1458</v>
      </c>
      <c r="D216" s="326" t="s">
        <v>1384</v>
      </c>
      <c r="E216" s="327">
        <f>+SUMIF('AUX-NIV2'!I:I,'AUX-NIV3'!B216,'AUX-NIV2'!Q:Q)</f>
        <v>0</v>
      </c>
      <c r="F216" s="327" t="e">
        <f t="shared" si="89"/>
        <v>#N/A</v>
      </c>
      <c r="G216" s="327" t="e">
        <f t="shared" si="90"/>
        <v>#N/A</v>
      </c>
      <c r="H216" s="328" t="str">
        <f t="shared" si="88"/>
        <v>M</v>
      </c>
      <c r="I216" s="325" t="s">
        <v>1438</v>
      </c>
      <c r="J216" s="429" t="str">
        <f>IF(B216&lt;&gt;"",+VLOOKUP(I216,Recursos!C:F,2,FALSE),"")</f>
        <v>FULMINANTE #8</v>
      </c>
      <c r="K216" s="330" t="str">
        <f>IF(B216&lt;&gt;"",+VLOOKUP(I216,Recursos!C:F,3,FALSE),"")</f>
        <v>Un</v>
      </c>
      <c r="L216" s="327">
        <f>IF(B216&lt;&gt;"",+VLOOKUP(I216,Recursos!C:F,4,FALSE),"")</f>
        <v>23.574999999999999</v>
      </c>
      <c r="M216" s="416"/>
      <c r="N216" s="416">
        <v>1.6670000000000001E-3</v>
      </c>
      <c r="O216" s="332">
        <f t="shared" si="114"/>
        <v>1.0835500000000002E-3</v>
      </c>
      <c r="P216" s="333">
        <f t="shared" si="100"/>
        <v>2.5544691250000005E-2</v>
      </c>
      <c r="Q216" s="327">
        <f t="shared" si="101"/>
        <v>0</v>
      </c>
      <c r="R216" s="334">
        <f t="shared" si="102"/>
        <v>0</v>
      </c>
      <c r="S216" s="335" t="e">
        <f t="shared" si="91"/>
        <v>#N/A</v>
      </c>
      <c r="T216" s="335">
        <f t="shared" si="92"/>
        <v>57.579181250000005</v>
      </c>
      <c r="U216" s="336">
        <f t="shared" si="93"/>
        <v>264.28223784361109</v>
      </c>
      <c r="V216" s="336">
        <f t="shared" si="94"/>
        <v>0</v>
      </c>
      <c r="W216" s="336">
        <f t="shared" si="95"/>
        <v>0</v>
      </c>
      <c r="X216" s="336">
        <f t="shared" si="96"/>
        <v>0</v>
      </c>
      <c r="Y216" s="320"/>
      <c r="Z216" s="321" t="str">
        <f t="shared" si="103"/>
        <v>X-EXR01A</v>
      </c>
      <c r="AA216" s="321" t="str">
        <f t="shared" si="104"/>
        <v>X-EXR01E</v>
      </c>
      <c r="AB216" s="321" t="str">
        <f t="shared" si="105"/>
        <v>X-EXR01M</v>
      </c>
      <c r="AC216" s="321" t="str">
        <f t="shared" si="106"/>
        <v>X-EXR01T</v>
      </c>
      <c r="AD216" s="321" t="str">
        <f t="shared" si="107"/>
        <v>X-EXR01S</v>
      </c>
      <c r="AE216" s="321" t="str">
        <f t="shared" si="108"/>
        <v>X-EXR01X</v>
      </c>
      <c r="AF216" s="321" t="str">
        <f t="shared" si="109"/>
        <v>X-EXR01M</v>
      </c>
      <c r="AG216" s="321">
        <f t="shared" si="97"/>
        <v>39</v>
      </c>
      <c r="AH216" s="321"/>
      <c r="AI216" s="321" t="str">
        <f t="shared" si="110"/>
        <v>X-EXR01</v>
      </c>
      <c r="AJ216" s="320"/>
      <c r="AK216" s="322">
        <f t="shared" si="98"/>
        <v>185</v>
      </c>
      <c r="AL216" s="323">
        <f t="shared" si="111"/>
        <v>223</v>
      </c>
      <c r="AM216" s="322">
        <f t="shared" si="112"/>
        <v>32</v>
      </c>
      <c r="AN216" s="381">
        <f t="shared" si="99"/>
        <v>0.24333333333333332</v>
      </c>
      <c r="AO216" s="322"/>
    </row>
    <row r="217" spans="2:41">
      <c r="B217" s="324" t="s">
        <v>1424</v>
      </c>
      <c r="C217" s="325" t="s">
        <v>1458</v>
      </c>
      <c r="D217" s="326" t="s">
        <v>1384</v>
      </c>
      <c r="E217" s="327">
        <f>+SUMIF('AUX-NIV2'!I:I,'AUX-NIV3'!B217,'AUX-NIV2'!Q:Q)</f>
        <v>0</v>
      </c>
      <c r="F217" s="327" t="e">
        <f t="shared" si="89"/>
        <v>#N/A</v>
      </c>
      <c r="G217" s="327" t="e">
        <f t="shared" si="90"/>
        <v>#N/A</v>
      </c>
      <c r="H217" s="328" t="str">
        <f t="shared" si="88"/>
        <v>M</v>
      </c>
      <c r="I217" s="325" t="s">
        <v>1439</v>
      </c>
      <c r="J217" s="429" t="str">
        <f>IF(B217&lt;&gt;"",+VLOOKUP(I217,Recursos!C:F,2,FALSE),"")</f>
        <v>FULMINANTE NONEL L=14 pies</v>
      </c>
      <c r="K217" s="330" t="str">
        <f>IF(B217&lt;&gt;"",+VLOOKUP(I217,Recursos!C:F,3,FALSE),"")</f>
        <v>Un</v>
      </c>
      <c r="L217" s="327">
        <f>IF(B217&lt;&gt;"",+VLOOKUP(I217,Recursos!C:F,4,FALSE),"")</f>
        <v>272.55</v>
      </c>
      <c r="M217" s="416"/>
      <c r="N217" s="416">
        <v>0.1925</v>
      </c>
      <c r="O217" s="332">
        <f t="shared" si="114"/>
        <v>0.12512500000000001</v>
      </c>
      <c r="P217" s="333">
        <f t="shared" si="100"/>
        <v>34.102818750000004</v>
      </c>
      <c r="Q217" s="327">
        <f t="shared" si="101"/>
        <v>0</v>
      </c>
      <c r="R217" s="334">
        <f t="shared" si="102"/>
        <v>0</v>
      </c>
      <c r="S217" s="335" t="e">
        <f t="shared" si="91"/>
        <v>#N/A</v>
      </c>
      <c r="T217" s="335">
        <f t="shared" si="92"/>
        <v>57.579181250000005</v>
      </c>
      <c r="U217" s="336">
        <f t="shared" si="93"/>
        <v>264.28223784361109</v>
      </c>
      <c r="V217" s="336">
        <f t="shared" si="94"/>
        <v>0</v>
      </c>
      <c r="W217" s="336">
        <f t="shared" si="95"/>
        <v>0</v>
      </c>
      <c r="X217" s="336">
        <f t="shared" si="96"/>
        <v>0</v>
      </c>
      <c r="Y217" s="320"/>
      <c r="Z217" s="321" t="str">
        <f t="shared" si="103"/>
        <v>X-EXR01A</v>
      </c>
      <c r="AA217" s="321" t="str">
        <f t="shared" si="104"/>
        <v>X-EXR01E</v>
      </c>
      <c r="AB217" s="321" t="str">
        <f t="shared" si="105"/>
        <v>X-EXR01M</v>
      </c>
      <c r="AC217" s="321" t="str">
        <f t="shared" si="106"/>
        <v>X-EXR01T</v>
      </c>
      <c r="AD217" s="321" t="str">
        <f t="shared" si="107"/>
        <v>X-EXR01S</v>
      </c>
      <c r="AE217" s="321" t="str">
        <f t="shared" si="108"/>
        <v>X-EXR01X</v>
      </c>
      <c r="AF217" s="321" t="str">
        <f t="shared" si="109"/>
        <v>X-EXR01M</v>
      </c>
      <c r="AG217" s="321">
        <f t="shared" si="97"/>
        <v>39</v>
      </c>
      <c r="AH217" s="321"/>
      <c r="AI217" s="321" t="str">
        <f t="shared" si="110"/>
        <v>X-EXR01</v>
      </c>
      <c r="AJ217" s="320"/>
      <c r="AK217" s="322">
        <f t="shared" si="98"/>
        <v>185</v>
      </c>
      <c r="AL217" s="323">
        <f t="shared" si="111"/>
        <v>223</v>
      </c>
      <c r="AM217" s="322">
        <f t="shared" si="112"/>
        <v>33</v>
      </c>
      <c r="AN217" s="381">
        <f t="shared" si="99"/>
        <v>0.24333333333333332</v>
      </c>
      <c r="AO217" s="322"/>
    </row>
    <row r="218" spans="2:41">
      <c r="B218" s="324" t="s">
        <v>1424</v>
      </c>
      <c r="C218" s="325" t="s">
        <v>1458</v>
      </c>
      <c r="D218" s="326" t="s">
        <v>1384</v>
      </c>
      <c r="E218" s="327">
        <f>+SUMIF('AUX-NIV2'!I:I,'AUX-NIV3'!B218,'AUX-NIV2'!Q:Q)</f>
        <v>0</v>
      </c>
      <c r="F218" s="327" t="e">
        <f t="shared" si="89"/>
        <v>#N/A</v>
      </c>
      <c r="G218" s="327" t="e">
        <f t="shared" si="90"/>
        <v>#N/A</v>
      </c>
      <c r="H218" s="328" t="str">
        <f t="shared" si="88"/>
        <v>M</v>
      </c>
      <c r="I218" s="325" t="s">
        <v>1440</v>
      </c>
      <c r="J218" s="429" t="str">
        <f>IF(B218&lt;&gt;"",+VLOOKUP(I218,Recursos!C:F,2,FALSE),"")</f>
        <v>EXPLOSIVO EN PLUMILLAS</v>
      </c>
      <c r="K218" s="330" t="str">
        <f>IF(B218&lt;&gt;"",+VLOOKUP(I218,Recursos!C:F,3,FALSE),"")</f>
        <v>Kg</v>
      </c>
      <c r="L218" s="327">
        <f>IF(B218&lt;&gt;"",+VLOOKUP(I218,Recursos!C:F,4,FALSE),"")</f>
        <v>460</v>
      </c>
      <c r="M218" s="416">
        <v>0.1</v>
      </c>
      <c r="N218" s="416">
        <v>0.25</v>
      </c>
      <c r="O218" s="332">
        <f>+N218*$M$129*M218</f>
        <v>1.6250000000000001E-2</v>
      </c>
      <c r="P218" s="333">
        <f t="shared" si="100"/>
        <v>7.4750000000000005</v>
      </c>
      <c r="Q218" s="327">
        <f t="shared" si="101"/>
        <v>0</v>
      </c>
      <c r="R218" s="334">
        <f t="shared" si="102"/>
        <v>0</v>
      </c>
      <c r="S218" s="335" t="e">
        <f t="shared" si="91"/>
        <v>#N/A</v>
      </c>
      <c r="T218" s="335">
        <f t="shared" si="92"/>
        <v>57.579181250000005</v>
      </c>
      <c r="U218" s="336">
        <f t="shared" si="93"/>
        <v>264.28223784361109</v>
      </c>
      <c r="V218" s="336">
        <f t="shared" si="94"/>
        <v>0</v>
      </c>
      <c r="W218" s="336">
        <f t="shared" si="95"/>
        <v>0</v>
      </c>
      <c r="X218" s="336">
        <f t="shared" si="96"/>
        <v>0</v>
      </c>
      <c r="Y218" s="320"/>
      <c r="Z218" s="321" t="str">
        <f t="shared" si="103"/>
        <v>X-EXR01A</v>
      </c>
      <c r="AA218" s="321" t="str">
        <f t="shared" si="104"/>
        <v>X-EXR01E</v>
      </c>
      <c r="AB218" s="321" t="str">
        <f t="shared" si="105"/>
        <v>X-EXR01M</v>
      </c>
      <c r="AC218" s="321" t="str">
        <f t="shared" si="106"/>
        <v>X-EXR01T</v>
      </c>
      <c r="AD218" s="321" t="str">
        <f t="shared" si="107"/>
        <v>X-EXR01S</v>
      </c>
      <c r="AE218" s="321" t="str">
        <f t="shared" si="108"/>
        <v>X-EXR01X</v>
      </c>
      <c r="AF218" s="321" t="str">
        <f t="shared" si="109"/>
        <v>X-EXR01M</v>
      </c>
      <c r="AG218" s="321">
        <f t="shared" si="97"/>
        <v>39</v>
      </c>
      <c r="AH218" s="321"/>
      <c r="AI218" s="321" t="str">
        <f t="shared" si="110"/>
        <v>X-EXR01</v>
      </c>
      <c r="AJ218" s="320"/>
      <c r="AK218" s="322">
        <f t="shared" si="98"/>
        <v>185</v>
      </c>
      <c r="AL218" s="323">
        <f t="shared" si="111"/>
        <v>223</v>
      </c>
      <c r="AM218" s="322">
        <f t="shared" si="112"/>
        <v>34</v>
      </c>
      <c r="AN218" s="381">
        <f t="shared" si="99"/>
        <v>0.24333333333333332</v>
      </c>
      <c r="AO218" s="322"/>
    </row>
    <row r="219" spans="2:41">
      <c r="B219" s="324" t="s">
        <v>1424</v>
      </c>
      <c r="C219" s="325" t="s">
        <v>1458</v>
      </c>
      <c r="D219" s="326" t="s">
        <v>1384</v>
      </c>
      <c r="E219" s="327">
        <f>+SUMIF('AUX-NIV2'!I:I,'AUX-NIV3'!B219,'AUX-NIV2'!Q:Q)</f>
        <v>0</v>
      </c>
      <c r="F219" s="327" t="e">
        <f t="shared" si="89"/>
        <v>#N/A</v>
      </c>
      <c r="G219" s="327" t="e">
        <f t="shared" si="90"/>
        <v>#N/A</v>
      </c>
      <c r="H219" s="328" t="str">
        <f t="shared" si="88"/>
        <v>M</v>
      </c>
      <c r="I219" s="325" t="s">
        <v>1436</v>
      </c>
      <c r="J219" s="423" t="str">
        <f>IF(B219&lt;&gt;"",+VLOOKUP(I219,Recursos!C:F,2,FALSE),"")</f>
        <v>CORDON DETONANTE 5 gr/m</v>
      </c>
      <c r="K219" s="330" t="str">
        <f>IF(B219&lt;&gt;"",+VLOOKUP(I219,Recursos!C:F,3,FALSE),"")</f>
        <v>m</v>
      </c>
      <c r="L219" s="327">
        <f>IF(B219&lt;&gt;"",+VLOOKUP(I219,Recursos!C:F,4,FALSE),"")</f>
        <v>28.75</v>
      </c>
      <c r="M219" s="416"/>
      <c r="N219" s="416">
        <v>0.5</v>
      </c>
      <c r="O219" s="332">
        <f>+N219*$M$129*M218</f>
        <v>3.2500000000000001E-2</v>
      </c>
      <c r="P219" s="333">
        <f t="shared" si="100"/>
        <v>0.93437500000000007</v>
      </c>
      <c r="Q219" s="327">
        <f t="shared" si="101"/>
        <v>0</v>
      </c>
      <c r="R219" s="334">
        <f t="shared" si="102"/>
        <v>0</v>
      </c>
      <c r="S219" s="335" t="e">
        <f t="shared" si="91"/>
        <v>#N/A</v>
      </c>
      <c r="T219" s="335">
        <f t="shared" si="92"/>
        <v>57.579181250000005</v>
      </c>
      <c r="U219" s="336">
        <f t="shared" si="93"/>
        <v>264.28223784361109</v>
      </c>
      <c r="V219" s="336">
        <f t="shared" si="94"/>
        <v>0</v>
      </c>
      <c r="W219" s="336">
        <f t="shared" si="95"/>
        <v>0</v>
      </c>
      <c r="X219" s="336">
        <f t="shared" si="96"/>
        <v>0</v>
      </c>
      <c r="Y219" s="320"/>
      <c r="Z219" s="321" t="str">
        <f t="shared" si="103"/>
        <v>X-EXR01A</v>
      </c>
      <c r="AA219" s="321" t="str">
        <f t="shared" si="104"/>
        <v>X-EXR01E</v>
      </c>
      <c r="AB219" s="321" t="str">
        <f t="shared" si="105"/>
        <v>X-EXR01M</v>
      </c>
      <c r="AC219" s="321" t="str">
        <f t="shared" si="106"/>
        <v>X-EXR01T</v>
      </c>
      <c r="AD219" s="321" t="str">
        <f t="shared" si="107"/>
        <v>X-EXR01S</v>
      </c>
      <c r="AE219" s="321" t="str">
        <f t="shared" si="108"/>
        <v>X-EXR01X</v>
      </c>
      <c r="AF219" s="321" t="str">
        <f t="shared" si="109"/>
        <v>X-EXR01M</v>
      </c>
      <c r="AG219" s="321">
        <f t="shared" si="97"/>
        <v>39</v>
      </c>
      <c r="AH219" s="321"/>
      <c r="AI219" s="321" t="str">
        <f t="shared" si="110"/>
        <v>X-EXR01</v>
      </c>
      <c r="AJ219" s="320"/>
      <c r="AK219" s="322">
        <f t="shared" si="98"/>
        <v>185</v>
      </c>
      <c r="AL219" s="323">
        <f t="shared" si="111"/>
        <v>223</v>
      </c>
      <c r="AM219" s="322">
        <f t="shared" si="112"/>
        <v>35</v>
      </c>
      <c r="AN219" s="381">
        <f t="shared" si="99"/>
        <v>0.24333333333333332</v>
      </c>
      <c r="AO219" s="322"/>
    </row>
    <row r="220" spans="2:41">
      <c r="B220" s="324" t="s">
        <v>1424</v>
      </c>
      <c r="C220" s="325" t="s">
        <v>1458</v>
      </c>
      <c r="D220" s="326" t="s">
        <v>1384</v>
      </c>
      <c r="E220" s="327">
        <f>+SUMIF('AUX-NIV2'!I:I,'AUX-NIV3'!B220,'AUX-NIV2'!Q:Q)</f>
        <v>0</v>
      </c>
      <c r="F220" s="327" t="e">
        <f t="shared" si="89"/>
        <v>#N/A</v>
      </c>
      <c r="G220" s="327" t="e">
        <f t="shared" si="90"/>
        <v>#N/A</v>
      </c>
      <c r="H220" s="328" t="str">
        <f t="shared" si="88"/>
        <v>M</v>
      </c>
      <c r="I220" s="325" t="s">
        <v>1438</v>
      </c>
      <c r="J220" s="423" t="str">
        <f>IF(B220&lt;&gt;"",+VLOOKUP(I220,Recursos!C:F,2,FALSE),"")</f>
        <v>FULMINANTE #8</v>
      </c>
      <c r="K220" s="330" t="str">
        <f>IF(B220&lt;&gt;"",+VLOOKUP(I220,Recursos!C:F,3,FALSE),"")</f>
        <v>Un</v>
      </c>
      <c r="L220" s="327">
        <f>IF(B220&lt;&gt;"",+VLOOKUP(I220,Recursos!C:F,4,FALSE),"")</f>
        <v>23.574999999999999</v>
      </c>
      <c r="M220" s="416"/>
      <c r="N220" s="416">
        <v>0.3125</v>
      </c>
      <c r="O220" s="332">
        <f>+N220*$M$129*M218</f>
        <v>2.0312500000000001E-2</v>
      </c>
      <c r="P220" s="333">
        <f t="shared" si="100"/>
        <v>0.47886718750000001</v>
      </c>
      <c r="Q220" s="327">
        <f t="shared" si="101"/>
        <v>0</v>
      </c>
      <c r="R220" s="334">
        <f t="shared" si="102"/>
        <v>0</v>
      </c>
      <c r="S220" s="335" t="e">
        <f t="shared" si="91"/>
        <v>#N/A</v>
      </c>
      <c r="T220" s="335">
        <f t="shared" si="92"/>
        <v>57.579181250000005</v>
      </c>
      <c r="U220" s="336">
        <f t="shared" si="93"/>
        <v>264.28223784361109</v>
      </c>
      <c r="V220" s="336">
        <f t="shared" si="94"/>
        <v>0</v>
      </c>
      <c r="W220" s="336">
        <f t="shared" si="95"/>
        <v>0</v>
      </c>
      <c r="X220" s="336">
        <f t="shared" si="96"/>
        <v>0</v>
      </c>
      <c r="Y220" s="320"/>
      <c r="Z220" s="321" t="str">
        <f t="shared" si="103"/>
        <v>X-EXR01A</v>
      </c>
      <c r="AA220" s="321" t="str">
        <f t="shared" si="104"/>
        <v>X-EXR01E</v>
      </c>
      <c r="AB220" s="321" t="str">
        <f t="shared" si="105"/>
        <v>X-EXR01M</v>
      </c>
      <c r="AC220" s="321" t="str">
        <f t="shared" si="106"/>
        <v>X-EXR01T</v>
      </c>
      <c r="AD220" s="321" t="str">
        <f t="shared" si="107"/>
        <v>X-EXR01S</v>
      </c>
      <c r="AE220" s="321" t="str">
        <f t="shared" si="108"/>
        <v>X-EXR01X</v>
      </c>
      <c r="AF220" s="321" t="str">
        <f t="shared" si="109"/>
        <v>X-EXR01M</v>
      </c>
      <c r="AG220" s="321">
        <f t="shared" si="97"/>
        <v>39</v>
      </c>
      <c r="AH220" s="321"/>
      <c r="AI220" s="321" t="str">
        <f t="shared" si="110"/>
        <v>X-EXR01</v>
      </c>
      <c r="AJ220" s="320"/>
      <c r="AK220" s="322">
        <f t="shared" si="98"/>
        <v>185</v>
      </c>
      <c r="AL220" s="323">
        <f t="shared" si="111"/>
        <v>223</v>
      </c>
      <c r="AM220" s="322">
        <f t="shared" si="112"/>
        <v>36</v>
      </c>
      <c r="AN220" s="381">
        <f t="shared" si="99"/>
        <v>0.24333333333333332</v>
      </c>
      <c r="AO220" s="322"/>
    </row>
    <row r="221" spans="2:41">
      <c r="B221" s="324" t="s">
        <v>1424</v>
      </c>
      <c r="C221" s="325" t="s">
        <v>1458</v>
      </c>
      <c r="D221" s="326" t="s">
        <v>1384</v>
      </c>
      <c r="E221" s="327">
        <f>+SUMIF('AUX-NIV2'!I:I,'AUX-NIV3'!B221,'AUX-NIV2'!Q:Q)</f>
        <v>0</v>
      </c>
      <c r="F221" s="327" t="e">
        <f t="shared" si="89"/>
        <v>#N/A</v>
      </c>
      <c r="G221" s="327" t="e">
        <f t="shared" si="90"/>
        <v>#N/A</v>
      </c>
      <c r="H221" s="328" t="str">
        <f t="shared" si="88"/>
        <v>E</v>
      </c>
      <c r="I221" s="325" t="s">
        <v>3301</v>
      </c>
      <c r="J221" s="423" t="str">
        <f>IF(B221&lt;&gt;"",+VLOOKUP(I221,Recursos!C:F,2,FALSE),"")</f>
        <v>TOPADORA CON ESC.(39 T) 302 HP</v>
      </c>
      <c r="K221" s="330" t="str">
        <f>IF(B221&lt;&gt;"",+VLOOKUP(I221,Recursos!C:F,3,FALSE),"")</f>
        <v>HR</v>
      </c>
      <c r="L221" s="327">
        <f>IF(B221&lt;&gt;"",+VLOOKUP(I221,Recursos!C:F,4,FALSE),"")</f>
        <v>7320.3390000000009</v>
      </c>
      <c r="M221" s="416"/>
      <c r="N221" s="416">
        <v>0.3125</v>
      </c>
      <c r="O221" s="332">
        <f>+N221*$M$129*M219</f>
        <v>0</v>
      </c>
      <c r="P221" s="333">
        <f t="shared" si="100"/>
        <v>0</v>
      </c>
      <c r="Q221" s="327">
        <f t="shared" si="101"/>
        <v>0</v>
      </c>
      <c r="R221" s="334">
        <f t="shared" si="102"/>
        <v>0</v>
      </c>
      <c r="S221" s="335" t="e">
        <f t="shared" si="91"/>
        <v>#N/A</v>
      </c>
      <c r="T221" s="335">
        <f t="shared" si="92"/>
        <v>57.579181250000005</v>
      </c>
      <c r="U221" s="336">
        <f t="shared" si="93"/>
        <v>264.28223784361109</v>
      </c>
      <c r="V221" s="336">
        <f t="shared" si="94"/>
        <v>0</v>
      </c>
      <c r="W221" s="336">
        <f t="shared" si="95"/>
        <v>0</v>
      </c>
      <c r="X221" s="336">
        <f t="shared" si="96"/>
        <v>0</v>
      </c>
      <c r="Y221" s="320"/>
      <c r="Z221" s="321" t="str">
        <f t="shared" si="103"/>
        <v>X-EXR01A</v>
      </c>
      <c r="AA221" s="321" t="str">
        <f t="shared" si="104"/>
        <v>X-EXR01E</v>
      </c>
      <c r="AB221" s="321" t="str">
        <f t="shared" si="105"/>
        <v>X-EXR01M</v>
      </c>
      <c r="AC221" s="321" t="str">
        <f t="shared" si="106"/>
        <v>X-EXR01T</v>
      </c>
      <c r="AD221" s="321" t="str">
        <f t="shared" si="107"/>
        <v>X-EXR01S</v>
      </c>
      <c r="AE221" s="321" t="str">
        <f t="shared" si="108"/>
        <v>X-EXR01X</v>
      </c>
      <c r="AF221" s="321" t="str">
        <f t="shared" si="109"/>
        <v>X-EXR01E</v>
      </c>
      <c r="AG221" s="321">
        <f t="shared" si="97"/>
        <v>39</v>
      </c>
      <c r="AH221" s="321"/>
      <c r="AI221" s="321" t="str">
        <f t="shared" si="110"/>
        <v>X-EXR01</v>
      </c>
      <c r="AJ221" s="320"/>
      <c r="AK221" s="322">
        <f t="shared" si="98"/>
        <v>185</v>
      </c>
      <c r="AL221" s="323">
        <f t="shared" si="111"/>
        <v>223</v>
      </c>
      <c r="AM221" s="322">
        <f t="shared" si="112"/>
        <v>37</v>
      </c>
      <c r="AN221" s="381">
        <f t="shared" si="99"/>
        <v>0.24333333333333332</v>
      </c>
      <c r="AO221" s="322"/>
    </row>
    <row r="222" spans="2:41">
      <c r="B222" s="324" t="s">
        <v>1424</v>
      </c>
      <c r="C222" s="325" t="s">
        <v>1458</v>
      </c>
      <c r="D222" s="326" t="s">
        <v>1384</v>
      </c>
      <c r="E222" s="327">
        <f>+SUMIF('AUX-NIV2'!I:I,'AUX-NIV3'!B222,'AUX-NIV2'!Q:Q)</f>
        <v>0</v>
      </c>
      <c r="F222" s="327" t="e">
        <f t="shared" si="89"/>
        <v>#N/A</v>
      </c>
      <c r="G222" s="327" t="e">
        <f t="shared" si="90"/>
        <v>#N/A</v>
      </c>
      <c r="H222" s="328" t="str">
        <f t="shared" si="88"/>
        <v>A</v>
      </c>
      <c r="I222" s="325" t="s">
        <v>3314</v>
      </c>
      <c r="J222" s="427" t="e">
        <f>IF(B222&lt;&gt;"",+VLOOKUP(I222,Recursos!C:F,2,FALSE),"")</f>
        <v>#N/A</v>
      </c>
      <c r="K222" s="330" t="e">
        <f>IF(B222&lt;&gt;"",+VLOOKUP(I222,Recursos!C:F,3,FALSE),"")</f>
        <v>#N/A</v>
      </c>
      <c r="L222" s="327" t="e">
        <f>IF(B222&lt;&gt;"",+VLOOKUP(I222,Recursos!C:F,4,FALSE),"")</f>
        <v>#N/A</v>
      </c>
      <c r="M222" s="416"/>
      <c r="N222" s="416"/>
      <c r="O222" s="332"/>
      <c r="P222" s="333" t="e">
        <f t="shared" si="100"/>
        <v>#N/A</v>
      </c>
      <c r="Q222" s="327">
        <f t="shared" si="101"/>
        <v>0</v>
      </c>
      <c r="R222" s="334" t="e">
        <f t="shared" si="102"/>
        <v>#N/A</v>
      </c>
      <c r="S222" s="335" t="e">
        <f t="shared" si="91"/>
        <v>#N/A</v>
      </c>
      <c r="T222" s="335">
        <f t="shared" si="92"/>
        <v>57.579181250000005</v>
      </c>
      <c r="U222" s="336">
        <f t="shared" si="93"/>
        <v>264.28223784361109</v>
      </c>
      <c r="V222" s="336">
        <f t="shared" si="94"/>
        <v>0</v>
      </c>
      <c r="W222" s="336">
        <f t="shared" si="95"/>
        <v>0</v>
      </c>
      <c r="X222" s="336">
        <f t="shared" si="96"/>
        <v>0</v>
      </c>
      <c r="Y222" s="320"/>
      <c r="Z222" s="321" t="str">
        <f t="shared" si="103"/>
        <v>X-EXR01A</v>
      </c>
      <c r="AA222" s="321" t="str">
        <f t="shared" si="104"/>
        <v>X-EXR01E</v>
      </c>
      <c r="AB222" s="321" t="str">
        <f t="shared" si="105"/>
        <v>X-EXR01M</v>
      </c>
      <c r="AC222" s="321" t="str">
        <f t="shared" si="106"/>
        <v>X-EXR01T</v>
      </c>
      <c r="AD222" s="321" t="str">
        <f t="shared" si="107"/>
        <v>X-EXR01S</v>
      </c>
      <c r="AE222" s="321" t="str">
        <f t="shared" si="108"/>
        <v>X-EXR01X</v>
      </c>
      <c r="AF222" s="321" t="str">
        <f t="shared" si="109"/>
        <v>X-EXR01A</v>
      </c>
      <c r="AG222" s="321">
        <f t="shared" si="97"/>
        <v>39</v>
      </c>
      <c r="AH222" s="321"/>
      <c r="AI222" s="321" t="str">
        <f t="shared" si="110"/>
        <v>X-EXR01</v>
      </c>
      <c r="AJ222" s="320"/>
      <c r="AK222" s="322">
        <f t="shared" si="98"/>
        <v>185</v>
      </c>
      <c r="AL222" s="323">
        <f t="shared" si="111"/>
        <v>223</v>
      </c>
      <c r="AM222" s="322">
        <f t="shared" si="112"/>
        <v>38</v>
      </c>
      <c r="AN222" s="381">
        <f t="shared" si="99"/>
        <v>0.24333333333333332</v>
      </c>
      <c r="AO222" s="322"/>
    </row>
    <row r="223" spans="2:41">
      <c r="B223" s="324" t="s">
        <v>1424</v>
      </c>
      <c r="C223" s="325" t="s">
        <v>1458</v>
      </c>
      <c r="D223" s="326" t="s">
        <v>1384</v>
      </c>
      <c r="E223" s="327">
        <f>+SUMIF('AUX-NIV2'!I:I,'AUX-NIV3'!B223,'AUX-NIV2'!Q:Q)</f>
        <v>0</v>
      </c>
      <c r="F223" s="327" t="e">
        <f t="shared" si="89"/>
        <v>#N/A</v>
      </c>
      <c r="G223" s="327" t="e">
        <f t="shared" si="90"/>
        <v>#N/A</v>
      </c>
      <c r="H223" s="328" t="str">
        <f t="shared" si="88"/>
        <v>A</v>
      </c>
      <c r="I223" s="325" t="s">
        <v>3311</v>
      </c>
      <c r="J223" s="427" t="str">
        <f>IF(B223&lt;&gt;"",+VLOOKUP(I223,Recursos!C:F,2,FALSE),"")</f>
        <v>OPER. EQUIPO</v>
      </c>
      <c r="K223" s="330" t="str">
        <f>IF(B223&lt;&gt;"",+VLOOKUP(I223,Recursos!C:F,3,FALSE),"")</f>
        <v>hh</v>
      </c>
      <c r="L223" s="327">
        <f>IF(B223&lt;&gt;"",+VLOOKUP(I223,Recursos!C:F,4,FALSE),"")</f>
        <v>581.06120476836554</v>
      </c>
      <c r="M223" s="416"/>
      <c r="N223" s="416"/>
      <c r="O223" s="332"/>
      <c r="P223" s="333">
        <f t="shared" si="100"/>
        <v>0</v>
      </c>
      <c r="Q223" s="327">
        <f t="shared" si="101"/>
        <v>0</v>
      </c>
      <c r="R223" s="334">
        <f t="shared" si="102"/>
        <v>0</v>
      </c>
      <c r="S223" s="335" t="e">
        <f t="shared" si="91"/>
        <v>#N/A</v>
      </c>
      <c r="T223" s="335">
        <f t="shared" si="92"/>
        <v>57.579181250000005</v>
      </c>
      <c r="U223" s="336">
        <f t="shared" si="93"/>
        <v>264.28223784361109</v>
      </c>
      <c r="V223" s="336">
        <f t="shared" si="94"/>
        <v>0</v>
      </c>
      <c r="W223" s="336">
        <f t="shared" si="95"/>
        <v>0</v>
      </c>
      <c r="X223" s="336">
        <f t="shared" si="96"/>
        <v>0</v>
      </c>
      <c r="Y223" s="320"/>
      <c r="Z223" s="321" t="str">
        <f t="shared" si="103"/>
        <v>X-EXR01A</v>
      </c>
      <c r="AA223" s="321" t="str">
        <f t="shared" si="104"/>
        <v>X-EXR01E</v>
      </c>
      <c r="AB223" s="321" t="str">
        <f t="shared" si="105"/>
        <v>X-EXR01M</v>
      </c>
      <c r="AC223" s="321" t="str">
        <f t="shared" si="106"/>
        <v>X-EXR01T</v>
      </c>
      <c r="AD223" s="321" t="str">
        <f t="shared" si="107"/>
        <v>X-EXR01S</v>
      </c>
      <c r="AE223" s="321" t="str">
        <f t="shared" si="108"/>
        <v>X-EXR01X</v>
      </c>
      <c r="AF223" s="321" t="str">
        <f t="shared" si="109"/>
        <v>X-EXR01A</v>
      </c>
      <c r="AG223" s="321">
        <f t="shared" si="97"/>
        <v>39</v>
      </c>
      <c r="AH223" s="321"/>
      <c r="AI223" s="321" t="str">
        <f t="shared" si="110"/>
        <v>X-EXR01</v>
      </c>
      <c r="AJ223" s="320"/>
      <c r="AK223" s="322">
        <f t="shared" si="98"/>
        <v>185</v>
      </c>
      <c r="AL223" s="323">
        <f t="shared" si="111"/>
        <v>223</v>
      </c>
      <c r="AM223" s="322">
        <f t="shared" si="112"/>
        <v>39</v>
      </c>
      <c r="AN223" s="381">
        <f t="shared" si="99"/>
        <v>0.24333333333333332</v>
      </c>
      <c r="AO223" s="322"/>
    </row>
    <row r="224" spans="2:41">
      <c r="B224" s="324" t="s">
        <v>1459</v>
      </c>
      <c r="C224" s="325" t="s">
        <v>1460</v>
      </c>
      <c r="D224" s="326" t="s">
        <v>1411</v>
      </c>
      <c r="E224" s="327">
        <f>+SUMIF('AUX-NIV2'!I:I,'AUX-NIV3'!B224,'AUX-NIV2'!Q:Q)</f>
        <v>0</v>
      </c>
      <c r="F224" s="327">
        <f t="shared" si="89"/>
        <v>37.037542093083516</v>
      </c>
      <c r="G224" s="327">
        <f t="shared" si="90"/>
        <v>0</v>
      </c>
      <c r="H224" s="328" t="str">
        <f t="shared" ref="H224:H256" si="115">IF(B224&lt;&gt;"",+LEFT(I224,1),"")</f>
        <v>A</v>
      </c>
      <c r="I224" s="325" t="s">
        <v>1745</v>
      </c>
      <c r="J224" s="431" t="str">
        <f>IF(B224&lt;&gt;"",+VLOOKUP(I224,Recursos!C:F,2,FALSE),"")</f>
        <v>AYUDANTE</v>
      </c>
      <c r="K224" s="330" t="str">
        <f>IF(B224&lt;&gt;"",+VLOOKUP(I224,Recursos!C:F,3,FALSE),"")</f>
        <v>hh</v>
      </c>
      <c r="L224" s="327">
        <f>IF(B224&lt;&gt;"",+VLOOKUP(I224,Recursos!C:F,4,FALSE),"")</f>
        <v>422.48042769667234</v>
      </c>
      <c r="M224" s="432"/>
      <c r="N224" s="432">
        <v>0.5</v>
      </c>
      <c r="O224" s="332">
        <f>+N224*O225</f>
        <v>2.5000000000000001E-3</v>
      </c>
      <c r="P224" s="333">
        <f t="shared" si="100"/>
        <v>1.0562010692416808</v>
      </c>
      <c r="Q224" s="327">
        <f t="shared" si="101"/>
        <v>0</v>
      </c>
      <c r="R224" s="334">
        <f t="shared" si="102"/>
        <v>0</v>
      </c>
      <c r="S224" s="335">
        <f t="shared" si="91"/>
        <v>3.9615070930835081</v>
      </c>
      <c r="T224" s="335">
        <f t="shared" si="92"/>
        <v>33.076035000000005</v>
      </c>
      <c r="U224" s="336">
        <f t="shared" si="93"/>
        <v>0</v>
      </c>
      <c r="V224" s="336">
        <f t="shared" si="94"/>
        <v>0</v>
      </c>
      <c r="W224" s="336">
        <f t="shared" si="95"/>
        <v>0</v>
      </c>
      <c r="X224" s="336">
        <f t="shared" si="96"/>
        <v>0</v>
      </c>
      <c r="Y224" s="320"/>
      <c r="Z224" s="321" t="str">
        <f t="shared" si="103"/>
        <v>X-TER.0045A</v>
      </c>
      <c r="AA224" s="321" t="str">
        <f t="shared" si="104"/>
        <v>X-TER.0045E</v>
      </c>
      <c r="AB224" s="321" t="str">
        <f t="shared" si="105"/>
        <v>X-TER.0045M</v>
      </c>
      <c r="AC224" s="321" t="str">
        <f t="shared" si="106"/>
        <v>X-TER.0045T</v>
      </c>
      <c r="AD224" s="321" t="str">
        <f t="shared" si="107"/>
        <v>X-TER.0045S</v>
      </c>
      <c r="AE224" s="321" t="str">
        <f t="shared" si="108"/>
        <v>X-TER.0045X</v>
      </c>
      <c r="AF224" s="321" t="str">
        <f t="shared" si="109"/>
        <v>X-TER.0045A</v>
      </c>
      <c r="AG224" s="321">
        <f t="shared" si="97"/>
        <v>3</v>
      </c>
      <c r="AH224" s="321"/>
      <c r="AI224" s="321" t="str">
        <f t="shared" si="110"/>
        <v>X-TER.0045</v>
      </c>
      <c r="AJ224" s="320"/>
      <c r="AK224" s="322">
        <f t="shared" si="98"/>
        <v>224</v>
      </c>
      <c r="AL224" s="323">
        <f t="shared" si="111"/>
        <v>226</v>
      </c>
      <c r="AM224" s="322">
        <f t="shared" si="112"/>
        <v>1</v>
      </c>
      <c r="AN224" s="381">
        <f t="shared" si="99"/>
        <v>7.4999999999999997E-3</v>
      </c>
      <c r="AO224" s="322"/>
    </row>
    <row r="225" spans="2:41">
      <c r="B225" s="324" t="s">
        <v>1459</v>
      </c>
      <c r="C225" s="325" t="s">
        <v>1460</v>
      </c>
      <c r="D225" s="326" t="s">
        <v>1411</v>
      </c>
      <c r="E225" s="327">
        <f>+SUMIF('AUX-NIV2'!I:I,'AUX-NIV3'!B225,'AUX-NIV2'!Q:Q)</f>
        <v>0</v>
      </c>
      <c r="F225" s="327">
        <f t="shared" si="89"/>
        <v>37.037542093083516</v>
      </c>
      <c r="G225" s="327">
        <f t="shared" si="90"/>
        <v>0</v>
      </c>
      <c r="H225" s="328" t="str">
        <f t="shared" si="115"/>
        <v>A</v>
      </c>
      <c r="I225" s="325" t="s">
        <v>3311</v>
      </c>
      <c r="J225" s="329" t="str">
        <f>IF(B225&lt;&gt;"",+VLOOKUP(I225,Recursos!C:F,2,FALSE),"")</f>
        <v>OPER. EQUIPO</v>
      </c>
      <c r="K225" s="330" t="str">
        <f>IF(B225&lt;&gt;"",+VLOOKUP(I225,Recursos!C:F,3,FALSE),"")</f>
        <v>hh</v>
      </c>
      <c r="L225" s="327">
        <f>IF(B225&lt;&gt;"",+VLOOKUP(I225,Recursos!C:F,4,FALSE),"")</f>
        <v>581.06120476836554</v>
      </c>
      <c r="M225" s="432"/>
      <c r="N225" s="432"/>
      <c r="O225" s="332">
        <f>+O226</f>
        <v>5.0000000000000001E-3</v>
      </c>
      <c r="P225" s="333">
        <f t="shared" si="100"/>
        <v>2.9053060238418276</v>
      </c>
      <c r="Q225" s="327">
        <f t="shared" si="101"/>
        <v>0</v>
      </c>
      <c r="R225" s="334">
        <f t="shared" si="102"/>
        <v>0</v>
      </c>
      <c r="S225" s="335">
        <f t="shared" si="91"/>
        <v>3.9615070930835081</v>
      </c>
      <c r="T225" s="335">
        <f t="shared" si="92"/>
        <v>33.076035000000005</v>
      </c>
      <c r="U225" s="336">
        <f t="shared" si="93"/>
        <v>0</v>
      </c>
      <c r="V225" s="336">
        <f t="shared" si="94"/>
        <v>0</v>
      </c>
      <c r="W225" s="336">
        <f t="shared" si="95"/>
        <v>0</v>
      </c>
      <c r="X225" s="336">
        <f t="shared" si="96"/>
        <v>0</v>
      </c>
      <c r="Y225" s="320"/>
      <c r="Z225" s="321" t="str">
        <f t="shared" si="103"/>
        <v>X-TER.0045A</v>
      </c>
      <c r="AA225" s="321" t="str">
        <f t="shared" si="104"/>
        <v>X-TER.0045E</v>
      </c>
      <c r="AB225" s="321" t="str">
        <f t="shared" si="105"/>
        <v>X-TER.0045M</v>
      </c>
      <c r="AC225" s="321" t="str">
        <f t="shared" si="106"/>
        <v>X-TER.0045T</v>
      </c>
      <c r="AD225" s="321" t="str">
        <f t="shared" si="107"/>
        <v>X-TER.0045S</v>
      </c>
      <c r="AE225" s="321" t="str">
        <f t="shared" si="108"/>
        <v>X-TER.0045X</v>
      </c>
      <c r="AF225" s="321" t="str">
        <f t="shared" si="109"/>
        <v>X-TER.0045A</v>
      </c>
      <c r="AG225" s="321">
        <f t="shared" si="97"/>
        <v>3</v>
      </c>
      <c r="AH225" s="321"/>
      <c r="AI225" s="321" t="str">
        <f t="shared" si="110"/>
        <v>X-TER.0045</v>
      </c>
      <c r="AJ225" s="320"/>
      <c r="AK225" s="322">
        <f t="shared" si="98"/>
        <v>224</v>
      </c>
      <c r="AL225" s="323">
        <f t="shared" si="111"/>
        <v>226</v>
      </c>
      <c r="AM225" s="322">
        <f t="shared" si="112"/>
        <v>2</v>
      </c>
      <c r="AN225" s="381">
        <f t="shared" si="99"/>
        <v>7.4999999999999997E-3</v>
      </c>
      <c r="AO225" s="322"/>
    </row>
    <row r="226" spans="2:41">
      <c r="B226" s="324" t="s">
        <v>1459</v>
      </c>
      <c r="C226" s="325" t="s">
        <v>1460</v>
      </c>
      <c r="D226" s="326" t="s">
        <v>1411</v>
      </c>
      <c r="E226" s="327">
        <f>+SUMIF('AUX-NIV2'!I:I,'AUX-NIV3'!B226,'AUX-NIV2'!Q:Q)</f>
        <v>0</v>
      </c>
      <c r="F226" s="327">
        <f t="shared" si="89"/>
        <v>37.037542093083516</v>
      </c>
      <c r="G226" s="327">
        <f t="shared" si="90"/>
        <v>0</v>
      </c>
      <c r="H226" s="328" t="str">
        <f t="shared" si="115"/>
        <v>E</v>
      </c>
      <c r="I226" s="325" t="s">
        <v>1537</v>
      </c>
      <c r="J226" s="329" t="str">
        <f>IF(B226&lt;&gt;"",+VLOOKUP(I226,Recursos!C:F,2,FALSE),"")</f>
        <v xml:space="preserve">TOPADORA SIN ESC.(34 T) </v>
      </c>
      <c r="K226" s="330" t="str">
        <f>IF(B226&lt;&gt;"",+VLOOKUP(I226,Recursos!C:F,3,FALSE),"")</f>
        <v>HR</v>
      </c>
      <c r="L226" s="327">
        <f>IF(B226&lt;&gt;"",+VLOOKUP(I226,Recursos!C:F,4,FALSE),"")</f>
        <v>6615.2070000000003</v>
      </c>
      <c r="M226" s="432"/>
      <c r="N226" s="432">
        <v>200</v>
      </c>
      <c r="O226" s="332">
        <f>1/N226</f>
        <v>5.0000000000000001E-3</v>
      </c>
      <c r="P226" s="333">
        <f t="shared" si="100"/>
        <v>33.076035000000005</v>
      </c>
      <c r="Q226" s="327">
        <f t="shared" si="101"/>
        <v>0</v>
      </c>
      <c r="R226" s="334">
        <f t="shared" si="102"/>
        <v>0</v>
      </c>
      <c r="S226" s="335">
        <f t="shared" si="91"/>
        <v>3.9615070930835081</v>
      </c>
      <c r="T226" s="335">
        <f t="shared" si="92"/>
        <v>33.076035000000005</v>
      </c>
      <c r="U226" s="336">
        <f t="shared" si="93"/>
        <v>0</v>
      </c>
      <c r="V226" s="336">
        <f t="shared" si="94"/>
        <v>0</v>
      </c>
      <c r="W226" s="336">
        <f t="shared" si="95"/>
        <v>0</v>
      </c>
      <c r="X226" s="336">
        <f t="shared" si="96"/>
        <v>0</v>
      </c>
      <c r="Y226" s="320"/>
      <c r="Z226" s="321" t="str">
        <f t="shared" si="103"/>
        <v>X-TER.0045A</v>
      </c>
      <c r="AA226" s="321" t="str">
        <f t="shared" si="104"/>
        <v>X-TER.0045E</v>
      </c>
      <c r="AB226" s="321" t="str">
        <f t="shared" si="105"/>
        <v>X-TER.0045M</v>
      </c>
      <c r="AC226" s="321" t="str">
        <f t="shared" si="106"/>
        <v>X-TER.0045T</v>
      </c>
      <c r="AD226" s="321" t="str">
        <f t="shared" si="107"/>
        <v>X-TER.0045S</v>
      </c>
      <c r="AE226" s="321" t="str">
        <f t="shared" si="108"/>
        <v>X-TER.0045X</v>
      </c>
      <c r="AF226" s="321" t="str">
        <f t="shared" si="109"/>
        <v>X-TER.0045E</v>
      </c>
      <c r="AG226" s="321">
        <f t="shared" si="97"/>
        <v>3</v>
      </c>
      <c r="AH226" s="321"/>
      <c r="AI226" s="321" t="str">
        <f t="shared" si="110"/>
        <v>X-TER.0045</v>
      </c>
      <c r="AJ226" s="320"/>
      <c r="AK226" s="322">
        <f t="shared" si="98"/>
        <v>224</v>
      </c>
      <c r="AL226" s="323">
        <f t="shared" si="111"/>
        <v>226</v>
      </c>
      <c r="AM226" s="322">
        <f t="shared" si="112"/>
        <v>3</v>
      </c>
      <c r="AN226" s="381">
        <f t="shared" si="99"/>
        <v>7.4999999999999997E-3</v>
      </c>
      <c r="AO226" s="322"/>
    </row>
    <row r="227" spans="2:41">
      <c r="B227" s="324" t="s">
        <v>1468</v>
      </c>
      <c r="C227" s="325" t="s">
        <v>1471</v>
      </c>
      <c r="D227" s="326" t="s">
        <v>1384</v>
      </c>
      <c r="E227" s="327">
        <f>+SUMIF('AUX-NIV2'!I:I,'AUX-NIV3'!B227,'AUX-NIV2'!Q:Q)</f>
        <v>0</v>
      </c>
      <c r="F227" s="327">
        <f t="shared" si="89"/>
        <v>53.88017891488937</v>
      </c>
      <c r="G227" s="327">
        <f t="shared" si="90"/>
        <v>0</v>
      </c>
      <c r="H227" s="328" t="str">
        <f t="shared" si="115"/>
        <v>A</v>
      </c>
      <c r="I227" s="325" t="s">
        <v>1745</v>
      </c>
      <c r="J227" s="329" t="str">
        <f>IF(B227&lt;&gt;"",+VLOOKUP(I227,Recursos!C:F,2,FALSE),"")</f>
        <v>AYUDANTE</v>
      </c>
      <c r="K227" s="330" t="str">
        <f>IF(B227&lt;&gt;"",+VLOOKUP(I227,Recursos!C:F,3,FALSE),"")</f>
        <v>hh</v>
      </c>
      <c r="L227" s="327">
        <f>IF(B227&lt;&gt;"",+VLOOKUP(I227,Recursos!C:F,4,FALSE),"")</f>
        <v>422.48042769667234</v>
      </c>
      <c r="M227" s="331"/>
      <c r="N227" s="331">
        <v>0.5</v>
      </c>
      <c r="O227" s="433">
        <f>+N227*O228</f>
        <v>6.6666666666666671E-3</v>
      </c>
      <c r="P227" s="333">
        <f t="shared" si="100"/>
        <v>2.8165361846444825</v>
      </c>
      <c r="Q227" s="327">
        <f t="shared" si="101"/>
        <v>0</v>
      </c>
      <c r="R227" s="334">
        <f t="shared" si="102"/>
        <v>0</v>
      </c>
      <c r="S227" s="335">
        <f t="shared" si="91"/>
        <v>10.564018914889356</v>
      </c>
      <c r="T227" s="335">
        <f t="shared" si="92"/>
        <v>43.316160000000011</v>
      </c>
      <c r="U227" s="336">
        <f t="shared" si="93"/>
        <v>0</v>
      </c>
      <c r="V227" s="336">
        <f t="shared" si="94"/>
        <v>0</v>
      </c>
      <c r="W227" s="336">
        <f t="shared" si="95"/>
        <v>0</v>
      </c>
      <c r="X227" s="336">
        <f t="shared" si="96"/>
        <v>0</v>
      </c>
      <c r="Y227" s="320"/>
      <c r="Z227" s="321" t="str">
        <f t="shared" si="103"/>
        <v>X-E0043A</v>
      </c>
      <c r="AA227" s="321" t="str">
        <f t="shared" si="104"/>
        <v>X-E0043E</v>
      </c>
      <c r="AB227" s="321" t="str">
        <f t="shared" si="105"/>
        <v>X-E0043M</v>
      </c>
      <c r="AC227" s="321" t="str">
        <f t="shared" si="106"/>
        <v>X-E0043T</v>
      </c>
      <c r="AD227" s="321" t="str">
        <f t="shared" si="107"/>
        <v>X-E0043S</v>
      </c>
      <c r="AE227" s="321" t="str">
        <f t="shared" si="108"/>
        <v>X-E0043X</v>
      </c>
      <c r="AF227" s="321" t="str">
        <f t="shared" si="109"/>
        <v>X-E0043A</v>
      </c>
      <c r="AG227" s="321">
        <f t="shared" si="97"/>
        <v>3</v>
      </c>
      <c r="AH227" s="321"/>
      <c r="AI227" s="321" t="str">
        <f t="shared" si="110"/>
        <v>X-E0043</v>
      </c>
      <c r="AJ227" s="320"/>
      <c r="AK227" s="322">
        <f t="shared" si="98"/>
        <v>227</v>
      </c>
      <c r="AL227" s="323">
        <f t="shared" si="111"/>
        <v>229</v>
      </c>
      <c r="AM227" s="322">
        <f t="shared" si="112"/>
        <v>1</v>
      </c>
      <c r="AN227" s="381">
        <f t="shared" si="99"/>
        <v>0.02</v>
      </c>
      <c r="AO227" s="322"/>
    </row>
    <row r="228" spans="2:41">
      <c r="B228" s="324" t="s">
        <v>1468</v>
      </c>
      <c r="C228" s="325" t="s">
        <v>1471</v>
      </c>
      <c r="D228" s="326" t="s">
        <v>1384</v>
      </c>
      <c r="E228" s="327">
        <f>+SUMIF('AUX-NIV2'!I:I,'AUX-NIV3'!B228,'AUX-NIV2'!Q:Q)</f>
        <v>0</v>
      </c>
      <c r="F228" s="327">
        <f t="shared" si="89"/>
        <v>53.88017891488937</v>
      </c>
      <c r="G228" s="327">
        <f t="shared" si="90"/>
        <v>0</v>
      </c>
      <c r="H228" s="328" t="str">
        <f t="shared" si="115"/>
        <v>A</v>
      </c>
      <c r="I228" s="325" t="s">
        <v>3311</v>
      </c>
      <c r="J228" s="329" t="str">
        <f>IF(B228&lt;&gt;"",+VLOOKUP(I228,Recursos!C:F,2,FALSE),"")</f>
        <v>OPER. EQUIPO</v>
      </c>
      <c r="K228" s="330" t="str">
        <f>IF(B228&lt;&gt;"",+VLOOKUP(I228,Recursos!C:F,3,FALSE),"")</f>
        <v>hh</v>
      </c>
      <c r="L228" s="327">
        <f>IF(B228&lt;&gt;"",+VLOOKUP(I228,Recursos!C:F,4,FALSE),"")</f>
        <v>581.06120476836554</v>
      </c>
      <c r="M228" s="331"/>
      <c r="N228" s="331"/>
      <c r="O228" s="433">
        <f>+O229</f>
        <v>1.3333333333333334E-2</v>
      </c>
      <c r="P228" s="333">
        <f t="shared" si="100"/>
        <v>7.7474827302448741</v>
      </c>
      <c r="Q228" s="327">
        <f t="shared" si="101"/>
        <v>0</v>
      </c>
      <c r="R228" s="334">
        <f t="shared" si="102"/>
        <v>0</v>
      </c>
      <c r="S228" s="335">
        <f t="shared" si="91"/>
        <v>10.564018914889356</v>
      </c>
      <c r="T228" s="335">
        <f t="shared" si="92"/>
        <v>43.316160000000011</v>
      </c>
      <c r="U228" s="336">
        <f t="shared" si="93"/>
        <v>0</v>
      </c>
      <c r="V228" s="336">
        <f t="shared" si="94"/>
        <v>0</v>
      </c>
      <c r="W228" s="336">
        <f t="shared" si="95"/>
        <v>0</v>
      </c>
      <c r="X228" s="336">
        <f t="shared" si="96"/>
        <v>0</v>
      </c>
      <c r="Y228" s="320"/>
      <c r="Z228" s="321" t="str">
        <f t="shared" si="103"/>
        <v>X-E0043A</v>
      </c>
      <c r="AA228" s="321" t="str">
        <f t="shared" si="104"/>
        <v>X-E0043E</v>
      </c>
      <c r="AB228" s="321" t="str">
        <f t="shared" si="105"/>
        <v>X-E0043M</v>
      </c>
      <c r="AC228" s="321" t="str">
        <f t="shared" si="106"/>
        <v>X-E0043T</v>
      </c>
      <c r="AD228" s="321" t="str">
        <f t="shared" si="107"/>
        <v>X-E0043S</v>
      </c>
      <c r="AE228" s="321" t="str">
        <f t="shared" si="108"/>
        <v>X-E0043X</v>
      </c>
      <c r="AF228" s="321" t="str">
        <f t="shared" si="109"/>
        <v>X-E0043A</v>
      </c>
      <c r="AG228" s="321">
        <f t="shared" si="97"/>
        <v>3</v>
      </c>
      <c r="AH228" s="321"/>
      <c r="AI228" s="321" t="str">
        <f t="shared" si="110"/>
        <v>X-E0043</v>
      </c>
      <c r="AJ228" s="320"/>
      <c r="AK228" s="322">
        <f t="shared" si="98"/>
        <v>227</v>
      </c>
      <c r="AL228" s="323">
        <f t="shared" si="111"/>
        <v>229</v>
      </c>
      <c r="AM228" s="322">
        <f t="shared" si="112"/>
        <v>2</v>
      </c>
      <c r="AN228" s="381">
        <f t="shared" si="99"/>
        <v>0.02</v>
      </c>
      <c r="AO228" s="322"/>
    </row>
    <row r="229" spans="2:41">
      <c r="B229" s="324" t="s">
        <v>1468</v>
      </c>
      <c r="C229" s="325" t="s">
        <v>1471</v>
      </c>
      <c r="D229" s="326" t="s">
        <v>1384</v>
      </c>
      <c r="E229" s="327">
        <f>+SUMIF('AUX-NIV2'!I:I,'AUX-NIV3'!B229,'AUX-NIV2'!Q:Q)</f>
        <v>0</v>
      </c>
      <c r="F229" s="327">
        <f t="shared" si="89"/>
        <v>53.88017891488937</v>
      </c>
      <c r="G229" s="327">
        <f t="shared" si="90"/>
        <v>0</v>
      </c>
      <c r="H229" s="328" t="str">
        <f t="shared" si="115"/>
        <v>E</v>
      </c>
      <c r="I229" s="325" t="s">
        <v>1553</v>
      </c>
      <c r="J229" s="329" t="str">
        <f>IF(B229&lt;&gt;"",+VLOOKUP(I229,Recursos!C:F,2,FALSE),"")</f>
        <v>RETROEXCAVADORA S/CARRILES  1,1 M3</v>
      </c>
      <c r="K229" s="330" t="str">
        <f>IF(B229&lt;&gt;"",+VLOOKUP(I229,Recursos!C:F,3,FALSE),"")</f>
        <v>HR</v>
      </c>
      <c r="L229" s="327">
        <f>IF(B229&lt;&gt;"",+VLOOKUP(I229,Recursos!C:F,4,FALSE),"")</f>
        <v>3248.7120000000004</v>
      </c>
      <c r="M229" s="331"/>
      <c r="N229" s="331">
        <v>75</v>
      </c>
      <c r="O229" s="433">
        <f>1/N229</f>
        <v>1.3333333333333334E-2</v>
      </c>
      <c r="P229" s="333">
        <f t="shared" si="100"/>
        <v>43.316160000000011</v>
      </c>
      <c r="Q229" s="327">
        <f t="shared" si="101"/>
        <v>0</v>
      </c>
      <c r="R229" s="334">
        <f t="shared" si="102"/>
        <v>0</v>
      </c>
      <c r="S229" s="335">
        <f t="shared" si="91"/>
        <v>10.564018914889356</v>
      </c>
      <c r="T229" s="335">
        <f t="shared" si="92"/>
        <v>43.316160000000011</v>
      </c>
      <c r="U229" s="336">
        <f t="shared" si="93"/>
        <v>0</v>
      </c>
      <c r="V229" s="336">
        <f t="shared" si="94"/>
        <v>0</v>
      </c>
      <c r="W229" s="336">
        <f t="shared" si="95"/>
        <v>0</v>
      </c>
      <c r="X229" s="336">
        <f t="shared" si="96"/>
        <v>0</v>
      </c>
      <c r="Y229" s="320"/>
      <c r="Z229" s="321" t="str">
        <f t="shared" si="103"/>
        <v>X-E0043A</v>
      </c>
      <c r="AA229" s="321" t="str">
        <f t="shared" si="104"/>
        <v>X-E0043E</v>
      </c>
      <c r="AB229" s="321" t="str">
        <f t="shared" si="105"/>
        <v>X-E0043M</v>
      </c>
      <c r="AC229" s="321" t="str">
        <f t="shared" si="106"/>
        <v>X-E0043T</v>
      </c>
      <c r="AD229" s="321" t="str">
        <f t="shared" si="107"/>
        <v>X-E0043S</v>
      </c>
      <c r="AE229" s="321" t="str">
        <f t="shared" si="108"/>
        <v>X-E0043X</v>
      </c>
      <c r="AF229" s="321" t="str">
        <f t="shared" si="109"/>
        <v>X-E0043E</v>
      </c>
      <c r="AG229" s="321">
        <f t="shared" si="97"/>
        <v>3</v>
      </c>
      <c r="AH229" s="321"/>
      <c r="AI229" s="321" t="str">
        <f t="shared" si="110"/>
        <v>X-E0043</v>
      </c>
      <c r="AJ229" s="320"/>
      <c r="AK229" s="322">
        <f t="shared" si="98"/>
        <v>227</v>
      </c>
      <c r="AL229" s="323">
        <f t="shared" si="111"/>
        <v>229</v>
      </c>
      <c r="AM229" s="322">
        <f t="shared" si="112"/>
        <v>3</v>
      </c>
      <c r="AN229" s="381">
        <f t="shared" si="99"/>
        <v>0.02</v>
      </c>
      <c r="AO229" s="322"/>
    </row>
    <row r="230" spans="2:41">
      <c r="B230" s="324" t="s">
        <v>1469</v>
      </c>
      <c r="C230" s="325" t="s">
        <v>1472</v>
      </c>
      <c r="D230" s="326" t="s">
        <v>1473</v>
      </c>
      <c r="E230" s="327">
        <f>+SUMIF('AUX-NIV2'!I:I,'AUX-NIV3'!B230,'AUX-NIV2'!Q:Q)</f>
        <v>0</v>
      </c>
      <c r="F230" s="327">
        <f t="shared" si="89"/>
        <v>12009.351276736943</v>
      </c>
      <c r="G230" s="327">
        <f t="shared" si="90"/>
        <v>0</v>
      </c>
      <c r="H230" s="328" t="str">
        <f t="shared" si="115"/>
        <v>A</v>
      </c>
      <c r="I230" s="325" t="s">
        <v>3311</v>
      </c>
      <c r="J230" s="329" t="str">
        <f>IF(B230&lt;&gt;"",+VLOOKUP(I230,Recursos!C:F,2,FALSE),"")</f>
        <v>OPER. EQUIPO</v>
      </c>
      <c r="K230" s="330" t="str">
        <f>IF(B230&lt;&gt;"",+VLOOKUP(I230,Recursos!C:F,3,FALSE),"")</f>
        <v>hh</v>
      </c>
      <c r="L230" s="327">
        <f>IF(B230&lt;&gt;"",+VLOOKUP(I230,Recursos!C:F,4,FALSE),"")</f>
        <v>581.06120476836554</v>
      </c>
      <c r="M230" s="416"/>
      <c r="N230" s="416">
        <v>1</v>
      </c>
      <c r="O230" s="433">
        <f>+N230</f>
        <v>1</v>
      </c>
      <c r="P230" s="333">
        <f t="shared" si="100"/>
        <v>581.06120476836554</v>
      </c>
      <c r="Q230" s="327">
        <f t="shared" si="101"/>
        <v>0</v>
      </c>
      <c r="R230" s="334">
        <f t="shared" si="102"/>
        <v>0</v>
      </c>
      <c r="S230" s="335">
        <f t="shared" si="91"/>
        <v>3423.3956014122646</v>
      </c>
      <c r="T230" s="335">
        <f t="shared" si="92"/>
        <v>8548.4556753246743</v>
      </c>
      <c r="U230" s="336">
        <f t="shared" si="93"/>
        <v>37.5</v>
      </c>
      <c r="V230" s="336">
        <f t="shared" si="94"/>
        <v>0</v>
      </c>
      <c r="W230" s="336">
        <f t="shared" si="95"/>
        <v>0</v>
      </c>
      <c r="X230" s="336">
        <f t="shared" si="96"/>
        <v>0</v>
      </c>
      <c r="Y230" s="320"/>
      <c r="Z230" s="321" t="str">
        <f t="shared" si="103"/>
        <v>X-BASE03A</v>
      </c>
      <c r="AA230" s="321" t="str">
        <f t="shared" si="104"/>
        <v>X-BASE03E</v>
      </c>
      <c r="AB230" s="321" t="str">
        <f t="shared" si="105"/>
        <v>X-BASE03M</v>
      </c>
      <c r="AC230" s="321" t="str">
        <f t="shared" si="106"/>
        <v>X-BASE03T</v>
      </c>
      <c r="AD230" s="321" t="str">
        <f t="shared" si="107"/>
        <v>X-BASE03S</v>
      </c>
      <c r="AE230" s="321" t="str">
        <f t="shared" si="108"/>
        <v>X-BASE03X</v>
      </c>
      <c r="AF230" s="321" t="str">
        <f t="shared" si="109"/>
        <v>X-BASE03A</v>
      </c>
      <c r="AG230" s="321">
        <f t="shared" si="97"/>
        <v>12</v>
      </c>
      <c r="AH230" s="321"/>
      <c r="AI230" s="321" t="str">
        <f t="shared" si="110"/>
        <v>X-BASE03</v>
      </c>
      <c r="AJ230" s="320"/>
      <c r="AK230" s="322">
        <f t="shared" si="98"/>
        <v>230</v>
      </c>
      <c r="AL230" s="323">
        <f t="shared" si="111"/>
        <v>241</v>
      </c>
      <c r="AM230" s="322">
        <f t="shared" si="112"/>
        <v>1</v>
      </c>
      <c r="AN230" s="381">
        <f t="shared" si="99"/>
        <v>7</v>
      </c>
      <c r="AO230" s="322"/>
    </row>
    <row r="231" spans="2:41">
      <c r="B231" s="324" t="s">
        <v>1469</v>
      </c>
      <c r="C231" s="325" t="s">
        <v>1472</v>
      </c>
      <c r="D231" s="326" t="s">
        <v>1473</v>
      </c>
      <c r="E231" s="327">
        <f>+SUMIF('AUX-NIV2'!I:I,'AUX-NIV3'!B231,'AUX-NIV2'!Q:Q)</f>
        <v>0</v>
      </c>
      <c r="F231" s="327">
        <f t="shared" si="89"/>
        <v>12009.351276736943</v>
      </c>
      <c r="G231" s="327">
        <f t="shared" si="90"/>
        <v>0</v>
      </c>
      <c r="H231" s="328" t="str">
        <f t="shared" si="115"/>
        <v>A</v>
      </c>
      <c r="I231" s="325" t="s">
        <v>1745</v>
      </c>
      <c r="J231" s="329" t="str">
        <f>IF(B231&lt;&gt;"",+VLOOKUP(I231,Recursos!C:F,2,FALSE),"")</f>
        <v>AYUDANTE</v>
      </c>
      <c r="K231" s="330" t="str">
        <f>IF(B231&lt;&gt;"",+VLOOKUP(I231,Recursos!C:F,3,FALSE),"")</f>
        <v>hh</v>
      </c>
      <c r="L231" s="327">
        <f>IF(B231&lt;&gt;"",+VLOOKUP(I231,Recursos!C:F,4,FALSE),"")</f>
        <v>422.48042769667234</v>
      </c>
      <c r="M231" s="416"/>
      <c r="N231" s="416">
        <v>3</v>
      </c>
      <c r="O231" s="433">
        <f t="shared" ref="O231:O241" si="116">+N231</f>
        <v>3</v>
      </c>
      <c r="P231" s="333">
        <f t="shared" si="100"/>
        <v>1267.4412830900169</v>
      </c>
      <c r="Q231" s="327">
        <f t="shared" si="101"/>
        <v>0</v>
      </c>
      <c r="R231" s="334">
        <f t="shared" si="102"/>
        <v>0</v>
      </c>
      <c r="S231" s="335">
        <f t="shared" si="91"/>
        <v>3423.3956014122646</v>
      </c>
      <c r="T231" s="335">
        <f t="shared" si="92"/>
        <v>8548.4556753246743</v>
      </c>
      <c r="U231" s="336">
        <f t="shared" si="93"/>
        <v>37.5</v>
      </c>
      <c r="V231" s="336">
        <f t="shared" si="94"/>
        <v>0</v>
      </c>
      <c r="W231" s="336">
        <f t="shared" si="95"/>
        <v>0</v>
      </c>
      <c r="X231" s="336">
        <f t="shared" si="96"/>
        <v>0</v>
      </c>
      <c r="Y231" s="320"/>
      <c r="Z231" s="321" t="str">
        <f t="shared" si="103"/>
        <v>X-BASE03A</v>
      </c>
      <c r="AA231" s="321" t="str">
        <f t="shared" si="104"/>
        <v>X-BASE03E</v>
      </c>
      <c r="AB231" s="321" t="str">
        <f t="shared" si="105"/>
        <v>X-BASE03M</v>
      </c>
      <c r="AC231" s="321" t="str">
        <f t="shared" si="106"/>
        <v>X-BASE03T</v>
      </c>
      <c r="AD231" s="321" t="str">
        <f t="shared" si="107"/>
        <v>X-BASE03S</v>
      </c>
      <c r="AE231" s="321" t="str">
        <f t="shared" si="108"/>
        <v>X-BASE03X</v>
      </c>
      <c r="AF231" s="321" t="str">
        <f t="shared" si="109"/>
        <v>X-BASE03A</v>
      </c>
      <c r="AG231" s="321">
        <f t="shared" si="97"/>
        <v>12</v>
      </c>
      <c r="AH231" s="321"/>
      <c r="AI231" s="321" t="str">
        <f t="shared" si="110"/>
        <v>X-BASE03</v>
      </c>
      <c r="AJ231" s="320"/>
      <c r="AK231" s="322">
        <f t="shared" si="98"/>
        <v>230</v>
      </c>
      <c r="AL231" s="323">
        <f t="shared" si="111"/>
        <v>241</v>
      </c>
      <c r="AM231" s="322">
        <f t="shared" si="112"/>
        <v>2</v>
      </c>
      <c r="AN231" s="381">
        <f t="shared" si="99"/>
        <v>7</v>
      </c>
      <c r="AO231" s="322"/>
    </row>
    <row r="232" spans="2:41">
      <c r="B232" s="324" t="s">
        <v>1469</v>
      </c>
      <c r="C232" s="325" t="s">
        <v>1472</v>
      </c>
      <c r="D232" s="326" t="s">
        <v>1473</v>
      </c>
      <c r="E232" s="327">
        <f>+SUMIF('AUX-NIV2'!I:I,'AUX-NIV3'!B232,'AUX-NIV2'!Q:Q)</f>
        <v>0</v>
      </c>
      <c r="F232" s="327">
        <f t="shared" si="89"/>
        <v>12009.351276736943</v>
      </c>
      <c r="G232" s="327">
        <f t="shared" si="90"/>
        <v>0</v>
      </c>
      <c r="H232" s="328" t="str">
        <f t="shared" si="115"/>
        <v>A</v>
      </c>
      <c r="I232" s="325" t="s">
        <v>3311</v>
      </c>
      <c r="J232" s="329" t="str">
        <f>IF(B232&lt;&gt;"",+VLOOKUP(I232,Recursos!C:F,2,FALSE),"")</f>
        <v>OPER. EQUIPO</v>
      </c>
      <c r="K232" s="330" t="str">
        <f>IF(B232&lt;&gt;"",+VLOOKUP(I232,Recursos!C:F,3,FALSE),"")</f>
        <v>hh</v>
      </c>
      <c r="L232" s="327">
        <f>IF(B232&lt;&gt;"",+VLOOKUP(I232,Recursos!C:F,4,FALSE),"")</f>
        <v>581.06120476836554</v>
      </c>
      <c r="M232" s="416"/>
      <c r="N232" s="416">
        <v>1</v>
      </c>
      <c r="O232" s="433">
        <f t="shared" si="116"/>
        <v>1</v>
      </c>
      <c r="P232" s="333">
        <f t="shared" si="100"/>
        <v>581.06120476836554</v>
      </c>
      <c r="Q232" s="327">
        <f t="shared" si="101"/>
        <v>0</v>
      </c>
      <c r="R232" s="334">
        <f t="shared" si="102"/>
        <v>0</v>
      </c>
      <c r="S232" s="335">
        <f t="shared" si="91"/>
        <v>3423.3956014122646</v>
      </c>
      <c r="T232" s="335">
        <f t="shared" si="92"/>
        <v>8548.4556753246743</v>
      </c>
      <c r="U232" s="336">
        <f t="shared" si="93"/>
        <v>37.5</v>
      </c>
      <c r="V232" s="336">
        <f t="shared" si="94"/>
        <v>0</v>
      </c>
      <c r="W232" s="336">
        <f t="shared" si="95"/>
        <v>0</v>
      </c>
      <c r="X232" s="336">
        <f t="shared" si="96"/>
        <v>0</v>
      </c>
      <c r="Y232" s="320"/>
      <c r="Z232" s="321" t="str">
        <f t="shared" si="103"/>
        <v>X-BASE03A</v>
      </c>
      <c r="AA232" s="321" t="str">
        <f t="shared" si="104"/>
        <v>X-BASE03E</v>
      </c>
      <c r="AB232" s="321" t="str">
        <f t="shared" si="105"/>
        <v>X-BASE03M</v>
      </c>
      <c r="AC232" s="321" t="str">
        <f t="shared" si="106"/>
        <v>X-BASE03T</v>
      </c>
      <c r="AD232" s="321" t="str">
        <f t="shared" si="107"/>
        <v>X-BASE03S</v>
      </c>
      <c r="AE232" s="321" t="str">
        <f t="shared" si="108"/>
        <v>X-BASE03X</v>
      </c>
      <c r="AF232" s="321" t="str">
        <f t="shared" si="109"/>
        <v>X-BASE03A</v>
      </c>
      <c r="AG232" s="321">
        <f t="shared" si="97"/>
        <v>12</v>
      </c>
      <c r="AH232" s="321"/>
      <c r="AI232" s="321" t="str">
        <f t="shared" si="110"/>
        <v>X-BASE03</v>
      </c>
      <c r="AJ232" s="320"/>
      <c r="AK232" s="322">
        <f t="shared" si="98"/>
        <v>230</v>
      </c>
      <c r="AL232" s="323">
        <f t="shared" si="111"/>
        <v>241</v>
      </c>
      <c r="AM232" s="322">
        <f t="shared" si="112"/>
        <v>3</v>
      </c>
      <c r="AN232" s="381">
        <f t="shared" si="99"/>
        <v>7</v>
      </c>
      <c r="AO232" s="322"/>
    </row>
    <row r="233" spans="2:41">
      <c r="B233" s="324" t="s">
        <v>1469</v>
      </c>
      <c r="C233" s="325" t="s">
        <v>1472</v>
      </c>
      <c r="D233" s="326" t="s">
        <v>1473</v>
      </c>
      <c r="E233" s="327">
        <f>+SUMIF('AUX-NIV2'!I:I,'AUX-NIV3'!B233,'AUX-NIV2'!Q:Q)</f>
        <v>0</v>
      </c>
      <c r="F233" s="327">
        <f t="shared" si="89"/>
        <v>12009.351276736943</v>
      </c>
      <c r="G233" s="327">
        <f t="shared" si="90"/>
        <v>0</v>
      </c>
      <c r="H233" s="328" t="str">
        <f t="shared" si="115"/>
        <v>A</v>
      </c>
      <c r="I233" s="325" t="s">
        <v>1746</v>
      </c>
      <c r="J233" s="329" t="str">
        <f>IF(B233&lt;&gt;"",+VLOOKUP(I233,Recursos!C:F,2,FALSE),"")</f>
        <v>OFICIAL</v>
      </c>
      <c r="K233" s="330" t="str">
        <f>IF(B233&lt;&gt;"",+VLOOKUP(I233,Recursos!C:F,3,FALSE),"")</f>
        <v>hh</v>
      </c>
      <c r="L233" s="327">
        <f>IF(B233&lt;&gt;"",+VLOOKUP(I233,Recursos!C:F,4,FALSE),"")</f>
        <v>496.91595439275824</v>
      </c>
      <c r="M233" s="416"/>
      <c r="N233" s="416">
        <v>2</v>
      </c>
      <c r="O233" s="433">
        <f t="shared" si="116"/>
        <v>2</v>
      </c>
      <c r="P233" s="333">
        <f t="shared" si="100"/>
        <v>993.83190878551648</v>
      </c>
      <c r="Q233" s="327">
        <f t="shared" si="101"/>
        <v>0</v>
      </c>
      <c r="R233" s="334">
        <f t="shared" si="102"/>
        <v>0</v>
      </c>
      <c r="S233" s="335">
        <f t="shared" si="91"/>
        <v>3423.3956014122646</v>
      </c>
      <c r="T233" s="335">
        <f t="shared" si="92"/>
        <v>8548.4556753246743</v>
      </c>
      <c r="U233" s="336">
        <f t="shared" si="93"/>
        <v>37.5</v>
      </c>
      <c r="V233" s="336">
        <f t="shared" si="94"/>
        <v>0</v>
      </c>
      <c r="W233" s="336">
        <f t="shared" si="95"/>
        <v>0</v>
      </c>
      <c r="X233" s="336">
        <f t="shared" si="96"/>
        <v>0</v>
      </c>
      <c r="Y233" s="320"/>
      <c r="Z233" s="321" t="str">
        <f t="shared" si="103"/>
        <v>X-BASE03A</v>
      </c>
      <c r="AA233" s="321" t="str">
        <f t="shared" si="104"/>
        <v>X-BASE03E</v>
      </c>
      <c r="AB233" s="321" t="str">
        <f t="shared" si="105"/>
        <v>X-BASE03M</v>
      </c>
      <c r="AC233" s="321" t="str">
        <f t="shared" si="106"/>
        <v>X-BASE03T</v>
      </c>
      <c r="AD233" s="321" t="str">
        <f t="shared" si="107"/>
        <v>X-BASE03S</v>
      </c>
      <c r="AE233" s="321" t="str">
        <f t="shared" si="108"/>
        <v>X-BASE03X</v>
      </c>
      <c r="AF233" s="321" t="str">
        <f t="shared" si="109"/>
        <v>X-BASE03A</v>
      </c>
      <c r="AG233" s="321">
        <f t="shared" si="97"/>
        <v>12</v>
      </c>
      <c r="AH233" s="321"/>
      <c r="AI233" s="321" t="str">
        <f t="shared" si="110"/>
        <v>X-BASE03</v>
      </c>
      <c r="AJ233" s="320"/>
      <c r="AK233" s="322">
        <f t="shared" si="98"/>
        <v>230</v>
      </c>
      <c r="AL233" s="323">
        <f t="shared" si="111"/>
        <v>241</v>
      </c>
      <c r="AM233" s="322">
        <f t="shared" si="112"/>
        <v>4</v>
      </c>
      <c r="AN233" s="381">
        <f t="shared" si="99"/>
        <v>7</v>
      </c>
      <c r="AO233" s="322"/>
    </row>
    <row r="234" spans="2:41">
      <c r="B234" s="324" t="s">
        <v>1469</v>
      </c>
      <c r="C234" s="325" t="s">
        <v>1472</v>
      </c>
      <c r="D234" s="326" t="s">
        <v>1473</v>
      </c>
      <c r="E234" s="327">
        <f>+SUMIF('AUX-NIV2'!I:I,'AUX-NIV3'!B234,'AUX-NIV2'!Q:Q)</f>
        <v>0</v>
      </c>
      <c r="F234" s="327">
        <f t="shared" si="89"/>
        <v>12009.351276736943</v>
      </c>
      <c r="G234" s="327">
        <f t="shared" si="90"/>
        <v>0</v>
      </c>
      <c r="H234" s="328" t="str">
        <f t="shared" si="115"/>
        <v>E</v>
      </c>
      <c r="I234" s="325" t="s">
        <v>1542</v>
      </c>
      <c r="J234" s="329" t="str">
        <f>IF(B234&lt;&gt;"",+VLOOKUP(I234,Recursos!C:F,2,FALSE),"")</f>
        <v>CARGADOR FRONTAL S/NEUM. (2,30 M3)</v>
      </c>
      <c r="K234" s="330" t="str">
        <f>IF(B234&lt;&gt;"",+VLOOKUP(I234,Recursos!C:F,3,FALSE),"")</f>
        <v>HR</v>
      </c>
      <c r="L234" s="327">
        <f>IF(B234&lt;&gt;"",+VLOOKUP(I234,Recursos!C:F,4,FALSE),"")</f>
        <v>3152.8359999999998</v>
      </c>
      <c r="M234" s="416"/>
      <c r="N234" s="416">
        <v>1</v>
      </c>
      <c r="O234" s="433">
        <f t="shared" si="116"/>
        <v>1</v>
      </c>
      <c r="P234" s="333">
        <f t="shared" si="100"/>
        <v>3152.8359999999998</v>
      </c>
      <c r="Q234" s="327">
        <f t="shared" si="101"/>
        <v>0</v>
      </c>
      <c r="R234" s="334">
        <f t="shared" si="102"/>
        <v>0</v>
      </c>
      <c r="S234" s="335">
        <f t="shared" si="91"/>
        <v>3423.3956014122646</v>
      </c>
      <c r="T234" s="335">
        <f t="shared" si="92"/>
        <v>8548.4556753246743</v>
      </c>
      <c r="U234" s="336">
        <f t="shared" si="93"/>
        <v>37.5</v>
      </c>
      <c r="V234" s="336">
        <f t="shared" si="94"/>
        <v>0</v>
      </c>
      <c r="W234" s="336">
        <f t="shared" si="95"/>
        <v>0</v>
      </c>
      <c r="X234" s="336">
        <f t="shared" si="96"/>
        <v>0</v>
      </c>
      <c r="Y234" s="320"/>
      <c r="Z234" s="321" t="str">
        <f t="shared" si="103"/>
        <v>X-BASE03A</v>
      </c>
      <c r="AA234" s="321" t="str">
        <f t="shared" si="104"/>
        <v>X-BASE03E</v>
      </c>
      <c r="AB234" s="321" t="str">
        <f t="shared" si="105"/>
        <v>X-BASE03M</v>
      </c>
      <c r="AC234" s="321" t="str">
        <f t="shared" si="106"/>
        <v>X-BASE03T</v>
      </c>
      <c r="AD234" s="321" t="str">
        <f t="shared" si="107"/>
        <v>X-BASE03S</v>
      </c>
      <c r="AE234" s="321" t="str">
        <f t="shared" si="108"/>
        <v>X-BASE03X</v>
      </c>
      <c r="AF234" s="321" t="str">
        <f t="shared" si="109"/>
        <v>X-BASE03E</v>
      </c>
      <c r="AG234" s="321">
        <f t="shared" si="97"/>
        <v>12</v>
      </c>
      <c r="AH234" s="321"/>
      <c r="AI234" s="321" t="str">
        <f t="shared" si="110"/>
        <v>X-BASE03</v>
      </c>
      <c r="AJ234" s="320"/>
      <c r="AK234" s="322">
        <f t="shared" si="98"/>
        <v>230</v>
      </c>
      <c r="AL234" s="323">
        <f t="shared" si="111"/>
        <v>241</v>
      </c>
      <c r="AM234" s="322">
        <f t="shared" si="112"/>
        <v>5</v>
      </c>
      <c r="AN234" s="381">
        <f t="shared" si="99"/>
        <v>7</v>
      </c>
      <c r="AO234" s="322"/>
    </row>
    <row r="235" spans="2:41">
      <c r="B235" s="324" t="s">
        <v>1469</v>
      </c>
      <c r="C235" s="325" t="s">
        <v>1472</v>
      </c>
      <c r="D235" s="326" t="s">
        <v>1473</v>
      </c>
      <c r="E235" s="327">
        <f>+SUMIF('AUX-NIV2'!I:I,'AUX-NIV3'!B235,'AUX-NIV2'!Q:Q)</f>
        <v>0</v>
      </c>
      <c r="F235" s="327">
        <f t="shared" si="89"/>
        <v>12009.351276736943</v>
      </c>
      <c r="G235" s="327">
        <f t="shared" si="90"/>
        <v>0</v>
      </c>
      <c r="H235" s="328" t="str">
        <f t="shared" si="115"/>
        <v>E</v>
      </c>
      <c r="I235" s="325" t="s">
        <v>1605</v>
      </c>
      <c r="J235" s="329" t="str">
        <f>IF(B235&lt;&gt;"",+VLOOKUP(I235,Recursos!C:F,2,FALSE),"")</f>
        <v>GRILLA FIJA</v>
      </c>
      <c r="K235" s="330" t="str">
        <f>IF(B235&lt;&gt;"",+VLOOKUP(I235,Recursos!C:F,3,FALSE),"")</f>
        <v>HR</v>
      </c>
      <c r="L235" s="327">
        <f>IF(B235&lt;&gt;"",+VLOOKUP(I235,Recursos!C:F,4,FALSE),"")</f>
        <v>346.38685714285714</v>
      </c>
      <c r="M235" s="416"/>
      <c r="N235" s="416">
        <v>1</v>
      </c>
      <c r="O235" s="433">
        <f t="shared" si="116"/>
        <v>1</v>
      </c>
      <c r="P235" s="333">
        <f t="shared" si="100"/>
        <v>346.38685714285714</v>
      </c>
      <c r="Q235" s="327">
        <f t="shared" si="101"/>
        <v>0</v>
      </c>
      <c r="R235" s="334">
        <f t="shared" si="102"/>
        <v>0</v>
      </c>
      <c r="S235" s="335">
        <f t="shared" si="91"/>
        <v>3423.3956014122646</v>
      </c>
      <c r="T235" s="335">
        <f t="shared" si="92"/>
        <v>8548.4556753246743</v>
      </c>
      <c r="U235" s="336">
        <f t="shared" si="93"/>
        <v>37.5</v>
      </c>
      <c r="V235" s="336">
        <f t="shared" si="94"/>
        <v>0</v>
      </c>
      <c r="W235" s="336">
        <f t="shared" si="95"/>
        <v>0</v>
      </c>
      <c r="X235" s="336">
        <f t="shared" si="96"/>
        <v>0</v>
      </c>
      <c r="Y235" s="320"/>
      <c r="Z235" s="321" t="str">
        <f t="shared" si="103"/>
        <v>X-BASE03A</v>
      </c>
      <c r="AA235" s="321" t="str">
        <f t="shared" si="104"/>
        <v>X-BASE03E</v>
      </c>
      <c r="AB235" s="321" t="str">
        <f t="shared" si="105"/>
        <v>X-BASE03M</v>
      </c>
      <c r="AC235" s="321" t="str">
        <f t="shared" si="106"/>
        <v>X-BASE03T</v>
      </c>
      <c r="AD235" s="321" t="str">
        <f t="shared" si="107"/>
        <v>X-BASE03S</v>
      </c>
      <c r="AE235" s="321" t="str">
        <f t="shared" si="108"/>
        <v>X-BASE03X</v>
      </c>
      <c r="AF235" s="321" t="str">
        <f t="shared" si="109"/>
        <v>X-BASE03E</v>
      </c>
      <c r="AG235" s="321">
        <f t="shared" si="97"/>
        <v>12</v>
      </c>
      <c r="AH235" s="321"/>
      <c r="AI235" s="321" t="str">
        <f t="shared" si="110"/>
        <v>X-BASE03</v>
      </c>
      <c r="AJ235" s="320"/>
      <c r="AK235" s="322">
        <f t="shared" si="98"/>
        <v>230</v>
      </c>
      <c r="AL235" s="323">
        <f t="shared" si="111"/>
        <v>241</v>
      </c>
      <c r="AM235" s="322">
        <f t="shared" si="112"/>
        <v>6</v>
      </c>
      <c r="AN235" s="381">
        <f t="shared" si="99"/>
        <v>7</v>
      </c>
      <c r="AO235" s="322"/>
    </row>
    <row r="236" spans="2:41">
      <c r="B236" s="324" t="s">
        <v>1469</v>
      </c>
      <c r="C236" s="325" t="s">
        <v>1472</v>
      </c>
      <c r="D236" s="326" t="s">
        <v>1473</v>
      </c>
      <c r="E236" s="327">
        <f>+SUMIF('AUX-NIV2'!I:I,'AUX-NIV3'!B236,'AUX-NIV2'!Q:Q)</f>
        <v>0</v>
      </c>
      <c r="F236" s="327">
        <f t="shared" si="89"/>
        <v>12009.351276736943</v>
      </c>
      <c r="G236" s="327">
        <f t="shared" si="90"/>
        <v>0</v>
      </c>
      <c r="H236" s="328" t="str">
        <f t="shared" si="115"/>
        <v>E</v>
      </c>
      <c r="I236" s="325" t="s">
        <v>1586</v>
      </c>
      <c r="J236" s="329" t="str">
        <f>IF(B236&lt;&gt;"",+VLOOKUP(I236,Recursos!C:F,2,FALSE),"")</f>
        <v>GRUPO ELECTROGENO 244 KVA-195 KW</v>
      </c>
      <c r="K236" s="330" t="str">
        <f>IF(B236&lt;&gt;"",+VLOOKUP(I236,Recursos!C:F,3,FALSE),"")</f>
        <v>HR</v>
      </c>
      <c r="L236" s="327">
        <f>IF(B236&lt;&gt;"",+VLOOKUP(I236,Recursos!C:F,4,FALSE),"")</f>
        <v>2848.5638181818185</v>
      </c>
      <c r="M236" s="416"/>
      <c r="N236" s="416">
        <v>1</v>
      </c>
      <c r="O236" s="433">
        <f t="shared" si="116"/>
        <v>1</v>
      </c>
      <c r="P236" s="333">
        <f t="shared" si="100"/>
        <v>2848.5638181818185</v>
      </c>
      <c r="Q236" s="327">
        <f t="shared" si="101"/>
        <v>0</v>
      </c>
      <c r="R236" s="334">
        <f t="shared" si="102"/>
        <v>0</v>
      </c>
      <c r="S236" s="335">
        <f t="shared" si="91"/>
        <v>3423.3956014122646</v>
      </c>
      <c r="T236" s="335">
        <f t="shared" si="92"/>
        <v>8548.4556753246743</v>
      </c>
      <c r="U236" s="336">
        <f t="shared" si="93"/>
        <v>37.5</v>
      </c>
      <c r="V236" s="336">
        <f t="shared" si="94"/>
        <v>0</v>
      </c>
      <c r="W236" s="336">
        <f t="shared" si="95"/>
        <v>0</v>
      </c>
      <c r="X236" s="336">
        <f t="shared" si="96"/>
        <v>0</v>
      </c>
      <c r="Y236" s="320"/>
      <c r="Z236" s="321" t="str">
        <f t="shared" si="103"/>
        <v>X-BASE03A</v>
      </c>
      <c r="AA236" s="321" t="str">
        <f t="shared" si="104"/>
        <v>X-BASE03E</v>
      </c>
      <c r="AB236" s="321" t="str">
        <f t="shared" si="105"/>
        <v>X-BASE03M</v>
      </c>
      <c r="AC236" s="321" t="str">
        <f t="shared" si="106"/>
        <v>X-BASE03T</v>
      </c>
      <c r="AD236" s="321" t="str">
        <f t="shared" si="107"/>
        <v>X-BASE03S</v>
      </c>
      <c r="AE236" s="321" t="str">
        <f t="shared" si="108"/>
        <v>X-BASE03X</v>
      </c>
      <c r="AF236" s="321" t="str">
        <f t="shared" si="109"/>
        <v>X-BASE03E</v>
      </c>
      <c r="AG236" s="321">
        <f t="shared" si="97"/>
        <v>12</v>
      </c>
      <c r="AH236" s="321"/>
      <c r="AI236" s="321" t="str">
        <f t="shared" si="110"/>
        <v>X-BASE03</v>
      </c>
      <c r="AJ236" s="320"/>
      <c r="AK236" s="322">
        <f t="shared" si="98"/>
        <v>230</v>
      </c>
      <c r="AL236" s="323">
        <f t="shared" si="111"/>
        <v>241</v>
      </c>
      <c r="AM236" s="322">
        <f t="shared" si="112"/>
        <v>7</v>
      </c>
      <c r="AN236" s="381">
        <f t="shared" si="99"/>
        <v>7</v>
      </c>
      <c r="AO236" s="322"/>
    </row>
    <row r="237" spans="2:41">
      <c r="B237" s="324" t="s">
        <v>1469</v>
      </c>
      <c r="C237" s="325" t="s">
        <v>1472</v>
      </c>
      <c r="D237" s="326" t="s">
        <v>1473</v>
      </c>
      <c r="E237" s="327">
        <f>+SUMIF('AUX-NIV2'!I:I,'AUX-NIV3'!B237,'AUX-NIV2'!Q:Q)</f>
        <v>0</v>
      </c>
      <c r="F237" s="327">
        <f t="shared" si="89"/>
        <v>12009.351276736943</v>
      </c>
      <c r="G237" s="327">
        <f t="shared" si="90"/>
        <v>0</v>
      </c>
      <c r="H237" s="328" t="str">
        <f t="shared" si="115"/>
        <v>E</v>
      </c>
      <c r="I237" s="325" t="s">
        <v>1607</v>
      </c>
      <c r="J237" s="329" t="str">
        <f>IF(B237&lt;&gt;"",+VLOOKUP(I237,Recursos!C:F,2,FALSE),"")</f>
        <v>ALIMENTADOR VIBRAT.CAP.200 T/H</v>
      </c>
      <c r="K237" s="330" t="str">
        <f>IF(B237&lt;&gt;"",+VLOOKUP(I237,Recursos!C:F,3,FALSE),"")</f>
        <v>HR</v>
      </c>
      <c r="L237" s="327">
        <f>IF(B237&lt;&gt;"",+VLOOKUP(I237,Recursos!C:F,4,FALSE),"")</f>
        <v>163.27999999999997</v>
      </c>
      <c r="M237" s="416"/>
      <c r="N237" s="416">
        <v>1</v>
      </c>
      <c r="O237" s="433">
        <f t="shared" si="116"/>
        <v>1</v>
      </c>
      <c r="P237" s="333">
        <f t="shared" si="100"/>
        <v>163.27999999999997</v>
      </c>
      <c r="Q237" s="327">
        <f t="shared" si="101"/>
        <v>0</v>
      </c>
      <c r="R237" s="334">
        <f t="shared" si="102"/>
        <v>0</v>
      </c>
      <c r="S237" s="335">
        <f t="shared" si="91"/>
        <v>3423.3956014122646</v>
      </c>
      <c r="T237" s="335">
        <f t="shared" si="92"/>
        <v>8548.4556753246743</v>
      </c>
      <c r="U237" s="336">
        <f t="shared" si="93"/>
        <v>37.5</v>
      </c>
      <c r="V237" s="336">
        <f t="shared" si="94"/>
        <v>0</v>
      </c>
      <c r="W237" s="336">
        <f t="shared" si="95"/>
        <v>0</v>
      </c>
      <c r="X237" s="336">
        <f t="shared" si="96"/>
        <v>0</v>
      </c>
      <c r="Y237" s="320"/>
      <c r="Z237" s="321" t="str">
        <f t="shared" si="103"/>
        <v>X-BASE03A</v>
      </c>
      <c r="AA237" s="321" t="str">
        <f t="shared" si="104"/>
        <v>X-BASE03E</v>
      </c>
      <c r="AB237" s="321" t="str">
        <f t="shared" si="105"/>
        <v>X-BASE03M</v>
      </c>
      <c r="AC237" s="321" t="str">
        <f t="shared" si="106"/>
        <v>X-BASE03T</v>
      </c>
      <c r="AD237" s="321" t="str">
        <f t="shared" si="107"/>
        <v>X-BASE03S</v>
      </c>
      <c r="AE237" s="321" t="str">
        <f t="shared" si="108"/>
        <v>X-BASE03X</v>
      </c>
      <c r="AF237" s="321" t="str">
        <f t="shared" si="109"/>
        <v>X-BASE03E</v>
      </c>
      <c r="AG237" s="321">
        <f t="shared" si="97"/>
        <v>12</v>
      </c>
      <c r="AH237" s="321"/>
      <c r="AI237" s="321" t="str">
        <f t="shared" si="110"/>
        <v>X-BASE03</v>
      </c>
      <c r="AJ237" s="320"/>
      <c r="AK237" s="322">
        <f t="shared" si="98"/>
        <v>230</v>
      </c>
      <c r="AL237" s="323">
        <f t="shared" si="111"/>
        <v>241</v>
      </c>
      <c r="AM237" s="322">
        <f t="shared" si="112"/>
        <v>8</v>
      </c>
      <c r="AN237" s="381">
        <f t="shared" si="99"/>
        <v>7</v>
      </c>
      <c r="AO237" s="322"/>
    </row>
    <row r="238" spans="2:41">
      <c r="B238" s="324" t="s">
        <v>1469</v>
      </c>
      <c r="C238" s="325" t="s">
        <v>1472</v>
      </c>
      <c r="D238" s="326" t="s">
        <v>1473</v>
      </c>
      <c r="E238" s="327">
        <f>+SUMIF('AUX-NIV2'!I:I,'AUX-NIV3'!B238,'AUX-NIV2'!Q:Q)</f>
        <v>0</v>
      </c>
      <c r="F238" s="327">
        <f t="shared" si="89"/>
        <v>12009.351276736943</v>
      </c>
      <c r="G238" s="327">
        <f t="shared" si="90"/>
        <v>0</v>
      </c>
      <c r="H238" s="328" t="str">
        <f t="shared" si="115"/>
        <v>E</v>
      </c>
      <c r="I238" s="325" t="s">
        <v>1645</v>
      </c>
      <c r="J238" s="329" t="str">
        <f>IF(B238&lt;&gt;"",+VLOOKUP(I238,Recursos!C:F,2,FALSE),"")</f>
        <v>TRITUR.SECUND.A CONO 45" C/ZARANDA</v>
      </c>
      <c r="K238" s="330" t="str">
        <f>IF(B238&lt;&gt;"",+VLOOKUP(I238,Recursos!C:F,3,FALSE),"")</f>
        <v>HR</v>
      </c>
      <c r="L238" s="327">
        <f>IF(B238&lt;&gt;"",+VLOOKUP(I238,Recursos!C:F,4,FALSE),"")</f>
        <v>1714.4399999999996</v>
      </c>
      <c r="M238" s="416"/>
      <c r="N238" s="416">
        <v>0</v>
      </c>
      <c r="O238" s="433">
        <f t="shared" si="116"/>
        <v>0</v>
      </c>
      <c r="P238" s="333">
        <f t="shared" si="100"/>
        <v>0</v>
      </c>
      <c r="Q238" s="327">
        <f t="shared" si="101"/>
        <v>0</v>
      </c>
      <c r="R238" s="334">
        <f t="shared" si="102"/>
        <v>0</v>
      </c>
      <c r="S238" s="335">
        <f t="shared" si="91"/>
        <v>3423.3956014122646</v>
      </c>
      <c r="T238" s="335">
        <f t="shared" si="92"/>
        <v>8548.4556753246743</v>
      </c>
      <c r="U238" s="336">
        <f t="shared" si="93"/>
        <v>37.5</v>
      </c>
      <c r="V238" s="336">
        <f t="shared" si="94"/>
        <v>0</v>
      </c>
      <c r="W238" s="336">
        <f t="shared" si="95"/>
        <v>0</v>
      </c>
      <c r="X238" s="336">
        <f t="shared" si="96"/>
        <v>0</v>
      </c>
      <c r="Y238" s="320"/>
      <c r="Z238" s="321" t="str">
        <f t="shared" si="103"/>
        <v>X-BASE03A</v>
      </c>
      <c r="AA238" s="321" t="str">
        <f t="shared" si="104"/>
        <v>X-BASE03E</v>
      </c>
      <c r="AB238" s="321" t="str">
        <f t="shared" si="105"/>
        <v>X-BASE03M</v>
      </c>
      <c r="AC238" s="321" t="str">
        <f t="shared" si="106"/>
        <v>X-BASE03T</v>
      </c>
      <c r="AD238" s="321" t="str">
        <f t="shared" si="107"/>
        <v>X-BASE03S</v>
      </c>
      <c r="AE238" s="321" t="str">
        <f t="shared" si="108"/>
        <v>X-BASE03X</v>
      </c>
      <c r="AF238" s="321" t="str">
        <f t="shared" si="109"/>
        <v>X-BASE03E</v>
      </c>
      <c r="AG238" s="321">
        <f t="shared" si="97"/>
        <v>12</v>
      </c>
      <c r="AH238" s="321"/>
      <c r="AI238" s="321" t="str">
        <f t="shared" si="110"/>
        <v>X-BASE03</v>
      </c>
      <c r="AJ238" s="320"/>
      <c r="AK238" s="322">
        <f t="shared" si="98"/>
        <v>230</v>
      </c>
      <c r="AL238" s="323">
        <f t="shared" si="111"/>
        <v>241</v>
      </c>
      <c r="AM238" s="322">
        <f t="shared" si="112"/>
        <v>9</v>
      </c>
      <c r="AN238" s="381">
        <f t="shared" si="99"/>
        <v>7</v>
      </c>
      <c r="AO238" s="322"/>
    </row>
    <row r="239" spans="2:41">
      <c r="B239" s="324" t="s">
        <v>1469</v>
      </c>
      <c r="C239" s="325" t="s">
        <v>1472</v>
      </c>
      <c r="D239" s="326" t="s">
        <v>1473</v>
      </c>
      <c r="E239" s="327">
        <f>+SUMIF('AUX-NIV2'!I:I,'AUX-NIV3'!B239,'AUX-NIV2'!Q:Q)</f>
        <v>0</v>
      </c>
      <c r="F239" s="327">
        <f t="shared" si="89"/>
        <v>12009.351276736943</v>
      </c>
      <c r="G239" s="327">
        <f t="shared" si="90"/>
        <v>0</v>
      </c>
      <c r="H239" s="328" t="str">
        <f t="shared" si="115"/>
        <v>E</v>
      </c>
      <c r="I239" s="325" t="s">
        <v>1651</v>
      </c>
      <c r="J239" s="329" t="str">
        <f>IF(B239&lt;&gt;"",+VLOOKUP(I239,Recursos!C:F,2,FALSE),"")</f>
        <v>CINTA TRANSPORTADORA 0,90 m x 15 m</v>
      </c>
      <c r="K239" s="330" t="str">
        <f>IF(B239&lt;&gt;"",+VLOOKUP(I239,Recursos!C:F,3,FALSE),"")</f>
        <v>HR</v>
      </c>
      <c r="L239" s="327">
        <f>IF(B239&lt;&gt;"",+VLOOKUP(I239,Recursos!C:F,4,FALSE),"")</f>
        <v>310.85999999999996</v>
      </c>
      <c r="M239" s="416"/>
      <c r="N239" s="416">
        <v>4</v>
      </c>
      <c r="O239" s="433">
        <f t="shared" si="116"/>
        <v>4</v>
      </c>
      <c r="P239" s="333">
        <f t="shared" si="100"/>
        <v>1243.4399999999998</v>
      </c>
      <c r="Q239" s="327">
        <f t="shared" si="101"/>
        <v>0</v>
      </c>
      <c r="R239" s="334">
        <f t="shared" si="102"/>
        <v>0</v>
      </c>
      <c r="S239" s="335">
        <f t="shared" si="91"/>
        <v>3423.3956014122646</v>
      </c>
      <c r="T239" s="335">
        <f t="shared" si="92"/>
        <v>8548.4556753246743</v>
      </c>
      <c r="U239" s="336">
        <f t="shared" si="93"/>
        <v>37.5</v>
      </c>
      <c r="V239" s="336">
        <f t="shared" si="94"/>
        <v>0</v>
      </c>
      <c r="W239" s="336">
        <f t="shared" si="95"/>
        <v>0</v>
      </c>
      <c r="X239" s="336">
        <f t="shared" si="96"/>
        <v>0</v>
      </c>
      <c r="Y239" s="320"/>
      <c r="Z239" s="321" t="str">
        <f t="shared" si="103"/>
        <v>X-BASE03A</v>
      </c>
      <c r="AA239" s="321" t="str">
        <f t="shared" si="104"/>
        <v>X-BASE03E</v>
      </c>
      <c r="AB239" s="321" t="str">
        <f t="shared" si="105"/>
        <v>X-BASE03M</v>
      </c>
      <c r="AC239" s="321" t="str">
        <f t="shared" si="106"/>
        <v>X-BASE03T</v>
      </c>
      <c r="AD239" s="321" t="str">
        <f t="shared" si="107"/>
        <v>X-BASE03S</v>
      </c>
      <c r="AE239" s="321" t="str">
        <f t="shared" si="108"/>
        <v>X-BASE03X</v>
      </c>
      <c r="AF239" s="321" t="str">
        <f t="shared" si="109"/>
        <v>X-BASE03E</v>
      </c>
      <c r="AG239" s="321">
        <f t="shared" si="97"/>
        <v>12</v>
      </c>
      <c r="AH239" s="321"/>
      <c r="AI239" s="321" t="str">
        <f t="shared" si="110"/>
        <v>X-BASE03</v>
      </c>
      <c r="AJ239" s="320"/>
      <c r="AK239" s="322">
        <f t="shared" si="98"/>
        <v>230</v>
      </c>
      <c r="AL239" s="323">
        <f t="shared" si="111"/>
        <v>241</v>
      </c>
      <c r="AM239" s="322">
        <f t="shared" si="112"/>
        <v>10</v>
      </c>
      <c r="AN239" s="381">
        <f t="shared" si="99"/>
        <v>7</v>
      </c>
      <c r="AO239" s="322"/>
    </row>
    <row r="240" spans="2:41">
      <c r="B240" s="324" t="s">
        <v>1469</v>
      </c>
      <c r="C240" s="325" t="s">
        <v>1472</v>
      </c>
      <c r="D240" s="326" t="s">
        <v>1473</v>
      </c>
      <c r="E240" s="327">
        <f>+SUMIF('AUX-NIV2'!I:I,'AUX-NIV3'!B240,'AUX-NIV2'!Q:Q)</f>
        <v>0</v>
      </c>
      <c r="F240" s="327">
        <f t="shared" si="89"/>
        <v>12009.351276736943</v>
      </c>
      <c r="G240" s="327">
        <f t="shared" si="90"/>
        <v>0</v>
      </c>
      <c r="H240" s="328" t="str">
        <f t="shared" si="115"/>
        <v>E</v>
      </c>
      <c r="I240" s="325" t="s">
        <v>1606</v>
      </c>
      <c r="J240" s="329" t="str">
        <f>IF(B240&lt;&gt;"",+VLOOKUP(I240,Recursos!C:F,2,FALSE),"")</f>
        <v>PLANTA DE ZARANDEO 100/175 T/H</v>
      </c>
      <c r="K240" s="330" t="str">
        <f>IF(B240&lt;&gt;"",+VLOOKUP(I240,Recursos!C:F,3,FALSE),"")</f>
        <v>HR</v>
      </c>
      <c r="L240" s="327">
        <f>IF(B240&lt;&gt;"",+VLOOKUP(I240,Recursos!C:F,4,FALSE),"")</f>
        <v>793.94899999999996</v>
      </c>
      <c r="M240" s="416"/>
      <c r="N240" s="416">
        <v>1</v>
      </c>
      <c r="O240" s="433">
        <f t="shared" si="116"/>
        <v>1</v>
      </c>
      <c r="P240" s="333">
        <f t="shared" si="100"/>
        <v>793.94899999999996</v>
      </c>
      <c r="Q240" s="327">
        <f t="shared" si="101"/>
        <v>0</v>
      </c>
      <c r="R240" s="334">
        <f t="shared" si="102"/>
        <v>0</v>
      </c>
      <c r="S240" s="335">
        <f t="shared" si="91"/>
        <v>3423.3956014122646</v>
      </c>
      <c r="T240" s="335">
        <f t="shared" si="92"/>
        <v>8548.4556753246743</v>
      </c>
      <c r="U240" s="336">
        <f t="shared" si="93"/>
        <v>37.5</v>
      </c>
      <c r="V240" s="336">
        <f t="shared" si="94"/>
        <v>0</v>
      </c>
      <c r="W240" s="336">
        <f t="shared" si="95"/>
        <v>0</v>
      </c>
      <c r="X240" s="336">
        <f t="shared" si="96"/>
        <v>0</v>
      </c>
      <c r="Y240" s="320"/>
      <c r="Z240" s="321" t="str">
        <f t="shared" si="103"/>
        <v>X-BASE03A</v>
      </c>
      <c r="AA240" s="321" t="str">
        <f t="shared" si="104"/>
        <v>X-BASE03E</v>
      </c>
      <c r="AB240" s="321" t="str">
        <f t="shared" si="105"/>
        <v>X-BASE03M</v>
      </c>
      <c r="AC240" s="321" t="str">
        <f t="shared" si="106"/>
        <v>X-BASE03T</v>
      </c>
      <c r="AD240" s="321" t="str">
        <f t="shared" si="107"/>
        <v>X-BASE03S</v>
      </c>
      <c r="AE240" s="321" t="str">
        <f t="shared" si="108"/>
        <v>X-BASE03X</v>
      </c>
      <c r="AF240" s="321" t="str">
        <f t="shared" si="109"/>
        <v>X-BASE03E</v>
      </c>
      <c r="AG240" s="321">
        <f t="shared" si="97"/>
        <v>12</v>
      </c>
      <c r="AH240" s="321"/>
      <c r="AI240" s="321" t="str">
        <f t="shared" si="110"/>
        <v>X-BASE03</v>
      </c>
      <c r="AJ240" s="320"/>
      <c r="AK240" s="322">
        <f t="shared" si="98"/>
        <v>230</v>
      </c>
      <c r="AL240" s="323">
        <f t="shared" si="111"/>
        <v>241</v>
      </c>
      <c r="AM240" s="322">
        <f t="shared" si="112"/>
        <v>11</v>
      </c>
      <c r="AN240" s="381">
        <f t="shared" si="99"/>
        <v>7</v>
      </c>
      <c r="AO240" s="322"/>
    </row>
    <row r="241" spans="2:41">
      <c r="B241" s="324" t="s">
        <v>1469</v>
      </c>
      <c r="C241" s="325" t="s">
        <v>1472</v>
      </c>
      <c r="D241" s="326" t="s">
        <v>1473</v>
      </c>
      <c r="E241" s="327">
        <f>+SUMIF('AUX-NIV2'!I:I,'AUX-NIV3'!B241,'AUX-NIV2'!Q:Q)</f>
        <v>0</v>
      </c>
      <c r="F241" s="327">
        <f t="shared" si="89"/>
        <v>12009.351276736943</v>
      </c>
      <c r="G241" s="327">
        <f t="shared" si="90"/>
        <v>0</v>
      </c>
      <c r="H241" s="328" t="str">
        <f t="shared" si="115"/>
        <v>M</v>
      </c>
      <c r="I241" s="325" t="s">
        <v>621</v>
      </c>
      <c r="J241" s="329" t="str">
        <f>IF(B241&lt;&gt;"",+VLOOKUP(I241,Recursos!C:F,2,FALSE),"")</f>
        <v>MATERIALES VARIOS</v>
      </c>
      <c r="K241" s="330" t="str">
        <f>IF(B241&lt;&gt;"",+VLOOKUP(I241,Recursos!C:F,3,FALSE),"")</f>
        <v>GL</v>
      </c>
      <c r="L241" s="327">
        <f>IF(B241&lt;&gt;"",+VLOOKUP(I241,Recursos!C:F,4,FALSE),"")</f>
        <v>0.5</v>
      </c>
      <c r="M241" s="416"/>
      <c r="N241" s="416">
        <v>75</v>
      </c>
      <c r="O241" s="433">
        <f t="shared" si="116"/>
        <v>75</v>
      </c>
      <c r="P241" s="333">
        <f t="shared" si="100"/>
        <v>37.5</v>
      </c>
      <c r="Q241" s="327">
        <f t="shared" si="101"/>
        <v>0</v>
      </c>
      <c r="R241" s="334">
        <f t="shared" si="102"/>
        <v>0</v>
      </c>
      <c r="S241" s="335">
        <f t="shared" si="91"/>
        <v>3423.3956014122646</v>
      </c>
      <c r="T241" s="335">
        <f t="shared" si="92"/>
        <v>8548.4556753246743</v>
      </c>
      <c r="U241" s="336">
        <f t="shared" si="93"/>
        <v>37.5</v>
      </c>
      <c r="V241" s="336">
        <f t="shared" si="94"/>
        <v>0</v>
      </c>
      <c r="W241" s="336">
        <f t="shared" si="95"/>
        <v>0</v>
      </c>
      <c r="X241" s="336">
        <f t="shared" si="96"/>
        <v>0</v>
      </c>
      <c r="Y241" s="320"/>
      <c r="Z241" s="321" t="str">
        <f t="shared" si="103"/>
        <v>X-BASE03A</v>
      </c>
      <c r="AA241" s="321" t="str">
        <f t="shared" si="104"/>
        <v>X-BASE03E</v>
      </c>
      <c r="AB241" s="321" t="str">
        <f t="shared" si="105"/>
        <v>X-BASE03M</v>
      </c>
      <c r="AC241" s="321" t="str">
        <f t="shared" si="106"/>
        <v>X-BASE03T</v>
      </c>
      <c r="AD241" s="321" t="str">
        <f t="shared" si="107"/>
        <v>X-BASE03S</v>
      </c>
      <c r="AE241" s="321" t="str">
        <f t="shared" si="108"/>
        <v>X-BASE03X</v>
      </c>
      <c r="AF241" s="321" t="str">
        <f t="shared" si="109"/>
        <v>X-BASE03M</v>
      </c>
      <c r="AG241" s="321">
        <f t="shared" si="97"/>
        <v>12</v>
      </c>
      <c r="AH241" s="321"/>
      <c r="AI241" s="321" t="str">
        <f t="shared" si="110"/>
        <v>X-BASE03</v>
      </c>
      <c r="AJ241" s="320"/>
      <c r="AK241" s="322">
        <f t="shared" si="98"/>
        <v>230</v>
      </c>
      <c r="AL241" s="323">
        <f t="shared" si="111"/>
        <v>241</v>
      </c>
      <c r="AM241" s="322">
        <f t="shared" si="112"/>
        <v>12</v>
      </c>
      <c r="AN241" s="381">
        <f t="shared" si="99"/>
        <v>7</v>
      </c>
      <c r="AO241" s="322"/>
    </row>
    <row r="242" spans="2:41">
      <c r="B242" s="324" t="s">
        <v>1475</v>
      </c>
      <c r="C242" s="325" t="s">
        <v>1480</v>
      </c>
      <c r="D242" s="326" t="s">
        <v>1481</v>
      </c>
      <c r="E242" s="327">
        <f>+SUMIF('AUX-NIV2'!I:I,'AUX-NIV3'!B242,'AUX-NIV2'!Q:Q)</f>
        <v>0</v>
      </c>
      <c r="F242" s="327">
        <f t="shared" si="89"/>
        <v>15.320707817571034</v>
      </c>
      <c r="G242" s="327">
        <f t="shared" si="90"/>
        <v>0</v>
      </c>
      <c r="H242" s="328" t="str">
        <f t="shared" si="115"/>
        <v>A</v>
      </c>
      <c r="I242" s="325" t="s">
        <v>3312</v>
      </c>
      <c r="J242" s="329" t="str">
        <f>IF(B242&lt;&gt;"",+VLOOKUP(I242,Recursos!C:F,2,FALSE),"")</f>
        <v>CHOFER</v>
      </c>
      <c r="K242" s="330" t="str">
        <f>IF(B242&lt;&gt;"",+VLOOKUP(I242,Recursos!C:F,3,FALSE),"")</f>
        <v>hh</v>
      </c>
      <c r="L242" s="327">
        <f>IF(B242&lt;&gt;"",+VLOOKUP(I242,Recursos!C:F,4,FALSE),"")</f>
        <v>496.91595439275824</v>
      </c>
      <c r="M242" s="331"/>
      <c r="N242" s="331"/>
      <c r="O242" s="433">
        <f>+O243</f>
        <v>4.0000000000000001E-3</v>
      </c>
      <c r="P242" s="333">
        <f t="shared" si="100"/>
        <v>1.9876638175710331</v>
      </c>
      <c r="Q242" s="327">
        <f t="shared" si="101"/>
        <v>0</v>
      </c>
      <c r="R242" s="334">
        <f t="shared" si="102"/>
        <v>0</v>
      </c>
      <c r="S242" s="335">
        <f t="shared" si="91"/>
        <v>1.9876638175710331</v>
      </c>
      <c r="T242" s="335">
        <f t="shared" si="92"/>
        <v>13.333044000000001</v>
      </c>
      <c r="U242" s="336">
        <f t="shared" si="93"/>
        <v>0</v>
      </c>
      <c r="V242" s="336">
        <f t="shared" si="94"/>
        <v>0</v>
      </c>
      <c r="W242" s="336">
        <f t="shared" si="95"/>
        <v>0</v>
      </c>
      <c r="X242" s="336">
        <f t="shared" si="96"/>
        <v>0</v>
      </c>
      <c r="Y242" s="320"/>
      <c r="Z242" s="321" t="str">
        <f t="shared" si="103"/>
        <v>X-T0060A</v>
      </c>
      <c r="AA242" s="321" t="str">
        <f t="shared" si="104"/>
        <v>X-T0060E</v>
      </c>
      <c r="AB242" s="321" t="str">
        <f t="shared" si="105"/>
        <v>X-T0060M</v>
      </c>
      <c r="AC242" s="321" t="str">
        <f t="shared" si="106"/>
        <v>X-T0060T</v>
      </c>
      <c r="AD242" s="321" t="str">
        <f t="shared" si="107"/>
        <v>X-T0060S</v>
      </c>
      <c r="AE242" s="321" t="str">
        <f t="shared" si="108"/>
        <v>X-T0060X</v>
      </c>
      <c r="AF242" s="321" t="str">
        <f t="shared" si="109"/>
        <v>X-T0060A</v>
      </c>
      <c r="AG242" s="321">
        <f t="shared" si="97"/>
        <v>2</v>
      </c>
      <c r="AH242" s="321"/>
      <c r="AI242" s="321" t="str">
        <f t="shared" si="110"/>
        <v>X-T0060</v>
      </c>
      <c r="AJ242" s="320"/>
      <c r="AK242" s="322">
        <f t="shared" si="98"/>
        <v>242</v>
      </c>
      <c r="AL242" s="323">
        <f t="shared" si="111"/>
        <v>243</v>
      </c>
      <c r="AM242" s="322">
        <f t="shared" si="112"/>
        <v>1</v>
      </c>
      <c r="AN242" s="381">
        <f t="shared" si="99"/>
        <v>4.0000000000000001E-3</v>
      </c>
      <c r="AO242" s="322"/>
    </row>
    <row r="243" spans="2:41">
      <c r="B243" s="324" t="s">
        <v>1475</v>
      </c>
      <c r="C243" s="325" t="s">
        <v>1480</v>
      </c>
      <c r="D243" s="326" t="s">
        <v>1481</v>
      </c>
      <c r="E243" s="327">
        <f>+SUMIF('AUX-NIV2'!I:I,'AUX-NIV3'!B243,'AUX-NIV2'!Q:Q)</f>
        <v>0</v>
      </c>
      <c r="F243" s="327">
        <f t="shared" si="89"/>
        <v>15.320707817571034</v>
      </c>
      <c r="G243" s="327">
        <f t="shared" si="90"/>
        <v>0</v>
      </c>
      <c r="H243" s="328" t="str">
        <f t="shared" si="115"/>
        <v>E</v>
      </c>
      <c r="I243" s="325" t="s">
        <v>1555</v>
      </c>
      <c r="J243" s="329" t="str">
        <f>IF(B243&lt;&gt;"",+VLOOKUP(I243,Recursos!C:F,2,FALSE),"")</f>
        <v>CAMION VOLCADOR 6x4 CAP. 24 T=15 m3</v>
      </c>
      <c r="K243" s="330" t="str">
        <f>IF(B243&lt;&gt;"",+VLOOKUP(I243,Recursos!C:F,3,FALSE),"")</f>
        <v>HR</v>
      </c>
      <c r="L243" s="327">
        <f>IF(B243&lt;&gt;"",+VLOOKUP(I243,Recursos!C:F,4,FALSE),"")</f>
        <v>3333.261</v>
      </c>
      <c r="M243" s="331"/>
      <c r="N243" s="331">
        <v>250</v>
      </c>
      <c r="O243" s="433">
        <f>1/N243</f>
        <v>4.0000000000000001E-3</v>
      </c>
      <c r="P243" s="333">
        <f t="shared" si="100"/>
        <v>13.333044000000001</v>
      </c>
      <c r="Q243" s="327">
        <f t="shared" si="101"/>
        <v>0</v>
      </c>
      <c r="R243" s="334">
        <f t="shared" si="102"/>
        <v>0</v>
      </c>
      <c r="S243" s="335">
        <f t="shared" si="91"/>
        <v>1.9876638175710331</v>
      </c>
      <c r="T243" s="335">
        <f t="shared" si="92"/>
        <v>13.333044000000001</v>
      </c>
      <c r="U243" s="336">
        <f t="shared" si="93"/>
        <v>0</v>
      </c>
      <c r="V243" s="336">
        <f t="shared" si="94"/>
        <v>0</v>
      </c>
      <c r="W243" s="336">
        <f t="shared" si="95"/>
        <v>0</v>
      </c>
      <c r="X243" s="336">
        <f t="shared" si="96"/>
        <v>0</v>
      </c>
      <c r="Y243" s="320"/>
      <c r="Z243" s="321" t="str">
        <f t="shared" si="103"/>
        <v>X-T0060A</v>
      </c>
      <c r="AA243" s="321" t="str">
        <f t="shared" si="104"/>
        <v>X-T0060E</v>
      </c>
      <c r="AB243" s="321" t="str">
        <f t="shared" si="105"/>
        <v>X-T0060M</v>
      </c>
      <c r="AC243" s="321" t="str">
        <f t="shared" si="106"/>
        <v>X-T0060T</v>
      </c>
      <c r="AD243" s="321" t="str">
        <f t="shared" si="107"/>
        <v>X-T0060S</v>
      </c>
      <c r="AE243" s="321" t="str">
        <f t="shared" si="108"/>
        <v>X-T0060X</v>
      </c>
      <c r="AF243" s="321" t="str">
        <f t="shared" si="109"/>
        <v>X-T0060E</v>
      </c>
      <c r="AG243" s="321">
        <f t="shared" si="97"/>
        <v>2</v>
      </c>
      <c r="AH243" s="321"/>
      <c r="AI243" s="321" t="str">
        <f t="shared" si="110"/>
        <v>X-T0060</v>
      </c>
      <c r="AJ243" s="320"/>
      <c r="AK243" s="322">
        <f t="shared" si="98"/>
        <v>242</v>
      </c>
      <c r="AL243" s="323">
        <f t="shared" si="111"/>
        <v>243</v>
      </c>
      <c r="AM243" s="322">
        <f t="shared" si="112"/>
        <v>2</v>
      </c>
      <c r="AN243" s="381">
        <f t="shared" si="99"/>
        <v>4.0000000000000001E-3</v>
      </c>
      <c r="AO243" s="322"/>
    </row>
    <row r="244" spans="2:41">
      <c r="B244" s="325" t="s">
        <v>1476</v>
      </c>
      <c r="C244" s="325" t="s">
        <v>1482</v>
      </c>
      <c r="D244" s="326" t="s">
        <v>1411</v>
      </c>
      <c r="E244" s="327">
        <f>+SUMIF('AUX-NIV2'!I:I,'AUX-NIV3'!B244,'AUX-NIV2'!Q:Q)</f>
        <v>0</v>
      </c>
      <c r="F244" s="327">
        <f t="shared" si="89"/>
        <v>58.226361821805845</v>
      </c>
      <c r="G244" s="327">
        <f t="shared" si="90"/>
        <v>0</v>
      </c>
      <c r="H244" s="328" t="str">
        <f t="shared" si="115"/>
        <v>A</v>
      </c>
      <c r="I244" s="325" t="s">
        <v>1745</v>
      </c>
      <c r="J244" s="329" t="str">
        <f>IF(B244&lt;&gt;"",+VLOOKUP(I244,Recursos!C:F,2,FALSE),"")</f>
        <v>AYUDANTE</v>
      </c>
      <c r="K244" s="330" t="str">
        <f>IF(B244&lt;&gt;"",+VLOOKUP(I244,Recursos!C:F,3,FALSE),"")</f>
        <v>hh</v>
      </c>
      <c r="L244" s="327">
        <f>IF(B244&lt;&gt;"",+VLOOKUP(I244,Recursos!C:F,4,FALSE),"")</f>
        <v>422.48042769667234</v>
      </c>
      <c r="M244" s="416"/>
      <c r="N244" s="416"/>
      <c r="O244" s="433">
        <f>0.5*O245</f>
        <v>4.1666666666666666E-3</v>
      </c>
      <c r="P244" s="333">
        <f t="shared" si="100"/>
        <v>1.7603351154028013</v>
      </c>
      <c r="Q244" s="327">
        <f t="shared" si="101"/>
        <v>0</v>
      </c>
      <c r="R244" s="334">
        <f t="shared" si="102"/>
        <v>0</v>
      </c>
      <c r="S244" s="335">
        <f t="shared" si="91"/>
        <v>6.6025118218058481</v>
      </c>
      <c r="T244" s="335">
        <f t="shared" si="92"/>
        <v>51.623849999999997</v>
      </c>
      <c r="U244" s="336">
        <f t="shared" si="93"/>
        <v>0</v>
      </c>
      <c r="V244" s="336">
        <f t="shared" si="94"/>
        <v>0</v>
      </c>
      <c r="W244" s="336">
        <f t="shared" si="95"/>
        <v>0</v>
      </c>
      <c r="X244" s="336">
        <f t="shared" si="96"/>
        <v>0</v>
      </c>
      <c r="Y244" s="320"/>
      <c r="Z244" s="321" t="str">
        <f t="shared" si="103"/>
        <v>X-BAS.0051A</v>
      </c>
      <c r="AA244" s="321" t="str">
        <f t="shared" si="104"/>
        <v>X-BAS.0051E</v>
      </c>
      <c r="AB244" s="321" t="str">
        <f t="shared" si="105"/>
        <v>X-BAS.0051M</v>
      </c>
      <c r="AC244" s="321" t="str">
        <f t="shared" si="106"/>
        <v>X-BAS.0051T</v>
      </c>
      <c r="AD244" s="321" t="str">
        <f t="shared" si="107"/>
        <v>X-BAS.0051S</v>
      </c>
      <c r="AE244" s="321" t="str">
        <f t="shared" si="108"/>
        <v>X-BAS.0051X</v>
      </c>
      <c r="AF244" s="321" t="str">
        <f t="shared" si="109"/>
        <v>X-BAS.0051A</v>
      </c>
      <c r="AG244" s="321">
        <f t="shared" si="97"/>
        <v>3</v>
      </c>
      <c r="AH244" s="321"/>
      <c r="AI244" s="321" t="str">
        <f t="shared" si="110"/>
        <v>X-BAS.0051</v>
      </c>
      <c r="AJ244" s="320"/>
      <c r="AK244" s="322">
        <f t="shared" si="98"/>
        <v>244</v>
      </c>
      <c r="AL244" s="323">
        <f t="shared" si="111"/>
        <v>246</v>
      </c>
      <c r="AM244" s="322">
        <f t="shared" si="112"/>
        <v>1</v>
      </c>
      <c r="AN244" s="381">
        <f t="shared" si="99"/>
        <v>1.2500000000000001E-2</v>
      </c>
      <c r="AO244" s="322"/>
    </row>
    <row r="245" spans="2:41">
      <c r="B245" s="325" t="s">
        <v>1476</v>
      </c>
      <c r="C245" s="325" t="s">
        <v>1482</v>
      </c>
      <c r="D245" s="326" t="s">
        <v>1411</v>
      </c>
      <c r="E245" s="327">
        <f>+SUMIF('AUX-NIV2'!I:I,'AUX-NIV3'!B245,'AUX-NIV2'!Q:Q)</f>
        <v>0</v>
      </c>
      <c r="F245" s="327">
        <f t="shared" si="89"/>
        <v>58.226361821805845</v>
      </c>
      <c r="G245" s="327">
        <f t="shared" si="90"/>
        <v>0</v>
      </c>
      <c r="H245" s="328" t="str">
        <f t="shared" si="115"/>
        <v>A</v>
      </c>
      <c r="I245" s="325" t="s">
        <v>3311</v>
      </c>
      <c r="J245" s="329" t="str">
        <f>IF(B245&lt;&gt;"",+VLOOKUP(I245,Recursos!C:F,2,FALSE),"")</f>
        <v>OPER. EQUIPO</v>
      </c>
      <c r="K245" s="330" t="str">
        <f>IF(B245&lt;&gt;"",+VLOOKUP(I245,Recursos!C:F,3,FALSE),"")</f>
        <v>hh</v>
      </c>
      <c r="L245" s="327">
        <f>IF(B245&lt;&gt;"",+VLOOKUP(I245,Recursos!C:F,4,FALSE),"")</f>
        <v>581.06120476836554</v>
      </c>
      <c r="M245" s="416"/>
      <c r="N245" s="416"/>
      <c r="O245" s="433">
        <f>+O246</f>
        <v>8.3333333333333332E-3</v>
      </c>
      <c r="P245" s="333">
        <f t="shared" si="100"/>
        <v>4.8421767064030465</v>
      </c>
      <c r="Q245" s="327">
        <f t="shared" si="101"/>
        <v>0</v>
      </c>
      <c r="R245" s="334">
        <f t="shared" si="102"/>
        <v>0</v>
      </c>
      <c r="S245" s="335">
        <f t="shared" si="91"/>
        <v>6.6025118218058481</v>
      </c>
      <c r="T245" s="335">
        <f t="shared" si="92"/>
        <v>51.623849999999997</v>
      </c>
      <c r="U245" s="336">
        <f t="shared" si="93"/>
        <v>0</v>
      </c>
      <c r="V245" s="336">
        <f t="shared" si="94"/>
        <v>0</v>
      </c>
      <c r="W245" s="336">
        <f t="shared" si="95"/>
        <v>0</v>
      </c>
      <c r="X245" s="336">
        <f t="shared" si="96"/>
        <v>0</v>
      </c>
      <c r="Y245" s="320"/>
      <c r="Z245" s="321" t="str">
        <f t="shared" si="103"/>
        <v>X-BAS.0051A</v>
      </c>
      <c r="AA245" s="321" t="str">
        <f t="shared" si="104"/>
        <v>X-BAS.0051E</v>
      </c>
      <c r="AB245" s="321" t="str">
        <f t="shared" si="105"/>
        <v>X-BAS.0051M</v>
      </c>
      <c r="AC245" s="321" t="str">
        <f t="shared" si="106"/>
        <v>X-BAS.0051T</v>
      </c>
      <c r="AD245" s="321" t="str">
        <f t="shared" si="107"/>
        <v>X-BAS.0051S</v>
      </c>
      <c r="AE245" s="321" t="str">
        <f t="shared" si="108"/>
        <v>X-BAS.0051X</v>
      </c>
      <c r="AF245" s="321" t="str">
        <f t="shared" si="109"/>
        <v>X-BAS.0051A</v>
      </c>
      <c r="AG245" s="321">
        <f t="shared" si="97"/>
        <v>3</v>
      </c>
      <c r="AH245" s="321"/>
      <c r="AI245" s="321" t="str">
        <f t="shared" si="110"/>
        <v>X-BAS.0051</v>
      </c>
      <c r="AJ245" s="320"/>
      <c r="AK245" s="322">
        <f t="shared" si="98"/>
        <v>244</v>
      </c>
      <c r="AL245" s="323">
        <f t="shared" si="111"/>
        <v>246</v>
      </c>
      <c r="AM245" s="322">
        <f t="shared" si="112"/>
        <v>2</v>
      </c>
      <c r="AN245" s="381">
        <f t="shared" si="99"/>
        <v>1.2500000000000001E-2</v>
      </c>
      <c r="AO245" s="322"/>
    </row>
    <row r="246" spans="2:41">
      <c r="B246" s="325" t="s">
        <v>1476</v>
      </c>
      <c r="C246" s="325" t="s">
        <v>1482</v>
      </c>
      <c r="D246" s="326" t="s">
        <v>1411</v>
      </c>
      <c r="E246" s="327">
        <f>+SUMIF('AUX-NIV2'!I:I,'AUX-NIV3'!B246,'AUX-NIV2'!Q:Q)</f>
        <v>0</v>
      </c>
      <c r="F246" s="327">
        <f t="shared" si="89"/>
        <v>58.226361821805845</v>
      </c>
      <c r="G246" s="327">
        <f t="shared" si="90"/>
        <v>0</v>
      </c>
      <c r="H246" s="328" t="str">
        <f t="shared" si="115"/>
        <v>E</v>
      </c>
      <c r="I246" s="325" t="s">
        <v>1547</v>
      </c>
      <c r="J246" s="329" t="str">
        <f>IF(B246&lt;&gt;"",+VLOOKUP(I246,Recursos!C:F,2,FALSE),"")</f>
        <v>MOTONIVELADORA 14" (21 T)</v>
      </c>
      <c r="K246" s="330" t="str">
        <f>IF(B246&lt;&gt;"",+VLOOKUP(I246,Recursos!C:F,3,FALSE),"")</f>
        <v>HR</v>
      </c>
      <c r="L246" s="327">
        <f>IF(B246&lt;&gt;"",+VLOOKUP(I246,Recursos!C:F,4,FALSE),"")</f>
        <v>6194.8620000000001</v>
      </c>
      <c r="M246" s="416"/>
      <c r="N246" s="416">
        <v>120</v>
      </c>
      <c r="O246" s="433">
        <f>1/N246</f>
        <v>8.3333333333333332E-3</v>
      </c>
      <c r="P246" s="333">
        <f t="shared" si="100"/>
        <v>51.623849999999997</v>
      </c>
      <c r="Q246" s="327">
        <f t="shared" si="101"/>
        <v>0</v>
      </c>
      <c r="R246" s="334">
        <f t="shared" si="102"/>
        <v>0</v>
      </c>
      <c r="S246" s="335">
        <f t="shared" si="91"/>
        <v>6.6025118218058481</v>
      </c>
      <c r="T246" s="335">
        <f t="shared" si="92"/>
        <v>51.623849999999997</v>
      </c>
      <c r="U246" s="336">
        <f t="shared" si="93"/>
        <v>0</v>
      </c>
      <c r="V246" s="336">
        <f t="shared" si="94"/>
        <v>0</v>
      </c>
      <c r="W246" s="336">
        <f t="shared" si="95"/>
        <v>0</v>
      </c>
      <c r="X246" s="336">
        <f t="shared" si="96"/>
        <v>0</v>
      </c>
      <c r="Y246" s="320"/>
      <c r="Z246" s="321" t="str">
        <f t="shared" si="103"/>
        <v>X-BAS.0051A</v>
      </c>
      <c r="AA246" s="321" t="str">
        <f t="shared" si="104"/>
        <v>X-BAS.0051E</v>
      </c>
      <c r="AB246" s="321" t="str">
        <f t="shared" si="105"/>
        <v>X-BAS.0051M</v>
      </c>
      <c r="AC246" s="321" t="str">
        <f t="shared" si="106"/>
        <v>X-BAS.0051T</v>
      </c>
      <c r="AD246" s="321" t="str">
        <f t="shared" si="107"/>
        <v>X-BAS.0051S</v>
      </c>
      <c r="AE246" s="321" t="str">
        <f t="shared" si="108"/>
        <v>X-BAS.0051X</v>
      </c>
      <c r="AF246" s="321" t="str">
        <f t="shared" si="109"/>
        <v>X-BAS.0051E</v>
      </c>
      <c r="AG246" s="321">
        <f t="shared" si="97"/>
        <v>3</v>
      </c>
      <c r="AH246" s="321"/>
      <c r="AI246" s="321" t="str">
        <f t="shared" si="110"/>
        <v>X-BAS.0051</v>
      </c>
      <c r="AJ246" s="320"/>
      <c r="AK246" s="322">
        <f t="shared" si="98"/>
        <v>244</v>
      </c>
      <c r="AL246" s="323">
        <f t="shared" si="111"/>
        <v>246</v>
      </c>
      <c r="AM246" s="322">
        <f t="shared" si="112"/>
        <v>3</v>
      </c>
      <c r="AN246" s="381">
        <f t="shared" si="99"/>
        <v>1.2500000000000001E-2</v>
      </c>
      <c r="AO246" s="322"/>
    </row>
    <row r="247" spans="2:41">
      <c r="B247" s="325" t="s">
        <v>1477</v>
      </c>
      <c r="C247" s="325" t="s">
        <v>1483</v>
      </c>
      <c r="D247" s="326" t="s">
        <v>1160</v>
      </c>
      <c r="E247" s="327">
        <f>+SUMIF('AUX-NIV2'!I:I,'AUX-NIV3'!B247,'AUX-NIV2'!Q:Q)</f>
        <v>0</v>
      </c>
      <c r="F247" s="327">
        <f t="shared" si="89"/>
        <v>69.871634186167029</v>
      </c>
      <c r="G247" s="327">
        <f t="shared" si="90"/>
        <v>0</v>
      </c>
      <c r="H247" s="328" t="str">
        <f t="shared" si="115"/>
        <v>A</v>
      </c>
      <c r="I247" s="325" t="s">
        <v>1745</v>
      </c>
      <c r="J247" s="329" t="str">
        <f>IF(B247&lt;&gt;"",+VLOOKUP(I247,Recursos!C:F,2,FALSE),"")</f>
        <v>AYUDANTE</v>
      </c>
      <c r="K247" s="330" t="str">
        <f>IF(B247&lt;&gt;"",+VLOOKUP(I247,Recursos!C:F,3,FALSE),"")</f>
        <v>hh</v>
      </c>
      <c r="L247" s="327">
        <f>IF(B247&lt;&gt;"",+VLOOKUP(I247,Recursos!C:F,4,FALSE),"")</f>
        <v>422.48042769667234</v>
      </c>
      <c r="M247" s="331"/>
      <c r="N247" s="331"/>
      <c r="O247" s="433">
        <f>0.5*O248</f>
        <v>5.0000000000000001E-3</v>
      </c>
      <c r="P247" s="333">
        <f t="shared" si="100"/>
        <v>2.1124021384833616</v>
      </c>
      <c r="Q247" s="327">
        <f t="shared" si="101"/>
        <v>0</v>
      </c>
      <c r="R247" s="334">
        <f t="shared" si="102"/>
        <v>0</v>
      </c>
      <c r="S247" s="335">
        <f t="shared" si="91"/>
        <v>7.9230141861670162</v>
      </c>
      <c r="T247" s="335">
        <f t="shared" si="92"/>
        <v>61.948620000000005</v>
      </c>
      <c r="U247" s="336">
        <f t="shared" si="93"/>
        <v>0</v>
      </c>
      <c r="V247" s="336">
        <f t="shared" si="94"/>
        <v>0</v>
      </c>
      <c r="W247" s="336">
        <f t="shared" si="95"/>
        <v>0</v>
      </c>
      <c r="X247" s="336">
        <f t="shared" si="96"/>
        <v>0</v>
      </c>
      <c r="Y247" s="320"/>
      <c r="Z247" s="321" t="str">
        <f t="shared" si="103"/>
        <v>X-BAS.0041A</v>
      </c>
      <c r="AA247" s="321" t="str">
        <f t="shared" si="104"/>
        <v>X-BAS.0041E</v>
      </c>
      <c r="AB247" s="321" t="str">
        <f t="shared" si="105"/>
        <v>X-BAS.0041M</v>
      </c>
      <c r="AC247" s="321" t="str">
        <f t="shared" si="106"/>
        <v>X-BAS.0041T</v>
      </c>
      <c r="AD247" s="321" t="str">
        <f t="shared" si="107"/>
        <v>X-BAS.0041S</v>
      </c>
      <c r="AE247" s="321" t="str">
        <f t="shared" si="108"/>
        <v>X-BAS.0041X</v>
      </c>
      <c r="AF247" s="321" t="str">
        <f t="shared" si="109"/>
        <v>X-BAS.0041A</v>
      </c>
      <c r="AG247" s="321">
        <f t="shared" si="97"/>
        <v>3</v>
      </c>
      <c r="AH247" s="321"/>
      <c r="AI247" s="321" t="str">
        <f t="shared" si="110"/>
        <v>X-BAS.0041</v>
      </c>
      <c r="AJ247" s="320"/>
      <c r="AK247" s="322">
        <f t="shared" si="98"/>
        <v>247</v>
      </c>
      <c r="AL247" s="323">
        <f t="shared" si="111"/>
        <v>249</v>
      </c>
      <c r="AM247" s="322">
        <f t="shared" si="112"/>
        <v>1</v>
      </c>
      <c r="AN247" s="381">
        <f t="shared" si="99"/>
        <v>1.4999999999999999E-2</v>
      </c>
      <c r="AO247" s="322"/>
    </row>
    <row r="248" spans="2:41">
      <c r="B248" s="325" t="s">
        <v>1477</v>
      </c>
      <c r="C248" s="325" t="s">
        <v>1483</v>
      </c>
      <c r="D248" s="326" t="s">
        <v>1160</v>
      </c>
      <c r="E248" s="327">
        <f>+SUMIF('AUX-NIV2'!I:I,'AUX-NIV3'!B248,'AUX-NIV2'!Q:Q)</f>
        <v>0</v>
      </c>
      <c r="F248" s="327">
        <f t="shared" si="89"/>
        <v>69.871634186167029</v>
      </c>
      <c r="G248" s="327">
        <f t="shared" si="90"/>
        <v>0</v>
      </c>
      <c r="H248" s="328" t="str">
        <f t="shared" si="115"/>
        <v>A</v>
      </c>
      <c r="I248" s="325" t="s">
        <v>3311</v>
      </c>
      <c r="J248" s="329" t="str">
        <f>IF(B248&lt;&gt;"",+VLOOKUP(I248,Recursos!C:F,2,FALSE),"")</f>
        <v>OPER. EQUIPO</v>
      </c>
      <c r="K248" s="330" t="str">
        <f>IF(B248&lt;&gt;"",+VLOOKUP(I248,Recursos!C:F,3,FALSE),"")</f>
        <v>hh</v>
      </c>
      <c r="L248" s="327">
        <f>IF(B248&lt;&gt;"",+VLOOKUP(I248,Recursos!C:F,4,FALSE),"")</f>
        <v>581.06120476836554</v>
      </c>
      <c r="M248" s="331"/>
      <c r="N248" s="331"/>
      <c r="O248" s="433">
        <f>+O249</f>
        <v>0.01</v>
      </c>
      <c r="P248" s="333">
        <f t="shared" si="100"/>
        <v>5.8106120476836551</v>
      </c>
      <c r="Q248" s="327">
        <f t="shared" si="101"/>
        <v>0</v>
      </c>
      <c r="R248" s="334">
        <f t="shared" si="102"/>
        <v>0</v>
      </c>
      <c r="S248" s="335">
        <f t="shared" si="91"/>
        <v>7.9230141861670162</v>
      </c>
      <c r="T248" s="335">
        <f t="shared" si="92"/>
        <v>61.948620000000005</v>
      </c>
      <c r="U248" s="336">
        <f t="shared" si="93"/>
        <v>0</v>
      </c>
      <c r="V248" s="336">
        <f t="shared" si="94"/>
        <v>0</v>
      </c>
      <c r="W248" s="336">
        <f t="shared" si="95"/>
        <v>0</v>
      </c>
      <c r="X248" s="336">
        <f t="shared" si="96"/>
        <v>0</v>
      </c>
      <c r="Y248" s="320"/>
      <c r="Z248" s="321" t="str">
        <f t="shared" si="103"/>
        <v>X-BAS.0041A</v>
      </c>
      <c r="AA248" s="321" t="str">
        <f t="shared" si="104"/>
        <v>X-BAS.0041E</v>
      </c>
      <c r="AB248" s="321" t="str">
        <f t="shared" si="105"/>
        <v>X-BAS.0041M</v>
      </c>
      <c r="AC248" s="321" t="str">
        <f t="shared" si="106"/>
        <v>X-BAS.0041T</v>
      </c>
      <c r="AD248" s="321" t="str">
        <f t="shared" si="107"/>
        <v>X-BAS.0041S</v>
      </c>
      <c r="AE248" s="321" t="str">
        <f t="shared" si="108"/>
        <v>X-BAS.0041X</v>
      </c>
      <c r="AF248" s="321" t="str">
        <f t="shared" si="109"/>
        <v>X-BAS.0041A</v>
      </c>
      <c r="AG248" s="321">
        <f t="shared" si="97"/>
        <v>3</v>
      </c>
      <c r="AH248" s="321"/>
      <c r="AI248" s="321" t="str">
        <f t="shared" si="110"/>
        <v>X-BAS.0041</v>
      </c>
      <c r="AJ248" s="320"/>
      <c r="AK248" s="322">
        <f t="shared" si="98"/>
        <v>247</v>
      </c>
      <c r="AL248" s="323">
        <f t="shared" si="111"/>
        <v>249</v>
      </c>
      <c r="AM248" s="322">
        <f t="shared" si="112"/>
        <v>2</v>
      </c>
      <c r="AN248" s="381">
        <f t="shared" si="99"/>
        <v>1.4999999999999999E-2</v>
      </c>
      <c r="AO248" s="322"/>
    </row>
    <row r="249" spans="2:41">
      <c r="B249" s="325" t="s">
        <v>1477</v>
      </c>
      <c r="C249" s="325" t="s">
        <v>1483</v>
      </c>
      <c r="D249" s="326" t="s">
        <v>1160</v>
      </c>
      <c r="E249" s="327">
        <f>+SUMIF('AUX-NIV2'!I:I,'AUX-NIV3'!B249,'AUX-NIV2'!Q:Q)</f>
        <v>0</v>
      </c>
      <c r="F249" s="327">
        <f t="shared" si="89"/>
        <v>69.871634186167029</v>
      </c>
      <c r="G249" s="327">
        <f t="shared" si="90"/>
        <v>0</v>
      </c>
      <c r="H249" s="328" t="str">
        <f t="shared" si="115"/>
        <v>E</v>
      </c>
      <c r="I249" s="325" t="s">
        <v>1547</v>
      </c>
      <c r="J249" s="329" t="str">
        <f>IF(B249&lt;&gt;"",+VLOOKUP(I249,Recursos!C:F,2,FALSE),"")</f>
        <v>MOTONIVELADORA 14" (21 T)</v>
      </c>
      <c r="K249" s="330" t="str">
        <f>IF(B249&lt;&gt;"",+VLOOKUP(I249,Recursos!C:F,3,FALSE),"")</f>
        <v>HR</v>
      </c>
      <c r="L249" s="327">
        <f>IF(B249&lt;&gt;"",+VLOOKUP(I249,Recursos!C:F,4,FALSE),"")</f>
        <v>6194.8620000000001</v>
      </c>
      <c r="M249" s="331"/>
      <c r="N249" s="331">
        <v>100</v>
      </c>
      <c r="O249" s="433">
        <f>1/N249</f>
        <v>0.01</v>
      </c>
      <c r="P249" s="333">
        <f t="shared" si="100"/>
        <v>61.948620000000005</v>
      </c>
      <c r="Q249" s="327">
        <f t="shared" si="101"/>
        <v>0</v>
      </c>
      <c r="R249" s="334">
        <f t="shared" si="102"/>
        <v>0</v>
      </c>
      <c r="S249" s="335">
        <f t="shared" si="91"/>
        <v>7.9230141861670162</v>
      </c>
      <c r="T249" s="335">
        <f t="shared" si="92"/>
        <v>61.948620000000005</v>
      </c>
      <c r="U249" s="336">
        <f t="shared" si="93"/>
        <v>0</v>
      </c>
      <c r="V249" s="336">
        <f t="shared" si="94"/>
        <v>0</v>
      </c>
      <c r="W249" s="336">
        <f t="shared" si="95"/>
        <v>0</v>
      </c>
      <c r="X249" s="336">
        <f t="shared" si="96"/>
        <v>0</v>
      </c>
      <c r="Y249" s="320"/>
      <c r="Z249" s="321" t="str">
        <f t="shared" si="103"/>
        <v>X-BAS.0041A</v>
      </c>
      <c r="AA249" s="321" t="str">
        <f t="shared" si="104"/>
        <v>X-BAS.0041E</v>
      </c>
      <c r="AB249" s="321" t="str">
        <f t="shared" si="105"/>
        <v>X-BAS.0041M</v>
      </c>
      <c r="AC249" s="321" t="str">
        <f t="shared" si="106"/>
        <v>X-BAS.0041T</v>
      </c>
      <c r="AD249" s="321" t="str">
        <f t="shared" si="107"/>
        <v>X-BAS.0041S</v>
      </c>
      <c r="AE249" s="321" t="str">
        <f t="shared" si="108"/>
        <v>X-BAS.0041X</v>
      </c>
      <c r="AF249" s="321" t="str">
        <f t="shared" si="109"/>
        <v>X-BAS.0041E</v>
      </c>
      <c r="AG249" s="321">
        <f t="shared" si="97"/>
        <v>3</v>
      </c>
      <c r="AH249" s="321"/>
      <c r="AI249" s="321" t="str">
        <f t="shared" si="110"/>
        <v>X-BAS.0041</v>
      </c>
      <c r="AJ249" s="320"/>
      <c r="AK249" s="322">
        <f t="shared" si="98"/>
        <v>247</v>
      </c>
      <c r="AL249" s="323">
        <f t="shared" si="111"/>
        <v>249</v>
      </c>
      <c r="AM249" s="322">
        <f t="shared" si="112"/>
        <v>3</v>
      </c>
      <c r="AN249" s="381">
        <f t="shared" si="99"/>
        <v>1.4999999999999999E-2</v>
      </c>
      <c r="AO249" s="322"/>
    </row>
    <row r="250" spans="2:41">
      <c r="B250" s="324" t="s">
        <v>1478</v>
      </c>
      <c r="C250" s="325" t="s">
        <v>1484</v>
      </c>
      <c r="D250" s="326" t="s">
        <v>1160</v>
      </c>
      <c r="E250" s="327">
        <f>+SUMIF('AUX-NIV2'!I:I,'AUX-NIV3'!B250,'AUX-NIV2'!Q:Q)</f>
        <v>0</v>
      </c>
      <c r="F250" s="327">
        <f t="shared" si="89"/>
        <v>89.980045405812973</v>
      </c>
      <c r="G250" s="327">
        <f t="shared" si="90"/>
        <v>0</v>
      </c>
      <c r="H250" s="328" t="str">
        <f t="shared" si="115"/>
        <v>A</v>
      </c>
      <c r="I250" s="325" t="s">
        <v>1745</v>
      </c>
      <c r="J250" s="329" t="str">
        <f>IF(B250&lt;&gt;"",+VLOOKUP(I250,Recursos!C:F,2,FALSE),"")</f>
        <v>AYUDANTE</v>
      </c>
      <c r="K250" s="330" t="str">
        <f>IF(B250&lt;&gt;"",+VLOOKUP(I250,Recursos!C:F,3,FALSE),"")</f>
        <v>hh</v>
      </c>
      <c r="L250" s="327">
        <f>IF(B250&lt;&gt;"",+VLOOKUP(I250,Recursos!C:F,4,FALSE),"")</f>
        <v>422.48042769667234</v>
      </c>
      <c r="M250" s="416"/>
      <c r="N250" s="416"/>
      <c r="O250" s="433">
        <f>+O251</f>
        <v>1.2500000000000001E-2</v>
      </c>
      <c r="P250" s="333">
        <f t="shared" si="100"/>
        <v>5.2810053462084046</v>
      </c>
      <c r="Q250" s="327">
        <f t="shared" si="101"/>
        <v>0</v>
      </c>
      <c r="R250" s="334">
        <f t="shared" si="102"/>
        <v>0</v>
      </c>
      <c r="S250" s="335">
        <f t="shared" si="91"/>
        <v>12.544270405812973</v>
      </c>
      <c r="T250" s="335">
        <f t="shared" si="92"/>
        <v>77.435775000000007</v>
      </c>
      <c r="U250" s="336">
        <f t="shared" si="93"/>
        <v>0</v>
      </c>
      <c r="V250" s="336">
        <f t="shared" si="94"/>
        <v>0</v>
      </c>
      <c r="W250" s="336">
        <f t="shared" si="95"/>
        <v>0</v>
      </c>
      <c r="X250" s="336">
        <f t="shared" si="96"/>
        <v>0</v>
      </c>
      <c r="Y250" s="320"/>
      <c r="Z250" s="321" t="str">
        <f t="shared" si="103"/>
        <v>X-BAS.0061A</v>
      </c>
      <c r="AA250" s="321" t="str">
        <f t="shared" si="104"/>
        <v>X-BAS.0061E</v>
      </c>
      <c r="AB250" s="321" t="str">
        <f t="shared" si="105"/>
        <v>X-BAS.0061M</v>
      </c>
      <c r="AC250" s="321" t="str">
        <f t="shared" si="106"/>
        <v>X-BAS.0061T</v>
      </c>
      <c r="AD250" s="321" t="str">
        <f t="shared" si="107"/>
        <v>X-BAS.0061S</v>
      </c>
      <c r="AE250" s="321" t="str">
        <f t="shared" si="108"/>
        <v>X-BAS.0061X</v>
      </c>
      <c r="AF250" s="321" t="str">
        <f t="shared" si="109"/>
        <v>X-BAS.0061A</v>
      </c>
      <c r="AG250" s="321">
        <f t="shared" si="97"/>
        <v>3</v>
      </c>
      <c r="AH250" s="321"/>
      <c r="AI250" s="321" t="str">
        <f t="shared" si="110"/>
        <v>X-BAS.0061</v>
      </c>
      <c r="AJ250" s="320"/>
      <c r="AK250" s="322">
        <f t="shared" si="98"/>
        <v>250</v>
      </c>
      <c r="AL250" s="323">
        <f t="shared" si="111"/>
        <v>252</v>
      </c>
      <c r="AM250" s="322">
        <f t="shared" si="112"/>
        <v>1</v>
      </c>
      <c r="AN250" s="381">
        <f t="shared" si="99"/>
        <v>2.5000000000000001E-2</v>
      </c>
      <c r="AO250" s="322"/>
    </row>
    <row r="251" spans="2:41">
      <c r="B251" s="324" t="s">
        <v>1478</v>
      </c>
      <c r="C251" s="325" t="s">
        <v>1484</v>
      </c>
      <c r="D251" s="326" t="s">
        <v>1160</v>
      </c>
      <c r="E251" s="327">
        <f>+SUMIF('AUX-NIV2'!I:I,'AUX-NIV3'!B251,'AUX-NIV2'!Q:Q)</f>
        <v>0</v>
      </c>
      <c r="F251" s="327">
        <f t="shared" si="89"/>
        <v>89.980045405812973</v>
      </c>
      <c r="G251" s="327">
        <f t="shared" si="90"/>
        <v>0</v>
      </c>
      <c r="H251" s="328" t="str">
        <f t="shared" si="115"/>
        <v>A</v>
      </c>
      <c r="I251" s="325" t="s">
        <v>3311</v>
      </c>
      <c r="J251" s="329" t="str">
        <f>IF(B251&lt;&gt;"",+VLOOKUP(I251,Recursos!C:F,2,FALSE),"")</f>
        <v>OPER. EQUIPO</v>
      </c>
      <c r="K251" s="330" t="str">
        <f>IF(B251&lt;&gt;"",+VLOOKUP(I251,Recursos!C:F,3,FALSE),"")</f>
        <v>hh</v>
      </c>
      <c r="L251" s="327">
        <f>IF(B251&lt;&gt;"",+VLOOKUP(I251,Recursos!C:F,4,FALSE),"")</f>
        <v>581.06120476836554</v>
      </c>
      <c r="M251" s="416"/>
      <c r="N251" s="416"/>
      <c r="O251" s="433">
        <f>+O252</f>
        <v>1.2500000000000001E-2</v>
      </c>
      <c r="P251" s="333">
        <f t="shared" si="100"/>
        <v>7.2632650596045698</v>
      </c>
      <c r="Q251" s="327">
        <f t="shared" si="101"/>
        <v>0</v>
      </c>
      <c r="R251" s="334">
        <f t="shared" si="102"/>
        <v>0</v>
      </c>
      <c r="S251" s="335">
        <f t="shared" si="91"/>
        <v>12.544270405812973</v>
      </c>
      <c r="T251" s="335">
        <f t="shared" si="92"/>
        <v>77.435775000000007</v>
      </c>
      <c r="U251" s="336">
        <f t="shared" si="93"/>
        <v>0</v>
      </c>
      <c r="V251" s="336">
        <f t="shared" si="94"/>
        <v>0</v>
      </c>
      <c r="W251" s="336">
        <f t="shared" si="95"/>
        <v>0</v>
      </c>
      <c r="X251" s="336">
        <f t="shared" si="96"/>
        <v>0</v>
      </c>
      <c r="Y251" s="320"/>
      <c r="Z251" s="321" t="str">
        <f t="shared" si="103"/>
        <v>X-BAS.0061A</v>
      </c>
      <c r="AA251" s="321" t="str">
        <f t="shared" si="104"/>
        <v>X-BAS.0061E</v>
      </c>
      <c r="AB251" s="321" t="str">
        <f t="shared" si="105"/>
        <v>X-BAS.0061M</v>
      </c>
      <c r="AC251" s="321" t="str">
        <f t="shared" si="106"/>
        <v>X-BAS.0061T</v>
      </c>
      <c r="AD251" s="321" t="str">
        <f t="shared" si="107"/>
        <v>X-BAS.0061S</v>
      </c>
      <c r="AE251" s="321" t="str">
        <f t="shared" si="108"/>
        <v>X-BAS.0061X</v>
      </c>
      <c r="AF251" s="321" t="str">
        <f t="shared" si="109"/>
        <v>X-BAS.0061A</v>
      </c>
      <c r="AG251" s="321">
        <f t="shared" si="97"/>
        <v>3</v>
      </c>
      <c r="AH251" s="321"/>
      <c r="AI251" s="321" t="str">
        <f t="shared" si="110"/>
        <v>X-BAS.0061</v>
      </c>
      <c r="AJ251" s="320"/>
      <c r="AK251" s="322">
        <f t="shared" si="98"/>
        <v>250</v>
      </c>
      <c r="AL251" s="323">
        <f t="shared" si="111"/>
        <v>252</v>
      </c>
      <c r="AM251" s="322">
        <f t="shared" si="112"/>
        <v>2</v>
      </c>
      <c r="AN251" s="381">
        <f t="shared" si="99"/>
        <v>2.5000000000000001E-2</v>
      </c>
      <c r="AO251" s="322"/>
    </row>
    <row r="252" spans="2:41">
      <c r="B252" s="324" t="s">
        <v>1478</v>
      </c>
      <c r="C252" s="325" t="s">
        <v>1484</v>
      </c>
      <c r="D252" s="326" t="s">
        <v>1160</v>
      </c>
      <c r="E252" s="327">
        <f>+SUMIF('AUX-NIV2'!I:I,'AUX-NIV3'!B252,'AUX-NIV2'!Q:Q)</f>
        <v>0</v>
      </c>
      <c r="F252" s="327">
        <f t="shared" si="89"/>
        <v>89.980045405812973</v>
      </c>
      <c r="G252" s="327">
        <f t="shared" si="90"/>
        <v>0</v>
      </c>
      <c r="H252" s="328" t="str">
        <f t="shared" si="115"/>
        <v>E</v>
      </c>
      <c r="I252" s="325" t="s">
        <v>1547</v>
      </c>
      <c r="J252" s="329" t="str">
        <f>IF(B252&lt;&gt;"",+VLOOKUP(I252,Recursos!C:F,2,FALSE),"")</f>
        <v>MOTONIVELADORA 14" (21 T)</v>
      </c>
      <c r="K252" s="330" t="str">
        <f>IF(B252&lt;&gt;"",+VLOOKUP(I252,Recursos!C:F,3,FALSE),"")</f>
        <v>HR</v>
      </c>
      <c r="L252" s="327">
        <f>IF(B252&lt;&gt;"",+VLOOKUP(I252,Recursos!C:F,4,FALSE),"")</f>
        <v>6194.8620000000001</v>
      </c>
      <c r="M252" s="416"/>
      <c r="N252" s="416">
        <v>80</v>
      </c>
      <c r="O252" s="433">
        <f>1/N252</f>
        <v>1.2500000000000001E-2</v>
      </c>
      <c r="P252" s="333">
        <f t="shared" si="100"/>
        <v>77.435775000000007</v>
      </c>
      <c r="Q252" s="327">
        <f t="shared" si="101"/>
        <v>0</v>
      </c>
      <c r="R252" s="334">
        <f t="shared" si="102"/>
        <v>0</v>
      </c>
      <c r="S252" s="335">
        <f t="shared" si="91"/>
        <v>12.544270405812973</v>
      </c>
      <c r="T252" s="335">
        <f t="shared" si="92"/>
        <v>77.435775000000007</v>
      </c>
      <c r="U252" s="336">
        <f t="shared" si="93"/>
        <v>0</v>
      </c>
      <c r="V252" s="336">
        <f t="shared" si="94"/>
        <v>0</v>
      </c>
      <c r="W252" s="336">
        <f t="shared" si="95"/>
        <v>0</v>
      </c>
      <c r="X252" s="336">
        <f t="shared" si="96"/>
        <v>0</v>
      </c>
      <c r="Y252" s="320"/>
      <c r="Z252" s="321" t="str">
        <f t="shared" si="103"/>
        <v>X-BAS.0061A</v>
      </c>
      <c r="AA252" s="321" t="str">
        <f t="shared" si="104"/>
        <v>X-BAS.0061E</v>
      </c>
      <c r="AB252" s="321" t="str">
        <f t="shared" si="105"/>
        <v>X-BAS.0061M</v>
      </c>
      <c r="AC252" s="321" t="str">
        <f t="shared" si="106"/>
        <v>X-BAS.0061T</v>
      </c>
      <c r="AD252" s="321" t="str">
        <f t="shared" si="107"/>
        <v>X-BAS.0061S</v>
      </c>
      <c r="AE252" s="321" t="str">
        <f t="shared" si="108"/>
        <v>X-BAS.0061X</v>
      </c>
      <c r="AF252" s="321" t="str">
        <f t="shared" si="109"/>
        <v>X-BAS.0061E</v>
      </c>
      <c r="AG252" s="321">
        <f t="shared" si="97"/>
        <v>3</v>
      </c>
      <c r="AH252" s="321"/>
      <c r="AI252" s="321" t="str">
        <f t="shared" si="110"/>
        <v>X-BAS.0061</v>
      </c>
      <c r="AJ252" s="320"/>
      <c r="AK252" s="322">
        <f t="shared" si="98"/>
        <v>250</v>
      </c>
      <c r="AL252" s="323">
        <f t="shared" si="111"/>
        <v>252</v>
      </c>
      <c r="AM252" s="322">
        <f t="shared" si="112"/>
        <v>3</v>
      </c>
      <c r="AN252" s="381">
        <f t="shared" si="99"/>
        <v>2.5000000000000001E-2</v>
      </c>
      <c r="AO252" s="322"/>
    </row>
    <row r="253" spans="2:41">
      <c r="B253" s="324" t="s">
        <v>1479</v>
      </c>
      <c r="C253" s="325" t="s">
        <v>1485</v>
      </c>
      <c r="D253" s="326" t="s">
        <v>1160</v>
      </c>
      <c r="E253" s="327">
        <f>+SUMIF('AUX-NIV2'!I:I,'AUX-NIV3'!B253,'AUX-NIV2'!Q:Q)</f>
        <v>0</v>
      </c>
      <c r="F253" s="327">
        <f t="shared" si="89"/>
        <v>42.171711897422377</v>
      </c>
      <c r="G253" s="327">
        <f t="shared" si="90"/>
        <v>0</v>
      </c>
      <c r="H253" s="328" t="str">
        <f t="shared" si="115"/>
        <v>A</v>
      </c>
      <c r="I253" s="325" t="s">
        <v>3311</v>
      </c>
      <c r="J253" s="329" t="str">
        <f>IF(B253&lt;&gt;"",+VLOOKUP(I253,Recursos!C:F,2,FALSE),"")</f>
        <v>OPER. EQUIPO</v>
      </c>
      <c r="K253" s="330" t="str">
        <f>IF(B253&lt;&gt;"",+VLOOKUP(I253,Recursos!C:F,3,FALSE),"")</f>
        <v>hh</v>
      </c>
      <c r="L253" s="327">
        <f>IF(B253&lt;&gt;"",+VLOOKUP(I253,Recursos!C:F,4,FALSE),"")</f>
        <v>581.06120476836554</v>
      </c>
      <c r="M253" s="331"/>
      <c r="N253" s="331"/>
      <c r="O253" s="433">
        <f>+O256</f>
        <v>3.1250000000000002E-3</v>
      </c>
      <c r="P253" s="333">
        <f t="shared" si="100"/>
        <v>1.8158162649011425</v>
      </c>
      <c r="Q253" s="327">
        <f t="shared" si="101"/>
        <v>0</v>
      </c>
      <c r="R253" s="334">
        <f t="shared" si="102"/>
        <v>0</v>
      </c>
      <c r="S253" s="335">
        <f t="shared" si="91"/>
        <v>9.0790813245057116</v>
      </c>
      <c r="T253" s="335">
        <f t="shared" si="92"/>
        <v>33.092630572916669</v>
      </c>
      <c r="U253" s="336">
        <f t="shared" si="93"/>
        <v>0</v>
      </c>
      <c r="V253" s="336">
        <f t="shared" si="94"/>
        <v>0</v>
      </c>
      <c r="W253" s="336">
        <f t="shared" si="95"/>
        <v>0</v>
      </c>
      <c r="X253" s="336">
        <f t="shared" si="96"/>
        <v>0</v>
      </c>
      <c r="Y253" s="320"/>
      <c r="Z253" s="321" t="str">
        <f t="shared" si="103"/>
        <v>X-BAS.0090A</v>
      </c>
      <c r="AA253" s="321" t="str">
        <f t="shared" si="104"/>
        <v>X-BAS.0090E</v>
      </c>
      <c r="AB253" s="321" t="str">
        <f t="shared" si="105"/>
        <v>X-BAS.0090M</v>
      </c>
      <c r="AC253" s="321" t="str">
        <f t="shared" si="106"/>
        <v>X-BAS.0090T</v>
      </c>
      <c r="AD253" s="321" t="str">
        <f t="shared" si="107"/>
        <v>X-BAS.0090S</v>
      </c>
      <c r="AE253" s="321" t="str">
        <f t="shared" si="108"/>
        <v>X-BAS.0090X</v>
      </c>
      <c r="AF253" s="321" t="str">
        <f t="shared" si="109"/>
        <v>X-BAS.0090A</v>
      </c>
      <c r="AG253" s="321">
        <f t="shared" si="97"/>
        <v>4</v>
      </c>
      <c r="AH253" s="321"/>
      <c r="AI253" s="321" t="str">
        <f t="shared" si="110"/>
        <v>X-BAS.0090</v>
      </c>
      <c r="AJ253" s="320"/>
      <c r="AK253" s="322">
        <f t="shared" si="98"/>
        <v>253</v>
      </c>
      <c r="AL253" s="323">
        <f t="shared" si="111"/>
        <v>256</v>
      </c>
      <c r="AM253" s="322">
        <f t="shared" si="112"/>
        <v>1</v>
      </c>
      <c r="AN253" s="381">
        <f t="shared" si="99"/>
        <v>1.5625E-2</v>
      </c>
      <c r="AO253" s="322"/>
    </row>
    <row r="254" spans="2:41">
      <c r="B254" s="324" t="s">
        <v>1479</v>
      </c>
      <c r="C254" s="325" t="s">
        <v>1485</v>
      </c>
      <c r="D254" s="326" t="s">
        <v>1160</v>
      </c>
      <c r="E254" s="327">
        <f>+SUMIF('AUX-NIV2'!I:I,'AUX-NIV3'!B254,'AUX-NIV2'!Q:Q)</f>
        <v>0</v>
      </c>
      <c r="F254" s="327">
        <f t="shared" si="89"/>
        <v>42.171711897422377</v>
      </c>
      <c r="G254" s="327">
        <f t="shared" si="90"/>
        <v>0</v>
      </c>
      <c r="H254" s="328" t="str">
        <f t="shared" si="115"/>
        <v>A</v>
      </c>
      <c r="I254" s="325" t="s">
        <v>3311</v>
      </c>
      <c r="J254" s="329" t="str">
        <f>IF(B254&lt;&gt;"",+VLOOKUP(I254,Recursos!C:F,2,FALSE),"")</f>
        <v>OPER. EQUIPO</v>
      </c>
      <c r="K254" s="330" t="str">
        <f>IF(B254&lt;&gt;"",+VLOOKUP(I254,Recursos!C:F,3,FALSE),"")</f>
        <v>hh</v>
      </c>
      <c r="L254" s="327">
        <f>IF(B254&lt;&gt;"",+VLOOKUP(I254,Recursos!C:F,4,FALSE),"")</f>
        <v>581.06120476836554</v>
      </c>
      <c r="M254" s="331"/>
      <c r="N254" s="331"/>
      <c r="O254" s="433">
        <f>+O255</f>
        <v>1.2500000000000001E-2</v>
      </c>
      <c r="P254" s="333">
        <f t="shared" si="100"/>
        <v>7.2632650596045698</v>
      </c>
      <c r="Q254" s="327">
        <f t="shared" si="101"/>
        <v>0</v>
      </c>
      <c r="R254" s="334">
        <f t="shared" si="102"/>
        <v>0</v>
      </c>
      <c r="S254" s="335">
        <f t="shared" si="91"/>
        <v>9.0790813245057116</v>
      </c>
      <c r="T254" s="335">
        <f t="shared" si="92"/>
        <v>33.092630572916669</v>
      </c>
      <c r="U254" s="336">
        <f t="shared" si="93"/>
        <v>0</v>
      </c>
      <c r="V254" s="336">
        <f t="shared" si="94"/>
        <v>0</v>
      </c>
      <c r="W254" s="336">
        <f t="shared" si="95"/>
        <v>0</v>
      </c>
      <c r="X254" s="336">
        <f t="shared" si="96"/>
        <v>0</v>
      </c>
      <c r="Y254" s="320"/>
      <c r="Z254" s="321" t="str">
        <f t="shared" si="103"/>
        <v>X-BAS.0090A</v>
      </c>
      <c r="AA254" s="321" t="str">
        <f t="shared" si="104"/>
        <v>X-BAS.0090E</v>
      </c>
      <c r="AB254" s="321" t="str">
        <f t="shared" si="105"/>
        <v>X-BAS.0090M</v>
      </c>
      <c r="AC254" s="321" t="str">
        <f t="shared" si="106"/>
        <v>X-BAS.0090T</v>
      </c>
      <c r="AD254" s="321" t="str">
        <f t="shared" si="107"/>
        <v>X-BAS.0090S</v>
      </c>
      <c r="AE254" s="321" t="str">
        <f t="shared" si="108"/>
        <v>X-BAS.0090X</v>
      </c>
      <c r="AF254" s="321" t="str">
        <f t="shared" si="109"/>
        <v>X-BAS.0090A</v>
      </c>
      <c r="AG254" s="321">
        <f t="shared" si="97"/>
        <v>4</v>
      </c>
      <c r="AH254" s="321"/>
      <c r="AI254" s="321" t="str">
        <f t="shared" si="110"/>
        <v>X-BAS.0090</v>
      </c>
      <c r="AJ254" s="320"/>
      <c r="AK254" s="322">
        <f t="shared" si="98"/>
        <v>253</v>
      </c>
      <c r="AL254" s="323">
        <f t="shared" si="111"/>
        <v>256</v>
      </c>
      <c r="AM254" s="322">
        <f t="shared" si="112"/>
        <v>2</v>
      </c>
      <c r="AN254" s="381">
        <f t="shared" si="99"/>
        <v>1.5625E-2</v>
      </c>
      <c r="AO254" s="322"/>
    </row>
    <row r="255" spans="2:41">
      <c r="B255" s="324" t="s">
        <v>1479</v>
      </c>
      <c r="C255" s="325" t="s">
        <v>1485</v>
      </c>
      <c r="D255" s="326" t="s">
        <v>1160</v>
      </c>
      <c r="E255" s="327">
        <f>+SUMIF('AUX-NIV2'!I:I,'AUX-NIV3'!B255,'AUX-NIV2'!Q:Q)</f>
        <v>0</v>
      </c>
      <c r="F255" s="327">
        <f t="shared" si="89"/>
        <v>42.171711897422377</v>
      </c>
      <c r="G255" s="327">
        <f t="shared" si="90"/>
        <v>0</v>
      </c>
      <c r="H255" s="328" t="str">
        <f t="shared" si="115"/>
        <v>E</v>
      </c>
      <c r="I255" s="325" t="s">
        <v>1567</v>
      </c>
      <c r="J255" s="329" t="str">
        <f>IF(B255&lt;&gt;"",+VLOOKUP(I255,Recursos!C:F,2,FALSE),"")</f>
        <v>COMPACT.LISO VIBR.AUTOPROP.(11 T)</v>
      </c>
      <c r="K255" s="330" t="str">
        <f>IF(B255&lt;&gt;"",+VLOOKUP(I255,Recursos!C:F,3,FALSE),"")</f>
        <v>HR</v>
      </c>
      <c r="L255" s="327">
        <f>IF(B255&lt;&gt;"",+VLOOKUP(I255,Recursos!C:F,4,FALSE),"")</f>
        <v>2197.9879999999998</v>
      </c>
      <c r="M255" s="331"/>
      <c r="N255" s="331">
        <v>80</v>
      </c>
      <c r="O255" s="433">
        <f>1/N255</f>
        <v>1.2500000000000001E-2</v>
      </c>
      <c r="P255" s="333">
        <f t="shared" si="100"/>
        <v>27.47485</v>
      </c>
      <c r="Q255" s="327">
        <f t="shared" si="101"/>
        <v>0</v>
      </c>
      <c r="R255" s="334">
        <f t="shared" si="102"/>
        <v>0</v>
      </c>
      <c r="S255" s="335">
        <f t="shared" si="91"/>
        <v>9.0790813245057116</v>
      </c>
      <c r="T255" s="335">
        <f t="shared" si="92"/>
        <v>33.092630572916669</v>
      </c>
      <c r="U255" s="336">
        <f t="shared" si="93"/>
        <v>0</v>
      </c>
      <c r="V255" s="336">
        <f t="shared" si="94"/>
        <v>0</v>
      </c>
      <c r="W255" s="336">
        <f t="shared" si="95"/>
        <v>0</v>
      </c>
      <c r="X255" s="336">
        <f t="shared" si="96"/>
        <v>0</v>
      </c>
      <c r="Y255" s="320"/>
      <c r="Z255" s="321" t="str">
        <f t="shared" si="103"/>
        <v>X-BAS.0090A</v>
      </c>
      <c r="AA255" s="321" t="str">
        <f t="shared" si="104"/>
        <v>X-BAS.0090E</v>
      </c>
      <c r="AB255" s="321" t="str">
        <f t="shared" si="105"/>
        <v>X-BAS.0090M</v>
      </c>
      <c r="AC255" s="321" t="str">
        <f t="shared" si="106"/>
        <v>X-BAS.0090T</v>
      </c>
      <c r="AD255" s="321" t="str">
        <f t="shared" si="107"/>
        <v>X-BAS.0090S</v>
      </c>
      <c r="AE255" s="321" t="str">
        <f t="shared" si="108"/>
        <v>X-BAS.0090X</v>
      </c>
      <c r="AF255" s="321" t="str">
        <f t="shared" si="109"/>
        <v>X-BAS.0090E</v>
      </c>
      <c r="AG255" s="321">
        <f t="shared" si="97"/>
        <v>4</v>
      </c>
      <c r="AH255" s="321"/>
      <c r="AI255" s="321" t="str">
        <f t="shared" si="110"/>
        <v>X-BAS.0090</v>
      </c>
      <c r="AJ255" s="320"/>
      <c r="AK255" s="322">
        <f t="shared" si="98"/>
        <v>253</v>
      </c>
      <c r="AL255" s="323">
        <f t="shared" si="111"/>
        <v>256</v>
      </c>
      <c r="AM255" s="322">
        <f t="shared" si="112"/>
        <v>3</v>
      </c>
      <c r="AN255" s="381">
        <f t="shared" si="99"/>
        <v>1.5625E-2</v>
      </c>
      <c r="AO255" s="322"/>
    </row>
    <row r="256" spans="2:41">
      <c r="B256" s="324" t="s">
        <v>1479</v>
      </c>
      <c r="C256" s="325" t="s">
        <v>1485</v>
      </c>
      <c r="D256" s="326" t="s">
        <v>1160</v>
      </c>
      <c r="E256" s="327">
        <f>+SUMIF('AUX-NIV2'!I:I,'AUX-NIV3'!B256,'AUX-NIV2'!Q:Q)</f>
        <v>0</v>
      </c>
      <c r="F256" s="327">
        <f t="shared" si="89"/>
        <v>42.171711897422377</v>
      </c>
      <c r="G256" s="327">
        <f t="shared" si="90"/>
        <v>0</v>
      </c>
      <c r="H256" s="328" t="str">
        <f t="shared" si="115"/>
        <v>E</v>
      </c>
      <c r="I256" s="325" t="s">
        <v>1569</v>
      </c>
      <c r="J256" s="329" t="str">
        <f>IF(B256&lt;&gt;"",+VLOOKUP(I256,Recursos!C:F,2,FALSE),"")</f>
        <v>COMPACTADOR NEUMAT.AUTOPROP.(22 T)</v>
      </c>
      <c r="K256" s="330" t="str">
        <f>IF(B256&lt;&gt;"",+VLOOKUP(I256,Recursos!C:F,3,FALSE),"")</f>
        <v>HR</v>
      </c>
      <c r="L256" s="327">
        <f>IF(B256&lt;&gt;"",+VLOOKUP(I256,Recursos!C:F,4,FALSE),"")</f>
        <v>1797.6897833333335</v>
      </c>
      <c r="M256" s="331"/>
      <c r="N256" s="331">
        <v>0.25</v>
      </c>
      <c r="O256" s="433">
        <f>+N256*O255</f>
        <v>3.1250000000000002E-3</v>
      </c>
      <c r="P256" s="333">
        <f t="shared" si="100"/>
        <v>5.6177805729166677</v>
      </c>
      <c r="Q256" s="327">
        <f t="shared" si="101"/>
        <v>0</v>
      </c>
      <c r="R256" s="334">
        <f t="shared" si="102"/>
        <v>0</v>
      </c>
      <c r="S256" s="335">
        <f t="shared" si="91"/>
        <v>9.0790813245057116</v>
      </c>
      <c r="T256" s="335">
        <f t="shared" si="92"/>
        <v>33.092630572916669</v>
      </c>
      <c r="U256" s="336">
        <f t="shared" si="93"/>
        <v>0</v>
      </c>
      <c r="V256" s="336">
        <f t="shared" si="94"/>
        <v>0</v>
      </c>
      <c r="W256" s="336">
        <f t="shared" si="95"/>
        <v>0</v>
      </c>
      <c r="X256" s="336">
        <f t="shared" si="96"/>
        <v>0</v>
      </c>
      <c r="Y256" s="320"/>
      <c r="Z256" s="321" t="str">
        <f t="shared" si="103"/>
        <v>X-BAS.0090A</v>
      </c>
      <c r="AA256" s="321" t="str">
        <f t="shared" si="104"/>
        <v>X-BAS.0090E</v>
      </c>
      <c r="AB256" s="321" t="str">
        <f t="shared" si="105"/>
        <v>X-BAS.0090M</v>
      </c>
      <c r="AC256" s="321" t="str">
        <f t="shared" si="106"/>
        <v>X-BAS.0090T</v>
      </c>
      <c r="AD256" s="321" t="str">
        <f t="shared" si="107"/>
        <v>X-BAS.0090S</v>
      </c>
      <c r="AE256" s="321" t="str">
        <f t="shared" si="108"/>
        <v>X-BAS.0090X</v>
      </c>
      <c r="AF256" s="321" t="str">
        <f t="shared" si="109"/>
        <v>X-BAS.0090E</v>
      </c>
      <c r="AG256" s="321">
        <f t="shared" si="97"/>
        <v>4</v>
      </c>
      <c r="AH256" s="321"/>
      <c r="AI256" s="321" t="str">
        <f t="shared" si="110"/>
        <v>X-BAS.0090</v>
      </c>
      <c r="AJ256" s="320"/>
      <c r="AK256" s="322">
        <f t="shared" si="98"/>
        <v>253</v>
      </c>
      <c r="AL256" s="323">
        <f t="shared" si="111"/>
        <v>256</v>
      </c>
      <c r="AM256" s="322">
        <f t="shared" si="112"/>
        <v>4</v>
      </c>
      <c r="AN256" s="381">
        <f t="shared" si="99"/>
        <v>1.5625E-2</v>
      </c>
      <c r="AO256" s="322"/>
    </row>
    <row r="257" spans="2:41">
      <c r="B257" s="324" t="s">
        <v>1489</v>
      </c>
      <c r="C257" s="325" t="s">
        <v>1490</v>
      </c>
      <c r="D257" s="326" t="s">
        <v>1473</v>
      </c>
      <c r="E257" s="327">
        <f>+SUMIF('AUX-NIV2'!I:I,'AUX-NIV3'!B257,'AUX-NIV2'!Q:Q)</f>
        <v>0</v>
      </c>
      <c r="F257" s="327">
        <f t="shared" si="89"/>
        <v>12009.351276736943</v>
      </c>
      <c r="G257" s="327">
        <f t="shared" si="90"/>
        <v>0</v>
      </c>
      <c r="H257" s="328" t="str">
        <f t="shared" ref="H257:H271" si="117">IF(B257&lt;&gt;"",+LEFT(I257,1),"")</f>
        <v>A</v>
      </c>
      <c r="I257" s="325" t="s">
        <v>3311</v>
      </c>
      <c r="J257" s="329" t="str">
        <f>IF(B257&lt;&gt;"",+VLOOKUP(I257,Recursos!C:F,2,FALSE),"")</f>
        <v>OPER. EQUIPO</v>
      </c>
      <c r="K257" s="330" t="str">
        <f>IF(B257&lt;&gt;"",+VLOOKUP(I257,Recursos!C:F,3,FALSE),"")</f>
        <v>hh</v>
      </c>
      <c r="L257" s="327">
        <f>IF(B257&lt;&gt;"",+VLOOKUP(I257,Recursos!C:F,4,FALSE),"")</f>
        <v>581.06120476836554</v>
      </c>
      <c r="M257" s="416"/>
      <c r="N257" s="416">
        <v>1</v>
      </c>
      <c r="O257" s="433">
        <f>+N257</f>
        <v>1</v>
      </c>
      <c r="P257" s="333">
        <f t="shared" si="100"/>
        <v>581.06120476836554</v>
      </c>
      <c r="Q257" s="327">
        <f t="shared" si="101"/>
        <v>0</v>
      </c>
      <c r="R257" s="334">
        <f t="shared" si="102"/>
        <v>0</v>
      </c>
      <c r="S257" s="335">
        <f t="shared" si="91"/>
        <v>3423.3956014122646</v>
      </c>
      <c r="T257" s="335">
        <f t="shared" si="92"/>
        <v>8548.4556753246743</v>
      </c>
      <c r="U257" s="336">
        <f t="shared" si="93"/>
        <v>37.5</v>
      </c>
      <c r="V257" s="336">
        <f t="shared" si="94"/>
        <v>0</v>
      </c>
      <c r="W257" s="336">
        <f t="shared" si="95"/>
        <v>0</v>
      </c>
      <c r="X257" s="336">
        <f t="shared" si="96"/>
        <v>0</v>
      </c>
      <c r="Y257" s="320"/>
      <c r="Z257" s="321" t="str">
        <f t="shared" si="103"/>
        <v>X-BASE04A</v>
      </c>
      <c r="AA257" s="321" t="str">
        <f t="shared" si="104"/>
        <v>X-BASE04E</v>
      </c>
      <c r="AB257" s="321" t="str">
        <f t="shared" si="105"/>
        <v>X-BASE04M</v>
      </c>
      <c r="AC257" s="321" t="str">
        <f t="shared" si="106"/>
        <v>X-BASE04T</v>
      </c>
      <c r="AD257" s="321" t="str">
        <f t="shared" si="107"/>
        <v>X-BASE04S</v>
      </c>
      <c r="AE257" s="321" t="str">
        <f t="shared" si="108"/>
        <v>X-BASE04X</v>
      </c>
      <c r="AF257" s="321" t="str">
        <f t="shared" si="109"/>
        <v>X-BASE04A</v>
      </c>
      <c r="AG257" s="321">
        <f t="shared" si="97"/>
        <v>12</v>
      </c>
      <c r="AH257" s="321"/>
      <c r="AI257" s="321" t="str">
        <f t="shared" si="110"/>
        <v>X-BASE04</v>
      </c>
      <c r="AJ257" s="320"/>
      <c r="AK257" s="322">
        <f t="shared" si="98"/>
        <v>257</v>
      </c>
      <c r="AL257" s="323">
        <f t="shared" si="111"/>
        <v>268</v>
      </c>
      <c r="AM257" s="322">
        <f t="shared" si="112"/>
        <v>1</v>
      </c>
      <c r="AN257" s="381">
        <f t="shared" si="99"/>
        <v>7</v>
      </c>
      <c r="AO257" s="322"/>
    </row>
    <row r="258" spans="2:41">
      <c r="B258" s="324" t="s">
        <v>1489</v>
      </c>
      <c r="C258" s="325" t="s">
        <v>1490</v>
      </c>
      <c r="D258" s="326" t="s">
        <v>1473</v>
      </c>
      <c r="E258" s="327">
        <f>+SUMIF('AUX-NIV2'!I:I,'AUX-NIV3'!B258,'AUX-NIV2'!Q:Q)</f>
        <v>0</v>
      </c>
      <c r="F258" s="327">
        <f t="shared" si="89"/>
        <v>12009.351276736943</v>
      </c>
      <c r="G258" s="327">
        <f t="shared" si="90"/>
        <v>0</v>
      </c>
      <c r="H258" s="328" t="str">
        <f t="shared" si="117"/>
        <v>A</v>
      </c>
      <c r="I258" s="325" t="s">
        <v>1745</v>
      </c>
      <c r="J258" s="329" t="str">
        <f>IF(B258&lt;&gt;"",+VLOOKUP(I258,Recursos!C:F,2,FALSE),"")</f>
        <v>AYUDANTE</v>
      </c>
      <c r="K258" s="330" t="str">
        <f>IF(B258&lt;&gt;"",+VLOOKUP(I258,Recursos!C:F,3,FALSE),"")</f>
        <v>hh</v>
      </c>
      <c r="L258" s="327">
        <f>IF(B258&lt;&gt;"",+VLOOKUP(I258,Recursos!C:F,4,FALSE),"")</f>
        <v>422.48042769667234</v>
      </c>
      <c r="M258" s="416"/>
      <c r="N258" s="416">
        <v>3</v>
      </c>
      <c r="O258" s="433">
        <f t="shared" ref="O258:O268" si="118">+N258</f>
        <v>3</v>
      </c>
      <c r="P258" s="333">
        <f t="shared" si="100"/>
        <v>1267.4412830900169</v>
      </c>
      <c r="Q258" s="327">
        <f t="shared" si="101"/>
        <v>0</v>
      </c>
      <c r="R258" s="334">
        <f t="shared" si="102"/>
        <v>0</v>
      </c>
      <c r="S258" s="335">
        <f t="shared" si="91"/>
        <v>3423.3956014122646</v>
      </c>
      <c r="T258" s="335">
        <f t="shared" si="92"/>
        <v>8548.4556753246743</v>
      </c>
      <c r="U258" s="336">
        <f t="shared" si="93"/>
        <v>37.5</v>
      </c>
      <c r="V258" s="336">
        <f t="shared" si="94"/>
        <v>0</v>
      </c>
      <c r="W258" s="336">
        <f t="shared" si="95"/>
        <v>0</v>
      </c>
      <c r="X258" s="336">
        <f t="shared" si="96"/>
        <v>0</v>
      </c>
      <c r="Y258" s="320"/>
      <c r="Z258" s="321" t="str">
        <f t="shared" si="103"/>
        <v>X-BASE04A</v>
      </c>
      <c r="AA258" s="321" t="str">
        <f t="shared" si="104"/>
        <v>X-BASE04E</v>
      </c>
      <c r="AB258" s="321" t="str">
        <f t="shared" si="105"/>
        <v>X-BASE04M</v>
      </c>
      <c r="AC258" s="321" t="str">
        <f t="shared" si="106"/>
        <v>X-BASE04T</v>
      </c>
      <c r="AD258" s="321" t="str">
        <f t="shared" si="107"/>
        <v>X-BASE04S</v>
      </c>
      <c r="AE258" s="321" t="str">
        <f t="shared" si="108"/>
        <v>X-BASE04X</v>
      </c>
      <c r="AF258" s="321" t="str">
        <f t="shared" si="109"/>
        <v>X-BASE04A</v>
      </c>
      <c r="AG258" s="321">
        <f t="shared" si="97"/>
        <v>12</v>
      </c>
      <c r="AH258" s="321"/>
      <c r="AI258" s="321" t="str">
        <f t="shared" si="110"/>
        <v>X-BASE04</v>
      </c>
      <c r="AJ258" s="320"/>
      <c r="AK258" s="322">
        <f t="shared" si="98"/>
        <v>257</v>
      </c>
      <c r="AL258" s="323">
        <f t="shared" si="111"/>
        <v>268</v>
      </c>
      <c r="AM258" s="322">
        <f t="shared" si="112"/>
        <v>2</v>
      </c>
      <c r="AN258" s="381">
        <f t="shared" si="99"/>
        <v>7</v>
      </c>
      <c r="AO258" s="322"/>
    </row>
    <row r="259" spans="2:41">
      <c r="B259" s="324" t="s">
        <v>1489</v>
      </c>
      <c r="C259" s="325" t="s">
        <v>1490</v>
      </c>
      <c r="D259" s="326" t="s">
        <v>1473</v>
      </c>
      <c r="E259" s="327">
        <f>+SUMIF('AUX-NIV2'!I:I,'AUX-NIV3'!B259,'AUX-NIV2'!Q:Q)</f>
        <v>0</v>
      </c>
      <c r="F259" s="327">
        <f t="shared" si="89"/>
        <v>12009.351276736943</v>
      </c>
      <c r="G259" s="327">
        <f t="shared" si="90"/>
        <v>0</v>
      </c>
      <c r="H259" s="328" t="str">
        <f t="shared" si="117"/>
        <v>A</v>
      </c>
      <c r="I259" s="325" t="s">
        <v>3311</v>
      </c>
      <c r="J259" s="329" t="str">
        <f>IF(B259&lt;&gt;"",+VLOOKUP(I259,Recursos!C:F,2,FALSE),"")</f>
        <v>OPER. EQUIPO</v>
      </c>
      <c r="K259" s="330" t="str">
        <f>IF(B259&lt;&gt;"",+VLOOKUP(I259,Recursos!C:F,3,FALSE),"")</f>
        <v>hh</v>
      </c>
      <c r="L259" s="327">
        <f>IF(B259&lt;&gt;"",+VLOOKUP(I259,Recursos!C:F,4,FALSE),"")</f>
        <v>581.06120476836554</v>
      </c>
      <c r="M259" s="416"/>
      <c r="N259" s="416">
        <v>1</v>
      </c>
      <c r="O259" s="433">
        <f t="shared" si="118"/>
        <v>1</v>
      </c>
      <c r="P259" s="333">
        <f t="shared" si="100"/>
        <v>581.06120476836554</v>
      </c>
      <c r="Q259" s="327">
        <f t="shared" si="101"/>
        <v>0</v>
      </c>
      <c r="R259" s="334">
        <f t="shared" si="102"/>
        <v>0</v>
      </c>
      <c r="S259" s="335">
        <f t="shared" si="91"/>
        <v>3423.3956014122646</v>
      </c>
      <c r="T259" s="335">
        <f t="shared" si="92"/>
        <v>8548.4556753246743</v>
      </c>
      <c r="U259" s="336">
        <f t="shared" si="93"/>
        <v>37.5</v>
      </c>
      <c r="V259" s="336">
        <f t="shared" si="94"/>
        <v>0</v>
      </c>
      <c r="W259" s="336">
        <f t="shared" si="95"/>
        <v>0</v>
      </c>
      <c r="X259" s="336">
        <f t="shared" si="96"/>
        <v>0</v>
      </c>
      <c r="Y259" s="320"/>
      <c r="Z259" s="321" t="str">
        <f t="shared" si="103"/>
        <v>X-BASE04A</v>
      </c>
      <c r="AA259" s="321" t="str">
        <f t="shared" si="104"/>
        <v>X-BASE04E</v>
      </c>
      <c r="AB259" s="321" t="str">
        <f t="shared" si="105"/>
        <v>X-BASE04M</v>
      </c>
      <c r="AC259" s="321" t="str">
        <f t="shared" si="106"/>
        <v>X-BASE04T</v>
      </c>
      <c r="AD259" s="321" t="str">
        <f t="shared" si="107"/>
        <v>X-BASE04S</v>
      </c>
      <c r="AE259" s="321" t="str">
        <f t="shared" si="108"/>
        <v>X-BASE04X</v>
      </c>
      <c r="AF259" s="321" t="str">
        <f t="shared" si="109"/>
        <v>X-BASE04A</v>
      </c>
      <c r="AG259" s="321">
        <f t="shared" si="97"/>
        <v>12</v>
      </c>
      <c r="AH259" s="321"/>
      <c r="AI259" s="321" t="str">
        <f t="shared" si="110"/>
        <v>X-BASE04</v>
      </c>
      <c r="AJ259" s="320"/>
      <c r="AK259" s="322">
        <f t="shared" si="98"/>
        <v>257</v>
      </c>
      <c r="AL259" s="323">
        <f t="shared" si="111"/>
        <v>268</v>
      </c>
      <c r="AM259" s="322">
        <f t="shared" si="112"/>
        <v>3</v>
      </c>
      <c r="AN259" s="381">
        <f t="shared" si="99"/>
        <v>7</v>
      </c>
      <c r="AO259" s="322"/>
    </row>
    <row r="260" spans="2:41">
      <c r="B260" s="324" t="s">
        <v>1489</v>
      </c>
      <c r="C260" s="325" t="s">
        <v>1490</v>
      </c>
      <c r="D260" s="326" t="s">
        <v>1473</v>
      </c>
      <c r="E260" s="327">
        <f>+SUMIF('AUX-NIV2'!I:I,'AUX-NIV3'!B260,'AUX-NIV2'!Q:Q)</f>
        <v>0</v>
      </c>
      <c r="F260" s="327">
        <f t="shared" si="89"/>
        <v>12009.351276736943</v>
      </c>
      <c r="G260" s="327">
        <f t="shared" si="90"/>
        <v>0</v>
      </c>
      <c r="H260" s="328" t="str">
        <f t="shared" si="117"/>
        <v>A</v>
      </c>
      <c r="I260" s="325" t="s">
        <v>1746</v>
      </c>
      <c r="J260" s="329" t="str">
        <f>IF(B260&lt;&gt;"",+VLOOKUP(I260,Recursos!C:F,2,FALSE),"")</f>
        <v>OFICIAL</v>
      </c>
      <c r="K260" s="330" t="str">
        <f>IF(B260&lt;&gt;"",+VLOOKUP(I260,Recursos!C:F,3,FALSE),"")</f>
        <v>hh</v>
      </c>
      <c r="L260" s="327">
        <f>IF(B260&lt;&gt;"",+VLOOKUP(I260,Recursos!C:F,4,FALSE),"")</f>
        <v>496.91595439275824</v>
      </c>
      <c r="M260" s="416"/>
      <c r="N260" s="416">
        <v>2</v>
      </c>
      <c r="O260" s="433">
        <f t="shared" si="118"/>
        <v>2</v>
      </c>
      <c r="P260" s="333">
        <f t="shared" si="100"/>
        <v>993.83190878551648</v>
      </c>
      <c r="Q260" s="327">
        <f t="shared" si="101"/>
        <v>0</v>
      </c>
      <c r="R260" s="334">
        <f t="shared" si="102"/>
        <v>0</v>
      </c>
      <c r="S260" s="335">
        <f t="shared" si="91"/>
        <v>3423.3956014122646</v>
      </c>
      <c r="T260" s="335">
        <f t="shared" si="92"/>
        <v>8548.4556753246743</v>
      </c>
      <c r="U260" s="336">
        <f t="shared" si="93"/>
        <v>37.5</v>
      </c>
      <c r="V260" s="336">
        <f t="shared" si="94"/>
        <v>0</v>
      </c>
      <c r="W260" s="336">
        <f t="shared" si="95"/>
        <v>0</v>
      </c>
      <c r="X260" s="336">
        <f t="shared" si="96"/>
        <v>0</v>
      </c>
      <c r="Y260" s="320"/>
      <c r="Z260" s="321" t="str">
        <f t="shared" si="103"/>
        <v>X-BASE04A</v>
      </c>
      <c r="AA260" s="321" t="str">
        <f t="shared" si="104"/>
        <v>X-BASE04E</v>
      </c>
      <c r="AB260" s="321" t="str">
        <f t="shared" si="105"/>
        <v>X-BASE04M</v>
      </c>
      <c r="AC260" s="321" t="str">
        <f t="shared" si="106"/>
        <v>X-BASE04T</v>
      </c>
      <c r="AD260" s="321" t="str">
        <f t="shared" si="107"/>
        <v>X-BASE04S</v>
      </c>
      <c r="AE260" s="321" t="str">
        <f t="shared" si="108"/>
        <v>X-BASE04X</v>
      </c>
      <c r="AF260" s="321" t="str">
        <f t="shared" si="109"/>
        <v>X-BASE04A</v>
      </c>
      <c r="AG260" s="321">
        <f t="shared" si="97"/>
        <v>12</v>
      </c>
      <c r="AH260" s="321"/>
      <c r="AI260" s="321" t="str">
        <f t="shared" si="110"/>
        <v>X-BASE04</v>
      </c>
      <c r="AJ260" s="320"/>
      <c r="AK260" s="322">
        <f t="shared" si="98"/>
        <v>257</v>
      </c>
      <c r="AL260" s="323">
        <f t="shared" si="111"/>
        <v>268</v>
      </c>
      <c r="AM260" s="322">
        <f t="shared" si="112"/>
        <v>4</v>
      </c>
      <c r="AN260" s="381">
        <f t="shared" si="99"/>
        <v>7</v>
      </c>
      <c r="AO260" s="322"/>
    </row>
    <row r="261" spans="2:41">
      <c r="B261" s="324" t="s">
        <v>1489</v>
      </c>
      <c r="C261" s="325" t="s">
        <v>1490</v>
      </c>
      <c r="D261" s="326" t="s">
        <v>1473</v>
      </c>
      <c r="E261" s="327">
        <f>+SUMIF('AUX-NIV2'!I:I,'AUX-NIV3'!B261,'AUX-NIV2'!Q:Q)</f>
        <v>0</v>
      </c>
      <c r="F261" s="327">
        <f t="shared" si="89"/>
        <v>12009.351276736943</v>
      </c>
      <c r="G261" s="327">
        <f t="shared" si="90"/>
        <v>0</v>
      </c>
      <c r="H261" s="328" t="str">
        <f t="shared" si="117"/>
        <v>E</v>
      </c>
      <c r="I261" s="325" t="s">
        <v>1542</v>
      </c>
      <c r="J261" s="329" t="str">
        <f>IF(B261&lt;&gt;"",+VLOOKUP(I261,Recursos!C:F,2,FALSE),"")</f>
        <v>CARGADOR FRONTAL S/NEUM. (2,30 M3)</v>
      </c>
      <c r="K261" s="330" t="str">
        <f>IF(B261&lt;&gt;"",+VLOOKUP(I261,Recursos!C:F,3,FALSE),"")</f>
        <v>HR</v>
      </c>
      <c r="L261" s="327">
        <f>IF(B261&lt;&gt;"",+VLOOKUP(I261,Recursos!C:F,4,FALSE),"")</f>
        <v>3152.8359999999998</v>
      </c>
      <c r="M261" s="416"/>
      <c r="N261" s="416">
        <v>1</v>
      </c>
      <c r="O261" s="433">
        <f t="shared" si="118"/>
        <v>1</v>
      </c>
      <c r="P261" s="333">
        <f t="shared" si="100"/>
        <v>3152.8359999999998</v>
      </c>
      <c r="Q261" s="327">
        <f t="shared" si="101"/>
        <v>0</v>
      </c>
      <c r="R261" s="334">
        <f t="shared" si="102"/>
        <v>0</v>
      </c>
      <c r="S261" s="335">
        <f t="shared" si="91"/>
        <v>3423.3956014122646</v>
      </c>
      <c r="T261" s="335">
        <f t="shared" si="92"/>
        <v>8548.4556753246743</v>
      </c>
      <c r="U261" s="336">
        <f t="shared" si="93"/>
        <v>37.5</v>
      </c>
      <c r="V261" s="336">
        <f t="shared" si="94"/>
        <v>0</v>
      </c>
      <c r="W261" s="336">
        <f t="shared" si="95"/>
        <v>0</v>
      </c>
      <c r="X261" s="336">
        <f t="shared" si="96"/>
        <v>0</v>
      </c>
      <c r="Y261" s="320"/>
      <c r="Z261" s="321" t="str">
        <f t="shared" si="103"/>
        <v>X-BASE04A</v>
      </c>
      <c r="AA261" s="321" t="str">
        <f t="shared" si="104"/>
        <v>X-BASE04E</v>
      </c>
      <c r="AB261" s="321" t="str">
        <f t="shared" si="105"/>
        <v>X-BASE04M</v>
      </c>
      <c r="AC261" s="321" t="str">
        <f t="shared" si="106"/>
        <v>X-BASE04T</v>
      </c>
      <c r="AD261" s="321" t="str">
        <f t="shared" si="107"/>
        <v>X-BASE04S</v>
      </c>
      <c r="AE261" s="321" t="str">
        <f t="shared" si="108"/>
        <v>X-BASE04X</v>
      </c>
      <c r="AF261" s="321" t="str">
        <f t="shared" si="109"/>
        <v>X-BASE04E</v>
      </c>
      <c r="AG261" s="321">
        <f t="shared" si="97"/>
        <v>12</v>
      </c>
      <c r="AH261" s="321"/>
      <c r="AI261" s="321" t="str">
        <f t="shared" si="110"/>
        <v>X-BASE04</v>
      </c>
      <c r="AJ261" s="320"/>
      <c r="AK261" s="322">
        <f t="shared" si="98"/>
        <v>257</v>
      </c>
      <c r="AL261" s="323">
        <f t="shared" si="111"/>
        <v>268</v>
      </c>
      <c r="AM261" s="322">
        <f t="shared" si="112"/>
        <v>5</v>
      </c>
      <c r="AN261" s="381">
        <f t="shared" si="99"/>
        <v>7</v>
      </c>
      <c r="AO261" s="322"/>
    </row>
    <row r="262" spans="2:41">
      <c r="B262" s="324" t="s">
        <v>1489</v>
      </c>
      <c r="C262" s="325" t="s">
        <v>1490</v>
      </c>
      <c r="D262" s="326" t="s">
        <v>1473</v>
      </c>
      <c r="E262" s="327">
        <f>+SUMIF('AUX-NIV2'!I:I,'AUX-NIV3'!B262,'AUX-NIV2'!Q:Q)</f>
        <v>0</v>
      </c>
      <c r="F262" s="327">
        <f t="shared" si="89"/>
        <v>12009.351276736943</v>
      </c>
      <c r="G262" s="327">
        <f t="shared" si="90"/>
        <v>0</v>
      </c>
      <c r="H262" s="328" t="str">
        <f t="shared" si="117"/>
        <v>E</v>
      </c>
      <c r="I262" s="325" t="s">
        <v>1605</v>
      </c>
      <c r="J262" s="329" t="str">
        <f>IF(B262&lt;&gt;"",+VLOOKUP(I262,Recursos!C:F,2,FALSE),"")</f>
        <v>GRILLA FIJA</v>
      </c>
      <c r="K262" s="330" t="str">
        <f>IF(B262&lt;&gt;"",+VLOOKUP(I262,Recursos!C:F,3,FALSE),"")</f>
        <v>HR</v>
      </c>
      <c r="L262" s="327">
        <f>IF(B262&lt;&gt;"",+VLOOKUP(I262,Recursos!C:F,4,FALSE),"")</f>
        <v>346.38685714285714</v>
      </c>
      <c r="M262" s="416"/>
      <c r="N262" s="416">
        <v>1</v>
      </c>
      <c r="O262" s="433">
        <f t="shared" si="118"/>
        <v>1</v>
      </c>
      <c r="P262" s="333">
        <f t="shared" si="100"/>
        <v>346.38685714285714</v>
      </c>
      <c r="Q262" s="327">
        <f t="shared" si="101"/>
        <v>0</v>
      </c>
      <c r="R262" s="334">
        <f t="shared" si="102"/>
        <v>0</v>
      </c>
      <c r="S262" s="335">
        <f t="shared" si="91"/>
        <v>3423.3956014122646</v>
      </c>
      <c r="T262" s="335">
        <f t="shared" si="92"/>
        <v>8548.4556753246743</v>
      </c>
      <c r="U262" s="336">
        <f t="shared" si="93"/>
        <v>37.5</v>
      </c>
      <c r="V262" s="336">
        <f t="shared" si="94"/>
        <v>0</v>
      </c>
      <c r="W262" s="336">
        <f t="shared" si="95"/>
        <v>0</v>
      </c>
      <c r="X262" s="336">
        <f t="shared" si="96"/>
        <v>0</v>
      </c>
      <c r="Y262" s="320"/>
      <c r="Z262" s="321" t="str">
        <f t="shared" si="103"/>
        <v>X-BASE04A</v>
      </c>
      <c r="AA262" s="321" t="str">
        <f t="shared" si="104"/>
        <v>X-BASE04E</v>
      </c>
      <c r="AB262" s="321" t="str">
        <f t="shared" si="105"/>
        <v>X-BASE04M</v>
      </c>
      <c r="AC262" s="321" t="str">
        <f t="shared" si="106"/>
        <v>X-BASE04T</v>
      </c>
      <c r="AD262" s="321" t="str">
        <f t="shared" si="107"/>
        <v>X-BASE04S</v>
      </c>
      <c r="AE262" s="321" t="str">
        <f t="shared" si="108"/>
        <v>X-BASE04X</v>
      </c>
      <c r="AF262" s="321" t="str">
        <f t="shared" si="109"/>
        <v>X-BASE04E</v>
      </c>
      <c r="AG262" s="321">
        <f t="shared" si="97"/>
        <v>12</v>
      </c>
      <c r="AH262" s="321"/>
      <c r="AI262" s="321" t="str">
        <f t="shared" si="110"/>
        <v>X-BASE04</v>
      </c>
      <c r="AJ262" s="320"/>
      <c r="AK262" s="322">
        <f t="shared" si="98"/>
        <v>257</v>
      </c>
      <c r="AL262" s="323">
        <f t="shared" si="111"/>
        <v>268</v>
      </c>
      <c r="AM262" s="322">
        <f t="shared" si="112"/>
        <v>6</v>
      </c>
      <c r="AN262" s="381">
        <f t="shared" si="99"/>
        <v>7</v>
      </c>
      <c r="AO262" s="322"/>
    </row>
    <row r="263" spans="2:41">
      <c r="B263" s="324" t="s">
        <v>1489</v>
      </c>
      <c r="C263" s="325" t="s">
        <v>1490</v>
      </c>
      <c r="D263" s="326" t="s">
        <v>1473</v>
      </c>
      <c r="E263" s="327">
        <f>+SUMIF('AUX-NIV2'!I:I,'AUX-NIV3'!B263,'AUX-NIV2'!Q:Q)</f>
        <v>0</v>
      </c>
      <c r="F263" s="327">
        <f t="shared" ref="F263:F326" si="119">IF(B263&lt;&gt;"",+SUMIF(B:B,B263,P:P),"")</f>
        <v>12009.351276736943</v>
      </c>
      <c r="G263" s="327">
        <f t="shared" ref="G263:G326" si="120">IF(B263&lt;&gt;"",+SUMIF(B:B,B263,R:R),"")</f>
        <v>0</v>
      </c>
      <c r="H263" s="328" t="str">
        <f t="shared" si="117"/>
        <v>E</v>
      </c>
      <c r="I263" s="325" t="s">
        <v>1586</v>
      </c>
      <c r="J263" s="329" t="str">
        <f>IF(B263&lt;&gt;"",+VLOOKUP(I263,Recursos!C:F,2,FALSE),"")</f>
        <v>GRUPO ELECTROGENO 244 KVA-195 KW</v>
      </c>
      <c r="K263" s="330" t="str">
        <f>IF(B263&lt;&gt;"",+VLOOKUP(I263,Recursos!C:F,3,FALSE),"")</f>
        <v>HR</v>
      </c>
      <c r="L263" s="327">
        <f>IF(B263&lt;&gt;"",+VLOOKUP(I263,Recursos!C:F,4,FALSE),"")</f>
        <v>2848.5638181818185</v>
      </c>
      <c r="M263" s="416"/>
      <c r="N263" s="416">
        <v>1</v>
      </c>
      <c r="O263" s="433">
        <f t="shared" si="118"/>
        <v>1</v>
      </c>
      <c r="P263" s="333">
        <f t="shared" si="100"/>
        <v>2848.5638181818185</v>
      </c>
      <c r="Q263" s="327">
        <f t="shared" si="101"/>
        <v>0</v>
      </c>
      <c r="R263" s="334">
        <f t="shared" si="102"/>
        <v>0</v>
      </c>
      <c r="S263" s="335">
        <f t="shared" ref="S263:S326" si="121">IF(B263&lt;&gt;"",+SUMIF($AF:$AF,Z263,$P:$P),"")</f>
        <v>3423.3956014122646</v>
      </c>
      <c r="T263" s="335">
        <f t="shared" ref="T263:T326" si="122">IF(B263&lt;&gt;"",+SUMIF($AF:$AF,AA263,$P:$P),"")</f>
        <v>8548.4556753246743</v>
      </c>
      <c r="U263" s="336">
        <f t="shared" ref="U263:U326" si="123">IF(B263&lt;&gt;"",+SUMIF($AF:$AF,AB263,$P:$P),"")</f>
        <v>37.5</v>
      </c>
      <c r="V263" s="336">
        <f t="shared" ref="V263:V326" si="124">IF(B263&lt;&gt;"",+SUMIF($AF:$AF,AC263,$P:$P),"")</f>
        <v>0</v>
      </c>
      <c r="W263" s="336">
        <f t="shared" ref="W263:W326" si="125">IF(B263&lt;&gt;"",+SUMIF($AF:$AF,AD263,$P:$P),"")</f>
        <v>0</v>
      </c>
      <c r="X263" s="336">
        <f t="shared" ref="X263:X326" si="126">IF(B263&lt;&gt;"",+SUMIF($AF:$AF,AE263,$P:$P),"")</f>
        <v>0</v>
      </c>
      <c r="Y263" s="320"/>
      <c r="Z263" s="321" t="str">
        <f t="shared" si="103"/>
        <v>X-BASE04A</v>
      </c>
      <c r="AA263" s="321" t="str">
        <f t="shared" si="104"/>
        <v>X-BASE04E</v>
      </c>
      <c r="AB263" s="321" t="str">
        <f t="shared" si="105"/>
        <v>X-BASE04M</v>
      </c>
      <c r="AC263" s="321" t="str">
        <f t="shared" si="106"/>
        <v>X-BASE04T</v>
      </c>
      <c r="AD263" s="321" t="str">
        <f t="shared" si="107"/>
        <v>X-BASE04S</v>
      </c>
      <c r="AE263" s="321" t="str">
        <f t="shared" si="108"/>
        <v>X-BASE04X</v>
      </c>
      <c r="AF263" s="321" t="str">
        <f t="shared" si="109"/>
        <v>X-BASE04E</v>
      </c>
      <c r="AG263" s="321">
        <f t="shared" ref="AG263:AG326" si="127">IF(B263&lt;&gt;"",+COUNTIF(B:B,B263),"")</f>
        <v>12</v>
      </c>
      <c r="AH263" s="321"/>
      <c r="AI263" s="321" t="str">
        <f t="shared" si="110"/>
        <v>X-BASE04</v>
      </c>
      <c r="AJ263" s="320"/>
      <c r="AK263" s="322">
        <f t="shared" ref="AK263:AK326" si="128">IF(B263&lt;&gt;"",+MATCH(B263,B:B,0),"")</f>
        <v>257</v>
      </c>
      <c r="AL263" s="323">
        <f t="shared" si="111"/>
        <v>268</v>
      </c>
      <c r="AM263" s="322">
        <f t="shared" si="112"/>
        <v>7</v>
      </c>
      <c r="AN263" s="381">
        <f t="shared" ref="AN263:AN326" si="129">+IF(B263&lt;&gt;"",SUMIF(AF:AF,Z263,O:O),"")</f>
        <v>7</v>
      </c>
      <c r="AO263" s="322"/>
    </row>
    <row r="264" spans="2:41">
      <c r="B264" s="324" t="s">
        <v>1489</v>
      </c>
      <c r="C264" s="325" t="s">
        <v>1490</v>
      </c>
      <c r="D264" s="326" t="s">
        <v>1473</v>
      </c>
      <c r="E264" s="327">
        <f>+SUMIF('AUX-NIV2'!I:I,'AUX-NIV3'!B264,'AUX-NIV2'!Q:Q)</f>
        <v>0</v>
      </c>
      <c r="F264" s="327">
        <f t="shared" si="119"/>
        <v>12009.351276736943</v>
      </c>
      <c r="G264" s="327">
        <f t="shared" si="120"/>
        <v>0</v>
      </c>
      <c r="H264" s="328" t="str">
        <f t="shared" si="117"/>
        <v>E</v>
      </c>
      <c r="I264" s="325" t="s">
        <v>1607</v>
      </c>
      <c r="J264" s="329" t="str">
        <f>IF(B264&lt;&gt;"",+VLOOKUP(I264,Recursos!C:F,2,FALSE),"")</f>
        <v>ALIMENTADOR VIBRAT.CAP.200 T/H</v>
      </c>
      <c r="K264" s="330" t="str">
        <f>IF(B264&lt;&gt;"",+VLOOKUP(I264,Recursos!C:F,3,FALSE),"")</f>
        <v>HR</v>
      </c>
      <c r="L264" s="327">
        <f>IF(B264&lt;&gt;"",+VLOOKUP(I264,Recursos!C:F,4,FALSE),"")</f>
        <v>163.27999999999997</v>
      </c>
      <c r="M264" s="416"/>
      <c r="N264" s="416">
        <v>1</v>
      </c>
      <c r="O264" s="433">
        <f t="shared" si="118"/>
        <v>1</v>
      </c>
      <c r="P264" s="333">
        <f t="shared" ref="P264:P295" si="130">IF(B264&lt;&gt;"",O264*L264,"")</f>
        <v>163.27999999999997</v>
      </c>
      <c r="Q264" s="327">
        <f t="shared" ref="Q264:Q295" si="131">IF(B264&lt;&gt;"",+O264*E264,"")</f>
        <v>0</v>
      </c>
      <c r="R264" s="334">
        <f t="shared" ref="R264:R295" si="132">IF(B264&lt;&gt;"",Q264*L264,"")</f>
        <v>0</v>
      </c>
      <c r="S264" s="335">
        <f t="shared" si="121"/>
        <v>3423.3956014122646</v>
      </c>
      <c r="T264" s="335">
        <f t="shared" si="122"/>
        <v>8548.4556753246743</v>
      </c>
      <c r="U264" s="336">
        <f t="shared" si="123"/>
        <v>37.5</v>
      </c>
      <c r="V264" s="336">
        <f t="shared" si="124"/>
        <v>0</v>
      </c>
      <c r="W264" s="336">
        <f t="shared" si="125"/>
        <v>0</v>
      </c>
      <c r="X264" s="336">
        <f t="shared" si="126"/>
        <v>0</v>
      </c>
      <c r="Y264" s="320"/>
      <c r="Z264" s="321" t="str">
        <f t="shared" ref="Z264:Z327" si="133">IF(B264&lt;&gt;"",+$B264&amp;"A","")</f>
        <v>X-BASE04A</v>
      </c>
      <c r="AA264" s="321" t="str">
        <f t="shared" ref="AA264:AA327" si="134">IF(B264&lt;&gt;"",+$B264&amp;"E","")</f>
        <v>X-BASE04E</v>
      </c>
      <c r="AB264" s="321" t="str">
        <f t="shared" ref="AB264:AB327" si="135">IF(B264&lt;&gt;"",++$B264&amp;"M","")</f>
        <v>X-BASE04M</v>
      </c>
      <c r="AC264" s="321" t="str">
        <f t="shared" ref="AC264:AC327" si="136">IF(B264&lt;&gt;"",+$B264&amp;"T","")</f>
        <v>X-BASE04T</v>
      </c>
      <c r="AD264" s="321" t="str">
        <f t="shared" ref="AD264:AD327" si="137">IF(B264&lt;&gt;"",+$B264&amp;"S","")</f>
        <v>X-BASE04S</v>
      </c>
      <c r="AE264" s="321" t="str">
        <f t="shared" ref="AE264:AE327" si="138">IF(B264&lt;&gt;"",+$B264&amp;"X","")</f>
        <v>X-BASE04X</v>
      </c>
      <c r="AF264" s="321" t="str">
        <f t="shared" ref="AF264:AF327" si="139">IF(B264&lt;&gt;"",+B264&amp;H264,"")</f>
        <v>X-BASE04E</v>
      </c>
      <c r="AG264" s="321">
        <f t="shared" si="127"/>
        <v>12</v>
      </c>
      <c r="AH264" s="321"/>
      <c r="AI264" s="321" t="str">
        <f t="shared" ref="AI264:AI327" si="140">IF(B264&lt;&gt;"",+B264,"")</f>
        <v>X-BASE04</v>
      </c>
      <c r="AJ264" s="320"/>
      <c r="AK264" s="322">
        <f t="shared" si="128"/>
        <v>257</v>
      </c>
      <c r="AL264" s="323">
        <f t="shared" ref="AL264:AL327" si="141">IF(B264&lt;&gt;"",+AK264+AG264-1,"")</f>
        <v>268</v>
      </c>
      <c r="AM264" s="322">
        <f t="shared" ref="AM264:AM327" si="142">IF(B264&lt;&gt;"",IF(B264=B263,1+AM263,1),"")</f>
        <v>8</v>
      </c>
      <c r="AN264" s="381">
        <f t="shared" si="129"/>
        <v>7</v>
      </c>
      <c r="AO264" s="322"/>
    </row>
    <row r="265" spans="2:41">
      <c r="B265" s="324" t="s">
        <v>1489</v>
      </c>
      <c r="C265" s="325" t="s">
        <v>1490</v>
      </c>
      <c r="D265" s="326" t="s">
        <v>1473</v>
      </c>
      <c r="E265" s="327">
        <f>+SUMIF('AUX-NIV2'!I:I,'AUX-NIV3'!B265,'AUX-NIV2'!Q:Q)</f>
        <v>0</v>
      </c>
      <c r="F265" s="327">
        <f t="shared" si="119"/>
        <v>12009.351276736943</v>
      </c>
      <c r="G265" s="327">
        <f t="shared" si="120"/>
        <v>0</v>
      </c>
      <c r="H265" s="328" t="str">
        <f t="shared" si="117"/>
        <v>E</v>
      </c>
      <c r="I265" s="325" t="s">
        <v>1645</v>
      </c>
      <c r="J265" s="329" t="str">
        <f>IF(B265&lt;&gt;"",+VLOOKUP(I265,Recursos!C:F,2,FALSE),"")</f>
        <v>TRITUR.SECUND.A CONO 45" C/ZARANDA</v>
      </c>
      <c r="K265" s="330" t="str">
        <f>IF(B265&lt;&gt;"",+VLOOKUP(I265,Recursos!C:F,3,FALSE),"")</f>
        <v>HR</v>
      </c>
      <c r="L265" s="327">
        <f>IF(B265&lt;&gt;"",+VLOOKUP(I265,Recursos!C:F,4,FALSE),"")</f>
        <v>1714.4399999999996</v>
      </c>
      <c r="M265" s="416"/>
      <c r="N265" s="416">
        <v>0</v>
      </c>
      <c r="O265" s="433">
        <f t="shared" si="118"/>
        <v>0</v>
      </c>
      <c r="P265" s="333">
        <f t="shared" si="130"/>
        <v>0</v>
      </c>
      <c r="Q265" s="327">
        <f t="shared" si="131"/>
        <v>0</v>
      </c>
      <c r="R265" s="334">
        <f t="shared" si="132"/>
        <v>0</v>
      </c>
      <c r="S265" s="335">
        <f t="shared" si="121"/>
        <v>3423.3956014122646</v>
      </c>
      <c r="T265" s="335">
        <f t="shared" si="122"/>
        <v>8548.4556753246743</v>
      </c>
      <c r="U265" s="336">
        <f t="shared" si="123"/>
        <v>37.5</v>
      </c>
      <c r="V265" s="336">
        <f t="shared" si="124"/>
        <v>0</v>
      </c>
      <c r="W265" s="336">
        <f t="shared" si="125"/>
        <v>0</v>
      </c>
      <c r="X265" s="336">
        <f t="shared" si="126"/>
        <v>0</v>
      </c>
      <c r="Y265" s="320"/>
      <c r="Z265" s="321" t="str">
        <f t="shared" si="133"/>
        <v>X-BASE04A</v>
      </c>
      <c r="AA265" s="321" t="str">
        <f t="shared" si="134"/>
        <v>X-BASE04E</v>
      </c>
      <c r="AB265" s="321" t="str">
        <f t="shared" si="135"/>
        <v>X-BASE04M</v>
      </c>
      <c r="AC265" s="321" t="str">
        <f t="shared" si="136"/>
        <v>X-BASE04T</v>
      </c>
      <c r="AD265" s="321" t="str">
        <f t="shared" si="137"/>
        <v>X-BASE04S</v>
      </c>
      <c r="AE265" s="321" t="str">
        <f t="shared" si="138"/>
        <v>X-BASE04X</v>
      </c>
      <c r="AF265" s="321" t="str">
        <f t="shared" si="139"/>
        <v>X-BASE04E</v>
      </c>
      <c r="AG265" s="321">
        <f t="shared" si="127"/>
        <v>12</v>
      </c>
      <c r="AH265" s="321"/>
      <c r="AI265" s="321" t="str">
        <f t="shared" si="140"/>
        <v>X-BASE04</v>
      </c>
      <c r="AJ265" s="320"/>
      <c r="AK265" s="322">
        <f t="shared" si="128"/>
        <v>257</v>
      </c>
      <c r="AL265" s="323">
        <f t="shared" si="141"/>
        <v>268</v>
      </c>
      <c r="AM265" s="322">
        <f t="shared" si="142"/>
        <v>9</v>
      </c>
      <c r="AN265" s="381">
        <f t="shared" si="129"/>
        <v>7</v>
      </c>
      <c r="AO265" s="322"/>
    </row>
    <row r="266" spans="2:41">
      <c r="B266" s="324" t="s">
        <v>1489</v>
      </c>
      <c r="C266" s="325" t="s">
        <v>1490</v>
      </c>
      <c r="D266" s="326" t="s">
        <v>1473</v>
      </c>
      <c r="E266" s="327">
        <f>+SUMIF('AUX-NIV2'!I:I,'AUX-NIV3'!B266,'AUX-NIV2'!Q:Q)</f>
        <v>0</v>
      </c>
      <c r="F266" s="327">
        <f t="shared" si="119"/>
        <v>12009.351276736943</v>
      </c>
      <c r="G266" s="327">
        <f t="shared" si="120"/>
        <v>0</v>
      </c>
      <c r="H266" s="328" t="str">
        <f t="shared" si="117"/>
        <v>E</v>
      </c>
      <c r="I266" s="325" t="s">
        <v>1651</v>
      </c>
      <c r="J266" s="329" t="str">
        <f>IF(B266&lt;&gt;"",+VLOOKUP(I266,Recursos!C:F,2,FALSE),"")</f>
        <v>CINTA TRANSPORTADORA 0,90 m x 15 m</v>
      </c>
      <c r="K266" s="330" t="str">
        <f>IF(B266&lt;&gt;"",+VLOOKUP(I266,Recursos!C:F,3,FALSE),"")</f>
        <v>HR</v>
      </c>
      <c r="L266" s="327">
        <f>IF(B266&lt;&gt;"",+VLOOKUP(I266,Recursos!C:F,4,FALSE),"")</f>
        <v>310.85999999999996</v>
      </c>
      <c r="M266" s="416"/>
      <c r="N266" s="416">
        <v>4</v>
      </c>
      <c r="O266" s="433">
        <f t="shared" si="118"/>
        <v>4</v>
      </c>
      <c r="P266" s="333">
        <f t="shared" si="130"/>
        <v>1243.4399999999998</v>
      </c>
      <c r="Q266" s="327">
        <f t="shared" si="131"/>
        <v>0</v>
      </c>
      <c r="R266" s="334">
        <f t="shared" si="132"/>
        <v>0</v>
      </c>
      <c r="S266" s="335">
        <f t="shared" si="121"/>
        <v>3423.3956014122646</v>
      </c>
      <c r="T266" s="335">
        <f t="shared" si="122"/>
        <v>8548.4556753246743</v>
      </c>
      <c r="U266" s="336">
        <f t="shared" si="123"/>
        <v>37.5</v>
      </c>
      <c r="V266" s="336">
        <f t="shared" si="124"/>
        <v>0</v>
      </c>
      <c r="W266" s="336">
        <f t="shared" si="125"/>
        <v>0</v>
      </c>
      <c r="X266" s="336">
        <f t="shared" si="126"/>
        <v>0</v>
      </c>
      <c r="Y266" s="320"/>
      <c r="Z266" s="321" t="str">
        <f t="shared" si="133"/>
        <v>X-BASE04A</v>
      </c>
      <c r="AA266" s="321" t="str">
        <f t="shared" si="134"/>
        <v>X-BASE04E</v>
      </c>
      <c r="AB266" s="321" t="str">
        <f t="shared" si="135"/>
        <v>X-BASE04M</v>
      </c>
      <c r="AC266" s="321" t="str">
        <f t="shared" si="136"/>
        <v>X-BASE04T</v>
      </c>
      <c r="AD266" s="321" t="str">
        <f t="shared" si="137"/>
        <v>X-BASE04S</v>
      </c>
      <c r="AE266" s="321" t="str">
        <f t="shared" si="138"/>
        <v>X-BASE04X</v>
      </c>
      <c r="AF266" s="321" t="str">
        <f t="shared" si="139"/>
        <v>X-BASE04E</v>
      </c>
      <c r="AG266" s="321">
        <f t="shared" si="127"/>
        <v>12</v>
      </c>
      <c r="AH266" s="321"/>
      <c r="AI266" s="321" t="str">
        <f t="shared" si="140"/>
        <v>X-BASE04</v>
      </c>
      <c r="AJ266" s="320"/>
      <c r="AK266" s="322">
        <f t="shared" si="128"/>
        <v>257</v>
      </c>
      <c r="AL266" s="323">
        <f t="shared" si="141"/>
        <v>268</v>
      </c>
      <c r="AM266" s="322">
        <f t="shared" si="142"/>
        <v>10</v>
      </c>
      <c r="AN266" s="381">
        <f t="shared" si="129"/>
        <v>7</v>
      </c>
      <c r="AO266" s="322"/>
    </row>
    <row r="267" spans="2:41">
      <c r="B267" s="324" t="s">
        <v>1489</v>
      </c>
      <c r="C267" s="325" t="s">
        <v>1490</v>
      </c>
      <c r="D267" s="326" t="s">
        <v>1473</v>
      </c>
      <c r="E267" s="327">
        <f>+SUMIF('AUX-NIV2'!I:I,'AUX-NIV3'!B267,'AUX-NIV2'!Q:Q)</f>
        <v>0</v>
      </c>
      <c r="F267" s="327">
        <f t="shared" si="119"/>
        <v>12009.351276736943</v>
      </c>
      <c r="G267" s="327">
        <f t="shared" si="120"/>
        <v>0</v>
      </c>
      <c r="H267" s="328" t="str">
        <f t="shared" si="117"/>
        <v>E</v>
      </c>
      <c r="I267" s="325" t="s">
        <v>1606</v>
      </c>
      <c r="J267" s="329" t="str">
        <f>IF(B267&lt;&gt;"",+VLOOKUP(I267,Recursos!C:F,2,FALSE),"")</f>
        <v>PLANTA DE ZARANDEO 100/175 T/H</v>
      </c>
      <c r="K267" s="330" t="str">
        <f>IF(B267&lt;&gt;"",+VLOOKUP(I267,Recursos!C:F,3,FALSE),"")</f>
        <v>HR</v>
      </c>
      <c r="L267" s="327">
        <f>IF(B267&lt;&gt;"",+VLOOKUP(I267,Recursos!C:F,4,FALSE),"")</f>
        <v>793.94899999999996</v>
      </c>
      <c r="M267" s="416"/>
      <c r="N267" s="416">
        <v>1</v>
      </c>
      <c r="O267" s="433">
        <f t="shared" si="118"/>
        <v>1</v>
      </c>
      <c r="P267" s="333">
        <f t="shared" si="130"/>
        <v>793.94899999999996</v>
      </c>
      <c r="Q267" s="327">
        <f t="shared" si="131"/>
        <v>0</v>
      </c>
      <c r="R267" s="334">
        <f t="shared" si="132"/>
        <v>0</v>
      </c>
      <c r="S267" s="335">
        <f t="shared" si="121"/>
        <v>3423.3956014122646</v>
      </c>
      <c r="T267" s="335">
        <f t="shared" si="122"/>
        <v>8548.4556753246743</v>
      </c>
      <c r="U267" s="336">
        <f t="shared" si="123"/>
        <v>37.5</v>
      </c>
      <c r="V267" s="336">
        <f t="shared" si="124"/>
        <v>0</v>
      </c>
      <c r="W267" s="336">
        <f t="shared" si="125"/>
        <v>0</v>
      </c>
      <c r="X267" s="336">
        <f t="shared" si="126"/>
        <v>0</v>
      </c>
      <c r="Y267" s="320"/>
      <c r="Z267" s="321" t="str">
        <f t="shared" si="133"/>
        <v>X-BASE04A</v>
      </c>
      <c r="AA267" s="321" t="str">
        <f t="shared" si="134"/>
        <v>X-BASE04E</v>
      </c>
      <c r="AB267" s="321" t="str">
        <f t="shared" si="135"/>
        <v>X-BASE04M</v>
      </c>
      <c r="AC267" s="321" t="str">
        <f t="shared" si="136"/>
        <v>X-BASE04T</v>
      </c>
      <c r="AD267" s="321" t="str">
        <f t="shared" si="137"/>
        <v>X-BASE04S</v>
      </c>
      <c r="AE267" s="321" t="str">
        <f t="shared" si="138"/>
        <v>X-BASE04X</v>
      </c>
      <c r="AF267" s="321" t="str">
        <f t="shared" si="139"/>
        <v>X-BASE04E</v>
      </c>
      <c r="AG267" s="321">
        <f t="shared" si="127"/>
        <v>12</v>
      </c>
      <c r="AH267" s="321"/>
      <c r="AI267" s="321" t="str">
        <f t="shared" si="140"/>
        <v>X-BASE04</v>
      </c>
      <c r="AJ267" s="320"/>
      <c r="AK267" s="322">
        <f t="shared" si="128"/>
        <v>257</v>
      </c>
      <c r="AL267" s="323">
        <f t="shared" si="141"/>
        <v>268</v>
      </c>
      <c r="AM267" s="322">
        <f t="shared" si="142"/>
        <v>11</v>
      </c>
      <c r="AN267" s="381">
        <f t="shared" si="129"/>
        <v>7</v>
      </c>
      <c r="AO267" s="322"/>
    </row>
    <row r="268" spans="2:41">
      <c r="B268" s="324" t="s">
        <v>1489</v>
      </c>
      <c r="C268" s="325" t="s">
        <v>1490</v>
      </c>
      <c r="D268" s="326" t="s">
        <v>1473</v>
      </c>
      <c r="E268" s="327">
        <f>+SUMIF('AUX-NIV2'!I:I,'AUX-NIV3'!B268,'AUX-NIV2'!Q:Q)</f>
        <v>0</v>
      </c>
      <c r="F268" s="327">
        <f t="shared" si="119"/>
        <v>12009.351276736943</v>
      </c>
      <c r="G268" s="327">
        <f t="shared" si="120"/>
        <v>0</v>
      </c>
      <c r="H268" s="328" t="str">
        <f t="shared" si="117"/>
        <v>M</v>
      </c>
      <c r="I268" s="325" t="s">
        <v>621</v>
      </c>
      <c r="J268" s="329" t="str">
        <f>IF(B268&lt;&gt;"",+VLOOKUP(I268,Recursos!C:F,2,FALSE),"")</f>
        <v>MATERIALES VARIOS</v>
      </c>
      <c r="K268" s="330" t="str">
        <f>IF(B268&lt;&gt;"",+VLOOKUP(I268,Recursos!C:F,3,FALSE),"")</f>
        <v>GL</v>
      </c>
      <c r="L268" s="327">
        <f>IF(B268&lt;&gt;"",+VLOOKUP(I268,Recursos!C:F,4,FALSE),"")</f>
        <v>0.5</v>
      </c>
      <c r="M268" s="416"/>
      <c r="N268" s="416">
        <v>75</v>
      </c>
      <c r="O268" s="433">
        <f t="shared" si="118"/>
        <v>75</v>
      </c>
      <c r="P268" s="333">
        <f t="shared" si="130"/>
        <v>37.5</v>
      </c>
      <c r="Q268" s="327">
        <f t="shared" si="131"/>
        <v>0</v>
      </c>
      <c r="R268" s="334">
        <f t="shared" si="132"/>
        <v>0</v>
      </c>
      <c r="S268" s="335">
        <f t="shared" si="121"/>
        <v>3423.3956014122646</v>
      </c>
      <c r="T268" s="335">
        <f t="shared" si="122"/>
        <v>8548.4556753246743</v>
      </c>
      <c r="U268" s="336">
        <f t="shared" si="123"/>
        <v>37.5</v>
      </c>
      <c r="V268" s="336">
        <f t="shared" si="124"/>
        <v>0</v>
      </c>
      <c r="W268" s="336">
        <f t="shared" si="125"/>
        <v>0</v>
      </c>
      <c r="X268" s="336">
        <f t="shared" si="126"/>
        <v>0</v>
      </c>
      <c r="Y268" s="320"/>
      <c r="Z268" s="321" t="str">
        <f t="shared" si="133"/>
        <v>X-BASE04A</v>
      </c>
      <c r="AA268" s="321" t="str">
        <f t="shared" si="134"/>
        <v>X-BASE04E</v>
      </c>
      <c r="AB268" s="321" t="str">
        <f t="shared" si="135"/>
        <v>X-BASE04M</v>
      </c>
      <c r="AC268" s="321" t="str">
        <f t="shared" si="136"/>
        <v>X-BASE04T</v>
      </c>
      <c r="AD268" s="321" t="str">
        <f t="shared" si="137"/>
        <v>X-BASE04S</v>
      </c>
      <c r="AE268" s="321" t="str">
        <f t="shared" si="138"/>
        <v>X-BASE04X</v>
      </c>
      <c r="AF268" s="321" t="str">
        <f t="shared" si="139"/>
        <v>X-BASE04M</v>
      </c>
      <c r="AG268" s="321">
        <f t="shared" si="127"/>
        <v>12</v>
      </c>
      <c r="AH268" s="321"/>
      <c r="AI268" s="321" t="str">
        <f t="shared" si="140"/>
        <v>X-BASE04</v>
      </c>
      <c r="AJ268" s="320"/>
      <c r="AK268" s="322">
        <f t="shared" si="128"/>
        <v>257</v>
      </c>
      <c r="AL268" s="323">
        <f t="shared" si="141"/>
        <v>268</v>
      </c>
      <c r="AM268" s="322">
        <f t="shared" si="142"/>
        <v>12</v>
      </c>
      <c r="AN268" s="381">
        <f t="shared" si="129"/>
        <v>7</v>
      </c>
      <c r="AO268" s="322"/>
    </row>
    <row r="269" spans="2:41">
      <c r="B269" s="324" t="s">
        <v>1494</v>
      </c>
      <c r="C269" s="325" t="s">
        <v>1495</v>
      </c>
      <c r="D269" s="326" t="s">
        <v>1408</v>
      </c>
      <c r="E269" s="327">
        <f>+SUMIF('AUX-NIV2'!I:I,'AUX-NIV3'!B269,'AUX-NIV2'!Q:Q)</f>
        <v>0</v>
      </c>
      <c r="F269" s="327">
        <f t="shared" si="119"/>
        <v>140572.42701070526</v>
      </c>
      <c r="G269" s="327">
        <f t="shared" si="120"/>
        <v>0</v>
      </c>
      <c r="H269" s="328" t="str">
        <f t="shared" si="117"/>
        <v>A</v>
      </c>
      <c r="I269" s="325" t="s">
        <v>1745</v>
      </c>
      <c r="J269" s="329" t="str">
        <f>IF(B269&lt;&gt;"",+VLOOKUP(I269,Recursos!C:F,2,FALSE),"")</f>
        <v>AYUDANTE</v>
      </c>
      <c r="K269" s="330" t="str">
        <f>IF(B269&lt;&gt;"",+VLOOKUP(I269,Recursos!C:F,3,FALSE),"")</f>
        <v>hh</v>
      </c>
      <c r="L269" s="327">
        <f>IF(B269&lt;&gt;"",+VLOOKUP(I269,Recursos!C:F,4,FALSE),"")</f>
        <v>422.48042769667234</v>
      </c>
      <c r="M269" s="331">
        <v>10000</v>
      </c>
      <c r="N269" s="331">
        <v>1</v>
      </c>
      <c r="O269" s="433">
        <f>N269*M269/N271</f>
        <v>13.333333333333334</v>
      </c>
      <c r="P269" s="333">
        <f t="shared" si="130"/>
        <v>5633.0723692889651</v>
      </c>
      <c r="Q269" s="327">
        <f t="shared" si="131"/>
        <v>0</v>
      </c>
      <c r="R269" s="334">
        <f t="shared" si="132"/>
        <v>0</v>
      </c>
      <c r="S269" s="335">
        <f t="shared" si="121"/>
        <v>18803.793010705249</v>
      </c>
      <c r="T269" s="335">
        <f t="shared" si="122"/>
        <v>118918.63400000002</v>
      </c>
      <c r="U269" s="336">
        <f t="shared" si="123"/>
        <v>2850</v>
      </c>
      <c r="V269" s="336">
        <f t="shared" si="124"/>
        <v>0</v>
      </c>
      <c r="W269" s="336">
        <f t="shared" si="125"/>
        <v>0</v>
      </c>
      <c r="X269" s="336">
        <f t="shared" si="126"/>
        <v>0</v>
      </c>
      <c r="Y269" s="320"/>
      <c r="Z269" s="321" t="str">
        <f t="shared" si="133"/>
        <v>X-EXCLI02A</v>
      </c>
      <c r="AA269" s="321" t="str">
        <f t="shared" si="134"/>
        <v>X-EXCLI02E</v>
      </c>
      <c r="AB269" s="321" t="str">
        <f t="shared" si="135"/>
        <v>X-EXCLI02M</v>
      </c>
      <c r="AC269" s="321" t="str">
        <f t="shared" si="136"/>
        <v>X-EXCLI02T</v>
      </c>
      <c r="AD269" s="321" t="str">
        <f t="shared" si="137"/>
        <v>X-EXCLI02S</v>
      </c>
      <c r="AE269" s="321" t="str">
        <f t="shared" si="138"/>
        <v>X-EXCLI02X</v>
      </c>
      <c r="AF269" s="321" t="str">
        <f t="shared" si="139"/>
        <v>X-EXCLI02A</v>
      </c>
      <c r="AG269" s="321">
        <f t="shared" si="127"/>
        <v>7</v>
      </c>
      <c r="AH269" s="321"/>
      <c r="AI269" s="321" t="str">
        <f t="shared" si="140"/>
        <v>X-EXCLI02</v>
      </c>
      <c r="AJ269" s="320"/>
      <c r="AK269" s="322">
        <f t="shared" si="128"/>
        <v>269</v>
      </c>
      <c r="AL269" s="323">
        <f t="shared" si="141"/>
        <v>275</v>
      </c>
      <c r="AM269" s="322">
        <f t="shared" si="142"/>
        <v>1</v>
      </c>
      <c r="AN269" s="381">
        <f t="shared" si="129"/>
        <v>36</v>
      </c>
      <c r="AO269" s="322"/>
    </row>
    <row r="270" spans="2:41">
      <c r="B270" s="324" t="s">
        <v>1494</v>
      </c>
      <c r="C270" s="325" t="s">
        <v>1495</v>
      </c>
      <c r="D270" s="326" t="s">
        <v>1408</v>
      </c>
      <c r="E270" s="327">
        <f>+SUMIF('AUX-NIV2'!I:I,'AUX-NIV3'!B270,'AUX-NIV2'!Q:Q)</f>
        <v>0</v>
      </c>
      <c r="F270" s="327">
        <f t="shared" si="119"/>
        <v>140572.42701070526</v>
      </c>
      <c r="G270" s="327">
        <f t="shared" si="120"/>
        <v>0</v>
      </c>
      <c r="H270" s="328" t="str">
        <f t="shared" si="117"/>
        <v>A</v>
      </c>
      <c r="I270" s="325" t="s">
        <v>3311</v>
      </c>
      <c r="J270" s="329" t="str">
        <f>IF(B270&lt;&gt;"",+VLOOKUP(I270,Recursos!C:F,2,FALSE),"")</f>
        <v>OPER. EQUIPO</v>
      </c>
      <c r="K270" s="330" t="str">
        <f>IF(B270&lt;&gt;"",+VLOOKUP(I270,Recursos!C:F,3,FALSE),"")</f>
        <v>hh</v>
      </c>
      <c r="L270" s="327">
        <f>IF(B270&lt;&gt;"",+VLOOKUP(I270,Recursos!C:F,4,FALSE),"")</f>
        <v>581.06120476836554</v>
      </c>
      <c r="M270" s="331"/>
      <c r="N270" s="331"/>
      <c r="O270" s="433">
        <f>+M269/N271</f>
        <v>13.333333333333334</v>
      </c>
      <c r="P270" s="333">
        <f t="shared" si="130"/>
        <v>7747.4827302448739</v>
      </c>
      <c r="Q270" s="327">
        <f t="shared" si="131"/>
        <v>0</v>
      </c>
      <c r="R270" s="334">
        <f t="shared" si="132"/>
        <v>0</v>
      </c>
      <c r="S270" s="335">
        <f t="shared" si="121"/>
        <v>18803.793010705249</v>
      </c>
      <c r="T270" s="335">
        <f t="shared" si="122"/>
        <v>118918.63400000002</v>
      </c>
      <c r="U270" s="336">
        <f t="shared" si="123"/>
        <v>2850</v>
      </c>
      <c r="V270" s="336">
        <f t="shared" si="124"/>
        <v>0</v>
      </c>
      <c r="W270" s="336">
        <f t="shared" si="125"/>
        <v>0</v>
      </c>
      <c r="X270" s="336">
        <f t="shared" si="126"/>
        <v>0</v>
      </c>
      <c r="Y270" s="320"/>
      <c r="Z270" s="321" t="str">
        <f t="shared" si="133"/>
        <v>X-EXCLI02A</v>
      </c>
      <c r="AA270" s="321" t="str">
        <f t="shared" si="134"/>
        <v>X-EXCLI02E</v>
      </c>
      <c r="AB270" s="321" t="str">
        <f t="shared" si="135"/>
        <v>X-EXCLI02M</v>
      </c>
      <c r="AC270" s="321" t="str">
        <f t="shared" si="136"/>
        <v>X-EXCLI02T</v>
      </c>
      <c r="AD270" s="321" t="str">
        <f t="shared" si="137"/>
        <v>X-EXCLI02S</v>
      </c>
      <c r="AE270" s="321" t="str">
        <f t="shared" si="138"/>
        <v>X-EXCLI02X</v>
      </c>
      <c r="AF270" s="321" t="str">
        <f t="shared" si="139"/>
        <v>X-EXCLI02A</v>
      </c>
      <c r="AG270" s="321">
        <f t="shared" si="127"/>
        <v>7</v>
      </c>
      <c r="AH270" s="321"/>
      <c r="AI270" s="321" t="str">
        <f t="shared" si="140"/>
        <v>X-EXCLI02</v>
      </c>
      <c r="AJ270" s="320"/>
      <c r="AK270" s="322">
        <f t="shared" si="128"/>
        <v>269</v>
      </c>
      <c r="AL270" s="323">
        <f t="shared" si="141"/>
        <v>275</v>
      </c>
      <c r="AM270" s="322">
        <f t="shared" si="142"/>
        <v>2</v>
      </c>
      <c r="AN270" s="381">
        <f t="shared" si="129"/>
        <v>36</v>
      </c>
      <c r="AO270" s="322"/>
    </row>
    <row r="271" spans="2:41">
      <c r="B271" s="324" t="s">
        <v>1494</v>
      </c>
      <c r="C271" s="325" t="s">
        <v>1495</v>
      </c>
      <c r="D271" s="326" t="s">
        <v>1408</v>
      </c>
      <c r="E271" s="327">
        <f>+SUMIF('AUX-NIV2'!I:I,'AUX-NIV3'!B271,'AUX-NIV2'!Q:Q)</f>
        <v>0</v>
      </c>
      <c r="F271" s="327">
        <f t="shared" si="119"/>
        <v>140572.42701070526</v>
      </c>
      <c r="G271" s="327">
        <f t="shared" si="120"/>
        <v>0</v>
      </c>
      <c r="H271" s="328" t="str">
        <f t="shared" si="117"/>
        <v>E</v>
      </c>
      <c r="I271" s="325" t="s">
        <v>1537</v>
      </c>
      <c r="J271" s="329" t="str">
        <f>IF(B271&lt;&gt;"",+VLOOKUP(I271,Recursos!C:F,2,FALSE),"")</f>
        <v xml:space="preserve">TOPADORA SIN ESC.(34 T) </v>
      </c>
      <c r="K271" s="330" t="str">
        <f>IF(B271&lt;&gt;"",+VLOOKUP(I271,Recursos!C:F,3,FALSE),"")</f>
        <v>HR</v>
      </c>
      <c r="L271" s="327">
        <f>IF(B271&lt;&gt;"",+VLOOKUP(I271,Recursos!C:F,4,FALSE),"")</f>
        <v>6615.2070000000003</v>
      </c>
      <c r="M271" s="331"/>
      <c r="N271" s="331">
        <v>750</v>
      </c>
      <c r="O271" s="433">
        <f>+M269/N271</f>
        <v>13.333333333333334</v>
      </c>
      <c r="P271" s="333">
        <f t="shared" si="130"/>
        <v>88202.760000000009</v>
      </c>
      <c r="Q271" s="327">
        <f t="shared" si="131"/>
        <v>0</v>
      </c>
      <c r="R271" s="334">
        <f t="shared" si="132"/>
        <v>0</v>
      </c>
      <c r="S271" s="335">
        <f t="shared" si="121"/>
        <v>18803.793010705249</v>
      </c>
      <c r="T271" s="335">
        <f t="shared" si="122"/>
        <v>118918.63400000002</v>
      </c>
      <c r="U271" s="336">
        <f t="shared" si="123"/>
        <v>2850</v>
      </c>
      <c r="V271" s="336">
        <f t="shared" si="124"/>
        <v>0</v>
      </c>
      <c r="W271" s="336">
        <f t="shared" si="125"/>
        <v>0</v>
      </c>
      <c r="X271" s="336">
        <f t="shared" si="126"/>
        <v>0</v>
      </c>
      <c r="Y271" s="320"/>
      <c r="Z271" s="321" t="str">
        <f t="shared" si="133"/>
        <v>X-EXCLI02A</v>
      </c>
      <c r="AA271" s="321" t="str">
        <f t="shared" si="134"/>
        <v>X-EXCLI02E</v>
      </c>
      <c r="AB271" s="321" t="str">
        <f t="shared" si="135"/>
        <v>X-EXCLI02M</v>
      </c>
      <c r="AC271" s="321" t="str">
        <f t="shared" si="136"/>
        <v>X-EXCLI02T</v>
      </c>
      <c r="AD271" s="321" t="str">
        <f t="shared" si="137"/>
        <v>X-EXCLI02S</v>
      </c>
      <c r="AE271" s="321" t="str">
        <f t="shared" si="138"/>
        <v>X-EXCLI02X</v>
      </c>
      <c r="AF271" s="321" t="str">
        <f t="shared" si="139"/>
        <v>X-EXCLI02E</v>
      </c>
      <c r="AG271" s="321">
        <f t="shared" si="127"/>
        <v>7</v>
      </c>
      <c r="AH271" s="321"/>
      <c r="AI271" s="321" t="str">
        <f t="shared" si="140"/>
        <v>X-EXCLI02</v>
      </c>
      <c r="AJ271" s="320"/>
      <c r="AK271" s="322">
        <f t="shared" si="128"/>
        <v>269</v>
      </c>
      <c r="AL271" s="323">
        <f t="shared" si="141"/>
        <v>275</v>
      </c>
      <c r="AM271" s="322">
        <f t="shared" si="142"/>
        <v>3</v>
      </c>
      <c r="AN271" s="381">
        <f t="shared" si="129"/>
        <v>36</v>
      </c>
      <c r="AO271" s="322"/>
    </row>
    <row r="272" spans="2:41">
      <c r="B272" s="324" t="s">
        <v>1494</v>
      </c>
      <c r="C272" s="325" t="s">
        <v>1495</v>
      </c>
      <c r="D272" s="326" t="s">
        <v>1408</v>
      </c>
      <c r="E272" s="327">
        <f>+SUMIF('AUX-NIV2'!I:I,'AUX-NIV3'!B272,'AUX-NIV2'!Q:Q)</f>
        <v>0</v>
      </c>
      <c r="F272" s="327">
        <f t="shared" si="119"/>
        <v>140572.42701070526</v>
      </c>
      <c r="G272" s="327">
        <f t="shared" si="120"/>
        <v>0</v>
      </c>
      <c r="H272" s="328" t="str">
        <f t="shared" ref="H272:H289" si="143">IF(B272&lt;&gt;"",+LEFT(I272,1),"")</f>
        <v>A</v>
      </c>
      <c r="I272" s="325" t="s">
        <v>3311</v>
      </c>
      <c r="J272" s="329" t="str">
        <f>IF(B272&lt;&gt;"",+VLOOKUP(I272,Recursos!C:F,2,FALSE),"")</f>
        <v>OPER. EQUIPO</v>
      </c>
      <c r="K272" s="330" t="str">
        <f>IF(B272&lt;&gt;"",+VLOOKUP(I272,Recursos!C:F,3,FALSE),"")</f>
        <v>hh</v>
      </c>
      <c r="L272" s="327">
        <f>IF(B272&lt;&gt;"",+VLOOKUP(I272,Recursos!C:F,4,FALSE),"")</f>
        <v>581.06120476836554</v>
      </c>
      <c r="M272" s="331"/>
      <c r="N272" s="331"/>
      <c r="O272" s="433">
        <f>+O273+O274</f>
        <v>9.3333333333333339</v>
      </c>
      <c r="P272" s="333">
        <f t="shared" si="130"/>
        <v>5423.2379111714117</v>
      </c>
      <c r="Q272" s="327">
        <f t="shared" si="131"/>
        <v>0</v>
      </c>
      <c r="R272" s="334">
        <f t="shared" si="132"/>
        <v>0</v>
      </c>
      <c r="S272" s="335">
        <f t="shared" si="121"/>
        <v>18803.793010705249</v>
      </c>
      <c r="T272" s="335">
        <f t="shared" si="122"/>
        <v>118918.63400000002</v>
      </c>
      <c r="U272" s="336">
        <f t="shared" si="123"/>
        <v>2850</v>
      </c>
      <c r="V272" s="336">
        <f t="shared" si="124"/>
        <v>0</v>
      </c>
      <c r="W272" s="336">
        <f t="shared" si="125"/>
        <v>0</v>
      </c>
      <c r="X272" s="336">
        <f t="shared" si="126"/>
        <v>0</v>
      </c>
      <c r="Y272" s="320"/>
      <c r="Z272" s="321" t="str">
        <f t="shared" si="133"/>
        <v>X-EXCLI02A</v>
      </c>
      <c r="AA272" s="321" t="str">
        <f t="shared" si="134"/>
        <v>X-EXCLI02E</v>
      </c>
      <c r="AB272" s="321" t="str">
        <f t="shared" si="135"/>
        <v>X-EXCLI02M</v>
      </c>
      <c r="AC272" s="321" t="str">
        <f t="shared" si="136"/>
        <v>X-EXCLI02T</v>
      </c>
      <c r="AD272" s="321" t="str">
        <f t="shared" si="137"/>
        <v>X-EXCLI02S</v>
      </c>
      <c r="AE272" s="321" t="str">
        <f t="shared" si="138"/>
        <v>X-EXCLI02X</v>
      </c>
      <c r="AF272" s="321" t="str">
        <f t="shared" si="139"/>
        <v>X-EXCLI02A</v>
      </c>
      <c r="AG272" s="321">
        <f t="shared" si="127"/>
        <v>7</v>
      </c>
      <c r="AH272" s="321"/>
      <c r="AI272" s="321" t="str">
        <f t="shared" si="140"/>
        <v>X-EXCLI02</v>
      </c>
      <c r="AJ272" s="320"/>
      <c r="AK272" s="322">
        <f t="shared" si="128"/>
        <v>269</v>
      </c>
      <c r="AL272" s="323">
        <f t="shared" si="141"/>
        <v>275</v>
      </c>
      <c r="AM272" s="322">
        <f t="shared" si="142"/>
        <v>4</v>
      </c>
      <c r="AN272" s="381">
        <f t="shared" si="129"/>
        <v>36</v>
      </c>
      <c r="AO272" s="322"/>
    </row>
    <row r="273" spans="2:80">
      <c r="B273" s="324" t="s">
        <v>1494</v>
      </c>
      <c r="C273" s="325" t="s">
        <v>1495</v>
      </c>
      <c r="D273" s="326" t="s">
        <v>1408</v>
      </c>
      <c r="E273" s="327">
        <f>+SUMIF('AUX-NIV2'!I:I,'AUX-NIV3'!B273,'AUX-NIV2'!Q:Q)</f>
        <v>0</v>
      </c>
      <c r="F273" s="327">
        <f t="shared" si="119"/>
        <v>140572.42701070526</v>
      </c>
      <c r="G273" s="327">
        <f t="shared" si="120"/>
        <v>0</v>
      </c>
      <c r="H273" s="328" t="str">
        <f t="shared" si="143"/>
        <v>E</v>
      </c>
      <c r="I273" s="325" t="s">
        <v>1553</v>
      </c>
      <c r="J273" s="329" t="str">
        <f>IF(B273&lt;&gt;"",+VLOOKUP(I273,Recursos!C:F,2,FALSE),"")</f>
        <v>RETROEXCAVADORA S/CARRILES  1,1 M3</v>
      </c>
      <c r="K273" s="330" t="str">
        <f>IF(B273&lt;&gt;"",+VLOOKUP(I273,Recursos!C:F,3,FALSE),"")</f>
        <v>HR</v>
      </c>
      <c r="L273" s="327">
        <f>IF(B273&lt;&gt;"",+VLOOKUP(I273,Recursos!C:F,4,FALSE),"")</f>
        <v>3248.7120000000004</v>
      </c>
      <c r="M273" s="331"/>
      <c r="N273" s="331">
        <v>0.35</v>
      </c>
      <c r="O273" s="433">
        <f>+N273*M269/N271</f>
        <v>4.666666666666667</v>
      </c>
      <c r="P273" s="333">
        <f t="shared" si="130"/>
        <v>15160.656000000003</v>
      </c>
      <c r="Q273" s="327">
        <f t="shared" si="131"/>
        <v>0</v>
      </c>
      <c r="R273" s="334">
        <f t="shared" si="132"/>
        <v>0</v>
      </c>
      <c r="S273" s="335">
        <f t="shared" si="121"/>
        <v>18803.793010705249</v>
      </c>
      <c r="T273" s="335">
        <f t="shared" si="122"/>
        <v>118918.63400000002</v>
      </c>
      <c r="U273" s="336">
        <f t="shared" si="123"/>
        <v>2850</v>
      </c>
      <c r="V273" s="336">
        <f t="shared" si="124"/>
        <v>0</v>
      </c>
      <c r="W273" s="336">
        <f t="shared" si="125"/>
        <v>0</v>
      </c>
      <c r="X273" s="336">
        <f t="shared" si="126"/>
        <v>0</v>
      </c>
      <c r="Y273" s="320"/>
      <c r="Z273" s="321" t="str">
        <f t="shared" si="133"/>
        <v>X-EXCLI02A</v>
      </c>
      <c r="AA273" s="321" t="str">
        <f t="shared" si="134"/>
        <v>X-EXCLI02E</v>
      </c>
      <c r="AB273" s="321" t="str">
        <f t="shared" si="135"/>
        <v>X-EXCLI02M</v>
      </c>
      <c r="AC273" s="321" t="str">
        <f t="shared" si="136"/>
        <v>X-EXCLI02T</v>
      </c>
      <c r="AD273" s="321" t="str">
        <f t="shared" si="137"/>
        <v>X-EXCLI02S</v>
      </c>
      <c r="AE273" s="321" t="str">
        <f t="shared" si="138"/>
        <v>X-EXCLI02X</v>
      </c>
      <c r="AF273" s="321" t="str">
        <f t="shared" si="139"/>
        <v>X-EXCLI02E</v>
      </c>
      <c r="AG273" s="321">
        <f t="shared" si="127"/>
        <v>7</v>
      </c>
      <c r="AH273" s="321"/>
      <c r="AI273" s="321" t="str">
        <f t="shared" si="140"/>
        <v>X-EXCLI02</v>
      </c>
      <c r="AJ273" s="320"/>
      <c r="AK273" s="322">
        <f t="shared" si="128"/>
        <v>269</v>
      </c>
      <c r="AL273" s="323">
        <f t="shared" si="141"/>
        <v>275</v>
      </c>
      <c r="AM273" s="322">
        <f t="shared" si="142"/>
        <v>5</v>
      </c>
      <c r="AN273" s="381">
        <f t="shared" si="129"/>
        <v>36</v>
      </c>
      <c r="AO273" s="322"/>
    </row>
    <row r="274" spans="2:80">
      <c r="B274" s="324" t="s">
        <v>1494</v>
      </c>
      <c r="C274" s="325" t="s">
        <v>1495</v>
      </c>
      <c r="D274" s="326" t="s">
        <v>1408</v>
      </c>
      <c r="E274" s="327">
        <f>+SUMIF('AUX-NIV2'!I:I,'AUX-NIV3'!B274,'AUX-NIV2'!Q:Q)</f>
        <v>0</v>
      </c>
      <c r="F274" s="327">
        <f t="shared" si="119"/>
        <v>140572.42701070526</v>
      </c>
      <c r="G274" s="327">
        <f t="shared" si="120"/>
        <v>0</v>
      </c>
      <c r="H274" s="328" t="str">
        <f t="shared" si="143"/>
        <v>E</v>
      </c>
      <c r="I274" s="325" t="s">
        <v>1555</v>
      </c>
      <c r="J274" s="329" t="str">
        <f>IF(B274&lt;&gt;"",+VLOOKUP(I274,Recursos!C:F,2,FALSE),"")</f>
        <v>CAMION VOLCADOR 6x4 CAP. 24 T=15 m3</v>
      </c>
      <c r="K274" s="330" t="str">
        <f>IF(B274&lt;&gt;"",+VLOOKUP(I274,Recursos!C:F,3,FALSE),"")</f>
        <v>HR</v>
      </c>
      <c r="L274" s="327">
        <f>IF(B274&lt;&gt;"",+VLOOKUP(I274,Recursos!C:F,4,FALSE),"")</f>
        <v>3333.261</v>
      </c>
      <c r="M274" s="331"/>
      <c r="N274" s="331"/>
      <c r="O274" s="433">
        <f>+O273</f>
        <v>4.666666666666667</v>
      </c>
      <c r="P274" s="333">
        <f t="shared" si="130"/>
        <v>15555.218000000001</v>
      </c>
      <c r="Q274" s="327">
        <f t="shared" si="131"/>
        <v>0</v>
      </c>
      <c r="R274" s="334">
        <f t="shared" si="132"/>
        <v>0</v>
      </c>
      <c r="S274" s="335">
        <f t="shared" si="121"/>
        <v>18803.793010705249</v>
      </c>
      <c r="T274" s="335">
        <f t="shared" si="122"/>
        <v>118918.63400000002</v>
      </c>
      <c r="U274" s="336">
        <f t="shared" si="123"/>
        <v>2850</v>
      </c>
      <c r="V274" s="336">
        <f t="shared" si="124"/>
        <v>0</v>
      </c>
      <c r="W274" s="336">
        <f t="shared" si="125"/>
        <v>0</v>
      </c>
      <c r="X274" s="336">
        <f t="shared" si="126"/>
        <v>0</v>
      </c>
      <c r="Y274" s="320"/>
      <c r="Z274" s="321" t="str">
        <f t="shared" si="133"/>
        <v>X-EXCLI02A</v>
      </c>
      <c r="AA274" s="321" t="str">
        <f t="shared" si="134"/>
        <v>X-EXCLI02E</v>
      </c>
      <c r="AB274" s="321" t="str">
        <f t="shared" si="135"/>
        <v>X-EXCLI02M</v>
      </c>
      <c r="AC274" s="321" t="str">
        <f t="shared" si="136"/>
        <v>X-EXCLI02T</v>
      </c>
      <c r="AD274" s="321" t="str">
        <f t="shared" si="137"/>
        <v>X-EXCLI02S</v>
      </c>
      <c r="AE274" s="321" t="str">
        <f t="shared" si="138"/>
        <v>X-EXCLI02X</v>
      </c>
      <c r="AF274" s="321" t="str">
        <f t="shared" si="139"/>
        <v>X-EXCLI02E</v>
      </c>
      <c r="AG274" s="321">
        <f t="shared" si="127"/>
        <v>7</v>
      </c>
      <c r="AH274" s="321"/>
      <c r="AI274" s="321" t="str">
        <f t="shared" si="140"/>
        <v>X-EXCLI02</v>
      </c>
      <c r="AJ274" s="320"/>
      <c r="AK274" s="322">
        <f t="shared" si="128"/>
        <v>269</v>
      </c>
      <c r="AL274" s="323">
        <f t="shared" si="141"/>
        <v>275</v>
      </c>
      <c r="AM274" s="322">
        <f t="shared" si="142"/>
        <v>6</v>
      </c>
      <c r="AN274" s="381">
        <f t="shared" si="129"/>
        <v>36</v>
      </c>
      <c r="AO274" s="322"/>
    </row>
    <row r="275" spans="2:80" ht="13.8" thickBot="1">
      <c r="B275" s="324" t="s">
        <v>1494</v>
      </c>
      <c r="C275" s="325" t="s">
        <v>1495</v>
      </c>
      <c r="D275" s="326" t="s">
        <v>1408</v>
      </c>
      <c r="E275" s="327">
        <f>+SUMIF('AUX-NIV2'!I:I,'AUX-NIV3'!B275,'AUX-NIV2'!Q:Q)</f>
        <v>0</v>
      </c>
      <c r="F275" s="327">
        <f t="shared" si="119"/>
        <v>140572.42701070526</v>
      </c>
      <c r="G275" s="327">
        <f t="shared" si="120"/>
        <v>0</v>
      </c>
      <c r="H275" s="328" t="str">
        <f t="shared" si="143"/>
        <v>M</v>
      </c>
      <c r="I275" s="325" t="s">
        <v>621</v>
      </c>
      <c r="J275" s="329" t="str">
        <f>IF(B275&lt;&gt;"",+VLOOKUP(I275,Recursos!C:F,2,FALSE),"")</f>
        <v>MATERIALES VARIOS</v>
      </c>
      <c r="K275" s="330" t="str">
        <f>IF(B275&lt;&gt;"",+VLOOKUP(I275,Recursos!C:F,3,FALSE),"")</f>
        <v>GL</v>
      </c>
      <c r="L275" s="327">
        <f>IF(B275&lt;&gt;"",+VLOOKUP(I275,Recursos!C:F,4,FALSE),"")</f>
        <v>0.5</v>
      </c>
      <c r="M275" s="331">
        <v>1</v>
      </c>
      <c r="N275" s="331">
        <v>5700</v>
      </c>
      <c r="O275" s="433">
        <f>+N275*M275</f>
        <v>5700</v>
      </c>
      <c r="P275" s="333">
        <f t="shared" si="130"/>
        <v>2850</v>
      </c>
      <c r="Q275" s="327">
        <f t="shared" si="131"/>
        <v>0</v>
      </c>
      <c r="R275" s="334">
        <f t="shared" si="132"/>
        <v>0</v>
      </c>
      <c r="S275" s="335">
        <f t="shared" si="121"/>
        <v>18803.793010705249</v>
      </c>
      <c r="T275" s="335">
        <f t="shared" si="122"/>
        <v>118918.63400000002</v>
      </c>
      <c r="U275" s="336">
        <f t="shared" si="123"/>
        <v>2850</v>
      </c>
      <c r="V275" s="336">
        <f t="shared" si="124"/>
        <v>0</v>
      </c>
      <c r="W275" s="336">
        <f t="shared" si="125"/>
        <v>0</v>
      </c>
      <c r="X275" s="336">
        <f t="shared" si="126"/>
        <v>0</v>
      </c>
      <c r="Y275" s="320"/>
      <c r="Z275" s="321" t="str">
        <f t="shared" si="133"/>
        <v>X-EXCLI02A</v>
      </c>
      <c r="AA275" s="321" t="str">
        <f t="shared" si="134"/>
        <v>X-EXCLI02E</v>
      </c>
      <c r="AB275" s="321" t="str">
        <f t="shared" si="135"/>
        <v>X-EXCLI02M</v>
      </c>
      <c r="AC275" s="321" t="str">
        <f t="shared" si="136"/>
        <v>X-EXCLI02T</v>
      </c>
      <c r="AD275" s="321" t="str">
        <f t="shared" si="137"/>
        <v>X-EXCLI02S</v>
      </c>
      <c r="AE275" s="321" t="str">
        <f t="shared" si="138"/>
        <v>X-EXCLI02X</v>
      </c>
      <c r="AF275" s="321" t="str">
        <f t="shared" si="139"/>
        <v>X-EXCLI02M</v>
      </c>
      <c r="AG275" s="321">
        <f t="shared" si="127"/>
        <v>7</v>
      </c>
      <c r="AH275" s="321"/>
      <c r="AI275" s="321" t="str">
        <f t="shared" si="140"/>
        <v>X-EXCLI02</v>
      </c>
      <c r="AJ275" s="320"/>
      <c r="AK275" s="322">
        <f t="shared" si="128"/>
        <v>269</v>
      </c>
      <c r="AL275" s="323">
        <f t="shared" si="141"/>
        <v>275</v>
      </c>
      <c r="AM275" s="322">
        <f t="shared" si="142"/>
        <v>7</v>
      </c>
      <c r="AN275" s="381">
        <f t="shared" si="129"/>
        <v>36</v>
      </c>
      <c r="AO275" s="322"/>
    </row>
    <row r="276" spans="2:80" ht="13.8" thickTop="1">
      <c r="B276" s="501" t="s">
        <v>1499</v>
      </c>
      <c r="C276" s="950" t="s">
        <v>1500</v>
      </c>
      <c r="D276" s="326" t="s">
        <v>1160</v>
      </c>
      <c r="E276" s="327">
        <f>+SUMIF('AUX-NIV2'!I:I,'AUX-NIV3'!B276,'AUX-NIV2'!Q:Q)</f>
        <v>0</v>
      </c>
      <c r="F276" s="327">
        <f t="shared" si="119"/>
        <v>400.95923429909482</v>
      </c>
      <c r="G276" s="327">
        <f t="shared" si="120"/>
        <v>0</v>
      </c>
      <c r="H276" s="328" t="str">
        <f t="shared" si="143"/>
        <v>A</v>
      </c>
      <c r="I276" s="325" t="s">
        <v>1746</v>
      </c>
      <c r="J276" s="329" t="str">
        <f>IF(B276&lt;&gt;"",+VLOOKUP(I276,Recursos!C:F,2,FALSE),"")</f>
        <v>OFICIAL</v>
      </c>
      <c r="K276" s="330" t="str">
        <f>IF(B276&lt;&gt;"",+VLOOKUP(I276,Recursos!C:F,3,FALSE),"")</f>
        <v>hh</v>
      </c>
      <c r="L276" s="446">
        <f>IF(B276&lt;&gt;"",+VLOOKUP(I276,Recursos!C:F,4,FALSE),"")</f>
        <v>496.91595439275824</v>
      </c>
      <c r="M276" s="457"/>
      <c r="N276" s="458">
        <v>1.25</v>
      </c>
      <c r="O276" s="459">
        <f>+N276/M278*N277</f>
        <v>0.125</v>
      </c>
      <c r="P276" s="333">
        <f t="shared" si="130"/>
        <v>62.11449429909478</v>
      </c>
      <c r="Q276" s="327">
        <f t="shared" si="131"/>
        <v>0</v>
      </c>
      <c r="R276" s="334">
        <f t="shared" si="132"/>
        <v>0</v>
      </c>
      <c r="S276" s="335">
        <f t="shared" si="121"/>
        <v>62.11449429909478</v>
      </c>
      <c r="T276" s="335">
        <f t="shared" si="122"/>
        <v>238.84474000000003</v>
      </c>
      <c r="U276" s="336">
        <f t="shared" si="123"/>
        <v>0</v>
      </c>
      <c r="V276" s="336">
        <f t="shared" si="124"/>
        <v>0</v>
      </c>
      <c r="W276" s="336">
        <f t="shared" si="125"/>
        <v>100</v>
      </c>
      <c r="X276" s="336">
        <f t="shared" si="126"/>
        <v>0</v>
      </c>
      <c r="Y276" s="320"/>
      <c r="Z276" s="321" t="str">
        <f t="shared" si="133"/>
        <v>X-AGUA</v>
      </c>
      <c r="AA276" s="321" t="str">
        <f t="shared" si="134"/>
        <v>X-AGUE</v>
      </c>
      <c r="AB276" s="321" t="str">
        <f t="shared" si="135"/>
        <v>X-AGUM</v>
      </c>
      <c r="AC276" s="321" t="str">
        <f t="shared" si="136"/>
        <v>X-AGUT</v>
      </c>
      <c r="AD276" s="321" t="str">
        <f t="shared" si="137"/>
        <v>X-AGUS</v>
      </c>
      <c r="AE276" s="321" t="str">
        <f t="shared" si="138"/>
        <v>X-AGUX</v>
      </c>
      <c r="AF276" s="321" t="str">
        <f t="shared" si="139"/>
        <v>X-AGUA</v>
      </c>
      <c r="AG276" s="321">
        <f t="shared" si="127"/>
        <v>4</v>
      </c>
      <c r="AH276" s="321"/>
      <c r="AI276" s="321" t="str">
        <f t="shared" si="140"/>
        <v>X-AGU</v>
      </c>
      <c r="AJ276" s="320"/>
      <c r="AK276" s="322">
        <f t="shared" si="128"/>
        <v>276</v>
      </c>
      <c r="AL276" s="323">
        <f t="shared" si="141"/>
        <v>279</v>
      </c>
      <c r="AM276" s="322">
        <f t="shared" si="142"/>
        <v>1</v>
      </c>
      <c r="AN276" s="381">
        <f t="shared" si="129"/>
        <v>0.125</v>
      </c>
      <c r="AO276" s="322"/>
    </row>
    <row r="277" spans="2:80">
      <c r="B277" s="501" t="s">
        <v>1499</v>
      </c>
      <c r="C277" s="950" t="s">
        <v>1500</v>
      </c>
      <c r="D277" s="326" t="s">
        <v>1160</v>
      </c>
      <c r="E277" s="327">
        <f>+SUMIF('AUX-NIV2'!I:I,'AUX-NIV3'!B277,'AUX-NIV2'!Q:Q)</f>
        <v>0</v>
      </c>
      <c r="F277" s="327">
        <f t="shared" si="119"/>
        <v>400.95923429909482</v>
      </c>
      <c r="G277" s="327">
        <f t="shared" si="120"/>
        <v>0</v>
      </c>
      <c r="H277" s="328" t="str">
        <f t="shared" si="143"/>
        <v>E</v>
      </c>
      <c r="I277" s="325" t="s">
        <v>1676</v>
      </c>
      <c r="J277" s="329" t="str">
        <f>IF(B277&lt;&gt;"",+VLOOKUP(I277,Recursos!C:F,2,FALSE),"")</f>
        <v>CAMION REGADOR CAP. 8 m3</v>
      </c>
      <c r="K277" s="330" t="str">
        <f>IF(B277&lt;&gt;"",+VLOOKUP(I277,Recursos!C:F,3,FALSE),"")</f>
        <v>HR</v>
      </c>
      <c r="L277" s="446">
        <f>IF(B277&lt;&gt;"",+VLOOKUP(I277,Recursos!C:F,4,FALSE),"")</f>
        <v>2281.2949000000003</v>
      </c>
      <c r="M277" s="460"/>
      <c r="N277" s="461">
        <v>0.8</v>
      </c>
      <c r="O277" s="459">
        <f>+N277/M278</f>
        <v>0.1</v>
      </c>
      <c r="P277" s="333">
        <f t="shared" si="130"/>
        <v>228.12949000000003</v>
      </c>
      <c r="Q277" s="327">
        <f t="shared" si="131"/>
        <v>0</v>
      </c>
      <c r="R277" s="334">
        <f t="shared" si="132"/>
        <v>0</v>
      </c>
      <c r="S277" s="335">
        <f t="shared" si="121"/>
        <v>62.11449429909478</v>
      </c>
      <c r="T277" s="335">
        <f t="shared" si="122"/>
        <v>238.84474000000003</v>
      </c>
      <c r="U277" s="336">
        <f t="shared" si="123"/>
        <v>0</v>
      </c>
      <c r="V277" s="336">
        <f t="shared" si="124"/>
        <v>0</v>
      </c>
      <c r="W277" s="336">
        <f t="shared" si="125"/>
        <v>100</v>
      </c>
      <c r="X277" s="336">
        <f t="shared" si="126"/>
        <v>0</v>
      </c>
      <c r="Y277" s="320"/>
      <c r="Z277" s="321" t="str">
        <f t="shared" si="133"/>
        <v>X-AGUA</v>
      </c>
      <c r="AA277" s="321" t="str">
        <f t="shared" si="134"/>
        <v>X-AGUE</v>
      </c>
      <c r="AB277" s="321" t="str">
        <f t="shared" si="135"/>
        <v>X-AGUM</v>
      </c>
      <c r="AC277" s="321" t="str">
        <f t="shared" si="136"/>
        <v>X-AGUT</v>
      </c>
      <c r="AD277" s="321" t="str">
        <f t="shared" si="137"/>
        <v>X-AGUS</v>
      </c>
      <c r="AE277" s="321" t="str">
        <f t="shared" si="138"/>
        <v>X-AGUX</v>
      </c>
      <c r="AF277" s="321" t="str">
        <f t="shared" si="139"/>
        <v>X-AGUE</v>
      </c>
      <c r="AG277" s="321">
        <f t="shared" si="127"/>
        <v>4</v>
      </c>
      <c r="AH277" s="321"/>
      <c r="AI277" s="321" t="str">
        <f t="shared" si="140"/>
        <v>X-AGU</v>
      </c>
      <c r="AJ277" s="320"/>
      <c r="AK277" s="322">
        <f t="shared" si="128"/>
        <v>276</v>
      </c>
      <c r="AL277" s="323">
        <f t="shared" si="141"/>
        <v>279</v>
      </c>
      <c r="AM277" s="322">
        <f t="shared" si="142"/>
        <v>2</v>
      </c>
      <c r="AN277" s="381">
        <f t="shared" si="129"/>
        <v>0.125</v>
      </c>
      <c r="AO277" s="322"/>
    </row>
    <row r="278" spans="2:80">
      <c r="B278" s="501" t="s">
        <v>1499</v>
      </c>
      <c r="C278" s="950" t="s">
        <v>1500</v>
      </c>
      <c r="D278" s="326" t="s">
        <v>1160</v>
      </c>
      <c r="E278" s="327">
        <f>+SUMIF('AUX-NIV2'!I:I,'AUX-NIV3'!B278,'AUX-NIV2'!Q:Q)</f>
        <v>0</v>
      </c>
      <c r="F278" s="327">
        <f t="shared" si="119"/>
        <v>400.95923429909482</v>
      </c>
      <c r="G278" s="327">
        <f t="shared" si="120"/>
        <v>0</v>
      </c>
      <c r="H278" s="328" t="str">
        <f t="shared" si="143"/>
        <v>E</v>
      </c>
      <c r="I278" s="325" t="s">
        <v>1600</v>
      </c>
      <c r="J278" s="329" t="str">
        <f>IF(B278&lt;&gt;"",+VLOOKUP(I278,Recursos!C:F,2,FALSE),"")</f>
        <v>ELECTROBOMBA 9 KW</v>
      </c>
      <c r="K278" s="330" t="str">
        <f>IF(B278&lt;&gt;"",+VLOOKUP(I278,Recursos!C:F,3,FALSE),"")</f>
        <v>HR</v>
      </c>
      <c r="L278" s="446">
        <f>IF(B278&lt;&gt;"",+VLOOKUP(I278,Recursos!C:F,4,FALSE),"")</f>
        <v>85.722000000000008</v>
      </c>
      <c r="M278" s="462">
        <v>8</v>
      </c>
      <c r="N278" s="463">
        <v>1</v>
      </c>
      <c r="O278" s="459">
        <f>+N278/M278</f>
        <v>0.125</v>
      </c>
      <c r="P278" s="333">
        <f t="shared" si="130"/>
        <v>10.715250000000001</v>
      </c>
      <c r="Q278" s="327">
        <f t="shared" si="131"/>
        <v>0</v>
      </c>
      <c r="R278" s="334">
        <f t="shared" si="132"/>
        <v>0</v>
      </c>
      <c r="S278" s="335">
        <f t="shared" si="121"/>
        <v>62.11449429909478</v>
      </c>
      <c r="T278" s="335">
        <f t="shared" si="122"/>
        <v>238.84474000000003</v>
      </c>
      <c r="U278" s="336">
        <f t="shared" si="123"/>
        <v>0</v>
      </c>
      <c r="V278" s="336">
        <f t="shared" si="124"/>
        <v>0</v>
      </c>
      <c r="W278" s="336">
        <f t="shared" si="125"/>
        <v>100</v>
      </c>
      <c r="X278" s="336">
        <f t="shared" si="126"/>
        <v>0</v>
      </c>
      <c r="Y278" s="320"/>
      <c r="Z278" s="321" t="str">
        <f t="shared" si="133"/>
        <v>X-AGUA</v>
      </c>
      <c r="AA278" s="321" t="str">
        <f t="shared" si="134"/>
        <v>X-AGUE</v>
      </c>
      <c r="AB278" s="321" t="str">
        <f t="shared" si="135"/>
        <v>X-AGUM</v>
      </c>
      <c r="AC278" s="321" t="str">
        <f t="shared" si="136"/>
        <v>X-AGUT</v>
      </c>
      <c r="AD278" s="321" t="str">
        <f t="shared" si="137"/>
        <v>X-AGUS</v>
      </c>
      <c r="AE278" s="321" t="str">
        <f t="shared" si="138"/>
        <v>X-AGUX</v>
      </c>
      <c r="AF278" s="321" t="str">
        <f t="shared" si="139"/>
        <v>X-AGUE</v>
      </c>
      <c r="AG278" s="321">
        <f t="shared" si="127"/>
        <v>4</v>
      </c>
      <c r="AH278" s="321"/>
      <c r="AI278" s="321" t="str">
        <f t="shared" si="140"/>
        <v>X-AGU</v>
      </c>
      <c r="AJ278" s="320"/>
      <c r="AK278" s="322">
        <f t="shared" si="128"/>
        <v>276</v>
      </c>
      <c r="AL278" s="323">
        <f t="shared" si="141"/>
        <v>279</v>
      </c>
      <c r="AM278" s="322">
        <f t="shared" si="142"/>
        <v>3</v>
      </c>
      <c r="AN278" s="381">
        <f t="shared" si="129"/>
        <v>0.125</v>
      </c>
      <c r="AO278" s="322"/>
    </row>
    <row r="279" spans="2:80" ht="13.8" thickBot="1">
      <c r="B279" s="501" t="s">
        <v>1499</v>
      </c>
      <c r="C279" s="950" t="s">
        <v>1500</v>
      </c>
      <c r="D279" s="326" t="s">
        <v>1160</v>
      </c>
      <c r="E279" s="327">
        <f>+SUMIF('AUX-NIV2'!I:I,'AUX-NIV3'!B279,'AUX-NIV2'!Q:Q)</f>
        <v>0</v>
      </c>
      <c r="F279" s="327">
        <f t="shared" si="119"/>
        <v>400.95923429909482</v>
      </c>
      <c r="G279" s="327">
        <f t="shared" si="120"/>
        <v>0</v>
      </c>
      <c r="H279" s="328" t="str">
        <f t="shared" si="143"/>
        <v>S</v>
      </c>
      <c r="I279" s="325" t="s">
        <v>1501</v>
      </c>
      <c r="J279" s="329" t="str">
        <f>IF(B279&lt;&gt;"",+VLOOKUP(I279,Recursos!C:F,2,FALSE),"")</f>
        <v>CANON DE AGUA</v>
      </c>
      <c r="K279" s="330" t="str">
        <f>IF(B279&lt;&gt;"",+VLOOKUP(I279,Recursos!C:F,3,FALSE),"")</f>
        <v>m3</v>
      </c>
      <c r="L279" s="446">
        <f>IF(B279&lt;&gt;"",+VLOOKUP(I279,Recursos!C:F,4,FALSE),"")</f>
        <v>100</v>
      </c>
      <c r="M279" s="464">
        <v>1</v>
      </c>
      <c r="N279" s="465">
        <v>1</v>
      </c>
      <c r="O279" s="459">
        <f>+M279</f>
        <v>1</v>
      </c>
      <c r="P279" s="333">
        <f t="shared" si="130"/>
        <v>100</v>
      </c>
      <c r="Q279" s="327">
        <f t="shared" si="131"/>
        <v>0</v>
      </c>
      <c r="R279" s="334">
        <f t="shared" si="132"/>
        <v>0</v>
      </c>
      <c r="S279" s="335">
        <f t="shared" si="121"/>
        <v>62.11449429909478</v>
      </c>
      <c r="T279" s="335">
        <f t="shared" si="122"/>
        <v>238.84474000000003</v>
      </c>
      <c r="U279" s="336">
        <f t="shared" si="123"/>
        <v>0</v>
      </c>
      <c r="V279" s="336">
        <f t="shared" si="124"/>
        <v>0</v>
      </c>
      <c r="W279" s="336">
        <f t="shared" si="125"/>
        <v>100</v>
      </c>
      <c r="X279" s="336">
        <f t="shared" si="126"/>
        <v>0</v>
      </c>
      <c r="Y279" s="320"/>
      <c r="Z279" s="321" t="str">
        <f t="shared" si="133"/>
        <v>X-AGUA</v>
      </c>
      <c r="AA279" s="321" t="str">
        <f t="shared" si="134"/>
        <v>X-AGUE</v>
      </c>
      <c r="AB279" s="321" t="str">
        <f t="shared" si="135"/>
        <v>X-AGUM</v>
      </c>
      <c r="AC279" s="321" t="str">
        <f t="shared" si="136"/>
        <v>X-AGUT</v>
      </c>
      <c r="AD279" s="321" t="str">
        <f t="shared" si="137"/>
        <v>X-AGUS</v>
      </c>
      <c r="AE279" s="321" t="str">
        <f t="shared" si="138"/>
        <v>X-AGUX</v>
      </c>
      <c r="AF279" s="321" t="str">
        <f t="shared" si="139"/>
        <v>X-AGUS</v>
      </c>
      <c r="AG279" s="321">
        <f t="shared" si="127"/>
        <v>4</v>
      </c>
      <c r="AH279" s="321"/>
      <c r="AI279" s="321" t="str">
        <f t="shared" si="140"/>
        <v>X-AGU</v>
      </c>
      <c r="AJ279" s="320"/>
      <c r="AK279" s="322">
        <f t="shared" si="128"/>
        <v>276</v>
      </c>
      <c r="AL279" s="323">
        <f t="shared" si="141"/>
        <v>279</v>
      </c>
      <c r="AM279" s="322">
        <f t="shared" si="142"/>
        <v>4</v>
      </c>
      <c r="AN279" s="381">
        <f t="shared" si="129"/>
        <v>0.125</v>
      </c>
      <c r="AO279" s="322"/>
    </row>
    <row r="280" spans="2:80" ht="13.8" thickTop="1">
      <c r="B280" s="501" t="s">
        <v>1502</v>
      </c>
      <c r="C280" s="950" t="s">
        <v>1503</v>
      </c>
      <c r="D280" s="326" t="s">
        <v>1160</v>
      </c>
      <c r="E280" s="327">
        <f>+SUMIF('AUX-NIV2'!I:I,'AUX-NIV3'!B280,'AUX-NIV2'!Q:Q)</f>
        <v>0</v>
      </c>
      <c r="F280" s="327">
        <f t="shared" si="119"/>
        <v>972.7181822808268</v>
      </c>
      <c r="G280" s="327">
        <f t="shared" si="120"/>
        <v>0</v>
      </c>
      <c r="H280" s="328" t="str">
        <f t="shared" si="143"/>
        <v>A</v>
      </c>
      <c r="I280" s="325" t="s">
        <v>1745</v>
      </c>
      <c r="J280" s="329" t="str">
        <f>IF(B280&lt;&gt;"",+VLOOKUP(I280,Recursos!C:F,2,FALSE),"")</f>
        <v>AYUDANTE</v>
      </c>
      <c r="K280" s="330" t="str">
        <f>IF(B280&lt;&gt;"",+VLOOKUP(I280,Recursos!C:F,3,FALSE),"")</f>
        <v>hh</v>
      </c>
      <c r="L280" s="446">
        <f>IF(B280&lt;&gt;"",+VLOOKUP(I280,Recursos!C:F,4,FALSE),"")</f>
        <v>422.48042769667234</v>
      </c>
      <c r="M280" s="460"/>
      <c r="N280" s="458">
        <v>4</v>
      </c>
      <c r="O280" s="459">
        <f>+N280/M287</f>
        <v>0.33333333333333331</v>
      </c>
      <c r="P280" s="333">
        <f t="shared" si="130"/>
        <v>140.82680923222409</v>
      </c>
      <c r="Q280" s="327">
        <f t="shared" si="131"/>
        <v>0</v>
      </c>
      <c r="R280" s="334">
        <f t="shared" si="132"/>
        <v>0</v>
      </c>
      <c r="S280" s="335">
        <f t="shared" si="121"/>
        <v>439.50675172527133</v>
      </c>
      <c r="T280" s="335">
        <f t="shared" si="122"/>
        <v>533.21143055555547</v>
      </c>
      <c r="U280" s="336">
        <f t="shared" si="123"/>
        <v>0</v>
      </c>
      <c r="V280" s="336">
        <f t="shared" si="124"/>
        <v>0</v>
      </c>
      <c r="W280" s="336">
        <f t="shared" si="125"/>
        <v>0</v>
      </c>
      <c r="X280" s="336">
        <f t="shared" si="126"/>
        <v>0</v>
      </c>
      <c r="Y280" s="320"/>
      <c r="Z280" s="321" t="str">
        <f t="shared" si="133"/>
        <v>X-PHPA</v>
      </c>
      <c r="AA280" s="321" t="str">
        <f t="shared" si="134"/>
        <v>X-PHPE</v>
      </c>
      <c r="AB280" s="321" t="str">
        <f t="shared" si="135"/>
        <v>X-PHPM</v>
      </c>
      <c r="AC280" s="321" t="str">
        <f t="shared" si="136"/>
        <v>X-PHPT</v>
      </c>
      <c r="AD280" s="321" t="str">
        <f t="shared" si="137"/>
        <v>X-PHPS</v>
      </c>
      <c r="AE280" s="321" t="str">
        <f t="shared" si="138"/>
        <v>X-PHPX</v>
      </c>
      <c r="AF280" s="321" t="str">
        <f t="shared" si="139"/>
        <v>X-PHPA</v>
      </c>
      <c r="AG280" s="321">
        <f t="shared" si="127"/>
        <v>8</v>
      </c>
      <c r="AH280" s="321"/>
      <c r="AI280" s="321" t="str">
        <f t="shared" si="140"/>
        <v>X-PHP</v>
      </c>
      <c r="AJ280" s="320"/>
      <c r="AK280" s="322">
        <f t="shared" si="128"/>
        <v>280</v>
      </c>
      <c r="AL280" s="323">
        <f t="shared" si="141"/>
        <v>287</v>
      </c>
      <c r="AM280" s="322">
        <f t="shared" si="142"/>
        <v>1</v>
      </c>
      <c r="AN280" s="381">
        <f t="shared" si="129"/>
        <v>0.86666666666666659</v>
      </c>
      <c r="AO280" s="322"/>
    </row>
    <row r="281" spans="2:80">
      <c r="B281" s="501" t="s">
        <v>1502</v>
      </c>
      <c r="C281" s="950" t="s">
        <v>1503</v>
      </c>
      <c r="D281" s="326" t="s">
        <v>1160</v>
      </c>
      <c r="E281" s="327">
        <f>+SUMIF('AUX-NIV2'!I:I,'AUX-NIV3'!B281,'AUX-NIV2'!Q:Q)</f>
        <v>0</v>
      </c>
      <c r="F281" s="327">
        <f t="shared" si="119"/>
        <v>972.7181822808268</v>
      </c>
      <c r="G281" s="327">
        <f t="shared" si="120"/>
        <v>0</v>
      </c>
      <c r="H281" s="328" t="str">
        <f t="shared" si="143"/>
        <v>A</v>
      </c>
      <c r="I281" s="325" t="s">
        <v>1746</v>
      </c>
      <c r="J281" s="329" t="str">
        <f>IF(B281&lt;&gt;"",+VLOOKUP(I281,Recursos!C:F,2,FALSE),"")</f>
        <v>OFICIAL</v>
      </c>
      <c r="K281" s="330" t="str">
        <f>IF(B281&lt;&gt;"",+VLOOKUP(I281,Recursos!C:F,3,FALSE),"")</f>
        <v>hh</v>
      </c>
      <c r="L281" s="446">
        <f>IF(B281&lt;&gt;"",+VLOOKUP(I281,Recursos!C:F,4,FALSE),"")</f>
        <v>496.91595439275824</v>
      </c>
      <c r="M281" s="460"/>
      <c r="N281" s="466"/>
      <c r="O281" s="459">
        <f>+N284/M287</f>
        <v>0.13333333333333333</v>
      </c>
      <c r="P281" s="333">
        <f t="shared" si="130"/>
        <v>66.255460585701101</v>
      </c>
      <c r="Q281" s="327">
        <f t="shared" si="131"/>
        <v>0</v>
      </c>
      <c r="R281" s="334">
        <f t="shared" si="132"/>
        <v>0</v>
      </c>
      <c r="S281" s="335">
        <f t="shared" si="121"/>
        <v>439.50675172527133</v>
      </c>
      <c r="T281" s="335">
        <f t="shared" si="122"/>
        <v>533.21143055555547</v>
      </c>
      <c r="U281" s="336">
        <f t="shared" si="123"/>
        <v>0</v>
      </c>
      <c r="V281" s="336">
        <f t="shared" si="124"/>
        <v>0</v>
      </c>
      <c r="W281" s="336">
        <f t="shared" si="125"/>
        <v>0</v>
      </c>
      <c r="X281" s="336">
        <f t="shared" si="126"/>
        <v>0</v>
      </c>
      <c r="Y281" s="320"/>
      <c r="Z281" s="321" t="str">
        <f t="shared" si="133"/>
        <v>X-PHPA</v>
      </c>
      <c r="AA281" s="321" t="str">
        <f t="shared" si="134"/>
        <v>X-PHPE</v>
      </c>
      <c r="AB281" s="321" t="str">
        <f t="shared" si="135"/>
        <v>X-PHPM</v>
      </c>
      <c r="AC281" s="321" t="str">
        <f t="shared" si="136"/>
        <v>X-PHPT</v>
      </c>
      <c r="AD281" s="321" t="str">
        <f t="shared" si="137"/>
        <v>X-PHPS</v>
      </c>
      <c r="AE281" s="321" t="str">
        <f t="shared" si="138"/>
        <v>X-PHPX</v>
      </c>
      <c r="AF281" s="321" t="str">
        <f t="shared" si="139"/>
        <v>X-PHPA</v>
      </c>
      <c r="AG281" s="321">
        <f t="shared" si="127"/>
        <v>8</v>
      </c>
      <c r="AH281" s="321"/>
      <c r="AI281" s="321" t="str">
        <f t="shared" si="140"/>
        <v>X-PHP</v>
      </c>
      <c r="AJ281" s="320"/>
      <c r="AK281" s="322">
        <f t="shared" si="128"/>
        <v>280</v>
      </c>
      <c r="AL281" s="323">
        <f t="shared" si="141"/>
        <v>287</v>
      </c>
      <c r="AM281" s="322">
        <f t="shared" si="142"/>
        <v>2</v>
      </c>
      <c r="AN281" s="381">
        <f t="shared" si="129"/>
        <v>0.86666666666666659</v>
      </c>
      <c r="AO281" s="322"/>
    </row>
    <row r="282" spans="2:80">
      <c r="B282" s="501" t="s">
        <v>1502</v>
      </c>
      <c r="C282" s="950" t="s">
        <v>1503</v>
      </c>
      <c r="D282" s="326" t="s">
        <v>1160</v>
      </c>
      <c r="E282" s="327">
        <f>+SUMIF('AUX-NIV2'!I:I,'AUX-NIV3'!B282,'AUX-NIV2'!Q:Q)</f>
        <v>0</v>
      </c>
      <c r="F282" s="327">
        <f t="shared" si="119"/>
        <v>972.7181822808268</v>
      </c>
      <c r="G282" s="327">
        <f t="shared" si="120"/>
        <v>0</v>
      </c>
      <c r="H282" s="328" t="str">
        <f t="shared" si="143"/>
        <v>A</v>
      </c>
      <c r="I282" s="325" t="s">
        <v>3310</v>
      </c>
      <c r="J282" s="329" t="str">
        <f>IF(B282&lt;&gt;"",+VLOOKUP(I282,Recursos!C:F,2,FALSE),"")</f>
        <v>OFICIAL ESPECIALIZADO</v>
      </c>
      <c r="K282" s="330" t="str">
        <f>IF(B282&lt;&gt;"",+VLOOKUP(I282,Recursos!C:F,3,FALSE),"")</f>
        <v>hh</v>
      </c>
      <c r="L282" s="446">
        <f>IF(B282&lt;&gt;"",+VLOOKUP(I282,Recursos!C:F,4,FALSE),"")</f>
        <v>581.06120476836554</v>
      </c>
      <c r="M282" s="460"/>
      <c r="N282" s="466"/>
      <c r="O282" s="459">
        <f>+N284/M287</f>
        <v>0.13333333333333333</v>
      </c>
      <c r="P282" s="333">
        <f t="shared" si="130"/>
        <v>77.474827302448745</v>
      </c>
      <c r="Q282" s="327">
        <f t="shared" si="131"/>
        <v>0</v>
      </c>
      <c r="R282" s="334">
        <f t="shared" si="132"/>
        <v>0</v>
      </c>
      <c r="S282" s="335">
        <f t="shared" si="121"/>
        <v>439.50675172527133</v>
      </c>
      <c r="T282" s="335">
        <f t="shared" si="122"/>
        <v>533.21143055555547</v>
      </c>
      <c r="U282" s="336">
        <f t="shared" si="123"/>
        <v>0</v>
      </c>
      <c r="V282" s="336">
        <f t="shared" si="124"/>
        <v>0</v>
      </c>
      <c r="W282" s="336">
        <f t="shared" si="125"/>
        <v>0</v>
      </c>
      <c r="X282" s="336">
        <f t="shared" si="126"/>
        <v>0</v>
      </c>
      <c r="Y282" s="320"/>
      <c r="Z282" s="321" t="str">
        <f t="shared" si="133"/>
        <v>X-PHPA</v>
      </c>
      <c r="AA282" s="321" t="str">
        <f t="shared" si="134"/>
        <v>X-PHPE</v>
      </c>
      <c r="AB282" s="321" t="str">
        <f t="shared" si="135"/>
        <v>X-PHPM</v>
      </c>
      <c r="AC282" s="321" t="str">
        <f t="shared" si="136"/>
        <v>X-PHPT</v>
      </c>
      <c r="AD282" s="321" t="str">
        <f t="shared" si="137"/>
        <v>X-PHPS</v>
      </c>
      <c r="AE282" s="321" t="str">
        <f t="shared" si="138"/>
        <v>X-PHPX</v>
      </c>
      <c r="AF282" s="321" t="str">
        <f t="shared" si="139"/>
        <v>X-PHPA</v>
      </c>
      <c r="AG282" s="321">
        <f t="shared" si="127"/>
        <v>8</v>
      </c>
      <c r="AH282" s="321"/>
      <c r="AI282" s="321" t="str">
        <f t="shared" si="140"/>
        <v>X-PHP</v>
      </c>
      <c r="AJ282" s="320"/>
      <c r="AK282" s="322">
        <f t="shared" si="128"/>
        <v>280</v>
      </c>
      <c r="AL282" s="323">
        <f t="shared" si="141"/>
        <v>287</v>
      </c>
      <c r="AM282" s="322">
        <f t="shared" si="142"/>
        <v>3</v>
      </c>
      <c r="AN282" s="381">
        <f t="shared" si="129"/>
        <v>0.86666666666666659</v>
      </c>
      <c r="AO282" s="322"/>
    </row>
    <row r="283" spans="2:80">
      <c r="B283" s="501" t="s">
        <v>1502</v>
      </c>
      <c r="C283" s="950" t="s">
        <v>1503</v>
      </c>
      <c r="D283" s="326" t="s">
        <v>1160</v>
      </c>
      <c r="E283" s="327">
        <f>+SUMIF('AUX-NIV2'!I:I,'AUX-NIV3'!B283,'AUX-NIV2'!Q:Q)</f>
        <v>0</v>
      </c>
      <c r="F283" s="327">
        <f t="shared" si="119"/>
        <v>972.7181822808268</v>
      </c>
      <c r="G283" s="327">
        <f t="shared" si="120"/>
        <v>0</v>
      </c>
      <c r="H283" s="328" t="str">
        <f t="shared" si="143"/>
        <v>A</v>
      </c>
      <c r="I283" s="325" t="s">
        <v>3310</v>
      </c>
      <c r="J283" s="329" t="str">
        <f>IF(B283&lt;&gt;"",+VLOOKUP(I283,Recursos!C:F,2,FALSE),"")</f>
        <v>OFICIAL ESPECIALIZADO</v>
      </c>
      <c r="K283" s="330" t="str">
        <f>IF(B283&lt;&gt;"",+VLOOKUP(I283,Recursos!C:F,3,FALSE),"")</f>
        <v>hh</v>
      </c>
      <c r="L283" s="446">
        <f>IF(B283&lt;&gt;"",+VLOOKUP(I283,Recursos!C:F,4,FALSE),"")</f>
        <v>581.06120476836554</v>
      </c>
      <c r="M283" s="460"/>
      <c r="N283" s="466"/>
      <c r="O283" s="459">
        <f>+N284/M287</f>
        <v>0.13333333333333333</v>
      </c>
      <c r="P283" s="333">
        <f t="shared" si="130"/>
        <v>77.474827302448745</v>
      </c>
      <c r="Q283" s="327">
        <f t="shared" si="131"/>
        <v>0</v>
      </c>
      <c r="R283" s="334">
        <f t="shared" si="132"/>
        <v>0</v>
      </c>
      <c r="S283" s="335">
        <f t="shared" si="121"/>
        <v>439.50675172527133</v>
      </c>
      <c r="T283" s="335">
        <f t="shared" si="122"/>
        <v>533.21143055555547</v>
      </c>
      <c r="U283" s="336">
        <f t="shared" si="123"/>
        <v>0</v>
      </c>
      <c r="V283" s="336">
        <f t="shared" si="124"/>
        <v>0</v>
      </c>
      <c r="W283" s="336">
        <f t="shared" si="125"/>
        <v>0</v>
      </c>
      <c r="X283" s="336">
        <f t="shared" si="126"/>
        <v>0</v>
      </c>
      <c r="Y283" s="320"/>
      <c r="Z283" s="321" t="str">
        <f t="shared" si="133"/>
        <v>X-PHPA</v>
      </c>
      <c r="AA283" s="321" t="str">
        <f t="shared" si="134"/>
        <v>X-PHPE</v>
      </c>
      <c r="AB283" s="321" t="str">
        <f t="shared" si="135"/>
        <v>X-PHPM</v>
      </c>
      <c r="AC283" s="321" t="str">
        <f t="shared" si="136"/>
        <v>X-PHPT</v>
      </c>
      <c r="AD283" s="321" t="str">
        <f t="shared" si="137"/>
        <v>X-PHPS</v>
      </c>
      <c r="AE283" s="321" t="str">
        <f t="shared" si="138"/>
        <v>X-PHPX</v>
      </c>
      <c r="AF283" s="321" t="str">
        <f t="shared" si="139"/>
        <v>X-PHPA</v>
      </c>
      <c r="AG283" s="321">
        <f t="shared" si="127"/>
        <v>8</v>
      </c>
      <c r="AH283" s="321"/>
      <c r="AI283" s="321" t="str">
        <f t="shared" si="140"/>
        <v>X-PHP</v>
      </c>
      <c r="AJ283" s="320"/>
      <c r="AK283" s="322">
        <f t="shared" si="128"/>
        <v>280</v>
      </c>
      <c r="AL283" s="323">
        <f t="shared" si="141"/>
        <v>287</v>
      </c>
      <c r="AM283" s="322">
        <f t="shared" si="142"/>
        <v>4</v>
      </c>
      <c r="AN283" s="381">
        <f t="shared" si="129"/>
        <v>0.86666666666666659</v>
      </c>
      <c r="AO283" s="322"/>
    </row>
    <row r="284" spans="2:80">
      <c r="B284" s="501" t="s">
        <v>1502</v>
      </c>
      <c r="C284" s="950" t="s">
        <v>1503</v>
      </c>
      <c r="D284" s="326" t="s">
        <v>1160</v>
      </c>
      <c r="E284" s="327">
        <f>+SUMIF('AUX-NIV2'!I:I,'AUX-NIV3'!B284,'AUX-NIV2'!Q:Q)</f>
        <v>0</v>
      </c>
      <c r="F284" s="327">
        <f t="shared" si="119"/>
        <v>972.7181822808268</v>
      </c>
      <c r="G284" s="327">
        <f t="shared" si="120"/>
        <v>0</v>
      </c>
      <c r="H284" s="328" t="str">
        <f t="shared" si="143"/>
        <v>A</v>
      </c>
      <c r="I284" s="325" t="s">
        <v>3310</v>
      </c>
      <c r="J284" s="329" t="str">
        <f>IF(B284&lt;&gt;"",+VLOOKUP(I284,Recursos!C:F,2,FALSE),"")</f>
        <v>OFICIAL ESPECIALIZADO</v>
      </c>
      <c r="K284" s="330" t="str">
        <f>IF(B284&lt;&gt;"",+VLOOKUP(I284,Recursos!C:F,3,FALSE),"")</f>
        <v>hh</v>
      </c>
      <c r="L284" s="446">
        <f>IF(B284&lt;&gt;"",+VLOOKUP(I284,Recursos!C:F,4,FALSE),"")</f>
        <v>581.06120476836554</v>
      </c>
      <c r="M284" s="460"/>
      <c r="N284" s="463">
        <v>1.6</v>
      </c>
      <c r="O284" s="459">
        <f>+N284/M287</f>
        <v>0.13333333333333333</v>
      </c>
      <c r="P284" s="333">
        <f t="shared" si="130"/>
        <v>77.474827302448745</v>
      </c>
      <c r="Q284" s="327">
        <f t="shared" si="131"/>
        <v>0</v>
      </c>
      <c r="R284" s="334">
        <f t="shared" si="132"/>
        <v>0</v>
      </c>
      <c r="S284" s="335">
        <f t="shared" si="121"/>
        <v>439.50675172527133</v>
      </c>
      <c r="T284" s="335">
        <f t="shared" si="122"/>
        <v>533.21143055555547</v>
      </c>
      <c r="U284" s="336">
        <f t="shared" si="123"/>
        <v>0</v>
      </c>
      <c r="V284" s="336">
        <f t="shared" si="124"/>
        <v>0</v>
      </c>
      <c r="W284" s="336">
        <f t="shared" si="125"/>
        <v>0</v>
      </c>
      <c r="X284" s="336">
        <f t="shared" si="126"/>
        <v>0</v>
      </c>
      <c r="Y284" s="320"/>
      <c r="Z284" s="321" t="str">
        <f t="shared" si="133"/>
        <v>X-PHPA</v>
      </c>
      <c r="AA284" s="321" t="str">
        <f t="shared" si="134"/>
        <v>X-PHPE</v>
      </c>
      <c r="AB284" s="321" t="str">
        <f t="shared" si="135"/>
        <v>X-PHPM</v>
      </c>
      <c r="AC284" s="321" t="str">
        <f t="shared" si="136"/>
        <v>X-PHPT</v>
      </c>
      <c r="AD284" s="321" t="str">
        <f t="shared" si="137"/>
        <v>X-PHPS</v>
      </c>
      <c r="AE284" s="321" t="str">
        <f t="shared" si="138"/>
        <v>X-PHPX</v>
      </c>
      <c r="AF284" s="321" t="str">
        <f t="shared" si="139"/>
        <v>X-PHPA</v>
      </c>
      <c r="AG284" s="321">
        <f t="shared" si="127"/>
        <v>8</v>
      </c>
      <c r="AH284" s="321"/>
      <c r="AI284" s="321" t="str">
        <f t="shared" si="140"/>
        <v>X-PHP</v>
      </c>
      <c r="AJ284" s="320"/>
      <c r="AK284" s="322">
        <f t="shared" si="128"/>
        <v>280</v>
      </c>
      <c r="AL284" s="323">
        <f t="shared" si="141"/>
        <v>287</v>
      </c>
      <c r="AM284" s="322">
        <f t="shared" si="142"/>
        <v>5</v>
      </c>
      <c r="AN284" s="381">
        <f t="shared" si="129"/>
        <v>0.86666666666666659</v>
      </c>
      <c r="AO284" s="322"/>
    </row>
    <row r="285" spans="2:80">
      <c r="B285" s="501" t="s">
        <v>1502</v>
      </c>
      <c r="C285" s="950" t="s">
        <v>1503</v>
      </c>
      <c r="D285" s="326" t="s">
        <v>1160</v>
      </c>
      <c r="E285" s="327">
        <f>+SUMIF('AUX-NIV2'!I:I,'AUX-NIV3'!B285,'AUX-NIV2'!Q:Q)</f>
        <v>0</v>
      </c>
      <c r="F285" s="327">
        <f t="shared" si="119"/>
        <v>972.7181822808268</v>
      </c>
      <c r="G285" s="327">
        <f t="shared" si="120"/>
        <v>0</v>
      </c>
      <c r="H285" s="328" t="str">
        <f t="shared" si="143"/>
        <v>E</v>
      </c>
      <c r="I285" s="325" t="s">
        <v>1541</v>
      </c>
      <c r="J285" s="329" t="str">
        <f>IF(B285&lt;&gt;"",+VLOOKUP(I285,Recursos!C:F,2,FALSE),"")</f>
        <v>CARGADOR FRONTAL S/NEUM. (1,60 M3)</v>
      </c>
      <c r="K285" s="330" t="str">
        <f>IF(B285&lt;&gt;"",+VLOOKUP(I285,Recursos!C:F,3,FALSE),"")</f>
        <v>HR</v>
      </c>
      <c r="L285" s="446">
        <f>IF(B285&lt;&gt;"",+VLOOKUP(I285,Recursos!C:F,4,FALSE),"")</f>
        <v>2143.5611666666664</v>
      </c>
      <c r="M285" s="460"/>
      <c r="N285" s="466"/>
      <c r="O285" s="459">
        <f>1/M287</f>
        <v>8.3333333333333329E-2</v>
      </c>
      <c r="P285" s="333">
        <f t="shared" si="130"/>
        <v>178.63009722222219</v>
      </c>
      <c r="Q285" s="327">
        <f t="shared" si="131"/>
        <v>0</v>
      </c>
      <c r="R285" s="334">
        <f t="shared" si="132"/>
        <v>0</v>
      </c>
      <c r="S285" s="335">
        <f t="shared" si="121"/>
        <v>439.50675172527133</v>
      </c>
      <c r="T285" s="335">
        <f t="shared" si="122"/>
        <v>533.21143055555547</v>
      </c>
      <c r="U285" s="336">
        <f t="shared" si="123"/>
        <v>0</v>
      </c>
      <c r="V285" s="336">
        <f t="shared" si="124"/>
        <v>0</v>
      </c>
      <c r="W285" s="336">
        <f t="shared" si="125"/>
        <v>0</v>
      </c>
      <c r="X285" s="336">
        <f t="shared" si="126"/>
        <v>0</v>
      </c>
      <c r="Y285" s="320"/>
      <c r="Z285" s="321" t="str">
        <f t="shared" si="133"/>
        <v>X-PHPA</v>
      </c>
      <c r="AA285" s="321" t="str">
        <f t="shared" si="134"/>
        <v>X-PHPE</v>
      </c>
      <c r="AB285" s="321" t="str">
        <f t="shared" si="135"/>
        <v>X-PHPM</v>
      </c>
      <c r="AC285" s="321" t="str">
        <f t="shared" si="136"/>
        <v>X-PHPT</v>
      </c>
      <c r="AD285" s="321" t="str">
        <f t="shared" si="137"/>
        <v>X-PHPS</v>
      </c>
      <c r="AE285" s="321" t="str">
        <f t="shared" si="138"/>
        <v>X-PHPX</v>
      </c>
      <c r="AF285" s="321" t="str">
        <f t="shared" si="139"/>
        <v>X-PHPE</v>
      </c>
      <c r="AG285" s="321">
        <f t="shared" si="127"/>
        <v>8</v>
      </c>
      <c r="AH285" s="321"/>
      <c r="AI285" s="321" t="str">
        <f t="shared" si="140"/>
        <v>X-PHP</v>
      </c>
      <c r="AJ285" s="320"/>
      <c r="AK285" s="322">
        <f t="shared" si="128"/>
        <v>280</v>
      </c>
      <c r="AL285" s="323">
        <f t="shared" si="141"/>
        <v>287</v>
      </c>
      <c r="AM285" s="322">
        <f t="shared" si="142"/>
        <v>6</v>
      </c>
      <c r="AN285" s="381">
        <f t="shared" si="129"/>
        <v>0.86666666666666659</v>
      </c>
      <c r="AO285" s="322"/>
    </row>
    <row r="286" spans="2:80">
      <c r="B286" s="501" t="s">
        <v>1502</v>
      </c>
      <c r="C286" s="950" t="s">
        <v>1503</v>
      </c>
      <c r="D286" s="326" t="s">
        <v>1160</v>
      </c>
      <c r="E286" s="327">
        <f>+SUMIF('AUX-NIV2'!I:I,'AUX-NIV3'!B286,'AUX-NIV2'!Q:Q)</f>
        <v>0</v>
      </c>
      <c r="F286" s="327">
        <f t="shared" si="119"/>
        <v>972.7181822808268</v>
      </c>
      <c r="G286" s="327">
        <f t="shared" si="120"/>
        <v>0</v>
      </c>
      <c r="H286" s="328" t="str">
        <f t="shared" si="143"/>
        <v>E</v>
      </c>
      <c r="I286" s="325" t="s">
        <v>1585</v>
      </c>
      <c r="J286" s="329" t="str">
        <f>IF(B286&lt;&gt;"",+VLOOKUP(I286,Recursos!C:F,2,FALSE),"")</f>
        <v>GRUPO ELECTROGENO 113 KVA-90 KW</v>
      </c>
      <c r="K286" s="330" t="str">
        <f>IF(B286&lt;&gt;"",+VLOOKUP(I286,Recursos!C:F,3,FALSE),"")</f>
        <v>HR</v>
      </c>
      <c r="L286" s="446">
        <f>IF(B286&lt;&gt;"",+VLOOKUP(I286,Recursos!C:F,4,FALSE),"")</f>
        <v>1785.366</v>
      </c>
      <c r="M286" s="460"/>
      <c r="N286" s="466"/>
      <c r="O286" s="459">
        <f>1/M287</f>
        <v>8.3333333333333329E-2</v>
      </c>
      <c r="P286" s="333">
        <f t="shared" si="130"/>
        <v>148.78049999999999</v>
      </c>
      <c r="Q286" s="327">
        <f t="shared" si="131"/>
        <v>0</v>
      </c>
      <c r="R286" s="334">
        <f t="shared" si="132"/>
        <v>0</v>
      </c>
      <c r="S286" s="335">
        <f t="shared" si="121"/>
        <v>439.50675172527133</v>
      </c>
      <c r="T286" s="335">
        <f t="shared" si="122"/>
        <v>533.21143055555547</v>
      </c>
      <c r="U286" s="336">
        <f t="shared" si="123"/>
        <v>0</v>
      </c>
      <c r="V286" s="336">
        <f t="shared" si="124"/>
        <v>0</v>
      </c>
      <c r="W286" s="336">
        <f t="shared" si="125"/>
        <v>0</v>
      </c>
      <c r="X286" s="336">
        <f t="shared" si="126"/>
        <v>0</v>
      </c>
      <c r="Y286" s="320"/>
      <c r="Z286" s="321" t="str">
        <f t="shared" si="133"/>
        <v>X-PHPA</v>
      </c>
      <c r="AA286" s="321" t="str">
        <f t="shared" si="134"/>
        <v>X-PHPE</v>
      </c>
      <c r="AB286" s="321" t="str">
        <f t="shared" si="135"/>
        <v>X-PHPM</v>
      </c>
      <c r="AC286" s="321" t="str">
        <f t="shared" si="136"/>
        <v>X-PHPT</v>
      </c>
      <c r="AD286" s="321" t="str">
        <f t="shared" si="137"/>
        <v>X-PHPS</v>
      </c>
      <c r="AE286" s="321" t="str">
        <f t="shared" si="138"/>
        <v>X-PHPX</v>
      </c>
      <c r="AF286" s="321" t="str">
        <f t="shared" si="139"/>
        <v>X-PHPE</v>
      </c>
      <c r="AG286" s="321">
        <f t="shared" si="127"/>
        <v>8</v>
      </c>
      <c r="AH286" s="321"/>
      <c r="AI286" s="321" t="str">
        <f t="shared" si="140"/>
        <v>X-PHP</v>
      </c>
      <c r="AJ286" s="320"/>
      <c r="AK286" s="322">
        <f t="shared" si="128"/>
        <v>280</v>
      </c>
      <c r="AL286" s="323">
        <f t="shared" si="141"/>
        <v>287</v>
      </c>
      <c r="AM286" s="322">
        <f t="shared" si="142"/>
        <v>7</v>
      </c>
      <c r="AN286" s="381">
        <f t="shared" si="129"/>
        <v>0.86666666666666659</v>
      </c>
      <c r="AO286" s="322"/>
    </row>
    <row r="287" spans="2:80" ht="13.8" thickBot="1">
      <c r="B287" s="501" t="s">
        <v>1502</v>
      </c>
      <c r="C287" s="950" t="s">
        <v>1503</v>
      </c>
      <c r="D287" s="326" t="s">
        <v>1160</v>
      </c>
      <c r="E287" s="327">
        <f>+SUMIF('AUX-NIV2'!I:I,'AUX-NIV3'!B287,'AUX-NIV2'!Q:Q)</f>
        <v>0</v>
      </c>
      <c r="F287" s="327">
        <f t="shared" si="119"/>
        <v>972.7181822808268</v>
      </c>
      <c r="G287" s="327">
        <f t="shared" si="120"/>
        <v>0</v>
      </c>
      <c r="H287" s="328" t="str">
        <f t="shared" si="143"/>
        <v>E</v>
      </c>
      <c r="I287" s="325" t="s">
        <v>1610</v>
      </c>
      <c r="J287" s="329" t="str">
        <f>IF(B287&lt;&gt;"",+VLOOKUP(I287,Recursos!C:F,2,FALSE),"")</f>
        <v>PLANTA ELAB. HORMIGON (50-90 M3/H)</v>
      </c>
      <c r="K287" s="330" t="str">
        <f>IF(B287&lt;&gt;"",+VLOOKUP(I287,Recursos!C:F,3,FALSE),"")</f>
        <v>HR</v>
      </c>
      <c r="L287" s="446">
        <f>IF(B287&lt;&gt;"",+VLOOKUP(I287,Recursos!C:F,4,FALSE),"")</f>
        <v>2469.6099999999997</v>
      </c>
      <c r="M287" s="464">
        <v>12</v>
      </c>
      <c r="N287" s="465">
        <v>1</v>
      </c>
      <c r="O287" s="459">
        <f>+N287/M287</f>
        <v>8.3333333333333329E-2</v>
      </c>
      <c r="P287" s="333">
        <f t="shared" si="130"/>
        <v>205.80083333333329</v>
      </c>
      <c r="Q287" s="327">
        <f t="shared" si="131"/>
        <v>0</v>
      </c>
      <c r="R287" s="334">
        <f t="shared" si="132"/>
        <v>0</v>
      </c>
      <c r="S287" s="335">
        <f t="shared" si="121"/>
        <v>439.50675172527133</v>
      </c>
      <c r="T287" s="335">
        <f t="shared" si="122"/>
        <v>533.21143055555547</v>
      </c>
      <c r="U287" s="336">
        <f t="shared" si="123"/>
        <v>0</v>
      </c>
      <c r="V287" s="336">
        <f t="shared" si="124"/>
        <v>0</v>
      </c>
      <c r="W287" s="336">
        <f t="shared" si="125"/>
        <v>0</v>
      </c>
      <c r="X287" s="336">
        <f t="shared" si="126"/>
        <v>0</v>
      </c>
      <c r="Y287" s="320"/>
      <c r="Z287" s="321" t="str">
        <f t="shared" si="133"/>
        <v>X-PHPA</v>
      </c>
      <c r="AA287" s="321" t="str">
        <f t="shared" si="134"/>
        <v>X-PHPE</v>
      </c>
      <c r="AB287" s="321" t="str">
        <f t="shared" si="135"/>
        <v>X-PHPM</v>
      </c>
      <c r="AC287" s="321" t="str">
        <f t="shared" si="136"/>
        <v>X-PHPT</v>
      </c>
      <c r="AD287" s="321" t="str">
        <f t="shared" si="137"/>
        <v>X-PHPS</v>
      </c>
      <c r="AE287" s="321" t="str">
        <f t="shared" si="138"/>
        <v>X-PHPX</v>
      </c>
      <c r="AF287" s="321" t="str">
        <f t="shared" si="139"/>
        <v>X-PHPE</v>
      </c>
      <c r="AG287" s="321">
        <f t="shared" si="127"/>
        <v>8</v>
      </c>
      <c r="AH287" s="321"/>
      <c r="AI287" s="321" t="str">
        <f t="shared" si="140"/>
        <v>X-PHP</v>
      </c>
      <c r="AJ287" s="320"/>
      <c r="AK287" s="322">
        <f t="shared" si="128"/>
        <v>280</v>
      </c>
      <c r="AL287" s="323">
        <f t="shared" si="141"/>
        <v>287</v>
      </c>
      <c r="AM287" s="322">
        <f t="shared" si="142"/>
        <v>8</v>
      </c>
      <c r="AN287" s="381">
        <f t="shared" si="129"/>
        <v>0.86666666666666659</v>
      </c>
      <c r="AO287" s="322"/>
    </row>
    <row r="288" spans="2:80" ht="13.8" thickTop="1">
      <c r="B288" s="468" t="s">
        <v>1525</v>
      </c>
      <c r="C288" s="469" t="s">
        <v>1526</v>
      </c>
      <c r="D288" s="470" t="s">
        <v>441</v>
      </c>
      <c r="E288" s="327">
        <f>+SUMIF('AUX-NIV2'!I:I,'AUX-NIV3'!B288,'AUX-NIV2'!Q:Q)</f>
        <v>0</v>
      </c>
      <c r="F288" s="327">
        <f t="shared" si="119"/>
        <v>346.12398419675657</v>
      </c>
      <c r="G288" s="327">
        <f t="shared" si="120"/>
        <v>0</v>
      </c>
      <c r="H288" s="328" t="str">
        <f t="shared" si="143"/>
        <v>A</v>
      </c>
      <c r="I288" s="325" t="s">
        <v>1745</v>
      </c>
      <c r="J288" s="329" t="str">
        <f>IF(B288&lt;&gt;"",+VLOOKUP(I288,Recursos!C:F,2,FALSE),"")</f>
        <v>AYUDANTE</v>
      </c>
      <c r="K288" s="330" t="str">
        <f>IF(B288&lt;&gt;"",+VLOOKUP(I288,Recursos!C:F,3,FALSE),"")</f>
        <v>hh</v>
      </c>
      <c r="L288" s="446">
        <f>IF(B288&lt;&gt;"",+VLOOKUP(I288,Recursos!C:F,4,FALSE),"")</f>
        <v>422.48042769667234</v>
      </c>
      <c r="M288" s="457">
        <f>+M300</f>
        <v>75</v>
      </c>
      <c r="N288" s="458">
        <v>2</v>
      </c>
      <c r="O288" s="459">
        <f>+N288/M288*N300+N291/M291*N293</f>
        <v>5.8773809523809534E-2</v>
      </c>
      <c r="P288" s="333">
        <f t="shared" si="130"/>
        <v>24.830784184981805</v>
      </c>
      <c r="Q288" s="327">
        <f t="shared" si="131"/>
        <v>0</v>
      </c>
      <c r="R288" s="334">
        <f t="shared" si="132"/>
        <v>0</v>
      </c>
      <c r="S288" s="335">
        <f t="shared" si="121"/>
        <v>95.797564969397214</v>
      </c>
      <c r="T288" s="335">
        <f t="shared" si="122"/>
        <v>248.97641922735937</v>
      </c>
      <c r="U288" s="336">
        <f t="shared" si="123"/>
        <v>0</v>
      </c>
      <c r="V288" s="336">
        <f t="shared" si="124"/>
        <v>0</v>
      </c>
      <c r="W288" s="336">
        <f t="shared" si="125"/>
        <v>1.35</v>
      </c>
      <c r="X288" s="336">
        <f t="shared" si="126"/>
        <v>0</v>
      </c>
      <c r="Y288" s="320"/>
      <c r="Z288" s="321" t="str">
        <f t="shared" si="133"/>
        <v>X-AGTA</v>
      </c>
      <c r="AA288" s="321" t="str">
        <f t="shared" si="134"/>
        <v>X-AGTE</v>
      </c>
      <c r="AB288" s="321" t="str">
        <f t="shared" si="135"/>
        <v>X-AGTM</v>
      </c>
      <c r="AC288" s="321" t="str">
        <f t="shared" si="136"/>
        <v>X-AGTT</v>
      </c>
      <c r="AD288" s="321" t="str">
        <f t="shared" si="137"/>
        <v>X-AGTS</v>
      </c>
      <c r="AE288" s="321" t="str">
        <f t="shared" si="138"/>
        <v>X-AGTX</v>
      </c>
      <c r="AF288" s="321" t="str">
        <f t="shared" si="139"/>
        <v>X-AGTA</v>
      </c>
      <c r="AG288" s="321">
        <f t="shared" si="127"/>
        <v>17</v>
      </c>
      <c r="AH288" s="321"/>
      <c r="AI288" s="321" t="str">
        <f t="shared" si="140"/>
        <v>X-AGT</v>
      </c>
      <c r="AJ288" s="320"/>
      <c r="AK288" s="322">
        <f t="shared" si="128"/>
        <v>288</v>
      </c>
      <c r="AL288" s="323">
        <f t="shared" si="141"/>
        <v>304</v>
      </c>
      <c r="AM288" s="322">
        <f t="shared" si="142"/>
        <v>1</v>
      </c>
      <c r="AN288" s="381">
        <f t="shared" si="129"/>
        <v>0.19427391581632655</v>
      </c>
      <c r="AO288" s="324"/>
      <c r="AP288" s="325"/>
      <c r="AQ288" s="326"/>
      <c r="AR288" s="327"/>
      <c r="AS288" s="327" t="str">
        <f t="shared" ref="AS288:AS327" si="144">IF(AO288&lt;&gt;"",+SUMIF(B:B,AO288,P:P),"")</f>
        <v/>
      </c>
      <c r="AT288" s="327" t="str">
        <f t="shared" ref="AT288:AT327" si="145">IF(AO288&lt;&gt;"",+SUMIF(B:B,AO288,R:R),"")</f>
        <v/>
      </c>
      <c r="AU288" s="328" t="str">
        <f>IF(AO288&lt;&gt;"",+LEFT(AV288,1),"")</f>
        <v/>
      </c>
      <c r="AV288" s="325"/>
      <c r="AW288" s="329" t="str">
        <f>IF(AO288&lt;&gt;"",+VLOOKUP(AV288,Recursos!C:F,2,FALSE),"")</f>
        <v/>
      </c>
      <c r="AX288" s="330" t="str">
        <f>IF(AO288&lt;&gt;"",+VLOOKUP(AV288,Recursos!C:F,3,FALSE),"")</f>
        <v/>
      </c>
      <c r="AY288" s="327" t="str">
        <f>IF(AO288&lt;&gt;"",+VLOOKUP(AV288,Recursos!C:F,4,FALSE),"")</f>
        <v/>
      </c>
      <c r="AZ288" s="331"/>
      <c r="BA288" s="331"/>
      <c r="BB288" s="332"/>
      <c r="BC288" s="333" t="str">
        <f t="shared" ref="BC288:BC327" si="146">IF(AO288&lt;&gt;"",BB288*AY288,"")</f>
        <v/>
      </c>
      <c r="BD288" s="327" t="str">
        <f t="shared" ref="BD288:BD327" si="147">IF(AO288&lt;&gt;"",+BB288*AR288,"")</f>
        <v/>
      </c>
      <c r="BE288" s="334" t="str">
        <f t="shared" ref="BE288:BE327" si="148">IF(AO288&lt;&gt;"",BD288*AY288,"")</f>
        <v/>
      </c>
      <c r="BF288" s="335" t="str">
        <f t="shared" ref="BF288:BF327" si="149">IF(AO288&lt;&gt;"",+SUMIF($AF:$AF,BM288,$P:$P),"")</f>
        <v/>
      </c>
      <c r="BG288" s="335" t="str">
        <f t="shared" ref="BG288:BG327" si="150">IF(AO288&lt;&gt;"",+SUMIF($AF:$AF,BN288,$P:$P),"")</f>
        <v/>
      </c>
      <c r="BH288" s="336" t="str">
        <f t="shared" ref="BH288:BH327" si="151">IF(AO288&lt;&gt;"",+SUMIF($AF:$AF,BO288,$P:$P),"")</f>
        <v/>
      </c>
      <c r="BI288" s="336" t="str">
        <f t="shared" ref="BI288:BI327" si="152">IF(AO288&lt;&gt;"",+SUMIF($AF:$AF,BP288,$P:$P),"")</f>
        <v/>
      </c>
      <c r="BJ288" s="336" t="str">
        <f t="shared" ref="BJ288:BJ327" si="153">IF(AO288&lt;&gt;"",+SUMIF($AF:$AF,BQ288,$P:$P),"")</f>
        <v/>
      </c>
      <c r="BK288" s="336" t="str">
        <f t="shared" ref="BK288:BK327" si="154">IF(AO288&lt;&gt;"",+SUMIF($AF:$AF,BR288,$P:$P),"")</f>
        <v/>
      </c>
      <c r="BL288" s="320"/>
      <c r="BM288" s="321" t="str">
        <f t="shared" ref="BM288:BM327" si="155">IF(AO288&lt;&gt;"",+$AO288&amp;"A","")</f>
        <v/>
      </c>
      <c r="BN288" s="321" t="str">
        <f t="shared" ref="BN288:BN327" si="156">IF(AO288&lt;&gt;"",+$AO288&amp;"E","")</f>
        <v/>
      </c>
      <c r="BO288" s="321" t="str">
        <f t="shared" ref="BO288:BO327" si="157">IF(AO288&lt;&gt;"",++$AO288&amp;"M","")</f>
        <v/>
      </c>
      <c r="BP288" s="321" t="str">
        <f t="shared" ref="BP288:BP327" si="158">IF(AO288&lt;&gt;"",+$AO288&amp;"T","")</f>
        <v/>
      </c>
      <c r="BQ288" s="321" t="str">
        <f t="shared" ref="BQ288:BQ327" si="159">IF(AO288&lt;&gt;"",+$AO288&amp;"S","")</f>
        <v/>
      </c>
      <c r="BR288" s="321" t="str">
        <f t="shared" ref="BR288:BR327" si="160">IF(AO288&lt;&gt;"",+$AO288&amp;"X","")</f>
        <v/>
      </c>
      <c r="BS288" s="321" t="str">
        <f t="shared" ref="BS288:BS327" si="161">IF(AO288&lt;&gt;"",+AO288&amp;AU288,"")</f>
        <v/>
      </c>
      <c r="BT288" s="321" t="str">
        <f t="shared" ref="BT288:BT327" si="162">IF(AO288&lt;&gt;"",+COUNTIF(B:B,AO288),"")</f>
        <v/>
      </c>
      <c r="BU288" s="321"/>
      <c r="BV288" s="321" t="str">
        <f t="shared" ref="BV288:BV327" si="163">IF(AO288&lt;&gt;"",+AO288,"")</f>
        <v/>
      </c>
      <c r="BW288" s="320"/>
      <c r="BX288" s="322" t="str">
        <f t="shared" ref="BX288:BX327" si="164">IF(AO288&lt;&gt;"",+MATCH(AO288,B:B,0),"")</f>
        <v/>
      </c>
      <c r="BY288" s="323" t="str">
        <f t="shared" ref="BY288:BY327" si="165">IF(AO288&lt;&gt;"",+BX288+BT288-1,"")</f>
        <v/>
      </c>
      <c r="BZ288" s="322" t="str">
        <f>IF(AO288&lt;&gt;"",IF(AO288=B287,1+AM287,1),"")</f>
        <v/>
      </c>
      <c r="CA288" s="381" t="str">
        <f t="shared" ref="CA288:CA327" si="166">+IF(AO288&lt;&gt;"",SUMIF(AF:AF,BM288,O:O),"")</f>
        <v/>
      </c>
      <c r="CB288" s="322"/>
    </row>
    <row r="289" spans="2:80">
      <c r="B289" s="468" t="s">
        <v>1525</v>
      </c>
      <c r="C289" s="469" t="s">
        <v>1526</v>
      </c>
      <c r="D289" s="470" t="s">
        <v>441</v>
      </c>
      <c r="E289" s="327">
        <f>+SUMIF('AUX-NIV2'!I:I,'AUX-NIV3'!B289,'AUX-NIV2'!Q:Q)</f>
        <v>0</v>
      </c>
      <c r="F289" s="327">
        <f t="shared" si="119"/>
        <v>346.12398419675657</v>
      </c>
      <c r="G289" s="327">
        <f t="shared" si="120"/>
        <v>0</v>
      </c>
      <c r="H289" s="328" t="str">
        <f t="shared" si="143"/>
        <v>A</v>
      </c>
      <c r="I289" s="325" t="s">
        <v>3309</v>
      </c>
      <c r="J289" s="329" t="str">
        <f>IF(B289&lt;&gt;"",+VLOOKUP(I289,Recursos!C:F,2,FALSE),"")</f>
        <v>MEDIO OFICIAL</v>
      </c>
      <c r="K289" s="330" t="str">
        <f>IF(B289&lt;&gt;"",+VLOOKUP(I289,Recursos!C:F,3,FALSE),"")</f>
        <v>hh</v>
      </c>
      <c r="L289" s="446">
        <f>IF(B289&lt;&gt;"",+VLOOKUP(I289,Recursos!C:F,4,FALSE),"")</f>
        <v>459.10093211890984</v>
      </c>
      <c r="M289" s="460">
        <f>+M288</f>
        <v>75</v>
      </c>
      <c r="N289" s="463">
        <v>2</v>
      </c>
      <c r="O289" s="459">
        <f>+N289/M289*N300</f>
        <v>3.4666666666666672E-2</v>
      </c>
      <c r="P289" s="333">
        <f t="shared" si="130"/>
        <v>15.91549898012221</v>
      </c>
      <c r="Q289" s="327">
        <f t="shared" si="131"/>
        <v>0</v>
      </c>
      <c r="R289" s="334">
        <f t="shared" si="132"/>
        <v>0</v>
      </c>
      <c r="S289" s="335">
        <f t="shared" si="121"/>
        <v>95.797564969397214</v>
      </c>
      <c r="T289" s="335">
        <f t="shared" si="122"/>
        <v>248.97641922735937</v>
      </c>
      <c r="U289" s="336">
        <f t="shared" si="123"/>
        <v>0</v>
      </c>
      <c r="V289" s="336">
        <f t="shared" si="124"/>
        <v>0</v>
      </c>
      <c r="W289" s="336">
        <f t="shared" si="125"/>
        <v>1.35</v>
      </c>
      <c r="X289" s="336">
        <f t="shared" si="126"/>
        <v>0</v>
      </c>
      <c r="Y289" s="320"/>
      <c r="Z289" s="321" t="str">
        <f t="shared" si="133"/>
        <v>X-AGTA</v>
      </c>
      <c r="AA289" s="321" t="str">
        <f t="shared" si="134"/>
        <v>X-AGTE</v>
      </c>
      <c r="AB289" s="321" t="str">
        <f t="shared" si="135"/>
        <v>X-AGTM</v>
      </c>
      <c r="AC289" s="321" t="str">
        <f t="shared" si="136"/>
        <v>X-AGTT</v>
      </c>
      <c r="AD289" s="321" t="str">
        <f t="shared" si="137"/>
        <v>X-AGTS</v>
      </c>
      <c r="AE289" s="321" t="str">
        <f t="shared" si="138"/>
        <v>X-AGTX</v>
      </c>
      <c r="AF289" s="321" t="str">
        <f t="shared" si="139"/>
        <v>X-AGTA</v>
      </c>
      <c r="AG289" s="321">
        <f t="shared" si="127"/>
        <v>17</v>
      </c>
      <c r="AH289" s="321"/>
      <c r="AI289" s="321" t="str">
        <f t="shared" si="140"/>
        <v>X-AGT</v>
      </c>
      <c r="AJ289" s="320"/>
      <c r="AK289" s="322">
        <f t="shared" si="128"/>
        <v>288</v>
      </c>
      <c r="AL289" s="323">
        <f t="shared" si="141"/>
        <v>304</v>
      </c>
      <c r="AM289" s="322">
        <f t="shared" si="142"/>
        <v>2</v>
      </c>
      <c r="AN289" s="381">
        <f t="shared" si="129"/>
        <v>0.19427391581632655</v>
      </c>
      <c r="AO289" s="324"/>
      <c r="AP289" s="325"/>
      <c r="AQ289" s="326"/>
      <c r="AR289" s="327"/>
      <c r="AS289" s="327" t="str">
        <f t="shared" si="144"/>
        <v/>
      </c>
      <c r="AT289" s="327" t="str">
        <f t="shared" si="145"/>
        <v/>
      </c>
      <c r="AU289" s="328" t="str">
        <f>IF(AO289&lt;&gt;"",+LEFT(AV289,1),"")</f>
        <v/>
      </c>
      <c r="AV289" s="325"/>
      <c r="AW289" s="329" t="str">
        <f>IF(AO289&lt;&gt;"",+VLOOKUP(AV289,Recursos!C:F,2,FALSE),"")</f>
        <v/>
      </c>
      <c r="AX289" s="330" t="str">
        <f>IF(AO289&lt;&gt;"",+VLOOKUP(AV289,Recursos!C:F,3,FALSE),"")</f>
        <v/>
      </c>
      <c r="AY289" s="327" t="str">
        <f>IF(AO289&lt;&gt;"",+VLOOKUP(AV289,Recursos!C:F,4,FALSE),"")</f>
        <v/>
      </c>
      <c r="AZ289" s="331"/>
      <c r="BA289" s="331"/>
      <c r="BB289" s="332"/>
      <c r="BC289" s="333" t="str">
        <f t="shared" si="146"/>
        <v/>
      </c>
      <c r="BD289" s="327" t="str">
        <f t="shared" si="147"/>
        <v/>
      </c>
      <c r="BE289" s="334" t="str">
        <f t="shared" si="148"/>
        <v/>
      </c>
      <c r="BF289" s="335" t="str">
        <f t="shared" si="149"/>
        <v/>
      </c>
      <c r="BG289" s="335" t="str">
        <f t="shared" si="150"/>
        <v/>
      </c>
      <c r="BH289" s="336" t="str">
        <f t="shared" si="151"/>
        <v/>
      </c>
      <c r="BI289" s="336" t="str">
        <f t="shared" si="152"/>
        <v/>
      </c>
      <c r="BJ289" s="336" t="str">
        <f t="shared" si="153"/>
        <v/>
      </c>
      <c r="BK289" s="336" t="str">
        <f t="shared" si="154"/>
        <v/>
      </c>
      <c r="BL289" s="320"/>
      <c r="BM289" s="321" t="str">
        <f t="shared" si="155"/>
        <v/>
      </c>
      <c r="BN289" s="321" t="str">
        <f t="shared" si="156"/>
        <v/>
      </c>
      <c r="BO289" s="321" t="str">
        <f t="shared" si="157"/>
        <v/>
      </c>
      <c r="BP289" s="321" t="str">
        <f t="shared" si="158"/>
        <v/>
      </c>
      <c r="BQ289" s="321" t="str">
        <f t="shared" si="159"/>
        <v/>
      </c>
      <c r="BR289" s="321" t="str">
        <f t="shared" si="160"/>
        <v/>
      </c>
      <c r="BS289" s="321" t="str">
        <f t="shared" si="161"/>
        <v/>
      </c>
      <c r="BT289" s="321" t="str">
        <f t="shared" si="162"/>
        <v/>
      </c>
      <c r="BU289" s="321"/>
      <c r="BV289" s="321" t="str">
        <f t="shared" si="163"/>
        <v/>
      </c>
      <c r="BW289" s="320"/>
      <c r="BX289" s="322" t="str">
        <f t="shared" si="164"/>
        <v/>
      </c>
      <c r="BY289" s="323" t="str">
        <f t="shared" si="165"/>
        <v/>
      </c>
      <c r="BZ289" s="322" t="str">
        <f t="shared" ref="BZ289:BZ304" si="167">IF(AO289&lt;&gt;"",IF(AO289=AO288,1+BZ288,1),"")</f>
        <v/>
      </c>
      <c r="CA289" s="381" t="str">
        <f t="shared" si="166"/>
        <v/>
      </c>
      <c r="CB289" s="322"/>
    </row>
    <row r="290" spans="2:80">
      <c r="B290" s="468" t="s">
        <v>1525</v>
      </c>
      <c r="C290" s="469" t="s">
        <v>1526</v>
      </c>
      <c r="D290" s="470" t="s">
        <v>441</v>
      </c>
      <c r="E290" s="327">
        <f>+SUMIF('AUX-NIV2'!I:I,'AUX-NIV3'!B290,'AUX-NIV2'!Q:Q)</f>
        <v>0</v>
      </c>
      <c r="F290" s="327">
        <f t="shared" si="119"/>
        <v>346.12398419675657</v>
      </c>
      <c r="G290" s="327">
        <f t="shared" si="120"/>
        <v>0</v>
      </c>
      <c r="H290" s="328" t="str">
        <f t="shared" ref="H290:H353" si="168">IF(B290&lt;&gt;"",+LEFT(I290,1),"")</f>
        <v>A</v>
      </c>
      <c r="I290" s="325" t="s">
        <v>1746</v>
      </c>
      <c r="J290" s="329" t="str">
        <f>IF(B290&lt;&gt;"",+VLOOKUP(I290,Recursos!C:F,2,FALSE),"")</f>
        <v>OFICIAL</v>
      </c>
      <c r="K290" s="330" t="str">
        <f>IF(B290&lt;&gt;"",+VLOOKUP(I290,Recursos!C:F,3,FALSE),"")</f>
        <v>hh</v>
      </c>
      <c r="L290" s="446">
        <f>IF(B290&lt;&gt;"",+VLOOKUP(I290,Recursos!C:F,4,FALSE),"")</f>
        <v>496.91595439275824</v>
      </c>
      <c r="M290" s="460">
        <f>+M289</f>
        <v>75</v>
      </c>
      <c r="N290" s="466"/>
      <c r="O290" s="459">
        <f>1/M290*N300</f>
        <v>1.7333333333333336E-2</v>
      </c>
      <c r="P290" s="333">
        <f t="shared" si="130"/>
        <v>8.6132098761411449</v>
      </c>
      <c r="Q290" s="327">
        <f t="shared" si="131"/>
        <v>0</v>
      </c>
      <c r="R290" s="334">
        <f t="shared" si="132"/>
        <v>0</v>
      </c>
      <c r="S290" s="335">
        <f t="shared" si="121"/>
        <v>95.797564969397214</v>
      </c>
      <c r="T290" s="335">
        <f t="shared" si="122"/>
        <v>248.97641922735937</v>
      </c>
      <c r="U290" s="336">
        <f t="shared" si="123"/>
        <v>0</v>
      </c>
      <c r="V290" s="336">
        <f t="shared" si="124"/>
        <v>0</v>
      </c>
      <c r="W290" s="336">
        <f t="shared" si="125"/>
        <v>1.35</v>
      </c>
      <c r="X290" s="336">
        <f t="shared" si="126"/>
        <v>0</v>
      </c>
      <c r="Y290" s="320"/>
      <c r="Z290" s="321" t="str">
        <f t="shared" si="133"/>
        <v>X-AGTA</v>
      </c>
      <c r="AA290" s="321" t="str">
        <f t="shared" si="134"/>
        <v>X-AGTE</v>
      </c>
      <c r="AB290" s="321" t="str">
        <f t="shared" si="135"/>
        <v>X-AGTM</v>
      </c>
      <c r="AC290" s="321" t="str">
        <f t="shared" si="136"/>
        <v>X-AGTT</v>
      </c>
      <c r="AD290" s="321" t="str">
        <f t="shared" si="137"/>
        <v>X-AGTS</v>
      </c>
      <c r="AE290" s="321" t="str">
        <f t="shared" si="138"/>
        <v>X-AGTX</v>
      </c>
      <c r="AF290" s="321" t="str">
        <f t="shared" si="139"/>
        <v>X-AGTA</v>
      </c>
      <c r="AG290" s="321">
        <f t="shared" si="127"/>
        <v>17</v>
      </c>
      <c r="AH290" s="321"/>
      <c r="AI290" s="321" t="str">
        <f t="shared" si="140"/>
        <v>X-AGT</v>
      </c>
      <c r="AJ290" s="320"/>
      <c r="AK290" s="322">
        <f t="shared" si="128"/>
        <v>288</v>
      </c>
      <c r="AL290" s="323">
        <f t="shared" si="141"/>
        <v>304</v>
      </c>
      <c r="AM290" s="322">
        <f t="shared" si="142"/>
        <v>3</v>
      </c>
      <c r="AN290" s="381">
        <f t="shared" si="129"/>
        <v>0.19427391581632655</v>
      </c>
      <c r="AO290" s="324"/>
      <c r="AP290" s="325"/>
      <c r="AQ290" s="326"/>
      <c r="AR290" s="327"/>
      <c r="AS290" s="327" t="str">
        <f t="shared" si="144"/>
        <v/>
      </c>
      <c r="AT290" s="327" t="str">
        <f t="shared" si="145"/>
        <v/>
      </c>
      <c r="AU290" s="328" t="str">
        <f t="shared" ref="AU290:AU327" si="169">IF(AO290&lt;&gt;"",+LEFT(AV290,1),"")</f>
        <v/>
      </c>
      <c r="AV290" s="325"/>
      <c r="AW290" s="329" t="str">
        <f>IF(AO290&lt;&gt;"",+VLOOKUP(AV290,Recursos!C:F,2,FALSE),"")</f>
        <v/>
      </c>
      <c r="AX290" s="330" t="str">
        <f>IF(AO290&lt;&gt;"",+VLOOKUP(AV290,Recursos!C:F,3,FALSE),"")</f>
        <v/>
      </c>
      <c r="AY290" s="327" t="str">
        <f>IF(AO290&lt;&gt;"",+VLOOKUP(AV290,Recursos!C:F,4,FALSE),"")</f>
        <v/>
      </c>
      <c r="AZ290" s="331"/>
      <c r="BA290" s="331"/>
      <c r="BB290" s="332"/>
      <c r="BC290" s="333" t="str">
        <f t="shared" si="146"/>
        <v/>
      </c>
      <c r="BD290" s="327" t="str">
        <f t="shared" si="147"/>
        <v/>
      </c>
      <c r="BE290" s="334" t="str">
        <f t="shared" si="148"/>
        <v/>
      </c>
      <c r="BF290" s="335" t="str">
        <f t="shared" si="149"/>
        <v/>
      </c>
      <c r="BG290" s="335" t="str">
        <f t="shared" si="150"/>
        <v/>
      </c>
      <c r="BH290" s="336" t="str">
        <f t="shared" si="151"/>
        <v/>
      </c>
      <c r="BI290" s="336" t="str">
        <f t="shared" si="152"/>
        <v/>
      </c>
      <c r="BJ290" s="336" t="str">
        <f t="shared" si="153"/>
        <v/>
      </c>
      <c r="BK290" s="336" t="str">
        <f t="shared" si="154"/>
        <v/>
      </c>
      <c r="BL290" s="320"/>
      <c r="BM290" s="321" t="str">
        <f t="shared" si="155"/>
        <v/>
      </c>
      <c r="BN290" s="321" t="str">
        <f t="shared" si="156"/>
        <v/>
      </c>
      <c r="BO290" s="321" t="str">
        <f t="shared" si="157"/>
        <v/>
      </c>
      <c r="BP290" s="321" t="str">
        <f t="shared" si="158"/>
        <v/>
      </c>
      <c r="BQ290" s="321" t="str">
        <f t="shared" si="159"/>
        <v/>
      </c>
      <c r="BR290" s="321" t="str">
        <f t="shared" si="160"/>
        <v/>
      </c>
      <c r="BS290" s="321" t="str">
        <f t="shared" si="161"/>
        <v/>
      </c>
      <c r="BT290" s="321" t="str">
        <f t="shared" si="162"/>
        <v/>
      </c>
      <c r="BU290" s="321"/>
      <c r="BV290" s="321" t="str">
        <f t="shared" si="163"/>
        <v/>
      </c>
      <c r="BW290" s="320"/>
      <c r="BX290" s="322" t="str">
        <f t="shared" si="164"/>
        <v/>
      </c>
      <c r="BY290" s="323" t="str">
        <f t="shared" si="165"/>
        <v/>
      </c>
      <c r="BZ290" s="322" t="str">
        <f t="shared" si="167"/>
        <v/>
      </c>
      <c r="CA290" s="381" t="str">
        <f t="shared" si="166"/>
        <v/>
      </c>
      <c r="CB290" s="322"/>
    </row>
    <row r="291" spans="2:80">
      <c r="B291" s="468" t="s">
        <v>1525</v>
      </c>
      <c r="C291" s="469" t="s">
        <v>1526</v>
      </c>
      <c r="D291" s="470" t="s">
        <v>441</v>
      </c>
      <c r="E291" s="327">
        <f>+SUMIF('AUX-NIV2'!I:I,'AUX-NIV3'!B291,'AUX-NIV2'!Q:Q)</f>
        <v>0</v>
      </c>
      <c r="F291" s="327">
        <f t="shared" si="119"/>
        <v>346.12398419675657</v>
      </c>
      <c r="G291" s="327">
        <f t="shared" si="120"/>
        <v>0</v>
      </c>
      <c r="H291" s="328" t="str">
        <f t="shared" si="168"/>
        <v>A</v>
      </c>
      <c r="I291" s="325" t="s">
        <v>3310</v>
      </c>
      <c r="J291" s="329" t="str">
        <f>IF(B291&lt;&gt;"",+VLOOKUP(I291,Recursos!C:F,2,FALSE),"")</f>
        <v>OFICIAL ESPECIALIZADO</v>
      </c>
      <c r="K291" s="330" t="str">
        <f>IF(B291&lt;&gt;"",+VLOOKUP(I291,Recursos!C:F,3,FALSE),"")</f>
        <v>hh</v>
      </c>
      <c r="L291" s="446">
        <f>IF(B291&lt;&gt;"",+VLOOKUP(I291,Recursos!C:F,4,FALSE),"")</f>
        <v>581.06120476836554</v>
      </c>
      <c r="M291" s="462">
        <v>70</v>
      </c>
      <c r="N291" s="466">
        <f>+M296</f>
        <v>1.35</v>
      </c>
      <c r="O291" s="459">
        <f>+N291/M291*N293</f>
        <v>2.4107142857142862E-2</v>
      </c>
      <c r="P291" s="333">
        <f t="shared" si="130"/>
        <v>14.007725472094529</v>
      </c>
      <c r="Q291" s="327">
        <f t="shared" si="131"/>
        <v>0</v>
      </c>
      <c r="R291" s="334">
        <f t="shared" si="132"/>
        <v>0</v>
      </c>
      <c r="S291" s="335">
        <f t="shared" si="121"/>
        <v>95.797564969397214</v>
      </c>
      <c r="T291" s="335">
        <f t="shared" si="122"/>
        <v>248.97641922735937</v>
      </c>
      <c r="U291" s="336">
        <f t="shared" si="123"/>
        <v>0</v>
      </c>
      <c r="V291" s="336">
        <f t="shared" si="124"/>
        <v>0</v>
      </c>
      <c r="W291" s="336">
        <f t="shared" si="125"/>
        <v>1.35</v>
      </c>
      <c r="X291" s="336">
        <f t="shared" si="126"/>
        <v>0</v>
      </c>
      <c r="Y291" s="320"/>
      <c r="Z291" s="321" t="str">
        <f t="shared" si="133"/>
        <v>X-AGTA</v>
      </c>
      <c r="AA291" s="321" t="str">
        <f t="shared" si="134"/>
        <v>X-AGTE</v>
      </c>
      <c r="AB291" s="321" t="str">
        <f t="shared" si="135"/>
        <v>X-AGTM</v>
      </c>
      <c r="AC291" s="321" t="str">
        <f t="shared" si="136"/>
        <v>X-AGTT</v>
      </c>
      <c r="AD291" s="321" t="str">
        <f t="shared" si="137"/>
        <v>X-AGTS</v>
      </c>
      <c r="AE291" s="321" t="str">
        <f t="shared" si="138"/>
        <v>X-AGTX</v>
      </c>
      <c r="AF291" s="321" t="str">
        <f t="shared" si="139"/>
        <v>X-AGTA</v>
      </c>
      <c r="AG291" s="321">
        <f t="shared" si="127"/>
        <v>17</v>
      </c>
      <c r="AH291" s="321"/>
      <c r="AI291" s="321" t="str">
        <f t="shared" si="140"/>
        <v>X-AGT</v>
      </c>
      <c r="AJ291" s="320"/>
      <c r="AK291" s="322">
        <f t="shared" si="128"/>
        <v>288</v>
      </c>
      <c r="AL291" s="323">
        <f t="shared" si="141"/>
        <v>304</v>
      </c>
      <c r="AM291" s="322">
        <f t="shared" si="142"/>
        <v>4</v>
      </c>
      <c r="AN291" s="381">
        <f t="shared" si="129"/>
        <v>0.19427391581632655</v>
      </c>
      <c r="AO291" s="324"/>
      <c r="AP291" s="325"/>
      <c r="AQ291" s="326"/>
      <c r="AR291" s="327"/>
      <c r="AS291" s="327" t="str">
        <f t="shared" si="144"/>
        <v/>
      </c>
      <c r="AT291" s="327" t="str">
        <f t="shared" si="145"/>
        <v/>
      </c>
      <c r="AU291" s="328" t="str">
        <f t="shared" si="169"/>
        <v/>
      </c>
      <c r="AV291" s="325"/>
      <c r="AW291" s="329" t="str">
        <f>IF(AO291&lt;&gt;"",+VLOOKUP(AV291,Recursos!C:F,2,FALSE),"")</f>
        <v/>
      </c>
      <c r="AX291" s="330" t="str">
        <f>IF(AO291&lt;&gt;"",+VLOOKUP(AV291,Recursos!C:F,3,FALSE),"")</f>
        <v/>
      </c>
      <c r="AY291" s="327" t="str">
        <f>IF(AO291&lt;&gt;"",+VLOOKUP(AV291,Recursos!C:F,4,FALSE),"")</f>
        <v/>
      </c>
      <c r="AZ291" s="331"/>
      <c r="BA291" s="331"/>
      <c r="BB291" s="332"/>
      <c r="BC291" s="333" t="str">
        <f t="shared" si="146"/>
        <v/>
      </c>
      <c r="BD291" s="327" t="str">
        <f t="shared" si="147"/>
        <v/>
      </c>
      <c r="BE291" s="334" t="str">
        <f t="shared" si="148"/>
        <v/>
      </c>
      <c r="BF291" s="335" t="str">
        <f t="shared" si="149"/>
        <v/>
      </c>
      <c r="BG291" s="335" t="str">
        <f t="shared" si="150"/>
        <v/>
      </c>
      <c r="BH291" s="336" t="str">
        <f t="shared" si="151"/>
        <v/>
      </c>
      <c r="BI291" s="336" t="str">
        <f t="shared" si="152"/>
        <v/>
      </c>
      <c r="BJ291" s="336" t="str">
        <f t="shared" si="153"/>
        <v/>
      </c>
      <c r="BK291" s="336" t="str">
        <f t="shared" si="154"/>
        <v/>
      </c>
      <c r="BL291" s="320"/>
      <c r="BM291" s="321" t="str">
        <f t="shared" si="155"/>
        <v/>
      </c>
      <c r="BN291" s="321" t="str">
        <f t="shared" si="156"/>
        <v/>
      </c>
      <c r="BO291" s="321" t="str">
        <f t="shared" si="157"/>
        <v/>
      </c>
      <c r="BP291" s="321" t="str">
        <f t="shared" si="158"/>
        <v/>
      </c>
      <c r="BQ291" s="321" t="str">
        <f t="shared" si="159"/>
        <v/>
      </c>
      <c r="BR291" s="321" t="str">
        <f t="shared" si="160"/>
        <v/>
      </c>
      <c r="BS291" s="321" t="str">
        <f t="shared" si="161"/>
        <v/>
      </c>
      <c r="BT291" s="321" t="str">
        <f t="shared" si="162"/>
        <v/>
      </c>
      <c r="BU291" s="321"/>
      <c r="BV291" s="321" t="str">
        <f t="shared" si="163"/>
        <v/>
      </c>
      <c r="BW291" s="320"/>
      <c r="BX291" s="322" t="str">
        <f t="shared" si="164"/>
        <v/>
      </c>
      <c r="BY291" s="323" t="str">
        <f t="shared" si="165"/>
        <v/>
      </c>
      <c r="BZ291" s="322" t="str">
        <f t="shared" si="167"/>
        <v/>
      </c>
      <c r="CA291" s="381" t="str">
        <f t="shared" si="166"/>
        <v/>
      </c>
      <c r="CB291" s="322"/>
    </row>
    <row r="292" spans="2:80">
      <c r="B292" s="468" t="s">
        <v>1525</v>
      </c>
      <c r="C292" s="469" t="s">
        <v>1526</v>
      </c>
      <c r="D292" s="470" t="s">
        <v>441</v>
      </c>
      <c r="E292" s="327">
        <f>+SUMIF('AUX-NIV2'!I:I,'AUX-NIV3'!B292,'AUX-NIV2'!Q:Q)</f>
        <v>0</v>
      </c>
      <c r="F292" s="327">
        <f t="shared" si="119"/>
        <v>346.12398419675657</v>
      </c>
      <c r="G292" s="327">
        <f t="shared" si="120"/>
        <v>0</v>
      </c>
      <c r="H292" s="328" t="str">
        <f t="shared" si="168"/>
        <v>A</v>
      </c>
      <c r="I292" s="325" t="s">
        <v>3310</v>
      </c>
      <c r="J292" s="329" t="str">
        <f>IF(B292&lt;&gt;"",+VLOOKUP(I292,Recursos!C:F,2,FALSE),"")</f>
        <v>OFICIAL ESPECIALIZADO</v>
      </c>
      <c r="K292" s="330" t="str">
        <f>IF(B292&lt;&gt;"",+VLOOKUP(I292,Recursos!C:F,3,FALSE),"")</f>
        <v>hh</v>
      </c>
      <c r="L292" s="446">
        <f>IF(B292&lt;&gt;"",+VLOOKUP(I292,Recursos!C:F,4,FALSE),"")</f>
        <v>581.06120476836554</v>
      </c>
      <c r="M292" s="460">
        <f>+M290</f>
        <v>75</v>
      </c>
      <c r="N292" s="471"/>
      <c r="O292" s="459">
        <f>1/M292*N300</f>
        <v>1.7333333333333336E-2</v>
      </c>
      <c r="P292" s="333">
        <f t="shared" si="130"/>
        <v>10.071727549318338</v>
      </c>
      <c r="Q292" s="327">
        <f t="shared" si="131"/>
        <v>0</v>
      </c>
      <c r="R292" s="334">
        <f t="shared" si="132"/>
        <v>0</v>
      </c>
      <c r="S292" s="335">
        <f t="shared" si="121"/>
        <v>95.797564969397214</v>
      </c>
      <c r="T292" s="335">
        <f t="shared" si="122"/>
        <v>248.97641922735937</v>
      </c>
      <c r="U292" s="336">
        <f t="shared" si="123"/>
        <v>0</v>
      </c>
      <c r="V292" s="336">
        <f t="shared" si="124"/>
        <v>0</v>
      </c>
      <c r="W292" s="336">
        <f t="shared" si="125"/>
        <v>1.35</v>
      </c>
      <c r="X292" s="336">
        <f t="shared" si="126"/>
        <v>0</v>
      </c>
      <c r="Y292" s="320"/>
      <c r="Z292" s="321" t="str">
        <f t="shared" si="133"/>
        <v>X-AGTA</v>
      </c>
      <c r="AA292" s="321" t="str">
        <f t="shared" si="134"/>
        <v>X-AGTE</v>
      </c>
      <c r="AB292" s="321" t="str">
        <f t="shared" si="135"/>
        <v>X-AGTM</v>
      </c>
      <c r="AC292" s="321" t="str">
        <f t="shared" si="136"/>
        <v>X-AGTT</v>
      </c>
      <c r="AD292" s="321" t="str">
        <f t="shared" si="137"/>
        <v>X-AGTS</v>
      </c>
      <c r="AE292" s="321" t="str">
        <f t="shared" si="138"/>
        <v>X-AGTX</v>
      </c>
      <c r="AF292" s="321" t="str">
        <f t="shared" si="139"/>
        <v>X-AGTA</v>
      </c>
      <c r="AG292" s="321">
        <f t="shared" si="127"/>
        <v>17</v>
      </c>
      <c r="AH292" s="321"/>
      <c r="AI292" s="321" t="str">
        <f t="shared" si="140"/>
        <v>X-AGT</v>
      </c>
      <c r="AJ292" s="320"/>
      <c r="AK292" s="322">
        <f t="shared" si="128"/>
        <v>288</v>
      </c>
      <c r="AL292" s="323">
        <f t="shared" si="141"/>
        <v>304</v>
      </c>
      <c r="AM292" s="322">
        <f t="shared" si="142"/>
        <v>5</v>
      </c>
      <c r="AN292" s="381">
        <f t="shared" si="129"/>
        <v>0.19427391581632655</v>
      </c>
      <c r="AO292" s="324"/>
      <c r="AP292" s="325"/>
      <c r="AQ292" s="326"/>
      <c r="AR292" s="327"/>
      <c r="AS292" s="327" t="str">
        <f t="shared" si="144"/>
        <v/>
      </c>
      <c r="AT292" s="327" t="str">
        <f t="shared" si="145"/>
        <v/>
      </c>
      <c r="AU292" s="328" t="str">
        <f t="shared" si="169"/>
        <v/>
      </c>
      <c r="AV292" s="325"/>
      <c r="AW292" s="329" t="str">
        <f>IF(AO292&lt;&gt;"",+VLOOKUP(AV292,Recursos!C:F,2,FALSE),"")</f>
        <v/>
      </c>
      <c r="AX292" s="330" t="str">
        <f>IF(AO292&lt;&gt;"",+VLOOKUP(AV292,Recursos!C:F,3,FALSE),"")</f>
        <v/>
      </c>
      <c r="AY292" s="327" t="str">
        <f>IF(AO292&lt;&gt;"",+VLOOKUP(AV292,Recursos!C:F,4,FALSE),"")</f>
        <v/>
      </c>
      <c r="AZ292" s="331"/>
      <c r="BA292" s="331"/>
      <c r="BB292" s="332"/>
      <c r="BC292" s="333" t="str">
        <f t="shared" si="146"/>
        <v/>
      </c>
      <c r="BD292" s="327" t="str">
        <f t="shared" si="147"/>
        <v/>
      </c>
      <c r="BE292" s="334" t="str">
        <f t="shared" si="148"/>
        <v/>
      </c>
      <c r="BF292" s="335" t="str">
        <f t="shared" si="149"/>
        <v/>
      </c>
      <c r="BG292" s="335" t="str">
        <f t="shared" si="150"/>
        <v/>
      </c>
      <c r="BH292" s="336" t="str">
        <f t="shared" si="151"/>
        <v/>
      </c>
      <c r="BI292" s="336" t="str">
        <f t="shared" si="152"/>
        <v/>
      </c>
      <c r="BJ292" s="336" t="str">
        <f t="shared" si="153"/>
        <v/>
      </c>
      <c r="BK292" s="336" t="str">
        <f t="shared" si="154"/>
        <v/>
      </c>
      <c r="BL292" s="320"/>
      <c r="BM292" s="321" t="str">
        <f t="shared" si="155"/>
        <v/>
      </c>
      <c r="BN292" s="321" t="str">
        <f t="shared" si="156"/>
        <v/>
      </c>
      <c r="BO292" s="321" t="str">
        <f t="shared" si="157"/>
        <v/>
      </c>
      <c r="BP292" s="321" t="str">
        <f t="shared" si="158"/>
        <v/>
      </c>
      <c r="BQ292" s="321" t="str">
        <f t="shared" si="159"/>
        <v/>
      </c>
      <c r="BR292" s="321" t="str">
        <f t="shared" si="160"/>
        <v/>
      </c>
      <c r="BS292" s="321" t="str">
        <f t="shared" si="161"/>
        <v/>
      </c>
      <c r="BT292" s="321" t="str">
        <f t="shared" si="162"/>
        <v/>
      </c>
      <c r="BU292" s="321"/>
      <c r="BV292" s="321" t="str">
        <f t="shared" si="163"/>
        <v/>
      </c>
      <c r="BW292" s="320"/>
      <c r="BX292" s="322" t="str">
        <f t="shared" si="164"/>
        <v/>
      </c>
      <c r="BY292" s="323" t="str">
        <f t="shared" si="165"/>
        <v/>
      </c>
      <c r="BZ292" s="322" t="str">
        <f t="shared" si="167"/>
        <v/>
      </c>
      <c r="CA292" s="381" t="str">
        <f t="shared" si="166"/>
        <v/>
      </c>
      <c r="CB292" s="322"/>
    </row>
    <row r="293" spans="2:80">
      <c r="B293" s="468" t="s">
        <v>1525</v>
      </c>
      <c r="C293" s="469" t="s">
        <v>1526</v>
      </c>
      <c r="D293" s="470" t="s">
        <v>441</v>
      </c>
      <c r="E293" s="327">
        <f>+SUMIF('AUX-NIV2'!I:I,'AUX-NIV3'!B293,'AUX-NIV2'!Q:Q)</f>
        <v>0</v>
      </c>
      <c r="F293" s="327">
        <f t="shared" si="119"/>
        <v>346.12398419675657</v>
      </c>
      <c r="G293" s="327">
        <f t="shared" si="120"/>
        <v>0</v>
      </c>
      <c r="H293" s="328" t="str">
        <f t="shared" si="168"/>
        <v>A</v>
      </c>
      <c r="I293" s="325" t="s">
        <v>1746</v>
      </c>
      <c r="J293" s="329" t="str">
        <f>IF(B293&lt;&gt;"",+VLOOKUP(I293,Recursos!C:F,2,FALSE),"")</f>
        <v>OFICIAL</v>
      </c>
      <c r="K293" s="330" t="str">
        <f>IF(B293&lt;&gt;"",+VLOOKUP(I293,Recursos!C:F,3,FALSE),"")</f>
        <v>hh</v>
      </c>
      <c r="L293" s="446">
        <f>IF(B293&lt;&gt;"",+VLOOKUP(I293,Recursos!C:F,4,FALSE),"")</f>
        <v>496.91595439275824</v>
      </c>
      <c r="M293" s="462">
        <v>14</v>
      </c>
      <c r="N293" s="463">
        <v>1.25</v>
      </c>
      <c r="O293" s="459">
        <f>+N296*N293*(M293/150/1+1/M297+1/N297+3/60/M293)/M293*N293*(1-N304)</f>
        <v>2.4726296768707478E-2</v>
      </c>
      <c r="P293" s="333">
        <f t="shared" si="130"/>
        <v>12.286891357420851</v>
      </c>
      <c r="Q293" s="327">
        <f t="shared" si="131"/>
        <v>0</v>
      </c>
      <c r="R293" s="334">
        <f t="shared" si="132"/>
        <v>0</v>
      </c>
      <c r="S293" s="335">
        <f t="shared" si="121"/>
        <v>95.797564969397214</v>
      </c>
      <c r="T293" s="335">
        <f t="shared" si="122"/>
        <v>248.97641922735937</v>
      </c>
      <c r="U293" s="336">
        <f t="shared" si="123"/>
        <v>0</v>
      </c>
      <c r="V293" s="336">
        <f t="shared" si="124"/>
        <v>0</v>
      </c>
      <c r="W293" s="336">
        <f t="shared" si="125"/>
        <v>1.35</v>
      </c>
      <c r="X293" s="336">
        <f t="shared" si="126"/>
        <v>0</v>
      </c>
      <c r="Y293" s="320"/>
      <c r="Z293" s="321" t="str">
        <f t="shared" si="133"/>
        <v>X-AGTA</v>
      </c>
      <c r="AA293" s="321" t="str">
        <f t="shared" si="134"/>
        <v>X-AGTE</v>
      </c>
      <c r="AB293" s="321" t="str">
        <f t="shared" si="135"/>
        <v>X-AGTM</v>
      </c>
      <c r="AC293" s="321" t="str">
        <f t="shared" si="136"/>
        <v>X-AGTT</v>
      </c>
      <c r="AD293" s="321" t="str">
        <f t="shared" si="137"/>
        <v>X-AGTS</v>
      </c>
      <c r="AE293" s="321" t="str">
        <f t="shared" si="138"/>
        <v>X-AGTX</v>
      </c>
      <c r="AF293" s="321" t="str">
        <f t="shared" si="139"/>
        <v>X-AGTA</v>
      </c>
      <c r="AG293" s="321">
        <f t="shared" si="127"/>
        <v>17</v>
      </c>
      <c r="AH293" s="321"/>
      <c r="AI293" s="321" t="str">
        <f t="shared" si="140"/>
        <v>X-AGT</v>
      </c>
      <c r="AJ293" s="320"/>
      <c r="AK293" s="322">
        <f t="shared" si="128"/>
        <v>288</v>
      </c>
      <c r="AL293" s="323">
        <f t="shared" si="141"/>
        <v>304</v>
      </c>
      <c r="AM293" s="322">
        <f t="shared" si="142"/>
        <v>6</v>
      </c>
      <c r="AN293" s="381">
        <f t="shared" si="129"/>
        <v>0.19427391581632655</v>
      </c>
      <c r="AO293" s="324"/>
      <c r="AP293" s="325"/>
      <c r="AQ293" s="326"/>
      <c r="AR293" s="327"/>
      <c r="AS293" s="327" t="str">
        <f t="shared" si="144"/>
        <v/>
      </c>
      <c r="AT293" s="327" t="str">
        <f t="shared" si="145"/>
        <v/>
      </c>
      <c r="AU293" s="328" t="str">
        <f t="shared" si="169"/>
        <v/>
      </c>
      <c r="AV293" s="325"/>
      <c r="AW293" s="329" t="str">
        <f>IF(AO293&lt;&gt;"",+VLOOKUP(AV293,Recursos!C:F,2,FALSE),"")</f>
        <v/>
      </c>
      <c r="AX293" s="330" t="str">
        <f>IF(AO293&lt;&gt;"",+VLOOKUP(AV293,Recursos!C:F,3,FALSE),"")</f>
        <v/>
      </c>
      <c r="AY293" s="327" t="str">
        <f>IF(AO293&lt;&gt;"",+VLOOKUP(AV293,Recursos!C:F,4,FALSE),"")</f>
        <v/>
      </c>
      <c r="AZ293" s="331"/>
      <c r="BA293" s="331"/>
      <c r="BB293" s="332"/>
      <c r="BC293" s="333" t="str">
        <f t="shared" si="146"/>
        <v/>
      </c>
      <c r="BD293" s="327" t="str">
        <f t="shared" si="147"/>
        <v/>
      </c>
      <c r="BE293" s="334" t="str">
        <f t="shared" si="148"/>
        <v/>
      </c>
      <c r="BF293" s="335" t="str">
        <f t="shared" si="149"/>
        <v/>
      </c>
      <c r="BG293" s="335" t="str">
        <f t="shared" si="150"/>
        <v/>
      </c>
      <c r="BH293" s="336" t="str">
        <f t="shared" si="151"/>
        <v/>
      </c>
      <c r="BI293" s="336" t="str">
        <f t="shared" si="152"/>
        <v/>
      </c>
      <c r="BJ293" s="336" t="str">
        <f t="shared" si="153"/>
        <v/>
      </c>
      <c r="BK293" s="336" t="str">
        <f t="shared" si="154"/>
        <v/>
      </c>
      <c r="BL293" s="320"/>
      <c r="BM293" s="321" t="str">
        <f t="shared" si="155"/>
        <v/>
      </c>
      <c r="BN293" s="321" t="str">
        <f t="shared" si="156"/>
        <v/>
      </c>
      <c r="BO293" s="321" t="str">
        <f t="shared" si="157"/>
        <v/>
      </c>
      <c r="BP293" s="321" t="str">
        <f t="shared" si="158"/>
        <v/>
      </c>
      <c r="BQ293" s="321" t="str">
        <f t="shared" si="159"/>
        <v/>
      </c>
      <c r="BR293" s="321" t="str">
        <f t="shared" si="160"/>
        <v/>
      </c>
      <c r="BS293" s="321" t="str">
        <f t="shared" si="161"/>
        <v/>
      </c>
      <c r="BT293" s="321" t="str">
        <f t="shared" si="162"/>
        <v/>
      </c>
      <c r="BU293" s="321"/>
      <c r="BV293" s="321" t="str">
        <f t="shared" si="163"/>
        <v/>
      </c>
      <c r="BW293" s="320"/>
      <c r="BX293" s="322" t="str">
        <f t="shared" si="164"/>
        <v/>
      </c>
      <c r="BY293" s="323" t="str">
        <f t="shared" si="165"/>
        <v/>
      </c>
      <c r="BZ293" s="322" t="str">
        <f t="shared" si="167"/>
        <v/>
      </c>
      <c r="CA293" s="381" t="str">
        <f t="shared" si="166"/>
        <v/>
      </c>
      <c r="CB293" s="322"/>
    </row>
    <row r="294" spans="2:80">
      <c r="B294" s="468" t="s">
        <v>1525</v>
      </c>
      <c r="C294" s="469" t="s">
        <v>1526</v>
      </c>
      <c r="D294" s="470" t="s">
        <v>441</v>
      </c>
      <c r="E294" s="327">
        <f>+SUMIF('AUX-NIV2'!I:I,'AUX-NIV3'!B294,'AUX-NIV2'!Q:Q)</f>
        <v>0</v>
      </c>
      <c r="F294" s="327">
        <f t="shared" si="119"/>
        <v>346.12398419675657</v>
      </c>
      <c r="G294" s="327">
        <f t="shared" si="120"/>
        <v>0</v>
      </c>
      <c r="H294" s="328" t="str">
        <f t="shared" si="168"/>
        <v>A</v>
      </c>
      <c r="I294" s="325" t="s">
        <v>3310</v>
      </c>
      <c r="J294" s="329" t="str">
        <f>IF(B294&lt;&gt;"",+VLOOKUP(I294,Recursos!C:F,2,FALSE),"")</f>
        <v>OFICIAL ESPECIALIZADO</v>
      </c>
      <c r="K294" s="330" t="str">
        <f>IF(B294&lt;&gt;"",+VLOOKUP(I294,Recursos!C:F,3,FALSE),"")</f>
        <v>hh</v>
      </c>
      <c r="L294" s="446">
        <f>IF(B294&lt;&gt;"",+VLOOKUP(I294,Recursos!C:F,4,FALSE),"")</f>
        <v>581.06120476836554</v>
      </c>
      <c r="M294" s="460">
        <f>+M292</f>
        <v>75</v>
      </c>
      <c r="N294" s="471"/>
      <c r="O294" s="459">
        <f>1/M294*N300</f>
        <v>1.7333333333333336E-2</v>
      </c>
      <c r="P294" s="333">
        <f t="shared" si="130"/>
        <v>10.071727549318338</v>
      </c>
      <c r="Q294" s="327">
        <f t="shared" si="131"/>
        <v>0</v>
      </c>
      <c r="R294" s="334">
        <f t="shared" si="132"/>
        <v>0</v>
      </c>
      <c r="S294" s="335">
        <f t="shared" si="121"/>
        <v>95.797564969397214</v>
      </c>
      <c r="T294" s="335">
        <f t="shared" si="122"/>
        <v>248.97641922735937</v>
      </c>
      <c r="U294" s="336">
        <f t="shared" si="123"/>
        <v>0</v>
      </c>
      <c r="V294" s="336">
        <f t="shared" si="124"/>
        <v>0</v>
      </c>
      <c r="W294" s="336">
        <f t="shared" si="125"/>
        <v>1.35</v>
      </c>
      <c r="X294" s="336">
        <f t="shared" si="126"/>
        <v>0</v>
      </c>
      <c r="Y294" s="320"/>
      <c r="Z294" s="321" t="str">
        <f t="shared" si="133"/>
        <v>X-AGTA</v>
      </c>
      <c r="AA294" s="321" t="str">
        <f t="shared" si="134"/>
        <v>X-AGTE</v>
      </c>
      <c r="AB294" s="321" t="str">
        <f t="shared" si="135"/>
        <v>X-AGTM</v>
      </c>
      <c r="AC294" s="321" t="str">
        <f t="shared" si="136"/>
        <v>X-AGTT</v>
      </c>
      <c r="AD294" s="321" t="str">
        <f t="shared" si="137"/>
        <v>X-AGTS</v>
      </c>
      <c r="AE294" s="321" t="str">
        <f t="shared" si="138"/>
        <v>X-AGTX</v>
      </c>
      <c r="AF294" s="321" t="str">
        <f t="shared" si="139"/>
        <v>X-AGTA</v>
      </c>
      <c r="AG294" s="321">
        <f t="shared" si="127"/>
        <v>17</v>
      </c>
      <c r="AH294" s="321"/>
      <c r="AI294" s="321" t="str">
        <f t="shared" si="140"/>
        <v>X-AGT</v>
      </c>
      <c r="AJ294" s="320"/>
      <c r="AK294" s="322">
        <f t="shared" si="128"/>
        <v>288</v>
      </c>
      <c r="AL294" s="323">
        <f t="shared" si="141"/>
        <v>304</v>
      </c>
      <c r="AM294" s="322">
        <f t="shared" si="142"/>
        <v>7</v>
      </c>
      <c r="AN294" s="381">
        <f t="shared" si="129"/>
        <v>0.19427391581632655</v>
      </c>
      <c r="AO294" s="324"/>
      <c r="AP294" s="325"/>
      <c r="AQ294" s="326"/>
      <c r="AR294" s="327"/>
      <c r="AS294" s="327" t="str">
        <f t="shared" si="144"/>
        <v/>
      </c>
      <c r="AT294" s="327" t="str">
        <f t="shared" si="145"/>
        <v/>
      </c>
      <c r="AU294" s="328" t="str">
        <f t="shared" si="169"/>
        <v/>
      </c>
      <c r="AV294" s="325"/>
      <c r="AW294" s="329" t="str">
        <f>IF(AO294&lt;&gt;"",+VLOOKUP(AV294,Recursos!C:F,2,FALSE),"")</f>
        <v/>
      </c>
      <c r="AX294" s="330" t="str">
        <f>IF(AO294&lt;&gt;"",+VLOOKUP(AV294,Recursos!C:F,3,FALSE),"")</f>
        <v/>
      </c>
      <c r="AY294" s="327" t="str">
        <f>IF(AO294&lt;&gt;"",+VLOOKUP(AV294,Recursos!C:F,4,FALSE),"")</f>
        <v/>
      </c>
      <c r="AZ294" s="331"/>
      <c r="BA294" s="331"/>
      <c r="BB294" s="332"/>
      <c r="BC294" s="333" t="str">
        <f t="shared" si="146"/>
        <v/>
      </c>
      <c r="BD294" s="327" t="str">
        <f t="shared" si="147"/>
        <v/>
      </c>
      <c r="BE294" s="334" t="str">
        <f t="shared" si="148"/>
        <v/>
      </c>
      <c r="BF294" s="335" t="str">
        <f t="shared" si="149"/>
        <v/>
      </c>
      <c r="BG294" s="335" t="str">
        <f t="shared" si="150"/>
        <v/>
      </c>
      <c r="BH294" s="336" t="str">
        <f t="shared" si="151"/>
        <v/>
      </c>
      <c r="BI294" s="336" t="str">
        <f t="shared" si="152"/>
        <v/>
      </c>
      <c r="BJ294" s="336" t="str">
        <f t="shared" si="153"/>
        <v/>
      </c>
      <c r="BK294" s="336" t="str">
        <f t="shared" si="154"/>
        <v/>
      </c>
      <c r="BL294" s="320"/>
      <c r="BM294" s="321" t="str">
        <f t="shared" si="155"/>
        <v/>
      </c>
      <c r="BN294" s="321" t="str">
        <f t="shared" si="156"/>
        <v/>
      </c>
      <c r="BO294" s="321" t="str">
        <f t="shared" si="157"/>
        <v/>
      </c>
      <c r="BP294" s="321" t="str">
        <f t="shared" si="158"/>
        <v/>
      </c>
      <c r="BQ294" s="321" t="str">
        <f t="shared" si="159"/>
        <v/>
      </c>
      <c r="BR294" s="321" t="str">
        <f t="shared" si="160"/>
        <v/>
      </c>
      <c r="BS294" s="321" t="str">
        <f t="shared" si="161"/>
        <v/>
      </c>
      <c r="BT294" s="321" t="str">
        <f t="shared" si="162"/>
        <v/>
      </c>
      <c r="BU294" s="321"/>
      <c r="BV294" s="321" t="str">
        <f t="shared" si="163"/>
        <v/>
      </c>
      <c r="BW294" s="320"/>
      <c r="BX294" s="322" t="str">
        <f t="shared" si="164"/>
        <v/>
      </c>
      <c r="BY294" s="323" t="str">
        <f t="shared" si="165"/>
        <v/>
      </c>
      <c r="BZ294" s="322" t="str">
        <f t="shared" si="167"/>
        <v/>
      </c>
      <c r="CA294" s="381" t="str">
        <f t="shared" si="166"/>
        <v/>
      </c>
      <c r="CB294" s="322"/>
    </row>
    <row r="295" spans="2:80">
      <c r="B295" s="468" t="s">
        <v>1525</v>
      </c>
      <c r="C295" s="469" t="s">
        <v>1526</v>
      </c>
      <c r="D295" s="470" t="s">
        <v>441</v>
      </c>
      <c r="E295" s="327">
        <f>+SUMIF('AUX-NIV2'!I:I,'AUX-NIV3'!B295,'AUX-NIV2'!Q:Q)</f>
        <v>0</v>
      </c>
      <c r="F295" s="327">
        <f t="shared" si="119"/>
        <v>346.12398419675657</v>
      </c>
      <c r="G295" s="327">
        <f t="shared" si="120"/>
        <v>0</v>
      </c>
      <c r="H295" s="328" t="str">
        <f t="shared" si="168"/>
        <v>E</v>
      </c>
      <c r="I295" s="325" t="s">
        <v>1543</v>
      </c>
      <c r="J295" s="329" t="str">
        <f>IF(B295&lt;&gt;"",+VLOOKUP(I295,Recursos!C:F,2,FALSE),"")</f>
        <v>CARGADOR FRONTAL S/NEUM. (3,00 M3)</v>
      </c>
      <c r="K295" s="330" t="str">
        <f>IF(B295&lt;&gt;"",+VLOOKUP(I295,Recursos!C:F,3,FALSE),"")</f>
        <v>HR</v>
      </c>
      <c r="L295" s="446">
        <f>IF(B295&lt;&gt;"",+VLOOKUP(I295,Recursos!C:F,4,FALSE),"")</f>
        <v>4370.2094545454547</v>
      </c>
      <c r="M295" s="460">
        <f>+M294</f>
        <v>75</v>
      </c>
      <c r="N295" s="463">
        <v>1</v>
      </c>
      <c r="O295" s="459">
        <f>+N295/M295*N300</f>
        <v>1.7333333333333336E-2</v>
      </c>
      <c r="P295" s="333">
        <f t="shared" si="130"/>
        <v>75.750297212121225</v>
      </c>
      <c r="Q295" s="327">
        <f t="shared" si="131"/>
        <v>0</v>
      </c>
      <c r="R295" s="334">
        <f t="shared" si="132"/>
        <v>0</v>
      </c>
      <c r="S295" s="335">
        <f t="shared" si="121"/>
        <v>95.797564969397214</v>
      </c>
      <c r="T295" s="335">
        <f t="shared" si="122"/>
        <v>248.97641922735937</v>
      </c>
      <c r="U295" s="336">
        <f t="shared" si="123"/>
        <v>0</v>
      </c>
      <c r="V295" s="336">
        <f t="shared" si="124"/>
        <v>0</v>
      </c>
      <c r="W295" s="336">
        <f t="shared" si="125"/>
        <v>1.35</v>
      </c>
      <c r="X295" s="336">
        <f t="shared" si="126"/>
        <v>0</v>
      </c>
      <c r="Y295" s="320"/>
      <c r="Z295" s="321" t="str">
        <f t="shared" si="133"/>
        <v>X-AGTA</v>
      </c>
      <c r="AA295" s="321" t="str">
        <f t="shared" si="134"/>
        <v>X-AGTE</v>
      </c>
      <c r="AB295" s="321" t="str">
        <f t="shared" si="135"/>
        <v>X-AGTM</v>
      </c>
      <c r="AC295" s="321" t="str">
        <f t="shared" si="136"/>
        <v>X-AGTT</v>
      </c>
      <c r="AD295" s="321" t="str">
        <f t="shared" si="137"/>
        <v>X-AGTS</v>
      </c>
      <c r="AE295" s="321" t="str">
        <f t="shared" si="138"/>
        <v>X-AGTX</v>
      </c>
      <c r="AF295" s="321" t="str">
        <f t="shared" si="139"/>
        <v>X-AGTE</v>
      </c>
      <c r="AG295" s="321">
        <f t="shared" si="127"/>
        <v>17</v>
      </c>
      <c r="AH295" s="321"/>
      <c r="AI295" s="321" t="str">
        <f t="shared" si="140"/>
        <v>X-AGT</v>
      </c>
      <c r="AJ295" s="320"/>
      <c r="AK295" s="322">
        <f t="shared" si="128"/>
        <v>288</v>
      </c>
      <c r="AL295" s="323">
        <f t="shared" si="141"/>
        <v>304</v>
      </c>
      <c r="AM295" s="322">
        <f t="shared" si="142"/>
        <v>8</v>
      </c>
      <c r="AN295" s="381">
        <f t="shared" si="129"/>
        <v>0.19427391581632655</v>
      </c>
      <c r="AO295" s="324"/>
      <c r="AP295" s="325"/>
      <c r="AQ295" s="326"/>
      <c r="AR295" s="327"/>
      <c r="AS295" s="327" t="str">
        <f t="shared" si="144"/>
        <v/>
      </c>
      <c r="AT295" s="327" t="str">
        <f t="shared" si="145"/>
        <v/>
      </c>
      <c r="AU295" s="328" t="str">
        <f t="shared" si="169"/>
        <v/>
      </c>
      <c r="AV295" s="325"/>
      <c r="AW295" s="329" t="str">
        <f>IF(AO295&lt;&gt;"",+VLOOKUP(AV295,Recursos!C:F,2,FALSE),"")</f>
        <v/>
      </c>
      <c r="AX295" s="330" t="str">
        <f>IF(AO295&lt;&gt;"",+VLOOKUP(AV295,Recursos!C:F,3,FALSE),"")</f>
        <v/>
      </c>
      <c r="AY295" s="327" t="str">
        <f>IF(AO295&lt;&gt;"",+VLOOKUP(AV295,Recursos!C:F,4,FALSE),"")</f>
        <v/>
      </c>
      <c r="AZ295" s="331"/>
      <c r="BA295" s="331"/>
      <c r="BB295" s="332"/>
      <c r="BC295" s="333" t="str">
        <f t="shared" si="146"/>
        <v/>
      </c>
      <c r="BD295" s="327" t="str">
        <f t="shared" si="147"/>
        <v/>
      </c>
      <c r="BE295" s="334" t="str">
        <f t="shared" si="148"/>
        <v/>
      </c>
      <c r="BF295" s="335" t="str">
        <f t="shared" si="149"/>
        <v/>
      </c>
      <c r="BG295" s="335" t="str">
        <f t="shared" si="150"/>
        <v/>
      </c>
      <c r="BH295" s="336" t="str">
        <f t="shared" si="151"/>
        <v/>
      </c>
      <c r="BI295" s="336" t="str">
        <f t="shared" si="152"/>
        <v/>
      </c>
      <c r="BJ295" s="336" t="str">
        <f t="shared" si="153"/>
        <v/>
      </c>
      <c r="BK295" s="336" t="str">
        <f t="shared" si="154"/>
        <v/>
      </c>
      <c r="BL295" s="320"/>
      <c r="BM295" s="321" t="str">
        <f t="shared" si="155"/>
        <v/>
      </c>
      <c r="BN295" s="321" t="str">
        <f t="shared" si="156"/>
        <v/>
      </c>
      <c r="BO295" s="321" t="str">
        <f t="shared" si="157"/>
        <v/>
      </c>
      <c r="BP295" s="321" t="str">
        <f t="shared" si="158"/>
        <v/>
      </c>
      <c r="BQ295" s="321" t="str">
        <f t="shared" si="159"/>
        <v/>
      </c>
      <c r="BR295" s="321" t="str">
        <f t="shared" si="160"/>
        <v/>
      </c>
      <c r="BS295" s="321" t="str">
        <f t="shared" si="161"/>
        <v/>
      </c>
      <c r="BT295" s="321" t="str">
        <f t="shared" si="162"/>
        <v/>
      </c>
      <c r="BU295" s="321"/>
      <c r="BV295" s="321" t="str">
        <f t="shared" si="163"/>
        <v/>
      </c>
      <c r="BW295" s="320"/>
      <c r="BX295" s="322" t="str">
        <f t="shared" si="164"/>
        <v/>
      </c>
      <c r="BY295" s="323" t="str">
        <f t="shared" si="165"/>
        <v/>
      </c>
      <c r="BZ295" s="322" t="str">
        <f t="shared" si="167"/>
        <v/>
      </c>
      <c r="CA295" s="381" t="str">
        <f t="shared" si="166"/>
        <v/>
      </c>
      <c r="CB295" s="322"/>
    </row>
    <row r="296" spans="2:80">
      <c r="B296" s="468" t="s">
        <v>1525</v>
      </c>
      <c r="C296" s="469" t="s">
        <v>1526</v>
      </c>
      <c r="D296" s="470" t="s">
        <v>441</v>
      </c>
      <c r="E296" s="327">
        <f>+SUMIF('AUX-NIV2'!I:I,'AUX-NIV3'!B296,'AUX-NIV2'!Q:Q)</f>
        <v>0</v>
      </c>
      <c r="F296" s="327">
        <f t="shared" si="119"/>
        <v>346.12398419675657</v>
      </c>
      <c r="G296" s="327">
        <f t="shared" si="120"/>
        <v>0</v>
      </c>
      <c r="H296" s="328" t="str">
        <f t="shared" si="168"/>
        <v>E</v>
      </c>
      <c r="I296" s="325" t="s">
        <v>1553</v>
      </c>
      <c r="J296" s="329" t="str">
        <f>IF(B296&lt;&gt;"",+VLOOKUP(I296,Recursos!C:F,2,FALSE),"")</f>
        <v>RETROEXCAVADORA S/CARRILES  1,1 M3</v>
      </c>
      <c r="K296" s="330" t="str">
        <f>IF(B296&lt;&gt;"",+VLOOKUP(I296,Recursos!C:F,3,FALSE),"")</f>
        <v>HR</v>
      </c>
      <c r="L296" s="446">
        <f>IF(B296&lt;&gt;"",+VLOOKUP(I296,Recursos!C:F,4,FALSE),"")</f>
        <v>3248.7120000000004</v>
      </c>
      <c r="M296" s="460">
        <f>+M304</f>
        <v>1.35</v>
      </c>
      <c r="N296" s="463">
        <v>1.5</v>
      </c>
      <c r="O296" s="459">
        <f>+N291/M291</f>
        <v>1.9285714285714288E-2</v>
      </c>
      <c r="P296" s="333">
        <f t="shared" ref="P296:P325" si="170">IF(B296&lt;&gt;"",O296*L296,"")</f>
        <v>62.653731428571447</v>
      </c>
      <c r="Q296" s="327">
        <f t="shared" ref="Q296:Q325" si="171">IF(B296&lt;&gt;"",+O296*E296,"")</f>
        <v>0</v>
      </c>
      <c r="R296" s="334">
        <f t="shared" ref="R296:R325" si="172">IF(B296&lt;&gt;"",Q296*L296,"")</f>
        <v>0</v>
      </c>
      <c r="S296" s="335">
        <f t="shared" si="121"/>
        <v>95.797564969397214</v>
      </c>
      <c r="T296" s="335">
        <f t="shared" si="122"/>
        <v>248.97641922735937</v>
      </c>
      <c r="U296" s="336">
        <f t="shared" si="123"/>
        <v>0</v>
      </c>
      <c r="V296" s="336">
        <f t="shared" si="124"/>
        <v>0</v>
      </c>
      <c r="W296" s="336">
        <f t="shared" si="125"/>
        <v>1.35</v>
      </c>
      <c r="X296" s="336">
        <f t="shared" si="126"/>
        <v>0</v>
      </c>
      <c r="Y296" s="320"/>
      <c r="Z296" s="321" t="str">
        <f t="shared" si="133"/>
        <v>X-AGTA</v>
      </c>
      <c r="AA296" s="321" t="str">
        <f t="shared" si="134"/>
        <v>X-AGTE</v>
      </c>
      <c r="AB296" s="321" t="str">
        <f t="shared" si="135"/>
        <v>X-AGTM</v>
      </c>
      <c r="AC296" s="321" t="str">
        <f t="shared" si="136"/>
        <v>X-AGTT</v>
      </c>
      <c r="AD296" s="321" t="str">
        <f t="shared" si="137"/>
        <v>X-AGTS</v>
      </c>
      <c r="AE296" s="321" t="str">
        <f t="shared" si="138"/>
        <v>X-AGTX</v>
      </c>
      <c r="AF296" s="321" t="str">
        <f t="shared" si="139"/>
        <v>X-AGTE</v>
      </c>
      <c r="AG296" s="321">
        <f t="shared" si="127"/>
        <v>17</v>
      </c>
      <c r="AH296" s="321"/>
      <c r="AI296" s="321" t="str">
        <f t="shared" si="140"/>
        <v>X-AGT</v>
      </c>
      <c r="AJ296" s="320"/>
      <c r="AK296" s="322">
        <f t="shared" si="128"/>
        <v>288</v>
      </c>
      <c r="AL296" s="323">
        <f t="shared" si="141"/>
        <v>304</v>
      </c>
      <c r="AM296" s="322">
        <f t="shared" si="142"/>
        <v>9</v>
      </c>
      <c r="AN296" s="381">
        <f t="shared" si="129"/>
        <v>0.19427391581632655</v>
      </c>
      <c r="AO296" s="324"/>
      <c r="AP296" s="325"/>
      <c r="AQ296" s="326"/>
      <c r="AR296" s="327"/>
      <c r="AS296" s="327" t="str">
        <f t="shared" si="144"/>
        <v/>
      </c>
      <c r="AT296" s="327" t="str">
        <f t="shared" si="145"/>
        <v/>
      </c>
      <c r="AU296" s="328" t="str">
        <f t="shared" si="169"/>
        <v/>
      </c>
      <c r="AV296" s="325"/>
      <c r="AW296" s="329" t="str">
        <f>IF(AO296&lt;&gt;"",+VLOOKUP(AV296,Recursos!C:F,2,FALSE),"")</f>
        <v/>
      </c>
      <c r="AX296" s="330" t="str">
        <f>IF(AO296&lt;&gt;"",+VLOOKUP(AV296,Recursos!C:F,3,FALSE),"")</f>
        <v/>
      </c>
      <c r="AY296" s="327" t="str">
        <f>IF(AO296&lt;&gt;"",+VLOOKUP(AV296,Recursos!C:F,4,FALSE),"")</f>
        <v/>
      </c>
      <c r="AZ296" s="331"/>
      <c r="BA296" s="331"/>
      <c r="BB296" s="332"/>
      <c r="BC296" s="333" t="str">
        <f t="shared" si="146"/>
        <v/>
      </c>
      <c r="BD296" s="327" t="str">
        <f t="shared" si="147"/>
        <v/>
      </c>
      <c r="BE296" s="334" t="str">
        <f t="shared" si="148"/>
        <v/>
      </c>
      <c r="BF296" s="335" t="str">
        <f t="shared" si="149"/>
        <v/>
      </c>
      <c r="BG296" s="335" t="str">
        <f t="shared" si="150"/>
        <v/>
      </c>
      <c r="BH296" s="336" t="str">
        <f t="shared" si="151"/>
        <v/>
      </c>
      <c r="BI296" s="336" t="str">
        <f t="shared" si="152"/>
        <v/>
      </c>
      <c r="BJ296" s="336" t="str">
        <f t="shared" si="153"/>
        <v/>
      </c>
      <c r="BK296" s="336" t="str">
        <f t="shared" si="154"/>
        <v/>
      </c>
      <c r="BL296" s="320"/>
      <c r="BM296" s="321" t="str">
        <f t="shared" si="155"/>
        <v/>
      </c>
      <c r="BN296" s="321" t="str">
        <f t="shared" si="156"/>
        <v/>
      </c>
      <c r="BO296" s="321" t="str">
        <f t="shared" si="157"/>
        <v/>
      </c>
      <c r="BP296" s="321" t="str">
        <f t="shared" si="158"/>
        <v/>
      </c>
      <c r="BQ296" s="321" t="str">
        <f t="shared" si="159"/>
        <v/>
      </c>
      <c r="BR296" s="321" t="str">
        <f t="shared" si="160"/>
        <v/>
      </c>
      <c r="BS296" s="321" t="str">
        <f t="shared" si="161"/>
        <v/>
      </c>
      <c r="BT296" s="321" t="str">
        <f t="shared" si="162"/>
        <v/>
      </c>
      <c r="BU296" s="321"/>
      <c r="BV296" s="321" t="str">
        <f t="shared" si="163"/>
        <v/>
      </c>
      <c r="BW296" s="320"/>
      <c r="BX296" s="322" t="str">
        <f t="shared" si="164"/>
        <v/>
      </c>
      <c r="BY296" s="323" t="str">
        <f t="shared" si="165"/>
        <v/>
      </c>
      <c r="BZ296" s="322" t="str">
        <f t="shared" si="167"/>
        <v/>
      </c>
      <c r="CA296" s="381" t="str">
        <f t="shared" si="166"/>
        <v/>
      </c>
      <c r="CB296" s="322"/>
    </row>
    <row r="297" spans="2:80">
      <c r="B297" s="468" t="s">
        <v>1525</v>
      </c>
      <c r="C297" s="469" t="s">
        <v>1526</v>
      </c>
      <c r="D297" s="470" t="s">
        <v>441</v>
      </c>
      <c r="E297" s="327">
        <f>+SUMIF('AUX-NIV2'!I:I,'AUX-NIV3'!B297,'AUX-NIV2'!Q:Q)</f>
        <v>0</v>
      </c>
      <c r="F297" s="327">
        <f t="shared" si="119"/>
        <v>346.12398419675657</v>
      </c>
      <c r="G297" s="327">
        <f t="shared" si="120"/>
        <v>0</v>
      </c>
      <c r="H297" s="328" t="str">
        <f t="shared" si="168"/>
        <v>E</v>
      </c>
      <c r="I297" s="325" t="s">
        <v>1555</v>
      </c>
      <c r="J297" s="329" t="str">
        <f>IF(B297&lt;&gt;"",+VLOOKUP(I297,Recursos!C:F,2,FALSE),"")</f>
        <v>CAMION VOLCADOR 6x4 CAP. 24 T=15 m3</v>
      </c>
      <c r="K297" s="330" t="str">
        <f>IF(B297&lt;&gt;"",+VLOOKUP(I297,Recursos!C:F,3,FALSE),"")</f>
        <v>HR</v>
      </c>
      <c r="L297" s="446">
        <f>IF(B297&lt;&gt;"",+VLOOKUP(I297,Recursos!C:F,4,FALSE),"")</f>
        <v>3333.261</v>
      </c>
      <c r="M297" s="462">
        <v>45</v>
      </c>
      <c r="N297" s="463">
        <v>35</v>
      </c>
      <c r="O297" s="459">
        <f>+N296*N293*(M293/150/1+1/M297+1/N297+3/60/M293)/M293*(1-1)</f>
        <v>0</v>
      </c>
      <c r="P297" s="333">
        <f t="shared" si="170"/>
        <v>0</v>
      </c>
      <c r="Q297" s="327">
        <f t="shared" si="171"/>
        <v>0</v>
      </c>
      <c r="R297" s="334">
        <f t="shared" si="172"/>
        <v>0</v>
      </c>
      <c r="S297" s="335">
        <f t="shared" si="121"/>
        <v>95.797564969397214</v>
      </c>
      <c r="T297" s="335">
        <f t="shared" si="122"/>
        <v>248.97641922735937</v>
      </c>
      <c r="U297" s="336">
        <f t="shared" si="123"/>
        <v>0</v>
      </c>
      <c r="V297" s="336">
        <f t="shared" si="124"/>
        <v>0</v>
      </c>
      <c r="W297" s="336">
        <f t="shared" si="125"/>
        <v>1.35</v>
      </c>
      <c r="X297" s="336">
        <f t="shared" si="126"/>
        <v>0</v>
      </c>
      <c r="Y297" s="320"/>
      <c r="Z297" s="321" t="str">
        <f t="shared" si="133"/>
        <v>X-AGTA</v>
      </c>
      <c r="AA297" s="321" t="str">
        <f t="shared" si="134"/>
        <v>X-AGTE</v>
      </c>
      <c r="AB297" s="321" t="str">
        <f t="shared" si="135"/>
        <v>X-AGTM</v>
      </c>
      <c r="AC297" s="321" t="str">
        <f t="shared" si="136"/>
        <v>X-AGTT</v>
      </c>
      <c r="AD297" s="321" t="str">
        <f t="shared" si="137"/>
        <v>X-AGTS</v>
      </c>
      <c r="AE297" s="321" t="str">
        <f t="shared" si="138"/>
        <v>X-AGTX</v>
      </c>
      <c r="AF297" s="321" t="str">
        <f t="shared" si="139"/>
        <v>X-AGTE</v>
      </c>
      <c r="AG297" s="321">
        <f t="shared" si="127"/>
        <v>17</v>
      </c>
      <c r="AH297" s="321"/>
      <c r="AI297" s="321" t="str">
        <f t="shared" si="140"/>
        <v>X-AGT</v>
      </c>
      <c r="AJ297" s="320"/>
      <c r="AK297" s="322">
        <f t="shared" si="128"/>
        <v>288</v>
      </c>
      <c r="AL297" s="323">
        <f t="shared" si="141"/>
        <v>304</v>
      </c>
      <c r="AM297" s="322">
        <f t="shared" si="142"/>
        <v>10</v>
      </c>
      <c r="AN297" s="381">
        <f t="shared" si="129"/>
        <v>0.19427391581632655</v>
      </c>
      <c r="AO297" s="324"/>
      <c r="AP297" s="325"/>
      <c r="AQ297" s="326"/>
      <c r="AR297" s="327"/>
      <c r="AS297" s="327" t="str">
        <f t="shared" si="144"/>
        <v/>
      </c>
      <c r="AT297" s="327" t="str">
        <f t="shared" si="145"/>
        <v/>
      </c>
      <c r="AU297" s="328" t="str">
        <f t="shared" si="169"/>
        <v/>
      </c>
      <c r="AV297" s="325"/>
      <c r="AW297" s="329" t="str">
        <f>IF(AO297&lt;&gt;"",+VLOOKUP(AV297,Recursos!C:F,2,FALSE),"")</f>
        <v/>
      </c>
      <c r="AX297" s="330" t="str">
        <f>IF(AO297&lt;&gt;"",+VLOOKUP(AV297,Recursos!C:F,3,FALSE),"")</f>
        <v/>
      </c>
      <c r="AY297" s="327" t="str">
        <f>IF(AO297&lt;&gt;"",+VLOOKUP(AV297,Recursos!C:F,4,FALSE),"")</f>
        <v/>
      </c>
      <c r="AZ297" s="331"/>
      <c r="BA297" s="331"/>
      <c r="BB297" s="332"/>
      <c r="BC297" s="333" t="str">
        <f t="shared" si="146"/>
        <v/>
      </c>
      <c r="BD297" s="327" t="str">
        <f t="shared" si="147"/>
        <v/>
      </c>
      <c r="BE297" s="334" t="str">
        <f t="shared" si="148"/>
        <v/>
      </c>
      <c r="BF297" s="335" t="str">
        <f t="shared" si="149"/>
        <v/>
      </c>
      <c r="BG297" s="335" t="str">
        <f t="shared" si="150"/>
        <v/>
      </c>
      <c r="BH297" s="336" t="str">
        <f t="shared" si="151"/>
        <v/>
      </c>
      <c r="BI297" s="336" t="str">
        <f t="shared" si="152"/>
        <v/>
      </c>
      <c r="BJ297" s="336" t="str">
        <f t="shared" si="153"/>
        <v/>
      </c>
      <c r="BK297" s="336" t="str">
        <f t="shared" si="154"/>
        <v/>
      </c>
      <c r="BL297" s="320"/>
      <c r="BM297" s="321" t="str">
        <f t="shared" si="155"/>
        <v/>
      </c>
      <c r="BN297" s="321" t="str">
        <f t="shared" si="156"/>
        <v/>
      </c>
      <c r="BO297" s="321" t="str">
        <f t="shared" si="157"/>
        <v/>
      </c>
      <c r="BP297" s="321" t="str">
        <f t="shared" si="158"/>
        <v/>
      </c>
      <c r="BQ297" s="321" t="str">
        <f t="shared" si="159"/>
        <v/>
      </c>
      <c r="BR297" s="321" t="str">
        <f t="shared" si="160"/>
        <v/>
      </c>
      <c r="BS297" s="321" t="str">
        <f t="shared" si="161"/>
        <v/>
      </c>
      <c r="BT297" s="321" t="str">
        <f t="shared" si="162"/>
        <v/>
      </c>
      <c r="BU297" s="321"/>
      <c r="BV297" s="321" t="str">
        <f t="shared" si="163"/>
        <v/>
      </c>
      <c r="BW297" s="320"/>
      <c r="BX297" s="322" t="str">
        <f t="shared" si="164"/>
        <v/>
      </c>
      <c r="BY297" s="323" t="str">
        <f t="shared" si="165"/>
        <v/>
      </c>
      <c r="BZ297" s="322" t="str">
        <f t="shared" si="167"/>
        <v/>
      </c>
      <c r="CA297" s="381" t="str">
        <f t="shared" si="166"/>
        <v/>
      </c>
      <c r="CB297" s="322"/>
    </row>
    <row r="298" spans="2:80">
      <c r="B298" s="468" t="s">
        <v>1525</v>
      </c>
      <c r="C298" s="469" t="s">
        <v>1526</v>
      </c>
      <c r="D298" s="470" t="s">
        <v>441</v>
      </c>
      <c r="E298" s="327">
        <f>+SUMIF('AUX-NIV2'!I:I,'AUX-NIV3'!B298,'AUX-NIV2'!Q:Q)</f>
        <v>0</v>
      </c>
      <c r="F298" s="327">
        <f t="shared" si="119"/>
        <v>346.12398419675657</v>
      </c>
      <c r="G298" s="327">
        <f t="shared" si="120"/>
        <v>0</v>
      </c>
      <c r="H298" s="328" t="str">
        <f t="shared" si="168"/>
        <v>E</v>
      </c>
      <c r="I298" s="325" t="s">
        <v>1527</v>
      </c>
      <c r="J298" s="329" t="str">
        <f>IF(B298&lt;&gt;"",+VLOOKUP(I298,Recursos!C:F,2,FALSE),"")</f>
        <v>GRUPO ELECTROGENO 455 KVA-364 KW</v>
      </c>
      <c r="K298" s="330" t="str">
        <f>IF(B298&lt;&gt;"",+VLOOKUP(I298,Recursos!C:F,3,FALSE),"")</f>
        <v>HR</v>
      </c>
      <c r="L298" s="446">
        <f>IF(B298&lt;&gt;"",+VLOOKUP(I298,Recursos!C:F,4,FALSE),"")</f>
        <v>5499.5053800000005</v>
      </c>
      <c r="M298" s="460">
        <f>+M299</f>
        <v>75</v>
      </c>
      <c r="N298" s="466">
        <f>+N299</f>
        <v>1.3</v>
      </c>
      <c r="O298" s="459">
        <f>+N298/M298</f>
        <v>1.7333333333333333E-2</v>
      </c>
      <c r="P298" s="333">
        <f t="shared" si="170"/>
        <v>95.324759920000005</v>
      </c>
      <c r="Q298" s="327">
        <f t="shared" si="171"/>
        <v>0</v>
      </c>
      <c r="R298" s="334">
        <f t="shared" si="172"/>
        <v>0</v>
      </c>
      <c r="S298" s="335">
        <f t="shared" si="121"/>
        <v>95.797564969397214</v>
      </c>
      <c r="T298" s="335">
        <f t="shared" si="122"/>
        <v>248.97641922735937</v>
      </c>
      <c r="U298" s="336">
        <f t="shared" si="123"/>
        <v>0</v>
      </c>
      <c r="V298" s="336">
        <f t="shared" si="124"/>
        <v>0</v>
      </c>
      <c r="W298" s="336">
        <f t="shared" si="125"/>
        <v>1.35</v>
      </c>
      <c r="X298" s="336">
        <f t="shared" si="126"/>
        <v>0</v>
      </c>
      <c r="Y298" s="320"/>
      <c r="Z298" s="321" t="str">
        <f t="shared" si="133"/>
        <v>X-AGTA</v>
      </c>
      <c r="AA298" s="321" t="str">
        <f t="shared" si="134"/>
        <v>X-AGTE</v>
      </c>
      <c r="AB298" s="321" t="str">
        <f t="shared" si="135"/>
        <v>X-AGTM</v>
      </c>
      <c r="AC298" s="321" t="str">
        <f t="shared" si="136"/>
        <v>X-AGTT</v>
      </c>
      <c r="AD298" s="321" t="str">
        <f t="shared" si="137"/>
        <v>X-AGTS</v>
      </c>
      <c r="AE298" s="321" t="str">
        <f t="shared" si="138"/>
        <v>X-AGTX</v>
      </c>
      <c r="AF298" s="321" t="str">
        <f t="shared" si="139"/>
        <v>X-AGTE</v>
      </c>
      <c r="AG298" s="321">
        <f t="shared" si="127"/>
        <v>17</v>
      </c>
      <c r="AH298" s="321"/>
      <c r="AI298" s="321" t="str">
        <f t="shared" si="140"/>
        <v>X-AGT</v>
      </c>
      <c r="AJ298" s="320"/>
      <c r="AK298" s="322">
        <f t="shared" si="128"/>
        <v>288</v>
      </c>
      <c r="AL298" s="323">
        <f t="shared" si="141"/>
        <v>304</v>
      </c>
      <c r="AM298" s="322">
        <f t="shared" si="142"/>
        <v>11</v>
      </c>
      <c r="AN298" s="381">
        <f t="shared" si="129"/>
        <v>0.19427391581632655</v>
      </c>
      <c r="AO298" s="324"/>
      <c r="AP298" s="325"/>
      <c r="AQ298" s="326"/>
      <c r="AR298" s="327"/>
      <c r="AS298" s="327" t="str">
        <f t="shared" si="144"/>
        <v/>
      </c>
      <c r="AT298" s="327" t="str">
        <f t="shared" si="145"/>
        <v/>
      </c>
      <c r="AU298" s="328" t="str">
        <f t="shared" si="169"/>
        <v/>
      </c>
      <c r="AV298" s="325"/>
      <c r="AW298" s="329" t="str">
        <f>IF(AO298&lt;&gt;"",+VLOOKUP(AV298,Recursos!C:F,2,FALSE),"")</f>
        <v/>
      </c>
      <c r="AX298" s="330" t="str">
        <f>IF(AO298&lt;&gt;"",+VLOOKUP(AV298,Recursos!C:F,3,FALSE),"")</f>
        <v/>
      </c>
      <c r="AY298" s="327" t="str">
        <f>IF(AO298&lt;&gt;"",+VLOOKUP(AV298,Recursos!C:F,4,FALSE),"")</f>
        <v/>
      </c>
      <c r="AZ298" s="331"/>
      <c r="BA298" s="331"/>
      <c r="BB298" s="332"/>
      <c r="BC298" s="333" t="str">
        <f t="shared" si="146"/>
        <v/>
      </c>
      <c r="BD298" s="327" t="str">
        <f t="shared" si="147"/>
        <v/>
      </c>
      <c r="BE298" s="334" t="str">
        <f t="shared" si="148"/>
        <v/>
      </c>
      <c r="BF298" s="335" t="str">
        <f t="shared" si="149"/>
        <v/>
      </c>
      <c r="BG298" s="335" t="str">
        <f t="shared" si="150"/>
        <v/>
      </c>
      <c r="BH298" s="336" t="str">
        <f t="shared" si="151"/>
        <v/>
      </c>
      <c r="BI298" s="336" t="str">
        <f t="shared" si="152"/>
        <v/>
      </c>
      <c r="BJ298" s="336" t="str">
        <f t="shared" si="153"/>
        <v/>
      </c>
      <c r="BK298" s="336" t="str">
        <f t="shared" si="154"/>
        <v/>
      </c>
      <c r="BL298" s="320"/>
      <c r="BM298" s="321" t="str">
        <f t="shared" si="155"/>
        <v/>
      </c>
      <c r="BN298" s="321" t="str">
        <f t="shared" si="156"/>
        <v/>
      </c>
      <c r="BO298" s="321" t="str">
        <f t="shared" si="157"/>
        <v/>
      </c>
      <c r="BP298" s="321" t="str">
        <f t="shared" si="158"/>
        <v/>
      </c>
      <c r="BQ298" s="321" t="str">
        <f t="shared" si="159"/>
        <v/>
      </c>
      <c r="BR298" s="321" t="str">
        <f t="shared" si="160"/>
        <v/>
      </c>
      <c r="BS298" s="321" t="str">
        <f t="shared" si="161"/>
        <v/>
      </c>
      <c r="BT298" s="321" t="str">
        <f t="shared" si="162"/>
        <v/>
      </c>
      <c r="BU298" s="321"/>
      <c r="BV298" s="321" t="str">
        <f t="shared" si="163"/>
        <v/>
      </c>
      <c r="BW298" s="320"/>
      <c r="BX298" s="322" t="str">
        <f t="shared" si="164"/>
        <v/>
      </c>
      <c r="BY298" s="323" t="str">
        <f t="shared" si="165"/>
        <v/>
      </c>
      <c r="BZ298" s="322" t="str">
        <f t="shared" si="167"/>
        <v/>
      </c>
      <c r="CA298" s="381" t="str">
        <f t="shared" si="166"/>
        <v/>
      </c>
      <c r="CB298" s="322"/>
    </row>
    <row r="299" spans="2:80">
      <c r="B299" s="468" t="s">
        <v>1525</v>
      </c>
      <c r="C299" s="469" t="s">
        <v>1526</v>
      </c>
      <c r="D299" s="470" t="s">
        <v>441</v>
      </c>
      <c r="E299" s="327">
        <f>+SUMIF('AUX-NIV2'!I:I,'AUX-NIV3'!B299,'AUX-NIV2'!Q:Q)</f>
        <v>0</v>
      </c>
      <c r="F299" s="327">
        <f t="shared" si="119"/>
        <v>346.12398419675657</v>
      </c>
      <c r="G299" s="327">
        <f t="shared" si="120"/>
        <v>0</v>
      </c>
      <c r="H299" s="328" t="str">
        <f t="shared" si="168"/>
        <v>E</v>
      </c>
      <c r="I299" s="325" t="s">
        <v>1600</v>
      </c>
      <c r="J299" s="329" t="str">
        <f>IF(B299&lt;&gt;"",+VLOOKUP(I299,Recursos!C:F,2,FALSE),"")</f>
        <v>ELECTROBOMBA 9 KW</v>
      </c>
      <c r="K299" s="330" t="str">
        <f>IF(B299&lt;&gt;"",+VLOOKUP(I299,Recursos!C:F,3,FALSE),"")</f>
        <v>HR</v>
      </c>
      <c r="L299" s="446">
        <f>IF(B299&lt;&gt;"",+VLOOKUP(I299,Recursos!C:F,4,FALSE),"")</f>
        <v>85.722000000000008</v>
      </c>
      <c r="M299" s="460">
        <f>+M300</f>
        <v>75</v>
      </c>
      <c r="N299" s="466">
        <f>+N300</f>
        <v>1.3</v>
      </c>
      <c r="O299" s="459">
        <f>+N299/M299</f>
        <v>1.7333333333333333E-2</v>
      </c>
      <c r="P299" s="333">
        <f t="shared" si="170"/>
        <v>1.4858480000000001</v>
      </c>
      <c r="Q299" s="327">
        <f t="shared" si="171"/>
        <v>0</v>
      </c>
      <c r="R299" s="334">
        <f t="shared" si="172"/>
        <v>0</v>
      </c>
      <c r="S299" s="335">
        <f t="shared" si="121"/>
        <v>95.797564969397214</v>
      </c>
      <c r="T299" s="335">
        <f t="shared" si="122"/>
        <v>248.97641922735937</v>
      </c>
      <c r="U299" s="336">
        <f t="shared" si="123"/>
        <v>0</v>
      </c>
      <c r="V299" s="336">
        <f t="shared" si="124"/>
        <v>0</v>
      </c>
      <c r="W299" s="336">
        <f t="shared" si="125"/>
        <v>1.35</v>
      </c>
      <c r="X299" s="336">
        <f t="shared" si="126"/>
        <v>0</v>
      </c>
      <c r="Y299" s="320"/>
      <c r="Z299" s="321" t="str">
        <f t="shared" si="133"/>
        <v>X-AGTA</v>
      </c>
      <c r="AA299" s="321" t="str">
        <f t="shared" si="134"/>
        <v>X-AGTE</v>
      </c>
      <c r="AB299" s="321" t="str">
        <f t="shared" si="135"/>
        <v>X-AGTM</v>
      </c>
      <c r="AC299" s="321" t="str">
        <f t="shared" si="136"/>
        <v>X-AGTT</v>
      </c>
      <c r="AD299" s="321" t="str">
        <f t="shared" si="137"/>
        <v>X-AGTS</v>
      </c>
      <c r="AE299" s="321" t="str">
        <f t="shared" si="138"/>
        <v>X-AGTX</v>
      </c>
      <c r="AF299" s="321" t="str">
        <f t="shared" si="139"/>
        <v>X-AGTE</v>
      </c>
      <c r="AG299" s="321">
        <f t="shared" si="127"/>
        <v>17</v>
      </c>
      <c r="AH299" s="321"/>
      <c r="AI299" s="321" t="str">
        <f t="shared" si="140"/>
        <v>X-AGT</v>
      </c>
      <c r="AJ299" s="320"/>
      <c r="AK299" s="322">
        <f t="shared" si="128"/>
        <v>288</v>
      </c>
      <c r="AL299" s="323">
        <f t="shared" si="141"/>
        <v>304</v>
      </c>
      <c r="AM299" s="322">
        <f t="shared" si="142"/>
        <v>12</v>
      </c>
      <c r="AN299" s="381">
        <f t="shared" si="129"/>
        <v>0.19427391581632655</v>
      </c>
      <c r="AO299" s="324"/>
      <c r="AP299" s="325"/>
      <c r="AQ299" s="326"/>
      <c r="AR299" s="327"/>
      <c r="AS299" s="327" t="str">
        <f t="shared" si="144"/>
        <v/>
      </c>
      <c r="AT299" s="327" t="str">
        <f t="shared" si="145"/>
        <v/>
      </c>
      <c r="AU299" s="328" t="str">
        <f t="shared" si="169"/>
        <v/>
      </c>
      <c r="AV299" s="325"/>
      <c r="AW299" s="329" t="str">
        <f>IF(AO299&lt;&gt;"",+VLOOKUP(AV299,Recursos!C:F,2,FALSE),"")</f>
        <v/>
      </c>
      <c r="AX299" s="330" t="str">
        <f>IF(AO299&lt;&gt;"",+VLOOKUP(AV299,Recursos!C:F,3,FALSE),"")</f>
        <v/>
      </c>
      <c r="AY299" s="327" t="str">
        <f>IF(AO299&lt;&gt;"",+VLOOKUP(AV299,Recursos!C:F,4,FALSE),"")</f>
        <v/>
      </c>
      <c r="AZ299" s="331"/>
      <c r="BA299" s="331"/>
      <c r="BB299" s="332"/>
      <c r="BC299" s="333" t="str">
        <f t="shared" si="146"/>
        <v/>
      </c>
      <c r="BD299" s="327" t="str">
        <f t="shared" si="147"/>
        <v/>
      </c>
      <c r="BE299" s="334" t="str">
        <f t="shared" si="148"/>
        <v/>
      </c>
      <c r="BF299" s="335" t="str">
        <f t="shared" si="149"/>
        <v/>
      </c>
      <c r="BG299" s="335" t="str">
        <f t="shared" si="150"/>
        <v/>
      </c>
      <c r="BH299" s="336" t="str">
        <f t="shared" si="151"/>
        <v/>
      </c>
      <c r="BI299" s="336" t="str">
        <f t="shared" si="152"/>
        <v/>
      </c>
      <c r="BJ299" s="336" t="str">
        <f t="shared" si="153"/>
        <v/>
      </c>
      <c r="BK299" s="336" t="str">
        <f t="shared" si="154"/>
        <v/>
      </c>
      <c r="BL299" s="320"/>
      <c r="BM299" s="321" t="str">
        <f t="shared" si="155"/>
        <v/>
      </c>
      <c r="BN299" s="321" t="str">
        <f t="shared" si="156"/>
        <v/>
      </c>
      <c r="BO299" s="321" t="str">
        <f t="shared" si="157"/>
        <v/>
      </c>
      <c r="BP299" s="321" t="str">
        <f t="shared" si="158"/>
        <v/>
      </c>
      <c r="BQ299" s="321" t="str">
        <f t="shared" si="159"/>
        <v/>
      </c>
      <c r="BR299" s="321" t="str">
        <f t="shared" si="160"/>
        <v/>
      </c>
      <c r="BS299" s="321" t="str">
        <f t="shared" si="161"/>
        <v/>
      </c>
      <c r="BT299" s="321" t="str">
        <f t="shared" si="162"/>
        <v/>
      </c>
      <c r="BU299" s="321"/>
      <c r="BV299" s="321" t="str">
        <f t="shared" si="163"/>
        <v/>
      </c>
      <c r="BW299" s="320"/>
      <c r="BX299" s="322" t="str">
        <f t="shared" si="164"/>
        <v/>
      </c>
      <c r="BY299" s="323" t="str">
        <f t="shared" si="165"/>
        <v/>
      </c>
      <c r="BZ299" s="322" t="str">
        <f t="shared" si="167"/>
        <v/>
      </c>
      <c r="CA299" s="381" t="str">
        <f t="shared" si="166"/>
        <v/>
      </c>
      <c r="CB299" s="322"/>
    </row>
    <row r="300" spans="2:80">
      <c r="B300" s="468" t="s">
        <v>1525</v>
      </c>
      <c r="C300" s="469" t="s">
        <v>1526</v>
      </c>
      <c r="D300" s="470" t="s">
        <v>441</v>
      </c>
      <c r="E300" s="327">
        <f>+SUMIF('AUX-NIV2'!I:I,'AUX-NIV3'!B300,'AUX-NIV2'!Q:Q)</f>
        <v>0</v>
      </c>
      <c r="F300" s="327">
        <f t="shared" si="119"/>
        <v>346.12398419675657</v>
      </c>
      <c r="G300" s="327">
        <f t="shared" si="120"/>
        <v>0</v>
      </c>
      <c r="H300" s="328" t="str">
        <f t="shared" si="168"/>
        <v>E</v>
      </c>
      <c r="I300" s="325" t="s">
        <v>1606</v>
      </c>
      <c r="J300" s="329" t="str">
        <f>IF(B300&lt;&gt;"",+VLOOKUP(I300,Recursos!C:F,2,FALSE),"")</f>
        <v>PLANTA DE ZARANDEO 100/175 T/H</v>
      </c>
      <c r="K300" s="330" t="str">
        <f>IF(B300&lt;&gt;"",+VLOOKUP(I300,Recursos!C:F,3,FALSE),"")</f>
        <v>HR</v>
      </c>
      <c r="L300" s="446">
        <f>IF(B300&lt;&gt;"",+VLOOKUP(I300,Recursos!C:F,4,FALSE),"")</f>
        <v>793.94899999999996</v>
      </c>
      <c r="M300" s="462">
        <v>75</v>
      </c>
      <c r="N300" s="463">
        <v>1.3</v>
      </c>
      <c r="O300" s="459">
        <f>+N300/M300</f>
        <v>1.7333333333333333E-2</v>
      </c>
      <c r="P300" s="333">
        <f t="shared" si="170"/>
        <v>13.761782666666665</v>
      </c>
      <c r="Q300" s="327">
        <f t="shared" si="171"/>
        <v>0</v>
      </c>
      <c r="R300" s="334">
        <f t="shared" si="172"/>
        <v>0</v>
      </c>
      <c r="S300" s="335">
        <f t="shared" si="121"/>
        <v>95.797564969397214</v>
      </c>
      <c r="T300" s="335">
        <f t="shared" si="122"/>
        <v>248.97641922735937</v>
      </c>
      <c r="U300" s="336">
        <f t="shared" si="123"/>
        <v>0</v>
      </c>
      <c r="V300" s="336">
        <f t="shared" si="124"/>
        <v>0</v>
      </c>
      <c r="W300" s="336">
        <f t="shared" si="125"/>
        <v>1.35</v>
      </c>
      <c r="X300" s="336">
        <f t="shared" si="126"/>
        <v>0</v>
      </c>
      <c r="Y300" s="320"/>
      <c r="Z300" s="321" t="str">
        <f t="shared" si="133"/>
        <v>X-AGTA</v>
      </c>
      <c r="AA300" s="321" t="str">
        <f t="shared" si="134"/>
        <v>X-AGTE</v>
      </c>
      <c r="AB300" s="321" t="str">
        <f t="shared" si="135"/>
        <v>X-AGTM</v>
      </c>
      <c r="AC300" s="321" t="str">
        <f t="shared" si="136"/>
        <v>X-AGTT</v>
      </c>
      <c r="AD300" s="321" t="str">
        <f t="shared" si="137"/>
        <v>X-AGTS</v>
      </c>
      <c r="AE300" s="321" t="str">
        <f t="shared" si="138"/>
        <v>X-AGTX</v>
      </c>
      <c r="AF300" s="321" t="str">
        <f t="shared" si="139"/>
        <v>X-AGTE</v>
      </c>
      <c r="AG300" s="321">
        <f t="shared" si="127"/>
        <v>17</v>
      </c>
      <c r="AH300" s="321"/>
      <c r="AI300" s="321" t="str">
        <f t="shared" si="140"/>
        <v>X-AGT</v>
      </c>
      <c r="AJ300" s="320"/>
      <c r="AK300" s="322">
        <f t="shared" si="128"/>
        <v>288</v>
      </c>
      <c r="AL300" s="323">
        <f t="shared" si="141"/>
        <v>304</v>
      </c>
      <c r="AM300" s="322">
        <f t="shared" si="142"/>
        <v>13</v>
      </c>
      <c r="AN300" s="381">
        <f t="shared" si="129"/>
        <v>0.19427391581632655</v>
      </c>
      <c r="AO300" s="324"/>
      <c r="AP300" s="325"/>
      <c r="AQ300" s="326"/>
      <c r="AR300" s="327"/>
      <c r="AS300" s="327" t="str">
        <f t="shared" si="144"/>
        <v/>
      </c>
      <c r="AT300" s="327" t="str">
        <f t="shared" si="145"/>
        <v/>
      </c>
      <c r="AU300" s="328" t="str">
        <f t="shared" si="169"/>
        <v/>
      </c>
      <c r="AV300" s="325"/>
      <c r="AW300" s="329" t="str">
        <f>IF(AO300&lt;&gt;"",+VLOOKUP(AV300,Recursos!C:F,2,FALSE),"")</f>
        <v/>
      </c>
      <c r="AX300" s="330" t="str">
        <f>IF(AO300&lt;&gt;"",+VLOOKUP(AV300,Recursos!C:F,3,FALSE),"")</f>
        <v/>
      </c>
      <c r="AY300" s="327" t="str">
        <f>IF(AO300&lt;&gt;"",+VLOOKUP(AV300,Recursos!C:F,4,FALSE),"")</f>
        <v/>
      </c>
      <c r="AZ300" s="331"/>
      <c r="BA300" s="331"/>
      <c r="BB300" s="332"/>
      <c r="BC300" s="333" t="str">
        <f t="shared" si="146"/>
        <v/>
      </c>
      <c r="BD300" s="327" t="str">
        <f t="shared" si="147"/>
        <v/>
      </c>
      <c r="BE300" s="334" t="str">
        <f t="shared" si="148"/>
        <v/>
      </c>
      <c r="BF300" s="335" t="str">
        <f t="shared" si="149"/>
        <v/>
      </c>
      <c r="BG300" s="335" t="str">
        <f t="shared" si="150"/>
        <v/>
      </c>
      <c r="BH300" s="336" t="str">
        <f t="shared" si="151"/>
        <v/>
      </c>
      <c r="BI300" s="336" t="str">
        <f t="shared" si="152"/>
        <v/>
      </c>
      <c r="BJ300" s="336" t="str">
        <f t="shared" si="153"/>
        <v/>
      </c>
      <c r="BK300" s="336" t="str">
        <f t="shared" si="154"/>
        <v/>
      </c>
      <c r="BL300" s="320"/>
      <c r="BM300" s="321" t="str">
        <f t="shared" si="155"/>
        <v/>
      </c>
      <c r="BN300" s="321" t="str">
        <f t="shared" si="156"/>
        <v/>
      </c>
      <c r="BO300" s="321" t="str">
        <f t="shared" si="157"/>
        <v/>
      </c>
      <c r="BP300" s="321" t="str">
        <f t="shared" si="158"/>
        <v/>
      </c>
      <c r="BQ300" s="321" t="str">
        <f t="shared" si="159"/>
        <v/>
      </c>
      <c r="BR300" s="321" t="str">
        <f t="shared" si="160"/>
        <v/>
      </c>
      <c r="BS300" s="321" t="str">
        <f t="shared" si="161"/>
        <v/>
      </c>
      <c r="BT300" s="321" t="str">
        <f t="shared" si="162"/>
        <v/>
      </c>
      <c r="BU300" s="321"/>
      <c r="BV300" s="321" t="str">
        <f t="shared" si="163"/>
        <v/>
      </c>
      <c r="BW300" s="320"/>
      <c r="BX300" s="322" t="str">
        <f t="shared" si="164"/>
        <v/>
      </c>
      <c r="BY300" s="323" t="str">
        <f t="shared" si="165"/>
        <v/>
      </c>
      <c r="BZ300" s="322" t="str">
        <f t="shared" si="167"/>
        <v/>
      </c>
      <c r="CA300" s="381" t="str">
        <f t="shared" si="166"/>
        <v/>
      </c>
      <c r="CB300" s="322"/>
    </row>
    <row r="301" spans="2:80">
      <c r="B301" s="468" t="s">
        <v>1525</v>
      </c>
      <c r="C301" s="469" t="s">
        <v>1526</v>
      </c>
      <c r="D301" s="470" t="s">
        <v>441</v>
      </c>
      <c r="E301" s="327">
        <f>+SUMIF('AUX-NIV2'!I:I,'AUX-NIV3'!B301,'AUX-NIV2'!Q:Q)</f>
        <v>0</v>
      </c>
      <c r="F301" s="327">
        <f t="shared" si="119"/>
        <v>346.12398419675657</v>
      </c>
      <c r="G301" s="327">
        <f t="shared" si="120"/>
        <v>0</v>
      </c>
      <c r="H301" s="328" t="str">
        <f t="shared" si="168"/>
        <v>E</v>
      </c>
      <c r="I301" s="325" t="s">
        <v>1645</v>
      </c>
      <c r="J301" s="329" t="str">
        <f>IF(B301&lt;&gt;"",+VLOOKUP(I301,Recursos!C:F,2,FALSE),"")</f>
        <v>TRITUR.SECUND.A CONO 45" C/ZARANDA</v>
      </c>
      <c r="K301" s="330" t="str">
        <f>IF(B301&lt;&gt;"",+VLOOKUP(I301,Recursos!C:F,3,FALSE),"")</f>
        <v>HR</v>
      </c>
      <c r="L301" s="446">
        <f>IF(B301&lt;&gt;"",+VLOOKUP(I301,Recursos!C:F,4,FALSE),"")</f>
        <v>1714.4399999999996</v>
      </c>
      <c r="M301" s="460">
        <f>+M300</f>
        <v>75</v>
      </c>
      <c r="N301" s="466">
        <v>0</v>
      </c>
      <c r="O301" s="459">
        <f>+N301/M301</f>
        <v>0</v>
      </c>
      <c r="P301" s="333">
        <f t="shared" si="170"/>
        <v>0</v>
      </c>
      <c r="Q301" s="327">
        <f t="shared" si="171"/>
        <v>0</v>
      </c>
      <c r="R301" s="334">
        <f t="shared" si="172"/>
        <v>0</v>
      </c>
      <c r="S301" s="335">
        <f t="shared" si="121"/>
        <v>95.797564969397214</v>
      </c>
      <c r="T301" s="335">
        <f t="shared" si="122"/>
        <v>248.97641922735937</v>
      </c>
      <c r="U301" s="336">
        <f t="shared" si="123"/>
        <v>0</v>
      </c>
      <c r="V301" s="336">
        <f t="shared" si="124"/>
        <v>0</v>
      </c>
      <c r="W301" s="336">
        <f t="shared" si="125"/>
        <v>1.35</v>
      </c>
      <c r="X301" s="336">
        <f t="shared" si="126"/>
        <v>0</v>
      </c>
      <c r="Y301" s="320"/>
      <c r="Z301" s="321" t="str">
        <f t="shared" si="133"/>
        <v>X-AGTA</v>
      </c>
      <c r="AA301" s="321" t="str">
        <f t="shared" si="134"/>
        <v>X-AGTE</v>
      </c>
      <c r="AB301" s="321" t="str">
        <f t="shared" si="135"/>
        <v>X-AGTM</v>
      </c>
      <c r="AC301" s="321" t="str">
        <f t="shared" si="136"/>
        <v>X-AGTT</v>
      </c>
      <c r="AD301" s="321" t="str">
        <f t="shared" si="137"/>
        <v>X-AGTS</v>
      </c>
      <c r="AE301" s="321" t="str">
        <f t="shared" si="138"/>
        <v>X-AGTX</v>
      </c>
      <c r="AF301" s="321" t="str">
        <f t="shared" si="139"/>
        <v>X-AGTE</v>
      </c>
      <c r="AG301" s="321">
        <f t="shared" si="127"/>
        <v>17</v>
      </c>
      <c r="AH301" s="321"/>
      <c r="AI301" s="321" t="str">
        <f t="shared" si="140"/>
        <v>X-AGT</v>
      </c>
      <c r="AJ301" s="320"/>
      <c r="AK301" s="322">
        <f t="shared" si="128"/>
        <v>288</v>
      </c>
      <c r="AL301" s="323">
        <f t="shared" si="141"/>
        <v>304</v>
      </c>
      <c r="AM301" s="322">
        <f t="shared" si="142"/>
        <v>14</v>
      </c>
      <c r="AN301" s="381">
        <f t="shared" si="129"/>
        <v>0.19427391581632655</v>
      </c>
      <c r="AO301" s="324"/>
      <c r="AP301" s="325"/>
      <c r="AQ301" s="326"/>
      <c r="AR301" s="327"/>
      <c r="AS301" s="327" t="str">
        <f t="shared" si="144"/>
        <v/>
      </c>
      <c r="AT301" s="327" t="str">
        <f t="shared" si="145"/>
        <v/>
      </c>
      <c r="AU301" s="328" t="str">
        <f t="shared" si="169"/>
        <v/>
      </c>
      <c r="AV301" s="325"/>
      <c r="AW301" s="329" t="str">
        <f>IF(AO301&lt;&gt;"",+VLOOKUP(AV301,Recursos!C:F,2,FALSE),"")</f>
        <v/>
      </c>
      <c r="AX301" s="330" t="str">
        <f>IF(AO301&lt;&gt;"",+VLOOKUP(AV301,Recursos!C:F,3,FALSE),"")</f>
        <v/>
      </c>
      <c r="AY301" s="327" t="str">
        <f>IF(AO301&lt;&gt;"",+VLOOKUP(AV301,Recursos!C:F,4,FALSE),"")</f>
        <v/>
      </c>
      <c r="AZ301" s="331"/>
      <c r="BA301" s="331"/>
      <c r="BB301" s="332"/>
      <c r="BC301" s="333" t="str">
        <f t="shared" si="146"/>
        <v/>
      </c>
      <c r="BD301" s="327" t="str">
        <f t="shared" si="147"/>
        <v/>
      </c>
      <c r="BE301" s="334" t="str">
        <f t="shared" si="148"/>
        <v/>
      </c>
      <c r="BF301" s="335" t="str">
        <f t="shared" si="149"/>
        <v/>
      </c>
      <c r="BG301" s="335" t="str">
        <f t="shared" si="150"/>
        <v/>
      </c>
      <c r="BH301" s="336" t="str">
        <f t="shared" si="151"/>
        <v/>
      </c>
      <c r="BI301" s="336" t="str">
        <f t="shared" si="152"/>
        <v/>
      </c>
      <c r="BJ301" s="336" t="str">
        <f t="shared" si="153"/>
        <v/>
      </c>
      <c r="BK301" s="336" t="str">
        <f t="shared" si="154"/>
        <v/>
      </c>
      <c r="BL301" s="320"/>
      <c r="BM301" s="321" t="str">
        <f t="shared" si="155"/>
        <v/>
      </c>
      <c r="BN301" s="321" t="str">
        <f t="shared" si="156"/>
        <v/>
      </c>
      <c r="BO301" s="321" t="str">
        <f t="shared" si="157"/>
        <v/>
      </c>
      <c r="BP301" s="321" t="str">
        <f t="shared" si="158"/>
        <v/>
      </c>
      <c r="BQ301" s="321" t="str">
        <f t="shared" si="159"/>
        <v/>
      </c>
      <c r="BR301" s="321" t="str">
        <f t="shared" si="160"/>
        <v/>
      </c>
      <c r="BS301" s="321" t="str">
        <f t="shared" si="161"/>
        <v/>
      </c>
      <c r="BT301" s="321" t="str">
        <f t="shared" si="162"/>
        <v/>
      </c>
      <c r="BU301" s="321"/>
      <c r="BV301" s="321" t="str">
        <f t="shared" si="163"/>
        <v/>
      </c>
      <c r="BW301" s="320"/>
      <c r="BX301" s="322" t="str">
        <f t="shared" si="164"/>
        <v/>
      </c>
      <c r="BY301" s="323" t="str">
        <f t="shared" si="165"/>
        <v/>
      </c>
      <c r="BZ301" s="322" t="str">
        <f t="shared" si="167"/>
        <v/>
      </c>
      <c r="CA301" s="381" t="str">
        <f t="shared" si="166"/>
        <v/>
      </c>
      <c r="CB301" s="322"/>
    </row>
    <row r="302" spans="2:80">
      <c r="B302" s="468" t="s">
        <v>1525</v>
      </c>
      <c r="C302" s="469" t="s">
        <v>1526</v>
      </c>
      <c r="D302" s="470" t="s">
        <v>441</v>
      </c>
      <c r="E302" s="327">
        <f>+SUMIF('AUX-NIV2'!I:I,'AUX-NIV3'!B302,'AUX-NIV2'!Q:Q)</f>
        <v>0</v>
      </c>
      <c r="F302" s="327">
        <f t="shared" si="119"/>
        <v>346.12398419675657</v>
      </c>
      <c r="G302" s="327">
        <f t="shared" si="120"/>
        <v>0</v>
      </c>
      <c r="H302" s="328" t="str">
        <f t="shared" si="168"/>
        <v>E</v>
      </c>
      <c r="I302" s="325" t="s">
        <v>1607</v>
      </c>
      <c r="J302" s="329" t="str">
        <f>IF(B302&lt;&gt;"",+VLOOKUP(I302,Recursos!C:F,2,FALSE),"")</f>
        <v>ALIMENTADOR VIBRAT.CAP.200 T/H</v>
      </c>
      <c r="K302" s="330" t="str">
        <f>IF(B302&lt;&gt;"",+VLOOKUP(I302,Recursos!C:F,3,FALSE),"")</f>
        <v>HR</v>
      </c>
      <c r="L302" s="446">
        <f>IF(B302&lt;&gt;"",+VLOOKUP(I302,Recursos!C:F,4,FALSE),"")</f>
        <v>163.27999999999997</v>
      </c>
      <c r="M302" s="460">
        <f>+M301</f>
        <v>75</v>
      </c>
      <c r="N302" s="466">
        <v>0</v>
      </c>
      <c r="O302" s="459">
        <f>+N302/M302</f>
        <v>0</v>
      </c>
      <c r="P302" s="333">
        <f t="shared" si="170"/>
        <v>0</v>
      </c>
      <c r="Q302" s="327">
        <f t="shared" si="171"/>
        <v>0</v>
      </c>
      <c r="R302" s="334">
        <f t="shared" si="172"/>
        <v>0</v>
      </c>
      <c r="S302" s="335">
        <f t="shared" si="121"/>
        <v>95.797564969397214</v>
      </c>
      <c r="T302" s="335">
        <f t="shared" si="122"/>
        <v>248.97641922735937</v>
      </c>
      <c r="U302" s="336">
        <f t="shared" si="123"/>
        <v>0</v>
      </c>
      <c r="V302" s="336">
        <f t="shared" si="124"/>
        <v>0</v>
      </c>
      <c r="W302" s="336">
        <f t="shared" si="125"/>
        <v>1.35</v>
      </c>
      <c r="X302" s="336">
        <f t="shared" si="126"/>
        <v>0</v>
      </c>
      <c r="Y302" s="320"/>
      <c r="Z302" s="321" t="str">
        <f t="shared" si="133"/>
        <v>X-AGTA</v>
      </c>
      <c r="AA302" s="321" t="str">
        <f t="shared" si="134"/>
        <v>X-AGTE</v>
      </c>
      <c r="AB302" s="321" t="str">
        <f t="shared" si="135"/>
        <v>X-AGTM</v>
      </c>
      <c r="AC302" s="321" t="str">
        <f t="shared" si="136"/>
        <v>X-AGTT</v>
      </c>
      <c r="AD302" s="321" t="str">
        <f t="shared" si="137"/>
        <v>X-AGTS</v>
      </c>
      <c r="AE302" s="321" t="str">
        <f t="shared" si="138"/>
        <v>X-AGTX</v>
      </c>
      <c r="AF302" s="321" t="str">
        <f t="shared" si="139"/>
        <v>X-AGTE</v>
      </c>
      <c r="AG302" s="321">
        <f t="shared" si="127"/>
        <v>17</v>
      </c>
      <c r="AH302" s="321"/>
      <c r="AI302" s="321" t="str">
        <f t="shared" si="140"/>
        <v>X-AGT</v>
      </c>
      <c r="AJ302" s="320"/>
      <c r="AK302" s="322">
        <f t="shared" si="128"/>
        <v>288</v>
      </c>
      <c r="AL302" s="323">
        <f t="shared" si="141"/>
        <v>304</v>
      </c>
      <c r="AM302" s="322">
        <f t="shared" si="142"/>
        <v>15</v>
      </c>
      <c r="AN302" s="381">
        <f t="shared" si="129"/>
        <v>0.19427391581632655</v>
      </c>
      <c r="AO302" s="324"/>
      <c r="AP302" s="325"/>
      <c r="AQ302" s="326"/>
      <c r="AR302" s="327"/>
      <c r="AS302" s="327" t="str">
        <f t="shared" si="144"/>
        <v/>
      </c>
      <c r="AT302" s="327" t="str">
        <f t="shared" si="145"/>
        <v/>
      </c>
      <c r="AU302" s="328" t="str">
        <f t="shared" si="169"/>
        <v/>
      </c>
      <c r="AV302" s="325"/>
      <c r="AW302" s="329" t="str">
        <f>IF(AO302&lt;&gt;"",+VLOOKUP(AV302,Recursos!C:F,2,FALSE),"")</f>
        <v/>
      </c>
      <c r="AX302" s="330" t="str">
        <f>IF(AO302&lt;&gt;"",+VLOOKUP(AV302,Recursos!C:F,3,FALSE),"")</f>
        <v/>
      </c>
      <c r="AY302" s="327" t="str">
        <f>IF(AO302&lt;&gt;"",+VLOOKUP(AV302,Recursos!C:F,4,FALSE),"")</f>
        <v/>
      </c>
      <c r="AZ302" s="331"/>
      <c r="BA302" s="331"/>
      <c r="BB302" s="332"/>
      <c r="BC302" s="333" t="str">
        <f t="shared" si="146"/>
        <v/>
      </c>
      <c r="BD302" s="327" t="str">
        <f t="shared" si="147"/>
        <v/>
      </c>
      <c r="BE302" s="334" t="str">
        <f t="shared" si="148"/>
        <v/>
      </c>
      <c r="BF302" s="335" t="str">
        <f t="shared" si="149"/>
        <v/>
      </c>
      <c r="BG302" s="335" t="str">
        <f t="shared" si="150"/>
        <v/>
      </c>
      <c r="BH302" s="336" t="str">
        <f t="shared" si="151"/>
        <v/>
      </c>
      <c r="BI302" s="336" t="str">
        <f t="shared" si="152"/>
        <v/>
      </c>
      <c r="BJ302" s="336" t="str">
        <f t="shared" si="153"/>
        <v/>
      </c>
      <c r="BK302" s="336" t="str">
        <f t="shared" si="154"/>
        <v/>
      </c>
      <c r="BL302" s="320"/>
      <c r="BM302" s="321" t="str">
        <f t="shared" si="155"/>
        <v/>
      </c>
      <c r="BN302" s="321" t="str">
        <f t="shared" si="156"/>
        <v/>
      </c>
      <c r="BO302" s="321" t="str">
        <f t="shared" si="157"/>
        <v/>
      </c>
      <c r="BP302" s="321" t="str">
        <f t="shared" si="158"/>
        <v/>
      </c>
      <c r="BQ302" s="321" t="str">
        <f t="shared" si="159"/>
        <v/>
      </c>
      <c r="BR302" s="321" t="str">
        <f t="shared" si="160"/>
        <v/>
      </c>
      <c r="BS302" s="321" t="str">
        <f t="shared" si="161"/>
        <v/>
      </c>
      <c r="BT302" s="321" t="str">
        <f t="shared" si="162"/>
        <v/>
      </c>
      <c r="BU302" s="321"/>
      <c r="BV302" s="321" t="str">
        <f t="shared" si="163"/>
        <v/>
      </c>
      <c r="BW302" s="320"/>
      <c r="BX302" s="322" t="str">
        <f t="shared" si="164"/>
        <v/>
      </c>
      <c r="BY302" s="323" t="str">
        <f t="shared" si="165"/>
        <v/>
      </c>
      <c r="BZ302" s="322" t="str">
        <f t="shared" si="167"/>
        <v/>
      </c>
      <c r="CA302" s="381" t="str">
        <f t="shared" si="166"/>
        <v/>
      </c>
      <c r="CB302" s="322"/>
    </row>
    <row r="303" spans="2:80">
      <c r="B303" s="468" t="s">
        <v>1525</v>
      </c>
      <c r="C303" s="469" t="s">
        <v>1526</v>
      </c>
      <c r="D303" s="470" t="s">
        <v>441</v>
      </c>
      <c r="E303" s="327">
        <f>+SUMIF('AUX-NIV2'!I:I,'AUX-NIV3'!B303,'AUX-NIV2'!Q:Q)</f>
        <v>0</v>
      </c>
      <c r="F303" s="327">
        <f t="shared" si="119"/>
        <v>346.12398419675657</v>
      </c>
      <c r="G303" s="327">
        <f t="shared" si="120"/>
        <v>0</v>
      </c>
      <c r="H303" s="328" t="str">
        <f t="shared" si="168"/>
        <v>E</v>
      </c>
      <c r="I303" s="325" t="s">
        <v>1528</v>
      </c>
      <c r="J303" s="329" t="str">
        <f>IF(B303&lt;&gt;"",+VLOOKUP(I303,Recursos!C:F,2,FALSE),"")</f>
        <v>CINTA TRANSPORTADORA 0,76 m x 15 m</v>
      </c>
      <c r="K303" s="330" t="str">
        <f>IF(B303&lt;&gt;"",+VLOOKUP(I303,Recursos!C:F,3,FALSE),"")</f>
        <v>HR</v>
      </c>
      <c r="L303" s="446">
        <f>IF(B303&lt;&gt;"",+VLOOKUP(I303,Recursos!C:F,4,FALSE),"")</f>
        <v>140.95146</v>
      </c>
      <c r="M303" s="460">
        <f>+M302</f>
        <v>75</v>
      </c>
      <c r="N303" s="463">
        <v>5</v>
      </c>
      <c r="O303" s="459">
        <f>+N303/M303*N302</f>
        <v>0</v>
      </c>
      <c r="P303" s="333">
        <f t="shared" si="170"/>
        <v>0</v>
      </c>
      <c r="Q303" s="327">
        <f t="shared" si="171"/>
        <v>0</v>
      </c>
      <c r="R303" s="334">
        <f t="shared" si="172"/>
        <v>0</v>
      </c>
      <c r="S303" s="335">
        <f t="shared" si="121"/>
        <v>95.797564969397214</v>
      </c>
      <c r="T303" s="335">
        <f t="shared" si="122"/>
        <v>248.97641922735937</v>
      </c>
      <c r="U303" s="336">
        <f t="shared" si="123"/>
        <v>0</v>
      </c>
      <c r="V303" s="336">
        <f t="shared" si="124"/>
        <v>0</v>
      </c>
      <c r="W303" s="336">
        <f t="shared" si="125"/>
        <v>1.35</v>
      </c>
      <c r="X303" s="336">
        <f t="shared" si="126"/>
        <v>0</v>
      </c>
      <c r="Y303" s="320"/>
      <c r="Z303" s="321" t="str">
        <f t="shared" si="133"/>
        <v>X-AGTA</v>
      </c>
      <c r="AA303" s="321" t="str">
        <f t="shared" si="134"/>
        <v>X-AGTE</v>
      </c>
      <c r="AB303" s="321" t="str">
        <f t="shared" si="135"/>
        <v>X-AGTM</v>
      </c>
      <c r="AC303" s="321" t="str">
        <f t="shared" si="136"/>
        <v>X-AGTT</v>
      </c>
      <c r="AD303" s="321" t="str">
        <f t="shared" si="137"/>
        <v>X-AGTS</v>
      </c>
      <c r="AE303" s="321" t="str">
        <f t="shared" si="138"/>
        <v>X-AGTX</v>
      </c>
      <c r="AF303" s="321" t="str">
        <f t="shared" si="139"/>
        <v>X-AGTE</v>
      </c>
      <c r="AG303" s="321">
        <f t="shared" si="127"/>
        <v>17</v>
      </c>
      <c r="AH303" s="321"/>
      <c r="AI303" s="321" t="str">
        <f t="shared" si="140"/>
        <v>X-AGT</v>
      </c>
      <c r="AJ303" s="320"/>
      <c r="AK303" s="322">
        <f t="shared" si="128"/>
        <v>288</v>
      </c>
      <c r="AL303" s="323">
        <f t="shared" si="141"/>
        <v>304</v>
      </c>
      <c r="AM303" s="322">
        <f t="shared" si="142"/>
        <v>16</v>
      </c>
      <c r="AN303" s="381">
        <f t="shared" si="129"/>
        <v>0.19427391581632655</v>
      </c>
      <c r="AO303" s="324"/>
      <c r="AP303" s="325"/>
      <c r="AQ303" s="326"/>
      <c r="AR303" s="327"/>
      <c r="AS303" s="327" t="str">
        <f t="shared" si="144"/>
        <v/>
      </c>
      <c r="AT303" s="327" t="str">
        <f t="shared" si="145"/>
        <v/>
      </c>
      <c r="AU303" s="328" t="str">
        <f t="shared" si="169"/>
        <v/>
      </c>
      <c r="AV303" s="325"/>
      <c r="AW303" s="329" t="str">
        <f>IF(AO303&lt;&gt;"",+VLOOKUP(AV303,Recursos!C:F,2,FALSE),"")</f>
        <v/>
      </c>
      <c r="AX303" s="330" t="str">
        <f>IF(AO303&lt;&gt;"",+VLOOKUP(AV303,Recursos!C:F,3,FALSE),"")</f>
        <v/>
      </c>
      <c r="AY303" s="327" t="str">
        <f>IF(AO303&lt;&gt;"",+VLOOKUP(AV303,Recursos!C:F,4,FALSE),"")</f>
        <v/>
      </c>
      <c r="AZ303" s="331"/>
      <c r="BA303" s="331"/>
      <c r="BB303" s="332"/>
      <c r="BC303" s="333" t="str">
        <f t="shared" si="146"/>
        <v/>
      </c>
      <c r="BD303" s="327" t="str">
        <f t="shared" si="147"/>
        <v/>
      </c>
      <c r="BE303" s="334" t="str">
        <f t="shared" si="148"/>
        <v/>
      </c>
      <c r="BF303" s="335" t="str">
        <f t="shared" si="149"/>
        <v/>
      </c>
      <c r="BG303" s="335" t="str">
        <f t="shared" si="150"/>
        <v/>
      </c>
      <c r="BH303" s="336" t="str">
        <f t="shared" si="151"/>
        <v/>
      </c>
      <c r="BI303" s="336" t="str">
        <f t="shared" si="152"/>
        <v/>
      </c>
      <c r="BJ303" s="336" t="str">
        <f t="shared" si="153"/>
        <v/>
      </c>
      <c r="BK303" s="336" t="str">
        <f t="shared" si="154"/>
        <v/>
      </c>
      <c r="BL303" s="320"/>
      <c r="BM303" s="321" t="str">
        <f t="shared" si="155"/>
        <v/>
      </c>
      <c r="BN303" s="321" t="str">
        <f t="shared" si="156"/>
        <v/>
      </c>
      <c r="BO303" s="321" t="str">
        <f t="shared" si="157"/>
        <v/>
      </c>
      <c r="BP303" s="321" t="str">
        <f t="shared" si="158"/>
        <v/>
      </c>
      <c r="BQ303" s="321" t="str">
        <f t="shared" si="159"/>
        <v/>
      </c>
      <c r="BR303" s="321" t="str">
        <f t="shared" si="160"/>
        <v/>
      </c>
      <c r="BS303" s="321" t="str">
        <f t="shared" si="161"/>
        <v/>
      </c>
      <c r="BT303" s="321" t="str">
        <f t="shared" si="162"/>
        <v/>
      </c>
      <c r="BU303" s="321"/>
      <c r="BV303" s="321" t="str">
        <f t="shared" si="163"/>
        <v/>
      </c>
      <c r="BW303" s="320"/>
      <c r="BX303" s="322" t="str">
        <f t="shared" si="164"/>
        <v/>
      </c>
      <c r="BY303" s="323" t="str">
        <f t="shared" si="165"/>
        <v/>
      </c>
      <c r="BZ303" s="322" t="str">
        <f t="shared" si="167"/>
        <v/>
      </c>
      <c r="CA303" s="381" t="str">
        <f t="shared" si="166"/>
        <v/>
      </c>
      <c r="CB303" s="322"/>
    </row>
    <row r="304" spans="2:80" ht="13.8" thickBot="1">
      <c r="B304" s="468" t="s">
        <v>1525</v>
      </c>
      <c r="C304" s="469" t="s">
        <v>1526</v>
      </c>
      <c r="D304" s="470" t="s">
        <v>441</v>
      </c>
      <c r="E304" s="327">
        <f>+SUMIF('AUX-NIV2'!I:I,'AUX-NIV3'!B304,'AUX-NIV2'!Q:Q)</f>
        <v>0</v>
      </c>
      <c r="F304" s="327">
        <f t="shared" si="119"/>
        <v>346.12398419675657</v>
      </c>
      <c r="G304" s="327">
        <f t="shared" si="120"/>
        <v>0</v>
      </c>
      <c r="H304" s="328" t="str">
        <f t="shared" si="168"/>
        <v>S</v>
      </c>
      <c r="I304" s="325" t="s">
        <v>1467</v>
      </c>
      <c r="J304" s="329" t="str">
        <f>IF(B304&lt;&gt;"",+VLOOKUP(I304,Recursos!C:F,2,FALSE),"")</f>
        <v>Derechos y cánon</v>
      </c>
      <c r="K304" s="330" t="str">
        <f>IF(B304&lt;&gt;"",+VLOOKUP(I304,Recursos!C:F,3,FALSE),"")</f>
        <v>m3b</v>
      </c>
      <c r="L304" s="446">
        <f>IF(B304&lt;&gt;"",+VLOOKUP(I304,Recursos!C:F,4,FALSE),"")</f>
        <v>1</v>
      </c>
      <c r="M304" s="462">
        <v>1.35</v>
      </c>
      <c r="N304" s="463">
        <v>0</v>
      </c>
      <c r="O304" s="459">
        <f>+M304</f>
        <v>1.35</v>
      </c>
      <c r="P304" s="333">
        <f t="shared" si="170"/>
        <v>1.35</v>
      </c>
      <c r="Q304" s="327">
        <f t="shared" si="171"/>
        <v>0</v>
      </c>
      <c r="R304" s="334">
        <f t="shared" si="172"/>
        <v>0</v>
      </c>
      <c r="S304" s="335">
        <f t="shared" si="121"/>
        <v>95.797564969397214</v>
      </c>
      <c r="T304" s="335">
        <f t="shared" si="122"/>
        <v>248.97641922735937</v>
      </c>
      <c r="U304" s="336">
        <f t="shared" si="123"/>
        <v>0</v>
      </c>
      <c r="V304" s="336">
        <f t="shared" si="124"/>
        <v>0</v>
      </c>
      <c r="W304" s="336">
        <f t="shared" si="125"/>
        <v>1.35</v>
      </c>
      <c r="X304" s="336">
        <f t="shared" si="126"/>
        <v>0</v>
      </c>
      <c r="Y304" s="320"/>
      <c r="Z304" s="321" t="str">
        <f t="shared" si="133"/>
        <v>X-AGTA</v>
      </c>
      <c r="AA304" s="321" t="str">
        <f t="shared" si="134"/>
        <v>X-AGTE</v>
      </c>
      <c r="AB304" s="321" t="str">
        <f t="shared" si="135"/>
        <v>X-AGTM</v>
      </c>
      <c r="AC304" s="321" t="str">
        <f t="shared" si="136"/>
        <v>X-AGTT</v>
      </c>
      <c r="AD304" s="321" t="str">
        <f t="shared" si="137"/>
        <v>X-AGTS</v>
      </c>
      <c r="AE304" s="321" t="str">
        <f t="shared" si="138"/>
        <v>X-AGTX</v>
      </c>
      <c r="AF304" s="321" t="str">
        <f t="shared" si="139"/>
        <v>X-AGTS</v>
      </c>
      <c r="AG304" s="321">
        <f t="shared" si="127"/>
        <v>17</v>
      </c>
      <c r="AH304" s="321"/>
      <c r="AI304" s="321" t="str">
        <f t="shared" si="140"/>
        <v>X-AGT</v>
      </c>
      <c r="AJ304" s="320"/>
      <c r="AK304" s="322">
        <f t="shared" si="128"/>
        <v>288</v>
      </c>
      <c r="AL304" s="323">
        <f t="shared" si="141"/>
        <v>304</v>
      </c>
      <c r="AM304" s="322">
        <f t="shared" si="142"/>
        <v>17</v>
      </c>
      <c r="AN304" s="381">
        <f t="shared" si="129"/>
        <v>0.19427391581632655</v>
      </c>
      <c r="AO304" s="324"/>
      <c r="AP304" s="325"/>
      <c r="AQ304" s="326"/>
      <c r="AR304" s="327"/>
      <c r="AS304" s="327" t="str">
        <f t="shared" si="144"/>
        <v/>
      </c>
      <c r="AT304" s="327" t="str">
        <f t="shared" si="145"/>
        <v/>
      </c>
      <c r="AU304" s="328" t="str">
        <f t="shared" si="169"/>
        <v/>
      </c>
      <c r="AV304" s="325"/>
      <c r="AW304" s="329" t="str">
        <f>IF(AO304&lt;&gt;"",+VLOOKUP(AV304,Recursos!C:F,2,FALSE),"")</f>
        <v/>
      </c>
      <c r="AX304" s="330" t="str">
        <f>IF(AO304&lt;&gt;"",+VLOOKUP(AV304,Recursos!C:F,3,FALSE),"")</f>
        <v/>
      </c>
      <c r="AY304" s="327" t="str">
        <f>IF(AO304&lt;&gt;"",+VLOOKUP(AV304,Recursos!C:F,4,FALSE),"")</f>
        <v/>
      </c>
      <c r="AZ304" s="331"/>
      <c r="BA304" s="331"/>
      <c r="BB304" s="332"/>
      <c r="BC304" s="333" t="str">
        <f t="shared" si="146"/>
        <v/>
      </c>
      <c r="BD304" s="327" t="str">
        <f t="shared" si="147"/>
        <v/>
      </c>
      <c r="BE304" s="334" t="str">
        <f t="shared" si="148"/>
        <v/>
      </c>
      <c r="BF304" s="335" t="str">
        <f t="shared" si="149"/>
        <v/>
      </c>
      <c r="BG304" s="335" t="str">
        <f t="shared" si="150"/>
        <v/>
      </c>
      <c r="BH304" s="336" t="str">
        <f t="shared" si="151"/>
        <v/>
      </c>
      <c r="BI304" s="336" t="str">
        <f t="shared" si="152"/>
        <v/>
      </c>
      <c r="BJ304" s="336" t="str">
        <f t="shared" si="153"/>
        <v/>
      </c>
      <c r="BK304" s="336" t="str">
        <f t="shared" si="154"/>
        <v/>
      </c>
      <c r="BL304" s="320"/>
      <c r="BM304" s="321" t="str">
        <f t="shared" si="155"/>
        <v/>
      </c>
      <c r="BN304" s="321" t="str">
        <f t="shared" si="156"/>
        <v/>
      </c>
      <c r="BO304" s="321" t="str">
        <f t="shared" si="157"/>
        <v/>
      </c>
      <c r="BP304" s="321" t="str">
        <f t="shared" si="158"/>
        <v/>
      </c>
      <c r="BQ304" s="321" t="str">
        <f t="shared" si="159"/>
        <v/>
      </c>
      <c r="BR304" s="321" t="str">
        <f t="shared" si="160"/>
        <v/>
      </c>
      <c r="BS304" s="321" t="str">
        <f t="shared" si="161"/>
        <v/>
      </c>
      <c r="BT304" s="321" t="str">
        <f t="shared" si="162"/>
        <v/>
      </c>
      <c r="BU304" s="321"/>
      <c r="BV304" s="321" t="str">
        <f t="shared" si="163"/>
        <v/>
      </c>
      <c r="BW304" s="320"/>
      <c r="BX304" s="322" t="str">
        <f t="shared" si="164"/>
        <v/>
      </c>
      <c r="BY304" s="323" t="str">
        <f t="shared" si="165"/>
        <v/>
      </c>
      <c r="BZ304" s="322" t="str">
        <f t="shared" si="167"/>
        <v/>
      </c>
      <c r="CA304" s="381" t="str">
        <f t="shared" si="166"/>
        <v/>
      </c>
      <c r="CB304" s="322"/>
    </row>
    <row r="305" spans="2:80" ht="13.8" thickTop="1">
      <c r="B305" s="468" t="s">
        <v>1529</v>
      </c>
      <c r="C305" s="469" t="s">
        <v>1530</v>
      </c>
      <c r="D305" s="470" t="s">
        <v>441</v>
      </c>
      <c r="E305" s="327">
        <f>+SUMIF('AUX-NIV2'!I:I,'AUX-NIV3'!B305,'AUX-NIV2'!Q:Q)</f>
        <v>0</v>
      </c>
      <c r="F305" s="327">
        <f t="shared" si="119"/>
        <v>346.12398419675657</v>
      </c>
      <c r="G305" s="327">
        <f t="shared" si="120"/>
        <v>0</v>
      </c>
      <c r="H305" s="328" t="str">
        <f t="shared" si="168"/>
        <v>A</v>
      </c>
      <c r="I305" s="325" t="s">
        <v>1745</v>
      </c>
      <c r="J305" s="329" t="str">
        <f>IF(B305&lt;&gt;"",+VLOOKUP(I305,Recursos!C:F,2,FALSE),"")</f>
        <v>AYUDANTE</v>
      </c>
      <c r="K305" s="330" t="str">
        <f>IF(B305&lt;&gt;"",+VLOOKUP(I305,Recursos!C:F,3,FALSE),"")</f>
        <v>hh</v>
      </c>
      <c r="L305" s="327">
        <f>IF(B305&lt;&gt;"",+VLOOKUP(I305,Recursos!C:F,4,FALSE),"")</f>
        <v>422.48042769667234</v>
      </c>
      <c r="M305" s="457">
        <f>+M317</f>
        <v>75</v>
      </c>
      <c r="N305" s="458">
        <v>2</v>
      </c>
      <c r="O305" s="459">
        <f>+N305/M305*N317+N308/M308*N310</f>
        <v>5.8773809523809534E-2</v>
      </c>
      <c r="P305" s="333">
        <f t="shared" si="170"/>
        <v>24.830784184981805</v>
      </c>
      <c r="Q305" s="327">
        <f t="shared" si="171"/>
        <v>0</v>
      </c>
      <c r="R305" s="334">
        <f t="shared" si="172"/>
        <v>0</v>
      </c>
      <c r="S305" s="335">
        <f t="shared" si="121"/>
        <v>95.797564969397214</v>
      </c>
      <c r="T305" s="335">
        <f t="shared" si="122"/>
        <v>248.97641922735937</v>
      </c>
      <c r="U305" s="336">
        <f t="shared" si="123"/>
        <v>0</v>
      </c>
      <c r="V305" s="336">
        <f t="shared" si="124"/>
        <v>0</v>
      </c>
      <c r="W305" s="336">
        <f t="shared" si="125"/>
        <v>1.35</v>
      </c>
      <c r="X305" s="336">
        <f t="shared" si="126"/>
        <v>0</v>
      </c>
      <c r="Y305" s="320"/>
      <c r="Z305" s="321" t="str">
        <f t="shared" si="133"/>
        <v>X-AFTA</v>
      </c>
      <c r="AA305" s="321" t="str">
        <f t="shared" si="134"/>
        <v>X-AFTE</v>
      </c>
      <c r="AB305" s="321" t="str">
        <f t="shared" si="135"/>
        <v>X-AFTM</v>
      </c>
      <c r="AC305" s="321" t="str">
        <f t="shared" si="136"/>
        <v>X-AFTT</v>
      </c>
      <c r="AD305" s="321" t="str">
        <f t="shared" si="137"/>
        <v>X-AFTS</v>
      </c>
      <c r="AE305" s="321" t="str">
        <f t="shared" si="138"/>
        <v>X-AFTX</v>
      </c>
      <c r="AF305" s="321" t="str">
        <f t="shared" si="139"/>
        <v>X-AFTA</v>
      </c>
      <c r="AG305" s="321">
        <f t="shared" si="127"/>
        <v>17</v>
      </c>
      <c r="AH305" s="321"/>
      <c r="AI305" s="321" t="str">
        <f t="shared" si="140"/>
        <v>X-AFT</v>
      </c>
      <c r="AJ305" s="320"/>
      <c r="AK305" s="322">
        <f t="shared" si="128"/>
        <v>305</v>
      </c>
      <c r="AL305" s="323">
        <f t="shared" si="141"/>
        <v>321</v>
      </c>
      <c r="AM305" s="322">
        <f t="shared" si="142"/>
        <v>1</v>
      </c>
      <c r="AN305" s="381">
        <f t="shared" si="129"/>
        <v>0.19427391581632655</v>
      </c>
      <c r="AO305" s="324"/>
      <c r="AP305" s="325"/>
      <c r="AQ305" s="326"/>
      <c r="AR305" s="327"/>
      <c r="AS305" s="327" t="str">
        <f t="shared" si="144"/>
        <v/>
      </c>
      <c r="AT305" s="327" t="str">
        <f t="shared" si="145"/>
        <v/>
      </c>
      <c r="AU305" s="328" t="str">
        <f t="shared" si="169"/>
        <v/>
      </c>
      <c r="AV305" s="325"/>
      <c r="AW305" s="329" t="str">
        <f>IF(AO305&lt;&gt;"",+VLOOKUP(AV305,Recursos!C:F,2,FALSE),"")</f>
        <v/>
      </c>
      <c r="AX305" s="330" t="str">
        <f>IF(AO305&lt;&gt;"",+VLOOKUP(AV305,Recursos!C:F,3,FALSE),"")</f>
        <v/>
      </c>
      <c r="AY305" s="327" t="str">
        <f>IF(AO305&lt;&gt;"",+VLOOKUP(AV305,Recursos!C:F,4,FALSE),"")</f>
        <v/>
      </c>
      <c r="AZ305" s="331"/>
      <c r="BA305" s="331"/>
      <c r="BB305" s="332"/>
      <c r="BC305" s="333" t="str">
        <f t="shared" si="146"/>
        <v/>
      </c>
      <c r="BD305" s="327" t="str">
        <f t="shared" si="147"/>
        <v/>
      </c>
      <c r="BE305" s="334" t="str">
        <f t="shared" si="148"/>
        <v/>
      </c>
      <c r="BF305" s="335" t="str">
        <f t="shared" si="149"/>
        <v/>
      </c>
      <c r="BG305" s="335" t="str">
        <f t="shared" si="150"/>
        <v/>
      </c>
      <c r="BH305" s="336" t="str">
        <f t="shared" si="151"/>
        <v/>
      </c>
      <c r="BI305" s="336" t="str">
        <f t="shared" si="152"/>
        <v/>
      </c>
      <c r="BJ305" s="336" t="str">
        <f t="shared" si="153"/>
        <v/>
      </c>
      <c r="BK305" s="336" t="str">
        <f t="shared" si="154"/>
        <v/>
      </c>
      <c r="BL305" s="320"/>
      <c r="BM305" s="321" t="str">
        <f t="shared" si="155"/>
        <v/>
      </c>
      <c r="BN305" s="321" t="str">
        <f t="shared" si="156"/>
        <v/>
      </c>
      <c r="BO305" s="321" t="str">
        <f t="shared" si="157"/>
        <v/>
      </c>
      <c r="BP305" s="321" t="str">
        <f t="shared" si="158"/>
        <v/>
      </c>
      <c r="BQ305" s="321" t="str">
        <f t="shared" si="159"/>
        <v/>
      </c>
      <c r="BR305" s="321" t="str">
        <f t="shared" si="160"/>
        <v/>
      </c>
      <c r="BS305" s="321" t="str">
        <f t="shared" si="161"/>
        <v/>
      </c>
      <c r="BT305" s="321" t="str">
        <f t="shared" si="162"/>
        <v/>
      </c>
      <c r="BU305" s="321"/>
      <c r="BV305" s="321" t="str">
        <f t="shared" si="163"/>
        <v/>
      </c>
      <c r="BW305" s="320"/>
      <c r="BX305" s="322" t="str">
        <f t="shared" si="164"/>
        <v/>
      </c>
      <c r="BY305" s="323" t="str">
        <f t="shared" si="165"/>
        <v/>
      </c>
      <c r="BZ305" s="322" t="str">
        <f>IF(AO305&lt;&gt;"",IF(AO305=#REF!,1+#REF!,1),"")</f>
        <v/>
      </c>
      <c r="CA305" s="381" t="str">
        <f t="shared" si="166"/>
        <v/>
      </c>
      <c r="CB305" s="322"/>
    </row>
    <row r="306" spans="2:80">
      <c r="B306" s="468" t="s">
        <v>1529</v>
      </c>
      <c r="C306" s="469" t="s">
        <v>1530</v>
      </c>
      <c r="D306" s="470" t="s">
        <v>441</v>
      </c>
      <c r="E306" s="327">
        <f>+SUMIF('AUX-NIV2'!I:I,'AUX-NIV3'!B306,'AUX-NIV2'!Q:Q)</f>
        <v>0</v>
      </c>
      <c r="F306" s="327">
        <f t="shared" si="119"/>
        <v>346.12398419675657</v>
      </c>
      <c r="G306" s="327">
        <f t="shared" si="120"/>
        <v>0</v>
      </c>
      <c r="H306" s="328" t="str">
        <f t="shared" si="168"/>
        <v>A</v>
      </c>
      <c r="I306" s="325" t="s">
        <v>3309</v>
      </c>
      <c r="J306" s="329" t="str">
        <f>IF(B306&lt;&gt;"",+VLOOKUP(I306,Recursos!C:F,2,FALSE),"")</f>
        <v>MEDIO OFICIAL</v>
      </c>
      <c r="K306" s="330" t="str">
        <f>IF(B306&lt;&gt;"",+VLOOKUP(I306,Recursos!C:F,3,FALSE),"")</f>
        <v>hh</v>
      </c>
      <c r="L306" s="327">
        <f>IF(B306&lt;&gt;"",+VLOOKUP(I306,Recursos!C:F,4,FALSE),"")</f>
        <v>459.10093211890984</v>
      </c>
      <c r="M306" s="460">
        <f>+M305</f>
        <v>75</v>
      </c>
      <c r="N306" s="463">
        <v>2</v>
      </c>
      <c r="O306" s="459">
        <f>+N306/M306*N317</f>
        <v>3.4666666666666672E-2</v>
      </c>
      <c r="P306" s="333">
        <f t="shared" si="170"/>
        <v>15.91549898012221</v>
      </c>
      <c r="Q306" s="327">
        <f t="shared" si="171"/>
        <v>0</v>
      </c>
      <c r="R306" s="334">
        <f t="shared" si="172"/>
        <v>0</v>
      </c>
      <c r="S306" s="335">
        <f t="shared" si="121"/>
        <v>95.797564969397214</v>
      </c>
      <c r="T306" s="335">
        <f t="shared" si="122"/>
        <v>248.97641922735937</v>
      </c>
      <c r="U306" s="336">
        <f t="shared" si="123"/>
        <v>0</v>
      </c>
      <c r="V306" s="336">
        <f t="shared" si="124"/>
        <v>0</v>
      </c>
      <c r="W306" s="336">
        <f t="shared" si="125"/>
        <v>1.35</v>
      </c>
      <c r="X306" s="336">
        <f t="shared" si="126"/>
        <v>0</v>
      </c>
      <c r="Y306" s="320"/>
      <c r="Z306" s="321" t="str">
        <f t="shared" si="133"/>
        <v>X-AFTA</v>
      </c>
      <c r="AA306" s="321" t="str">
        <f t="shared" si="134"/>
        <v>X-AFTE</v>
      </c>
      <c r="AB306" s="321" t="str">
        <f t="shared" si="135"/>
        <v>X-AFTM</v>
      </c>
      <c r="AC306" s="321" t="str">
        <f t="shared" si="136"/>
        <v>X-AFTT</v>
      </c>
      <c r="AD306" s="321" t="str">
        <f t="shared" si="137"/>
        <v>X-AFTS</v>
      </c>
      <c r="AE306" s="321" t="str">
        <f t="shared" si="138"/>
        <v>X-AFTX</v>
      </c>
      <c r="AF306" s="321" t="str">
        <f t="shared" si="139"/>
        <v>X-AFTA</v>
      </c>
      <c r="AG306" s="321">
        <f t="shared" si="127"/>
        <v>17</v>
      </c>
      <c r="AH306" s="321"/>
      <c r="AI306" s="321" t="str">
        <f t="shared" si="140"/>
        <v>X-AFT</v>
      </c>
      <c r="AJ306" s="320"/>
      <c r="AK306" s="322">
        <f t="shared" si="128"/>
        <v>305</v>
      </c>
      <c r="AL306" s="323">
        <f t="shared" si="141"/>
        <v>321</v>
      </c>
      <c r="AM306" s="322">
        <f t="shared" si="142"/>
        <v>2</v>
      </c>
      <c r="AN306" s="381">
        <f t="shared" si="129"/>
        <v>0.19427391581632655</v>
      </c>
      <c r="AO306" s="324"/>
      <c r="AP306" s="325"/>
      <c r="AQ306" s="326"/>
      <c r="AR306" s="327"/>
      <c r="AS306" s="327" t="str">
        <f t="shared" si="144"/>
        <v/>
      </c>
      <c r="AT306" s="327" t="str">
        <f t="shared" si="145"/>
        <v/>
      </c>
      <c r="AU306" s="328" t="str">
        <f t="shared" si="169"/>
        <v/>
      </c>
      <c r="AV306" s="325"/>
      <c r="AW306" s="329" t="str">
        <f>IF(AO306&lt;&gt;"",+VLOOKUP(AV306,Recursos!C:F,2,FALSE),"")</f>
        <v/>
      </c>
      <c r="AX306" s="330" t="str">
        <f>IF(AO306&lt;&gt;"",+VLOOKUP(AV306,Recursos!C:F,3,FALSE),"")</f>
        <v/>
      </c>
      <c r="AY306" s="327" t="str">
        <f>IF(AO306&lt;&gt;"",+VLOOKUP(AV306,Recursos!C:F,4,FALSE),"")</f>
        <v/>
      </c>
      <c r="AZ306" s="331"/>
      <c r="BA306" s="331"/>
      <c r="BB306" s="332"/>
      <c r="BC306" s="333" t="str">
        <f t="shared" si="146"/>
        <v/>
      </c>
      <c r="BD306" s="327" t="str">
        <f t="shared" si="147"/>
        <v/>
      </c>
      <c r="BE306" s="334" t="str">
        <f t="shared" si="148"/>
        <v/>
      </c>
      <c r="BF306" s="335" t="str">
        <f t="shared" si="149"/>
        <v/>
      </c>
      <c r="BG306" s="335" t="str">
        <f t="shared" si="150"/>
        <v/>
      </c>
      <c r="BH306" s="336" t="str">
        <f t="shared" si="151"/>
        <v/>
      </c>
      <c r="BI306" s="336" t="str">
        <f t="shared" si="152"/>
        <v/>
      </c>
      <c r="BJ306" s="336" t="str">
        <f t="shared" si="153"/>
        <v/>
      </c>
      <c r="BK306" s="336" t="str">
        <f t="shared" si="154"/>
        <v/>
      </c>
      <c r="BL306" s="320"/>
      <c r="BM306" s="321" t="str">
        <f t="shared" si="155"/>
        <v/>
      </c>
      <c r="BN306" s="321" t="str">
        <f t="shared" si="156"/>
        <v/>
      </c>
      <c r="BO306" s="321" t="str">
        <f t="shared" si="157"/>
        <v/>
      </c>
      <c r="BP306" s="321" t="str">
        <f t="shared" si="158"/>
        <v/>
      </c>
      <c r="BQ306" s="321" t="str">
        <f t="shared" si="159"/>
        <v/>
      </c>
      <c r="BR306" s="321" t="str">
        <f t="shared" si="160"/>
        <v/>
      </c>
      <c r="BS306" s="321" t="str">
        <f t="shared" si="161"/>
        <v/>
      </c>
      <c r="BT306" s="321" t="str">
        <f t="shared" si="162"/>
        <v/>
      </c>
      <c r="BU306" s="321"/>
      <c r="BV306" s="321" t="str">
        <f t="shared" si="163"/>
        <v/>
      </c>
      <c r="BW306" s="320"/>
      <c r="BX306" s="322" t="str">
        <f t="shared" si="164"/>
        <v/>
      </c>
      <c r="BY306" s="323" t="str">
        <f t="shared" si="165"/>
        <v/>
      </c>
      <c r="BZ306" s="322" t="str">
        <f t="shared" ref="BZ306:BZ321" si="173">IF(AO306&lt;&gt;"",IF(AO306=AO305,1+BZ305,1),"")</f>
        <v/>
      </c>
      <c r="CA306" s="381" t="str">
        <f t="shared" si="166"/>
        <v/>
      </c>
      <c r="CB306" s="322"/>
    </row>
    <row r="307" spans="2:80">
      <c r="B307" s="468" t="s">
        <v>1529</v>
      </c>
      <c r="C307" s="469" t="s">
        <v>1530</v>
      </c>
      <c r="D307" s="470" t="s">
        <v>441</v>
      </c>
      <c r="E307" s="327">
        <f>+SUMIF('AUX-NIV2'!I:I,'AUX-NIV3'!B307,'AUX-NIV2'!Q:Q)</f>
        <v>0</v>
      </c>
      <c r="F307" s="327">
        <f t="shared" si="119"/>
        <v>346.12398419675657</v>
      </c>
      <c r="G307" s="327">
        <f t="shared" si="120"/>
        <v>0</v>
      </c>
      <c r="H307" s="328" t="str">
        <f t="shared" si="168"/>
        <v>A</v>
      </c>
      <c r="I307" s="325" t="s">
        <v>1746</v>
      </c>
      <c r="J307" s="329" t="str">
        <f>IF(B307&lt;&gt;"",+VLOOKUP(I307,Recursos!C:F,2,FALSE),"")</f>
        <v>OFICIAL</v>
      </c>
      <c r="K307" s="330" t="str">
        <f>IF(B307&lt;&gt;"",+VLOOKUP(I307,Recursos!C:F,3,FALSE),"")</f>
        <v>hh</v>
      </c>
      <c r="L307" s="327">
        <f>IF(B307&lt;&gt;"",+VLOOKUP(I307,Recursos!C:F,4,FALSE),"")</f>
        <v>496.91595439275824</v>
      </c>
      <c r="M307" s="460">
        <f>+M306</f>
        <v>75</v>
      </c>
      <c r="N307" s="466"/>
      <c r="O307" s="459">
        <f>1/M307*N317</f>
        <v>1.7333333333333336E-2</v>
      </c>
      <c r="P307" s="333">
        <f t="shared" si="170"/>
        <v>8.6132098761411449</v>
      </c>
      <c r="Q307" s="327">
        <f t="shared" si="171"/>
        <v>0</v>
      </c>
      <c r="R307" s="334">
        <f t="shared" si="172"/>
        <v>0</v>
      </c>
      <c r="S307" s="335">
        <f t="shared" si="121"/>
        <v>95.797564969397214</v>
      </c>
      <c r="T307" s="335">
        <f t="shared" si="122"/>
        <v>248.97641922735937</v>
      </c>
      <c r="U307" s="336">
        <f t="shared" si="123"/>
        <v>0</v>
      </c>
      <c r="V307" s="336">
        <f t="shared" si="124"/>
        <v>0</v>
      </c>
      <c r="W307" s="336">
        <f t="shared" si="125"/>
        <v>1.35</v>
      </c>
      <c r="X307" s="336">
        <f t="shared" si="126"/>
        <v>0</v>
      </c>
      <c r="Y307" s="320"/>
      <c r="Z307" s="321" t="str">
        <f t="shared" si="133"/>
        <v>X-AFTA</v>
      </c>
      <c r="AA307" s="321" t="str">
        <f t="shared" si="134"/>
        <v>X-AFTE</v>
      </c>
      <c r="AB307" s="321" t="str">
        <f t="shared" si="135"/>
        <v>X-AFTM</v>
      </c>
      <c r="AC307" s="321" t="str">
        <f t="shared" si="136"/>
        <v>X-AFTT</v>
      </c>
      <c r="AD307" s="321" t="str">
        <f t="shared" si="137"/>
        <v>X-AFTS</v>
      </c>
      <c r="AE307" s="321" t="str">
        <f t="shared" si="138"/>
        <v>X-AFTX</v>
      </c>
      <c r="AF307" s="321" t="str">
        <f t="shared" si="139"/>
        <v>X-AFTA</v>
      </c>
      <c r="AG307" s="321">
        <f t="shared" si="127"/>
        <v>17</v>
      </c>
      <c r="AH307" s="321"/>
      <c r="AI307" s="321" t="str">
        <f t="shared" si="140"/>
        <v>X-AFT</v>
      </c>
      <c r="AJ307" s="320"/>
      <c r="AK307" s="322">
        <f t="shared" si="128"/>
        <v>305</v>
      </c>
      <c r="AL307" s="323">
        <f t="shared" si="141"/>
        <v>321</v>
      </c>
      <c r="AM307" s="322">
        <f t="shared" si="142"/>
        <v>3</v>
      </c>
      <c r="AN307" s="381">
        <f t="shared" si="129"/>
        <v>0.19427391581632655</v>
      </c>
      <c r="AO307" s="324"/>
      <c r="AP307" s="325"/>
      <c r="AQ307" s="326"/>
      <c r="AR307" s="327"/>
      <c r="AS307" s="327" t="str">
        <f t="shared" si="144"/>
        <v/>
      </c>
      <c r="AT307" s="327" t="str">
        <f t="shared" si="145"/>
        <v/>
      </c>
      <c r="AU307" s="328" t="str">
        <f t="shared" si="169"/>
        <v/>
      </c>
      <c r="AV307" s="325"/>
      <c r="AW307" s="329" t="str">
        <f>IF(AO307&lt;&gt;"",+VLOOKUP(AV307,Recursos!C:F,2,FALSE),"")</f>
        <v/>
      </c>
      <c r="AX307" s="330" t="str">
        <f>IF(AO307&lt;&gt;"",+VLOOKUP(AV307,Recursos!C:F,3,FALSE),"")</f>
        <v/>
      </c>
      <c r="AY307" s="327" t="str">
        <f>IF(AO307&lt;&gt;"",+VLOOKUP(AV307,Recursos!C:F,4,FALSE),"")</f>
        <v/>
      </c>
      <c r="AZ307" s="331"/>
      <c r="BA307" s="331"/>
      <c r="BB307" s="332"/>
      <c r="BC307" s="333" t="str">
        <f t="shared" si="146"/>
        <v/>
      </c>
      <c r="BD307" s="327" t="str">
        <f t="shared" si="147"/>
        <v/>
      </c>
      <c r="BE307" s="334" t="str">
        <f t="shared" si="148"/>
        <v/>
      </c>
      <c r="BF307" s="335" t="str">
        <f t="shared" si="149"/>
        <v/>
      </c>
      <c r="BG307" s="335" t="str">
        <f t="shared" si="150"/>
        <v/>
      </c>
      <c r="BH307" s="336" t="str">
        <f t="shared" si="151"/>
        <v/>
      </c>
      <c r="BI307" s="336" t="str">
        <f t="shared" si="152"/>
        <v/>
      </c>
      <c r="BJ307" s="336" t="str">
        <f t="shared" si="153"/>
        <v/>
      </c>
      <c r="BK307" s="336" t="str">
        <f t="shared" si="154"/>
        <v/>
      </c>
      <c r="BL307" s="320"/>
      <c r="BM307" s="321" t="str">
        <f t="shared" si="155"/>
        <v/>
      </c>
      <c r="BN307" s="321" t="str">
        <f t="shared" si="156"/>
        <v/>
      </c>
      <c r="BO307" s="321" t="str">
        <f t="shared" si="157"/>
        <v/>
      </c>
      <c r="BP307" s="321" t="str">
        <f t="shared" si="158"/>
        <v/>
      </c>
      <c r="BQ307" s="321" t="str">
        <f t="shared" si="159"/>
        <v/>
      </c>
      <c r="BR307" s="321" t="str">
        <f t="shared" si="160"/>
        <v/>
      </c>
      <c r="BS307" s="321" t="str">
        <f t="shared" si="161"/>
        <v/>
      </c>
      <c r="BT307" s="321" t="str">
        <f t="shared" si="162"/>
        <v/>
      </c>
      <c r="BU307" s="321"/>
      <c r="BV307" s="321" t="str">
        <f t="shared" si="163"/>
        <v/>
      </c>
      <c r="BW307" s="320"/>
      <c r="BX307" s="322" t="str">
        <f t="shared" si="164"/>
        <v/>
      </c>
      <c r="BY307" s="323" t="str">
        <f t="shared" si="165"/>
        <v/>
      </c>
      <c r="BZ307" s="322" t="str">
        <f t="shared" si="173"/>
        <v/>
      </c>
      <c r="CA307" s="381" t="str">
        <f t="shared" si="166"/>
        <v/>
      </c>
      <c r="CB307" s="322"/>
    </row>
    <row r="308" spans="2:80">
      <c r="B308" s="468" t="s">
        <v>1529</v>
      </c>
      <c r="C308" s="469" t="s">
        <v>1530</v>
      </c>
      <c r="D308" s="470" t="s">
        <v>441</v>
      </c>
      <c r="E308" s="327">
        <f>+SUMIF('AUX-NIV2'!I:I,'AUX-NIV3'!B308,'AUX-NIV2'!Q:Q)</f>
        <v>0</v>
      </c>
      <c r="F308" s="327">
        <f t="shared" si="119"/>
        <v>346.12398419675657</v>
      </c>
      <c r="G308" s="327">
        <f t="shared" si="120"/>
        <v>0</v>
      </c>
      <c r="H308" s="328" t="str">
        <f t="shared" si="168"/>
        <v>A</v>
      </c>
      <c r="I308" s="325" t="s">
        <v>3310</v>
      </c>
      <c r="J308" s="329" t="str">
        <f>IF(B308&lt;&gt;"",+VLOOKUP(I308,Recursos!C:F,2,FALSE),"")</f>
        <v>OFICIAL ESPECIALIZADO</v>
      </c>
      <c r="K308" s="330" t="str">
        <f>IF(B308&lt;&gt;"",+VLOOKUP(I308,Recursos!C:F,3,FALSE),"")</f>
        <v>hh</v>
      </c>
      <c r="L308" s="327">
        <f>IF(B308&lt;&gt;"",+VLOOKUP(I308,Recursos!C:F,4,FALSE),"")</f>
        <v>581.06120476836554</v>
      </c>
      <c r="M308" s="462">
        <v>70</v>
      </c>
      <c r="N308" s="466">
        <f>+M313</f>
        <v>1.35</v>
      </c>
      <c r="O308" s="459">
        <f>+N308/M308*N310</f>
        <v>2.4107142857142862E-2</v>
      </c>
      <c r="P308" s="333">
        <f t="shared" si="170"/>
        <v>14.007725472094529</v>
      </c>
      <c r="Q308" s="327">
        <f t="shared" si="171"/>
        <v>0</v>
      </c>
      <c r="R308" s="334">
        <f t="shared" si="172"/>
        <v>0</v>
      </c>
      <c r="S308" s="335">
        <f t="shared" si="121"/>
        <v>95.797564969397214</v>
      </c>
      <c r="T308" s="335">
        <f t="shared" si="122"/>
        <v>248.97641922735937</v>
      </c>
      <c r="U308" s="336">
        <f t="shared" si="123"/>
        <v>0</v>
      </c>
      <c r="V308" s="336">
        <f t="shared" si="124"/>
        <v>0</v>
      </c>
      <c r="W308" s="336">
        <f t="shared" si="125"/>
        <v>1.35</v>
      </c>
      <c r="X308" s="336">
        <f t="shared" si="126"/>
        <v>0</v>
      </c>
      <c r="Y308" s="320"/>
      <c r="Z308" s="321" t="str">
        <f t="shared" si="133"/>
        <v>X-AFTA</v>
      </c>
      <c r="AA308" s="321" t="str">
        <f t="shared" si="134"/>
        <v>X-AFTE</v>
      </c>
      <c r="AB308" s="321" t="str">
        <f t="shared" si="135"/>
        <v>X-AFTM</v>
      </c>
      <c r="AC308" s="321" t="str">
        <f t="shared" si="136"/>
        <v>X-AFTT</v>
      </c>
      <c r="AD308" s="321" t="str">
        <f t="shared" si="137"/>
        <v>X-AFTS</v>
      </c>
      <c r="AE308" s="321" t="str">
        <f t="shared" si="138"/>
        <v>X-AFTX</v>
      </c>
      <c r="AF308" s="321" t="str">
        <f t="shared" si="139"/>
        <v>X-AFTA</v>
      </c>
      <c r="AG308" s="321">
        <f t="shared" si="127"/>
        <v>17</v>
      </c>
      <c r="AH308" s="321"/>
      <c r="AI308" s="321" t="str">
        <f t="shared" si="140"/>
        <v>X-AFT</v>
      </c>
      <c r="AJ308" s="320"/>
      <c r="AK308" s="322">
        <f t="shared" si="128"/>
        <v>305</v>
      </c>
      <c r="AL308" s="323">
        <f t="shared" si="141"/>
        <v>321</v>
      </c>
      <c r="AM308" s="322">
        <f t="shared" si="142"/>
        <v>4</v>
      </c>
      <c r="AN308" s="381">
        <f t="shared" si="129"/>
        <v>0.19427391581632655</v>
      </c>
      <c r="AO308" s="324"/>
      <c r="AP308" s="325"/>
      <c r="AQ308" s="326"/>
      <c r="AR308" s="327"/>
      <c r="AS308" s="327" t="str">
        <f t="shared" si="144"/>
        <v/>
      </c>
      <c r="AT308" s="327" t="str">
        <f t="shared" si="145"/>
        <v/>
      </c>
      <c r="AU308" s="328" t="str">
        <f t="shared" si="169"/>
        <v/>
      </c>
      <c r="AV308" s="325"/>
      <c r="AW308" s="329" t="str">
        <f>IF(AO308&lt;&gt;"",+VLOOKUP(AV308,Recursos!C:F,2,FALSE),"")</f>
        <v/>
      </c>
      <c r="AX308" s="330" t="str">
        <f>IF(AO308&lt;&gt;"",+VLOOKUP(AV308,Recursos!C:F,3,FALSE),"")</f>
        <v/>
      </c>
      <c r="AY308" s="327" t="str">
        <f>IF(AO308&lt;&gt;"",+VLOOKUP(AV308,Recursos!C:F,4,FALSE),"")</f>
        <v/>
      </c>
      <c r="AZ308" s="331"/>
      <c r="BA308" s="331"/>
      <c r="BB308" s="332"/>
      <c r="BC308" s="333" t="str">
        <f t="shared" si="146"/>
        <v/>
      </c>
      <c r="BD308" s="327" t="str">
        <f t="shared" si="147"/>
        <v/>
      </c>
      <c r="BE308" s="334" t="str">
        <f t="shared" si="148"/>
        <v/>
      </c>
      <c r="BF308" s="335" t="str">
        <f t="shared" si="149"/>
        <v/>
      </c>
      <c r="BG308" s="335" t="str">
        <f t="shared" si="150"/>
        <v/>
      </c>
      <c r="BH308" s="336" t="str">
        <f t="shared" si="151"/>
        <v/>
      </c>
      <c r="BI308" s="336" t="str">
        <f t="shared" si="152"/>
        <v/>
      </c>
      <c r="BJ308" s="336" t="str">
        <f t="shared" si="153"/>
        <v/>
      </c>
      <c r="BK308" s="336" t="str">
        <f t="shared" si="154"/>
        <v/>
      </c>
      <c r="BL308" s="320"/>
      <c r="BM308" s="321" t="str">
        <f t="shared" si="155"/>
        <v/>
      </c>
      <c r="BN308" s="321" t="str">
        <f t="shared" si="156"/>
        <v/>
      </c>
      <c r="BO308" s="321" t="str">
        <f t="shared" si="157"/>
        <v/>
      </c>
      <c r="BP308" s="321" t="str">
        <f t="shared" si="158"/>
        <v/>
      </c>
      <c r="BQ308" s="321" t="str">
        <f t="shared" si="159"/>
        <v/>
      </c>
      <c r="BR308" s="321" t="str">
        <f t="shared" si="160"/>
        <v/>
      </c>
      <c r="BS308" s="321" t="str">
        <f t="shared" si="161"/>
        <v/>
      </c>
      <c r="BT308" s="321" t="str">
        <f t="shared" si="162"/>
        <v/>
      </c>
      <c r="BU308" s="321"/>
      <c r="BV308" s="321" t="str">
        <f t="shared" si="163"/>
        <v/>
      </c>
      <c r="BW308" s="320"/>
      <c r="BX308" s="322" t="str">
        <f t="shared" si="164"/>
        <v/>
      </c>
      <c r="BY308" s="323" t="str">
        <f t="shared" si="165"/>
        <v/>
      </c>
      <c r="BZ308" s="322" t="str">
        <f t="shared" si="173"/>
        <v/>
      </c>
      <c r="CA308" s="381" t="str">
        <f t="shared" si="166"/>
        <v/>
      </c>
      <c r="CB308" s="322"/>
    </row>
    <row r="309" spans="2:80">
      <c r="B309" s="468" t="s">
        <v>1529</v>
      </c>
      <c r="C309" s="469" t="s">
        <v>1530</v>
      </c>
      <c r="D309" s="470" t="s">
        <v>441</v>
      </c>
      <c r="E309" s="327">
        <f>+SUMIF('AUX-NIV2'!I:I,'AUX-NIV3'!B309,'AUX-NIV2'!Q:Q)</f>
        <v>0</v>
      </c>
      <c r="F309" s="327">
        <f t="shared" si="119"/>
        <v>346.12398419675657</v>
      </c>
      <c r="G309" s="327">
        <f t="shared" si="120"/>
        <v>0</v>
      </c>
      <c r="H309" s="328" t="str">
        <f t="shared" si="168"/>
        <v>A</v>
      </c>
      <c r="I309" s="325" t="s">
        <v>3310</v>
      </c>
      <c r="J309" s="329" t="str">
        <f>IF(B309&lt;&gt;"",+VLOOKUP(I309,Recursos!C:F,2,FALSE),"")</f>
        <v>OFICIAL ESPECIALIZADO</v>
      </c>
      <c r="K309" s="330" t="str">
        <f>IF(B309&lt;&gt;"",+VLOOKUP(I309,Recursos!C:F,3,FALSE),"")</f>
        <v>hh</v>
      </c>
      <c r="L309" s="327">
        <f>IF(B309&lt;&gt;"",+VLOOKUP(I309,Recursos!C:F,4,FALSE),"")</f>
        <v>581.06120476836554</v>
      </c>
      <c r="M309" s="460">
        <f>+M307</f>
        <v>75</v>
      </c>
      <c r="N309" s="471"/>
      <c r="O309" s="459">
        <f>1/M309*N317</f>
        <v>1.7333333333333336E-2</v>
      </c>
      <c r="P309" s="333">
        <f t="shared" si="170"/>
        <v>10.071727549318338</v>
      </c>
      <c r="Q309" s="327">
        <f t="shared" si="171"/>
        <v>0</v>
      </c>
      <c r="R309" s="334">
        <f t="shared" si="172"/>
        <v>0</v>
      </c>
      <c r="S309" s="335">
        <f t="shared" si="121"/>
        <v>95.797564969397214</v>
      </c>
      <c r="T309" s="335">
        <f t="shared" si="122"/>
        <v>248.97641922735937</v>
      </c>
      <c r="U309" s="336">
        <f t="shared" si="123"/>
        <v>0</v>
      </c>
      <c r="V309" s="336">
        <f t="shared" si="124"/>
        <v>0</v>
      </c>
      <c r="W309" s="336">
        <f t="shared" si="125"/>
        <v>1.35</v>
      </c>
      <c r="X309" s="336">
        <f t="shared" si="126"/>
        <v>0</v>
      </c>
      <c r="Y309" s="320"/>
      <c r="Z309" s="321" t="str">
        <f t="shared" si="133"/>
        <v>X-AFTA</v>
      </c>
      <c r="AA309" s="321" t="str">
        <f t="shared" si="134"/>
        <v>X-AFTE</v>
      </c>
      <c r="AB309" s="321" t="str">
        <f t="shared" si="135"/>
        <v>X-AFTM</v>
      </c>
      <c r="AC309" s="321" t="str">
        <f t="shared" si="136"/>
        <v>X-AFTT</v>
      </c>
      <c r="AD309" s="321" t="str">
        <f t="shared" si="137"/>
        <v>X-AFTS</v>
      </c>
      <c r="AE309" s="321" t="str">
        <f t="shared" si="138"/>
        <v>X-AFTX</v>
      </c>
      <c r="AF309" s="321" t="str">
        <f t="shared" si="139"/>
        <v>X-AFTA</v>
      </c>
      <c r="AG309" s="321">
        <f t="shared" si="127"/>
        <v>17</v>
      </c>
      <c r="AH309" s="321"/>
      <c r="AI309" s="321" t="str">
        <f t="shared" si="140"/>
        <v>X-AFT</v>
      </c>
      <c r="AJ309" s="320"/>
      <c r="AK309" s="322">
        <f t="shared" si="128"/>
        <v>305</v>
      </c>
      <c r="AL309" s="323">
        <f t="shared" si="141"/>
        <v>321</v>
      </c>
      <c r="AM309" s="322">
        <f t="shared" si="142"/>
        <v>5</v>
      </c>
      <c r="AN309" s="381">
        <f t="shared" si="129"/>
        <v>0.19427391581632655</v>
      </c>
      <c r="AO309" s="324"/>
      <c r="AP309" s="325"/>
      <c r="AQ309" s="326"/>
      <c r="AR309" s="327"/>
      <c r="AS309" s="327" t="str">
        <f t="shared" si="144"/>
        <v/>
      </c>
      <c r="AT309" s="327" t="str">
        <f t="shared" si="145"/>
        <v/>
      </c>
      <c r="AU309" s="328" t="str">
        <f t="shared" si="169"/>
        <v/>
      </c>
      <c r="AV309" s="325"/>
      <c r="AW309" s="329" t="str">
        <f>IF(AO309&lt;&gt;"",+VLOOKUP(AV309,Recursos!C:F,2,FALSE),"")</f>
        <v/>
      </c>
      <c r="AX309" s="330" t="str">
        <f>IF(AO309&lt;&gt;"",+VLOOKUP(AV309,Recursos!C:F,3,FALSE),"")</f>
        <v/>
      </c>
      <c r="AY309" s="327" t="str">
        <f>IF(AO309&lt;&gt;"",+VLOOKUP(AV309,Recursos!C:F,4,FALSE),"")</f>
        <v/>
      </c>
      <c r="AZ309" s="331"/>
      <c r="BA309" s="331"/>
      <c r="BB309" s="332"/>
      <c r="BC309" s="333" t="str">
        <f t="shared" si="146"/>
        <v/>
      </c>
      <c r="BD309" s="327" t="str">
        <f t="shared" si="147"/>
        <v/>
      </c>
      <c r="BE309" s="334" t="str">
        <f t="shared" si="148"/>
        <v/>
      </c>
      <c r="BF309" s="335" t="str">
        <f t="shared" si="149"/>
        <v/>
      </c>
      <c r="BG309" s="335" t="str">
        <f t="shared" si="150"/>
        <v/>
      </c>
      <c r="BH309" s="336" t="str">
        <f t="shared" si="151"/>
        <v/>
      </c>
      <c r="BI309" s="336" t="str">
        <f t="shared" si="152"/>
        <v/>
      </c>
      <c r="BJ309" s="336" t="str">
        <f t="shared" si="153"/>
        <v/>
      </c>
      <c r="BK309" s="336" t="str">
        <f t="shared" si="154"/>
        <v/>
      </c>
      <c r="BL309" s="320"/>
      <c r="BM309" s="321" t="str">
        <f t="shared" si="155"/>
        <v/>
      </c>
      <c r="BN309" s="321" t="str">
        <f t="shared" si="156"/>
        <v/>
      </c>
      <c r="BO309" s="321" t="str">
        <f t="shared" si="157"/>
        <v/>
      </c>
      <c r="BP309" s="321" t="str">
        <f t="shared" si="158"/>
        <v/>
      </c>
      <c r="BQ309" s="321" t="str">
        <f t="shared" si="159"/>
        <v/>
      </c>
      <c r="BR309" s="321" t="str">
        <f t="shared" si="160"/>
        <v/>
      </c>
      <c r="BS309" s="321" t="str">
        <f t="shared" si="161"/>
        <v/>
      </c>
      <c r="BT309" s="321" t="str">
        <f t="shared" si="162"/>
        <v/>
      </c>
      <c r="BU309" s="321"/>
      <c r="BV309" s="321" t="str">
        <f t="shared" si="163"/>
        <v/>
      </c>
      <c r="BW309" s="320"/>
      <c r="BX309" s="322" t="str">
        <f t="shared" si="164"/>
        <v/>
      </c>
      <c r="BY309" s="323" t="str">
        <f t="shared" si="165"/>
        <v/>
      </c>
      <c r="BZ309" s="322" t="str">
        <f t="shared" si="173"/>
        <v/>
      </c>
      <c r="CA309" s="381" t="str">
        <f t="shared" si="166"/>
        <v/>
      </c>
      <c r="CB309" s="322"/>
    </row>
    <row r="310" spans="2:80">
      <c r="B310" s="468" t="s">
        <v>1529</v>
      </c>
      <c r="C310" s="469" t="s">
        <v>1530</v>
      </c>
      <c r="D310" s="470" t="s">
        <v>441</v>
      </c>
      <c r="E310" s="327">
        <f>+SUMIF('AUX-NIV2'!I:I,'AUX-NIV3'!B310,'AUX-NIV2'!Q:Q)</f>
        <v>0</v>
      </c>
      <c r="F310" s="327">
        <f t="shared" si="119"/>
        <v>346.12398419675657</v>
      </c>
      <c r="G310" s="327">
        <f t="shared" si="120"/>
        <v>0</v>
      </c>
      <c r="H310" s="328" t="str">
        <f t="shared" si="168"/>
        <v>A</v>
      </c>
      <c r="I310" s="325" t="s">
        <v>1746</v>
      </c>
      <c r="J310" s="329" t="str">
        <f>IF(B310&lt;&gt;"",+VLOOKUP(I310,Recursos!C:F,2,FALSE),"")</f>
        <v>OFICIAL</v>
      </c>
      <c r="K310" s="330" t="str">
        <f>IF(B310&lt;&gt;"",+VLOOKUP(I310,Recursos!C:F,3,FALSE),"")</f>
        <v>hh</v>
      </c>
      <c r="L310" s="327">
        <f>IF(B310&lt;&gt;"",+VLOOKUP(I310,Recursos!C:F,4,FALSE),"")</f>
        <v>496.91595439275824</v>
      </c>
      <c r="M310" s="462">
        <v>14</v>
      </c>
      <c r="N310" s="463">
        <v>1.25</v>
      </c>
      <c r="O310" s="459">
        <f>+N313*N310*1*(M310/150/1+1/M314+1/N314+3/60/M310)/M310*N310*(1-N321)</f>
        <v>2.4726296768707478E-2</v>
      </c>
      <c r="P310" s="333">
        <f t="shared" si="170"/>
        <v>12.286891357420851</v>
      </c>
      <c r="Q310" s="327">
        <f t="shared" si="171"/>
        <v>0</v>
      </c>
      <c r="R310" s="334">
        <f t="shared" si="172"/>
        <v>0</v>
      </c>
      <c r="S310" s="335">
        <f t="shared" si="121"/>
        <v>95.797564969397214</v>
      </c>
      <c r="T310" s="335">
        <f t="shared" si="122"/>
        <v>248.97641922735937</v>
      </c>
      <c r="U310" s="336">
        <f t="shared" si="123"/>
        <v>0</v>
      </c>
      <c r="V310" s="336">
        <f t="shared" si="124"/>
        <v>0</v>
      </c>
      <c r="W310" s="336">
        <f t="shared" si="125"/>
        <v>1.35</v>
      </c>
      <c r="X310" s="336">
        <f t="shared" si="126"/>
        <v>0</v>
      </c>
      <c r="Y310" s="320"/>
      <c r="Z310" s="321" t="str">
        <f t="shared" si="133"/>
        <v>X-AFTA</v>
      </c>
      <c r="AA310" s="321" t="str">
        <f t="shared" si="134"/>
        <v>X-AFTE</v>
      </c>
      <c r="AB310" s="321" t="str">
        <f t="shared" si="135"/>
        <v>X-AFTM</v>
      </c>
      <c r="AC310" s="321" t="str">
        <f t="shared" si="136"/>
        <v>X-AFTT</v>
      </c>
      <c r="AD310" s="321" t="str">
        <f t="shared" si="137"/>
        <v>X-AFTS</v>
      </c>
      <c r="AE310" s="321" t="str">
        <f t="shared" si="138"/>
        <v>X-AFTX</v>
      </c>
      <c r="AF310" s="321" t="str">
        <f t="shared" si="139"/>
        <v>X-AFTA</v>
      </c>
      <c r="AG310" s="321">
        <f t="shared" si="127"/>
        <v>17</v>
      </c>
      <c r="AH310" s="321"/>
      <c r="AI310" s="321" t="str">
        <f t="shared" si="140"/>
        <v>X-AFT</v>
      </c>
      <c r="AJ310" s="320"/>
      <c r="AK310" s="322">
        <f t="shared" si="128"/>
        <v>305</v>
      </c>
      <c r="AL310" s="323">
        <f t="shared" si="141"/>
        <v>321</v>
      </c>
      <c r="AM310" s="322">
        <f t="shared" si="142"/>
        <v>6</v>
      </c>
      <c r="AN310" s="381">
        <f t="shared" si="129"/>
        <v>0.19427391581632655</v>
      </c>
      <c r="AO310" s="324"/>
      <c r="AP310" s="325"/>
      <c r="AQ310" s="326"/>
      <c r="AR310" s="327"/>
      <c r="AS310" s="327" t="str">
        <f t="shared" si="144"/>
        <v/>
      </c>
      <c r="AT310" s="327" t="str">
        <f t="shared" si="145"/>
        <v/>
      </c>
      <c r="AU310" s="328" t="str">
        <f t="shared" si="169"/>
        <v/>
      </c>
      <c r="AV310" s="325"/>
      <c r="AW310" s="329" t="str">
        <f>IF(AO310&lt;&gt;"",+VLOOKUP(AV310,Recursos!C:F,2,FALSE),"")</f>
        <v/>
      </c>
      <c r="AX310" s="330" t="str">
        <f>IF(AO310&lt;&gt;"",+VLOOKUP(AV310,Recursos!C:F,3,FALSE),"")</f>
        <v/>
      </c>
      <c r="AY310" s="327" t="str">
        <f>IF(AO310&lt;&gt;"",+VLOOKUP(AV310,Recursos!C:F,4,FALSE),"")</f>
        <v/>
      </c>
      <c r="AZ310" s="331"/>
      <c r="BA310" s="331"/>
      <c r="BB310" s="332"/>
      <c r="BC310" s="333" t="str">
        <f t="shared" si="146"/>
        <v/>
      </c>
      <c r="BD310" s="327" t="str">
        <f t="shared" si="147"/>
        <v/>
      </c>
      <c r="BE310" s="334" t="str">
        <f t="shared" si="148"/>
        <v/>
      </c>
      <c r="BF310" s="335" t="str">
        <f t="shared" si="149"/>
        <v/>
      </c>
      <c r="BG310" s="335" t="str">
        <f t="shared" si="150"/>
        <v/>
      </c>
      <c r="BH310" s="336" t="str">
        <f t="shared" si="151"/>
        <v/>
      </c>
      <c r="BI310" s="336" t="str">
        <f t="shared" si="152"/>
        <v/>
      </c>
      <c r="BJ310" s="336" t="str">
        <f t="shared" si="153"/>
        <v/>
      </c>
      <c r="BK310" s="336" t="str">
        <f t="shared" si="154"/>
        <v/>
      </c>
      <c r="BL310" s="320"/>
      <c r="BM310" s="321" t="str">
        <f t="shared" si="155"/>
        <v/>
      </c>
      <c r="BN310" s="321" t="str">
        <f t="shared" si="156"/>
        <v/>
      </c>
      <c r="BO310" s="321" t="str">
        <f t="shared" si="157"/>
        <v/>
      </c>
      <c r="BP310" s="321" t="str">
        <f t="shared" si="158"/>
        <v/>
      </c>
      <c r="BQ310" s="321" t="str">
        <f t="shared" si="159"/>
        <v/>
      </c>
      <c r="BR310" s="321" t="str">
        <f t="shared" si="160"/>
        <v/>
      </c>
      <c r="BS310" s="321" t="str">
        <f t="shared" si="161"/>
        <v/>
      </c>
      <c r="BT310" s="321" t="str">
        <f t="shared" si="162"/>
        <v/>
      </c>
      <c r="BU310" s="321"/>
      <c r="BV310" s="321" t="str">
        <f t="shared" si="163"/>
        <v/>
      </c>
      <c r="BW310" s="320"/>
      <c r="BX310" s="322" t="str">
        <f t="shared" si="164"/>
        <v/>
      </c>
      <c r="BY310" s="323" t="str">
        <f t="shared" si="165"/>
        <v/>
      </c>
      <c r="BZ310" s="322" t="str">
        <f t="shared" si="173"/>
        <v/>
      </c>
      <c r="CA310" s="381" t="str">
        <f t="shared" si="166"/>
        <v/>
      </c>
      <c r="CB310" s="322"/>
    </row>
    <row r="311" spans="2:80">
      <c r="B311" s="468" t="s">
        <v>1529</v>
      </c>
      <c r="C311" s="469" t="s">
        <v>1530</v>
      </c>
      <c r="D311" s="470" t="s">
        <v>441</v>
      </c>
      <c r="E311" s="327">
        <f>+SUMIF('AUX-NIV2'!I:I,'AUX-NIV3'!B311,'AUX-NIV2'!Q:Q)</f>
        <v>0</v>
      </c>
      <c r="F311" s="327">
        <f t="shared" si="119"/>
        <v>346.12398419675657</v>
      </c>
      <c r="G311" s="327">
        <f t="shared" si="120"/>
        <v>0</v>
      </c>
      <c r="H311" s="328" t="str">
        <f t="shared" si="168"/>
        <v>A</v>
      </c>
      <c r="I311" s="325" t="s">
        <v>3310</v>
      </c>
      <c r="J311" s="329" t="str">
        <f>IF(B311&lt;&gt;"",+VLOOKUP(I311,Recursos!C:F,2,FALSE),"")</f>
        <v>OFICIAL ESPECIALIZADO</v>
      </c>
      <c r="K311" s="330" t="str">
        <f>IF(B311&lt;&gt;"",+VLOOKUP(I311,Recursos!C:F,3,FALSE),"")</f>
        <v>hh</v>
      </c>
      <c r="L311" s="327">
        <f>IF(B311&lt;&gt;"",+VLOOKUP(I311,Recursos!C:F,4,FALSE),"")</f>
        <v>581.06120476836554</v>
      </c>
      <c r="M311" s="460">
        <f>+M309</f>
        <v>75</v>
      </c>
      <c r="N311" s="471"/>
      <c r="O311" s="459">
        <f>1/M311*N317</f>
        <v>1.7333333333333336E-2</v>
      </c>
      <c r="P311" s="333">
        <f t="shared" si="170"/>
        <v>10.071727549318338</v>
      </c>
      <c r="Q311" s="327">
        <f t="shared" si="171"/>
        <v>0</v>
      </c>
      <c r="R311" s="334">
        <f t="shared" si="172"/>
        <v>0</v>
      </c>
      <c r="S311" s="335">
        <f t="shared" si="121"/>
        <v>95.797564969397214</v>
      </c>
      <c r="T311" s="335">
        <f t="shared" si="122"/>
        <v>248.97641922735937</v>
      </c>
      <c r="U311" s="336">
        <f t="shared" si="123"/>
        <v>0</v>
      </c>
      <c r="V311" s="336">
        <f t="shared" si="124"/>
        <v>0</v>
      </c>
      <c r="W311" s="336">
        <f t="shared" si="125"/>
        <v>1.35</v>
      </c>
      <c r="X311" s="336">
        <f t="shared" si="126"/>
        <v>0</v>
      </c>
      <c r="Y311" s="320"/>
      <c r="Z311" s="321" t="str">
        <f t="shared" si="133"/>
        <v>X-AFTA</v>
      </c>
      <c r="AA311" s="321" t="str">
        <f t="shared" si="134"/>
        <v>X-AFTE</v>
      </c>
      <c r="AB311" s="321" t="str">
        <f t="shared" si="135"/>
        <v>X-AFTM</v>
      </c>
      <c r="AC311" s="321" t="str">
        <f t="shared" si="136"/>
        <v>X-AFTT</v>
      </c>
      <c r="AD311" s="321" t="str">
        <f t="shared" si="137"/>
        <v>X-AFTS</v>
      </c>
      <c r="AE311" s="321" t="str">
        <f t="shared" si="138"/>
        <v>X-AFTX</v>
      </c>
      <c r="AF311" s="321" t="str">
        <f t="shared" si="139"/>
        <v>X-AFTA</v>
      </c>
      <c r="AG311" s="321">
        <f t="shared" si="127"/>
        <v>17</v>
      </c>
      <c r="AH311" s="321"/>
      <c r="AI311" s="321" t="str">
        <f t="shared" si="140"/>
        <v>X-AFT</v>
      </c>
      <c r="AJ311" s="320"/>
      <c r="AK311" s="322">
        <f t="shared" si="128"/>
        <v>305</v>
      </c>
      <c r="AL311" s="323">
        <f t="shared" si="141"/>
        <v>321</v>
      </c>
      <c r="AM311" s="322">
        <f t="shared" si="142"/>
        <v>7</v>
      </c>
      <c r="AN311" s="381">
        <f t="shared" si="129"/>
        <v>0.19427391581632655</v>
      </c>
      <c r="AO311" s="324"/>
      <c r="AP311" s="325"/>
      <c r="AQ311" s="326"/>
      <c r="AR311" s="327"/>
      <c r="AS311" s="327" t="str">
        <f t="shared" si="144"/>
        <v/>
      </c>
      <c r="AT311" s="327" t="str">
        <f t="shared" si="145"/>
        <v/>
      </c>
      <c r="AU311" s="328" t="str">
        <f t="shared" si="169"/>
        <v/>
      </c>
      <c r="AV311" s="325"/>
      <c r="AW311" s="329" t="str">
        <f>IF(AO311&lt;&gt;"",+VLOOKUP(AV311,Recursos!C:F,2,FALSE),"")</f>
        <v/>
      </c>
      <c r="AX311" s="330" t="str">
        <f>IF(AO311&lt;&gt;"",+VLOOKUP(AV311,Recursos!C:F,3,FALSE),"")</f>
        <v/>
      </c>
      <c r="AY311" s="327" t="str">
        <f>IF(AO311&lt;&gt;"",+VLOOKUP(AV311,Recursos!C:F,4,FALSE),"")</f>
        <v/>
      </c>
      <c r="AZ311" s="331"/>
      <c r="BA311" s="331"/>
      <c r="BB311" s="332"/>
      <c r="BC311" s="333" t="str">
        <f t="shared" si="146"/>
        <v/>
      </c>
      <c r="BD311" s="327" t="str">
        <f t="shared" si="147"/>
        <v/>
      </c>
      <c r="BE311" s="334" t="str">
        <f t="shared" si="148"/>
        <v/>
      </c>
      <c r="BF311" s="335" t="str">
        <f t="shared" si="149"/>
        <v/>
      </c>
      <c r="BG311" s="335" t="str">
        <f t="shared" si="150"/>
        <v/>
      </c>
      <c r="BH311" s="336" t="str">
        <f t="shared" si="151"/>
        <v/>
      </c>
      <c r="BI311" s="336" t="str">
        <f t="shared" si="152"/>
        <v/>
      </c>
      <c r="BJ311" s="336" t="str">
        <f t="shared" si="153"/>
        <v/>
      </c>
      <c r="BK311" s="336" t="str">
        <f t="shared" si="154"/>
        <v/>
      </c>
      <c r="BL311" s="320"/>
      <c r="BM311" s="321" t="str">
        <f t="shared" si="155"/>
        <v/>
      </c>
      <c r="BN311" s="321" t="str">
        <f t="shared" si="156"/>
        <v/>
      </c>
      <c r="BO311" s="321" t="str">
        <f t="shared" si="157"/>
        <v/>
      </c>
      <c r="BP311" s="321" t="str">
        <f t="shared" si="158"/>
        <v/>
      </c>
      <c r="BQ311" s="321" t="str">
        <f t="shared" si="159"/>
        <v/>
      </c>
      <c r="BR311" s="321" t="str">
        <f t="shared" si="160"/>
        <v/>
      </c>
      <c r="BS311" s="321" t="str">
        <f t="shared" si="161"/>
        <v/>
      </c>
      <c r="BT311" s="321" t="str">
        <f t="shared" si="162"/>
        <v/>
      </c>
      <c r="BU311" s="321"/>
      <c r="BV311" s="321" t="str">
        <f t="shared" si="163"/>
        <v/>
      </c>
      <c r="BW311" s="320"/>
      <c r="BX311" s="322" t="str">
        <f t="shared" si="164"/>
        <v/>
      </c>
      <c r="BY311" s="323" t="str">
        <f t="shared" si="165"/>
        <v/>
      </c>
      <c r="BZ311" s="322" t="str">
        <f t="shared" si="173"/>
        <v/>
      </c>
      <c r="CA311" s="381" t="str">
        <f t="shared" si="166"/>
        <v/>
      </c>
      <c r="CB311" s="322"/>
    </row>
    <row r="312" spans="2:80">
      <c r="B312" s="468" t="s">
        <v>1529</v>
      </c>
      <c r="C312" s="469" t="s">
        <v>1530</v>
      </c>
      <c r="D312" s="470" t="s">
        <v>441</v>
      </c>
      <c r="E312" s="327">
        <f>+SUMIF('AUX-NIV2'!I:I,'AUX-NIV3'!B312,'AUX-NIV2'!Q:Q)</f>
        <v>0</v>
      </c>
      <c r="F312" s="327">
        <f t="shared" si="119"/>
        <v>346.12398419675657</v>
      </c>
      <c r="G312" s="327">
        <f t="shared" si="120"/>
        <v>0</v>
      </c>
      <c r="H312" s="328" t="str">
        <f t="shared" si="168"/>
        <v>E</v>
      </c>
      <c r="I312" s="325" t="s">
        <v>1543</v>
      </c>
      <c r="J312" s="329" t="str">
        <f>IF(B312&lt;&gt;"",+VLOOKUP(I312,Recursos!C:F,2,FALSE),"")</f>
        <v>CARGADOR FRONTAL S/NEUM. (3,00 M3)</v>
      </c>
      <c r="K312" s="330" t="str">
        <f>IF(B312&lt;&gt;"",+VLOOKUP(I312,Recursos!C:F,3,FALSE),"")</f>
        <v>HR</v>
      </c>
      <c r="L312" s="327">
        <f>IF(B312&lt;&gt;"",+VLOOKUP(I312,Recursos!C:F,4,FALSE),"")</f>
        <v>4370.2094545454547</v>
      </c>
      <c r="M312" s="460">
        <f>+M311</f>
        <v>75</v>
      </c>
      <c r="N312" s="463">
        <v>1</v>
      </c>
      <c r="O312" s="459">
        <f>+N312/M312*N317</f>
        <v>1.7333333333333336E-2</v>
      </c>
      <c r="P312" s="333">
        <f t="shared" si="170"/>
        <v>75.750297212121225</v>
      </c>
      <c r="Q312" s="327">
        <f t="shared" si="171"/>
        <v>0</v>
      </c>
      <c r="R312" s="334">
        <f t="shared" si="172"/>
        <v>0</v>
      </c>
      <c r="S312" s="335">
        <f t="shared" si="121"/>
        <v>95.797564969397214</v>
      </c>
      <c r="T312" s="335">
        <f t="shared" si="122"/>
        <v>248.97641922735937</v>
      </c>
      <c r="U312" s="336">
        <f t="shared" si="123"/>
        <v>0</v>
      </c>
      <c r="V312" s="336">
        <f t="shared" si="124"/>
        <v>0</v>
      </c>
      <c r="W312" s="336">
        <f t="shared" si="125"/>
        <v>1.35</v>
      </c>
      <c r="X312" s="336">
        <f t="shared" si="126"/>
        <v>0</v>
      </c>
      <c r="Y312" s="320"/>
      <c r="Z312" s="321" t="str">
        <f t="shared" si="133"/>
        <v>X-AFTA</v>
      </c>
      <c r="AA312" s="321" t="str">
        <f t="shared" si="134"/>
        <v>X-AFTE</v>
      </c>
      <c r="AB312" s="321" t="str">
        <f t="shared" si="135"/>
        <v>X-AFTM</v>
      </c>
      <c r="AC312" s="321" t="str">
        <f t="shared" si="136"/>
        <v>X-AFTT</v>
      </c>
      <c r="AD312" s="321" t="str">
        <f t="shared" si="137"/>
        <v>X-AFTS</v>
      </c>
      <c r="AE312" s="321" t="str">
        <f t="shared" si="138"/>
        <v>X-AFTX</v>
      </c>
      <c r="AF312" s="321" t="str">
        <f t="shared" si="139"/>
        <v>X-AFTE</v>
      </c>
      <c r="AG312" s="321">
        <f t="shared" si="127"/>
        <v>17</v>
      </c>
      <c r="AH312" s="321"/>
      <c r="AI312" s="321" t="str">
        <f t="shared" si="140"/>
        <v>X-AFT</v>
      </c>
      <c r="AJ312" s="320"/>
      <c r="AK312" s="322">
        <f t="shared" si="128"/>
        <v>305</v>
      </c>
      <c r="AL312" s="323">
        <f t="shared" si="141"/>
        <v>321</v>
      </c>
      <c r="AM312" s="322">
        <f t="shared" si="142"/>
        <v>8</v>
      </c>
      <c r="AN312" s="381">
        <f t="shared" si="129"/>
        <v>0.19427391581632655</v>
      </c>
      <c r="AO312" s="324"/>
      <c r="AP312" s="325"/>
      <c r="AQ312" s="326"/>
      <c r="AR312" s="327"/>
      <c r="AS312" s="327" t="str">
        <f t="shared" si="144"/>
        <v/>
      </c>
      <c r="AT312" s="327" t="str">
        <f t="shared" si="145"/>
        <v/>
      </c>
      <c r="AU312" s="328" t="str">
        <f t="shared" si="169"/>
        <v/>
      </c>
      <c r="AV312" s="325"/>
      <c r="AW312" s="329" t="str">
        <f>IF(AO312&lt;&gt;"",+VLOOKUP(AV312,Recursos!C:F,2,FALSE),"")</f>
        <v/>
      </c>
      <c r="AX312" s="330" t="str">
        <f>IF(AO312&lt;&gt;"",+VLOOKUP(AV312,Recursos!C:F,3,FALSE),"")</f>
        <v/>
      </c>
      <c r="AY312" s="327" t="str">
        <f>IF(AO312&lt;&gt;"",+VLOOKUP(AV312,Recursos!C:F,4,FALSE),"")</f>
        <v/>
      </c>
      <c r="AZ312" s="331"/>
      <c r="BA312" s="331"/>
      <c r="BB312" s="332"/>
      <c r="BC312" s="333" t="str">
        <f t="shared" si="146"/>
        <v/>
      </c>
      <c r="BD312" s="327" t="str">
        <f t="shared" si="147"/>
        <v/>
      </c>
      <c r="BE312" s="334" t="str">
        <f t="shared" si="148"/>
        <v/>
      </c>
      <c r="BF312" s="335" t="str">
        <f t="shared" si="149"/>
        <v/>
      </c>
      <c r="BG312" s="335" t="str">
        <f t="shared" si="150"/>
        <v/>
      </c>
      <c r="BH312" s="336" t="str">
        <f t="shared" si="151"/>
        <v/>
      </c>
      <c r="BI312" s="336" t="str">
        <f t="shared" si="152"/>
        <v/>
      </c>
      <c r="BJ312" s="336" t="str">
        <f t="shared" si="153"/>
        <v/>
      </c>
      <c r="BK312" s="336" t="str">
        <f t="shared" si="154"/>
        <v/>
      </c>
      <c r="BL312" s="320"/>
      <c r="BM312" s="321" t="str">
        <f t="shared" si="155"/>
        <v/>
      </c>
      <c r="BN312" s="321" t="str">
        <f t="shared" si="156"/>
        <v/>
      </c>
      <c r="BO312" s="321" t="str">
        <f t="shared" si="157"/>
        <v/>
      </c>
      <c r="BP312" s="321" t="str">
        <f t="shared" si="158"/>
        <v/>
      </c>
      <c r="BQ312" s="321" t="str">
        <f t="shared" si="159"/>
        <v/>
      </c>
      <c r="BR312" s="321" t="str">
        <f t="shared" si="160"/>
        <v/>
      </c>
      <c r="BS312" s="321" t="str">
        <f t="shared" si="161"/>
        <v/>
      </c>
      <c r="BT312" s="321" t="str">
        <f t="shared" si="162"/>
        <v/>
      </c>
      <c r="BU312" s="321"/>
      <c r="BV312" s="321" t="str">
        <f t="shared" si="163"/>
        <v/>
      </c>
      <c r="BW312" s="320"/>
      <c r="BX312" s="322" t="str">
        <f t="shared" si="164"/>
        <v/>
      </c>
      <c r="BY312" s="323" t="str">
        <f t="shared" si="165"/>
        <v/>
      </c>
      <c r="BZ312" s="322" t="str">
        <f t="shared" si="173"/>
        <v/>
      </c>
      <c r="CA312" s="381" t="str">
        <f t="shared" si="166"/>
        <v/>
      </c>
      <c r="CB312" s="322"/>
    </row>
    <row r="313" spans="2:80">
      <c r="B313" s="468" t="s">
        <v>1529</v>
      </c>
      <c r="C313" s="469" t="s">
        <v>1530</v>
      </c>
      <c r="D313" s="470" t="s">
        <v>441</v>
      </c>
      <c r="E313" s="327">
        <f>+SUMIF('AUX-NIV2'!I:I,'AUX-NIV3'!B313,'AUX-NIV2'!Q:Q)</f>
        <v>0</v>
      </c>
      <c r="F313" s="327">
        <f t="shared" si="119"/>
        <v>346.12398419675657</v>
      </c>
      <c r="G313" s="327">
        <f t="shared" si="120"/>
        <v>0</v>
      </c>
      <c r="H313" s="328" t="str">
        <f t="shared" si="168"/>
        <v>E</v>
      </c>
      <c r="I313" s="325" t="s">
        <v>1553</v>
      </c>
      <c r="J313" s="329" t="str">
        <f>IF(B313&lt;&gt;"",+VLOOKUP(I313,Recursos!C:F,2,FALSE),"")</f>
        <v>RETROEXCAVADORA S/CARRILES  1,1 M3</v>
      </c>
      <c r="K313" s="330" t="str">
        <f>IF(B313&lt;&gt;"",+VLOOKUP(I313,Recursos!C:F,3,FALSE),"")</f>
        <v>HR</v>
      </c>
      <c r="L313" s="327">
        <f>IF(B313&lt;&gt;"",+VLOOKUP(I313,Recursos!C:F,4,FALSE),"")</f>
        <v>3248.7120000000004</v>
      </c>
      <c r="M313" s="460">
        <f>+M321</f>
        <v>1.35</v>
      </c>
      <c r="N313" s="463">
        <v>1.5</v>
      </c>
      <c r="O313" s="459">
        <f>+N308/M308</f>
        <v>1.9285714285714288E-2</v>
      </c>
      <c r="P313" s="333">
        <f t="shared" si="170"/>
        <v>62.653731428571447</v>
      </c>
      <c r="Q313" s="327">
        <f t="shared" si="171"/>
        <v>0</v>
      </c>
      <c r="R313" s="334">
        <f t="shared" si="172"/>
        <v>0</v>
      </c>
      <c r="S313" s="335">
        <f t="shared" si="121"/>
        <v>95.797564969397214</v>
      </c>
      <c r="T313" s="335">
        <f t="shared" si="122"/>
        <v>248.97641922735937</v>
      </c>
      <c r="U313" s="336">
        <f t="shared" si="123"/>
        <v>0</v>
      </c>
      <c r="V313" s="336">
        <f t="shared" si="124"/>
        <v>0</v>
      </c>
      <c r="W313" s="336">
        <f t="shared" si="125"/>
        <v>1.35</v>
      </c>
      <c r="X313" s="336">
        <f t="shared" si="126"/>
        <v>0</v>
      </c>
      <c r="Y313" s="320"/>
      <c r="Z313" s="321" t="str">
        <f t="shared" si="133"/>
        <v>X-AFTA</v>
      </c>
      <c r="AA313" s="321" t="str">
        <f t="shared" si="134"/>
        <v>X-AFTE</v>
      </c>
      <c r="AB313" s="321" t="str">
        <f t="shared" si="135"/>
        <v>X-AFTM</v>
      </c>
      <c r="AC313" s="321" t="str">
        <f t="shared" si="136"/>
        <v>X-AFTT</v>
      </c>
      <c r="AD313" s="321" t="str">
        <f t="shared" si="137"/>
        <v>X-AFTS</v>
      </c>
      <c r="AE313" s="321" t="str">
        <f t="shared" si="138"/>
        <v>X-AFTX</v>
      </c>
      <c r="AF313" s="321" t="str">
        <f t="shared" si="139"/>
        <v>X-AFTE</v>
      </c>
      <c r="AG313" s="321">
        <f t="shared" si="127"/>
        <v>17</v>
      </c>
      <c r="AH313" s="321"/>
      <c r="AI313" s="321" t="str">
        <f t="shared" si="140"/>
        <v>X-AFT</v>
      </c>
      <c r="AJ313" s="320"/>
      <c r="AK313" s="322">
        <f t="shared" si="128"/>
        <v>305</v>
      </c>
      <c r="AL313" s="323">
        <f t="shared" si="141"/>
        <v>321</v>
      </c>
      <c r="AM313" s="322">
        <f t="shared" si="142"/>
        <v>9</v>
      </c>
      <c r="AN313" s="381">
        <f t="shared" si="129"/>
        <v>0.19427391581632655</v>
      </c>
      <c r="AO313" s="324"/>
      <c r="AP313" s="325"/>
      <c r="AQ313" s="326"/>
      <c r="AR313" s="327"/>
      <c r="AS313" s="327" t="str">
        <f t="shared" si="144"/>
        <v/>
      </c>
      <c r="AT313" s="327" t="str">
        <f t="shared" si="145"/>
        <v/>
      </c>
      <c r="AU313" s="328" t="str">
        <f t="shared" si="169"/>
        <v/>
      </c>
      <c r="AV313" s="325"/>
      <c r="AW313" s="329" t="str">
        <f>IF(AO313&lt;&gt;"",+VLOOKUP(AV313,Recursos!C:F,2,FALSE),"")</f>
        <v/>
      </c>
      <c r="AX313" s="330" t="str">
        <f>IF(AO313&lt;&gt;"",+VLOOKUP(AV313,Recursos!C:F,3,FALSE),"")</f>
        <v/>
      </c>
      <c r="AY313" s="327" t="str">
        <f>IF(AO313&lt;&gt;"",+VLOOKUP(AV313,Recursos!C:F,4,FALSE),"")</f>
        <v/>
      </c>
      <c r="AZ313" s="331"/>
      <c r="BA313" s="331"/>
      <c r="BB313" s="332"/>
      <c r="BC313" s="333" t="str">
        <f t="shared" si="146"/>
        <v/>
      </c>
      <c r="BD313" s="327" t="str">
        <f t="shared" si="147"/>
        <v/>
      </c>
      <c r="BE313" s="334" t="str">
        <f t="shared" si="148"/>
        <v/>
      </c>
      <c r="BF313" s="335" t="str">
        <f t="shared" si="149"/>
        <v/>
      </c>
      <c r="BG313" s="335" t="str">
        <f t="shared" si="150"/>
        <v/>
      </c>
      <c r="BH313" s="336" t="str">
        <f t="shared" si="151"/>
        <v/>
      </c>
      <c r="BI313" s="336" t="str">
        <f t="shared" si="152"/>
        <v/>
      </c>
      <c r="BJ313" s="336" t="str">
        <f t="shared" si="153"/>
        <v/>
      </c>
      <c r="BK313" s="336" t="str">
        <f t="shared" si="154"/>
        <v/>
      </c>
      <c r="BL313" s="320"/>
      <c r="BM313" s="321" t="str">
        <f t="shared" si="155"/>
        <v/>
      </c>
      <c r="BN313" s="321" t="str">
        <f t="shared" si="156"/>
        <v/>
      </c>
      <c r="BO313" s="321" t="str">
        <f t="shared" si="157"/>
        <v/>
      </c>
      <c r="BP313" s="321" t="str">
        <f t="shared" si="158"/>
        <v/>
      </c>
      <c r="BQ313" s="321" t="str">
        <f t="shared" si="159"/>
        <v/>
      </c>
      <c r="BR313" s="321" t="str">
        <f t="shared" si="160"/>
        <v/>
      </c>
      <c r="BS313" s="321" t="str">
        <f t="shared" si="161"/>
        <v/>
      </c>
      <c r="BT313" s="321" t="str">
        <f t="shared" si="162"/>
        <v/>
      </c>
      <c r="BU313" s="321"/>
      <c r="BV313" s="321" t="str">
        <f t="shared" si="163"/>
        <v/>
      </c>
      <c r="BW313" s="320"/>
      <c r="BX313" s="322" t="str">
        <f t="shared" si="164"/>
        <v/>
      </c>
      <c r="BY313" s="323" t="str">
        <f t="shared" si="165"/>
        <v/>
      </c>
      <c r="BZ313" s="322" t="str">
        <f t="shared" si="173"/>
        <v/>
      </c>
      <c r="CA313" s="381" t="str">
        <f t="shared" si="166"/>
        <v/>
      </c>
      <c r="CB313" s="322"/>
    </row>
    <row r="314" spans="2:80">
      <c r="B314" s="468" t="s">
        <v>1529</v>
      </c>
      <c r="C314" s="469" t="s">
        <v>1530</v>
      </c>
      <c r="D314" s="470" t="s">
        <v>441</v>
      </c>
      <c r="E314" s="327">
        <f>+SUMIF('AUX-NIV2'!I:I,'AUX-NIV3'!B314,'AUX-NIV2'!Q:Q)</f>
        <v>0</v>
      </c>
      <c r="F314" s="327">
        <f t="shared" si="119"/>
        <v>346.12398419675657</v>
      </c>
      <c r="G314" s="327">
        <f t="shared" si="120"/>
        <v>0</v>
      </c>
      <c r="H314" s="328" t="str">
        <f t="shared" si="168"/>
        <v>E</v>
      </c>
      <c r="I314" s="325" t="s">
        <v>1555</v>
      </c>
      <c r="J314" s="329" t="str">
        <f>IF(B314&lt;&gt;"",+VLOOKUP(I314,Recursos!C:F,2,FALSE),"")</f>
        <v>CAMION VOLCADOR 6x4 CAP. 24 T=15 m3</v>
      </c>
      <c r="K314" s="330" t="str">
        <f>IF(B314&lt;&gt;"",+VLOOKUP(I314,Recursos!C:F,3,FALSE),"")</f>
        <v>HR</v>
      </c>
      <c r="L314" s="327">
        <f>IF(B314&lt;&gt;"",+VLOOKUP(I314,Recursos!C:F,4,FALSE),"")</f>
        <v>3333.261</v>
      </c>
      <c r="M314" s="462">
        <v>45</v>
      </c>
      <c r="N314" s="463">
        <v>35</v>
      </c>
      <c r="O314" s="459">
        <f>+N313*N310*(M310/150/1+1/M314+1/N314+3/60/M310)/M310*(1-1)</f>
        <v>0</v>
      </c>
      <c r="P314" s="333">
        <f t="shared" si="170"/>
        <v>0</v>
      </c>
      <c r="Q314" s="327">
        <f t="shared" si="171"/>
        <v>0</v>
      </c>
      <c r="R314" s="334">
        <f t="shared" si="172"/>
        <v>0</v>
      </c>
      <c r="S314" s="335">
        <f t="shared" si="121"/>
        <v>95.797564969397214</v>
      </c>
      <c r="T314" s="335">
        <f t="shared" si="122"/>
        <v>248.97641922735937</v>
      </c>
      <c r="U314" s="336">
        <f t="shared" si="123"/>
        <v>0</v>
      </c>
      <c r="V314" s="336">
        <f t="shared" si="124"/>
        <v>0</v>
      </c>
      <c r="W314" s="336">
        <f t="shared" si="125"/>
        <v>1.35</v>
      </c>
      <c r="X314" s="336">
        <f t="shared" si="126"/>
        <v>0</v>
      </c>
      <c r="Y314" s="320"/>
      <c r="Z314" s="321" t="str">
        <f t="shared" si="133"/>
        <v>X-AFTA</v>
      </c>
      <c r="AA314" s="321" t="str">
        <f t="shared" si="134"/>
        <v>X-AFTE</v>
      </c>
      <c r="AB314" s="321" t="str">
        <f t="shared" si="135"/>
        <v>X-AFTM</v>
      </c>
      <c r="AC314" s="321" t="str">
        <f t="shared" si="136"/>
        <v>X-AFTT</v>
      </c>
      <c r="AD314" s="321" t="str">
        <f t="shared" si="137"/>
        <v>X-AFTS</v>
      </c>
      <c r="AE314" s="321" t="str">
        <f t="shared" si="138"/>
        <v>X-AFTX</v>
      </c>
      <c r="AF314" s="321" t="str">
        <f t="shared" si="139"/>
        <v>X-AFTE</v>
      </c>
      <c r="AG314" s="321">
        <f t="shared" si="127"/>
        <v>17</v>
      </c>
      <c r="AH314" s="321"/>
      <c r="AI314" s="321" t="str">
        <f t="shared" si="140"/>
        <v>X-AFT</v>
      </c>
      <c r="AJ314" s="320"/>
      <c r="AK314" s="322">
        <f t="shared" si="128"/>
        <v>305</v>
      </c>
      <c r="AL314" s="323">
        <f t="shared" si="141"/>
        <v>321</v>
      </c>
      <c r="AM314" s="322">
        <f t="shared" si="142"/>
        <v>10</v>
      </c>
      <c r="AN314" s="381">
        <f t="shared" si="129"/>
        <v>0.19427391581632655</v>
      </c>
      <c r="AO314" s="324"/>
      <c r="AP314" s="325"/>
      <c r="AQ314" s="326"/>
      <c r="AR314" s="327"/>
      <c r="AS314" s="327" t="str">
        <f t="shared" si="144"/>
        <v/>
      </c>
      <c r="AT314" s="327" t="str">
        <f t="shared" si="145"/>
        <v/>
      </c>
      <c r="AU314" s="328" t="str">
        <f t="shared" si="169"/>
        <v/>
      </c>
      <c r="AV314" s="325"/>
      <c r="AW314" s="329" t="str">
        <f>IF(AO314&lt;&gt;"",+VLOOKUP(AV314,Recursos!C:F,2,FALSE),"")</f>
        <v/>
      </c>
      <c r="AX314" s="330" t="str">
        <f>IF(AO314&lt;&gt;"",+VLOOKUP(AV314,Recursos!C:F,3,FALSE),"")</f>
        <v/>
      </c>
      <c r="AY314" s="327" t="str">
        <f>IF(AO314&lt;&gt;"",+VLOOKUP(AV314,Recursos!C:F,4,FALSE),"")</f>
        <v/>
      </c>
      <c r="AZ314" s="331"/>
      <c r="BA314" s="331"/>
      <c r="BB314" s="332"/>
      <c r="BC314" s="333" t="str">
        <f t="shared" si="146"/>
        <v/>
      </c>
      <c r="BD314" s="327" t="str">
        <f t="shared" si="147"/>
        <v/>
      </c>
      <c r="BE314" s="334" t="str">
        <f t="shared" si="148"/>
        <v/>
      </c>
      <c r="BF314" s="335" t="str">
        <f t="shared" si="149"/>
        <v/>
      </c>
      <c r="BG314" s="335" t="str">
        <f t="shared" si="150"/>
        <v/>
      </c>
      <c r="BH314" s="336" t="str">
        <f t="shared" si="151"/>
        <v/>
      </c>
      <c r="BI314" s="336" t="str">
        <f t="shared" si="152"/>
        <v/>
      </c>
      <c r="BJ314" s="336" t="str">
        <f t="shared" si="153"/>
        <v/>
      </c>
      <c r="BK314" s="336" t="str">
        <f t="shared" si="154"/>
        <v/>
      </c>
      <c r="BL314" s="320"/>
      <c r="BM314" s="321" t="str">
        <f t="shared" si="155"/>
        <v/>
      </c>
      <c r="BN314" s="321" t="str">
        <f t="shared" si="156"/>
        <v/>
      </c>
      <c r="BO314" s="321" t="str">
        <f t="shared" si="157"/>
        <v/>
      </c>
      <c r="BP314" s="321" t="str">
        <f t="shared" si="158"/>
        <v/>
      </c>
      <c r="BQ314" s="321" t="str">
        <f t="shared" si="159"/>
        <v/>
      </c>
      <c r="BR314" s="321" t="str">
        <f t="shared" si="160"/>
        <v/>
      </c>
      <c r="BS314" s="321" t="str">
        <f t="shared" si="161"/>
        <v/>
      </c>
      <c r="BT314" s="321" t="str">
        <f t="shared" si="162"/>
        <v/>
      </c>
      <c r="BU314" s="321"/>
      <c r="BV314" s="321" t="str">
        <f t="shared" si="163"/>
        <v/>
      </c>
      <c r="BW314" s="320"/>
      <c r="BX314" s="322" t="str">
        <f t="shared" si="164"/>
        <v/>
      </c>
      <c r="BY314" s="323" t="str">
        <f t="shared" si="165"/>
        <v/>
      </c>
      <c r="BZ314" s="322" t="str">
        <f t="shared" si="173"/>
        <v/>
      </c>
      <c r="CA314" s="381" t="str">
        <f t="shared" si="166"/>
        <v/>
      </c>
      <c r="CB314" s="322"/>
    </row>
    <row r="315" spans="2:80">
      <c r="B315" s="468" t="s">
        <v>1529</v>
      </c>
      <c r="C315" s="469" t="s">
        <v>1530</v>
      </c>
      <c r="D315" s="470" t="s">
        <v>441</v>
      </c>
      <c r="E315" s="327">
        <f>+SUMIF('AUX-NIV2'!I:I,'AUX-NIV3'!B315,'AUX-NIV2'!Q:Q)</f>
        <v>0</v>
      </c>
      <c r="F315" s="327">
        <f t="shared" si="119"/>
        <v>346.12398419675657</v>
      </c>
      <c r="G315" s="327">
        <f t="shared" si="120"/>
        <v>0</v>
      </c>
      <c r="H315" s="328" t="str">
        <f t="shared" si="168"/>
        <v>E</v>
      </c>
      <c r="I315" s="325" t="s">
        <v>1527</v>
      </c>
      <c r="J315" s="329" t="str">
        <f>IF(B315&lt;&gt;"",+VLOOKUP(I315,Recursos!C:F,2,FALSE),"")</f>
        <v>GRUPO ELECTROGENO 455 KVA-364 KW</v>
      </c>
      <c r="K315" s="330" t="str">
        <f>IF(B315&lt;&gt;"",+VLOOKUP(I315,Recursos!C:F,3,FALSE),"")</f>
        <v>HR</v>
      </c>
      <c r="L315" s="327">
        <f>IF(B315&lt;&gt;"",+VLOOKUP(I315,Recursos!C:F,4,FALSE),"")</f>
        <v>5499.5053800000005</v>
      </c>
      <c r="M315" s="460">
        <f>+M316</f>
        <v>75</v>
      </c>
      <c r="N315" s="466">
        <f>+N316</f>
        <v>1.3</v>
      </c>
      <c r="O315" s="459">
        <f>+N315/M315</f>
        <v>1.7333333333333333E-2</v>
      </c>
      <c r="P315" s="333">
        <f t="shared" si="170"/>
        <v>95.324759920000005</v>
      </c>
      <c r="Q315" s="327">
        <f t="shared" si="171"/>
        <v>0</v>
      </c>
      <c r="R315" s="334">
        <f t="shared" si="172"/>
        <v>0</v>
      </c>
      <c r="S315" s="335">
        <f t="shared" si="121"/>
        <v>95.797564969397214</v>
      </c>
      <c r="T315" s="335">
        <f t="shared" si="122"/>
        <v>248.97641922735937</v>
      </c>
      <c r="U315" s="336">
        <f t="shared" si="123"/>
        <v>0</v>
      </c>
      <c r="V315" s="336">
        <f t="shared" si="124"/>
        <v>0</v>
      </c>
      <c r="W315" s="336">
        <f t="shared" si="125"/>
        <v>1.35</v>
      </c>
      <c r="X315" s="336">
        <f t="shared" si="126"/>
        <v>0</v>
      </c>
      <c r="Y315" s="320"/>
      <c r="Z315" s="321" t="str">
        <f t="shared" si="133"/>
        <v>X-AFTA</v>
      </c>
      <c r="AA315" s="321" t="str">
        <f t="shared" si="134"/>
        <v>X-AFTE</v>
      </c>
      <c r="AB315" s="321" t="str">
        <f t="shared" si="135"/>
        <v>X-AFTM</v>
      </c>
      <c r="AC315" s="321" t="str">
        <f t="shared" si="136"/>
        <v>X-AFTT</v>
      </c>
      <c r="AD315" s="321" t="str">
        <f t="shared" si="137"/>
        <v>X-AFTS</v>
      </c>
      <c r="AE315" s="321" t="str">
        <f t="shared" si="138"/>
        <v>X-AFTX</v>
      </c>
      <c r="AF315" s="321" t="str">
        <f t="shared" si="139"/>
        <v>X-AFTE</v>
      </c>
      <c r="AG315" s="321">
        <f t="shared" si="127"/>
        <v>17</v>
      </c>
      <c r="AH315" s="321"/>
      <c r="AI315" s="321" t="str">
        <f t="shared" si="140"/>
        <v>X-AFT</v>
      </c>
      <c r="AJ315" s="320"/>
      <c r="AK315" s="322">
        <f t="shared" si="128"/>
        <v>305</v>
      </c>
      <c r="AL315" s="323">
        <f t="shared" si="141"/>
        <v>321</v>
      </c>
      <c r="AM315" s="322">
        <f t="shared" si="142"/>
        <v>11</v>
      </c>
      <c r="AN315" s="381">
        <f t="shared" si="129"/>
        <v>0.19427391581632655</v>
      </c>
      <c r="AO315" s="324"/>
      <c r="AP315" s="325"/>
      <c r="AQ315" s="326"/>
      <c r="AR315" s="327"/>
      <c r="AS315" s="327" t="str">
        <f t="shared" si="144"/>
        <v/>
      </c>
      <c r="AT315" s="327" t="str">
        <f t="shared" si="145"/>
        <v/>
      </c>
      <c r="AU315" s="328" t="str">
        <f t="shared" si="169"/>
        <v/>
      </c>
      <c r="AV315" s="325"/>
      <c r="AW315" s="329" t="str">
        <f>IF(AO315&lt;&gt;"",+VLOOKUP(AV315,Recursos!C:F,2,FALSE),"")</f>
        <v/>
      </c>
      <c r="AX315" s="330" t="str">
        <f>IF(AO315&lt;&gt;"",+VLOOKUP(AV315,Recursos!C:F,3,FALSE),"")</f>
        <v/>
      </c>
      <c r="AY315" s="327" t="str">
        <f>IF(AO315&lt;&gt;"",+VLOOKUP(AV315,Recursos!C:F,4,FALSE),"")</f>
        <v/>
      </c>
      <c r="AZ315" s="331"/>
      <c r="BA315" s="331"/>
      <c r="BB315" s="332"/>
      <c r="BC315" s="333" t="str">
        <f t="shared" si="146"/>
        <v/>
      </c>
      <c r="BD315" s="327" t="str">
        <f t="shared" si="147"/>
        <v/>
      </c>
      <c r="BE315" s="334" t="str">
        <f t="shared" si="148"/>
        <v/>
      </c>
      <c r="BF315" s="335" t="str">
        <f t="shared" si="149"/>
        <v/>
      </c>
      <c r="BG315" s="335" t="str">
        <f t="shared" si="150"/>
        <v/>
      </c>
      <c r="BH315" s="336" t="str">
        <f t="shared" si="151"/>
        <v/>
      </c>
      <c r="BI315" s="336" t="str">
        <f t="shared" si="152"/>
        <v/>
      </c>
      <c r="BJ315" s="336" t="str">
        <f t="shared" si="153"/>
        <v/>
      </c>
      <c r="BK315" s="336" t="str">
        <f t="shared" si="154"/>
        <v/>
      </c>
      <c r="BL315" s="320"/>
      <c r="BM315" s="321" t="str">
        <f t="shared" si="155"/>
        <v/>
      </c>
      <c r="BN315" s="321" t="str">
        <f t="shared" si="156"/>
        <v/>
      </c>
      <c r="BO315" s="321" t="str">
        <f t="shared" si="157"/>
        <v/>
      </c>
      <c r="BP315" s="321" t="str">
        <f t="shared" si="158"/>
        <v/>
      </c>
      <c r="BQ315" s="321" t="str">
        <f t="shared" si="159"/>
        <v/>
      </c>
      <c r="BR315" s="321" t="str">
        <f t="shared" si="160"/>
        <v/>
      </c>
      <c r="BS315" s="321" t="str">
        <f t="shared" si="161"/>
        <v/>
      </c>
      <c r="BT315" s="321" t="str">
        <f t="shared" si="162"/>
        <v/>
      </c>
      <c r="BU315" s="321"/>
      <c r="BV315" s="321" t="str">
        <f t="shared" si="163"/>
        <v/>
      </c>
      <c r="BW315" s="320"/>
      <c r="BX315" s="322" t="str">
        <f t="shared" si="164"/>
        <v/>
      </c>
      <c r="BY315" s="323" t="str">
        <f t="shared" si="165"/>
        <v/>
      </c>
      <c r="BZ315" s="322" t="str">
        <f t="shared" si="173"/>
        <v/>
      </c>
      <c r="CA315" s="381" t="str">
        <f t="shared" si="166"/>
        <v/>
      </c>
      <c r="CB315" s="322"/>
    </row>
    <row r="316" spans="2:80">
      <c r="B316" s="468" t="s">
        <v>1529</v>
      </c>
      <c r="C316" s="469" t="s">
        <v>1530</v>
      </c>
      <c r="D316" s="470" t="s">
        <v>441</v>
      </c>
      <c r="E316" s="327">
        <f>+SUMIF('AUX-NIV2'!I:I,'AUX-NIV3'!B316,'AUX-NIV2'!Q:Q)</f>
        <v>0</v>
      </c>
      <c r="F316" s="327">
        <f t="shared" si="119"/>
        <v>346.12398419675657</v>
      </c>
      <c r="G316" s="327">
        <f t="shared" si="120"/>
        <v>0</v>
      </c>
      <c r="H316" s="328" t="str">
        <f t="shared" si="168"/>
        <v>E</v>
      </c>
      <c r="I316" s="325" t="s">
        <v>1600</v>
      </c>
      <c r="J316" s="329" t="str">
        <f>IF(B316&lt;&gt;"",+VLOOKUP(I316,Recursos!C:F,2,FALSE),"")</f>
        <v>ELECTROBOMBA 9 KW</v>
      </c>
      <c r="K316" s="330" t="str">
        <f>IF(B316&lt;&gt;"",+VLOOKUP(I316,Recursos!C:F,3,FALSE),"")</f>
        <v>HR</v>
      </c>
      <c r="L316" s="327">
        <f>IF(B316&lt;&gt;"",+VLOOKUP(I316,Recursos!C:F,4,FALSE),"")</f>
        <v>85.722000000000008</v>
      </c>
      <c r="M316" s="460">
        <f>+M317</f>
        <v>75</v>
      </c>
      <c r="N316" s="466">
        <f>+N317</f>
        <v>1.3</v>
      </c>
      <c r="O316" s="459">
        <f>+N316/M316</f>
        <v>1.7333333333333333E-2</v>
      </c>
      <c r="P316" s="333">
        <f t="shared" si="170"/>
        <v>1.4858480000000001</v>
      </c>
      <c r="Q316" s="327">
        <f t="shared" si="171"/>
        <v>0</v>
      </c>
      <c r="R316" s="334">
        <f t="shared" si="172"/>
        <v>0</v>
      </c>
      <c r="S316" s="335">
        <f t="shared" si="121"/>
        <v>95.797564969397214</v>
      </c>
      <c r="T316" s="335">
        <f t="shared" si="122"/>
        <v>248.97641922735937</v>
      </c>
      <c r="U316" s="336">
        <f t="shared" si="123"/>
        <v>0</v>
      </c>
      <c r="V316" s="336">
        <f t="shared" si="124"/>
        <v>0</v>
      </c>
      <c r="W316" s="336">
        <f t="shared" si="125"/>
        <v>1.35</v>
      </c>
      <c r="X316" s="336">
        <f t="shared" si="126"/>
        <v>0</v>
      </c>
      <c r="Y316" s="320"/>
      <c r="Z316" s="321" t="str">
        <f t="shared" si="133"/>
        <v>X-AFTA</v>
      </c>
      <c r="AA316" s="321" t="str">
        <f t="shared" si="134"/>
        <v>X-AFTE</v>
      </c>
      <c r="AB316" s="321" t="str">
        <f t="shared" si="135"/>
        <v>X-AFTM</v>
      </c>
      <c r="AC316" s="321" t="str">
        <f t="shared" si="136"/>
        <v>X-AFTT</v>
      </c>
      <c r="AD316" s="321" t="str">
        <f t="shared" si="137"/>
        <v>X-AFTS</v>
      </c>
      <c r="AE316" s="321" t="str">
        <f t="shared" si="138"/>
        <v>X-AFTX</v>
      </c>
      <c r="AF316" s="321" t="str">
        <f t="shared" si="139"/>
        <v>X-AFTE</v>
      </c>
      <c r="AG316" s="321">
        <f t="shared" si="127"/>
        <v>17</v>
      </c>
      <c r="AH316" s="321"/>
      <c r="AI316" s="321" t="str">
        <f t="shared" si="140"/>
        <v>X-AFT</v>
      </c>
      <c r="AJ316" s="320"/>
      <c r="AK316" s="322">
        <f t="shared" si="128"/>
        <v>305</v>
      </c>
      <c r="AL316" s="323">
        <f t="shared" si="141"/>
        <v>321</v>
      </c>
      <c r="AM316" s="322">
        <f t="shared" si="142"/>
        <v>12</v>
      </c>
      <c r="AN316" s="381">
        <f t="shared" si="129"/>
        <v>0.19427391581632655</v>
      </c>
      <c r="AO316" s="324"/>
      <c r="AP316" s="325"/>
      <c r="AQ316" s="326"/>
      <c r="AR316" s="327"/>
      <c r="AS316" s="327" t="str">
        <f t="shared" si="144"/>
        <v/>
      </c>
      <c r="AT316" s="327" t="str">
        <f t="shared" si="145"/>
        <v/>
      </c>
      <c r="AU316" s="328" t="str">
        <f t="shared" si="169"/>
        <v/>
      </c>
      <c r="AV316" s="325"/>
      <c r="AW316" s="329" t="str">
        <f>IF(AO316&lt;&gt;"",+VLOOKUP(AV316,Recursos!C:F,2,FALSE),"")</f>
        <v/>
      </c>
      <c r="AX316" s="330" t="str">
        <f>IF(AO316&lt;&gt;"",+VLOOKUP(AV316,Recursos!C:F,3,FALSE),"")</f>
        <v/>
      </c>
      <c r="AY316" s="327" t="str">
        <f>IF(AO316&lt;&gt;"",+VLOOKUP(AV316,Recursos!C:F,4,FALSE),"")</f>
        <v/>
      </c>
      <c r="AZ316" s="331"/>
      <c r="BA316" s="331"/>
      <c r="BB316" s="332"/>
      <c r="BC316" s="333" t="str">
        <f t="shared" si="146"/>
        <v/>
      </c>
      <c r="BD316" s="327" t="str">
        <f t="shared" si="147"/>
        <v/>
      </c>
      <c r="BE316" s="334" t="str">
        <f t="shared" si="148"/>
        <v/>
      </c>
      <c r="BF316" s="335" t="str">
        <f t="shared" si="149"/>
        <v/>
      </c>
      <c r="BG316" s="335" t="str">
        <f t="shared" si="150"/>
        <v/>
      </c>
      <c r="BH316" s="336" t="str">
        <f t="shared" si="151"/>
        <v/>
      </c>
      <c r="BI316" s="336" t="str">
        <f t="shared" si="152"/>
        <v/>
      </c>
      <c r="BJ316" s="336" t="str">
        <f t="shared" si="153"/>
        <v/>
      </c>
      <c r="BK316" s="336" t="str">
        <f t="shared" si="154"/>
        <v/>
      </c>
      <c r="BL316" s="320"/>
      <c r="BM316" s="321" t="str">
        <f t="shared" si="155"/>
        <v/>
      </c>
      <c r="BN316" s="321" t="str">
        <f t="shared" si="156"/>
        <v/>
      </c>
      <c r="BO316" s="321" t="str">
        <f t="shared" si="157"/>
        <v/>
      </c>
      <c r="BP316" s="321" t="str">
        <f t="shared" si="158"/>
        <v/>
      </c>
      <c r="BQ316" s="321" t="str">
        <f t="shared" si="159"/>
        <v/>
      </c>
      <c r="BR316" s="321" t="str">
        <f t="shared" si="160"/>
        <v/>
      </c>
      <c r="BS316" s="321" t="str">
        <f t="shared" si="161"/>
        <v/>
      </c>
      <c r="BT316" s="321" t="str">
        <f t="shared" si="162"/>
        <v/>
      </c>
      <c r="BU316" s="321"/>
      <c r="BV316" s="321" t="str">
        <f t="shared" si="163"/>
        <v/>
      </c>
      <c r="BW316" s="320"/>
      <c r="BX316" s="322" t="str">
        <f t="shared" si="164"/>
        <v/>
      </c>
      <c r="BY316" s="323" t="str">
        <f t="shared" si="165"/>
        <v/>
      </c>
      <c r="BZ316" s="322" t="str">
        <f t="shared" si="173"/>
        <v/>
      </c>
      <c r="CA316" s="381" t="str">
        <f t="shared" si="166"/>
        <v/>
      </c>
      <c r="CB316" s="322"/>
    </row>
    <row r="317" spans="2:80">
      <c r="B317" s="468" t="s">
        <v>1529</v>
      </c>
      <c r="C317" s="469" t="s">
        <v>1530</v>
      </c>
      <c r="D317" s="470" t="s">
        <v>441</v>
      </c>
      <c r="E317" s="327">
        <f>+SUMIF('AUX-NIV2'!I:I,'AUX-NIV3'!B317,'AUX-NIV2'!Q:Q)</f>
        <v>0</v>
      </c>
      <c r="F317" s="327">
        <f t="shared" si="119"/>
        <v>346.12398419675657</v>
      </c>
      <c r="G317" s="327">
        <f t="shared" si="120"/>
        <v>0</v>
      </c>
      <c r="H317" s="328" t="str">
        <f t="shared" si="168"/>
        <v>E</v>
      </c>
      <c r="I317" s="325" t="s">
        <v>1606</v>
      </c>
      <c r="J317" s="329" t="str">
        <f>IF(B317&lt;&gt;"",+VLOOKUP(I317,Recursos!C:F,2,FALSE),"")</f>
        <v>PLANTA DE ZARANDEO 100/175 T/H</v>
      </c>
      <c r="K317" s="330" t="str">
        <f>IF(B317&lt;&gt;"",+VLOOKUP(I317,Recursos!C:F,3,FALSE),"")</f>
        <v>HR</v>
      </c>
      <c r="L317" s="327">
        <f>IF(B317&lt;&gt;"",+VLOOKUP(I317,Recursos!C:F,4,FALSE),"")</f>
        <v>793.94899999999996</v>
      </c>
      <c r="M317" s="462">
        <v>75</v>
      </c>
      <c r="N317" s="463">
        <v>1.3</v>
      </c>
      <c r="O317" s="459">
        <f>+N317/M317</f>
        <v>1.7333333333333333E-2</v>
      </c>
      <c r="P317" s="333">
        <f t="shared" si="170"/>
        <v>13.761782666666665</v>
      </c>
      <c r="Q317" s="327">
        <f t="shared" si="171"/>
        <v>0</v>
      </c>
      <c r="R317" s="334">
        <f t="shared" si="172"/>
        <v>0</v>
      </c>
      <c r="S317" s="335">
        <f t="shared" si="121"/>
        <v>95.797564969397214</v>
      </c>
      <c r="T317" s="335">
        <f t="shared" si="122"/>
        <v>248.97641922735937</v>
      </c>
      <c r="U317" s="336">
        <f t="shared" si="123"/>
        <v>0</v>
      </c>
      <c r="V317" s="336">
        <f t="shared" si="124"/>
        <v>0</v>
      </c>
      <c r="W317" s="336">
        <f t="shared" si="125"/>
        <v>1.35</v>
      </c>
      <c r="X317" s="336">
        <f t="shared" si="126"/>
        <v>0</v>
      </c>
      <c r="Y317" s="320"/>
      <c r="Z317" s="321" t="str">
        <f t="shared" si="133"/>
        <v>X-AFTA</v>
      </c>
      <c r="AA317" s="321" t="str">
        <f t="shared" si="134"/>
        <v>X-AFTE</v>
      </c>
      <c r="AB317" s="321" t="str">
        <f t="shared" si="135"/>
        <v>X-AFTM</v>
      </c>
      <c r="AC317" s="321" t="str">
        <f t="shared" si="136"/>
        <v>X-AFTT</v>
      </c>
      <c r="AD317" s="321" t="str">
        <f t="shared" si="137"/>
        <v>X-AFTS</v>
      </c>
      <c r="AE317" s="321" t="str">
        <f t="shared" si="138"/>
        <v>X-AFTX</v>
      </c>
      <c r="AF317" s="321" t="str">
        <f t="shared" si="139"/>
        <v>X-AFTE</v>
      </c>
      <c r="AG317" s="321">
        <f t="shared" si="127"/>
        <v>17</v>
      </c>
      <c r="AH317" s="321"/>
      <c r="AI317" s="321" t="str">
        <f t="shared" si="140"/>
        <v>X-AFT</v>
      </c>
      <c r="AJ317" s="320"/>
      <c r="AK317" s="322">
        <f t="shared" si="128"/>
        <v>305</v>
      </c>
      <c r="AL317" s="323">
        <f t="shared" si="141"/>
        <v>321</v>
      </c>
      <c r="AM317" s="322">
        <f t="shared" si="142"/>
        <v>13</v>
      </c>
      <c r="AN317" s="381">
        <f t="shared" si="129"/>
        <v>0.19427391581632655</v>
      </c>
      <c r="AO317" s="324"/>
      <c r="AP317" s="325"/>
      <c r="AQ317" s="326"/>
      <c r="AR317" s="327"/>
      <c r="AS317" s="327" t="str">
        <f t="shared" si="144"/>
        <v/>
      </c>
      <c r="AT317" s="327" t="str">
        <f t="shared" si="145"/>
        <v/>
      </c>
      <c r="AU317" s="328" t="str">
        <f t="shared" si="169"/>
        <v/>
      </c>
      <c r="AV317" s="325"/>
      <c r="AW317" s="329" t="str">
        <f>IF(AO317&lt;&gt;"",+VLOOKUP(AV317,Recursos!C:F,2,FALSE),"")</f>
        <v/>
      </c>
      <c r="AX317" s="330" t="str">
        <f>IF(AO317&lt;&gt;"",+VLOOKUP(AV317,Recursos!C:F,3,FALSE),"")</f>
        <v/>
      </c>
      <c r="AY317" s="327" t="str">
        <f>IF(AO317&lt;&gt;"",+VLOOKUP(AV317,Recursos!C:F,4,FALSE),"")</f>
        <v/>
      </c>
      <c r="AZ317" s="331"/>
      <c r="BA317" s="331"/>
      <c r="BB317" s="332"/>
      <c r="BC317" s="333" t="str">
        <f t="shared" si="146"/>
        <v/>
      </c>
      <c r="BD317" s="327" t="str">
        <f t="shared" si="147"/>
        <v/>
      </c>
      <c r="BE317" s="334" t="str">
        <f t="shared" si="148"/>
        <v/>
      </c>
      <c r="BF317" s="335" t="str">
        <f t="shared" si="149"/>
        <v/>
      </c>
      <c r="BG317" s="335" t="str">
        <f t="shared" si="150"/>
        <v/>
      </c>
      <c r="BH317" s="336" t="str">
        <f t="shared" si="151"/>
        <v/>
      </c>
      <c r="BI317" s="336" t="str">
        <f t="shared" si="152"/>
        <v/>
      </c>
      <c r="BJ317" s="336" t="str">
        <f t="shared" si="153"/>
        <v/>
      </c>
      <c r="BK317" s="336" t="str">
        <f t="shared" si="154"/>
        <v/>
      </c>
      <c r="BL317" s="320"/>
      <c r="BM317" s="321" t="str">
        <f t="shared" si="155"/>
        <v/>
      </c>
      <c r="BN317" s="321" t="str">
        <f t="shared" si="156"/>
        <v/>
      </c>
      <c r="BO317" s="321" t="str">
        <f t="shared" si="157"/>
        <v/>
      </c>
      <c r="BP317" s="321" t="str">
        <f t="shared" si="158"/>
        <v/>
      </c>
      <c r="BQ317" s="321" t="str">
        <f t="shared" si="159"/>
        <v/>
      </c>
      <c r="BR317" s="321" t="str">
        <f t="shared" si="160"/>
        <v/>
      </c>
      <c r="BS317" s="321" t="str">
        <f t="shared" si="161"/>
        <v/>
      </c>
      <c r="BT317" s="321" t="str">
        <f t="shared" si="162"/>
        <v/>
      </c>
      <c r="BU317" s="321"/>
      <c r="BV317" s="321" t="str">
        <f t="shared" si="163"/>
        <v/>
      </c>
      <c r="BW317" s="320"/>
      <c r="BX317" s="322" t="str">
        <f t="shared" si="164"/>
        <v/>
      </c>
      <c r="BY317" s="323" t="str">
        <f t="shared" si="165"/>
        <v/>
      </c>
      <c r="BZ317" s="322" t="str">
        <f t="shared" si="173"/>
        <v/>
      </c>
      <c r="CA317" s="381" t="str">
        <f t="shared" si="166"/>
        <v/>
      </c>
      <c r="CB317" s="322"/>
    </row>
    <row r="318" spans="2:80">
      <c r="B318" s="468" t="s">
        <v>1529</v>
      </c>
      <c r="C318" s="469" t="s">
        <v>1530</v>
      </c>
      <c r="D318" s="470" t="s">
        <v>441</v>
      </c>
      <c r="E318" s="327">
        <f>+SUMIF('AUX-NIV2'!I:I,'AUX-NIV3'!B318,'AUX-NIV2'!Q:Q)</f>
        <v>0</v>
      </c>
      <c r="F318" s="327">
        <f t="shared" si="119"/>
        <v>346.12398419675657</v>
      </c>
      <c r="G318" s="327">
        <f t="shared" si="120"/>
        <v>0</v>
      </c>
      <c r="H318" s="328" t="str">
        <f t="shared" si="168"/>
        <v>E</v>
      </c>
      <c r="I318" s="325" t="s">
        <v>1645</v>
      </c>
      <c r="J318" s="329" t="str">
        <f>IF(B318&lt;&gt;"",+VLOOKUP(I318,Recursos!C:F,2,FALSE),"")</f>
        <v>TRITUR.SECUND.A CONO 45" C/ZARANDA</v>
      </c>
      <c r="K318" s="330" t="str">
        <f>IF(B318&lt;&gt;"",+VLOOKUP(I318,Recursos!C:F,3,FALSE),"")</f>
        <v>HR</v>
      </c>
      <c r="L318" s="327">
        <f>IF(B318&lt;&gt;"",+VLOOKUP(I318,Recursos!C:F,4,FALSE),"")</f>
        <v>1714.4399999999996</v>
      </c>
      <c r="M318" s="460">
        <f>+M317</f>
        <v>75</v>
      </c>
      <c r="N318" s="466">
        <v>0</v>
      </c>
      <c r="O318" s="459">
        <f>+N318/M318</f>
        <v>0</v>
      </c>
      <c r="P318" s="333">
        <f t="shared" si="170"/>
        <v>0</v>
      </c>
      <c r="Q318" s="327">
        <f t="shared" si="171"/>
        <v>0</v>
      </c>
      <c r="R318" s="334">
        <f t="shared" si="172"/>
        <v>0</v>
      </c>
      <c r="S318" s="335">
        <f t="shared" si="121"/>
        <v>95.797564969397214</v>
      </c>
      <c r="T318" s="335">
        <f t="shared" si="122"/>
        <v>248.97641922735937</v>
      </c>
      <c r="U318" s="336">
        <f t="shared" si="123"/>
        <v>0</v>
      </c>
      <c r="V318" s="336">
        <f t="shared" si="124"/>
        <v>0</v>
      </c>
      <c r="W318" s="336">
        <f t="shared" si="125"/>
        <v>1.35</v>
      </c>
      <c r="X318" s="336">
        <f t="shared" si="126"/>
        <v>0</v>
      </c>
      <c r="Y318" s="320"/>
      <c r="Z318" s="321" t="str">
        <f t="shared" si="133"/>
        <v>X-AFTA</v>
      </c>
      <c r="AA318" s="321" t="str">
        <f t="shared" si="134"/>
        <v>X-AFTE</v>
      </c>
      <c r="AB318" s="321" t="str">
        <f t="shared" si="135"/>
        <v>X-AFTM</v>
      </c>
      <c r="AC318" s="321" t="str">
        <f t="shared" si="136"/>
        <v>X-AFTT</v>
      </c>
      <c r="AD318" s="321" t="str">
        <f t="shared" si="137"/>
        <v>X-AFTS</v>
      </c>
      <c r="AE318" s="321" t="str">
        <f t="shared" si="138"/>
        <v>X-AFTX</v>
      </c>
      <c r="AF318" s="321" t="str">
        <f t="shared" si="139"/>
        <v>X-AFTE</v>
      </c>
      <c r="AG318" s="321">
        <f t="shared" si="127"/>
        <v>17</v>
      </c>
      <c r="AH318" s="321"/>
      <c r="AI318" s="321" t="str">
        <f t="shared" si="140"/>
        <v>X-AFT</v>
      </c>
      <c r="AJ318" s="320"/>
      <c r="AK318" s="322">
        <f t="shared" si="128"/>
        <v>305</v>
      </c>
      <c r="AL318" s="323">
        <f t="shared" si="141"/>
        <v>321</v>
      </c>
      <c r="AM318" s="322">
        <f t="shared" si="142"/>
        <v>14</v>
      </c>
      <c r="AN318" s="381">
        <f t="shared" si="129"/>
        <v>0.19427391581632655</v>
      </c>
      <c r="AO318" s="324"/>
      <c r="AP318" s="325"/>
      <c r="AQ318" s="326"/>
      <c r="AR318" s="327"/>
      <c r="AS318" s="327" t="str">
        <f t="shared" si="144"/>
        <v/>
      </c>
      <c r="AT318" s="327" t="str">
        <f t="shared" si="145"/>
        <v/>
      </c>
      <c r="AU318" s="328" t="str">
        <f t="shared" si="169"/>
        <v/>
      </c>
      <c r="AV318" s="325"/>
      <c r="AW318" s="329" t="str">
        <f>IF(AO318&lt;&gt;"",+VLOOKUP(AV318,Recursos!C:F,2,FALSE),"")</f>
        <v/>
      </c>
      <c r="AX318" s="330" t="str">
        <f>IF(AO318&lt;&gt;"",+VLOOKUP(AV318,Recursos!C:F,3,FALSE),"")</f>
        <v/>
      </c>
      <c r="AY318" s="327" t="str">
        <f>IF(AO318&lt;&gt;"",+VLOOKUP(AV318,Recursos!C:F,4,FALSE),"")</f>
        <v/>
      </c>
      <c r="AZ318" s="331"/>
      <c r="BA318" s="331"/>
      <c r="BB318" s="332"/>
      <c r="BC318" s="333" t="str">
        <f t="shared" si="146"/>
        <v/>
      </c>
      <c r="BD318" s="327" t="str">
        <f t="shared" si="147"/>
        <v/>
      </c>
      <c r="BE318" s="334" t="str">
        <f t="shared" si="148"/>
        <v/>
      </c>
      <c r="BF318" s="335" t="str">
        <f t="shared" si="149"/>
        <v/>
      </c>
      <c r="BG318" s="335" t="str">
        <f t="shared" si="150"/>
        <v/>
      </c>
      <c r="BH318" s="336" t="str">
        <f t="shared" si="151"/>
        <v/>
      </c>
      <c r="BI318" s="336" t="str">
        <f t="shared" si="152"/>
        <v/>
      </c>
      <c r="BJ318" s="336" t="str">
        <f t="shared" si="153"/>
        <v/>
      </c>
      <c r="BK318" s="336" t="str">
        <f t="shared" si="154"/>
        <v/>
      </c>
      <c r="BL318" s="320"/>
      <c r="BM318" s="321" t="str">
        <f t="shared" si="155"/>
        <v/>
      </c>
      <c r="BN318" s="321" t="str">
        <f t="shared" si="156"/>
        <v/>
      </c>
      <c r="BO318" s="321" t="str">
        <f t="shared" si="157"/>
        <v/>
      </c>
      <c r="BP318" s="321" t="str">
        <f t="shared" si="158"/>
        <v/>
      </c>
      <c r="BQ318" s="321" t="str">
        <f t="shared" si="159"/>
        <v/>
      </c>
      <c r="BR318" s="321" t="str">
        <f t="shared" si="160"/>
        <v/>
      </c>
      <c r="BS318" s="321" t="str">
        <f t="shared" si="161"/>
        <v/>
      </c>
      <c r="BT318" s="321" t="str">
        <f t="shared" si="162"/>
        <v/>
      </c>
      <c r="BU318" s="321"/>
      <c r="BV318" s="321" t="str">
        <f t="shared" si="163"/>
        <v/>
      </c>
      <c r="BW318" s="320"/>
      <c r="BX318" s="322" t="str">
        <f t="shared" si="164"/>
        <v/>
      </c>
      <c r="BY318" s="323" t="str">
        <f t="shared" si="165"/>
        <v/>
      </c>
      <c r="BZ318" s="322" t="str">
        <f t="shared" si="173"/>
        <v/>
      </c>
      <c r="CA318" s="381" t="str">
        <f t="shared" si="166"/>
        <v/>
      </c>
      <c r="CB318" s="322"/>
    </row>
    <row r="319" spans="2:80">
      <c r="B319" s="468" t="s">
        <v>1529</v>
      </c>
      <c r="C319" s="469" t="s">
        <v>1530</v>
      </c>
      <c r="D319" s="470" t="s">
        <v>441</v>
      </c>
      <c r="E319" s="327">
        <f>+SUMIF('AUX-NIV2'!I:I,'AUX-NIV3'!B319,'AUX-NIV2'!Q:Q)</f>
        <v>0</v>
      </c>
      <c r="F319" s="327">
        <f t="shared" si="119"/>
        <v>346.12398419675657</v>
      </c>
      <c r="G319" s="327">
        <f t="shared" si="120"/>
        <v>0</v>
      </c>
      <c r="H319" s="328" t="str">
        <f t="shared" si="168"/>
        <v>E</v>
      </c>
      <c r="I319" s="325" t="s">
        <v>1607</v>
      </c>
      <c r="J319" s="329" t="str">
        <f>IF(B319&lt;&gt;"",+VLOOKUP(I319,Recursos!C:F,2,FALSE),"")</f>
        <v>ALIMENTADOR VIBRAT.CAP.200 T/H</v>
      </c>
      <c r="K319" s="330" t="str">
        <f>IF(B319&lt;&gt;"",+VLOOKUP(I319,Recursos!C:F,3,FALSE),"")</f>
        <v>HR</v>
      </c>
      <c r="L319" s="327">
        <f>IF(B319&lt;&gt;"",+VLOOKUP(I319,Recursos!C:F,4,FALSE),"")</f>
        <v>163.27999999999997</v>
      </c>
      <c r="M319" s="460">
        <f>+M318</f>
        <v>75</v>
      </c>
      <c r="N319" s="466">
        <v>0</v>
      </c>
      <c r="O319" s="459">
        <f>+N319/M319</f>
        <v>0</v>
      </c>
      <c r="P319" s="333">
        <f t="shared" si="170"/>
        <v>0</v>
      </c>
      <c r="Q319" s="327">
        <f t="shared" si="171"/>
        <v>0</v>
      </c>
      <c r="R319" s="334">
        <f t="shared" si="172"/>
        <v>0</v>
      </c>
      <c r="S319" s="335">
        <f t="shared" si="121"/>
        <v>95.797564969397214</v>
      </c>
      <c r="T319" s="335">
        <f t="shared" si="122"/>
        <v>248.97641922735937</v>
      </c>
      <c r="U319" s="336">
        <f t="shared" si="123"/>
        <v>0</v>
      </c>
      <c r="V319" s="336">
        <f t="shared" si="124"/>
        <v>0</v>
      </c>
      <c r="W319" s="336">
        <f t="shared" si="125"/>
        <v>1.35</v>
      </c>
      <c r="X319" s="336">
        <f t="shared" si="126"/>
        <v>0</v>
      </c>
      <c r="Y319" s="320"/>
      <c r="Z319" s="321" t="str">
        <f t="shared" si="133"/>
        <v>X-AFTA</v>
      </c>
      <c r="AA319" s="321" t="str">
        <f t="shared" si="134"/>
        <v>X-AFTE</v>
      </c>
      <c r="AB319" s="321" t="str">
        <f t="shared" si="135"/>
        <v>X-AFTM</v>
      </c>
      <c r="AC319" s="321" t="str">
        <f t="shared" si="136"/>
        <v>X-AFTT</v>
      </c>
      <c r="AD319" s="321" t="str">
        <f t="shared" si="137"/>
        <v>X-AFTS</v>
      </c>
      <c r="AE319" s="321" t="str">
        <f t="shared" si="138"/>
        <v>X-AFTX</v>
      </c>
      <c r="AF319" s="321" t="str">
        <f t="shared" si="139"/>
        <v>X-AFTE</v>
      </c>
      <c r="AG319" s="321">
        <f t="shared" si="127"/>
        <v>17</v>
      </c>
      <c r="AH319" s="321"/>
      <c r="AI319" s="321" t="str">
        <f t="shared" si="140"/>
        <v>X-AFT</v>
      </c>
      <c r="AJ319" s="320"/>
      <c r="AK319" s="322">
        <f t="shared" si="128"/>
        <v>305</v>
      </c>
      <c r="AL319" s="323">
        <f t="shared" si="141"/>
        <v>321</v>
      </c>
      <c r="AM319" s="322">
        <f t="shared" si="142"/>
        <v>15</v>
      </c>
      <c r="AN319" s="381">
        <f t="shared" si="129"/>
        <v>0.19427391581632655</v>
      </c>
      <c r="AO319" s="324"/>
      <c r="AP319" s="325"/>
      <c r="AQ319" s="326"/>
      <c r="AR319" s="327"/>
      <c r="AS319" s="327" t="str">
        <f t="shared" si="144"/>
        <v/>
      </c>
      <c r="AT319" s="327" t="str">
        <f t="shared" si="145"/>
        <v/>
      </c>
      <c r="AU319" s="328" t="str">
        <f t="shared" si="169"/>
        <v/>
      </c>
      <c r="AV319" s="325"/>
      <c r="AW319" s="329" t="str">
        <f>IF(AO319&lt;&gt;"",+VLOOKUP(AV319,Recursos!C:F,2,FALSE),"")</f>
        <v/>
      </c>
      <c r="AX319" s="330" t="str">
        <f>IF(AO319&lt;&gt;"",+VLOOKUP(AV319,Recursos!C:F,3,FALSE),"")</f>
        <v/>
      </c>
      <c r="AY319" s="327" t="str">
        <f>IF(AO319&lt;&gt;"",+VLOOKUP(AV319,Recursos!C:F,4,FALSE),"")</f>
        <v/>
      </c>
      <c r="AZ319" s="331"/>
      <c r="BA319" s="331"/>
      <c r="BB319" s="332"/>
      <c r="BC319" s="333" t="str">
        <f t="shared" si="146"/>
        <v/>
      </c>
      <c r="BD319" s="327" t="str">
        <f t="shared" si="147"/>
        <v/>
      </c>
      <c r="BE319" s="334" t="str">
        <f t="shared" si="148"/>
        <v/>
      </c>
      <c r="BF319" s="335" t="str">
        <f t="shared" si="149"/>
        <v/>
      </c>
      <c r="BG319" s="335" t="str">
        <f t="shared" si="150"/>
        <v/>
      </c>
      <c r="BH319" s="336" t="str">
        <f t="shared" si="151"/>
        <v/>
      </c>
      <c r="BI319" s="336" t="str">
        <f t="shared" si="152"/>
        <v/>
      </c>
      <c r="BJ319" s="336" t="str">
        <f t="shared" si="153"/>
        <v/>
      </c>
      <c r="BK319" s="336" t="str">
        <f t="shared" si="154"/>
        <v/>
      </c>
      <c r="BL319" s="320"/>
      <c r="BM319" s="321" t="str">
        <f t="shared" si="155"/>
        <v/>
      </c>
      <c r="BN319" s="321" t="str">
        <f t="shared" si="156"/>
        <v/>
      </c>
      <c r="BO319" s="321" t="str">
        <f t="shared" si="157"/>
        <v/>
      </c>
      <c r="BP319" s="321" t="str">
        <f t="shared" si="158"/>
        <v/>
      </c>
      <c r="BQ319" s="321" t="str">
        <f t="shared" si="159"/>
        <v/>
      </c>
      <c r="BR319" s="321" t="str">
        <f t="shared" si="160"/>
        <v/>
      </c>
      <c r="BS319" s="321" t="str">
        <f t="shared" si="161"/>
        <v/>
      </c>
      <c r="BT319" s="321" t="str">
        <f t="shared" si="162"/>
        <v/>
      </c>
      <c r="BU319" s="321"/>
      <c r="BV319" s="321" t="str">
        <f t="shared" si="163"/>
        <v/>
      </c>
      <c r="BW319" s="320"/>
      <c r="BX319" s="322" t="str">
        <f t="shared" si="164"/>
        <v/>
      </c>
      <c r="BY319" s="323" t="str">
        <f t="shared" si="165"/>
        <v/>
      </c>
      <c r="BZ319" s="322" t="str">
        <f t="shared" si="173"/>
        <v/>
      </c>
      <c r="CA319" s="381" t="str">
        <f t="shared" si="166"/>
        <v/>
      </c>
      <c r="CB319" s="322"/>
    </row>
    <row r="320" spans="2:80">
      <c r="B320" s="468" t="s">
        <v>1529</v>
      </c>
      <c r="C320" s="469" t="s">
        <v>1530</v>
      </c>
      <c r="D320" s="470" t="s">
        <v>441</v>
      </c>
      <c r="E320" s="327">
        <f>+SUMIF('AUX-NIV2'!I:I,'AUX-NIV3'!B320,'AUX-NIV2'!Q:Q)</f>
        <v>0</v>
      </c>
      <c r="F320" s="327">
        <f t="shared" si="119"/>
        <v>346.12398419675657</v>
      </c>
      <c r="G320" s="327">
        <f t="shared" si="120"/>
        <v>0</v>
      </c>
      <c r="H320" s="328" t="str">
        <f t="shared" si="168"/>
        <v>E</v>
      </c>
      <c r="I320" s="325" t="s">
        <v>1528</v>
      </c>
      <c r="J320" s="329" t="str">
        <f>IF(B320&lt;&gt;"",+VLOOKUP(I320,Recursos!C:F,2,FALSE),"")</f>
        <v>CINTA TRANSPORTADORA 0,76 m x 15 m</v>
      </c>
      <c r="K320" s="330" t="str">
        <f>IF(B320&lt;&gt;"",+VLOOKUP(I320,Recursos!C:F,3,FALSE),"")</f>
        <v>HR</v>
      </c>
      <c r="L320" s="327">
        <f>IF(B320&lt;&gt;"",+VLOOKUP(I320,Recursos!C:F,4,FALSE),"")</f>
        <v>140.95146</v>
      </c>
      <c r="M320" s="460">
        <f>+M319</f>
        <v>75</v>
      </c>
      <c r="N320" s="463">
        <v>5</v>
      </c>
      <c r="O320" s="459">
        <f>+N320/M320*N319</f>
        <v>0</v>
      </c>
      <c r="P320" s="333">
        <f t="shared" si="170"/>
        <v>0</v>
      </c>
      <c r="Q320" s="327">
        <f t="shared" si="171"/>
        <v>0</v>
      </c>
      <c r="R320" s="334">
        <f t="shared" si="172"/>
        <v>0</v>
      </c>
      <c r="S320" s="335">
        <f t="shared" si="121"/>
        <v>95.797564969397214</v>
      </c>
      <c r="T320" s="335">
        <f t="shared" si="122"/>
        <v>248.97641922735937</v>
      </c>
      <c r="U320" s="336">
        <f t="shared" si="123"/>
        <v>0</v>
      </c>
      <c r="V320" s="336">
        <f t="shared" si="124"/>
        <v>0</v>
      </c>
      <c r="W320" s="336">
        <f t="shared" si="125"/>
        <v>1.35</v>
      </c>
      <c r="X320" s="336">
        <f t="shared" si="126"/>
        <v>0</v>
      </c>
      <c r="Y320" s="320"/>
      <c r="Z320" s="321" t="str">
        <f t="shared" si="133"/>
        <v>X-AFTA</v>
      </c>
      <c r="AA320" s="321" t="str">
        <f t="shared" si="134"/>
        <v>X-AFTE</v>
      </c>
      <c r="AB320" s="321" t="str">
        <f t="shared" si="135"/>
        <v>X-AFTM</v>
      </c>
      <c r="AC320" s="321" t="str">
        <f t="shared" si="136"/>
        <v>X-AFTT</v>
      </c>
      <c r="AD320" s="321" t="str">
        <f t="shared" si="137"/>
        <v>X-AFTS</v>
      </c>
      <c r="AE320" s="321" t="str">
        <f t="shared" si="138"/>
        <v>X-AFTX</v>
      </c>
      <c r="AF320" s="321" t="str">
        <f t="shared" si="139"/>
        <v>X-AFTE</v>
      </c>
      <c r="AG320" s="321">
        <f t="shared" si="127"/>
        <v>17</v>
      </c>
      <c r="AH320" s="321"/>
      <c r="AI320" s="321" t="str">
        <f t="shared" si="140"/>
        <v>X-AFT</v>
      </c>
      <c r="AJ320" s="320"/>
      <c r="AK320" s="322">
        <f t="shared" si="128"/>
        <v>305</v>
      </c>
      <c r="AL320" s="323">
        <f t="shared" si="141"/>
        <v>321</v>
      </c>
      <c r="AM320" s="322">
        <f t="shared" si="142"/>
        <v>16</v>
      </c>
      <c r="AN320" s="381">
        <f t="shared" si="129"/>
        <v>0.19427391581632655</v>
      </c>
      <c r="AO320" s="324"/>
      <c r="AP320" s="325"/>
      <c r="AQ320" s="326"/>
      <c r="AR320" s="327"/>
      <c r="AS320" s="327" t="str">
        <f t="shared" si="144"/>
        <v/>
      </c>
      <c r="AT320" s="327" t="str">
        <f t="shared" si="145"/>
        <v/>
      </c>
      <c r="AU320" s="328" t="str">
        <f t="shared" si="169"/>
        <v/>
      </c>
      <c r="AV320" s="325"/>
      <c r="AW320" s="329" t="str">
        <f>IF(AO320&lt;&gt;"",+VLOOKUP(AV320,Recursos!C:F,2,FALSE),"")</f>
        <v/>
      </c>
      <c r="AX320" s="330" t="str">
        <f>IF(AO320&lt;&gt;"",+VLOOKUP(AV320,Recursos!C:F,3,FALSE),"")</f>
        <v/>
      </c>
      <c r="AY320" s="327" t="str">
        <f>IF(AO320&lt;&gt;"",+VLOOKUP(AV320,Recursos!C:F,4,FALSE),"")</f>
        <v/>
      </c>
      <c r="AZ320" s="331"/>
      <c r="BA320" s="331"/>
      <c r="BB320" s="332"/>
      <c r="BC320" s="333" t="str">
        <f t="shared" si="146"/>
        <v/>
      </c>
      <c r="BD320" s="327" t="str">
        <f t="shared" si="147"/>
        <v/>
      </c>
      <c r="BE320" s="334" t="str">
        <f t="shared" si="148"/>
        <v/>
      </c>
      <c r="BF320" s="335" t="str">
        <f t="shared" si="149"/>
        <v/>
      </c>
      <c r="BG320" s="335" t="str">
        <f t="shared" si="150"/>
        <v/>
      </c>
      <c r="BH320" s="336" t="str">
        <f t="shared" si="151"/>
        <v/>
      </c>
      <c r="BI320" s="336" t="str">
        <f t="shared" si="152"/>
        <v/>
      </c>
      <c r="BJ320" s="336" t="str">
        <f t="shared" si="153"/>
        <v/>
      </c>
      <c r="BK320" s="336" t="str">
        <f t="shared" si="154"/>
        <v/>
      </c>
      <c r="BL320" s="320"/>
      <c r="BM320" s="321" t="str">
        <f t="shared" si="155"/>
        <v/>
      </c>
      <c r="BN320" s="321" t="str">
        <f t="shared" si="156"/>
        <v/>
      </c>
      <c r="BO320" s="321" t="str">
        <f t="shared" si="157"/>
        <v/>
      </c>
      <c r="BP320" s="321" t="str">
        <f t="shared" si="158"/>
        <v/>
      </c>
      <c r="BQ320" s="321" t="str">
        <f t="shared" si="159"/>
        <v/>
      </c>
      <c r="BR320" s="321" t="str">
        <f t="shared" si="160"/>
        <v/>
      </c>
      <c r="BS320" s="321" t="str">
        <f t="shared" si="161"/>
        <v/>
      </c>
      <c r="BT320" s="321" t="str">
        <f t="shared" si="162"/>
        <v/>
      </c>
      <c r="BU320" s="321"/>
      <c r="BV320" s="321" t="str">
        <f t="shared" si="163"/>
        <v/>
      </c>
      <c r="BW320" s="320"/>
      <c r="BX320" s="322" t="str">
        <f t="shared" si="164"/>
        <v/>
      </c>
      <c r="BY320" s="323" t="str">
        <f t="shared" si="165"/>
        <v/>
      </c>
      <c r="BZ320" s="322" t="str">
        <f t="shared" si="173"/>
        <v/>
      </c>
      <c r="CA320" s="381" t="str">
        <f t="shared" si="166"/>
        <v/>
      </c>
      <c r="CB320" s="322"/>
    </row>
    <row r="321" spans="2:80" ht="13.8" thickBot="1">
      <c r="B321" s="468" t="s">
        <v>1529</v>
      </c>
      <c r="C321" s="469" t="s">
        <v>1530</v>
      </c>
      <c r="D321" s="470" t="s">
        <v>441</v>
      </c>
      <c r="E321" s="327">
        <f>+SUMIF('AUX-NIV2'!I:I,'AUX-NIV3'!B321,'AUX-NIV2'!Q:Q)</f>
        <v>0</v>
      </c>
      <c r="F321" s="327">
        <f t="shared" si="119"/>
        <v>346.12398419675657</v>
      </c>
      <c r="G321" s="327">
        <f t="shared" si="120"/>
        <v>0</v>
      </c>
      <c r="H321" s="328" t="str">
        <f t="shared" si="168"/>
        <v>S</v>
      </c>
      <c r="I321" s="325" t="s">
        <v>1467</v>
      </c>
      <c r="J321" s="329" t="str">
        <f>IF(B321&lt;&gt;"",+VLOOKUP(I321,Recursos!C:F,2,FALSE),"")</f>
        <v>Derechos y cánon</v>
      </c>
      <c r="K321" s="330" t="str">
        <f>IF(B321&lt;&gt;"",+VLOOKUP(I321,Recursos!C:F,3,FALSE),"")</f>
        <v>m3b</v>
      </c>
      <c r="L321" s="327">
        <f>IF(B321&lt;&gt;"",+VLOOKUP(I321,Recursos!C:F,4,FALSE),"")</f>
        <v>1</v>
      </c>
      <c r="M321" s="462">
        <v>1.35</v>
      </c>
      <c r="N321" s="463">
        <v>0</v>
      </c>
      <c r="O321" s="459">
        <f>+M321</f>
        <v>1.35</v>
      </c>
      <c r="P321" s="333">
        <f t="shared" si="170"/>
        <v>1.35</v>
      </c>
      <c r="Q321" s="327">
        <f t="shared" si="171"/>
        <v>0</v>
      </c>
      <c r="R321" s="334">
        <f t="shared" si="172"/>
        <v>0</v>
      </c>
      <c r="S321" s="335">
        <f t="shared" si="121"/>
        <v>95.797564969397214</v>
      </c>
      <c r="T321" s="335">
        <f t="shared" si="122"/>
        <v>248.97641922735937</v>
      </c>
      <c r="U321" s="336">
        <f t="shared" si="123"/>
        <v>0</v>
      </c>
      <c r="V321" s="336">
        <f t="shared" si="124"/>
        <v>0</v>
      </c>
      <c r="W321" s="336">
        <f t="shared" si="125"/>
        <v>1.35</v>
      </c>
      <c r="X321" s="336">
        <f t="shared" si="126"/>
        <v>0</v>
      </c>
      <c r="Y321" s="320"/>
      <c r="Z321" s="321" t="str">
        <f t="shared" si="133"/>
        <v>X-AFTA</v>
      </c>
      <c r="AA321" s="321" t="str">
        <f t="shared" si="134"/>
        <v>X-AFTE</v>
      </c>
      <c r="AB321" s="321" t="str">
        <f t="shared" si="135"/>
        <v>X-AFTM</v>
      </c>
      <c r="AC321" s="321" t="str">
        <f t="shared" si="136"/>
        <v>X-AFTT</v>
      </c>
      <c r="AD321" s="321" t="str">
        <f t="shared" si="137"/>
        <v>X-AFTS</v>
      </c>
      <c r="AE321" s="321" t="str">
        <f t="shared" si="138"/>
        <v>X-AFTX</v>
      </c>
      <c r="AF321" s="321" t="str">
        <f t="shared" si="139"/>
        <v>X-AFTS</v>
      </c>
      <c r="AG321" s="321">
        <f t="shared" si="127"/>
        <v>17</v>
      </c>
      <c r="AH321" s="321"/>
      <c r="AI321" s="321" t="str">
        <f t="shared" si="140"/>
        <v>X-AFT</v>
      </c>
      <c r="AJ321" s="320"/>
      <c r="AK321" s="322">
        <f t="shared" si="128"/>
        <v>305</v>
      </c>
      <c r="AL321" s="323">
        <f t="shared" si="141"/>
        <v>321</v>
      </c>
      <c r="AM321" s="322">
        <f t="shared" si="142"/>
        <v>17</v>
      </c>
      <c r="AN321" s="381">
        <f t="shared" si="129"/>
        <v>0.19427391581632655</v>
      </c>
      <c r="AO321" s="324"/>
      <c r="AP321" s="325"/>
      <c r="AQ321" s="326"/>
      <c r="AR321" s="327"/>
      <c r="AS321" s="327" t="str">
        <f t="shared" si="144"/>
        <v/>
      </c>
      <c r="AT321" s="327" t="str">
        <f t="shared" si="145"/>
        <v/>
      </c>
      <c r="AU321" s="328" t="str">
        <f t="shared" si="169"/>
        <v/>
      </c>
      <c r="AV321" s="325"/>
      <c r="AW321" s="329" t="str">
        <f>IF(AO321&lt;&gt;"",+VLOOKUP(AV321,Recursos!C:F,2,FALSE),"")</f>
        <v/>
      </c>
      <c r="AX321" s="330" t="str">
        <f>IF(AO321&lt;&gt;"",+VLOOKUP(AV321,Recursos!C:F,3,FALSE),"")</f>
        <v/>
      </c>
      <c r="AY321" s="327" t="str">
        <f>IF(AO321&lt;&gt;"",+VLOOKUP(AV321,Recursos!C:F,4,FALSE),"")</f>
        <v/>
      </c>
      <c r="AZ321" s="331"/>
      <c r="BA321" s="331"/>
      <c r="BB321" s="332"/>
      <c r="BC321" s="333" t="str">
        <f t="shared" si="146"/>
        <v/>
      </c>
      <c r="BD321" s="327" t="str">
        <f t="shared" si="147"/>
        <v/>
      </c>
      <c r="BE321" s="334" t="str">
        <f t="shared" si="148"/>
        <v/>
      </c>
      <c r="BF321" s="335" t="str">
        <f t="shared" si="149"/>
        <v/>
      </c>
      <c r="BG321" s="335" t="str">
        <f t="shared" si="150"/>
        <v/>
      </c>
      <c r="BH321" s="336" t="str">
        <f t="shared" si="151"/>
        <v/>
      </c>
      <c r="BI321" s="336" t="str">
        <f t="shared" si="152"/>
        <v/>
      </c>
      <c r="BJ321" s="336" t="str">
        <f t="shared" si="153"/>
        <v/>
      </c>
      <c r="BK321" s="336" t="str">
        <f t="shared" si="154"/>
        <v/>
      </c>
      <c r="BL321" s="320"/>
      <c r="BM321" s="321" t="str">
        <f t="shared" si="155"/>
        <v/>
      </c>
      <c r="BN321" s="321" t="str">
        <f t="shared" si="156"/>
        <v/>
      </c>
      <c r="BO321" s="321" t="str">
        <f t="shared" si="157"/>
        <v/>
      </c>
      <c r="BP321" s="321" t="str">
        <f t="shared" si="158"/>
        <v/>
      </c>
      <c r="BQ321" s="321" t="str">
        <f t="shared" si="159"/>
        <v/>
      </c>
      <c r="BR321" s="321" t="str">
        <f t="shared" si="160"/>
        <v/>
      </c>
      <c r="BS321" s="321" t="str">
        <f t="shared" si="161"/>
        <v/>
      </c>
      <c r="BT321" s="321" t="str">
        <f t="shared" si="162"/>
        <v/>
      </c>
      <c r="BU321" s="321"/>
      <c r="BV321" s="321" t="str">
        <f t="shared" si="163"/>
        <v/>
      </c>
      <c r="BW321" s="320"/>
      <c r="BX321" s="322" t="str">
        <f t="shared" si="164"/>
        <v/>
      </c>
      <c r="BY321" s="323" t="str">
        <f t="shared" si="165"/>
        <v/>
      </c>
      <c r="BZ321" s="322" t="str">
        <f t="shared" si="173"/>
        <v/>
      </c>
      <c r="CA321" s="381" t="str">
        <f t="shared" si="166"/>
        <v/>
      </c>
      <c r="CB321" s="322"/>
    </row>
    <row r="322" spans="2:80" ht="13.8" thickTop="1">
      <c r="B322" s="468" t="s">
        <v>1531</v>
      </c>
      <c r="C322" s="469" t="s">
        <v>1532</v>
      </c>
      <c r="D322" s="470" t="s">
        <v>441</v>
      </c>
      <c r="E322" s="327">
        <f>+SUMIF('AUX-NIV2'!I:I,'AUX-NIV3'!B322,'AUX-NIV2'!Q:Q)</f>
        <v>0</v>
      </c>
      <c r="F322" s="327">
        <f t="shared" si="119"/>
        <v>313.05694805450901</v>
      </c>
      <c r="G322" s="327">
        <f t="shared" si="120"/>
        <v>0</v>
      </c>
      <c r="H322" s="328" t="str">
        <f t="shared" si="168"/>
        <v>A</v>
      </c>
      <c r="I322" s="325" t="s">
        <v>1745</v>
      </c>
      <c r="J322" s="329" t="str">
        <f>IF(B322&lt;&gt;"",+VLOOKUP(I322,Recursos!C:F,2,FALSE),"")</f>
        <v>AYUDANTE</v>
      </c>
      <c r="K322" s="330" t="str">
        <f>IF(B322&lt;&gt;"",+VLOOKUP(I322,Recursos!C:F,3,FALSE),"")</f>
        <v>hh</v>
      </c>
      <c r="L322" s="327">
        <f>IF(B322&lt;&gt;"",+VLOOKUP(I322,Recursos!C:F,4,FALSE),"")</f>
        <v>422.48042769667234</v>
      </c>
      <c r="M322" s="457">
        <f>+M334</f>
        <v>80</v>
      </c>
      <c r="N322" s="458">
        <v>2</v>
      </c>
      <c r="O322" s="459">
        <f>+N322/M322*N334+N325/M325*N327</f>
        <v>5.4107142857142861E-2</v>
      </c>
      <c r="P322" s="333">
        <f t="shared" si="170"/>
        <v>22.859208855730664</v>
      </c>
      <c r="Q322" s="327">
        <f t="shared" si="171"/>
        <v>0</v>
      </c>
      <c r="R322" s="334">
        <f t="shared" si="172"/>
        <v>0</v>
      </c>
      <c r="S322" s="335">
        <f t="shared" si="121"/>
        <v>87.812429107755676</v>
      </c>
      <c r="T322" s="335">
        <f t="shared" si="122"/>
        <v>223.89451894675329</v>
      </c>
      <c r="U322" s="336">
        <f t="shared" si="123"/>
        <v>0</v>
      </c>
      <c r="V322" s="336">
        <f t="shared" si="124"/>
        <v>0</v>
      </c>
      <c r="W322" s="336">
        <f t="shared" si="125"/>
        <v>1.35</v>
      </c>
      <c r="X322" s="336">
        <f t="shared" si="126"/>
        <v>0</v>
      </c>
      <c r="Y322" s="320"/>
      <c r="Z322" s="321" t="str">
        <f t="shared" si="133"/>
        <v>X-AREA</v>
      </c>
      <c r="AA322" s="321" t="str">
        <f t="shared" si="134"/>
        <v>X-AREE</v>
      </c>
      <c r="AB322" s="321" t="str">
        <f t="shared" si="135"/>
        <v>X-AREM</v>
      </c>
      <c r="AC322" s="321" t="str">
        <f t="shared" si="136"/>
        <v>X-ARET</v>
      </c>
      <c r="AD322" s="321" t="str">
        <f t="shared" si="137"/>
        <v>X-ARES</v>
      </c>
      <c r="AE322" s="321" t="str">
        <f t="shared" si="138"/>
        <v>X-AREX</v>
      </c>
      <c r="AF322" s="321" t="str">
        <f t="shared" si="139"/>
        <v>X-AREA</v>
      </c>
      <c r="AG322" s="321">
        <f t="shared" si="127"/>
        <v>17</v>
      </c>
      <c r="AH322" s="321"/>
      <c r="AI322" s="321" t="str">
        <f t="shared" si="140"/>
        <v>X-ARE</v>
      </c>
      <c r="AJ322" s="320"/>
      <c r="AK322" s="322">
        <f t="shared" si="128"/>
        <v>322</v>
      </c>
      <c r="AL322" s="323">
        <f t="shared" si="141"/>
        <v>338</v>
      </c>
      <c r="AM322" s="322">
        <f t="shared" si="142"/>
        <v>1</v>
      </c>
      <c r="AN322" s="381">
        <f t="shared" si="129"/>
        <v>0.17794058248299321</v>
      </c>
      <c r="AO322" s="324"/>
      <c r="AP322" s="325"/>
      <c r="AQ322" s="326"/>
      <c r="AR322" s="327"/>
      <c r="AS322" s="327" t="str">
        <f t="shared" si="144"/>
        <v/>
      </c>
      <c r="AT322" s="327" t="str">
        <f t="shared" si="145"/>
        <v/>
      </c>
      <c r="AU322" s="328" t="str">
        <f t="shared" si="169"/>
        <v/>
      </c>
      <c r="AV322" s="325"/>
      <c r="AW322" s="329" t="str">
        <f>IF(AO322&lt;&gt;"",+VLOOKUP(AV322,Recursos!C:F,2,FALSE),"")</f>
        <v/>
      </c>
      <c r="AX322" s="330" t="str">
        <f>IF(AO322&lt;&gt;"",+VLOOKUP(AV322,Recursos!C:F,3,FALSE),"")</f>
        <v/>
      </c>
      <c r="AY322" s="327" t="str">
        <f>IF(AO322&lt;&gt;"",+VLOOKUP(AV322,Recursos!C:F,4,FALSE),"")</f>
        <v/>
      </c>
      <c r="AZ322" s="331"/>
      <c r="BA322" s="331"/>
      <c r="BB322" s="332"/>
      <c r="BC322" s="333" t="str">
        <f t="shared" si="146"/>
        <v/>
      </c>
      <c r="BD322" s="327" t="str">
        <f t="shared" si="147"/>
        <v/>
      </c>
      <c r="BE322" s="334" t="str">
        <f t="shared" si="148"/>
        <v/>
      </c>
      <c r="BF322" s="335" t="str">
        <f t="shared" si="149"/>
        <v/>
      </c>
      <c r="BG322" s="335" t="str">
        <f t="shared" si="150"/>
        <v/>
      </c>
      <c r="BH322" s="336" t="str">
        <f t="shared" si="151"/>
        <v/>
      </c>
      <c r="BI322" s="336" t="str">
        <f t="shared" si="152"/>
        <v/>
      </c>
      <c r="BJ322" s="336" t="str">
        <f t="shared" si="153"/>
        <v/>
      </c>
      <c r="BK322" s="336" t="str">
        <f t="shared" si="154"/>
        <v/>
      </c>
      <c r="BL322" s="320"/>
      <c r="BM322" s="321" t="str">
        <f t="shared" si="155"/>
        <v/>
      </c>
      <c r="BN322" s="321" t="str">
        <f t="shared" si="156"/>
        <v/>
      </c>
      <c r="BO322" s="321" t="str">
        <f t="shared" si="157"/>
        <v/>
      </c>
      <c r="BP322" s="321" t="str">
        <f t="shared" si="158"/>
        <v/>
      </c>
      <c r="BQ322" s="321" t="str">
        <f t="shared" si="159"/>
        <v/>
      </c>
      <c r="BR322" s="321" t="str">
        <f t="shared" si="160"/>
        <v/>
      </c>
      <c r="BS322" s="321" t="str">
        <f t="shared" si="161"/>
        <v/>
      </c>
      <c r="BT322" s="321" t="str">
        <f t="shared" si="162"/>
        <v/>
      </c>
      <c r="BU322" s="321"/>
      <c r="BV322" s="321" t="str">
        <f t="shared" si="163"/>
        <v/>
      </c>
      <c r="BW322" s="320"/>
      <c r="BX322" s="322" t="str">
        <f t="shared" si="164"/>
        <v/>
      </c>
      <c r="BY322" s="323" t="str">
        <f t="shared" si="165"/>
        <v/>
      </c>
      <c r="BZ322" s="322" t="str">
        <f>IF(AO322&lt;&gt;"",IF(AO322=#REF!,1+#REF!,1),"")</f>
        <v/>
      </c>
      <c r="CA322" s="381" t="str">
        <f t="shared" si="166"/>
        <v/>
      </c>
      <c r="CB322" s="322"/>
    </row>
    <row r="323" spans="2:80">
      <c r="B323" s="468" t="s">
        <v>1531</v>
      </c>
      <c r="C323" s="469" t="s">
        <v>1532</v>
      </c>
      <c r="D323" s="470" t="s">
        <v>441</v>
      </c>
      <c r="E323" s="327">
        <f>+SUMIF('AUX-NIV2'!I:I,'AUX-NIV3'!B323,'AUX-NIV2'!Q:Q)</f>
        <v>0</v>
      </c>
      <c r="F323" s="327">
        <f t="shared" si="119"/>
        <v>313.05694805450901</v>
      </c>
      <c r="G323" s="327">
        <f t="shared" si="120"/>
        <v>0</v>
      </c>
      <c r="H323" s="328" t="str">
        <f t="shared" si="168"/>
        <v>A</v>
      </c>
      <c r="I323" s="325" t="s">
        <v>3309</v>
      </c>
      <c r="J323" s="329" t="str">
        <f>IF(B323&lt;&gt;"",+VLOOKUP(I323,Recursos!C:F,2,FALSE),"")</f>
        <v>MEDIO OFICIAL</v>
      </c>
      <c r="K323" s="330" t="str">
        <f>IF(B323&lt;&gt;"",+VLOOKUP(I323,Recursos!C:F,3,FALSE),"")</f>
        <v>hh</v>
      </c>
      <c r="L323" s="327">
        <f>IF(B323&lt;&gt;"",+VLOOKUP(I323,Recursos!C:F,4,FALSE),"")</f>
        <v>459.10093211890984</v>
      </c>
      <c r="M323" s="460">
        <f>+M322</f>
        <v>80</v>
      </c>
      <c r="N323" s="463">
        <v>2</v>
      </c>
      <c r="O323" s="459">
        <f>+N323/M323*N334</f>
        <v>0.03</v>
      </c>
      <c r="P323" s="333">
        <f t="shared" si="170"/>
        <v>13.773027963567294</v>
      </c>
      <c r="Q323" s="327">
        <f t="shared" si="171"/>
        <v>0</v>
      </c>
      <c r="R323" s="334">
        <f t="shared" si="172"/>
        <v>0</v>
      </c>
      <c r="S323" s="335">
        <f t="shared" si="121"/>
        <v>87.812429107755676</v>
      </c>
      <c r="T323" s="335">
        <f t="shared" si="122"/>
        <v>223.89451894675329</v>
      </c>
      <c r="U323" s="336">
        <f t="shared" si="123"/>
        <v>0</v>
      </c>
      <c r="V323" s="336">
        <f t="shared" si="124"/>
        <v>0</v>
      </c>
      <c r="W323" s="336">
        <f t="shared" si="125"/>
        <v>1.35</v>
      </c>
      <c r="X323" s="336">
        <f t="shared" si="126"/>
        <v>0</v>
      </c>
      <c r="Y323" s="320"/>
      <c r="Z323" s="321" t="str">
        <f t="shared" si="133"/>
        <v>X-AREA</v>
      </c>
      <c r="AA323" s="321" t="str">
        <f t="shared" si="134"/>
        <v>X-AREE</v>
      </c>
      <c r="AB323" s="321" t="str">
        <f t="shared" si="135"/>
        <v>X-AREM</v>
      </c>
      <c r="AC323" s="321" t="str">
        <f t="shared" si="136"/>
        <v>X-ARET</v>
      </c>
      <c r="AD323" s="321" t="str">
        <f t="shared" si="137"/>
        <v>X-ARES</v>
      </c>
      <c r="AE323" s="321" t="str">
        <f t="shared" si="138"/>
        <v>X-AREX</v>
      </c>
      <c r="AF323" s="321" t="str">
        <f t="shared" si="139"/>
        <v>X-AREA</v>
      </c>
      <c r="AG323" s="321">
        <f t="shared" si="127"/>
        <v>17</v>
      </c>
      <c r="AH323" s="321"/>
      <c r="AI323" s="321" t="str">
        <f t="shared" si="140"/>
        <v>X-ARE</v>
      </c>
      <c r="AJ323" s="320"/>
      <c r="AK323" s="322">
        <f t="shared" si="128"/>
        <v>322</v>
      </c>
      <c r="AL323" s="323">
        <f t="shared" si="141"/>
        <v>338</v>
      </c>
      <c r="AM323" s="322">
        <f t="shared" si="142"/>
        <v>2</v>
      </c>
      <c r="AN323" s="381">
        <f t="shared" si="129"/>
        <v>0.17794058248299321</v>
      </c>
      <c r="AO323" s="324"/>
      <c r="AP323" s="325"/>
      <c r="AQ323" s="326"/>
      <c r="AR323" s="327"/>
      <c r="AS323" s="327" t="str">
        <f t="shared" si="144"/>
        <v/>
      </c>
      <c r="AT323" s="327" t="str">
        <f t="shared" si="145"/>
        <v/>
      </c>
      <c r="AU323" s="328" t="str">
        <f t="shared" si="169"/>
        <v/>
      </c>
      <c r="AV323" s="325"/>
      <c r="AW323" s="329" t="str">
        <f>IF(AO323&lt;&gt;"",+VLOOKUP(AV323,Recursos!C:F,2,FALSE),"")</f>
        <v/>
      </c>
      <c r="AX323" s="330" t="str">
        <f>IF(AO323&lt;&gt;"",+VLOOKUP(AV323,Recursos!C:F,3,FALSE),"")</f>
        <v/>
      </c>
      <c r="AY323" s="327" t="str">
        <f>IF(AO323&lt;&gt;"",+VLOOKUP(AV323,Recursos!C:F,4,FALSE),"")</f>
        <v/>
      </c>
      <c r="AZ323" s="331"/>
      <c r="BA323" s="331"/>
      <c r="BB323" s="332"/>
      <c r="BC323" s="333" t="str">
        <f t="shared" si="146"/>
        <v/>
      </c>
      <c r="BD323" s="327" t="str">
        <f t="shared" si="147"/>
        <v/>
      </c>
      <c r="BE323" s="334" t="str">
        <f t="shared" si="148"/>
        <v/>
      </c>
      <c r="BF323" s="335" t="str">
        <f t="shared" si="149"/>
        <v/>
      </c>
      <c r="BG323" s="335" t="str">
        <f t="shared" si="150"/>
        <v/>
      </c>
      <c r="BH323" s="336" t="str">
        <f t="shared" si="151"/>
        <v/>
      </c>
      <c r="BI323" s="336" t="str">
        <f t="shared" si="152"/>
        <v/>
      </c>
      <c r="BJ323" s="336" t="str">
        <f t="shared" si="153"/>
        <v/>
      </c>
      <c r="BK323" s="336" t="str">
        <f t="shared" si="154"/>
        <v/>
      </c>
      <c r="BL323" s="320"/>
      <c r="BM323" s="321" t="str">
        <f t="shared" si="155"/>
        <v/>
      </c>
      <c r="BN323" s="321" t="str">
        <f t="shared" si="156"/>
        <v/>
      </c>
      <c r="BO323" s="321" t="str">
        <f t="shared" si="157"/>
        <v/>
      </c>
      <c r="BP323" s="321" t="str">
        <f t="shared" si="158"/>
        <v/>
      </c>
      <c r="BQ323" s="321" t="str">
        <f t="shared" si="159"/>
        <v/>
      </c>
      <c r="BR323" s="321" t="str">
        <f t="shared" si="160"/>
        <v/>
      </c>
      <c r="BS323" s="321" t="str">
        <f t="shared" si="161"/>
        <v/>
      </c>
      <c r="BT323" s="321" t="str">
        <f t="shared" si="162"/>
        <v/>
      </c>
      <c r="BU323" s="321"/>
      <c r="BV323" s="321" t="str">
        <f t="shared" si="163"/>
        <v/>
      </c>
      <c r="BW323" s="320"/>
      <c r="BX323" s="322" t="str">
        <f t="shared" si="164"/>
        <v/>
      </c>
      <c r="BY323" s="323" t="str">
        <f t="shared" si="165"/>
        <v/>
      </c>
      <c r="BZ323" s="322" t="str">
        <f>IF(AO323&lt;&gt;"",IF(AO323=AO322,1+BZ322,1),"")</f>
        <v/>
      </c>
      <c r="CA323" s="381" t="str">
        <f t="shared" si="166"/>
        <v/>
      </c>
      <c r="CB323" s="322"/>
    </row>
    <row r="324" spans="2:80">
      <c r="B324" s="468" t="s">
        <v>1531</v>
      </c>
      <c r="C324" s="469" t="s">
        <v>1532</v>
      </c>
      <c r="D324" s="470" t="s">
        <v>441</v>
      </c>
      <c r="E324" s="327">
        <f>+SUMIF('AUX-NIV2'!I:I,'AUX-NIV3'!B324,'AUX-NIV2'!Q:Q)</f>
        <v>0</v>
      </c>
      <c r="F324" s="327">
        <f t="shared" si="119"/>
        <v>313.05694805450901</v>
      </c>
      <c r="G324" s="327">
        <f t="shared" si="120"/>
        <v>0</v>
      </c>
      <c r="H324" s="328" t="str">
        <f t="shared" si="168"/>
        <v>A</v>
      </c>
      <c r="I324" s="325" t="s">
        <v>1746</v>
      </c>
      <c r="J324" s="329" t="str">
        <f>IF(B324&lt;&gt;"",+VLOOKUP(I324,Recursos!C:F,2,FALSE),"")</f>
        <v>OFICIAL</v>
      </c>
      <c r="K324" s="330" t="str">
        <f>IF(B324&lt;&gt;"",+VLOOKUP(I324,Recursos!C:F,3,FALSE),"")</f>
        <v>hh</v>
      </c>
      <c r="L324" s="327">
        <f>IF(B324&lt;&gt;"",+VLOOKUP(I324,Recursos!C:F,4,FALSE),"")</f>
        <v>496.91595439275824</v>
      </c>
      <c r="M324" s="460">
        <f>+M323</f>
        <v>80</v>
      </c>
      <c r="N324" s="466"/>
      <c r="O324" s="459">
        <f>1/M324*N334</f>
        <v>1.4999999999999999E-2</v>
      </c>
      <c r="P324" s="333">
        <f t="shared" si="170"/>
        <v>7.4537393158913732</v>
      </c>
      <c r="Q324" s="327">
        <f t="shared" si="171"/>
        <v>0</v>
      </c>
      <c r="R324" s="334">
        <f t="shared" si="172"/>
        <v>0</v>
      </c>
      <c r="S324" s="335">
        <f t="shared" si="121"/>
        <v>87.812429107755676</v>
      </c>
      <c r="T324" s="335">
        <f t="shared" si="122"/>
        <v>223.89451894675329</v>
      </c>
      <c r="U324" s="336">
        <f t="shared" si="123"/>
        <v>0</v>
      </c>
      <c r="V324" s="336">
        <f t="shared" si="124"/>
        <v>0</v>
      </c>
      <c r="W324" s="336">
        <f t="shared" si="125"/>
        <v>1.35</v>
      </c>
      <c r="X324" s="336">
        <f t="shared" si="126"/>
        <v>0</v>
      </c>
      <c r="Y324" s="320"/>
      <c r="Z324" s="321" t="str">
        <f t="shared" si="133"/>
        <v>X-AREA</v>
      </c>
      <c r="AA324" s="321" t="str">
        <f t="shared" si="134"/>
        <v>X-AREE</v>
      </c>
      <c r="AB324" s="321" t="str">
        <f t="shared" si="135"/>
        <v>X-AREM</v>
      </c>
      <c r="AC324" s="321" t="str">
        <f t="shared" si="136"/>
        <v>X-ARET</v>
      </c>
      <c r="AD324" s="321" t="str">
        <f t="shared" si="137"/>
        <v>X-ARES</v>
      </c>
      <c r="AE324" s="321" t="str">
        <f t="shared" si="138"/>
        <v>X-AREX</v>
      </c>
      <c r="AF324" s="321" t="str">
        <f t="shared" si="139"/>
        <v>X-AREA</v>
      </c>
      <c r="AG324" s="321">
        <f t="shared" si="127"/>
        <v>17</v>
      </c>
      <c r="AH324" s="321"/>
      <c r="AI324" s="321" t="str">
        <f t="shared" si="140"/>
        <v>X-ARE</v>
      </c>
      <c r="AJ324" s="320"/>
      <c r="AK324" s="322">
        <f t="shared" si="128"/>
        <v>322</v>
      </c>
      <c r="AL324" s="323">
        <f t="shared" si="141"/>
        <v>338</v>
      </c>
      <c r="AM324" s="322">
        <f t="shared" si="142"/>
        <v>3</v>
      </c>
      <c r="AN324" s="381">
        <f t="shared" si="129"/>
        <v>0.17794058248299321</v>
      </c>
      <c r="AO324" s="324"/>
      <c r="AP324" s="325"/>
      <c r="AQ324" s="326"/>
      <c r="AR324" s="327"/>
      <c r="AS324" s="327" t="str">
        <f t="shared" si="144"/>
        <v/>
      </c>
      <c r="AT324" s="327" t="str">
        <f t="shared" si="145"/>
        <v/>
      </c>
      <c r="AU324" s="328" t="str">
        <f t="shared" si="169"/>
        <v/>
      </c>
      <c r="AV324" s="325"/>
      <c r="AW324" s="329" t="str">
        <f>IF(AO324&lt;&gt;"",+VLOOKUP(AV324,Recursos!C:F,2,FALSE),"")</f>
        <v/>
      </c>
      <c r="AX324" s="330" t="str">
        <f>IF(AO324&lt;&gt;"",+VLOOKUP(AV324,Recursos!C:F,3,FALSE),"")</f>
        <v/>
      </c>
      <c r="AY324" s="327" t="str">
        <f>IF(AO324&lt;&gt;"",+VLOOKUP(AV324,Recursos!C:F,4,FALSE),"")</f>
        <v/>
      </c>
      <c r="AZ324" s="331"/>
      <c r="BA324" s="331"/>
      <c r="BB324" s="332"/>
      <c r="BC324" s="333" t="str">
        <f t="shared" si="146"/>
        <v/>
      </c>
      <c r="BD324" s="327" t="str">
        <f t="shared" si="147"/>
        <v/>
      </c>
      <c r="BE324" s="334" t="str">
        <f t="shared" si="148"/>
        <v/>
      </c>
      <c r="BF324" s="335" t="str">
        <f t="shared" si="149"/>
        <v/>
      </c>
      <c r="BG324" s="335" t="str">
        <f t="shared" si="150"/>
        <v/>
      </c>
      <c r="BH324" s="336" t="str">
        <f t="shared" si="151"/>
        <v/>
      </c>
      <c r="BI324" s="336" t="str">
        <f t="shared" si="152"/>
        <v/>
      </c>
      <c r="BJ324" s="336" t="str">
        <f t="shared" si="153"/>
        <v/>
      </c>
      <c r="BK324" s="336" t="str">
        <f t="shared" si="154"/>
        <v/>
      </c>
      <c r="BL324" s="320"/>
      <c r="BM324" s="321" t="str">
        <f t="shared" si="155"/>
        <v/>
      </c>
      <c r="BN324" s="321" t="str">
        <f t="shared" si="156"/>
        <v/>
      </c>
      <c r="BO324" s="321" t="str">
        <f t="shared" si="157"/>
        <v/>
      </c>
      <c r="BP324" s="321" t="str">
        <f t="shared" si="158"/>
        <v/>
      </c>
      <c r="BQ324" s="321" t="str">
        <f t="shared" si="159"/>
        <v/>
      </c>
      <c r="BR324" s="321" t="str">
        <f t="shared" si="160"/>
        <v/>
      </c>
      <c r="BS324" s="321" t="str">
        <f t="shared" si="161"/>
        <v/>
      </c>
      <c r="BT324" s="321" t="str">
        <f t="shared" si="162"/>
        <v/>
      </c>
      <c r="BU324" s="321"/>
      <c r="BV324" s="321" t="str">
        <f t="shared" si="163"/>
        <v/>
      </c>
      <c r="BW324" s="320"/>
      <c r="BX324" s="322" t="str">
        <f t="shared" si="164"/>
        <v/>
      </c>
      <c r="BY324" s="323" t="str">
        <f t="shared" si="165"/>
        <v/>
      </c>
      <c r="BZ324" s="322" t="str">
        <f>IF(AO324&lt;&gt;"",IF(AO324=AO323,1+BZ323,1),"")</f>
        <v/>
      </c>
      <c r="CA324" s="381" t="str">
        <f t="shared" si="166"/>
        <v/>
      </c>
      <c r="CB324" s="322"/>
    </row>
    <row r="325" spans="2:80">
      <c r="B325" s="468" t="s">
        <v>1531</v>
      </c>
      <c r="C325" s="469" t="s">
        <v>1532</v>
      </c>
      <c r="D325" s="470" t="s">
        <v>441</v>
      </c>
      <c r="E325" s="327">
        <f>+SUMIF('AUX-NIV2'!I:I,'AUX-NIV3'!B325,'AUX-NIV2'!Q:Q)</f>
        <v>0</v>
      </c>
      <c r="F325" s="327">
        <f t="shared" si="119"/>
        <v>313.05694805450901</v>
      </c>
      <c r="G325" s="327">
        <f t="shared" si="120"/>
        <v>0</v>
      </c>
      <c r="H325" s="328" t="str">
        <f t="shared" si="168"/>
        <v>A</v>
      </c>
      <c r="I325" s="325" t="s">
        <v>3310</v>
      </c>
      <c r="J325" s="329" t="str">
        <f>IF(B325&lt;&gt;"",+VLOOKUP(I325,Recursos!C:F,2,FALSE),"")</f>
        <v>OFICIAL ESPECIALIZADO</v>
      </c>
      <c r="K325" s="330" t="str">
        <f>IF(B325&lt;&gt;"",+VLOOKUP(I325,Recursos!C:F,3,FALSE),"")</f>
        <v>hh</v>
      </c>
      <c r="L325" s="327">
        <f>IF(B325&lt;&gt;"",+VLOOKUP(I325,Recursos!C:F,4,FALSE),"")</f>
        <v>581.06120476836554</v>
      </c>
      <c r="M325" s="462">
        <v>70</v>
      </c>
      <c r="N325" s="466">
        <f>+M330</f>
        <v>1.35</v>
      </c>
      <c r="O325" s="459">
        <f>+N325/M325*N327</f>
        <v>2.4107142857142862E-2</v>
      </c>
      <c r="P325" s="333">
        <f t="shared" si="170"/>
        <v>14.007725472094529</v>
      </c>
      <c r="Q325" s="327">
        <f t="shared" si="171"/>
        <v>0</v>
      </c>
      <c r="R325" s="334">
        <f t="shared" si="172"/>
        <v>0</v>
      </c>
      <c r="S325" s="335">
        <f t="shared" si="121"/>
        <v>87.812429107755676</v>
      </c>
      <c r="T325" s="335">
        <f t="shared" si="122"/>
        <v>223.89451894675329</v>
      </c>
      <c r="U325" s="336">
        <f t="shared" si="123"/>
        <v>0</v>
      </c>
      <c r="V325" s="336">
        <f t="shared" si="124"/>
        <v>0</v>
      </c>
      <c r="W325" s="336">
        <f t="shared" si="125"/>
        <v>1.35</v>
      </c>
      <c r="X325" s="336">
        <f t="shared" si="126"/>
        <v>0</v>
      </c>
      <c r="Y325" s="320"/>
      <c r="Z325" s="321" t="str">
        <f t="shared" si="133"/>
        <v>X-AREA</v>
      </c>
      <c r="AA325" s="321" t="str">
        <f t="shared" si="134"/>
        <v>X-AREE</v>
      </c>
      <c r="AB325" s="321" t="str">
        <f t="shared" si="135"/>
        <v>X-AREM</v>
      </c>
      <c r="AC325" s="321" t="str">
        <f t="shared" si="136"/>
        <v>X-ARET</v>
      </c>
      <c r="AD325" s="321" t="str">
        <f t="shared" si="137"/>
        <v>X-ARES</v>
      </c>
      <c r="AE325" s="321" t="str">
        <f t="shared" si="138"/>
        <v>X-AREX</v>
      </c>
      <c r="AF325" s="321" t="str">
        <f t="shared" si="139"/>
        <v>X-AREA</v>
      </c>
      <c r="AG325" s="321">
        <f t="shared" si="127"/>
        <v>17</v>
      </c>
      <c r="AH325" s="321"/>
      <c r="AI325" s="321" t="str">
        <f t="shared" si="140"/>
        <v>X-ARE</v>
      </c>
      <c r="AJ325" s="320"/>
      <c r="AK325" s="322">
        <f t="shared" si="128"/>
        <v>322</v>
      </c>
      <c r="AL325" s="323">
        <f t="shared" si="141"/>
        <v>338</v>
      </c>
      <c r="AM325" s="322">
        <f t="shared" si="142"/>
        <v>4</v>
      </c>
      <c r="AN325" s="381">
        <f t="shared" si="129"/>
        <v>0.17794058248299321</v>
      </c>
      <c r="AO325" s="324"/>
      <c r="AP325" s="325"/>
      <c r="AQ325" s="326"/>
      <c r="AR325" s="327"/>
      <c r="AS325" s="327" t="str">
        <f t="shared" si="144"/>
        <v/>
      </c>
      <c r="AT325" s="327" t="str">
        <f t="shared" si="145"/>
        <v/>
      </c>
      <c r="AU325" s="328" t="str">
        <f t="shared" si="169"/>
        <v/>
      </c>
      <c r="AV325" s="325"/>
      <c r="AW325" s="329" t="str">
        <f>IF(AO325&lt;&gt;"",+VLOOKUP(AV325,Recursos!C:F,2,FALSE),"")</f>
        <v/>
      </c>
      <c r="AX325" s="330" t="str">
        <f>IF(AO325&lt;&gt;"",+VLOOKUP(AV325,Recursos!C:F,3,FALSE),"")</f>
        <v/>
      </c>
      <c r="AY325" s="327" t="str">
        <f>IF(AO325&lt;&gt;"",+VLOOKUP(AV325,Recursos!C:F,4,FALSE),"")</f>
        <v/>
      </c>
      <c r="AZ325" s="331"/>
      <c r="BA325" s="331"/>
      <c r="BB325" s="332"/>
      <c r="BC325" s="333" t="str">
        <f t="shared" si="146"/>
        <v/>
      </c>
      <c r="BD325" s="327" t="str">
        <f t="shared" si="147"/>
        <v/>
      </c>
      <c r="BE325" s="334" t="str">
        <f t="shared" si="148"/>
        <v/>
      </c>
      <c r="BF325" s="335" t="str">
        <f t="shared" si="149"/>
        <v/>
      </c>
      <c r="BG325" s="335" t="str">
        <f t="shared" si="150"/>
        <v/>
      </c>
      <c r="BH325" s="336" t="str">
        <f t="shared" si="151"/>
        <v/>
      </c>
      <c r="BI325" s="336" t="str">
        <f t="shared" si="152"/>
        <v/>
      </c>
      <c r="BJ325" s="336" t="str">
        <f t="shared" si="153"/>
        <v/>
      </c>
      <c r="BK325" s="336" t="str">
        <f t="shared" si="154"/>
        <v/>
      </c>
      <c r="BL325" s="320"/>
      <c r="BM325" s="321" t="str">
        <f t="shared" si="155"/>
        <v/>
      </c>
      <c r="BN325" s="321" t="str">
        <f t="shared" si="156"/>
        <v/>
      </c>
      <c r="BO325" s="321" t="str">
        <f t="shared" si="157"/>
        <v/>
      </c>
      <c r="BP325" s="321" t="str">
        <f t="shared" si="158"/>
        <v/>
      </c>
      <c r="BQ325" s="321" t="str">
        <f t="shared" si="159"/>
        <v/>
      </c>
      <c r="BR325" s="321" t="str">
        <f t="shared" si="160"/>
        <v/>
      </c>
      <c r="BS325" s="321" t="str">
        <f t="shared" si="161"/>
        <v/>
      </c>
      <c r="BT325" s="321" t="str">
        <f t="shared" si="162"/>
        <v/>
      </c>
      <c r="BU325" s="321"/>
      <c r="BV325" s="321" t="str">
        <f t="shared" si="163"/>
        <v/>
      </c>
      <c r="BW325" s="320"/>
      <c r="BX325" s="322" t="str">
        <f t="shared" si="164"/>
        <v/>
      </c>
      <c r="BY325" s="323" t="str">
        <f t="shared" si="165"/>
        <v/>
      </c>
      <c r="BZ325" s="322" t="str">
        <f>IF(AO325&lt;&gt;"",IF(AO325=AO324,1+BZ324,1),"")</f>
        <v/>
      </c>
      <c r="CA325" s="381" t="str">
        <f t="shared" si="166"/>
        <v/>
      </c>
      <c r="CB325" s="322"/>
    </row>
    <row r="326" spans="2:80">
      <c r="B326" s="468" t="s">
        <v>1531</v>
      </c>
      <c r="C326" s="469" t="s">
        <v>1532</v>
      </c>
      <c r="D326" s="470" t="s">
        <v>441</v>
      </c>
      <c r="E326" s="327">
        <f>+SUMIF('AUX-NIV2'!I:I,'AUX-NIV3'!B326,'AUX-NIV2'!Q:Q)</f>
        <v>0</v>
      </c>
      <c r="F326" s="327">
        <f t="shared" si="119"/>
        <v>313.05694805450901</v>
      </c>
      <c r="G326" s="327">
        <f t="shared" si="120"/>
        <v>0</v>
      </c>
      <c r="H326" s="328" t="str">
        <f t="shared" si="168"/>
        <v>A</v>
      </c>
      <c r="I326" s="325" t="s">
        <v>3310</v>
      </c>
      <c r="J326" s="329" t="str">
        <f>IF(B326&lt;&gt;"",+VLOOKUP(I326,Recursos!C:F,2,FALSE),"")</f>
        <v>OFICIAL ESPECIALIZADO</v>
      </c>
      <c r="K326" s="330" t="str">
        <f>IF(B326&lt;&gt;"",+VLOOKUP(I326,Recursos!C:F,3,FALSE),"")</f>
        <v>hh</v>
      </c>
      <c r="L326" s="327">
        <f>IF(B326&lt;&gt;"",+VLOOKUP(I326,Recursos!C:F,4,FALSE),"")</f>
        <v>581.06120476836554</v>
      </c>
      <c r="M326" s="460">
        <f>+M324</f>
        <v>80</v>
      </c>
      <c r="N326" s="471"/>
      <c r="O326" s="459">
        <f>1/M326*N334</f>
        <v>1.4999999999999999E-2</v>
      </c>
      <c r="P326" s="333">
        <f t="shared" ref="P326:P389" si="174">IF(B326&lt;&gt;"",O326*L326,"")</f>
        <v>8.7159180715254827</v>
      </c>
      <c r="Q326" s="327">
        <f t="shared" ref="Q326:Q389" si="175">IF(B326&lt;&gt;"",+O326*E326,"")</f>
        <v>0</v>
      </c>
      <c r="R326" s="334">
        <f t="shared" ref="R326:R389" si="176">IF(B326&lt;&gt;"",Q326*L326,"")</f>
        <v>0</v>
      </c>
      <c r="S326" s="335">
        <f t="shared" si="121"/>
        <v>87.812429107755676</v>
      </c>
      <c r="T326" s="335">
        <f t="shared" si="122"/>
        <v>223.89451894675329</v>
      </c>
      <c r="U326" s="336">
        <f t="shared" si="123"/>
        <v>0</v>
      </c>
      <c r="V326" s="336">
        <f t="shared" si="124"/>
        <v>0</v>
      </c>
      <c r="W326" s="336">
        <f t="shared" si="125"/>
        <v>1.35</v>
      </c>
      <c r="X326" s="336">
        <f t="shared" si="126"/>
        <v>0</v>
      </c>
      <c r="Y326" s="320"/>
      <c r="Z326" s="321" t="str">
        <f t="shared" si="133"/>
        <v>X-AREA</v>
      </c>
      <c r="AA326" s="321" t="str">
        <f t="shared" si="134"/>
        <v>X-AREE</v>
      </c>
      <c r="AB326" s="321" t="str">
        <f t="shared" si="135"/>
        <v>X-AREM</v>
      </c>
      <c r="AC326" s="321" t="str">
        <f t="shared" si="136"/>
        <v>X-ARET</v>
      </c>
      <c r="AD326" s="321" t="str">
        <f t="shared" si="137"/>
        <v>X-ARES</v>
      </c>
      <c r="AE326" s="321" t="str">
        <f t="shared" si="138"/>
        <v>X-AREX</v>
      </c>
      <c r="AF326" s="321" t="str">
        <f t="shared" si="139"/>
        <v>X-AREA</v>
      </c>
      <c r="AG326" s="321">
        <f t="shared" si="127"/>
        <v>17</v>
      </c>
      <c r="AH326" s="321"/>
      <c r="AI326" s="321" t="str">
        <f t="shared" si="140"/>
        <v>X-ARE</v>
      </c>
      <c r="AJ326" s="320"/>
      <c r="AK326" s="322">
        <f t="shared" si="128"/>
        <v>322</v>
      </c>
      <c r="AL326" s="323">
        <f t="shared" si="141"/>
        <v>338</v>
      </c>
      <c r="AM326" s="322">
        <f t="shared" si="142"/>
        <v>5</v>
      </c>
      <c r="AN326" s="381">
        <f t="shared" si="129"/>
        <v>0.17794058248299321</v>
      </c>
      <c r="AO326" s="324"/>
      <c r="AP326" s="325"/>
      <c r="AQ326" s="326"/>
      <c r="AR326" s="327"/>
      <c r="AS326" s="327" t="str">
        <f t="shared" si="144"/>
        <v/>
      </c>
      <c r="AT326" s="327" t="str">
        <f t="shared" si="145"/>
        <v/>
      </c>
      <c r="AU326" s="328" t="str">
        <f t="shared" si="169"/>
        <v/>
      </c>
      <c r="AV326" s="325"/>
      <c r="AW326" s="329" t="str">
        <f>IF(AO326&lt;&gt;"",+VLOOKUP(AV326,Recursos!C:F,2,FALSE),"")</f>
        <v/>
      </c>
      <c r="AX326" s="330" t="str">
        <f>IF(AO326&lt;&gt;"",+VLOOKUP(AV326,Recursos!C:F,3,FALSE),"")</f>
        <v/>
      </c>
      <c r="AY326" s="327" t="str">
        <f>IF(AO326&lt;&gt;"",+VLOOKUP(AV326,Recursos!C:F,4,FALSE),"")</f>
        <v/>
      </c>
      <c r="AZ326" s="331"/>
      <c r="BA326" s="331"/>
      <c r="BB326" s="332"/>
      <c r="BC326" s="333" t="str">
        <f t="shared" si="146"/>
        <v/>
      </c>
      <c r="BD326" s="327" t="str">
        <f t="shared" si="147"/>
        <v/>
      </c>
      <c r="BE326" s="334" t="str">
        <f t="shared" si="148"/>
        <v/>
      </c>
      <c r="BF326" s="335" t="str">
        <f t="shared" si="149"/>
        <v/>
      </c>
      <c r="BG326" s="335" t="str">
        <f t="shared" si="150"/>
        <v/>
      </c>
      <c r="BH326" s="336" t="str">
        <f t="shared" si="151"/>
        <v/>
      </c>
      <c r="BI326" s="336" t="str">
        <f t="shared" si="152"/>
        <v/>
      </c>
      <c r="BJ326" s="336" t="str">
        <f t="shared" si="153"/>
        <v/>
      </c>
      <c r="BK326" s="336" t="str">
        <f t="shared" si="154"/>
        <v/>
      </c>
      <c r="BL326" s="320"/>
      <c r="BM326" s="321" t="str">
        <f t="shared" si="155"/>
        <v/>
      </c>
      <c r="BN326" s="321" t="str">
        <f t="shared" si="156"/>
        <v/>
      </c>
      <c r="BO326" s="321" t="str">
        <f t="shared" si="157"/>
        <v/>
      </c>
      <c r="BP326" s="321" t="str">
        <f t="shared" si="158"/>
        <v/>
      </c>
      <c r="BQ326" s="321" t="str">
        <f t="shared" si="159"/>
        <v/>
      </c>
      <c r="BR326" s="321" t="str">
        <f t="shared" si="160"/>
        <v/>
      </c>
      <c r="BS326" s="321" t="str">
        <f t="shared" si="161"/>
        <v/>
      </c>
      <c r="BT326" s="321" t="str">
        <f t="shared" si="162"/>
        <v/>
      </c>
      <c r="BU326" s="321"/>
      <c r="BV326" s="321" t="str">
        <f t="shared" si="163"/>
        <v/>
      </c>
      <c r="BW326" s="320"/>
      <c r="BX326" s="322" t="str">
        <f t="shared" si="164"/>
        <v/>
      </c>
      <c r="BY326" s="323" t="str">
        <f t="shared" si="165"/>
        <v/>
      </c>
      <c r="BZ326" s="322" t="str">
        <f>IF(AO326&lt;&gt;"",IF(AO326=AO325,1+BZ325,1),"")</f>
        <v/>
      </c>
      <c r="CA326" s="381" t="str">
        <f t="shared" si="166"/>
        <v/>
      </c>
      <c r="CB326" s="322"/>
    </row>
    <row r="327" spans="2:80">
      <c r="B327" s="468" t="s">
        <v>1531</v>
      </c>
      <c r="C327" s="469" t="s">
        <v>1532</v>
      </c>
      <c r="D327" s="470" t="s">
        <v>441</v>
      </c>
      <c r="E327" s="327">
        <f>+SUMIF('AUX-NIV2'!I:I,'AUX-NIV3'!B327,'AUX-NIV2'!Q:Q)</f>
        <v>0</v>
      </c>
      <c r="F327" s="327">
        <f t="shared" ref="F327:F390" si="177">IF(B327&lt;&gt;"",+SUMIF(B:B,B327,P:P),"")</f>
        <v>313.05694805450901</v>
      </c>
      <c r="G327" s="327">
        <f t="shared" ref="G327:G390" si="178">IF(B327&lt;&gt;"",+SUMIF(B:B,B327,R:R),"")</f>
        <v>0</v>
      </c>
      <c r="H327" s="328" t="str">
        <f t="shared" si="168"/>
        <v>A</v>
      </c>
      <c r="I327" s="325" t="s">
        <v>1746</v>
      </c>
      <c r="J327" s="329" t="str">
        <f>IF(B327&lt;&gt;"",+VLOOKUP(I327,Recursos!C:F,2,FALSE),"")</f>
        <v>OFICIAL</v>
      </c>
      <c r="K327" s="330" t="str">
        <f>IF(B327&lt;&gt;"",+VLOOKUP(I327,Recursos!C:F,3,FALSE),"")</f>
        <v>hh</v>
      </c>
      <c r="L327" s="327">
        <f>IF(B327&lt;&gt;"",+VLOOKUP(I327,Recursos!C:F,4,FALSE),"")</f>
        <v>496.91595439275824</v>
      </c>
      <c r="M327" s="462">
        <v>14</v>
      </c>
      <c r="N327" s="463">
        <v>1.25</v>
      </c>
      <c r="O327" s="459">
        <f>+N330*N327*(M327/150/1+1/M331+1/N331+3/60/M327)/M327*N327*(1-N338)</f>
        <v>2.4726296768707478E-2</v>
      </c>
      <c r="P327" s="333">
        <f t="shared" si="174"/>
        <v>12.286891357420851</v>
      </c>
      <c r="Q327" s="327">
        <f t="shared" si="175"/>
        <v>0</v>
      </c>
      <c r="R327" s="334">
        <f t="shared" si="176"/>
        <v>0</v>
      </c>
      <c r="S327" s="335">
        <f t="shared" ref="S327:S390" si="179">IF(B327&lt;&gt;"",+SUMIF($AF:$AF,Z327,$P:$P),"")</f>
        <v>87.812429107755676</v>
      </c>
      <c r="T327" s="335">
        <f t="shared" ref="T327:T390" si="180">IF(B327&lt;&gt;"",+SUMIF($AF:$AF,AA327,$P:$P),"")</f>
        <v>223.89451894675329</v>
      </c>
      <c r="U327" s="336">
        <f t="shared" ref="U327:U390" si="181">IF(B327&lt;&gt;"",+SUMIF($AF:$AF,AB327,$P:$P),"")</f>
        <v>0</v>
      </c>
      <c r="V327" s="336">
        <f t="shared" ref="V327:V390" si="182">IF(B327&lt;&gt;"",+SUMIF($AF:$AF,AC327,$P:$P),"")</f>
        <v>0</v>
      </c>
      <c r="W327" s="336">
        <f t="shared" ref="W327:W390" si="183">IF(B327&lt;&gt;"",+SUMIF($AF:$AF,AD327,$P:$P),"")</f>
        <v>1.35</v>
      </c>
      <c r="X327" s="336">
        <f t="shared" ref="X327:X390" si="184">IF(B327&lt;&gt;"",+SUMIF($AF:$AF,AE327,$P:$P),"")</f>
        <v>0</v>
      </c>
      <c r="Y327" s="320"/>
      <c r="Z327" s="321" t="str">
        <f t="shared" si="133"/>
        <v>X-AREA</v>
      </c>
      <c r="AA327" s="321" t="str">
        <f t="shared" si="134"/>
        <v>X-AREE</v>
      </c>
      <c r="AB327" s="321" t="str">
        <f t="shared" si="135"/>
        <v>X-AREM</v>
      </c>
      <c r="AC327" s="321" t="str">
        <f t="shared" si="136"/>
        <v>X-ARET</v>
      </c>
      <c r="AD327" s="321" t="str">
        <f t="shared" si="137"/>
        <v>X-ARES</v>
      </c>
      <c r="AE327" s="321" t="str">
        <f t="shared" si="138"/>
        <v>X-AREX</v>
      </c>
      <c r="AF327" s="321" t="str">
        <f t="shared" si="139"/>
        <v>X-AREA</v>
      </c>
      <c r="AG327" s="321">
        <f t="shared" ref="AG327:AG390" si="185">IF(B327&lt;&gt;"",+COUNTIF(B:B,B327),"")</f>
        <v>17</v>
      </c>
      <c r="AH327" s="321"/>
      <c r="AI327" s="321" t="str">
        <f t="shared" si="140"/>
        <v>X-ARE</v>
      </c>
      <c r="AJ327" s="320"/>
      <c r="AK327" s="322">
        <f t="shared" ref="AK327:AK390" si="186">IF(B327&lt;&gt;"",+MATCH(B327,B:B,0),"")</f>
        <v>322</v>
      </c>
      <c r="AL327" s="323">
        <f t="shared" si="141"/>
        <v>338</v>
      </c>
      <c r="AM327" s="322">
        <f t="shared" si="142"/>
        <v>6</v>
      </c>
      <c r="AN327" s="381">
        <f t="shared" ref="AN327:AN390" si="187">+IF(B327&lt;&gt;"",SUMIF(AF:AF,Z327,O:O),"")</f>
        <v>0.17794058248299321</v>
      </c>
      <c r="AO327" s="324"/>
      <c r="AP327" s="325"/>
      <c r="AQ327" s="326"/>
      <c r="AR327" s="327"/>
      <c r="AS327" s="327" t="str">
        <f t="shared" si="144"/>
        <v/>
      </c>
      <c r="AT327" s="327" t="str">
        <f t="shared" si="145"/>
        <v/>
      </c>
      <c r="AU327" s="328" t="str">
        <f t="shared" si="169"/>
        <v/>
      </c>
      <c r="AV327" s="325"/>
      <c r="AW327" s="329" t="str">
        <f>IF(AO327&lt;&gt;"",+VLOOKUP(AV327,Recursos!C:F,2,FALSE),"")</f>
        <v/>
      </c>
      <c r="AX327" s="330" t="str">
        <f>IF(AO327&lt;&gt;"",+VLOOKUP(AV327,Recursos!C:F,3,FALSE),"")</f>
        <v/>
      </c>
      <c r="AY327" s="327" t="str">
        <f>IF(AO327&lt;&gt;"",+VLOOKUP(AV327,Recursos!C:F,4,FALSE),"")</f>
        <v/>
      </c>
      <c r="AZ327" s="331"/>
      <c r="BA327" s="331"/>
      <c r="BB327" s="332"/>
      <c r="BC327" s="333" t="str">
        <f t="shared" si="146"/>
        <v/>
      </c>
      <c r="BD327" s="327" t="str">
        <f t="shared" si="147"/>
        <v/>
      </c>
      <c r="BE327" s="334" t="str">
        <f t="shared" si="148"/>
        <v/>
      </c>
      <c r="BF327" s="335" t="str">
        <f t="shared" si="149"/>
        <v/>
      </c>
      <c r="BG327" s="335" t="str">
        <f t="shared" si="150"/>
        <v/>
      </c>
      <c r="BH327" s="336" t="str">
        <f t="shared" si="151"/>
        <v/>
      </c>
      <c r="BI327" s="336" t="str">
        <f t="shared" si="152"/>
        <v/>
      </c>
      <c r="BJ327" s="336" t="str">
        <f t="shared" si="153"/>
        <v/>
      </c>
      <c r="BK327" s="336" t="str">
        <f t="shared" si="154"/>
        <v/>
      </c>
      <c r="BL327" s="320"/>
      <c r="BM327" s="321" t="str">
        <f t="shared" si="155"/>
        <v/>
      </c>
      <c r="BN327" s="321" t="str">
        <f t="shared" si="156"/>
        <v/>
      </c>
      <c r="BO327" s="321" t="str">
        <f t="shared" si="157"/>
        <v/>
      </c>
      <c r="BP327" s="321" t="str">
        <f t="shared" si="158"/>
        <v/>
      </c>
      <c r="BQ327" s="321" t="str">
        <f t="shared" si="159"/>
        <v/>
      </c>
      <c r="BR327" s="321" t="str">
        <f t="shared" si="160"/>
        <v/>
      </c>
      <c r="BS327" s="321" t="str">
        <f t="shared" si="161"/>
        <v/>
      </c>
      <c r="BT327" s="321" t="str">
        <f t="shared" si="162"/>
        <v/>
      </c>
      <c r="BU327" s="321"/>
      <c r="BV327" s="321" t="str">
        <f t="shared" si="163"/>
        <v/>
      </c>
      <c r="BW327" s="320"/>
      <c r="BX327" s="322" t="str">
        <f t="shared" si="164"/>
        <v/>
      </c>
      <c r="BY327" s="323" t="str">
        <f t="shared" si="165"/>
        <v/>
      </c>
      <c r="BZ327" s="322" t="str">
        <f>IF(AO327&lt;&gt;"",IF(AO327=AO326,1+BZ326,1),"")</f>
        <v/>
      </c>
      <c r="CA327" s="381" t="str">
        <f t="shared" si="166"/>
        <v/>
      </c>
      <c r="CB327" s="322"/>
    </row>
    <row r="328" spans="2:80">
      <c r="B328" s="468" t="s">
        <v>1531</v>
      </c>
      <c r="C328" s="469" t="s">
        <v>1532</v>
      </c>
      <c r="D328" s="470" t="s">
        <v>441</v>
      </c>
      <c r="E328" s="327">
        <f>+SUMIF('AUX-NIV2'!I:I,'AUX-NIV3'!B328,'AUX-NIV2'!Q:Q)</f>
        <v>0</v>
      </c>
      <c r="F328" s="327">
        <f t="shared" si="177"/>
        <v>313.05694805450901</v>
      </c>
      <c r="G328" s="327">
        <f t="shared" si="178"/>
        <v>0</v>
      </c>
      <c r="H328" s="328" t="str">
        <f t="shared" si="168"/>
        <v>A</v>
      </c>
      <c r="I328" s="325" t="s">
        <v>3310</v>
      </c>
      <c r="J328" s="329" t="str">
        <f>IF(B328&lt;&gt;"",+VLOOKUP(I328,Recursos!C:F,2,FALSE),"")</f>
        <v>OFICIAL ESPECIALIZADO</v>
      </c>
      <c r="K328" s="330" t="str">
        <f>IF(B328&lt;&gt;"",+VLOOKUP(I328,Recursos!C:F,3,FALSE),"")</f>
        <v>hh</v>
      </c>
      <c r="L328" s="327">
        <f>IF(B328&lt;&gt;"",+VLOOKUP(I328,Recursos!C:F,4,FALSE),"")</f>
        <v>581.06120476836554</v>
      </c>
      <c r="M328" s="460">
        <f>+M326</f>
        <v>80</v>
      </c>
      <c r="N328" s="471"/>
      <c r="O328" s="459">
        <f>1/M328*N334</f>
        <v>1.4999999999999999E-2</v>
      </c>
      <c r="P328" s="333">
        <f t="shared" si="174"/>
        <v>8.7159180715254827</v>
      </c>
      <c r="Q328" s="327">
        <f t="shared" si="175"/>
        <v>0</v>
      </c>
      <c r="R328" s="334">
        <f t="shared" si="176"/>
        <v>0</v>
      </c>
      <c r="S328" s="335">
        <f t="shared" si="179"/>
        <v>87.812429107755676</v>
      </c>
      <c r="T328" s="335">
        <f t="shared" si="180"/>
        <v>223.89451894675329</v>
      </c>
      <c r="U328" s="336">
        <f t="shared" si="181"/>
        <v>0</v>
      </c>
      <c r="V328" s="336">
        <f t="shared" si="182"/>
        <v>0</v>
      </c>
      <c r="W328" s="336">
        <f t="shared" si="183"/>
        <v>1.35</v>
      </c>
      <c r="X328" s="336">
        <f t="shared" si="184"/>
        <v>0</v>
      </c>
      <c r="Y328" s="320"/>
      <c r="Z328" s="321" t="str">
        <f t="shared" ref="Z328:Z391" si="188">IF(B328&lt;&gt;"",+$B328&amp;"A","")</f>
        <v>X-AREA</v>
      </c>
      <c r="AA328" s="321" t="str">
        <f t="shared" ref="AA328:AA391" si="189">IF(B328&lt;&gt;"",+$B328&amp;"E","")</f>
        <v>X-AREE</v>
      </c>
      <c r="AB328" s="321" t="str">
        <f t="shared" ref="AB328:AB391" si="190">IF(B328&lt;&gt;"",++$B328&amp;"M","")</f>
        <v>X-AREM</v>
      </c>
      <c r="AC328" s="321" t="str">
        <f t="shared" ref="AC328:AC391" si="191">IF(B328&lt;&gt;"",+$B328&amp;"T","")</f>
        <v>X-ARET</v>
      </c>
      <c r="AD328" s="321" t="str">
        <f t="shared" ref="AD328:AD391" si="192">IF(B328&lt;&gt;"",+$B328&amp;"S","")</f>
        <v>X-ARES</v>
      </c>
      <c r="AE328" s="321" t="str">
        <f t="shared" ref="AE328:AE391" si="193">IF(B328&lt;&gt;"",+$B328&amp;"X","")</f>
        <v>X-AREX</v>
      </c>
      <c r="AF328" s="321" t="str">
        <f t="shared" ref="AF328:AF391" si="194">IF(B328&lt;&gt;"",+B328&amp;H328,"")</f>
        <v>X-AREA</v>
      </c>
      <c r="AG328" s="321">
        <f t="shared" si="185"/>
        <v>17</v>
      </c>
      <c r="AH328" s="321"/>
      <c r="AI328" s="321" t="str">
        <f t="shared" ref="AI328:AI391" si="195">IF(B328&lt;&gt;"",+B328,"")</f>
        <v>X-ARE</v>
      </c>
      <c r="AJ328" s="320"/>
      <c r="AK328" s="322">
        <f t="shared" si="186"/>
        <v>322</v>
      </c>
      <c r="AL328" s="323">
        <f t="shared" ref="AL328:AL391" si="196">IF(B328&lt;&gt;"",+AK328+AG328-1,"")</f>
        <v>338</v>
      </c>
      <c r="AM328" s="322">
        <f t="shared" ref="AM328:AM391" si="197">IF(B328&lt;&gt;"",IF(B328=B327,1+AM327,1),"")</f>
        <v>7</v>
      </c>
      <c r="AN328" s="381">
        <f t="shared" si="187"/>
        <v>0.17794058248299321</v>
      </c>
      <c r="BX328" s="302"/>
      <c r="BY328" s="304"/>
      <c r="BZ328" s="302"/>
      <c r="CA328" s="302"/>
      <c r="CB328" s="302"/>
    </row>
    <row r="329" spans="2:80">
      <c r="B329" s="468" t="s">
        <v>1531</v>
      </c>
      <c r="C329" s="469" t="s">
        <v>1532</v>
      </c>
      <c r="D329" s="470" t="s">
        <v>441</v>
      </c>
      <c r="E329" s="327">
        <f>+SUMIF('AUX-NIV2'!I:I,'AUX-NIV3'!B329,'AUX-NIV2'!Q:Q)</f>
        <v>0</v>
      </c>
      <c r="F329" s="327">
        <f t="shared" si="177"/>
        <v>313.05694805450901</v>
      </c>
      <c r="G329" s="327">
        <f t="shared" si="178"/>
        <v>0</v>
      </c>
      <c r="H329" s="328" t="str">
        <f t="shared" si="168"/>
        <v>E</v>
      </c>
      <c r="I329" s="325" t="s">
        <v>1543</v>
      </c>
      <c r="J329" s="329" t="str">
        <f>IF(B329&lt;&gt;"",+VLOOKUP(I329,Recursos!C:F,2,FALSE),"")</f>
        <v>CARGADOR FRONTAL S/NEUM. (3,00 M3)</v>
      </c>
      <c r="K329" s="330" t="str">
        <f>IF(B329&lt;&gt;"",+VLOOKUP(I329,Recursos!C:F,3,FALSE),"")</f>
        <v>HR</v>
      </c>
      <c r="L329" s="327">
        <f>IF(B329&lt;&gt;"",+VLOOKUP(I329,Recursos!C:F,4,FALSE),"")</f>
        <v>4370.2094545454547</v>
      </c>
      <c r="M329" s="460">
        <f>+M328</f>
        <v>80</v>
      </c>
      <c r="N329" s="463">
        <v>1</v>
      </c>
      <c r="O329" s="459">
        <f>+N329/M329*N334</f>
        <v>1.4999999999999999E-2</v>
      </c>
      <c r="P329" s="333">
        <f t="shared" si="174"/>
        <v>65.553141818181814</v>
      </c>
      <c r="Q329" s="327">
        <f t="shared" si="175"/>
        <v>0</v>
      </c>
      <c r="R329" s="334">
        <f t="shared" si="176"/>
        <v>0</v>
      </c>
      <c r="S329" s="335">
        <f t="shared" si="179"/>
        <v>87.812429107755676</v>
      </c>
      <c r="T329" s="335">
        <f t="shared" si="180"/>
        <v>223.89451894675329</v>
      </c>
      <c r="U329" s="336">
        <f t="shared" si="181"/>
        <v>0</v>
      </c>
      <c r="V329" s="336">
        <f t="shared" si="182"/>
        <v>0</v>
      </c>
      <c r="W329" s="336">
        <f t="shared" si="183"/>
        <v>1.35</v>
      </c>
      <c r="X329" s="336">
        <f t="shared" si="184"/>
        <v>0</v>
      </c>
      <c r="Y329" s="320"/>
      <c r="Z329" s="321" t="str">
        <f t="shared" si="188"/>
        <v>X-AREA</v>
      </c>
      <c r="AA329" s="321" t="str">
        <f t="shared" si="189"/>
        <v>X-AREE</v>
      </c>
      <c r="AB329" s="321" t="str">
        <f t="shared" si="190"/>
        <v>X-AREM</v>
      </c>
      <c r="AC329" s="321" t="str">
        <f t="shared" si="191"/>
        <v>X-ARET</v>
      </c>
      <c r="AD329" s="321" t="str">
        <f t="shared" si="192"/>
        <v>X-ARES</v>
      </c>
      <c r="AE329" s="321" t="str">
        <f t="shared" si="193"/>
        <v>X-AREX</v>
      </c>
      <c r="AF329" s="321" t="str">
        <f t="shared" si="194"/>
        <v>X-AREE</v>
      </c>
      <c r="AG329" s="321">
        <f t="shared" si="185"/>
        <v>17</v>
      </c>
      <c r="AH329" s="321"/>
      <c r="AI329" s="321" t="str">
        <f t="shared" si="195"/>
        <v>X-ARE</v>
      </c>
      <c r="AJ329" s="320"/>
      <c r="AK329" s="322">
        <f t="shared" si="186"/>
        <v>322</v>
      </c>
      <c r="AL329" s="323">
        <f t="shared" si="196"/>
        <v>338</v>
      </c>
      <c r="AM329" s="322">
        <f t="shared" si="197"/>
        <v>8</v>
      </c>
      <c r="AN329" s="381">
        <f t="shared" si="187"/>
        <v>0.17794058248299321</v>
      </c>
      <c r="BX329" s="302"/>
      <c r="BY329" s="304"/>
      <c r="BZ329" s="302"/>
      <c r="CA329" s="302"/>
      <c r="CB329" s="302"/>
    </row>
    <row r="330" spans="2:80">
      <c r="B330" s="468" t="s">
        <v>1531</v>
      </c>
      <c r="C330" s="469" t="s">
        <v>1532</v>
      </c>
      <c r="D330" s="470" t="s">
        <v>441</v>
      </c>
      <c r="E330" s="327">
        <f>+SUMIF('AUX-NIV2'!I:I,'AUX-NIV3'!B330,'AUX-NIV2'!Q:Q)</f>
        <v>0</v>
      </c>
      <c r="F330" s="327">
        <f t="shared" si="177"/>
        <v>313.05694805450901</v>
      </c>
      <c r="G330" s="327">
        <f t="shared" si="178"/>
        <v>0</v>
      </c>
      <c r="H330" s="328" t="str">
        <f t="shared" si="168"/>
        <v>E</v>
      </c>
      <c r="I330" s="325" t="s">
        <v>1553</v>
      </c>
      <c r="J330" s="329" t="str">
        <f>IF(B330&lt;&gt;"",+VLOOKUP(I330,Recursos!C:F,2,FALSE),"")</f>
        <v>RETROEXCAVADORA S/CARRILES  1,1 M3</v>
      </c>
      <c r="K330" s="330" t="str">
        <f>IF(B330&lt;&gt;"",+VLOOKUP(I330,Recursos!C:F,3,FALSE),"")</f>
        <v>HR</v>
      </c>
      <c r="L330" s="327">
        <f>IF(B330&lt;&gt;"",+VLOOKUP(I330,Recursos!C:F,4,FALSE),"")</f>
        <v>3248.7120000000004</v>
      </c>
      <c r="M330" s="460">
        <f>+M338</f>
        <v>1.35</v>
      </c>
      <c r="N330" s="463">
        <v>1.5</v>
      </c>
      <c r="O330" s="459">
        <f>+N325/M325</f>
        <v>1.9285714285714288E-2</v>
      </c>
      <c r="P330" s="333">
        <f t="shared" si="174"/>
        <v>62.653731428571447</v>
      </c>
      <c r="Q330" s="327">
        <f t="shared" si="175"/>
        <v>0</v>
      </c>
      <c r="R330" s="334">
        <f t="shared" si="176"/>
        <v>0</v>
      </c>
      <c r="S330" s="335">
        <f t="shared" si="179"/>
        <v>87.812429107755676</v>
      </c>
      <c r="T330" s="335">
        <f t="shared" si="180"/>
        <v>223.89451894675329</v>
      </c>
      <c r="U330" s="336">
        <f t="shared" si="181"/>
        <v>0</v>
      </c>
      <c r="V330" s="336">
        <f t="shared" si="182"/>
        <v>0</v>
      </c>
      <c r="W330" s="336">
        <f t="shared" si="183"/>
        <v>1.35</v>
      </c>
      <c r="X330" s="336">
        <f t="shared" si="184"/>
        <v>0</v>
      </c>
      <c r="Y330" s="320"/>
      <c r="Z330" s="321" t="str">
        <f t="shared" si="188"/>
        <v>X-AREA</v>
      </c>
      <c r="AA330" s="321" t="str">
        <f t="shared" si="189"/>
        <v>X-AREE</v>
      </c>
      <c r="AB330" s="321" t="str">
        <f t="shared" si="190"/>
        <v>X-AREM</v>
      </c>
      <c r="AC330" s="321" t="str">
        <f t="shared" si="191"/>
        <v>X-ARET</v>
      </c>
      <c r="AD330" s="321" t="str">
        <f t="shared" si="192"/>
        <v>X-ARES</v>
      </c>
      <c r="AE330" s="321" t="str">
        <f t="shared" si="193"/>
        <v>X-AREX</v>
      </c>
      <c r="AF330" s="321" t="str">
        <f t="shared" si="194"/>
        <v>X-AREE</v>
      </c>
      <c r="AG330" s="321">
        <f t="shared" si="185"/>
        <v>17</v>
      </c>
      <c r="AH330" s="321"/>
      <c r="AI330" s="321" t="str">
        <f t="shared" si="195"/>
        <v>X-ARE</v>
      </c>
      <c r="AJ330" s="320"/>
      <c r="AK330" s="322">
        <f t="shared" si="186"/>
        <v>322</v>
      </c>
      <c r="AL330" s="323">
        <f t="shared" si="196"/>
        <v>338</v>
      </c>
      <c r="AM330" s="322">
        <f t="shared" si="197"/>
        <v>9</v>
      </c>
      <c r="AN330" s="381">
        <f t="shared" si="187"/>
        <v>0.17794058248299321</v>
      </c>
      <c r="BX330" s="302"/>
      <c r="BY330" s="304"/>
      <c r="BZ330" s="302"/>
      <c r="CA330" s="302"/>
      <c r="CB330" s="302"/>
    </row>
    <row r="331" spans="2:80">
      <c r="B331" s="468" t="s">
        <v>1531</v>
      </c>
      <c r="C331" s="469" t="s">
        <v>1532</v>
      </c>
      <c r="D331" s="470" t="s">
        <v>441</v>
      </c>
      <c r="E331" s="327">
        <f>+SUMIF('AUX-NIV2'!I:I,'AUX-NIV3'!B331,'AUX-NIV2'!Q:Q)</f>
        <v>0</v>
      </c>
      <c r="F331" s="327">
        <f t="shared" si="177"/>
        <v>313.05694805450901</v>
      </c>
      <c r="G331" s="327">
        <f t="shared" si="178"/>
        <v>0</v>
      </c>
      <c r="H331" s="328" t="str">
        <f t="shared" si="168"/>
        <v>E</v>
      </c>
      <c r="I331" s="325" t="s">
        <v>1555</v>
      </c>
      <c r="J331" s="329" t="str">
        <f>IF(B331&lt;&gt;"",+VLOOKUP(I331,Recursos!C:F,2,FALSE),"")</f>
        <v>CAMION VOLCADOR 6x4 CAP. 24 T=15 m3</v>
      </c>
      <c r="K331" s="330" t="str">
        <f>IF(B331&lt;&gt;"",+VLOOKUP(I331,Recursos!C:F,3,FALSE),"")</f>
        <v>HR</v>
      </c>
      <c r="L331" s="327">
        <f>IF(B331&lt;&gt;"",+VLOOKUP(I331,Recursos!C:F,4,FALSE),"")</f>
        <v>3333.261</v>
      </c>
      <c r="M331" s="462">
        <v>45</v>
      </c>
      <c r="N331" s="463">
        <v>35</v>
      </c>
      <c r="O331" s="459">
        <f>+N330*N327*(M327/150/1+1/M331+1/N331+3/60/M327)/M327*(1-1)</f>
        <v>0</v>
      </c>
      <c r="P331" s="333">
        <f t="shared" si="174"/>
        <v>0</v>
      </c>
      <c r="Q331" s="327">
        <f t="shared" si="175"/>
        <v>0</v>
      </c>
      <c r="R331" s="334">
        <f t="shared" si="176"/>
        <v>0</v>
      </c>
      <c r="S331" s="335">
        <f t="shared" si="179"/>
        <v>87.812429107755676</v>
      </c>
      <c r="T331" s="335">
        <f t="shared" si="180"/>
        <v>223.89451894675329</v>
      </c>
      <c r="U331" s="336">
        <f t="shared" si="181"/>
        <v>0</v>
      </c>
      <c r="V331" s="336">
        <f t="shared" si="182"/>
        <v>0</v>
      </c>
      <c r="W331" s="336">
        <f t="shared" si="183"/>
        <v>1.35</v>
      </c>
      <c r="X331" s="336">
        <f t="shared" si="184"/>
        <v>0</v>
      </c>
      <c r="Y331" s="320"/>
      <c r="Z331" s="321" t="str">
        <f t="shared" si="188"/>
        <v>X-AREA</v>
      </c>
      <c r="AA331" s="321" t="str">
        <f t="shared" si="189"/>
        <v>X-AREE</v>
      </c>
      <c r="AB331" s="321" t="str">
        <f t="shared" si="190"/>
        <v>X-AREM</v>
      </c>
      <c r="AC331" s="321" t="str">
        <f t="shared" si="191"/>
        <v>X-ARET</v>
      </c>
      <c r="AD331" s="321" t="str">
        <f t="shared" si="192"/>
        <v>X-ARES</v>
      </c>
      <c r="AE331" s="321" t="str">
        <f t="shared" si="193"/>
        <v>X-AREX</v>
      </c>
      <c r="AF331" s="321" t="str">
        <f t="shared" si="194"/>
        <v>X-AREE</v>
      </c>
      <c r="AG331" s="321">
        <f t="shared" si="185"/>
        <v>17</v>
      </c>
      <c r="AH331" s="321"/>
      <c r="AI331" s="321" t="str">
        <f t="shared" si="195"/>
        <v>X-ARE</v>
      </c>
      <c r="AJ331" s="320"/>
      <c r="AK331" s="322">
        <f t="shared" si="186"/>
        <v>322</v>
      </c>
      <c r="AL331" s="323">
        <f t="shared" si="196"/>
        <v>338</v>
      </c>
      <c r="AM331" s="322">
        <f t="shared" si="197"/>
        <v>10</v>
      </c>
      <c r="AN331" s="381">
        <f t="shared" si="187"/>
        <v>0.17794058248299321</v>
      </c>
      <c r="BX331" s="302"/>
      <c r="BY331" s="304"/>
      <c r="BZ331" s="302"/>
      <c r="CA331" s="302"/>
      <c r="CB331" s="302"/>
    </row>
    <row r="332" spans="2:80">
      <c r="B332" s="468" t="s">
        <v>1531</v>
      </c>
      <c r="C332" s="469" t="s">
        <v>1532</v>
      </c>
      <c r="D332" s="470" t="s">
        <v>441</v>
      </c>
      <c r="E332" s="327">
        <f>+SUMIF('AUX-NIV2'!I:I,'AUX-NIV3'!B332,'AUX-NIV2'!Q:Q)</f>
        <v>0</v>
      </c>
      <c r="F332" s="327">
        <f t="shared" si="177"/>
        <v>313.05694805450901</v>
      </c>
      <c r="G332" s="327">
        <f t="shared" si="178"/>
        <v>0</v>
      </c>
      <c r="H332" s="328" t="str">
        <f t="shared" si="168"/>
        <v>E</v>
      </c>
      <c r="I332" s="325" t="s">
        <v>1527</v>
      </c>
      <c r="J332" s="329" t="str">
        <f>IF(B332&lt;&gt;"",+VLOOKUP(I332,Recursos!C:F,2,FALSE),"")</f>
        <v>GRUPO ELECTROGENO 455 KVA-364 KW</v>
      </c>
      <c r="K332" s="330" t="str">
        <f>IF(B332&lt;&gt;"",+VLOOKUP(I332,Recursos!C:F,3,FALSE),"")</f>
        <v>HR</v>
      </c>
      <c r="L332" s="327">
        <f>IF(B332&lt;&gt;"",+VLOOKUP(I332,Recursos!C:F,4,FALSE),"")</f>
        <v>5499.5053800000005</v>
      </c>
      <c r="M332" s="460">
        <f>+M333</f>
        <v>80</v>
      </c>
      <c r="N332" s="466">
        <f>+N333</f>
        <v>1.2</v>
      </c>
      <c r="O332" s="459">
        <f>+N332/M332</f>
        <v>1.4999999999999999E-2</v>
      </c>
      <c r="P332" s="333">
        <f t="shared" si="174"/>
        <v>82.492580700000005</v>
      </c>
      <c r="Q332" s="327">
        <f t="shared" si="175"/>
        <v>0</v>
      </c>
      <c r="R332" s="334">
        <f t="shared" si="176"/>
        <v>0</v>
      </c>
      <c r="S332" s="335">
        <f t="shared" si="179"/>
        <v>87.812429107755676</v>
      </c>
      <c r="T332" s="335">
        <f t="shared" si="180"/>
        <v>223.89451894675329</v>
      </c>
      <c r="U332" s="336">
        <f t="shared" si="181"/>
        <v>0</v>
      </c>
      <c r="V332" s="336">
        <f t="shared" si="182"/>
        <v>0</v>
      </c>
      <c r="W332" s="336">
        <f t="shared" si="183"/>
        <v>1.35</v>
      </c>
      <c r="X332" s="336">
        <f t="shared" si="184"/>
        <v>0</v>
      </c>
      <c r="Y332" s="320"/>
      <c r="Z332" s="321" t="str">
        <f t="shared" si="188"/>
        <v>X-AREA</v>
      </c>
      <c r="AA332" s="321" t="str">
        <f t="shared" si="189"/>
        <v>X-AREE</v>
      </c>
      <c r="AB332" s="321" t="str">
        <f t="shared" si="190"/>
        <v>X-AREM</v>
      </c>
      <c r="AC332" s="321" t="str">
        <f t="shared" si="191"/>
        <v>X-ARET</v>
      </c>
      <c r="AD332" s="321" t="str">
        <f t="shared" si="192"/>
        <v>X-ARES</v>
      </c>
      <c r="AE332" s="321" t="str">
        <f t="shared" si="193"/>
        <v>X-AREX</v>
      </c>
      <c r="AF332" s="321" t="str">
        <f t="shared" si="194"/>
        <v>X-AREE</v>
      </c>
      <c r="AG332" s="321">
        <f t="shared" si="185"/>
        <v>17</v>
      </c>
      <c r="AH332" s="321"/>
      <c r="AI332" s="321" t="str">
        <f t="shared" si="195"/>
        <v>X-ARE</v>
      </c>
      <c r="AJ332" s="320"/>
      <c r="AK332" s="322">
        <f t="shared" si="186"/>
        <v>322</v>
      </c>
      <c r="AL332" s="323">
        <f t="shared" si="196"/>
        <v>338</v>
      </c>
      <c r="AM332" s="322">
        <f t="shared" si="197"/>
        <v>11</v>
      </c>
      <c r="AN332" s="381">
        <f t="shared" si="187"/>
        <v>0.17794058248299321</v>
      </c>
      <c r="BX332" s="302"/>
      <c r="BY332" s="304"/>
      <c r="BZ332" s="302"/>
      <c r="CA332" s="302"/>
      <c r="CB332" s="302"/>
    </row>
    <row r="333" spans="2:80">
      <c r="B333" s="468" t="s">
        <v>1531</v>
      </c>
      <c r="C333" s="469" t="s">
        <v>1532</v>
      </c>
      <c r="D333" s="470" t="s">
        <v>441</v>
      </c>
      <c r="E333" s="327">
        <f>+SUMIF('AUX-NIV2'!I:I,'AUX-NIV3'!B333,'AUX-NIV2'!Q:Q)</f>
        <v>0</v>
      </c>
      <c r="F333" s="327">
        <f t="shared" si="177"/>
        <v>313.05694805450901</v>
      </c>
      <c r="G333" s="327">
        <f t="shared" si="178"/>
        <v>0</v>
      </c>
      <c r="H333" s="328" t="str">
        <f t="shared" si="168"/>
        <v>E</v>
      </c>
      <c r="I333" s="325" t="s">
        <v>1600</v>
      </c>
      <c r="J333" s="329" t="str">
        <f>IF(B333&lt;&gt;"",+VLOOKUP(I333,Recursos!C:F,2,FALSE),"")</f>
        <v>ELECTROBOMBA 9 KW</v>
      </c>
      <c r="K333" s="330" t="str">
        <f>IF(B333&lt;&gt;"",+VLOOKUP(I333,Recursos!C:F,3,FALSE),"")</f>
        <v>HR</v>
      </c>
      <c r="L333" s="327">
        <f>IF(B333&lt;&gt;"",+VLOOKUP(I333,Recursos!C:F,4,FALSE),"")</f>
        <v>85.722000000000008</v>
      </c>
      <c r="M333" s="460">
        <f>+M334</f>
        <v>80</v>
      </c>
      <c r="N333" s="466">
        <f>+N334</f>
        <v>1.2</v>
      </c>
      <c r="O333" s="459">
        <f>+N333/M333</f>
        <v>1.4999999999999999E-2</v>
      </c>
      <c r="P333" s="333">
        <f t="shared" si="174"/>
        <v>1.28583</v>
      </c>
      <c r="Q333" s="327">
        <f t="shared" si="175"/>
        <v>0</v>
      </c>
      <c r="R333" s="334">
        <f t="shared" si="176"/>
        <v>0</v>
      </c>
      <c r="S333" s="335">
        <f t="shared" si="179"/>
        <v>87.812429107755676</v>
      </c>
      <c r="T333" s="335">
        <f t="shared" si="180"/>
        <v>223.89451894675329</v>
      </c>
      <c r="U333" s="336">
        <f t="shared" si="181"/>
        <v>0</v>
      </c>
      <c r="V333" s="336">
        <f t="shared" si="182"/>
        <v>0</v>
      </c>
      <c r="W333" s="336">
        <f t="shared" si="183"/>
        <v>1.35</v>
      </c>
      <c r="X333" s="336">
        <f t="shared" si="184"/>
        <v>0</v>
      </c>
      <c r="Y333" s="320"/>
      <c r="Z333" s="321" t="str">
        <f t="shared" si="188"/>
        <v>X-AREA</v>
      </c>
      <c r="AA333" s="321" t="str">
        <f t="shared" si="189"/>
        <v>X-AREE</v>
      </c>
      <c r="AB333" s="321" t="str">
        <f t="shared" si="190"/>
        <v>X-AREM</v>
      </c>
      <c r="AC333" s="321" t="str">
        <f t="shared" si="191"/>
        <v>X-ARET</v>
      </c>
      <c r="AD333" s="321" t="str">
        <f t="shared" si="192"/>
        <v>X-ARES</v>
      </c>
      <c r="AE333" s="321" t="str">
        <f t="shared" si="193"/>
        <v>X-AREX</v>
      </c>
      <c r="AF333" s="321" t="str">
        <f t="shared" si="194"/>
        <v>X-AREE</v>
      </c>
      <c r="AG333" s="321">
        <f t="shared" si="185"/>
        <v>17</v>
      </c>
      <c r="AH333" s="321"/>
      <c r="AI333" s="321" t="str">
        <f t="shared" si="195"/>
        <v>X-ARE</v>
      </c>
      <c r="AJ333" s="320"/>
      <c r="AK333" s="322">
        <f t="shared" si="186"/>
        <v>322</v>
      </c>
      <c r="AL333" s="323">
        <f t="shared" si="196"/>
        <v>338</v>
      </c>
      <c r="AM333" s="322">
        <f t="shared" si="197"/>
        <v>12</v>
      </c>
      <c r="AN333" s="381">
        <f t="shared" si="187"/>
        <v>0.17794058248299321</v>
      </c>
      <c r="BX333" s="302"/>
      <c r="BY333" s="304"/>
      <c r="BZ333" s="302"/>
      <c r="CA333" s="302"/>
      <c r="CB333" s="302"/>
    </row>
    <row r="334" spans="2:80">
      <c r="B334" s="468" t="s">
        <v>1531</v>
      </c>
      <c r="C334" s="469" t="s">
        <v>1532</v>
      </c>
      <c r="D334" s="470" t="s">
        <v>441</v>
      </c>
      <c r="E334" s="327">
        <f>+SUMIF('AUX-NIV2'!I:I,'AUX-NIV3'!B334,'AUX-NIV2'!Q:Q)</f>
        <v>0</v>
      </c>
      <c r="F334" s="327">
        <f t="shared" si="177"/>
        <v>313.05694805450901</v>
      </c>
      <c r="G334" s="327">
        <f t="shared" si="178"/>
        <v>0</v>
      </c>
      <c r="H334" s="328" t="str">
        <f t="shared" si="168"/>
        <v>E</v>
      </c>
      <c r="I334" s="325" t="s">
        <v>1606</v>
      </c>
      <c r="J334" s="329" t="str">
        <f>IF(B334&lt;&gt;"",+VLOOKUP(I334,Recursos!C:F,2,FALSE),"")</f>
        <v>PLANTA DE ZARANDEO 100/175 T/H</v>
      </c>
      <c r="K334" s="330" t="str">
        <f>IF(B334&lt;&gt;"",+VLOOKUP(I334,Recursos!C:F,3,FALSE),"")</f>
        <v>HR</v>
      </c>
      <c r="L334" s="327">
        <f>IF(B334&lt;&gt;"",+VLOOKUP(I334,Recursos!C:F,4,FALSE),"")</f>
        <v>793.94899999999996</v>
      </c>
      <c r="M334" s="462">
        <v>80</v>
      </c>
      <c r="N334" s="463">
        <v>1.2</v>
      </c>
      <c r="O334" s="459">
        <f>+N334/M334</f>
        <v>1.4999999999999999E-2</v>
      </c>
      <c r="P334" s="333">
        <f t="shared" si="174"/>
        <v>11.909234999999999</v>
      </c>
      <c r="Q334" s="327">
        <f t="shared" si="175"/>
        <v>0</v>
      </c>
      <c r="R334" s="334">
        <f t="shared" si="176"/>
        <v>0</v>
      </c>
      <c r="S334" s="335">
        <f t="shared" si="179"/>
        <v>87.812429107755676</v>
      </c>
      <c r="T334" s="335">
        <f t="shared" si="180"/>
        <v>223.89451894675329</v>
      </c>
      <c r="U334" s="336">
        <f t="shared" si="181"/>
        <v>0</v>
      </c>
      <c r="V334" s="336">
        <f t="shared" si="182"/>
        <v>0</v>
      </c>
      <c r="W334" s="336">
        <f t="shared" si="183"/>
        <v>1.35</v>
      </c>
      <c r="X334" s="336">
        <f t="shared" si="184"/>
        <v>0</v>
      </c>
      <c r="Y334" s="320"/>
      <c r="Z334" s="321" t="str">
        <f t="shared" si="188"/>
        <v>X-AREA</v>
      </c>
      <c r="AA334" s="321" t="str">
        <f t="shared" si="189"/>
        <v>X-AREE</v>
      </c>
      <c r="AB334" s="321" t="str">
        <f t="shared" si="190"/>
        <v>X-AREM</v>
      </c>
      <c r="AC334" s="321" t="str">
        <f t="shared" si="191"/>
        <v>X-ARET</v>
      </c>
      <c r="AD334" s="321" t="str">
        <f t="shared" si="192"/>
        <v>X-ARES</v>
      </c>
      <c r="AE334" s="321" t="str">
        <f t="shared" si="193"/>
        <v>X-AREX</v>
      </c>
      <c r="AF334" s="321" t="str">
        <f t="shared" si="194"/>
        <v>X-AREE</v>
      </c>
      <c r="AG334" s="321">
        <f t="shared" si="185"/>
        <v>17</v>
      </c>
      <c r="AH334" s="321"/>
      <c r="AI334" s="321" t="str">
        <f t="shared" si="195"/>
        <v>X-ARE</v>
      </c>
      <c r="AJ334" s="320"/>
      <c r="AK334" s="322">
        <f t="shared" si="186"/>
        <v>322</v>
      </c>
      <c r="AL334" s="323">
        <f t="shared" si="196"/>
        <v>338</v>
      </c>
      <c r="AM334" s="322">
        <f t="shared" si="197"/>
        <v>13</v>
      </c>
      <c r="AN334" s="381">
        <f t="shared" si="187"/>
        <v>0.17794058248299321</v>
      </c>
      <c r="BX334" s="302"/>
      <c r="BY334" s="304"/>
      <c r="BZ334" s="302"/>
      <c r="CA334" s="302"/>
      <c r="CB334" s="302"/>
    </row>
    <row r="335" spans="2:80">
      <c r="B335" s="468" t="s">
        <v>1531</v>
      </c>
      <c r="C335" s="469" t="s">
        <v>1532</v>
      </c>
      <c r="D335" s="470" t="s">
        <v>441</v>
      </c>
      <c r="E335" s="327">
        <f>+SUMIF('AUX-NIV2'!I:I,'AUX-NIV3'!B335,'AUX-NIV2'!Q:Q)</f>
        <v>0</v>
      </c>
      <c r="F335" s="327">
        <f t="shared" si="177"/>
        <v>313.05694805450901</v>
      </c>
      <c r="G335" s="327">
        <f t="shared" si="178"/>
        <v>0</v>
      </c>
      <c r="H335" s="328" t="str">
        <f t="shared" si="168"/>
        <v>E</v>
      </c>
      <c r="I335" s="325" t="s">
        <v>1645</v>
      </c>
      <c r="J335" s="329" t="str">
        <f>IF(B335&lt;&gt;"",+VLOOKUP(I335,Recursos!C:F,2,FALSE),"")</f>
        <v>TRITUR.SECUND.A CONO 45" C/ZARANDA</v>
      </c>
      <c r="K335" s="330" t="str">
        <f>IF(B335&lt;&gt;"",+VLOOKUP(I335,Recursos!C:F,3,FALSE),"")</f>
        <v>HR</v>
      </c>
      <c r="L335" s="327">
        <f>IF(B335&lt;&gt;"",+VLOOKUP(I335,Recursos!C:F,4,FALSE),"")</f>
        <v>1714.4399999999996</v>
      </c>
      <c r="M335" s="460">
        <f>+M334</f>
        <v>80</v>
      </c>
      <c r="N335" s="466">
        <v>0</v>
      </c>
      <c r="O335" s="459">
        <f>+N335/M335</f>
        <v>0</v>
      </c>
      <c r="P335" s="333">
        <f t="shared" si="174"/>
        <v>0</v>
      </c>
      <c r="Q335" s="327">
        <f t="shared" si="175"/>
        <v>0</v>
      </c>
      <c r="R335" s="334">
        <f t="shared" si="176"/>
        <v>0</v>
      </c>
      <c r="S335" s="335">
        <f t="shared" si="179"/>
        <v>87.812429107755676</v>
      </c>
      <c r="T335" s="335">
        <f t="shared" si="180"/>
        <v>223.89451894675329</v>
      </c>
      <c r="U335" s="336">
        <f t="shared" si="181"/>
        <v>0</v>
      </c>
      <c r="V335" s="336">
        <f t="shared" si="182"/>
        <v>0</v>
      </c>
      <c r="W335" s="336">
        <f t="shared" si="183"/>
        <v>1.35</v>
      </c>
      <c r="X335" s="336">
        <f t="shared" si="184"/>
        <v>0</v>
      </c>
      <c r="Y335" s="320"/>
      <c r="Z335" s="321" t="str">
        <f t="shared" si="188"/>
        <v>X-AREA</v>
      </c>
      <c r="AA335" s="321" t="str">
        <f t="shared" si="189"/>
        <v>X-AREE</v>
      </c>
      <c r="AB335" s="321" t="str">
        <f t="shared" si="190"/>
        <v>X-AREM</v>
      </c>
      <c r="AC335" s="321" t="str">
        <f t="shared" si="191"/>
        <v>X-ARET</v>
      </c>
      <c r="AD335" s="321" t="str">
        <f t="shared" si="192"/>
        <v>X-ARES</v>
      </c>
      <c r="AE335" s="321" t="str">
        <f t="shared" si="193"/>
        <v>X-AREX</v>
      </c>
      <c r="AF335" s="321" t="str">
        <f t="shared" si="194"/>
        <v>X-AREE</v>
      </c>
      <c r="AG335" s="321">
        <f t="shared" si="185"/>
        <v>17</v>
      </c>
      <c r="AH335" s="321"/>
      <c r="AI335" s="321" t="str">
        <f t="shared" si="195"/>
        <v>X-ARE</v>
      </c>
      <c r="AJ335" s="320"/>
      <c r="AK335" s="322">
        <f t="shared" si="186"/>
        <v>322</v>
      </c>
      <c r="AL335" s="323">
        <f t="shared" si="196"/>
        <v>338</v>
      </c>
      <c r="AM335" s="322">
        <f t="shared" si="197"/>
        <v>14</v>
      </c>
      <c r="AN335" s="381">
        <f t="shared" si="187"/>
        <v>0.17794058248299321</v>
      </c>
      <c r="BX335" s="302"/>
      <c r="BY335" s="304"/>
      <c r="BZ335" s="302"/>
      <c r="CA335" s="302"/>
      <c r="CB335" s="302"/>
    </row>
    <row r="336" spans="2:80">
      <c r="B336" s="468" t="s">
        <v>1531</v>
      </c>
      <c r="C336" s="469" t="s">
        <v>1532</v>
      </c>
      <c r="D336" s="470" t="s">
        <v>441</v>
      </c>
      <c r="E336" s="327">
        <f>+SUMIF('AUX-NIV2'!I:I,'AUX-NIV3'!B336,'AUX-NIV2'!Q:Q)</f>
        <v>0</v>
      </c>
      <c r="F336" s="327">
        <f t="shared" si="177"/>
        <v>313.05694805450901</v>
      </c>
      <c r="G336" s="327">
        <f t="shared" si="178"/>
        <v>0</v>
      </c>
      <c r="H336" s="328" t="str">
        <f t="shared" si="168"/>
        <v>E</v>
      </c>
      <c r="I336" s="325" t="s">
        <v>1607</v>
      </c>
      <c r="J336" s="329" t="str">
        <f>IF(B336&lt;&gt;"",+VLOOKUP(I336,Recursos!C:F,2,FALSE),"")</f>
        <v>ALIMENTADOR VIBRAT.CAP.200 T/H</v>
      </c>
      <c r="K336" s="330" t="str">
        <f>IF(B336&lt;&gt;"",+VLOOKUP(I336,Recursos!C:F,3,FALSE),"")</f>
        <v>HR</v>
      </c>
      <c r="L336" s="327">
        <f>IF(B336&lt;&gt;"",+VLOOKUP(I336,Recursos!C:F,4,FALSE),"")</f>
        <v>163.27999999999997</v>
      </c>
      <c r="M336" s="460">
        <f>+M335</f>
        <v>80</v>
      </c>
      <c r="N336" s="466">
        <v>0</v>
      </c>
      <c r="O336" s="459">
        <f>+N336/M336</f>
        <v>0</v>
      </c>
      <c r="P336" s="333">
        <f t="shared" si="174"/>
        <v>0</v>
      </c>
      <c r="Q336" s="327">
        <f t="shared" si="175"/>
        <v>0</v>
      </c>
      <c r="R336" s="334">
        <f t="shared" si="176"/>
        <v>0</v>
      </c>
      <c r="S336" s="335">
        <f t="shared" si="179"/>
        <v>87.812429107755676</v>
      </c>
      <c r="T336" s="335">
        <f t="shared" si="180"/>
        <v>223.89451894675329</v>
      </c>
      <c r="U336" s="336">
        <f t="shared" si="181"/>
        <v>0</v>
      </c>
      <c r="V336" s="336">
        <f t="shared" si="182"/>
        <v>0</v>
      </c>
      <c r="W336" s="336">
        <f t="shared" si="183"/>
        <v>1.35</v>
      </c>
      <c r="X336" s="336">
        <f t="shared" si="184"/>
        <v>0</v>
      </c>
      <c r="Y336" s="320"/>
      <c r="Z336" s="321" t="str">
        <f t="shared" si="188"/>
        <v>X-AREA</v>
      </c>
      <c r="AA336" s="321" t="str">
        <f t="shared" si="189"/>
        <v>X-AREE</v>
      </c>
      <c r="AB336" s="321" t="str">
        <f t="shared" si="190"/>
        <v>X-AREM</v>
      </c>
      <c r="AC336" s="321" t="str">
        <f t="shared" si="191"/>
        <v>X-ARET</v>
      </c>
      <c r="AD336" s="321" t="str">
        <f t="shared" si="192"/>
        <v>X-ARES</v>
      </c>
      <c r="AE336" s="321" t="str">
        <f t="shared" si="193"/>
        <v>X-AREX</v>
      </c>
      <c r="AF336" s="321" t="str">
        <f t="shared" si="194"/>
        <v>X-AREE</v>
      </c>
      <c r="AG336" s="321">
        <f t="shared" si="185"/>
        <v>17</v>
      </c>
      <c r="AH336" s="321"/>
      <c r="AI336" s="321" t="str">
        <f t="shared" si="195"/>
        <v>X-ARE</v>
      </c>
      <c r="AJ336" s="320"/>
      <c r="AK336" s="322">
        <f t="shared" si="186"/>
        <v>322</v>
      </c>
      <c r="AL336" s="323">
        <f t="shared" si="196"/>
        <v>338</v>
      </c>
      <c r="AM336" s="322">
        <f t="shared" si="197"/>
        <v>15</v>
      </c>
      <c r="AN336" s="381">
        <f t="shared" si="187"/>
        <v>0.17794058248299321</v>
      </c>
      <c r="BX336" s="302"/>
      <c r="BY336" s="304"/>
      <c r="BZ336" s="302"/>
      <c r="CA336" s="302"/>
      <c r="CB336" s="302"/>
    </row>
    <row r="337" spans="2:80">
      <c r="B337" s="468" t="s">
        <v>1531</v>
      </c>
      <c r="C337" s="469" t="s">
        <v>1532</v>
      </c>
      <c r="D337" s="470" t="s">
        <v>441</v>
      </c>
      <c r="E337" s="327">
        <f>+SUMIF('AUX-NIV2'!I:I,'AUX-NIV3'!B337,'AUX-NIV2'!Q:Q)</f>
        <v>0</v>
      </c>
      <c r="F337" s="327">
        <f t="shared" si="177"/>
        <v>313.05694805450901</v>
      </c>
      <c r="G337" s="327">
        <f t="shared" si="178"/>
        <v>0</v>
      </c>
      <c r="H337" s="328" t="str">
        <f t="shared" si="168"/>
        <v>E</v>
      </c>
      <c r="I337" s="325" t="s">
        <v>1528</v>
      </c>
      <c r="J337" s="329" t="str">
        <f>IF(B337&lt;&gt;"",+VLOOKUP(I337,Recursos!C:F,2,FALSE),"")</f>
        <v>CINTA TRANSPORTADORA 0,76 m x 15 m</v>
      </c>
      <c r="K337" s="330" t="str">
        <f>IF(B337&lt;&gt;"",+VLOOKUP(I337,Recursos!C:F,3,FALSE),"")</f>
        <v>HR</v>
      </c>
      <c r="L337" s="327">
        <f>IF(B337&lt;&gt;"",+VLOOKUP(I337,Recursos!C:F,4,FALSE),"")</f>
        <v>140.95146</v>
      </c>
      <c r="M337" s="460">
        <f>+M336</f>
        <v>80</v>
      </c>
      <c r="N337" s="463">
        <v>5</v>
      </c>
      <c r="O337" s="459">
        <f>+N337/M337*N336</f>
        <v>0</v>
      </c>
      <c r="P337" s="333">
        <f t="shared" si="174"/>
        <v>0</v>
      </c>
      <c r="Q337" s="327">
        <f t="shared" si="175"/>
        <v>0</v>
      </c>
      <c r="R337" s="334">
        <f t="shared" si="176"/>
        <v>0</v>
      </c>
      <c r="S337" s="335">
        <f t="shared" si="179"/>
        <v>87.812429107755676</v>
      </c>
      <c r="T337" s="335">
        <f t="shared" si="180"/>
        <v>223.89451894675329</v>
      </c>
      <c r="U337" s="336">
        <f t="shared" si="181"/>
        <v>0</v>
      </c>
      <c r="V337" s="336">
        <f t="shared" si="182"/>
        <v>0</v>
      </c>
      <c r="W337" s="336">
        <f t="shared" si="183"/>
        <v>1.35</v>
      </c>
      <c r="X337" s="336">
        <f t="shared" si="184"/>
        <v>0</v>
      </c>
      <c r="Y337" s="320"/>
      <c r="Z337" s="321" t="str">
        <f t="shared" si="188"/>
        <v>X-AREA</v>
      </c>
      <c r="AA337" s="321" t="str">
        <f t="shared" si="189"/>
        <v>X-AREE</v>
      </c>
      <c r="AB337" s="321" t="str">
        <f t="shared" si="190"/>
        <v>X-AREM</v>
      </c>
      <c r="AC337" s="321" t="str">
        <f t="shared" si="191"/>
        <v>X-ARET</v>
      </c>
      <c r="AD337" s="321" t="str">
        <f t="shared" si="192"/>
        <v>X-ARES</v>
      </c>
      <c r="AE337" s="321" t="str">
        <f t="shared" si="193"/>
        <v>X-AREX</v>
      </c>
      <c r="AF337" s="321" t="str">
        <f t="shared" si="194"/>
        <v>X-AREE</v>
      </c>
      <c r="AG337" s="321">
        <f t="shared" si="185"/>
        <v>17</v>
      </c>
      <c r="AH337" s="321"/>
      <c r="AI337" s="321" t="str">
        <f t="shared" si="195"/>
        <v>X-ARE</v>
      </c>
      <c r="AJ337" s="320"/>
      <c r="AK337" s="322">
        <f t="shared" si="186"/>
        <v>322</v>
      </c>
      <c r="AL337" s="323">
        <f t="shared" si="196"/>
        <v>338</v>
      </c>
      <c r="AM337" s="322">
        <f t="shared" si="197"/>
        <v>16</v>
      </c>
      <c r="AN337" s="381">
        <f t="shared" si="187"/>
        <v>0.17794058248299321</v>
      </c>
      <c r="BX337" s="302"/>
      <c r="BY337" s="304"/>
      <c r="BZ337" s="302"/>
      <c r="CA337" s="302"/>
      <c r="CB337" s="302"/>
    </row>
    <row r="338" spans="2:80" ht="13.8" thickBot="1">
      <c r="B338" s="468" t="s">
        <v>1531</v>
      </c>
      <c r="C338" s="469" t="s">
        <v>1532</v>
      </c>
      <c r="D338" s="470" t="s">
        <v>441</v>
      </c>
      <c r="E338" s="327">
        <f>+SUMIF('AUX-NIV2'!I:I,'AUX-NIV3'!B338,'AUX-NIV2'!Q:Q)</f>
        <v>0</v>
      </c>
      <c r="F338" s="327">
        <f t="shared" si="177"/>
        <v>313.05694805450901</v>
      </c>
      <c r="G338" s="327">
        <f t="shared" si="178"/>
        <v>0</v>
      </c>
      <c r="H338" s="328" t="str">
        <f t="shared" si="168"/>
        <v>S</v>
      </c>
      <c r="I338" s="325" t="s">
        <v>1467</v>
      </c>
      <c r="J338" s="329" t="str">
        <f>IF(B338&lt;&gt;"",+VLOOKUP(I338,Recursos!C:F,2,FALSE),"")</f>
        <v>Derechos y cánon</v>
      </c>
      <c r="K338" s="330" t="str">
        <f>IF(B338&lt;&gt;"",+VLOOKUP(I338,Recursos!C:F,3,FALSE),"")</f>
        <v>m3b</v>
      </c>
      <c r="L338" s="327">
        <f>IF(B338&lt;&gt;"",+VLOOKUP(I338,Recursos!C:F,4,FALSE),"")</f>
        <v>1</v>
      </c>
      <c r="M338" s="462">
        <v>1.35</v>
      </c>
      <c r="N338" s="463">
        <v>0</v>
      </c>
      <c r="O338" s="459">
        <f>+M338</f>
        <v>1.35</v>
      </c>
      <c r="P338" s="333">
        <f t="shared" si="174"/>
        <v>1.35</v>
      </c>
      <c r="Q338" s="327">
        <f t="shared" si="175"/>
        <v>0</v>
      </c>
      <c r="R338" s="334">
        <f t="shared" si="176"/>
        <v>0</v>
      </c>
      <c r="S338" s="335">
        <f t="shared" si="179"/>
        <v>87.812429107755676</v>
      </c>
      <c r="T338" s="335">
        <f t="shared" si="180"/>
        <v>223.89451894675329</v>
      </c>
      <c r="U338" s="336">
        <f t="shared" si="181"/>
        <v>0</v>
      </c>
      <c r="V338" s="336">
        <f t="shared" si="182"/>
        <v>0</v>
      </c>
      <c r="W338" s="336">
        <f t="shared" si="183"/>
        <v>1.35</v>
      </c>
      <c r="X338" s="336">
        <f t="shared" si="184"/>
        <v>0</v>
      </c>
      <c r="Y338" s="320"/>
      <c r="Z338" s="321" t="str">
        <f t="shared" si="188"/>
        <v>X-AREA</v>
      </c>
      <c r="AA338" s="321" t="str">
        <f t="shared" si="189"/>
        <v>X-AREE</v>
      </c>
      <c r="AB338" s="321" t="str">
        <f t="shared" si="190"/>
        <v>X-AREM</v>
      </c>
      <c r="AC338" s="321" t="str">
        <f t="shared" si="191"/>
        <v>X-ARET</v>
      </c>
      <c r="AD338" s="321" t="str">
        <f t="shared" si="192"/>
        <v>X-ARES</v>
      </c>
      <c r="AE338" s="321" t="str">
        <f t="shared" si="193"/>
        <v>X-AREX</v>
      </c>
      <c r="AF338" s="321" t="str">
        <f t="shared" si="194"/>
        <v>X-ARES</v>
      </c>
      <c r="AG338" s="321">
        <f t="shared" si="185"/>
        <v>17</v>
      </c>
      <c r="AH338" s="321"/>
      <c r="AI338" s="321" t="str">
        <f t="shared" si="195"/>
        <v>X-ARE</v>
      </c>
      <c r="AJ338" s="320"/>
      <c r="AK338" s="322">
        <f t="shared" si="186"/>
        <v>322</v>
      </c>
      <c r="AL338" s="323">
        <f t="shared" si="196"/>
        <v>338</v>
      </c>
      <c r="AM338" s="322">
        <f t="shared" si="197"/>
        <v>17</v>
      </c>
      <c r="AN338" s="381">
        <f t="shared" si="187"/>
        <v>0.17794058248299321</v>
      </c>
      <c r="BX338" s="302"/>
      <c r="BY338" s="304"/>
      <c r="BZ338" s="302"/>
      <c r="CA338" s="302"/>
      <c r="CB338" s="302"/>
    </row>
    <row r="339" spans="2:80" ht="13.8" thickTop="1">
      <c r="B339" s="324" t="s">
        <v>2738</v>
      </c>
      <c r="C339" s="308" t="s">
        <v>1208</v>
      </c>
      <c r="D339" s="309" t="s">
        <v>447</v>
      </c>
      <c r="E339" s="310">
        <f>+SUMIF('AUX-NIV2'!I:I,'AUX-NIV3'!B339,'AUX-NIV2'!Q:Q)</f>
        <v>0</v>
      </c>
      <c r="F339" s="310">
        <f t="shared" si="177"/>
        <v>628.94484322387063</v>
      </c>
      <c r="G339" s="310">
        <f t="shared" si="178"/>
        <v>0</v>
      </c>
      <c r="H339" s="311" t="str">
        <f t="shared" si="168"/>
        <v>A</v>
      </c>
      <c r="I339" s="325" t="s">
        <v>1746</v>
      </c>
      <c r="J339" s="312" t="str">
        <f>IF(B339&lt;&gt;"",+VLOOKUP(I339,Recursos!C:F,2,FALSE),"")</f>
        <v>OFICIAL</v>
      </c>
      <c r="K339" s="313" t="str">
        <f>IF(B339&lt;&gt;"",+VLOOKUP(I339,Recursos!C:F,3,FALSE),"")</f>
        <v>hh</v>
      </c>
      <c r="L339" s="489">
        <f>IF(B339&lt;&gt;"",+VLOOKUP(I339,Recursos!C:F,4,FALSE),"")</f>
        <v>496.91595439275824</v>
      </c>
      <c r="M339" s="437">
        <v>62.5</v>
      </c>
      <c r="N339" s="458">
        <v>1.25</v>
      </c>
      <c r="O339" s="490">
        <f>1/M339*N339</f>
        <v>0.02</v>
      </c>
      <c r="P339" s="316">
        <f t="shared" si="174"/>
        <v>9.9383190878551648</v>
      </c>
      <c r="Q339" s="310">
        <f t="shared" si="175"/>
        <v>0</v>
      </c>
      <c r="R339" s="317">
        <f t="shared" si="176"/>
        <v>0</v>
      </c>
      <c r="S339" s="318">
        <f t="shared" si="179"/>
        <v>65.807253890537254</v>
      </c>
      <c r="T339" s="318">
        <f t="shared" si="180"/>
        <v>562.13758933333338</v>
      </c>
      <c r="U339" s="319">
        <f t="shared" si="181"/>
        <v>1</v>
      </c>
      <c r="V339" s="319">
        <f t="shared" si="182"/>
        <v>0</v>
      </c>
      <c r="W339" s="319">
        <f t="shared" si="183"/>
        <v>0</v>
      </c>
      <c r="X339" s="319">
        <f t="shared" si="184"/>
        <v>0</v>
      </c>
      <c r="Y339" s="320"/>
      <c r="Z339" s="321" t="str">
        <f t="shared" si="188"/>
        <v>X-PTAA</v>
      </c>
      <c r="AA339" s="321" t="str">
        <f t="shared" si="189"/>
        <v>X-PTAE</v>
      </c>
      <c r="AB339" s="321" t="str">
        <f t="shared" si="190"/>
        <v>X-PTAM</v>
      </c>
      <c r="AC339" s="321" t="str">
        <f t="shared" si="191"/>
        <v>X-PTAT</v>
      </c>
      <c r="AD339" s="321" t="str">
        <f t="shared" si="192"/>
        <v>X-PTAS</v>
      </c>
      <c r="AE339" s="321" t="str">
        <f t="shared" si="193"/>
        <v>X-PTAX</v>
      </c>
      <c r="AF339" s="321" t="str">
        <f t="shared" si="194"/>
        <v>X-PTAA</v>
      </c>
      <c r="AG339" s="321">
        <f t="shared" si="185"/>
        <v>21</v>
      </c>
      <c r="AH339" s="321"/>
      <c r="AI339" s="321" t="str">
        <f t="shared" si="195"/>
        <v>X-PTA</v>
      </c>
      <c r="AJ339" s="320"/>
      <c r="AK339" s="322">
        <f t="shared" si="186"/>
        <v>339</v>
      </c>
      <c r="AL339" s="323">
        <f t="shared" si="196"/>
        <v>359</v>
      </c>
      <c r="AM339" s="322">
        <f t="shared" si="197"/>
        <v>1</v>
      </c>
      <c r="AN339" s="381">
        <f t="shared" si="187"/>
        <v>0.12128888888888889</v>
      </c>
      <c r="AO339" s="322"/>
    </row>
    <row r="340" spans="2:80">
      <c r="B340" s="324" t="s">
        <v>2738</v>
      </c>
      <c r="C340" s="325" t="s">
        <v>1208</v>
      </c>
      <c r="D340" s="326" t="s">
        <v>447</v>
      </c>
      <c r="E340" s="327">
        <f>+SUMIF('AUX-NIV2'!I:I,'AUX-NIV3'!B340,'AUX-NIV2'!Q:Q)</f>
        <v>0</v>
      </c>
      <c r="F340" s="327">
        <f t="shared" si="177"/>
        <v>628.94484322387063</v>
      </c>
      <c r="G340" s="327">
        <f t="shared" si="178"/>
        <v>0</v>
      </c>
      <c r="H340" s="328" t="str">
        <f t="shared" si="168"/>
        <v>A</v>
      </c>
      <c r="I340" s="325" t="s">
        <v>1746</v>
      </c>
      <c r="J340" s="329" t="str">
        <f>IF(B340&lt;&gt;"",+VLOOKUP(I340,Recursos!C:F,2,FALSE),"")</f>
        <v>OFICIAL</v>
      </c>
      <c r="K340" s="330" t="str">
        <f>IF(B340&lt;&gt;"",+VLOOKUP(I340,Recursos!C:F,3,FALSE),"")</f>
        <v>hh</v>
      </c>
      <c r="L340" s="446">
        <f>IF(B340&lt;&gt;"",+VLOOKUP(I340,Recursos!C:F,4,FALSE),"")</f>
        <v>496.91595439275824</v>
      </c>
      <c r="M340" s="462">
        <v>62.5</v>
      </c>
      <c r="N340" s="463">
        <v>0.4</v>
      </c>
      <c r="O340" s="459">
        <f t="shared" ref="O340:O359" si="198">1/M340*N340</f>
        <v>6.4000000000000003E-3</v>
      </c>
      <c r="P340" s="333">
        <f t="shared" si="174"/>
        <v>3.1802621081136531</v>
      </c>
      <c r="Q340" s="327">
        <f t="shared" si="175"/>
        <v>0</v>
      </c>
      <c r="R340" s="334">
        <f t="shared" si="176"/>
        <v>0</v>
      </c>
      <c r="S340" s="335">
        <f t="shared" si="179"/>
        <v>65.807253890537254</v>
      </c>
      <c r="T340" s="335">
        <f t="shared" si="180"/>
        <v>562.13758933333338</v>
      </c>
      <c r="U340" s="336">
        <f t="shared" si="181"/>
        <v>1</v>
      </c>
      <c r="V340" s="336">
        <f t="shared" si="182"/>
        <v>0</v>
      </c>
      <c r="W340" s="336">
        <f t="shared" si="183"/>
        <v>0</v>
      </c>
      <c r="X340" s="336">
        <f t="shared" si="184"/>
        <v>0</v>
      </c>
      <c r="Y340" s="320"/>
      <c r="Z340" s="321" t="str">
        <f t="shared" si="188"/>
        <v>X-PTAA</v>
      </c>
      <c r="AA340" s="321" t="str">
        <f t="shared" si="189"/>
        <v>X-PTAE</v>
      </c>
      <c r="AB340" s="321" t="str">
        <f t="shared" si="190"/>
        <v>X-PTAM</v>
      </c>
      <c r="AC340" s="321" t="str">
        <f t="shared" si="191"/>
        <v>X-PTAT</v>
      </c>
      <c r="AD340" s="321" t="str">
        <f t="shared" si="192"/>
        <v>X-PTAS</v>
      </c>
      <c r="AE340" s="321" t="str">
        <f t="shared" si="193"/>
        <v>X-PTAX</v>
      </c>
      <c r="AF340" s="321" t="str">
        <f t="shared" si="194"/>
        <v>X-PTAA</v>
      </c>
      <c r="AG340" s="321">
        <f t="shared" si="185"/>
        <v>21</v>
      </c>
      <c r="AH340" s="321"/>
      <c r="AI340" s="321" t="str">
        <f t="shared" si="195"/>
        <v>X-PTA</v>
      </c>
      <c r="AJ340" s="320"/>
      <c r="AK340" s="322">
        <f t="shared" si="186"/>
        <v>339</v>
      </c>
      <c r="AL340" s="323">
        <f t="shared" si="196"/>
        <v>359</v>
      </c>
      <c r="AM340" s="322">
        <f t="shared" si="197"/>
        <v>2</v>
      </c>
      <c r="AN340" s="381">
        <f t="shared" si="187"/>
        <v>0.12128888888888889</v>
      </c>
      <c r="AO340" s="322"/>
    </row>
    <row r="341" spans="2:80">
      <c r="B341" s="324" t="s">
        <v>2738</v>
      </c>
      <c r="C341" s="325" t="s">
        <v>1208</v>
      </c>
      <c r="D341" s="326" t="s">
        <v>447</v>
      </c>
      <c r="E341" s="327">
        <f>+SUMIF('AUX-NIV2'!I:I,'AUX-NIV3'!B341,'AUX-NIV2'!Q:Q)</f>
        <v>0</v>
      </c>
      <c r="F341" s="327">
        <f t="shared" si="177"/>
        <v>628.94484322387063</v>
      </c>
      <c r="G341" s="327">
        <f t="shared" si="178"/>
        <v>0</v>
      </c>
      <c r="H341" s="328" t="str">
        <f t="shared" si="168"/>
        <v>A</v>
      </c>
      <c r="I341" s="325" t="s">
        <v>3310</v>
      </c>
      <c r="J341" s="329" t="str">
        <f>IF(B341&lt;&gt;"",+VLOOKUP(I341,Recursos!C:F,2,FALSE),"")</f>
        <v>OFICIAL ESPECIALIZADO</v>
      </c>
      <c r="K341" s="330" t="str">
        <f>IF(B341&lt;&gt;"",+VLOOKUP(I341,Recursos!C:F,3,FALSE),"")</f>
        <v>hh</v>
      </c>
      <c r="L341" s="446">
        <f>IF(B341&lt;&gt;"",+VLOOKUP(I341,Recursos!C:F,4,FALSE),"")</f>
        <v>581.06120476836554</v>
      </c>
      <c r="M341" s="462">
        <v>250</v>
      </c>
      <c r="N341" s="463">
        <v>1.25</v>
      </c>
      <c r="O341" s="459">
        <f t="shared" si="198"/>
        <v>5.0000000000000001E-3</v>
      </c>
      <c r="P341" s="333">
        <f t="shared" si="174"/>
        <v>2.9053060238418276</v>
      </c>
      <c r="Q341" s="327">
        <f t="shared" si="175"/>
        <v>0</v>
      </c>
      <c r="R341" s="334">
        <f t="shared" si="176"/>
        <v>0</v>
      </c>
      <c r="S341" s="335">
        <f t="shared" si="179"/>
        <v>65.807253890537254</v>
      </c>
      <c r="T341" s="335">
        <f t="shared" si="180"/>
        <v>562.13758933333338</v>
      </c>
      <c r="U341" s="336">
        <f t="shared" si="181"/>
        <v>1</v>
      </c>
      <c r="V341" s="336">
        <f t="shared" si="182"/>
        <v>0</v>
      </c>
      <c r="W341" s="336">
        <f t="shared" si="183"/>
        <v>0</v>
      </c>
      <c r="X341" s="336">
        <f t="shared" si="184"/>
        <v>0</v>
      </c>
      <c r="Y341" s="320"/>
      <c r="Z341" s="321" t="str">
        <f t="shared" si="188"/>
        <v>X-PTAA</v>
      </c>
      <c r="AA341" s="321" t="str">
        <f t="shared" si="189"/>
        <v>X-PTAE</v>
      </c>
      <c r="AB341" s="321" t="str">
        <f t="shared" si="190"/>
        <v>X-PTAM</v>
      </c>
      <c r="AC341" s="321" t="str">
        <f t="shared" si="191"/>
        <v>X-PTAT</v>
      </c>
      <c r="AD341" s="321" t="str">
        <f t="shared" si="192"/>
        <v>X-PTAS</v>
      </c>
      <c r="AE341" s="321" t="str">
        <f t="shared" si="193"/>
        <v>X-PTAX</v>
      </c>
      <c r="AF341" s="321" t="str">
        <f t="shared" si="194"/>
        <v>X-PTAA</v>
      </c>
      <c r="AG341" s="321">
        <f t="shared" si="185"/>
        <v>21</v>
      </c>
      <c r="AH341" s="321"/>
      <c r="AI341" s="321" t="str">
        <f t="shared" si="195"/>
        <v>X-PTA</v>
      </c>
      <c r="AJ341" s="320"/>
      <c r="AK341" s="322">
        <f t="shared" si="186"/>
        <v>339</v>
      </c>
      <c r="AL341" s="323">
        <f t="shared" si="196"/>
        <v>359</v>
      </c>
      <c r="AM341" s="322">
        <f t="shared" si="197"/>
        <v>3</v>
      </c>
      <c r="AN341" s="381">
        <f t="shared" si="187"/>
        <v>0.12128888888888889</v>
      </c>
      <c r="AO341" s="322"/>
    </row>
    <row r="342" spans="2:80">
      <c r="B342" s="324" t="s">
        <v>2738</v>
      </c>
      <c r="C342" s="325" t="s">
        <v>1208</v>
      </c>
      <c r="D342" s="326" t="s">
        <v>447</v>
      </c>
      <c r="E342" s="327">
        <f>+SUMIF('AUX-NIV2'!I:I,'AUX-NIV3'!B342,'AUX-NIV2'!Q:Q)</f>
        <v>0</v>
      </c>
      <c r="F342" s="327">
        <f t="shared" si="177"/>
        <v>628.94484322387063</v>
      </c>
      <c r="G342" s="327">
        <f t="shared" si="178"/>
        <v>0</v>
      </c>
      <c r="H342" s="328" t="str">
        <f t="shared" si="168"/>
        <v>A</v>
      </c>
      <c r="I342" s="325" t="s">
        <v>3310</v>
      </c>
      <c r="J342" s="329" t="str">
        <f>IF(B342&lt;&gt;"",+VLOOKUP(I342,Recursos!C:F,2,FALSE),"")</f>
        <v>OFICIAL ESPECIALIZADO</v>
      </c>
      <c r="K342" s="330" t="str">
        <f>IF(B342&lt;&gt;"",+VLOOKUP(I342,Recursos!C:F,3,FALSE),"")</f>
        <v>hh</v>
      </c>
      <c r="L342" s="446">
        <f>IF(B342&lt;&gt;"",+VLOOKUP(I342,Recursos!C:F,4,FALSE),"")</f>
        <v>581.06120476836554</v>
      </c>
      <c r="M342" s="462">
        <v>62.5</v>
      </c>
      <c r="N342" s="463">
        <v>2.5</v>
      </c>
      <c r="O342" s="459">
        <f t="shared" si="198"/>
        <v>0.04</v>
      </c>
      <c r="P342" s="333">
        <f t="shared" si="174"/>
        <v>23.242448190734621</v>
      </c>
      <c r="Q342" s="327">
        <f t="shared" si="175"/>
        <v>0</v>
      </c>
      <c r="R342" s="334">
        <f t="shared" si="176"/>
        <v>0</v>
      </c>
      <c r="S342" s="335">
        <f t="shared" si="179"/>
        <v>65.807253890537254</v>
      </c>
      <c r="T342" s="335">
        <f t="shared" si="180"/>
        <v>562.13758933333338</v>
      </c>
      <c r="U342" s="336">
        <f t="shared" si="181"/>
        <v>1</v>
      </c>
      <c r="V342" s="336">
        <f t="shared" si="182"/>
        <v>0</v>
      </c>
      <c r="W342" s="336">
        <f t="shared" si="183"/>
        <v>0</v>
      </c>
      <c r="X342" s="336">
        <f t="shared" si="184"/>
        <v>0</v>
      </c>
      <c r="Y342" s="320"/>
      <c r="Z342" s="321" t="str">
        <f t="shared" si="188"/>
        <v>X-PTAA</v>
      </c>
      <c r="AA342" s="321" t="str">
        <f t="shared" si="189"/>
        <v>X-PTAE</v>
      </c>
      <c r="AB342" s="321" t="str">
        <f t="shared" si="190"/>
        <v>X-PTAM</v>
      </c>
      <c r="AC342" s="321" t="str">
        <f t="shared" si="191"/>
        <v>X-PTAT</v>
      </c>
      <c r="AD342" s="321" t="str">
        <f t="shared" si="192"/>
        <v>X-PTAS</v>
      </c>
      <c r="AE342" s="321" t="str">
        <f t="shared" si="193"/>
        <v>X-PTAX</v>
      </c>
      <c r="AF342" s="321" t="str">
        <f t="shared" si="194"/>
        <v>X-PTAA</v>
      </c>
      <c r="AG342" s="321">
        <f t="shared" si="185"/>
        <v>21</v>
      </c>
      <c r="AH342" s="321"/>
      <c r="AI342" s="321" t="str">
        <f t="shared" si="195"/>
        <v>X-PTA</v>
      </c>
      <c r="AJ342" s="320"/>
      <c r="AK342" s="322">
        <f t="shared" si="186"/>
        <v>339</v>
      </c>
      <c r="AL342" s="323">
        <f t="shared" si="196"/>
        <v>359</v>
      </c>
      <c r="AM342" s="322">
        <f t="shared" si="197"/>
        <v>4</v>
      </c>
      <c r="AN342" s="381">
        <f t="shared" si="187"/>
        <v>0.12128888888888889</v>
      </c>
      <c r="AO342" s="322"/>
    </row>
    <row r="343" spans="2:80">
      <c r="B343" s="324" t="s">
        <v>2738</v>
      </c>
      <c r="C343" s="325" t="s">
        <v>1208</v>
      </c>
      <c r="D343" s="326" t="s">
        <v>447</v>
      </c>
      <c r="E343" s="327">
        <f>+SUMIF('AUX-NIV2'!I:I,'AUX-NIV3'!B343,'AUX-NIV2'!Q:Q)</f>
        <v>0</v>
      </c>
      <c r="F343" s="327">
        <f t="shared" si="177"/>
        <v>628.94484322387063</v>
      </c>
      <c r="G343" s="327">
        <f t="shared" si="178"/>
        <v>0</v>
      </c>
      <c r="H343" s="328" t="str">
        <f t="shared" si="168"/>
        <v>A</v>
      </c>
      <c r="I343" s="325" t="s">
        <v>3310</v>
      </c>
      <c r="J343" s="329" t="str">
        <f>IF(B343&lt;&gt;"",+VLOOKUP(I343,Recursos!C:F,2,FALSE),"")</f>
        <v>OFICIAL ESPECIALIZADO</v>
      </c>
      <c r="K343" s="330" t="str">
        <f>IF(B343&lt;&gt;"",+VLOOKUP(I343,Recursos!C:F,3,FALSE),"")</f>
        <v>hh</v>
      </c>
      <c r="L343" s="446">
        <f>IF(B343&lt;&gt;"",+VLOOKUP(I343,Recursos!C:F,4,FALSE),"")</f>
        <v>581.06120476836554</v>
      </c>
      <c r="M343" s="462">
        <v>62.5</v>
      </c>
      <c r="N343" s="463">
        <v>1.25</v>
      </c>
      <c r="O343" s="459">
        <f t="shared" si="198"/>
        <v>0.02</v>
      </c>
      <c r="P343" s="333">
        <f t="shared" si="174"/>
        <v>11.62122409536731</v>
      </c>
      <c r="Q343" s="327">
        <f t="shared" si="175"/>
        <v>0</v>
      </c>
      <c r="R343" s="334">
        <f t="shared" si="176"/>
        <v>0</v>
      </c>
      <c r="S343" s="335">
        <f t="shared" si="179"/>
        <v>65.807253890537254</v>
      </c>
      <c r="T343" s="335">
        <f t="shared" si="180"/>
        <v>562.13758933333338</v>
      </c>
      <c r="U343" s="336">
        <f t="shared" si="181"/>
        <v>1</v>
      </c>
      <c r="V343" s="336">
        <f t="shared" si="182"/>
        <v>0</v>
      </c>
      <c r="W343" s="336">
        <f t="shared" si="183"/>
        <v>0</v>
      </c>
      <c r="X343" s="336">
        <f t="shared" si="184"/>
        <v>0</v>
      </c>
      <c r="Y343" s="320"/>
      <c r="Z343" s="321" t="str">
        <f t="shared" si="188"/>
        <v>X-PTAA</v>
      </c>
      <c r="AA343" s="321" t="str">
        <f t="shared" si="189"/>
        <v>X-PTAE</v>
      </c>
      <c r="AB343" s="321" t="str">
        <f t="shared" si="190"/>
        <v>X-PTAM</v>
      </c>
      <c r="AC343" s="321" t="str">
        <f t="shared" si="191"/>
        <v>X-PTAT</v>
      </c>
      <c r="AD343" s="321" t="str">
        <f t="shared" si="192"/>
        <v>X-PTAS</v>
      </c>
      <c r="AE343" s="321" t="str">
        <f t="shared" si="193"/>
        <v>X-PTAX</v>
      </c>
      <c r="AF343" s="321" t="str">
        <f t="shared" si="194"/>
        <v>X-PTAA</v>
      </c>
      <c r="AG343" s="321">
        <f t="shared" si="185"/>
        <v>21</v>
      </c>
      <c r="AH343" s="321"/>
      <c r="AI343" s="321" t="str">
        <f t="shared" si="195"/>
        <v>X-PTA</v>
      </c>
      <c r="AJ343" s="320"/>
      <c r="AK343" s="322">
        <f t="shared" si="186"/>
        <v>339</v>
      </c>
      <c r="AL343" s="323">
        <f t="shared" si="196"/>
        <v>359</v>
      </c>
      <c r="AM343" s="322">
        <f t="shared" si="197"/>
        <v>5</v>
      </c>
      <c r="AN343" s="381">
        <f t="shared" si="187"/>
        <v>0.12128888888888889</v>
      </c>
      <c r="AO343" s="322"/>
    </row>
    <row r="344" spans="2:80">
      <c r="B344" s="324" t="s">
        <v>2738</v>
      </c>
      <c r="C344" s="325" t="s">
        <v>1208</v>
      </c>
      <c r="D344" s="326" t="s">
        <v>447</v>
      </c>
      <c r="E344" s="327">
        <f>+SUMIF('AUX-NIV2'!I:I,'AUX-NIV3'!B344,'AUX-NIV2'!Q:Q)</f>
        <v>0</v>
      </c>
      <c r="F344" s="327">
        <f t="shared" si="177"/>
        <v>628.94484322387063</v>
      </c>
      <c r="G344" s="327">
        <f t="shared" si="178"/>
        <v>0</v>
      </c>
      <c r="H344" s="328" t="str">
        <f t="shared" si="168"/>
        <v>A</v>
      </c>
      <c r="I344" s="325" t="s">
        <v>1746</v>
      </c>
      <c r="J344" s="329" t="str">
        <f>IF(B344&lt;&gt;"",+VLOOKUP(I344,Recursos!C:F,2,FALSE),"")</f>
        <v>OFICIAL</v>
      </c>
      <c r="K344" s="330" t="str">
        <f>IF(B344&lt;&gt;"",+VLOOKUP(I344,Recursos!C:F,3,FALSE),"")</f>
        <v>hh</v>
      </c>
      <c r="L344" s="446">
        <f>IF(B344&lt;&gt;"",+VLOOKUP(I344,Recursos!C:F,4,FALSE),"")</f>
        <v>496.91595439275824</v>
      </c>
      <c r="M344" s="462">
        <v>62.5</v>
      </c>
      <c r="N344" s="463">
        <v>1</v>
      </c>
      <c r="O344" s="459">
        <f t="shared" si="198"/>
        <v>1.6E-2</v>
      </c>
      <c r="P344" s="333">
        <f t="shared" si="174"/>
        <v>7.9506552702841322</v>
      </c>
      <c r="Q344" s="327">
        <f t="shared" si="175"/>
        <v>0</v>
      </c>
      <c r="R344" s="334">
        <f t="shared" si="176"/>
        <v>0</v>
      </c>
      <c r="S344" s="335">
        <f t="shared" si="179"/>
        <v>65.807253890537254</v>
      </c>
      <c r="T344" s="335">
        <f t="shared" si="180"/>
        <v>562.13758933333338</v>
      </c>
      <c r="U344" s="336">
        <f t="shared" si="181"/>
        <v>1</v>
      </c>
      <c r="V344" s="336">
        <f t="shared" si="182"/>
        <v>0</v>
      </c>
      <c r="W344" s="336">
        <f t="shared" si="183"/>
        <v>0</v>
      </c>
      <c r="X344" s="336">
        <f t="shared" si="184"/>
        <v>0</v>
      </c>
      <c r="Y344" s="320"/>
      <c r="Z344" s="321" t="str">
        <f t="shared" si="188"/>
        <v>X-PTAA</v>
      </c>
      <c r="AA344" s="321" t="str">
        <f t="shared" si="189"/>
        <v>X-PTAE</v>
      </c>
      <c r="AB344" s="321" t="str">
        <f t="shared" si="190"/>
        <v>X-PTAM</v>
      </c>
      <c r="AC344" s="321" t="str">
        <f t="shared" si="191"/>
        <v>X-PTAT</v>
      </c>
      <c r="AD344" s="321" t="str">
        <f t="shared" si="192"/>
        <v>X-PTAS</v>
      </c>
      <c r="AE344" s="321" t="str">
        <f t="shared" si="193"/>
        <v>X-PTAX</v>
      </c>
      <c r="AF344" s="321" t="str">
        <f t="shared" si="194"/>
        <v>X-PTAA</v>
      </c>
      <c r="AG344" s="321">
        <f t="shared" si="185"/>
        <v>21</v>
      </c>
      <c r="AH344" s="321"/>
      <c r="AI344" s="321" t="str">
        <f t="shared" si="195"/>
        <v>X-PTA</v>
      </c>
      <c r="AJ344" s="320"/>
      <c r="AK344" s="322">
        <f t="shared" si="186"/>
        <v>339</v>
      </c>
      <c r="AL344" s="323">
        <f t="shared" si="196"/>
        <v>359</v>
      </c>
      <c r="AM344" s="322">
        <f t="shared" si="197"/>
        <v>6</v>
      </c>
      <c r="AN344" s="381">
        <f t="shared" si="187"/>
        <v>0.12128888888888889</v>
      </c>
      <c r="AO344" s="322"/>
    </row>
    <row r="345" spans="2:80">
      <c r="B345" s="324" t="s">
        <v>2738</v>
      </c>
      <c r="C345" s="325" t="s">
        <v>1208</v>
      </c>
      <c r="D345" s="326" t="s">
        <v>447</v>
      </c>
      <c r="E345" s="327">
        <f>+SUMIF('AUX-NIV2'!I:I,'AUX-NIV3'!B345,'AUX-NIV2'!Q:Q)</f>
        <v>0</v>
      </c>
      <c r="F345" s="327">
        <f t="shared" si="177"/>
        <v>628.94484322387063</v>
      </c>
      <c r="G345" s="327">
        <f t="shared" si="178"/>
        <v>0</v>
      </c>
      <c r="H345" s="328" t="str">
        <f t="shared" si="168"/>
        <v>A</v>
      </c>
      <c r="I345" s="325" t="s">
        <v>3310</v>
      </c>
      <c r="J345" s="329" t="str">
        <f>IF(B345&lt;&gt;"",+VLOOKUP(I345,Recursos!C:F,2,FALSE),"")</f>
        <v>OFICIAL ESPECIALIZADO</v>
      </c>
      <c r="K345" s="330" t="str">
        <f>IF(B345&lt;&gt;"",+VLOOKUP(I345,Recursos!C:F,3,FALSE),"")</f>
        <v>hh</v>
      </c>
      <c r="L345" s="446">
        <f>IF(B345&lt;&gt;"",+VLOOKUP(I345,Recursos!C:F,4,FALSE),"")</f>
        <v>581.06120476836554</v>
      </c>
      <c r="M345" s="462">
        <v>180</v>
      </c>
      <c r="N345" s="463">
        <v>1.25</v>
      </c>
      <c r="O345" s="459">
        <f t="shared" si="198"/>
        <v>6.9444444444444449E-3</v>
      </c>
      <c r="P345" s="333">
        <f t="shared" si="174"/>
        <v>4.0351472553358718</v>
      </c>
      <c r="Q345" s="327">
        <f t="shared" si="175"/>
        <v>0</v>
      </c>
      <c r="R345" s="334">
        <f t="shared" si="176"/>
        <v>0</v>
      </c>
      <c r="S345" s="335">
        <f t="shared" si="179"/>
        <v>65.807253890537254</v>
      </c>
      <c r="T345" s="335">
        <f t="shared" si="180"/>
        <v>562.13758933333338</v>
      </c>
      <c r="U345" s="336">
        <f t="shared" si="181"/>
        <v>1</v>
      </c>
      <c r="V345" s="336">
        <f t="shared" si="182"/>
        <v>0</v>
      </c>
      <c r="W345" s="336">
        <f t="shared" si="183"/>
        <v>0</v>
      </c>
      <c r="X345" s="336">
        <f t="shared" si="184"/>
        <v>0</v>
      </c>
      <c r="Y345" s="320"/>
      <c r="Z345" s="321" t="str">
        <f t="shared" si="188"/>
        <v>X-PTAA</v>
      </c>
      <c r="AA345" s="321" t="str">
        <f t="shared" si="189"/>
        <v>X-PTAE</v>
      </c>
      <c r="AB345" s="321" t="str">
        <f t="shared" si="190"/>
        <v>X-PTAM</v>
      </c>
      <c r="AC345" s="321" t="str">
        <f t="shared" si="191"/>
        <v>X-PTAT</v>
      </c>
      <c r="AD345" s="321" t="str">
        <f t="shared" si="192"/>
        <v>X-PTAS</v>
      </c>
      <c r="AE345" s="321" t="str">
        <f t="shared" si="193"/>
        <v>X-PTAX</v>
      </c>
      <c r="AF345" s="321" t="str">
        <f t="shared" si="194"/>
        <v>X-PTAA</v>
      </c>
      <c r="AG345" s="321">
        <f t="shared" si="185"/>
        <v>21</v>
      </c>
      <c r="AH345" s="321"/>
      <c r="AI345" s="321" t="str">
        <f t="shared" si="195"/>
        <v>X-PTA</v>
      </c>
      <c r="AJ345" s="320"/>
      <c r="AK345" s="322">
        <f t="shared" si="186"/>
        <v>339</v>
      </c>
      <c r="AL345" s="323">
        <f t="shared" si="196"/>
        <v>359</v>
      </c>
      <c r="AM345" s="322">
        <f t="shared" si="197"/>
        <v>7</v>
      </c>
      <c r="AN345" s="381">
        <f t="shared" si="187"/>
        <v>0.12128888888888889</v>
      </c>
      <c r="AO345" s="322"/>
    </row>
    <row r="346" spans="2:80">
      <c r="B346" s="324" t="s">
        <v>2738</v>
      </c>
      <c r="C346" s="325" t="s">
        <v>1208</v>
      </c>
      <c r="D346" s="326" t="s">
        <v>447</v>
      </c>
      <c r="E346" s="327">
        <f>+SUMIF('AUX-NIV2'!I:I,'AUX-NIV3'!B346,'AUX-NIV2'!Q:Q)</f>
        <v>0</v>
      </c>
      <c r="F346" s="327">
        <f t="shared" si="177"/>
        <v>628.94484322387063</v>
      </c>
      <c r="G346" s="327">
        <f t="shared" si="178"/>
        <v>0</v>
      </c>
      <c r="H346" s="328" t="str">
        <f t="shared" si="168"/>
        <v>A</v>
      </c>
      <c r="I346" s="325" t="s">
        <v>1745</v>
      </c>
      <c r="J346" s="329" t="str">
        <f>IF(B346&lt;&gt;"",+VLOOKUP(I346,Recursos!C:F,2,FALSE),"")</f>
        <v>AYUDANTE</v>
      </c>
      <c r="K346" s="330" t="str">
        <f>IF(B346&lt;&gt;"",+VLOOKUP(I346,Recursos!C:F,3,FALSE),"")</f>
        <v>hh</v>
      </c>
      <c r="L346" s="446">
        <f>IF(B346&lt;&gt;"",+VLOOKUP(I346,Recursos!C:F,4,FALSE),"")</f>
        <v>422.48042769667234</v>
      </c>
      <c r="M346" s="462">
        <v>180</v>
      </c>
      <c r="N346" s="463">
        <v>1.25</v>
      </c>
      <c r="O346" s="459">
        <f t="shared" si="198"/>
        <v>6.9444444444444449E-3</v>
      </c>
      <c r="P346" s="333">
        <f t="shared" si="174"/>
        <v>2.9338918590046692</v>
      </c>
      <c r="Q346" s="327">
        <f t="shared" si="175"/>
        <v>0</v>
      </c>
      <c r="R346" s="334">
        <f t="shared" si="176"/>
        <v>0</v>
      </c>
      <c r="S346" s="335">
        <f t="shared" si="179"/>
        <v>65.807253890537254</v>
      </c>
      <c r="T346" s="335">
        <f t="shared" si="180"/>
        <v>562.13758933333338</v>
      </c>
      <c r="U346" s="336">
        <f t="shared" si="181"/>
        <v>1</v>
      </c>
      <c r="V346" s="336">
        <f t="shared" si="182"/>
        <v>0</v>
      </c>
      <c r="W346" s="336">
        <f t="shared" si="183"/>
        <v>0</v>
      </c>
      <c r="X346" s="336">
        <f t="shared" si="184"/>
        <v>0</v>
      </c>
      <c r="Y346" s="320"/>
      <c r="Z346" s="321" t="str">
        <f t="shared" si="188"/>
        <v>X-PTAA</v>
      </c>
      <c r="AA346" s="321" t="str">
        <f t="shared" si="189"/>
        <v>X-PTAE</v>
      </c>
      <c r="AB346" s="321" t="str">
        <f t="shared" si="190"/>
        <v>X-PTAM</v>
      </c>
      <c r="AC346" s="321" t="str">
        <f t="shared" si="191"/>
        <v>X-PTAT</v>
      </c>
      <c r="AD346" s="321" t="str">
        <f t="shared" si="192"/>
        <v>X-PTAS</v>
      </c>
      <c r="AE346" s="321" t="str">
        <f t="shared" si="193"/>
        <v>X-PTAX</v>
      </c>
      <c r="AF346" s="321" t="str">
        <f t="shared" si="194"/>
        <v>X-PTAA</v>
      </c>
      <c r="AG346" s="321">
        <f t="shared" si="185"/>
        <v>21</v>
      </c>
      <c r="AH346" s="321"/>
      <c r="AI346" s="321" t="str">
        <f t="shared" si="195"/>
        <v>X-PTA</v>
      </c>
      <c r="AJ346" s="320"/>
      <c r="AK346" s="322">
        <f t="shared" si="186"/>
        <v>339</v>
      </c>
      <c r="AL346" s="323">
        <f t="shared" si="196"/>
        <v>359</v>
      </c>
      <c r="AM346" s="322">
        <f t="shared" si="197"/>
        <v>8</v>
      </c>
      <c r="AN346" s="381">
        <f t="shared" si="187"/>
        <v>0.12128888888888889</v>
      </c>
      <c r="AO346" s="322"/>
    </row>
    <row r="347" spans="2:80">
      <c r="B347" s="324" t="s">
        <v>2738</v>
      </c>
      <c r="C347" s="325" t="s">
        <v>1208</v>
      </c>
      <c r="D347" s="326" t="s">
        <v>447</v>
      </c>
      <c r="E347" s="327">
        <f>+SUMIF('AUX-NIV2'!I:I,'AUX-NIV3'!B347,'AUX-NIV2'!Q:Q)</f>
        <v>0</v>
      </c>
      <c r="F347" s="327">
        <f t="shared" si="177"/>
        <v>628.94484322387063</v>
      </c>
      <c r="G347" s="327">
        <f t="shared" si="178"/>
        <v>0</v>
      </c>
      <c r="H347" s="328" t="str">
        <f t="shared" si="168"/>
        <v>E</v>
      </c>
      <c r="I347" s="325" t="s">
        <v>1641</v>
      </c>
      <c r="J347" s="329" t="str">
        <f>IF(B347&lt;&gt;"",+VLOOKUP(I347,Recursos!C:F,2,FALSE),"")</f>
        <v>RETROEXCAVADORA S/CARRILES  2,5 M3</v>
      </c>
      <c r="K347" s="330" t="str">
        <f>IF(B347&lt;&gt;"",+VLOOKUP(I347,Recursos!C:F,3,FALSE),"")</f>
        <v>HR</v>
      </c>
      <c r="L347" s="446">
        <f>IF(B347&lt;&gt;"",+VLOOKUP(I347,Recursos!C:F,4,FALSE),"")</f>
        <v>6372.6</v>
      </c>
      <c r="M347" s="462">
        <v>180</v>
      </c>
      <c r="N347" s="463">
        <v>1</v>
      </c>
      <c r="O347" s="459">
        <f t="shared" si="198"/>
        <v>5.5555555555555558E-3</v>
      </c>
      <c r="P347" s="333">
        <f t="shared" si="174"/>
        <v>35.403333333333336</v>
      </c>
      <c r="Q347" s="327">
        <f t="shared" si="175"/>
        <v>0</v>
      </c>
      <c r="R347" s="334">
        <f t="shared" si="176"/>
        <v>0</v>
      </c>
      <c r="S347" s="335">
        <f t="shared" si="179"/>
        <v>65.807253890537254</v>
      </c>
      <c r="T347" s="335">
        <f t="shared" si="180"/>
        <v>562.13758933333338</v>
      </c>
      <c r="U347" s="336">
        <f t="shared" si="181"/>
        <v>1</v>
      </c>
      <c r="V347" s="336">
        <f t="shared" si="182"/>
        <v>0</v>
      </c>
      <c r="W347" s="336">
        <f t="shared" si="183"/>
        <v>0</v>
      </c>
      <c r="X347" s="336">
        <f t="shared" si="184"/>
        <v>0</v>
      </c>
      <c r="Y347" s="320"/>
      <c r="Z347" s="321" t="str">
        <f t="shared" si="188"/>
        <v>X-PTAA</v>
      </c>
      <c r="AA347" s="321" t="str">
        <f t="shared" si="189"/>
        <v>X-PTAE</v>
      </c>
      <c r="AB347" s="321" t="str">
        <f t="shared" si="190"/>
        <v>X-PTAM</v>
      </c>
      <c r="AC347" s="321" t="str">
        <f t="shared" si="191"/>
        <v>X-PTAT</v>
      </c>
      <c r="AD347" s="321" t="str">
        <f t="shared" si="192"/>
        <v>X-PTAS</v>
      </c>
      <c r="AE347" s="321" t="str">
        <f t="shared" si="193"/>
        <v>X-PTAX</v>
      </c>
      <c r="AF347" s="321" t="str">
        <f t="shared" si="194"/>
        <v>X-PTAE</v>
      </c>
      <c r="AG347" s="321">
        <f t="shared" si="185"/>
        <v>21</v>
      </c>
      <c r="AH347" s="321"/>
      <c r="AI347" s="321" t="str">
        <f t="shared" si="195"/>
        <v>X-PTA</v>
      </c>
      <c r="AJ347" s="320"/>
      <c r="AK347" s="322">
        <f t="shared" si="186"/>
        <v>339</v>
      </c>
      <c r="AL347" s="323">
        <f t="shared" si="196"/>
        <v>359</v>
      </c>
      <c r="AM347" s="322">
        <f t="shared" si="197"/>
        <v>9</v>
      </c>
      <c r="AN347" s="381">
        <f t="shared" si="187"/>
        <v>0.12128888888888889</v>
      </c>
      <c r="AO347" s="322"/>
    </row>
    <row r="348" spans="2:80">
      <c r="B348" s="324" t="s">
        <v>2738</v>
      </c>
      <c r="C348" s="325" t="s">
        <v>1208</v>
      </c>
      <c r="D348" s="326" t="s">
        <v>447</v>
      </c>
      <c r="E348" s="327">
        <f>+SUMIF('AUX-NIV2'!I:I,'AUX-NIV3'!B348,'AUX-NIV2'!Q:Q)</f>
        <v>0</v>
      </c>
      <c r="F348" s="327">
        <f t="shared" si="177"/>
        <v>628.94484322387063</v>
      </c>
      <c r="G348" s="327">
        <f t="shared" si="178"/>
        <v>0</v>
      </c>
      <c r="H348" s="328" t="str">
        <f t="shared" si="168"/>
        <v>E</v>
      </c>
      <c r="I348" s="325" t="s">
        <v>1545</v>
      </c>
      <c r="J348" s="329" t="str">
        <f>IF(B348&lt;&gt;"",+VLOOKUP(I348,Recursos!C:F,2,FALSE),"")</f>
        <v>TORRE DE ILUMINACION</v>
      </c>
      <c r="K348" s="330" t="str">
        <f>IF(B348&lt;&gt;"",+VLOOKUP(I348,Recursos!C:F,3,FALSE),"")</f>
        <v>HR</v>
      </c>
      <c r="L348" s="446">
        <f>IF(B348&lt;&gt;"",+VLOOKUP(I348,Recursos!C:F,4,FALSE),"")</f>
        <v>323.2944</v>
      </c>
      <c r="M348" s="462">
        <v>25</v>
      </c>
      <c r="N348" s="463">
        <v>0.5</v>
      </c>
      <c r="O348" s="459">
        <f t="shared" si="198"/>
        <v>0.02</v>
      </c>
      <c r="P348" s="333">
        <f t="shared" si="174"/>
        <v>6.4658879999999996</v>
      </c>
      <c r="Q348" s="327">
        <f t="shared" si="175"/>
        <v>0</v>
      </c>
      <c r="R348" s="334">
        <f t="shared" si="176"/>
        <v>0</v>
      </c>
      <c r="S348" s="335">
        <f t="shared" si="179"/>
        <v>65.807253890537254</v>
      </c>
      <c r="T348" s="335">
        <f t="shared" si="180"/>
        <v>562.13758933333338</v>
      </c>
      <c r="U348" s="336">
        <f t="shared" si="181"/>
        <v>1</v>
      </c>
      <c r="V348" s="336">
        <f t="shared" si="182"/>
        <v>0</v>
      </c>
      <c r="W348" s="336">
        <f t="shared" si="183"/>
        <v>0</v>
      </c>
      <c r="X348" s="336">
        <f t="shared" si="184"/>
        <v>0</v>
      </c>
      <c r="Y348" s="320"/>
      <c r="Z348" s="321" t="str">
        <f t="shared" si="188"/>
        <v>X-PTAA</v>
      </c>
      <c r="AA348" s="321" t="str">
        <f t="shared" si="189"/>
        <v>X-PTAE</v>
      </c>
      <c r="AB348" s="321" t="str">
        <f t="shared" si="190"/>
        <v>X-PTAM</v>
      </c>
      <c r="AC348" s="321" t="str">
        <f t="shared" si="191"/>
        <v>X-PTAT</v>
      </c>
      <c r="AD348" s="321" t="str">
        <f t="shared" si="192"/>
        <v>X-PTAS</v>
      </c>
      <c r="AE348" s="321" t="str">
        <f t="shared" si="193"/>
        <v>X-PTAX</v>
      </c>
      <c r="AF348" s="321" t="str">
        <f t="shared" si="194"/>
        <v>X-PTAE</v>
      </c>
      <c r="AG348" s="321">
        <f t="shared" si="185"/>
        <v>21</v>
      </c>
      <c r="AH348" s="321"/>
      <c r="AI348" s="321" t="str">
        <f t="shared" si="195"/>
        <v>X-PTA</v>
      </c>
      <c r="AJ348" s="320"/>
      <c r="AK348" s="322">
        <f t="shared" si="186"/>
        <v>339</v>
      </c>
      <c r="AL348" s="323">
        <f t="shared" si="196"/>
        <v>359</v>
      </c>
      <c r="AM348" s="322">
        <f t="shared" si="197"/>
        <v>10</v>
      </c>
      <c r="AN348" s="381">
        <f t="shared" si="187"/>
        <v>0.12128888888888889</v>
      </c>
      <c r="AO348" s="322"/>
    </row>
    <row r="349" spans="2:80">
      <c r="B349" s="324" t="s">
        <v>2738</v>
      </c>
      <c r="C349" s="325" t="s">
        <v>1208</v>
      </c>
      <c r="D349" s="326" t="s">
        <v>447</v>
      </c>
      <c r="E349" s="327">
        <f>+SUMIF('AUX-NIV2'!I:I,'AUX-NIV3'!B349,'AUX-NIV2'!Q:Q)</f>
        <v>0</v>
      </c>
      <c r="F349" s="327">
        <f t="shared" si="177"/>
        <v>628.94484322387063</v>
      </c>
      <c r="G349" s="327">
        <f t="shared" si="178"/>
        <v>0</v>
      </c>
      <c r="H349" s="328" t="str">
        <f t="shared" si="168"/>
        <v>E</v>
      </c>
      <c r="I349" s="325" t="s">
        <v>1555</v>
      </c>
      <c r="J349" s="329" t="str">
        <f>IF(B349&lt;&gt;"",+VLOOKUP(I349,Recursos!C:F,2,FALSE),"")</f>
        <v>CAMION VOLCADOR 6x4 CAP. 24 T=15 m3</v>
      </c>
      <c r="K349" s="330" t="str">
        <f>IF(B349&lt;&gt;"",+VLOOKUP(I349,Recursos!C:F,3,FALSE),"")</f>
        <v>HR</v>
      </c>
      <c r="L349" s="446">
        <f>IF(B349&lt;&gt;"",+VLOOKUP(I349,Recursos!C:F,4,FALSE),"")</f>
        <v>3333.261</v>
      </c>
      <c r="M349" s="462">
        <v>25</v>
      </c>
      <c r="N349" s="463">
        <v>1</v>
      </c>
      <c r="O349" s="459">
        <f t="shared" si="198"/>
        <v>0.04</v>
      </c>
      <c r="P349" s="333">
        <f t="shared" si="174"/>
        <v>133.33044000000001</v>
      </c>
      <c r="Q349" s="327">
        <f t="shared" si="175"/>
        <v>0</v>
      </c>
      <c r="R349" s="334">
        <f t="shared" si="176"/>
        <v>0</v>
      </c>
      <c r="S349" s="335">
        <f t="shared" si="179"/>
        <v>65.807253890537254</v>
      </c>
      <c r="T349" s="335">
        <f t="shared" si="180"/>
        <v>562.13758933333338</v>
      </c>
      <c r="U349" s="336">
        <f t="shared" si="181"/>
        <v>1</v>
      </c>
      <c r="V349" s="336">
        <f t="shared" si="182"/>
        <v>0</v>
      </c>
      <c r="W349" s="336">
        <f t="shared" si="183"/>
        <v>0</v>
      </c>
      <c r="X349" s="336">
        <f t="shared" si="184"/>
        <v>0</v>
      </c>
      <c r="Y349" s="320"/>
      <c r="Z349" s="321" t="str">
        <f t="shared" si="188"/>
        <v>X-PTAA</v>
      </c>
      <c r="AA349" s="321" t="str">
        <f t="shared" si="189"/>
        <v>X-PTAE</v>
      </c>
      <c r="AB349" s="321" t="str">
        <f t="shared" si="190"/>
        <v>X-PTAM</v>
      </c>
      <c r="AC349" s="321" t="str">
        <f t="shared" si="191"/>
        <v>X-PTAT</v>
      </c>
      <c r="AD349" s="321" t="str">
        <f t="shared" si="192"/>
        <v>X-PTAS</v>
      </c>
      <c r="AE349" s="321" t="str">
        <f t="shared" si="193"/>
        <v>X-PTAX</v>
      </c>
      <c r="AF349" s="321" t="str">
        <f t="shared" si="194"/>
        <v>X-PTAE</v>
      </c>
      <c r="AG349" s="321">
        <f t="shared" si="185"/>
        <v>21</v>
      </c>
      <c r="AH349" s="321"/>
      <c r="AI349" s="321" t="str">
        <f t="shared" si="195"/>
        <v>X-PTA</v>
      </c>
      <c r="AJ349" s="320"/>
      <c r="AK349" s="322">
        <f t="shared" si="186"/>
        <v>339</v>
      </c>
      <c r="AL349" s="323">
        <f t="shared" si="196"/>
        <v>359</v>
      </c>
      <c r="AM349" s="322">
        <f t="shared" si="197"/>
        <v>11</v>
      </c>
      <c r="AN349" s="381">
        <f t="shared" si="187"/>
        <v>0.12128888888888889</v>
      </c>
      <c r="AO349" s="322"/>
    </row>
    <row r="350" spans="2:80">
      <c r="B350" s="324" t="s">
        <v>2738</v>
      </c>
      <c r="C350" s="325" t="s">
        <v>1208</v>
      </c>
      <c r="D350" s="326" t="s">
        <v>447</v>
      </c>
      <c r="E350" s="327">
        <f>+SUMIF('AUX-NIV2'!I:I,'AUX-NIV3'!B350,'AUX-NIV2'!Q:Q)</f>
        <v>0</v>
      </c>
      <c r="F350" s="327">
        <f t="shared" si="177"/>
        <v>628.94484322387063</v>
      </c>
      <c r="G350" s="327">
        <f t="shared" si="178"/>
        <v>0</v>
      </c>
      <c r="H350" s="328" t="str">
        <f t="shared" si="168"/>
        <v>E</v>
      </c>
      <c r="I350" s="325" t="s">
        <v>1542</v>
      </c>
      <c r="J350" s="329" t="str">
        <f>IF(B350&lt;&gt;"",+VLOOKUP(I350,Recursos!C:F,2,FALSE),"")</f>
        <v>CARGADOR FRONTAL S/NEUM. (2,30 M3)</v>
      </c>
      <c r="K350" s="330" t="str">
        <f>IF(B350&lt;&gt;"",+VLOOKUP(I350,Recursos!C:F,3,FALSE),"")</f>
        <v>HR</v>
      </c>
      <c r="L350" s="446">
        <f>IF(B350&lt;&gt;"",+VLOOKUP(I350,Recursos!C:F,4,FALSE),"")</f>
        <v>3152.8359999999998</v>
      </c>
      <c r="M350" s="462">
        <v>25</v>
      </c>
      <c r="N350" s="463">
        <v>1</v>
      </c>
      <c r="O350" s="459">
        <f t="shared" si="198"/>
        <v>0.04</v>
      </c>
      <c r="P350" s="333">
        <f t="shared" si="174"/>
        <v>126.11344</v>
      </c>
      <c r="Q350" s="327">
        <f t="shared" si="175"/>
        <v>0</v>
      </c>
      <c r="R350" s="334">
        <f t="shared" si="176"/>
        <v>0</v>
      </c>
      <c r="S350" s="335">
        <f t="shared" si="179"/>
        <v>65.807253890537254</v>
      </c>
      <c r="T350" s="335">
        <f t="shared" si="180"/>
        <v>562.13758933333338</v>
      </c>
      <c r="U350" s="336">
        <f t="shared" si="181"/>
        <v>1</v>
      </c>
      <c r="V350" s="336">
        <f t="shared" si="182"/>
        <v>0</v>
      </c>
      <c r="W350" s="336">
        <f t="shared" si="183"/>
        <v>0</v>
      </c>
      <c r="X350" s="336">
        <f t="shared" si="184"/>
        <v>0</v>
      </c>
      <c r="Y350" s="320"/>
      <c r="Z350" s="321" t="str">
        <f t="shared" si="188"/>
        <v>X-PTAA</v>
      </c>
      <c r="AA350" s="321" t="str">
        <f t="shared" si="189"/>
        <v>X-PTAE</v>
      </c>
      <c r="AB350" s="321" t="str">
        <f t="shared" si="190"/>
        <v>X-PTAM</v>
      </c>
      <c r="AC350" s="321" t="str">
        <f t="shared" si="191"/>
        <v>X-PTAT</v>
      </c>
      <c r="AD350" s="321" t="str">
        <f t="shared" si="192"/>
        <v>X-PTAS</v>
      </c>
      <c r="AE350" s="321" t="str">
        <f t="shared" si="193"/>
        <v>X-PTAX</v>
      </c>
      <c r="AF350" s="321" t="str">
        <f t="shared" si="194"/>
        <v>X-PTAE</v>
      </c>
      <c r="AG350" s="321">
        <f t="shared" si="185"/>
        <v>21</v>
      </c>
      <c r="AH350" s="321"/>
      <c r="AI350" s="321" t="str">
        <f t="shared" si="195"/>
        <v>X-PTA</v>
      </c>
      <c r="AJ350" s="320"/>
      <c r="AK350" s="322">
        <f t="shared" si="186"/>
        <v>339</v>
      </c>
      <c r="AL350" s="323">
        <f t="shared" si="196"/>
        <v>359</v>
      </c>
      <c r="AM350" s="322">
        <f t="shared" si="197"/>
        <v>12</v>
      </c>
      <c r="AN350" s="381">
        <f t="shared" si="187"/>
        <v>0.12128888888888889</v>
      </c>
      <c r="AO350" s="322"/>
    </row>
    <row r="351" spans="2:80">
      <c r="B351" s="324" t="s">
        <v>2738</v>
      </c>
      <c r="C351" s="325" t="s">
        <v>1208</v>
      </c>
      <c r="D351" s="326" t="s">
        <v>447</v>
      </c>
      <c r="E351" s="327">
        <f>+SUMIF('AUX-NIV2'!I:I,'AUX-NIV3'!B351,'AUX-NIV2'!Q:Q)</f>
        <v>0</v>
      </c>
      <c r="F351" s="327">
        <f t="shared" si="177"/>
        <v>628.94484322387063</v>
      </c>
      <c r="G351" s="327">
        <f t="shared" si="178"/>
        <v>0</v>
      </c>
      <c r="H351" s="328" t="str">
        <f t="shared" si="168"/>
        <v>E</v>
      </c>
      <c r="I351" s="325" t="s">
        <v>1555</v>
      </c>
      <c r="J351" s="329" t="str">
        <f>IF(B351&lt;&gt;"",+VLOOKUP(I351,Recursos!C:F,2,FALSE),"")</f>
        <v>CAMION VOLCADOR 6x4 CAP. 24 T=15 m3</v>
      </c>
      <c r="K351" s="330" t="str">
        <f>IF(B351&lt;&gt;"",+VLOOKUP(I351,Recursos!C:F,3,FALSE),"")</f>
        <v>HR</v>
      </c>
      <c r="L351" s="446">
        <f>IF(B351&lt;&gt;"",+VLOOKUP(I351,Recursos!C:F,4,FALSE),"")</f>
        <v>3333.261</v>
      </c>
      <c r="M351" s="462">
        <v>25</v>
      </c>
      <c r="N351" s="463">
        <v>1</v>
      </c>
      <c r="O351" s="459">
        <f t="shared" si="198"/>
        <v>0.04</v>
      </c>
      <c r="P351" s="333">
        <f t="shared" si="174"/>
        <v>133.33044000000001</v>
      </c>
      <c r="Q351" s="327">
        <f t="shared" si="175"/>
        <v>0</v>
      </c>
      <c r="R351" s="334">
        <f t="shared" si="176"/>
        <v>0</v>
      </c>
      <c r="S351" s="335">
        <f t="shared" si="179"/>
        <v>65.807253890537254</v>
      </c>
      <c r="T351" s="335">
        <f t="shared" si="180"/>
        <v>562.13758933333338</v>
      </c>
      <c r="U351" s="336">
        <f t="shared" si="181"/>
        <v>1</v>
      </c>
      <c r="V351" s="336">
        <f t="shared" si="182"/>
        <v>0</v>
      </c>
      <c r="W351" s="336">
        <f t="shared" si="183"/>
        <v>0</v>
      </c>
      <c r="X351" s="336">
        <f t="shared" si="184"/>
        <v>0</v>
      </c>
      <c r="Y351" s="320"/>
      <c r="Z351" s="321" t="str">
        <f t="shared" si="188"/>
        <v>X-PTAA</v>
      </c>
      <c r="AA351" s="321" t="str">
        <f t="shared" si="189"/>
        <v>X-PTAE</v>
      </c>
      <c r="AB351" s="321" t="str">
        <f t="shared" si="190"/>
        <v>X-PTAM</v>
      </c>
      <c r="AC351" s="321" t="str">
        <f t="shared" si="191"/>
        <v>X-PTAT</v>
      </c>
      <c r="AD351" s="321" t="str">
        <f t="shared" si="192"/>
        <v>X-PTAS</v>
      </c>
      <c r="AE351" s="321" t="str">
        <f t="shared" si="193"/>
        <v>X-PTAX</v>
      </c>
      <c r="AF351" s="321" t="str">
        <f t="shared" si="194"/>
        <v>X-PTAE</v>
      </c>
      <c r="AG351" s="321">
        <f t="shared" si="185"/>
        <v>21</v>
      </c>
      <c r="AH351" s="321"/>
      <c r="AI351" s="321" t="str">
        <f t="shared" si="195"/>
        <v>X-PTA</v>
      </c>
      <c r="AJ351" s="320"/>
      <c r="AK351" s="322">
        <f t="shared" si="186"/>
        <v>339</v>
      </c>
      <c r="AL351" s="323">
        <f t="shared" si="196"/>
        <v>359</v>
      </c>
      <c r="AM351" s="322">
        <f t="shared" si="197"/>
        <v>13</v>
      </c>
      <c r="AN351" s="381">
        <f t="shared" si="187"/>
        <v>0.12128888888888889</v>
      </c>
      <c r="AO351" s="322"/>
    </row>
    <row r="352" spans="2:80">
      <c r="B352" s="324" t="s">
        <v>2738</v>
      </c>
      <c r="C352" s="325" t="s">
        <v>1208</v>
      </c>
      <c r="D352" s="326" t="s">
        <v>447</v>
      </c>
      <c r="E352" s="327">
        <f>+SUMIF('AUX-NIV2'!I:I,'AUX-NIV3'!B352,'AUX-NIV2'!Q:Q)</f>
        <v>0</v>
      </c>
      <c r="F352" s="327">
        <f t="shared" si="177"/>
        <v>628.94484322387063</v>
      </c>
      <c r="G352" s="327">
        <f t="shared" si="178"/>
        <v>0</v>
      </c>
      <c r="H352" s="328" t="str">
        <f t="shared" si="168"/>
        <v>E</v>
      </c>
      <c r="I352" s="325" t="s">
        <v>1606</v>
      </c>
      <c r="J352" s="329" t="str">
        <f>IF(B352&lt;&gt;"",+VLOOKUP(I352,Recursos!C:F,2,FALSE),"")</f>
        <v>PLANTA DE ZARANDEO 100/175 T/H</v>
      </c>
      <c r="K352" s="330" t="str">
        <f>IF(B352&lt;&gt;"",+VLOOKUP(I352,Recursos!C:F,3,FALSE),"")</f>
        <v>HR</v>
      </c>
      <c r="L352" s="446">
        <f>IF(B352&lt;&gt;"",+VLOOKUP(I352,Recursos!C:F,4,FALSE),"")</f>
        <v>793.94899999999996</v>
      </c>
      <c r="M352" s="462">
        <v>62.5</v>
      </c>
      <c r="N352" s="463">
        <v>2</v>
      </c>
      <c r="O352" s="459">
        <f t="shared" si="198"/>
        <v>3.2000000000000001E-2</v>
      </c>
      <c r="P352" s="333">
        <f t="shared" si="174"/>
        <v>25.406368000000001</v>
      </c>
      <c r="Q352" s="327">
        <f t="shared" si="175"/>
        <v>0</v>
      </c>
      <c r="R352" s="334">
        <f t="shared" si="176"/>
        <v>0</v>
      </c>
      <c r="S352" s="335">
        <f t="shared" si="179"/>
        <v>65.807253890537254</v>
      </c>
      <c r="T352" s="335">
        <f t="shared" si="180"/>
        <v>562.13758933333338</v>
      </c>
      <c r="U352" s="336">
        <f t="shared" si="181"/>
        <v>1</v>
      </c>
      <c r="V352" s="336">
        <f t="shared" si="182"/>
        <v>0</v>
      </c>
      <c r="W352" s="336">
        <f t="shared" si="183"/>
        <v>0</v>
      </c>
      <c r="X352" s="336">
        <f t="shared" si="184"/>
        <v>0</v>
      </c>
      <c r="Y352" s="320"/>
      <c r="Z352" s="321" t="str">
        <f t="shared" si="188"/>
        <v>X-PTAA</v>
      </c>
      <c r="AA352" s="321" t="str">
        <f t="shared" si="189"/>
        <v>X-PTAE</v>
      </c>
      <c r="AB352" s="321" t="str">
        <f t="shared" si="190"/>
        <v>X-PTAM</v>
      </c>
      <c r="AC352" s="321" t="str">
        <f t="shared" si="191"/>
        <v>X-PTAT</v>
      </c>
      <c r="AD352" s="321" t="str">
        <f t="shared" si="192"/>
        <v>X-PTAS</v>
      </c>
      <c r="AE352" s="321" t="str">
        <f t="shared" si="193"/>
        <v>X-PTAX</v>
      </c>
      <c r="AF352" s="321" t="str">
        <f t="shared" si="194"/>
        <v>X-PTAE</v>
      </c>
      <c r="AG352" s="321">
        <f t="shared" si="185"/>
        <v>21</v>
      </c>
      <c r="AH352" s="321"/>
      <c r="AI352" s="321" t="str">
        <f t="shared" si="195"/>
        <v>X-PTA</v>
      </c>
      <c r="AJ352" s="320"/>
      <c r="AK352" s="322">
        <f t="shared" si="186"/>
        <v>339</v>
      </c>
      <c r="AL352" s="323">
        <f t="shared" si="196"/>
        <v>359</v>
      </c>
      <c r="AM352" s="322">
        <f t="shared" si="197"/>
        <v>14</v>
      </c>
      <c r="AN352" s="381">
        <f t="shared" si="187"/>
        <v>0.12128888888888889</v>
      </c>
      <c r="AO352" s="322"/>
    </row>
    <row r="353" spans="2:41">
      <c r="B353" s="324" t="s">
        <v>2738</v>
      </c>
      <c r="C353" s="325" t="s">
        <v>1208</v>
      </c>
      <c r="D353" s="326" t="s">
        <v>447</v>
      </c>
      <c r="E353" s="327">
        <f>+SUMIF('AUX-NIV2'!I:I,'AUX-NIV3'!B353,'AUX-NIV2'!Q:Q)</f>
        <v>0</v>
      </c>
      <c r="F353" s="327">
        <f t="shared" si="177"/>
        <v>628.94484322387063</v>
      </c>
      <c r="G353" s="327">
        <f t="shared" si="178"/>
        <v>0</v>
      </c>
      <c r="H353" s="328" t="str">
        <f t="shared" si="168"/>
        <v>E</v>
      </c>
      <c r="I353" s="325" t="s">
        <v>1607</v>
      </c>
      <c r="J353" s="329" t="str">
        <f>IF(B353&lt;&gt;"",+VLOOKUP(I353,Recursos!C:F,2,FALSE),"")</f>
        <v>ALIMENTADOR VIBRAT.CAP.200 T/H</v>
      </c>
      <c r="K353" s="330" t="str">
        <f>IF(B353&lt;&gt;"",+VLOOKUP(I353,Recursos!C:F,3,FALSE),"")</f>
        <v>HR</v>
      </c>
      <c r="L353" s="446">
        <f>IF(B353&lt;&gt;"",+VLOOKUP(I353,Recursos!C:F,4,FALSE),"")</f>
        <v>163.27999999999997</v>
      </c>
      <c r="M353" s="462">
        <v>62.5</v>
      </c>
      <c r="N353" s="463">
        <v>1</v>
      </c>
      <c r="O353" s="459">
        <f t="shared" si="198"/>
        <v>1.6E-2</v>
      </c>
      <c r="P353" s="333">
        <f t="shared" si="174"/>
        <v>2.6124799999999997</v>
      </c>
      <c r="Q353" s="327">
        <f t="shared" si="175"/>
        <v>0</v>
      </c>
      <c r="R353" s="334">
        <f t="shared" si="176"/>
        <v>0</v>
      </c>
      <c r="S353" s="335">
        <f t="shared" si="179"/>
        <v>65.807253890537254</v>
      </c>
      <c r="T353" s="335">
        <f t="shared" si="180"/>
        <v>562.13758933333338</v>
      </c>
      <c r="U353" s="336">
        <f t="shared" si="181"/>
        <v>1</v>
      </c>
      <c r="V353" s="336">
        <f t="shared" si="182"/>
        <v>0</v>
      </c>
      <c r="W353" s="336">
        <f t="shared" si="183"/>
        <v>0</v>
      </c>
      <c r="X353" s="336">
        <f t="shared" si="184"/>
        <v>0</v>
      </c>
      <c r="Y353" s="320"/>
      <c r="Z353" s="321" t="str">
        <f t="shared" si="188"/>
        <v>X-PTAA</v>
      </c>
      <c r="AA353" s="321" t="str">
        <f t="shared" si="189"/>
        <v>X-PTAE</v>
      </c>
      <c r="AB353" s="321" t="str">
        <f t="shared" si="190"/>
        <v>X-PTAM</v>
      </c>
      <c r="AC353" s="321" t="str">
        <f t="shared" si="191"/>
        <v>X-PTAT</v>
      </c>
      <c r="AD353" s="321" t="str">
        <f t="shared" si="192"/>
        <v>X-PTAS</v>
      </c>
      <c r="AE353" s="321" t="str">
        <f t="shared" si="193"/>
        <v>X-PTAX</v>
      </c>
      <c r="AF353" s="321" t="str">
        <f t="shared" si="194"/>
        <v>X-PTAE</v>
      </c>
      <c r="AG353" s="321">
        <f t="shared" si="185"/>
        <v>21</v>
      </c>
      <c r="AH353" s="321"/>
      <c r="AI353" s="321" t="str">
        <f t="shared" si="195"/>
        <v>X-PTA</v>
      </c>
      <c r="AJ353" s="320"/>
      <c r="AK353" s="322">
        <f t="shared" si="186"/>
        <v>339</v>
      </c>
      <c r="AL353" s="323">
        <f t="shared" si="196"/>
        <v>359</v>
      </c>
      <c r="AM353" s="322">
        <f t="shared" si="197"/>
        <v>15</v>
      </c>
      <c r="AN353" s="381">
        <f t="shared" si="187"/>
        <v>0.12128888888888889</v>
      </c>
      <c r="AO353" s="322"/>
    </row>
    <row r="354" spans="2:41">
      <c r="B354" s="324" t="s">
        <v>2738</v>
      </c>
      <c r="C354" s="325" t="s">
        <v>1208</v>
      </c>
      <c r="D354" s="326" t="s">
        <v>447</v>
      </c>
      <c r="E354" s="327">
        <f>+SUMIF('AUX-NIV2'!I:I,'AUX-NIV3'!B354,'AUX-NIV2'!Q:Q)</f>
        <v>0</v>
      </c>
      <c r="F354" s="327">
        <f t="shared" si="177"/>
        <v>628.94484322387063</v>
      </c>
      <c r="G354" s="327">
        <f t="shared" si="178"/>
        <v>0</v>
      </c>
      <c r="H354" s="328" t="str">
        <f t="shared" ref="H354:H417" si="199">IF(B354&lt;&gt;"",+LEFT(I354,1),"")</f>
        <v>E</v>
      </c>
      <c r="I354" s="325" t="s">
        <v>1643</v>
      </c>
      <c r="J354" s="329" t="str">
        <f>IF(B354&lt;&gt;"",+VLOOKUP(I354,Recursos!C:F,2,FALSE),"")</f>
        <v>TRITUR.PRIMARIA A IMPACTO ALIM. 32"</v>
      </c>
      <c r="K354" s="330" t="str">
        <f>IF(B354&lt;&gt;"",+VLOOKUP(I354,Recursos!C:F,3,FALSE),"")</f>
        <v>HR</v>
      </c>
      <c r="L354" s="446">
        <f>IF(B354&lt;&gt;"",+VLOOKUP(I354,Recursos!C:F,4,FALSE),"")</f>
        <v>2204.2799999999997</v>
      </c>
      <c r="M354" s="462">
        <v>1</v>
      </c>
      <c r="N354" s="463">
        <v>0</v>
      </c>
      <c r="O354" s="459">
        <f t="shared" si="198"/>
        <v>0</v>
      </c>
      <c r="P354" s="333">
        <f t="shared" si="174"/>
        <v>0</v>
      </c>
      <c r="Q354" s="327">
        <f t="shared" si="175"/>
        <v>0</v>
      </c>
      <c r="R354" s="334">
        <f t="shared" si="176"/>
        <v>0</v>
      </c>
      <c r="S354" s="335">
        <f t="shared" si="179"/>
        <v>65.807253890537254</v>
      </c>
      <c r="T354" s="335">
        <f t="shared" si="180"/>
        <v>562.13758933333338</v>
      </c>
      <c r="U354" s="336">
        <f t="shared" si="181"/>
        <v>1</v>
      </c>
      <c r="V354" s="336">
        <f t="shared" si="182"/>
        <v>0</v>
      </c>
      <c r="W354" s="336">
        <f t="shared" si="183"/>
        <v>0</v>
      </c>
      <c r="X354" s="336">
        <f t="shared" si="184"/>
        <v>0</v>
      </c>
      <c r="Y354" s="320"/>
      <c r="Z354" s="321" t="str">
        <f t="shared" si="188"/>
        <v>X-PTAA</v>
      </c>
      <c r="AA354" s="321" t="str">
        <f t="shared" si="189"/>
        <v>X-PTAE</v>
      </c>
      <c r="AB354" s="321" t="str">
        <f t="shared" si="190"/>
        <v>X-PTAM</v>
      </c>
      <c r="AC354" s="321" t="str">
        <f t="shared" si="191"/>
        <v>X-PTAT</v>
      </c>
      <c r="AD354" s="321" t="str">
        <f t="shared" si="192"/>
        <v>X-PTAS</v>
      </c>
      <c r="AE354" s="321" t="str">
        <f t="shared" si="193"/>
        <v>X-PTAX</v>
      </c>
      <c r="AF354" s="321" t="str">
        <f t="shared" si="194"/>
        <v>X-PTAE</v>
      </c>
      <c r="AG354" s="321">
        <f t="shared" si="185"/>
        <v>21</v>
      </c>
      <c r="AH354" s="321"/>
      <c r="AI354" s="321" t="str">
        <f t="shared" si="195"/>
        <v>X-PTA</v>
      </c>
      <c r="AJ354" s="320"/>
      <c r="AK354" s="322">
        <f t="shared" si="186"/>
        <v>339</v>
      </c>
      <c r="AL354" s="323">
        <f t="shared" si="196"/>
        <v>359</v>
      </c>
      <c r="AM354" s="322">
        <f t="shared" si="197"/>
        <v>16</v>
      </c>
      <c r="AN354" s="381">
        <f t="shared" si="187"/>
        <v>0.12128888888888889</v>
      </c>
      <c r="AO354" s="322"/>
    </row>
    <row r="355" spans="2:41">
      <c r="B355" s="324" t="s">
        <v>2738</v>
      </c>
      <c r="C355" s="325" t="s">
        <v>1208</v>
      </c>
      <c r="D355" s="326" t="s">
        <v>447</v>
      </c>
      <c r="E355" s="327">
        <f>+SUMIF('AUX-NIV2'!I:I,'AUX-NIV3'!B355,'AUX-NIV2'!Q:Q)</f>
        <v>0</v>
      </c>
      <c r="F355" s="327">
        <f t="shared" si="177"/>
        <v>628.94484322387063</v>
      </c>
      <c r="G355" s="327">
        <f t="shared" si="178"/>
        <v>0</v>
      </c>
      <c r="H355" s="328" t="str">
        <f t="shared" si="199"/>
        <v>E</v>
      </c>
      <c r="I355" s="325" t="s">
        <v>1644</v>
      </c>
      <c r="J355" s="329" t="str">
        <f>IF(B355&lt;&gt;"",+VLOOKUP(I355,Recursos!C:F,2,FALSE),"")</f>
        <v>TRITUR.SECUND.A CONO 36" C/ZARANDA</v>
      </c>
      <c r="K355" s="330" t="str">
        <f>IF(B355&lt;&gt;"",+VLOOKUP(I355,Recursos!C:F,3,FALSE),"")</f>
        <v>HR</v>
      </c>
      <c r="L355" s="446">
        <f>IF(B355&lt;&gt;"",+VLOOKUP(I355,Recursos!C:F,4,FALSE),"")</f>
        <v>1714.4399999999996</v>
      </c>
      <c r="M355" s="462">
        <v>62.5</v>
      </c>
      <c r="N355" s="463">
        <v>0</v>
      </c>
      <c r="O355" s="459">
        <f t="shared" si="198"/>
        <v>0</v>
      </c>
      <c r="P355" s="333">
        <f t="shared" si="174"/>
        <v>0</v>
      </c>
      <c r="Q355" s="327">
        <f t="shared" si="175"/>
        <v>0</v>
      </c>
      <c r="R355" s="334">
        <f t="shared" si="176"/>
        <v>0</v>
      </c>
      <c r="S355" s="335">
        <f t="shared" si="179"/>
        <v>65.807253890537254</v>
      </c>
      <c r="T355" s="335">
        <f t="shared" si="180"/>
        <v>562.13758933333338</v>
      </c>
      <c r="U355" s="336">
        <f t="shared" si="181"/>
        <v>1</v>
      </c>
      <c r="V355" s="336">
        <f t="shared" si="182"/>
        <v>0</v>
      </c>
      <c r="W355" s="336">
        <f t="shared" si="183"/>
        <v>0</v>
      </c>
      <c r="X355" s="336">
        <f t="shared" si="184"/>
        <v>0</v>
      </c>
      <c r="Y355" s="320"/>
      <c r="Z355" s="321" t="str">
        <f t="shared" si="188"/>
        <v>X-PTAA</v>
      </c>
      <c r="AA355" s="321" t="str">
        <f t="shared" si="189"/>
        <v>X-PTAE</v>
      </c>
      <c r="AB355" s="321" t="str">
        <f t="shared" si="190"/>
        <v>X-PTAM</v>
      </c>
      <c r="AC355" s="321" t="str">
        <f t="shared" si="191"/>
        <v>X-PTAT</v>
      </c>
      <c r="AD355" s="321" t="str">
        <f t="shared" si="192"/>
        <v>X-PTAS</v>
      </c>
      <c r="AE355" s="321" t="str">
        <f t="shared" si="193"/>
        <v>X-PTAX</v>
      </c>
      <c r="AF355" s="321" t="str">
        <f t="shared" si="194"/>
        <v>X-PTAE</v>
      </c>
      <c r="AG355" s="321">
        <f t="shared" si="185"/>
        <v>21</v>
      </c>
      <c r="AH355" s="321"/>
      <c r="AI355" s="321" t="str">
        <f t="shared" si="195"/>
        <v>X-PTA</v>
      </c>
      <c r="AJ355" s="320"/>
      <c r="AK355" s="322">
        <f t="shared" si="186"/>
        <v>339</v>
      </c>
      <c r="AL355" s="323">
        <f t="shared" si="196"/>
        <v>359</v>
      </c>
      <c r="AM355" s="322">
        <f t="shared" si="197"/>
        <v>17</v>
      </c>
      <c r="AN355" s="381">
        <f t="shared" si="187"/>
        <v>0.12128888888888889</v>
      </c>
      <c r="AO355" s="322"/>
    </row>
    <row r="356" spans="2:41">
      <c r="B356" s="324" t="s">
        <v>2738</v>
      </c>
      <c r="C356" s="325" t="s">
        <v>1208</v>
      </c>
      <c r="D356" s="326" t="s">
        <v>447</v>
      </c>
      <c r="E356" s="327">
        <f>+SUMIF('AUX-NIV2'!I:I,'AUX-NIV3'!B356,'AUX-NIV2'!Q:Q)</f>
        <v>0</v>
      </c>
      <c r="F356" s="327">
        <f t="shared" si="177"/>
        <v>628.94484322387063</v>
      </c>
      <c r="G356" s="327">
        <f t="shared" si="178"/>
        <v>0</v>
      </c>
      <c r="H356" s="328" t="str">
        <f t="shared" si="199"/>
        <v>E</v>
      </c>
      <c r="I356" s="325" t="s">
        <v>1645</v>
      </c>
      <c r="J356" s="329" t="str">
        <f>IF(B356&lt;&gt;"",+VLOOKUP(I356,Recursos!C:F,2,FALSE),"")</f>
        <v>TRITUR.SECUND.A CONO 45" C/ZARANDA</v>
      </c>
      <c r="K356" s="330" t="str">
        <f>IF(B356&lt;&gt;"",+VLOOKUP(I356,Recursos!C:F,3,FALSE),"")</f>
        <v>HR</v>
      </c>
      <c r="L356" s="446">
        <f>IF(B356&lt;&gt;"",+VLOOKUP(I356,Recursos!C:F,4,FALSE),"")</f>
        <v>1714.4399999999996</v>
      </c>
      <c r="M356" s="462">
        <v>62.5</v>
      </c>
      <c r="N356" s="463">
        <v>0</v>
      </c>
      <c r="O356" s="459">
        <f t="shared" si="198"/>
        <v>0</v>
      </c>
      <c r="P356" s="333">
        <f t="shared" si="174"/>
        <v>0</v>
      </c>
      <c r="Q356" s="327">
        <f t="shared" si="175"/>
        <v>0</v>
      </c>
      <c r="R356" s="334">
        <f t="shared" si="176"/>
        <v>0</v>
      </c>
      <c r="S356" s="335">
        <f t="shared" si="179"/>
        <v>65.807253890537254</v>
      </c>
      <c r="T356" s="335">
        <f t="shared" si="180"/>
        <v>562.13758933333338</v>
      </c>
      <c r="U356" s="336">
        <f t="shared" si="181"/>
        <v>1</v>
      </c>
      <c r="V356" s="336">
        <f t="shared" si="182"/>
        <v>0</v>
      </c>
      <c r="W356" s="336">
        <f t="shared" si="183"/>
        <v>0</v>
      </c>
      <c r="X356" s="336">
        <f t="shared" si="184"/>
        <v>0</v>
      </c>
      <c r="Y356" s="320"/>
      <c r="Z356" s="321" t="str">
        <f t="shared" si="188"/>
        <v>X-PTAA</v>
      </c>
      <c r="AA356" s="321" t="str">
        <f t="shared" si="189"/>
        <v>X-PTAE</v>
      </c>
      <c r="AB356" s="321" t="str">
        <f t="shared" si="190"/>
        <v>X-PTAM</v>
      </c>
      <c r="AC356" s="321" t="str">
        <f t="shared" si="191"/>
        <v>X-PTAT</v>
      </c>
      <c r="AD356" s="321" t="str">
        <f t="shared" si="192"/>
        <v>X-PTAS</v>
      </c>
      <c r="AE356" s="321" t="str">
        <f t="shared" si="193"/>
        <v>X-PTAX</v>
      </c>
      <c r="AF356" s="321" t="str">
        <f t="shared" si="194"/>
        <v>X-PTAE</v>
      </c>
      <c r="AG356" s="321">
        <f t="shared" si="185"/>
        <v>21</v>
      </c>
      <c r="AH356" s="321"/>
      <c r="AI356" s="321" t="str">
        <f t="shared" si="195"/>
        <v>X-PTA</v>
      </c>
      <c r="AJ356" s="320"/>
      <c r="AK356" s="322">
        <f t="shared" si="186"/>
        <v>339</v>
      </c>
      <c r="AL356" s="323">
        <f t="shared" si="196"/>
        <v>359</v>
      </c>
      <c r="AM356" s="322">
        <f t="shared" si="197"/>
        <v>18</v>
      </c>
      <c r="AN356" s="381">
        <f t="shared" si="187"/>
        <v>0.12128888888888889</v>
      </c>
      <c r="AO356" s="322"/>
    </row>
    <row r="357" spans="2:41">
      <c r="B357" s="324" t="s">
        <v>2738</v>
      </c>
      <c r="C357" s="325" t="s">
        <v>1208</v>
      </c>
      <c r="D357" s="326" t="s">
        <v>447</v>
      </c>
      <c r="E357" s="327">
        <f>+SUMIF('AUX-NIV2'!I:I,'AUX-NIV3'!B357,'AUX-NIV2'!Q:Q)</f>
        <v>0</v>
      </c>
      <c r="F357" s="327">
        <f t="shared" si="177"/>
        <v>628.94484322387063</v>
      </c>
      <c r="G357" s="327">
        <f t="shared" si="178"/>
        <v>0</v>
      </c>
      <c r="H357" s="328" t="str">
        <f t="shared" si="199"/>
        <v>E</v>
      </c>
      <c r="I357" s="325" t="s">
        <v>1646</v>
      </c>
      <c r="J357" s="329" t="str">
        <f>IF(B357&lt;&gt;"",+VLOOKUP(I357,Recursos!C:F,2,FALSE),"")</f>
        <v>ALIMENTADOR VIBRAT. 3'x14'</v>
      </c>
      <c r="K357" s="330" t="str">
        <f>IF(B357&lt;&gt;"",+VLOOKUP(I357,Recursos!C:F,3,FALSE),"")</f>
        <v>HR</v>
      </c>
      <c r="L357" s="446">
        <f>IF(B357&lt;&gt;"",+VLOOKUP(I357,Recursos!C:F,4,FALSE),"")</f>
        <v>306.14999999999998</v>
      </c>
      <c r="M357" s="462">
        <v>62.5</v>
      </c>
      <c r="N357" s="463">
        <v>0</v>
      </c>
      <c r="O357" s="459">
        <f t="shared" si="198"/>
        <v>0</v>
      </c>
      <c r="P357" s="333">
        <f t="shared" si="174"/>
        <v>0</v>
      </c>
      <c r="Q357" s="327">
        <f t="shared" si="175"/>
        <v>0</v>
      </c>
      <c r="R357" s="334">
        <f t="shared" si="176"/>
        <v>0</v>
      </c>
      <c r="S357" s="335">
        <f t="shared" si="179"/>
        <v>65.807253890537254</v>
      </c>
      <c r="T357" s="335">
        <f t="shared" si="180"/>
        <v>562.13758933333338</v>
      </c>
      <c r="U357" s="336">
        <f t="shared" si="181"/>
        <v>1</v>
      </c>
      <c r="V357" s="336">
        <f t="shared" si="182"/>
        <v>0</v>
      </c>
      <c r="W357" s="336">
        <f t="shared" si="183"/>
        <v>0</v>
      </c>
      <c r="X357" s="336">
        <f t="shared" si="184"/>
        <v>0</v>
      </c>
      <c r="Y357" s="320"/>
      <c r="Z357" s="321" t="str">
        <f t="shared" si="188"/>
        <v>X-PTAA</v>
      </c>
      <c r="AA357" s="321" t="str">
        <f t="shared" si="189"/>
        <v>X-PTAE</v>
      </c>
      <c r="AB357" s="321" t="str">
        <f t="shared" si="190"/>
        <v>X-PTAM</v>
      </c>
      <c r="AC357" s="321" t="str">
        <f t="shared" si="191"/>
        <v>X-PTAT</v>
      </c>
      <c r="AD357" s="321" t="str">
        <f t="shared" si="192"/>
        <v>X-PTAS</v>
      </c>
      <c r="AE357" s="321" t="str">
        <f t="shared" si="193"/>
        <v>X-PTAX</v>
      </c>
      <c r="AF357" s="321" t="str">
        <f t="shared" si="194"/>
        <v>X-PTAE</v>
      </c>
      <c r="AG357" s="321">
        <f t="shared" si="185"/>
        <v>21</v>
      </c>
      <c r="AH357" s="321"/>
      <c r="AI357" s="321" t="str">
        <f t="shared" si="195"/>
        <v>X-PTA</v>
      </c>
      <c r="AJ357" s="320"/>
      <c r="AK357" s="322">
        <f t="shared" si="186"/>
        <v>339</v>
      </c>
      <c r="AL357" s="323">
        <f t="shared" si="196"/>
        <v>359</v>
      </c>
      <c r="AM357" s="322">
        <f t="shared" si="197"/>
        <v>19</v>
      </c>
      <c r="AN357" s="381">
        <f t="shared" si="187"/>
        <v>0.12128888888888889</v>
      </c>
      <c r="AO357" s="322"/>
    </row>
    <row r="358" spans="2:41">
      <c r="B358" s="324" t="s">
        <v>2738</v>
      </c>
      <c r="C358" s="325" t="s">
        <v>1208</v>
      </c>
      <c r="D358" s="326" t="s">
        <v>447</v>
      </c>
      <c r="E358" s="327">
        <f>+SUMIF('AUX-NIV2'!I:I,'AUX-NIV3'!B358,'AUX-NIV2'!Q:Q)</f>
        <v>0</v>
      </c>
      <c r="F358" s="327">
        <f t="shared" si="177"/>
        <v>628.94484322387063</v>
      </c>
      <c r="G358" s="327">
        <f t="shared" si="178"/>
        <v>0</v>
      </c>
      <c r="H358" s="328" t="str">
        <f t="shared" si="199"/>
        <v>E</v>
      </c>
      <c r="I358" s="325" t="s">
        <v>1651</v>
      </c>
      <c r="J358" s="329" t="str">
        <f>IF(B358&lt;&gt;"",+VLOOKUP(I358,Recursos!C:F,2,FALSE),"")</f>
        <v>CINTA TRANSPORTADORA 0,90 m x 15 m</v>
      </c>
      <c r="K358" s="330" t="str">
        <f>IF(B358&lt;&gt;"",+VLOOKUP(I358,Recursos!C:F,3,FALSE),"")</f>
        <v>HR</v>
      </c>
      <c r="L358" s="446">
        <f>IF(B358&lt;&gt;"",+VLOOKUP(I358,Recursos!C:F,4,FALSE),"")</f>
        <v>310.85999999999996</v>
      </c>
      <c r="M358" s="462">
        <v>62.5</v>
      </c>
      <c r="N358" s="463">
        <v>20</v>
      </c>
      <c r="O358" s="459">
        <f t="shared" si="198"/>
        <v>0.32</v>
      </c>
      <c r="P358" s="333">
        <f t="shared" si="174"/>
        <v>99.475199999999987</v>
      </c>
      <c r="Q358" s="327">
        <f t="shared" si="175"/>
        <v>0</v>
      </c>
      <c r="R358" s="334">
        <f t="shared" si="176"/>
        <v>0</v>
      </c>
      <c r="S358" s="335">
        <f t="shared" si="179"/>
        <v>65.807253890537254</v>
      </c>
      <c r="T358" s="335">
        <f t="shared" si="180"/>
        <v>562.13758933333338</v>
      </c>
      <c r="U358" s="336">
        <f t="shared" si="181"/>
        <v>1</v>
      </c>
      <c r="V358" s="336">
        <f t="shared" si="182"/>
        <v>0</v>
      </c>
      <c r="W358" s="336">
        <f t="shared" si="183"/>
        <v>0</v>
      </c>
      <c r="X358" s="336">
        <f t="shared" si="184"/>
        <v>0</v>
      </c>
      <c r="Y358" s="320"/>
      <c r="Z358" s="321" t="str">
        <f t="shared" si="188"/>
        <v>X-PTAA</v>
      </c>
      <c r="AA358" s="321" t="str">
        <f t="shared" si="189"/>
        <v>X-PTAE</v>
      </c>
      <c r="AB358" s="321" t="str">
        <f t="shared" si="190"/>
        <v>X-PTAM</v>
      </c>
      <c r="AC358" s="321" t="str">
        <f t="shared" si="191"/>
        <v>X-PTAT</v>
      </c>
      <c r="AD358" s="321" t="str">
        <f t="shared" si="192"/>
        <v>X-PTAS</v>
      </c>
      <c r="AE358" s="321" t="str">
        <f t="shared" si="193"/>
        <v>X-PTAX</v>
      </c>
      <c r="AF358" s="321" t="str">
        <f t="shared" si="194"/>
        <v>X-PTAE</v>
      </c>
      <c r="AG358" s="321">
        <f t="shared" si="185"/>
        <v>21</v>
      </c>
      <c r="AH358" s="321"/>
      <c r="AI358" s="321" t="str">
        <f t="shared" si="195"/>
        <v>X-PTA</v>
      </c>
      <c r="AJ358" s="320"/>
      <c r="AK358" s="322">
        <f t="shared" si="186"/>
        <v>339</v>
      </c>
      <c r="AL358" s="323">
        <f t="shared" si="196"/>
        <v>359</v>
      </c>
      <c r="AM358" s="322">
        <f t="shared" si="197"/>
        <v>20</v>
      </c>
      <c r="AN358" s="381">
        <f t="shared" si="187"/>
        <v>0.12128888888888889</v>
      </c>
      <c r="AO358" s="322"/>
    </row>
    <row r="359" spans="2:41" ht="13.8" thickBot="1">
      <c r="B359" s="324" t="s">
        <v>2738</v>
      </c>
      <c r="C359" s="325" t="s">
        <v>1208</v>
      </c>
      <c r="D359" s="326" t="s">
        <v>447</v>
      </c>
      <c r="E359" s="327">
        <f>+SUMIF('AUX-NIV2'!I:I,'AUX-NIV3'!B359,'AUX-NIV2'!Q:Q)</f>
        <v>0</v>
      </c>
      <c r="F359" s="327">
        <f t="shared" si="177"/>
        <v>628.94484322387063</v>
      </c>
      <c r="G359" s="327">
        <f t="shared" si="178"/>
        <v>0</v>
      </c>
      <c r="H359" s="328" t="str">
        <f t="shared" si="199"/>
        <v>M</v>
      </c>
      <c r="I359" s="325" t="s">
        <v>621</v>
      </c>
      <c r="J359" s="329" t="str">
        <f>IF(B359&lt;&gt;"",+VLOOKUP(I359,Recursos!C:F,2,FALSE),"")</f>
        <v>MATERIALES VARIOS</v>
      </c>
      <c r="K359" s="330" t="str">
        <f>IF(B359&lt;&gt;"",+VLOOKUP(I359,Recursos!C:F,3,FALSE),"")</f>
        <v>GL</v>
      </c>
      <c r="L359" s="446">
        <f>IF(B359&lt;&gt;"",+VLOOKUP(I359,Recursos!C:F,4,FALSE),"")</f>
        <v>0.5</v>
      </c>
      <c r="M359" s="464">
        <v>1</v>
      </c>
      <c r="N359" s="465">
        <v>2</v>
      </c>
      <c r="O359" s="459">
        <f t="shared" si="198"/>
        <v>2</v>
      </c>
      <c r="P359" s="333">
        <f t="shared" si="174"/>
        <v>1</v>
      </c>
      <c r="Q359" s="327">
        <f t="shared" si="175"/>
        <v>0</v>
      </c>
      <c r="R359" s="334">
        <f t="shared" si="176"/>
        <v>0</v>
      </c>
      <c r="S359" s="335">
        <f t="shared" si="179"/>
        <v>65.807253890537254</v>
      </c>
      <c r="T359" s="335">
        <f t="shared" si="180"/>
        <v>562.13758933333338</v>
      </c>
      <c r="U359" s="336">
        <f t="shared" si="181"/>
        <v>1</v>
      </c>
      <c r="V359" s="336">
        <f t="shared" si="182"/>
        <v>0</v>
      </c>
      <c r="W359" s="336">
        <f t="shared" si="183"/>
        <v>0</v>
      </c>
      <c r="X359" s="336">
        <f t="shared" si="184"/>
        <v>0</v>
      </c>
      <c r="Y359" s="320"/>
      <c r="Z359" s="321" t="str">
        <f t="shared" si="188"/>
        <v>X-PTAA</v>
      </c>
      <c r="AA359" s="321" t="str">
        <f t="shared" si="189"/>
        <v>X-PTAE</v>
      </c>
      <c r="AB359" s="321" t="str">
        <f t="shared" si="190"/>
        <v>X-PTAM</v>
      </c>
      <c r="AC359" s="321" t="str">
        <f t="shared" si="191"/>
        <v>X-PTAT</v>
      </c>
      <c r="AD359" s="321" t="str">
        <f t="shared" si="192"/>
        <v>X-PTAS</v>
      </c>
      <c r="AE359" s="321" t="str">
        <f t="shared" si="193"/>
        <v>X-PTAX</v>
      </c>
      <c r="AF359" s="321" t="str">
        <f t="shared" si="194"/>
        <v>X-PTAM</v>
      </c>
      <c r="AG359" s="321">
        <f t="shared" si="185"/>
        <v>21</v>
      </c>
      <c r="AH359" s="321"/>
      <c r="AI359" s="321" t="str">
        <f t="shared" si="195"/>
        <v>X-PTA</v>
      </c>
      <c r="AJ359" s="320"/>
      <c r="AK359" s="322">
        <f t="shared" si="186"/>
        <v>339</v>
      </c>
      <c r="AL359" s="323">
        <f t="shared" si="196"/>
        <v>359</v>
      </c>
      <c r="AM359" s="322">
        <f t="shared" si="197"/>
        <v>21</v>
      </c>
      <c r="AN359" s="381">
        <f t="shared" si="187"/>
        <v>0.12128888888888889</v>
      </c>
      <c r="AO359" s="322"/>
    </row>
    <row r="360" spans="2:41" ht="13.8" thickTop="1">
      <c r="B360" s="324" t="s">
        <v>2744</v>
      </c>
      <c r="C360" s="325" t="s">
        <v>2745</v>
      </c>
      <c r="D360" s="326" t="s">
        <v>501</v>
      </c>
      <c r="E360" s="327">
        <f>+SUMIF('AUX-NIV2'!I:I,'AUX-NIV3'!B360,'AUX-NIV2'!Q:Q)</f>
        <v>0</v>
      </c>
      <c r="F360" s="327">
        <f t="shared" si="177"/>
        <v>5.4165808422045494</v>
      </c>
      <c r="G360" s="327">
        <f t="shared" si="178"/>
        <v>0</v>
      </c>
      <c r="H360" s="328" t="str">
        <f t="shared" si="199"/>
        <v>A</v>
      </c>
      <c r="I360" s="325" t="s">
        <v>1745</v>
      </c>
      <c r="J360" s="329" t="str">
        <f>IF(B360&lt;&gt;"",+VLOOKUP(I360,Recursos!C:F,2,FALSE),"")</f>
        <v>AYUDANTE</v>
      </c>
      <c r="K360" s="330" t="str">
        <f>IF(B360&lt;&gt;"",+VLOOKUP(I360,Recursos!C:F,3,FALSE),"")</f>
        <v>hh</v>
      </c>
      <c r="L360" s="446">
        <f>IF(B360&lt;&gt;"",+VLOOKUP(I360,Recursos!C:F,4,FALSE),"")</f>
        <v>422.48042769667234</v>
      </c>
      <c r="M360" s="457">
        <f>+M362</f>
        <v>1000</v>
      </c>
      <c r="N360" s="458">
        <v>1.3</v>
      </c>
      <c r="O360" s="459">
        <f>1/M360*N360</f>
        <v>1.3000000000000002E-3</v>
      </c>
      <c r="P360" s="333">
        <f t="shared" si="174"/>
        <v>0.5492245560056741</v>
      </c>
      <c r="Q360" s="327">
        <f t="shared" si="175"/>
        <v>0</v>
      </c>
      <c r="R360" s="334">
        <f t="shared" si="176"/>
        <v>0</v>
      </c>
      <c r="S360" s="335">
        <f t="shared" si="179"/>
        <v>1.3046041222045495</v>
      </c>
      <c r="T360" s="335">
        <f t="shared" si="180"/>
        <v>4.1119767199999995</v>
      </c>
      <c r="U360" s="336">
        <f t="shared" si="181"/>
        <v>0</v>
      </c>
      <c r="V360" s="336">
        <f t="shared" si="182"/>
        <v>0</v>
      </c>
      <c r="W360" s="336">
        <f t="shared" si="183"/>
        <v>0</v>
      </c>
      <c r="X360" s="336">
        <f t="shared" si="184"/>
        <v>0</v>
      </c>
      <c r="Y360" s="320"/>
      <c r="Z360" s="321" t="str">
        <f t="shared" si="188"/>
        <v>X-EBAA</v>
      </c>
      <c r="AA360" s="321" t="str">
        <f t="shared" si="189"/>
        <v>X-EBAE</v>
      </c>
      <c r="AB360" s="321" t="str">
        <f t="shared" si="190"/>
        <v>X-EBAM</v>
      </c>
      <c r="AC360" s="321" t="str">
        <f t="shared" si="191"/>
        <v>X-EBAT</v>
      </c>
      <c r="AD360" s="321" t="str">
        <f t="shared" si="192"/>
        <v>X-EBAS</v>
      </c>
      <c r="AE360" s="321" t="str">
        <f t="shared" si="193"/>
        <v>X-EBAX</v>
      </c>
      <c r="AF360" s="321" t="str">
        <f t="shared" si="194"/>
        <v>X-EBAA</v>
      </c>
      <c r="AG360" s="321">
        <f t="shared" si="185"/>
        <v>3</v>
      </c>
      <c r="AH360" s="321"/>
      <c r="AI360" s="321" t="str">
        <f t="shared" si="195"/>
        <v>X-EBA</v>
      </c>
      <c r="AJ360" s="320"/>
      <c r="AK360" s="322">
        <f t="shared" si="186"/>
        <v>360</v>
      </c>
      <c r="AL360" s="323">
        <f t="shared" si="196"/>
        <v>362</v>
      </c>
      <c r="AM360" s="322">
        <f t="shared" si="197"/>
        <v>1</v>
      </c>
      <c r="AN360" s="381">
        <f t="shared" si="187"/>
        <v>2.6000000000000003E-3</v>
      </c>
      <c r="AO360" s="322"/>
    </row>
    <row r="361" spans="2:41">
      <c r="B361" s="324" t="s">
        <v>2744</v>
      </c>
      <c r="C361" s="325" t="s">
        <v>2745</v>
      </c>
      <c r="D361" s="326" t="s">
        <v>501</v>
      </c>
      <c r="E361" s="327">
        <f>+SUMIF('AUX-NIV2'!I:I,'AUX-NIV3'!B361,'AUX-NIV2'!Q:Q)</f>
        <v>0</v>
      </c>
      <c r="F361" s="327">
        <f t="shared" si="177"/>
        <v>5.4165808422045494</v>
      </c>
      <c r="G361" s="327">
        <f t="shared" si="178"/>
        <v>0</v>
      </c>
      <c r="H361" s="328" t="str">
        <f t="shared" si="199"/>
        <v>A</v>
      </c>
      <c r="I361" s="325" t="s">
        <v>3310</v>
      </c>
      <c r="J361" s="329" t="str">
        <f>IF(B361&lt;&gt;"",+VLOOKUP(I361,Recursos!C:F,2,FALSE),"")</f>
        <v>OFICIAL ESPECIALIZADO</v>
      </c>
      <c r="K361" s="330" t="str">
        <f>IF(B361&lt;&gt;"",+VLOOKUP(I361,Recursos!C:F,3,FALSE),"")</f>
        <v>hh</v>
      </c>
      <c r="L361" s="446">
        <f>IF(B361&lt;&gt;"",+VLOOKUP(I361,Recursos!C:F,4,FALSE),"")</f>
        <v>581.06120476836554</v>
      </c>
      <c r="M361" s="460">
        <f>+M362</f>
        <v>1000</v>
      </c>
      <c r="N361" s="466">
        <f>+N360</f>
        <v>1.3</v>
      </c>
      <c r="O361" s="459">
        <f>1/M361*N361</f>
        <v>1.3000000000000002E-3</v>
      </c>
      <c r="P361" s="333">
        <f t="shared" si="174"/>
        <v>0.75537956619887525</v>
      </c>
      <c r="Q361" s="327">
        <f t="shared" si="175"/>
        <v>0</v>
      </c>
      <c r="R361" s="334">
        <f t="shared" si="176"/>
        <v>0</v>
      </c>
      <c r="S361" s="335">
        <f t="shared" si="179"/>
        <v>1.3046041222045495</v>
      </c>
      <c r="T361" s="335">
        <f t="shared" si="180"/>
        <v>4.1119767199999995</v>
      </c>
      <c r="U361" s="336">
        <f t="shared" si="181"/>
        <v>0</v>
      </c>
      <c r="V361" s="336">
        <f t="shared" si="182"/>
        <v>0</v>
      </c>
      <c r="W361" s="336">
        <f t="shared" si="183"/>
        <v>0</v>
      </c>
      <c r="X361" s="336">
        <f t="shared" si="184"/>
        <v>0</v>
      </c>
      <c r="Y361" s="320"/>
      <c r="Z361" s="321" t="str">
        <f t="shared" si="188"/>
        <v>X-EBAA</v>
      </c>
      <c r="AA361" s="321" t="str">
        <f t="shared" si="189"/>
        <v>X-EBAE</v>
      </c>
      <c r="AB361" s="321" t="str">
        <f t="shared" si="190"/>
        <v>X-EBAM</v>
      </c>
      <c r="AC361" s="321" t="str">
        <f t="shared" si="191"/>
        <v>X-EBAT</v>
      </c>
      <c r="AD361" s="321" t="str">
        <f t="shared" si="192"/>
        <v>X-EBAS</v>
      </c>
      <c r="AE361" s="321" t="str">
        <f t="shared" si="193"/>
        <v>X-EBAX</v>
      </c>
      <c r="AF361" s="321" t="str">
        <f t="shared" si="194"/>
        <v>X-EBAA</v>
      </c>
      <c r="AG361" s="321">
        <f t="shared" si="185"/>
        <v>3</v>
      </c>
      <c r="AH361" s="321"/>
      <c r="AI361" s="321" t="str">
        <f t="shared" si="195"/>
        <v>X-EBA</v>
      </c>
      <c r="AJ361" s="320"/>
      <c r="AK361" s="322">
        <f t="shared" si="186"/>
        <v>360</v>
      </c>
      <c r="AL361" s="323">
        <f t="shared" si="196"/>
        <v>362</v>
      </c>
      <c r="AM361" s="322">
        <f t="shared" si="197"/>
        <v>2</v>
      </c>
      <c r="AN361" s="381">
        <f t="shared" si="187"/>
        <v>2.6000000000000003E-3</v>
      </c>
      <c r="AO361" s="322"/>
    </row>
    <row r="362" spans="2:41" ht="13.8" thickBot="1">
      <c r="B362" s="324" t="s">
        <v>2744</v>
      </c>
      <c r="C362" s="325" t="s">
        <v>2745</v>
      </c>
      <c r="D362" s="326" t="s">
        <v>501</v>
      </c>
      <c r="E362" s="327">
        <f>+SUMIF('AUX-NIV2'!I:I,'AUX-NIV3'!B362,'AUX-NIV2'!Q:Q)</f>
        <v>0</v>
      </c>
      <c r="F362" s="327">
        <f t="shared" si="177"/>
        <v>5.4165808422045494</v>
      </c>
      <c r="G362" s="327">
        <f t="shared" si="178"/>
        <v>0</v>
      </c>
      <c r="H362" s="328" t="str">
        <f t="shared" si="199"/>
        <v>E</v>
      </c>
      <c r="I362" s="325" t="s">
        <v>1664</v>
      </c>
      <c r="J362" s="329" t="str">
        <f>IF(B362&lt;&gt;"",+VLOOKUP(I362,Recursos!C:F,2,FALSE),"")</f>
        <v>MOTONIVELADORA HOJA 14 PIES-15 T</v>
      </c>
      <c r="K362" s="330" t="str">
        <f>IF(B362&lt;&gt;"",+VLOOKUP(I362,Recursos!C:F,3,FALSE),"")</f>
        <v>HR</v>
      </c>
      <c r="L362" s="446">
        <f>IF(B362&lt;&gt;"",+VLOOKUP(I362,Recursos!C:F,4,FALSE),"")</f>
        <v>4111.9767199999997</v>
      </c>
      <c r="M362" s="464">
        <v>1000</v>
      </c>
      <c r="N362" s="465">
        <v>1</v>
      </c>
      <c r="O362" s="459">
        <f>1/M362*N362</f>
        <v>1E-3</v>
      </c>
      <c r="P362" s="333">
        <f t="shared" si="174"/>
        <v>4.1119767199999995</v>
      </c>
      <c r="Q362" s="327">
        <f t="shared" si="175"/>
        <v>0</v>
      </c>
      <c r="R362" s="334">
        <f t="shared" si="176"/>
        <v>0</v>
      </c>
      <c r="S362" s="335">
        <f t="shared" si="179"/>
        <v>1.3046041222045495</v>
      </c>
      <c r="T362" s="335">
        <f t="shared" si="180"/>
        <v>4.1119767199999995</v>
      </c>
      <c r="U362" s="336">
        <f t="shared" si="181"/>
        <v>0</v>
      </c>
      <c r="V362" s="336">
        <f t="shared" si="182"/>
        <v>0</v>
      </c>
      <c r="W362" s="336">
        <f t="shared" si="183"/>
        <v>0</v>
      </c>
      <c r="X362" s="336">
        <f t="shared" si="184"/>
        <v>0</v>
      </c>
      <c r="Y362" s="320"/>
      <c r="Z362" s="321" t="str">
        <f t="shared" si="188"/>
        <v>X-EBAA</v>
      </c>
      <c r="AA362" s="321" t="str">
        <f t="shared" si="189"/>
        <v>X-EBAE</v>
      </c>
      <c r="AB362" s="321" t="str">
        <f t="shared" si="190"/>
        <v>X-EBAM</v>
      </c>
      <c r="AC362" s="321" t="str">
        <f t="shared" si="191"/>
        <v>X-EBAT</v>
      </c>
      <c r="AD362" s="321" t="str">
        <f t="shared" si="192"/>
        <v>X-EBAS</v>
      </c>
      <c r="AE362" s="321" t="str">
        <f t="shared" si="193"/>
        <v>X-EBAX</v>
      </c>
      <c r="AF362" s="321" t="str">
        <f t="shared" si="194"/>
        <v>X-EBAE</v>
      </c>
      <c r="AG362" s="321">
        <f t="shared" si="185"/>
        <v>3</v>
      </c>
      <c r="AH362" s="321"/>
      <c r="AI362" s="321" t="str">
        <f t="shared" si="195"/>
        <v>X-EBA</v>
      </c>
      <c r="AJ362" s="320"/>
      <c r="AK362" s="322">
        <f t="shared" si="186"/>
        <v>360</v>
      </c>
      <c r="AL362" s="323">
        <f t="shared" si="196"/>
        <v>362</v>
      </c>
      <c r="AM362" s="322">
        <f t="shared" si="197"/>
        <v>3</v>
      </c>
      <c r="AN362" s="381">
        <f t="shared" si="187"/>
        <v>2.6000000000000003E-3</v>
      </c>
      <c r="AO362" s="322"/>
    </row>
    <row r="363" spans="2:41" ht="13.8" thickTop="1">
      <c r="B363" s="501" t="s">
        <v>2746</v>
      </c>
      <c r="C363" s="951" t="s">
        <v>2747</v>
      </c>
      <c r="D363" s="326" t="s">
        <v>1160</v>
      </c>
      <c r="E363" s="327">
        <f>+SUMIF('AUX-NIV2'!I:I,'AUX-NIV3'!B363,'AUX-NIV2'!Q:Q)</f>
        <v>0</v>
      </c>
      <c r="F363" s="327">
        <f t="shared" si="177"/>
        <v>148.35029836815718</v>
      </c>
      <c r="G363" s="327">
        <f t="shared" si="178"/>
        <v>0</v>
      </c>
      <c r="H363" s="328" t="str">
        <f t="shared" si="199"/>
        <v>A</v>
      </c>
      <c r="I363" s="325" t="s">
        <v>1745</v>
      </c>
      <c r="J363" s="329" t="str">
        <f>IF(B363&lt;&gt;"",+VLOOKUP(I363,Recursos!C:F,2,FALSE),"")</f>
        <v>AYUDANTE</v>
      </c>
      <c r="K363" s="330" t="str">
        <f>IF(B363&lt;&gt;"",+VLOOKUP(I363,Recursos!C:F,3,FALSE),"")</f>
        <v>hh</v>
      </c>
      <c r="L363" s="446">
        <f>IF(B363&lt;&gt;"",+VLOOKUP(I363,Recursos!C:F,4,FALSE),"")</f>
        <v>422.48042769667234</v>
      </c>
      <c r="M363" s="457"/>
      <c r="N363" s="491"/>
      <c r="O363" s="459">
        <f>1/M366*N364</f>
        <v>1.6666666666666666E-2</v>
      </c>
      <c r="P363" s="333">
        <f t="shared" si="174"/>
        <v>7.0413404616112052</v>
      </c>
      <c r="Q363" s="327">
        <f t="shared" si="175"/>
        <v>0</v>
      </c>
      <c r="R363" s="334">
        <f t="shared" si="176"/>
        <v>0</v>
      </c>
      <c r="S363" s="335">
        <f t="shared" si="179"/>
        <v>15.323273034823842</v>
      </c>
      <c r="T363" s="335">
        <f t="shared" si="180"/>
        <v>33.027025333333341</v>
      </c>
      <c r="U363" s="336">
        <f t="shared" si="181"/>
        <v>0</v>
      </c>
      <c r="V363" s="336">
        <f t="shared" si="182"/>
        <v>0</v>
      </c>
      <c r="W363" s="336">
        <f t="shared" si="183"/>
        <v>100</v>
      </c>
      <c r="X363" s="336">
        <f t="shared" si="184"/>
        <v>0</v>
      </c>
      <c r="Y363" s="320"/>
      <c r="Z363" s="321" t="str">
        <f t="shared" si="188"/>
        <v>X-OARA</v>
      </c>
      <c r="AA363" s="321" t="str">
        <f t="shared" si="189"/>
        <v>X-OARE</v>
      </c>
      <c r="AB363" s="321" t="str">
        <f t="shared" si="190"/>
        <v>X-OARM</v>
      </c>
      <c r="AC363" s="321" t="str">
        <f t="shared" si="191"/>
        <v>X-OART</v>
      </c>
      <c r="AD363" s="321" t="str">
        <f t="shared" si="192"/>
        <v>X-OARS</v>
      </c>
      <c r="AE363" s="321" t="str">
        <f t="shared" si="193"/>
        <v>X-OARX</v>
      </c>
      <c r="AF363" s="321" t="str">
        <f t="shared" si="194"/>
        <v>X-OARA</v>
      </c>
      <c r="AG363" s="321">
        <f t="shared" si="185"/>
        <v>5</v>
      </c>
      <c r="AH363" s="321"/>
      <c r="AI363" s="321" t="str">
        <f t="shared" si="195"/>
        <v>X-OAR</v>
      </c>
      <c r="AJ363" s="320"/>
      <c r="AK363" s="322">
        <f t="shared" si="186"/>
        <v>363</v>
      </c>
      <c r="AL363" s="323">
        <f t="shared" si="196"/>
        <v>367</v>
      </c>
      <c r="AM363" s="322">
        <f t="shared" si="197"/>
        <v>1</v>
      </c>
      <c r="AN363" s="381">
        <f t="shared" si="187"/>
        <v>3.3333333333333333E-2</v>
      </c>
      <c r="AO363" s="322"/>
    </row>
    <row r="364" spans="2:41">
      <c r="B364" s="501" t="s">
        <v>2746</v>
      </c>
      <c r="C364" s="951" t="s">
        <v>2747</v>
      </c>
      <c r="D364" s="326" t="s">
        <v>1160</v>
      </c>
      <c r="E364" s="327">
        <f>+SUMIF('AUX-NIV2'!I:I,'AUX-NIV3'!B364,'AUX-NIV2'!Q:Q)</f>
        <v>0</v>
      </c>
      <c r="F364" s="327">
        <f t="shared" si="177"/>
        <v>148.35029836815718</v>
      </c>
      <c r="G364" s="327">
        <f t="shared" si="178"/>
        <v>0</v>
      </c>
      <c r="H364" s="328" t="str">
        <f t="shared" si="199"/>
        <v>A</v>
      </c>
      <c r="I364" s="325" t="s">
        <v>1746</v>
      </c>
      <c r="J364" s="329" t="str">
        <f>IF(B364&lt;&gt;"",+VLOOKUP(I364,Recursos!C:F,2,FALSE),"")</f>
        <v>OFICIAL</v>
      </c>
      <c r="K364" s="330" t="str">
        <f>IF(B364&lt;&gt;"",+VLOOKUP(I364,Recursos!C:F,3,FALSE),"")</f>
        <v>hh</v>
      </c>
      <c r="L364" s="446">
        <f>IF(B364&lt;&gt;"",+VLOOKUP(I364,Recursos!C:F,4,FALSE),"")</f>
        <v>496.91595439275824</v>
      </c>
      <c r="M364" s="460"/>
      <c r="N364" s="463">
        <v>1.25</v>
      </c>
      <c r="O364" s="459">
        <f>1/M366*N364</f>
        <v>1.6666666666666666E-2</v>
      </c>
      <c r="P364" s="333">
        <f t="shared" si="174"/>
        <v>8.2819325732126376</v>
      </c>
      <c r="Q364" s="327">
        <f t="shared" si="175"/>
        <v>0</v>
      </c>
      <c r="R364" s="334">
        <f t="shared" si="176"/>
        <v>0</v>
      </c>
      <c r="S364" s="335">
        <f t="shared" si="179"/>
        <v>15.323273034823842</v>
      </c>
      <c r="T364" s="335">
        <f t="shared" si="180"/>
        <v>33.027025333333341</v>
      </c>
      <c r="U364" s="336">
        <f t="shared" si="181"/>
        <v>0</v>
      </c>
      <c r="V364" s="336">
        <f t="shared" si="182"/>
        <v>0</v>
      </c>
      <c r="W364" s="336">
        <f t="shared" si="183"/>
        <v>100</v>
      </c>
      <c r="X364" s="336">
        <f t="shared" si="184"/>
        <v>0</v>
      </c>
      <c r="Y364" s="320"/>
      <c r="Z364" s="321" t="str">
        <f t="shared" si="188"/>
        <v>X-OARA</v>
      </c>
      <c r="AA364" s="321" t="str">
        <f t="shared" si="189"/>
        <v>X-OARE</v>
      </c>
      <c r="AB364" s="321" t="str">
        <f t="shared" si="190"/>
        <v>X-OARM</v>
      </c>
      <c r="AC364" s="321" t="str">
        <f t="shared" si="191"/>
        <v>X-OART</v>
      </c>
      <c r="AD364" s="321" t="str">
        <f t="shared" si="192"/>
        <v>X-OARS</v>
      </c>
      <c r="AE364" s="321" t="str">
        <f t="shared" si="193"/>
        <v>X-OARX</v>
      </c>
      <c r="AF364" s="321" t="str">
        <f t="shared" si="194"/>
        <v>X-OARA</v>
      </c>
      <c r="AG364" s="321">
        <f t="shared" si="185"/>
        <v>5</v>
      </c>
      <c r="AH364" s="321"/>
      <c r="AI364" s="321" t="str">
        <f t="shared" si="195"/>
        <v>X-OAR</v>
      </c>
      <c r="AJ364" s="320"/>
      <c r="AK364" s="322">
        <f t="shared" si="186"/>
        <v>363</v>
      </c>
      <c r="AL364" s="323">
        <f t="shared" si="196"/>
        <v>367</v>
      </c>
      <c r="AM364" s="322">
        <f t="shared" si="197"/>
        <v>2</v>
      </c>
      <c r="AN364" s="381">
        <f t="shared" si="187"/>
        <v>3.3333333333333333E-2</v>
      </c>
      <c r="AO364" s="322"/>
    </row>
    <row r="365" spans="2:41">
      <c r="B365" s="501" t="s">
        <v>2746</v>
      </c>
      <c r="C365" s="951" t="s">
        <v>2747</v>
      </c>
      <c r="D365" s="326" t="s">
        <v>1160</v>
      </c>
      <c r="E365" s="327">
        <f>+SUMIF('AUX-NIV2'!I:I,'AUX-NIV3'!B365,'AUX-NIV2'!Q:Q)</f>
        <v>0</v>
      </c>
      <c r="F365" s="327">
        <f t="shared" si="177"/>
        <v>148.35029836815718</v>
      </c>
      <c r="G365" s="327">
        <f t="shared" si="178"/>
        <v>0</v>
      </c>
      <c r="H365" s="328" t="str">
        <f t="shared" si="199"/>
        <v>E</v>
      </c>
      <c r="I365" s="325" t="s">
        <v>1676</v>
      </c>
      <c r="J365" s="329" t="str">
        <f>IF(B365&lt;&gt;"",+VLOOKUP(I365,Recursos!C:F,2,FALSE),"")</f>
        <v>CAMION REGADOR CAP. 8 m3</v>
      </c>
      <c r="K365" s="330" t="str">
        <f>IF(B365&lt;&gt;"",+VLOOKUP(I365,Recursos!C:F,3,FALSE),"")</f>
        <v>HR</v>
      </c>
      <c r="L365" s="446">
        <f>IF(B365&lt;&gt;"",+VLOOKUP(I365,Recursos!C:F,4,FALSE),"")</f>
        <v>2281.2949000000003</v>
      </c>
      <c r="M365" s="460"/>
      <c r="N365" s="471"/>
      <c r="O365" s="459">
        <f>1/M366</f>
        <v>1.3333333333333334E-2</v>
      </c>
      <c r="P365" s="333">
        <f t="shared" si="174"/>
        <v>30.41726533333334</v>
      </c>
      <c r="Q365" s="327">
        <f t="shared" si="175"/>
        <v>0</v>
      </c>
      <c r="R365" s="334">
        <f t="shared" si="176"/>
        <v>0</v>
      </c>
      <c r="S365" s="335">
        <f t="shared" si="179"/>
        <v>15.323273034823842</v>
      </c>
      <c r="T365" s="335">
        <f t="shared" si="180"/>
        <v>33.027025333333341</v>
      </c>
      <c r="U365" s="336">
        <f t="shared" si="181"/>
        <v>0</v>
      </c>
      <c r="V365" s="336">
        <f t="shared" si="182"/>
        <v>0</v>
      </c>
      <c r="W365" s="336">
        <f t="shared" si="183"/>
        <v>100</v>
      </c>
      <c r="X365" s="336">
        <f t="shared" si="184"/>
        <v>0</v>
      </c>
      <c r="Y365" s="320"/>
      <c r="Z365" s="321" t="str">
        <f t="shared" si="188"/>
        <v>X-OARA</v>
      </c>
      <c r="AA365" s="321" t="str">
        <f t="shared" si="189"/>
        <v>X-OARE</v>
      </c>
      <c r="AB365" s="321" t="str">
        <f t="shared" si="190"/>
        <v>X-OARM</v>
      </c>
      <c r="AC365" s="321" t="str">
        <f t="shared" si="191"/>
        <v>X-OART</v>
      </c>
      <c r="AD365" s="321" t="str">
        <f t="shared" si="192"/>
        <v>X-OARS</v>
      </c>
      <c r="AE365" s="321" t="str">
        <f t="shared" si="193"/>
        <v>X-OARX</v>
      </c>
      <c r="AF365" s="321" t="str">
        <f t="shared" si="194"/>
        <v>X-OARE</v>
      </c>
      <c r="AG365" s="321">
        <f t="shared" si="185"/>
        <v>5</v>
      </c>
      <c r="AH365" s="321"/>
      <c r="AI365" s="321" t="str">
        <f t="shared" si="195"/>
        <v>X-OAR</v>
      </c>
      <c r="AJ365" s="320"/>
      <c r="AK365" s="322">
        <f t="shared" si="186"/>
        <v>363</v>
      </c>
      <c r="AL365" s="323">
        <f t="shared" si="196"/>
        <v>367</v>
      </c>
      <c r="AM365" s="322">
        <f t="shared" si="197"/>
        <v>3</v>
      </c>
      <c r="AN365" s="381">
        <f t="shared" si="187"/>
        <v>3.3333333333333333E-2</v>
      </c>
      <c r="AO365" s="322"/>
    </row>
    <row r="366" spans="2:41">
      <c r="B366" s="501" t="s">
        <v>2746</v>
      </c>
      <c r="C366" s="951" t="s">
        <v>2747</v>
      </c>
      <c r="D366" s="326" t="s">
        <v>1160</v>
      </c>
      <c r="E366" s="327">
        <f>+SUMIF('AUX-NIV2'!I:I,'AUX-NIV3'!B366,'AUX-NIV2'!Q:Q)</f>
        <v>0</v>
      </c>
      <c r="F366" s="327">
        <f t="shared" si="177"/>
        <v>148.35029836815718</v>
      </c>
      <c r="G366" s="327">
        <f t="shared" si="178"/>
        <v>0</v>
      </c>
      <c r="H366" s="328" t="str">
        <f t="shared" si="199"/>
        <v>E</v>
      </c>
      <c r="I366" s="325" t="s">
        <v>1602</v>
      </c>
      <c r="J366" s="329" t="str">
        <f>IF(B366&lt;&gt;"",+VLOOKUP(I366,Recursos!C:F,2,FALSE),"")</f>
        <v>MOTOBOMBA 10 HP (100 M3/HORA)</v>
      </c>
      <c r="K366" s="330" t="str">
        <f>IF(B366&lt;&gt;"",+VLOOKUP(I366,Recursos!C:F,3,FALSE),"")</f>
        <v>HR</v>
      </c>
      <c r="L366" s="446">
        <f>IF(B366&lt;&gt;"",+VLOOKUP(I366,Recursos!C:F,4,FALSE),"")</f>
        <v>195.732</v>
      </c>
      <c r="M366" s="462">
        <v>75</v>
      </c>
      <c r="N366" s="471"/>
      <c r="O366" s="459">
        <f>1/M366</f>
        <v>1.3333333333333334E-2</v>
      </c>
      <c r="P366" s="333">
        <f t="shared" si="174"/>
        <v>2.6097600000000001</v>
      </c>
      <c r="Q366" s="327">
        <f t="shared" si="175"/>
        <v>0</v>
      </c>
      <c r="R366" s="334">
        <f t="shared" si="176"/>
        <v>0</v>
      </c>
      <c r="S366" s="335">
        <f t="shared" si="179"/>
        <v>15.323273034823842</v>
      </c>
      <c r="T366" s="335">
        <f t="shared" si="180"/>
        <v>33.027025333333341</v>
      </c>
      <c r="U366" s="336">
        <f t="shared" si="181"/>
        <v>0</v>
      </c>
      <c r="V366" s="336">
        <f t="shared" si="182"/>
        <v>0</v>
      </c>
      <c r="W366" s="336">
        <f t="shared" si="183"/>
        <v>100</v>
      </c>
      <c r="X366" s="336">
        <f t="shared" si="184"/>
        <v>0</v>
      </c>
      <c r="Y366" s="320"/>
      <c r="Z366" s="321" t="str">
        <f t="shared" si="188"/>
        <v>X-OARA</v>
      </c>
      <c r="AA366" s="321" t="str">
        <f t="shared" si="189"/>
        <v>X-OARE</v>
      </c>
      <c r="AB366" s="321" t="str">
        <f t="shared" si="190"/>
        <v>X-OARM</v>
      </c>
      <c r="AC366" s="321" t="str">
        <f t="shared" si="191"/>
        <v>X-OART</v>
      </c>
      <c r="AD366" s="321" t="str">
        <f t="shared" si="192"/>
        <v>X-OARS</v>
      </c>
      <c r="AE366" s="321" t="str">
        <f t="shared" si="193"/>
        <v>X-OARX</v>
      </c>
      <c r="AF366" s="321" t="str">
        <f t="shared" si="194"/>
        <v>X-OARE</v>
      </c>
      <c r="AG366" s="321">
        <f t="shared" si="185"/>
        <v>5</v>
      </c>
      <c r="AH366" s="321"/>
      <c r="AI366" s="321" t="str">
        <f t="shared" si="195"/>
        <v>X-OAR</v>
      </c>
      <c r="AJ366" s="320"/>
      <c r="AK366" s="322">
        <f t="shared" si="186"/>
        <v>363</v>
      </c>
      <c r="AL366" s="323">
        <f t="shared" si="196"/>
        <v>367</v>
      </c>
      <c r="AM366" s="322">
        <f t="shared" si="197"/>
        <v>4</v>
      </c>
      <c r="AN366" s="381">
        <f t="shared" si="187"/>
        <v>3.3333333333333333E-2</v>
      </c>
      <c r="AO366" s="322"/>
    </row>
    <row r="367" spans="2:41" ht="13.8" thickBot="1">
      <c r="B367" s="501" t="s">
        <v>2746</v>
      </c>
      <c r="C367" s="951" t="s">
        <v>2747</v>
      </c>
      <c r="D367" s="326" t="s">
        <v>1160</v>
      </c>
      <c r="E367" s="327">
        <f>+SUMIF('AUX-NIV2'!I:I,'AUX-NIV3'!B367,'AUX-NIV2'!Q:Q)</f>
        <v>0</v>
      </c>
      <c r="F367" s="327">
        <f t="shared" si="177"/>
        <v>148.35029836815718</v>
      </c>
      <c r="G367" s="327">
        <f t="shared" si="178"/>
        <v>0</v>
      </c>
      <c r="H367" s="328" t="str">
        <f t="shared" si="199"/>
        <v>S</v>
      </c>
      <c r="I367" s="325" t="s">
        <v>1501</v>
      </c>
      <c r="J367" s="329" t="str">
        <f>IF(B367&lt;&gt;"",+VLOOKUP(I367,Recursos!C:F,2,FALSE),"")</f>
        <v>CANON DE AGUA</v>
      </c>
      <c r="K367" s="330" t="str">
        <f>IF(B367&lt;&gt;"",+VLOOKUP(I367,Recursos!C:F,3,FALSE),"")</f>
        <v>m3</v>
      </c>
      <c r="L367" s="446">
        <f>IF(B367&lt;&gt;"",+VLOOKUP(I367,Recursos!C:F,4,FALSE),"")</f>
        <v>100</v>
      </c>
      <c r="M367" s="722"/>
      <c r="N367" s="499"/>
      <c r="O367" s="459">
        <v>1</v>
      </c>
      <c r="P367" s="333">
        <f t="shared" si="174"/>
        <v>100</v>
      </c>
      <c r="Q367" s="327">
        <f t="shared" si="175"/>
        <v>0</v>
      </c>
      <c r="R367" s="334">
        <f t="shared" si="176"/>
        <v>0</v>
      </c>
      <c r="S367" s="335">
        <f t="shared" si="179"/>
        <v>15.323273034823842</v>
      </c>
      <c r="T367" s="335">
        <f t="shared" si="180"/>
        <v>33.027025333333341</v>
      </c>
      <c r="U367" s="336">
        <f t="shared" si="181"/>
        <v>0</v>
      </c>
      <c r="V367" s="336">
        <f t="shared" si="182"/>
        <v>0</v>
      </c>
      <c r="W367" s="336">
        <f t="shared" si="183"/>
        <v>100</v>
      </c>
      <c r="X367" s="336">
        <f t="shared" si="184"/>
        <v>0</v>
      </c>
      <c r="Y367" s="320"/>
      <c r="Z367" s="321" t="str">
        <f t="shared" si="188"/>
        <v>X-OARA</v>
      </c>
      <c r="AA367" s="321" t="str">
        <f t="shared" si="189"/>
        <v>X-OARE</v>
      </c>
      <c r="AB367" s="321" t="str">
        <f t="shared" si="190"/>
        <v>X-OARM</v>
      </c>
      <c r="AC367" s="321" t="str">
        <f t="shared" si="191"/>
        <v>X-OART</v>
      </c>
      <c r="AD367" s="321" t="str">
        <f t="shared" si="192"/>
        <v>X-OARS</v>
      </c>
      <c r="AE367" s="321" t="str">
        <f t="shared" si="193"/>
        <v>X-OARX</v>
      </c>
      <c r="AF367" s="321" t="str">
        <f t="shared" si="194"/>
        <v>X-OARS</v>
      </c>
      <c r="AG367" s="321">
        <f t="shared" si="185"/>
        <v>5</v>
      </c>
      <c r="AH367" s="321"/>
      <c r="AI367" s="321" t="str">
        <f t="shared" si="195"/>
        <v>X-OAR</v>
      </c>
      <c r="AJ367" s="320"/>
      <c r="AK367" s="322">
        <f t="shared" si="186"/>
        <v>363</v>
      </c>
      <c r="AL367" s="323">
        <f t="shared" si="196"/>
        <v>367</v>
      </c>
      <c r="AM367" s="322">
        <f t="shared" si="197"/>
        <v>5</v>
      </c>
      <c r="AN367" s="381">
        <f t="shared" si="187"/>
        <v>3.3333333333333333E-2</v>
      </c>
      <c r="AO367" s="322"/>
    </row>
    <row r="368" spans="2:41" ht="13.8" thickTop="1">
      <c r="B368" s="501" t="s">
        <v>2748</v>
      </c>
      <c r="C368" s="951" t="s">
        <v>2749</v>
      </c>
      <c r="D368" s="326" t="s">
        <v>1160</v>
      </c>
      <c r="E368" s="327">
        <f>+SUMIF('AUX-NIV2'!I:I,'AUX-NIV3'!B368,'AUX-NIV2'!Q:Q)</f>
        <v>0</v>
      </c>
      <c r="F368" s="327">
        <f t="shared" si="177"/>
        <v>368.5637895861521</v>
      </c>
      <c r="G368" s="327">
        <f t="shared" si="178"/>
        <v>0</v>
      </c>
      <c r="H368" s="328" t="str">
        <f t="shared" si="199"/>
        <v>A</v>
      </c>
      <c r="I368" s="325" t="s">
        <v>1746</v>
      </c>
      <c r="J368" s="329" t="str">
        <f>IF(B368&lt;&gt;"",+VLOOKUP(I368,Recursos!C:F,2,FALSE),"")</f>
        <v>OFICIAL</v>
      </c>
      <c r="K368" s="330" t="str">
        <f>IF(B368&lt;&gt;"",+VLOOKUP(I368,Recursos!C:F,3,FALSE),"")</f>
        <v>hh</v>
      </c>
      <c r="L368" s="446">
        <f>IF(B368&lt;&gt;"",+VLOOKUP(I368,Recursos!C:F,4,FALSE),"")</f>
        <v>496.91595439275824</v>
      </c>
      <c r="M368" s="437">
        <v>20</v>
      </c>
      <c r="N368" s="458">
        <v>35</v>
      </c>
      <c r="O368" s="459">
        <f>(1/N368+1/M369)/N369*1.25*M368</f>
        <v>0.15873015873015872</v>
      </c>
      <c r="P368" s="333">
        <f t="shared" si="174"/>
        <v>78.875548316310827</v>
      </c>
      <c r="Q368" s="327">
        <f t="shared" si="175"/>
        <v>0</v>
      </c>
      <c r="R368" s="334">
        <f t="shared" si="176"/>
        <v>0</v>
      </c>
      <c r="S368" s="335">
        <f t="shared" si="179"/>
        <v>78.875548316310827</v>
      </c>
      <c r="T368" s="335">
        <f t="shared" si="180"/>
        <v>289.68824126984128</v>
      </c>
      <c r="U368" s="336">
        <f t="shared" si="181"/>
        <v>0</v>
      </c>
      <c r="V368" s="336">
        <f t="shared" si="182"/>
        <v>0</v>
      </c>
      <c r="W368" s="336">
        <f t="shared" si="183"/>
        <v>0</v>
      </c>
      <c r="X368" s="336">
        <f t="shared" si="184"/>
        <v>0</v>
      </c>
      <c r="Y368" s="320"/>
      <c r="Z368" s="321" t="str">
        <f t="shared" si="188"/>
        <v>X-TARA</v>
      </c>
      <c r="AA368" s="321" t="str">
        <f t="shared" si="189"/>
        <v>X-TARE</v>
      </c>
      <c r="AB368" s="321" t="str">
        <f t="shared" si="190"/>
        <v>X-TARM</v>
      </c>
      <c r="AC368" s="321" t="str">
        <f t="shared" si="191"/>
        <v>X-TART</v>
      </c>
      <c r="AD368" s="321" t="str">
        <f t="shared" si="192"/>
        <v>X-TARS</v>
      </c>
      <c r="AE368" s="321" t="str">
        <f t="shared" si="193"/>
        <v>X-TARX</v>
      </c>
      <c r="AF368" s="321" t="str">
        <f t="shared" si="194"/>
        <v>X-TARA</v>
      </c>
      <c r="AG368" s="321">
        <f t="shared" si="185"/>
        <v>2</v>
      </c>
      <c r="AH368" s="321"/>
      <c r="AI368" s="321" t="str">
        <f t="shared" si="195"/>
        <v>X-TAR</v>
      </c>
      <c r="AJ368" s="320"/>
      <c r="AK368" s="322">
        <f t="shared" si="186"/>
        <v>368</v>
      </c>
      <c r="AL368" s="323">
        <f t="shared" si="196"/>
        <v>369</v>
      </c>
      <c r="AM368" s="322">
        <f t="shared" si="197"/>
        <v>1</v>
      </c>
      <c r="AN368" s="381">
        <f t="shared" si="187"/>
        <v>0.15873015873015872</v>
      </c>
      <c r="AO368" s="322"/>
    </row>
    <row r="369" spans="2:41" ht="13.8" thickBot="1">
      <c r="B369" s="501" t="s">
        <v>2748</v>
      </c>
      <c r="C369" s="951" t="s">
        <v>2749</v>
      </c>
      <c r="D369" s="326" t="s">
        <v>1160</v>
      </c>
      <c r="E369" s="327">
        <f>+SUMIF('AUX-NIV2'!I:I,'AUX-NIV3'!B369,'AUX-NIV2'!Q:Q)</f>
        <v>0</v>
      </c>
      <c r="F369" s="327">
        <f t="shared" si="177"/>
        <v>368.5637895861521</v>
      </c>
      <c r="G369" s="327">
        <f t="shared" si="178"/>
        <v>0</v>
      </c>
      <c r="H369" s="328" t="str">
        <f t="shared" si="199"/>
        <v>E</v>
      </c>
      <c r="I369" s="325" t="s">
        <v>1676</v>
      </c>
      <c r="J369" s="329" t="str">
        <f>IF(B369&lt;&gt;"",+VLOOKUP(I369,Recursos!C:F,2,FALSE),"")</f>
        <v>CAMION REGADOR CAP. 8 m3</v>
      </c>
      <c r="K369" s="330" t="str">
        <f>IF(B369&lt;&gt;"",+VLOOKUP(I369,Recursos!C:F,3,FALSE),"")</f>
        <v>HR</v>
      </c>
      <c r="L369" s="446">
        <f>IF(B369&lt;&gt;"",+VLOOKUP(I369,Recursos!C:F,4,FALSE),"")</f>
        <v>2281.2949000000003</v>
      </c>
      <c r="M369" s="464">
        <v>45</v>
      </c>
      <c r="N369" s="465">
        <v>8</v>
      </c>
      <c r="O369" s="459">
        <f>(1/N368+1/M369)/N369*M368</f>
        <v>0.12698412698412698</v>
      </c>
      <c r="P369" s="333">
        <f t="shared" si="174"/>
        <v>289.68824126984128</v>
      </c>
      <c r="Q369" s="327">
        <f t="shared" si="175"/>
        <v>0</v>
      </c>
      <c r="R369" s="334">
        <f t="shared" si="176"/>
        <v>0</v>
      </c>
      <c r="S369" s="335">
        <f t="shared" si="179"/>
        <v>78.875548316310827</v>
      </c>
      <c r="T369" s="335">
        <f t="shared" si="180"/>
        <v>289.68824126984128</v>
      </c>
      <c r="U369" s="336">
        <f t="shared" si="181"/>
        <v>0</v>
      </c>
      <c r="V369" s="336">
        <f t="shared" si="182"/>
        <v>0</v>
      </c>
      <c r="W369" s="336">
        <f t="shared" si="183"/>
        <v>0</v>
      </c>
      <c r="X369" s="336">
        <f t="shared" si="184"/>
        <v>0</v>
      </c>
      <c r="Y369" s="320"/>
      <c r="Z369" s="321" t="str">
        <f t="shared" si="188"/>
        <v>X-TARA</v>
      </c>
      <c r="AA369" s="321" t="str">
        <f t="shared" si="189"/>
        <v>X-TARE</v>
      </c>
      <c r="AB369" s="321" t="str">
        <f t="shared" si="190"/>
        <v>X-TARM</v>
      </c>
      <c r="AC369" s="321" t="str">
        <f t="shared" si="191"/>
        <v>X-TART</v>
      </c>
      <c r="AD369" s="321" t="str">
        <f t="shared" si="192"/>
        <v>X-TARS</v>
      </c>
      <c r="AE369" s="321" t="str">
        <f t="shared" si="193"/>
        <v>X-TARX</v>
      </c>
      <c r="AF369" s="321" t="str">
        <f t="shared" si="194"/>
        <v>X-TARE</v>
      </c>
      <c r="AG369" s="321">
        <f t="shared" si="185"/>
        <v>2</v>
      </c>
      <c r="AH369" s="321"/>
      <c r="AI369" s="321" t="str">
        <f t="shared" si="195"/>
        <v>X-TAR</v>
      </c>
      <c r="AJ369" s="320"/>
      <c r="AK369" s="322">
        <f t="shared" si="186"/>
        <v>368</v>
      </c>
      <c r="AL369" s="323">
        <f t="shared" si="196"/>
        <v>369</v>
      </c>
      <c r="AM369" s="322">
        <f t="shared" si="197"/>
        <v>2</v>
      </c>
      <c r="AN369" s="381">
        <f t="shared" si="187"/>
        <v>0.15873015873015872</v>
      </c>
      <c r="AO369" s="322"/>
    </row>
    <row r="370" spans="2:41" ht="13.8" thickTop="1">
      <c r="B370" s="501" t="s">
        <v>2750</v>
      </c>
      <c r="C370" s="951" t="s">
        <v>2751</v>
      </c>
      <c r="D370" s="326" t="s">
        <v>1160</v>
      </c>
      <c r="E370" s="327">
        <f>+SUMIF('AUX-NIV2'!I:I,'AUX-NIV3'!B370,'AUX-NIV2'!Q:Q)</f>
        <v>0</v>
      </c>
      <c r="F370" s="327">
        <f t="shared" si="177"/>
        <v>214.40877360073679</v>
      </c>
      <c r="G370" s="327">
        <f t="shared" si="178"/>
        <v>0</v>
      </c>
      <c r="H370" s="328" t="str">
        <f t="shared" si="199"/>
        <v>A</v>
      </c>
      <c r="I370" s="325" t="s">
        <v>1745</v>
      </c>
      <c r="J370" s="329" t="str">
        <f>IF(B370&lt;&gt;"",+VLOOKUP(I370,Recursos!C:F,2,FALSE),"")</f>
        <v>AYUDANTE</v>
      </c>
      <c r="K370" s="330" t="str">
        <f>IF(B370&lt;&gt;"",+VLOOKUP(I370,Recursos!C:F,3,FALSE),"")</f>
        <v>hh</v>
      </c>
      <c r="L370" s="446">
        <f>IF(B370&lt;&gt;"",+VLOOKUP(I370,Recursos!C:F,4,FALSE),"")</f>
        <v>422.48042769667234</v>
      </c>
      <c r="M370" s="457"/>
      <c r="N370" s="438"/>
      <c r="O370" s="459">
        <f>+M372/60/N372*N371</f>
        <v>7.8125E-2</v>
      </c>
      <c r="P370" s="333">
        <f t="shared" si="174"/>
        <v>33.006283413802528</v>
      </c>
      <c r="Q370" s="327">
        <f t="shared" si="175"/>
        <v>0</v>
      </c>
      <c r="R370" s="334">
        <f t="shared" si="176"/>
        <v>0</v>
      </c>
      <c r="S370" s="335">
        <f t="shared" si="179"/>
        <v>71.827842350736773</v>
      </c>
      <c r="T370" s="335">
        <f t="shared" si="180"/>
        <v>142.58093125000002</v>
      </c>
      <c r="U370" s="336">
        <f t="shared" si="181"/>
        <v>0</v>
      </c>
      <c r="V370" s="336">
        <f t="shared" si="182"/>
        <v>0</v>
      </c>
      <c r="W370" s="336">
        <f t="shared" si="183"/>
        <v>0</v>
      </c>
      <c r="X370" s="336">
        <f t="shared" si="184"/>
        <v>0</v>
      </c>
      <c r="Y370" s="320"/>
      <c r="Z370" s="321" t="str">
        <f t="shared" si="188"/>
        <v>X-RPTA</v>
      </c>
      <c r="AA370" s="321" t="str">
        <f t="shared" si="189"/>
        <v>X-RPTE</v>
      </c>
      <c r="AB370" s="321" t="str">
        <f t="shared" si="190"/>
        <v>X-RPTM</v>
      </c>
      <c r="AC370" s="321" t="str">
        <f t="shared" si="191"/>
        <v>X-RPTT</v>
      </c>
      <c r="AD370" s="321" t="str">
        <f t="shared" si="192"/>
        <v>X-RPTS</v>
      </c>
      <c r="AE370" s="321" t="str">
        <f t="shared" si="193"/>
        <v>X-RPTX</v>
      </c>
      <c r="AF370" s="321" t="str">
        <f t="shared" si="194"/>
        <v>X-RPTA</v>
      </c>
      <c r="AG370" s="321">
        <f t="shared" si="185"/>
        <v>3</v>
      </c>
      <c r="AH370" s="321"/>
      <c r="AI370" s="321" t="str">
        <f t="shared" si="195"/>
        <v>X-RPT</v>
      </c>
      <c r="AJ370" s="320"/>
      <c r="AK370" s="322">
        <f t="shared" si="186"/>
        <v>370</v>
      </c>
      <c r="AL370" s="323">
        <f t="shared" si="196"/>
        <v>372</v>
      </c>
      <c r="AM370" s="322">
        <f t="shared" si="197"/>
        <v>1</v>
      </c>
      <c r="AN370" s="381">
        <f t="shared" si="187"/>
        <v>0.15625</v>
      </c>
      <c r="AO370" s="322"/>
    </row>
    <row r="371" spans="2:41">
      <c r="B371" s="501" t="s">
        <v>2750</v>
      </c>
      <c r="C371" s="951" t="s">
        <v>2751</v>
      </c>
      <c r="D371" s="326" t="s">
        <v>1160</v>
      </c>
      <c r="E371" s="327">
        <f>+SUMIF('AUX-NIV2'!I:I,'AUX-NIV3'!B371,'AUX-NIV2'!Q:Q)</f>
        <v>0</v>
      </c>
      <c r="F371" s="327">
        <f t="shared" si="177"/>
        <v>214.40877360073679</v>
      </c>
      <c r="G371" s="327">
        <f t="shared" si="178"/>
        <v>0</v>
      </c>
      <c r="H371" s="328" t="str">
        <f t="shared" si="199"/>
        <v>A</v>
      </c>
      <c r="I371" s="325" t="s">
        <v>1746</v>
      </c>
      <c r="J371" s="329" t="str">
        <f>IF(B371&lt;&gt;"",+VLOOKUP(I371,Recursos!C:F,2,FALSE),"")</f>
        <v>OFICIAL</v>
      </c>
      <c r="K371" s="330" t="str">
        <f>IF(B371&lt;&gt;"",+VLOOKUP(I371,Recursos!C:F,3,FALSE),"")</f>
        <v>hh</v>
      </c>
      <c r="L371" s="446">
        <f>IF(B371&lt;&gt;"",+VLOOKUP(I371,Recursos!C:F,4,FALSE),"")</f>
        <v>496.91595439275824</v>
      </c>
      <c r="M371" s="460"/>
      <c r="N371" s="463">
        <v>1.25</v>
      </c>
      <c r="O371" s="459">
        <f>+M372/60/N372*N371</f>
        <v>7.8125E-2</v>
      </c>
      <c r="P371" s="333">
        <f t="shared" si="174"/>
        <v>38.821558936934238</v>
      </c>
      <c r="Q371" s="327">
        <f t="shared" si="175"/>
        <v>0</v>
      </c>
      <c r="R371" s="334">
        <f t="shared" si="176"/>
        <v>0</v>
      </c>
      <c r="S371" s="335">
        <f t="shared" si="179"/>
        <v>71.827842350736773</v>
      </c>
      <c r="T371" s="335">
        <f t="shared" si="180"/>
        <v>142.58093125000002</v>
      </c>
      <c r="U371" s="336">
        <f t="shared" si="181"/>
        <v>0</v>
      </c>
      <c r="V371" s="336">
        <f t="shared" si="182"/>
        <v>0</v>
      </c>
      <c r="W371" s="336">
        <f t="shared" si="183"/>
        <v>0</v>
      </c>
      <c r="X371" s="336">
        <f t="shared" si="184"/>
        <v>0</v>
      </c>
      <c r="Y371" s="320"/>
      <c r="Z371" s="321" t="str">
        <f t="shared" si="188"/>
        <v>X-RPTA</v>
      </c>
      <c r="AA371" s="321" t="str">
        <f t="shared" si="189"/>
        <v>X-RPTE</v>
      </c>
      <c r="AB371" s="321" t="str">
        <f t="shared" si="190"/>
        <v>X-RPTM</v>
      </c>
      <c r="AC371" s="321" t="str">
        <f t="shared" si="191"/>
        <v>X-RPTT</v>
      </c>
      <c r="AD371" s="321" t="str">
        <f t="shared" si="192"/>
        <v>X-RPTS</v>
      </c>
      <c r="AE371" s="321" t="str">
        <f t="shared" si="193"/>
        <v>X-RPTX</v>
      </c>
      <c r="AF371" s="321" t="str">
        <f t="shared" si="194"/>
        <v>X-RPTA</v>
      </c>
      <c r="AG371" s="321">
        <f t="shared" si="185"/>
        <v>3</v>
      </c>
      <c r="AH371" s="321"/>
      <c r="AI371" s="321" t="str">
        <f t="shared" si="195"/>
        <v>X-RPT</v>
      </c>
      <c r="AJ371" s="320"/>
      <c r="AK371" s="322">
        <f t="shared" si="186"/>
        <v>370</v>
      </c>
      <c r="AL371" s="323">
        <f t="shared" si="196"/>
        <v>372</v>
      </c>
      <c r="AM371" s="322">
        <f t="shared" si="197"/>
        <v>2</v>
      </c>
      <c r="AN371" s="381">
        <f t="shared" si="187"/>
        <v>0.15625</v>
      </c>
      <c r="AO371" s="322"/>
    </row>
    <row r="372" spans="2:41" ht="13.8" thickBot="1">
      <c r="B372" s="501" t="s">
        <v>2750</v>
      </c>
      <c r="C372" s="951" t="s">
        <v>2751</v>
      </c>
      <c r="D372" s="326" t="s">
        <v>1160</v>
      </c>
      <c r="E372" s="327">
        <f>+SUMIF('AUX-NIV2'!I:I,'AUX-NIV3'!B372,'AUX-NIV2'!Q:Q)</f>
        <v>0</v>
      </c>
      <c r="F372" s="327">
        <f t="shared" si="177"/>
        <v>214.40877360073679</v>
      </c>
      <c r="G372" s="327">
        <f t="shared" si="178"/>
        <v>0</v>
      </c>
      <c r="H372" s="328" t="str">
        <f t="shared" si="199"/>
        <v>E</v>
      </c>
      <c r="I372" s="325" t="s">
        <v>1676</v>
      </c>
      <c r="J372" s="329" t="str">
        <f>IF(B372&lt;&gt;"",+VLOOKUP(I372,Recursos!C:F,2,FALSE),"")</f>
        <v>CAMION REGADOR CAP. 8 m3</v>
      </c>
      <c r="K372" s="330" t="str">
        <f>IF(B372&lt;&gt;"",+VLOOKUP(I372,Recursos!C:F,3,FALSE),"")</f>
        <v>HR</v>
      </c>
      <c r="L372" s="446">
        <f>IF(B372&lt;&gt;"",+VLOOKUP(I372,Recursos!C:F,4,FALSE),"")</f>
        <v>2281.2949000000003</v>
      </c>
      <c r="M372" s="464">
        <v>30</v>
      </c>
      <c r="N372" s="465">
        <v>8</v>
      </c>
      <c r="O372" s="459">
        <f>+M372/60/N372</f>
        <v>6.25E-2</v>
      </c>
      <c r="P372" s="333">
        <f t="shared" si="174"/>
        <v>142.58093125000002</v>
      </c>
      <c r="Q372" s="327">
        <f t="shared" si="175"/>
        <v>0</v>
      </c>
      <c r="R372" s="334">
        <f t="shared" si="176"/>
        <v>0</v>
      </c>
      <c r="S372" s="335">
        <f t="shared" si="179"/>
        <v>71.827842350736773</v>
      </c>
      <c r="T372" s="335">
        <f t="shared" si="180"/>
        <v>142.58093125000002</v>
      </c>
      <c r="U372" s="336">
        <f t="shared" si="181"/>
        <v>0</v>
      </c>
      <c r="V372" s="336">
        <f t="shared" si="182"/>
        <v>0</v>
      </c>
      <c r="W372" s="336">
        <f t="shared" si="183"/>
        <v>0</v>
      </c>
      <c r="X372" s="336">
        <f t="shared" si="184"/>
        <v>0</v>
      </c>
      <c r="Y372" s="320"/>
      <c r="Z372" s="321" t="str">
        <f t="shared" si="188"/>
        <v>X-RPTA</v>
      </c>
      <c r="AA372" s="321" t="str">
        <f t="shared" si="189"/>
        <v>X-RPTE</v>
      </c>
      <c r="AB372" s="321" t="str">
        <f t="shared" si="190"/>
        <v>X-RPTM</v>
      </c>
      <c r="AC372" s="321" t="str">
        <f t="shared" si="191"/>
        <v>X-RPTT</v>
      </c>
      <c r="AD372" s="321" t="str">
        <f t="shared" si="192"/>
        <v>X-RPTS</v>
      </c>
      <c r="AE372" s="321" t="str">
        <f t="shared" si="193"/>
        <v>X-RPTX</v>
      </c>
      <c r="AF372" s="321" t="str">
        <f t="shared" si="194"/>
        <v>X-RPTE</v>
      </c>
      <c r="AG372" s="321">
        <f t="shared" si="185"/>
        <v>3</v>
      </c>
      <c r="AH372" s="321"/>
      <c r="AI372" s="321" t="str">
        <f t="shared" si="195"/>
        <v>X-RPT</v>
      </c>
      <c r="AJ372" s="320"/>
      <c r="AK372" s="322">
        <f t="shared" si="186"/>
        <v>370</v>
      </c>
      <c r="AL372" s="323">
        <f t="shared" si="196"/>
        <v>372</v>
      </c>
      <c r="AM372" s="322">
        <f t="shared" si="197"/>
        <v>3</v>
      </c>
      <c r="AN372" s="381">
        <f t="shared" si="187"/>
        <v>0.15625</v>
      </c>
      <c r="AO372" s="322"/>
    </row>
    <row r="373" spans="2:41" ht="13.8" thickTop="1">
      <c r="B373" s="324" t="s">
        <v>2752</v>
      </c>
      <c r="C373" s="325" t="s">
        <v>2753</v>
      </c>
      <c r="D373" s="326" t="s">
        <v>501</v>
      </c>
      <c r="E373" s="327">
        <f>+SUMIF('AUX-NIV2'!I:I,'AUX-NIV3'!B373,'AUX-NIV2'!Q:Q)</f>
        <v>0</v>
      </c>
      <c r="F373" s="327">
        <f t="shared" si="177"/>
        <v>5.3664037605812966</v>
      </c>
      <c r="G373" s="327">
        <f t="shared" si="178"/>
        <v>0</v>
      </c>
      <c r="H373" s="328" t="str">
        <f t="shared" si="199"/>
        <v>A</v>
      </c>
      <c r="I373" s="325" t="s">
        <v>1745</v>
      </c>
      <c r="J373" s="329" t="str">
        <f>IF(B373&lt;&gt;"",+VLOOKUP(I373,Recursos!C:F,2,FALSE),"")</f>
        <v>AYUDANTE</v>
      </c>
      <c r="K373" s="330" t="str">
        <f>IF(B373&lt;&gt;"",+VLOOKUP(I373,Recursos!C:F,3,FALSE),"")</f>
        <v>hh</v>
      </c>
      <c r="L373" s="446">
        <f>IF(B373&lt;&gt;"",+VLOOKUP(I373,Recursos!C:F,4,FALSE),"")</f>
        <v>422.48042769667234</v>
      </c>
      <c r="M373" s="457">
        <f>+M375</f>
        <v>1000</v>
      </c>
      <c r="N373" s="438">
        <f>+N374</f>
        <v>1.25</v>
      </c>
      <c r="O373" s="459">
        <f>1/M373*N373</f>
        <v>1.25E-3</v>
      </c>
      <c r="P373" s="333">
        <f t="shared" si="174"/>
        <v>0.52810053462084039</v>
      </c>
      <c r="Q373" s="327">
        <f t="shared" si="175"/>
        <v>0</v>
      </c>
      <c r="R373" s="334">
        <f t="shared" si="176"/>
        <v>0</v>
      </c>
      <c r="S373" s="335">
        <f t="shared" si="179"/>
        <v>1.2544270405812972</v>
      </c>
      <c r="T373" s="335">
        <f t="shared" si="180"/>
        <v>4.1119767199999995</v>
      </c>
      <c r="U373" s="336">
        <f t="shared" si="181"/>
        <v>0</v>
      </c>
      <c r="V373" s="336">
        <f t="shared" si="182"/>
        <v>0</v>
      </c>
      <c r="W373" s="336">
        <f t="shared" si="183"/>
        <v>0</v>
      </c>
      <c r="X373" s="336">
        <f t="shared" si="184"/>
        <v>0</v>
      </c>
      <c r="Y373" s="320"/>
      <c r="Z373" s="321" t="str">
        <f t="shared" si="188"/>
        <v>X-HDM1A</v>
      </c>
      <c r="AA373" s="321" t="str">
        <f t="shared" si="189"/>
        <v>X-HDM1E</v>
      </c>
      <c r="AB373" s="321" t="str">
        <f t="shared" si="190"/>
        <v>X-HDM1M</v>
      </c>
      <c r="AC373" s="321" t="str">
        <f t="shared" si="191"/>
        <v>X-HDM1T</v>
      </c>
      <c r="AD373" s="321" t="str">
        <f t="shared" si="192"/>
        <v>X-HDM1S</v>
      </c>
      <c r="AE373" s="321" t="str">
        <f t="shared" si="193"/>
        <v>X-HDM1X</v>
      </c>
      <c r="AF373" s="321" t="str">
        <f t="shared" si="194"/>
        <v>X-HDM1A</v>
      </c>
      <c r="AG373" s="321">
        <f t="shared" si="185"/>
        <v>3</v>
      </c>
      <c r="AH373" s="321"/>
      <c r="AI373" s="321" t="str">
        <f t="shared" si="195"/>
        <v>X-HDM1</v>
      </c>
      <c r="AJ373" s="320"/>
      <c r="AK373" s="322">
        <f t="shared" si="186"/>
        <v>373</v>
      </c>
      <c r="AL373" s="323">
        <f t="shared" si="196"/>
        <v>375</v>
      </c>
      <c r="AM373" s="322">
        <f t="shared" si="197"/>
        <v>1</v>
      </c>
      <c r="AN373" s="381">
        <f t="shared" si="187"/>
        <v>2.5000000000000001E-3</v>
      </c>
      <c r="AO373" s="322"/>
    </row>
    <row r="374" spans="2:41">
      <c r="B374" s="324" t="s">
        <v>2752</v>
      </c>
      <c r="C374" s="325" t="s">
        <v>2753</v>
      </c>
      <c r="D374" s="326" t="s">
        <v>501</v>
      </c>
      <c r="E374" s="327">
        <f>+SUMIF('AUX-NIV2'!I:I,'AUX-NIV3'!B374,'AUX-NIV2'!Q:Q)</f>
        <v>0</v>
      </c>
      <c r="F374" s="327">
        <f t="shared" si="177"/>
        <v>5.3664037605812966</v>
      </c>
      <c r="G374" s="327">
        <f t="shared" si="178"/>
        <v>0</v>
      </c>
      <c r="H374" s="328" t="str">
        <f t="shared" si="199"/>
        <v>A</v>
      </c>
      <c r="I374" s="325" t="s">
        <v>3310</v>
      </c>
      <c r="J374" s="329" t="str">
        <f>IF(B374&lt;&gt;"",+VLOOKUP(I374,Recursos!C:F,2,FALSE),"")</f>
        <v>OFICIAL ESPECIALIZADO</v>
      </c>
      <c r="K374" s="330" t="str">
        <f>IF(B374&lt;&gt;"",+VLOOKUP(I374,Recursos!C:F,3,FALSE),"")</f>
        <v>hh</v>
      </c>
      <c r="L374" s="446">
        <f>IF(B374&lt;&gt;"",+VLOOKUP(I374,Recursos!C:F,4,FALSE),"")</f>
        <v>581.06120476836554</v>
      </c>
      <c r="M374" s="460">
        <f>+M375</f>
        <v>1000</v>
      </c>
      <c r="N374" s="463">
        <v>1.25</v>
      </c>
      <c r="O374" s="459">
        <f>1/M374*N374</f>
        <v>1.25E-3</v>
      </c>
      <c r="P374" s="333">
        <f t="shared" si="174"/>
        <v>0.72632650596045689</v>
      </c>
      <c r="Q374" s="327">
        <f t="shared" si="175"/>
        <v>0</v>
      </c>
      <c r="R374" s="334">
        <f t="shared" si="176"/>
        <v>0</v>
      </c>
      <c r="S374" s="335">
        <f t="shared" si="179"/>
        <v>1.2544270405812972</v>
      </c>
      <c r="T374" s="335">
        <f t="shared" si="180"/>
        <v>4.1119767199999995</v>
      </c>
      <c r="U374" s="336">
        <f t="shared" si="181"/>
        <v>0</v>
      </c>
      <c r="V374" s="336">
        <f t="shared" si="182"/>
        <v>0</v>
      </c>
      <c r="W374" s="336">
        <f t="shared" si="183"/>
        <v>0</v>
      </c>
      <c r="X374" s="336">
        <f t="shared" si="184"/>
        <v>0</v>
      </c>
      <c r="Y374" s="320"/>
      <c r="Z374" s="321" t="str">
        <f t="shared" si="188"/>
        <v>X-HDM1A</v>
      </c>
      <c r="AA374" s="321" t="str">
        <f t="shared" si="189"/>
        <v>X-HDM1E</v>
      </c>
      <c r="AB374" s="321" t="str">
        <f t="shared" si="190"/>
        <v>X-HDM1M</v>
      </c>
      <c r="AC374" s="321" t="str">
        <f t="shared" si="191"/>
        <v>X-HDM1T</v>
      </c>
      <c r="AD374" s="321" t="str">
        <f t="shared" si="192"/>
        <v>X-HDM1S</v>
      </c>
      <c r="AE374" s="321" t="str">
        <f t="shared" si="193"/>
        <v>X-HDM1X</v>
      </c>
      <c r="AF374" s="321" t="str">
        <f t="shared" si="194"/>
        <v>X-HDM1A</v>
      </c>
      <c r="AG374" s="321">
        <f t="shared" si="185"/>
        <v>3</v>
      </c>
      <c r="AH374" s="321"/>
      <c r="AI374" s="321" t="str">
        <f t="shared" si="195"/>
        <v>X-HDM1</v>
      </c>
      <c r="AJ374" s="320"/>
      <c r="AK374" s="322">
        <f t="shared" si="186"/>
        <v>373</v>
      </c>
      <c r="AL374" s="323">
        <f t="shared" si="196"/>
        <v>375</v>
      </c>
      <c r="AM374" s="322">
        <f t="shared" si="197"/>
        <v>2</v>
      </c>
      <c r="AN374" s="381">
        <f t="shared" si="187"/>
        <v>2.5000000000000001E-3</v>
      </c>
      <c r="AO374" s="322"/>
    </row>
    <row r="375" spans="2:41" ht="13.8" thickBot="1">
      <c r="B375" s="324" t="s">
        <v>2752</v>
      </c>
      <c r="C375" s="325" t="s">
        <v>2753</v>
      </c>
      <c r="D375" s="326" t="s">
        <v>501</v>
      </c>
      <c r="E375" s="327">
        <f>+SUMIF('AUX-NIV2'!I:I,'AUX-NIV3'!B375,'AUX-NIV2'!Q:Q)</f>
        <v>0</v>
      </c>
      <c r="F375" s="327">
        <f t="shared" si="177"/>
        <v>5.3664037605812966</v>
      </c>
      <c r="G375" s="327">
        <f t="shared" si="178"/>
        <v>0</v>
      </c>
      <c r="H375" s="328" t="str">
        <f t="shared" si="199"/>
        <v>E</v>
      </c>
      <c r="I375" s="325" t="s">
        <v>1664</v>
      </c>
      <c r="J375" s="329" t="str">
        <f>IF(B375&lt;&gt;"",+VLOOKUP(I375,Recursos!C:F,2,FALSE),"")</f>
        <v>MOTONIVELADORA HOJA 14 PIES-15 T</v>
      </c>
      <c r="K375" s="330" t="str">
        <f>IF(B375&lt;&gt;"",+VLOOKUP(I375,Recursos!C:F,3,FALSE),"")</f>
        <v>HR</v>
      </c>
      <c r="L375" s="446">
        <f>IF(B375&lt;&gt;"",+VLOOKUP(I375,Recursos!C:F,4,FALSE),"")</f>
        <v>4111.9767199999997</v>
      </c>
      <c r="M375" s="464">
        <v>1000</v>
      </c>
      <c r="N375" s="465">
        <v>1</v>
      </c>
      <c r="O375" s="459">
        <f>1/M375*N375</f>
        <v>1E-3</v>
      </c>
      <c r="P375" s="333">
        <f t="shared" si="174"/>
        <v>4.1119767199999995</v>
      </c>
      <c r="Q375" s="327">
        <f t="shared" si="175"/>
        <v>0</v>
      </c>
      <c r="R375" s="334">
        <f t="shared" si="176"/>
        <v>0</v>
      </c>
      <c r="S375" s="335">
        <f t="shared" si="179"/>
        <v>1.2544270405812972</v>
      </c>
      <c r="T375" s="335">
        <f t="shared" si="180"/>
        <v>4.1119767199999995</v>
      </c>
      <c r="U375" s="336">
        <f t="shared" si="181"/>
        <v>0</v>
      </c>
      <c r="V375" s="336">
        <f t="shared" si="182"/>
        <v>0</v>
      </c>
      <c r="W375" s="336">
        <f t="shared" si="183"/>
        <v>0</v>
      </c>
      <c r="X375" s="336">
        <f t="shared" si="184"/>
        <v>0</v>
      </c>
      <c r="Y375" s="320"/>
      <c r="Z375" s="321" t="str">
        <f t="shared" si="188"/>
        <v>X-HDM1A</v>
      </c>
      <c r="AA375" s="321" t="str">
        <f t="shared" si="189"/>
        <v>X-HDM1E</v>
      </c>
      <c r="AB375" s="321" t="str">
        <f t="shared" si="190"/>
        <v>X-HDM1M</v>
      </c>
      <c r="AC375" s="321" t="str">
        <f t="shared" si="191"/>
        <v>X-HDM1T</v>
      </c>
      <c r="AD375" s="321" t="str">
        <f t="shared" si="192"/>
        <v>X-HDM1S</v>
      </c>
      <c r="AE375" s="321" t="str">
        <f t="shared" si="193"/>
        <v>X-HDM1X</v>
      </c>
      <c r="AF375" s="321" t="str">
        <f t="shared" si="194"/>
        <v>X-HDM1E</v>
      </c>
      <c r="AG375" s="321">
        <f t="shared" si="185"/>
        <v>3</v>
      </c>
      <c r="AH375" s="321"/>
      <c r="AI375" s="321" t="str">
        <f t="shared" si="195"/>
        <v>X-HDM1</v>
      </c>
      <c r="AJ375" s="320"/>
      <c r="AK375" s="322">
        <f t="shared" si="186"/>
        <v>373</v>
      </c>
      <c r="AL375" s="323">
        <f t="shared" si="196"/>
        <v>375</v>
      </c>
      <c r="AM375" s="322">
        <f t="shared" si="197"/>
        <v>3</v>
      </c>
      <c r="AN375" s="381">
        <f t="shared" si="187"/>
        <v>2.5000000000000001E-3</v>
      </c>
      <c r="AO375" s="322"/>
    </row>
    <row r="376" spans="2:41" ht="13.8" thickTop="1">
      <c r="B376" s="324" t="s">
        <v>2754</v>
      </c>
      <c r="C376" s="325" t="s">
        <v>1398</v>
      </c>
      <c r="D376" s="326" t="s">
        <v>501</v>
      </c>
      <c r="E376" s="327">
        <f>+SUMIF('AUX-NIV2'!I:I,'AUX-NIV3'!B376,'AUX-NIV2'!Q:Q)</f>
        <v>0</v>
      </c>
      <c r="F376" s="327">
        <f t="shared" si="177"/>
        <v>10.111141390518723</v>
      </c>
      <c r="G376" s="327">
        <f t="shared" si="178"/>
        <v>0</v>
      </c>
      <c r="H376" s="328" t="str">
        <f t="shared" si="199"/>
        <v>A</v>
      </c>
      <c r="I376" s="325" t="s">
        <v>1745</v>
      </c>
      <c r="J376" s="329" t="str">
        <f>IF(B376&lt;&gt;"",+VLOOKUP(I376,Recursos!C:F,2,FALSE),"")</f>
        <v>AYUDANTE</v>
      </c>
      <c r="K376" s="330" t="str">
        <f>IF(B376&lt;&gt;"",+VLOOKUP(I376,Recursos!C:F,3,FALSE),"")</f>
        <v>hh</v>
      </c>
      <c r="L376" s="446">
        <f>IF(B376&lt;&gt;"",+VLOOKUP(I376,Recursos!C:F,4,FALSE),"")</f>
        <v>422.48042769667234</v>
      </c>
      <c r="M376" s="457">
        <f>+M378</f>
        <v>400</v>
      </c>
      <c r="N376" s="438">
        <f>+N378</f>
        <v>1.3</v>
      </c>
      <c r="O376" s="459">
        <f>+N376/M376</f>
        <v>3.2500000000000003E-3</v>
      </c>
      <c r="P376" s="333">
        <f t="shared" si="174"/>
        <v>1.3730613900141853</v>
      </c>
      <c r="Q376" s="327">
        <f t="shared" si="175"/>
        <v>0</v>
      </c>
      <c r="R376" s="334">
        <f t="shared" si="176"/>
        <v>0</v>
      </c>
      <c r="S376" s="335">
        <f t="shared" si="179"/>
        <v>3.9224674259353893</v>
      </c>
      <c r="T376" s="335">
        <f t="shared" si="180"/>
        <v>6.1886739645833337</v>
      </c>
      <c r="U376" s="336">
        <f t="shared" si="181"/>
        <v>0</v>
      </c>
      <c r="V376" s="336">
        <f t="shared" si="182"/>
        <v>0</v>
      </c>
      <c r="W376" s="336">
        <f t="shared" si="183"/>
        <v>0</v>
      </c>
      <c r="X376" s="336">
        <f t="shared" si="184"/>
        <v>0</v>
      </c>
      <c r="Y376" s="320"/>
      <c r="Z376" s="321" t="str">
        <f t="shared" si="188"/>
        <v>X-CBDA</v>
      </c>
      <c r="AA376" s="321" t="str">
        <f t="shared" si="189"/>
        <v>X-CBDE</v>
      </c>
      <c r="AB376" s="321" t="str">
        <f t="shared" si="190"/>
        <v>X-CBDM</v>
      </c>
      <c r="AC376" s="321" t="str">
        <f t="shared" si="191"/>
        <v>X-CBDT</v>
      </c>
      <c r="AD376" s="321" t="str">
        <f t="shared" si="192"/>
        <v>X-CBDS</v>
      </c>
      <c r="AE376" s="321" t="str">
        <f t="shared" si="193"/>
        <v>X-CBDX</v>
      </c>
      <c r="AF376" s="321" t="str">
        <f t="shared" si="194"/>
        <v>X-CBDA</v>
      </c>
      <c r="AG376" s="321">
        <f t="shared" si="185"/>
        <v>6</v>
      </c>
      <c r="AH376" s="321"/>
      <c r="AI376" s="321" t="str">
        <f t="shared" si="195"/>
        <v>X-CBD</v>
      </c>
      <c r="AJ376" s="320"/>
      <c r="AK376" s="322">
        <f t="shared" si="186"/>
        <v>376</v>
      </c>
      <c r="AL376" s="323">
        <f t="shared" si="196"/>
        <v>381</v>
      </c>
      <c r="AM376" s="322">
        <f t="shared" si="197"/>
        <v>1</v>
      </c>
      <c r="AN376" s="381">
        <f t="shared" si="187"/>
        <v>7.6375000000000002E-3</v>
      </c>
      <c r="AO376" s="322"/>
    </row>
    <row r="377" spans="2:41">
      <c r="B377" s="324" t="s">
        <v>2754</v>
      </c>
      <c r="C377" s="325" t="s">
        <v>1398</v>
      </c>
      <c r="D377" s="326" t="s">
        <v>501</v>
      </c>
      <c r="E377" s="327">
        <f>+SUMIF('AUX-NIV2'!I:I,'AUX-NIV3'!B377,'AUX-NIV2'!Q:Q)</f>
        <v>0</v>
      </c>
      <c r="F377" s="327">
        <f t="shared" si="177"/>
        <v>10.111141390518723</v>
      </c>
      <c r="G377" s="327">
        <f t="shared" si="178"/>
        <v>0</v>
      </c>
      <c r="H377" s="328" t="str">
        <f t="shared" si="199"/>
        <v>A</v>
      </c>
      <c r="I377" s="325" t="s">
        <v>3310</v>
      </c>
      <c r="J377" s="329" t="str">
        <f>IF(B377&lt;&gt;"",+VLOOKUP(I377,Recursos!C:F,2,FALSE),"")</f>
        <v>OFICIAL ESPECIALIZADO</v>
      </c>
      <c r="K377" s="330" t="str">
        <f>IF(B377&lt;&gt;"",+VLOOKUP(I377,Recursos!C:F,3,FALSE),"")</f>
        <v>hh</v>
      </c>
      <c r="L377" s="446">
        <f>IF(B377&lt;&gt;"",+VLOOKUP(I377,Recursos!C:F,4,FALSE),"")</f>
        <v>581.06120476836554</v>
      </c>
      <c r="M377" s="460">
        <f>+M379</f>
        <v>400</v>
      </c>
      <c r="N377" s="463">
        <v>0.1</v>
      </c>
      <c r="O377" s="459">
        <f>+N378/M377*N377</f>
        <v>3.2500000000000004E-4</v>
      </c>
      <c r="P377" s="333">
        <f t="shared" si="174"/>
        <v>0.18884489154971881</v>
      </c>
      <c r="Q377" s="327">
        <f t="shared" si="175"/>
        <v>0</v>
      </c>
      <c r="R377" s="334">
        <f t="shared" si="176"/>
        <v>0</v>
      </c>
      <c r="S377" s="335">
        <f t="shared" si="179"/>
        <v>3.9224674259353893</v>
      </c>
      <c r="T377" s="335">
        <f t="shared" si="180"/>
        <v>6.1886739645833337</v>
      </c>
      <c r="U377" s="336">
        <f t="shared" si="181"/>
        <v>0</v>
      </c>
      <c r="V377" s="336">
        <f t="shared" si="182"/>
        <v>0</v>
      </c>
      <c r="W377" s="336">
        <f t="shared" si="183"/>
        <v>0</v>
      </c>
      <c r="X377" s="336">
        <f t="shared" si="184"/>
        <v>0</v>
      </c>
      <c r="Y377" s="320"/>
      <c r="Z377" s="321" t="str">
        <f t="shared" si="188"/>
        <v>X-CBDA</v>
      </c>
      <c r="AA377" s="321" t="str">
        <f t="shared" si="189"/>
        <v>X-CBDE</v>
      </c>
      <c r="AB377" s="321" t="str">
        <f t="shared" si="190"/>
        <v>X-CBDM</v>
      </c>
      <c r="AC377" s="321" t="str">
        <f t="shared" si="191"/>
        <v>X-CBDT</v>
      </c>
      <c r="AD377" s="321" t="str">
        <f t="shared" si="192"/>
        <v>X-CBDS</v>
      </c>
      <c r="AE377" s="321" t="str">
        <f t="shared" si="193"/>
        <v>X-CBDX</v>
      </c>
      <c r="AF377" s="321" t="str">
        <f t="shared" si="194"/>
        <v>X-CBDA</v>
      </c>
      <c r="AG377" s="321">
        <f t="shared" si="185"/>
        <v>6</v>
      </c>
      <c r="AH377" s="321"/>
      <c r="AI377" s="321" t="str">
        <f t="shared" si="195"/>
        <v>X-CBD</v>
      </c>
      <c r="AJ377" s="320"/>
      <c r="AK377" s="322">
        <f t="shared" si="186"/>
        <v>376</v>
      </c>
      <c r="AL377" s="323">
        <f t="shared" si="196"/>
        <v>381</v>
      </c>
      <c r="AM377" s="322">
        <f t="shared" si="197"/>
        <v>2</v>
      </c>
      <c r="AN377" s="381">
        <f t="shared" si="187"/>
        <v>7.6375000000000002E-3</v>
      </c>
      <c r="AO377" s="322"/>
    </row>
    <row r="378" spans="2:41">
      <c r="B378" s="324" t="s">
        <v>2754</v>
      </c>
      <c r="C378" s="325" t="s">
        <v>1398</v>
      </c>
      <c r="D378" s="326" t="s">
        <v>501</v>
      </c>
      <c r="E378" s="327">
        <f>+SUMIF('AUX-NIV2'!I:I,'AUX-NIV3'!B378,'AUX-NIV2'!Q:Q)</f>
        <v>0</v>
      </c>
      <c r="F378" s="327">
        <f t="shared" si="177"/>
        <v>10.111141390518723</v>
      </c>
      <c r="G378" s="327">
        <f t="shared" si="178"/>
        <v>0</v>
      </c>
      <c r="H378" s="328" t="str">
        <f t="shared" si="199"/>
        <v>A</v>
      </c>
      <c r="I378" s="325" t="s">
        <v>3310</v>
      </c>
      <c r="J378" s="329" t="str">
        <f>IF(B378&lt;&gt;"",+VLOOKUP(I378,Recursos!C:F,2,FALSE),"")</f>
        <v>OFICIAL ESPECIALIZADO</v>
      </c>
      <c r="K378" s="330" t="str">
        <f>IF(B378&lt;&gt;"",+VLOOKUP(I378,Recursos!C:F,3,FALSE),"")</f>
        <v>hh</v>
      </c>
      <c r="L378" s="446">
        <f>IF(B378&lt;&gt;"",+VLOOKUP(I378,Recursos!C:F,4,FALSE),"")</f>
        <v>581.06120476836554</v>
      </c>
      <c r="M378" s="460">
        <f>+M380</f>
        <v>400</v>
      </c>
      <c r="N378" s="463">
        <v>1.3</v>
      </c>
      <c r="O378" s="459">
        <f>+N378*(1+N380)/M378</f>
        <v>4.0625000000000001E-3</v>
      </c>
      <c r="P378" s="333">
        <f t="shared" si="174"/>
        <v>2.3605611443714851</v>
      </c>
      <c r="Q378" s="327">
        <f t="shared" si="175"/>
        <v>0</v>
      </c>
      <c r="R378" s="334">
        <f t="shared" si="176"/>
        <v>0</v>
      </c>
      <c r="S378" s="335">
        <f t="shared" si="179"/>
        <v>3.9224674259353893</v>
      </c>
      <c r="T378" s="335">
        <f t="shared" si="180"/>
        <v>6.1886739645833337</v>
      </c>
      <c r="U378" s="336">
        <f t="shared" si="181"/>
        <v>0</v>
      </c>
      <c r="V378" s="336">
        <f t="shared" si="182"/>
        <v>0</v>
      </c>
      <c r="W378" s="336">
        <f t="shared" si="183"/>
        <v>0</v>
      </c>
      <c r="X378" s="336">
        <f t="shared" si="184"/>
        <v>0</v>
      </c>
      <c r="Y378" s="320"/>
      <c r="Z378" s="321" t="str">
        <f t="shared" si="188"/>
        <v>X-CBDA</v>
      </c>
      <c r="AA378" s="321" t="str">
        <f t="shared" si="189"/>
        <v>X-CBDE</v>
      </c>
      <c r="AB378" s="321" t="str">
        <f t="shared" si="190"/>
        <v>X-CBDM</v>
      </c>
      <c r="AC378" s="321" t="str">
        <f t="shared" si="191"/>
        <v>X-CBDT</v>
      </c>
      <c r="AD378" s="321" t="str">
        <f t="shared" si="192"/>
        <v>X-CBDS</v>
      </c>
      <c r="AE378" s="321" t="str">
        <f t="shared" si="193"/>
        <v>X-CBDX</v>
      </c>
      <c r="AF378" s="321" t="str">
        <f t="shared" si="194"/>
        <v>X-CBDA</v>
      </c>
      <c r="AG378" s="321">
        <f t="shared" si="185"/>
        <v>6</v>
      </c>
      <c r="AH378" s="321"/>
      <c r="AI378" s="321" t="str">
        <f t="shared" si="195"/>
        <v>X-CBD</v>
      </c>
      <c r="AJ378" s="320"/>
      <c r="AK378" s="322">
        <f t="shared" si="186"/>
        <v>376</v>
      </c>
      <c r="AL378" s="323">
        <f t="shared" si="196"/>
        <v>381</v>
      </c>
      <c r="AM378" s="322">
        <f t="shared" si="197"/>
        <v>3</v>
      </c>
      <c r="AN378" s="381">
        <f t="shared" si="187"/>
        <v>7.6375000000000002E-3</v>
      </c>
      <c r="AO378" s="322"/>
    </row>
    <row r="379" spans="2:41">
      <c r="B379" s="324" t="s">
        <v>2754</v>
      </c>
      <c r="C379" s="325" t="s">
        <v>1398</v>
      </c>
      <c r="D379" s="326" t="s">
        <v>501</v>
      </c>
      <c r="E379" s="327">
        <f>+SUMIF('AUX-NIV2'!I:I,'AUX-NIV3'!B379,'AUX-NIV2'!Q:Q)</f>
        <v>0</v>
      </c>
      <c r="F379" s="327">
        <f t="shared" si="177"/>
        <v>10.111141390518723</v>
      </c>
      <c r="G379" s="327">
        <f t="shared" si="178"/>
        <v>0</v>
      </c>
      <c r="H379" s="328" t="str">
        <f t="shared" si="199"/>
        <v>E</v>
      </c>
      <c r="I379" s="325" t="s">
        <v>1682</v>
      </c>
      <c r="J379" s="329" t="str">
        <f>IF(B379&lt;&gt;"",+VLOOKUP(I379,Recursos!C:F,2,FALSE),"")</f>
        <v>COMPACT. LISO VIBR. AUTOP.-11 T</v>
      </c>
      <c r="K379" s="330" t="str">
        <f>IF(B379&lt;&gt;"",+VLOOKUP(I379,Recursos!C:F,3,FALSE),"")</f>
        <v>HR</v>
      </c>
      <c r="L379" s="446">
        <f>IF(B379&lt;&gt;"",+VLOOKUP(I379,Recursos!C:F,4,FALSE),"")</f>
        <v>2026.0471399999999</v>
      </c>
      <c r="M379" s="460">
        <f>+M381</f>
        <v>400</v>
      </c>
      <c r="N379" s="466">
        <f>1-N381</f>
        <v>0</v>
      </c>
      <c r="O379" s="459">
        <f>+N379/M379</f>
        <v>0</v>
      </c>
      <c r="P379" s="333">
        <f t="shared" si="174"/>
        <v>0</v>
      </c>
      <c r="Q379" s="327">
        <f t="shared" si="175"/>
        <v>0</v>
      </c>
      <c r="R379" s="334">
        <f t="shared" si="176"/>
        <v>0</v>
      </c>
      <c r="S379" s="335">
        <f t="shared" si="179"/>
        <v>3.9224674259353893</v>
      </c>
      <c r="T379" s="335">
        <f t="shared" si="180"/>
        <v>6.1886739645833337</v>
      </c>
      <c r="U379" s="336">
        <f t="shared" si="181"/>
        <v>0</v>
      </c>
      <c r="V379" s="336">
        <f t="shared" si="182"/>
        <v>0</v>
      </c>
      <c r="W379" s="336">
        <f t="shared" si="183"/>
        <v>0</v>
      </c>
      <c r="X379" s="336">
        <f t="shared" si="184"/>
        <v>0</v>
      </c>
      <c r="Y379" s="320"/>
      <c r="Z379" s="321" t="str">
        <f t="shared" si="188"/>
        <v>X-CBDA</v>
      </c>
      <c r="AA379" s="321" t="str">
        <f t="shared" si="189"/>
        <v>X-CBDE</v>
      </c>
      <c r="AB379" s="321" t="str">
        <f t="shared" si="190"/>
        <v>X-CBDM</v>
      </c>
      <c r="AC379" s="321" t="str">
        <f t="shared" si="191"/>
        <v>X-CBDT</v>
      </c>
      <c r="AD379" s="321" t="str">
        <f t="shared" si="192"/>
        <v>X-CBDS</v>
      </c>
      <c r="AE379" s="321" t="str">
        <f t="shared" si="193"/>
        <v>X-CBDX</v>
      </c>
      <c r="AF379" s="321" t="str">
        <f t="shared" si="194"/>
        <v>X-CBDE</v>
      </c>
      <c r="AG379" s="321">
        <f t="shared" si="185"/>
        <v>6</v>
      </c>
      <c r="AH379" s="321"/>
      <c r="AI379" s="321" t="str">
        <f t="shared" si="195"/>
        <v>X-CBD</v>
      </c>
      <c r="AJ379" s="320"/>
      <c r="AK379" s="322">
        <f t="shared" si="186"/>
        <v>376</v>
      </c>
      <c r="AL379" s="323">
        <f t="shared" si="196"/>
        <v>381</v>
      </c>
      <c r="AM379" s="322">
        <f t="shared" si="197"/>
        <v>4</v>
      </c>
      <c r="AN379" s="381">
        <f t="shared" si="187"/>
        <v>7.6375000000000002E-3</v>
      </c>
      <c r="AO379" s="322"/>
    </row>
    <row r="380" spans="2:41">
      <c r="B380" s="324" t="s">
        <v>2754</v>
      </c>
      <c r="C380" s="325" t="s">
        <v>1398</v>
      </c>
      <c r="D380" s="326" t="s">
        <v>501</v>
      </c>
      <c r="E380" s="327">
        <f>+SUMIF('AUX-NIV2'!I:I,'AUX-NIV3'!B380,'AUX-NIV2'!Q:Q)</f>
        <v>0</v>
      </c>
      <c r="F380" s="327">
        <f t="shared" si="177"/>
        <v>10.111141390518723</v>
      </c>
      <c r="G380" s="327">
        <f t="shared" si="178"/>
        <v>0</v>
      </c>
      <c r="H380" s="328" t="str">
        <f t="shared" si="199"/>
        <v>E</v>
      </c>
      <c r="I380" s="325" t="s">
        <v>1569</v>
      </c>
      <c r="J380" s="329" t="str">
        <f>IF(B380&lt;&gt;"",+VLOOKUP(I380,Recursos!C:F,2,FALSE),"")</f>
        <v>COMPACTADOR NEUMAT.AUTOPROP.(22 T)</v>
      </c>
      <c r="K380" s="330" t="str">
        <f>IF(B380&lt;&gt;"",+VLOOKUP(I380,Recursos!C:F,3,FALSE),"")</f>
        <v>HR</v>
      </c>
      <c r="L380" s="446">
        <f>IF(B380&lt;&gt;"",+VLOOKUP(I380,Recursos!C:F,4,FALSE),"")</f>
        <v>1797.6897833333335</v>
      </c>
      <c r="M380" s="460">
        <f>+M381</f>
        <v>400</v>
      </c>
      <c r="N380" s="463">
        <v>0.25</v>
      </c>
      <c r="O380" s="459">
        <f>+N380/M380</f>
        <v>6.2500000000000001E-4</v>
      </c>
      <c r="P380" s="333">
        <f t="shared" si="174"/>
        <v>1.1235561145833335</v>
      </c>
      <c r="Q380" s="327">
        <f t="shared" si="175"/>
        <v>0</v>
      </c>
      <c r="R380" s="334">
        <f t="shared" si="176"/>
        <v>0</v>
      </c>
      <c r="S380" s="335">
        <f t="shared" si="179"/>
        <v>3.9224674259353893</v>
      </c>
      <c r="T380" s="335">
        <f t="shared" si="180"/>
        <v>6.1886739645833337</v>
      </c>
      <c r="U380" s="336">
        <f t="shared" si="181"/>
        <v>0</v>
      </c>
      <c r="V380" s="336">
        <f t="shared" si="182"/>
        <v>0</v>
      </c>
      <c r="W380" s="336">
        <f t="shared" si="183"/>
        <v>0</v>
      </c>
      <c r="X380" s="336">
        <f t="shared" si="184"/>
        <v>0</v>
      </c>
      <c r="Y380" s="320"/>
      <c r="Z380" s="321" t="str">
        <f t="shared" si="188"/>
        <v>X-CBDA</v>
      </c>
      <c r="AA380" s="321" t="str">
        <f t="shared" si="189"/>
        <v>X-CBDE</v>
      </c>
      <c r="AB380" s="321" t="str">
        <f t="shared" si="190"/>
        <v>X-CBDM</v>
      </c>
      <c r="AC380" s="321" t="str">
        <f t="shared" si="191"/>
        <v>X-CBDT</v>
      </c>
      <c r="AD380" s="321" t="str">
        <f t="shared" si="192"/>
        <v>X-CBDS</v>
      </c>
      <c r="AE380" s="321" t="str">
        <f t="shared" si="193"/>
        <v>X-CBDX</v>
      </c>
      <c r="AF380" s="321" t="str">
        <f t="shared" si="194"/>
        <v>X-CBDE</v>
      </c>
      <c r="AG380" s="321">
        <f t="shared" si="185"/>
        <v>6</v>
      </c>
      <c r="AH380" s="321"/>
      <c r="AI380" s="321" t="str">
        <f t="shared" si="195"/>
        <v>X-CBD</v>
      </c>
      <c r="AJ380" s="320"/>
      <c r="AK380" s="322">
        <f t="shared" si="186"/>
        <v>376</v>
      </c>
      <c r="AL380" s="323">
        <f t="shared" si="196"/>
        <v>381</v>
      </c>
      <c r="AM380" s="322">
        <f t="shared" si="197"/>
        <v>5</v>
      </c>
      <c r="AN380" s="381">
        <f t="shared" si="187"/>
        <v>7.6375000000000002E-3</v>
      </c>
      <c r="AO380" s="322"/>
    </row>
    <row r="381" spans="2:41" ht="13.8" thickBot="1">
      <c r="B381" s="324" t="s">
        <v>2754</v>
      </c>
      <c r="C381" s="325" t="s">
        <v>1398</v>
      </c>
      <c r="D381" s="326" t="s">
        <v>501</v>
      </c>
      <c r="E381" s="327">
        <f>+SUMIF('AUX-NIV2'!I:I,'AUX-NIV3'!B381,'AUX-NIV2'!Q:Q)</f>
        <v>0</v>
      </c>
      <c r="F381" s="327">
        <f t="shared" si="177"/>
        <v>10.111141390518723</v>
      </c>
      <c r="G381" s="327">
        <f t="shared" si="178"/>
        <v>0</v>
      </c>
      <c r="H381" s="328" t="str">
        <f t="shared" si="199"/>
        <v>E</v>
      </c>
      <c r="I381" s="325" t="s">
        <v>1682</v>
      </c>
      <c r="J381" s="329" t="str">
        <f>IF(B381&lt;&gt;"",+VLOOKUP(I381,Recursos!C:F,2,FALSE),"")</f>
        <v>COMPACT. LISO VIBR. AUTOP.-11 T</v>
      </c>
      <c r="K381" s="330" t="str">
        <f>IF(B381&lt;&gt;"",+VLOOKUP(I381,Recursos!C:F,3,FALSE),"")</f>
        <v>HR</v>
      </c>
      <c r="L381" s="446">
        <f>IF(B381&lt;&gt;"",+VLOOKUP(I381,Recursos!C:F,4,FALSE),"")</f>
        <v>2026.0471399999999</v>
      </c>
      <c r="M381" s="464">
        <v>400</v>
      </c>
      <c r="N381" s="465">
        <v>1</v>
      </c>
      <c r="O381" s="459">
        <f>+N381/M381</f>
        <v>2.5000000000000001E-3</v>
      </c>
      <c r="P381" s="333">
        <f t="shared" si="174"/>
        <v>5.06511785</v>
      </c>
      <c r="Q381" s="327">
        <f t="shared" si="175"/>
        <v>0</v>
      </c>
      <c r="R381" s="334">
        <f t="shared" si="176"/>
        <v>0</v>
      </c>
      <c r="S381" s="335">
        <f t="shared" si="179"/>
        <v>3.9224674259353893</v>
      </c>
      <c r="T381" s="335">
        <f t="shared" si="180"/>
        <v>6.1886739645833337</v>
      </c>
      <c r="U381" s="336">
        <f t="shared" si="181"/>
        <v>0</v>
      </c>
      <c r="V381" s="336">
        <f t="shared" si="182"/>
        <v>0</v>
      </c>
      <c r="W381" s="336">
        <f t="shared" si="183"/>
        <v>0</v>
      </c>
      <c r="X381" s="336">
        <f t="shared" si="184"/>
        <v>0</v>
      </c>
      <c r="Y381" s="320"/>
      <c r="Z381" s="321" t="str">
        <f t="shared" si="188"/>
        <v>X-CBDA</v>
      </c>
      <c r="AA381" s="321" t="str">
        <f t="shared" si="189"/>
        <v>X-CBDE</v>
      </c>
      <c r="AB381" s="321" t="str">
        <f t="shared" si="190"/>
        <v>X-CBDM</v>
      </c>
      <c r="AC381" s="321" t="str">
        <f t="shared" si="191"/>
        <v>X-CBDT</v>
      </c>
      <c r="AD381" s="321" t="str">
        <f t="shared" si="192"/>
        <v>X-CBDS</v>
      </c>
      <c r="AE381" s="321" t="str">
        <f t="shared" si="193"/>
        <v>X-CBDX</v>
      </c>
      <c r="AF381" s="321" t="str">
        <f t="shared" si="194"/>
        <v>X-CBDE</v>
      </c>
      <c r="AG381" s="321">
        <f t="shared" si="185"/>
        <v>6</v>
      </c>
      <c r="AH381" s="321"/>
      <c r="AI381" s="321" t="str">
        <f t="shared" si="195"/>
        <v>X-CBD</v>
      </c>
      <c r="AJ381" s="320"/>
      <c r="AK381" s="322">
        <f t="shared" si="186"/>
        <v>376</v>
      </c>
      <c r="AL381" s="323">
        <f t="shared" si="196"/>
        <v>381</v>
      </c>
      <c r="AM381" s="322">
        <f t="shared" si="197"/>
        <v>6</v>
      </c>
      <c r="AN381" s="381">
        <f t="shared" si="187"/>
        <v>7.6375000000000002E-3</v>
      </c>
      <c r="AO381" s="322"/>
    </row>
    <row r="382" spans="2:41" ht="13.8" thickTop="1">
      <c r="B382" s="501" t="s">
        <v>2756</v>
      </c>
      <c r="C382" s="950" t="s">
        <v>2757</v>
      </c>
      <c r="D382" s="326" t="s">
        <v>1160</v>
      </c>
      <c r="E382" s="327">
        <f>+SUMIF('AUX-NIV2'!I:I,'AUX-NIV3'!B382,'AUX-NIV2'!Q:Q)</f>
        <v>0</v>
      </c>
      <c r="F382" s="327">
        <f t="shared" si="177"/>
        <v>62.271140341608451</v>
      </c>
      <c r="G382" s="327">
        <f t="shared" si="178"/>
        <v>0</v>
      </c>
      <c r="H382" s="328" t="str">
        <f t="shared" si="199"/>
        <v>A</v>
      </c>
      <c r="I382" s="325" t="s">
        <v>1745</v>
      </c>
      <c r="J382" s="329" t="str">
        <f>IF(B382&lt;&gt;"",+VLOOKUP(I382,Recursos!C:F,2,FALSE),"")</f>
        <v>AYUDANTE</v>
      </c>
      <c r="K382" s="330" t="str">
        <f>IF(B382&lt;&gt;"",+VLOOKUP(I382,Recursos!C:F,3,FALSE),"")</f>
        <v>hh</v>
      </c>
      <c r="L382" s="446">
        <f>IF(B382&lt;&gt;"",+VLOOKUP(I382,Recursos!C:F,4,FALSE),"")</f>
        <v>422.48042769667234</v>
      </c>
      <c r="M382" s="457"/>
      <c r="N382" s="438"/>
      <c r="O382" s="459">
        <f>+N383*(N384/M384+N385/M385)</f>
        <v>0.02</v>
      </c>
      <c r="P382" s="333">
        <f t="shared" si="174"/>
        <v>8.4496085539334462</v>
      </c>
      <c r="Q382" s="327">
        <f t="shared" si="175"/>
        <v>0</v>
      </c>
      <c r="R382" s="334">
        <f t="shared" si="176"/>
        <v>0</v>
      </c>
      <c r="S382" s="335">
        <f t="shared" si="179"/>
        <v>20.070832649300755</v>
      </c>
      <c r="T382" s="335">
        <f t="shared" si="180"/>
        <v>42.200307692307696</v>
      </c>
      <c r="U382" s="336">
        <f t="shared" si="181"/>
        <v>0</v>
      </c>
      <c r="V382" s="336">
        <f t="shared" si="182"/>
        <v>0</v>
      </c>
      <c r="W382" s="336">
        <f t="shared" si="183"/>
        <v>0</v>
      </c>
      <c r="X382" s="336">
        <f t="shared" si="184"/>
        <v>0</v>
      </c>
      <c r="Y382" s="320"/>
      <c r="Z382" s="321" t="str">
        <f t="shared" si="188"/>
        <v>X-EPRA</v>
      </c>
      <c r="AA382" s="321" t="str">
        <f t="shared" si="189"/>
        <v>X-EPRE</v>
      </c>
      <c r="AB382" s="321" t="str">
        <f t="shared" si="190"/>
        <v>X-EPRM</v>
      </c>
      <c r="AC382" s="321" t="str">
        <f t="shared" si="191"/>
        <v>X-EPRT</v>
      </c>
      <c r="AD382" s="321" t="str">
        <f t="shared" si="192"/>
        <v>X-EPRS</v>
      </c>
      <c r="AE382" s="321" t="str">
        <f t="shared" si="193"/>
        <v>X-EPRX</v>
      </c>
      <c r="AF382" s="321" t="str">
        <f t="shared" si="194"/>
        <v>X-EPRA</v>
      </c>
      <c r="AG382" s="321">
        <f t="shared" si="185"/>
        <v>4</v>
      </c>
      <c r="AH382" s="321"/>
      <c r="AI382" s="321" t="str">
        <f t="shared" si="195"/>
        <v>X-EPR</v>
      </c>
      <c r="AJ382" s="320"/>
      <c r="AK382" s="322">
        <f t="shared" si="186"/>
        <v>382</v>
      </c>
      <c r="AL382" s="323">
        <f t="shared" si="196"/>
        <v>385</v>
      </c>
      <c r="AM382" s="322">
        <f t="shared" si="197"/>
        <v>1</v>
      </c>
      <c r="AN382" s="381">
        <f t="shared" si="187"/>
        <v>0.04</v>
      </c>
      <c r="AO382" s="322"/>
    </row>
    <row r="383" spans="2:41">
      <c r="B383" s="501" t="s">
        <v>2756</v>
      </c>
      <c r="C383" s="950" t="s">
        <v>2757</v>
      </c>
      <c r="D383" s="326" t="s">
        <v>1160</v>
      </c>
      <c r="E383" s="327">
        <f>+SUMIF('AUX-NIV2'!I:I,'AUX-NIV3'!B383,'AUX-NIV2'!Q:Q)</f>
        <v>0</v>
      </c>
      <c r="F383" s="327">
        <f t="shared" si="177"/>
        <v>62.271140341608451</v>
      </c>
      <c r="G383" s="327">
        <f t="shared" si="178"/>
        <v>0</v>
      </c>
      <c r="H383" s="328" t="str">
        <f t="shared" si="199"/>
        <v>A</v>
      </c>
      <c r="I383" s="325" t="s">
        <v>3310</v>
      </c>
      <c r="J383" s="329" t="str">
        <f>IF(B383&lt;&gt;"",+VLOOKUP(I383,Recursos!C:F,2,FALSE),"")</f>
        <v>OFICIAL ESPECIALIZADO</v>
      </c>
      <c r="K383" s="330" t="str">
        <f>IF(B383&lt;&gt;"",+VLOOKUP(I383,Recursos!C:F,3,FALSE),"")</f>
        <v>hh</v>
      </c>
      <c r="L383" s="446">
        <f>IF(B383&lt;&gt;"",+VLOOKUP(I383,Recursos!C:F,4,FALSE),"")</f>
        <v>581.06120476836554</v>
      </c>
      <c r="M383" s="460"/>
      <c r="N383" s="463">
        <v>1.3</v>
      </c>
      <c r="O383" s="459">
        <f>+N383*(N384/M384+N385/M385)</f>
        <v>0.02</v>
      </c>
      <c r="P383" s="333">
        <f t="shared" si="174"/>
        <v>11.62122409536731</v>
      </c>
      <c r="Q383" s="327">
        <f t="shared" si="175"/>
        <v>0</v>
      </c>
      <c r="R383" s="334">
        <f t="shared" si="176"/>
        <v>0</v>
      </c>
      <c r="S383" s="335">
        <f t="shared" si="179"/>
        <v>20.070832649300755</v>
      </c>
      <c r="T383" s="335">
        <f t="shared" si="180"/>
        <v>42.200307692307696</v>
      </c>
      <c r="U383" s="336">
        <f t="shared" si="181"/>
        <v>0</v>
      </c>
      <c r="V383" s="336">
        <f t="shared" si="182"/>
        <v>0</v>
      </c>
      <c r="W383" s="336">
        <f t="shared" si="183"/>
        <v>0</v>
      </c>
      <c r="X383" s="336">
        <f t="shared" si="184"/>
        <v>0</v>
      </c>
      <c r="Y383" s="320"/>
      <c r="Z383" s="321" t="str">
        <f t="shared" si="188"/>
        <v>X-EPRA</v>
      </c>
      <c r="AA383" s="321" t="str">
        <f t="shared" si="189"/>
        <v>X-EPRE</v>
      </c>
      <c r="AB383" s="321" t="str">
        <f t="shared" si="190"/>
        <v>X-EPRM</v>
      </c>
      <c r="AC383" s="321" t="str">
        <f t="shared" si="191"/>
        <v>X-EPRT</v>
      </c>
      <c r="AD383" s="321" t="str">
        <f t="shared" si="192"/>
        <v>X-EPRS</v>
      </c>
      <c r="AE383" s="321" t="str">
        <f t="shared" si="193"/>
        <v>X-EPRX</v>
      </c>
      <c r="AF383" s="321" t="str">
        <f t="shared" si="194"/>
        <v>X-EPRA</v>
      </c>
      <c r="AG383" s="321">
        <f t="shared" si="185"/>
        <v>4</v>
      </c>
      <c r="AH383" s="321"/>
      <c r="AI383" s="321" t="str">
        <f t="shared" si="195"/>
        <v>X-EPR</v>
      </c>
      <c r="AJ383" s="320"/>
      <c r="AK383" s="322">
        <f t="shared" si="186"/>
        <v>382</v>
      </c>
      <c r="AL383" s="323">
        <f t="shared" si="196"/>
        <v>385</v>
      </c>
      <c r="AM383" s="322">
        <f t="shared" si="197"/>
        <v>2</v>
      </c>
      <c r="AN383" s="381">
        <f t="shared" si="187"/>
        <v>0.04</v>
      </c>
      <c r="AO383" s="322"/>
    </row>
    <row r="384" spans="2:41">
      <c r="B384" s="501" t="s">
        <v>2756</v>
      </c>
      <c r="C384" s="950" t="s">
        <v>2757</v>
      </c>
      <c r="D384" s="326" t="s">
        <v>1160</v>
      </c>
      <c r="E384" s="327">
        <f>+SUMIF('AUX-NIV2'!I:I,'AUX-NIV3'!B384,'AUX-NIV2'!Q:Q)</f>
        <v>0</v>
      </c>
      <c r="F384" s="327">
        <f t="shared" si="177"/>
        <v>62.271140341608451</v>
      </c>
      <c r="G384" s="327">
        <f t="shared" si="178"/>
        <v>0</v>
      </c>
      <c r="H384" s="328" t="str">
        <f t="shared" si="199"/>
        <v>E</v>
      </c>
      <c r="I384" s="325" t="s">
        <v>1670</v>
      </c>
      <c r="J384" s="329" t="str">
        <f>IF(B384&lt;&gt;"",+VLOOKUP(I384,Recursos!C:F,2,FALSE),"")</f>
        <v>RETROEXCAVADORA S/ORUGAS 2,0 m3</v>
      </c>
      <c r="K384" s="330" t="str">
        <f>IF(B384&lt;&gt;"",+VLOOKUP(I384,Recursos!C:F,3,FALSE),"")</f>
        <v>HR</v>
      </c>
      <c r="L384" s="446">
        <f>IF(B384&lt;&gt;"",+VLOOKUP(I384,Recursos!C:F,4,FALSE),"")</f>
        <v>5311.11906</v>
      </c>
      <c r="M384" s="462">
        <v>110</v>
      </c>
      <c r="N384" s="466">
        <f>1-N385</f>
        <v>0</v>
      </c>
      <c r="O384" s="459">
        <f>+N384/M384</f>
        <v>0</v>
      </c>
      <c r="P384" s="333">
        <f t="shared" si="174"/>
        <v>0</v>
      </c>
      <c r="Q384" s="327">
        <f t="shared" si="175"/>
        <v>0</v>
      </c>
      <c r="R384" s="334">
        <f t="shared" si="176"/>
        <v>0</v>
      </c>
      <c r="S384" s="335">
        <f t="shared" si="179"/>
        <v>20.070832649300755</v>
      </c>
      <c r="T384" s="335">
        <f t="shared" si="180"/>
        <v>42.200307692307696</v>
      </c>
      <c r="U384" s="336">
        <f t="shared" si="181"/>
        <v>0</v>
      </c>
      <c r="V384" s="336">
        <f t="shared" si="182"/>
        <v>0</v>
      </c>
      <c r="W384" s="336">
        <f t="shared" si="183"/>
        <v>0</v>
      </c>
      <c r="X384" s="336">
        <f t="shared" si="184"/>
        <v>0</v>
      </c>
      <c r="Y384" s="320"/>
      <c r="Z384" s="321" t="str">
        <f t="shared" si="188"/>
        <v>X-EPRA</v>
      </c>
      <c r="AA384" s="321" t="str">
        <f t="shared" si="189"/>
        <v>X-EPRE</v>
      </c>
      <c r="AB384" s="321" t="str">
        <f t="shared" si="190"/>
        <v>X-EPRM</v>
      </c>
      <c r="AC384" s="321" t="str">
        <f t="shared" si="191"/>
        <v>X-EPRT</v>
      </c>
      <c r="AD384" s="321" t="str">
        <f t="shared" si="192"/>
        <v>X-EPRS</v>
      </c>
      <c r="AE384" s="321" t="str">
        <f t="shared" si="193"/>
        <v>X-EPRX</v>
      </c>
      <c r="AF384" s="321" t="str">
        <f t="shared" si="194"/>
        <v>X-EPRE</v>
      </c>
      <c r="AG384" s="321">
        <f t="shared" si="185"/>
        <v>4</v>
      </c>
      <c r="AH384" s="321"/>
      <c r="AI384" s="321" t="str">
        <f t="shared" si="195"/>
        <v>X-EPR</v>
      </c>
      <c r="AJ384" s="320"/>
      <c r="AK384" s="322">
        <f t="shared" si="186"/>
        <v>382</v>
      </c>
      <c r="AL384" s="323">
        <f t="shared" si="196"/>
        <v>385</v>
      </c>
      <c r="AM384" s="322">
        <f t="shared" si="197"/>
        <v>3</v>
      </c>
      <c r="AN384" s="381">
        <f t="shared" si="187"/>
        <v>0.04</v>
      </c>
      <c r="AO384" s="322"/>
    </row>
    <row r="385" spans="2:41" ht="13.8" thickBot="1">
      <c r="B385" s="501" t="s">
        <v>2756</v>
      </c>
      <c r="C385" s="950" t="s">
        <v>2757</v>
      </c>
      <c r="D385" s="326" t="s">
        <v>1160</v>
      </c>
      <c r="E385" s="327">
        <f>+SUMIF('AUX-NIV2'!I:I,'AUX-NIV3'!B385,'AUX-NIV2'!Q:Q)</f>
        <v>0</v>
      </c>
      <c r="F385" s="327">
        <f t="shared" si="177"/>
        <v>62.271140341608451</v>
      </c>
      <c r="G385" s="327">
        <f t="shared" si="178"/>
        <v>0</v>
      </c>
      <c r="H385" s="328" t="str">
        <f t="shared" si="199"/>
        <v>E</v>
      </c>
      <c r="I385" s="325" t="s">
        <v>1552</v>
      </c>
      <c r="J385" s="329" t="str">
        <f>IF(B385&lt;&gt;"",+VLOOKUP(I385,Recursos!C:F,2,FALSE),"")</f>
        <v>RETROEXCAVADORA S/CARRILES  0,9 M2</v>
      </c>
      <c r="K385" s="330" t="str">
        <f>IF(B385&lt;&gt;"",+VLOOKUP(I385,Recursos!C:F,3,FALSE),"")</f>
        <v>HR</v>
      </c>
      <c r="L385" s="446">
        <f>IF(B385&lt;&gt;"",+VLOOKUP(I385,Recursos!C:F,4,FALSE),"")</f>
        <v>2743.02</v>
      </c>
      <c r="M385" s="464">
        <v>65</v>
      </c>
      <c r="N385" s="465">
        <v>1</v>
      </c>
      <c r="O385" s="459">
        <f>+N385/M385</f>
        <v>1.5384615384615385E-2</v>
      </c>
      <c r="P385" s="333">
        <f t="shared" si="174"/>
        <v>42.200307692307696</v>
      </c>
      <c r="Q385" s="327">
        <f t="shared" si="175"/>
        <v>0</v>
      </c>
      <c r="R385" s="334">
        <f t="shared" si="176"/>
        <v>0</v>
      </c>
      <c r="S385" s="335">
        <f t="shared" si="179"/>
        <v>20.070832649300755</v>
      </c>
      <c r="T385" s="335">
        <f t="shared" si="180"/>
        <v>42.200307692307696</v>
      </c>
      <c r="U385" s="336">
        <f t="shared" si="181"/>
        <v>0</v>
      </c>
      <c r="V385" s="336">
        <f t="shared" si="182"/>
        <v>0</v>
      </c>
      <c r="W385" s="336">
        <f t="shared" si="183"/>
        <v>0</v>
      </c>
      <c r="X385" s="336">
        <f t="shared" si="184"/>
        <v>0</v>
      </c>
      <c r="Y385" s="320"/>
      <c r="Z385" s="321" t="str">
        <f t="shared" si="188"/>
        <v>X-EPRA</v>
      </c>
      <c r="AA385" s="321" t="str">
        <f t="shared" si="189"/>
        <v>X-EPRE</v>
      </c>
      <c r="AB385" s="321" t="str">
        <f t="shared" si="190"/>
        <v>X-EPRM</v>
      </c>
      <c r="AC385" s="321" t="str">
        <f t="shared" si="191"/>
        <v>X-EPRT</v>
      </c>
      <c r="AD385" s="321" t="str">
        <f t="shared" si="192"/>
        <v>X-EPRS</v>
      </c>
      <c r="AE385" s="321" t="str">
        <f t="shared" si="193"/>
        <v>X-EPRX</v>
      </c>
      <c r="AF385" s="321" t="str">
        <f t="shared" si="194"/>
        <v>X-EPRE</v>
      </c>
      <c r="AG385" s="321">
        <f t="shared" si="185"/>
        <v>4</v>
      </c>
      <c r="AH385" s="321"/>
      <c r="AI385" s="321" t="str">
        <f t="shared" si="195"/>
        <v>X-EPR</v>
      </c>
      <c r="AJ385" s="320"/>
      <c r="AK385" s="322">
        <f t="shared" si="186"/>
        <v>382</v>
      </c>
      <c r="AL385" s="323">
        <f t="shared" si="196"/>
        <v>385</v>
      </c>
      <c r="AM385" s="322">
        <f t="shared" si="197"/>
        <v>4</v>
      </c>
      <c r="AN385" s="381">
        <f t="shared" si="187"/>
        <v>0.04</v>
      </c>
      <c r="AO385" s="322"/>
    </row>
    <row r="386" spans="2:41" ht="13.8" thickTop="1">
      <c r="B386" s="501" t="s">
        <v>2758</v>
      </c>
      <c r="C386" s="950" t="s">
        <v>2937</v>
      </c>
      <c r="D386" s="326" t="s">
        <v>1385</v>
      </c>
      <c r="E386" s="327">
        <f>+SUMIF('AUX-NIV2'!I:I,'AUX-NIV3'!B386,'AUX-NIV2'!Q:Q)</f>
        <v>0</v>
      </c>
      <c r="F386" s="327">
        <f t="shared" si="177"/>
        <v>25.080438599876832</v>
      </c>
      <c r="G386" s="327">
        <f t="shared" si="178"/>
        <v>0</v>
      </c>
      <c r="H386" s="328" t="str">
        <f t="shared" si="199"/>
        <v>A</v>
      </c>
      <c r="I386" s="325" t="s">
        <v>1746</v>
      </c>
      <c r="J386" s="329" t="str">
        <f>IF(B386&lt;&gt;"",+VLOOKUP(I386,Recursos!C:F,2,FALSE),"")</f>
        <v>OFICIAL</v>
      </c>
      <c r="K386" s="330" t="str">
        <f>IF(B386&lt;&gt;"",+VLOOKUP(I386,Recursos!C:F,3,FALSE),"")</f>
        <v>hh</v>
      </c>
      <c r="L386" s="446">
        <f>IF(B386&lt;&gt;"",+VLOOKUP(I386,Recursos!C:F,4,FALSE),"")</f>
        <v>496.91595439275824</v>
      </c>
      <c r="M386" s="437">
        <v>5</v>
      </c>
      <c r="N386" s="458">
        <v>35</v>
      </c>
      <c r="O386" s="459">
        <f>+(N387/100/M386+1/N386+1/M387+0.05/M386)/N387*1.25</f>
        <v>7.9280045351473923E-3</v>
      </c>
      <c r="P386" s="333">
        <f t="shared" si="174"/>
        <v>3.939551940012882</v>
      </c>
      <c r="Q386" s="327">
        <f t="shared" si="175"/>
        <v>0</v>
      </c>
      <c r="R386" s="334">
        <f t="shared" si="176"/>
        <v>0</v>
      </c>
      <c r="S386" s="335">
        <f t="shared" si="179"/>
        <v>3.939551940012882</v>
      </c>
      <c r="T386" s="335">
        <f t="shared" si="180"/>
        <v>21.140886659863948</v>
      </c>
      <c r="U386" s="336">
        <f t="shared" si="181"/>
        <v>0</v>
      </c>
      <c r="V386" s="336">
        <f t="shared" si="182"/>
        <v>0</v>
      </c>
      <c r="W386" s="336">
        <f t="shared" si="183"/>
        <v>0</v>
      </c>
      <c r="X386" s="336">
        <f t="shared" si="184"/>
        <v>0</v>
      </c>
      <c r="Y386" s="320"/>
      <c r="Z386" s="321" t="str">
        <f t="shared" si="188"/>
        <v>X-TDSA</v>
      </c>
      <c r="AA386" s="321" t="str">
        <f t="shared" si="189"/>
        <v>X-TDSE</v>
      </c>
      <c r="AB386" s="321" t="str">
        <f t="shared" si="190"/>
        <v>X-TDSM</v>
      </c>
      <c r="AC386" s="321" t="str">
        <f t="shared" si="191"/>
        <v>X-TDST</v>
      </c>
      <c r="AD386" s="321" t="str">
        <f t="shared" si="192"/>
        <v>X-TDSS</v>
      </c>
      <c r="AE386" s="321" t="str">
        <f t="shared" si="193"/>
        <v>X-TDSX</v>
      </c>
      <c r="AF386" s="321" t="str">
        <f t="shared" si="194"/>
        <v>X-TDSA</v>
      </c>
      <c r="AG386" s="321">
        <f t="shared" si="185"/>
        <v>2</v>
      </c>
      <c r="AH386" s="321"/>
      <c r="AI386" s="321" t="str">
        <f t="shared" si="195"/>
        <v>X-TDS</v>
      </c>
      <c r="AJ386" s="320"/>
      <c r="AK386" s="322">
        <f t="shared" si="186"/>
        <v>386</v>
      </c>
      <c r="AL386" s="323">
        <f t="shared" si="196"/>
        <v>387</v>
      </c>
      <c r="AM386" s="322">
        <f t="shared" si="197"/>
        <v>1</v>
      </c>
      <c r="AN386" s="381">
        <f t="shared" si="187"/>
        <v>7.9280045351473923E-3</v>
      </c>
      <c r="AO386" s="322"/>
    </row>
    <row r="387" spans="2:41" ht="13.8" thickBot="1">
      <c r="B387" s="501" t="s">
        <v>2758</v>
      </c>
      <c r="C387" s="950" t="s">
        <v>2937</v>
      </c>
      <c r="D387" s="326" t="s">
        <v>1385</v>
      </c>
      <c r="E387" s="327">
        <f>+SUMIF('AUX-NIV2'!I:I,'AUX-NIV3'!B387,'AUX-NIV2'!Q:Q)</f>
        <v>0</v>
      </c>
      <c r="F387" s="327">
        <f t="shared" si="177"/>
        <v>25.080438599876832</v>
      </c>
      <c r="G387" s="327">
        <f t="shared" si="178"/>
        <v>0</v>
      </c>
      <c r="H387" s="328" t="str">
        <f t="shared" si="199"/>
        <v>E</v>
      </c>
      <c r="I387" s="325" t="s">
        <v>1555</v>
      </c>
      <c r="J387" s="329" t="str">
        <f>IF(B387&lt;&gt;"",+VLOOKUP(I387,Recursos!C:F,2,FALSE),"")</f>
        <v>CAMION VOLCADOR 6x4 CAP. 24 T=15 m3</v>
      </c>
      <c r="K387" s="330" t="str">
        <f>IF(B387&lt;&gt;"",+VLOOKUP(I387,Recursos!C:F,3,FALSE),"")</f>
        <v>HR</v>
      </c>
      <c r="L387" s="446">
        <f>IF(B387&lt;&gt;"",+VLOOKUP(I387,Recursos!C:F,4,FALSE),"")</f>
        <v>3333.261</v>
      </c>
      <c r="M387" s="464">
        <v>45</v>
      </c>
      <c r="N387" s="465">
        <v>14</v>
      </c>
      <c r="O387" s="459">
        <f>+(N387/100/M386+1/N386+1/M387+0.05/M386)/N387</f>
        <v>6.3424036281179144E-3</v>
      </c>
      <c r="P387" s="333">
        <f t="shared" si="174"/>
        <v>21.140886659863948</v>
      </c>
      <c r="Q387" s="327">
        <f t="shared" si="175"/>
        <v>0</v>
      </c>
      <c r="R387" s="334">
        <f t="shared" si="176"/>
        <v>0</v>
      </c>
      <c r="S387" s="335">
        <f t="shared" si="179"/>
        <v>3.939551940012882</v>
      </c>
      <c r="T387" s="335">
        <f t="shared" si="180"/>
        <v>21.140886659863948</v>
      </c>
      <c r="U387" s="336">
        <f t="shared" si="181"/>
        <v>0</v>
      </c>
      <c r="V387" s="336">
        <f t="shared" si="182"/>
        <v>0</v>
      </c>
      <c r="W387" s="336">
        <f t="shared" si="183"/>
        <v>0</v>
      </c>
      <c r="X387" s="336">
        <f t="shared" si="184"/>
        <v>0</v>
      </c>
      <c r="Y387" s="320"/>
      <c r="Z387" s="321" t="str">
        <f t="shared" si="188"/>
        <v>X-TDSA</v>
      </c>
      <c r="AA387" s="321" t="str">
        <f t="shared" si="189"/>
        <v>X-TDSE</v>
      </c>
      <c r="AB387" s="321" t="str">
        <f t="shared" si="190"/>
        <v>X-TDSM</v>
      </c>
      <c r="AC387" s="321" t="str">
        <f t="shared" si="191"/>
        <v>X-TDST</v>
      </c>
      <c r="AD387" s="321" t="str">
        <f t="shared" si="192"/>
        <v>X-TDSS</v>
      </c>
      <c r="AE387" s="321" t="str">
        <f t="shared" si="193"/>
        <v>X-TDSX</v>
      </c>
      <c r="AF387" s="321" t="str">
        <f t="shared" si="194"/>
        <v>X-TDSE</v>
      </c>
      <c r="AG387" s="321">
        <f t="shared" si="185"/>
        <v>2</v>
      </c>
      <c r="AH387" s="321"/>
      <c r="AI387" s="321" t="str">
        <f t="shared" si="195"/>
        <v>X-TDS</v>
      </c>
      <c r="AJ387" s="320"/>
      <c r="AK387" s="322">
        <f t="shared" si="186"/>
        <v>386</v>
      </c>
      <c r="AL387" s="323">
        <f t="shared" si="196"/>
        <v>387</v>
      </c>
      <c r="AM387" s="322">
        <f t="shared" si="197"/>
        <v>2</v>
      </c>
      <c r="AN387" s="381">
        <f t="shared" si="187"/>
        <v>7.9280045351473923E-3</v>
      </c>
      <c r="AO387" s="322"/>
    </row>
    <row r="388" spans="2:41" ht="13.8" thickTop="1">
      <c r="B388" s="324" t="s">
        <v>2760</v>
      </c>
      <c r="C388" s="325" t="s">
        <v>2761</v>
      </c>
      <c r="D388" s="326" t="s">
        <v>1386</v>
      </c>
      <c r="E388" s="327">
        <f>+SUMIF('AUX-NIV2'!I:I,'AUX-NIV3'!B388,'AUX-NIV2'!Q:Q)</f>
        <v>0</v>
      </c>
      <c r="F388" s="327">
        <f t="shared" si="177"/>
        <v>761.87683542842274</v>
      </c>
      <c r="G388" s="327">
        <f t="shared" si="178"/>
        <v>0</v>
      </c>
      <c r="H388" s="328" t="str">
        <f t="shared" si="199"/>
        <v>A</v>
      </c>
      <c r="I388" s="325" t="s">
        <v>1745</v>
      </c>
      <c r="J388" s="329" t="str">
        <f>IF(B388&lt;&gt;"",+VLOOKUP(I388,Recursos!C:F,2,FALSE),"")</f>
        <v>AYUDANTE</v>
      </c>
      <c r="K388" s="330" t="str">
        <f>IF(B388&lt;&gt;"",+VLOOKUP(I388,Recursos!C:F,3,FALSE),"")</f>
        <v>hh</v>
      </c>
      <c r="L388" s="446">
        <f>IF(B388&lt;&gt;"",+VLOOKUP(I388,Recursos!C:F,4,FALSE),"")</f>
        <v>422.48042769667234</v>
      </c>
      <c r="M388" s="457">
        <f>+M392</f>
        <v>4</v>
      </c>
      <c r="N388" s="438">
        <f>+N389</f>
        <v>1.25</v>
      </c>
      <c r="O388" s="459">
        <f>+N388/M388*N392</f>
        <v>0.625</v>
      </c>
      <c r="P388" s="333">
        <f t="shared" si="174"/>
        <v>264.05026731042022</v>
      </c>
      <c r="Q388" s="327">
        <f t="shared" si="175"/>
        <v>0</v>
      </c>
      <c r="R388" s="334">
        <f t="shared" si="176"/>
        <v>0</v>
      </c>
      <c r="S388" s="335">
        <f t="shared" si="179"/>
        <v>620.01814542842271</v>
      </c>
      <c r="T388" s="335">
        <f t="shared" si="180"/>
        <v>141.85869000000002</v>
      </c>
      <c r="U388" s="336">
        <f t="shared" si="181"/>
        <v>0</v>
      </c>
      <c r="V388" s="336">
        <f t="shared" si="182"/>
        <v>0</v>
      </c>
      <c r="W388" s="336">
        <f t="shared" si="183"/>
        <v>0</v>
      </c>
      <c r="X388" s="336">
        <f t="shared" si="184"/>
        <v>0</v>
      </c>
      <c r="Y388" s="320"/>
      <c r="Z388" s="321" t="str">
        <f t="shared" si="188"/>
        <v>X-EJAA</v>
      </c>
      <c r="AA388" s="321" t="str">
        <f t="shared" si="189"/>
        <v>X-EJAE</v>
      </c>
      <c r="AB388" s="321" t="str">
        <f t="shared" si="190"/>
        <v>X-EJAM</v>
      </c>
      <c r="AC388" s="321" t="str">
        <f t="shared" si="191"/>
        <v>X-EJAT</v>
      </c>
      <c r="AD388" s="321" t="str">
        <f t="shared" si="192"/>
        <v>X-EJAS</v>
      </c>
      <c r="AE388" s="321" t="str">
        <f t="shared" si="193"/>
        <v>X-EJAX</v>
      </c>
      <c r="AF388" s="321" t="str">
        <f t="shared" si="194"/>
        <v>X-EJAA</v>
      </c>
      <c r="AG388" s="321">
        <f t="shared" si="185"/>
        <v>5</v>
      </c>
      <c r="AH388" s="321"/>
      <c r="AI388" s="321" t="str">
        <f t="shared" si="195"/>
        <v>X-EJA</v>
      </c>
      <c r="AJ388" s="320"/>
      <c r="AK388" s="322">
        <f t="shared" si="186"/>
        <v>388</v>
      </c>
      <c r="AL388" s="323">
        <f t="shared" si="196"/>
        <v>392</v>
      </c>
      <c r="AM388" s="322">
        <f t="shared" si="197"/>
        <v>1</v>
      </c>
      <c r="AN388" s="381">
        <f t="shared" si="187"/>
        <v>1.328125</v>
      </c>
      <c r="AO388" s="322"/>
    </row>
    <row r="389" spans="2:41">
      <c r="B389" s="324" t="s">
        <v>2760</v>
      </c>
      <c r="C389" s="325" t="s">
        <v>2761</v>
      </c>
      <c r="D389" s="326" t="s">
        <v>1386</v>
      </c>
      <c r="E389" s="327">
        <f>+SUMIF('AUX-NIV2'!I:I,'AUX-NIV3'!B389,'AUX-NIV2'!Q:Q)</f>
        <v>0</v>
      </c>
      <c r="F389" s="327">
        <f t="shared" si="177"/>
        <v>761.87683542842274</v>
      </c>
      <c r="G389" s="327">
        <f t="shared" si="178"/>
        <v>0</v>
      </c>
      <c r="H389" s="328" t="str">
        <f t="shared" si="199"/>
        <v>A</v>
      </c>
      <c r="I389" s="325" t="s">
        <v>1746</v>
      </c>
      <c r="J389" s="329" t="str">
        <f>IF(B389&lt;&gt;"",+VLOOKUP(I389,Recursos!C:F,2,FALSE),"")</f>
        <v>OFICIAL</v>
      </c>
      <c r="K389" s="330" t="str">
        <f>IF(B389&lt;&gt;"",+VLOOKUP(I389,Recursos!C:F,3,FALSE),"")</f>
        <v>hh</v>
      </c>
      <c r="L389" s="446">
        <f>IF(B389&lt;&gt;"",+VLOOKUP(I389,Recursos!C:F,4,FALSE),"")</f>
        <v>496.91595439275824</v>
      </c>
      <c r="M389" s="460">
        <f>+M392</f>
        <v>4</v>
      </c>
      <c r="N389" s="466">
        <f>+N390</f>
        <v>1.25</v>
      </c>
      <c r="O389" s="459">
        <f>+N389/M389*N392</f>
        <v>0.625</v>
      </c>
      <c r="P389" s="333">
        <f t="shared" si="174"/>
        <v>310.57247149547391</v>
      </c>
      <c r="Q389" s="327">
        <f t="shared" si="175"/>
        <v>0</v>
      </c>
      <c r="R389" s="334">
        <f t="shared" si="176"/>
        <v>0</v>
      </c>
      <c r="S389" s="335">
        <f t="shared" si="179"/>
        <v>620.01814542842271</v>
      </c>
      <c r="T389" s="335">
        <f t="shared" si="180"/>
        <v>141.85869000000002</v>
      </c>
      <c r="U389" s="336">
        <f t="shared" si="181"/>
        <v>0</v>
      </c>
      <c r="V389" s="336">
        <f t="shared" si="182"/>
        <v>0</v>
      </c>
      <c r="W389" s="336">
        <f t="shared" si="183"/>
        <v>0</v>
      </c>
      <c r="X389" s="336">
        <f t="shared" si="184"/>
        <v>0</v>
      </c>
      <c r="Y389" s="320"/>
      <c r="Z389" s="321" t="str">
        <f t="shared" si="188"/>
        <v>X-EJAA</v>
      </c>
      <c r="AA389" s="321" t="str">
        <f t="shared" si="189"/>
        <v>X-EJAE</v>
      </c>
      <c r="AB389" s="321" t="str">
        <f t="shared" si="190"/>
        <v>X-EJAM</v>
      </c>
      <c r="AC389" s="321" t="str">
        <f t="shared" si="191"/>
        <v>X-EJAT</v>
      </c>
      <c r="AD389" s="321" t="str">
        <f t="shared" si="192"/>
        <v>X-EJAS</v>
      </c>
      <c r="AE389" s="321" t="str">
        <f t="shared" si="193"/>
        <v>X-EJAX</v>
      </c>
      <c r="AF389" s="321" t="str">
        <f t="shared" si="194"/>
        <v>X-EJAA</v>
      </c>
      <c r="AG389" s="321">
        <f t="shared" si="185"/>
        <v>5</v>
      </c>
      <c r="AH389" s="321"/>
      <c r="AI389" s="321" t="str">
        <f t="shared" si="195"/>
        <v>X-EJA</v>
      </c>
      <c r="AJ389" s="320"/>
      <c r="AK389" s="322">
        <f t="shared" si="186"/>
        <v>388</v>
      </c>
      <c r="AL389" s="323">
        <f t="shared" si="196"/>
        <v>392</v>
      </c>
      <c r="AM389" s="322">
        <f t="shared" si="197"/>
        <v>2</v>
      </c>
      <c r="AN389" s="381">
        <f t="shared" si="187"/>
        <v>1.328125</v>
      </c>
      <c r="AO389" s="322"/>
    </row>
    <row r="390" spans="2:41">
      <c r="B390" s="324" t="s">
        <v>2760</v>
      </c>
      <c r="C390" s="325" t="s">
        <v>2761</v>
      </c>
      <c r="D390" s="326" t="s">
        <v>1386</v>
      </c>
      <c r="E390" s="327">
        <f>+SUMIF('AUX-NIV2'!I:I,'AUX-NIV3'!B390,'AUX-NIV2'!Q:Q)</f>
        <v>0</v>
      </c>
      <c r="F390" s="327">
        <f t="shared" si="177"/>
        <v>761.87683542842274</v>
      </c>
      <c r="G390" s="327">
        <f t="shared" si="178"/>
        <v>0</v>
      </c>
      <c r="H390" s="328" t="str">
        <f t="shared" si="199"/>
        <v>A</v>
      </c>
      <c r="I390" s="325" t="s">
        <v>3310</v>
      </c>
      <c r="J390" s="329" t="str">
        <f>IF(B390&lt;&gt;"",+VLOOKUP(I390,Recursos!C:F,2,FALSE),"")</f>
        <v>OFICIAL ESPECIALIZADO</v>
      </c>
      <c r="K390" s="330" t="str">
        <f>IF(B390&lt;&gt;"",+VLOOKUP(I390,Recursos!C:F,3,FALSE),"")</f>
        <v>hh</v>
      </c>
      <c r="L390" s="446">
        <f>IF(B390&lt;&gt;"",+VLOOKUP(I390,Recursos!C:F,4,FALSE),"")</f>
        <v>581.06120476836554</v>
      </c>
      <c r="M390" s="460">
        <f>+M391</f>
        <v>4</v>
      </c>
      <c r="N390" s="463">
        <v>1.25</v>
      </c>
      <c r="O390" s="459">
        <f>+N390/M390*N391</f>
        <v>7.8125E-2</v>
      </c>
      <c r="P390" s="333">
        <f t="shared" ref="P390:P446" si="200">IF(B390&lt;&gt;"",O390*L390,"")</f>
        <v>45.395406622528554</v>
      </c>
      <c r="Q390" s="327">
        <f t="shared" ref="Q390:Q446" si="201">IF(B390&lt;&gt;"",+O390*E390,"")</f>
        <v>0</v>
      </c>
      <c r="R390" s="334">
        <f t="shared" ref="R390:R446" si="202">IF(B390&lt;&gt;"",Q390*L390,"")</f>
        <v>0</v>
      </c>
      <c r="S390" s="335">
        <f t="shared" si="179"/>
        <v>620.01814542842271</v>
      </c>
      <c r="T390" s="335">
        <f t="shared" si="180"/>
        <v>141.85869000000002</v>
      </c>
      <c r="U390" s="336">
        <f t="shared" si="181"/>
        <v>0</v>
      </c>
      <c r="V390" s="336">
        <f t="shared" si="182"/>
        <v>0</v>
      </c>
      <c r="W390" s="336">
        <f t="shared" si="183"/>
        <v>0</v>
      </c>
      <c r="X390" s="336">
        <f t="shared" si="184"/>
        <v>0</v>
      </c>
      <c r="Y390" s="320"/>
      <c r="Z390" s="321" t="str">
        <f t="shared" si="188"/>
        <v>X-EJAA</v>
      </c>
      <c r="AA390" s="321" t="str">
        <f t="shared" si="189"/>
        <v>X-EJAE</v>
      </c>
      <c r="AB390" s="321" t="str">
        <f t="shared" si="190"/>
        <v>X-EJAM</v>
      </c>
      <c r="AC390" s="321" t="str">
        <f t="shared" si="191"/>
        <v>X-EJAT</v>
      </c>
      <c r="AD390" s="321" t="str">
        <f t="shared" si="192"/>
        <v>X-EJAS</v>
      </c>
      <c r="AE390" s="321" t="str">
        <f t="shared" si="193"/>
        <v>X-EJAX</v>
      </c>
      <c r="AF390" s="321" t="str">
        <f t="shared" si="194"/>
        <v>X-EJAA</v>
      </c>
      <c r="AG390" s="321">
        <f t="shared" si="185"/>
        <v>5</v>
      </c>
      <c r="AH390" s="321"/>
      <c r="AI390" s="321" t="str">
        <f t="shared" si="195"/>
        <v>X-EJA</v>
      </c>
      <c r="AJ390" s="320"/>
      <c r="AK390" s="322">
        <f t="shared" si="186"/>
        <v>388</v>
      </c>
      <c r="AL390" s="323">
        <f t="shared" si="196"/>
        <v>392</v>
      </c>
      <c r="AM390" s="322">
        <f t="shared" si="197"/>
        <v>3</v>
      </c>
      <c r="AN390" s="381">
        <f t="shared" si="187"/>
        <v>1.328125</v>
      </c>
      <c r="AO390" s="322"/>
    </row>
    <row r="391" spans="2:41">
      <c r="B391" s="324" t="s">
        <v>2760</v>
      </c>
      <c r="C391" s="325" t="s">
        <v>2761</v>
      </c>
      <c r="D391" s="326" t="s">
        <v>1386</v>
      </c>
      <c r="E391" s="327">
        <f>+SUMIF('AUX-NIV2'!I:I,'AUX-NIV3'!B391,'AUX-NIV2'!Q:Q)</f>
        <v>0</v>
      </c>
      <c r="F391" s="327">
        <f t="shared" ref="F391:F454" si="203">IF(B391&lt;&gt;"",+SUMIF(B:B,B391,P:P),"")</f>
        <v>761.87683542842274</v>
      </c>
      <c r="G391" s="327">
        <f t="shared" ref="G391:G454" si="204">IF(B391&lt;&gt;"",+SUMIF(B:B,B391,R:R),"")</f>
        <v>0</v>
      </c>
      <c r="H391" s="328" t="str">
        <f t="shared" si="199"/>
        <v>E</v>
      </c>
      <c r="I391" s="325" t="s">
        <v>1549</v>
      </c>
      <c r="J391" s="329" t="str">
        <f>IF(B391&lt;&gt;"",+VLOOKUP(I391,Recursos!C:F,2,FALSE),"")</f>
        <v>RETROEXC. CARG. S/ROD.NEUM. 0.24 M3</v>
      </c>
      <c r="K391" s="330" t="str">
        <f>IF(B391&lt;&gt;"",+VLOOKUP(I391,Recursos!C:F,3,FALSE),"")</f>
        <v>HR</v>
      </c>
      <c r="L391" s="446">
        <f>IF(B391&lt;&gt;"",+VLOOKUP(I391,Recursos!C:F,4,FALSE),"")</f>
        <v>1761.0672000000002</v>
      </c>
      <c r="M391" s="460">
        <f>+M392</f>
        <v>4</v>
      </c>
      <c r="N391" s="463">
        <v>0.25</v>
      </c>
      <c r="O391" s="459">
        <f t="shared" ref="O391:O405" si="205">+N391/M391</f>
        <v>6.25E-2</v>
      </c>
      <c r="P391" s="333">
        <f t="shared" si="200"/>
        <v>110.06670000000001</v>
      </c>
      <c r="Q391" s="327">
        <f t="shared" si="201"/>
        <v>0</v>
      </c>
      <c r="R391" s="334">
        <f t="shared" si="202"/>
        <v>0</v>
      </c>
      <c r="S391" s="335">
        <f t="shared" ref="S391:S454" si="206">IF(B391&lt;&gt;"",+SUMIF($AF:$AF,Z391,$P:$P),"")</f>
        <v>620.01814542842271</v>
      </c>
      <c r="T391" s="335">
        <f t="shared" ref="T391:T454" si="207">IF(B391&lt;&gt;"",+SUMIF($AF:$AF,AA391,$P:$P),"")</f>
        <v>141.85869000000002</v>
      </c>
      <c r="U391" s="336">
        <f t="shared" ref="U391:U454" si="208">IF(B391&lt;&gt;"",+SUMIF($AF:$AF,AB391,$P:$P),"")</f>
        <v>0</v>
      </c>
      <c r="V391" s="336">
        <f t="shared" ref="V391:V454" si="209">IF(B391&lt;&gt;"",+SUMIF($AF:$AF,AC391,$P:$P),"")</f>
        <v>0</v>
      </c>
      <c r="W391" s="336">
        <f t="shared" ref="W391:W454" si="210">IF(B391&lt;&gt;"",+SUMIF($AF:$AF,AD391,$P:$P),"")</f>
        <v>0</v>
      </c>
      <c r="X391" s="336">
        <f t="shared" ref="X391:X454" si="211">IF(B391&lt;&gt;"",+SUMIF($AF:$AF,AE391,$P:$P),"")</f>
        <v>0</v>
      </c>
      <c r="Y391" s="320"/>
      <c r="Z391" s="321" t="str">
        <f t="shared" si="188"/>
        <v>X-EJAA</v>
      </c>
      <c r="AA391" s="321" t="str">
        <f t="shared" si="189"/>
        <v>X-EJAE</v>
      </c>
      <c r="AB391" s="321" t="str">
        <f t="shared" si="190"/>
        <v>X-EJAM</v>
      </c>
      <c r="AC391" s="321" t="str">
        <f t="shared" si="191"/>
        <v>X-EJAT</v>
      </c>
      <c r="AD391" s="321" t="str">
        <f t="shared" si="192"/>
        <v>X-EJAS</v>
      </c>
      <c r="AE391" s="321" t="str">
        <f t="shared" si="193"/>
        <v>X-EJAX</v>
      </c>
      <c r="AF391" s="321" t="str">
        <f t="shared" si="194"/>
        <v>X-EJAE</v>
      </c>
      <c r="AG391" s="321">
        <f t="shared" ref="AG391:AG454" si="212">IF(B391&lt;&gt;"",+COUNTIF(B:B,B391),"")</f>
        <v>5</v>
      </c>
      <c r="AH391" s="321"/>
      <c r="AI391" s="321" t="str">
        <f t="shared" si="195"/>
        <v>X-EJA</v>
      </c>
      <c r="AJ391" s="320"/>
      <c r="AK391" s="322">
        <f t="shared" ref="AK391:AK454" si="213">IF(B391&lt;&gt;"",+MATCH(B391,B:B,0),"")</f>
        <v>388</v>
      </c>
      <c r="AL391" s="323">
        <f t="shared" si="196"/>
        <v>392</v>
      </c>
      <c r="AM391" s="322">
        <f t="shared" si="197"/>
        <v>4</v>
      </c>
      <c r="AN391" s="381">
        <f t="shared" ref="AN391:AN454" si="214">+IF(B391&lt;&gt;"",SUMIF(AF:AF,Z391,O:O),"")</f>
        <v>1.328125</v>
      </c>
      <c r="AO391" s="322"/>
    </row>
    <row r="392" spans="2:41" ht="13.8" thickBot="1">
      <c r="B392" s="324" t="s">
        <v>2760</v>
      </c>
      <c r="C392" s="325" t="s">
        <v>2761</v>
      </c>
      <c r="D392" s="326" t="s">
        <v>1386</v>
      </c>
      <c r="E392" s="327">
        <f>+SUMIF('AUX-NIV2'!I:I,'AUX-NIV3'!B392,'AUX-NIV2'!Q:Q)</f>
        <v>0</v>
      </c>
      <c r="F392" s="327">
        <f t="shared" si="203"/>
        <v>761.87683542842274</v>
      </c>
      <c r="G392" s="327">
        <f t="shared" si="204"/>
        <v>0</v>
      </c>
      <c r="H392" s="328" t="str">
        <f t="shared" si="199"/>
        <v>E</v>
      </c>
      <c r="I392" s="325" t="s">
        <v>1688</v>
      </c>
      <c r="J392" s="329" t="str">
        <f>IF(B392&lt;&gt;"",+VLOOKUP(I392,Recursos!C:F,2,FALSE),"")</f>
        <v>VIBRO APISONADOR  32x28 cm-63 Kg</v>
      </c>
      <c r="K392" s="330" t="str">
        <f>IF(B392&lt;&gt;"",+VLOOKUP(I392,Recursos!C:F,3,FALSE),"")</f>
        <v>HR</v>
      </c>
      <c r="L392" s="446">
        <f>IF(B392&lt;&gt;"",+VLOOKUP(I392,Recursos!C:F,4,FALSE),"")</f>
        <v>63.583980000000004</v>
      </c>
      <c r="M392" s="464">
        <v>4</v>
      </c>
      <c r="N392" s="465">
        <v>2</v>
      </c>
      <c r="O392" s="459">
        <f t="shared" si="205"/>
        <v>0.5</v>
      </c>
      <c r="P392" s="333">
        <f t="shared" si="200"/>
        <v>31.791990000000002</v>
      </c>
      <c r="Q392" s="327">
        <f t="shared" si="201"/>
        <v>0</v>
      </c>
      <c r="R392" s="334">
        <f t="shared" si="202"/>
        <v>0</v>
      </c>
      <c r="S392" s="335">
        <f t="shared" si="206"/>
        <v>620.01814542842271</v>
      </c>
      <c r="T392" s="335">
        <f t="shared" si="207"/>
        <v>141.85869000000002</v>
      </c>
      <c r="U392" s="336">
        <f t="shared" si="208"/>
        <v>0</v>
      </c>
      <c r="V392" s="336">
        <f t="shared" si="209"/>
        <v>0</v>
      </c>
      <c r="W392" s="336">
        <f t="shared" si="210"/>
        <v>0</v>
      </c>
      <c r="X392" s="336">
        <f t="shared" si="211"/>
        <v>0</v>
      </c>
      <c r="Y392" s="320"/>
      <c r="Z392" s="321" t="str">
        <f t="shared" ref="Z392:Z455" si="215">IF(B392&lt;&gt;"",+$B392&amp;"A","")</f>
        <v>X-EJAA</v>
      </c>
      <c r="AA392" s="321" t="str">
        <f t="shared" ref="AA392:AA455" si="216">IF(B392&lt;&gt;"",+$B392&amp;"E","")</f>
        <v>X-EJAE</v>
      </c>
      <c r="AB392" s="321" t="str">
        <f t="shared" ref="AB392:AB455" si="217">IF(B392&lt;&gt;"",++$B392&amp;"M","")</f>
        <v>X-EJAM</v>
      </c>
      <c r="AC392" s="321" t="str">
        <f t="shared" ref="AC392:AC455" si="218">IF(B392&lt;&gt;"",+$B392&amp;"T","")</f>
        <v>X-EJAT</v>
      </c>
      <c r="AD392" s="321" t="str">
        <f t="shared" ref="AD392:AD455" si="219">IF(B392&lt;&gt;"",+$B392&amp;"S","")</f>
        <v>X-EJAS</v>
      </c>
      <c r="AE392" s="321" t="str">
        <f t="shared" ref="AE392:AE455" si="220">IF(B392&lt;&gt;"",+$B392&amp;"X","")</f>
        <v>X-EJAX</v>
      </c>
      <c r="AF392" s="321" t="str">
        <f t="shared" ref="AF392:AF455" si="221">IF(B392&lt;&gt;"",+B392&amp;H392,"")</f>
        <v>X-EJAE</v>
      </c>
      <c r="AG392" s="321">
        <f t="shared" si="212"/>
        <v>5</v>
      </c>
      <c r="AH392" s="321"/>
      <c r="AI392" s="321" t="str">
        <f t="shared" ref="AI392:AI455" si="222">IF(B392&lt;&gt;"",+B392,"")</f>
        <v>X-EJA</v>
      </c>
      <c r="AJ392" s="320"/>
      <c r="AK392" s="322">
        <f t="shared" si="213"/>
        <v>388</v>
      </c>
      <c r="AL392" s="323">
        <f t="shared" ref="AL392:AL455" si="223">IF(B392&lt;&gt;"",+AK392+AG392-1,"")</f>
        <v>392</v>
      </c>
      <c r="AM392" s="322">
        <f t="shared" ref="AM392:AM455" si="224">IF(B392&lt;&gt;"",IF(B392=B391,1+AM391,1),"")</f>
        <v>5</v>
      </c>
      <c r="AN392" s="381">
        <f t="shared" si="214"/>
        <v>1.328125</v>
      </c>
      <c r="AO392" s="322"/>
    </row>
    <row r="393" spans="2:41" ht="13.8" thickTop="1">
      <c r="B393" s="324" t="s">
        <v>2762</v>
      </c>
      <c r="C393" s="325" t="s">
        <v>2763</v>
      </c>
      <c r="D393" s="326" t="s">
        <v>1384</v>
      </c>
      <c r="E393" s="327">
        <f>+SUMIF('AUX-NIV2'!I:I,'AUX-NIV3'!B393,'AUX-NIV2'!Q:Q)</f>
        <v>0</v>
      </c>
      <c r="F393" s="327">
        <f t="shared" si="203"/>
        <v>52.347526405812978</v>
      </c>
      <c r="G393" s="327">
        <f t="shared" si="204"/>
        <v>0</v>
      </c>
      <c r="H393" s="328" t="str">
        <f t="shared" si="199"/>
        <v>A</v>
      </c>
      <c r="I393" s="325" t="s">
        <v>1745</v>
      </c>
      <c r="J393" s="329" t="str">
        <f>IF(B393&lt;&gt;"",+VLOOKUP(I393,Recursos!C:F,2,FALSE),"")</f>
        <v>AYUDANTE</v>
      </c>
      <c r="K393" s="330" t="str">
        <f>IF(B393&lt;&gt;"",+VLOOKUP(I393,Recursos!C:F,3,FALSE),"")</f>
        <v>hh</v>
      </c>
      <c r="L393" s="446">
        <f>IF(B393&lt;&gt;"",+VLOOKUP(I393,Recursos!C:F,4,FALSE),"")</f>
        <v>422.48042769667234</v>
      </c>
      <c r="M393" s="492">
        <v>1.25</v>
      </c>
      <c r="N393" s="493">
        <v>0.01</v>
      </c>
      <c r="O393" s="459">
        <v>1.2500000000000001E-2</v>
      </c>
      <c r="P393" s="333">
        <f t="shared" si="200"/>
        <v>5.2810053462084046</v>
      </c>
      <c r="Q393" s="327">
        <f t="shared" si="201"/>
        <v>0</v>
      </c>
      <c r="R393" s="334">
        <f t="shared" si="202"/>
        <v>0</v>
      </c>
      <c r="S393" s="335">
        <f t="shared" si="206"/>
        <v>12.544270405812973</v>
      </c>
      <c r="T393" s="335">
        <f t="shared" si="207"/>
        <v>39.803256000000005</v>
      </c>
      <c r="U393" s="336">
        <f t="shared" si="208"/>
        <v>0</v>
      </c>
      <c r="V393" s="336">
        <f t="shared" si="209"/>
        <v>0</v>
      </c>
      <c r="W393" s="336">
        <f t="shared" si="210"/>
        <v>0</v>
      </c>
      <c r="X393" s="336">
        <f t="shared" si="211"/>
        <v>0</v>
      </c>
      <c r="Y393" s="320"/>
      <c r="Z393" s="321" t="str">
        <f t="shared" si="215"/>
        <v>X-ESLA</v>
      </c>
      <c r="AA393" s="321" t="str">
        <f t="shared" si="216"/>
        <v>X-ESLE</v>
      </c>
      <c r="AB393" s="321" t="str">
        <f t="shared" si="217"/>
        <v>X-ESLM</v>
      </c>
      <c r="AC393" s="321" t="str">
        <f t="shared" si="218"/>
        <v>X-ESLT</v>
      </c>
      <c r="AD393" s="321" t="str">
        <f t="shared" si="219"/>
        <v>X-ESLS</v>
      </c>
      <c r="AE393" s="321" t="str">
        <f t="shared" si="220"/>
        <v>X-ESLX</v>
      </c>
      <c r="AF393" s="321" t="str">
        <f t="shared" si="221"/>
        <v>X-ESLA</v>
      </c>
      <c r="AG393" s="321">
        <f t="shared" si="212"/>
        <v>3</v>
      </c>
      <c r="AH393" s="321"/>
      <c r="AI393" s="321" t="str">
        <f t="shared" si="222"/>
        <v>X-ESL</v>
      </c>
      <c r="AJ393" s="320"/>
      <c r="AK393" s="322">
        <f t="shared" si="213"/>
        <v>393</v>
      </c>
      <c r="AL393" s="323">
        <f t="shared" si="223"/>
        <v>395</v>
      </c>
      <c r="AM393" s="322">
        <f t="shared" si="224"/>
        <v>1</v>
      </c>
      <c r="AN393" s="381">
        <f t="shared" si="214"/>
        <v>2.5000000000000001E-2</v>
      </c>
      <c r="AO393" s="322"/>
    </row>
    <row r="394" spans="2:41">
      <c r="B394" s="324" t="s">
        <v>2762</v>
      </c>
      <c r="C394" s="325" t="s">
        <v>2763</v>
      </c>
      <c r="D394" s="326" t="s">
        <v>1384</v>
      </c>
      <c r="E394" s="327">
        <f>+SUMIF('AUX-NIV2'!I:I,'AUX-NIV3'!B394,'AUX-NIV2'!Q:Q)</f>
        <v>0</v>
      </c>
      <c r="F394" s="327">
        <f t="shared" si="203"/>
        <v>52.347526405812978</v>
      </c>
      <c r="G394" s="327">
        <f t="shared" si="204"/>
        <v>0</v>
      </c>
      <c r="H394" s="328" t="str">
        <f t="shared" si="199"/>
        <v>A</v>
      </c>
      <c r="I394" s="325" t="s">
        <v>3310</v>
      </c>
      <c r="J394" s="329" t="str">
        <f>IF(B394&lt;&gt;"",+VLOOKUP(I394,Recursos!C:F,2,FALSE),"")</f>
        <v>OFICIAL ESPECIALIZADO</v>
      </c>
      <c r="K394" s="330" t="str">
        <f>IF(B394&lt;&gt;"",+VLOOKUP(I394,Recursos!C:F,3,FALSE),"")</f>
        <v>hh</v>
      </c>
      <c r="L394" s="446">
        <f>IF(B394&lt;&gt;"",+VLOOKUP(I394,Recursos!C:F,4,FALSE),"")</f>
        <v>581.06120476836554</v>
      </c>
      <c r="M394" s="494">
        <v>0.01</v>
      </c>
      <c r="N394" s="463">
        <v>1.25</v>
      </c>
      <c r="O394" s="459">
        <v>1.2500000000000001E-2</v>
      </c>
      <c r="P394" s="333">
        <f t="shared" si="200"/>
        <v>7.2632650596045698</v>
      </c>
      <c r="Q394" s="327">
        <f t="shared" si="201"/>
        <v>0</v>
      </c>
      <c r="R394" s="334">
        <f t="shared" si="202"/>
        <v>0</v>
      </c>
      <c r="S394" s="335">
        <f t="shared" si="206"/>
        <v>12.544270405812973</v>
      </c>
      <c r="T394" s="335">
        <f t="shared" si="207"/>
        <v>39.803256000000005</v>
      </c>
      <c r="U394" s="336">
        <f t="shared" si="208"/>
        <v>0</v>
      </c>
      <c r="V394" s="336">
        <f t="shared" si="209"/>
        <v>0</v>
      </c>
      <c r="W394" s="336">
        <f t="shared" si="210"/>
        <v>0</v>
      </c>
      <c r="X394" s="336">
        <f t="shared" si="211"/>
        <v>0</v>
      </c>
      <c r="Y394" s="320"/>
      <c r="Z394" s="321" t="str">
        <f t="shared" si="215"/>
        <v>X-ESLA</v>
      </c>
      <c r="AA394" s="321" t="str">
        <f t="shared" si="216"/>
        <v>X-ESLE</v>
      </c>
      <c r="AB394" s="321" t="str">
        <f t="shared" si="217"/>
        <v>X-ESLM</v>
      </c>
      <c r="AC394" s="321" t="str">
        <f t="shared" si="218"/>
        <v>X-ESLT</v>
      </c>
      <c r="AD394" s="321" t="str">
        <f t="shared" si="219"/>
        <v>X-ESLS</v>
      </c>
      <c r="AE394" s="321" t="str">
        <f t="shared" si="220"/>
        <v>X-ESLX</v>
      </c>
      <c r="AF394" s="321" t="str">
        <f t="shared" si="221"/>
        <v>X-ESLA</v>
      </c>
      <c r="AG394" s="321">
        <f t="shared" si="212"/>
        <v>3</v>
      </c>
      <c r="AH394" s="321"/>
      <c r="AI394" s="321" t="str">
        <f t="shared" si="222"/>
        <v>X-ESL</v>
      </c>
      <c r="AJ394" s="320"/>
      <c r="AK394" s="322">
        <f t="shared" si="213"/>
        <v>393</v>
      </c>
      <c r="AL394" s="323">
        <f t="shared" si="223"/>
        <v>395</v>
      </c>
      <c r="AM394" s="322">
        <f t="shared" si="224"/>
        <v>2</v>
      </c>
      <c r="AN394" s="381">
        <f t="shared" si="214"/>
        <v>2.5000000000000001E-2</v>
      </c>
      <c r="AO394" s="322"/>
    </row>
    <row r="395" spans="2:41" ht="13.8" thickBot="1">
      <c r="B395" s="324" t="s">
        <v>2762</v>
      </c>
      <c r="C395" s="325" t="s">
        <v>2763</v>
      </c>
      <c r="D395" s="326" t="s">
        <v>1384</v>
      </c>
      <c r="E395" s="327">
        <f>+SUMIF('AUX-NIV2'!I:I,'AUX-NIV3'!B395,'AUX-NIV2'!Q:Q)</f>
        <v>0</v>
      </c>
      <c r="F395" s="327">
        <f t="shared" si="203"/>
        <v>52.347526405812978</v>
      </c>
      <c r="G395" s="327">
        <f t="shared" si="204"/>
        <v>0</v>
      </c>
      <c r="H395" s="328" t="str">
        <f t="shared" si="199"/>
        <v>E</v>
      </c>
      <c r="I395" s="325" t="s">
        <v>1536</v>
      </c>
      <c r="J395" s="329" t="str">
        <f>IF(B395&lt;&gt;"",+VLOOKUP(I395,Recursos!C:F,2,FALSE),"")</f>
        <v>TOPADORA SIN ESC.(15 T)</v>
      </c>
      <c r="K395" s="330" t="str">
        <f>IF(B395&lt;&gt;"",+VLOOKUP(I395,Recursos!C:F,3,FALSE),"")</f>
        <v>HR</v>
      </c>
      <c r="L395" s="446">
        <f>IF(B395&lt;&gt;"",+VLOOKUP(I395,Recursos!C:F,4,FALSE),"")</f>
        <v>3980.3256000000001</v>
      </c>
      <c r="M395" s="464">
        <v>0.01</v>
      </c>
      <c r="N395" s="465">
        <v>1</v>
      </c>
      <c r="O395" s="459">
        <v>0.01</v>
      </c>
      <c r="P395" s="333">
        <f t="shared" si="200"/>
        <v>39.803256000000005</v>
      </c>
      <c r="Q395" s="327">
        <f t="shared" si="201"/>
        <v>0</v>
      </c>
      <c r="R395" s="334">
        <f t="shared" si="202"/>
        <v>0</v>
      </c>
      <c r="S395" s="335">
        <f t="shared" si="206"/>
        <v>12.544270405812973</v>
      </c>
      <c r="T395" s="335">
        <f t="shared" si="207"/>
        <v>39.803256000000005</v>
      </c>
      <c r="U395" s="336">
        <f t="shared" si="208"/>
        <v>0</v>
      </c>
      <c r="V395" s="336">
        <f t="shared" si="209"/>
        <v>0</v>
      </c>
      <c r="W395" s="336">
        <f t="shared" si="210"/>
        <v>0</v>
      </c>
      <c r="X395" s="336">
        <f t="shared" si="211"/>
        <v>0</v>
      </c>
      <c r="Y395" s="320"/>
      <c r="Z395" s="321" t="str">
        <f t="shared" si="215"/>
        <v>X-ESLA</v>
      </c>
      <c r="AA395" s="321" t="str">
        <f t="shared" si="216"/>
        <v>X-ESLE</v>
      </c>
      <c r="AB395" s="321" t="str">
        <f t="shared" si="217"/>
        <v>X-ESLM</v>
      </c>
      <c r="AC395" s="321" t="str">
        <f t="shared" si="218"/>
        <v>X-ESLT</v>
      </c>
      <c r="AD395" s="321" t="str">
        <f t="shared" si="219"/>
        <v>X-ESLS</v>
      </c>
      <c r="AE395" s="321" t="str">
        <f t="shared" si="220"/>
        <v>X-ESLX</v>
      </c>
      <c r="AF395" s="321" t="str">
        <f t="shared" si="221"/>
        <v>X-ESLE</v>
      </c>
      <c r="AG395" s="321">
        <f t="shared" si="212"/>
        <v>3</v>
      </c>
      <c r="AH395" s="321"/>
      <c r="AI395" s="321" t="str">
        <f t="shared" si="222"/>
        <v>X-ESL</v>
      </c>
      <c r="AJ395" s="320"/>
      <c r="AK395" s="322">
        <f t="shared" si="213"/>
        <v>393</v>
      </c>
      <c r="AL395" s="323">
        <f t="shared" si="223"/>
        <v>395</v>
      </c>
      <c r="AM395" s="322">
        <f t="shared" si="224"/>
        <v>3</v>
      </c>
      <c r="AN395" s="381">
        <f t="shared" si="214"/>
        <v>2.5000000000000001E-2</v>
      </c>
      <c r="AO395" s="322"/>
    </row>
    <row r="396" spans="2:41" ht="13.8" thickTop="1">
      <c r="B396" s="324" t="s">
        <v>2764</v>
      </c>
      <c r="C396" s="325" t="s">
        <v>2765</v>
      </c>
      <c r="D396" s="326" t="s">
        <v>1411</v>
      </c>
      <c r="E396" s="327">
        <f>+SUMIF('AUX-NIV2'!I:I,'AUX-NIV3'!B396,'AUX-NIV2'!Q:Q)</f>
        <v>0</v>
      </c>
      <c r="F396" s="327">
        <f t="shared" si="203"/>
        <v>17.888012535270992</v>
      </c>
      <c r="G396" s="327">
        <f t="shared" si="204"/>
        <v>0</v>
      </c>
      <c r="H396" s="328" t="str">
        <f t="shared" si="199"/>
        <v>A</v>
      </c>
      <c r="I396" s="325" t="s">
        <v>1745</v>
      </c>
      <c r="J396" s="329" t="str">
        <f>IF(B396&lt;&gt;"",+VLOOKUP(I396,Recursos!C:F,2,FALSE),"")</f>
        <v>AYUDANTE</v>
      </c>
      <c r="K396" s="330" t="str">
        <f>IF(B396&lt;&gt;"",+VLOOKUP(I396,Recursos!C:F,3,FALSE),"")</f>
        <v>hh</v>
      </c>
      <c r="L396" s="446">
        <f>IF(B396&lt;&gt;"",+VLOOKUP(I396,Recursos!C:F,4,FALSE),"")</f>
        <v>422.48042769667234</v>
      </c>
      <c r="M396" s="492">
        <f>+M398</f>
        <v>300</v>
      </c>
      <c r="N396" s="493">
        <f>+N397</f>
        <v>1.25</v>
      </c>
      <c r="O396" s="459">
        <f t="shared" si="205"/>
        <v>4.1666666666666666E-3</v>
      </c>
      <c r="P396" s="333">
        <f t="shared" si="200"/>
        <v>1.7603351154028013</v>
      </c>
      <c r="Q396" s="327">
        <f t="shared" si="201"/>
        <v>0</v>
      </c>
      <c r="R396" s="334">
        <f t="shared" si="202"/>
        <v>0</v>
      </c>
      <c r="S396" s="335">
        <f t="shared" si="206"/>
        <v>4.1814234686043248</v>
      </c>
      <c r="T396" s="335">
        <f t="shared" si="207"/>
        <v>13.706589066666666</v>
      </c>
      <c r="U396" s="336">
        <f t="shared" si="208"/>
        <v>0</v>
      </c>
      <c r="V396" s="336">
        <f t="shared" si="209"/>
        <v>0</v>
      </c>
      <c r="W396" s="336">
        <f t="shared" si="210"/>
        <v>0</v>
      </c>
      <c r="X396" s="336">
        <f t="shared" si="211"/>
        <v>0</v>
      </c>
      <c r="Y396" s="320"/>
      <c r="Z396" s="321" t="str">
        <f t="shared" si="215"/>
        <v>X-DMCA</v>
      </c>
      <c r="AA396" s="321" t="str">
        <f t="shared" si="216"/>
        <v>X-DMCE</v>
      </c>
      <c r="AB396" s="321" t="str">
        <f t="shared" si="217"/>
        <v>X-DMCM</v>
      </c>
      <c r="AC396" s="321" t="str">
        <f t="shared" si="218"/>
        <v>X-DMCT</v>
      </c>
      <c r="AD396" s="321" t="str">
        <f t="shared" si="219"/>
        <v>X-DMCS</v>
      </c>
      <c r="AE396" s="321" t="str">
        <f t="shared" si="220"/>
        <v>X-DMCX</v>
      </c>
      <c r="AF396" s="321" t="str">
        <f t="shared" si="221"/>
        <v>X-DMCA</v>
      </c>
      <c r="AG396" s="321">
        <f t="shared" si="212"/>
        <v>3</v>
      </c>
      <c r="AH396" s="321"/>
      <c r="AI396" s="321" t="str">
        <f t="shared" si="222"/>
        <v>X-DMC</v>
      </c>
      <c r="AJ396" s="320"/>
      <c r="AK396" s="322">
        <f t="shared" si="213"/>
        <v>396</v>
      </c>
      <c r="AL396" s="323">
        <f t="shared" si="223"/>
        <v>398</v>
      </c>
      <c r="AM396" s="322">
        <f t="shared" si="224"/>
        <v>1</v>
      </c>
      <c r="AN396" s="381">
        <f t="shared" si="214"/>
        <v>8.3333333333333332E-3</v>
      </c>
      <c r="AO396" s="322"/>
    </row>
    <row r="397" spans="2:41">
      <c r="B397" s="324" t="s">
        <v>2764</v>
      </c>
      <c r="C397" s="325" t="s">
        <v>2765</v>
      </c>
      <c r="D397" s="326" t="s">
        <v>1411</v>
      </c>
      <c r="E397" s="327">
        <f>+SUMIF('AUX-NIV2'!I:I,'AUX-NIV3'!B397,'AUX-NIV2'!Q:Q)</f>
        <v>0</v>
      </c>
      <c r="F397" s="327">
        <f t="shared" si="203"/>
        <v>17.888012535270992</v>
      </c>
      <c r="G397" s="327">
        <f t="shared" si="204"/>
        <v>0</v>
      </c>
      <c r="H397" s="328" t="str">
        <f t="shared" si="199"/>
        <v>A</v>
      </c>
      <c r="I397" s="325" t="s">
        <v>3310</v>
      </c>
      <c r="J397" s="329" t="str">
        <f>IF(B397&lt;&gt;"",+VLOOKUP(I397,Recursos!C:F,2,FALSE),"")</f>
        <v>OFICIAL ESPECIALIZADO</v>
      </c>
      <c r="K397" s="330" t="str">
        <f>IF(B397&lt;&gt;"",+VLOOKUP(I397,Recursos!C:F,3,FALSE),"")</f>
        <v>hh</v>
      </c>
      <c r="L397" s="446">
        <f>IF(B397&lt;&gt;"",+VLOOKUP(I397,Recursos!C:F,4,FALSE),"")</f>
        <v>581.06120476836554</v>
      </c>
      <c r="M397" s="494">
        <f>+M398</f>
        <v>300</v>
      </c>
      <c r="N397" s="463">
        <v>1.25</v>
      </c>
      <c r="O397" s="459">
        <f t="shared" si="205"/>
        <v>4.1666666666666666E-3</v>
      </c>
      <c r="P397" s="333">
        <f t="shared" si="200"/>
        <v>2.4210883532015233</v>
      </c>
      <c r="Q397" s="327">
        <f t="shared" si="201"/>
        <v>0</v>
      </c>
      <c r="R397" s="334">
        <f t="shared" si="202"/>
        <v>0</v>
      </c>
      <c r="S397" s="335">
        <f t="shared" si="206"/>
        <v>4.1814234686043248</v>
      </c>
      <c r="T397" s="335">
        <f t="shared" si="207"/>
        <v>13.706589066666666</v>
      </c>
      <c r="U397" s="336">
        <f t="shared" si="208"/>
        <v>0</v>
      </c>
      <c r="V397" s="336">
        <f t="shared" si="209"/>
        <v>0</v>
      </c>
      <c r="W397" s="336">
        <f t="shared" si="210"/>
        <v>0</v>
      </c>
      <c r="X397" s="336">
        <f t="shared" si="211"/>
        <v>0</v>
      </c>
      <c r="Y397" s="320"/>
      <c r="Z397" s="321" t="str">
        <f t="shared" si="215"/>
        <v>X-DMCA</v>
      </c>
      <c r="AA397" s="321" t="str">
        <f t="shared" si="216"/>
        <v>X-DMCE</v>
      </c>
      <c r="AB397" s="321" t="str">
        <f t="shared" si="217"/>
        <v>X-DMCM</v>
      </c>
      <c r="AC397" s="321" t="str">
        <f t="shared" si="218"/>
        <v>X-DMCT</v>
      </c>
      <c r="AD397" s="321" t="str">
        <f t="shared" si="219"/>
        <v>X-DMCS</v>
      </c>
      <c r="AE397" s="321" t="str">
        <f t="shared" si="220"/>
        <v>X-DMCX</v>
      </c>
      <c r="AF397" s="321" t="str">
        <f t="shared" si="221"/>
        <v>X-DMCA</v>
      </c>
      <c r="AG397" s="321">
        <f t="shared" si="212"/>
        <v>3</v>
      </c>
      <c r="AH397" s="321"/>
      <c r="AI397" s="321" t="str">
        <f t="shared" si="222"/>
        <v>X-DMC</v>
      </c>
      <c r="AJ397" s="320"/>
      <c r="AK397" s="322">
        <f t="shared" si="213"/>
        <v>396</v>
      </c>
      <c r="AL397" s="323">
        <f t="shared" si="223"/>
        <v>398</v>
      </c>
      <c r="AM397" s="322">
        <f t="shared" si="224"/>
        <v>2</v>
      </c>
      <c r="AN397" s="381">
        <f t="shared" si="214"/>
        <v>8.3333333333333332E-3</v>
      </c>
      <c r="AO397" s="322"/>
    </row>
    <row r="398" spans="2:41" ht="13.8" thickBot="1">
      <c r="B398" s="324" t="s">
        <v>2764</v>
      </c>
      <c r="C398" s="325" t="s">
        <v>2765</v>
      </c>
      <c r="D398" s="326" t="s">
        <v>1411</v>
      </c>
      <c r="E398" s="327">
        <f>+SUMIF('AUX-NIV2'!I:I,'AUX-NIV3'!B398,'AUX-NIV2'!Q:Q)</f>
        <v>0</v>
      </c>
      <c r="F398" s="327">
        <f t="shared" si="203"/>
        <v>17.888012535270992</v>
      </c>
      <c r="G398" s="327">
        <f t="shared" si="204"/>
        <v>0</v>
      </c>
      <c r="H398" s="328" t="str">
        <f t="shared" si="199"/>
        <v>E</v>
      </c>
      <c r="I398" s="325" t="s">
        <v>1664</v>
      </c>
      <c r="J398" s="329" t="str">
        <f>IF(B398&lt;&gt;"",+VLOOKUP(I398,Recursos!C:F,2,FALSE),"")</f>
        <v>MOTONIVELADORA HOJA 14 PIES-15 T</v>
      </c>
      <c r="K398" s="330" t="str">
        <f>IF(B398&lt;&gt;"",+VLOOKUP(I398,Recursos!C:F,3,FALSE),"")</f>
        <v>HR</v>
      </c>
      <c r="L398" s="446">
        <f>IF(B398&lt;&gt;"",+VLOOKUP(I398,Recursos!C:F,4,FALSE),"")</f>
        <v>4111.9767199999997</v>
      </c>
      <c r="M398" s="464">
        <v>300</v>
      </c>
      <c r="N398" s="465">
        <v>1</v>
      </c>
      <c r="O398" s="459">
        <f t="shared" si="205"/>
        <v>3.3333333333333335E-3</v>
      </c>
      <c r="P398" s="333">
        <f t="shared" si="200"/>
        <v>13.706589066666666</v>
      </c>
      <c r="Q398" s="327">
        <f t="shared" si="201"/>
        <v>0</v>
      </c>
      <c r="R398" s="334">
        <f t="shared" si="202"/>
        <v>0</v>
      </c>
      <c r="S398" s="335">
        <f t="shared" si="206"/>
        <v>4.1814234686043248</v>
      </c>
      <c r="T398" s="335">
        <f t="shared" si="207"/>
        <v>13.706589066666666</v>
      </c>
      <c r="U398" s="336">
        <f t="shared" si="208"/>
        <v>0</v>
      </c>
      <c r="V398" s="336">
        <f t="shared" si="209"/>
        <v>0</v>
      </c>
      <c r="W398" s="336">
        <f t="shared" si="210"/>
        <v>0</v>
      </c>
      <c r="X398" s="336">
        <f t="shared" si="211"/>
        <v>0</v>
      </c>
      <c r="Y398" s="320"/>
      <c r="Z398" s="321" t="str">
        <f t="shared" si="215"/>
        <v>X-DMCA</v>
      </c>
      <c r="AA398" s="321" t="str">
        <f t="shared" si="216"/>
        <v>X-DMCE</v>
      </c>
      <c r="AB398" s="321" t="str">
        <f t="shared" si="217"/>
        <v>X-DMCM</v>
      </c>
      <c r="AC398" s="321" t="str">
        <f t="shared" si="218"/>
        <v>X-DMCT</v>
      </c>
      <c r="AD398" s="321" t="str">
        <f t="shared" si="219"/>
        <v>X-DMCS</v>
      </c>
      <c r="AE398" s="321" t="str">
        <f t="shared" si="220"/>
        <v>X-DMCX</v>
      </c>
      <c r="AF398" s="321" t="str">
        <f t="shared" si="221"/>
        <v>X-DMCE</v>
      </c>
      <c r="AG398" s="321">
        <f t="shared" si="212"/>
        <v>3</v>
      </c>
      <c r="AH398" s="321"/>
      <c r="AI398" s="321" t="str">
        <f t="shared" si="222"/>
        <v>X-DMC</v>
      </c>
      <c r="AJ398" s="320"/>
      <c r="AK398" s="322">
        <f t="shared" si="213"/>
        <v>396</v>
      </c>
      <c r="AL398" s="323">
        <f t="shared" si="223"/>
        <v>398</v>
      </c>
      <c r="AM398" s="322">
        <f t="shared" si="224"/>
        <v>3</v>
      </c>
      <c r="AN398" s="381">
        <f t="shared" si="214"/>
        <v>8.3333333333333332E-3</v>
      </c>
      <c r="AO398" s="322"/>
    </row>
    <row r="399" spans="2:41" ht="13.8" thickTop="1">
      <c r="B399" s="324" t="s">
        <v>2766</v>
      </c>
      <c r="C399" s="325" t="s">
        <v>2767</v>
      </c>
      <c r="D399" s="326" t="s">
        <v>1411</v>
      </c>
      <c r="E399" s="327">
        <f>+SUMIF('AUX-NIV2'!I:I,'AUX-NIV3'!B399,'AUX-NIV2'!Q:Q)</f>
        <v>0</v>
      </c>
      <c r="F399" s="327">
        <f t="shared" si="203"/>
        <v>41.39054425771004</v>
      </c>
      <c r="G399" s="327">
        <f t="shared" si="204"/>
        <v>0</v>
      </c>
      <c r="H399" s="328" t="str">
        <f t="shared" si="199"/>
        <v>A</v>
      </c>
      <c r="I399" s="325" t="s">
        <v>1745</v>
      </c>
      <c r="J399" s="329" t="str">
        <f>IF(B399&lt;&gt;"",+VLOOKUP(I399,Recursos!C:F,2,FALSE),"")</f>
        <v>AYUDANTE</v>
      </c>
      <c r="K399" s="330" t="str">
        <f>IF(B399&lt;&gt;"",+VLOOKUP(I399,Recursos!C:F,3,FALSE),"")</f>
        <v>hh</v>
      </c>
      <c r="L399" s="446">
        <f>IF(B399&lt;&gt;"",+VLOOKUP(I399,Recursos!C:F,4,FALSE),"")</f>
        <v>422.48042769667234</v>
      </c>
      <c r="M399" s="492">
        <f>+M400</f>
        <v>150</v>
      </c>
      <c r="N399" s="493">
        <f>+N401</f>
        <v>1.25</v>
      </c>
      <c r="O399" s="459">
        <f t="shared" si="205"/>
        <v>8.3333333333333332E-3</v>
      </c>
      <c r="P399" s="333">
        <f t="shared" si="200"/>
        <v>3.5206702308056026</v>
      </c>
      <c r="Q399" s="327">
        <f t="shared" si="201"/>
        <v>0</v>
      </c>
      <c r="R399" s="334">
        <f t="shared" si="202"/>
        <v>0</v>
      </c>
      <c r="S399" s="335">
        <f t="shared" si="206"/>
        <v>12.215067516969295</v>
      </c>
      <c r="T399" s="335">
        <f t="shared" si="207"/>
        <v>29.175476740740738</v>
      </c>
      <c r="U399" s="336">
        <f t="shared" si="208"/>
        <v>0</v>
      </c>
      <c r="V399" s="336">
        <f t="shared" si="209"/>
        <v>0</v>
      </c>
      <c r="W399" s="336">
        <f t="shared" si="210"/>
        <v>0</v>
      </c>
      <c r="X399" s="336">
        <f t="shared" si="211"/>
        <v>0</v>
      </c>
      <c r="Y399" s="320"/>
      <c r="Z399" s="321" t="str">
        <f t="shared" si="215"/>
        <v>X-HDMA</v>
      </c>
      <c r="AA399" s="321" t="str">
        <f t="shared" si="216"/>
        <v>X-HDME</v>
      </c>
      <c r="AB399" s="321" t="str">
        <f t="shared" si="217"/>
        <v>X-HDMM</v>
      </c>
      <c r="AC399" s="321" t="str">
        <f t="shared" si="218"/>
        <v>X-HDMT</v>
      </c>
      <c r="AD399" s="321" t="str">
        <f t="shared" si="219"/>
        <v>X-HDMS</v>
      </c>
      <c r="AE399" s="321" t="str">
        <f t="shared" si="220"/>
        <v>X-HDMX</v>
      </c>
      <c r="AF399" s="321" t="str">
        <f t="shared" si="221"/>
        <v>X-HDMA</v>
      </c>
      <c r="AG399" s="321">
        <f t="shared" si="212"/>
        <v>7</v>
      </c>
      <c r="AH399" s="321"/>
      <c r="AI399" s="321" t="str">
        <f t="shared" si="222"/>
        <v>X-HDM</v>
      </c>
      <c r="AJ399" s="320"/>
      <c r="AK399" s="322">
        <f t="shared" si="213"/>
        <v>399</v>
      </c>
      <c r="AL399" s="323">
        <f t="shared" si="223"/>
        <v>405</v>
      </c>
      <c r="AM399" s="322">
        <f t="shared" si="224"/>
        <v>1</v>
      </c>
      <c r="AN399" s="381">
        <f t="shared" si="214"/>
        <v>2.3296296296296294E-2</v>
      </c>
      <c r="AO399" s="322"/>
    </row>
    <row r="400" spans="2:41">
      <c r="B400" s="324" t="s">
        <v>2766</v>
      </c>
      <c r="C400" s="325" t="s">
        <v>2767</v>
      </c>
      <c r="D400" s="326" t="s">
        <v>1411</v>
      </c>
      <c r="E400" s="327">
        <f>+SUMIF('AUX-NIV2'!I:I,'AUX-NIV3'!B400,'AUX-NIV2'!Q:Q)</f>
        <v>0</v>
      </c>
      <c r="F400" s="327">
        <f t="shared" si="203"/>
        <v>41.39054425771004</v>
      </c>
      <c r="G400" s="327">
        <f t="shared" si="204"/>
        <v>0</v>
      </c>
      <c r="H400" s="328" t="str">
        <f t="shared" si="199"/>
        <v>A</v>
      </c>
      <c r="I400" s="325" t="s">
        <v>3310</v>
      </c>
      <c r="J400" s="329" t="str">
        <f>IF(B400&lt;&gt;"",+VLOOKUP(I400,Recursos!C:F,2,FALSE),"")</f>
        <v>OFICIAL ESPECIALIZADO</v>
      </c>
      <c r="K400" s="330" t="str">
        <f>IF(B400&lt;&gt;"",+VLOOKUP(I400,Recursos!C:F,3,FALSE),"")</f>
        <v>hh</v>
      </c>
      <c r="L400" s="446">
        <f>IF(B400&lt;&gt;"",+VLOOKUP(I400,Recursos!C:F,4,FALSE),"")</f>
        <v>581.06120476836554</v>
      </c>
      <c r="M400" s="494">
        <f>+M405</f>
        <v>150</v>
      </c>
      <c r="N400" s="463">
        <v>0.3</v>
      </c>
      <c r="O400" s="459">
        <f t="shared" si="205"/>
        <v>2E-3</v>
      </c>
      <c r="P400" s="333">
        <f t="shared" si="200"/>
        <v>1.1621224095367311</v>
      </c>
      <c r="Q400" s="327">
        <f t="shared" si="201"/>
        <v>0</v>
      </c>
      <c r="R400" s="334">
        <f t="shared" si="202"/>
        <v>0</v>
      </c>
      <c r="S400" s="335">
        <f t="shared" si="206"/>
        <v>12.215067516969295</v>
      </c>
      <c r="T400" s="335">
        <f t="shared" si="207"/>
        <v>29.175476740740738</v>
      </c>
      <c r="U400" s="336">
        <f t="shared" si="208"/>
        <v>0</v>
      </c>
      <c r="V400" s="336">
        <f t="shared" si="209"/>
        <v>0</v>
      </c>
      <c r="W400" s="336">
        <f t="shared" si="210"/>
        <v>0</v>
      </c>
      <c r="X400" s="336">
        <f t="shared" si="211"/>
        <v>0</v>
      </c>
      <c r="Y400" s="320"/>
      <c r="Z400" s="321" t="str">
        <f t="shared" si="215"/>
        <v>X-HDMA</v>
      </c>
      <c r="AA400" s="321" t="str">
        <f t="shared" si="216"/>
        <v>X-HDME</v>
      </c>
      <c r="AB400" s="321" t="str">
        <f t="shared" si="217"/>
        <v>X-HDMM</v>
      </c>
      <c r="AC400" s="321" t="str">
        <f t="shared" si="218"/>
        <v>X-HDMT</v>
      </c>
      <c r="AD400" s="321" t="str">
        <f t="shared" si="219"/>
        <v>X-HDMS</v>
      </c>
      <c r="AE400" s="321" t="str">
        <f t="shared" si="220"/>
        <v>X-HDMX</v>
      </c>
      <c r="AF400" s="321" t="str">
        <f t="shared" si="221"/>
        <v>X-HDMA</v>
      </c>
      <c r="AG400" s="321">
        <f t="shared" si="212"/>
        <v>7</v>
      </c>
      <c r="AH400" s="321"/>
      <c r="AI400" s="321" t="str">
        <f t="shared" si="222"/>
        <v>X-HDM</v>
      </c>
      <c r="AJ400" s="320"/>
      <c r="AK400" s="322">
        <f t="shared" si="213"/>
        <v>399</v>
      </c>
      <c r="AL400" s="323">
        <f t="shared" si="223"/>
        <v>405</v>
      </c>
      <c r="AM400" s="322">
        <f t="shared" si="224"/>
        <v>2</v>
      </c>
      <c r="AN400" s="381">
        <f t="shared" si="214"/>
        <v>2.3296296296296294E-2</v>
      </c>
      <c r="AO400" s="322"/>
    </row>
    <row r="401" spans="2:41">
      <c r="B401" s="324" t="s">
        <v>2766</v>
      </c>
      <c r="C401" s="325" t="s">
        <v>2767</v>
      </c>
      <c r="D401" s="326" t="s">
        <v>1411</v>
      </c>
      <c r="E401" s="327">
        <f>+SUMIF('AUX-NIV2'!I:I,'AUX-NIV3'!B401,'AUX-NIV2'!Q:Q)</f>
        <v>0</v>
      </c>
      <c r="F401" s="327">
        <f t="shared" si="203"/>
        <v>41.39054425771004</v>
      </c>
      <c r="G401" s="327">
        <f t="shared" si="204"/>
        <v>0</v>
      </c>
      <c r="H401" s="328" t="str">
        <f t="shared" si="199"/>
        <v>A</v>
      </c>
      <c r="I401" s="325" t="s">
        <v>3310</v>
      </c>
      <c r="J401" s="329" t="str">
        <f>IF(B401&lt;&gt;"",+VLOOKUP(I401,Recursos!C:F,2,FALSE),"")</f>
        <v>OFICIAL ESPECIALIZADO</v>
      </c>
      <c r="K401" s="330" t="str">
        <f>IF(B401&lt;&gt;"",+VLOOKUP(I401,Recursos!C:F,3,FALSE),"")</f>
        <v>hh</v>
      </c>
      <c r="L401" s="446">
        <f>IF(B401&lt;&gt;"",+VLOOKUP(I401,Recursos!C:F,4,FALSE),"")</f>
        <v>581.06120476836554</v>
      </c>
      <c r="M401" s="494">
        <f>+M403</f>
        <v>270</v>
      </c>
      <c r="N401" s="495">
        <f>+N402</f>
        <v>1.25</v>
      </c>
      <c r="O401" s="459">
        <f t="shared" si="205"/>
        <v>4.6296296296296294E-3</v>
      </c>
      <c r="P401" s="333">
        <f t="shared" si="200"/>
        <v>2.6900981702239144</v>
      </c>
      <c r="Q401" s="327">
        <f t="shared" si="201"/>
        <v>0</v>
      </c>
      <c r="R401" s="334">
        <f t="shared" si="202"/>
        <v>0</v>
      </c>
      <c r="S401" s="335">
        <f t="shared" si="206"/>
        <v>12.215067516969295</v>
      </c>
      <c r="T401" s="335">
        <f t="shared" si="207"/>
        <v>29.175476740740738</v>
      </c>
      <c r="U401" s="336">
        <f t="shared" si="208"/>
        <v>0</v>
      </c>
      <c r="V401" s="336">
        <f t="shared" si="209"/>
        <v>0</v>
      </c>
      <c r="W401" s="336">
        <f t="shared" si="210"/>
        <v>0</v>
      </c>
      <c r="X401" s="336">
        <f t="shared" si="211"/>
        <v>0</v>
      </c>
      <c r="Y401" s="320"/>
      <c r="Z401" s="321" t="str">
        <f t="shared" si="215"/>
        <v>X-HDMA</v>
      </c>
      <c r="AA401" s="321" t="str">
        <f t="shared" si="216"/>
        <v>X-HDME</v>
      </c>
      <c r="AB401" s="321" t="str">
        <f t="shared" si="217"/>
        <v>X-HDMM</v>
      </c>
      <c r="AC401" s="321" t="str">
        <f t="shared" si="218"/>
        <v>X-HDMT</v>
      </c>
      <c r="AD401" s="321" t="str">
        <f t="shared" si="219"/>
        <v>X-HDMS</v>
      </c>
      <c r="AE401" s="321" t="str">
        <f t="shared" si="220"/>
        <v>X-HDMX</v>
      </c>
      <c r="AF401" s="321" t="str">
        <f t="shared" si="221"/>
        <v>X-HDMA</v>
      </c>
      <c r="AG401" s="321">
        <f t="shared" si="212"/>
        <v>7</v>
      </c>
      <c r="AH401" s="321"/>
      <c r="AI401" s="321" t="str">
        <f t="shared" si="222"/>
        <v>X-HDM</v>
      </c>
      <c r="AJ401" s="320"/>
      <c r="AK401" s="322">
        <f t="shared" si="213"/>
        <v>399</v>
      </c>
      <c r="AL401" s="323">
        <f t="shared" si="223"/>
        <v>405</v>
      </c>
      <c r="AM401" s="322">
        <f t="shared" si="224"/>
        <v>3</v>
      </c>
      <c r="AN401" s="381">
        <f t="shared" si="214"/>
        <v>2.3296296296296294E-2</v>
      </c>
      <c r="AO401" s="322"/>
    </row>
    <row r="402" spans="2:41">
      <c r="B402" s="324" t="s">
        <v>2766</v>
      </c>
      <c r="C402" s="325" t="s">
        <v>2767</v>
      </c>
      <c r="D402" s="326" t="s">
        <v>1411</v>
      </c>
      <c r="E402" s="327">
        <f>+SUMIF('AUX-NIV2'!I:I,'AUX-NIV3'!B402,'AUX-NIV2'!Q:Q)</f>
        <v>0</v>
      </c>
      <c r="F402" s="327">
        <f t="shared" si="203"/>
        <v>41.39054425771004</v>
      </c>
      <c r="G402" s="327">
        <f t="shared" si="204"/>
        <v>0</v>
      </c>
      <c r="H402" s="328" t="str">
        <f t="shared" si="199"/>
        <v>A</v>
      </c>
      <c r="I402" s="325" t="s">
        <v>3310</v>
      </c>
      <c r="J402" s="329" t="str">
        <f>IF(B402&lt;&gt;"",+VLOOKUP(I402,Recursos!C:F,2,FALSE),"")</f>
        <v>OFICIAL ESPECIALIZADO</v>
      </c>
      <c r="K402" s="330" t="str">
        <f>IF(B402&lt;&gt;"",+VLOOKUP(I402,Recursos!C:F,3,FALSE),"")</f>
        <v>hh</v>
      </c>
      <c r="L402" s="446">
        <f>IF(B402&lt;&gt;"",+VLOOKUP(I402,Recursos!C:F,4,FALSE),"")</f>
        <v>581.06120476836554</v>
      </c>
      <c r="M402" s="494">
        <f>+M405</f>
        <v>150</v>
      </c>
      <c r="N402" s="463">
        <v>1.25</v>
      </c>
      <c r="O402" s="459">
        <f t="shared" si="205"/>
        <v>8.3333333333333332E-3</v>
      </c>
      <c r="P402" s="333">
        <f t="shared" si="200"/>
        <v>4.8421767064030465</v>
      </c>
      <c r="Q402" s="327">
        <f t="shared" si="201"/>
        <v>0</v>
      </c>
      <c r="R402" s="334">
        <f t="shared" si="202"/>
        <v>0</v>
      </c>
      <c r="S402" s="335">
        <f t="shared" si="206"/>
        <v>12.215067516969295</v>
      </c>
      <c r="T402" s="335">
        <f t="shared" si="207"/>
        <v>29.175476740740738</v>
      </c>
      <c r="U402" s="336">
        <f t="shared" si="208"/>
        <v>0</v>
      </c>
      <c r="V402" s="336">
        <f t="shared" si="209"/>
        <v>0</v>
      </c>
      <c r="W402" s="336">
        <f t="shared" si="210"/>
        <v>0</v>
      </c>
      <c r="X402" s="336">
        <f t="shared" si="211"/>
        <v>0</v>
      </c>
      <c r="Y402" s="320"/>
      <c r="Z402" s="321" t="str">
        <f t="shared" si="215"/>
        <v>X-HDMA</v>
      </c>
      <c r="AA402" s="321" t="str">
        <f t="shared" si="216"/>
        <v>X-HDME</v>
      </c>
      <c r="AB402" s="321" t="str">
        <f t="shared" si="217"/>
        <v>X-HDMM</v>
      </c>
      <c r="AC402" s="321" t="str">
        <f t="shared" si="218"/>
        <v>X-HDMT</v>
      </c>
      <c r="AD402" s="321" t="str">
        <f t="shared" si="219"/>
        <v>X-HDMS</v>
      </c>
      <c r="AE402" s="321" t="str">
        <f t="shared" si="220"/>
        <v>X-HDMX</v>
      </c>
      <c r="AF402" s="321" t="str">
        <f t="shared" si="221"/>
        <v>X-HDMA</v>
      </c>
      <c r="AG402" s="321">
        <f t="shared" si="212"/>
        <v>7</v>
      </c>
      <c r="AH402" s="321"/>
      <c r="AI402" s="321" t="str">
        <f t="shared" si="222"/>
        <v>X-HDM</v>
      </c>
      <c r="AJ402" s="320"/>
      <c r="AK402" s="322">
        <f t="shared" si="213"/>
        <v>399</v>
      </c>
      <c r="AL402" s="323">
        <f t="shared" si="223"/>
        <v>405</v>
      </c>
      <c r="AM402" s="322">
        <f t="shared" si="224"/>
        <v>4</v>
      </c>
      <c r="AN402" s="381">
        <f t="shared" si="214"/>
        <v>2.3296296296296294E-2</v>
      </c>
      <c r="AO402" s="322"/>
    </row>
    <row r="403" spans="2:41">
      <c r="B403" s="324" t="s">
        <v>2766</v>
      </c>
      <c r="C403" s="325" t="s">
        <v>2767</v>
      </c>
      <c r="D403" s="326" t="s">
        <v>1411</v>
      </c>
      <c r="E403" s="327">
        <f>+SUMIF('AUX-NIV2'!I:I,'AUX-NIV3'!B403,'AUX-NIV2'!Q:Q)</f>
        <v>0</v>
      </c>
      <c r="F403" s="327">
        <f t="shared" si="203"/>
        <v>41.39054425771004</v>
      </c>
      <c r="G403" s="327">
        <f t="shared" si="204"/>
        <v>0</v>
      </c>
      <c r="H403" s="328" t="str">
        <f t="shared" si="199"/>
        <v>E</v>
      </c>
      <c r="I403" s="325" t="s">
        <v>1664</v>
      </c>
      <c r="J403" s="329" t="str">
        <f>IF(B403&lt;&gt;"",+VLOOKUP(I403,Recursos!C:F,2,FALSE),"")</f>
        <v>MOTONIVELADORA HOJA 14 PIES-15 T</v>
      </c>
      <c r="K403" s="330" t="str">
        <f>IF(B403&lt;&gt;"",+VLOOKUP(I403,Recursos!C:F,3,FALSE),"")</f>
        <v>HR</v>
      </c>
      <c r="L403" s="446">
        <f>IF(B403&lt;&gt;"",+VLOOKUP(I403,Recursos!C:F,4,FALSE),"")</f>
        <v>4111.9767199999997</v>
      </c>
      <c r="M403" s="462">
        <v>270</v>
      </c>
      <c r="N403" s="463">
        <v>1</v>
      </c>
      <c r="O403" s="459">
        <f t="shared" si="205"/>
        <v>3.7037037037037038E-3</v>
      </c>
      <c r="P403" s="333">
        <f t="shared" si="200"/>
        <v>15.229543407407407</v>
      </c>
      <c r="Q403" s="327">
        <f t="shared" si="201"/>
        <v>0</v>
      </c>
      <c r="R403" s="334">
        <f t="shared" si="202"/>
        <v>0</v>
      </c>
      <c r="S403" s="335">
        <f t="shared" si="206"/>
        <v>12.215067516969295</v>
      </c>
      <c r="T403" s="335">
        <f t="shared" si="207"/>
        <v>29.175476740740738</v>
      </c>
      <c r="U403" s="336">
        <f t="shared" si="208"/>
        <v>0</v>
      </c>
      <c r="V403" s="336">
        <f t="shared" si="209"/>
        <v>0</v>
      </c>
      <c r="W403" s="336">
        <f t="shared" si="210"/>
        <v>0</v>
      </c>
      <c r="X403" s="336">
        <f t="shared" si="211"/>
        <v>0</v>
      </c>
      <c r="Y403" s="320"/>
      <c r="Z403" s="321" t="str">
        <f t="shared" si="215"/>
        <v>X-HDMA</v>
      </c>
      <c r="AA403" s="321" t="str">
        <f t="shared" si="216"/>
        <v>X-HDME</v>
      </c>
      <c r="AB403" s="321" t="str">
        <f t="shared" si="217"/>
        <v>X-HDMM</v>
      </c>
      <c r="AC403" s="321" t="str">
        <f t="shared" si="218"/>
        <v>X-HDMT</v>
      </c>
      <c r="AD403" s="321" t="str">
        <f t="shared" si="219"/>
        <v>X-HDMS</v>
      </c>
      <c r="AE403" s="321" t="str">
        <f t="shared" si="220"/>
        <v>X-HDMX</v>
      </c>
      <c r="AF403" s="321" t="str">
        <f t="shared" si="221"/>
        <v>X-HDME</v>
      </c>
      <c r="AG403" s="321">
        <f t="shared" si="212"/>
        <v>7</v>
      </c>
      <c r="AH403" s="321"/>
      <c r="AI403" s="321" t="str">
        <f t="shared" si="222"/>
        <v>X-HDM</v>
      </c>
      <c r="AJ403" s="320"/>
      <c r="AK403" s="322">
        <f t="shared" si="213"/>
        <v>399</v>
      </c>
      <c r="AL403" s="323">
        <f t="shared" si="223"/>
        <v>405</v>
      </c>
      <c r="AM403" s="322">
        <f t="shared" si="224"/>
        <v>5</v>
      </c>
      <c r="AN403" s="381">
        <f t="shared" si="214"/>
        <v>2.3296296296296294E-2</v>
      </c>
      <c r="AO403" s="322"/>
    </row>
    <row r="404" spans="2:41">
      <c r="B404" s="324" t="s">
        <v>2766</v>
      </c>
      <c r="C404" s="325" t="s">
        <v>2767</v>
      </c>
      <c r="D404" s="326" t="s">
        <v>1411</v>
      </c>
      <c r="E404" s="327">
        <f>+SUMIF('AUX-NIV2'!I:I,'AUX-NIV3'!B404,'AUX-NIV2'!Q:Q)</f>
        <v>0</v>
      </c>
      <c r="F404" s="327">
        <f t="shared" si="203"/>
        <v>41.39054425771004</v>
      </c>
      <c r="G404" s="327">
        <f t="shared" si="204"/>
        <v>0</v>
      </c>
      <c r="H404" s="328" t="str">
        <f t="shared" si="199"/>
        <v>E</v>
      </c>
      <c r="I404" s="325" t="s">
        <v>1680</v>
      </c>
      <c r="J404" s="329" t="str">
        <f>IF(B404&lt;&gt;"",+VLOOKUP(I404,Recursos!C:F,2,FALSE),"")</f>
        <v xml:space="preserve">TRACTOR SOBRE NEUMATICOS </v>
      </c>
      <c r="K404" s="330" t="str">
        <f>IF(B404&lt;&gt;"",+VLOOKUP(I404,Recursos!C:F,3,FALSE),"")</f>
        <v>HR</v>
      </c>
      <c r="L404" s="446">
        <f>IF(B404&lt;&gt;"",+VLOOKUP(I404,Recursos!C:F,4,FALSE),"")</f>
        <v>1968.2054000000001</v>
      </c>
      <c r="M404" s="494">
        <f>+M405</f>
        <v>150</v>
      </c>
      <c r="N404" s="495">
        <f>+N405</f>
        <v>1</v>
      </c>
      <c r="O404" s="459">
        <f t="shared" si="205"/>
        <v>6.6666666666666671E-3</v>
      </c>
      <c r="P404" s="333">
        <f t="shared" si="200"/>
        <v>13.121369333333334</v>
      </c>
      <c r="Q404" s="327">
        <f t="shared" si="201"/>
        <v>0</v>
      </c>
      <c r="R404" s="334">
        <f t="shared" si="202"/>
        <v>0</v>
      </c>
      <c r="S404" s="335">
        <f t="shared" si="206"/>
        <v>12.215067516969295</v>
      </c>
      <c r="T404" s="335">
        <f t="shared" si="207"/>
        <v>29.175476740740738</v>
      </c>
      <c r="U404" s="336">
        <f t="shared" si="208"/>
        <v>0</v>
      </c>
      <c r="V404" s="336">
        <f t="shared" si="209"/>
        <v>0</v>
      </c>
      <c r="W404" s="336">
        <f t="shared" si="210"/>
        <v>0</v>
      </c>
      <c r="X404" s="336">
        <f t="shared" si="211"/>
        <v>0</v>
      </c>
      <c r="Y404" s="320"/>
      <c r="Z404" s="321" t="str">
        <f t="shared" si="215"/>
        <v>X-HDMA</v>
      </c>
      <c r="AA404" s="321" t="str">
        <f t="shared" si="216"/>
        <v>X-HDME</v>
      </c>
      <c r="AB404" s="321" t="str">
        <f t="shared" si="217"/>
        <v>X-HDMM</v>
      </c>
      <c r="AC404" s="321" t="str">
        <f t="shared" si="218"/>
        <v>X-HDMT</v>
      </c>
      <c r="AD404" s="321" t="str">
        <f t="shared" si="219"/>
        <v>X-HDMS</v>
      </c>
      <c r="AE404" s="321" t="str">
        <f t="shared" si="220"/>
        <v>X-HDMX</v>
      </c>
      <c r="AF404" s="321" t="str">
        <f t="shared" si="221"/>
        <v>X-HDME</v>
      </c>
      <c r="AG404" s="321">
        <f t="shared" si="212"/>
        <v>7</v>
      </c>
      <c r="AH404" s="321"/>
      <c r="AI404" s="321" t="str">
        <f t="shared" si="222"/>
        <v>X-HDM</v>
      </c>
      <c r="AJ404" s="320"/>
      <c r="AK404" s="322">
        <f t="shared" si="213"/>
        <v>399</v>
      </c>
      <c r="AL404" s="323">
        <f t="shared" si="223"/>
        <v>405</v>
      </c>
      <c r="AM404" s="322">
        <f t="shared" si="224"/>
        <v>6</v>
      </c>
      <c r="AN404" s="381">
        <f t="shared" si="214"/>
        <v>2.3296296296296294E-2</v>
      </c>
      <c r="AO404" s="322"/>
    </row>
    <row r="405" spans="2:41" ht="13.8" thickBot="1">
      <c r="B405" s="324" t="s">
        <v>2766</v>
      </c>
      <c r="C405" s="325" t="s">
        <v>2767</v>
      </c>
      <c r="D405" s="326" t="s">
        <v>1411</v>
      </c>
      <c r="E405" s="327">
        <f>+SUMIF('AUX-NIV2'!I:I,'AUX-NIV3'!B405,'AUX-NIV2'!Q:Q)</f>
        <v>0</v>
      </c>
      <c r="F405" s="327">
        <f t="shared" si="203"/>
        <v>41.39054425771004</v>
      </c>
      <c r="G405" s="327">
        <f t="shared" si="204"/>
        <v>0</v>
      </c>
      <c r="H405" s="328" t="str">
        <f t="shared" si="199"/>
        <v>E</v>
      </c>
      <c r="I405" s="325" t="s">
        <v>1714</v>
      </c>
      <c r="J405" s="329" t="str">
        <f>IF(B405&lt;&gt;"",+VLOOKUP(I405,Recursos!C:F,2,FALSE),"")</f>
        <v>RASTRA DE 32 DISCOS</v>
      </c>
      <c r="K405" s="330" t="str">
        <f>IF(B405&lt;&gt;"",+VLOOKUP(I405,Recursos!C:F,3,FALSE),"")</f>
        <v>HR</v>
      </c>
      <c r="L405" s="446">
        <f>IF(B405&lt;&gt;"",+VLOOKUP(I405,Recursos!C:F,4,FALSE),"")</f>
        <v>123.6846</v>
      </c>
      <c r="M405" s="464">
        <v>150</v>
      </c>
      <c r="N405" s="465">
        <v>1</v>
      </c>
      <c r="O405" s="459">
        <f t="shared" si="205"/>
        <v>6.6666666666666671E-3</v>
      </c>
      <c r="P405" s="333">
        <f t="shared" si="200"/>
        <v>0.82456400000000007</v>
      </c>
      <c r="Q405" s="327">
        <f t="shared" si="201"/>
        <v>0</v>
      </c>
      <c r="R405" s="334">
        <f t="shared" si="202"/>
        <v>0</v>
      </c>
      <c r="S405" s="335">
        <f t="shared" si="206"/>
        <v>12.215067516969295</v>
      </c>
      <c r="T405" s="335">
        <f t="shared" si="207"/>
        <v>29.175476740740738</v>
      </c>
      <c r="U405" s="336">
        <f t="shared" si="208"/>
        <v>0</v>
      </c>
      <c r="V405" s="336">
        <f t="shared" si="209"/>
        <v>0</v>
      </c>
      <c r="W405" s="336">
        <f t="shared" si="210"/>
        <v>0</v>
      </c>
      <c r="X405" s="336">
        <f t="shared" si="211"/>
        <v>0</v>
      </c>
      <c r="Y405" s="320"/>
      <c r="Z405" s="321" t="str">
        <f t="shared" si="215"/>
        <v>X-HDMA</v>
      </c>
      <c r="AA405" s="321" t="str">
        <f t="shared" si="216"/>
        <v>X-HDME</v>
      </c>
      <c r="AB405" s="321" t="str">
        <f t="shared" si="217"/>
        <v>X-HDMM</v>
      </c>
      <c r="AC405" s="321" t="str">
        <f t="shared" si="218"/>
        <v>X-HDMT</v>
      </c>
      <c r="AD405" s="321" t="str">
        <f t="shared" si="219"/>
        <v>X-HDMS</v>
      </c>
      <c r="AE405" s="321" t="str">
        <f t="shared" si="220"/>
        <v>X-HDMX</v>
      </c>
      <c r="AF405" s="321" t="str">
        <f t="shared" si="221"/>
        <v>X-HDME</v>
      </c>
      <c r="AG405" s="321">
        <f t="shared" si="212"/>
        <v>7</v>
      </c>
      <c r="AH405" s="321"/>
      <c r="AI405" s="321" t="str">
        <f t="shared" si="222"/>
        <v>X-HDM</v>
      </c>
      <c r="AJ405" s="320"/>
      <c r="AK405" s="322">
        <f t="shared" si="213"/>
        <v>399</v>
      </c>
      <c r="AL405" s="323">
        <f t="shared" si="223"/>
        <v>405</v>
      </c>
      <c r="AM405" s="322">
        <f t="shared" si="224"/>
        <v>7</v>
      </c>
      <c r="AN405" s="381">
        <f t="shared" si="214"/>
        <v>2.3296296296296294E-2</v>
      </c>
      <c r="AO405" s="322"/>
    </row>
    <row r="406" spans="2:41" ht="13.8" thickTop="1">
      <c r="B406" s="324" t="s">
        <v>2768</v>
      </c>
      <c r="C406" s="325" t="s">
        <v>2769</v>
      </c>
      <c r="D406" s="326" t="s">
        <v>1386</v>
      </c>
      <c r="E406" s="327">
        <f>+SUMIF('AUX-NIV2'!I:I,'AUX-NIV3'!B406,'AUX-NIV2'!Q:Q)</f>
        <v>0</v>
      </c>
      <c r="F406" s="327">
        <f t="shared" si="203"/>
        <v>46.720032694329319</v>
      </c>
      <c r="G406" s="327">
        <f t="shared" si="204"/>
        <v>0</v>
      </c>
      <c r="H406" s="328" t="str">
        <f t="shared" si="199"/>
        <v>A</v>
      </c>
      <c r="I406" s="325" t="s">
        <v>1745</v>
      </c>
      <c r="J406" s="329" t="str">
        <f>IF(B406&lt;&gt;"",+VLOOKUP(I406,Recursos!C:F,2,FALSE),"")</f>
        <v>AYUDANTE</v>
      </c>
      <c r="K406" s="330" t="str">
        <f>IF(B406&lt;&gt;"",+VLOOKUP(I406,Recursos!C:F,3,FALSE),"")</f>
        <v>hh</v>
      </c>
      <c r="L406" s="446">
        <f>IF(B406&lt;&gt;"",+VLOOKUP(I406,Recursos!C:F,4,FALSE),"")</f>
        <v>422.48042769667234</v>
      </c>
      <c r="M406" s="492">
        <f>+M407</f>
        <v>100</v>
      </c>
      <c r="N406" s="496">
        <v>2</v>
      </c>
      <c r="O406" s="459">
        <f>+N406/M406*N408</f>
        <v>2.5000000000000001E-2</v>
      </c>
      <c r="P406" s="333">
        <f t="shared" si="200"/>
        <v>10.562010692416809</v>
      </c>
      <c r="Q406" s="327">
        <f t="shared" si="201"/>
        <v>0</v>
      </c>
      <c r="R406" s="334">
        <f t="shared" si="202"/>
        <v>0</v>
      </c>
      <c r="S406" s="335">
        <f t="shared" si="206"/>
        <v>21.965336835995984</v>
      </c>
      <c r="T406" s="335">
        <f t="shared" si="207"/>
        <v>24.754695858333335</v>
      </c>
      <c r="U406" s="336">
        <f t="shared" si="208"/>
        <v>0</v>
      </c>
      <c r="V406" s="336">
        <f t="shared" si="209"/>
        <v>0</v>
      </c>
      <c r="W406" s="336">
        <f t="shared" si="210"/>
        <v>0</v>
      </c>
      <c r="X406" s="336">
        <f t="shared" si="211"/>
        <v>0</v>
      </c>
      <c r="Y406" s="320"/>
      <c r="Z406" s="321" t="str">
        <f t="shared" si="215"/>
        <v>X-CDTA</v>
      </c>
      <c r="AA406" s="321" t="str">
        <f t="shared" si="216"/>
        <v>X-CDTE</v>
      </c>
      <c r="AB406" s="321" t="str">
        <f t="shared" si="217"/>
        <v>X-CDTM</v>
      </c>
      <c r="AC406" s="321" t="str">
        <f t="shared" si="218"/>
        <v>X-CDTT</v>
      </c>
      <c r="AD406" s="321" t="str">
        <f t="shared" si="219"/>
        <v>X-CDTS</v>
      </c>
      <c r="AE406" s="321" t="str">
        <f t="shared" si="220"/>
        <v>X-CDTX</v>
      </c>
      <c r="AF406" s="321" t="str">
        <f t="shared" si="221"/>
        <v>X-CDTA</v>
      </c>
      <c r="AG406" s="321">
        <f t="shared" si="212"/>
        <v>6</v>
      </c>
      <c r="AH406" s="321"/>
      <c r="AI406" s="321" t="str">
        <f t="shared" si="222"/>
        <v>X-CDT</v>
      </c>
      <c r="AJ406" s="320"/>
      <c r="AK406" s="322">
        <f t="shared" si="213"/>
        <v>406</v>
      </c>
      <c r="AL406" s="323">
        <f t="shared" si="223"/>
        <v>411</v>
      </c>
      <c r="AM406" s="322">
        <f t="shared" si="224"/>
        <v>1</v>
      </c>
      <c r="AN406" s="381">
        <f t="shared" si="214"/>
        <v>4.4624999999999998E-2</v>
      </c>
      <c r="AO406" s="322"/>
    </row>
    <row r="407" spans="2:41">
      <c r="B407" s="324" t="s">
        <v>2768</v>
      </c>
      <c r="C407" s="325" t="s">
        <v>2769</v>
      </c>
      <c r="D407" s="326" t="s">
        <v>1386</v>
      </c>
      <c r="E407" s="327">
        <f>+SUMIF('AUX-NIV2'!I:I,'AUX-NIV3'!B407,'AUX-NIV2'!Q:Q)</f>
        <v>0</v>
      </c>
      <c r="F407" s="327">
        <f t="shared" si="203"/>
        <v>46.720032694329319</v>
      </c>
      <c r="G407" s="327">
        <f t="shared" si="204"/>
        <v>0</v>
      </c>
      <c r="H407" s="328" t="str">
        <f t="shared" si="199"/>
        <v>A</v>
      </c>
      <c r="I407" s="325" t="s">
        <v>3310</v>
      </c>
      <c r="J407" s="329" t="str">
        <f>IF(B407&lt;&gt;"",+VLOOKUP(I407,Recursos!C:F,2,FALSE),"")</f>
        <v>OFICIAL ESPECIALIZADO</v>
      </c>
      <c r="K407" s="330" t="str">
        <f>IF(B407&lt;&gt;"",+VLOOKUP(I407,Recursos!C:F,3,FALSE),"")</f>
        <v>hh</v>
      </c>
      <c r="L407" s="446">
        <f>IF(B407&lt;&gt;"",+VLOOKUP(I407,Recursos!C:F,4,FALSE),"")</f>
        <v>581.06120476836554</v>
      </c>
      <c r="M407" s="494">
        <f>+M408</f>
        <v>100</v>
      </c>
      <c r="N407" s="463">
        <v>0.4</v>
      </c>
      <c r="O407" s="459">
        <f>+N407/M407</f>
        <v>4.0000000000000001E-3</v>
      </c>
      <c r="P407" s="333">
        <f t="shared" si="200"/>
        <v>2.3242448190734621</v>
      </c>
      <c r="Q407" s="327">
        <f t="shared" si="201"/>
        <v>0</v>
      </c>
      <c r="R407" s="334">
        <f t="shared" si="202"/>
        <v>0</v>
      </c>
      <c r="S407" s="335">
        <f t="shared" si="206"/>
        <v>21.965336835995984</v>
      </c>
      <c r="T407" s="335">
        <f t="shared" si="207"/>
        <v>24.754695858333335</v>
      </c>
      <c r="U407" s="336">
        <f t="shared" si="208"/>
        <v>0</v>
      </c>
      <c r="V407" s="336">
        <f t="shared" si="209"/>
        <v>0</v>
      </c>
      <c r="W407" s="336">
        <f t="shared" si="210"/>
        <v>0</v>
      </c>
      <c r="X407" s="336">
        <f t="shared" si="211"/>
        <v>0</v>
      </c>
      <c r="Y407" s="320"/>
      <c r="Z407" s="321" t="str">
        <f t="shared" si="215"/>
        <v>X-CDTA</v>
      </c>
      <c r="AA407" s="321" t="str">
        <f t="shared" si="216"/>
        <v>X-CDTE</v>
      </c>
      <c r="AB407" s="321" t="str">
        <f t="shared" si="217"/>
        <v>X-CDTM</v>
      </c>
      <c r="AC407" s="321" t="str">
        <f t="shared" si="218"/>
        <v>X-CDTT</v>
      </c>
      <c r="AD407" s="321" t="str">
        <f t="shared" si="219"/>
        <v>X-CDTS</v>
      </c>
      <c r="AE407" s="321" t="str">
        <f t="shared" si="220"/>
        <v>X-CDTX</v>
      </c>
      <c r="AF407" s="321" t="str">
        <f t="shared" si="221"/>
        <v>X-CDTA</v>
      </c>
      <c r="AG407" s="321">
        <f t="shared" si="212"/>
        <v>6</v>
      </c>
      <c r="AH407" s="321"/>
      <c r="AI407" s="321" t="str">
        <f t="shared" si="222"/>
        <v>X-CDT</v>
      </c>
      <c r="AJ407" s="320"/>
      <c r="AK407" s="322">
        <f t="shared" si="213"/>
        <v>406</v>
      </c>
      <c r="AL407" s="323">
        <f t="shared" si="223"/>
        <v>411</v>
      </c>
      <c r="AM407" s="322">
        <f t="shared" si="224"/>
        <v>2</v>
      </c>
      <c r="AN407" s="381">
        <f t="shared" si="214"/>
        <v>4.4624999999999998E-2</v>
      </c>
      <c r="AO407" s="322"/>
    </row>
    <row r="408" spans="2:41">
      <c r="B408" s="324" t="s">
        <v>2768</v>
      </c>
      <c r="C408" s="325" t="s">
        <v>2769</v>
      </c>
      <c r="D408" s="326" t="s">
        <v>1386</v>
      </c>
      <c r="E408" s="327">
        <f>+SUMIF('AUX-NIV2'!I:I,'AUX-NIV3'!B408,'AUX-NIV2'!Q:Q)</f>
        <v>0</v>
      </c>
      <c r="F408" s="327">
        <f t="shared" si="203"/>
        <v>46.720032694329319</v>
      </c>
      <c r="G408" s="327">
        <f t="shared" si="204"/>
        <v>0</v>
      </c>
      <c r="H408" s="328" t="str">
        <f t="shared" si="199"/>
        <v>A</v>
      </c>
      <c r="I408" s="325" t="s">
        <v>3310</v>
      </c>
      <c r="J408" s="329" t="str">
        <f>IF(B408&lt;&gt;"",+VLOOKUP(I408,Recursos!C:F,2,FALSE),"")</f>
        <v>OFICIAL ESPECIALIZADO</v>
      </c>
      <c r="K408" s="330" t="str">
        <f>IF(B408&lt;&gt;"",+VLOOKUP(I408,Recursos!C:F,3,FALSE),"")</f>
        <v>hh</v>
      </c>
      <c r="L408" s="446">
        <f>IF(B408&lt;&gt;"",+VLOOKUP(I408,Recursos!C:F,4,FALSE),"")</f>
        <v>581.06120476836554</v>
      </c>
      <c r="M408" s="494">
        <f>+M411</f>
        <v>100</v>
      </c>
      <c r="N408" s="463">
        <v>1.25</v>
      </c>
      <c r="O408" s="459">
        <f>+N408*(1+N410)/M408</f>
        <v>1.5625E-2</v>
      </c>
      <c r="P408" s="333">
        <f t="shared" si="200"/>
        <v>9.0790813245057116</v>
      </c>
      <c r="Q408" s="327">
        <f t="shared" si="201"/>
        <v>0</v>
      </c>
      <c r="R408" s="334">
        <f t="shared" si="202"/>
        <v>0</v>
      </c>
      <c r="S408" s="335">
        <f t="shared" si="206"/>
        <v>21.965336835995984</v>
      </c>
      <c r="T408" s="335">
        <f t="shared" si="207"/>
        <v>24.754695858333335</v>
      </c>
      <c r="U408" s="336">
        <f t="shared" si="208"/>
        <v>0</v>
      </c>
      <c r="V408" s="336">
        <f t="shared" si="209"/>
        <v>0</v>
      </c>
      <c r="W408" s="336">
        <f t="shared" si="210"/>
        <v>0</v>
      </c>
      <c r="X408" s="336">
        <f t="shared" si="211"/>
        <v>0</v>
      </c>
      <c r="Y408" s="320"/>
      <c r="Z408" s="321" t="str">
        <f t="shared" si="215"/>
        <v>X-CDTA</v>
      </c>
      <c r="AA408" s="321" t="str">
        <f t="shared" si="216"/>
        <v>X-CDTE</v>
      </c>
      <c r="AB408" s="321" t="str">
        <f t="shared" si="217"/>
        <v>X-CDTM</v>
      </c>
      <c r="AC408" s="321" t="str">
        <f t="shared" si="218"/>
        <v>X-CDTT</v>
      </c>
      <c r="AD408" s="321" t="str">
        <f t="shared" si="219"/>
        <v>X-CDTS</v>
      </c>
      <c r="AE408" s="321" t="str">
        <f t="shared" si="220"/>
        <v>X-CDTX</v>
      </c>
      <c r="AF408" s="321" t="str">
        <f t="shared" si="221"/>
        <v>X-CDTA</v>
      </c>
      <c r="AG408" s="321">
        <f t="shared" si="212"/>
        <v>6</v>
      </c>
      <c r="AH408" s="321"/>
      <c r="AI408" s="321" t="str">
        <f t="shared" si="222"/>
        <v>X-CDT</v>
      </c>
      <c r="AJ408" s="320"/>
      <c r="AK408" s="322">
        <f t="shared" si="213"/>
        <v>406</v>
      </c>
      <c r="AL408" s="323">
        <f t="shared" si="223"/>
        <v>411</v>
      </c>
      <c r="AM408" s="322">
        <f t="shared" si="224"/>
        <v>3</v>
      </c>
      <c r="AN408" s="381">
        <f t="shared" si="214"/>
        <v>4.4624999999999998E-2</v>
      </c>
      <c r="AO408" s="322"/>
    </row>
    <row r="409" spans="2:41">
      <c r="B409" s="324" t="s">
        <v>2768</v>
      </c>
      <c r="C409" s="325" t="s">
        <v>2769</v>
      </c>
      <c r="D409" s="326" t="s">
        <v>1386</v>
      </c>
      <c r="E409" s="327">
        <f>+SUMIF('AUX-NIV2'!I:I,'AUX-NIV3'!B409,'AUX-NIV2'!Q:Q)</f>
        <v>0</v>
      </c>
      <c r="F409" s="327">
        <f t="shared" si="203"/>
        <v>46.720032694329319</v>
      </c>
      <c r="G409" s="327">
        <f t="shared" si="204"/>
        <v>0</v>
      </c>
      <c r="H409" s="328" t="str">
        <f t="shared" si="199"/>
        <v>E</v>
      </c>
      <c r="I409" s="325" t="s">
        <v>1682</v>
      </c>
      <c r="J409" s="329" t="str">
        <f>IF(B409&lt;&gt;"",+VLOOKUP(I409,Recursos!C:F,2,FALSE),"")</f>
        <v>COMPACT. LISO VIBR. AUTOP.-11 T</v>
      </c>
      <c r="K409" s="330" t="str">
        <f>IF(B409&lt;&gt;"",+VLOOKUP(I409,Recursos!C:F,3,FALSE),"")</f>
        <v>HR</v>
      </c>
      <c r="L409" s="446">
        <f>IF(B409&lt;&gt;"",+VLOOKUP(I409,Recursos!C:F,4,FALSE),"")</f>
        <v>2026.0471399999999</v>
      </c>
      <c r="M409" s="494">
        <f>+M411</f>
        <v>100</v>
      </c>
      <c r="N409" s="495">
        <f>1-N411</f>
        <v>0.5</v>
      </c>
      <c r="O409" s="459">
        <f>+N409/M409</f>
        <v>5.0000000000000001E-3</v>
      </c>
      <c r="P409" s="333">
        <f t="shared" si="200"/>
        <v>10.1302357</v>
      </c>
      <c r="Q409" s="327">
        <f t="shared" si="201"/>
        <v>0</v>
      </c>
      <c r="R409" s="334">
        <f t="shared" si="202"/>
        <v>0</v>
      </c>
      <c r="S409" s="335">
        <f t="shared" si="206"/>
        <v>21.965336835995984</v>
      </c>
      <c r="T409" s="335">
        <f t="shared" si="207"/>
        <v>24.754695858333335</v>
      </c>
      <c r="U409" s="336">
        <f t="shared" si="208"/>
        <v>0</v>
      </c>
      <c r="V409" s="336">
        <f t="shared" si="209"/>
        <v>0</v>
      </c>
      <c r="W409" s="336">
        <f t="shared" si="210"/>
        <v>0</v>
      </c>
      <c r="X409" s="336">
        <f t="shared" si="211"/>
        <v>0</v>
      </c>
      <c r="Y409" s="320"/>
      <c r="Z409" s="321" t="str">
        <f t="shared" si="215"/>
        <v>X-CDTA</v>
      </c>
      <c r="AA409" s="321" t="str">
        <f t="shared" si="216"/>
        <v>X-CDTE</v>
      </c>
      <c r="AB409" s="321" t="str">
        <f t="shared" si="217"/>
        <v>X-CDTM</v>
      </c>
      <c r="AC409" s="321" t="str">
        <f t="shared" si="218"/>
        <v>X-CDTT</v>
      </c>
      <c r="AD409" s="321" t="str">
        <f t="shared" si="219"/>
        <v>X-CDTS</v>
      </c>
      <c r="AE409" s="321" t="str">
        <f t="shared" si="220"/>
        <v>X-CDTX</v>
      </c>
      <c r="AF409" s="321" t="str">
        <f t="shared" si="221"/>
        <v>X-CDTE</v>
      </c>
      <c r="AG409" s="321">
        <f t="shared" si="212"/>
        <v>6</v>
      </c>
      <c r="AH409" s="321"/>
      <c r="AI409" s="321" t="str">
        <f t="shared" si="222"/>
        <v>X-CDT</v>
      </c>
      <c r="AJ409" s="320"/>
      <c r="AK409" s="322">
        <f t="shared" si="213"/>
        <v>406</v>
      </c>
      <c r="AL409" s="323">
        <f t="shared" si="223"/>
        <v>411</v>
      </c>
      <c r="AM409" s="322">
        <f t="shared" si="224"/>
        <v>4</v>
      </c>
      <c r="AN409" s="381">
        <f t="shared" si="214"/>
        <v>4.4624999999999998E-2</v>
      </c>
      <c r="AO409" s="322"/>
    </row>
    <row r="410" spans="2:41">
      <c r="B410" s="324" t="s">
        <v>2768</v>
      </c>
      <c r="C410" s="325" t="s">
        <v>2769</v>
      </c>
      <c r="D410" s="326" t="s">
        <v>1386</v>
      </c>
      <c r="E410" s="327">
        <f>+SUMIF('AUX-NIV2'!I:I,'AUX-NIV3'!B410,'AUX-NIV2'!Q:Q)</f>
        <v>0</v>
      </c>
      <c r="F410" s="327">
        <f t="shared" si="203"/>
        <v>46.720032694329319</v>
      </c>
      <c r="G410" s="327">
        <f t="shared" si="204"/>
        <v>0</v>
      </c>
      <c r="H410" s="328" t="str">
        <f t="shared" si="199"/>
        <v>E</v>
      </c>
      <c r="I410" s="325" t="s">
        <v>1569</v>
      </c>
      <c r="J410" s="329" t="str">
        <f>IF(B410&lt;&gt;"",+VLOOKUP(I410,Recursos!C:F,2,FALSE),"")</f>
        <v>COMPACTADOR NEUMAT.AUTOPROP.(22 T)</v>
      </c>
      <c r="K410" s="330" t="str">
        <f>IF(B410&lt;&gt;"",+VLOOKUP(I410,Recursos!C:F,3,FALSE),"")</f>
        <v>HR</v>
      </c>
      <c r="L410" s="446">
        <f>IF(B410&lt;&gt;"",+VLOOKUP(I410,Recursos!C:F,4,FALSE),"")</f>
        <v>1797.6897833333335</v>
      </c>
      <c r="M410" s="494">
        <f>+M411</f>
        <v>100</v>
      </c>
      <c r="N410" s="463">
        <v>0.25</v>
      </c>
      <c r="O410" s="459">
        <f>+N410/M410</f>
        <v>2.5000000000000001E-3</v>
      </c>
      <c r="P410" s="333">
        <f t="shared" si="200"/>
        <v>4.4942244583333339</v>
      </c>
      <c r="Q410" s="327">
        <f t="shared" si="201"/>
        <v>0</v>
      </c>
      <c r="R410" s="334">
        <f t="shared" si="202"/>
        <v>0</v>
      </c>
      <c r="S410" s="335">
        <f t="shared" si="206"/>
        <v>21.965336835995984</v>
      </c>
      <c r="T410" s="335">
        <f t="shared" si="207"/>
        <v>24.754695858333335</v>
      </c>
      <c r="U410" s="336">
        <f t="shared" si="208"/>
        <v>0</v>
      </c>
      <c r="V410" s="336">
        <f t="shared" si="209"/>
        <v>0</v>
      </c>
      <c r="W410" s="336">
        <f t="shared" si="210"/>
        <v>0</v>
      </c>
      <c r="X410" s="336">
        <f t="shared" si="211"/>
        <v>0</v>
      </c>
      <c r="Y410" s="320"/>
      <c r="Z410" s="321" t="str">
        <f t="shared" si="215"/>
        <v>X-CDTA</v>
      </c>
      <c r="AA410" s="321" t="str">
        <f t="shared" si="216"/>
        <v>X-CDTE</v>
      </c>
      <c r="AB410" s="321" t="str">
        <f t="shared" si="217"/>
        <v>X-CDTM</v>
      </c>
      <c r="AC410" s="321" t="str">
        <f t="shared" si="218"/>
        <v>X-CDTT</v>
      </c>
      <c r="AD410" s="321" t="str">
        <f t="shared" si="219"/>
        <v>X-CDTS</v>
      </c>
      <c r="AE410" s="321" t="str">
        <f t="shared" si="220"/>
        <v>X-CDTX</v>
      </c>
      <c r="AF410" s="321" t="str">
        <f t="shared" si="221"/>
        <v>X-CDTE</v>
      </c>
      <c r="AG410" s="321">
        <f t="shared" si="212"/>
        <v>6</v>
      </c>
      <c r="AH410" s="321"/>
      <c r="AI410" s="321" t="str">
        <f t="shared" si="222"/>
        <v>X-CDT</v>
      </c>
      <c r="AJ410" s="320"/>
      <c r="AK410" s="322">
        <f t="shared" si="213"/>
        <v>406</v>
      </c>
      <c r="AL410" s="323">
        <f t="shared" si="223"/>
        <v>411</v>
      </c>
      <c r="AM410" s="322">
        <f t="shared" si="224"/>
        <v>5</v>
      </c>
      <c r="AN410" s="381">
        <f t="shared" si="214"/>
        <v>4.4624999999999998E-2</v>
      </c>
      <c r="AO410" s="322"/>
    </row>
    <row r="411" spans="2:41" ht="13.8" thickBot="1">
      <c r="B411" s="324" t="s">
        <v>2768</v>
      </c>
      <c r="C411" s="325" t="s">
        <v>2769</v>
      </c>
      <c r="D411" s="326" t="s">
        <v>1386</v>
      </c>
      <c r="E411" s="327">
        <f>+SUMIF('AUX-NIV2'!I:I,'AUX-NIV3'!B411,'AUX-NIV2'!Q:Q)</f>
        <v>0</v>
      </c>
      <c r="F411" s="327">
        <f t="shared" si="203"/>
        <v>46.720032694329319</v>
      </c>
      <c r="G411" s="327">
        <f t="shared" si="204"/>
        <v>0</v>
      </c>
      <c r="H411" s="328" t="str">
        <f t="shared" si="199"/>
        <v>E</v>
      </c>
      <c r="I411" s="325" t="s">
        <v>1682</v>
      </c>
      <c r="J411" s="329" t="str">
        <f>IF(B411&lt;&gt;"",+VLOOKUP(I411,Recursos!C:F,2,FALSE),"")</f>
        <v>COMPACT. LISO VIBR. AUTOP.-11 T</v>
      </c>
      <c r="K411" s="330" t="str">
        <f>IF(B411&lt;&gt;"",+VLOOKUP(I411,Recursos!C:F,3,FALSE),"")</f>
        <v>HR</v>
      </c>
      <c r="L411" s="446">
        <f>IF(B411&lt;&gt;"",+VLOOKUP(I411,Recursos!C:F,4,FALSE),"")</f>
        <v>2026.0471399999999</v>
      </c>
      <c r="M411" s="464">
        <v>100</v>
      </c>
      <c r="N411" s="465">
        <v>0.5</v>
      </c>
      <c r="O411" s="459">
        <f>+N411/M411</f>
        <v>5.0000000000000001E-3</v>
      </c>
      <c r="P411" s="333">
        <f t="shared" si="200"/>
        <v>10.1302357</v>
      </c>
      <c r="Q411" s="327">
        <f t="shared" si="201"/>
        <v>0</v>
      </c>
      <c r="R411" s="334">
        <f t="shared" si="202"/>
        <v>0</v>
      </c>
      <c r="S411" s="335">
        <f t="shared" si="206"/>
        <v>21.965336835995984</v>
      </c>
      <c r="T411" s="335">
        <f t="shared" si="207"/>
        <v>24.754695858333335</v>
      </c>
      <c r="U411" s="336">
        <f t="shared" si="208"/>
        <v>0</v>
      </c>
      <c r="V411" s="336">
        <f t="shared" si="209"/>
        <v>0</v>
      </c>
      <c r="W411" s="336">
        <f t="shared" si="210"/>
        <v>0</v>
      </c>
      <c r="X411" s="336">
        <f t="shared" si="211"/>
        <v>0</v>
      </c>
      <c r="Y411" s="320"/>
      <c r="Z411" s="321" t="str">
        <f t="shared" si="215"/>
        <v>X-CDTA</v>
      </c>
      <c r="AA411" s="321" t="str">
        <f t="shared" si="216"/>
        <v>X-CDTE</v>
      </c>
      <c r="AB411" s="321" t="str">
        <f t="shared" si="217"/>
        <v>X-CDTM</v>
      </c>
      <c r="AC411" s="321" t="str">
        <f t="shared" si="218"/>
        <v>X-CDTT</v>
      </c>
      <c r="AD411" s="321" t="str">
        <f t="shared" si="219"/>
        <v>X-CDTS</v>
      </c>
      <c r="AE411" s="321" t="str">
        <f t="shared" si="220"/>
        <v>X-CDTX</v>
      </c>
      <c r="AF411" s="321" t="str">
        <f t="shared" si="221"/>
        <v>X-CDTE</v>
      </c>
      <c r="AG411" s="321">
        <f t="shared" si="212"/>
        <v>6</v>
      </c>
      <c r="AH411" s="321"/>
      <c r="AI411" s="321" t="str">
        <f t="shared" si="222"/>
        <v>X-CDT</v>
      </c>
      <c r="AJ411" s="320"/>
      <c r="AK411" s="322">
        <f t="shared" si="213"/>
        <v>406</v>
      </c>
      <c r="AL411" s="323">
        <f t="shared" si="223"/>
        <v>411</v>
      </c>
      <c r="AM411" s="322">
        <f t="shared" si="224"/>
        <v>6</v>
      </c>
      <c r="AN411" s="381">
        <f t="shared" si="214"/>
        <v>4.4624999999999998E-2</v>
      </c>
      <c r="AO411" s="322"/>
    </row>
    <row r="412" spans="2:41" ht="13.8" thickTop="1">
      <c r="B412" s="324" t="s">
        <v>2776</v>
      </c>
      <c r="C412" s="325" t="s">
        <v>2777</v>
      </c>
      <c r="D412" s="326" t="s">
        <v>1385</v>
      </c>
      <c r="E412" s="327">
        <f>+SUMIF('AUX-NIV2'!I:I,'AUX-NIV3'!B412,'AUX-NIV2'!Q:Q)</f>
        <v>0</v>
      </c>
      <c r="F412" s="327">
        <f t="shared" si="203"/>
        <v>22.138741431924956</v>
      </c>
      <c r="G412" s="327">
        <f t="shared" si="204"/>
        <v>0</v>
      </c>
      <c r="H412" s="328" t="str">
        <f t="shared" si="199"/>
        <v>A</v>
      </c>
      <c r="I412" s="325" t="s">
        <v>1746</v>
      </c>
      <c r="J412" s="329" t="str">
        <f>IF(B412&lt;&gt;"",+VLOOKUP(I412,Recursos!C:F,2,FALSE),"")</f>
        <v>OFICIAL</v>
      </c>
      <c r="K412" s="330" t="str">
        <f>IF(B412&lt;&gt;"",+VLOOKUP(I412,Recursos!C:F,3,FALSE),"")</f>
        <v>hh</v>
      </c>
      <c r="L412" s="446">
        <f>IF(B412&lt;&gt;"",+VLOOKUP(I412,Recursos!C:F,4,FALSE),"")</f>
        <v>496.91595439275824</v>
      </c>
      <c r="M412" s="437">
        <v>15</v>
      </c>
      <c r="N412" s="458">
        <v>35</v>
      </c>
      <c r="O412" s="459">
        <f>+(N413/100/M412+1/N412+1/M413+0.05/M412)/N413*1.25</f>
        <v>5.6660997732426305E-3</v>
      </c>
      <c r="P412" s="333">
        <f t="shared" si="200"/>
        <v>2.815575376505453</v>
      </c>
      <c r="Q412" s="327">
        <f t="shared" si="201"/>
        <v>0</v>
      </c>
      <c r="R412" s="334">
        <f t="shared" si="202"/>
        <v>0</v>
      </c>
      <c r="S412" s="335">
        <f t="shared" si="206"/>
        <v>2.815575376505453</v>
      </c>
      <c r="T412" s="335">
        <f t="shared" si="207"/>
        <v>19.323166055419502</v>
      </c>
      <c r="U412" s="336">
        <f t="shared" si="208"/>
        <v>0</v>
      </c>
      <c r="V412" s="336">
        <f t="shared" si="209"/>
        <v>0</v>
      </c>
      <c r="W412" s="336">
        <f t="shared" si="210"/>
        <v>0</v>
      </c>
      <c r="X412" s="336">
        <f t="shared" si="211"/>
        <v>0</v>
      </c>
      <c r="Y412" s="320"/>
      <c r="Z412" s="321" t="str">
        <f t="shared" si="215"/>
        <v>X-TDS1A</v>
      </c>
      <c r="AA412" s="321" t="str">
        <f t="shared" si="216"/>
        <v>X-TDS1E</v>
      </c>
      <c r="AB412" s="321" t="str">
        <f t="shared" si="217"/>
        <v>X-TDS1M</v>
      </c>
      <c r="AC412" s="321" t="str">
        <f t="shared" si="218"/>
        <v>X-TDS1T</v>
      </c>
      <c r="AD412" s="321" t="str">
        <f t="shared" si="219"/>
        <v>X-TDS1S</v>
      </c>
      <c r="AE412" s="321" t="str">
        <f t="shared" si="220"/>
        <v>X-TDS1X</v>
      </c>
      <c r="AF412" s="321" t="str">
        <f t="shared" si="221"/>
        <v>X-TDS1A</v>
      </c>
      <c r="AG412" s="321">
        <f t="shared" si="212"/>
        <v>2</v>
      </c>
      <c r="AH412" s="321"/>
      <c r="AI412" s="321" t="str">
        <f t="shared" si="222"/>
        <v>X-TDS1</v>
      </c>
      <c r="AJ412" s="320"/>
      <c r="AK412" s="322">
        <f t="shared" si="213"/>
        <v>412</v>
      </c>
      <c r="AL412" s="323">
        <f t="shared" si="223"/>
        <v>413</v>
      </c>
      <c r="AM412" s="322">
        <f t="shared" si="224"/>
        <v>1</v>
      </c>
      <c r="AN412" s="381">
        <f t="shared" si="214"/>
        <v>5.6660997732426305E-3</v>
      </c>
      <c r="AO412" s="322"/>
    </row>
    <row r="413" spans="2:41" ht="13.8" thickBot="1">
      <c r="B413" s="324" t="s">
        <v>2776</v>
      </c>
      <c r="C413" s="325" t="s">
        <v>2777</v>
      </c>
      <c r="D413" s="326" t="s">
        <v>1385</v>
      </c>
      <c r="E413" s="327">
        <f>+SUMIF('AUX-NIV2'!I:I,'AUX-NIV3'!B413,'AUX-NIV2'!Q:Q)</f>
        <v>0</v>
      </c>
      <c r="F413" s="327">
        <f t="shared" si="203"/>
        <v>22.138741431924956</v>
      </c>
      <c r="G413" s="327">
        <f t="shared" si="204"/>
        <v>0</v>
      </c>
      <c r="H413" s="328" t="str">
        <f t="shared" si="199"/>
        <v>E</v>
      </c>
      <c r="I413" s="325" t="s">
        <v>1672</v>
      </c>
      <c r="J413" s="329" t="str">
        <f>IF(B413&lt;&gt;"",+VLOOKUP(I413,Recursos!C:F,2,FALSE),"")</f>
        <v>CAMION VOLCADOR CAP. 24 T=15 m3</v>
      </c>
      <c r="K413" s="330" t="str">
        <f>IF(B413&lt;&gt;"",+VLOOKUP(I413,Recursos!C:F,3,FALSE),"")</f>
        <v>HR</v>
      </c>
      <c r="L413" s="446">
        <f>IF(B413&lt;&gt;"",+VLOOKUP(I413,Recursos!C:F,4,FALSE),"")</f>
        <v>4262.8895600000005</v>
      </c>
      <c r="M413" s="464">
        <v>45</v>
      </c>
      <c r="N413" s="465">
        <v>14</v>
      </c>
      <c r="O413" s="459">
        <f>+(N413/100/M412+1/N412+1/M413+0.05/M412)/N413</f>
        <v>4.532879818594104E-3</v>
      </c>
      <c r="P413" s="333">
        <f t="shared" si="200"/>
        <v>19.323166055419502</v>
      </c>
      <c r="Q413" s="327">
        <f t="shared" si="201"/>
        <v>0</v>
      </c>
      <c r="R413" s="334">
        <f t="shared" si="202"/>
        <v>0</v>
      </c>
      <c r="S413" s="335">
        <f t="shared" si="206"/>
        <v>2.815575376505453</v>
      </c>
      <c r="T413" s="335">
        <f t="shared" si="207"/>
        <v>19.323166055419502</v>
      </c>
      <c r="U413" s="336">
        <f t="shared" si="208"/>
        <v>0</v>
      </c>
      <c r="V413" s="336">
        <f t="shared" si="209"/>
        <v>0</v>
      </c>
      <c r="W413" s="336">
        <f t="shared" si="210"/>
        <v>0</v>
      </c>
      <c r="X413" s="336">
        <f t="shared" si="211"/>
        <v>0</v>
      </c>
      <c r="Y413" s="320"/>
      <c r="Z413" s="321" t="str">
        <f t="shared" si="215"/>
        <v>X-TDS1A</v>
      </c>
      <c r="AA413" s="321" t="str">
        <f t="shared" si="216"/>
        <v>X-TDS1E</v>
      </c>
      <c r="AB413" s="321" t="str">
        <f t="shared" si="217"/>
        <v>X-TDS1M</v>
      </c>
      <c r="AC413" s="321" t="str">
        <f t="shared" si="218"/>
        <v>X-TDS1T</v>
      </c>
      <c r="AD413" s="321" t="str">
        <f t="shared" si="219"/>
        <v>X-TDS1S</v>
      </c>
      <c r="AE413" s="321" t="str">
        <f t="shared" si="220"/>
        <v>X-TDS1X</v>
      </c>
      <c r="AF413" s="321" t="str">
        <f t="shared" si="221"/>
        <v>X-TDS1E</v>
      </c>
      <c r="AG413" s="321">
        <f t="shared" si="212"/>
        <v>2</v>
      </c>
      <c r="AH413" s="321"/>
      <c r="AI413" s="321" t="str">
        <f t="shared" si="222"/>
        <v>X-TDS1</v>
      </c>
      <c r="AJ413" s="320"/>
      <c r="AK413" s="322">
        <f t="shared" si="213"/>
        <v>412</v>
      </c>
      <c r="AL413" s="323">
        <f t="shared" si="223"/>
        <v>413</v>
      </c>
      <c r="AM413" s="322">
        <f t="shared" si="224"/>
        <v>2</v>
      </c>
      <c r="AN413" s="381">
        <f t="shared" si="214"/>
        <v>5.6660997732426305E-3</v>
      </c>
      <c r="AO413" s="322"/>
    </row>
    <row r="414" spans="2:41" ht="13.8" thickTop="1">
      <c r="B414" s="324" t="s">
        <v>2781</v>
      </c>
      <c r="C414" s="325" t="s">
        <v>2782</v>
      </c>
      <c r="D414" s="326" t="s">
        <v>1160</v>
      </c>
      <c r="E414" s="327">
        <f>+SUMIF('AUX-NIV2'!I:I,'AUX-NIV3'!B414,'AUX-NIV2'!Q:Q)</f>
        <v>0</v>
      </c>
      <c r="F414" s="327">
        <f t="shared" si="203"/>
        <v>52.347526405812978</v>
      </c>
      <c r="G414" s="327">
        <f t="shared" si="204"/>
        <v>0</v>
      </c>
      <c r="H414" s="328" t="str">
        <f t="shared" si="199"/>
        <v>A</v>
      </c>
      <c r="I414" s="325" t="s">
        <v>1745</v>
      </c>
      <c r="J414" s="329" t="str">
        <f>IF(B414&lt;&gt;"",+VLOOKUP(I414,Recursos!C:F,2,FALSE),"")</f>
        <v>AYUDANTE</v>
      </c>
      <c r="K414" s="330" t="str">
        <f>IF(B414&lt;&gt;"",+VLOOKUP(I414,Recursos!C:F,3,FALSE),"")</f>
        <v>hh</v>
      </c>
      <c r="L414" s="446">
        <f>IF(B414&lt;&gt;"",+VLOOKUP(I414,Recursos!C:F,4,FALSE),"")</f>
        <v>422.48042769667234</v>
      </c>
      <c r="M414" s="492">
        <f>+M415</f>
        <v>100</v>
      </c>
      <c r="N414" s="493">
        <f>+N415</f>
        <v>1.25</v>
      </c>
      <c r="O414" s="459">
        <f>+N414/M414</f>
        <v>1.2500000000000001E-2</v>
      </c>
      <c r="P414" s="333">
        <f t="shared" si="200"/>
        <v>5.2810053462084046</v>
      </c>
      <c r="Q414" s="327">
        <f t="shared" si="201"/>
        <v>0</v>
      </c>
      <c r="R414" s="334">
        <f t="shared" si="202"/>
        <v>0</v>
      </c>
      <c r="S414" s="335">
        <f t="shared" si="206"/>
        <v>12.544270405812973</v>
      </c>
      <c r="T414" s="335">
        <f t="shared" si="207"/>
        <v>39.803256000000005</v>
      </c>
      <c r="U414" s="336">
        <f t="shared" si="208"/>
        <v>0</v>
      </c>
      <c r="V414" s="336">
        <f t="shared" si="209"/>
        <v>0</v>
      </c>
      <c r="W414" s="336">
        <f t="shared" si="210"/>
        <v>0</v>
      </c>
      <c r="X414" s="336">
        <f t="shared" si="211"/>
        <v>0</v>
      </c>
      <c r="Y414" s="320"/>
      <c r="Z414" s="321" t="str">
        <f t="shared" si="215"/>
        <v>X-DIS1A</v>
      </c>
      <c r="AA414" s="321" t="str">
        <f t="shared" si="216"/>
        <v>X-DIS1E</v>
      </c>
      <c r="AB414" s="321" t="str">
        <f t="shared" si="217"/>
        <v>X-DIS1M</v>
      </c>
      <c r="AC414" s="321" t="str">
        <f t="shared" si="218"/>
        <v>X-DIS1T</v>
      </c>
      <c r="AD414" s="321" t="str">
        <f t="shared" si="219"/>
        <v>X-DIS1S</v>
      </c>
      <c r="AE414" s="321" t="str">
        <f t="shared" si="220"/>
        <v>X-DIS1X</v>
      </c>
      <c r="AF414" s="321" t="str">
        <f t="shared" si="221"/>
        <v>X-DIS1A</v>
      </c>
      <c r="AG414" s="321">
        <f t="shared" si="212"/>
        <v>3</v>
      </c>
      <c r="AH414" s="321"/>
      <c r="AI414" s="321" t="str">
        <f t="shared" si="222"/>
        <v>X-DIS1</v>
      </c>
      <c r="AJ414" s="320"/>
      <c r="AK414" s="322">
        <f t="shared" si="213"/>
        <v>414</v>
      </c>
      <c r="AL414" s="323">
        <f t="shared" si="223"/>
        <v>416</v>
      </c>
      <c r="AM414" s="322">
        <f t="shared" si="224"/>
        <v>1</v>
      </c>
      <c r="AN414" s="381">
        <f t="shared" si="214"/>
        <v>2.5000000000000001E-2</v>
      </c>
      <c r="AO414" s="322"/>
    </row>
    <row r="415" spans="2:41">
      <c r="B415" s="324" t="s">
        <v>2781</v>
      </c>
      <c r="C415" s="325" t="s">
        <v>2782</v>
      </c>
      <c r="D415" s="326" t="s">
        <v>1160</v>
      </c>
      <c r="E415" s="327">
        <f>+SUMIF('AUX-NIV2'!I:I,'AUX-NIV3'!B415,'AUX-NIV2'!Q:Q)</f>
        <v>0</v>
      </c>
      <c r="F415" s="327">
        <f t="shared" si="203"/>
        <v>52.347526405812978</v>
      </c>
      <c r="G415" s="327">
        <f t="shared" si="204"/>
        <v>0</v>
      </c>
      <c r="H415" s="328" t="str">
        <f t="shared" si="199"/>
        <v>A</v>
      </c>
      <c r="I415" s="325" t="s">
        <v>3310</v>
      </c>
      <c r="J415" s="329" t="str">
        <f>IF(B415&lt;&gt;"",+VLOOKUP(I415,Recursos!C:F,2,FALSE),"")</f>
        <v>OFICIAL ESPECIALIZADO</v>
      </c>
      <c r="K415" s="330" t="str">
        <f>IF(B415&lt;&gt;"",+VLOOKUP(I415,Recursos!C:F,3,FALSE),"")</f>
        <v>hh</v>
      </c>
      <c r="L415" s="446">
        <f>IF(B415&lt;&gt;"",+VLOOKUP(I415,Recursos!C:F,4,FALSE),"")</f>
        <v>581.06120476836554</v>
      </c>
      <c r="M415" s="494">
        <f>+M416</f>
        <v>100</v>
      </c>
      <c r="N415" s="463">
        <v>1.25</v>
      </c>
      <c r="O415" s="459">
        <f>+N415/M415</f>
        <v>1.2500000000000001E-2</v>
      </c>
      <c r="P415" s="333">
        <f t="shared" si="200"/>
        <v>7.2632650596045698</v>
      </c>
      <c r="Q415" s="327">
        <f t="shared" si="201"/>
        <v>0</v>
      </c>
      <c r="R415" s="334">
        <f t="shared" si="202"/>
        <v>0</v>
      </c>
      <c r="S415" s="335">
        <f t="shared" si="206"/>
        <v>12.544270405812973</v>
      </c>
      <c r="T415" s="335">
        <f t="shared" si="207"/>
        <v>39.803256000000005</v>
      </c>
      <c r="U415" s="336">
        <f t="shared" si="208"/>
        <v>0</v>
      </c>
      <c r="V415" s="336">
        <f t="shared" si="209"/>
        <v>0</v>
      </c>
      <c r="W415" s="336">
        <f t="shared" si="210"/>
        <v>0</v>
      </c>
      <c r="X415" s="336">
        <f t="shared" si="211"/>
        <v>0</v>
      </c>
      <c r="Y415" s="320"/>
      <c r="Z415" s="321" t="str">
        <f t="shared" si="215"/>
        <v>X-DIS1A</v>
      </c>
      <c r="AA415" s="321" t="str">
        <f t="shared" si="216"/>
        <v>X-DIS1E</v>
      </c>
      <c r="AB415" s="321" t="str">
        <f t="shared" si="217"/>
        <v>X-DIS1M</v>
      </c>
      <c r="AC415" s="321" t="str">
        <f t="shared" si="218"/>
        <v>X-DIS1T</v>
      </c>
      <c r="AD415" s="321" t="str">
        <f t="shared" si="219"/>
        <v>X-DIS1S</v>
      </c>
      <c r="AE415" s="321" t="str">
        <f t="shared" si="220"/>
        <v>X-DIS1X</v>
      </c>
      <c r="AF415" s="321" t="str">
        <f t="shared" si="221"/>
        <v>X-DIS1A</v>
      </c>
      <c r="AG415" s="321">
        <f t="shared" si="212"/>
        <v>3</v>
      </c>
      <c r="AH415" s="321"/>
      <c r="AI415" s="321" t="str">
        <f t="shared" si="222"/>
        <v>X-DIS1</v>
      </c>
      <c r="AJ415" s="320"/>
      <c r="AK415" s="322">
        <f t="shared" si="213"/>
        <v>414</v>
      </c>
      <c r="AL415" s="323">
        <f t="shared" si="223"/>
        <v>416</v>
      </c>
      <c r="AM415" s="322">
        <f t="shared" si="224"/>
        <v>2</v>
      </c>
      <c r="AN415" s="381">
        <f t="shared" si="214"/>
        <v>2.5000000000000001E-2</v>
      </c>
      <c r="AO415" s="322"/>
    </row>
    <row r="416" spans="2:41" ht="13.8" thickBot="1">
      <c r="B416" s="324" t="s">
        <v>2781</v>
      </c>
      <c r="C416" s="325" t="s">
        <v>2782</v>
      </c>
      <c r="D416" s="326" t="s">
        <v>1160</v>
      </c>
      <c r="E416" s="327">
        <f>+SUMIF('AUX-NIV2'!I:I,'AUX-NIV3'!B416,'AUX-NIV2'!Q:Q)</f>
        <v>0</v>
      </c>
      <c r="F416" s="327">
        <f t="shared" si="203"/>
        <v>52.347526405812978</v>
      </c>
      <c r="G416" s="327">
        <f t="shared" si="204"/>
        <v>0</v>
      </c>
      <c r="H416" s="328" t="str">
        <f t="shared" si="199"/>
        <v>E</v>
      </c>
      <c r="I416" s="325" t="s">
        <v>1536</v>
      </c>
      <c r="J416" s="329" t="str">
        <f>IF(B416&lt;&gt;"",+VLOOKUP(I416,Recursos!C:F,2,FALSE),"")</f>
        <v>TOPADORA SIN ESC.(15 T)</v>
      </c>
      <c r="K416" s="330" t="str">
        <f>IF(B416&lt;&gt;"",+VLOOKUP(I416,Recursos!C:F,3,FALSE),"")</f>
        <v>HR</v>
      </c>
      <c r="L416" s="446">
        <f>IF(B416&lt;&gt;"",+VLOOKUP(I416,Recursos!C:F,4,FALSE),"")</f>
        <v>3980.3256000000001</v>
      </c>
      <c r="M416" s="464">
        <v>100</v>
      </c>
      <c r="N416" s="465">
        <v>1</v>
      </c>
      <c r="O416" s="459">
        <f>1/M416</f>
        <v>0.01</v>
      </c>
      <c r="P416" s="333">
        <f t="shared" si="200"/>
        <v>39.803256000000005</v>
      </c>
      <c r="Q416" s="327">
        <f t="shared" si="201"/>
        <v>0</v>
      </c>
      <c r="R416" s="334">
        <f t="shared" si="202"/>
        <v>0</v>
      </c>
      <c r="S416" s="335">
        <f t="shared" si="206"/>
        <v>12.544270405812973</v>
      </c>
      <c r="T416" s="335">
        <f t="shared" si="207"/>
        <v>39.803256000000005</v>
      </c>
      <c r="U416" s="336">
        <f t="shared" si="208"/>
        <v>0</v>
      </c>
      <c r="V416" s="336">
        <f t="shared" si="209"/>
        <v>0</v>
      </c>
      <c r="W416" s="336">
        <f t="shared" si="210"/>
        <v>0</v>
      </c>
      <c r="X416" s="336">
        <f t="shared" si="211"/>
        <v>0</v>
      </c>
      <c r="Y416" s="320"/>
      <c r="Z416" s="321" t="str">
        <f t="shared" si="215"/>
        <v>X-DIS1A</v>
      </c>
      <c r="AA416" s="321" t="str">
        <f t="shared" si="216"/>
        <v>X-DIS1E</v>
      </c>
      <c r="AB416" s="321" t="str">
        <f t="shared" si="217"/>
        <v>X-DIS1M</v>
      </c>
      <c r="AC416" s="321" t="str">
        <f t="shared" si="218"/>
        <v>X-DIS1T</v>
      </c>
      <c r="AD416" s="321" t="str">
        <f t="shared" si="219"/>
        <v>X-DIS1S</v>
      </c>
      <c r="AE416" s="321" t="str">
        <f t="shared" si="220"/>
        <v>X-DIS1X</v>
      </c>
      <c r="AF416" s="321" t="str">
        <f t="shared" si="221"/>
        <v>X-DIS1E</v>
      </c>
      <c r="AG416" s="321">
        <f t="shared" si="212"/>
        <v>3</v>
      </c>
      <c r="AH416" s="321"/>
      <c r="AI416" s="321" t="str">
        <f t="shared" si="222"/>
        <v>X-DIS1</v>
      </c>
      <c r="AJ416" s="320"/>
      <c r="AK416" s="322">
        <f t="shared" si="213"/>
        <v>414</v>
      </c>
      <c r="AL416" s="323">
        <f t="shared" si="223"/>
        <v>416</v>
      </c>
      <c r="AM416" s="322">
        <f t="shared" si="224"/>
        <v>3</v>
      </c>
      <c r="AN416" s="381">
        <f t="shared" si="214"/>
        <v>2.5000000000000001E-2</v>
      </c>
      <c r="AO416" s="322"/>
    </row>
    <row r="417" spans="2:41" ht="13.8" thickTop="1">
      <c r="B417" s="324" t="s">
        <v>2783</v>
      </c>
      <c r="C417" s="325" t="s">
        <v>2784</v>
      </c>
      <c r="D417" s="326" t="s">
        <v>1160</v>
      </c>
      <c r="E417" s="327">
        <f>+SUMIF('AUX-NIV2'!I:I,'AUX-NIV3'!B417,'AUX-NIV2'!Q:Q)</f>
        <v>0</v>
      </c>
      <c r="F417" s="327">
        <f t="shared" si="203"/>
        <v>32.804741805812974</v>
      </c>
      <c r="G417" s="327">
        <f t="shared" si="204"/>
        <v>0</v>
      </c>
      <c r="H417" s="328" t="str">
        <f t="shared" si="199"/>
        <v>A</v>
      </c>
      <c r="I417" s="325" t="s">
        <v>1745</v>
      </c>
      <c r="J417" s="329" t="str">
        <f>IF(B417&lt;&gt;"",+VLOOKUP(I417,Recursos!C:F,2,FALSE),"")</f>
        <v>AYUDANTE</v>
      </c>
      <c r="K417" s="330" t="str">
        <f>IF(B417&lt;&gt;"",+VLOOKUP(I417,Recursos!C:F,3,FALSE),"")</f>
        <v>hh</v>
      </c>
      <c r="L417" s="446">
        <f>IF(B417&lt;&gt;"",+VLOOKUP(I417,Recursos!C:F,4,FALSE),"")</f>
        <v>422.48042769667234</v>
      </c>
      <c r="M417" s="492">
        <f>+M418</f>
        <v>100</v>
      </c>
      <c r="N417" s="493">
        <f>+N418</f>
        <v>1.25</v>
      </c>
      <c r="O417" s="459">
        <f>+N417/M417</f>
        <v>1.2500000000000001E-2</v>
      </c>
      <c r="P417" s="333">
        <f t="shared" si="200"/>
        <v>5.2810053462084046</v>
      </c>
      <c r="Q417" s="327">
        <f t="shared" si="201"/>
        <v>0</v>
      </c>
      <c r="R417" s="334">
        <f t="shared" si="202"/>
        <v>0</v>
      </c>
      <c r="S417" s="335">
        <f t="shared" si="206"/>
        <v>12.544270405812973</v>
      </c>
      <c r="T417" s="335">
        <f t="shared" si="207"/>
        <v>20.2604714</v>
      </c>
      <c r="U417" s="336">
        <f t="shared" si="208"/>
        <v>0</v>
      </c>
      <c r="V417" s="336">
        <f t="shared" si="209"/>
        <v>0</v>
      </c>
      <c r="W417" s="336">
        <f t="shared" si="210"/>
        <v>0</v>
      </c>
      <c r="X417" s="336">
        <f t="shared" si="211"/>
        <v>0</v>
      </c>
      <c r="Y417" s="320"/>
      <c r="Z417" s="321" t="str">
        <f t="shared" si="215"/>
        <v>X-CDPA</v>
      </c>
      <c r="AA417" s="321" t="str">
        <f t="shared" si="216"/>
        <v>X-CDPE</v>
      </c>
      <c r="AB417" s="321" t="str">
        <f t="shared" si="217"/>
        <v>X-CDPM</v>
      </c>
      <c r="AC417" s="321" t="str">
        <f t="shared" si="218"/>
        <v>X-CDPT</v>
      </c>
      <c r="AD417" s="321" t="str">
        <f t="shared" si="219"/>
        <v>X-CDPS</v>
      </c>
      <c r="AE417" s="321" t="str">
        <f t="shared" si="220"/>
        <v>X-CDPX</v>
      </c>
      <c r="AF417" s="321" t="str">
        <f t="shared" si="221"/>
        <v>X-CDPA</v>
      </c>
      <c r="AG417" s="321">
        <f t="shared" si="212"/>
        <v>3</v>
      </c>
      <c r="AH417" s="321"/>
      <c r="AI417" s="321" t="str">
        <f t="shared" si="222"/>
        <v>X-CDP</v>
      </c>
      <c r="AJ417" s="320"/>
      <c r="AK417" s="322">
        <f t="shared" si="213"/>
        <v>417</v>
      </c>
      <c r="AL417" s="323">
        <f t="shared" si="223"/>
        <v>419</v>
      </c>
      <c r="AM417" s="322">
        <f t="shared" si="224"/>
        <v>1</v>
      </c>
      <c r="AN417" s="381">
        <f t="shared" si="214"/>
        <v>2.5000000000000001E-2</v>
      </c>
      <c r="AO417" s="322"/>
    </row>
    <row r="418" spans="2:41">
      <c r="B418" s="324" t="s">
        <v>2783</v>
      </c>
      <c r="C418" s="325" t="s">
        <v>2784</v>
      </c>
      <c r="D418" s="326" t="s">
        <v>1160</v>
      </c>
      <c r="E418" s="327">
        <f>+SUMIF('AUX-NIV2'!I:I,'AUX-NIV3'!B418,'AUX-NIV2'!Q:Q)</f>
        <v>0</v>
      </c>
      <c r="F418" s="327">
        <f t="shared" si="203"/>
        <v>32.804741805812974</v>
      </c>
      <c r="G418" s="327">
        <f t="shared" si="204"/>
        <v>0</v>
      </c>
      <c r="H418" s="328" t="str">
        <f t="shared" ref="H418:H446" si="225">IF(B418&lt;&gt;"",+LEFT(I418,1),"")</f>
        <v>A</v>
      </c>
      <c r="I418" s="325" t="s">
        <v>3310</v>
      </c>
      <c r="J418" s="329" t="str">
        <f>IF(B418&lt;&gt;"",+VLOOKUP(I418,Recursos!C:F,2,FALSE),"")</f>
        <v>OFICIAL ESPECIALIZADO</v>
      </c>
      <c r="K418" s="330" t="str">
        <f>IF(B418&lt;&gt;"",+VLOOKUP(I418,Recursos!C:F,3,FALSE),"")</f>
        <v>hh</v>
      </c>
      <c r="L418" s="446">
        <f>IF(B418&lt;&gt;"",+VLOOKUP(I418,Recursos!C:F,4,FALSE),"")</f>
        <v>581.06120476836554</v>
      </c>
      <c r="M418" s="494">
        <f>+M419</f>
        <v>100</v>
      </c>
      <c r="N418" s="463">
        <v>1.25</v>
      </c>
      <c r="O418" s="459">
        <f>+N418/M418</f>
        <v>1.2500000000000001E-2</v>
      </c>
      <c r="P418" s="333">
        <f t="shared" si="200"/>
        <v>7.2632650596045698</v>
      </c>
      <c r="Q418" s="327">
        <f t="shared" si="201"/>
        <v>0</v>
      </c>
      <c r="R418" s="334">
        <f t="shared" si="202"/>
        <v>0</v>
      </c>
      <c r="S418" s="335">
        <f t="shared" si="206"/>
        <v>12.544270405812973</v>
      </c>
      <c r="T418" s="335">
        <f t="shared" si="207"/>
        <v>20.2604714</v>
      </c>
      <c r="U418" s="336">
        <f t="shared" si="208"/>
        <v>0</v>
      </c>
      <c r="V418" s="336">
        <f t="shared" si="209"/>
        <v>0</v>
      </c>
      <c r="W418" s="336">
        <f t="shared" si="210"/>
        <v>0</v>
      </c>
      <c r="X418" s="336">
        <f t="shared" si="211"/>
        <v>0</v>
      </c>
      <c r="Y418" s="320"/>
      <c r="Z418" s="321" t="str">
        <f t="shared" si="215"/>
        <v>X-CDPA</v>
      </c>
      <c r="AA418" s="321" t="str">
        <f t="shared" si="216"/>
        <v>X-CDPE</v>
      </c>
      <c r="AB418" s="321" t="str">
        <f t="shared" si="217"/>
        <v>X-CDPM</v>
      </c>
      <c r="AC418" s="321" t="str">
        <f t="shared" si="218"/>
        <v>X-CDPT</v>
      </c>
      <c r="AD418" s="321" t="str">
        <f t="shared" si="219"/>
        <v>X-CDPS</v>
      </c>
      <c r="AE418" s="321" t="str">
        <f t="shared" si="220"/>
        <v>X-CDPX</v>
      </c>
      <c r="AF418" s="321" t="str">
        <f t="shared" si="221"/>
        <v>X-CDPA</v>
      </c>
      <c r="AG418" s="321">
        <f t="shared" si="212"/>
        <v>3</v>
      </c>
      <c r="AH418" s="321"/>
      <c r="AI418" s="321" t="str">
        <f t="shared" si="222"/>
        <v>X-CDP</v>
      </c>
      <c r="AJ418" s="320"/>
      <c r="AK418" s="322">
        <f t="shared" si="213"/>
        <v>417</v>
      </c>
      <c r="AL418" s="323">
        <f t="shared" si="223"/>
        <v>419</v>
      </c>
      <c r="AM418" s="322">
        <f t="shared" si="224"/>
        <v>2</v>
      </c>
      <c r="AN418" s="381">
        <f t="shared" si="214"/>
        <v>2.5000000000000001E-2</v>
      </c>
      <c r="AO418" s="322"/>
    </row>
    <row r="419" spans="2:41" ht="13.8" thickBot="1">
      <c r="B419" s="324" t="s">
        <v>2783</v>
      </c>
      <c r="C419" s="325" t="s">
        <v>2784</v>
      </c>
      <c r="D419" s="326" t="s">
        <v>1160</v>
      </c>
      <c r="E419" s="327">
        <f>+SUMIF('AUX-NIV2'!I:I,'AUX-NIV3'!B419,'AUX-NIV2'!Q:Q)</f>
        <v>0</v>
      </c>
      <c r="F419" s="327">
        <f t="shared" si="203"/>
        <v>32.804741805812974</v>
      </c>
      <c r="G419" s="327">
        <f t="shared" si="204"/>
        <v>0</v>
      </c>
      <c r="H419" s="328" t="str">
        <f t="shared" si="225"/>
        <v>E</v>
      </c>
      <c r="I419" s="325" t="s">
        <v>1682</v>
      </c>
      <c r="J419" s="329" t="str">
        <f>IF(B419&lt;&gt;"",+VLOOKUP(I419,Recursos!C:F,2,FALSE),"")</f>
        <v>COMPACT. LISO VIBR. AUTOP.-11 T</v>
      </c>
      <c r="K419" s="330" t="str">
        <f>IF(B419&lt;&gt;"",+VLOOKUP(I419,Recursos!C:F,3,FALSE),"")</f>
        <v>HR</v>
      </c>
      <c r="L419" s="446">
        <f>IF(B419&lt;&gt;"",+VLOOKUP(I419,Recursos!C:F,4,FALSE),"")</f>
        <v>2026.0471399999999</v>
      </c>
      <c r="M419" s="464">
        <v>100</v>
      </c>
      <c r="N419" s="465">
        <v>1</v>
      </c>
      <c r="O419" s="459">
        <f>1/M419</f>
        <v>0.01</v>
      </c>
      <c r="P419" s="333">
        <f t="shared" si="200"/>
        <v>20.2604714</v>
      </c>
      <c r="Q419" s="327">
        <f t="shared" si="201"/>
        <v>0</v>
      </c>
      <c r="R419" s="334">
        <f t="shared" si="202"/>
        <v>0</v>
      </c>
      <c r="S419" s="335">
        <f t="shared" si="206"/>
        <v>12.544270405812973</v>
      </c>
      <c r="T419" s="335">
        <f t="shared" si="207"/>
        <v>20.2604714</v>
      </c>
      <c r="U419" s="336">
        <f t="shared" si="208"/>
        <v>0</v>
      </c>
      <c r="V419" s="336">
        <f t="shared" si="209"/>
        <v>0</v>
      </c>
      <c r="W419" s="336">
        <f t="shared" si="210"/>
        <v>0</v>
      </c>
      <c r="X419" s="336">
        <f t="shared" si="211"/>
        <v>0</v>
      </c>
      <c r="Y419" s="320"/>
      <c r="Z419" s="321" t="str">
        <f t="shared" si="215"/>
        <v>X-CDPA</v>
      </c>
      <c r="AA419" s="321" t="str">
        <f t="shared" si="216"/>
        <v>X-CDPE</v>
      </c>
      <c r="AB419" s="321" t="str">
        <f t="shared" si="217"/>
        <v>X-CDPM</v>
      </c>
      <c r="AC419" s="321" t="str">
        <f t="shared" si="218"/>
        <v>X-CDPT</v>
      </c>
      <c r="AD419" s="321" t="str">
        <f t="shared" si="219"/>
        <v>X-CDPS</v>
      </c>
      <c r="AE419" s="321" t="str">
        <f t="shared" si="220"/>
        <v>X-CDPX</v>
      </c>
      <c r="AF419" s="321" t="str">
        <f t="shared" si="221"/>
        <v>X-CDPE</v>
      </c>
      <c r="AG419" s="321">
        <f t="shared" si="212"/>
        <v>3</v>
      </c>
      <c r="AH419" s="321"/>
      <c r="AI419" s="321" t="str">
        <f t="shared" si="222"/>
        <v>X-CDP</v>
      </c>
      <c r="AJ419" s="320"/>
      <c r="AK419" s="322">
        <f t="shared" si="213"/>
        <v>417</v>
      </c>
      <c r="AL419" s="323">
        <f t="shared" si="223"/>
        <v>419</v>
      </c>
      <c r="AM419" s="322">
        <f t="shared" si="224"/>
        <v>3</v>
      </c>
      <c r="AN419" s="381">
        <f t="shared" si="214"/>
        <v>2.5000000000000001E-2</v>
      </c>
      <c r="AO419" s="322"/>
    </row>
    <row r="420" spans="2:41" ht="13.8" thickTop="1">
      <c r="B420" s="324" t="s">
        <v>2789</v>
      </c>
      <c r="C420" s="325" t="s">
        <v>2790</v>
      </c>
      <c r="D420" s="326" t="s">
        <v>1160</v>
      </c>
      <c r="E420" s="327">
        <f>+SUMIF('AUX-NIV2'!I:I,'AUX-NIV3'!B420,'AUX-NIV2'!Q:Q)</f>
        <v>0</v>
      </c>
      <c r="F420" s="327">
        <f t="shared" si="203"/>
        <v>214.09179920066973</v>
      </c>
      <c r="G420" s="327">
        <f t="shared" si="204"/>
        <v>0</v>
      </c>
      <c r="H420" s="328" t="str">
        <f t="shared" si="225"/>
        <v>A</v>
      </c>
      <c r="I420" s="325" t="s">
        <v>1745</v>
      </c>
      <c r="J420" s="329" t="str">
        <f>IF(B420&lt;&gt;"",+VLOOKUP(I420,Recursos!C:F,2,FALSE),"")</f>
        <v>AYUDANTE</v>
      </c>
      <c r="K420" s="330" t="str">
        <f>IF(B420&lt;&gt;"",+VLOOKUP(I420,Recursos!C:F,3,FALSE),"")</f>
        <v>hh</v>
      </c>
      <c r="L420" s="446">
        <f>IF(B420&lt;&gt;"",+VLOOKUP(I420,Recursos!C:F,4,FALSE),"")</f>
        <v>422.48042769667234</v>
      </c>
      <c r="M420" s="457">
        <f>+M421</f>
        <v>30</v>
      </c>
      <c r="N420" s="458">
        <v>4</v>
      </c>
      <c r="O420" s="459">
        <f>+N420/M420*N423</f>
        <v>0.16666666666666666</v>
      </c>
      <c r="P420" s="333">
        <f t="shared" si="200"/>
        <v>70.413404616112047</v>
      </c>
      <c r="Q420" s="327">
        <f t="shared" si="201"/>
        <v>0</v>
      </c>
      <c r="R420" s="334">
        <f t="shared" si="202"/>
        <v>0</v>
      </c>
      <c r="S420" s="335">
        <f t="shared" si="206"/>
        <v>109.15081826733642</v>
      </c>
      <c r="T420" s="335">
        <f t="shared" si="207"/>
        <v>104.94098093333334</v>
      </c>
      <c r="U420" s="336">
        <f t="shared" si="208"/>
        <v>0</v>
      </c>
      <c r="V420" s="336">
        <f t="shared" si="209"/>
        <v>0</v>
      </c>
      <c r="W420" s="336">
        <f t="shared" si="210"/>
        <v>0</v>
      </c>
      <c r="X420" s="336">
        <f t="shared" si="211"/>
        <v>0</v>
      </c>
      <c r="Y420" s="320"/>
      <c r="Z420" s="321" t="str">
        <f t="shared" si="215"/>
        <v>X-CEZA</v>
      </c>
      <c r="AA420" s="321" t="str">
        <f t="shared" si="216"/>
        <v>X-CEZE</v>
      </c>
      <c r="AB420" s="321" t="str">
        <f t="shared" si="217"/>
        <v>X-CEZM</v>
      </c>
      <c r="AC420" s="321" t="str">
        <f t="shared" si="218"/>
        <v>X-CEZT</v>
      </c>
      <c r="AD420" s="321" t="str">
        <f t="shared" si="219"/>
        <v>X-CEZS</v>
      </c>
      <c r="AE420" s="321" t="str">
        <f t="shared" si="220"/>
        <v>X-CEZX</v>
      </c>
      <c r="AF420" s="321" t="str">
        <f t="shared" si="221"/>
        <v>X-CEZA</v>
      </c>
      <c r="AG420" s="321">
        <f t="shared" si="212"/>
        <v>6</v>
      </c>
      <c r="AH420" s="321"/>
      <c r="AI420" s="321" t="str">
        <f t="shared" si="222"/>
        <v>X-CEZ</v>
      </c>
      <c r="AJ420" s="320"/>
      <c r="AK420" s="322">
        <f t="shared" si="213"/>
        <v>420</v>
      </c>
      <c r="AL420" s="323">
        <f t="shared" si="223"/>
        <v>425</v>
      </c>
      <c r="AM420" s="322">
        <f t="shared" si="224"/>
        <v>1</v>
      </c>
      <c r="AN420" s="381">
        <f t="shared" si="214"/>
        <v>0.23333333333333331</v>
      </c>
      <c r="AO420" s="322"/>
    </row>
    <row r="421" spans="2:41">
      <c r="B421" s="324" t="s">
        <v>2789</v>
      </c>
      <c r="C421" s="325" t="s">
        <v>2790</v>
      </c>
      <c r="D421" s="326" t="s">
        <v>1160</v>
      </c>
      <c r="E421" s="327">
        <f>+SUMIF('AUX-NIV2'!I:I,'AUX-NIV3'!B421,'AUX-NIV2'!Q:Q)</f>
        <v>0</v>
      </c>
      <c r="F421" s="327">
        <f t="shared" si="203"/>
        <v>214.09179920066973</v>
      </c>
      <c r="G421" s="327">
        <f t="shared" si="204"/>
        <v>0</v>
      </c>
      <c r="H421" s="328" t="str">
        <f t="shared" si="225"/>
        <v>A</v>
      </c>
      <c r="I421" s="325" t="s">
        <v>3310</v>
      </c>
      <c r="J421" s="329" t="str">
        <f>IF(B421&lt;&gt;"",+VLOOKUP(I421,Recursos!C:F,2,FALSE),"")</f>
        <v>OFICIAL ESPECIALIZADO</v>
      </c>
      <c r="K421" s="330" t="str">
        <f>IF(B421&lt;&gt;"",+VLOOKUP(I421,Recursos!C:F,3,FALSE),"")</f>
        <v>hh</v>
      </c>
      <c r="L421" s="446">
        <f>IF(B421&lt;&gt;"",+VLOOKUP(I421,Recursos!C:F,4,FALSE),"")</f>
        <v>581.06120476836554</v>
      </c>
      <c r="M421" s="443">
        <f>+M422</f>
        <v>30</v>
      </c>
      <c r="N421" s="497">
        <v>0.4</v>
      </c>
      <c r="O421" s="459">
        <f>+N421/M421*N423</f>
        <v>1.6666666666666666E-2</v>
      </c>
      <c r="P421" s="333">
        <f t="shared" si="200"/>
        <v>9.6843534128060931</v>
      </c>
      <c r="Q421" s="327">
        <f t="shared" si="201"/>
        <v>0</v>
      </c>
      <c r="R421" s="334">
        <f t="shared" si="202"/>
        <v>0</v>
      </c>
      <c r="S421" s="335">
        <f t="shared" si="206"/>
        <v>109.15081826733642</v>
      </c>
      <c r="T421" s="335">
        <f t="shared" si="207"/>
        <v>104.94098093333334</v>
      </c>
      <c r="U421" s="336">
        <f t="shared" si="208"/>
        <v>0</v>
      </c>
      <c r="V421" s="336">
        <f t="shared" si="209"/>
        <v>0</v>
      </c>
      <c r="W421" s="336">
        <f t="shared" si="210"/>
        <v>0</v>
      </c>
      <c r="X421" s="336">
        <f t="shared" si="211"/>
        <v>0</v>
      </c>
      <c r="Y421" s="320"/>
      <c r="Z421" s="321" t="str">
        <f t="shared" si="215"/>
        <v>X-CEZA</v>
      </c>
      <c r="AA421" s="321" t="str">
        <f t="shared" si="216"/>
        <v>X-CEZE</v>
      </c>
      <c r="AB421" s="321" t="str">
        <f t="shared" si="217"/>
        <v>X-CEZM</v>
      </c>
      <c r="AC421" s="321" t="str">
        <f t="shared" si="218"/>
        <v>X-CEZT</v>
      </c>
      <c r="AD421" s="321" t="str">
        <f t="shared" si="219"/>
        <v>X-CEZS</v>
      </c>
      <c r="AE421" s="321" t="str">
        <f t="shared" si="220"/>
        <v>X-CEZX</v>
      </c>
      <c r="AF421" s="321" t="str">
        <f t="shared" si="221"/>
        <v>X-CEZA</v>
      </c>
      <c r="AG421" s="321">
        <f t="shared" si="212"/>
        <v>6</v>
      </c>
      <c r="AH421" s="321"/>
      <c r="AI421" s="321" t="str">
        <f t="shared" si="222"/>
        <v>X-CEZ</v>
      </c>
      <c r="AJ421" s="320"/>
      <c r="AK421" s="322">
        <f t="shared" si="213"/>
        <v>420</v>
      </c>
      <c r="AL421" s="323">
        <f t="shared" si="223"/>
        <v>425</v>
      </c>
      <c r="AM421" s="322">
        <f t="shared" si="224"/>
        <v>2</v>
      </c>
      <c r="AN421" s="381">
        <f t="shared" si="214"/>
        <v>0.23333333333333331</v>
      </c>
      <c r="AO421" s="322"/>
    </row>
    <row r="422" spans="2:41">
      <c r="B422" s="324" t="s">
        <v>2789</v>
      </c>
      <c r="C422" s="325" t="s">
        <v>2790</v>
      </c>
      <c r="D422" s="326" t="s">
        <v>1160</v>
      </c>
      <c r="E422" s="327">
        <f>+SUMIF('AUX-NIV2'!I:I,'AUX-NIV3'!B422,'AUX-NIV2'!Q:Q)</f>
        <v>0</v>
      </c>
      <c r="F422" s="327">
        <f t="shared" si="203"/>
        <v>214.09179920066973</v>
      </c>
      <c r="G422" s="327">
        <f t="shared" si="204"/>
        <v>0</v>
      </c>
      <c r="H422" s="328" t="str">
        <f t="shared" si="225"/>
        <v>A</v>
      </c>
      <c r="I422" s="325" t="s">
        <v>3310</v>
      </c>
      <c r="J422" s="329" t="str">
        <f>IF(B422&lt;&gt;"",+VLOOKUP(I422,Recursos!C:F,2,FALSE),"")</f>
        <v>OFICIAL ESPECIALIZADO</v>
      </c>
      <c r="K422" s="330" t="str">
        <f>IF(B422&lt;&gt;"",+VLOOKUP(I422,Recursos!C:F,3,FALSE),"")</f>
        <v>hh</v>
      </c>
      <c r="L422" s="446">
        <f>IF(B422&lt;&gt;"",+VLOOKUP(I422,Recursos!C:F,4,FALSE),"")</f>
        <v>581.06120476836554</v>
      </c>
      <c r="M422" s="443">
        <f>+M424</f>
        <v>30</v>
      </c>
      <c r="N422" s="442">
        <f>+N423</f>
        <v>1.25</v>
      </c>
      <c r="O422" s="459">
        <f>+N422/M422</f>
        <v>4.1666666666666664E-2</v>
      </c>
      <c r="P422" s="333">
        <f t="shared" si="200"/>
        <v>24.210883532015231</v>
      </c>
      <c r="Q422" s="327">
        <f t="shared" si="201"/>
        <v>0</v>
      </c>
      <c r="R422" s="334">
        <f t="shared" si="202"/>
        <v>0</v>
      </c>
      <c r="S422" s="335">
        <f t="shared" si="206"/>
        <v>109.15081826733642</v>
      </c>
      <c r="T422" s="335">
        <f t="shared" si="207"/>
        <v>104.94098093333334</v>
      </c>
      <c r="U422" s="336">
        <f t="shared" si="208"/>
        <v>0</v>
      </c>
      <c r="V422" s="336">
        <f t="shared" si="209"/>
        <v>0</v>
      </c>
      <c r="W422" s="336">
        <f t="shared" si="210"/>
        <v>0</v>
      </c>
      <c r="X422" s="336">
        <f t="shared" si="211"/>
        <v>0</v>
      </c>
      <c r="Y422" s="320"/>
      <c r="Z422" s="321" t="str">
        <f t="shared" si="215"/>
        <v>X-CEZA</v>
      </c>
      <c r="AA422" s="321" t="str">
        <f t="shared" si="216"/>
        <v>X-CEZE</v>
      </c>
      <c r="AB422" s="321" t="str">
        <f t="shared" si="217"/>
        <v>X-CEZM</v>
      </c>
      <c r="AC422" s="321" t="str">
        <f t="shared" si="218"/>
        <v>X-CEZT</v>
      </c>
      <c r="AD422" s="321" t="str">
        <f t="shared" si="219"/>
        <v>X-CEZS</v>
      </c>
      <c r="AE422" s="321" t="str">
        <f t="shared" si="220"/>
        <v>X-CEZX</v>
      </c>
      <c r="AF422" s="321" t="str">
        <f t="shared" si="221"/>
        <v>X-CEZA</v>
      </c>
      <c r="AG422" s="321">
        <f t="shared" si="212"/>
        <v>6</v>
      </c>
      <c r="AH422" s="321"/>
      <c r="AI422" s="321" t="str">
        <f t="shared" si="222"/>
        <v>X-CEZ</v>
      </c>
      <c r="AJ422" s="320"/>
      <c r="AK422" s="322">
        <f t="shared" si="213"/>
        <v>420</v>
      </c>
      <c r="AL422" s="323">
        <f t="shared" si="223"/>
        <v>425</v>
      </c>
      <c r="AM422" s="322">
        <f t="shared" si="224"/>
        <v>3</v>
      </c>
      <c r="AN422" s="381">
        <f t="shared" si="214"/>
        <v>0.23333333333333331</v>
      </c>
      <c r="AO422" s="322"/>
    </row>
    <row r="423" spans="2:41">
      <c r="B423" s="324" t="s">
        <v>2789</v>
      </c>
      <c r="C423" s="325" t="s">
        <v>2790</v>
      </c>
      <c r="D423" s="326" t="s">
        <v>1160</v>
      </c>
      <c r="E423" s="327">
        <f>+SUMIF('AUX-NIV2'!I:I,'AUX-NIV3'!B423,'AUX-NIV2'!Q:Q)</f>
        <v>0</v>
      </c>
      <c r="F423" s="327">
        <f t="shared" si="203"/>
        <v>214.09179920066973</v>
      </c>
      <c r="G423" s="327">
        <f t="shared" si="204"/>
        <v>0</v>
      </c>
      <c r="H423" s="328" t="str">
        <f t="shared" si="225"/>
        <v>A</v>
      </c>
      <c r="I423" s="325" t="s">
        <v>3310</v>
      </c>
      <c r="J423" s="329" t="str">
        <f>IF(B423&lt;&gt;"",+VLOOKUP(I423,Recursos!C:F,2,FALSE),"")</f>
        <v>OFICIAL ESPECIALIZADO</v>
      </c>
      <c r="K423" s="330" t="str">
        <f>IF(B423&lt;&gt;"",+VLOOKUP(I423,Recursos!C:F,3,FALSE),"")</f>
        <v>hh</v>
      </c>
      <c r="L423" s="446">
        <f>IF(B423&lt;&gt;"",+VLOOKUP(I423,Recursos!C:F,4,FALSE),"")</f>
        <v>581.06120476836554</v>
      </c>
      <c r="M423" s="443">
        <f>+M425</f>
        <v>150</v>
      </c>
      <c r="N423" s="497">
        <v>1.25</v>
      </c>
      <c r="O423" s="459">
        <f>+N423/M423</f>
        <v>8.3333333333333332E-3</v>
      </c>
      <c r="P423" s="333">
        <f t="shared" si="200"/>
        <v>4.8421767064030465</v>
      </c>
      <c r="Q423" s="327">
        <f t="shared" si="201"/>
        <v>0</v>
      </c>
      <c r="R423" s="334">
        <f t="shared" si="202"/>
        <v>0</v>
      </c>
      <c r="S423" s="335">
        <f t="shared" si="206"/>
        <v>109.15081826733642</v>
      </c>
      <c r="T423" s="335">
        <f t="shared" si="207"/>
        <v>104.94098093333334</v>
      </c>
      <c r="U423" s="336">
        <f t="shared" si="208"/>
        <v>0</v>
      </c>
      <c r="V423" s="336">
        <f t="shared" si="209"/>
        <v>0</v>
      </c>
      <c r="W423" s="336">
        <f t="shared" si="210"/>
        <v>0</v>
      </c>
      <c r="X423" s="336">
        <f t="shared" si="211"/>
        <v>0</v>
      </c>
      <c r="Y423" s="320"/>
      <c r="Z423" s="321" t="str">
        <f t="shared" si="215"/>
        <v>X-CEZA</v>
      </c>
      <c r="AA423" s="321" t="str">
        <f t="shared" si="216"/>
        <v>X-CEZE</v>
      </c>
      <c r="AB423" s="321" t="str">
        <f t="shared" si="217"/>
        <v>X-CEZM</v>
      </c>
      <c r="AC423" s="321" t="str">
        <f t="shared" si="218"/>
        <v>X-CEZT</v>
      </c>
      <c r="AD423" s="321" t="str">
        <f t="shared" si="219"/>
        <v>X-CEZS</v>
      </c>
      <c r="AE423" s="321" t="str">
        <f t="shared" si="220"/>
        <v>X-CEZX</v>
      </c>
      <c r="AF423" s="321" t="str">
        <f t="shared" si="221"/>
        <v>X-CEZA</v>
      </c>
      <c r="AG423" s="321">
        <f t="shared" si="212"/>
        <v>6</v>
      </c>
      <c r="AH423" s="321"/>
      <c r="AI423" s="321" t="str">
        <f t="shared" si="222"/>
        <v>X-CEZ</v>
      </c>
      <c r="AJ423" s="320"/>
      <c r="AK423" s="322">
        <f t="shared" si="213"/>
        <v>420</v>
      </c>
      <c r="AL423" s="323">
        <f t="shared" si="223"/>
        <v>425</v>
      </c>
      <c r="AM423" s="322">
        <f t="shared" si="224"/>
        <v>4</v>
      </c>
      <c r="AN423" s="381">
        <f t="shared" si="214"/>
        <v>0.23333333333333331</v>
      </c>
      <c r="AO423" s="322"/>
    </row>
    <row r="424" spans="2:41">
      <c r="B424" s="324" t="s">
        <v>2789</v>
      </c>
      <c r="C424" s="325" t="s">
        <v>2790</v>
      </c>
      <c r="D424" s="326" t="s">
        <v>1160</v>
      </c>
      <c r="E424" s="327">
        <f>+SUMIF('AUX-NIV2'!I:I,'AUX-NIV3'!B424,'AUX-NIV2'!Q:Q)</f>
        <v>0</v>
      </c>
      <c r="F424" s="327">
        <f t="shared" si="203"/>
        <v>214.09179920066973</v>
      </c>
      <c r="G424" s="327">
        <f t="shared" si="204"/>
        <v>0</v>
      </c>
      <c r="H424" s="328" t="str">
        <f t="shared" si="225"/>
        <v>E</v>
      </c>
      <c r="I424" s="325" t="s">
        <v>1552</v>
      </c>
      <c r="J424" s="329" t="str">
        <f>IF(B424&lt;&gt;"",+VLOOKUP(I424,Recursos!C:F,2,FALSE),"")</f>
        <v>RETROEXCAVADORA S/CARRILES  0,9 M2</v>
      </c>
      <c r="K424" s="330" t="str">
        <f>IF(B424&lt;&gt;"",+VLOOKUP(I424,Recursos!C:F,3,FALSE),"")</f>
        <v>HR</v>
      </c>
      <c r="L424" s="446">
        <f>IF(B424&lt;&gt;"",+VLOOKUP(I424,Recursos!C:F,4,FALSE),"")</f>
        <v>2743.02</v>
      </c>
      <c r="M424" s="462">
        <v>30</v>
      </c>
      <c r="N424" s="463">
        <v>1</v>
      </c>
      <c r="O424" s="459">
        <f>+N424/M424</f>
        <v>3.3333333333333333E-2</v>
      </c>
      <c r="P424" s="333">
        <f t="shared" si="200"/>
        <v>91.433999999999997</v>
      </c>
      <c r="Q424" s="327">
        <f t="shared" si="201"/>
        <v>0</v>
      </c>
      <c r="R424" s="334">
        <f t="shared" si="202"/>
        <v>0</v>
      </c>
      <c r="S424" s="335">
        <f t="shared" si="206"/>
        <v>109.15081826733642</v>
      </c>
      <c r="T424" s="335">
        <f t="shared" si="207"/>
        <v>104.94098093333334</v>
      </c>
      <c r="U424" s="336">
        <f t="shared" si="208"/>
        <v>0</v>
      </c>
      <c r="V424" s="336">
        <f t="shared" si="209"/>
        <v>0</v>
      </c>
      <c r="W424" s="336">
        <f t="shared" si="210"/>
        <v>0</v>
      </c>
      <c r="X424" s="336">
        <f t="shared" si="211"/>
        <v>0</v>
      </c>
      <c r="Y424" s="320"/>
      <c r="Z424" s="321" t="str">
        <f t="shared" si="215"/>
        <v>X-CEZA</v>
      </c>
      <c r="AA424" s="321" t="str">
        <f t="shared" si="216"/>
        <v>X-CEZE</v>
      </c>
      <c r="AB424" s="321" t="str">
        <f t="shared" si="217"/>
        <v>X-CEZM</v>
      </c>
      <c r="AC424" s="321" t="str">
        <f t="shared" si="218"/>
        <v>X-CEZT</v>
      </c>
      <c r="AD424" s="321" t="str">
        <f t="shared" si="219"/>
        <v>X-CEZS</v>
      </c>
      <c r="AE424" s="321" t="str">
        <f t="shared" si="220"/>
        <v>X-CEZX</v>
      </c>
      <c r="AF424" s="321" t="str">
        <f t="shared" si="221"/>
        <v>X-CEZE</v>
      </c>
      <c r="AG424" s="321">
        <f t="shared" si="212"/>
        <v>6</v>
      </c>
      <c r="AH424" s="321"/>
      <c r="AI424" s="321" t="str">
        <f t="shared" si="222"/>
        <v>X-CEZ</v>
      </c>
      <c r="AJ424" s="320"/>
      <c r="AK424" s="322">
        <f t="shared" si="213"/>
        <v>420</v>
      </c>
      <c r="AL424" s="323">
        <f t="shared" si="223"/>
        <v>425</v>
      </c>
      <c r="AM424" s="322">
        <f t="shared" si="224"/>
        <v>5</v>
      </c>
      <c r="AN424" s="381">
        <f t="shared" si="214"/>
        <v>0.23333333333333331</v>
      </c>
      <c r="AO424" s="322"/>
    </row>
    <row r="425" spans="2:41" ht="13.8" thickBot="1">
      <c r="B425" s="324" t="s">
        <v>2789</v>
      </c>
      <c r="C425" s="325" t="s">
        <v>2790</v>
      </c>
      <c r="D425" s="326" t="s">
        <v>1160</v>
      </c>
      <c r="E425" s="327">
        <f>+SUMIF('AUX-NIV2'!I:I,'AUX-NIV3'!B425,'AUX-NIV2'!Q:Q)</f>
        <v>0</v>
      </c>
      <c r="F425" s="327">
        <f t="shared" si="203"/>
        <v>214.09179920066973</v>
      </c>
      <c r="G425" s="327">
        <f t="shared" si="204"/>
        <v>0</v>
      </c>
      <c r="H425" s="328" t="str">
        <f t="shared" si="225"/>
        <v>E</v>
      </c>
      <c r="I425" s="325" t="s">
        <v>1682</v>
      </c>
      <c r="J425" s="329" t="str">
        <f>IF(B425&lt;&gt;"",+VLOOKUP(I425,Recursos!C:F,2,FALSE),"")</f>
        <v>COMPACT. LISO VIBR. AUTOP.-11 T</v>
      </c>
      <c r="K425" s="330" t="str">
        <f>IF(B425&lt;&gt;"",+VLOOKUP(I425,Recursos!C:F,3,FALSE),"")</f>
        <v>HR</v>
      </c>
      <c r="L425" s="446">
        <f>IF(B425&lt;&gt;"",+VLOOKUP(I425,Recursos!C:F,4,FALSE),"")</f>
        <v>2026.0471399999999</v>
      </c>
      <c r="M425" s="464">
        <v>150</v>
      </c>
      <c r="N425" s="465">
        <v>1</v>
      </c>
      <c r="O425" s="459">
        <f>+N425/M425</f>
        <v>6.6666666666666671E-3</v>
      </c>
      <c r="P425" s="333">
        <f t="shared" si="200"/>
        <v>13.506980933333333</v>
      </c>
      <c r="Q425" s="327">
        <f t="shared" si="201"/>
        <v>0</v>
      </c>
      <c r="R425" s="334">
        <f t="shared" si="202"/>
        <v>0</v>
      </c>
      <c r="S425" s="335">
        <f t="shared" si="206"/>
        <v>109.15081826733642</v>
      </c>
      <c r="T425" s="335">
        <f t="shared" si="207"/>
        <v>104.94098093333334</v>
      </c>
      <c r="U425" s="336">
        <f t="shared" si="208"/>
        <v>0</v>
      </c>
      <c r="V425" s="336">
        <f t="shared" si="209"/>
        <v>0</v>
      </c>
      <c r="W425" s="336">
        <f t="shared" si="210"/>
        <v>0</v>
      </c>
      <c r="X425" s="336">
        <f t="shared" si="211"/>
        <v>0</v>
      </c>
      <c r="Y425" s="320"/>
      <c r="Z425" s="321" t="str">
        <f t="shared" si="215"/>
        <v>X-CEZA</v>
      </c>
      <c r="AA425" s="321" t="str">
        <f t="shared" si="216"/>
        <v>X-CEZE</v>
      </c>
      <c r="AB425" s="321" t="str">
        <f t="shared" si="217"/>
        <v>X-CEZM</v>
      </c>
      <c r="AC425" s="321" t="str">
        <f t="shared" si="218"/>
        <v>X-CEZT</v>
      </c>
      <c r="AD425" s="321" t="str">
        <f t="shared" si="219"/>
        <v>X-CEZS</v>
      </c>
      <c r="AE425" s="321" t="str">
        <f t="shared" si="220"/>
        <v>X-CEZX</v>
      </c>
      <c r="AF425" s="321" t="str">
        <f t="shared" si="221"/>
        <v>X-CEZE</v>
      </c>
      <c r="AG425" s="321">
        <f t="shared" si="212"/>
        <v>6</v>
      </c>
      <c r="AH425" s="321"/>
      <c r="AI425" s="321" t="str">
        <f t="shared" si="222"/>
        <v>X-CEZ</v>
      </c>
      <c r="AJ425" s="320"/>
      <c r="AK425" s="322">
        <f t="shared" si="213"/>
        <v>420</v>
      </c>
      <c r="AL425" s="323">
        <f t="shared" si="223"/>
        <v>425</v>
      </c>
      <c r="AM425" s="322">
        <f t="shared" si="224"/>
        <v>6</v>
      </c>
      <c r="AN425" s="381">
        <f t="shared" si="214"/>
        <v>0.23333333333333331</v>
      </c>
      <c r="AO425" s="322"/>
    </row>
    <row r="426" spans="2:41" ht="13.8" thickTop="1">
      <c r="B426" s="324" t="s">
        <v>2791</v>
      </c>
      <c r="C426" s="325" t="s">
        <v>2792</v>
      </c>
      <c r="D426" s="326" t="s">
        <v>1160</v>
      </c>
      <c r="E426" s="327">
        <f>+SUMIF('AUX-NIV2'!I:I,'AUX-NIV3'!B426,'AUX-NIV2'!Q:Q)</f>
        <v>0</v>
      </c>
      <c r="F426" s="327">
        <f t="shared" si="203"/>
        <v>587.22792468280022</v>
      </c>
      <c r="G426" s="327">
        <f t="shared" si="204"/>
        <v>0</v>
      </c>
      <c r="H426" s="328" t="str">
        <f t="shared" si="225"/>
        <v>A</v>
      </c>
      <c r="I426" s="325" t="s">
        <v>1745</v>
      </c>
      <c r="J426" s="329" t="str">
        <f>IF(B426&lt;&gt;"",+VLOOKUP(I426,Recursos!C:F,2,FALSE),"")</f>
        <v>AYUDANTE</v>
      </c>
      <c r="K426" s="330" t="str">
        <f>IF(B426&lt;&gt;"",+VLOOKUP(I426,Recursos!C:F,3,FALSE),"")</f>
        <v>hh</v>
      </c>
      <c r="L426" s="446">
        <f>IF(B426&lt;&gt;"",+VLOOKUP(I426,Recursos!C:F,4,FALSE),"")</f>
        <v>422.48042769667234</v>
      </c>
      <c r="M426" s="460">
        <f>+M427</f>
        <v>10</v>
      </c>
      <c r="N426" s="438">
        <f>+N428</f>
        <v>1.25</v>
      </c>
      <c r="O426" s="459">
        <f>+N426/M426*N427/0.1</f>
        <v>0.5</v>
      </c>
      <c r="P426" s="333">
        <f t="shared" si="200"/>
        <v>211.24021384833617</v>
      </c>
      <c r="Q426" s="327">
        <f t="shared" si="201"/>
        <v>0</v>
      </c>
      <c r="R426" s="334">
        <f t="shared" si="202"/>
        <v>0</v>
      </c>
      <c r="S426" s="335">
        <f t="shared" si="206"/>
        <v>312.92592468280014</v>
      </c>
      <c r="T426" s="335">
        <f t="shared" si="207"/>
        <v>274.30200000000002</v>
      </c>
      <c r="U426" s="336">
        <f t="shared" si="208"/>
        <v>0</v>
      </c>
      <c r="V426" s="336">
        <f t="shared" si="209"/>
        <v>0</v>
      </c>
      <c r="W426" s="336">
        <f t="shared" si="210"/>
        <v>0</v>
      </c>
      <c r="X426" s="336">
        <f t="shared" si="211"/>
        <v>0</v>
      </c>
      <c r="Y426" s="320"/>
      <c r="Z426" s="321" t="str">
        <f t="shared" si="215"/>
        <v>X-ESTA</v>
      </c>
      <c r="AA426" s="321" t="str">
        <f t="shared" si="216"/>
        <v>X-ESTE</v>
      </c>
      <c r="AB426" s="321" t="str">
        <f t="shared" si="217"/>
        <v>X-ESTM</v>
      </c>
      <c r="AC426" s="321" t="str">
        <f t="shared" si="218"/>
        <v>X-ESTT</v>
      </c>
      <c r="AD426" s="321" t="str">
        <f t="shared" si="219"/>
        <v>X-ESTS</v>
      </c>
      <c r="AE426" s="321" t="str">
        <f t="shared" si="220"/>
        <v>X-ESTX</v>
      </c>
      <c r="AF426" s="321" t="str">
        <f t="shared" si="221"/>
        <v>X-ESTA</v>
      </c>
      <c r="AG426" s="321">
        <f t="shared" si="212"/>
        <v>4</v>
      </c>
      <c r="AH426" s="321"/>
      <c r="AI426" s="321" t="str">
        <f t="shared" si="222"/>
        <v>X-EST</v>
      </c>
      <c r="AJ426" s="320"/>
      <c r="AK426" s="322">
        <f t="shared" si="213"/>
        <v>426</v>
      </c>
      <c r="AL426" s="323">
        <f t="shared" si="223"/>
        <v>429</v>
      </c>
      <c r="AM426" s="322">
        <f t="shared" si="224"/>
        <v>1</v>
      </c>
      <c r="AN426" s="381">
        <f t="shared" si="214"/>
        <v>0.67500000000000004</v>
      </c>
      <c r="AO426" s="322"/>
    </row>
    <row r="427" spans="2:41">
      <c r="B427" s="324" t="s">
        <v>2791</v>
      </c>
      <c r="C427" s="325" t="s">
        <v>2792</v>
      </c>
      <c r="D427" s="326" t="s">
        <v>1160</v>
      </c>
      <c r="E427" s="327">
        <f>+SUMIF('AUX-NIV2'!I:I,'AUX-NIV3'!B427,'AUX-NIV2'!Q:Q)</f>
        <v>0</v>
      </c>
      <c r="F427" s="327">
        <f t="shared" si="203"/>
        <v>587.22792468280022</v>
      </c>
      <c r="G427" s="327">
        <f t="shared" si="204"/>
        <v>0</v>
      </c>
      <c r="H427" s="328" t="str">
        <f t="shared" si="225"/>
        <v>A</v>
      </c>
      <c r="I427" s="325" t="s">
        <v>3310</v>
      </c>
      <c r="J427" s="329" t="str">
        <f>IF(B427&lt;&gt;"",+VLOOKUP(I427,Recursos!C:F,2,FALSE),"")</f>
        <v>OFICIAL ESPECIALIZADO</v>
      </c>
      <c r="K427" s="330" t="str">
        <f>IF(B427&lt;&gt;"",+VLOOKUP(I427,Recursos!C:F,3,FALSE),"")</f>
        <v>hh</v>
      </c>
      <c r="L427" s="446">
        <f>IF(B427&lt;&gt;"",+VLOOKUP(I427,Recursos!C:F,4,FALSE),"")</f>
        <v>581.06120476836554</v>
      </c>
      <c r="M427" s="460">
        <f>+M428</f>
        <v>10</v>
      </c>
      <c r="N427" s="463">
        <v>0.4</v>
      </c>
      <c r="O427" s="459">
        <f>+N427/M427*N428</f>
        <v>0.05</v>
      </c>
      <c r="P427" s="333">
        <f t="shared" si="200"/>
        <v>29.053060238418279</v>
      </c>
      <c r="Q427" s="327">
        <f t="shared" si="201"/>
        <v>0</v>
      </c>
      <c r="R427" s="334">
        <f t="shared" si="202"/>
        <v>0</v>
      </c>
      <c r="S427" s="335">
        <f t="shared" si="206"/>
        <v>312.92592468280014</v>
      </c>
      <c r="T427" s="335">
        <f t="shared" si="207"/>
        <v>274.30200000000002</v>
      </c>
      <c r="U427" s="336">
        <f t="shared" si="208"/>
        <v>0</v>
      </c>
      <c r="V427" s="336">
        <f t="shared" si="209"/>
        <v>0</v>
      </c>
      <c r="W427" s="336">
        <f t="shared" si="210"/>
        <v>0</v>
      </c>
      <c r="X427" s="336">
        <f t="shared" si="211"/>
        <v>0</v>
      </c>
      <c r="Y427" s="320"/>
      <c r="Z427" s="321" t="str">
        <f t="shared" si="215"/>
        <v>X-ESTA</v>
      </c>
      <c r="AA427" s="321" t="str">
        <f t="shared" si="216"/>
        <v>X-ESTE</v>
      </c>
      <c r="AB427" s="321" t="str">
        <f t="shared" si="217"/>
        <v>X-ESTM</v>
      </c>
      <c r="AC427" s="321" t="str">
        <f t="shared" si="218"/>
        <v>X-ESTT</v>
      </c>
      <c r="AD427" s="321" t="str">
        <f t="shared" si="219"/>
        <v>X-ESTS</v>
      </c>
      <c r="AE427" s="321" t="str">
        <f t="shared" si="220"/>
        <v>X-ESTX</v>
      </c>
      <c r="AF427" s="321" t="str">
        <f t="shared" si="221"/>
        <v>X-ESTA</v>
      </c>
      <c r="AG427" s="321">
        <f t="shared" si="212"/>
        <v>4</v>
      </c>
      <c r="AH427" s="321"/>
      <c r="AI427" s="321" t="str">
        <f t="shared" si="222"/>
        <v>X-EST</v>
      </c>
      <c r="AJ427" s="320"/>
      <c r="AK427" s="322">
        <f t="shared" si="213"/>
        <v>426</v>
      </c>
      <c r="AL427" s="323">
        <f t="shared" si="223"/>
        <v>429</v>
      </c>
      <c r="AM427" s="322">
        <f t="shared" si="224"/>
        <v>2</v>
      </c>
      <c r="AN427" s="381">
        <f t="shared" si="214"/>
        <v>0.67500000000000004</v>
      </c>
      <c r="AO427" s="322"/>
    </row>
    <row r="428" spans="2:41">
      <c r="B428" s="324" t="s">
        <v>2791</v>
      </c>
      <c r="C428" s="325" t="s">
        <v>2792</v>
      </c>
      <c r="D428" s="326" t="s">
        <v>1160</v>
      </c>
      <c r="E428" s="327">
        <f>+SUMIF('AUX-NIV2'!I:I,'AUX-NIV3'!B428,'AUX-NIV2'!Q:Q)</f>
        <v>0</v>
      </c>
      <c r="F428" s="327">
        <f t="shared" si="203"/>
        <v>587.22792468280022</v>
      </c>
      <c r="G428" s="327">
        <f t="shared" si="204"/>
        <v>0</v>
      </c>
      <c r="H428" s="328" t="str">
        <f t="shared" si="225"/>
        <v>A</v>
      </c>
      <c r="I428" s="325" t="s">
        <v>3310</v>
      </c>
      <c r="J428" s="329" t="str">
        <f>IF(B428&lt;&gt;"",+VLOOKUP(I428,Recursos!C:F,2,FALSE),"")</f>
        <v>OFICIAL ESPECIALIZADO</v>
      </c>
      <c r="K428" s="330" t="str">
        <f>IF(B428&lt;&gt;"",+VLOOKUP(I428,Recursos!C:F,3,FALSE),"")</f>
        <v>hh</v>
      </c>
      <c r="L428" s="446">
        <f>IF(B428&lt;&gt;"",+VLOOKUP(I428,Recursos!C:F,4,FALSE),"")</f>
        <v>581.06120476836554</v>
      </c>
      <c r="M428" s="460">
        <f>+M429</f>
        <v>10</v>
      </c>
      <c r="N428" s="463">
        <v>1.25</v>
      </c>
      <c r="O428" s="459">
        <f>+N428/M428</f>
        <v>0.125</v>
      </c>
      <c r="P428" s="333">
        <f t="shared" si="200"/>
        <v>72.632650596045693</v>
      </c>
      <c r="Q428" s="327">
        <f t="shared" si="201"/>
        <v>0</v>
      </c>
      <c r="R428" s="334">
        <f t="shared" si="202"/>
        <v>0</v>
      </c>
      <c r="S428" s="335">
        <f t="shared" si="206"/>
        <v>312.92592468280014</v>
      </c>
      <c r="T428" s="335">
        <f t="shared" si="207"/>
        <v>274.30200000000002</v>
      </c>
      <c r="U428" s="336">
        <f t="shared" si="208"/>
        <v>0</v>
      </c>
      <c r="V428" s="336">
        <f t="shared" si="209"/>
        <v>0</v>
      </c>
      <c r="W428" s="336">
        <f t="shared" si="210"/>
        <v>0</v>
      </c>
      <c r="X428" s="336">
        <f t="shared" si="211"/>
        <v>0</v>
      </c>
      <c r="Y428" s="320"/>
      <c r="Z428" s="321" t="str">
        <f t="shared" si="215"/>
        <v>X-ESTA</v>
      </c>
      <c r="AA428" s="321" t="str">
        <f t="shared" si="216"/>
        <v>X-ESTE</v>
      </c>
      <c r="AB428" s="321" t="str">
        <f t="shared" si="217"/>
        <v>X-ESTM</v>
      </c>
      <c r="AC428" s="321" t="str">
        <f t="shared" si="218"/>
        <v>X-ESTT</v>
      </c>
      <c r="AD428" s="321" t="str">
        <f t="shared" si="219"/>
        <v>X-ESTS</v>
      </c>
      <c r="AE428" s="321" t="str">
        <f t="shared" si="220"/>
        <v>X-ESTX</v>
      </c>
      <c r="AF428" s="321" t="str">
        <f t="shared" si="221"/>
        <v>X-ESTA</v>
      </c>
      <c r="AG428" s="321">
        <f t="shared" si="212"/>
        <v>4</v>
      </c>
      <c r="AH428" s="321"/>
      <c r="AI428" s="321" t="str">
        <f t="shared" si="222"/>
        <v>X-EST</v>
      </c>
      <c r="AJ428" s="320"/>
      <c r="AK428" s="322">
        <f t="shared" si="213"/>
        <v>426</v>
      </c>
      <c r="AL428" s="323">
        <f t="shared" si="223"/>
        <v>429</v>
      </c>
      <c r="AM428" s="322">
        <f t="shared" si="224"/>
        <v>3</v>
      </c>
      <c r="AN428" s="381">
        <f t="shared" si="214"/>
        <v>0.67500000000000004</v>
      </c>
      <c r="AO428" s="322"/>
    </row>
    <row r="429" spans="2:41" ht="13.8" thickBot="1">
      <c r="B429" s="324" t="s">
        <v>2791</v>
      </c>
      <c r="C429" s="325" t="s">
        <v>2792</v>
      </c>
      <c r="D429" s="326" t="s">
        <v>1160</v>
      </c>
      <c r="E429" s="327">
        <f>+SUMIF('AUX-NIV2'!I:I,'AUX-NIV3'!B429,'AUX-NIV2'!Q:Q)</f>
        <v>0</v>
      </c>
      <c r="F429" s="327">
        <f t="shared" si="203"/>
        <v>587.22792468280022</v>
      </c>
      <c r="G429" s="327">
        <f t="shared" si="204"/>
        <v>0</v>
      </c>
      <c r="H429" s="328" t="str">
        <f t="shared" si="225"/>
        <v>E</v>
      </c>
      <c r="I429" s="325" t="s">
        <v>1552</v>
      </c>
      <c r="J429" s="329" t="str">
        <f>IF(B429&lt;&gt;"",+VLOOKUP(I429,Recursos!C:F,2,FALSE),"")</f>
        <v>RETROEXCAVADORA S/CARRILES  0,9 M2</v>
      </c>
      <c r="K429" s="330" t="str">
        <f>IF(B429&lt;&gt;"",+VLOOKUP(I429,Recursos!C:F,3,FALSE),"")</f>
        <v>HR</v>
      </c>
      <c r="L429" s="446">
        <f>IF(B429&lt;&gt;"",+VLOOKUP(I429,Recursos!C:F,4,FALSE),"")</f>
        <v>2743.02</v>
      </c>
      <c r="M429" s="464">
        <v>10</v>
      </c>
      <c r="N429" s="465">
        <v>1</v>
      </c>
      <c r="O429" s="459">
        <f>+N429/M429</f>
        <v>0.1</v>
      </c>
      <c r="P429" s="333">
        <f t="shared" si="200"/>
        <v>274.30200000000002</v>
      </c>
      <c r="Q429" s="327">
        <f t="shared" si="201"/>
        <v>0</v>
      </c>
      <c r="R429" s="334">
        <f t="shared" si="202"/>
        <v>0</v>
      </c>
      <c r="S429" s="335">
        <f t="shared" si="206"/>
        <v>312.92592468280014</v>
      </c>
      <c r="T429" s="335">
        <f t="shared" si="207"/>
        <v>274.30200000000002</v>
      </c>
      <c r="U429" s="336">
        <f t="shared" si="208"/>
        <v>0</v>
      </c>
      <c r="V429" s="336">
        <f t="shared" si="209"/>
        <v>0</v>
      </c>
      <c r="W429" s="336">
        <f t="shared" si="210"/>
        <v>0</v>
      </c>
      <c r="X429" s="336">
        <f t="shared" si="211"/>
        <v>0</v>
      </c>
      <c r="Y429" s="320"/>
      <c r="Z429" s="321" t="str">
        <f t="shared" si="215"/>
        <v>X-ESTA</v>
      </c>
      <c r="AA429" s="321" t="str">
        <f t="shared" si="216"/>
        <v>X-ESTE</v>
      </c>
      <c r="AB429" s="321" t="str">
        <f t="shared" si="217"/>
        <v>X-ESTM</v>
      </c>
      <c r="AC429" s="321" t="str">
        <f t="shared" si="218"/>
        <v>X-ESTT</v>
      </c>
      <c r="AD429" s="321" t="str">
        <f t="shared" si="219"/>
        <v>X-ESTS</v>
      </c>
      <c r="AE429" s="321" t="str">
        <f t="shared" si="220"/>
        <v>X-ESTX</v>
      </c>
      <c r="AF429" s="321" t="str">
        <f t="shared" si="221"/>
        <v>X-ESTE</v>
      </c>
      <c r="AG429" s="321">
        <f t="shared" si="212"/>
        <v>4</v>
      </c>
      <c r="AH429" s="321"/>
      <c r="AI429" s="321" t="str">
        <f t="shared" si="222"/>
        <v>X-EST</v>
      </c>
      <c r="AJ429" s="320"/>
      <c r="AK429" s="322">
        <f t="shared" si="213"/>
        <v>426</v>
      </c>
      <c r="AL429" s="323">
        <f t="shared" si="223"/>
        <v>429</v>
      </c>
      <c r="AM429" s="322">
        <f t="shared" si="224"/>
        <v>4</v>
      </c>
      <c r="AN429" s="381">
        <f t="shared" si="214"/>
        <v>0.67500000000000004</v>
      </c>
      <c r="AO429" s="322"/>
    </row>
    <row r="430" spans="2:41" ht="13.8" thickTop="1">
      <c r="B430" s="324" t="s">
        <v>2793</v>
      </c>
      <c r="C430" s="325" t="s">
        <v>2794</v>
      </c>
      <c r="D430" s="326" t="s">
        <v>1160</v>
      </c>
      <c r="E430" s="327">
        <f>+SUMIF('AUX-NIV2'!I:I,'AUX-NIV3'!B430,'AUX-NIV2'!Q:Q)</f>
        <v>0</v>
      </c>
      <c r="F430" s="327">
        <f t="shared" si="203"/>
        <v>133.24823468604325</v>
      </c>
      <c r="G430" s="327">
        <f t="shared" si="204"/>
        <v>0</v>
      </c>
      <c r="H430" s="328" t="str">
        <f t="shared" si="225"/>
        <v>A</v>
      </c>
      <c r="I430" s="325" t="s">
        <v>1745</v>
      </c>
      <c r="J430" s="329" t="str">
        <f>IF(B430&lt;&gt;"",+VLOOKUP(I430,Recursos!C:F,2,FALSE),"")</f>
        <v>AYUDANTE</v>
      </c>
      <c r="K430" s="330" t="str">
        <f>IF(B430&lt;&gt;"",+VLOOKUP(I430,Recursos!C:F,3,FALSE),"")</f>
        <v>hh</v>
      </c>
      <c r="L430" s="446">
        <f>IF(B430&lt;&gt;"",+VLOOKUP(I430,Recursos!C:F,4,FALSE),"")</f>
        <v>422.48042769667234</v>
      </c>
      <c r="M430" s="460">
        <f>+M431</f>
        <v>30</v>
      </c>
      <c r="N430" s="466">
        <f>+N431</f>
        <v>1.25</v>
      </c>
      <c r="O430" s="459">
        <f>+N430/M430</f>
        <v>4.1666666666666664E-2</v>
      </c>
      <c r="P430" s="333">
        <f t="shared" si="200"/>
        <v>17.603351154028012</v>
      </c>
      <c r="Q430" s="327">
        <f t="shared" si="201"/>
        <v>0</v>
      </c>
      <c r="R430" s="334">
        <f t="shared" si="202"/>
        <v>0</v>
      </c>
      <c r="S430" s="335">
        <f t="shared" si="206"/>
        <v>41.814234686043243</v>
      </c>
      <c r="T430" s="335">
        <f t="shared" si="207"/>
        <v>91.433999999999997</v>
      </c>
      <c r="U430" s="336">
        <f t="shared" si="208"/>
        <v>0</v>
      </c>
      <c r="V430" s="336">
        <f t="shared" si="209"/>
        <v>0</v>
      </c>
      <c r="W430" s="336">
        <f t="shared" si="210"/>
        <v>0</v>
      </c>
      <c r="X430" s="336">
        <f t="shared" si="211"/>
        <v>0</v>
      </c>
      <c r="Y430" s="320"/>
      <c r="Z430" s="321" t="str">
        <f t="shared" si="215"/>
        <v>X-EMEA</v>
      </c>
      <c r="AA430" s="321" t="str">
        <f t="shared" si="216"/>
        <v>X-EMEE</v>
      </c>
      <c r="AB430" s="321" t="str">
        <f t="shared" si="217"/>
        <v>X-EMEM</v>
      </c>
      <c r="AC430" s="321" t="str">
        <f t="shared" si="218"/>
        <v>X-EMET</v>
      </c>
      <c r="AD430" s="321" t="str">
        <f t="shared" si="219"/>
        <v>X-EMES</v>
      </c>
      <c r="AE430" s="321" t="str">
        <f t="shared" si="220"/>
        <v>X-EMEX</v>
      </c>
      <c r="AF430" s="321" t="str">
        <f t="shared" si="221"/>
        <v>X-EMEA</v>
      </c>
      <c r="AG430" s="321">
        <f t="shared" si="212"/>
        <v>3</v>
      </c>
      <c r="AH430" s="321"/>
      <c r="AI430" s="321" t="str">
        <f t="shared" si="222"/>
        <v>X-EME</v>
      </c>
      <c r="AJ430" s="320"/>
      <c r="AK430" s="322">
        <f t="shared" si="213"/>
        <v>430</v>
      </c>
      <c r="AL430" s="323">
        <f t="shared" si="223"/>
        <v>432</v>
      </c>
      <c r="AM430" s="322">
        <f t="shared" si="224"/>
        <v>1</v>
      </c>
      <c r="AN430" s="381">
        <f t="shared" si="214"/>
        <v>8.3333333333333329E-2</v>
      </c>
      <c r="AO430" s="322"/>
    </row>
    <row r="431" spans="2:41">
      <c r="B431" s="324" t="s">
        <v>2793</v>
      </c>
      <c r="C431" s="325" t="s">
        <v>2794</v>
      </c>
      <c r="D431" s="326" t="s">
        <v>1160</v>
      </c>
      <c r="E431" s="327">
        <f>+SUMIF('AUX-NIV2'!I:I,'AUX-NIV3'!B431,'AUX-NIV2'!Q:Q)</f>
        <v>0</v>
      </c>
      <c r="F431" s="327">
        <f t="shared" si="203"/>
        <v>133.24823468604325</v>
      </c>
      <c r="G431" s="327">
        <f t="shared" si="204"/>
        <v>0</v>
      </c>
      <c r="H431" s="328" t="str">
        <f t="shared" si="225"/>
        <v>A</v>
      </c>
      <c r="I431" s="325" t="s">
        <v>3310</v>
      </c>
      <c r="J431" s="329" t="str">
        <f>IF(B431&lt;&gt;"",+VLOOKUP(I431,Recursos!C:F,2,FALSE),"")</f>
        <v>OFICIAL ESPECIALIZADO</v>
      </c>
      <c r="K431" s="330" t="str">
        <f>IF(B431&lt;&gt;"",+VLOOKUP(I431,Recursos!C:F,3,FALSE),"")</f>
        <v>hh</v>
      </c>
      <c r="L431" s="446">
        <f>IF(B431&lt;&gt;"",+VLOOKUP(I431,Recursos!C:F,4,FALSE),"")</f>
        <v>581.06120476836554</v>
      </c>
      <c r="M431" s="460">
        <f>+M432</f>
        <v>30</v>
      </c>
      <c r="N431" s="463">
        <v>1.25</v>
      </c>
      <c r="O431" s="459">
        <f>+N431/M431</f>
        <v>4.1666666666666664E-2</v>
      </c>
      <c r="P431" s="333">
        <f t="shared" si="200"/>
        <v>24.210883532015231</v>
      </c>
      <c r="Q431" s="327">
        <f t="shared" si="201"/>
        <v>0</v>
      </c>
      <c r="R431" s="334">
        <f t="shared" si="202"/>
        <v>0</v>
      </c>
      <c r="S431" s="335">
        <f t="shared" si="206"/>
        <v>41.814234686043243</v>
      </c>
      <c r="T431" s="335">
        <f t="shared" si="207"/>
        <v>91.433999999999997</v>
      </c>
      <c r="U431" s="336">
        <f t="shared" si="208"/>
        <v>0</v>
      </c>
      <c r="V431" s="336">
        <f t="shared" si="209"/>
        <v>0</v>
      </c>
      <c r="W431" s="336">
        <f t="shared" si="210"/>
        <v>0</v>
      </c>
      <c r="X431" s="336">
        <f t="shared" si="211"/>
        <v>0</v>
      </c>
      <c r="Y431" s="320"/>
      <c r="Z431" s="321" t="str">
        <f t="shared" si="215"/>
        <v>X-EMEA</v>
      </c>
      <c r="AA431" s="321" t="str">
        <f t="shared" si="216"/>
        <v>X-EMEE</v>
      </c>
      <c r="AB431" s="321" t="str">
        <f t="shared" si="217"/>
        <v>X-EMEM</v>
      </c>
      <c r="AC431" s="321" t="str">
        <f t="shared" si="218"/>
        <v>X-EMET</v>
      </c>
      <c r="AD431" s="321" t="str">
        <f t="shared" si="219"/>
        <v>X-EMES</v>
      </c>
      <c r="AE431" s="321" t="str">
        <f t="shared" si="220"/>
        <v>X-EMEX</v>
      </c>
      <c r="AF431" s="321" t="str">
        <f t="shared" si="221"/>
        <v>X-EMEA</v>
      </c>
      <c r="AG431" s="321">
        <f t="shared" si="212"/>
        <v>3</v>
      </c>
      <c r="AH431" s="321"/>
      <c r="AI431" s="321" t="str">
        <f t="shared" si="222"/>
        <v>X-EME</v>
      </c>
      <c r="AJ431" s="320"/>
      <c r="AK431" s="322">
        <f t="shared" si="213"/>
        <v>430</v>
      </c>
      <c r="AL431" s="323">
        <f t="shared" si="223"/>
        <v>432</v>
      </c>
      <c r="AM431" s="322">
        <f t="shared" si="224"/>
        <v>2</v>
      </c>
      <c r="AN431" s="381">
        <f t="shared" si="214"/>
        <v>8.3333333333333329E-2</v>
      </c>
      <c r="AO431" s="322"/>
    </row>
    <row r="432" spans="2:41" ht="13.8" thickBot="1">
      <c r="B432" s="324" t="s">
        <v>2793</v>
      </c>
      <c r="C432" s="325" t="s">
        <v>2794</v>
      </c>
      <c r="D432" s="326" t="s">
        <v>1160</v>
      </c>
      <c r="E432" s="327">
        <f>+SUMIF('AUX-NIV2'!I:I,'AUX-NIV3'!B432,'AUX-NIV2'!Q:Q)</f>
        <v>0</v>
      </c>
      <c r="F432" s="327">
        <f t="shared" si="203"/>
        <v>133.24823468604325</v>
      </c>
      <c r="G432" s="327">
        <f t="shared" si="204"/>
        <v>0</v>
      </c>
      <c r="H432" s="328" t="str">
        <f t="shared" si="225"/>
        <v>E</v>
      </c>
      <c r="I432" s="325" t="s">
        <v>1552</v>
      </c>
      <c r="J432" s="329" t="str">
        <f>IF(B432&lt;&gt;"",+VLOOKUP(I432,Recursos!C:F,2,FALSE),"")</f>
        <v>RETROEXCAVADORA S/CARRILES  0,9 M2</v>
      </c>
      <c r="K432" s="330" t="str">
        <f>IF(B432&lt;&gt;"",+VLOOKUP(I432,Recursos!C:F,3,FALSE),"")</f>
        <v>HR</v>
      </c>
      <c r="L432" s="446">
        <f>IF(B432&lt;&gt;"",+VLOOKUP(I432,Recursos!C:F,4,FALSE),"")</f>
        <v>2743.02</v>
      </c>
      <c r="M432" s="464">
        <v>30</v>
      </c>
      <c r="N432" s="465">
        <v>1</v>
      </c>
      <c r="O432" s="459">
        <f>+N432/M432</f>
        <v>3.3333333333333333E-2</v>
      </c>
      <c r="P432" s="333">
        <f t="shared" si="200"/>
        <v>91.433999999999997</v>
      </c>
      <c r="Q432" s="327">
        <f t="shared" si="201"/>
        <v>0</v>
      </c>
      <c r="R432" s="334">
        <f t="shared" si="202"/>
        <v>0</v>
      </c>
      <c r="S432" s="335">
        <f t="shared" si="206"/>
        <v>41.814234686043243</v>
      </c>
      <c r="T432" s="335">
        <f t="shared" si="207"/>
        <v>91.433999999999997</v>
      </c>
      <c r="U432" s="336">
        <f t="shared" si="208"/>
        <v>0</v>
      </c>
      <c r="V432" s="336">
        <f t="shared" si="209"/>
        <v>0</v>
      </c>
      <c r="W432" s="336">
        <f t="shared" si="210"/>
        <v>0</v>
      </c>
      <c r="X432" s="336">
        <f t="shared" si="211"/>
        <v>0</v>
      </c>
      <c r="Y432" s="320"/>
      <c r="Z432" s="321" t="str">
        <f t="shared" si="215"/>
        <v>X-EMEA</v>
      </c>
      <c r="AA432" s="321" t="str">
        <f t="shared" si="216"/>
        <v>X-EMEE</v>
      </c>
      <c r="AB432" s="321" t="str">
        <f t="shared" si="217"/>
        <v>X-EMEM</v>
      </c>
      <c r="AC432" s="321" t="str">
        <f t="shared" si="218"/>
        <v>X-EMET</v>
      </c>
      <c r="AD432" s="321" t="str">
        <f t="shared" si="219"/>
        <v>X-EMES</v>
      </c>
      <c r="AE432" s="321" t="str">
        <f t="shared" si="220"/>
        <v>X-EMEX</v>
      </c>
      <c r="AF432" s="321" t="str">
        <f t="shared" si="221"/>
        <v>X-EMEE</v>
      </c>
      <c r="AG432" s="321">
        <f t="shared" si="212"/>
        <v>3</v>
      </c>
      <c r="AH432" s="321"/>
      <c r="AI432" s="321" t="str">
        <f t="shared" si="222"/>
        <v>X-EME</v>
      </c>
      <c r="AJ432" s="320"/>
      <c r="AK432" s="322">
        <f t="shared" si="213"/>
        <v>430</v>
      </c>
      <c r="AL432" s="323">
        <f t="shared" si="223"/>
        <v>432</v>
      </c>
      <c r="AM432" s="322">
        <f t="shared" si="224"/>
        <v>3</v>
      </c>
      <c r="AN432" s="381">
        <f t="shared" si="214"/>
        <v>8.3333333333333329E-2</v>
      </c>
      <c r="AO432" s="322"/>
    </row>
    <row r="433" spans="2:41" ht="13.8" thickTop="1">
      <c r="B433" s="501" t="s">
        <v>2797</v>
      </c>
      <c r="C433" s="950" t="s">
        <v>2798</v>
      </c>
      <c r="D433" s="326" t="s">
        <v>1385</v>
      </c>
      <c r="E433" s="327">
        <f>+SUMIF('AUX-NIV2'!I:I,'AUX-NIV3'!B433,'AUX-NIV2'!Q:Q)</f>
        <v>0</v>
      </c>
      <c r="F433" s="327">
        <f t="shared" si="203"/>
        <v>16.0627437751833</v>
      </c>
      <c r="G433" s="327">
        <f t="shared" si="204"/>
        <v>0</v>
      </c>
      <c r="H433" s="328" t="str">
        <f t="shared" si="225"/>
        <v>A</v>
      </c>
      <c r="I433" s="325" t="s">
        <v>1746</v>
      </c>
      <c r="J433" s="329" t="str">
        <f>IF(B433&lt;&gt;"",+VLOOKUP(I433,Recursos!C:F,2,FALSE),"")</f>
        <v>OFICIAL</v>
      </c>
      <c r="K433" s="330" t="str">
        <f>IF(B433&lt;&gt;"",+VLOOKUP(I433,Recursos!C:F,3,FALSE),"")</f>
        <v>hh</v>
      </c>
      <c r="L433" s="446">
        <f>IF(B433&lt;&gt;"",+VLOOKUP(I433,Recursos!C:F,4,FALSE),"")</f>
        <v>496.91595439275824</v>
      </c>
      <c r="M433" s="437">
        <v>20</v>
      </c>
      <c r="N433" s="458">
        <v>35</v>
      </c>
      <c r="O433" s="459">
        <f>+(N434/M433/150+1/M434+1/N433+0.05/M433)/N434*1.1</f>
        <v>4.5540249433106582E-3</v>
      </c>
      <c r="P433" s="333">
        <f t="shared" si="200"/>
        <v>2.2629676510336423</v>
      </c>
      <c r="Q433" s="327">
        <f t="shared" si="201"/>
        <v>0</v>
      </c>
      <c r="R433" s="334">
        <f t="shared" si="202"/>
        <v>0</v>
      </c>
      <c r="S433" s="335">
        <f t="shared" si="206"/>
        <v>2.2629676510336423</v>
      </c>
      <c r="T433" s="335">
        <f t="shared" si="207"/>
        <v>13.799776124149659</v>
      </c>
      <c r="U433" s="336">
        <f t="shared" si="208"/>
        <v>0</v>
      </c>
      <c r="V433" s="336">
        <f t="shared" si="209"/>
        <v>0</v>
      </c>
      <c r="W433" s="336">
        <f t="shared" si="210"/>
        <v>0</v>
      </c>
      <c r="X433" s="336">
        <f t="shared" si="211"/>
        <v>0</v>
      </c>
      <c r="Y433" s="320"/>
      <c r="Z433" s="321" t="str">
        <f t="shared" si="215"/>
        <v>X-TDOA</v>
      </c>
      <c r="AA433" s="321" t="str">
        <f t="shared" si="216"/>
        <v>X-TDOE</v>
      </c>
      <c r="AB433" s="321" t="str">
        <f t="shared" si="217"/>
        <v>X-TDOM</v>
      </c>
      <c r="AC433" s="321" t="str">
        <f t="shared" si="218"/>
        <v>X-TDOT</v>
      </c>
      <c r="AD433" s="321" t="str">
        <f t="shared" si="219"/>
        <v>X-TDOS</v>
      </c>
      <c r="AE433" s="321" t="str">
        <f t="shared" si="220"/>
        <v>X-TDOX</v>
      </c>
      <c r="AF433" s="321" t="str">
        <f t="shared" si="221"/>
        <v>X-TDOA</v>
      </c>
      <c r="AG433" s="321">
        <f t="shared" si="212"/>
        <v>2</v>
      </c>
      <c r="AH433" s="321"/>
      <c r="AI433" s="321" t="str">
        <f t="shared" si="222"/>
        <v>X-TDO</v>
      </c>
      <c r="AJ433" s="320"/>
      <c r="AK433" s="322">
        <f t="shared" si="213"/>
        <v>433</v>
      </c>
      <c r="AL433" s="323">
        <f t="shared" si="223"/>
        <v>434</v>
      </c>
      <c r="AM433" s="322">
        <f t="shared" si="224"/>
        <v>1</v>
      </c>
      <c r="AN433" s="381">
        <f t="shared" si="214"/>
        <v>4.5540249433106582E-3</v>
      </c>
      <c r="AO433" s="322"/>
    </row>
    <row r="434" spans="2:41" ht="13.8" thickBot="1">
      <c r="B434" s="501" t="s">
        <v>2797</v>
      </c>
      <c r="C434" s="950" t="s">
        <v>2798</v>
      </c>
      <c r="D434" s="326" t="s">
        <v>1385</v>
      </c>
      <c r="E434" s="327">
        <f>+SUMIF('AUX-NIV2'!I:I,'AUX-NIV3'!B434,'AUX-NIV2'!Q:Q)</f>
        <v>0</v>
      </c>
      <c r="F434" s="327">
        <f t="shared" si="203"/>
        <v>16.0627437751833</v>
      </c>
      <c r="G434" s="327">
        <f t="shared" si="204"/>
        <v>0</v>
      </c>
      <c r="H434" s="328" t="str">
        <f t="shared" si="225"/>
        <v>E</v>
      </c>
      <c r="I434" s="325" t="s">
        <v>1555</v>
      </c>
      <c r="J434" s="329" t="str">
        <f>IF(B434&lt;&gt;"",+VLOOKUP(I434,Recursos!C:F,2,FALSE),"")</f>
        <v>CAMION VOLCADOR 6x4 CAP. 24 T=15 m3</v>
      </c>
      <c r="K434" s="330" t="str">
        <f>IF(B434&lt;&gt;"",+VLOOKUP(I434,Recursos!C:F,3,FALSE),"")</f>
        <v>HR</v>
      </c>
      <c r="L434" s="446">
        <f>IF(B434&lt;&gt;"",+VLOOKUP(I434,Recursos!C:F,4,FALSE),"")</f>
        <v>3333.261</v>
      </c>
      <c r="M434" s="464">
        <v>45</v>
      </c>
      <c r="N434" s="465">
        <v>14</v>
      </c>
      <c r="O434" s="459">
        <f>+(N434/M433/150+1/M434+1/N433+0.05/M433)/N434</f>
        <v>4.1400226757369613E-3</v>
      </c>
      <c r="P434" s="333">
        <f t="shared" si="200"/>
        <v>13.799776124149659</v>
      </c>
      <c r="Q434" s="327">
        <f t="shared" si="201"/>
        <v>0</v>
      </c>
      <c r="R434" s="334">
        <f t="shared" si="202"/>
        <v>0</v>
      </c>
      <c r="S434" s="335">
        <f t="shared" si="206"/>
        <v>2.2629676510336423</v>
      </c>
      <c r="T434" s="335">
        <f t="shared" si="207"/>
        <v>13.799776124149659</v>
      </c>
      <c r="U434" s="336">
        <f t="shared" si="208"/>
        <v>0</v>
      </c>
      <c r="V434" s="336">
        <f t="shared" si="209"/>
        <v>0</v>
      </c>
      <c r="W434" s="336">
        <f t="shared" si="210"/>
        <v>0</v>
      </c>
      <c r="X434" s="336">
        <f t="shared" si="211"/>
        <v>0</v>
      </c>
      <c r="Y434" s="320"/>
      <c r="Z434" s="321" t="str">
        <f t="shared" si="215"/>
        <v>X-TDOA</v>
      </c>
      <c r="AA434" s="321" t="str">
        <f t="shared" si="216"/>
        <v>X-TDOE</v>
      </c>
      <c r="AB434" s="321" t="str">
        <f t="shared" si="217"/>
        <v>X-TDOM</v>
      </c>
      <c r="AC434" s="321" t="str">
        <f t="shared" si="218"/>
        <v>X-TDOT</v>
      </c>
      <c r="AD434" s="321" t="str">
        <f t="shared" si="219"/>
        <v>X-TDOS</v>
      </c>
      <c r="AE434" s="321" t="str">
        <f t="shared" si="220"/>
        <v>X-TDOX</v>
      </c>
      <c r="AF434" s="321" t="str">
        <f t="shared" si="221"/>
        <v>X-TDOE</v>
      </c>
      <c r="AG434" s="321">
        <f t="shared" si="212"/>
        <v>2</v>
      </c>
      <c r="AH434" s="321"/>
      <c r="AI434" s="321" t="str">
        <f t="shared" si="222"/>
        <v>X-TDO</v>
      </c>
      <c r="AJ434" s="320"/>
      <c r="AK434" s="322">
        <f t="shared" si="213"/>
        <v>433</v>
      </c>
      <c r="AL434" s="323">
        <f t="shared" si="223"/>
        <v>434</v>
      </c>
      <c r="AM434" s="322">
        <f t="shared" si="224"/>
        <v>2</v>
      </c>
      <c r="AN434" s="381">
        <f t="shared" si="214"/>
        <v>4.5540249433106582E-3</v>
      </c>
      <c r="AO434" s="322"/>
    </row>
    <row r="435" spans="2:41" ht="13.8" thickTop="1">
      <c r="B435" s="324" t="s">
        <v>2799</v>
      </c>
      <c r="C435" s="325" t="s">
        <v>2800</v>
      </c>
      <c r="D435" s="326" t="s">
        <v>2938</v>
      </c>
      <c r="E435" s="327">
        <f>+SUMIF('AUX-NIV2'!I:I,'AUX-NIV3'!B435,'AUX-NIV2'!Q:Q)</f>
        <v>0</v>
      </c>
      <c r="F435" s="327">
        <f t="shared" si="203"/>
        <v>16069.345642697212</v>
      </c>
      <c r="G435" s="327">
        <f t="shared" si="204"/>
        <v>0</v>
      </c>
      <c r="H435" s="328" t="str">
        <f t="shared" si="225"/>
        <v>A</v>
      </c>
      <c r="I435" s="325" t="s">
        <v>1745</v>
      </c>
      <c r="J435" s="329" t="str">
        <f>IF(B435&lt;&gt;"",+VLOOKUP(I435,Recursos!C:F,2,FALSE),"")</f>
        <v>AYUDANTE</v>
      </c>
      <c r="K435" s="330" t="str">
        <f>IF(B435&lt;&gt;"",+VLOOKUP(I435,Recursos!C:F,3,FALSE),"")</f>
        <v>hh</v>
      </c>
      <c r="L435" s="446">
        <f>IF(B435&lt;&gt;"",+VLOOKUP(I435,Recursos!C:F,4,FALSE),"")</f>
        <v>422.48042769667234</v>
      </c>
      <c r="M435" s="437">
        <v>2.6</v>
      </c>
      <c r="N435" s="438">
        <v>1</v>
      </c>
      <c r="O435" s="459">
        <f t="shared" ref="O435:O443" si="226">+M435/$N$103</f>
        <v>3.7142857142857149</v>
      </c>
      <c r="P435" s="333">
        <f t="shared" si="200"/>
        <v>1569.2130171590688</v>
      </c>
      <c r="Q435" s="327">
        <f t="shared" si="201"/>
        <v>0</v>
      </c>
      <c r="R435" s="334">
        <f t="shared" si="202"/>
        <v>0</v>
      </c>
      <c r="S435" s="335">
        <f t="shared" si="206"/>
        <v>5480.3716998400714</v>
      </c>
      <c r="T435" s="335">
        <f t="shared" si="207"/>
        <v>10588.973942857141</v>
      </c>
      <c r="U435" s="336">
        <f t="shared" si="208"/>
        <v>0</v>
      </c>
      <c r="V435" s="336">
        <f t="shared" si="209"/>
        <v>0</v>
      </c>
      <c r="W435" s="336">
        <f t="shared" si="210"/>
        <v>0</v>
      </c>
      <c r="X435" s="336">
        <f t="shared" si="211"/>
        <v>0</v>
      </c>
      <c r="Y435" s="320"/>
      <c r="Z435" s="321" t="str">
        <f t="shared" si="215"/>
        <v>X-BASA</v>
      </c>
      <c r="AA435" s="321" t="str">
        <f t="shared" si="216"/>
        <v>X-BASE</v>
      </c>
      <c r="AB435" s="321" t="str">
        <f t="shared" si="217"/>
        <v>X-BASM</v>
      </c>
      <c r="AC435" s="321" t="str">
        <f t="shared" si="218"/>
        <v>X-BAST</v>
      </c>
      <c r="AD435" s="321" t="str">
        <f t="shared" si="219"/>
        <v>X-BASS</v>
      </c>
      <c r="AE435" s="321" t="str">
        <f t="shared" si="220"/>
        <v>X-BASX</v>
      </c>
      <c r="AF435" s="321" t="str">
        <f t="shared" si="221"/>
        <v>X-BASA</v>
      </c>
      <c r="AG435" s="321">
        <f t="shared" si="212"/>
        <v>9</v>
      </c>
      <c r="AH435" s="321"/>
      <c r="AI435" s="321" t="str">
        <f t="shared" si="222"/>
        <v>X-BAS</v>
      </c>
      <c r="AJ435" s="320"/>
      <c r="AK435" s="322">
        <f t="shared" si="213"/>
        <v>435</v>
      </c>
      <c r="AL435" s="323">
        <f t="shared" si="223"/>
        <v>443</v>
      </c>
      <c r="AM435" s="322">
        <f t="shared" si="224"/>
        <v>1</v>
      </c>
      <c r="AN435" s="381">
        <f t="shared" si="214"/>
        <v>10.714285714285715</v>
      </c>
      <c r="AO435" s="322"/>
    </row>
    <row r="436" spans="2:41">
      <c r="B436" s="324" t="s">
        <v>2799</v>
      </c>
      <c r="C436" s="325" t="s">
        <v>2800</v>
      </c>
      <c r="D436" s="326" t="s">
        <v>2938</v>
      </c>
      <c r="E436" s="327">
        <f>+SUMIF('AUX-NIV2'!I:I,'AUX-NIV3'!B436,'AUX-NIV2'!Q:Q)</f>
        <v>0</v>
      </c>
      <c r="F436" s="327">
        <f t="shared" si="203"/>
        <v>16069.345642697212</v>
      </c>
      <c r="G436" s="327">
        <f t="shared" si="204"/>
        <v>0</v>
      </c>
      <c r="H436" s="328" t="str">
        <f t="shared" si="225"/>
        <v>A</v>
      </c>
      <c r="I436" s="325" t="s">
        <v>1746</v>
      </c>
      <c r="J436" s="329" t="str">
        <f>IF(B436&lt;&gt;"",+VLOOKUP(I436,Recursos!C:F,2,FALSE),"")</f>
        <v>OFICIAL</v>
      </c>
      <c r="K436" s="330" t="str">
        <f>IF(B436&lt;&gt;"",+VLOOKUP(I436,Recursos!C:F,3,FALSE),"")</f>
        <v>hh</v>
      </c>
      <c r="L436" s="446">
        <f>IF(B436&lt;&gt;"",+VLOOKUP(I436,Recursos!C:F,4,FALSE),"")</f>
        <v>496.91595439275824</v>
      </c>
      <c r="M436" s="462">
        <v>1.3</v>
      </c>
      <c r="N436" s="466"/>
      <c r="O436" s="459">
        <f t="shared" si="226"/>
        <v>1.8571428571428574</v>
      </c>
      <c r="P436" s="333">
        <f t="shared" si="200"/>
        <v>922.8439153008369</v>
      </c>
      <c r="Q436" s="327">
        <f t="shared" si="201"/>
        <v>0</v>
      </c>
      <c r="R436" s="334">
        <f t="shared" si="202"/>
        <v>0</v>
      </c>
      <c r="S436" s="335">
        <f t="shared" si="206"/>
        <v>5480.3716998400714</v>
      </c>
      <c r="T436" s="335">
        <f t="shared" si="207"/>
        <v>10588.973942857141</v>
      </c>
      <c r="U436" s="336">
        <f t="shared" si="208"/>
        <v>0</v>
      </c>
      <c r="V436" s="336">
        <f t="shared" si="209"/>
        <v>0</v>
      </c>
      <c r="W436" s="336">
        <f t="shared" si="210"/>
        <v>0</v>
      </c>
      <c r="X436" s="336">
        <f t="shared" si="211"/>
        <v>0</v>
      </c>
      <c r="Y436" s="320"/>
      <c r="Z436" s="321" t="str">
        <f t="shared" si="215"/>
        <v>X-BASA</v>
      </c>
      <c r="AA436" s="321" t="str">
        <f t="shared" si="216"/>
        <v>X-BASE</v>
      </c>
      <c r="AB436" s="321" t="str">
        <f t="shared" si="217"/>
        <v>X-BASM</v>
      </c>
      <c r="AC436" s="321" t="str">
        <f t="shared" si="218"/>
        <v>X-BAST</v>
      </c>
      <c r="AD436" s="321" t="str">
        <f t="shared" si="219"/>
        <v>X-BASS</v>
      </c>
      <c r="AE436" s="321" t="str">
        <f t="shared" si="220"/>
        <v>X-BASX</v>
      </c>
      <c r="AF436" s="321" t="str">
        <f t="shared" si="221"/>
        <v>X-BASA</v>
      </c>
      <c r="AG436" s="321">
        <f t="shared" si="212"/>
        <v>9</v>
      </c>
      <c r="AH436" s="321"/>
      <c r="AI436" s="321" t="str">
        <f t="shared" si="222"/>
        <v>X-BAS</v>
      </c>
      <c r="AJ436" s="320"/>
      <c r="AK436" s="322">
        <f t="shared" si="213"/>
        <v>435</v>
      </c>
      <c r="AL436" s="323">
        <f t="shared" si="223"/>
        <v>443</v>
      </c>
      <c r="AM436" s="322">
        <f t="shared" si="224"/>
        <v>2</v>
      </c>
      <c r="AN436" s="381">
        <f t="shared" si="214"/>
        <v>10.714285714285715</v>
      </c>
      <c r="AO436" s="322"/>
    </row>
    <row r="437" spans="2:41">
      <c r="B437" s="324" t="s">
        <v>2799</v>
      </c>
      <c r="C437" s="325" t="s">
        <v>2800</v>
      </c>
      <c r="D437" s="326" t="s">
        <v>2938</v>
      </c>
      <c r="E437" s="327">
        <f>+SUMIF('AUX-NIV2'!I:I,'AUX-NIV3'!B437,'AUX-NIV2'!Q:Q)</f>
        <v>0</v>
      </c>
      <c r="F437" s="327">
        <f t="shared" si="203"/>
        <v>16069.345642697212</v>
      </c>
      <c r="G437" s="327">
        <f t="shared" si="204"/>
        <v>0</v>
      </c>
      <c r="H437" s="328" t="str">
        <f t="shared" si="225"/>
        <v>A</v>
      </c>
      <c r="I437" s="325" t="s">
        <v>3310</v>
      </c>
      <c r="J437" s="329" t="str">
        <f>IF(B437&lt;&gt;"",+VLOOKUP(I437,Recursos!C:F,2,FALSE),"")</f>
        <v>OFICIAL ESPECIALIZADO</v>
      </c>
      <c r="K437" s="330" t="str">
        <f>IF(B437&lt;&gt;"",+VLOOKUP(I437,Recursos!C:F,3,FALSE),"")</f>
        <v>hh</v>
      </c>
      <c r="L437" s="446">
        <f>IF(B437&lt;&gt;"",+VLOOKUP(I437,Recursos!C:F,4,FALSE),"")</f>
        <v>581.06120476836554</v>
      </c>
      <c r="M437" s="462">
        <v>1.3</v>
      </c>
      <c r="N437" s="466"/>
      <c r="O437" s="459">
        <f t="shared" si="226"/>
        <v>1.8571428571428574</v>
      </c>
      <c r="P437" s="333">
        <f t="shared" si="200"/>
        <v>1079.1136659983933</v>
      </c>
      <c r="Q437" s="327">
        <f t="shared" si="201"/>
        <v>0</v>
      </c>
      <c r="R437" s="334">
        <f t="shared" si="202"/>
        <v>0</v>
      </c>
      <c r="S437" s="335">
        <f t="shared" si="206"/>
        <v>5480.3716998400714</v>
      </c>
      <c r="T437" s="335">
        <f t="shared" si="207"/>
        <v>10588.973942857141</v>
      </c>
      <c r="U437" s="336">
        <f t="shared" si="208"/>
        <v>0</v>
      </c>
      <c r="V437" s="336">
        <f t="shared" si="209"/>
        <v>0</v>
      </c>
      <c r="W437" s="336">
        <f t="shared" si="210"/>
        <v>0</v>
      </c>
      <c r="X437" s="336">
        <f t="shared" si="211"/>
        <v>0</v>
      </c>
      <c r="Y437" s="320"/>
      <c r="Z437" s="321" t="str">
        <f t="shared" si="215"/>
        <v>X-BASA</v>
      </c>
      <c r="AA437" s="321" t="str">
        <f t="shared" si="216"/>
        <v>X-BASE</v>
      </c>
      <c r="AB437" s="321" t="str">
        <f t="shared" si="217"/>
        <v>X-BASM</v>
      </c>
      <c r="AC437" s="321" t="str">
        <f t="shared" si="218"/>
        <v>X-BAST</v>
      </c>
      <c r="AD437" s="321" t="str">
        <f t="shared" si="219"/>
        <v>X-BASS</v>
      </c>
      <c r="AE437" s="321" t="str">
        <f t="shared" si="220"/>
        <v>X-BASX</v>
      </c>
      <c r="AF437" s="321" t="str">
        <f t="shared" si="221"/>
        <v>X-BASA</v>
      </c>
      <c r="AG437" s="321">
        <f t="shared" si="212"/>
        <v>9</v>
      </c>
      <c r="AH437" s="321"/>
      <c r="AI437" s="321" t="str">
        <f t="shared" si="222"/>
        <v>X-BAS</v>
      </c>
      <c r="AJ437" s="320"/>
      <c r="AK437" s="322">
        <f t="shared" si="213"/>
        <v>435</v>
      </c>
      <c r="AL437" s="323">
        <f t="shared" si="223"/>
        <v>443</v>
      </c>
      <c r="AM437" s="322">
        <f t="shared" si="224"/>
        <v>3</v>
      </c>
      <c r="AN437" s="381">
        <f t="shared" si="214"/>
        <v>10.714285714285715</v>
      </c>
      <c r="AO437" s="322"/>
    </row>
    <row r="438" spans="2:41">
      <c r="B438" s="324" t="s">
        <v>2799</v>
      </c>
      <c r="C438" s="325" t="s">
        <v>2800</v>
      </c>
      <c r="D438" s="326" t="s">
        <v>2938</v>
      </c>
      <c r="E438" s="327">
        <f>+SUMIF('AUX-NIV2'!I:I,'AUX-NIV3'!B438,'AUX-NIV2'!Q:Q)</f>
        <v>0</v>
      </c>
      <c r="F438" s="327">
        <f t="shared" si="203"/>
        <v>16069.345642697212</v>
      </c>
      <c r="G438" s="327">
        <f t="shared" si="204"/>
        <v>0</v>
      </c>
      <c r="H438" s="328" t="str">
        <f t="shared" si="225"/>
        <v>A</v>
      </c>
      <c r="I438" s="325" t="s">
        <v>3310</v>
      </c>
      <c r="J438" s="329" t="str">
        <f>IF(B438&lt;&gt;"",+VLOOKUP(I438,Recursos!C:F,2,FALSE),"")</f>
        <v>OFICIAL ESPECIALIZADO</v>
      </c>
      <c r="K438" s="330" t="str">
        <f>IF(B438&lt;&gt;"",+VLOOKUP(I438,Recursos!C:F,3,FALSE),"")</f>
        <v>hh</v>
      </c>
      <c r="L438" s="446">
        <f>IF(B438&lt;&gt;"",+VLOOKUP(I438,Recursos!C:F,4,FALSE),"")</f>
        <v>581.06120476836554</v>
      </c>
      <c r="M438" s="462">
        <v>1.3</v>
      </c>
      <c r="N438" s="466"/>
      <c r="O438" s="459">
        <f t="shared" si="226"/>
        <v>1.8571428571428574</v>
      </c>
      <c r="P438" s="333">
        <f t="shared" si="200"/>
        <v>1079.1136659983933</v>
      </c>
      <c r="Q438" s="327">
        <f t="shared" si="201"/>
        <v>0</v>
      </c>
      <c r="R438" s="334">
        <f t="shared" si="202"/>
        <v>0</v>
      </c>
      <c r="S438" s="335">
        <f t="shared" si="206"/>
        <v>5480.3716998400714</v>
      </c>
      <c r="T438" s="335">
        <f t="shared" si="207"/>
        <v>10588.973942857141</v>
      </c>
      <c r="U438" s="336">
        <f t="shared" si="208"/>
        <v>0</v>
      </c>
      <c r="V438" s="336">
        <f t="shared" si="209"/>
        <v>0</v>
      </c>
      <c r="W438" s="336">
        <f t="shared" si="210"/>
        <v>0</v>
      </c>
      <c r="X438" s="336">
        <f t="shared" si="211"/>
        <v>0</v>
      </c>
      <c r="Y438" s="320"/>
      <c r="Z438" s="321" t="str">
        <f t="shared" si="215"/>
        <v>X-BASA</v>
      </c>
      <c r="AA438" s="321" t="str">
        <f t="shared" si="216"/>
        <v>X-BASE</v>
      </c>
      <c r="AB438" s="321" t="str">
        <f t="shared" si="217"/>
        <v>X-BASM</v>
      </c>
      <c r="AC438" s="321" t="str">
        <f t="shared" si="218"/>
        <v>X-BAST</v>
      </c>
      <c r="AD438" s="321" t="str">
        <f t="shared" si="219"/>
        <v>X-BASS</v>
      </c>
      <c r="AE438" s="321" t="str">
        <f t="shared" si="220"/>
        <v>X-BASX</v>
      </c>
      <c r="AF438" s="321" t="str">
        <f t="shared" si="221"/>
        <v>X-BASA</v>
      </c>
      <c r="AG438" s="321">
        <f t="shared" si="212"/>
        <v>9</v>
      </c>
      <c r="AH438" s="321"/>
      <c r="AI438" s="321" t="str">
        <f t="shared" si="222"/>
        <v>X-BAS</v>
      </c>
      <c r="AJ438" s="320"/>
      <c r="AK438" s="322">
        <f t="shared" si="213"/>
        <v>435</v>
      </c>
      <c r="AL438" s="323">
        <f t="shared" si="223"/>
        <v>443</v>
      </c>
      <c r="AM438" s="322">
        <f t="shared" si="224"/>
        <v>4</v>
      </c>
      <c r="AN438" s="381">
        <f t="shared" si="214"/>
        <v>10.714285714285715</v>
      </c>
      <c r="AO438" s="322"/>
    </row>
    <row r="439" spans="2:41">
      <c r="B439" s="324" t="s">
        <v>2799</v>
      </c>
      <c r="C439" s="325" t="s">
        <v>2800</v>
      </c>
      <c r="D439" s="326" t="s">
        <v>2938</v>
      </c>
      <c r="E439" s="327">
        <f>+SUMIF('AUX-NIV2'!I:I,'AUX-NIV3'!B439,'AUX-NIV2'!Q:Q)</f>
        <v>0</v>
      </c>
      <c r="F439" s="327">
        <f t="shared" si="203"/>
        <v>16069.345642697212</v>
      </c>
      <c r="G439" s="327">
        <f t="shared" si="204"/>
        <v>0</v>
      </c>
      <c r="H439" s="328" t="str">
        <f t="shared" si="225"/>
        <v>A</v>
      </c>
      <c r="I439" s="325" t="s">
        <v>3310</v>
      </c>
      <c r="J439" s="329" t="str">
        <f>IF(B439&lt;&gt;"",+VLOOKUP(I439,Recursos!C:F,2,FALSE),"")</f>
        <v>OFICIAL ESPECIALIZADO</v>
      </c>
      <c r="K439" s="330" t="str">
        <f>IF(B439&lt;&gt;"",+VLOOKUP(I439,Recursos!C:F,3,FALSE),"")</f>
        <v>hh</v>
      </c>
      <c r="L439" s="446">
        <f>IF(B439&lt;&gt;"",+VLOOKUP(I439,Recursos!C:F,4,FALSE),"")</f>
        <v>581.06120476836554</v>
      </c>
      <c r="M439" s="462">
        <v>1</v>
      </c>
      <c r="N439" s="466"/>
      <c r="O439" s="459">
        <f t="shared" si="226"/>
        <v>1.4285714285714286</v>
      </c>
      <c r="P439" s="333">
        <f t="shared" si="200"/>
        <v>830.08743538337933</v>
      </c>
      <c r="Q439" s="327">
        <f t="shared" si="201"/>
        <v>0</v>
      </c>
      <c r="R439" s="334">
        <f t="shared" si="202"/>
        <v>0</v>
      </c>
      <c r="S439" s="335">
        <f t="shared" si="206"/>
        <v>5480.3716998400714</v>
      </c>
      <c r="T439" s="335">
        <f t="shared" si="207"/>
        <v>10588.973942857141</v>
      </c>
      <c r="U439" s="336">
        <f t="shared" si="208"/>
        <v>0</v>
      </c>
      <c r="V439" s="336">
        <f t="shared" si="209"/>
        <v>0</v>
      </c>
      <c r="W439" s="336">
        <f t="shared" si="210"/>
        <v>0</v>
      </c>
      <c r="X439" s="336">
        <f t="shared" si="211"/>
        <v>0</v>
      </c>
      <c r="Y439" s="320"/>
      <c r="Z439" s="321" t="str">
        <f t="shared" si="215"/>
        <v>X-BASA</v>
      </c>
      <c r="AA439" s="321" t="str">
        <f t="shared" si="216"/>
        <v>X-BASE</v>
      </c>
      <c r="AB439" s="321" t="str">
        <f t="shared" si="217"/>
        <v>X-BASM</v>
      </c>
      <c r="AC439" s="321" t="str">
        <f t="shared" si="218"/>
        <v>X-BAST</v>
      </c>
      <c r="AD439" s="321" t="str">
        <f t="shared" si="219"/>
        <v>X-BASS</v>
      </c>
      <c r="AE439" s="321" t="str">
        <f t="shared" si="220"/>
        <v>X-BASX</v>
      </c>
      <c r="AF439" s="321" t="str">
        <f t="shared" si="221"/>
        <v>X-BASA</v>
      </c>
      <c r="AG439" s="321">
        <f t="shared" si="212"/>
        <v>9</v>
      </c>
      <c r="AH439" s="321"/>
      <c r="AI439" s="321" t="str">
        <f t="shared" si="222"/>
        <v>X-BAS</v>
      </c>
      <c r="AJ439" s="320"/>
      <c r="AK439" s="322">
        <f t="shared" si="213"/>
        <v>435</v>
      </c>
      <c r="AL439" s="323">
        <f t="shared" si="223"/>
        <v>443</v>
      </c>
      <c r="AM439" s="322">
        <f t="shared" si="224"/>
        <v>5</v>
      </c>
      <c r="AN439" s="381">
        <f t="shared" si="214"/>
        <v>10.714285714285715</v>
      </c>
      <c r="AO439" s="322"/>
    </row>
    <row r="440" spans="2:41">
      <c r="B440" s="324" t="s">
        <v>2799</v>
      </c>
      <c r="C440" s="325" t="s">
        <v>2800</v>
      </c>
      <c r="D440" s="326" t="s">
        <v>2938</v>
      </c>
      <c r="E440" s="327">
        <f>+SUMIF('AUX-NIV2'!I:I,'AUX-NIV3'!B440,'AUX-NIV2'!Q:Q)</f>
        <v>0</v>
      </c>
      <c r="F440" s="327">
        <f t="shared" si="203"/>
        <v>16069.345642697212</v>
      </c>
      <c r="G440" s="327">
        <f t="shared" si="204"/>
        <v>0</v>
      </c>
      <c r="H440" s="328" t="str">
        <f t="shared" si="225"/>
        <v>E</v>
      </c>
      <c r="I440" s="325" t="s">
        <v>1661</v>
      </c>
      <c r="J440" s="329" t="str">
        <f>IF(B440&lt;&gt;"",+VLOOKUP(I440,Recursos!C:F,2,FALSE),"")</f>
        <v>CARGADOR FRONTAL S/NEUM. 2,8 m3</v>
      </c>
      <c r="K440" s="330" t="str">
        <f>IF(B440&lt;&gt;"",+VLOOKUP(I440,Recursos!C:F,3,FALSE),"")</f>
        <v>HR</v>
      </c>
      <c r="L440" s="446">
        <f>IF(B440&lt;&gt;"",+VLOOKUP(I440,Recursos!C:F,4,FALSE),"")</f>
        <v>3988.8908000000001</v>
      </c>
      <c r="M440" s="462">
        <v>1</v>
      </c>
      <c r="N440" s="466"/>
      <c r="O440" s="459">
        <f t="shared" si="226"/>
        <v>1.4285714285714286</v>
      </c>
      <c r="P440" s="333">
        <f t="shared" si="200"/>
        <v>5698.4154285714285</v>
      </c>
      <c r="Q440" s="327">
        <f t="shared" si="201"/>
        <v>0</v>
      </c>
      <c r="R440" s="334">
        <f t="shared" si="202"/>
        <v>0</v>
      </c>
      <c r="S440" s="335">
        <f t="shared" si="206"/>
        <v>5480.3716998400714</v>
      </c>
      <c r="T440" s="335">
        <f t="shared" si="207"/>
        <v>10588.973942857141</v>
      </c>
      <c r="U440" s="336">
        <f t="shared" si="208"/>
        <v>0</v>
      </c>
      <c r="V440" s="336">
        <f t="shared" si="209"/>
        <v>0</v>
      </c>
      <c r="W440" s="336">
        <f t="shared" si="210"/>
        <v>0</v>
      </c>
      <c r="X440" s="336">
        <f t="shared" si="211"/>
        <v>0</v>
      </c>
      <c r="Y440" s="320"/>
      <c r="Z440" s="321" t="str">
        <f t="shared" si="215"/>
        <v>X-BASA</v>
      </c>
      <c r="AA440" s="321" t="str">
        <f t="shared" si="216"/>
        <v>X-BASE</v>
      </c>
      <c r="AB440" s="321" t="str">
        <f t="shared" si="217"/>
        <v>X-BASM</v>
      </c>
      <c r="AC440" s="321" t="str">
        <f t="shared" si="218"/>
        <v>X-BAST</v>
      </c>
      <c r="AD440" s="321" t="str">
        <f t="shared" si="219"/>
        <v>X-BASS</v>
      </c>
      <c r="AE440" s="321" t="str">
        <f t="shared" si="220"/>
        <v>X-BASX</v>
      </c>
      <c r="AF440" s="321" t="str">
        <f t="shared" si="221"/>
        <v>X-BASE</v>
      </c>
      <c r="AG440" s="321">
        <f t="shared" si="212"/>
        <v>9</v>
      </c>
      <c r="AH440" s="321"/>
      <c r="AI440" s="321" t="str">
        <f t="shared" si="222"/>
        <v>X-BAS</v>
      </c>
      <c r="AJ440" s="320"/>
      <c r="AK440" s="322">
        <f t="shared" si="213"/>
        <v>435</v>
      </c>
      <c r="AL440" s="323">
        <f t="shared" si="223"/>
        <v>443</v>
      </c>
      <c r="AM440" s="322">
        <f t="shared" si="224"/>
        <v>6</v>
      </c>
      <c r="AN440" s="381">
        <f t="shared" si="214"/>
        <v>10.714285714285715</v>
      </c>
      <c r="AO440" s="322"/>
    </row>
    <row r="441" spans="2:41">
      <c r="B441" s="324" t="s">
        <v>2799</v>
      </c>
      <c r="C441" s="325" t="s">
        <v>2800</v>
      </c>
      <c r="D441" s="326" t="s">
        <v>2938</v>
      </c>
      <c r="E441" s="327">
        <f>+SUMIF('AUX-NIV2'!I:I,'AUX-NIV3'!B441,'AUX-NIV2'!Q:Q)</f>
        <v>0</v>
      </c>
      <c r="F441" s="327">
        <f t="shared" si="203"/>
        <v>16069.345642697212</v>
      </c>
      <c r="G441" s="327">
        <f t="shared" si="204"/>
        <v>0</v>
      </c>
      <c r="H441" s="328" t="str">
        <f t="shared" si="225"/>
        <v>E</v>
      </c>
      <c r="I441" s="325" t="s">
        <v>1585</v>
      </c>
      <c r="J441" s="329" t="str">
        <f>IF(B441&lt;&gt;"",+VLOOKUP(I441,Recursos!C:F,2,FALSE),"")</f>
        <v>GRUPO ELECTROGENO 113 KVA-90 KW</v>
      </c>
      <c r="K441" s="330" t="str">
        <f>IF(B441&lt;&gt;"",+VLOOKUP(I441,Recursos!C:F,3,FALSE),"")</f>
        <v>HR</v>
      </c>
      <c r="L441" s="446">
        <f>IF(B441&lt;&gt;"",+VLOOKUP(I441,Recursos!C:F,4,FALSE),"")</f>
        <v>1785.366</v>
      </c>
      <c r="M441" s="462">
        <v>1</v>
      </c>
      <c r="N441" s="466"/>
      <c r="O441" s="459">
        <f t="shared" si="226"/>
        <v>1.4285714285714286</v>
      </c>
      <c r="P441" s="333">
        <f t="shared" si="200"/>
        <v>2550.522857142857</v>
      </c>
      <c r="Q441" s="327">
        <f t="shared" si="201"/>
        <v>0</v>
      </c>
      <c r="R441" s="334">
        <f t="shared" si="202"/>
        <v>0</v>
      </c>
      <c r="S441" s="335">
        <f t="shared" si="206"/>
        <v>5480.3716998400714</v>
      </c>
      <c r="T441" s="335">
        <f t="shared" si="207"/>
        <v>10588.973942857141</v>
      </c>
      <c r="U441" s="336">
        <f t="shared" si="208"/>
        <v>0</v>
      </c>
      <c r="V441" s="336">
        <f t="shared" si="209"/>
        <v>0</v>
      </c>
      <c r="W441" s="336">
        <f t="shared" si="210"/>
        <v>0</v>
      </c>
      <c r="X441" s="336">
        <f t="shared" si="211"/>
        <v>0</v>
      </c>
      <c r="Y441" s="320"/>
      <c r="Z441" s="321" t="str">
        <f t="shared" si="215"/>
        <v>X-BASA</v>
      </c>
      <c r="AA441" s="321" t="str">
        <f t="shared" si="216"/>
        <v>X-BASE</v>
      </c>
      <c r="AB441" s="321" t="str">
        <f t="shared" si="217"/>
        <v>X-BASM</v>
      </c>
      <c r="AC441" s="321" t="str">
        <f t="shared" si="218"/>
        <v>X-BAST</v>
      </c>
      <c r="AD441" s="321" t="str">
        <f t="shared" si="219"/>
        <v>X-BASS</v>
      </c>
      <c r="AE441" s="321" t="str">
        <f t="shared" si="220"/>
        <v>X-BASX</v>
      </c>
      <c r="AF441" s="321" t="str">
        <f t="shared" si="221"/>
        <v>X-BASE</v>
      </c>
      <c r="AG441" s="321">
        <f t="shared" si="212"/>
        <v>9</v>
      </c>
      <c r="AH441" s="321"/>
      <c r="AI441" s="321" t="str">
        <f t="shared" si="222"/>
        <v>X-BAS</v>
      </c>
      <c r="AJ441" s="320"/>
      <c r="AK441" s="322">
        <f t="shared" si="213"/>
        <v>435</v>
      </c>
      <c r="AL441" s="323">
        <f t="shared" si="223"/>
        <v>443</v>
      </c>
      <c r="AM441" s="322">
        <f t="shared" si="224"/>
        <v>7</v>
      </c>
      <c r="AN441" s="381">
        <f t="shared" si="214"/>
        <v>10.714285714285715</v>
      </c>
      <c r="AO441" s="322"/>
    </row>
    <row r="442" spans="2:41">
      <c r="B442" s="324" t="s">
        <v>2799</v>
      </c>
      <c r="C442" s="325" t="s">
        <v>2800</v>
      </c>
      <c r="D442" s="326" t="s">
        <v>2938</v>
      </c>
      <c r="E442" s="327">
        <f>+SUMIF('AUX-NIV2'!I:I,'AUX-NIV3'!B442,'AUX-NIV2'!Q:Q)</f>
        <v>0</v>
      </c>
      <c r="F442" s="327">
        <f t="shared" si="203"/>
        <v>16069.345642697212</v>
      </c>
      <c r="G442" s="327">
        <f t="shared" si="204"/>
        <v>0</v>
      </c>
      <c r="H442" s="328" t="str">
        <f t="shared" si="225"/>
        <v>E</v>
      </c>
      <c r="I442" s="325" t="s">
        <v>1604</v>
      </c>
      <c r="J442" s="329" t="str">
        <f>IF(B442&lt;&gt;"",+VLOOKUP(I442,Recursos!C:F,2,FALSE),"")</f>
        <v>BOMBA SUMERGIBLE (H=10M 33 L/SEG)</v>
      </c>
      <c r="K442" s="330" t="str">
        <f>IF(B442&lt;&gt;"",+VLOOKUP(I442,Recursos!C:F,3,FALSE),"")</f>
        <v>HR</v>
      </c>
      <c r="L442" s="446">
        <f>IF(B442&lt;&gt;"",+VLOOKUP(I442,Recursos!C:F,4,FALSE),"")</f>
        <v>76.537499999999994</v>
      </c>
      <c r="M442" s="462">
        <v>1</v>
      </c>
      <c r="N442" s="466"/>
      <c r="O442" s="459">
        <f t="shared" si="226"/>
        <v>1.4285714285714286</v>
      </c>
      <c r="P442" s="333">
        <f t="shared" si="200"/>
        <v>109.33928571428571</v>
      </c>
      <c r="Q442" s="327">
        <f t="shared" si="201"/>
        <v>0</v>
      </c>
      <c r="R442" s="334">
        <f t="shared" si="202"/>
        <v>0</v>
      </c>
      <c r="S442" s="335">
        <f t="shared" si="206"/>
        <v>5480.3716998400714</v>
      </c>
      <c r="T442" s="335">
        <f t="shared" si="207"/>
        <v>10588.973942857141</v>
      </c>
      <c r="U442" s="336">
        <f t="shared" si="208"/>
        <v>0</v>
      </c>
      <c r="V442" s="336">
        <f t="shared" si="209"/>
        <v>0</v>
      </c>
      <c r="W442" s="336">
        <f t="shared" si="210"/>
        <v>0</v>
      </c>
      <c r="X442" s="336">
        <f t="shared" si="211"/>
        <v>0</v>
      </c>
      <c r="Y442" s="320"/>
      <c r="Z442" s="321" t="str">
        <f t="shared" si="215"/>
        <v>X-BASA</v>
      </c>
      <c r="AA442" s="321" t="str">
        <f t="shared" si="216"/>
        <v>X-BASE</v>
      </c>
      <c r="AB442" s="321" t="str">
        <f t="shared" si="217"/>
        <v>X-BASM</v>
      </c>
      <c r="AC442" s="321" t="str">
        <f t="shared" si="218"/>
        <v>X-BAST</v>
      </c>
      <c r="AD442" s="321" t="str">
        <f t="shared" si="219"/>
        <v>X-BASS</v>
      </c>
      <c r="AE442" s="321" t="str">
        <f t="shared" si="220"/>
        <v>X-BASX</v>
      </c>
      <c r="AF442" s="321" t="str">
        <f t="shared" si="221"/>
        <v>X-BASE</v>
      </c>
      <c r="AG442" s="321">
        <f t="shared" si="212"/>
        <v>9</v>
      </c>
      <c r="AH442" s="321"/>
      <c r="AI442" s="321" t="str">
        <f t="shared" si="222"/>
        <v>X-BAS</v>
      </c>
      <c r="AJ442" s="320"/>
      <c r="AK442" s="322">
        <f t="shared" si="213"/>
        <v>435</v>
      </c>
      <c r="AL442" s="323">
        <f t="shared" si="223"/>
        <v>443</v>
      </c>
      <c r="AM442" s="322">
        <f t="shared" si="224"/>
        <v>8</v>
      </c>
      <c r="AN442" s="381">
        <f t="shared" si="214"/>
        <v>10.714285714285715</v>
      </c>
      <c r="AO442" s="322"/>
    </row>
    <row r="443" spans="2:41" ht="13.8" thickBot="1">
      <c r="B443" s="324" t="s">
        <v>2799</v>
      </c>
      <c r="C443" s="325" t="s">
        <v>2800</v>
      </c>
      <c r="D443" s="326" t="s">
        <v>2938</v>
      </c>
      <c r="E443" s="327">
        <f>+SUMIF('AUX-NIV2'!I:I,'AUX-NIV3'!B443,'AUX-NIV2'!Q:Q)</f>
        <v>0</v>
      </c>
      <c r="F443" s="327">
        <f t="shared" si="203"/>
        <v>16069.345642697212</v>
      </c>
      <c r="G443" s="327">
        <f t="shared" si="204"/>
        <v>0</v>
      </c>
      <c r="H443" s="328" t="str">
        <f t="shared" si="225"/>
        <v>E</v>
      </c>
      <c r="I443" s="325" t="s">
        <v>1704</v>
      </c>
      <c r="J443" s="329" t="str">
        <f>IF(B443&lt;&gt;"",+VLOOKUP(I443,Recursos!C:F,2,FALSE),"")</f>
        <v>PLANTA DE ZARANDEO 200/300 TN/HR</v>
      </c>
      <c r="K443" s="330" t="str">
        <f>IF(B443&lt;&gt;"",+VLOOKUP(I443,Recursos!C:F,3,FALSE),"")</f>
        <v>HR</v>
      </c>
      <c r="L443" s="446">
        <f>IF(B443&lt;&gt;"",+VLOOKUP(I443,Recursos!C:F,4,FALSE),"")</f>
        <v>1561.4874599999998</v>
      </c>
      <c r="M443" s="464">
        <v>1</v>
      </c>
      <c r="N443" s="498"/>
      <c r="O443" s="459">
        <f t="shared" si="226"/>
        <v>1.4285714285714286</v>
      </c>
      <c r="P443" s="333">
        <f t="shared" si="200"/>
        <v>2230.6963714285712</v>
      </c>
      <c r="Q443" s="327">
        <f t="shared" si="201"/>
        <v>0</v>
      </c>
      <c r="R443" s="334">
        <f t="shared" si="202"/>
        <v>0</v>
      </c>
      <c r="S443" s="335">
        <f t="shared" si="206"/>
        <v>5480.3716998400714</v>
      </c>
      <c r="T443" s="335">
        <f t="shared" si="207"/>
        <v>10588.973942857141</v>
      </c>
      <c r="U443" s="336">
        <f t="shared" si="208"/>
        <v>0</v>
      </c>
      <c r="V443" s="336">
        <f t="shared" si="209"/>
        <v>0</v>
      </c>
      <c r="W443" s="336">
        <f t="shared" si="210"/>
        <v>0</v>
      </c>
      <c r="X443" s="336">
        <f t="shared" si="211"/>
        <v>0</v>
      </c>
      <c r="Y443" s="320"/>
      <c r="Z443" s="321" t="str">
        <f t="shared" si="215"/>
        <v>X-BASA</v>
      </c>
      <c r="AA443" s="321" t="str">
        <f t="shared" si="216"/>
        <v>X-BASE</v>
      </c>
      <c r="AB443" s="321" t="str">
        <f t="shared" si="217"/>
        <v>X-BASM</v>
      </c>
      <c r="AC443" s="321" t="str">
        <f t="shared" si="218"/>
        <v>X-BAST</v>
      </c>
      <c r="AD443" s="321" t="str">
        <f t="shared" si="219"/>
        <v>X-BASS</v>
      </c>
      <c r="AE443" s="321" t="str">
        <f t="shared" si="220"/>
        <v>X-BASX</v>
      </c>
      <c r="AF443" s="321" t="str">
        <f t="shared" si="221"/>
        <v>X-BASE</v>
      </c>
      <c r="AG443" s="321">
        <f t="shared" si="212"/>
        <v>9</v>
      </c>
      <c r="AH443" s="321"/>
      <c r="AI443" s="321" t="str">
        <f t="shared" si="222"/>
        <v>X-BAS</v>
      </c>
      <c r="AJ443" s="320"/>
      <c r="AK443" s="322">
        <f t="shared" si="213"/>
        <v>435</v>
      </c>
      <c r="AL443" s="323">
        <f t="shared" si="223"/>
        <v>443</v>
      </c>
      <c r="AM443" s="322">
        <f t="shared" si="224"/>
        <v>9</v>
      </c>
      <c r="AN443" s="381">
        <f t="shared" si="214"/>
        <v>10.714285714285715</v>
      </c>
      <c r="AO443" s="322"/>
    </row>
    <row r="444" spans="2:41" ht="13.8" thickTop="1">
      <c r="B444" s="324" t="s">
        <v>2832</v>
      </c>
      <c r="C444" s="325" t="s">
        <v>2833</v>
      </c>
      <c r="D444" s="326" t="s">
        <v>441</v>
      </c>
      <c r="E444" s="327">
        <f>+SUMIF('AUX-NIV2'!I:I,'AUX-NIV3'!B444,'AUX-NIV2'!Q:Q)</f>
        <v>0</v>
      </c>
      <c r="F444" s="327">
        <f t="shared" si="203"/>
        <v>649.41183802392516</v>
      </c>
      <c r="G444" s="327">
        <f t="shared" si="204"/>
        <v>0</v>
      </c>
      <c r="H444" s="328" t="str">
        <f t="shared" si="225"/>
        <v>M</v>
      </c>
      <c r="I444" s="325" t="s">
        <v>2006</v>
      </c>
      <c r="J444" s="329" t="str">
        <f>IF(B444&lt;&gt;"",+VLOOKUP(I444,Recursos!C:F,2,FALSE),"")</f>
        <v>EMULSION ASFALTICA</v>
      </c>
      <c r="K444" s="330" t="str">
        <f>IF(B444&lt;&gt;"",+VLOOKUP(I444,Recursos!C:F,3,FALSE),"")</f>
        <v>Tn</v>
      </c>
      <c r="L444" s="446">
        <f>IF(B444&lt;&gt;"",+VLOOKUP(I444,Recursos!C:F,4,FALSE),"")</f>
        <v>1380</v>
      </c>
      <c r="M444" s="437">
        <v>0.05</v>
      </c>
      <c r="N444" s="491"/>
      <c r="O444" s="459">
        <f>+M444*N445</f>
        <v>5.1000000000000004E-2</v>
      </c>
      <c r="P444" s="333">
        <f t="shared" si="200"/>
        <v>70.38000000000001</v>
      </c>
      <c r="Q444" s="327">
        <f t="shared" si="201"/>
        <v>0</v>
      </c>
      <c r="R444" s="334">
        <f t="shared" si="202"/>
        <v>0</v>
      </c>
      <c r="S444" s="335">
        <f t="shared" si="206"/>
        <v>0</v>
      </c>
      <c r="T444" s="335">
        <f t="shared" si="207"/>
        <v>0</v>
      </c>
      <c r="U444" s="336">
        <f t="shared" si="208"/>
        <v>649.41183802392516</v>
      </c>
      <c r="V444" s="336">
        <f t="shared" si="209"/>
        <v>0</v>
      </c>
      <c r="W444" s="336">
        <f t="shared" si="210"/>
        <v>0</v>
      </c>
      <c r="X444" s="336">
        <f t="shared" si="211"/>
        <v>0</v>
      </c>
      <c r="Y444" s="320"/>
      <c r="Z444" s="321" t="str">
        <f t="shared" si="215"/>
        <v>X-MAT3A</v>
      </c>
      <c r="AA444" s="321" t="str">
        <f t="shared" si="216"/>
        <v>X-MAT3E</v>
      </c>
      <c r="AB444" s="321" t="str">
        <f t="shared" si="217"/>
        <v>X-MAT3M</v>
      </c>
      <c r="AC444" s="321" t="str">
        <f t="shared" si="218"/>
        <v>X-MAT3T</v>
      </c>
      <c r="AD444" s="321" t="str">
        <f t="shared" si="219"/>
        <v>X-MAT3S</v>
      </c>
      <c r="AE444" s="321" t="str">
        <f t="shared" si="220"/>
        <v>X-MAT3X</v>
      </c>
      <c r="AF444" s="321" t="str">
        <f t="shared" si="221"/>
        <v>X-MAT3M</v>
      </c>
      <c r="AG444" s="321">
        <f t="shared" si="212"/>
        <v>3</v>
      </c>
      <c r="AH444" s="321"/>
      <c r="AI444" s="321" t="str">
        <f t="shared" si="222"/>
        <v>X-MAT3</v>
      </c>
      <c r="AJ444" s="320"/>
      <c r="AK444" s="322">
        <f t="shared" si="213"/>
        <v>444</v>
      </c>
      <c r="AL444" s="323">
        <f t="shared" si="223"/>
        <v>446</v>
      </c>
      <c r="AM444" s="322">
        <f t="shared" si="224"/>
        <v>1</v>
      </c>
      <c r="AN444" s="381">
        <f t="shared" si="214"/>
        <v>0</v>
      </c>
      <c r="AO444" s="322"/>
    </row>
    <row r="445" spans="2:41">
      <c r="B445" s="324" t="s">
        <v>2832</v>
      </c>
      <c r="C445" s="325" t="s">
        <v>2833</v>
      </c>
      <c r="D445" s="326" t="s">
        <v>441</v>
      </c>
      <c r="E445" s="327">
        <f>+SUMIF('AUX-NIV2'!I:I,'AUX-NIV3'!B445,'AUX-NIV2'!Q:Q)</f>
        <v>0</v>
      </c>
      <c r="F445" s="327">
        <f t="shared" si="203"/>
        <v>649.41183802392516</v>
      </c>
      <c r="G445" s="327">
        <f t="shared" si="204"/>
        <v>0</v>
      </c>
      <c r="H445" s="328" t="str">
        <f t="shared" si="225"/>
        <v>M</v>
      </c>
      <c r="I445" s="325" t="s">
        <v>1510</v>
      </c>
      <c r="J445" s="329" t="str">
        <f>IF(B445&lt;&gt;"",+VLOOKUP(I445,Recursos!C:F,2,FALSE),"")</f>
        <v>AGREGADO GRUESO</v>
      </c>
      <c r="K445" s="330" t="str">
        <f>IF(B445&lt;&gt;"",+VLOOKUP(I445,Recursos!C:F,3,FALSE),"")</f>
        <v>Tn</v>
      </c>
      <c r="L445" s="446">
        <f>IF(B445&lt;&gt;"",+VLOOKUP(I445,Recursos!C:F,4,FALSE),"")</f>
        <v>900</v>
      </c>
      <c r="M445" s="462">
        <v>0.03</v>
      </c>
      <c r="N445" s="463">
        <v>1.02</v>
      </c>
      <c r="O445" s="459">
        <f>+M446*N445</f>
        <v>0.45900000000000002</v>
      </c>
      <c r="P445" s="333">
        <f t="shared" si="200"/>
        <v>413.1</v>
      </c>
      <c r="Q445" s="327">
        <f t="shared" si="201"/>
        <v>0</v>
      </c>
      <c r="R445" s="334">
        <f t="shared" si="202"/>
        <v>0</v>
      </c>
      <c r="S445" s="335">
        <f t="shared" si="206"/>
        <v>0</v>
      </c>
      <c r="T445" s="335">
        <f t="shared" si="207"/>
        <v>0</v>
      </c>
      <c r="U445" s="336">
        <f t="shared" si="208"/>
        <v>649.41183802392516</v>
      </c>
      <c r="V445" s="336">
        <f t="shared" si="209"/>
        <v>0</v>
      </c>
      <c r="W445" s="336">
        <f t="shared" si="210"/>
        <v>0</v>
      </c>
      <c r="X445" s="336">
        <f t="shared" si="211"/>
        <v>0</v>
      </c>
      <c r="Y445" s="320"/>
      <c r="Z445" s="321" t="str">
        <f t="shared" si="215"/>
        <v>X-MAT3A</v>
      </c>
      <c r="AA445" s="321" t="str">
        <f t="shared" si="216"/>
        <v>X-MAT3E</v>
      </c>
      <c r="AB445" s="321" t="str">
        <f t="shared" si="217"/>
        <v>X-MAT3M</v>
      </c>
      <c r="AC445" s="321" t="str">
        <f t="shared" si="218"/>
        <v>X-MAT3T</v>
      </c>
      <c r="AD445" s="321" t="str">
        <f t="shared" si="219"/>
        <v>X-MAT3S</v>
      </c>
      <c r="AE445" s="321" t="str">
        <f t="shared" si="220"/>
        <v>X-MAT3X</v>
      </c>
      <c r="AF445" s="321" t="str">
        <f t="shared" si="221"/>
        <v>X-MAT3M</v>
      </c>
      <c r="AG445" s="321">
        <f t="shared" si="212"/>
        <v>3</v>
      </c>
      <c r="AH445" s="321"/>
      <c r="AI445" s="321" t="str">
        <f t="shared" si="222"/>
        <v>X-MAT3</v>
      </c>
      <c r="AJ445" s="320"/>
      <c r="AK445" s="322">
        <f t="shared" si="213"/>
        <v>444</v>
      </c>
      <c r="AL445" s="323">
        <f t="shared" si="223"/>
        <v>446</v>
      </c>
      <c r="AM445" s="322">
        <f t="shared" si="224"/>
        <v>2</v>
      </c>
      <c r="AN445" s="381">
        <f t="shared" si="214"/>
        <v>0</v>
      </c>
      <c r="AO445" s="322"/>
    </row>
    <row r="446" spans="2:41" ht="13.8" thickBot="1">
      <c r="B446" s="324" t="s">
        <v>2832</v>
      </c>
      <c r="C446" s="325" t="s">
        <v>2833</v>
      </c>
      <c r="D446" s="326" t="s">
        <v>441</v>
      </c>
      <c r="E446" s="327">
        <f>+SUMIF('AUX-NIV2'!I:I,'AUX-NIV3'!B446,'AUX-NIV2'!Q:Q)</f>
        <v>0</v>
      </c>
      <c r="F446" s="327">
        <f t="shared" si="203"/>
        <v>649.41183802392516</v>
      </c>
      <c r="G446" s="327">
        <f t="shared" si="204"/>
        <v>0</v>
      </c>
      <c r="H446" s="328" t="str">
        <f t="shared" si="225"/>
        <v>M</v>
      </c>
      <c r="I446" s="325" t="s">
        <v>1511</v>
      </c>
      <c r="J446" s="329" t="str">
        <f>IF(B446&lt;&gt;"",+VLOOKUP(I446,Recursos!C:F,2,FALSE),"")</f>
        <v>AGREGADO FINO</v>
      </c>
      <c r="K446" s="330" t="str">
        <f>IF(B446&lt;&gt;"",+VLOOKUP(I446,Recursos!C:F,3,FALSE),"")</f>
        <v>tn</v>
      </c>
      <c r="L446" s="446">
        <f>IF(B446&lt;&gt;"",+VLOOKUP(I446,Recursos!C:F,4,FALSE),"")</f>
        <v>346.12398419675657</v>
      </c>
      <c r="M446" s="464">
        <v>0.45</v>
      </c>
      <c r="N446" s="499"/>
      <c r="O446" s="459">
        <f>(+(1-M446)-(M444+M445))*N445</f>
        <v>0.47940000000000005</v>
      </c>
      <c r="P446" s="333">
        <f t="shared" si="200"/>
        <v>165.93183802392511</v>
      </c>
      <c r="Q446" s="327">
        <f t="shared" si="201"/>
        <v>0</v>
      </c>
      <c r="R446" s="334">
        <f t="shared" si="202"/>
        <v>0</v>
      </c>
      <c r="S446" s="335">
        <f t="shared" si="206"/>
        <v>0</v>
      </c>
      <c r="T446" s="335">
        <f t="shared" si="207"/>
        <v>0</v>
      </c>
      <c r="U446" s="336">
        <f t="shared" si="208"/>
        <v>649.41183802392516</v>
      </c>
      <c r="V446" s="336">
        <f t="shared" si="209"/>
        <v>0</v>
      </c>
      <c r="W446" s="336">
        <f t="shared" si="210"/>
        <v>0</v>
      </c>
      <c r="X446" s="336">
        <f t="shared" si="211"/>
        <v>0</v>
      </c>
      <c r="Y446" s="320"/>
      <c r="Z446" s="321" t="str">
        <f t="shared" si="215"/>
        <v>X-MAT3A</v>
      </c>
      <c r="AA446" s="321" t="str">
        <f t="shared" si="216"/>
        <v>X-MAT3E</v>
      </c>
      <c r="AB446" s="321" t="str">
        <f t="shared" si="217"/>
        <v>X-MAT3M</v>
      </c>
      <c r="AC446" s="321" t="str">
        <f t="shared" si="218"/>
        <v>X-MAT3T</v>
      </c>
      <c r="AD446" s="321" t="str">
        <f t="shared" si="219"/>
        <v>X-MAT3S</v>
      </c>
      <c r="AE446" s="321" t="str">
        <f t="shared" si="220"/>
        <v>X-MAT3X</v>
      </c>
      <c r="AF446" s="321" t="str">
        <f t="shared" si="221"/>
        <v>X-MAT3M</v>
      </c>
      <c r="AG446" s="321">
        <f t="shared" si="212"/>
        <v>3</v>
      </c>
      <c r="AH446" s="321"/>
      <c r="AI446" s="321" t="str">
        <f t="shared" si="222"/>
        <v>X-MAT3</v>
      </c>
      <c r="AJ446" s="320"/>
      <c r="AK446" s="322">
        <f t="shared" si="213"/>
        <v>444</v>
      </c>
      <c r="AL446" s="323">
        <f t="shared" si="223"/>
        <v>446</v>
      </c>
      <c r="AM446" s="322">
        <f t="shared" si="224"/>
        <v>3</v>
      </c>
      <c r="AN446" s="381">
        <f t="shared" si="214"/>
        <v>0</v>
      </c>
      <c r="AO446" s="322"/>
    </row>
    <row r="447" spans="2:41" ht="13.8" thickTop="1">
      <c r="B447" s="324" t="s">
        <v>2847</v>
      </c>
      <c r="C447" s="325" t="s">
        <v>2848</v>
      </c>
      <c r="D447" s="326" t="s">
        <v>477</v>
      </c>
      <c r="E447" s="327">
        <f>+SUMIF('AUX-NIV2'!I:I,'AUX-NIV3'!B447,'AUX-NIV2'!Q:Q)</f>
        <v>0</v>
      </c>
      <c r="F447" s="327">
        <f t="shared" si="203"/>
        <v>373.07664462809919</v>
      </c>
      <c r="G447" s="327">
        <f t="shared" si="204"/>
        <v>0</v>
      </c>
      <c r="H447" s="328" t="str">
        <f t="shared" ref="H447:H482" si="227">IF(B447&lt;&gt;"",+LEFT(I447,1),"")</f>
        <v>M</v>
      </c>
      <c r="I447" s="325" t="s">
        <v>1778</v>
      </c>
      <c r="J447" s="329" t="str">
        <f>IF(B447&lt;&gt;"",+VLOOKUP(I447,Recursos!C:F,2,FALSE),"")</f>
        <v>LINGA DE ALMA TEXTIL DIAM 4mm</v>
      </c>
      <c r="K447" s="330" t="str">
        <f>IF(B447&lt;&gt;"",+VLOOKUP(I447,Recursos!C:F,3,FALSE),"")</f>
        <v>m</v>
      </c>
      <c r="L447" s="446">
        <f>IF(B447&lt;&gt;"",+VLOOKUP(I447,Recursos!C:F,4,FALSE),"")</f>
        <v>1.0900000000000001</v>
      </c>
      <c r="M447" s="437">
        <v>2</v>
      </c>
      <c r="N447" s="458"/>
      <c r="O447" s="459">
        <f t="shared" ref="O447:O454" si="228">+M447</f>
        <v>2</v>
      </c>
      <c r="P447" s="333">
        <f t="shared" ref="P447:P454" si="229">IF(B447&lt;&gt;"",O447*L447,"")</f>
        <v>2.1800000000000002</v>
      </c>
      <c r="Q447" s="327">
        <f t="shared" ref="Q447:Q454" si="230">IF(B447&lt;&gt;"",+O447*E447,"")</f>
        <v>0</v>
      </c>
      <c r="R447" s="334">
        <f t="shared" ref="R447:R454" si="231">IF(B447&lt;&gt;"",Q447*L447,"")</f>
        <v>0</v>
      </c>
      <c r="S447" s="335">
        <f t="shared" si="206"/>
        <v>0</v>
      </c>
      <c r="T447" s="335">
        <f t="shared" si="207"/>
        <v>0</v>
      </c>
      <c r="U447" s="336">
        <f t="shared" si="208"/>
        <v>373.07664462809919</v>
      </c>
      <c r="V447" s="336">
        <f t="shared" si="209"/>
        <v>0</v>
      </c>
      <c r="W447" s="336">
        <f t="shared" si="210"/>
        <v>0</v>
      </c>
      <c r="X447" s="336">
        <f t="shared" si="211"/>
        <v>0</v>
      </c>
      <c r="Y447" s="320"/>
      <c r="Z447" s="321" t="str">
        <f t="shared" si="215"/>
        <v>X-SLA</v>
      </c>
      <c r="AA447" s="321" t="str">
        <f t="shared" si="216"/>
        <v>X-SLE</v>
      </c>
      <c r="AB447" s="321" t="str">
        <f t="shared" si="217"/>
        <v>X-SLM</v>
      </c>
      <c r="AC447" s="321" t="str">
        <f t="shared" si="218"/>
        <v>X-SLT</v>
      </c>
      <c r="AD447" s="321" t="str">
        <f t="shared" si="219"/>
        <v>X-SLS</v>
      </c>
      <c r="AE447" s="321" t="str">
        <f t="shared" si="220"/>
        <v>X-SLX</v>
      </c>
      <c r="AF447" s="321" t="str">
        <f t="shared" si="221"/>
        <v>X-SLM</v>
      </c>
      <c r="AG447" s="321">
        <f t="shared" si="212"/>
        <v>4</v>
      </c>
      <c r="AH447" s="321"/>
      <c r="AI447" s="321" t="str">
        <f t="shared" si="222"/>
        <v>X-SL</v>
      </c>
      <c r="AJ447" s="320"/>
      <c r="AK447" s="322">
        <f t="shared" si="213"/>
        <v>447</v>
      </c>
      <c r="AL447" s="323">
        <f t="shared" si="223"/>
        <v>450</v>
      </c>
      <c r="AM447" s="322">
        <f t="shared" si="224"/>
        <v>1</v>
      </c>
      <c r="AN447" s="381">
        <f t="shared" si="214"/>
        <v>0</v>
      </c>
      <c r="AO447" s="322"/>
    </row>
    <row r="448" spans="2:41">
      <c r="B448" s="324" t="s">
        <v>2847</v>
      </c>
      <c r="C448" s="325" t="s">
        <v>2848</v>
      </c>
      <c r="D448" s="326" t="s">
        <v>477</v>
      </c>
      <c r="E448" s="327">
        <f>+SUMIF('AUX-NIV2'!I:I,'AUX-NIV3'!B448,'AUX-NIV2'!Q:Q)</f>
        <v>0</v>
      </c>
      <c r="F448" s="327">
        <f t="shared" si="203"/>
        <v>373.07664462809919</v>
      </c>
      <c r="G448" s="327">
        <f t="shared" si="204"/>
        <v>0</v>
      </c>
      <c r="H448" s="328" t="str">
        <f t="shared" si="227"/>
        <v>M</v>
      </c>
      <c r="I448" s="325" t="s">
        <v>1780</v>
      </c>
      <c r="J448" s="329" t="str">
        <f>IF(B448&lt;&gt;"",+VLOOKUP(I448,Recursos!C:F,2,FALSE),"")</f>
        <v>TIRA CABLE MANUAL</v>
      </c>
      <c r="K448" s="330" t="str">
        <f>IF(B448&lt;&gt;"",+VLOOKUP(I448,Recursos!C:F,3,FALSE),"")</f>
        <v>u</v>
      </c>
      <c r="L448" s="446">
        <f>IF(B448&lt;&gt;"",+VLOOKUP(I448,Recursos!C:F,4,FALSE),"")</f>
        <v>100</v>
      </c>
      <c r="M448" s="500">
        <v>5.4999999999999997E-3</v>
      </c>
      <c r="N448" s="463"/>
      <c r="O448" s="459">
        <f t="shared" si="228"/>
        <v>5.4999999999999997E-3</v>
      </c>
      <c r="P448" s="333">
        <f t="shared" si="229"/>
        <v>0.54999999999999993</v>
      </c>
      <c r="Q448" s="327">
        <f t="shared" si="230"/>
        <v>0</v>
      </c>
      <c r="R448" s="334">
        <f t="shared" si="231"/>
        <v>0</v>
      </c>
      <c r="S448" s="335">
        <f t="shared" si="206"/>
        <v>0</v>
      </c>
      <c r="T448" s="335">
        <f t="shared" si="207"/>
        <v>0</v>
      </c>
      <c r="U448" s="336">
        <f t="shared" si="208"/>
        <v>373.07664462809919</v>
      </c>
      <c r="V448" s="336">
        <f t="shared" si="209"/>
        <v>0</v>
      </c>
      <c r="W448" s="336">
        <f t="shared" si="210"/>
        <v>0</v>
      </c>
      <c r="X448" s="336">
        <f t="shared" si="211"/>
        <v>0</v>
      </c>
      <c r="Y448" s="320"/>
      <c r="Z448" s="321" t="str">
        <f t="shared" si="215"/>
        <v>X-SLA</v>
      </c>
      <c r="AA448" s="321" t="str">
        <f t="shared" si="216"/>
        <v>X-SLE</v>
      </c>
      <c r="AB448" s="321" t="str">
        <f t="shared" si="217"/>
        <v>X-SLM</v>
      </c>
      <c r="AC448" s="321" t="str">
        <f t="shared" si="218"/>
        <v>X-SLT</v>
      </c>
      <c r="AD448" s="321" t="str">
        <f t="shared" si="219"/>
        <v>X-SLS</v>
      </c>
      <c r="AE448" s="321" t="str">
        <f t="shared" si="220"/>
        <v>X-SLX</v>
      </c>
      <c r="AF448" s="321" t="str">
        <f t="shared" si="221"/>
        <v>X-SLM</v>
      </c>
      <c r="AG448" s="321">
        <f t="shared" si="212"/>
        <v>4</v>
      </c>
      <c r="AH448" s="321"/>
      <c r="AI448" s="321" t="str">
        <f t="shared" si="222"/>
        <v>X-SL</v>
      </c>
      <c r="AJ448" s="320"/>
      <c r="AK448" s="322">
        <f t="shared" si="213"/>
        <v>447</v>
      </c>
      <c r="AL448" s="323">
        <f t="shared" si="223"/>
        <v>450</v>
      </c>
      <c r="AM448" s="322">
        <f t="shared" si="224"/>
        <v>2</v>
      </c>
      <c r="AN448" s="381">
        <f t="shared" si="214"/>
        <v>0</v>
      </c>
      <c r="AO448" s="322"/>
    </row>
    <row r="449" spans="2:41">
      <c r="B449" s="324" t="s">
        <v>2847</v>
      </c>
      <c r="C449" s="325" t="s">
        <v>2848</v>
      </c>
      <c r="D449" s="326" t="s">
        <v>477</v>
      </c>
      <c r="E449" s="327">
        <f>+SUMIF('AUX-NIV2'!I:I,'AUX-NIV3'!B449,'AUX-NIV2'!Q:Q)</f>
        <v>0</v>
      </c>
      <c r="F449" s="327">
        <f t="shared" si="203"/>
        <v>373.07664462809919</v>
      </c>
      <c r="G449" s="327">
        <f t="shared" si="204"/>
        <v>0</v>
      </c>
      <c r="H449" s="328" t="str">
        <f t="shared" si="227"/>
        <v>M</v>
      </c>
      <c r="I449" s="325" t="s">
        <v>1808</v>
      </c>
      <c r="J449" s="329" t="str">
        <f>IF(B449&lt;&gt;"",+VLOOKUP(I449,Recursos!C:F,2,FALSE),"")</f>
        <v>PLANCHUELAS Y ACCESORIOS</v>
      </c>
      <c r="K449" s="330" t="str">
        <f>IF(B449&lt;&gt;"",+VLOOKUP(I449,Recursos!C:F,3,FALSE),"")</f>
        <v>kg</v>
      </c>
      <c r="L449" s="446">
        <f>IF(B449&lt;&gt;"",+VLOOKUP(I449,Recursos!C:F,4,FALSE),"")</f>
        <v>4</v>
      </c>
      <c r="M449" s="462">
        <v>6.6000000000000003E-2</v>
      </c>
      <c r="N449" s="463"/>
      <c r="O449" s="459">
        <f t="shared" si="228"/>
        <v>6.6000000000000003E-2</v>
      </c>
      <c r="P449" s="333">
        <f t="shared" si="229"/>
        <v>0.26400000000000001</v>
      </c>
      <c r="Q449" s="327">
        <f t="shared" si="230"/>
        <v>0</v>
      </c>
      <c r="R449" s="334">
        <f t="shared" si="231"/>
        <v>0</v>
      </c>
      <c r="S449" s="335">
        <f t="shared" si="206"/>
        <v>0</v>
      </c>
      <c r="T449" s="335">
        <f t="shared" si="207"/>
        <v>0</v>
      </c>
      <c r="U449" s="336">
        <f t="shared" si="208"/>
        <v>373.07664462809919</v>
      </c>
      <c r="V449" s="336">
        <f t="shared" si="209"/>
        <v>0</v>
      </c>
      <c r="W449" s="336">
        <f t="shared" si="210"/>
        <v>0</v>
      </c>
      <c r="X449" s="336">
        <f t="shared" si="211"/>
        <v>0</v>
      </c>
      <c r="Y449" s="320"/>
      <c r="Z449" s="321" t="str">
        <f t="shared" si="215"/>
        <v>X-SLA</v>
      </c>
      <c r="AA449" s="321" t="str">
        <f t="shared" si="216"/>
        <v>X-SLE</v>
      </c>
      <c r="AB449" s="321" t="str">
        <f t="shared" si="217"/>
        <v>X-SLM</v>
      </c>
      <c r="AC449" s="321" t="str">
        <f t="shared" si="218"/>
        <v>X-SLT</v>
      </c>
      <c r="AD449" s="321" t="str">
        <f t="shared" si="219"/>
        <v>X-SLS</v>
      </c>
      <c r="AE449" s="321" t="str">
        <f t="shared" si="220"/>
        <v>X-SLX</v>
      </c>
      <c r="AF449" s="321" t="str">
        <f t="shared" si="221"/>
        <v>X-SLM</v>
      </c>
      <c r="AG449" s="321">
        <f t="shared" si="212"/>
        <v>4</v>
      </c>
      <c r="AH449" s="321"/>
      <c r="AI449" s="321" t="str">
        <f t="shared" si="222"/>
        <v>X-SL</v>
      </c>
      <c r="AJ449" s="320"/>
      <c r="AK449" s="322">
        <f t="shared" si="213"/>
        <v>447</v>
      </c>
      <c r="AL449" s="323">
        <f t="shared" si="223"/>
        <v>450</v>
      </c>
      <c r="AM449" s="322">
        <f t="shared" si="224"/>
        <v>3</v>
      </c>
      <c r="AN449" s="381">
        <f t="shared" si="214"/>
        <v>0</v>
      </c>
      <c r="AO449" s="322"/>
    </row>
    <row r="450" spans="2:41" ht="13.8" thickBot="1">
      <c r="B450" s="324" t="s">
        <v>2847</v>
      </c>
      <c r="C450" s="325" t="s">
        <v>2848</v>
      </c>
      <c r="D450" s="326" t="s">
        <v>477</v>
      </c>
      <c r="E450" s="327">
        <f>+SUMIF('AUX-NIV2'!I:I,'AUX-NIV3'!B450,'AUX-NIV2'!Q:Q)</f>
        <v>0</v>
      </c>
      <c r="F450" s="327">
        <f t="shared" si="203"/>
        <v>373.07664462809919</v>
      </c>
      <c r="G450" s="327">
        <f t="shared" si="204"/>
        <v>0</v>
      </c>
      <c r="H450" s="328" t="str">
        <f t="shared" si="227"/>
        <v>M</v>
      </c>
      <c r="I450" s="325" t="s">
        <v>1751</v>
      </c>
      <c r="J450" s="329" t="str">
        <f>IF(B450&lt;&gt;"",+VLOOKUP(I450,Recursos!C:F,2,FALSE),"")</f>
        <v>ACERO TIPO ADN 420</v>
      </c>
      <c r="K450" s="330" t="str">
        <f>IF(B450&lt;&gt;"",+VLOOKUP(I450,Recursos!C:F,3,FALSE),"")</f>
        <v>tn</v>
      </c>
      <c r="L450" s="446">
        <f>IF(B450&lt;&gt;"",+VLOOKUP(I450,Recursos!C:F,4,FALSE),"")</f>
        <v>185041.32231404958</v>
      </c>
      <c r="M450" s="464">
        <v>2E-3</v>
      </c>
      <c r="N450" s="465"/>
      <c r="O450" s="459">
        <f t="shared" si="228"/>
        <v>2E-3</v>
      </c>
      <c r="P450" s="333">
        <f t="shared" si="229"/>
        <v>370.08264462809916</v>
      </c>
      <c r="Q450" s="327">
        <f t="shared" si="230"/>
        <v>0</v>
      </c>
      <c r="R450" s="334">
        <f t="shared" si="231"/>
        <v>0</v>
      </c>
      <c r="S450" s="335">
        <f t="shared" si="206"/>
        <v>0</v>
      </c>
      <c r="T450" s="335">
        <f t="shared" si="207"/>
        <v>0</v>
      </c>
      <c r="U450" s="336">
        <f t="shared" si="208"/>
        <v>373.07664462809919</v>
      </c>
      <c r="V450" s="336">
        <f t="shared" si="209"/>
        <v>0</v>
      </c>
      <c r="W450" s="336">
        <f t="shared" si="210"/>
        <v>0</v>
      </c>
      <c r="X450" s="336">
        <f t="shared" si="211"/>
        <v>0</v>
      </c>
      <c r="Y450" s="320"/>
      <c r="Z450" s="321" t="str">
        <f t="shared" si="215"/>
        <v>X-SLA</v>
      </c>
      <c r="AA450" s="321" t="str">
        <f t="shared" si="216"/>
        <v>X-SLE</v>
      </c>
      <c r="AB450" s="321" t="str">
        <f t="shared" si="217"/>
        <v>X-SLM</v>
      </c>
      <c r="AC450" s="321" t="str">
        <f t="shared" si="218"/>
        <v>X-SLT</v>
      </c>
      <c r="AD450" s="321" t="str">
        <f t="shared" si="219"/>
        <v>X-SLS</v>
      </c>
      <c r="AE450" s="321" t="str">
        <f t="shared" si="220"/>
        <v>X-SLX</v>
      </c>
      <c r="AF450" s="321" t="str">
        <f t="shared" si="221"/>
        <v>X-SLM</v>
      </c>
      <c r="AG450" s="321">
        <f t="shared" si="212"/>
        <v>4</v>
      </c>
      <c r="AH450" s="321"/>
      <c r="AI450" s="321" t="str">
        <f t="shared" si="222"/>
        <v>X-SL</v>
      </c>
      <c r="AJ450" s="320"/>
      <c r="AK450" s="322">
        <f t="shared" si="213"/>
        <v>447</v>
      </c>
      <c r="AL450" s="323">
        <f t="shared" si="223"/>
        <v>450</v>
      </c>
      <c r="AM450" s="322">
        <f t="shared" si="224"/>
        <v>4</v>
      </c>
      <c r="AN450" s="381">
        <f t="shared" si="214"/>
        <v>0</v>
      </c>
      <c r="AO450" s="322"/>
    </row>
    <row r="451" spans="2:41" ht="13.8" thickTop="1">
      <c r="B451" s="324" t="s">
        <v>2853</v>
      </c>
      <c r="C451" s="325" t="s">
        <v>2854</v>
      </c>
      <c r="D451" s="326" t="s">
        <v>441</v>
      </c>
      <c r="E451" s="327">
        <f>+SUMIF('AUX-NIV2'!I:I,'AUX-NIV3'!B451,'AUX-NIV2'!Q:Q)</f>
        <v>0</v>
      </c>
      <c r="F451" s="327">
        <f t="shared" si="203"/>
        <v>12458.953882338526</v>
      </c>
      <c r="G451" s="327">
        <f t="shared" si="204"/>
        <v>0</v>
      </c>
      <c r="H451" s="328" t="str">
        <f t="shared" si="227"/>
        <v>A</v>
      </c>
      <c r="I451" s="325" t="s">
        <v>1745</v>
      </c>
      <c r="J451" s="329" t="str">
        <f>IF(B451&lt;&gt;"",+VLOOKUP(I451,Recursos!C:F,2,FALSE),"")</f>
        <v>AYUDANTE</v>
      </c>
      <c r="K451" s="330" t="str">
        <f>IF(B451&lt;&gt;"",+VLOOKUP(I451,Recursos!C:F,3,FALSE),"")</f>
        <v>hh</v>
      </c>
      <c r="L451" s="327">
        <f>IF(B451&lt;&gt;"",+VLOOKUP(I451,Recursos!C:F,4,FALSE),"")</f>
        <v>422.48042769667234</v>
      </c>
      <c r="M451" s="437">
        <v>5</v>
      </c>
      <c r="N451" s="458"/>
      <c r="O451" s="332">
        <f t="shared" si="228"/>
        <v>5</v>
      </c>
      <c r="P451" s="333">
        <f t="shared" si="229"/>
        <v>2112.4021384833618</v>
      </c>
      <c r="Q451" s="327">
        <f t="shared" si="230"/>
        <v>0</v>
      </c>
      <c r="R451" s="334">
        <f t="shared" si="231"/>
        <v>0</v>
      </c>
      <c r="S451" s="335">
        <f t="shared" si="206"/>
        <v>12050.721226338526</v>
      </c>
      <c r="T451" s="335">
        <f t="shared" si="207"/>
        <v>408.23265599999996</v>
      </c>
      <c r="U451" s="336">
        <f t="shared" si="208"/>
        <v>0</v>
      </c>
      <c r="V451" s="336">
        <f t="shared" si="209"/>
        <v>0</v>
      </c>
      <c r="W451" s="336">
        <f t="shared" si="210"/>
        <v>0</v>
      </c>
      <c r="X451" s="336">
        <f t="shared" si="211"/>
        <v>0</v>
      </c>
      <c r="Y451" s="320"/>
      <c r="Z451" s="321" t="str">
        <f t="shared" si="215"/>
        <v>X-CYBA</v>
      </c>
      <c r="AA451" s="321" t="str">
        <f t="shared" si="216"/>
        <v>X-CYBE</v>
      </c>
      <c r="AB451" s="321" t="str">
        <f t="shared" si="217"/>
        <v>X-CYBM</v>
      </c>
      <c r="AC451" s="321" t="str">
        <f t="shared" si="218"/>
        <v>X-CYBT</v>
      </c>
      <c r="AD451" s="321" t="str">
        <f t="shared" si="219"/>
        <v>X-CYBS</v>
      </c>
      <c r="AE451" s="321" t="str">
        <f t="shared" si="220"/>
        <v>X-CYBX</v>
      </c>
      <c r="AF451" s="321" t="str">
        <f t="shared" si="221"/>
        <v>X-CYBA</v>
      </c>
      <c r="AG451" s="321">
        <f t="shared" si="212"/>
        <v>4</v>
      </c>
      <c r="AH451" s="321"/>
      <c r="AI451" s="321" t="str">
        <f t="shared" si="222"/>
        <v>X-CYB</v>
      </c>
      <c r="AJ451" s="320"/>
      <c r="AK451" s="322">
        <f t="shared" si="213"/>
        <v>451</v>
      </c>
      <c r="AL451" s="323">
        <f t="shared" si="223"/>
        <v>454</v>
      </c>
      <c r="AM451" s="322">
        <f t="shared" si="224"/>
        <v>1</v>
      </c>
      <c r="AN451" s="381">
        <f t="shared" si="214"/>
        <v>25</v>
      </c>
      <c r="AO451" s="322"/>
    </row>
    <row r="452" spans="2:41">
      <c r="B452" s="324" t="s">
        <v>2853</v>
      </c>
      <c r="C452" s="325" t="s">
        <v>2854</v>
      </c>
      <c r="D452" s="326" t="s">
        <v>441</v>
      </c>
      <c r="E452" s="327">
        <f>+SUMIF('AUX-NIV2'!I:I,'AUX-NIV3'!B452,'AUX-NIV2'!Q:Q)</f>
        <v>0</v>
      </c>
      <c r="F452" s="327">
        <f t="shared" si="203"/>
        <v>12458.953882338526</v>
      </c>
      <c r="G452" s="327">
        <f t="shared" si="204"/>
        <v>0</v>
      </c>
      <c r="H452" s="328" t="str">
        <f t="shared" si="227"/>
        <v>A</v>
      </c>
      <c r="I452" s="325" t="s">
        <v>1746</v>
      </c>
      <c r="J452" s="329" t="str">
        <f>IF(B452&lt;&gt;"",+VLOOKUP(I452,Recursos!C:F,2,FALSE),"")</f>
        <v>OFICIAL</v>
      </c>
      <c r="K452" s="330" t="str">
        <f>IF(B452&lt;&gt;"",+VLOOKUP(I452,Recursos!C:F,3,FALSE),"")</f>
        <v>hh</v>
      </c>
      <c r="L452" s="327">
        <f>IF(B452&lt;&gt;"",+VLOOKUP(I452,Recursos!C:F,4,FALSE),"")</f>
        <v>496.91595439275824</v>
      </c>
      <c r="M452" s="500">
        <v>10</v>
      </c>
      <c r="N452" s="463"/>
      <c r="O452" s="332">
        <f t="shared" si="228"/>
        <v>10</v>
      </c>
      <c r="P452" s="333">
        <f t="shared" si="229"/>
        <v>4969.1595439275825</v>
      </c>
      <c r="Q452" s="327">
        <f t="shared" si="230"/>
        <v>0</v>
      </c>
      <c r="R452" s="334">
        <f t="shared" si="231"/>
        <v>0</v>
      </c>
      <c r="S452" s="335">
        <f t="shared" si="206"/>
        <v>12050.721226338526</v>
      </c>
      <c r="T452" s="335">
        <f t="shared" si="207"/>
        <v>408.23265599999996</v>
      </c>
      <c r="U452" s="336">
        <f t="shared" si="208"/>
        <v>0</v>
      </c>
      <c r="V452" s="336">
        <f t="shared" si="209"/>
        <v>0</v>
      </c>
      <c r="W452" s="336">
        <f t="shared" si="210"/>
        <v>0</v>
      </c>
      <c r="X452" s="336">
        <f t="shared" si="211"/>
        <v>0</v>
      </c>
      <c r="Y452" s="320"/>
      <c r="Z452" s="321" t="str">
        <f t="shared" si="215"/>
        <v>X-CYBA</v>
      </c>
      <c r="AA452" s="321" t="str">
        <f t="shared" si="216"/>
        <v>X-CYBE</v>
      </c>
      <c r="AB452" s="321" t="str">
        <f t="shared" si="217"/>
        <v>X-CYBM</v>
      </c>
      <c r="AC452" s="321" t="str">
        <f t="shared" si="218"/>
        <v>X-CYBT</v>
      </c>
      <c r="AD452" s="321" t="str">
        <f t="shared" si="219"/>
        <v>X-CYBS</v>
      </c>
      <c r="AE452" s="321" t="str">
        <f t="shared" si="220"/>
        <v>X-CYBX</v>
      </c>
      <c r="AF452" s="321" t="str">
        <f t="shared" si="221"/>
        <v>X-CYBA</v>
      </c>
      <c r="AG452" s="321">
        <f t="shared" si="212"/>
        <v>4</v>
      </c>
      <c r="AH452" s="321"/>
      <c r="AI452" s="321" t="str">
        <f t="shared" si="222"/>
        <v>X-CYB</v>
      </c>
      <c r="AJ452" s="320"/>
      <c r="AK452" s="322">
        <f t="shared" si="213"/>
        <v>451</v>
      </c>
      <c r="AL452" s="323">
        <f t="shared" si="223"/>
        <v>454</v>
      </c>
      <c r="AM452" s="322">
        <f t="shared" si="224"/>
        <v>2</v>
      </c>
      <c r="AN452" s="381">
        <f t="shared" si="214"/>
        <v>25</v>
      </c>
      <c r="AO452" s="322"/>
    </row>
    <row r="453" spans="2:41">
      <c r="B453" s="324" t="s">
        <v>2853</v>
      </c>
      <c r="C453" s="325" t="s">
        <v>2854</v>
      </c>
      <c r="D453" s="326" t="s">
        <v>441</v>
      </c>
      <c r="E453" s="327">
        <f>+SUMIF('AUX-NIV2'!I:I,'AUX-NIV3'!B453,'AUX-NIV2'!Q:Q)</f>
        <v>0</v>
      </c>
      <c r="F453" s="327">
        <f t="shared" si="203"/>
        <v>12458.953882338526</v>
      </c>
      <c r="G453" s="327">
        <f t="shared" si="204"/>
        <v>0</v>
      </c>
      <c r="H453" s="328" t="str">
        <f t="shared" si="227"/>
        <v>A</v>
      </c>
      <c r="I453" s="325" t="s">
        <v>1746</v>
      </c>
      <c r="J453" s="329" t="str">
        <f>IF(B453&lt;&gt;"",+VLOOKUP(I453,Recursos!C:F,2,FALSE),"")</f>
        <v>OFICIAL</v>
      </c>
      <c r="K453" s="330" t="str">
        <f>IF(B453&lt;&gt;"",+VLOOKUP(I453,Recursos!C:F,3,FALSE),"")</f>
        <v>hh</v>
      </c>
      <c r="L453" s="327">
        <f>IF(B453&lt;&gt;"",+VLOOKUP(I453,Recursos!C:F,4,FALSE),"")</f>
        <v>496.91595439275824</v>
      </c>
      <c r="M453" s="462">
        <v>10</v>
      </c>
      <c r="N453" s="463"/>
      <c r="O453" s="332">
        <f t="shared" si="228"/>
        <v>10</v>
      </c>
      <c r="P453" s="333">
        <f t="shared" si="229"/>
        <v>4969.1595439275825</v>
      </c>
      <c r="Q453" s="327">
        <f t="shared" si="230"/>
        <v>0</v>
      </c>
      <c r="R453" s="334">
        <f t="shared" si="231"/>
        <v>0</v>
      </c>
      <c r="S453" s="335">
        <f t="shared" si="206"/>
        <v>12050.721226338526</v>
      </c>
      <c r="T453" s="335">
        <f t="shared" si="207"/>
        <v>408.23265599999996</v>
      </c>
      <c r="U453" s="336">
        <f t="shared" si="208"/>
        <v>0</v>
      </c>
      <c r="V453" s="336">
        <f t="shared" si="209"/>
        <v>0</v>
      </c>
      <c r="W453" s="336">
        <f t="shared" si="210"/>
        <v>0</v>
      </c>
      <c r="X453" s="336">
        <f t="shared" si="211"/>
        <v>0</v>
      </c>
      <c r="Y453" s="320"/>
      <c r="Z453" s="321" t="str">
        <f t="shared" si="215"/>
        <v>X-CYBA</v>
      </c>
      <c r="AA453" s="321" t="str">
        <f t="shared" si="216"/>
        <v>X-CYBE</v>
      </c>
      <c r="AB453" s="321" t="str">
        <f t="shared" si="217"/>
        <v>X-CYBM</v>
      </c>
      <c r="AC453" s="321" t="str">
        <f t="shared" si="218"/>
        <v>X-CYBT</v>
      </c>
      <c r="AD453" s="321" t="str">
        <f t="shared" si="219"/>
        <v>X-CYBS</v>
      </c>
      <c r="AE453" s="321" t="str">
        <f t="shared" si="220"/>
        <v>X-CYBX</v>
      </c>
      <c r="AF453" s="321" t="str">
        <f t="shared" si="221"/>
        <v>X-CYBA</v>
      </c>
      <c r="AG453" s="321">
        <f t="shared" si="212"/>
        <v>4</v>
      </c>
      <c r="AH453" s="321"/>
      <c r="AI453" s="321" t="str">
        <f t="shared" si="222"/>
        <v>X-CYB</v>
      </c>
      <c r="AJ453" s="320"/>
      <c r="AK453" s="322">
        <f t="shared" si="213"/>
        <v>451</v>
      </c>
      <c r="AL453" s="323">
        <f t="shared" si="223"/>
        <v>454</v>
      </c>
      <c r="AM453" s="322">
        <f t="shared" si="224"/>
        <v>3</v>
      </c>
      <c r="AN453" s="381">
        <f t="shared" si="214"/>
        <v>25</v>
      </c>
      <c r="AO453" s="322"/>
    </row>
    <row r="454" spans="2:41" ht="13.8" thickBot="1">
      <c r="B454" s="324" t="s">
        <v>2853</v>
      </c>
      <c r="C454" s="325" t="s">
        <v>2854</v>
      </c>
      <c r="D454" s="326" t="s">
        <v>441</v>
      </c>
      <c r="E454" s="327">
        <f>+SUMIF('AUX-NIV2'!I:I,'AUX-NIV3'!B454,'AUX-NIV2'!Q:Q)</f>
        <v>0</v>
      </c>
      <c r="F454" s="327">
        <f t="shared" si="203"/>
        <v>12458.953882338526</v>
      </c>
      <c r="G454" s="327">
        <f t="shared" si="204"/>
        <v>0</v>
      </c>
      <c r="H454" s="328" t="str">
        <f t="shared" si="227"/>
        <v>E</v>
      </c>
      <c r="I454" s="325" t="s">
        <v>1740</v>
      </c>
      <c r="J454" s="329" t="str">
        <f>IF(B454&lt;&gt;"",+VLOOKUP(I454,Recursos!C:F,2,FALSE),"")</f>
        <v>CORTADORA Y DOBLADORA Fe 1 T/h</v>
      </c>
      <c r="K454" s="330" t="str">
        <f>IF(B454&lt;&gt;"",+VLOOKUP(I454,Recursos!C:F,3,FALSE),"")</f>
        <v>HR</v>
      </c>
      <c r="L454" s="327">
        <f>IF(B454&lt;&gt;"",+VLOOKUP(I454,Recursos!C:F,4,FALSE),"")</f>
        <v>340.19387999999998</v>
      </c>
      <c r="M454" s="464">
        <v>1.2</v>
      </c>
      <c r="N454" s="465"/>
      <c r="O454" s="332">
        <f t="shared" si="228"/>
        <v>1.2</v>
      </c>
      <c r="P454" s="333">
        <f t="shared" si="229"/>
        <v>408.23265599999996</v>
      </c>
      <c r="Q454" s="327">
        <f t="shared" si="230"/>
        <v>0</v>
      </c>
      <c r="R454" s="334">
        <f t="shared" si="231"/>
        <v>0</v>
      </c>
      <c r="S454" s="335">
        <f t="shared" si="206"/>
        <v>12050.721226338526</v>
      </c>
      <c r="T454" s="335">
        <f t="shared" si="207"/>
        <v>408.23265599999996</v>
      </c>
      <c r="U454" s="336">
        <f t="shared" si="208"/>
        <v>0</v>
      </c>
      <c r="V454" s="336">
        <f t="shared" si="209"/>
        <v>0</v>
      </c>
      <c r="W454" s="336">
        <f t="shared" si="210"/>
        <v>0</v>
      </c>
      <c r="X454" s="336">
        <f t="shared" si="211"/>
        <v>0</v>
      </c>
      <c r="Y454" s="320"/>
      <c r="Z454" s="321" t="str">
        <f t="shared" si="215"/>
        <v>X-CYBA</v>
      </c>
      <c r="AA454" s="321" t="str">
        <f t="shared" si="216"/>
        <v>X-CYBE</v>
      </c>
      <c r="AB454" s="321" t="str">
        <f t="shared" si="217"/>
        <v>X-CYBM</v>
      </c>
      <c r="AC454" s="321" t="str">
        <f t="shared" si="218"/>
        <v>X-CYBT</v>
      </c>
      <c r="AD454" s="321" t="str">
        <f t="shared" si="219"/>
        <v>X-CYBS</v>
      </c>
      <c r="AE454" s="321" t="str">
        <f t="shared" si="220"/>
        <v>X-CYBX</v>
      </c>
      <c r="AF454" s="321" t="str">
        <f t="shared" si="221"/>
        <v>X-CYBE</v>
      </c>
      <c r="AG454" s="321">
        <f t="shared" si="212"/>
        <v>4</v>
      </c>
      <c r="AH454" s="321"/>
      <c r="AI454" s="321" t="str">
        <f t="shared" si="222"/>
        <v>X-CYB</v>
      </c>
      <c r="AJ454" s="320"/>
      <c r="AK454" s="322">
        <f t="shared" si="213"/>
        <v>451</v>
      </c>
      <c r="AL454" s="323">
        <f t="shared" si="223"/>
        <v>454</v>
      </c>
      <c r="AM454" s="322">
        <f t="shared" si="224"/>
        <v>4</v>
      </c>
      <c r="AN454" s="381">
        <f t="shared" si="214"/>
        <v>25</v>
      </c>
      <c r="AO454" s="322"/>
    </row>
    <row r="455" spans="2:41" ht="13.8" thickTop="1">
      <c r="B455" s="468" t="s">
        <v>2841</v>
      </c>
      <c r="C455" s="469" t="s">
        <v>2939</v>
      </c>
      <c r="D455" s="470" t="s">
        <v>441</v>
      </c>
      <c r="E455" s="327">
        <f>+SUMIF('AUX-NIV2'!I:I,'AUX-NIV3'!B455,'AUX-NIV2'!Q:Q)</f>
        <v>0</v>
      </c>
      <c r="F455" s="327">
        <f t="shared" ref="F455:F488" si="232">IF(B455&lt;&gt;"",+SUMIF(B:B,B455,P:P),"")</f>
        <v>467.71910146163452</v>
      </c>
      <c r="G455" s="327">
        <f t="shared" ref="G455:G488" si="233">IF(B455&lt;&gt;"",+SUMIF(B:B,B455,R:R),"")</f>
        <v>0</v>
      </c>
      <c r="H455" s="328" t="str">
        <f t="shared" si="227"/>
        <v>A</v>
      </c>
      <c r="I455" s="325" t="s">
        <v>1745</v>
      </c>
      <c r="J455" s="329" t="str">
        <f>IF(B455&lt;&gt;"",+VLOOKUP(I455,Recursos!C:F,2,FALSE),"")</f>
        <v>AYUDANTE</v>
      </c>
      <c r="K455" s="330" t="str">
        <f>IF(B455&lt;&gt;"",+VLOOKUP(I455,Recursos!C:F,3,FALSE),"")</f>
        <v>hh</v>
      </c>
      <c r="L455" s="327">
        <f>IF(B455&lt;&gt;"",+VLOOKUP(I455,Recursos!C:F,4,FALSE),"")</f>
        <v>422.48042769667234</v>
      </c>
      <c r="M455" s="457">
        <f>+M467</f>
        <v>220</v>
      </c>
      <c r="N455" s="458">
        <v>2</v>
      </c>
      <c r="O455" s="459">
        <f>+N455/M455*N467+N458/M458*N460</f>
        <v>3.5016233766233772E-2</v>
      </c>
      <c r="P455" s="333">
        <f t="shared" ref="P455:P482" si="234">IF(B455&lt;&gt;"",O455*L455,"")</f>
        <v>14.793673417885103</v>
      </c>
      <c r="Q455" s="327">
        <f t="shared" ref="Q455:Q482" si="235">IF(B455&lt;&gt;"",+O455*E455,"")</f>
        <v>0</v>
      </c>
      <c r="R455" s="334">
        <f t="shared" ref="R455:R482" si="236">IF(B455&lt;&gt;"",Q455*L455,"")</f>
        <v>0</v>
      </c>
      <c r="S455" s="335">
        <f t="shared" ref="S455:S488" si="237">IF(B455&lt;&gt;"",+SUMIF($AF:$AF,Z455,$P:$P),"")</f>
        <v>60.081071304970884</v>
      </c>
      <c r="T455" s="335">
        <f t="shared" ref="T455:T488" si="238">IF(B455&lt;&gt;"",+SUMIF($AF:$AF,AA455,$P:$P),"")</f>
        <v>272.63803015666366</v>
      </c>
      <c r="U455" s="336">
        <f t="shared" ref="U455:U488" si="239">IF(B455&lt;&gt;"",+SUMIF($AF:$AF,AB455,$P:$P),"")</f>
        <v>0</v>
      </c>
      <c r="V455" s="336">
        <f t="shared" ref="V455:V488" si="240">IF(B455&lt;&gt;"",+SUMIF($AF:$AF,AC455,$P:$P),"")</f>
        <v>0</v>
      </c>
      <c r="W455" s="336">
        <f t="shared" ref="W455:W488" si="241">IF(B455&lt;&gt;"",+SUMIF($AF:$AF,AD455,$P:$P),"")</f>
        <v>135</v>
      </c>
      <c r="X455" s="336">
        <f t="shared" ref="X455:X488" si="242">IF(B455&lt;&gt;"",+SUMIF($AF:$AF,AE455,$P:$P),"")</f>
        <v>0</v>
      </c>
      <c r="Y455" s="320"/>
      <c r="Z455" s="321" t="str">
        <f t="shared" si="215"/>
        <v>X-AGCLASA</v>
      </c>
      <c r="AA455" s="321" t="str">
        <f t="shared" si="216"/>
        <v>X-AGCLASE</v>
      </c>
      <c r="AB455" s="321" t="str">
        <f t="shared" si="217"/>
        <v>X-AGCLASM</v>
      </c>
      <c r="AC455" s="321" t="str">
        <f t="shared" si="218"/>
        <v>X-AGCLAST</v>
      </c>
      <c r="AD455" s="321" t="str">
        <f t="shared" si="219"/>
        <v>X-AGCLASS</v>
      </c>
      <c r="AE455" s="321" t="str">
        <f t="shared" si="220"/>
        <v>X-AGCLASX</v>
      </c>
      <c r="AF455" s="321" t="str">
        <f t="shared" si="221"/>
        <v>X-AGCLASA</v>
      </c>
      <c r="AG455" s="321">
        <f t="shared" ref="AG455:AG488" si="243">IF(B455&lt;&gt;"",+COUNTIF(B:B,B455),"")</f>
        <v>18</v>
      </c>
      <c r="AH455" s="321"/>
      <c r="AI455" s="321" t="str">
        <f t="shared" si="222"/>
        <v>X-AGCLAS</v>
      </c>
      <c r="AJ455" s="320"/>
      <c r="AK455" s="322">
        <f t="shared" ref="AK455:AK488" si="244">IF(B455&lt;&gt;"",+MATCH(B455,B:B,0),"")</f>
        <v>455</v>
      </c>
      <c r="AL455" s="323">
        <f t="shared" si="223"/>
        <v>472</v>
      </c>
      <c r="AM455" s="322">
        <f t="shared" si="224"/>
        <v>1</v>
      </c>
      <c r="AN455" s="381">
        <f t="shared" ref="AN455:AN488" si="245">+IF(B455&lt;&gt;"",SUMIF(AF:AF,Z455,O:O),"")</f>
        <v>0.12022369743351885</v>
      </c>
      <c r="AO455" s="322"/>
    </row>
    <row r="456" spans="2:41">
      <c r="B456" s="468" t="s">
        <v>2841</v>
      </c>
      <c r="C456" s="469" t="s">
        <v>2939</v>
      </c>
      <c r="D456" s="470" t="s">
        <v>441</v>
      </c>
      <c r="E456" s="327">
        <f>+SUMIF('AUX-NIV2'!I:I,'AUX-NIV3'!B456,'AUX-NIV2'!Q:Q)</f>
        <v>0</v>
      </c>
      <c r="F456" s="327">
        <f t="shared" si="232"/>
        <v>467.71910146163452</v>
      </c>
      <c r="G456" s="327">
        <f t="shared" si="233"/>
        <v>0</v>
      </c>
      <c r="H456" s="328" t="str">
        <f t="shared" si="227"/>
        <v>A</v>
      </c>
      <c r="I456" s="325" t="s">
        <v>1746</v>
      </c>
      <c r="J456" s="329" t="str">
        <f>IF(B456&lt;&gt;"",+VLOOKUP(I456,Recursos!C:F,2,FALSE),"")</f>
        <v>OFICIAL</v>
      </c>
      <c r="K456" s="330" t="str">
        <f>IF(B456&lt;&gt;"",+VLOOKUP(I456,Recursos!C:F,3,FALSE),"")</f>
        <v>hh</v>
      </c>
      <c r="L456" s="327">
        <f>IF(B456&lt;&gt;"",+VLOOKUP(I456,Recursos!C:F,4,FALSE),"")</f>
        <v>496.91595439275824</v>
      </c>
      <c r="M456" s="460">
        <f>+M455</f>
        <v>220</v>
      </c>
      <c r="N456" s="463">
        <v>2</v>
      </c>
      <c r="O456" s="459">
        <f>+N456/M456*N467</f>
        <v>1.0909090909090908E-2</v>
      </c>
      <c r="P456" s="333">
        <f t="shared" si="234"/>
        <v>5.4209013206482712</v>
      </c>
      <c r="Q456" s="327">
        <f t="shared" si="235"/>
        <v>0</v>
      </c>
      <c r="R456" s="334">
        <f t="shared" si="236"/>
        <v>0</v>
      </c>
      <c r="S456" s="335">
        <f t="shared" si="237"/>
        <v>60.081071304970884</v>
      </c>
      <c r="T456" s="335">
        <f t="shared" si="238"/>
        <v>272.63803015666366</v>
      </c>
      <c r="U456" s="336">
        <f t="shared" si="239"/>
        <v>0</v>
      </c>
      <c r="V456" s="336">
        <f t="shared" si="240"/>
        <v>0</v>
      </c>
      <c r="W456" s="336">
        <f t="shared" si="241"/>
        <v>135</v>
      </c>
      <c r="X456" s="336">
        <f t="shared" si="242"/>
        <v>0</v>
      </c>
      <c r="Y456" s="320"/>
      <c r="Z456" s="321" t="str">
        <f t="shared" ref="Z456:Z482" si="246">IF(B456&lt;&gt;"",+$B456&amp;"A","")</f>
        <v>X-AGCLASA</v>
      </c>
      <c r="AA456" s="321" t="str">
        <f t="shared" ref="AA456:AA482" si="247">IF(B456&lt;&gt;"",+$B456&amp;"E","")</f>
        <v>X-AGCLASE</v>
      </c>
      <c r="AB456" s="321" t="str">
        <f t="shared" ref="AB456:AB482" si="248">IF(B456&lt;&gt;"",++$B456&amp;"M","")</f>
        <v>X-AGCLASM</v>
      </c>
      <c r="AC456" s="321" t="str">
        <f t="shared" ref="AC456:AC482" si="249">IF(B456&lt;&gt;"",+$B456&amp;"T","")</f>
        <v>X-AGCLAST</v>
      </c>
      <c r="AD456" s="321" t="str">
        <f t="shared" ref="AD456:AD482" si="250">IF(B456&lt;&gt;"",+$B456&amp;"S","")</f>
        <v>X-AGCLASS</v>
      </c>
      <c r="AE456" s="321" t="str">
        <f t="shared" ref="AE456:AE482" si="251">IF(B456&lt;&gt;"",+$B456&amp;"X","")</f>
        <v>X-AGCLASX</v>
      </c>
      <c r="AF456" s="321" t="str">
        <f t="shared" ref="AF456:AF482" si="252">IF(B456&lt;&gt;"",+B456&amp;H456,"")</f>
        <v>X-AGCLASA</v>
      </c>
      <c r="AG456" s="321">
        <f t="shared" si="243"/>
        <v>18</v>
      </c>
      <c r="AH456" s="321"/>
      <c r="AI456" s="321" t="str">
        <f t="shared" ref="AI456:AI482" si="253">IF(B456&lt;&gt;"",+B456,"")</f>
        <v>X-AGCLAS</v>
      </c>
      <c r="AJ456" s="320"/>
      <c r="AK456" s="322">
        <f t="shared" si="244"/>
        <v>455</v>
      </c>
      <c r="AL456" s="323">
        <f t="shared" ref="AL456:AL482" si="254">IF(B456&lt;&gt;"",+AK456+AG456-1,"")</f>
        <v>472</v>
      </c>
      <c r="AM456" s="322">
        <f t="shared" ref="AM456:AM482" si="255">IF(B456&lt;&gt;"",IF(B456=B455,1+AM455,1),"")</f>
        <v>2</v>
      </c>
      <c r="AN456" s="381">
        <f t="shared" si="245"/>
        <v>0.12022369743351885</v>
      </c>
      <c r="AO456" s="322"/>
    </row>
    <row r="457" spans="2:41">
      <c r="B457" s="468" t="s">
        <v>2841</v>
      </c>
      <c r="C457" s="469" t="s">
        <v>2939</v>
      </c>
      <c r="D457" s="470" t="s">
        <v>441</v>
      </c>
      <c r="E457" s="327">
        <f>+SUMIF('AUX-NIV2'!I:I,'AUX-NIV3'!B457,'AUX-NIV2'!Q:Q)</f>
        <v>0</v>
      </c>
      <c r="F457" s="327">
        <f t="shared" si="232"/>
        <v>467.71910146163452</v>
      </c>
      <c r="G457" s="327">
        <f t="shared" si="233"/>
        <v>0</v>
      </c>
      <c r="H457" s="328" t="str">
        <f t="shared" si="227"/>
        <v>A</v>
      </c>
      <c r="I457" s="325" t="s">
        <v>1746</v>
      </c>
      <c r="J457" s="329" t="str">
        <f>IF(B457&lt;&gt;"",+VLOOKUP(I457,Recursos!C:F,2,FALSE),"")</f>
        <v>OFICIAL</v>
      </c>
      <c r="K457" s="330" t="str">
        <f>IF(B457&lt;&gt;"",+VLOOKUP(I457,Recursos!C:F,3,FALSE),"")</f>
        <v>hh</v>
      </c>
      <c r="L457" s="327">
        <f>IF(B457&lt;&gt;"",+VLOOKUP(I457,Recursos!C:F,4,FALSE),"")</f>
        <v>496.91595439275824</v>
      </c>
      <c r="M457" s="460">
        <f>+M456</f>
        <v>220</v>
      </c>
      <c r="N457" s="466"/>
      <c r="O457" s="459">
        <f>1/M457*N467</f>
        <v>5.4545454545454541E-3</v>
      </c>
      <c r="P457" s="333">
        <f t="shared" si="234"/>
        <v>2.7104506603241356</v>
      </c>
      <c r="Q457" s="327">
        <f t="shared" si="235"/>
        <v>0</v>
      </c>
      <c r="R457" s="334">
        <f t="shared" si="236"/>
        <v>0</v>
      </c>
      <c r="S457" s="335">
        <f t="shared" si="237"/>
        <v>60.081071304970884</v>
      </c>
      <c r="T457" s="335">
        <f t="shared" si="238"/>
        <v>272.63803015666366</v>
      </c>
      <c r="U457" s="336">
        <f t="shared" si="239"/>
        <v>0</v>
      </c>
      <c r="V457" s="336">
        <f t="shared" si="240"/>
        <v>0</v>
      </c>
      <c r="W457" s="336">
        <f t="shared" si="241"/>
        <v>135</v>
      </c>
      <c r="X457" s="336">
        <f t="shared" si="242"/>
        <v>0</v>
      </c>
      <c r="Y457" s="320"/>
      <c r="Z457" s="321" t="str">
        <f t="shared" si="246"/>
        <v>X-AGCLASA</v>
      </c>
      <c r="AA457" s="321" t="str">
        <f t="shared" si="247"/>
        <v>X-AGCLASE</v>
      </c>
      <c r="AB457" s="321" t="str">
        <f t="shared" si="248"/>
        <v>X-AGCLASM</v>
      </c>
      <c r="AC457" s="321" t="str">
        <f t="shared" si="249"/>
        <v>X-AGCLAST</v>
      </c>
      <c r="AD457" s="321" t="str">
        <f t="shared" si="250"/>
        <v>X-AGCLASS</v>
      </c>
      <c r="AE457" s="321" t="str">
        <f t="shared" si="251"/>
        <v>X-AGCLASX</v>
      </c>
      <c r="AF457" s="321" t="str">
        <f t="shared" si="252"/>
        <v>X-AGCLASA</v>
      </c>
      <c r="AG457" s="321">
        <f t="shared" si="243"/>
        <v>18</v>
      </c>
      <c r="AH457" s="321"/>
      <c r="AI457" s="321" t="str">
        <f t="shared" si="253"/>
        <v>X-AGCLAS</v>
      </c>
      <c r="AJ457" s="320"/>
      <c r="AK457" s="322">
        <f t="shared" si="244"/>
        <v>455</v>
      </c>
      <c r="AL457" s="323">
        <f t="shared" si="254"/>
        <v>472</v>
      </c>
      <c r="AM457" s="322">
        <f t="shared" si="255"/>
        <v>3</v>
      </c>
      <c r="AN457" s="381">
        <f t="shared" si="245"/>
        <v>0.12022369743351885</v>
      </c>
      <c r="AO457" s="322"/>
    </row>
    <row r="458" spans="2:41">
      <c r="B458" s="468" t="s">
        <v>2841</v>
      </c>
      <c r="C458" s="469" t="s">
        <v>2939</v>
      </c>
      <c r="D458" s="470" t="s">
        <v>441</v>
      </c>
      <c r="E458" s="327">
        <f>+SUMIF('AUX-NIV2'!I:I,'AUX-NIV3'!B458,'AUX-NIV2'!Q:Q)</f>
        <v>0</v>
      </c>
      <c r="F458" s="327">
        <f t="shared" si="232"/>
        <v>467.71910146163452</v>
      </c>
      <c r="G458" s="327">
        <f t="shared" si="233"/>
        <v>0</v>
      </c>
      <c r="H458" s="328" t="str">
        <f t="shared" si="227"/>
        <v>A</v>
      </c>
      <c r="I458" s="325" t="s">
        <v>3310</v>
      </c>
      <c r="J458" s="329" t="str">
        <f>IF(B458&lt;&gt;"",+VLOOKUP(I458,Recursos!C:F,2,FALSE),"")</f>
        <v>OFICIAL ESPECIALIZADO</v>
      </c>
      <c r="K458" s="330" t="str">
        <f>IF(B458&lt;&gt;"",+VLOOKUP(I458,Recursos!C:F,3,FALSE),"")</f>
        <v>hh</v>
      </c>
      <c r="L458" s="327">
        <f>IF(B458&lt;&gt;"",+VLOOKUP(I458,Recursos!C:F,4,FALSE),"")</f>
        <v>581.06120476836554</v>
      </c>
      <c r="M458" s="462">
        <v>70</v>
      </c>
      <c r="N458" s="466">
        <f>+M463</f>
        <v>1.35</v>
      </c>
      <c r="O458" s="459">
        <f>+N458/M458*N460</f>
        <v>2.4107142857142862E-2</v>
      </c>
      <c r="P458" s="333">
        <f t="shared" si="234"/>
        <v>14.007725472094529</v>
      </c>
      <c r="Q458" s="327">
        <f t="shared" si="235"/>
        <v>0</v>
      </c>
      <c r="R458" s="334">
        <f t="shared" si="236"/>
        <v>0</v>
      </c>
      <c r="S458" s="335">
        <f t="shared" si="237"/>
        <v>60.081071304970884</v>
      </c>
      <c r="T458" s="335">
        <f t="shared" si="238"/>
        <v>272.63803015666366</v>
      </c>
      <c r="U458" s="336">
        <f t="shared" si="239"/>
        <v>0</v>
      </c>
      <c r="V458" s="336">
        <f t="shared" si="240"/>
        <v>0</v>
      </c>
      <c r="W458" s="336">
        <f t="shared" si="241"/>
        <v>135</v>
      </c>
      <c r="X458" s="336">
        <f t="shared" si="242"/>
        <v>0</v>
      </c>
      <c r="Y458" s="320"/>
      <c r="Z458" s="321" t="str">
        <f t="shared" si="246"/>
        <v>X-AGCLASA</v>
      </c>
      <c r="AA458" s="321" t="str">
        <f t="shared" si="247"/>
        <v>X-AGCLASE</v>
      </c>
      <c r="AB458" s="321" t="str">
        <f t="shared" si="248"/>
        <v>X-AGCLASM</v>
      </c>
      <c r="AC458" s="321" t="str">
        <f t="shared" si="249"/>
        <v>X-AGCLAST</v>
      </c>
      <c r="AD458" s="321" t="str">
        <f t="shared" si="250"/>
        <v>X-AGCLASS</v>
      </c>
      <c r="AE458" s="321" t="str">
        <f t="shared" si="251"/>
        <v>X-AGCLASX</v>
      </c>
      <c r="AF458" s="321" t="str">
        <f t="shared" si="252"/>
        <v>X-AGCLASA</v>
      </c>
      <c r="AG458" s="321">
        <f t="shared" si="243"/>
        <v>18</v>
      </c>
      <c r="AH458" s="321"/>
      <c r="AI458" s="321" t="str">
        <f t="shared" si="253"/>
        <v>X-AGCLAS</v>
      </c>
      <c r="AJ458" s="320"/>
      <c r="AK458" s="322">
        <f t="shared" si="244"/>
        <v>455</v>
      </c>
      <c r="AL458" s="323">
        <f t="shared" si="254"/>
        <v>472</v>
      </c>
      <c r="AM458" s="322">
        <f t="shared" si="255"/>
        <v>4</v>
      </c>
      <c r="AN458" s="381">
        <f t="shared" si="245"/>
        <v>0.12022369743351885</v>
      </c>
      <c r="AO458" s="322"/>
    </row>
    <row r="459" spans="2:41">
      <c r="B459" s="468" t="s">
        <v>2841</v>
      </c>
      <c r="C459" s="469" t="s">
        <v>2939</v>
      </c>
      <c r="D459" s="470" t="s">
        <v>441</v>
      </c>
      <c r="E459" s="327">
        <f>+SUMIF('AUX-NIV2'!I:I,'AUX-NIV3'!B459,'AUX-NIV2'!Q:Q)</f>
        <v>0</v>
      </c>
      <c r="F459" s="327">
        <f t="shared" si="232"/>
        <v>467.71910146163452</v>
      </c>
      <c r="G459" s="327">
        <f t="shared" si="233"/>
        <v>0</v>
      </c>
      <c r="H459" s="328" t="str">
        <f t="shared" si="227"/>
        <v>A</v>
      </c>
      <c r="I459" s="325" t="s">
        <v>3310</v>
      </c>
      <c r="J459" s="329" t="str">
        <f>IF(B459&lt;&gt;"",+VLOOKUP(I459,Recursos!C:F,2,FALSE),"")</f>
        <v>OFICIAL ESPECIALIZADO</v>
      </c>
      <c r="K459" s="330" t="str">
        <f>IF(B459&lt;&gt;"",+VLOOKUP(I459,Recursos!C:F,3,FALSE),"")</f>
        <v>hh</v>
      </c>
      <c r="L459" s="327">
        <f>IF(B459&lt;&gt;"",+VLOOKUP(I459,Recursos!C:F,4,FALSE),"")</f>
        <v>581.06120476836554</v>
      </c>
      <c r="M459" s="460">
        <f>+M457</f>
        <v>220</v>
      </c>
      <c r="N459" s="471"/>
      <c r="O459" s="459">
        <f>1/M459*N467</f>
        <v>5.4545454545454541E-3</v>
      </c>
      <c r="P459" s="333">
        <f t="shared" si="234"/>
        <v>3.1694247532819935</v>
      </c>
      <c r="Q459" s="327">
        <f t="shared" si="235"/>
        <v>0</v>
      </c>
      <c r="R459" s="334">
        <f t="shared" si="236"/>
        <v>0</v>
      </c>
      <c r="S459" s="335">
        <f t="shared" si="237"/>
        <v>60.081071304970884</v>
      </c>
      <c r="T459" s="335">
        <f t="shared" si="238"/>
        <v>272.63803015666366</v>
      </c>
      <c r="U459" s="336">
        <f t="shared" si="239"/>
        <v>0</v>
      </c>
      <c r="V459" s="336">
        <f t="shared" si="240"/>
        <v>0</v>
      </c>
      <c r="W459" s="336">
        <f t="shared" si="241"/>
        <v>135</v>
      </c>
      <c r="X459" s="336">
        <f t="shared" si="242"/>
        <v>0</v>
      </c>
      <c r="Y459" s="320"/>
      <c r="Z459" s="321" t="str">
        <f t="shared" si="246"/>
        <v>X-AGCLASA</v>
      </c>
      <c r="AA459" s="321" t="str">
        <f t="shared" si="247"/>
        <v>X-AGCLASE</v>
      </c>
      <c r="AB459" s="321" t="str">
        <f t="shared" si="248"/>
        <v>X-AGCLASM</v>
      </c>
      <c r="AC459" s="321" t="str">
        <f t="shared" si="249"/>
        <v>X-AGCLAST</v>
      </c>
      <c r="AD459" s="321" t="str">
        <f t="shared" si="250"/>
        <v>X-AGCLASS</v>
      </c>
      <c r="AE459" s="321" t="str">
        <f t="shared" si="251"/>
        <v>X-AGCLASX</v>
      </c>
      <c r="AF459" s="321" t="str">
        <f t="shared" si="252"/>
        <v>X-AGCLASA</v>
      </c>
      <c r="AG459" s="321">
        <f t="shared" si="243"/>
        <v>18</v>
      </c>
      <c r="AH459" s="321"/>
      <c r="AI459" s="321" t="str">
        <f t="shared" si="253"/>
        <v>X-AGCLAS</v>
      </c>
      <c r="AJ459" s="320"/>
      <c r="AK459" s="322">
        <f t="shared" si="244"/>
        <v>455</v>
      </c>
      <c r="AL459" s="323">
        <f t="shared" si="254"/>
        <v>472</v>
      </c>
      <c r="AM459" s="322">
        <f t="shared" si="255"/>
        <v>5</v>
      </c>
      <c r="AN459" s="381">
        <f t="shared" si="245"/>
        <v>0.12022369743351885</v>
      </c>
      <c r="AO459" s="322"/>
    </row>
    <row r="460" spans="2:41">
      <c r="B460" s="468" t="s">
        <v>2841</v>
      </c>
      <c r="C460" s="469" t="s">
        <v>2939</v>
      </c>
      <c r="D460" s="470" t="s">
        <v>441</v>
      </c>
      <c r="E460" s="327">
        <f>+SUMIF('AUX-NIV2'!I:I,'AUX-NIV3'!B460,'AUX-NIV2'!Q:Q)</f>
        <v>0</v>
      </c>
      <c r="F460" s="327">
        <f t="shared" si="232"/>
        <v>467.71910146163452</v>
      </c>
      <c r="G460" s="327">
        <f t="shared" si="233"/>
        <v>0</v>
      </c>
      <c r="H460" s="328" t="str">
        <f t="shared" si="227"/>
        <v>A</v>
      </c>
      <c r="I460" s="325" t="s">
        <v>1746</v>
      </c>
      <c r="J460" s="329" t="str">
        <f>IF(B460&lt;&gt;"",+VLOOKUP(I460,Recursos!C:F,2,FALSE),"")</f>
        <v>OFICIAL</v>
      </c>
      <c r="K460" s="330" t="str">
        <f>IF(B460&lt;&gt;"",+VLOOKUP(I460,Recursos!C:F,3,FALSE),"")</f>
        <v>hh</v>
      </c>
      <c r="L460" s="327">
        <f>IF(B460&lt;&gt;"",+VLOOKUP(I460,Recursos!C:F,4,FALSE),"")</f>
        <v>496.91595439275824</v>
      </c>
      <c r="M460" s="462">
        <v>14</v>
      </c>
      <c r="N460" s="463">
        <v>1.25</v>
      </c>
      <c r="O460" s="459">
        <f>+N463*N460*M472*(M460/150/M472+1/M464+1/N464+3/60/M460)/M460*N460*(1-N471)</f>
        <v>3.3827593537414963E-2</v>
      </c>
      <c r="P460" s="333">
        <f t="shared" si="234"/>
        <v>16.809470927454857</v>
      </c>
      <c r="Q460" s="327">
        <f t="shared" si="235"/>
        <v>0</v>
      </c>
      <c r="R460" s="334">
        <f t="shared" si="236"/>
        <v>0</v>
      </c>
      <c r="S460" s="335">
        <f t="shared" si="237"/>
        <v>60.081071304970884</v>
      </c>
      <c r="T460" s="335">
        <f t="shared" si="238"/>
        <v>272.63803015666366</v>
      </c>
      <c r="U460" s="336">
        <f t="shared" si="239"/>
        <v>0</v>
      </c>
      <c r="V460" s="336">
        <f t="shared" si="240"/>
        <v>0</v>
      </c>
      <c r="W460" s="336">
        <f t="shared" si="241"/>
        <v>135</v>
      </c>
      <c r="X460" s="336">
        <f t="shared" si="242"/>
        <v>0</v>
      </c>
      <c r="Y460" s="320"/>
      <c r="Z460" s="321" t="str">
        <f t="shared" si="246"/>
        <v>X-AGCLASA</v>
      </c>
      <c r="AA460" s="321" t="str">
        <f t="shared" si="247"/>
        <v>X-AGCLASE</v>
      </c>
      <c r="AB460" s="321" t="str">
        <f t="shared" si="248"/>
        <v>X-AGCLASM</v>
      </c>
      <c r="AC460" s="321" t="str">
        <f t="shared" si="249"/>
        <v>X-AGCLAST</v>
      </c>
      <c r="AD460" s="321" t="str">
        <f t="shared" si="250"/>
        <v>X-AGCLASS</v>
      </c>
      <c r="AE460" s="321" t="str">
        <f t="shared" si="251"/>
        <v>X-AGCLASX</v>
      </c>
      <c r="AF460" s="321" t="str">
        <f t="shared" si="252"/>
        <v>X-AGCLASA</v>
      </c>
      <c r="AG460" s="321">
        <f t="shared" si="243"/>
        <v>18</v>
      </c>
      <c r="AH460" s="321"/>
      <c r="AI460" s="321" t="str">
        <f t="shared" si="253"/>
        <v>X-AGCLAS</v>
      </c>
      <c r="AJ460" s="320"/>
      <c r="AK460" s="322">
        <f t="shared" si="244"/>
        <v>455</v>
      </c>
      <c r="AL460" s="323">
        <f t="shared" si="254"/>
        <v>472</v>
      </c>
      <c r="AM460" s="322">
        <f t="shared" si="255"/>
        <v>6</v>
      </c>
      <c r="AN460" s="381">
        <f t="shared" si="245"/>
        <v>0.12022369743351885</v>
      </c>
      <c r="AO460" s="322"/>
    </row>
    <row r="461" spans="2:41">
      <c r="B461" s="468" t="s">
        <v>2841</v>
      </c>
      <c r="C461" s="469" t="s">
        <v>2939</v>
      </c>
      <c r="D461" s="470" t="s">
        <v>441</v>
      </c>
      <c r="E461" s="327">
        <f>+SUMIF('AUX-NIV2'!I:I,'AUX-NIV3'!B461,'AUX-NIV2'!Q:Q)</f>
        <v>0</v>
      </c>
      <c r="F461" s="327">
        <f t="shared" si="232"/>
        <v>467.71910146163452</v>
      </c>
      <c r="G461" s="327">
        <f t="shared" si="233"/>
        <v>0</v>
      </c>
      <c r="H461" s="328" t="str">
        <f t="shared" si="227"/>
        <v>A</v>
      </c>
      <c r="I461" s="325" t="s">
        <v>3310</v>
      </c>
      <c r="J461" s="329" t="str">
        <f>IF(B461&lt;&gt;"",+VLOOKUP(I461,Recursos!C:F,2,FALSE),"")</f>
        <v>OFICIAL ESPECIALIZADO</v>
      </c>
      <c r="K461" s="330" t="str">
        <f>IF(B461&lt;&gt;"",+VLOOKUP(I461,Recursos!C:F,3,FALSE),"")</f>
        <v>hh</v>
      </c>
      <c r="L461" s="327">
        <f>IF(B461&lt;&gt;"",+VLOOKUP(I461,Recursos!C:F,4,FALSE),"")</f>
        <v>581.06120476836554</v>
      </c>
      <c r="M461" s="460">
        <f>+M459</f>
        <v>220</v>
      </c>
      <c r="N461" s="471"/>
      <c r="O461" s="459">
        <f>1/M461*N467</f>
        <v>5.4545454545454541E-3</v>
      </c>
      <c r="P461" s="333">
        <f t="shared" si="234"/>
        <v>3.1694247532819935</v>
      </c>
      <c r="Q461" s="327">
        <f t="shared" si="235"/>
        <v>0</v>
      </c>
      <c r="R461" s="334">
        <f t="shared" si="236"/>
        <v>0</v>
      </c>
      <c r="S461" s="335">
        <f t="shared" si="237"/>
        <v>60.081071304970884</v>
      </c>
      <c r="T461" s="335">
        <f t="shared" si="238"/>
        <v>272.63803015666366</v>
      </c>
      <c r="U461" s="336">
        <f t="shared" si="239"/>
        <v>0</v>
      </c>
      <c r="V461" s="336">
        <f t="shared" si="240"/>
        <v>0</v>
      </c>
      <c r="W461" s="336">
        <f t="shared" si="241"/>
        <v>135</v>
      </c>
      <c r="X461" s="336">
        <f t="shared" si="242"/>
        <v>0</v>
      </c>
      <c r="Y461" s="320"/>
      <c r="Z461" s="321" t="str">
        <f t="shared" si="246"/>
        <v>X-AGCLASA</v>
      </c>
      <c r="AA461" s="321" t="str">
        <f t="shared" si="247"/>
        <v>X-AGCLASE</v>
      </c>
      <c r="AB461" s="321" t="str">
        <f t="shared" si="248"/>
        <v>X-AGCLASM</v>
      </c>
      <c r="AC461" s="321" t="str">
        <f t="shared" si="249"/>
        <v>X-AGCLAST</v>
      </c>
      <c r="AD461" s="321" t="str">
        <f t="shared" si="250"/>
        <v>X-AGCLASS</v>
      </c>
      <c r="AE461" s="321" t="str">
        <f t="shared" si="251"/>
        <v>X-AGCLASX</v>
      </c>
      <c r="AF461" s="321" t="str">
        <f t="shared" si="252"/>
        <v>X-AGCLASA</v>
      </c>
      <c r="AG461" s="321">
        <f t="shared" si="243"/>
        <v>18</v>
      </c>
      <c r="AH461" s="321"/>
      <c r="AI461" s="321" t="str">
        <f t="shared" si="253"/>
        <v>X-AGCLAS</v>
      </c>
      <c r="AJ461" s="320"/>
      <c r="AK461" s="322">
        <f t="shared" si="244"/>
        <v>455</v>
      </c>
      <c r="AL461" s="323">
        <f t="shared" si="254"/>
        <v>472</v>
      </c>
      <c r="AM461" s="322">
        <f t="shared" si="255"/>
        <v>7</v>
      </c>
      <c r="AN461" s="381">
        <f t="shared" si="245"/>
        <v>0.12022369743351885</v>
      </c>
      <c r="AO461" s="322"/>
    </row>
    <row r="462" spans="2:41">
      <c r="B462" s="468" t="s">
        <v>2841</v>
      </c>
      <c r="C462" s="469" t="s">
        <v>2939</v>
      </c>
      <c r="D462" s="470" t="s">
        <v>441</v>
      </c>
      <c r="E462" s="327">
        <f>+SUMIF('AUX-NIV2'!I:I,'AUX-NIV3'!B462,'AUX-NIV2'!Q:Q)</f>
        <v>0</v>
      </c>
      <c r="F462" s="327">
        <f t="shared" si="232"/>
        <v>467.71910146163452</v>
      </c>
      <c r="G462" s="327">
        <f t="shared" si="233"/>
        <v>0</v>
      </c>
      <c r="H462" s="328" t="str">
        <f t="shared" si="227"/>
        <v>E</v>
      </c>
      <c r="I462" s="325" t="s">
        <v>1663</v>
      </c>
      <c r="J462" s="329" t="str">
        <f>IF(B462&lt;&gt;"",+VLOOKUP(I462,Recursos!C:F,2,FALSE),"")</f>
        <v>CARGADOR FRONTAL S/NEUM. 2,8 m3</v>
      </c>
      <c r="K462" s="330" t="str">
        <f>IF(B462&lt;&gt;"",+VLOOKUP(I462,Recursos!C:F,3,FALSE),"")</f>
        <v>HR</v>
      </c>
      <c r="L462" s="327">
        <f>IF(B462&lt;&gt;"",+VLOOKUP(I462,Recursos!C:F,4,FALSE),"")</f>
        <v>3676.0463</v>
      </c>
      <c r="M462" s="460">
        <f>+M461</f>
        <v>220</v>
      </c>
      <c r="N462" s="463">
        <v>1</v>
      </c>
      <c r="O462" s="459">
        <f>+N462/M462*N467</f>
        <v>5.4545454545454541E-3</v>
      </c>
      <c r="P462" s="333">
        <f t="shared" si="234"/>
        <v>20.051161636363634</v>
      </c>
      <c r="Q462" s="327">
        <f t="shared" si="235"/>
        <v>0</v>
      </c>
      <c r="R462" s="334">
        <f t="shared" si="236"/>
        <v>0</v>
      </c>
      <c r="S462" s="335">
        <f t="shared" si="237"/>
        <v>60.081071304970884</v>
      </c>
      <c r="T462" s="335">
        <f t="shared" si="238"/>
        <v>272.63803015666366</v>
      </c>
      <c r="U462" s="336">
        <f t="shared" si="239"/>
        <v>0</v>
      </c>
      <c r="V462" s="336">
        <f t="shared" si="240"/>
        <v>0</v>
      </c>
      <c r="W462" s="336">
        <f t="shared" si="241"/>
        <v>135</v>
      </c>
      <c r="X462" s="336">
        <f t="shared" si="242"/>
        <v>0</v>
      </c>
      <c r="Y462" s="320"/>
      <c r="Z462" s="321" t="str">
        <f t="shared" si="246"/>
        <v>X-AGCLASA</v>
      </c>
      <c r="AA462" s="321" t="str">
        <f t="shared" si="247"/>
        <v>X-AGCLASE</v>
      </c>
      <c r="AB462" s="321" t="str">
        <f t="shared" si="248"/>
        <v>X-AGCLASM</v>
      </c>
      <c r="AC462" s="321" t="str">
        <f t="shared" si="249"/>
        <v>X-AGCLAST</v>
      </c>
      <c r="AD462" s="321" t="str">
        <f t="shared" si="250"/>
        <v>X-AGCLASS</v>
      </c>
      <c r="AE462" s="321" t="str">
        <f t="shared" si="251"/>
        <v>X-AGCLASX</v>
      </c>
      <c r="AF462" s="321" t="str">
        <f t="shared" si="252"/>
        <v>X-AGCLASE</v>
      </c>
      <c r="AG462" s="321">
        <f t="shared" si="243"/>
        <v>18</v>
      </c>
      <c r="AH462" s="321"/>
      <c r="AI462" s="321" t="str">
        <f t="shared" si="253"/>
        <v>X-AGCLAS</v>
      </c>
      <c r="AJ462" s="320"/>
      <c r="AK462" s="322">
        <f t="shared" si="244"/>
        <v>455</v>
      </c>
      <c r="AL462" s="323">
        <f t="shared" si="254"/>
        <v>472</v>
      </c>
      <c r="AM462" s="322">
        <f t="shared" si="255"/>
        <v>8</v>
      </c>
      <c r="AN462" s="381">
        <f t="shared" si="245"/>
        <v>0.12022369743351885</v>
      </c>
      <c r="AO462" s="322"/>
    </row>
    <row r="463" spans="2:41">
      <c r="B463" s="468" t="s">
        <v>2841</v>
      </c>
      <c r="C463" s="469" t="s">
        <v>2939</v>
      </c>
      <c r="D463" s="470" t="s">
        <v>441</v>
      </c>
      <c r="E463" s="327">
        <f>+SUMIF('AUX-NIV2'!I:I,'AUX-NIV3'!B463,'AUX-NIV2'!Q:Q)</f>
        <v>0</v>
      </c>
      <c r="F463" s="327">
        <f t="shared" si="232"/>
        <v>467.71910146163452</v>
      </c>
      <c r="G463" s="327">
        <f t="shared" si="233"/>
        <v>0</v>
      </c>
      <c r="H463" s="328" t="str">
        <f t="shared" si="227"/>
        <v>E</v>
      </c>
      <c r="I463" s="325" t="s">
        <v>1670</v>
      </c>
      <c r="J463" s="329" t="str">
        <f>IF(B463&lt;&gt;"",+VLOOKUP(I463,Recursos!C:F,2,FALSE),"")</f>
        <v>RETROEXCAVADORA S/ORUGAS 2,0 m3</v>
      </c>
      <c r="K463" s="330" t="str">
        <f>IF(B463&lt;&gt;"",+VLOOKUP(I463,Recursos!C:F,3,FALSE),"")</f>
        <v>HR</v>
      </c>
      <c r="L463" s="327">
        <f>IF(B463&lt;&gt;"",+VLOOKUP(I463,Recursos!C:F,4,FALSE),"")</f>
        <v>5311.11906</v>
      </c>
      <c r="M463" s="460">
        <f>+M471</f>
        <v>1.35</v>
      </c>
      <c r="N463" s="463">
        <v>1.5</v>
      </c>
      <c r="O463" s="459">
        <f>+N458/M458</f>
        <v>1.9285714285714288E-2</v>
      </c>
      <c r="P463" s="333">
        <f t="shared" si="234"/>
        <v>102.42872472857144</v>
      </c>
      <c r="Q463" s="327">
        <f t="shared" si="235"/>
        <v>0</v>
      </c>
      <c r="R463" s="334">
        <f t="shared" si="236"/>
        <v>0</v>
      </c>
      <c r="S463" s="335">
        <f t="shared" si="237"/>
        <v>60.081071304970884</v>
      </c>
      <c r="T463" s="335">
        <f t="shared" si="238"/>
        <v>272.63803015666366</v>
      </c>
      <c r="U463" s="336">
        <f t="shared" si="239"/>
        <v>0</v>
      </c>
      <c r="V463" s="336">
        <f t="shared" si="240"/>
        <v>0</v>
      </c>
      <c r="W463" s="336">
        <f t="shared" si="241"/>
        <v>135</v>
      </c>
      <c r="X463" s="336">
        <f t="shared" si="242"/>
        <v>0</v>
      </c>
      <c r="Y463" s="320"/>
      <c r="Z463" s="321" t="str">
        <f t="shared" si="246"/>
        <v>X-AGCLASA</v>
      </c>
      <c r="AA463" s="321" t="str">
        <f t="shared" si="247"/>
        <v>X-AGCLASE</v>
      </c>
      <c r="AB463" s="321" t="str">
        <f t="shared" si="248"/>
        <v>X-AGCLASM</v>
      </c>
      <c r="AC463" s="321" t="str">
        <f t="shared" si="249"/>
        <v>X-AGCLAST</v>
      </c>
      <c r="AD463" s="321" t="str">
        <f t="shared" si="250"/>
        <v>X-AGCLASS</v>
      </c>
      <c r="AE463" s="321" t="str">
        <f t="shared" si="251"/>
        <v>X-AGCLASX</v>
      </c>
      <c r="AF463" s="321" t="str">
        <f t="shared" si="252"/>
        <v>X-AGCLASE</v>
      </c>
      <c r="AG463" s="321">
        <f t="shared" si="243"/>
        <v>18</v>
      </c>
      <c r="AH463" s="321"/>
      <c r="AI463" s="321" t="str">
        <f t="shared" si="253"/>
        <v>X-AGCLAS</v>
      </c>
      <c r="AJ463" s="320"/>
      <c r="AK463" s="322">
        <f t="shared" si="244"/>
        <v>455</v>
      </c>
      <c r="AL463" s="323">
        <f t="shared" si="254"/>
        <v>472</v>
      </c>
      <c r="AM463" s="322">
        <f t="shared" si="255"/>
        <v>9</v>
      </c>
      <c r="AN463" s="381">
        <f t="shared" si="245"/>
        <v>0.12022369743351885</v>
      </c>
      <c r="AO463" s="322"/>
    </row>
    <row r="464" spans="2:41">
      <c r="B464" s="468" t="s">
        <v>2841</v>
      </c>
      <c r="C464" s="469" t="s">
        <v>2939</v>
      </c>
      <c r="D464" s="470" t="s">
        <v>441</v>
      </c>
      <c r="E464" s="327">
        <f>+SUMIF('AUX-NIV2'!I:I,'AUX-NIV3'!B464,'AUX-NIV2'!Q:Q)</f>
        <v>0</v>
      </c>
      <c r="F464" s="327">
        <f t="shared" si="232"/>
        <v>467.71910146163452</v>
      </c>
      <c r="G464" s="327">
        <f t="shared" si="233"/>
        <v>0</v>
      </c>
      <c r="H464" s="328" t="str">
        <f t="shared" si="227"/>
        <v>E</v>
      </c>
      <c r="I464" s="325" t="s">
        <v>1672</v>
      </c>
      <c r="J464" s="329" t="str">
        <f>IF(B464&lt;&gt;"",+VLOOKUP(I464,Recursos!C:F,2,FALSE),"")</f>
        <v>CAMION VOLCADOR CAP. 24 T=15 m3</v>
      </c>
      <c r="K464" s="330" t="str">
        <f>IF(B464&lt;&gt;"",+VLOOKUP(I464,Recursos!C:F,3,FALSE),"")</f>
        <v>HR</v>
      </c>
      <c r="L464" s="327">
        <f>IF(B464&lt;&gt;"",+VLOOKUP(I464,Recursos!C:F,4,FALSE),"")</f>
        <v>4262.8895600000005</v>
      </c>
      <c r="M464" s="462">
        <v>45</v>
      </c>
      <c r="N464" s="463">
        <v>35</v>
      </c>
      <c r="O464" s="459">
        <f>+N463*N460*M472*(M460/150/M472+1/M464+1/N464+3/60/M460)/M460*(1-N472)</f>
        <v>2.7062074829931972E-2</v>
      </c>
      <c r="P464" s="333">
        <f t="shared" si="234"/>
        <v>115.3626362644558</v>
      </c>
      <c r="Q464" s="327">
        <f t="shared" si="235"/>
        <v>0</v>
      </c>
      <c r="R464" s="334">
        <f t="shared" si="236"/>
        <v>0</v>
      </c>
      <c r="S464" s="335">
        <f t="shared" si="237"/>
        <v>60.081071304970884</v>
      </c>
      <c r="T464" s="335">
        <f t="shared" si="238"/>
        <v>272.63803015666366</v>
      </c>
      <c r="U464" s="336">
        <f t="shared" si="239"/>
        <v>0</v>
      </c>
      <c r="V464" s="336">
        <f t="shared" si="240"/>
        <v>0</v>
      </c>
      <c r="W464" s="336">
        <f t="shared" si="241"/>
        <v>135</v>
      </c>
      <c r="X464" s="336">
        <f t="shared" si="242"/>
        <v>0</v>
      </c>
      <c r="Y464" s="320"/>
      <c r="Z464" s="321" t="str">
        <f t="shared" si="246"/>
        <v>X-AGCLASA</v>
      </c>
      <c r="AA464" s="321" t="str">
        <f t="shared" si="247"/>
        <v>X-AGCLASE</v>
      </c>
      <c r="AB464" s="321" t="str">
        <f t="shared" si="248"/>
        <v>X-AGCLASM</v>
      </c>
      <c r="AC464" s="321" t="str">
        <f t="shared" si="249"/>
        <v>X-AGCLAST</v>
      </c>
      <c r="AD464" s="321" t="str">
        <f t="shared" si="250"/>
        <v>X-AGCLASS</v>
      </c>
      <c r="AE464" s="321" t="str">
        <f t="shared" si="251"/>
        <v>X-AGCLASX</v>
      </c>
      <c r="AF464" s="321" t="str">
        <f t="shared" si="252"/>
        <v>X-AGCLASE</v>
      </c>
      <c r="AG464" s="321">
        <f t="shared" si="243"/>
        <v>18</v>
      </c>
      <c r="AH464" s="321"/>
      <c r="AI464" s="321" t="str">
        <f t="shared" si="253"/>
        <v>X-AGCLAS</v>
      </c>
      <c r="AJ464" s="320"/>
      <c r="AK464" s="322">
        <f t="shared" si="244"/>
        <v>455</v>
      </c>
      <c r="AL464" s="323">
        <f t="shared" si="254"/>
        <v>472</v>
      </c>
      <c r="AM464" s="322">
        <f t="shared" si="255"/>
        <v>10</v>
      </c>
      <c r="AN464" s="381">
        <f t="shared" si="245"/>
        <v>0.12022369743351885</v>
      </c>
      <c r="AO464" s="322"/>
    </row>
    <row r="465" spans="2:41">
      <c r="B465" s="468" t="s">
        <v>2841</v>
      </c>
      <c r="C465" s="469" t="s">
        <v>2939</v>
      </c>
      <c r="D465" s="470" t="s">
        <v>441</v>
      </c>
      <c r="E465" s="327">
        <f>+SUMIF('AUX-NIV2'!I:I,'AUX-NIV3'!B465,'AUX-NIV2'!Q:Q)</f>
        <v>0</v>
      </c>
      <c r="F465" s="327">
        <f t="shared" si="232"/>
        <v>467.71910146163452</v>
      </c>
      <c r="G465" s="327">
        <f t="shared" si="233"/>
        <v>0</v>
      </c>
      <c r="H465" s="328" t="str">
        <f t="shared" si="227"/>
        <v>E</v>
      </c>
      <c r="I465" s="325" t="s">
        <v>1527</v>
      </c>
      <c r="J465" s="329" t="str">
        <f>IF(B465&lt;&gt;"",+VLOOKUP(I465,Recursos!C:F,2,FALSE),"")</f>
        <v>GRUPO ELECTROGENO 455 KVA-364 KW</v>
      </c>
      <c r="K465" s="330" t="str">
        <f>IF(B465&lt;&gt;"",+VLOOKUP(I465,Recursos!C:F,3,FALSE),"")</f>
        <v>HR</v>
      </c>
      <c r="L465" s="327">
        <f>IF(B465&lt;&gt;"",+VLOOKUP(I465,Recursos!C:F,4,FALSE),"")</f>
        <v>5499.5053800000005</v>
      </c>
      <c r="M465" s="460">
        <f>+M466</f>
        <v>220</v>
      </c>
      <c r="N465" s="466">
        <f>+N466</f>
        <v>1.2</v>
      </c>
      <c r="O465" s="459">
        <f>+N465/M465</f>
        <v>5.4545454545454541E-3</v>
      </c>
      <c r="P465" s="333">
        <f t="shared" si="234"/>
        <v>29.997302072727273</v>
      </c>
      <c r="Q465" s="327">
        <f t="shared" si="235"/>
        <v>0</v>
      </c>
      <c r="R465" s="334">
        <f t="shared" si="236"/>
        <v>0</v>
      </c>
      <c r="S465" s="335">
        <f t="shared" si="237"/>
        <v>60.081071304970884</v>
      </c>
      <c r="T465" s="335">
        <f t="shared" si="238"/>
        <v>272.63803015666366</v>
      </c>
      <c r="U465" s="336">
        <f t="shared" si="239"/>
        <v>0</v>
      </c>
      <c r="V465" s="336">
        <f t="shared" si="240"/>
        <v>0</v>
      </c>
      <c r="W465" s="336">
        <f t="shared" si="241"/>
        <v>135</v>
      </c>
      <c r="X465" s="336">
        <f t="shared" si="242"/>
        <v>0</v>
      </c>
      <c r="Y465" s="320"/>
      <c r="Z465" s="321" t="str">
        <f t="shared" si="246"/>
        <v>X-AGCLASA</v>
      </c>
      <c r="AA465" s="321" t="str">
        <f t="shared" si="247"/>
        <v>X-AGCLASE</v>
      </c>
      <c r="AB465" s="321" t="str">
        <f t="shared" si="248"/>
        <v>X-AGCLASM</v>
      </c>
      <c r="AC465" s="321" t="str">
        <f t="shared" si="249"/>
        <v>X-AGCLAST</v>
      </c>
      <c r="AD465" s="321" t="str">
        <f t="shared" si="250"/>
        <v>X-AGCLASS</v>
      </c>
      <c r="AE465" s="321" t="str">
        <f t="shared" si="251"/>
        <v>X-AGCLASX</v>
      </c>
      <c r="AF465" s="321" t="str">
        <f t="shared" si="252"/>
        <v>X-AGCLASE</v>
      </c>
      <c r="AG465" s="321">
        <f t="shared" si="243"/>
        <v>18</v>
      </c>
      <c r="AH465" s="321"/>
      <c r="AI465" s="321" t="str">
        <f t="shared" si="253"/>
        <v>X-AGCLAS</v>
      </c>
      <c r="AJ465" s="320"/>
      <c r="AK465" s="322">
        <f t="shared" si="244"/>
        <v>455</v>
      </c>
      <c r="AL465" s="323">
        <f t="shared" si="254"/>
        <v>472</v>
      </c>
      <c r="AM465" s="322">
        <f t="shared" si="255"/>
        <v>11</v>
      </c>
      <c r="AN465" s="381">
        <f t="shared" si="245"/>
        <v>0.12022369743351885</v>
      </c>
      <c r="AO465" s="322"/>
    </row>
    <row r="466" spans="2:41">
      <c r="B466" s="468" t="s">
        <v>2841</v>
      </c>
      <c r="C466" s="469" t="s">
        <v>2939</v>
      </c>
      <c r="D466" s="470" t="s">
        <v>441</v>
      </c>
      <c r="E466" s="327">
        <f>+SUMIF('AUX-NIV2'!I:I,'AUX-NIV3'!B466,'AUX-NIV2'!Q:Q)</f>
        <v>0</v>
      </c>
      <c r="F466" s="327">
        <f t="shared" si="232"/>
        <v>467.71910146163452</v>
      </c>
      <c r="G466" s="327">
        <f t="shared" si="233"/>
        <v>0</v>
      </c>
      <c r="H466" s="328" t="str">
        <f t="shared" si="227"/>
        <v>E</v>
      </c>
      <c r="I466" s="325" t="s">
        <v>1600</v>
      </c>
      <c r="J466" s="329" t="str">
        <f>IF(B466&lt;&gt;"",+VLOOKUP(I466,Recursos!C:F,2,FALSE),"")</f>
        <v>ELECTROBOMBA 9 KW</v>
      </c>
      <c r="K466" s="330" t="str">
        <f>IF(B466&lt;&gt;"",+VLOOKUP(I466,Recursos!C:F,3,FALSE),"")</f>
        <v>HR</v>
      </c>
      <c r="L466" s="327">
        <f>IF(B466&lt;&gt;"",+VLOOKUP(I466,Recursos!C:F,4,FALSE),"")</f>
        <v>85.722000000000008</v>
      </c>
      <c r="M466" s="460">
        <f>+M467</f>
        <v>220</v>
      </c>
      <c r="N466" s="466">
        <f>+N467</f>
        <v>1.2</v>
      </c>
      <c r="O466" s="459">
        <f>+N466/M466</f>
        <v>5.4545454545454541E-3</v>
      </c>
      <c r="P466" s="333">
        <f t="shared" si="234"/>
        <v>0.46757454545454546</v>
      </c>
      <c r="Q466" s="327">
        <f t="shared" si="235"/>
        <v>0</v>
      </c>
      <c r="R466" s="334">
        <f t="shared" si="236"/>
        <v>0</v>
      </c>
      <c r="S466" s="335">
        <f t="shared" si="237"/>
        <v>60.081071304970884</v>
      </c>
      <c r="T466" s="335">
        <f t="shared" si="238"/>
        <v>272.63803015666366</v>
      </c>
      <c r="U466" s="336">
        <f t="shared" si="239"/>
        <v>0</v>
      </c>
      <c r="V466" s="336">
        <f t="shared" si="240"/>
        <v>0</v>
      </c>
      <c r="W466" s="336">
        <f t="shared" si="241"/>
        <v>135</v>
      </c>
      <c r="X466" s="336">
        <f t="shared" si="242"/>
        <v>0</v>
      </c>
      <c r="Y466" s="320"/>
      <c r="Z466" s="321" t="str">
        <f t="shared" si="246"/>
        <v>X-AGCLASA</v>
      </c>
      <c r="AA466" s="321" t="str">
        <f t="shared" si="247"/>
        <v>X-AGCLASE</v>
      </c>
      <c r="AB466" s="321" t="str">
        <f t="shared" si="248"/>
        <v>X-AGCLASM</v>
      </c>
      <c r="AC466" s="321" t="str">
        <f t="shared" si="249"/>
        <v>X-AGCLAST</v>
      </c>
      <c r="AD466" s="321" t="str">
        <f t="shared" si="250"/>
        <v>X-AGCLASS</v>
      </c>
      <c r="AE466" s="321" t="str">
        <f t="shared" si="251"/>
        <v>X-AGCLASX</v>
      </c>
      <c r="AF466" s="321" t="str">
        <f t="shared" si="252"/>
        <v>X-AGCLASE</v>
      </c>
      <c r="AG466" s="321">
        <f t="shared" si="243"/>
        <v>18</v>
      </c>
      <c r="AH466" s="321"/>
      <c r="AI466" s="321" t="str">
        <f t="shared" si="253"/>
        <v>X-AGCLAS</v>
      </c>
      <c r="AJ466" s="320"/>
      <c r="AK466" s="322">
        <f t="shared" si="244"/>
        <v>455</v>
      </c>
      <c r="AL466" s="323">
        <f t="shared" si="254"/>
        <v>472</v>
      </c>
      <c r="AM466" s="322">
        <f t="shared" si="255"/>
        <v>12</v>
      </c>
      <c r="AN466" s="381">
        <f t="shared" si="245"/>
        <v>0.12022369743351885</v>
      </c>
      <c r="AO466" s="322"/>
    </row>
    <row r="467" spans="2:41">
      <c r="B467" s="468" t="s">
        <v>2841</v>
      </c>
      <c r="C467" s="469" t="s">
        <v>2939</v>
      </c>
      <c r="D467" s="470" t="s">
        <v>441</v>
      </c>
      <c r="E467" s="327">
        <f>+SUMIF('AUX-NIV2'!I:I,'AUX-NIV3'!B467,'AUX-NIV2'!Q:Q)</f>
        <v>0</v>
      </c>
      <c r="F467" s="327">
        <f t="shared" si="232"/>
        <v>467.71910146163452</v>
      </c>
      <c r="G467" s="327">
        <f t="shared" si="233"/>
        <v>0</v>
      </c>
      <c r="H467" s="328" t="str">
        <f t="shared" si="227"/>
        <v>E</v>
      </c>
      <c r="I467" s="325" t="s">
        <v>1606</v>
      </c>
      <c r="J467" s="329" t="str">
        <f>IF(B467&lt;&gt;"",+VLOOKUP(I467,Recursos!C:F,2,FALSE),"")</f>
        <v>PLANTA DE ZARANDEO 100/175 T/H</v>
      </c>
      <c r="K467" s="330" t="str">
        <f>IF(B467&lt;&gt;"",+VLOOKUP(I467,Recursos!C:F,3,FALSE),"")</f>
        <v>HR</v>
      </c>
      <c r="L467" s="327">
        <f>IF(B467&lt;&gt;"",+VLOOKUP(I467,Recursos!C:F,4,FALSE),"")</f>
        <v>793.94899999999996</v>
      </c>
      <c r="M467" s="462">
        <v>220</v>
      </c>
      <c r="N467" s="463">
        <v>1.2</v>
      </c>
      <c r="O467" s="459">
        <f>+N467/M467</f>
        <v>5.4545454545454541E-3</v>
      </c>
      <c r="P467" s="333">
        <f t="shared" si="234"/>
        <v>4.3306309090909085</v>
      </c>
      <c r="Q467" s="327">
        <f t="shared" si="235"/>
        <v>0</v>
      </c>
      <c r="R467" s="334">
        <f t="shared" si="236"/>
        <v>0</v>
      </c>
      <c r="S467" s="335">
        <f t="shared" si="237"/>
        <v>60.081071304970884</v>
      </c>
      <c r="T467" s="335">
        <f t="shared" si="238"/>
        <v>272.63803015666366</v>
      </c>
      <c r="U467" s="336">
        <f t="shared" si="239"/>
        <v>0</v>
      </c>
      <c r="V467" s="336">
        <f t="shared" si="240"/>
        <v>0</v>
      </c>
      <c r="W467" s="336">
        <f t="shared" si="241"/>
        <v>135</v>
      </c>
      <c r="X467" s="336">
        <f t="shared" si="242"/>
        <v>0</v>
      </c>
      <c r="Y467" s="320"/>
      <c r="Z467" s="321" t="str">
        <f t="shared" si="246"/>
        <v>X-AGCLASA</v>
      </c>
      <c r="AA467" s="321" t="str">
        <f t="shared" si="247"/>
        <v>X-AGCLASE</v>
      </c>
      <c r="AB467" s="321" t="str">
        <f t="shared" si="248"/>
        <v>X-AGCLASM</v>
      </c>
      <c r="AC467" s="321" t="str">
        <f t="shared" si="249"/>
        <v>X-AGCLAST</v>
      </c>
      <c r="AD467" s="321" t="str">
        <f t="shared" si="250"/>
        <v>X-AGCLASS</v>
      </c>
      <c r="AE467" s="321" t="str">
        <f t="shared" si="251"/>
        <v>X-AGCLASX</v>
      </c>
      <c r="AF467" s="321" t="str">
        <f t="shared" si="252"/>
        <v>X-AGCLASE</v>
      </c>
      <c r="AG467" s="321">
        <f t="shared" si="243"/>
        <v>18</v>
      </c>
      <c r="AH467" s="321"/>
      <c r="AI467" s="321" t="str">
        <f t="shared" si="253"/>
        <v>X-AGCLAS</v>
      </c>
      <c r="AJ467" s="320"/>
      <c r="AK467" s="322">
        <f t="shared" si="244"/>
        <v>455</v>
      </c>
      <c r="AL467" s="323">
        <f t="shared" si="254"/>
        <v>472</v>
      </c>
      <c r="AM467" s="322">
        <f t="shared" si="255"/>
        <v>13</v>
      </c>
      <c r="AN467" s="381">
        <f t="shared" si="245"/>
        <v>0.12022369743351885</v>
      </c>
      <c r="AO467" s="322"/>
    </row>
    <row r="468" spans="2:41">
      <c r="B468" s="468" t="s">
        <v>2841</v>
      </c>
      <c r="C468" s="469" t="s">
        <v>2939</v>
      </c>
      <c r="D468" s="470" t="s">
        <v>441</v>
      </c>
      <c r="E468" s="327">
        <f>+SUMIF('AUX-NIV2'!I:I,'AUX-NIV3'!B468,'AUX-NIV2'!Q:Q)</f>
        <v>0</v>
      </c>
      <c r="F468" s="327">
        <f t="shared" si="232"/>
        <v>467.71910146163452</v>
      </c>
      <c r="G468" s="327">
        <f t="shared" si="233"/>
        <v>0</v>
      </c>
      <c r="H468" s="328" t="str">
        <f t="shared" si="227"/>
        <v>E</v>
      </c>
      <c r="I468" s="325" t="s">
        <v>1645</v>
      </c>
      <c r="J468" s="329" t="str">
        <f>IF(B468&lt;&gt;"",+VLOOKUP(I468,Recursos!C:F,2,FALSE),"")</f>
        <v>TRITUR.SECUND.A CONO 45" C/ZARANDA</v>
      </c>
      <c r="K468" s="330" t="str">
        <f>IF(B468&lt;&gt;"",+VLOOKUP(I468,Recursos!C:F,3,FALSE),"")</f>
        <v>HR</v>
      </c>
      <c r="L468" s="327">
        <f>IF(B468&lt;&gt;"",+VLOOKUP(I468,Recursos!C:F,4,FALSE),"")</f>
        <v>1714.4399999999996</v>
      </c>
      <c r="M468" s="460">
        <f>+M467</f>
        <v>220</v>
      </c>
      <c r="N468" s="466">
        <v>0</v>
      </c>
      <c r="O468" s="459">
        <f>+N468/M468</f>
        <v>0</v>
      </c>
      <c r="P468" s="333">
        <f t="shared" si="234"/>
        <v>0</v>
      </c>
      <c r="Q468" s="327">
        <f t="shared" si="235"/>
        <v>0</v>
      </c>
      <c r="R468" s="334">
        <f t="shared" si="236"/>
        <v>0</v>
      </c>
      <c r="S468" s="335">
        <f t="shared" si="237"/>
        <v>60.081071304970884</v>
      </c>
      <c r="T468" s="335">
        <f t="shared" si="238"/>
        <v>272.63803015666366</v>
      </c>
      <c r="U468" s="336">
        <f t="shared" si="239"/>
        <v>0</v>
      </c>
      <c r="V468" s="336">
        <f t="shared" si="240"/>
        <v>0</v>
      </c>
      <c r="W468" s="336">
        <f t="shared" si="241"/>
        <v>135</v>
      </c>
      <c r="X468" s="336">
        <f t="shared" si="242"/>
        <v>0</v>
      </c>
      <c r="Y468" s="320"/>
      <c r="Z468" s="321" t="str">
        <f t="shared" si="246"/>
        <v>X-AGCLASA</v>
      </c>
      <c r="AA468" s="321" t="str">
        <f t="shared" si="247"/>
        <v>X-AGCLASE</v>
      </c>
      <c r="AB468" s="321" t="str">
        <f t="shared" si="248"/>
        <v>X-AGCLASM</v>
      </c>
      <c r="AC468" s="321" t="str">
        <f t="shared" si="249"/>
        <v>X-AGCLAST</v>
      </c>
      <c r="AD468" s="321" t="str">
        <f t="shared" si="250"/>
        <v>X-AGCLASS</v>
      </c>
      <c r="AE468" s="321" t="str">
        <f t="shared" si="251"/>
        <v>X-AGCLASX</v>
      </c>
      <c r="AF468" s="321" t="str">
        <f t="shared" si="252"/>
        <v>X-AGCLASE</v>
      </c>
      <c r="AG468" s="321">
        <f t="shared" si="243"/>
        <v>18</v>
      </c>
      <c r="AH468" s="321"/>
      <c r="AI468" s="321" t="str">
        <f t="shared" si="253"/>
        <v>X-AGCLAS</v>
      </c>
      <c r="AJ468" s="320"/>
      <c r="AK468" s="322">
        <f t="shared" si="244"/>
        <v>455</v>
      </c>
      <c r="AL468" s="323">
        <f t="shared" si="254"/>
        <v>472</v>
      </c>
      <c r="AM468" s="322">
        <f t="shared" si="255"/>
        <v>14</v>
      </c>
      <c r="AN468" s="381">
        <f t="shared" si="245"/>
        <v>0.12022369743351885</v>
      </c>
      <c r="AO468" s="322"/>
    </row>
    <row r="469" spans="2:41">
      <c r="B469" s="468" t="s">
        <v>2841</v>
      </c>
      <c r="C469" s="469" t="s">
        <v>2939</v>
      </c>
      <c r="D469" s="470" t="s">
        <v>441</v>
      </c>
      <c r="E469" s="327">
        <f>+SUMIF('AUX-NIV2'!I:I,'AUX-NIV3'!B469,'AUX-NIV2'!Q:Q)</f>
        <v>0</v>
      </c>
      <c r="F469" s="327">
        <f t="shared" si="232"/>
        <v>467.71910146163452</v>
      </c>
      <c r="G469" s="327">
        <f t="shared" si="233"/>
        <v>0</v>
      </c>
      <c r="H469" s="328" t="str">
        <f t="shared" si="227"/>
        <v>E</v>
      </c>
      <c r="I469" s="325" t="s">
        <v>1706</v>
      </c>
      <c r="J469" s="329" t="str">
        <f>IF(B469&lt;&gt;"",+VLOOKUP(I469,Recursos!C:F,2,FALSE),"")</f>
        <v>ALIMENTADOR VIBRAT.</v>
      </c>
      <c r="K469" s="330" t="str">
        <f>IF(B469&lt;&gt;"",+VLOOKUP(I469,Recursos!C:F,3,FALSE),"")</f>
        <v>HR</v>
      </c>
      <c r="L469" s="327">
        <f>IF(B469&lt;&gt;"",+VLOOKUP(I469,Recursos!C:F,4,FALSE),"")</f>
        <v>62.454599999999992</v>
      </c>
      <c r="M469" s="460">
        <f>+M468</f>
        <v>220</v>
      </c>
      <c r="N469" s="466">
        <v>0</v>
      </c>
      <c r="O469" s="459">
        <f>+N469/M469</f>
        <v>0</v>
      </c>
      <c r="P469" s="333">
        <f t="shared" si="234"/>
        <v>0</v>
      </c>
      <c r="Q469" s="327">
        <f t="shared" si="235"/>
        <v>0</v>
      </c>
      <c r="R469" s="334">
        <f t="shared" si="236"/>
        <v>0</v>
      </c>
      <c r="S469" s="335">
        <f t="shared" si="237"/>
        <v>60.081071304970884</v>
      </c>
      <c r="T469" s="335">
        <f t="shared" si="238"/>
        <v>272.63803015666366</v>
      </c>
      <c r="U469" s="336">
        <f t="shared" si="239"/>
        <v>0</v>
      </c>
      <c r="V469" s="336">
        <f t="shared" si="240"/>
        <v>0</v>
      </c>
      <c r="W469" s="336">
        <f t="shared" si="241"/>
        <v>135</v>
      </c>
      <c r="X469" s="336">
        <f t="shared" si="242"/>
        <v>0</v>
      </c>
      <c r="Y469" s="320"/>
      <c r="Z469" s="321" t="str">
        <f t="shared" si="246"/>
        <v>X-AGCLASA</v>
      </c>
      <c r="AA469" s="321" t="str">
        <f t="shared" si="247"/>
        <v>X-AGCLASE</v>
      </c>
      <c r="AB469" s="321" t="str">
        <f t="shared" si="248"/>
        <v>X-AGCLASM</v>
      </c>
      <c r="AC469" s="321" t="str">
        <f t="shared" si="249"/>
        <v>X-AGCLAST</v>
      </c>
      <c r="AD469" s="321" t="str">
        <f t="shared" si="250"/>
        <v>X-AGCLASS</v>
      </c>
      <c r="AE469" s="321" t="str">
        <f t="shared" si="251"/>
        <v>X-AGCLASX</v>
      </c>
      <c r="AF469" s="321" t="str">
        <f t="shared" si="252"/>
        <v>X-AGCLASE</v>
      </c>
      <c r="AG469" s="321">
        <f t="shared" si="243"/>
        <v>18</v>
      </c>
      <c r="AH469" s="321"/>
      <c r="AI469" s="321" t="str">
        <f t="shared" si="253"/>
        <v>X-AGCLAS</v>
      </c>
      <c r="AJ469" s="320"/>
      <c r="AK469" s="322">
        <f t="shared" si="244"/>
        <v>455</v>
      </c>
      <c r="AL469" s="323">
        <f t="shared" si="254"/>
        <v>472</v>
      </c>
      <c r="AM469" s="322">
        <f t="shared" si="255"/>
        <v>15</v>
      </c>
      <c r="AN469" s="381">
        <f t="shared" si="245"/>
        <v>0.12022369743351885</v>
      </c>
      <c r="AO469" s="322"/>
    </row>
    <row r="470" spans="2:41">
      <c r="B470" s="468" t="s">
        <v>2841</v>
      </c>
      <c r="C470" s="469" t="s">
        <v>2939</v>
      </c>
      <c r="D470" s="470" t="s">
        <v>441</v>
      </c>
      <c r="E470" s="327">
        <f>+SUMIF('AUX-NIV2'!I:I,'AUX-NIV3'!B470,'AUX-NIV2'!Q:Q)</f>
        <v>0</v>
      </c>
      <c r="F470" s="327">
        <f t="shared" si="232"/>
        <v>467.71910146163452</v>
      </c>
      <c r="G470" s="327">
        <f t="shared" si="233"/>
        <v>0</v>
      </c>
      <c r="H470" s="328" t="str">
        <f t="shared" si="227"/>
        <v>E</v>
      </c>
      <c r="I470" s="325" t="s">
        <v>1528</v>
      </c>
      <c r="J470" s="329" t="str">
        <f>IF(B470&lt;&gt;"",+VLOOKUP(I470,Recursos!C:F,2,FALSE),"")</f>
        <v>CINTA TRANSPORTADORA 0,76 m x 15 m</v>
      </c>
      <c r="K470" s="330" t="str">
        <f>IF(B470&lt;&gt;"",+VLOOKUP(I470,Recursos!C:F,3,FALSE),"")</f>
        <v>HR</v>
      </c>
      <c r="L470" s="327">
        <f>IF(B470&lt;&gt;"",+VLOOKUP(I470,Recursos!C:F,4,FALSE),"")</f>
        <v>140.95146</v>
      </c>
      <c r="M470" s="460">
        <f>+M469</f>
        <v>220</v>
      </c>
      <c r="N470" s="463">
        <v>5</v>
      </c>
      <c r="O470" s="459">
        <f>+N470/M470*N469</f>
        <v>0</v>
      </c>
      <c r="P470" s="333">
        <f t="shared" si="234"/>
        <v>0</v>
      </c>
      <c r="Q470" s="327">
        <f t="shared" si="235"/>
        <v>0</v>
      </c>
      <c r="R470" s="334">
        <f t="shared" si="236"/>
        <v>0</v>
      </c>
      <c r="S470" s="335">
        <f t="shared" si="237"/>
        <v>60.081071304970884</v>
      </c>
      <c r="T470" s="335">
        <f t="shared" si="238"/>
        <v>272.63803015666366</v>
      </c>
      <c r="U470" s="336">
        <f t="shared" si="239"/>
        <v>0</v>
      </c>
      <c r="V470" s="336">
        <f t="shared" si="240"/>
        <v>0</v>
      </c>
      <c r="W470" s="336">
        <f t="shared" si="241"/>
        <v>135</v>
      </c>
      <c r="X470" s="336">
        <f t="shared" si="242"/>
        <v>0</v>
      </c>
      <c r="Y470" s="320"/>
      <c r="Z470" s="321" t="str">
        <f t="shared" si="246"/>
        <v>X-AGCLASA</v>
      </c>
      <c r="AA470" s="321" t="str">
        <f t="shared" si="247"/>
        <v>X-AGCLASE</v>
      </c>
      <c r="AB470" s="321" t="str">
        <f t="shared" si="248"/>
        <v>X-AGCLASM</v>
      </c>
      <c r="AC470" s="321" t="str">
        <f t="shared" si="249"/>
        <v>X-AGCLAST</v>
      </c>
      <c r="AD470" s="321" t="str">
        <f t="shared" si="250"/>
        <v>X-AGCLASS</v>
      </c>
      <c r="AE470" s="321" t="str">
        <f t="shared" si="251"/>
        <v>X-AGCLASX</v>
      </c>
      <c r="AF470" s="321" t="str">
        <f t="shared" si="252"/>
        <v>X-AGCLASE</v>
      </c>
      <c r="AG470" s="321">
        <f t="shared" si="243"/>
        <v>18</v>
      </c>
      <c r="AH470" s="321"/>
      <c r="AI470" s="321" t="str">
        <f t="shared" si="253"/>
        <v>X-AGCLAS</v>
      </c>
      <c r="AJ470" s="320"/>
      <c r="AK470" s="322">
        <f t="shared" si="244"/>
        <v>455</v>
      </c>
      <c r="AL470" s="323">
        <f t="shared" si="254"/>
        <v>472</v>
      </c>
      <c r="AM470" s="322">
        <f t="shared" si="255"/>
        <v>16</v>
      </c>
      <c r="AN470" s="381">
        <f t="shared" si="245"/>
        <v>0.12022369743351885</v>
      </c>
      <c r="AO470" s="322"/>
    </row>
    <row r="471" spans="2:41">
      <c r="B471" s="468" t="s">
        <v>2841</v>
      </c>
      <c r="C471" s="469" t="s">
        <v>2939</v>
      </c>
      <c r="D471" s="470" t="s">
        <v>441</v>
      </c>
      <c r="E471" s="327">
        <f>+SUMIF('AUX-NIV2'!I:I,'AUX-NIV3'!B471,'AUX-NIV2'!Q:Q)</f>
        <v>0</v>
      </c>
      <c r="F471" s="327">
        <f t="shared" si="232"/>
        <v>467.71910146163452</v>
      </c>
      <c r="G471" s="327">
        <f t="shared" si="233"/>
        <v>0</v>
      </c>
      <c r="H471" s="328" t="str">
        <f t="shared" si="227"/>
        <v>S</v>
      </c>
      <c r="I471" s="325" t="s">
        <v>2499</v>
      </c>
      <c r="J471" s="329" t="str">
        <f>IF(B471&lt;&gt;"",+VLOOKUP(I471,Recursos!C:F,2,FALSE),"")</f>
        <v>CANON DE EXPLOT. YACIMIENTOS</v>
      </c>
      <c r="K471" s="330" t="str">
        <f>IF(B471&lt;&gt;"",+VLOOKUP(I471,Recursos!C:F,3,FALSE),"")</f>
        <v>m3b</v>
      </c>
      <c r="L471" s="327">
        <f>IF(B471&lt;&gt;"",+VLOOKUP(I471,Recursos!C:F,4,FALSE),"")</f>
        <v>100</v>
      </c>
      <c r="M471" s="462">
        <v>1.35</v>
      </c>
      <c r="N471" s="463">
        <v>0</v>
      </c>
      <c r="O471" s="459">
        <f>+M471</f>
        <v>1.35</v>
      </c>
      <c r="P471" s="333">
        <f t="shared" si="234"/>
        <v>135</v>
      </c>
      <c r="Q471" s="327">
        <f t="shared" si="235"/>
        <v>0</v>
      </c>
      <c r="R471" s="334">
        <f t="shared" si="236"/>
        <v>0</v>
      </c>
      <c r="S471" s="335">
        <f t="shared" si="237"/>
        <v>60.081071304970884</v>
      </c>
      <c r="T471" s="335">
        <f t="shared" si="238"/>
        <v>272.63803015666366</v>
      </c>
      <c r="U471" s="336">
        <f t="shared" si="239"/>
        <v>0</v>
      </c>
      <c r="V471" s="336">
        <f t="shared" si="240"/>
        <v>0</v>
      </c>
      <c r="W471" s="336">
        <f t="shared" si="241"/>
        <v>135</v>
      </c>
      <c r="X471" s="336">
        <f t="shared" si="242"/>
        <v>0</v>
      </c>
      <c r="Y471" s="320"/>
      <c r="Z471" s="321" t="str">
        <f t="shared" si="246"/>
        <v>X-AGCLASA</v>
      </c>
      <c r="AA471" s="321" t="str">
        <f t="shared" si="247"/>
        <v>X-AGCLASE</v>
      </c>
      <c r="AB471" s="321" t="str">
        <f t="shared" si="248"/>
        <v>X-AGCLASM</v>
      </c>
      <c r="AC471" s="321" t="str">
        <f t="shared" si="249"/>
        <v>X-AGCLAST</v>
      </c>
      <c r="AD471" s="321" t="str">
        <f t="shared" si="250"/>
        <v>X-AGCLASS</v>
      </c>
      <c r="AE471" s="321" t="str">
        <f t="shared" si="251"/>
        <v>X-AGCLASX</v>
      </c>
      <c r="AF471" s="321" t="str">
        <f t="shared" si="252"/>
        <v>X-AGCLASS</v>
      </c>
      <c r="AG471" s="321">
        <f t="shared" si="243"/>
        <v>18</v>
      </c>
      <c r="AH471" s="321"/>
      <c r="AI471" s="321" t="str">
        <f t="shared" si="253"/>
        <v>X-AGCLAS</v>
      </c>
      <c r="AJ471" s="320"/>
      <c r="AK471" s="322">
        <f t="shared" si="244"/>
        <v>455</v>
      </c>
      <c r="AL471" s="323">
        <f t="shared" si="254"/>
        <v>472</v>
      </c>
      <c r="AM471" s="322">
        <f t="shared" si="255"/>
        <v>17</v>
      </c>
      <c r="AN471" s="381">
        <f t="shared" si="245"/>
        <v>0.12022369743351885</v>
      </c>
      <c r="AO471" s="322"/>
    </row>
    <row r="472" spans="2:41" ht="13.8" thickBot="1">
      <c r="B472" s="468" t="s">
        <v>2841</v>
      </c>
      <c r="C472" s="469" t="s">
        <v>2939</v>
      </c>
      <c r="D472" s="470" t="s">
        <v>441</v>
      </c>
      <c r="E472" s="327">
        <f>+SUMIF('AUX-NIV2'!I:I,'AUX-NIV3'!B472,'AUX-NIV2'!Q:Q)</f>
        <v>0</v>
      </c>
      <c r="F472" s="327">
        <f t="shared" si="232"/>
        <v>467.71910146163452</v>
      </c>
      <c r="G472" s="327">
        <f t="shared" si="233"/>
        <v>0</v>
      </c>
      <c r="H472" s="328" t="str">
        <f t="shared" si="227"/>
        <v>S</v>
      </c>
      <c r="I472" s="325" t="s">
        <v>2679</v>
      </c>
      <c r="J472" s="329" t="str">
        <f>IF(B472&lt;&gt;"",+VLOOKUP(I472,Recursos!C:F,2,FALSE),"")</f>
        <v>SUBC.TRANSP.ARIDOS DE CANTERA</v>
      </c>
      <c r="K472" s="330" t="str">
        <f>IF(B472&lt;&gt;"",+VLOOKUP(I472,Recursos!C:F,3,FALSE),"")</f>
        <v>m3s.km</v>
      </c>
      <c r="L472" s="327">
        <f>IF(B472&lt;&gt;"",+VLOOKUP(I472,Recursos!C:F,4,FALSE),"")</f>
        <v>0.24</v>
      </c>
      <c r="M472" s="464">
        <v>2</v>
      </c>
      <c r="N472" s="499"/>
      <c r="O472" s="459">
        <f>+M472*N463*N471</f>
        <v>0</v>
      </c>
      <c r="P472" s="333">
        <f t="shared" si="234"/>
        <v>0</v>
      </c>
      <c r="Q472" s="327">
        <f t="shared" si="235"/>
        <v>0</v>
      </c>
      <c r="R472" s="334">
        <f t="shared" si="236"/>
        <v>0</v>
      </c>
      <c r="S472" s="335">
        <f t="shared" si="237"/>
        <v>60.081071304970884</v>
      </c>
      <c r="T472" s="335">
        <f t="shared" si="238"/>
        <v>272.63803015666366</v>
      </c>
      <c r="U472" s="336">
        <f t="shared" si="239"/>
        <v>0</v>
      </c>
      <c r="V472" s="336">
        <f t="shared" si="240"/>
        <v>0</v>
      </c>
      <c r="W472" s="336">
        <f t="shared" si="241"/>
        <v>135</v>
      </c>
      <c r="X472" s="336">
        <f t="shared" si="242"/>
        <v>0</v>
      </c>
      <c r="Y472" s="320"/>
      <c r="Z472" s="321" t="str">
        <f t="shared" si="246"/>
        <v>X-AGCLASA</v>
      </c>
      <c r="AA472" s="321" t="str">
        <f t="shared" si="247"/>
        <v>X-AGCLASE</v>
      </c>
      <c r="AB472" s="321" t="str">
        <f t="shared" si="248"/>
        <v>X-AGCLASM</v>
      </c>
      <c r="AC472" s="321" t="str">
        <f t="shared" si="249"/>
        <v>X-AGCLAST</v>
      </c>
      <c r="AD472" s="321" t="str">
        <f t="shared" si="250"/>
        <v>X-AGCLASS</v>
      </c>
      <c r="AE472" s="321" t="str">
        <f t="shared" si="251"/>
        <v>X-AGCLASX</v>
      </c>
      <c r="AF472" s="321" t="str">
        <f t="shared" si="252"/>
        <v>X-AGCLASS</v>
      </c>
      <c r="AG472" s="321">
        <f t="shared" si="243"/>
        <v>18</v>
      </c>
      <c r="AH472" s="321"/>
      <c r="AI472" s="321" t="str">
        <f t="shared" si="253"/>
        <v>X-AGCLAS</v>
      </c>
      <c r="AJ472" s="320"/>
      <c r="AK472" s="322">
        <f t="shared" si="244"/>
        <v>455</v>
      </c>
      <c r="AL472" s="323">
        <f t="shared" si="254"/>
        <v>472</v>
      </c>
      <c r="AM472" s="322">
        <f t="shared" si="255"/>
        <v>18</v>
      </c>
      <c r="AN472" s="381">
        <f t="shared" si="245"/>
        <v>0.12022369743351885</v>
      </c>
      <c r="AO472" s="322"/>
    </row>
    <row r="473" spans="2:41" ht="13.8" thickTop="1">
      <c r="B473" s="324" t="s">
        <v>2921</v>
      </c>
      <c r="C473" s="325" t="s">
        <v>2940</v>
      </c>
      <c r="D473" s="326" t="s">
        <v>477</v>
      </c>
      <c r="E473" s="327">
        <f>+SUMIF('AUX-NIV2'!I:I,'AUX-NIV3'!B473,'AUX-NIV2'!Q:Q)</f>
        <v>0</v>
      </c>
      <c r="F473" s="327">
        <f t="shared" si="232"/>
        <v>0.80848999999999993</v>
      </c>
      <c r="G473" s="327">
        <f t="shared" si="233"/>
        <v>0</v>
      </c>
      <c r="H473" s="328" t="str">
        <f t="shared" si="227"/>
        <v>M</v>
      </c>
      <c r="I473" s="325" t="s">
        <v>2267</v>
      </c>
      <c r="J473" s="329" t="str">
        <f>IF(B473&lt;&gt;"",+VLOOKUP(I473,Recursos!C:F,2,FALSE),"")</f>
        <v>BROCA BOTON D=38 mm-R32</v>
      </c>
      <c r="K473" s="330" t="str">
        <f>IF(B473&lt;&gt;"",+VLOOKUP(I473,Recursos!C:F,3,FALSE),"")</f>
        <v>Un</v>
      </c>
      <c r="L473" s="446">
        <f>IF(B473&lt;&gt;"",+VLOOKUP(I473,Recursos!C:F,4,FALSE),"")</f>
        <v>75</v>
      </c>
      <c r="M473" s="437">
        <v>400</v>
      </c>
      <c r="N473" s="458"/>
      <c r="O473" s="459">
        <f>1/M473</f>
        <v>2.5000000000000001E-3</v>
      </c>
      <c r="P473" s="333">
        <f t="shared" si="234"/>
        <v>0.1875</v>
      </c>
      <c r="Q473" s="327">
        <f t="shared" si="235"/>
        <v>0</v>
      </c>
      <c r="R473" s="334">
        <f t="shared" si="236"/>
        <v>0</v>
      </c>
      <c r="S473" s="335">
        <f t="shared" si="237"/>
        <v>0</v>
      </c>
      <c r="T473" s="335">
        <f t="shared" si="238"/>
        <v>0</v>
      </c>
      <c r="U473" s="336">
        <f t="shared" si="239"/>
        <v>0.80848999999999993</v>
      </c>
      <c r="V473" s="336">
        <f t="shared" si="240"/>
        <v>0</v>
      </c>
      <c r="W473" s="336">
        <f t="shared" si="241"/>
        <v>0</v>
      </c>
      <c r="X473" s="336">
        <f t="shared" si="242"/>
        <v>0</v>
      </c>
      <c r="Y473" s="320"/>
      <c r="Z473" s="321" t="str">
        <f t="shared" si="246"/>
        <v>X-CONSPERFA</v>
      </c>
      <c r="AA473" s="321" t="str">
        <f t="shared" si="247"/>
        <v>X-CONSPERFE</v>
      </c>
      <c r="AB473" s="321" t="str">
        <f t="shared" si="248"/>
        <v>X-CONSPERFM</v>
      </c>
      <c r="AC473" s="321" t="str">
        <f t="shared" si="249"/>
        <v>X-CONSPERFT</v>
      </c>
      <c r="AD473" s="321" t="str">
        <f t="shared" si="250"/>
        <v>X-CONSPERFS</v>
      </c>
      <c r="AE473" s="321" t="str">
        <f t="shared" si="251"/>
        <v>X-CONSPERFX</v>
      </c>
      <c r="AF473" s="321" t="str">
        <f t="shared" si="252"/>
        <v>X-CONSPERFM</v>
      </c>
      <c r="AG473" s="321">
        <f t="shared" si="243"/>
        <v>5</v>
      </c>
      <c r="AH473" s="321"/>
      <c r="AI473" s="321" t="str">
        <f t="shared" si="253"/>
        <v>X-CONSPERF</v>
      </c>
      <c r="AJ473" s="320"/>
      <c r="AK473" s="322">
        <f t="shared" si="244"/>
        <v>473</v>
      </c>
      <c r="AL473" s="323">
        <f t="shared" si="254"/>
        <v>477</v>
      </c>
      <c r="AM473" s="322">
        <f t="shared" si="255"/>
        <v>1</v>
      </c>
      <c r="AN473" s="381">
        <f t="shared" si="245"/>
        <v>0</v>
      </c>
      <c r="AO473" s="322"/>
    </row>
    <row r="474" spans="2:41">
      <c r="B474" s="324" t="s">
        <v>2921</v>
      </c>
      <c r="C474" s="325" t="s">
        <v>2940</v>
      </c>
      <c r="D474" s="326" t="s">
        <v>477</v>
      </c>
      <c r="E474" s="327">
        <f>+SUMIF('AUX-NIV2'!I:I,'AUX-NIV3'!B474,'AUX-NIV2'!Q:Q)</f>
        <v>0</v>
      </c>
      <c r="F474" s="327">
        <f t="shared" si="232"/>
        <v>0.80848999999999993</v>
      </c>
      <c r="G474" s="327">
        <f t="shared" si="233"/>
        <v>0</v>
      </c>
      <c r="H474" s="328" t="str">
        <f t="shared" si="227"/>
        <v>M</v>
      </c>
      <c r="I474" s="325" t="s">
        <v>2278</v>
      </c>
      <c r="J474" s="329" t="str">
        <f>IF(B474&lt;&gt;"",+VLOOKUP(I474,Recursos!C:F,2,FALSE),"")</f>
        <v>BROCA ESCARIADORA 100 mm = 4"</v>
      </c>
      <c r="K474" s="330" t="str">
        <f>IF(B474&lt;&gt;"",+VLOOKUP(I474,Recursos!C:F,3,FALSE),"")</f>
        <v>Un</v>
      </c>
      <c r="L474" s="446">
        <f>IF(B474&lt;&gt;"",+VLOOKUP(I474,Recursos!C:F,4,FALSE),"")</f>
        <v>270</v>
      </c>
      <c r="M474" s="462">
        <v>10</v>
      </c>
      <c r="N474" s="463"/>
      <c r="O474" s="459">
        <f>1/M474/M473</f>
        <v>2.5000000000000001E-4</v>
      </c>
      <c r="P474" s="333">
        <f>IF(B474&lt;&gt;"",O474*L474,"")</f>
        <v>6.7500000000000004E-2</v>
      </c>
      <c r="Q474" s="327">
        <f>IF(B474&lt;&gt;"",+O474*E474,"")</f>
        <v>0</v>
      </c>
      <c r="R474" s="334">
        <f>IF(B474&lt;&gt;"",Q474*L474,"")</f>
        <v>0</v>
      </c>
      <c r="S474" s="335">
        <f t="shared" si="237"/>
        <v>0</v>
      </c>
      <c r="T474" s="335">
        <f t="shared" si="238"/>
        <v>0</v>
      </c>
      <c r="U474" s="336">
        <f t="shared" si="239"/>
        <v>0.80848999999999993</v>
      </c>
      <c r="V474" s="336">
        <f t="shared" si="240"/>
        <v>0</v>
      </c>
      <c r="W474" s="336">
        <f t="shared" si="241"/>
        <v>0</v>
      </c>
      <c r="X474" s="336">
        <f t="shared" si="242"/>
        <v>0</v>
      </c>
      <c r="Y474" s="320"/>
      <c r="Z474" s="321" t="str">
        <f t="shared" si="246"/>
        <v>X-CONSPERFA</v>
      </c>
      <c r="AA474" s="321" t="str">
        <f t="shared" si="247"/>
        <v>X-CONSPERFE</v>
      </c>
      <c r="AB474" s="321" t="str">
        <f t="shared" si="248"/>
        <v>X-CONSPERFM</v>
      </c>
      <c r="AC474" s="321" t="str">
        <f t="shared" si="249"/>
        <v>X-CONSPERFT</v>
      </c>
      <c r="AD474" s="321" t="str">
        <f t="shared" si="250"/>
        <v>X-CONSPERFS</v>
      </c>
      <c r="AE474" s="321" t="str">
        <f t="shared" si="251"/>
        <v>X-CONSPERFX</v>
      </c>
      <c r="AF474" s="321" t="str">
        <f t="shared" si="252"/>
        <v>X-CONSPERFM</v>
      </c>
      <c r="AG474" s="321">
        <f t="shared" si="243"/>
        <v>5</v>
      </c>
      <c r="AH474" s="321"/>
      <c r="AI474" s="321" t="str">
        <f t="shared" si="253"/>
        <v>X-CONSPERF</v>
      </c>
      <c r="AJ474" s="320"/>
      <c r="AK474" s="322">
        <f t="shared" si="244"/>
        <v>473</v>
      </c>
      <c r="AL474" s="323">
        <f t="shared" si="254"/>
        <v>477</v>
      </c>
      <c r="AM474" s="322">
        <f t="shared" si="255"/>
        <v>2</v>
      </c>
      <c r="AN474" s="381">
        <f t="shared" si="245"/>
        <v>0</v>
      </c>
      <c r="AO474" s="322"/>
    </row>
    <row r="475" spans="2:41">
      <c r="B475" s="324" t="s">
        <v>2921</v>
      </c>
      <c r="C475" s="325" t="s">
        <v>2940</v>
      </c>
      <c r="D475" s="326" t="s">
        <v>477</v>
      </c>
      <c r="E475" s="327">
        <f>+SUMIF('AUX-NIV2'!I:I,'AUX-NIV3'!B475,'AUX-NIV2'!Q:Q)</f>
        <v>0</v>
      </c>
      <c r="F475" s="327">
        <f t="shared" si="232"/>
        <v>0.80848999999999993</v>
      </c>
      <c r="G475" s="327">
        <f t="shared" si="233"/>
        <v>0</v>
      </c>
      <c r="H475" s="328" t="str">
        <f>IF(B475&lt;&gt;"",+LEFT(I475,1),"")</f>
        <v>M</v>
      </c>
      <c r="I475" s="325" t="s">
        <v>2280</v>
      </c>
      <c r="J475" s="329" t="str">
        <f>IF(B475&lt;&gt;"",+VLOOKUP(I475,Recursos!C:F,2,FALSE),"")</f>
        <v>ADAPTADOR BROCA ESCARIADORA</v>
      </c>
      <c r="K475" s="330" t="str">
        <f>IF(B475&lt;&gt;"",+VLOOKUP(I475,Recursos!C:F,3,FALSE),"")</f>
        <v>Un</v>
      </c>
      <c r="L475" s="446">
        <f>IF(B475&lt;&gt;"",+VLOOKUP(I475,Recursos!C:F,4,FALSE),"")</f>
        <v>200</v>
      </c>
      <c r="M475" s="462"/>
      <c r="N475" s="463"/>
      <c r="O475" s="459">
        <f>1/M474/M473</f>
        <v>2.5000000000000001E-4</v>
      </c>
      <c r="P475" s="333">
        <f>IF(B475&lt;&gt;"",O475*L475,"")</f>
        <v>0.05</v>
      </c>
      <c r="Q475" s="327">
        <f>IF(B475&lt;&gt;"",+O475*E475,"")</f>
        <v>0</v>
      </c>
      <c r="R475" s="334">
        <f>IF(B475&lt;&gt;"",Q475*L475,"")</f>
        <v>0</v>
      </c>
      <c r="S475" s="335">
        <f t="shared" si="237"/>
        <v>0</v>
      </c>
      <c r="T475" s="335">
        <f t="shared" si="238"/>
        <v>0</v>
      </c>
      <c r="U475" s="336">
        <f t="shared" si="239"/>
        <v>0.80848999999999993</v>
      </c>
      <c r="V475" s="336">
        <f t="shared" si="240"/>
        <v>0</v>
      </c>
      <c r="W475" s="336">
        <f t="shared" si="241"/>
        <v>0</v>
      </c>
      <c r="X475" s="336">
        <f t="shared" si="242"/>
        <v>0</v>
      </c>
      <c r="Y475" s="320"/>
      <c r="Z475" s="321" t="str">
        <f t="shared" si="246"/>
        <v>X-CONSPERFA</v>
      </c>
      <c r="AA475" s="321" t="str">
        <f t="shared" si="247"/>
        <v>X-CONSPERFE</v>
      </c>
      <c r="AB475" s="321" t="str">
        <f t="shared" si="248"/>
        <v>X-CONSPERFM</v>
      </c>
      <c r="AC475" s="321" t="str">
        <f t="shared" si="249"/>
        <v>X-CONSPERFT</v>
      </c>
      <c r="AD475" s="321" t="str">
        <f t="shared" si="250"/>
        <v>X-CONSPERFS</v>
      </c>
      <c r="AE475" s="321" t="str">
        <f t="shared" si="251"/>
        <v>X-CONSPERFX</v>
      </c>
      <c r="AF475" s="321" t="str">
        <f t="shared" si="252"/>
        <v>X-CONSPERFM</v>
      </c>
      <c r="AG475" s="321">
        <f t="shared" si="243"/>
        <v>5</v>
      </c>
      <c r="AH475" s="321"/>
      <c r="AI475" s="321" t="str">
        <f t="shared" si="253"/>
        <v>X-CONSPERF</v>
      </c>
      <c r="AJ475" s="320"/>
      <c r="AK475" s="322">
        <f t="shared" si="244"/>
        <v>473</v>
      </c>
      <c r="AL475" s="323">
        <f t="shared" si="254"/>
        <v>477</v>
      </c>
      <c r="AM475" s="322">
        <f t="shared" si="255"/>
        <v>3</v>
      </c>
      <c r="AN475" s="381">
        <f t="shared" si="245"/>
        <v>0</v>
      </c>
      <c r="AO475" s="322"/>
    </row>
    <row r="476" spans="2:41">
      <c r="B476" s="324" t="s">
        <v>2921</v>
      </c>
      <c r="C476" s="325" t="s">
        <v>2940</v>
      </c>
      <c r="D476" s="326" t="s">
        <v>477</v>
      </c>
      <c r="E476" s="327">
        <f>+SUMIF('AUX-NIV2'!I:I,'AUX-NIV3'!B476,'AUX-NIV2'!Q:Q)</f>
        <v>0</v>
      </c>
      <c r="F476" s="327">
        <f t="shared" si="232"/>
        <v>0.80848999999999993</v>
      </c>
      <c r="G476" s="327">
        <f t="shared" si="233"/>
        <v>0</v>
      </c>
      <c r="H476" s="328" t="str">
        <f t="shared" si="227"/>
        <v>M</v>
      </c>
      <c r="I476" s="325" t="s">
        <v>2284</v>
      </c>
      <c r="J476" s="329" t="str">
        <f>IF(B476&lt;&gt;"",+VLOOKUP(I476,Recursos!C:F,2,FALSE),"")</f>
        <v>BARRA EXTENS.12 pies R38-He32-R32</v>
      </c>
      <c r="K476" s="330" t="str">
        <f>IF(B476&lt;&gt;"",+VLOOKUP(I476,Recursos!C:F,3,FALSE),"")</f>
        <v>Un</v>
      </c>
      <c r="L476" s="446">
        <f>IF(B476&lt;&gt;"",+VLOOKUP(I476,Recursos!C:F,4,FALSE),"")</f>
        <v>342.79199999999997</v>
      </c>
      <c r="M476" s="462">
        <v>800</v>
      </c>
      <c r="N476" s="463"/>
      <c r="O476" s="459">
        <f>1/M476</f>
        <v>1.25E-3</v>
      </c>
      <c r="P476" s="333">
        <f t="shared" si="234"/>
        <v>0.42848999999999998</v>
      </c>
      <c r="Q476" s="327">
        <f t="shared" si="235"/>
        <v>0</v>
      </c>
      <c r="R476" s="334">
        <f t="shared" si="236"/>
        <v>0</v>
      </c>
      <c r="S476" s="335">
        <f t="shared" si="237"/>
        <v>0</v>
      </c>
      <c r="T476" s="335">
        <f t="shared" si="238"/>
        <v>0</v>
      </c>
      <c r="U476" s="336">
        <f t="shared" si="239"/>
        <v>0.80848999999999993</v>
      </c>
      <c r="V476" s="336">
        <f t="shared" si="240"/>
        <v>0</v>
      </c>
      <c r="W476" s="336">
        <f t="shared" si="241"/>
        <v>0</v>
      </c>
      <c r="X476" s="336">
        <f t="shared" si="242"/>
        <v>0</v>
      </c>
      <c r="Y476" s="320"/>
      <c r="Z476" s="321" t="str">
        <f t="shared" si="246"/>
        <v>X-CONSPERFA</v>
      </c>
      <c r="AA476" s="321" t="str">
        <f t="shared" si="247"/>
        <v>X-CONSPERFE</v>
      </c>
      <c r="AB476" s="321" t="str">
        <f t="shared" si="248"/>
        <v>X-CONSPERFM</v>
      </c>
      <c r="AC476" s="321" t="str">
        <f t="shared" si="249"/>
        <v>X-CONSPERFT</v>
      </c>
      <c r="AD476" s="321" t="str">
        <f t="shared" si="250"/>
        <v>X-CONSPERFS</v>
      </c>
      <c r="AE476" s="321" t="str">
        <f t="shared" si="251"/>
        <v>X-CONSPERFX</v>
      </c>
      <c r="AF476" s="321" t="str">
        <f t="shared" si="252"/>
        <v>X-CONSPERFM</v>
      </c>
      <c r="AG476" s="321">
        <f t="shared" si="243"/>
        <v>5</v>
      </c>
      <c r="AH476" s="321"/>
      <c r="AI476" s="321" t="str">
        <f t="shared" si="253"/>
        <v>X-CONSPERF</v>
      </c>
      <c r="AJ476" s="320"/>
      <c r="AK476" s="322">
        <f t="shared" si="244"/>
        <v>473</v>
      </c>
      <c r="AL476" s="323">
        <f t="shared" si="254"/>
        <v>477</v>
      </c>
      <c r="AM476" s="322">
        <f t="shared" si="255"/>
        <v>4</v>
      </c>
      <c r="AN476" s="381">
        <f t="shared" si="245"/>
        <v>0</v>
      </c>
      <c r="AO476" s="322"/>
    </row>
    <row r="477" spans="2:41" ht="13.8" thickBot="1">
      <c r="B477" s="324" t="s">
        <v>2921</v>
      </c>
      <c r="C477" s="325" t="s">
        <v>2940</v>
      </c>
      <c r="D477" s="326" t="s">
        <v>477</v>
      </c>
      <c r="E477" s="327">
        <f>+SUMIF('AUX-NIV2'!I:I,'AUX-NIV3'!B477,'AUX-NIV2'!Q:Q)</f>
        <v>0</v>
      </c>
      <c r="F477" s="327">
        <f t="shared" si="232"/>
        <v>0.80848999999999993</v>
      </c>
      <c r="G477" s="327">
        <f t="shared" si="233"/>
        <v>0</v>
      </c>
      <c r="H477" s="328" t="str">
        <f t="shared" si="227"/>
        <v>M</v>
      </c>
      <c r="I477" s="325" t="s">
        <v>2291</v>
      </c>
      <c r="J477" s="329" t="str">
        <f>IF(B477&lt;&gt;"",+VLOOKUP(I477,Recursos!C:F,2,FALSE),"")</f>
        <v>MANGUITO DE ACOPLE R38-R38</v>
      </c>
      <c r="K477" s="330" t="str">
        <f>IF(B477&lt;&gt;"",+VLOOKUP(I477,Recursos!C:F,3,FALSE),"")</f>
        <v>Un</v>
      </c>
      <c r="L477" s="446">
        <f>IF(B477&lt;&gt;"",+VLOOKUP(I477,Recursos!C:F,4,FALSE),"")</f>
        <v>60</v>
      </c>
      <c r="M477" s="464"/>
      <c r="N477" s="465"/>
      <c r="O477" s="459">
        <f>1/M476</f>
        <v>1.25E-3</v>
      </c>
      <c r="P477" s="333">
        <f t="shared" si="234"/>
        <v>7.4999999999999997E-2</v>
      </c>
      <c r="Q477" s="327">
        <f t="shared" si="235"/>
        <v>0</v>
      </c>
      <c r="R477" s="334">
        <f t="shared" si="236"/>
        <v>0</v>
      </c>
      <c r="S477" s="335">
        <f t="shared" si="237"/>
        <v>0</v>
      </c>
      <c r="T477" s="335">
        <f t="shared" si="238"/>
        <v>0</v>
      </c>
      <c r="U477" s="336">
        <f t="shared" si="239"/>
        <v>0.80848999999999993</v>
      </c>
      <c r="V477" s="336">
        <f t="shared" si="240"/>
        <v>0</v>
      </c>
      <c r="W477" s="336">
        <f t="shared" si="241"/>
        <v>0</v>
      </c>
      <c r="X477" s="336">
        <f t="shared" si="242"/>
        <v>0</v>
      </c>
      <c r="Y477" s="320"/>
      <c r="Z477" s="321" t="str">
        <f t="shared" si="246"/>
        <v>X-CONSPERFA</v>
      </c>
      <c r="AA477" s="321" t="str">
        <f t="shared" si="247"/>
        <v>X-CONSPERFE</v>
      </c>
      <c r="AB477" s="321" t="str">
        <f t="shared" si="248"/>
        <v>X-CONSPERFM</v>
      </c>
      <c r="AC477" s="321" t="str">
        <f t="shared" si="249"/>
        <v>X-CONSPERFT</v>
      </c>
      <c r="AD477" s="321" t="str">
        <f t="shared" si="250"/>
        <v>X-CONSPERFS</v>
      </c>
      <c r="AE477" s="321" t="str">
        <f t="shared" si="251"/>
        <v>X-CONSPERFX</v>
      </c>
      <c r="AF477" s="321" t="str">
        <f t="shared" si="252"/>
        <v>X-CONSPERFM</v>
      </c>
      <c r="AG477" s="321">
        <f t="shared" si="243"/>
        <v>5</v>
      </c>
      <c r="AH477" s="321"/>
      <c r="AI477" s="321" t="str">
        <f t="shared" si="253"/>
        <v>X-CONSPERF</v>
      </c>
      <c r="AJ477" s="320"/>
      <c r="AK477" s="322">
        <f t="shared" si="244"/>
        <v>473</v>
      </c>
      <c r="AL477" s="323">
        <f t="shared" si="254"/>
        <v>477</v>
      </c>
      <c r="AM477" s="322">
        <f t="shared" si="255"/>
        <v>5</v>
      </c>
      <c r="AN477" s="381">
        <f t="shared" si="245"/>
        <v>0</v>
      </c>
      <c r="AO477" s="322"/>
    </row>
    <row r="478" spans="2:41" ht="13.8" thickTop="1">
      <c r="B478" s="501" t="s">
        <v>2984</v>
      </c>
      <c r="C478" s="951" t="s">
        <v>2985</v>
      </c>
      <c r="D478" s="326" t="s">
        <v>1385</v>
      </c>
      <c r="E478" s="327">
        <f>+SUMIF('AUX-NIV2'!I:I,'AUX-NIV3'!B478,'AUX-NIV2'!Q:Q)</f>
        <v>14.48</v>
      </c>
      <c r="F478" s="327">
        <f t="shared" si="232"/>
        <v>17.030397930216687</v>
      </c>
      <c r="G478" s="327">
        <f t="shared" si="233"/>
        <v>246.60016202953761</v>
      </c>
      <c r="H478" s="328" t="str">
        <f t="shared" si="227"/>
        <v>A</v>
      </c>
      <c r="I478" s="325" t="s">
        <v>1746</v>
      </c>
      <c r="J478" s="329" t="str">
        <f>IF(B478&lt;&gt;"",+VLOOKUP(I478,Recursos!C:F,2,FALSE),"")</f>
        <v>OFICIAL</v>
      </c>
      <c r="K478" s="330" t="str">
        <f>IF(B478&lt;&gt;"",+VLOOKUP(I478,Recursos!C:F,3,FALSE),"")</f>
        <v>hh</v>
      </c>
      <c r="L478" s="446">
        <f>IF(B478&lt;&gt;"",+VLOOKUP(I478,Recursos!C:F,4,FALSE),"")</f>
        <v>496.91595439275824</v>
      </c>
      <c r="M478" s="437">
        <v>20</v>
      </c>
      <c r="N478" s="458">
        <v>35</v>
      </c>
      <c r="O478" s="459">
        <f>+(N479/100/M478+1/N478+1/M479+0.05/M478)/N479*1.25</f>
        <v>5.3833616780045359E-3</v>
      </c>
      <c r="P478" s="333">
        <f t="shared" si="234"/>
        <v>2.6750783060670242</v>
      </c>
      <c r="Q478" s="327">
        <f t="shared" si="235"/>
        <v>7.7951077097505678E-2</v>
      </c>
      <c r="R478" s="334">
        <f t="shared" si="236"/>
        <v>38.735133871850515</v>
      </c>
      <c r="S478" s="335">
        <f t="shared" si="237"/>
        <v>2.6750783060670242</v>
      </c>
      <c r="T478" s="335">
        <f t="shared" si="238"/>
        <v>14.355319624149661</v>
      </c>
      <c r="U478" s="336">
        <f t="shared" si="239"/>
        <v>0</v>
      </c>
      <c r="V478" s="336">
        <f t="shared" si="240"/>
        <v>0</v>
      </c>
      <c r="W478" s="336">
        <f t="shared" si="241"/>
        <v>0</v>
      </c>
      <c r="X478" s="336">
        <f t="shared" si="242"/>
        <v>0</v>
      </c>
      <c r="Y478" s="320"/>
      <c r="Z478" s="321" t="str">
        <f t="shared" si="246"/>
        <v>X-TDS2A</v>
      </c>
      <c r="AA478" s="321" t="str">
        <f t="shared" si="247"/>
        <v>X-TDS2E</v>
      </c>
      <c r="AB478" s="321" t="str">
        <f t="shared" si="248"/>
        <v>X-TDS2M</v>
      </c>
      <c r="AC478" s="321" t="str">
        <f t="shared" si="249"/>
        <v>X-TDS2T</v>
      </c>
      <c r="AD478" s="321" t="str">
        <f t="shared" si="250"/>
        <v>X-TDS2S</v>
      </c>
      <c r="AE478" s="321" t="str">
        <f t="shared" si="251"/>
        <v>X-TDS2X</v>
      </c>
      <c r="AF478" s="321" t="str">
        <f t="shared" si="252"/>
        <v>X-TDS2A</v>
      </c>
      <c r="AG478" s="321">
        <f t="shared" si="243"/>
        <v>2</v>
      </c>
      <c r="AH478" s="321"/>
      <c r="AI478" s="321" t="str">
        <f t="shared" si="253"/>
        <v>X-TDS2</v>
      </c>
      <c r="AJ478" s="320"/>
      <c r="AK478" s="322">
        <f t="shared" si="244"/>
        <v>478</v>
      </c>
      <c r="AL478" s="323">
        <f t="shared" si="254"/>
        <v>479</v>
      </c>
      <c r="AM478" s="322">
        <f t="shared" si="255"/>
        <v>1</v>
      </c>
      <c r="AN478" s="381">
        <f t="shared" si="245"/>
        <v>5.3833616780045359E-3</v>
      </c>
      <c r="AO478" s="322"/>
    </row>
    <row r="479" spans="2:41" ht="13.8" thickBot="1">
      <c r="B479" s="501" t="s">
        <v>2984</v>
      </c>
      <c r="C479" s="951" t="s">
        <v>2985</v>
      </c>
      <c r="D479" s="326" t="s">
        <v>1385</v>
      </c>
      <c r="E479" s="327">
        <f>+SUMIF('AUX-NIV2'!I:I,'AUX-NIV3'!B479,'AUX-NIV2'!Q:Q)</f>
        <v>14.48</v>
      </c>
      <c r="F479" s="327">
        <f t="shared" si="232"/>
        <v>17.030397930216687</v>
      </c>
      <c r="G479" s="327">
        <f t="shared" si="233"/>
        <v>246.60016202953761</v>
      </c>
      <c r="H479" s="328" t="str">
        <f t="shared" si="227"/>
        <v>E</v>
      </c>
      <c r="I479" s="325" t="s">
        <v>1555</v>
      </c>
      <c r="J479" s="329" t="str">
        <f>IF(B479&lt;&gt;"",+VLOOKUP(I479,Recursos!C:F,2,FALSE),"")</f>
        <v>CAMION VOLCADOR 6x4 CAP. 24 T=15 m3</v>
      </c>
      <c r="K479" s="330" t="str">
        <f>IF(B479&lt;&gt;"",+VLOOKUP(I479,Recursos!C:F,3,FALSE),"")</f>
        <v>HR</v>
      </c>
      <c r="L479" s="446">
        <f>IF(B479&lt;&gt;"",+VLOOKUP(I479,Recursos!C:F,4,FALSE),"")</f>
        <v>3333.261</v>
      </c>
      <c r="M479" s="464">
        <v>45</v>
      </c>
      <c r="N479" s="465">
        <v>14</v>
      </c>
      <c r="O479" s="459">
        <f>+(N479/100/M478+1/N478+1/M479+0.05/M478)/N479</f>
        <v>4.3066893424036287E-3</v>
      </c>
      <c r="P479" s="333">
        <f t="shared" si="234"/>
        <v>14.355319624149661</v>
      </c>
      <c r="Q479" s="327">
        <f t="shared" si="235"/>
        <v>6.2360861678004545E-2</v>
      </c>
      <c r="R479" s="334">
        <f t="shared" si="236"/>
        <v>207.86502815768711</v>
      </c>
      <c r="S479" s="335">
        <f t="shared" si="237"/>
        <v>2.6750783060670242</v>
      </c>
      <c r="T479" s="335">
        <f t="shared" si="238"/>
        <v>14.355319624149661</v>
      </c>
      <c r="U479" s="336">
        <f t="shared" si="239"/>
        <v>0</v>
      </c>
      <c r="V479" s="336">
        <f t="shared" si="240"/>
        <v>0</v>
      </c>
      <c r="W479" s="336">
        <f t="shared" si="241"/>
        <v>0</v>
      </c>
      <c r="X479" s="336">
        <f t="shared" si="242"/>
        <v>0</v>
      </c>
      <c r="Y479" s="320"/>
      <c r="Z479" s="321" t="str">
        <f t="shared" si="246"/>
        <v>X-TDS2A</v>
      </c>
      <c r="AA479" s="321" t="str">
        <f t="shared" si="247"/>
        <v>X-TDS2E</v>
      </c>
      <c r="AB479" s="321" t="str">
        <f t="shared" si="248"/>
        <v>X-TDS2M</v>
      </c>
      <c r="AC479" s="321" t="str">
        <f t="shared" si="249"/>
        <v>X-TDS2T</v>
      </c>
      <c r="AD479" s="321" t="str">
        <f t="shared" si="250"/>
        <v>X-TDS2S</v>
      </c>
      <c r="AE479" s="321" t="str">
        <f t="shared" si="251"/>
        <v>X-TDS2X</v>
      </c>
      <c r="AF479" s="321" t="str">
        <f t="shared" si="252"/>
        <v>X-TDS2E</v>
      </c>
      <c r="AG479" s="321">
        <f t="shared" si="243"/>
        <v>2</v>
      </c>
      <c r="AH479" s="321"/>
      <c r="AI479" s="321" t="str">
        <f t="shared" si="253"/>
        <v>X-TDS2</v>
      </c>
      <c r="AJ479" s="320"/>
      <c r="AK479" s="322">
        <f t="shared" si="244"/>
        <v>478</v>
      </c>
      <c r="AL479" s="323">
        <f t="shared" si="254"/>
        <v>479</v>
      </c>
      <c r="AM479" s="322">
        <f t="shared" si="255"/>
        <v>2</v>
      </c>
      <c r="AN479" s="381">
        <f t="shared" si="245"/>
        <v>5.3833616780045359E-3</v>
      </c>
      <c r="AO479" s="322"/>
    </row>
    <row r="480" spans="2:41" ht="13.8" thickTop="1">
      <c r="B480" s="501" t="s">
        <v>3011</v>
      </c>
      <c r="C480" s="950" t="s">
        <v>3012</v>
      </c>
      <c r="D480" s="326" t="s">
        <v>1160</v>
      </c>
      <c r="E480" s="327">
        <f>+SUMIF('AUX-NIV2'!I:I,'AUX-NIV3'!B480,'AUX-NIV2'!Q:Q)</f>
        <v>0</v>
      </c>
      <c r="F480" s="327">
        <f t="shared" si="232"/>
        <v>428.81754720147359</v>
      </c>
      <c r="G480" s="327">
        <f t="shared" si="233"/>
        <v>0</v>
      </c>
      <c r="H480" s="328" t="str">
        <f t="shared" si="227"/>
        <v>A</v>
      </c>
      <c r="I480" s="325" t="s">
        <v>1745</v>
      </c>
      <c r="J480" s="329" t="str">
        <f>IF(B480&lt;&gt;"",+VLOOKUP(I480,Recursos!C:F,2,FALSE),"")</f>
        <v>AYUDANTE</v>
      </c>
      <c r="K480" s="330" t="str">
        <f>IF(B480&lt;&gt;"",+VLOOKUP(I480,Recursos!C:F,3,FALSE),"")</f>
        <v>hh</v>
      </c>
      <c r="L480" s="446">
        <f>IF(B480&lt;&gt;"",+VLOOKUP(I480,Recursos!C:F,4,FALSE),"")</f>
        <v>422.48042769667234</v>
      </c>
      <c r="M480" s="457"/>
      <c r="N480" s="438"/>
      <c r="O480" s="459">
        <f>+M482/60/N482*N481</f>
        <v>0.15625</v>
      </c>
      <c r="P480" s="333">
        <f t="shared" si="234"/>
        <v>66.012566827605056</v>
      </c>
      <c r="Q480" s="327">
        <f t="shared" si="235"/>
        <v>0</v>
      </c>
      <c r="R480" s="334">
        <f t="shared" si="236"/>
        <v>0</v>
      </c>
      <c r="S480" s="335">
        <f t="shared" si="237"/>
        <v>143.65568470147355</v>
      </c>
      <c r="T480" s="335">
        <f t="shared" si="238"/>
        <v>285.16186250000004</v>
      </c>
      <c r="U480" s="336">
        <f t="shared" si="239"/>
        <v>0</v>
      </c>
      <c r="V480" s="336">
        <f t="shared" si="240"/>
        <v>0</v>
      </c>
      <c r="W480" s="336">
        <f t="shared" si="241"/>
        <v>0</v>
      </c>
      <c r="X480" s="336">
        <f t="shared" si="242"/>
        <v>0</v>
      </c>
      <c r="Y480" s="320"/>
      <c r="Z480" s="321" t="str">
        <f t="shared" si="246"/>
        <v>X-RPPHA</v>
      </c>
      <c r="AA480" s="321" t="str">
        <f t="shared" si="247"/>
        <v>X-RPPHE</v>
      </c>
      <c r="AB480" s="321" t="str">
        <f t="shared" si="248"/>
        <v>X-RPPHM</v>
      </c>
      <c r="AC480" s="321" t="str">
        <f t="shared" si="249"/>
        <v>X-RPPHT</v>
      </c>
      <c r="AD480" s="321" t="str">
        <f t="shared" si="250"/>
        <v>X-RPPHS</v>
      </c>
      <c r="AE480" s="321" t="str">
        <f t="shared" si="251"/>
        <v>X-RPPHX</v>
      </c>
      <c r="AF480" s="321" t="str">
        <f t="shared" si="252"/>
        <v>X-RPPHA</v>
      </c>
      <c r="AG480" s="321">
        <f t="shared" si="243"/>
        <v>3</v>
      </c>
      <c r="AH480" s="321"/>
      <c r="AI480" s="321" t="str">
        <f t="shared" si="253"/>
        <v>X-RPPH</v>
      </c>
      <c r="AJ480" s="320"/>
      <c r="AK480" s="322">
        <f t="shared" si="244"/>
        <v>480</v>
      </c>
      <c r="AL480" s="323">
        <f t="shared" si="254"/>
        <v>482</v>
      </c>
      <c r="AM480" s="322">
        <f t="shared" si="255"/>
        <v>1</v>
      </c>
      <c r="AN480" s="381">
        <f t="shared" si="245"/>
        <v>0.3125</v>
      </c>
      <c r="AO480" s="322"/>
    </row>
    <row r="481" spans="2:41">
      <c r="B481" s="501" t="s">
        <v>3011</v>
      </c>
      <c r="C481" s="950" t="s">
        <v>3012</v>
      </c>
      <c r="D481" s="326" t="s">
        <v>1160</v>
      </c>
      <c r="E481" s="327">
        <f>+SUMIF('AUX-NIV2'!I:I,'AUX-NIV3'!B481,'AUX-NIV2'!Q:Q)</f>
        <v>0</v>
      </c>
      <c r="F481" s="327">
        <f t="shared" si="232"/>
        <v>428.81754720147359</v>
      </c>
      <c r="G481" s="327">
        <f t="shared" si="233"/>
        <v>0</v>
      </c>
      <c r="H481" s="328" t="str">
        <f t="shared" si="227"/>
        <v>A</v>
      </c>
      <c r="I481" s="325" t="s">
        <v>1746</v>
      </c>
      <c r="J481" s="329" t="str">
        <f>IF(B481&lt;&gt;"",+VLOOKUP(I481,Recursos!C:F,2,FALSE),"")</f>
        <v>OFICIAL</v>
      </c>
      <c r="K481" s="330" t="str">
        <f>IF(B481&lt;&gt;"",+VLOOKUP(I481,Recursos!C:F,3,FALSE),"")</f>
        <v>hh</v>
      </c>
      <c r="L481" s="446">
        <f>IF(B481&lt;&gt;"",+VLOOKUP(I481,Recursos!C:F,4,FALSE),"")</f>
        <v>496.91595439275824</v>
      </c>
      <c r="M481" s="460"/>
      <c r="N481" s="463">
        <v>1.25</v>
      </c>
      <c r="O481" s="459">
        <f>+M482/60/N482*N481</f>
        <v>0.15625</v>
      </c>
      <c r="P481" s="333">
        <f t="shared" si="234"/>
        <v>77.643117873868476</v>
      </c>
      <c r="Q481" s="327">
        <f t="shared" si="235"/>
        <v>0</v>
      </c>
      <c r="R481" s="334">
        <f t="shared" si="236"/>
        <v>0</v>
      </c>
      <c r="S481" s="335">
        <f t="shared" si="237"/>
        <v>143.65568470147355</v>
      </c>
      <c r="T481" s="335">
        <f t="shared" si="238"/>
        <v>285.16186250000004</v>
      </c>
      <c r="U481" s="336">
        <f t="shared" si="239"/>
        <v>0</v>
      </c>
      <c r="V481" s="336">
        <f t="shared" si="240"/>
        <v>0</v>
      </c>
      <c r="W481" s="336">
        <f t="shared" si="241"/>
        <v>0</v>
      </c>
      <c r="X481" s="336">
        <f t="shared" si="242"/>
        <v>0</v>
      </c>
      <c r="Y481" s="320"/>
      <c r="Z481" s="321" t="str">
        <f t="shared" si="246"/>
        <v>X-RPPHA</v>
      </c>
      <c r="AA481" s="321" t="str">
        <f t="shared" si="247"/>
        <v>X-RPPHE</v>
      </c>
      <c r="AB481" s="321" t="str">
        <f t="shared" si="248"/>
        <v>X-RPPHM</v>
      </c>
      <c r="AC481" s="321" t="str">
        <f t="shared" si="249"/>
        <v>X-RPPHT</v>
      </c>
      <c r="AD481" s="321" t="str">
        <f t="shared" si="250"/>
        <v>X-RPPHS</v>
      </c>
      <c r="AE481" s="321" t="str">
        <f t="shared" si="251"/>
        <v>X-RPPHX</v>
      </c>
      <c r="AF481" s="321" t="str">
        <f t="shared" si="252"/>
        <v>X-RPPHA</v>
      </c>
      <c r="AG481" s="321">
        <f t="shared" si="243"/>
        <v>3</v>
      </c>
      <c r="AH481" s="321"/>
      <c r="AI481" s="321" t="str">
        <f t="shared" si="253"/>
        <v>X-RPPH</v>
      </c>
      <c r="AJ481" s="320"/>
      <c r="AK481" s="322">
        <f t="shared" si="244"/>
        <v>480</v>
      </c>
      <c r="AL481" s="323">
        <f t="shared" si="254"/>
        <v>482</v>
      </c>
      <c r="AM481" s="322">
        <f t="shared" si="255"/>
        <v>2</v>
      </c>
      <c r="AN481" s="381">
        <f t="shared" si="245"/>
        <v>0.3125</v>
      </c>
      <c r="AO481" s="322"/>
    </row>
    <row r="482" spans="2:41" ht="13.8" thickBot="1">
      <c r="B482" s="501" t="s">
        <v>3011</v>
      </c>
      <c r="C482" s="950" t="s">
        <v>3012</v>
      </c>
      <c r="D482" s="326" t="s">
        <v>1160</v>
      </c>
      <c r="E482" s="327">
        <f>+SUMIF('AUX-NIV2'!I:I,'AUX-NIV3'!B482,'AUX-NIV2'!Q:Q)</f>
        <v>0</v>
      </c>
      <c r="F482" s="327">
        <f t="shared" si="232"/>
        <v>428.81754720147359</v>
      </c>
      <c r="G482" s="327">
        <f t="shared" si="233"/>
        <v>0</v>
      </c>
      <c r="H482" s="328" t="str">
        <f t="shared" si="227"/>
        <v>E</v>
      </c>
      <c r="I482" s="325" t="s">
        <v>1676</v>
      </c>
      <c r="J482" s="329" t="str">
        <f>IF(B482&lt;&gt;"",+VLOOKUP(I482,Recursos!C:F,2,FALSE),"")</f>
        <v>CAMION REGADOR CAP. 8 m3</v>
      </c>
      <c r="K482" s="330" t="str">
        <f>IF(B482&lt;&gt;"",+VLOOKUP(I482,Recursos!C:F,3,FALSE),"")</f>
        <v>HR</v>
      </c>
      <c r="L482" s="446">
        <f>IF(B482&lt;&gt;"",+VLOOKUP(I482,Recursos!C:F,4,FALSE),"")</f>
        <v>2281.2949000000003</v>
      </c>
      <c r="M482" s="464">
        <v>60</v>
      </c>
      <c r="N482" s="465">
        <v>8</v>
      </c>
      <c r="O482" s="459">
        <f>+M482/60/N482</f>
        <v>0.125</v>
      </c>
      <c r="P482" s="333">
        <f t="shared" si="234"/>
        <v>285.16186250000004</v>
      </c>
      <c r="Q482" s="327">
        <f t="shared" si="235"/>
        <v>0</v>
      </c>
      <c r="R482" s="334">
        <f t="shared" si="236"/>
        <v>0</v>
      </c>
      <c r="S482" s="335">
        <f t="shared" si="237"/>
        <v>143.65568470147355</v>
      </c>
      <c r="T482" s="335">
        <f t="shared" si="238"/>
        <v>285.16186250000004</v>
      </c>
      <c r="U482" s="336">
        <f t="shared" si="239"/>
        <v>0</v>
      </c>
      <c r="V482" s="336">
        <f t="shared" si="240"/>
        <v>0</v>
      </c>
      <c r="W482" s="336">
        <f t="shared" si="241"/>
        <v>0</v>
      </c>
      <c r="X482" s="336">
        <f t="shared" si="242"/>
        <v>0</v>
      </c>
      <c r="Y482" s="320"/>
      <c r="Z482" s="321" t="str">
        <f t="shared" si="246"/>
        <v>X-RPPHA</v>
      </c>
      <c r="AA482" s="321" t="str">
        <f t="shared" si="247"/>
        <v>X-RPPHE</v>
      </c>
      <c r="AB482" s="321" t="str">
        <f t="shared" si="248"/>
        <v>X-RPPHM</v>
      </c>
      <c r="AC482" s="321" t="str">
        <f t="shared" si="249"/>
        <v>X-RPPHT</v>
      </c>
      <c r="AD482" s="321" t="str">
        <f t="shared" si="250"/>
        <v>X-RPPHS</v>
      </c>
      <c r="AE482" s="321" t="str">
        <f t="shared" si="251"/>
        <v>X-RPPHX</v>
      </c>
      <c r="AF482" s="321" t="str">
        <f t="shared" si="252"/>
        <v>X-RPPHE</v>
      </c>
      <c r="AG482" s="321">
        <f t="shared" si="243"/>
        <v>3</v>
      </c>
      <c r="AH482" s="321"/>
      <c r="AI482" s="321" t="str">
        <f t="shared" si="253"/>
        <v>X-RPPH</v>
      </c>
      <c r="AJ482" s="320"/>
      <c r="AK482" s="322">
        <f t="shared" si="244"/>
        <v>480</v>
      </c>
      <c r="AL482" s="323">
        <f t="shared" si="254"/>
        <v>482</v>
      </c>
      <c r="AM482" s="322">
        <f t="shared" si="255"/>
        <v>3</v>
      </c>
      <c r="AN482" s="381">
        <f t="shared" si="245"/>
        <v>0.3125</v>
      </c>
      <c r="AO482" s="322"/>
    </row>
    <row r="483" spans="2:41" ht="13.8" thickTop="1">
      <c r="B483" s="501" t="s">
        <v>4420</v>
      </c>
      <c r="C483" s="950" t="s">
        <v>4422</v>
      </c>
      <c r="D483" s="326" t="s">
        <v>1232</v>
      </c>
      <c r="E483" s="327">
        <f>+SUMIF('AUX-NIV2'!I:I,'AUX-NIV3'!B483,'AUX-NIV2'!Q:Q)</f>
        <v>0</v>
      </c>
      <c r="F483" s="327">
        <f t="shared" si="232"/>
        <v>1938.792764178861</v>
      </c>
      <c r="G483" s="327">
        <f t="shared" si="233"/>
        <v>0</v>
      </c>
      <c r="H483" s="328" t="str">
        <f t="shared" ref="H483:H485" si="256">IF(B483&lt;&gt;"",+LEFT(I483,1),"")</f>
        <v>A</v>
      </c>
      <c r="I483" s="325" t="s">
        <v>1745</v>
      </c>
      <c r="J483" s="329" t="str">
        <f>IF(B483&lt;&gt;"",+VLOOKUP(I483,Recursos!C:F,2,FALSE),"")</f>
        <v>AYUDANTE</v>
      </c>
      <c r="K483" s="330" t="str">
        <f>IF(B483&lt;&gt;"",+VLOOKUP(I483,Recursos!C:F,3,FALSE),"")</f>
        <v>hh</v>
      </c>
      <c r="L483" s="446">
        <f>IF(B483&lt;&gt;"",+VLOOKUP(I483,Recursos!C:F,4,FALSE),"")</f>
        <v>422.48042769667234</v>
      </c>
      <c r="M483" s="1640">
        <v>1</v>
      </c>
      <c r="N483" s="1641">
        <v>2</v>
      </c>
      <c r="O483" s="459">
        <f>M483*N483</f>
        <v>2</v>
      </c>
      <c r="P483" s="333">
        <f t="shared" ref="P483:P485" si="257">IF(B483&lt;&gt;"",O483*L483,"")</f>
        <v>844.96085539334467</v>
      </c>
      <c r="Q483" s="327">
        <f t="shared" ref="Q483:Q485" si="258">IF(B483&lt;&gt;"",+O483*E483,"")</f>
        <v>0</v>
      </c>
      <c r="R483" s="334">
        <f t="shared" ref="R483:R485" si="259">IF(B483&lt;&gt;"",Q483*L483,"")</f>
        <v>0</v>
      </c>
      <c r="S483" s="335">
        <f t="shared" si="237"/>
        <v>1838.792764178861</v>
      </c>
      <c r="T483" s="335">
        <f t="shared" si="238"/>
        <v>0</v>
      </c>
      <c r="U483" s="336">
        <f t="shared" si="239"/>
        <v>100</v>
      </c>
      <c r="V483" s="336">
        <f t="shared" si="240"/>
        <v>0</v>
      </c>
      <c r="W483" s="336">
        <f t="shared" si="241"/>
        <v>0</v>
      </c>
      <c r="X483" s="336">
        <f t="shared" si="242"/>
        <v>0</v>
      </c>
      <c r="Y483" s="320"/>
      <c r="Z483" s="321" t="str">
        <f t="shared" ref="Z483:Z485" si="260">IF(B483&lt;&gt;"",+$B483&amp;"A","")</f>
        <v>X-CLCCNXPA</v>
      </c>
      <c r="AA483" s="321" t="str">
        <f t="shared" ref="AA483:AA485" si="261">IF(B483&lt;&gt;"",+$B483&amp;"E","")</f>
        <v>X-CLCCNXPE</v>
      </c>
      <c r="AB483" s="321" t="str">
        <f t="shared" ref="AB483:AB485" si="262">IF(B483&lt;&gt;"",++$B483&amp;"M","")</f>
        <v>X-CLCCNXPM</v>
      </c>
      <c r="AC483" s="321" t="str">
        <f t="shared" ref="AC483:AC485" si="263">IF(B483&lt;&gt;"",+$B483&amp;"T","")</f>
        <v>X-CLCCNXPT</v>
      </c>
      <c r="AD483" s="321" t="str">
        <f t="shared" ref="AD483:AD485" si="264">IF(B483&lt;&gt;"",+$B483&amp;"S","")</f>
        <v>X-CLCCNXPS</v>
      </c>
      <c r="AE483" s="321" t="str">
        <f t="shared" ref="AE483:AE485" si="265">IF(B483&lt;&gt;"",+$B483&amp;"X","")</f>
        <v>X-CLCCNXPX</v>
      </c>
      <c r="AF483" s="321" t="str">
        <f t="shared" ref="AF483:AF485" si="266">IF(B483&lt;&gt;"",+B483&amp;H483,"")</f>
        <v>X-CLCCNXPA</v>
      </c>
      <c r="AG483" s="321">
        <f t="shared" si="243"/>
        <v>3</v>
      </c>
      <c r="AH483" s="321"/>
      <c r="AI483" s="321" t="str">
        <f t="shared" ref="AI483:AI485" si="267">IF(B483&lt;&gt;"",+B483,"")</f>
        <v>X-CLCCNXP</v>
      </c>
      <c r="AJ483" s="320"/>
      <c r="AK483" s="322">
        <f t="shared" si="244"/>
        <v>483</v>
      </c>
      <c r="AL483" s="323">
        <f t="shared" ref="AL483:AL485" si="268">IF(B483&lt;&gt;"",+AK483+AG483-1,"")</f>
        <v>485</v>
      </c>
      <c r="AM483" s="322">
        <f t="shared" ref="AM483:AM485" si="269">IF(B483&lt;&gt;"",IF(B483=B482,1+AM482,1),"")</f>
        <v>1</v>
      </c>
      <c r="AN483" s="381">
        <f t="shared" si="245"/>
        <v>4</v>
      </c>
      <c r="AO483" s="322"/>
    </row>
    <row r="484" spans="2:41">
      <c r="B484" s="501" t="s">
        <v>4420</v>
      </c>
      <c r="C484" s="950" t="s">
        <v>4422</v>
      </c>
      <c r="D484" s="326" t="s">
        <v>1232</v>
      </c>
      <c r="E484" s="327">
        <f>+SUMIF('AUX-NIV2'!I:I,'AUX-NIV3'!B484,'AUX-NIV2'!Q:Q)</f>
        <v>0</v>
      </c>
      <c r="F484" s="327">
        <f t="shared" si="232"/>
        <v>1938.792764178861</v>
      </c>
      <c r="G484" s="327">
        <f t="shared" si="233"/>
        <v>0</v>
      </c>
      <c r="H484" s="328" t="str">
        <f t="shared" si="256"/>
        <v>A</v>
      </c>
      <c r="I484" s="325" t="s">
        <v>1746</v>
      </c>
      <c r="J484" s="329" t="str">
        <f>IF(B484&lt;&gt;"",+VLOOKUP(I484,Recursos!C:F,2,FALSE),"")</f>
        <v>OFICIAL</v>
      </c>
      <c r="K484" s="330" t="str">
        <f>IF(B484&lt;&gt;"",+VLOOKUP(I484,Recursos!C:F,3,FALSE),"")</f>
        <v>hh</v>
      </c>
      <c r="L484" s="446">
        <f>IF(B484&lt;&gt;"",+VLOOKUP(I484,Recursos!C:F,4,FALSE),"")</f>
        <v>496.91595439275824</v>
      </c>
      <c r="M484" s="1642">
        <v>1</v>
      </c>
      <c r="N484" s="1643">
        <v>2</v>
      </c>
      <c r="O484" s="459">
        <f>M484*N484</f>
        <v>2</v>
      </c>
      <c r="P484" s="333">
        <f t="shared" si="257"/>
        <v>993.83190878551648</v>
      </c>
      <c r="Q484" s="327">
        <f t="shared" si="258"/>
        <v>0</v>
      </c>
      <c r="R484" s="334">
        <f t="shared" si="259"/>
        <v>0</v>
      </c>
      <c r="S484" s="335">
        <f t="shared" si="237"/>
        <v>1838.792764178861</v>
      </c>
      <c r="T484" s="335">
        <f t="shared" si="238"/>
        <v>0</v>
      </c>
      <c r="U484" s="336">
        <f t="shared" si="239"/>
        <v>100</v>
      </c>
      <c r="V484" s="336">
        <f t="shared" si="240"/>
        <v>0</v>
      </c>
      <c r="W484" s="336">
        <f t="shared" si="241"/>
        <v>0</v>
      </c>
      <c r="X484" s="336">
        <f t="shared" si="242"/>
        <v>0</v>
      </c>
      <c r="Y484" s="320"/>
      <c r="Z484" s="321" t="str">
        <f t="shared" si="260"/>
        <v>X-CLCCNXPA</v>
      </c>
      <c r="AA484" s="321" t="str">
        <f t="shared" si="261"/>
        <v>X-CLCCNXPE</v>
      </c>
      <c r="AB484" s="321" t="str">
        <f t="shared" si="262"/>
        <v>X-CLCCNXPM</v>
      </c>
      <c r="AC484" s="321" t="str">
        <f t="shared" si="263"/>
        <v>X-CLCCNXPT</v>
      </c>
      <c r="AD484" s="321" t="str">
        <f t="shared" si="264"/>
        <v>X-CLCCNXPS</v>
      </c>
      <c r="AE484" s="321" t="str">
        <f t="shared" si="265"/>
        <v>X-CLCCNXPX</v>
      </c>
      <c r="AF484" s="321" t="str">
        <f t="shared" si="266"/>
        <v>X-CLCCNXPA</v>
      </c>
      <c r="AG484" s="321">
        <f t="shared" si="243"/>
        <v>3</v>
      </c>
      <c r="AH484" s="321"/>
      <c r="AI484" s="321" t="str">
        <f t="shared" si="267"/>
        <v>X-CLCCNXP</v>
      </c>
      <c r="AJ484" s="320"/>
      <c r="AK484" s="322">
        <f t="shared" si="244"/>
        <v>483</v>
      </c>
      <c r="AL484" s="323">
        <f t="shared" si="268"/>
        <v>485</v>
      </c>
      <c r="AM484" s="322">
        <f t="shared" si="269"/>
        <v>2</v>
      </c>
      <c r="AN484" s="381">
        <f t="shared" si="245"/>
        <v>4</v>
      </c>
      <c r="AO484" s="322"/>
    </row>
    <row r="485" spans="2:41" ht="13.8" thickBot="1">
      <c r="B485" s="501" t="s">
        <v>4420</v>
      </c>
      <c r="C485" s="950" t="s">
        <v>4422</v>
      </c>
      <c r="D485" s="326" t="s">
        <v>1232</v>
      </c>
      <c r="E485" s="327">
        <f>+SUMIF('AUX-NIV2'!I:I,'AUX-NIV3'!B485,'AUX-NIV2'!Q:Q)</f>
        <v>0</v>
      </c>
      <c r="F485" s="327">
        <f t="shared" si="232"/>
        <v>1938.792764178861</v>
      </c>
      <c r="G485" s="327">
        <f t="shared" si="233"/>
        <v>0</v>
      </c>
      <c r="H485" s="328" t="str">
        <f t="shared" si="256"/>
        <v>M</v>
      </c>
      <c r="I485" s="324" t="s">
        <v>621</v>
      </c>
      <c r="J485" s="329" t="str">
        <f>IF(B485&lt;&gt;"",+VLOOKUP(I485,Recursos!C:F,2,FALSE),"")</f>
        <v>MATERIALES VARIOS</v>
      </c>
      <c r="K485" s="330" t="str">
        <f>IF(B485&lt;&gt;"",+VLOOKUP(I485,Recursos!C:F,3,FALSE),"")</f>
        <v>GL</v>
      </c>
      <c r="L485" s="446">
        <f>IF(B485&lt;&gt;"",+VLOOKUP(I485,Recursos!C:F,4,FALSE),"")</f>
        <v>0.5</v>
      </c>
      <c r="M485" s="1644"/>
      <c r="N485" s="1645">
        <v>200</v>
      </c>
      <c r="O485" s="459">
        <f>N485</f>
        <v>200</v>
      </c>
      <c r="P485" s="333">
        <f t="shared" si="257"/>
        <v>100</v>
      </c>
      <c r="Q485" s="327">
        <f t="shared" si="258"/>
        <v>0</v>
      </c>
      <c r="R485" s="334">
        <f t="shared" si="259"/>
        <v>0</v>
      </c>
      <c r="S485" s="335">
        <f t="shared" si="237"/>
        <v>1838.792764178861</v>
      </c>
      <c r="T485" s="335">
        <f t="shared" si="238"/>
        <v>0</v>
      </c>
      <c r="U485" s="336">
        <f t="shared" si="239"/>
        <v>100</v>
      </c>
      <c r="V485" s="336">
        <f t="shared" si="240"/>
        <v>0</v>
      </c>
      <c r="W485" s="336">
        <f t="shared" si="241"/>
        <v>0</v>
      </c>
      <c r="X485" s="336">
        <f t="shared" si="242"/>
        <v>0</v>
      </c>
      <c r="Y485" s="320"/>
      <c r="Z485" s="321" t="str">
        <f t="shared" si="260"/>
        <v>X-CLCCNXPA</v>
      </c>
      <c r="AA485" s="321" t="str">
        <f t="shared" si="261"/>
        <v>X-CLCCNXPE</v>
      </c>
      <c r="AB485" s="321" t="str">
        <f t="shared" si="262"/>
        <v>X-CLCCNXPM</v>
      </c>
      <c r="AC485" s="321" t="str">
        <f t="shared" si="263"/>
        <v>X-CLCCNXPT</v>
      </c>
      <c r="AD485" s="321" t="str">
        <f t="shared" si="264"/>
        <v>X-CLCCNXPS</v>
      </c>
      <c r="AE485" s="321" t="str">
        <f t="shared" si="265"/>
        <v>X-CLCCNXPX</v>
      </c>
      <c r="AF485" s="321" t="str">
        <f t="shared" si="266"/>
        <v>X-CLCCNXPM</v>
      </c>
      <c r="AG485" s="321">
        <f t="shared" si="243"/>
        <v>3</v>
      </c>
      <c r="AH485" s="321"/>
      <c r="AI485" s="321" t="str">
        <f t="shared" si="267"/>
        <v>X-CLCCNXP</v>
      </c>
      <c r="AJ485" s="320"/>
      <c r="AK485" s="322">
        <f t="shared" si="244"/>
        <v>483</v>
      </c>
      <c r="AL485" s="323">
        <f t="shared" si="268"/>
        <v>485</v>
      </c>
      <c r="AM485" s="322">
        <f t="shared" si="269"/>
        <v>3</v>
      </c>
      <c r="AN485" s="381">
        <f t="shared" si="245"/>
        <v>4</v>
      </c>
      <c r="AO485" s="322"/>
    </row>
    <row r="486" spans="2:41" ht="13.8" thickTop="1">
      <c r="B486" s="501" t="s">
        <v>4421</v>
      </c>
      <c r="C486" s="950" t="s">
        <v>4423</v>
      </c>
      <c r="D486" s="326" t="s">
        <v>1232</v>
      </c>
      <c r="E486" s="327">
        <f>+SUMIF('AUX-NIV2'!I:I,'AUX-NIV3'!B486,'AUX-NIV2'!Q:Q)</f>
        <v>0</v>
      </c>
      <c r="F486" s="327">
        <f t="shared" si="232"/>
        <v>969.39638208943052</v>
      </c>
      <c r="G486" s="327">
        <f t="shared" si="233"/>
        <v>0</v>
      </c>
      <c r="H486" s="328" t="str">
        <f t="shared" ref="H486:H488" si="270">IF(B486&lt;&gt;"",+LEFT(I486,1),"")</f>
        <v>A</v>
      </c>
      <c r="I486" s="325" t="s">
        <v>1745</v>
      </c>
      <c r="J486" s="329" t="str">
        <f>IF(B486&lt;&gt;"",+VLOOKUP(I486,Recursos!C:F,2,FALSE),"")</f>
        <v>AYUDANTE</v>
      </c>
      <c r="K486" s="330" t="str">
        <f>IF(B486&lt;&gt;"",+VLOOKUP(I486,Recursos!C:F,3,FALSE),"")</f>
        <v>hh</v>
      </c>
      <c r="L486" s="446">
        <f>IF(B486&lt;&gt;"",+VLOOKUP(I486,Recursos!C:F,4,FALSE),"")</f>
        <v>422.48042769667234</v>
      </c>
      <c r="M486" s="1640">
        <v>1</v>
      </c>
      <c r="N486" s="1641">
        <v>1</v>
      </c>
      <c r="O486" s="459">
        <f>M486*N486</f>
        <v>1</v>
      </c>
      <c r="P486" s="333">
        <f t="shared" ref="P486:P488" si="271">IF(B486&lt;&gt;"",O486*L486,"")</f>
        <v>422.48042769667234</v>
      </c>
      <c r="Q486" s="327">
        <f t="shared" ref="Q486:Q488" si="272">IF(B486&lt;&gt;"",+O486*E486,"")</f>
        <v>0</v>
      </c>
      <c r="R486" s="334">
        <f t="shared" ref="R486:R488" si="273">IF(B486&lt;&gt;"",Q486*L486,"")</f>
        <v>0</v>
      </c>
      <c r="S486" s="335">
        <f t="shared" si="237"/>
        <v>919.39638208943052</v>
      </c>
      <c r="T486" s="335">
        <f t="shared" si="238"/>
        <v>0</v>
      </c>
      <c r="U486" s="336">
        <f t="shared" si="239"/>
        <v>50</v>
      </c>
      <c r="V486" s="336">
        <f t="shared" si="240"/>
        <v>0</v>
      </c>
      <c r="W486" s="336">
        <f t="shared" si="241"/>
        <v>0</v>
      </c>
      <c r="X486" s="336">
        <f t="shared" si="242"/>
        <v>0</v>
      </c>
      <c r="Y486" s="320"/>
      <c r="Z486" s="321" t="str">
        <f t="shared" ref="Z486:Z488" si="274">IF(B486&lt;&gt;"",+$B486&amp;"A","")</f>
        <v>X-CLCCNXSA</v>
      </c>
      <c r="AA486" s="321" t="str">
        <f t="shared" ref="AA486:AA488" si="275">IF(B486&lt;&gt;"",+$B486&amp;"E","")</f>
        <v>X-CLCCNXSE</v>
      </c>
      <c r="AB486" s="321" t="str">
        <f t="shared" ref="AB486:AB488" si="276">IF(B486&lt;&gt;"",++$B486&amp;"M","")</f>
        <v>X-CLCCNXSM</v>
      </c>
      <c r="AC486" s="321" t="str">
        <f t="shared" ref="AC486:AC488" si="277">IF(B486&lt;&gt;"",+$B486&amp;"T","")</f>
        <v>X-CLCCNXST</v>
      </c>
      <c r="AD486" s="321" t="str">
        <f t="shared" ref="AD486:AD488" si="278">IF(B486&lt;&gt;"",+$B486&amp;"S","")</f>
        <v>X-CLCCNXSS</v>
      </c>
      <c r="AE486" s="321" t="str">
        <f t="shared" ref="AE486:AE488" si="279">IF(B486&lt;&gt;"",+$B486&amp;"X","")</f>
        <v>X-CLCCNXSX</v>
      </c>
      <c r="AF486" s="321" t="str">
        <f t="shared" ref="AF486:AF488" si="280">IF(B486&lt;&gt;"",+B486&amp;H486,"")</f>
        <v>X-CLCCNXSA</v>
      </c>
      <c r="AG486" s="321">
        <f t="shared" si="243"/>
        <v>3</v>
      </c>
      <c r="AH486" s="321"/>
      <c r="AI486" s="321" t="str">
        <f t="shared" ref="AI486:AI488" si="281">IF(B486&lt;&gt;"",+B486,"")</f>
        <v>X-CLCCNXS</v>
      </c>
      <c r="AJ486" s="320"/>
      <c r="AK486" s="322">
        <f t="shared" si="244"/>
        <v>486</v>
      </c>
      <c r="AL486" s="323">
        <f t="shared" ref="AL486:AL488" si="282">IF(B486&lt;&gt;"",+AK486+AG486-1,"")</f>
        <v>488</v>
      </c>
      <c r="AM486" s="322">
        <f t="shared" ref="AM486:AM488" si="283">IF(B486&lt;&gt;"",IF(B486=B485,1+AM485,1),"")</f>
        <v>1</v>
      </c>
      <c r="AN486" s="381">
        <f t="shared" si="245"/>
        <v>2</v>
      </c>
      <c r="AO486" s="322"/>
    </row>
    <row r="487" spans="2:41">
      <c r="B487" s="501" t="s">
        <v>4421</v>
      </c>
      <c r="C487" s="950" t="s">
        <v>4423</v>
      </c>
      <c r="D487" s="326" t="s">
        <v>1232</v>
      </c>
      <c r="E487" s="327">
        <f>+SUMIF('AUX-NIV2'!I:I,'AUX-NIV3'!B487,'AUX-NIV2'!Q:Q)</f>
        <v>0</v>
      </c>
      <c r="F487" s="327">
        <f t="shared" si="232"/>
        <v>969.39638208943052</v>
      </c>
      <c r="G487" s="327">
        <f t="shared" si="233"/>
        <v>0</v>
      </c>
      <c r="H487" s="328" t="str">
        <f t="shared" si="270"/>
        <v>A</v>
      </c>
      <c r="I487" s="325" t="s">
        <v>1746</v>
      </c>
      <c r="J487" s="329" t="str">
        <f>IF(B487&lt;&gt;"",+VLOOKUP(I487,Recursos!C:F,2,FALSE),"")</f>
        <v>OFICIAL</v>
      </c>
      <c r="K487" s="330" t="str">
        <f>IF(B487&lt;&gt;"",+VLOOKUP(I487,Recursos!C:F,3,FALSE),"")</f>
        <v>hh</v>
      </c>
      <c r="L487" s="446">
        <f>IF(B487&lt;&gt;"",+VLOOKUP(I487,Recursos!C:F,4,FALSE),"")</f>
        <v>496.91595439275824</v>
      </c>
      <c r="M487" s="1642">
        <v>1</v>
      </c>
      <c r="N487" s="1643">
        <v>1</v>
      </c>
      <c r="O487" s="459">
        <f>M487*N487</f>
        <v>1</v>
      </c>
      <c r="P487" s="333">
        <f t="shared" si="271"/>
        <v>496.91595439275824</v>
      </c>
      <c r="Q487" s="327">
        <f t="shared" si="272"/>
        <v>0</v>
      </c>
      <c r="R487" s="334">
        <f t="shared" si="273"/>
        <v>0</v>
      </c>
      <c r="S487" s="335">
        <f t="shared" si="237"/>
        <v>919.39638208943052</v>
      </c>
      <c r="T487" s="335">
        <f t="shared" si="238"/>
        <v>0</v>
      </c>
      <c r="U487" s="336">
        <f t="shared" si="239"/>
        <v>50</v>
      </c>
      <c r="V487" s="336">
        <f t="shared" si="240"/>
        <v>0</v>
      </c>
      <c r="W487" s="336">
        <f t="shared" si="241"/>
        <v>0</v>
      </c>
      <c r="X487" s="336">
        <f t="shared" si="242"/>
        <v>0</v>
      </c>
      <c r="Y487" s="320"/>
      <c r="Z487" s="321" t="str">
        <f t="shared" si="274"/>
        <v>X-CLCCNXSA</v>
      </c>
      <c r="AA487" s="321" t="str">
        <f t="shared" si="275"/>
        <v>X-CLCCNXSE</v>
      </c>
      <c r="AB487" s="321" t="str">
        <f t="shared" si="276"/>
        <v>X-CLCCNXSM</v>
      </c>
      <c r="AC487" s="321" t="str">
        <f t="shared" si="277"/>
        <v>X-CLCCNXST</v>
      </c>
      <c r="AD487" s="321" t="str">
        <f t="shared" si="278"/>
        <v>X-CLCCNXSS</v>
      </c>
      <c r="AE487" s="321" t="str">
        <f t="shared" si="279"/>
        <v>X-CLCCNXSX</v>
      </c>
      <c r="AF487" s="321" t="str">
        <f t="shared" si="280"/>
        <v>X-CLCCNXSA</v>
      </c>
      <c r="AG487" s="321">
        <f t="shared" si="243"/>
        <v>3</v>
      </c>
      <c r="AH487" s="321"/>
      <c r="AI487" s="321" t="str">
        <f t="shared" si="281"/>
        <v>X-CLCCNXS</v>
      </c>
      <c r="AJ487" s="320"/>
      <c r="AK487" s="322">
        <f t="shared" si="244"/>
        <v>486</v>
      </c>
      <c r="AL487" s="323">
        <f t="shared" si="282"/>
        <v>488</v>
      </c>
      <c r="AM487" s="322">
        <f t="shared" si="283"/>
        <v>2</v>
      </c>
      <c r="AN487" s="381">
        <f t="shared" si="245"/>
        <v>2</v>
      </c>
      <c r="AO487" s="322"/>
    </row>
    <row r="488" spans="2:41" ht="13.8" thickBot="1">
      <c r="B488" s="501" t="s">
        <v>4421</v>
      </c>
      <c r="C488" s="950" t="s">
        <v>4423</v>
      </c>
      <c r="D488" s="326" t="s">
        <v>1232</v>
      </c>
      <c r="E488" s="327">
        <f>+SUMIF('AUX-NIV2'!I:I,'AUX-NIV3'!B488,'AUX-NIV2'!Q:Q)</f>
        <v>0</v>
      </c>
      <c r="F488" s="327">
        <f t="shared" si="232"/>
        <v>969.39638208943052</v>
      </c>
      <c r="G488" s="327">
        <f t="shared" si="233"/>
        <v>0</v>
      </c>
      <c r="H488" s="328" t="str">
        <f t="shared" si="270"/>
        <v>M</v>
      </c>
      <c r="I488" s="324" t="s">
        <v>621</v>
      </c>
      <c r="J488" s="329" t="str">
        <f>IF(B488&lt;&gt;"",+VLOOKUP(I488,Recursos!C:F,2,FALSE),"")</f>
        <v>MATERIALES VARIOS</v>
      </c>
      <c r="K488" s="330" t="str">
        <f>IF(B488&lt;&gt;"",+VLOOKUP(I488,Recursos!C:F,3,FALSE),"")</f>
        <v>GL</v>
      </c>
      <c r="L488" s="446">
        <f>IF(B488&lt;&gt;"",+VLOOKUP(I488,Recursos!C:F,4,FALSE),"")</f>
        <v>0.5</v>
      </c>
      <c r="M488" s="1644"/>
      <c r="N488" s="1645">
        <v>100</v>
      </c>
      <c r="O488" s="459">
        <f>N488</f>
        <v>100</v>
      </c>
      <c r="P488" s="333">
        <f t="shared" si="271"/>
        <v>50</v>
      </c>
      <c r="Q488" s="327">
        <f t="shared" si="272"/>
        <v>0</v>
      </c>
      <c r="R488" s="334">
        <f t="shared" si="273"/>
        <v>0</v>
      </c>
      <c r="S488" s="335">
        <f t="shared" si="237"/>
        <v>919.39638208943052</v>
      </c>
      <c r="T488" s="335">
        <f t="shared" si="238"/>
        <v>0</v>
      </c>
      <c r="U488" s="336">
        <f t="shared" si="239"/>
        <v>50</v>
      </c>
      <c r="V488" s="336">
        <f t="shared" si="240"/>
        <v>0</v>
      </c>
      <c r="W488" s="336">
        <f t="shared" si="241"/>
        <v>0</v>
      </c>
      <c r="X488" s="336">
        <f t="shared" si="242"/>
        <v>0</v>
      </c>
      <c r="Y488" s="320"/>
      <c r="Z488" s="321" t="str">
        <f t="shared" si="274"/>
        <v>X-CLCCNXSA</v>
      </c>
      <c r="AA488" s="321" t="str">
        <f t="shared" si="275"/>
        <v>X-CLCCNXSE</v>
      </c>
      <c r="AB488" s="321" t="str">
        <f t="shared" si="276"/>
        <v>X-CLCCNXSM</v>
      </c>
      <c r="AC488" s="321" t="str">
        <f t="shared" si="277"/>
        <v>X-CLCCNXST</v>
      </c>
      <c r="AD488" s="321" t="str">
        <f t="shared" si="278"/>
        <v>X-CLCCNXSS</v>
      </c>
      <c r="AE488" s="321" t="str">
        <f t="shared" si="279"/>
        <v>X-CLCCNXSX</v>
      </c>
      <c r="AF488" s="321" t="str">
        <f t="shared" si="280"/>
        <v>X-CLCCNXSM</v>
      </c>
      <c r="AG488" s="321">
        <f t="shared" si="243"/>
        <v>3</v>
      </c>
      <c r="AH488" s="321"/>
      <c r="AI488" s="321" t="str">
        <f t="shared" si="281"/>
        <v>X-CLCCNXS</v>
      </c>
      <c r="AJ488" s="320"/>
      <c r="AK488" s="322">
        <f t="shared" si="244"/>
        <v>486</v>
      </c>
      <c r="AL488" s="323">
        <f t="shared" si="282"/>
        <v>488</v>
      </c>
      <c r="AM488" s="322">
        <f t="shared" si="283"/>
        <v>3</v>
      </c>
      <c r="AN488" s="381">
        <f t="shared" si="245"/>
        <v>2</v>
      </c>
      <c r="AO488" s="322"/>
    </row>
    <row r="489" spans="2:41" ht="13.8" thickTop="1"/>
  </sheetData>
  <autoFilter ref="B6:X482"/>
  <phoneticPr fontId="0" type="noConversion"/>
  <pageMargins left="0.75" right="0.75" top="1" bottom="1" header="0.5" footer="0.5"/>
  <pageSetup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B1:AC79"/>
  <sheetViews>
    <sheetView zoomScale="80" workbookViewId="0">
      <pane xSplit="1" ySplit="17" topLeftCell="B18" activePane="bottomRight" state="frozen"/>
      <selection sqref="A1:XFD1048576"/>
      <selection pane="topRight" sqref="A1:XFD1048576"/>
      <selection pane="bottomLeft" sqref="A1:XFD1048576"/>
      <selection pane="bottomRight" activeCell="L10" sqref="L10"/>
    </sheetView>
  </sheetViews>
  <sheetFormatPr baseColWidth="10" defaultColWidth="9.109375" defaultRowHeight="13.2"/>
  <cols>
    <col min="1" max="1" width="0.6640625" customWidth="1"/>
    <col min="5" max="5" width="0.6640625" customWidth="1"/>
    <col min="9" max="9" width="0.6640625" customWidth="1"/>
    <col min="13" max="13" width="0.6640625" customWidth="1"/>
    <col min="17" max="17" width="0.6640625" customWidth="1"/>
    <col min="21" max="21" width="0.6640625" customWidth="1"/>
    <col min="28" max="28" width="37.109375" bestFit="1" customWidth="1"/>
    <col min="30" max="30" width="45.5546875" bestFit="1" customWidth="1"/>
  </cols>
  <sheetData>
    <row r="1" spans="2:20" ht="3" customHeight="1"/>
    <row r="2" spans="2:20" ht="17.399999999999999">
      <c r="B2" s="223" t="s">
        <v>1188</v>
      </c>
      <c r="R2" s="224"/>
      <c r="S2" s="224"/>
      <c r="T2" s="224"/>
    </row>
    <row r="3" spans="2:20" ht="15.6">
      <c r="B3" s="82" t="s">
        <v>1189</v>
      </c>
      <c r="R3" s="224"/>
      <c r="S3" s="224"/>
      <c r="T3" s="224"/>
    </row>
    <row r="4" spans="2:20">
      <c r="R4" s="224"/>
    </row>
    <row r="5" spans="2:20">
      <c r="B5" t="str">
        <f>+obra</f>
        <v>CONSTRUCCIÓN DE SANITARIOS</v>
      </c>
    </row>
    <row r="6" spans="2:20" ht="13.8" thickBot="1"/>
    <row r="7" spans="2:20" ht="12.75" customHeight="1" thickTop="1">
      <c r="J7" s="1729" t="s">
        <v>1198</v>
      </c>
      <c r="K7" s="1730"/>
      <c r="L7" s="1731"/>
    </row>
    <row r="8" spans="2:20" ht="13.8" thickBot="1">
      <c r="J8" s="1732"/>
      <c r="K8" s="1733"/>
      <c r="L8" s="1734"/>
    </row>
    <row r="9" spans="2:20" ht="13.8" thickBot="1">
      <c r="J9" s="1723" t="s">
        <v>373</v>
      </c>
      <c r="K9" s="1724"/>
      <c r="L9" s="226">
        <v>1</v>
      </c>
    </row>
    <row r="10" spans="2:20" ht="14.4" thickTop="1" thickBot="1">
      <c r="J10" s="376"/>
      <c r="K10" s="376"/>
      <c r="L10" s="376"/>
      <c r="M10" s="376"/>
    </row>
    <row r="11" spans="2:20" ht="13.5" customHeight="1" thickTop="1">
      <c r="F11" s="1729" t="s">
        <v>524</v>
      </c>
      <c r="G11" s="1730"/>
      <c r="H11" s="1731"/>
      <c r="J11" s="376"/>
      <c r="K11" s="376"/>
      <c r="L11" s="376"/>
      <c r="M11" s="376"/>
      <c r="N11" s="1729" t="s">
        <v>523</v>
      </c>
      <c r="O11" s="1730"/>
      <c r="P11" s="1731"/>
    </row>
    <row r="12" spans="2:20" ht="13.5" customHeight="1" thickBot="1">
      <c r="F12" s="1732"/>
      <c r="G12" s="1733"/>
      <c r="H12" s="1734"/>
      <c r="J12" s="376"/>
      <c r="K12" s="376"/>
      <c r="L12" s="376"/>
      <c r="M12" s="376"/>
      <c r="N12" s="1732"/>
      <c r="O12" s="1733"/>
      <c r="P12" s="1734"/>
    </row>
    <row r="13" spans="2:20" ht="13.8" thickBot="1">
      <c r="F13" s="1723" t="s">
        <v>373</v>
      </c>
      <c r="G13" s="1724"/>
      <c r="H13" s="226"/>
      <c r="J13" s="376"/>
      <c r="K13" s="376"/>
      <c r="L13" s="376"/>
      <c r="M13" s="376"/>
      <c r="N13" s="1723" t="s">
        <v>373</v>
      </c>
      <c r="O13" s="1724"/>
      <c r="P13" s="226"/>
    </row>
    <row r="14" spans="2:20" ht="14.4" thickTop="1" thickBot="1">
      <c r="J14" s="376"/>
      <c r="K14" s="376"/>
      <c r="L14" s="376"/>
      <c r="M14" s="376"/>
    </row>
    <row r="15" spans="2:20" ht="13.8" thickTop="1">
      <c r="J15" s="1729" t="s">
        <v>529</v>
      </c>
      <c r="K15" s="1730"/>
      <c r="L15" s="1731"/>
      <c r="M15" s="376"/>
    </row>
    <row r="16" spans="2:20" ht="13.8" thickBot="1">
      <c r="J16" s="1732"/>
      <c r="K16" s="1733"/>
      <c r="L16" s="1734"/>
      <c r="M16" s="376"/>
    </row>
    <row r="17" spans="2:24" ht="13.8" thickBot="1">
      <c r="J17" s="1723" t="s">
        <v>373</v>
      </c>
      <c r="K17" s="1724"/>
      <c r="L17" s="226"/>
      <c r="M17" s="376"/>
    </row>
    <row r="18" spans="2:24" ht="13.8" thickTop="1">
      <c r="J18" s="376"/>
      <c r="K18" s="376"/>
      <c r="L18" s="376"/>
      <c r="M18" s="376"/>
    </row>
    <row r="20" spans="2:24" ht="13.8" thickBot="1"/>
    <row r="21" spans="2:24" ht="13.8" thickTop="1">
      <c r="B21" s="1729" t="s">
        <v>518</v>
      </c>
      <c r="C21" s="1730"/>
      <c r="D21" s="1731"/>
      <c r="F21" s="1735" t="s">
        <v>1190</v>
      </c>
      <c r="G21" s="1736"/>
      <c r="H21" s="1737"/>
      <c r="J21" s="1735" t="s">
        <v>1191</v>
      </c>
      <c r="K21" s="1736"/>
      <c r="L21" s="1737"/>
      <c r="N21" s="1729" t="s">
        <v>519</v>
      </c>
      <c r="O21" s="1730"/>
      <c r="P21" s="1731"/>
      <c r="R21" s="1729" t="s">
        <v>1192</v>
      </c>
      <c r="S21" s="1730"/>
      <c r="T21" s="1731"/>
      <c r="V21" s="1735" t="s">
        <v>520</v>
      </c>
      <c r="W21" s="1736"/>
      <c r="X21" s="1737"/>
    </row>
    <row r="22" spans="2:24" ht="13.8" thickBot="1">
      <c r="B22" s="1732"/>
      <c r="C22" s="1733"/>
      <c r="D22" s="1734"/>
      <c r="F22" s="1738"/>
      <c r="G22" s="1739"/>
      <c r="H22" s="1740"/>
      <c r="J22" s="1738"/>
      <c r="K22" s="1739"/>
      <c r="L22" s="1740"/>
      <c r="N22" s="1732"/>
      <c r="O22" s="1733"/>
      <c r="P22" s="1734"/>
      <c r="R22" s="1732"/>
      <c r="S22" s="1733"/>
      <c r="T22" s="1734"/>
      <c r="V22" s="1738"/>
      <c r="W22" s="1739"/>
      <c r="X22" s="1740"/>
    </row>
    <row r="23" spans="2:24" ht="13.8" thickBot="1">
      <c r="B23" s="1723" t="s">
        <v>373</v>
      </c>
      <c r="C23" s="1724"/>
      <c r="D23" s="226"/>
      <c r="F23" s="1723" t="s">
        <v>373</v>
      </c>
      <c r="G23" s="1724"/>
      <c r="H23" s="226"/>
      <c r="J23" s="1723" t="s">
        <v>373</v>
      </c>
      <c r="K23" s="1724"/>
      <c r="L23" s="226"/>
      <c r="N23" s="1723" t="s">
        <v>373</v>
      </c>
      <c r="O23" s="1724"/>
      <c r="P23" s="226"/>
      <c r="R23" s="1723" t="s">
        <v>373</v>
      </c>
      <c r="S23" s="1724"/>
      <c r="T23" s="226"/>
      <c r="V23" s="1723" t="s">
        <v>373</v>
      </c>
      <c r="W23" s="1724"/>
      <c r="X23" s="226"/>
    </row>
    <row r="24" spans="2:24" ht="14.4" thickTop="1" thickBot="1"/>
    <row r="25" spans="2:24" ht="13.5" customHeight="1" thickTop="1">
      <c r="C25" s="1719" t="s">
        <v>521</v>
      </c>
      <c r="D25" s="1720"/>
      <c r="G25" s="1719" t="s">
        <v>1193</v>
      </c>
      <c r="H25" s="1720"/>
      <c r="K25" s="1719" t="s">
        <v>537</v>
      </c>
      <c r="L25" s="1720"/>
      <c r="O25" s="1719" t="s">
        <v>565</v>
      </c>
      <c r="P25" s="1720"/>
      <c r="S25" s="1719" t="s">
        <v>1194</v>
      </c>
      <c r="T25" s="1720"/>
      <c r="W25" s="1719" t="s">
        <v>539</v>
      </c>
      <c r="X25" s="1720"/>
    </row>
    <row r="26" spans="2:24" ht="13.8" thickBot="1">
      <c r="C26" s="1721"/>
      <c r="D26" s="1722"/>
      <c r="G26" s="1721"/>
      <c r="H26" s="1722"/>
      <c r="K26" s="1721"/>
      <c r="L26" s="1722"/>
      <c r="O26" s="1721"/>
      <c r="P26" s="1722"/>
      <c r="S26" s="1721"/>
      <c r="T26" s="1722"/>
      <c r="W26" s="1721"/>
      <c r="X26" s="1722"/>
    </row>
    <row r="27" spans="2:24" ht="13.5" customHeight="1" thickBot="1">
      <c r="C27" s="225" t="s">
        <v>1199</v>
      </c>
      <c r="D27" s="226"/>
      <c r="G27" s="225" t="s">
        <v>1199</v>
      </c>
      <c r="H27" s="226"/>
      <c r="K27" s="225" t="s">
        <v>1199</v>
      </c>
      <c r="L27" s="226"/>
      <c r="O27" s="225" t="s">
        <v>1199</v>
      </c>
      <c r="P27" s="1488">
        <v>0.25</v>
      </c>
      <c r="S27" s="225" t="s">
        <v>1199</v>
      </c>
      <c r="T27" s="226"/>
      <c r="W27" s="225" t="s">
        <v>1199</v>
      </c>
      <c r="X27" s="226"/>
    </row>
    <row r="28" spans="2:24" ht="14.4" thickTop="1" thickBot="1"/>
    <row r="29" spans="2:24" ht="13.5" customHeight="1" thickTop="1">
      <c r="C29" s="1719" t="s">
        <v>522</v>
      </c>
      <c r="D29" s="1720"/>
      <c r="G29" s="1719" t="s">
        <v>530</v>
      </c>
      <c r="H29" s="1720"/>
      <c r="K29" s="1719" t="s">
        <v>538</v>
      </c>
      <c r="L29" s="1720"/>
      <c r="O29" s="1719" t="s">
        <v>566</v>
      </c>
      <c r="P29" s="1720"/>
      <c r="S29" s="1719" t="s">
        <v>1195</v>
      </c>
      <c r="T29" s="1720"/>
      <c r="W29" s="1719" t="s">
        <v>540</v>
      </c>
      <c r="X29" s="1720"/>
    </row>
    <row r="30" spans="2:24" ht="13.8" thickBot="1">
      <c r="C30" s="1721"/>
      <c r="D30" s="1722"/>
      <c r="G30" s="1721"/>
      <c r="H30" s="1722"/>
      <c r="K30" s="1721"/>
      <c r="L30" s="1722"/>
      <c r="O30" s="1721"/>
      <c r="P30" s="1722"/>
      <c r="S30" s="1721"/>
      <c r="T30" s="1722"/>
      <c r="W30" s="1721"/>
      <c r="X30" s="1722"/>
    </row>
    <row r="31" spans="2:24" ht="13.5" customHeight="1" thickBot="1">
      <c r="C31" s="225" t="s">
        <v>1199</v>
      </c>
      <c r="D31" s="226"/>
      <c r="G31" s="225" t="s">
        <v>1199</v>
      </c>
      <c r="H31" s="226"/>
      <c r="K31" s="225" t="s">
        <v>1199</v>
      </c>
      <c r="L31" s="226"/>
      <c r="O31" s="225" t="s">
        <v>1199</v>
      </c>
      <c r="P31" s="226"/>
      <c r="S31" s="225" t="s">
        <v>1199</v>
      </c>
      <c r="T31" s="226"/>
      <c r="W31" s="225" t="s">
        <v>1199</v>
      </c>
      <c r="X31" s="226"/>
    </row>
    <row r="32" spans="2:24" ht="14.4" thickTop="1" thickBot="1"/>
    <row r="33" spans="3:24" ht="13.5" customHeight="1" thickTop="1">
      <c r="C33" s="1719" t="s">
        <v>525</v>
      </c>
      <c r="D33" s="1720"/>
      <c r="G33" s="1725" t="s">
        <v>531</v>
      </c>
      <c r="H33" s="1726"/>
      <c r="K33" s="1719" t="s">
        <v>543</v>
      </c>
      <c r="L33" s="1720"/>
      <c r="O33" s="1719" t="s">
        <v>567</v>
      </c>
      <c r="P33" s="1720"/>
      <c r="S33" s="1719" t="s">
        <v>1196</v>
      </c>
      <c r="T33" s="1720"/>
      <c r="W33" s="1719" t="s">
        <v>541</v>
      </c>
      <c r="X33" s="1720"/>
    </row>
    <row r="34" spans="3:24" ht="13.8" thickBot="1">
      <c r="C34" s="1721"/>
      <c r="D34" s="1722"/>
      <c r="G34" s="1727"/>
      <c r="H34" s="1728"/>
      <c r="K34" s="1721"/>
      <c r="L34" s="1722"/>
      <c r="O34" s="1721"/>
      <c r="P34" s="1722"/>
      <c r="S34" s="1721"/>
      <c r="T34" s="1722"/>
      <c r="W34" s="1721"/>
      <c r="X34" s="1722"/>
    </row>
    <row r="35" spans="3:24" ht="13.5" customHeight="1" thickBot="1">
      <c r="C35" s="225" t="s">
        <v>1199</v>
      </c>
      <c r="D35" s="1488">
        <v>0.25</v>
      </c>
      <c r="G35" s="225" t="s">
        <v>1199</v>
      </c>
      <c r="H35" s="226"/>
      <c r="K35" s="225" t="s">
        <v>1199</v>
      </c>
      <c r="L35" s="226"/>
      <c r="O35" s="225" t="s">
        <v>1199</v>
      </c>
      <c r="P35" s="226"/>
      <c r="S35" s="225" t="s">
        <v>1199</v>
      </c>
      <c r="T35" s="226"/>
      <c r="W35" s="225" t="s">
        <v>1199</v>
      </c>
      <c r="X35" s="226"/>
    </row>
    <row r="36" spans="3:24" ht="14.4" thickTop="1" thickBot="1"/>
    <row r="37" spans="3:24" ht="13.5" customHeight="1" thickTop="1">
      <c r="C37" s="1719" t="s">
        <v>526</v>
      </c>
      <c r="D37" s="1720"/>
      <c r="G37" s="1719" t="s">
        <v>1197</v>
      </c>
      <c r="H37" s="1720"/>
      <c r="K37" s="1719" t="s">
        <v>545</v>
      </c>
      <c r="L37" s="1720"/>
      <c r="O37" s="1719" t="s">
        <v>568</v>
      </c>
      <c r="P37" s="1720"/>
      <c r="S37" s="1719" t="s">
        <v>559</v>
      </c>
      <c r="T37" s="1720"/>
      <c r="W37" s="1719" t="s">
        <v>542</v>
      </c>
      <c r="X37" s="1720"/>
    </row>
    <row r="38" spans="3:24" ht="13.8" thickBot="1">
      <c r="C38" s="1721"/>
      <c r="D38" s="1722"/>
      <c r="G38" s="1721"/>
      <c r="H38" s="1722"/>
      <c r="K38" s="1721"/>
      <c r="L38" s="1722"/>
      <c r="O38" s="1721"/>
      <c r="P38" s="1722"/>
      <c r="S38" s="1721"/>
      <c r="T38" s="1722"/>
      <c r="W38" s="1721"/>
      <c r="X38" s="1722"/>
    </row>
    <row r="39" spans="3:24" ht="13.5" customHeight="1" thickBot="1">
      <c r="C39" s="225" t="s">
        <v>1199</v>
      </c>
      <c r="D39" s="226"/>
      <c r="G39" s="225" t="s">
        <v>1199</v>
      </c>
      <c r="H39" s="226"/>
      <c r="K39" s="225" t="s">
        <v>1199</v>
      </c>
      <c r="L39" s="226"/>
      <c r="O39" s="225" t="s">
        <v>1199</v>
      </c>
      <c r="P39" s="226"/>
      <c r="S39" s="225" t="s">
        <v>1199</v>
      </c>
      <c r="T39" s="226"/>
      <c r="W39" s="225" t="s">
        <v>1199</v>
      </c>
      <c r="X39" s="226"/>
    </row>
    <row r="40" spans="3:24" ht="14.4" thickTop="1" thickBot="1"/>
    <row r="41" spans="3:24" ht="13.8" thickTop="1">
      <c r="C41" s="1719" t="s">
        <v>527</v>
      </c>
      <c r="D41" s="1720"/>
      <c r="G41" s="1719" t="s">
        <v>536</v>
      </c>
      <c r="H41" s="1720"/>
      <c r="K41" s="1719" t="s">
        <v>557</v>
      </c>
      <c r="L41" s="1720"/>
      <c r="O41" s="1719" t="s">
        <v>570</v>
      </c>
      <c r="P41" s="1720"/>
      <c r="S41" s="1719" t="s">
        <v>560</v>
      </c>
      <c r="T41" s="1720"/>
      <c r="W41" s="1719" t="s">
        <v>1231</v>
      </c>
      <c r="X41" s="1720"/>
    </row>
    <row r="42" spans="3:24" ht="13.8" thickBot="1">
      <c r="C42" s="1721"/>
      <c r="D42" s="1722"/>
      <c r="G42" s="1721"/>
      <c r="H42" s="1722"/>
      <c r="K42" s="1721"/>
      <c r="L42" s="1722"/>
      <c r="O42" s="1721"/>
      <c r="P42" s="1722"/>
      <c r="S42" s="1721"/>
      <c r="T42" s="1722"/>
      <c r="W42" s="1721"/>
      <c r="X42" s="1722"/>
    </row>
    <row r="43" spans="3:24" ht="13.8" thickBot="1">
      <c r="C43" s="225" t="s">
        <v>1199</v>
      </c>
      <c r="D43" s="226"/>
      <c r="G43" s="225" t="s">
        <v>1199</v>
      </c>
      <c r="H43" s="226"/>
      <c r="K43" s="225" t="s">
        <v>1199</v>
      </c>
      <c r="L43" s="226"/>
      <c r="O43" s="225" t="s">
        <v>1199</v>
      </c>
      <c r="P43" s="226"/>
      <c r="S43" s="225" t="s">
        <v>1199</v>
      </c>
      <c r="T43" s="226"/>
      <c r="W43" s="225" t="s">
        <v>1199</v>
      </c>
      <c r="X43" s="226"/>
    </row>
    <row r="44" spans="3:24" ht="14.4" thickTop="1" thickBot="1"/>
    <row r="45" spans="3:24" ht="13.8" thickTop="1">
      <c r="C45" s="1719" t="s">
        <v>528</v>
      </c>
      <c r="D45" s="1720"/>
      <c r="G45" s="1719" t="s">
        <v>532</v>
      </c>
      <c r="H45" s="1720"/>
      <c r="K45" s="1719" t="s">
        <v>558</v>
      </c>
      <c r="L45" s="1720"/>
      <c r="O45" s="1719" t="s">
        <v>569</v>
      </c>
      <c r="P45" s="1720"/>
      <c r="S45" s="1719" t="s">
        <v>564</v>
      </c>
      <c r="T45" s="1720"/>
    </row>
    <row r="46" spans="3:24" ht="13.8" thickBot="1">
      <c r="C46" s="1721"/>
      <c r="D46" s="1722"/>
      <c r="G46" s="1721"/>
      <c r="H46" s="1722"/>
      <c r="K46" s="1721"/>
      <c r="L46" s="1722"/>
      <c r="O46" s="1721"/>
      <c r="P46" s="1722"/>
      <c r="S46" s="1721"/>
      <c r="T46" s="1722"/>
    </row>
    <row r="47" spans="3:24" ht="13.8" thickBot="1">
      <c r="C47" s="225" t="s">
        <v>1199</v>
      </c>
      <c r="D47" s="226"/>
      <c r="G47" s="225" t="s">
        <v>1199</v>
      </c>
      <c r="H47" s="226"/>
      <c r="K47" s="225" t="s">
        <v>1199</v>
      </c>
      <c r="L47" s="226"/>
      <c r="O47" s="225" t="s">
        <v>1199</v>
      </c>
      <c r="P47" s="226"/>
      <c r="S47" s="225" t="s">
        <v>1199</v>
      </c>
      <c r="T47" s="226"/>
    </row>
    <row r="48" spans="3:24" ht="14.4" thickTop="1" thickBot="1"/>
    <row r="49" spans="2:24" ht="13.8" thickTop="1">
      <c r="C49" s="1719" t="s">
        <v>573</v>
      </c>
      <c r="D49" s="1720"/>
      <c r="G49" s="1719" t="s">
        <v>533</v>
      </c>
      <c r="H49" s="1720"/>
      <c r="K49" s="1719" t="s">
        <v>3179</v>
      </c>
      <c r="L49" s="1720"/>
      <c r="O49" s="1719" t="s">
        <v>571</v>
      </c>
      <c r="P49" s="1720"/>
      <c r="S49" s="1719" t="s">
        <v>561</v>
      </c>
      <c r="T49" s="1720"/>
    </row>
    <row r="50" spans="2:24" ht="13.8" thickBot="1">
      <c r="C50" s="1721"/>
      <c r="D50" s="1722"/>
      <c r="G50" s="1721"/>
      <c r="H50" s="1722"/>
      <c r="K50" s="1721"/>
      <c r="L50" s="1722"/>
      <c r="O50" s="1721"/>
      <c r="P50" s="1722"/>
      <c r="S50" s="1721"/>
      <c r="T50" s="1722"/>
    </row>
    <row r="51" spans="2:24" ht="13.8" thickBot="1">
      <c r="C51" s="225" t="s">
        <v>1199</v>
      </c>
      <c r="D51" s="226"/>
      <c r="G51" s="225" t="s">
        <v>1199</v>
      </c>
      <c r="H51" s="226"/>
      <c r="K51" s="225" t="s">
        <v>1199</v>
      </c>
      <c r="L51" s="226"/>
      <c r="O51" s="225" t="s">
        <v>1199</v>
      </c>
      <c r="P51" s="226"/>
      <c r="S51" s="225" t="s">
        <v>1199</v>
      </c>
      <c r="T51" s="378"/>
    </row>
    <row r="52" spans="2:24" ht="14.4" thickTop="1" thickBot="1"/>
    <row r="53" spans="2:24" ht="13.8" thickTop="1">
      <c r="C53" s="1719" t="s">
        <v>1200</v>
      </c>
      <c r="D53" s="1720"/>
      <c r="G53" s="1719" t="s">
        <v>534</v>
      </c>
      <c r="H53" s="1720"/>
      <c r="K53" s="1719" t="s">
        <v>544</v>
      </c>
      <c r="L53" s="1720"/>
      <c r="O53" s="1719" t="s">
        <v>572</v>
      </c>
      <c r="P53" s="1720"/>
      <c r="S53" s="1719" t="s">
        <v>562</v>
      </c>
      <c r="T53" s="1720"/>
    </row>
    <row r="54" spans="2:24" ht="13.8" thickBot="1">
      <c r="C54" s="1721"/>
      <c r="D54" s="1722"/>
      <c r="G54" s="1721"/>
      <c r="H54" s="1722"/>
      <c r="K54" s="1721"/>
      <c r="L54" s="1722"/>
      <c r="O54" s="1721"/>
      <c r="P54" s="1722"/>
      <c r="S54" s="1721"/>
      <c r="T54" s="1722"/>
    </row>
    <row r="55" spans="2:24" ht="13.8" thickBot="1">
      <c r="C55" s="225" t="s">
        <v>1199</v>
      </c>
      <c r="D55" s="226"/>
      <c r="G55" s="225" t="s">
        <v>1199</v>
      </c>
      <c r="H55" s="226"/>
      <c r="K55" s="225" t="s">
        <v>1199</v>
      </c>
      <c r="L55" s="226"/>
      <c r="O55" s="225" t="s">
        <v>1199</v>
      </c>
      <c r="P55" s="226"/>
      <c r="S55" s="225" t="s">
        <v>1199</v>
      </c>
      <c r="T55" s="378"/>
    </row>
    <row r="56" spans="2:24" ht="14.4" thickTop="1" thickBot="1"/>
    <row r="57" spans="2:24" ht="13.8" thickTop="1">
      <c r="C57" s="1719" t="s">
        <v>1200</v>
      </c>
      <c r="D57" s="1720"/>
      <c r="G57" s="1719" t="s">
        <v>535</v>
      </c>
      <c r="H57" s="1720"/>
      <c r="K57" s="1719" t="s">
        <v>398</v>
      </c>
      <c r="L57" s="1720"/>
      <c r="O57" s="1719" t="s">
        <v>1231</v>
      </c>
      <c r="P57" s="1720"/>
      <c r="S57" s="1719" t="s">
        <v>563</v>
      </c>
      <c r="T57" s="1720"/>
    </row>
    <row r="58" spans="2:24" ht="13.8" thickBot="1">
      <c r="C58" s="1721"/>
      <c r="D58" s="1722"/>
      <c r="G58" s="1721"/>
      <c r="H58" s="1722"/>
      <c r="K58" s="1721"/>
      <c r="L58" s="1722"/>
      <c r="O58" s="1721"/>
      <c r="P58" s="1722"/>
      <c r="S58" s="1721"/>
      <c r="T58" s="1722"/>
    </row>
    <row r="59" spans="2:24" ht="13.8" thickBot="1">
      <c r="C59" s="225" t="s">
        <v>1199</v>
      </c>
      <c r="D59" s="226"/>
      <c r="G59" s="225" t="s">
        <v>1199</v>
      </c>
      <c r="H59" s="226"/>
      <c r="K59" s="225" t="s">
        <v>1199</v>
      </c>
      <c r="L59" s="226"/>
      <c r="O59" s="225" t="s">
        <v>1199</v>
      </c>
      <c r="P59" s="226"/>
      <c r="S59" s="225" t="s">
        <v>1199</v>
      </c>
      <c r="T59" s="226"/>
    </row>
    <row r="60" spans="2:24" ht="13.8" thickTop="1"/>
    <row r="61" spans="2:24" ht="13.8" thickBot="1">
      <c r="B61" s="148" t="s">
        <v>1201</v>
      </c>
    </row>
    <row r="62" spans="2:24" ht="13.8" thickBot="1">
      <c r="B62" t="s">
        <v>1202</v>
      </c>
      <c r="D62" s="227"/>
      <c r="F62" t="s">
        <v>1202</v>
      </c>
      <c r="H62" s="227"/>
      <c r="J62" t="s">
        <v>1202</v>
      </c>
      <c r="L62" s="227">
        <v>0</v>
      </c>
      <c r="N62" t="s">
        <v>1202</v>
      </c>
      <c r="P62" s="227"/>
      <c r="R62" t="s">
        <v>1202</v>
      </c>
      <c r="T62" s="227"/>
      <c r="V62" t="s">
        <v>1202</v>
      </c>
      <c r="X62" s="227"/>
    </row>
    <row r="63" spans="2:24" ht="13.8" thickBot="1">
      <c r="B63" t="s">
        <v>1203</v>
      </c>
      <c r="D63" s="228"/>
      <c r="F63" t="s">
        <v>1203</v>
      </c>
      <c r="H63" s="228"/>
      <c r="J63" t="s">
        <v>1203</v>
      </c>
      <c r="L63" s="228"/>
      <c r="N63" t="s">
        <v>1203</v>
      </c>
      <c r="P63" s="228"/>
      <c r="R63" t="s">
        <v>1203</v>
      </c>
      <c r="T63" s="228"/>
      <c r="V63" t="s">
        <v>1203</v>
      </c>
      <c r="X63" s="228"/>
    </row>
    <row r="64" spans="2:24" ht="13.8" thickBot="1">
      <c r="B64" t="s">
        <v>1204</v>
      </c>
      <c r="D64" s="228"/>
      <c r="F64" t="s">
        <v>1204</v>
      </c>
      <c r="H64" s="228"/>
      <c r="J64" t="s">
        <v>1204</v>
      </c>
      <c r="L64" s="228"/>
      <c r="N64" t="s">
        <v>1204</v>
      </c>
      <c r="P64" s="228"/>
      <c r="R64" t="s">
        <v>1204</v>
      </c>
      <c r="T64" s="228"/>
      <c r="V64" t="s">
        <v>1204</v>
      </c>
      <c r="X64" s="228"/>
    </row>
    <row r="65" spans="2:29" ht="13.8" thickBot="1">
      <c r="B65" s="898" t="s">
        <v>1205</v>
      </c>
      <c r="D65" s="229">
        <f>(D23)*10</f>
        <v>0</v>
      </c>
      <c r="F65" t="s">
        <v>1205</v>
      </c>
      <c r="H65" s="229">
        <f>(H23+H39+H55)*10</f>
        <v>0</v>
      </c>
      <c r="J65" t="s">
        <v>1205</v>
      </c>
      <c r="L65" s="229">
        <f>(L23+L9)*10</f>
        <v>10</v>
      </c>
      <c r="N65" t="s">
        <v>1205</v>
      </c>
      <c r="P65" s="229">
        <f>(P23+P27+P31+P43+P51+P55)*10</f>
        <v>2.5</v>
      </c>
      <c r="R65" t="s">
        <v>1205</v>
      </c>
      <c r="T65" s="229">
        <f>(T27)*10</f>
        <v>0</v>
      </c>
      <c r="V65" t="s">
        <v>1205</v>
      </c>
      <c r="X65" s="229">
        <f>(X23+X27+X31+X39+X43)*10</f>
        <v>0</v>
      </c>
    </row>
    <row r="66" spans="2:29" ht="13.8" thickBot="1">
      <c r="B66" t="s">
        <v>902</v>
      </c>
      <c r="D66" s="229"/>
      <c r="F66" t="s">
        <v>903</v>
      </c>
      <c r="H66" s="229">
        <v>1</v>
      </c>
      <c r="L66" s="229"/>
      <c r="P66" s="229"/>
      <c r="R66" t="s">
        <v>915</v>
      </c>
      <c r="T66" s="229">
        <v>1</v>
      </c>
      <c r="V66" t="s">
        <v>901</v>
      </c>
      <c r="X66" s="229">
        <v>1</v>
      </c>
    </row>
    <row r="68" spans="2:29">
      <c r="B68" s="148" t="s">
        <v>904</v>
      </c>
      <c r="J68" s="148" t="s">
        <v>911</v>
      </c>
      <c r="R68" s="148" t="s">
        <v>916</v>
      </c>
    </row>
    <row r="69" spans="2:29">
      <c r="C69" s="386" t="s">
        <v>905</v>
      </c>
      <c r="D69" s="387">
        <v>50</v>
      </c>
      <c r="F69" t="s">
        <v>501</v>
      </c>
      <c r="K69" s="386" t="s">
        <v>912</v>
      </c>
      <c r="L69" s="387"/>
      <c r="N69" t="s">
        <v>501</v>
      </c>
      <c r="S69" s="386" t="s">
        <v>900</v>
      </c>
      <c r="T69" s="387">
        <f>X65+T65+P65+L65+H65+D65</f>
        <v>12.5</v>
      </c>
      <c r="U69" t="s">
        <v>501</v>
      </c>
    </row>
    <row r="70" spans="2:29">
      <c r="C70" s="386" t="s">
        <v>906</v>
      </c>
      <c r="D70" s="387">
        <v>50</v>
      </c>
      <c r="F70" t="s">
        <v>501</v>
      </c>
      <c r="K70" s="386" t="s">
        <v>913</v>
      </c>
      <c r="L70" s="387"/>
      <c r="N70" t="s">
        <v>501</v>
      </c>
      <c r="S70" s="386" t="s">
        <v>917</v>
      </c>
      <c r="T70" s="388" t="s">
        <v>918</v>
      </c>
    </row>
    <row r="71" spans="2:29">
      <c r="C71" s="386" t="s">
        <v>907</v>
      </c>
      <c r="D71" s="387"/>
      <c r="F71" t="s">
        <v>501</v>
      </c>
      <c r="K71" s="386" t="s">
        <v>914</v>
      </c>
      <c r="L71" s="387"/>
      <c r="N71" t="s">
        <v>501</v>
      </c>
    </row>
    <row r="72" spans="2:29">
      <c r="C72" s="386" t="s">
        <v>910</v>
      </c>
      <c r="D72" s="387"/>
      <c r="F72" t="s">
        <v>501</v>
      </c>
    </row>
    <row r="73" spans="2:29">
      <c r="C73" s="386" t="s">
        <v>908</v>
      </c>
      <c r="D73" s="387"/>
      <c r="F73" t="s">
        <v>501</v>
      </c>
    </row>
    <row r="74" spans="2:29">
      <c r="C74" s="386" t="s">
        <v>909</v>
      </c>
      <c r="D74" s="387"/>
      <c r="F74" t="s">
        <v>501</v>
      </c>
      <c r="J74" s="148" t="s">
        <v>922</v>
      </c>
      <c r="AC74">
        <v>2</v>
      </c>
    </row>
    <row r="75" spans="2:29">
      <c r="C75" s="386" t="s">
        <v>1200</v>
      </c>
      <c r="D75" s="387"/>
      <c r="F75" t="s">
        <v>501</v>
      </c>
      <c r="K75" s="386" t="s">
        <v>923</v>
      </c>
      <c r="L75" s="387">
        <v>2</v>
      </c>
    </row>
    <row r="76" spans="2:29">
      <c r="K76" s="386" t="s">
        <v>924</v>
      </c>
      <c r="L76" s="387">
        <v>4</v>
      </c>
    </row>
    <row r="77" spans="2:29">
      <c r="B77" s="148" t="s">
        <v>919</v>
      </c>
    </row>
    <row r="78" spans="2:29">
      <c r="C78" s="386" t="s">
        <v>920</v>
      </c>
      <c r="D78" s="387"/>
      <c r="F78" t="s">
        <v>185</v>
      </c>
    </row>
    <row r="79" spans="2:29">
      <c r="C79" s="386" t="s">
        <v>921</v>
      </c>
      <c r="D79" s="387"/>
      <c r="F79" t="s">
        <v>185</v>
      </c>
    </row>
  </sheetData>
  <mergeCells count="70">
    <mergeCell ref="O57:P58"/>
    <mergeCell ref="S49:T50"/>
    <mergeCell ref="S45:T46"/>
    <mergeCell ref="C53:D54"/>
    <mergeCell ref="C57:D58"/>
    <mergeCell ref="S53:T54"/>
    <mergeCell ref="S57:T58"/>
    <mergeCell ref="K53:L54"/>
    <mergeCell ref="K57:L58"/>
    <mergeCell ref="G53:H54"/>
    <mergeCell ref="G57:H58"/>
    <mergeCell ref="O49:P50"/>
    <mergeCell ref="O53:P54"/>
    <mergeCell ref="O41:P42"/>
    <mergeCell ref="O45:P46"/>
    <mergeCell ref="S37:T38"/>
    <mergeCell ref="S41:T42"/>
    <mergeCell ref="W37:X38"/>
    <mergeCell ref="W41:X42"/>
    <mergeCell ref="O37:P38"/>
    <mergeCell ref="C37:D38"/>
    <mergeCell ref="C41:D42"/>
    <mergeCell ref="C45:D46"/>
    <mergeCell ref="C49:D50"/>
    <mergeCell ref="G45:H46"/>
    <mergeCell ref="G49:H50"/>
    <mergeCell ref="G37:H38"/>
    <mergeCell ref="J23:K23"/>
    <mergeCell ref="K49:L50"/>
    <mergeCell ref="G41:H42"/>
    <mergeCell ref="K37:L38"/>
    <mergeCell ref="K41:L42"/>
    <mergeCell ref="K45:L46"/>
    <mergeCell ref="W33:X34"/>
    <mergeCell ref="N11:P12"/>
    <mergeCell ref="N13:O13"/>
    <mergeCell ref="F11:H12"/>
    <mergeCell ref="F13:G13"/>
    <mergeCell ref="V21:X22"/>
    <mergeCell ref="V23:W23"/>
    <mergeCell ref="W25:X26"/>
    <mergeCell ref="W29:X30"/>
    <mergeCell ref="S25:T26"/>
    <mergeCell ref="K25:L26"/>
    <mergeCell ref="K29:L30"/>
    <mergeCell ref="G25:H26"/>
    <mergeCell ref="K33:L34"/>
    <mergeCell ref="N21:P22"/>
    <mergeCell ref="N23:O23"/>
    <mergeCell ref="J7:L8"/>
    <mergeCell ref="B21:D22"/>
    <mergeCell ref="F21:H22"/>
    <mergeCell ref="J21:L22"/>
    <mergeCell ref="J9:K9"/>
    <mergeCell ref="J15:L16"/>
    <mergeCell ref="J17:K17"/>
    <mergeCell ref="R23:S23"/>
    <mergeCell ref="R21:T22"/>
    <mergeCell ref="S33:T34"/>
    <mergeCell ref="O29:P30"/>
    <mergeCell ref="O33:P34"/>
    <mergeCell ref="S29:T30"/>
    <mergeCell ref="O25:P26"/>
    <mergeCell ref="C25:D26"/>
    <mergeCell ref="C29:D30"/>
    <mergeCell ref="B23:C23"/>
    <mergeCell ref="F23:G23"/>
    <mergeCell ref="C33:D34"/>
    <mergeCell ref="G33:H34"/>
    <mergeCell ref="G29:H30"/>
  </mergeCells>
  <phoneticPr fontId="0" type="noConversion"/>
  <dataValidations count="1">
    <dataValidation type="list" allowBlank="1" showInputMessage="1" showErrorMessage="1" sqref="T70">
      <formula1>"SI,NO"</formula1>
    </dataValidation>
  </dataValidations>
  <printOptions horizontalCentered="1"/>
  <pageMargins left="0.74803149606299213" right="0.74803149606299213" top="0.98425196850393704" bottom="0.98425196850393704" header="0.51181102362204722" footer="0.51181102362204722"/>
  <pageSetup paperSize="9" scale="58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B1:O141"/>
  <sheetViews>
    <sheetView showGridLines="0" zoomScale="80" zoomScaleNormal="80" workbookViewId="0">
      <selection activeCell="K12" sqref="K9:K12"/>
    </sheetView>
  </sheetViews>
  <sheetFormatPr baseColWidth="10" defaultColWidth="0" defaultRowHeight="11.4" zeroHeight="1" outlineLevelRow="1"/>
  <cols>
    <col min="1" max="1" width="1" style="245" customWidth="1"/>
    <col min="2" max="2" width="5.33203125" style="245" customWidth="1"/>
    <col min="3" max="3" width="11.33203125" style="245" customWidth="1"/>
    <col min="4" max="4" width="35.5546875" style="245" customWidth="1"/>
    <col min="5" max="5" width="5.5546875" style="245" customWidth="1"/>
    <col min="6" max="6" width="13.33203125" style="245" bestFit="1" customWidth="1"/>
    <col min="7" max="10" width="9.109375" style="245" customWidth="1"/>
    <col min="11" max="11" width="10.109375" style="245" customWidth="1"/>
    <col min="12" max="12" width="1.88671875" style="245" customWidth="1"/>
    <col min="13" max="16384" width="0" style="245" hidden="1"/>
  </cols>
  <sheetData>
    <row r="1" spans="2:15" ht="5.25" customHeight="1" thickBot="1"/>
    <row r="2" spans="2:15">
      <c r="B2" s="246" t="s">
        <v>1110</v>
      </c>
      <c r="C2" s="247"/>
      <c r="D2" s="290">
        <f>+licitacion</f>
        <v>0</v>
      </c>
      <c r="E2" s="248"/>
      <c r="F2" s="249"/>
      <c r="G2" s="248"/>
      <c r="H2" s="250"/>
      <c r="I2" s="248"/>
      <c r="J2" s="251"/>
      <c r="K2" s="252"/>
    </row>
    <row r="3" spans="2:15" ht="24.75" customHeight="1">
      <c r="B3" s="407" t="s">
        <v>1111</v>
      </c>
      <c r="C3" s="406"/>
      <c r="D3" s="1741" t="str">
        <f>+obra</f>
        <v>CONSTRUCCIÓN DE SANITARIOS</v>
      </c>
      <c r="E3" s="1741"/>
      <c r="F3" s="1741"/>
      <c r="G3" s="1741"/>
      <c r="H3" s="1741"/>
      <c r="I3" s="1741"/>
      <c r="J3" s="1741"/>
      <c r="K3" s="1742"/>
    </row>
    <row r="4" spans="2:15" ht="12" thickBot="1">
      <c r="B4" s="253" t="s">
        <v>1112</v>
      </c>
      <c r="C4" s="254"/>
      <c r="D4" s="291" t="str">
        <f>+comitente</f>
        <v>MUNICIPALIDAD DE GODOY CRUZ</v>
      </c>
      <c r="E4" s="255"/>
      <c r="F4" s="256"/>
      <c r="G4" s="255"/>
      <c r="H4" s="257"/>
      <c r="I4" s="255"/>
      <c r="J4" s="258"/>
      <c r="K4" s="259"/>
    </row>
    <row r="5" spans="2:15"/>
    <row r="6" spans="2:15" ht="13.2">
      <c r="B6" s="260" t="s">
        <v>1329</v>
      </c>
    </row>
    <row r="7" spans="2:15" ht="12" thickBot="1"/>
    <row r="8" spans="2:15" ht="24.75" customHeight="1" thickBot="1">
      <c r="B8" s="292"/>
      <c r="C8" s="261" t="s">
        <v>369</v>
      </c>
      <c r="D8" s="262" t="s">
        <v>370</v>
      </c>
      <c r="E8" s="293" t="s">
        <v>371</v>
      </c>
      <c r="F8" s="293" t="s">
        <v>189</v>
      </c>
      <c r="G8" s="293" t="s">
        <v>190</v>
      </c>
      <c r="H8" s="293" t="s">
        <v>191</v>
      </c>
      <c r="I8" s="293" t="s">
        <v>192</v>
      </c>
      <c r="J8" s="293" t="s">
        <v>193</v>
      </c>
      <c r="K8" s="294" t="s">
        <v>203</v>
      </c>
      <c r="L8" s="264"/>
      <c r="M8" s="264"/>
      <c r="N8" s="264"/>
      <c r="O8" s="264"/>
    </row>
    <row r="9" spans="2:15">
      <c r="B9" s="295">
        <v>1</v>
      </c>
      <c r="C9" s="266" t="str">
        <f>IF(B9&lt;&gt;0,VLOOKUP(B9,Recursos!B:H,2,FALSE),"")</f>
        <v>A-AD01</v>
      </c>
      <c r="D9" s="267" t="str">
        <f>IF(B9&lt;&gt;0,VLOOKUP(B9,Recursos!B:H,3,FALSE),"")</f>
        <v>AYUDANTE</v>
      </c>
      <c r="E9" s="268" t="str">
        <f>IF(B9&lt;&gt;0,VLOOKUP(B9,Recursos!B:H,4,FALSE),"")</f>
        <v>hh</v>
      </c>
      <c r="F9" s="269">
        <f>IF(B9&lt;&gt;0,SUMIF(Recursos!B:B,Histograma!B9,Recursos!G:G),"")</f>
        <v>70.37870465789473</v>
      </c>
      <c r="G9" s="269">
        <f>+Datos!$N$40</f>
        <v>189.92690936385813</v>
      </c>
      <c r="H9" s="271">
        <f>+IF(B9&lt;&gt;0,F9/G9,"")</f>
        <v>0.37055678362598232</v>
      </c>
      <c r="I9" s="298">
        <v>9</v>
      </c>
      <c r="J9" s="273">
        <f>IF(B9&lt;&gt;0,+H9/I9,"")</f>
        <v>4.1172975958442479E-2</v>
      </c>
      <c r="K9" s="273">
        <v>7</v>
      </c>
    </row>
    <row r="10" spans="2:15">
      <c r="B10" s="295">
        <v>2</v>
      </c>
      <c r="C10" s="274" t="str">
        <f>IF(B10&lt;&gt;0,VLOOKUP(B10,Recursos!B:H,2,FALSE),"")</f>
        <v>A-AD02</v>
      </c>
      <c r="D10" s="275" t="str">
        <f>IF(B10&lt;&gt;0,VLOOKUP(B10,Recursos!B:H,3,FALSE),"")</f>
        <v>MEDIO OFICIAL</v>
      </c>
      <c r="E10" s="276" t="str">
        <f>IF(B10&lt;&gt;0,VLOOKUP(B10,Recursos!B:H,4,FALSE),"")</f>
        <v>hh</v>
      </c>
      <c r="F10" s="269">
        <f>IF(B10&lt;&gt;0,SUMIF(Recursos!B:B,Histograma!B10,Recursos!G:G),"")</f>
        <v>6.3302399999999995E-2</v>
      </c>
      <c r="G10" s="269">
        <f>+Datos!$N$40</f>
        <v>189.92690936385813</v>
      </c>
      <c r="H10" s="278">
        <f t="shared" ref="H10:H17" si="0">+IF(B10&lt;&gt;0,F10/G10,"")</f>
        <v>3.3329874219522281E-4</v>
      </c>
      <c r="I10" s="298">
        <v>9</v>
      </c>
      <c r="J10" s="279">
        <f t="shared" ref="J10:J22" si="1">IF(B10&lt;&gt;0,+H10/I10,"")</f>
        <v>3.7033193577246981E-5</v>
      </c>
      <c r="K10" s="279">
        <v>1</v>
      </c>
    </row>
    <row r="11" spans="2:15">
      <c r="B11" s="295">
        <v>3</v>
      </c>
      <c r="C11" s="274" t="str">
        <f>IF(B11&lt;&gt;0,VLOOKUP(B11,Recursos!B:H,2,FALSE),"")</f>
        <v>A-AD04</v>
      </c>
      <c r="D11" s="275" t="str">
        <f>IF(B11&lt;&gt;0,VLOOKUP(B11,Recursos!B:H,3,FALSE),"")</f>
        <v>OFICIAL ESPECIALIZADO</v>
      </c>
      <c r="E11" s="276" t="str">
        <f>IF(B11&lt;&gt;0,VLOOKUP(B11,Recursos!B:H,4,FALSE),"")</f>
        <v>hh</v>
      </c>
      <c r="F11" s="269">
        <f>IF(B11&lt;&gt;0,SUMIF(Recursos!B:B,Histograma!B11,Recursos!G:G),"")</f>
        <v>3.3306399999999998</v>
      </c>
      <c r="G11" s="269">
        <f>+Datos!$N$40</f>
        <v>189.92690936385813</v>
      </c>
      <c r="H11" s="278">
        <f t="shared" si="0"/>
        <v>1.7536430257069191E-2</v>
      </c>
      <c r="I11" s="298">
        <v>9</v>
      </c>
      <c r="J11" s="279">
        <f t="shared" si="1"/>
        <v>1.9484922507854658E-3</v>
      </c>
      <c r="K11" s="279">
        <v>1</v>
      </c>
    </row>
    <row r="12" spans="2:15">
      <c r="B12" s="295">
        <v>4</v>
      </c>
      <c r="C12" s="274" t="str">
        <f>IF(B12&lt;&gt;0,VLOOKUP(B12,Recursos!B:H,2,FALSE),"")</f>
        <v>A-AD03</v>
      </c>
      <c r="D12" s="275" t="str">
        <f>IF(B12&lt;&gt;0,VLOOKUP(B12,Recursos!B:H,3,FALSE),"")</f>
        <v>OFICIAL</v>
      </c>
      <c r="E12" s="276" t="str">
        <f>IF(B12&lt;&gt;0,VLOOKUP(B12,Recursos!B:H,4,FALSE),"")</f>
        <v>hh</v>
      </c>
      <c r="F12" s="269">
        <f>IF(B12&lt;&gt;0,SUMIF(Recursos!B:B,Histograma!B12,Recursos!G:G),"")</f>
        <v>25.761038024465929</v>
      </c>
      <c r="G12" s="269">
        <f>+Datos!$N$40</f>
        <v>189.92690936385813</v>
      </c>
      <c r="H12" s="278">
        <f t="shared" si="0"/>
        <v>0.1356365883631237</v>
      </c>
      <c r="I12" s="298">
        <v>9</v>
      </c>
      <c r="J12" s="279">
        <f t="shared" si="1"/>
        <v>1.5070732040347078E-2</v>
      </c>
      <c r="K12" s="279">
        <v>8</v>
      </c>
    </row>
    <row r="13" spans="2:15">
      <c r="B13" s="295">
        <v>7</v>
      </c>
      <c r="C13" s="274" t="str">
        <f>IF(B13&lt;&gt;0,VLOOKUP(B13,Recursos!B:H,2,FALSE),"")</f>
        <v>A-J01</v>
      </c>
      <c r="D13" s="405" t="s">
        <v>551</v>
      </c>
      <c r="E13" s="276" t="str">
        <f>IF(B13&lt;&gt;0,VLOOKUP(B13,Recursos!B:H,4,FALSE),"")</f>
        <v>hh</v>
      </c>
      <c r="F13" s="269">
        <f>IF(B13&lt;&gt;0,SUMIF(Recursos!B:B,Histograma!B13,Recursos!G:G),"")</f>
        <v>570</v>
      </c>
      <c r="G13" s="269">
        <f>+Datos!$N$40</f>
        <v>189.92690936385813</v>
      </c>
      <c r="H13" s="278">
        <f t="shared" si="0"/>
        <v>3.0011545068003267</v>
      </c>
      <c r="I13" s="298">
        <v>11</v>
      </c>
      <c r="J13" s="279">
        <f t="shared" si="1"/>
        <v>0.27283222789093881</v>
      </c>
      <c r="K13" s="279">
        <v>4</v>
      </c>
    </row>
    <row r="14" spans="2:15" hidden="1" outlineLevel="1">
      <c r="B14" s="295"/>
      <c r="C14" s="274" t="str">
        <f>IF(B14&lt;&gt;0,VLOOKUP(B14,Recursos!B:H,2,FALSE),"")</f>
        <v/>
      </c>
      <c r="D14" s="275" t="str">
        <f>IF(B14&lt;&gt;0,VLOOKUP(B14,Recursos!B:H,3,FALSE),"")</f>
        <v/>
      </c>
      <c r="E14" s="276" t="str">
        <f>IF(B14&lt;&gt;0,VLOOKUP(B14,Recursos!B:H,4,FALSE),"")</f>
        <v/>
      </c>
      <c r="F14" s="269" t="str">
        <f>IF(B14&lt;&gt;0,SUMIF(Recursos!B:B,Histograma!B14,Recursos!G:G),"")</f>
        <v/>
      </c>
      <c r="G14" s="270">
        <f>+Datos!$N$40</f>
        <v>189.92690936385813</v>
      </c>
      <c r="H14" s="278" t="str">
        <f t="shared" si="0"/>
        <v/>
      </c>
      <c r="I14" s="298">
        <v>6</v>
      </c>
      <c r="J14" s="279" t="str">
        <f t="shared" si="1"/>
        <v/>
      </c>
      <c r="K14" s="279">
        <v>2</v>
      </c>
    </row>
    <row r="15" spans="2:15" hidden="1" outlineLevel="1">
      <c r="B15" s="295"/>
      <c r="C15" s="274" t="str">
        <f>IF(B15&lt;&gt;0,VLOOKUP(B15,Recursos!B:H,2,FALSE),"")</f>
        <v/>
      </c>
      <c r="D15" s="275" t="str">
        <f>IF(B15&lt;&gt;0,VLOOKUP(B15,Recursos!B:H,3,FALSE),"")</f>
        <v/>
      </c>
      <c r="E15" s="276" t="str">
        <f>IF(B15&lt;&gt;0,VLOOKUP(B15,Recursos!B:H,4,FALSE),"")</f>
        <v/>
      </c>
      <c r="F15" s="269" t="str">
        <f>IF(B15&lt;&gt;0,SUMIF(Recursos!B:B,Histograma!B15,Recursos!G:G),"")</f>
        <v/>
      </c>
      <c r="G15" s="270">
        <f>+Datos!$N$40</f>
        <v>189.92690936385813</v>
      </c>
      <c r="H15" s="278" t="str">
        <f t="shared" si="0"/>
        <v/>
      </c>
      <c r="I15" s="298">
        <v>12</v>
      </c>
      <c r="J15" s="279" t="str">
        <f t="shared" si="1"/>
        <v/>
      </c>
      <c r="K15" s="279">
        <v>10</v>
      </c>
    </row>
    <row r="16" spans="2:15" hidden="1" outlineLevel="1">
      <c r="B16" s="295"/>
      <c r="C16" s="274" t="str">
        <f>IF(B16&lt;&gt;0,VLOOKUP(B16,Recursos!B:H,2,FALSE),"")</f>
        <v/>
      </c>
      <c r="D16" s="275" t="str">
        <f>IF(B16&lt;&gt;0,VLOOKUP(B16,Recursos!B:H,3,FALSE),"")</f>
        <v/>
      </c>
      <c r="E16" s="276" t="str">
        <f>IF(B16&lt;&gt;0,VLOOKUP(B16,Recursos!B:H,4,FALSE),"")</f>
        <v/>
      </c>
      <c r="F16" s="277" t="str">
        <f>IF(B16&lt;&gt;0,VLOOKUP(B16,Recursos!B:H,6,FALSE),"")</f>
        <v/>
      </c>
      <c r="G16" s="270"/>
      <c r="H16" s="278" t="str">
        <f t="shared" si="0"/>
        <v/>
      </c>
      <c r="I16" s="298"/>
      <c r="J16" s="279" t="str">
        <f t="shared" si="1"/>
        <v/>
      </c>
      <c r="K16" s="279"/>
    </row>
    <row r="17" spans="2:11" hidden="1" outlineLevel="1">
      <c r="B17" s="295"/>
      <c r="C17" s="274" t="str">
        <f>IF(B17&lt;&gt;0,VLOOKUP(B17,Recursos!B:H,2,FALSE),"")</f>
        <v/>
      </c>
      <c r="D17" s="275" t="str">
        <f>IF(B17&lt;&gt;0,VLOOKUP(B17,Recursos!B:H,3,FALSE),"")</f>
        <v/>
      </c>
      <c r="E17" s="276" t="str">
        <f>IF(B17&lt;&gt;0,VLOOKUP(B17,Recursos!B:H,4,FALSE),"")</f>
        <v/>
      </c>
      <c r="F17" s="277" t="str">
        <f>IF(B17&lt;&gt;0,VLOOKUP(B17,Recursos!B:H,6,FALSE),"")</f>
        <v/>
      </c>
      <c r="G17" s="270"/>
      <c r="H17" s="278" t="str">
        <f t="shared" si="0"/>
        <v/>
      </c>
      <c r="I17" s="298"/>
      <c r="J17" s="279" t="str">
        <f t="shared" si="1"/>
        <v/>
      </c>
      <c r="K17" s="279"/>
    </row>
    <row r="18" spans="2:11" hidden="1" outlineLevel="1">
      <c r="B18" s="295"/>
      <c r="C18" s="274" t="str">
        <f>IF(B18&lt;&gt;0,VLOOKUP(B18,Recursos!B:H,2,FALSE),"")</f>
        <v/>
      </c>
      <c r="D18" s="275" t="str">
        <f>IF(B18&lt;&gt;0,VLOOKUP(B18,Recursos!B:H,3,FALSE),"")</f>
        <v/>
      </c>
      <c r="E18" s="276" t="str">
        <f>IF(B18&lt;&gt;0,VLOOKUP(B18,Recursos!B:H,4,FALSE),"")</f>
        <v/>
      </c>
      <c r="F18" s="277" t="str">
        <f>IF(B18&lt;&gt;0,VLOOKUP(B18,Recursos!B:H,6,FALSE),"")</f>
        <v/>
      </c>
      <c r="G18" s="270"/>
      <c r="H18" s="278"/>
      <c r="I18" s="298"/>
      <c r="J18" s="279" t="str">
        <f t="shared" si="1"/>
        <v/>
      </c>
      <c r="K18" s="279"/>
    </row>
    <row r="19" spans="2:11" hidden="1" outlineLevel="1">
      <c r="B19" s="295"/>
      <c r="C19" s="274" t="str">
        <f>IF(B19&lt;&gt;0,VLOOKUP(B19,Recursos!B:H,2,FALSE),"")</f>
        <v/>
      </c>
      <c r="D19" s="275" t="str">
        <f>IF(B19&lt;&gt;0,VLOOKUP(B19,Recursos!B:H,3,FALSE),"")</f>
        <v/>
      </c>
      <c r="E19" s="276" t="str">
        <f>IF(B19&lt;&gt;0,VLOOKUP(B19,Recursos!B:H,4,FALSE),"")</f>
        <v/>
      </c>
      <c r="F19" s="277" t="str">
        <f>IF(B19&lt;&gt;0,VLOOKUP(B19,Recursos!B:H,6,FALSE),"")</f>
        <v/>
      </c>
      <c r="G19" s="270"/>
      <c r="H19" s="278"/>
      <c r="I19" s="298"/>
      <c r="J19" s="279" t="str">
        <f t="shared" si="1"/>
        <v/>
      </c>
      <c r="K19" s="279"/>
    </row>
    <row r="20" spans="2:11" hidden="1" outlineLevel="1">
      <c r="B20" s="295"/>
      <c r="C20" s="274" t="str">
        <f>IF(B20&lt;&gt;0,VLOOKUP(B20,Recursos!B:H,2,FALSE),"")</f>
        <v/>
      </c>
      <c r="D20" s="275" t="str">
        <f>IF(B20&lt;&gt;0,VLOOKUP(B20,Recursos!B:H,3,FALSE),"")</f>
        <v/>
      </c>
      <c r="E20" s="276" t="str">
        <f>IF(B20&lt;&gt;0,VLOOKUP(B20,Recursos!B:H,4,FALSE),"")</f>
        <v/>
      </c>
      <c r="F20" s="277" t="str">
        <f>IF(B20&lt;&gt;0,VLOOKUP(B20,Recursos!B:H,6,FALSE),"")</f>
        <v/>
      </c>
      <c r="G20" s="270"/>
      <c r="H20" s="278"/>
      <c r="I20" s="298"/>
      <c r="J20" s="279" t="str">
        <f t="shared" si="1"/>
        <v/>
      </c>
      <c r="K20" s="279"/>
    </row>
    <row r="21" spans="2:11" hidden="1" outlineLevel="1">
      <c r="B21" s="295"/>
      <c r="C21" s="274" t="str">
        <f>IF(B21&lt;&gt;0,VLOOKUP(B21,Recursos!B:H,2,FALSE),"")</f>
        <v/>
      </c>
      <c r="D21" s="275" t="str">
        <f>IF(B21&lt;&gt;0,VLOOKUP(B21,Recursos!B:H,3,FALSE),"")</f>
        <v/>
      </c>
      <c r="E21" s="276" t="str">
        <f>IF(B21&lt;&gt;0,VLOOKUP(B21,Recursos!B:H,4,FALSE),"")</f>
        <v/>
      </c>
      <c r="F21" s="277" t="str">
        <f>IF(B21&lt;&gt;0,VLOOKUP(B21,Recursos!B:H,6,FALSE),"")</f>
        <v/>
      </c>
      <c r="G21" s="270"/>
      <c r="H21" s="278"/>
      <c r="I21" s="298"/>
      <c r="J21" s="279" t="str">
        <f t="shared" si="1"/>
        <v/>
      </c>
      <c r="K21" s="279"/>
    </row>
    <row r="22" spans="2:11" hidden="1" outlineLevel="1">
      <c r="B22" s="295"/>
      <c r="C22" s="274" t="str">
        <f>IF(B22&lt;&gt;0,VLOOKUP(B22,Recursos!B:H,2,FALSE),"")</f>
        <v/>
      </c>
      <c r="D22" s="275" t="str">
        <f>IF(B22&lt;&gt;0,VLOOKUP(B22,Recursos!B:H,3,FALSE),"")</f>
        <v/>
      </c>
      <c r="E22" s="276" t="str">
        <f>IF(B22&lt;&gt;0,VLOOKUP(B22,Recursos!B:H,4,FALSE),"")</f>
        <v/>
      </c>
      <c r="F22" s="277" t="str">
        <f>IF(B22&lt;&gt;0,VLOOKUP(B22,Recursos!B:H,6,FALSE),"")</f>
        <v/>
      </c>
      <c r="G22" s="270"/>
      <c r="H22" s="278"/>
      <c r="I22" s="298"/>
      <c r="J22" s="279" t="str">
        <f t="shared" si="1"/>
        <v/>
      </c>
      <c r="K22" s="279"/>
    </row>
    <row r="23" spans="2:11" ht="12" collapsed="1" thickBot="1">
      <c r="B23" s="296"/>
      <c r="C23" s="280"/>
      <c r="D23" s="281"/>
      <c r="E23" s="282"/>
      <c r="F23" s="283"/>
      <c r="G23" s="297"/>
      <c r="H23" s="284"/>
      <c r="I23" s="285"/>
      <c r="J23" s="286"/>
      <c r="K23" s="286"/>
    </row>
    <row r="24" spans="2:11"/>
    <row r="25" spans="2:11"/>
    <row r="26" spans="2:11"/>
    <row r="27" spans="2:11"/>
    <row r="28" spans="2:11"/>
    <row r="29" spans="2:11"/>
    <row r="30" spans="2:11"/>
    <row r="31" spans="2:11"/>
    <row r="32" spans="2:11"/>
    <row r="33" spans="3:11"/>
    <row r="34" spans="3:11"/>
    <row r="35" spans="3:11"/>
    <row r="36" spans="3:11"/>
    <row r="37" spans="3:11"/>
    <row r="38" spans="3:11"/>
    <row r="39" spans="3:11"/>
    <row r="40" spans="3:11"/>
    <row r="41" spans="3:11"/>
    <row r="42" spans="3:11"/>
    <row r="43" spans="3:11"/>
    <row r="44" spans="3:11"/>
    <row r="45" spans="3:11"/>
    <row r="46" spans="3:11"/>
    <row r="47" spans="3:11" ht="12" thickBot="1"/>
    <row r="48" spans="3:11" ht="24.6" thickBot="1">
      <c r="C48" s="261" t="s">
        <v>369</v>
      </c>
      <c r="D48" s="262" t="s">
        <v>370</v>
      </c>
      <c r="E48" s="263" t="s">
        <v>371</v>
      </c>
      <c r="F48" s="263" t="s">
        <v>189</v>
      </c>
      <c r="G48" s="263" t="s">
        <v>190</v>
      </c>
      <c r="H48" s="263" t="s">
        <v>202</v>
      </c>
      <c r="I48" s="263" t="s">
        <v>192</v>
      </c>
      <c r="J48" s="263" t="s">
        <v>1227</v>
      </c>
      <c r="K48" s="263" t="s">
        <v>203</v>
      </c>
    </row>
    <row r="49" spans="2:11">
      <c r="B49" s="265">
        <v>20</v>
      </c>
      <c r="C49" s="274" t="str">
        <f>IF(B49&lt;&gt;0,VLOOKUP(B49,Recursos!B:H,2,FALSE),"")</f>
        <v>E-E156</v>
      </c>
      <c r="D49" s="275" t="str">
        <f>IF(B49&lt;&gt;0,VLOOKUP(B49,Recursos!B:H,3,FALSE),"")</f>
        <v>CAMIONETA CABINA DOBLE 4x4</v>
      </c>
      <c r="E49" s="276" t="str">
        <f>IF(B49&lt;&gt;0,VLOOKUP(B49,Recursos!B:H,4,FALSE),"")</f>
        <v>HR</v>
      </c>
      <c r="F49" s="277">
        <f>+SUMIF(Recursos!$B$1459:$B$1646,Histograma!B49,Recursos!$G$1459:$G$1646)</f>
        <v>0</v>
      </c>
      <c r="G49" s="272">
        <v>120</v>
      </c>
      <c r="H49" s="271">
        <f>+IF(B49&lt;&gt;0,F49/G49,"")</f>
        <v>0</v>
      </c>
      <c r="I49" s="272">
        <v>12</v>
      </c>
      <c r="J49" s="287">
        <f t="shared" ref="J49:J104" si="2">IF(B49&lt;&gt;0,+H49/I49,"")</f>
        <v>0</v>
      </c>
      <c r="K49" s="287">
        <v>2</v>
      </c>
    </row>
    <row r="50" spans="2:11">
      <c r="B50" s="265">
        <f>+B49+1</f>
        <v>21</v>
      </c>
      <c r="C50" s="274" t="str">
        <f>IF(B50&lt;&gt;0,VLOOKUP(B50,Recursos!B:H,2,FALSE),"")</f>
        <v>E-E36</v>
      </c>
      <c r="D50" s="275" t="str">
        <f>IF(B50&lt;&gt;0,VLOOKUP(B50,Recursos!B:H,3,FALSE),"")</f>
        <v>CAMION VOLCADOR CAP. 15 T=9 m3</v>
      </c>
      <c r="E50" s="276" t="str">
        <f>IF(B50&lt;&gt;0,VLOOKUP(B50,Recursos!B:H,4,FALSE),"")</f>
        <v>HR</v>
      </c>
      <c r="F50" s="277">
        <f>+SUMIF(Recursos!$B$1459:$B$1646,Histograma!B50,Recursos!$G$1459:$G$1646)</f>
        <v>0</v>
      </c>
      <c r="G50" s="272">
        <v>160</v>
      </c>
      <c r="H50" s="271">
        <f t="shared" ref="H50:H65" si="3">+IF(B50&lt;&gt;0,F50/G50,"")</f>
        <v>0</v>
      </c>
      <c r="I50" s="272">
        <v>1</v>
      </c>
      <c r="J50" s="287">
        <f t="shared" ref="J50:J65" si="4">IF(B50&lt;&gt;0,+H50/I50,"")</f>
        <v>0</v>
      </c>
      <c r="K50" s="288">
        <v>1</v>
      </c>
    </row>
    <row r="51" spans="2:11">
      <c r="B51" s="265">
        <f t="shared" ref="B51:B56" si="5">+B50+1</f>
        <v>22</v>
      </c>
      <c r="C51" s="274" t="str">
        <f>IF(B51&lt;&gt;0,VLOOKUP(B51,Recursos!B:H,2,FALSE),"")</f>
        <v>E-E62</v>
      </c>
      <c r="D51" s="275" t="str">
        <f>IF(B51&lt;&gt;0,VLOOKUP(B51,Recursos!B:H,3,FALSE),"")</f>
        <v>MARTILLO NEUMATICO DEMOLEDOR 22 Kg</v>
      </c>
      <c r="E51" s="276" t="str">
        <f>IF(B51&lt;&gt;0,VLOOKUP(B51,Recursos!B:H,4,FALSE),"")</f>
        <v>HR</v>
      </c>
      <c r="F51" s="277">
        <f>+SUMIF(Recursos!$B$1459:$B$1646,Histograma!B51,Recursos!$G$1459:$G$1646)</f>
        <v>0</v>
      </c>
      <c r="G51" s="272">
        <v>100</v>
      </c>
      <c r="H51" s="271">
        <f t="shared" si="3"/>
        <v>0</v>
      </c>
      <c r="I51" s="272">
        <v>2</v>
      </c>
      <c r="J51" s="287">
        <f t="shared" si="4"/>
        <v>0</v>
      </c>
      <c r="K51" s="288">
        <v>3</v>
      </c>
    </row>
    <row r="52" spans="2:11">
      <c r="B52" s="265">
        <f t="shared" si="5"/>
        <v>23</v>
      </c>
      <c r="C52" s="274" t="str">
        <f>IF(B52&lt;&gt;0,VLOOKUP(B52,Recursos!B:H,2,FALSE),"")</f>
        <v>E-E08</v>
      </c>
      <c r="D52" s="275" t="str">
        <f>IF(B52&lt;&gt;0,VLOOKUP(B52,Recursos!B:H,3,FALSE),"")</f>
        <v>MINICARG. BOBCAT S/NEUM. (0,40 M3)</v>
      </c>
      <c r="E52" s="276" t="str">
        <f>IF(B52&lt;&gt;0,VLOOKUP(B52,Recursos!B:H,4,FALSE),"")</f>
        <v>HR</v>
      </c>
      <c r="F52" s="277">
        <f>+SUMIF(Recursos!$B$1459:$B$1646,Histograma!B52,Recursos!$G$1459:$G$1646)</f>
        <v>0</v>
      </c>
      <c r="G52" s="272">
        <v>160</v>
      </c>
      <c r="H52" s="271">
        <f t="shared" si="3"/>
        <v>0</v>
      </c>
      <c r="I52" s="272">
        <v>2</v>
      </c>
      <c r="J52" s="287">
        <f t="shared" si="4"/>
        <v>0</v>
      </c>
      <c r="K52" s="394">
        <v>1</v>
      </c>
    </row>
    <row r="53" spans="2:11">
      <c r="B53" s="265">
        <f t="shared" si="5"/>
        <v>24</v>
      </c>
      <c r="C53" s="274" t="str">
        <f>IF(B53&lt;&gt;0,VLOOKUP(B53,Recursos!B:H,2,FALSE),"")</f>
        <v>E-E67</v>
      </c>
      <c r="D53" s="275" t="str">
        <f>IF(B53&lt;&gt;0,VLOOKUP(B53,Recursos!B:H,3,FALSE),"")</f>
        <v>MOTOCOMPRESOR 7 m3/min-250 cfm</v>
      </c>
      <c r="E53" s="276" t="str">
        <f>IF(B53&lt;&gt;0,VLOOKUP(B53,Recursos!B:H,4,FALSE),"")</f>
        <v>HR</v>
      </c>
      <c r="F53" s="277">
        <f>+SUMIF(Recursos!$B$1459:$B$1646,Histograma!B53,Recursos!$G$1459:$G$1646)</f>
        <v>0</v>
      </c>
      <c r="G53" s="272">
        <v>160</v>
      </c>
      <c r="H53" s="271">
        <f t="shared" si="3"/>
        <v>0</v>
      </c>
      <c r="I53" s="272">
        <v>2</v>
      </c>
      <c r="J53" s="287">
        <f t="shared" si="4"/>
        <v>0</v>
      </c>
      <c r="K53" s="288">
        <v>1</v>
      </c>
    </row>
    <row r="54" spans="2:11">
      <c r="B54" s="265">
        <f t="shared" si="5"/>
        <v>25</v>
      </c>
      <c r="C54" s="274" t="str">
        <f>IF(B54&lt;&gt;0,VLOOKUP(B54,Recursos!B:H,2,FALSE),"")</f>
        <v>E-E58</v>
      </c>
      <c r="D54" s="275" t="str">
        <f>IF(B54&lt;&gt;0,VLOOKUP(B54,Recursos!B:H,3,FALSE),"")</f>
        <v>PLANCHA VIBRATORIA 90x70 cm-470 Kg</v>
      </c>
      <c r="E54" s="276" t="str">
        <f>IF(B54&lt;&gt;0,VLOOKUP(B54,Recursos!B:H,4,FALSE),"")</f>
        <v>HR</v>
      </c>
      <c r="F54" s="277">
        <f>+SUMIF(Recursos!$B$1459:$B$1646,Histograma!B54,Recursos!$G$1459:$G$1646)</f>
        <v>2</v>
      </c>
      <c r="G54" s="272">
        <v>100</v>
      </c>
      <c r="H54" s="271">
        <f t="shared" si="3"/>
        <v>0.02</v>
      </c>
      <c r="I54" s="272">
        <v>1</v>
      </c>
      <c r="J54" s="287">
        <f t="shared" si="4"/>
        <v>0.02</v>
      </c>
      <c r="K54" s="288">
        <v>1</v>
      </c>
    </row>
    <row r="55" spans="2:11">
      <c r="B55" s="265">
        <f t="shared" si="5"/>
        <v>26</v>
      </c>
      <c r="C55" s="274" t="str">
        <f>IF(B55&lt;&gt;0,VLOOKUP(B55,Recursos!B:H,2,FALSE),"")</f>
        <v>E-E140</v>
      </c>
      <c r="D55" s="275" t="str">
        <f>IF(B55&lt;&gt;0,VLOOKUP(B55,Recursos!B:H,3,FALSE),"")</f>
        <v>VIBRADOR DE INMERSION d=57 mm (NE)</v>
      </c>
      <c r="E55" s="276" t="str">
        <f>IF(B55&lt;&gt;0,VLOOKUP(B55,Recursos!B:H,4,FALSE),"")</f>
        <v>HR</v>
      </c>
      <c r="F55" s="277">
        <f>+SUMIF(Recursos!$B$1459:$B$1646,Histograma!B55,Recursos!$G$1459:$G$1646)</f>
        <v>0</v>
      </c>
      <c r="G55" s="272">
        <v>100</v>
      </c>
      <c r="H55" s="271">
        <f t="shared" si="3"/>
        <v>0</v>
      </c>
      <c r="I55" s="272">
        <v>4</v>
      </c>
      <c r="J55" s="287">
        <f t="shared" si="4"/>
        <v>0</v>
      </c>
      <c r="K55" s="288">
        <v>1</v>
      </c>
    </row>
    <row r="56" spans="2:11">
      <c r="B56" s="265">
        <f t="shared" si="5"/>
        <v>27</v>
      </c>
      <c r="C56" s="274" t="str">
        <f>IF(B56&lt;&gt;0,VLOOKUP(B56,Recursos!B:H,2,FALSE),"")</f>
        <v>E-E176</v>
      </c>
      <c r="D56" s="275" t="str">
        <f>IF(B56&lt;&gt;0,VLOOKUP(B56,Recursos!B:H,3,FALSE),"")</f>
        <v>CAMION PLAYO LIVIANO 146CV</v>
      </c>
      <c r="E56" s="276" t="str">
        <f>IF(B56&lt;&gt;0,VLOOKUP(B56,Recursos!B:H,4,FALSE),"")</f>
        <v>HR</v>
      </c>
      <c r="F56" s="277">
        <f>+SUMIF(Recursos!$B$1459:$B$1646,Histograma!B56,Recursos!$G$1459:$G$1646)</f>
        <v>0</v>
      </c>
      <c r="G56" s="272">
        <v>160</v>
      </c>
      <c r="H56" s="271">
        <f t="shared" si="3"/>
        <v>0</v>
      </c>
      <c r="I56" s="272">
        <v>12</v>
      </c>
      <c r="J56" s="287">
        <f t="shared" si="4"/>
        <v>0</v>
      </c>
      <c r="K56" s="288">
        <v>1</v>
      </c>
    </row>
    <row r="57" spans="2:11">
      <c r="B57" s="265"/>
      <c r="C57" s="274" t="str">
        <f>IF(B57&lt;&gt;0,VLOOKUP(B57,Recursos!B:H,2,FALSE),"")</f>
        <v/>
      </c>
      <c r="D57" s="275" t="str">
        <f>IF(B57&lt;&gt;0,VLOOKUP(B57,Recursos!B:H,3,FALSE),"")</f>
        <v/>
      </c>
      <c r="E57" s="276" t="str">
        <f>IF(B57&lt;&gt;0,VLOOKUP(B57,Recursos!B:H,4,FALSE),"")</f>
        <v/>
      </c>
      <c r="F57" s="277">
        <f>+SUMIF(Recursos!$B$1459:$B$1646,Histograma!B57,Recursos!$G$1459:$G$1646)</f>
        <v>0</v>
      </c>
      <c r="G57" s="272"/>
      <c r="H57" s="271" t="str">
        <f t="shared" si="3"/>
        <v/>
      </c>
      <c r="I57" s="272"/>
      <c r="J57" s="287" t="str">
        <f t="shared" si="4"/>
        <v/>
      </c>
      <c r="K57" s="288"/>
    </row>
    <row r="58" spans="2:11" hidden="1" outlineLevel="1">
      <c r="B58" s="265"/>
      <c r="C58" s="274" t="str">
        <f>IF(B58&lt;&gt;0,VLOOKUP(B58,Recursos!B:H,2,FALSE),"")</f>
        <v/>
      </c>
      <c r="D58" s="275" t="str">
        <f>IF(B58&lt;&gt;0,VLOOKUP(B58,Recursos!B:H,3,FALSE),"")</f>
        <v/>
      </c>
      <c r="E58" s="276" t="str">
        <f>IF(B58&lt;&gt;0,VLOOKUP(B58,Recursos!B:H,4,FALSE),"")</f>
        <v/>
      </c>
      <c r="F58" s="277">
        <f>+SUMIF(Recursos!$B$1459:$B$1646,Histograma!B58,Recursos!$G$1459:$G$1646)</f>
        <v>0</v>
      </c>
      <c r="G58" s="272"/>
      <c r="H58" s="271" t="str">
        <f t="shared" si="3"/>
        <v/>
      </c>
      <c r="I58" s="272"/>
      <c r="J58" s="287" t="str">
        <f t="shared" si="4"/>
        <v/>
      </c>
      <c r="K58" s="288"/>
    </row>
    <row r="59" spans="2:11" hidden="1" outlineLevel="1">
      <c r="B59" s="265"/>
      <c r="C59" s="274" t="str">
        <f>IF(B59&lt;&gt;0,VLOOKUP(B59,Recursos!B:H,2,FALSE),"")</f>
        <v/>
      </c>
      <c r="D59" s="275" t="str">
        <f>IF(B59&lt;&gt;0,VLOOKUP(B59,Recursos!B:H,3,FALSE),"")</f>
        <v/>
      </c>
      <c r="E59" s="276" t="str">
        <f>IF(B59&lt;&gt;0,VLOOKUP(B59,Recursos!B:H,4,FALSE),"")</f>
        <v/>
      </c>
      <c r="F59" s="277">
        <f>+SUMIF(Recursos!$B$1459:$B$1646,Histograma!B59,Recursos!$G$1459:$G$1646)</f>
        <v>0</v>
      </c>
      <c r="G59" s="272"/>
      <c r="H59" s="271" t="str">
        <f t="shared" si="3"/>
        <v/>
      </c>
      <c r="I59" s="272"/>
      <c r="J59" s="287" t="str">
        <f t="shared" si="4"/>
        <v/>
      </c>
      <c r="K59" s="288"/>
    </row>
    <row r="60" spans="2:11" hidden="1" outlineLevel="1">
      <c r="B60" s="265"/>
      <c r="C60" s="274" t="str">
        <f>IF(B60&lt;&gt;0,VLOOKUP(B60,Recursos!B:H,2,FALSE),"")</f>
        <v/>
      </c>
      <c r="D60" s="275" t="str">
        <f>IF(B60&lt;&gt;0,VLOOKUP(B60,Recursos!B:H,3,FALSE),"")</f>
        <v/>
      </c>
      <c r="E60" s="276" t="str">
        <f>IF(B60&lt;&gt;0,VLOOKUP(B60,Recursos!B:H,4,FALSE),"")</f>
        <v/>
      </c>
      <c r="F60" s="277">
        <f>+SUMIF(Recursos!$B$1459:$B$1646,Histograma!B60,Recursos!$G$1459:$G$1646)</f>
        <v>0</v>
      </c>
      <c r="G60" s="272"/>
      <c r="H60" s="271" t="str">
        <f t="shared" si="3"/>
        <v/>
      </c>
      <c r="I60" s="272"/>
      <c r="J60" s="287" t="str">
        <f t="shared" si="4"/>
        <v/>
      </c>
      <c r="K60" s="288"/>
    </row>
    <row r="61" spans="2:11" hidden="1" outlineLevel="1">
      <c r="B61" s="265"/>
      <c r="C61" s="274" t="str">
        <f>IF(B61&lt;&gt;0,VLOOKUP(B61,Recursos!B:H,2,FALSE),"")</f>
        <v/>
      </c>
      <c r="D61" s="275" t="str">
        <f>IF(B61&lt;&gt;0,VLOOKUP(B61,Recursos!B:H,3,FALSE),"")</f>
        <v/>
      </c>
      <c r="E61" s="276" t="str">
        <f>IF(B61&lt;&gt;0,VLOOKUP(B61,Recursos!B:H,4,FALSE),"")</f>
        <v/>
      </c>
      <c r="F61" s="277">
        <f>+SUMIF(Recursos!$B$1459:$B$1646,Histograma!B61,Recursos!$G$1459:$G$1646)</f>
        <v>0</v>
      </c>
      <c r="G61" s="272"/>
      <c r="H61" s="271" t="str">
        <f t="shared" si="3"/>
        <v/>
      </c>
      <c r="I61" s="272"/>
      <c r="J61" s="287" t="str">
        <f t="shared" si="4"/>
        <v/>
      </c>
      <c r="K61" s="288"/>
    </row>
    <row r="62" spans="2:11" ht="12.75" hidden="1" customHeight="1" outlineLevel="1">
      <c r="B62" s="265"/>
      <c r="C62" s="274" t="str">
        <f>IF(B62&lt;&gt;0,VLOOKUP(B62,Recursos!B:H,2,FALSE),"")</f>
        <v/>
      </c>
      <c r="D62" s="275" t="str">
        <f>IF(B62&lt;&gt;0,VLOOKUP(B62,Recursos!B:H,3,FALSE),"")</f>
        <v/>
      </c>
      <c r="E62" s="276" t="str">
        <f>IF(B62&lt;&gt;0,VLOOKUP(B62,Recursos!B:H,4,FALSE),"")</f>
        <v/>
      </c>
      <c r="F62" s="277">
        <f>+SUMIF(Recursos!$B$1459:$B$1646,Histograma!B62,Recursos!$G$1459:$G$1646)</f>
        <v>0</v>
      </c>
      <c r="G62" s="272"/>
      <c r="H62" s="271" t="str">
        <f t="shared" si="3"/>
        <v/>
      </c>
      <c r="I62" s="272"/>
      <c r="J62" s="287" t="str">
        <f t="shared" si="4"/>
        <v/>
      </c>
      <c r="K62" s="288"/>
    </row>
    <row r="63" spans="2:11" hidden="1" outlineLevel="1">
      <c r="B63" s="265"/>
      <c r="C63" s="274" t="str">
        <f>IF(B63&lt;&gt;0,VLOOKUP(B63,Recursos!B:H,2,FALSE),"")</f>
        <v/>
      </c>
      <c r="D63" s="275" t="str">
        <f>IF(B63&lt;&gt;0,VLOOKUP(B63,Recursos!B:H,3,FALSE),"")</f>
        <v/>
      </c>
      <c r="E63" s="276" t="str">
        <f>IF(B63&lt;&gt;0,VLOOKUP(B63,Recursos!B:H,4,FALSE),"")</f>
        <v/>
      </c>
      <c r="F63" s="277">
        <f>+SUMIF(Recursos!$B$1459:$B$1646,Histograma!B63,Recursos!$G$1459:$G$1646)</f>
        <v>0</v>
      </c>
      <c r="G63" s="272"/>
      <c r="H63" s="271" t="str">
        <f t="shared" si="3"/>
        <v/>
      </c>
      <c r="I63" s="272"/>
      <c r="J63" s="287" t="str">
        <f t="shared" si="4"/>
        <v/>
      </c>
      <c r="K63" s="288"/>
    </row>
    <row r="64" spans="2:11" hidden="1" outlineLevel="1">
      <c r="B64" s="265"/>
      <c r="C64" s="274" t="str">
        <f>IF(B64&lt;&gt;0,VLOOKUP(B64,Recursos!B:H,2,FALSE),"")</f>
        <v/>
      </c>
      <c r="D64" s="275" t="str">
        <f>IF(B64&lt;&gt;0,VLOOKUP(B64,Recursos!B:H,3,FALSE),"")</f>
        <v/>
      </c>
      <c r="E64" s="276" t="str">
        <f>IF(B64&lt;&gt;0,VLOOKUP(B64,Recursos!B:H,4,FALSE),"")</f>
        <v/>
      </c>
      <c r="F64" s="277">
        <f>+SUMIF(Recursos!$B$1459:$B$1646,Histograma!B64,Recursos!$G$1459:$G$1646)</f>
        <v>0</v>
      </c>
      <c r="G64" s="272"/>
      <c r="H64" s="271" t="str">
        <f t="shared" si="3"/>
        <v/>
      </c>
      <c r="I64" s="272"/>
      <c r="J64" s="287" t="str">
        <f t="shared" si="4"/>
        <v/>
      </c>
      <c r="K64" s="288"/>
    </row>
    <row r="65" spans="2:11" hidden="1" outlineLevel="1">
      <c r="B65" s="265"/>
      <c r="C65" s="274" t="str">
        <f>IF(B65&lt;&gt;0,VLOOKUP(B65,Recursos!B:H,2,FALSE),"")</f>
        <v/>
      </c>
      <c r="D65" s="275" t="str">
        <f>IF(B65&lt;&gt;0,VLOOKUP(B65,Recursos!B:H,3,FALSE),"")</f>
        <v/>
      </c>
      <c r="E65" s="276" t="str">
        <f>IF(B65&lt;&gt;0,VLOOKUP(B65,Recursos!B:H,4,FALSE),"")</f>
        <v/>
      </c>
      <c r="F65" s="277">
        <f>+SUMIF(Recursos!$B$1459:$B$1646,Histograma!B65,Recursos!$G$1459:$G$1646)</f>
        <v>0</v>
      </c>
      <c r="G65" s="272"/>
      <c r="H65" s="271" t="str">
        <f t="shared" si="3"/>
        <v/>
      </c>
      <c r="I65" s="272"/>
      <c r="J65" s="287" t="str">
        <f t="shared" si="4"/>
        <v/>
      </c>
      <c r="K65" s="394"/>
    </row>
    <row r="66" spans="2:11" hidden="1" outlineLevel="1">
      <c r="B66" s="265"/>
      <c r="C66" s="274" t="str">
        <f>IF(B66&lt;&gt;0,VLOOKUP(B66,Recursos!B:H,2,FALSE),"")</f>
        <v/>
      </c>
      <c r="D66" s="275" t="str">
        <f>IF(B66&lt;&gt;0,VLOOKUP(B66,Recursos!B:H,3,FALSE),"")</f>
        <v/>
      </c>
      <c r="E66" s="276" t="str">
        <f>IF(B66&lt;&gt;0,VLOOKUP(B66,Recursos!B:H,4,FALSE),"")</f>
        <v/>
      </c>
      <c r="F66" s="277">
        <f>+SUMIF(Recursos!$B$1459:$B$1646,Histograma!B66,Recursos!$G$1459:$G$1646)</f>
        <v>0</v>
      </c>
      <c r="G66" s="272"/>
      <c r="H66" s="271" t="str">
        <f t="shared" ref="H66:H74" si="6">+IF(B66&lt;&gt;0,F66/G66,"")</f>
        <v/>
      </c>
      <c r="I66" s="272"/>
      <c r="J66" s="287" t="str">
        <f t="shared" ref="J66:J75" si="7">IF(B66&lt;&gt;0,+H66/I66,"")</f>
        <v/>
      </c>
      <c r="K66" s="288"/>
    </row>
    <row r="67" spans="2:11" hidden="1" outlineLevel="1">
      <c r="B67" s="265"/>
      <c r="C67" s="274" t="str">
        <f>IF(B67&lt;&gt;0,VLOOKUP(B67,Recursos!B:H,2,FALSE),"")</f>
        <v/>
      </c>
      <c r="D67" s="275" t="str">
        <f>IF(B67&lt;&gt;0,VLOOKUP(B67,Recursos!B:H,3,FALSE),"")</f>
        <v/>
      </c>
      <c r="E67" s="276" t="str">
        <f>IF(B67&lt;&gt;0,VLOOKUP(B67,Recursos!B:H,4,FALSE),"")</f>
        <v/>
      </c>
      <c r="F67" s="277">
        <f>+SUMIF(Recursos!$B$1459:$B$1646,Histograma!B67,Recursos!$G$1459:$G$1646)</f>
        <v>0</v>
      </c>
      <c r="G67" s="272"/>
      <c r="H67" s="271" t="str">
        <f t="shared" si="6"/>
        <v/>
      </c>
      <c r="I67" s="272"/>
      <c r="J67" s="287" t="str">
        <f t="shared" si="7"/>
        <v/>
      </c>
      <c r="K67" s="288"/>
    </row>
    <row r="68" spans="2:11" hidden="1" outlineLevel="1">
      <c r="B68" s="265"/>
      <c r="C68" s="274" t="str">
        <f>IF(B68&lt;&gt;0,VLOOKUP(B68,Recursos!B:H,2,FALSE),"")</f>
        <v/>
      </c>
      <c r="D68" s="275" t="str">
        <f>IF(B68&lt;&gt;0,VLOOKUP(B68,Recursos!B:H,3,FALSE),"")</f>
        <v/>
      </c>
      <c r="E68" s="276" t="str">
        <f>IF(B68&lt;&gt;0,VLOOKUP(B68,Recursos!B:H,4,FALSE),"")</f>
        <v/>
      </c>
      <c r="F68" s="277">
        <f>+SUMIF(Recursos!$B$1459:$B$1646,Histograma!B68,Recursos!$G$1459:$G$1646)</f>
        <v>0</v>
      </c>
      <c r="G68" s="272"/>
      <c r="H68" s="271" t="str">
        <f t="shared" si="6"/>
        <v/>
      </c>
      <c r="I68" s="272"/>
      <c r="J68" s="287" t="str">
        <f t="shared" si="7"/>
        <v/>
      </c>
      <c r="K68" s="288"/>
    </row>
    <row r="69" spans="2:11" hidden="1" outlineLevel="1">
      <c r="B69" s="265"/>
      <c r="C69" s="274" t="str">
        <f>IF(B69&lt;&gt;0,VLOOKUP(B69,Recursos!B:H,2,FALSE),"")</f>
        <v/>
      </c>
      <c r="D69" s="275" t="str">
        <f>IF(B69&lt;&gt;0,VLOOKUP(B69,Recursos!B:H,3,FALSE),"")</f>
        <v/>
      </c>
      <c r="E69" s="276" t="str">
        <f>IF(B69&lt;&gt;0,VLOOKUP(B69,Recursos!B:H,4,FALSE),"")</f>
        <v/>
      </c>
      <c r="F69" s="277">
        <f>+SUMIF(Recursos!$B$1459:$B$1646,Histograma!B69,Recursos!$G$1459:$G$1646)</f>
        <v>0</v>
      </c>
      <c r="G69" s="272"/>
      <c r="H69" s="271" t="str">
        <f t="shared" si="6"/>
        <v/>
      </c>
      <c r="I69" s="272"/>
      <c r="J69" s="287" t="str">
        <f t="shared" si="7"/>
        <v/>
      </c>
      <c r="K69" s="288"/>
    </row>
    <row r="70" spans="2:11" hidden="1" outlineLevel="1">
      <c r="B70" s="265"/>
      <c r="C70" s="274" t="str">
        <f>IF(B70&lt;&gt;0,VLOOKUP(B70,Recursos!B:H,2,FALSE),"")</f>
        <v/>
      </c>
      <c r="D70" s="275" t="str">
        <f>IF(B70&lt;&gt;0,VLOOKUP(B70,Recursos!B:H,3,FALSE),"")</f>
        <v/>
      </c>
      <c r="E70" s="276" t="str">
        <f>IF(B70&lt;&gt;0,VLOOKUP(B70,Recursos!B:H,4,FALSE),"")</f>
        <v/>
      </c>
      <c r="F70" s="277">
        <f>+SUMIF(Recursos!$B$1459:$B$1646,Histograma!B70,Recursos!$G$1459:$G$1646)</f>
        <v>0</v>
      </c>
      <c r="G70" s="272"/>
      <c r="H70" s="271" t="str">
        <f t="shared" si="6"/>
        <v/>
      </c>
      <c r="I70" s="272"/>
      <c r="J70" s="287" t="str">
        <f t="shared" si="7"/>
        <v/>
      </c>
      <c r="K70" s="288"/>
    </row>
    <row r="71" spans="2:11" hidden="1" outlineLevel="1">
      <c r="B71" s="265"/>
      <c r="C71" s="274" t="str">
        <f>IF(B71&lt;&gt;0,VLOOKUP(B71,Recursos!B:H,2,FALSE),"")</f>
        <v/>
      </c>
      <c r="D71" s="275" t="str">
        <f>IF(B71&lt;&gt;0,VLOOKUP(B71,Recursos!B:H,3,FALSE),"")</f>
        <v/>
      </c>
      <c r="E71" s="276" t="str">
        <f>IF(B71&lt;&gt;0,VLOOKUP(B71,Recursos!B:H,4,FALSE),"")</f>
        <v/>
      </c>
      <c r="F71" s="277">
        <f>+SUMIF(Recursos!$B$1459:$B$1646,Histograma!B71,Recursos!$G$1459:$G$1646)</f>
        <v>0</v>
      </c>
      <c r="G71" s="272"/>
      <c r="H71" s="271" t="str">
        <f t="shared" si="6"/>
        <v/>
      </c>
      <c r="I71" s="272"/>
      <c r="J71" s="287" t="str">
        <f t="shared" si="7"/>
        <v/>
      </c>
      <c r="K71" s="288"/>
    </row>
    <row r="72" spans="2:11" hidden="1" outlineLevel="1">
      <c r="B72" s="265"/>
      <c r="C72" s="274" t="str">
        <f>IF(B72&lt;&gt;0,VLOOKUP(B72,Recursos!B:H,2,FALSE),"")</f>
        <v/>
      </c>
      <c r="D72" s="275" t="str">
        <f>IF(B72&lt;&gt;0,VLOOKUP(B72,Recursos!B:H,3,FALSE),"")</f>
        <v/>
      </c>
      <c r="E72" s="276" t="str">
        <f>IF(B72&lt;&gt;0,VLOOKUP(B72,Recursos!B:H,4,FALSE),"")</f>
        <v/>
      </c>
      <c r="F72" s="277">
        <f>+SUMIF(Recursos!$B$1459:$B$1646,Histograma!B72,Recursos!$G$1459:$G$1646)</f>
        <v>0</v>
      </c>
      <c r="G72" s="272"/>
      <c r="H72" s="271" t="str">
        <f t="shared" si="6"/>
        <v/>
      </c>
      <c r="I72" s="272"/>
      <c r="J72" s="287" t="str">
        <f t="shared" si="7"/>
        <v/>
      </c>
      <c r="K72" s="288"/>
    </row>
    <row r="73" spans="2:11" hidden="1" outlineLevel="1">
      <c r="B73" s="265"/>
      <c r="C73" s="274" t="str">
        <f>IF(B73&lt;&gt;0,VLOOKUP(B73,Recursos!B:H,2,FALSE),"")</f>
        <v/>
      </c>
      <c r="D73" s="275" t="str">
        <f>IF(B73&lt;&gt;0,VLOOKUP(B73,Recursos!B:H,3,FALSE),"")</f>
        <v/>
      </c>
      <c r="E73" s="276" t="str">
        <f>IF(B73&lt;&gt;0,VLOOKUP(B73,Recursos!B:H,4,FALSE),"")</f>
        <v/>
      </c>
      <c r="F73" s="277">
        <f>+SUMIF(Recursos!$B$1459:$B$1646,Histograma!B73,Recursos!$G$1459:$G$1646)</f>
        <v>0</v>
      </c>
      <c r="G73" s="272"/>
      <c r="H73" s="271" t="str">
        <f t="shared" si="6"/>
        <v/>
      </c>
      <c r="I73" s="272"/>
      <c r="J73" s="287" t="str">
        <f t="shared" si="7"/>
        <v/>
      </c>
      <c r="K73" s="288"/>
    </row>
    <row r="74" spans="2:11" hidden="1" outlineLevel="1">
      <c r="B74" s="265"/>
      <c r="C74" s="274" t="str">
        <f>IF(B74&lt;&gt;0,VLOOKUP(B74,Recursos!B:H,2,FALSE),"")</f>
        <v/>
      </c>
      <c r="D74" s="275" t="str">
        <f>IF(B74&lt;&gt;0,VLOOKUP(B74,Recursos!B:H,3,FALSE),"")</f>
        <v/>
      </c>
      <c r="E74" s="276" t="str">
        <f>IF(B74&lt;&gt;0,VLOOKUP(B74,Recursos!B:H,4,FALSE),"")</f>
        <v/>
      </c>
      <c r="F74" s="277">
        <f>+SUMIF(Recursos!$B$1459:$B$1646,Histograma!B74,Recursos!$G$1459:$G$1646)</f>
        <v>0</v>
      </c>
      <c r="G74" s="272"/>
      <c r="H74" s="271" t="str">
        <f t="shared" si="6"/>
        <v/>
      </c>
      <c r="I74" s="272"/>
      <c r="J74" s="287" t="str">
        <f t="shared" si="7"/>
        <v/>
      </c>
      <c r="K74" s="288"/>
    </row>
    <row r="75" spans="2:11" hidden="1" outlineLevel="1">
      <c r="B75" s="265"/>
      <c r="C75" s="274" t="str">
        <f>IF(B75&lt;&gt;0,VLOOKUP(B75,Recursos!B:H,2,FALSE),"")</f>
        <v/>
      </c>
      <c r="D75" s="275" t="str">
        <f>IF(B75&lt;&gt;0,VLOOKUP(B75,Recursos!B:H,3,FALSE),"")</f>
        <v/>
      </c>
      <c r="E75" s="276" t="str">
        <f>IF(B75&lt;&gt;0,VLOOKUP(B75,Recursos!B:H,4,FALSE),"")</f>
        <v/>
      </c>
      <c r="F75" s="277">
        <f>+SUMIF(Recursos!$B$1459:$B$1646,Histograma!B75,Recursos!$G$1459:$G$1646)</f>
        <v>0</v>
      </c>
      <c r="G75" s="272"/>
      <c r="H75" s="271" t="str">
        <f t="shared" ref="H75:H106" si="8">+IF(B75&lt;&gt;0,F75/G75,"")</f>
        <v/>
      </c>
      <c r="I75" s="272"/>
      <c r="J75" s="287" t="str">
        <f t="shared" si="7"/>
        <v/>
      </c>
      <c r="K75" s="288"/>
    </row>
    <row r="76" spans="2:11" hidden="1" outlineLevel="1">
      <c r="B76" s="265"/>
      <c r="C76" s="274" t="str">
        <f>IF(B76&lt;&gt;0,VLOOKUP(B76,Recursos!B:H,2,FALSE),"")</f>
        <v/>
      </c>
      <c r="D76" s="275" t="str">
        <f>IF(B76&lt;&gt;0,VLOOKUP(B76,Recursos!B:H,3,FALSE),"")</f>
        <v/>
      </c>
      <c r="E76" s="276" t="str">
        <f>IF(B76&lt;&gt;0,VLOOKUP(B76,Recursos!B:H,4,FALSE),"")</f>
        <v/>
      </c>
      <c r="F76" s="277">
        <f>+SUMIF(Recursos!$B$1459:$B$1646,Histograma!B76,Recursos!$G$1459:$G$1646)</f>
        <v>0</v>
      </c>
      <c r="G76" s="272"/>
      <c r="H76" s="271" t="str">
        <f t="shared" si="8"/>
        <v/>
      </c>
      <c r="I76" s="272"/>
      <c r="J76" s="288" t="str">
        <f t="shared" si="2"/>
        <v/>
      </c>
      <c r="K76" s="288"/>
    </row>
    <row r="77" spans="2:11" hidden="1" outlineLevel="1">
      <c r="B77" s="265"/>
      <c r="C77" s="274" t="str">
        <f>IF(B77&lt;&gt;0,VLOOKUP(B77,Recursos!B:H,2,FALSE),"")</f>
        <v/>
      </c>
      <c r="D77" s="275" t="str">
        <f>IF(B77&lt;&gt;0,VLOOKUP(B77,Recursos!B:H,3,FALSE),"")</f>
        <v/>
      </c>
      <c r="E77" s="276" t="str">
        <f>IF(B77&lt;&gt;0,VLOOKUP(B77,Recursos!B:H,4,FALSE),"")</f>
        <v/>
      </c>
      <c r="F77" s="277">
        <f>+SUMIF(Recursos!$B$1459:$B$1646,Histograma!B77,Recursos!$G$1459:$G$1646)</f>
        <v>0</v>
      </c>
      <c r="G77" s="272"/>
      <c r="H77" s="271" t="str">
        <f t="shared" si="8"/>
        <v/>
      </c>
      <c r="I77" s="272"/>
      <c r="J77" s="288" t="str">
        <f t="shared" si="2"/>
        <v/>
      </c>
      <c r="K77" s="288"/>
    </row>
    <row r="78" spans="2:11" hidden="1" outlineLevel="1">
      <c r="B78" s="265"/>
      <c r="C78" s="274" t="str">
        <f>IF(B78&lt;&gt;0,VLOOKUP(B78,Recursos!B:H,2,FALSE),"")</f>
        <v/>
      </c>
      <c r="D78" s="275" t="str">
        <f>IF(B78&lt;&gt;0,VLOOKUP(B78,Recursos!B:H,3,FALSE),"")</f>
        <v/>
      </c>
      <c r="E78" s="276" t="str">
        <f>IF(B78&lt;&gt;0,VLOOKUP(B78,Recursos!B:H,4,FALSE),"")</f>
        <v/>
      </c>
      <c r="F78" s="277">
        <f>+SUMIF(Recursos!$B$1459:$B$1646,Histograma!B78,Recursos!$G$1459:$G$1646)</f>
        <v>0</v>
      </c>
      <c r="G78" s="272"/>
      <c r="H78" s="271" t="str">
        <f t="shared" si="8"/>
        <v/>
      </c>
      <c r="I78" s="272"/>
      <c r="J78" s="288" t="str">
        <f t="shared" si="2"/>
        <v/>
      </c>
      <c r="K78" s="288"/>
    </row>
    <row r="79" spans="2:11" hidden="1" outlineLevel="1">
      <c r="B79" s="265"/>
      <c r="C79" s="274" t="str">
        <f>IF(B79&lt;&gt;0,VLOOKUP(B79,Recursos!B:H,2,FALSE),"")</f>
        <v/>
      </c>
      <c r="D79" s="275" t="str">
        <f>IF(B79&lt;&gt;0,VLOOKUP(B79,Recursos!B:H,3,FALSE),"")</f>
        <v/>
      </c>
      <c r="E79" s="276" t="str">
        <f>IF(B79&lt;&gt;0,VLOOKUP(B79,Recursos!B:H,4,FALSE),"")</f>
        <v/>
      </c>
      <c r="F79" s="277">
        <f>+SUMIF(Recursos!$B$1459:$B$1646,Histograma!B79,Recursos!$G$1459:$G$1646)</f>
        <v>0</v>
      </c>
      <c r="G79" s="272"/>
      <c r="H79" s="271" t="str">
        <f t="shared" si="8"/>
        <v/>
      </c>
      <c r="I79" s="272"/>
      <c r="J79" s="288" t="str">
        <f t="shared" si="2"/>
        <v/>
      </c>
      <c r="K79" s="288"/>
    </row>
    <row r="80" spans="2:11" hidden="1" outlineLevel="1">
      <c r="B80" s="265"/>
      <c r="C80" s="274" t="str">
        <f>IF(B80&lt;&gt;0,VLOOKUP(B80,Recursos!B:H,2,FALSE),"")</f>
        <v/>
      </c>
      <c r="D80" s="275" t="str">
        <f>IF(B80&lt;&gt;0,VLOOKUP(B80,Recursos!B:H,3,FALSE),"")</f>
        <v/>
      </c>
      <c r="E80" s="276" t="str">
        <f>IF(B80&lt;&gt;0,VLOOKUP(B80,Recursos!B:H,4,FALSE),"")</f>
        <v/>
      </c>
      <c r="F80" s="277">
        <f>+SUMIF(Recursos!$B$1459:$B$1646,Histograma!B80,Recursos!$G$1459:$G$1646)</f>
        <v>0</v>
      </c>
      <c r="G80" s="272"/>
      <c r="H80" s="271" t="str">
        <f t="shared" si="8"/>
        <v/>
      </c>
      <c r="I80" s="272"/>
      <c r="J80" s="288" t="str">
        <f t="shared" si="2"/>
        <v/>
      </c>
      <c r="K80" s="288"/>
    </row>
    <row r="81" spans="2:11" hidden="1" outlineLevel="1">
      <c r="B81" s="265"/>
      <c r="C81" s="274" t="str">
        <f>IF(B81&lt;&gt;0,VLOOKUP(B81,Recursos!B:H,2,FALSE),"")</f>
        <v/>
      </c>
      <c r="D81" s="275" t="str">
        <f>IF(B81&lt;&gt;0,VLOOKUP(B81,Recursos!B:H,3,FALSE),"")</f>
        <v/>
      </c>
      <c r="E81" s="276" t="str">
        <f>IF(B81&lt;&gt;0,VLOOKUP(B81,Recursos!B:H,4,FALSE),"")</f>
        <v/>
      </c>
      <c r="F81" s="277">
        <f>+SUMIF(Recursos!$B$1459:$B$1646,Histograma!B81,Recursos!$G$1459:$G$1646)</f>
        <v>0</v>
      </c>
      <c r="G81" s="272"/>
      <c r="H81" s="271" t="str">
        <f t="shared" si="8"/>
        <v/>
      </c>
      <c r="I81" s="272"/>
      <c r="J81" s="288" t="str">
        <f t="shared" si="2"/>
        <v/>
      </c>
      <c r="K81" s="288"/>
    </row>
    <row r="82" spans="2:11" hidden="1" outlineLevel="1">
      <c r="B82" s="265"/>
      <c r="C82" s="274" t="str">
        <f>IF(B82&lt;&gt;0,VLOOKUP(B82,Recursos!B:H,2,FALSE),"")</f>
        <v/>
      </c>
      <c r="D82" s="275" t="str">
        <f>IF(B82&lt;&gt;0,VLOOKUP(B82,Recursos!B:H,3,FALSE),"")</f>
        <v/>
      </c>
      <c r="E82" s="276" t="str">
        <f>IF(B82&lt;&gt;0,VLOOKUP(B82,Recursos!B:H,4,FALSE),"")</f>
        <v/>
      </c>
      <c r="F82" s="277">
        <f>+SUMIF(Recursos!$B$1459:$B$1646,Histograma!B82,Recursos!$G$1459:$G$1646)</f>
        <v>0</v>
      </c>
      <c r="G82" s="272"/>
      <c r="H82" s="271" t="str">
        <f t="shared" si="8"/>
        <v/>
      </c>
      <c r="I82" s="272"/>
      <c r="J82" s="288" t="str">
        <f t="shared" si="2"/>
        <v/>
      </c>
      <c r="K82" s="288"/>
    </row>
    <row r="83" spans="2:11" hidden="1" outlineLevel="1">
      <c r="B83" s="265"/>
      <c r="C83" s="274" t="str">
        <f>IF(B83&lt;&gt;0,VLOOKUP(B83,Recursos!B:H,2,FALSE),"")</f>
        <v/>
      </c>
      <c r="D83" s="275" t="str">
        <f>IF(B83&lt;&gt;0,VLOOKUP(B83,Recursos!B:H,3,FALSE),"")</f>
        <v/>
      </c>
      <c r="E83" s="276" t="str">
        <f>IF(B83&lt;&gt;0,VLOOKUP(B83,Recursos!B:H,4,FALSE),"")</f>
        <v/>
      </c>
      <c r="F83" s="277">
        <f>+SUMIF(Recursos!$B$1459:$B$1646,Histograma!B83,Recursos!$G$1459:$G$1646)</f>
        <v>0</v>
      </c>
      <c r="G83" s="272"/>
      <c r="H83" s="271" t="str">
        <f t="shared" si="8"/>
        <v/>
      </c>
      <c r="I83" s="272"/>
      <c r="J83" s="288" t="str">
        <f t="shared" si="2"/>
        <v/>
      </c>
      <c r="K83" s="288"/>
    </row>
    <row r="84" spans="2:11" hidden="1" outlineLevel="1">
      <c r="B84" s="265"/>
      <c r="C84" s="274" t="str">
        <f>IF(B84&lt;&gt;0,VLOOKUP(B84,Recursos!B:H,2,FALSE),"")</f>
        <v/>
      </c>
      <c r="D84" s="275" t="str">
        <f>IF(B84&lt;&gt;0,VLOOKUP(B84,Recursos!B:H,3,FALSE),"")</f>
        <v/>
      </c>
      <c r="E84" s="276" t="str">
        <f>IF(B84&lt;&gt;0,VLOOKUP(B84,Recursos!B:H,4,FALSE),"")</f>
        <v/>
      </c>
      <c r="F84" s="277">
        <f>+SUMIF(Recursos!$B$1459:$B$1646,Histograma!B84,Recursos!$G$1459:$G$1646)</f>
        <v>0</v>
      </c>
      <c r="G84" s="272"/>
      <c r="H84" s="271" t="str">
        <f t="shared" si="8"/>
        <v/>
      </c>
      <c r="I84" s="272"/>
      <c r="J84" s="288" t="str">
        <f t="shared" si="2"/>
        <v/>
      </c>
      <c r="K84" s="288"/>
    </row>
    <row r="85" spans="2:11" hidden="1" outlineLevel="1">
      <c r="B85" s="265"/>
      <c r="C85" s="274" t="str">
        <f>IF(B85&lt;&gt;0,VLOOKUP(B85,Recursos!B:H,2,FALSE),"")</f>
        <v/>
      </c>
      <c r="D85" s="275" t="str">
        <f>IF(B85&lt;&gt;0,VLOOKUP(B85,Recursos!B:H,3,FALSE),"")</f>
        <v/>
      </c>
      <c r="E85" s="276" t="str">
        <f>IF(B85&lt;&gt;0,VLOOKUP(B85,Recursos!B:H,4,FALSE),"")</f>
        <v/>
      </c>
      <c r="F85" s="277">
        <f>+SUMIF(Recursos!$B$1459:$B$1646,Histograma!B85,Recursos!$G$1459:$G$1646)</f>
        <v>0</v>
      </c>
      <c r="G85" s="272"/>
      <c r="H85" s="271" t="str">
        <f t="shared" si="8"/>
        <v/>
      </c>
      <c r="I85" s="272"/>
      <c r="J85" s="288" t="str">
        <f t="shared" si="2"/>
        <v/>
      </c>
      <c r="K85" s="288"/>
    </row>
    <row r="86" spans="2:11" hidden="1" outlineLevel="1">
      <c r="B86" s="265"/>
      <c r="C86" s="274" t="str">
        <f>IF(B86&lt;&gt;0,VLOOKUP(B86,Recursos!B:H,2,FALSE),"")</f>
        <v/>
      </c>
      <c r="D86" s="275" t="str">
        <f>IF(B86&lt;&gt;0,VLOOKUP(B86,Recursos!B:H,3,FALSE),"")</f>
        <v/>
      </c>
      <c r="E86" s="276" t="str">
        <f>IF(B86&lt;&gt;0,VLOOKUP(B86,Recursos!B:H,4,FALSE),"")</f>
        <v/>
      </c>
      <c r="F86" s="277">
        <f>+SUMIF(Recursos!$B$1459:$B$1646,Histograma!B86,Recursos!$G$1459:$G$1646)</f>
        <v>0</v>
      </c>
      <c r="G86" s="272"/>
      <c r="H86" s="271" t="str">
        <f t="shared" si="8"/>
        <v/>
      </c>
      <c r="I86" s="272"/>
      <c r="J86" s="288" t="str">
        <f t="shared" si="2"/>
        <v/>
      </c>
      <c r="K86" s="288"/>
    </row>
    <row r="87" spans="2:11" hidden="1" outlineLevel="1">
      <c r="B87" s="265"/>
      <c r="C87" s="274" t="str">
        <f>IF(B87&lt;&gt;0,VLOOKUP(B87,Recursos!B:H,2,FALSE),"")</f>
        <v/>
      </c>
      <c r="D87" s="275" t="str">
        <f>IF(B87&lt;&gt;0,VLOOKUP(B87,Recursos!B:H,3,FALSE),"")</f>
        <v/>
      </c>
      <c r="E87" s="276" t="str">
        <f>IF(B87&lt;&gt;0,VLOOKUP(B87,Recursos!B:H,4,FALSE),"")</f>
        <v/>
      </c>
      <c r="F87" s="277">
        <f>+SUMIF(Recursos!$B$1459:$B$1646,Histograma!B87,Recursos!$G$1459:$G$1646)</f>
        <v>0</v>
      </c>
      <c r="G87" s="272"/>
      <c r="H87" s="271" t="str">
        <f t="shared" si="8"/>
        <v/>
      </c>
      <c r="I87" s="272"/>
      <c r="J87" s="288" t="str">
        <f t="shared" si="2"/>
        <v/>
      </c>
      <c r="K87" s="288"/>
    </row>
    <row r="88" spans="2:11" hidden="1" outlineLevel="1">
      <c r="B88" s="265"/>
      <c r="C88" s="274" t="str">
        <f>IF(B88&lt;&gt;0,VLOOKUP(B88,Recursos!B:H,2,FALSE),"")</f>
        <v/>
      </c>
      <c r="D88" s="275" t="str">
        <f>IF(B88&lt;&gt;0,VLOOKUP(B88,Recursos!B:H,3,FALSE),"")</f>
        <v/>
      </c>
      <c r="E88" s="276" t="str">
        <f>IF(B88&lt;&gt;0,VLOOKUP(B88,Recursos!B:H,4,FALSE),"")</f>
        <v/>
      </c>
      <c r="F88" s="277">
        <f>+SUMIF(Recursos!$B$1459:$B$1646,Histograma!B88,Recursos!$G$1459:$G$1646)</f>
        <v>0</v>
      </c>
      <c r="G88" s="272"/>
      <c r="H88" s="271" t="str">
        <f t="shared" si="8"/>
        <v/>
      </c>
      <c r="I88" s="272"/>
      <c r="J88" s="288" t="str">
        <f t="shared" si="2"/>
        <v/>
      </c>
      <c r="K88" s="288"/>
    </row>
    <row r="89" spans="2:11" hidden="1" outlineLevel="1">
      <c r="B89" s="265"/>
      <c r="C89" s="274" t="str">
        <f>IF(B89&lt;&gt;0,VLOOKUP(B89,Recursos!B:H,2,FALSE),"")</f>
        <v/>
      </c>
      <c r="D89" s="275" t="str">
        <f>IF(B89&lt;&gt;0,VLOOKUP(B89,Recursos!B:H,3,FALSE),"")</f>
        <v/>
      </c>
      <c r="E89" s="276" t="str">
        <f>IF(B89&lt;&gt;0,VLOOKUP(B89,Recursos!B:H,4,FALSE),"")</f>
        <v/>
      </c>
      <c r="F89" s="277">
        <f>+SUMIF(Recursos!$B$1459:$B$1646,Histograma!B89,Recursos!$G$1459:$G$1646)</f>
        <v>0</v>
      </c>
      <c r="G89" s="272"/>
      <c r="H89" s="271" t="str">
        <f t="shared" si="8"/>
        <v/>
      </c>
      <c r="I89" s="272"/>
      <c r="J89" s="288" t="str">
        <f t="shared" si="2"/>
        <v/>
      </c>
      <c r="K89" s="288"/>
    </row>
    <row r="90" spans="2:11" hidden="1" outlineLevel="1">
      <c r="B90" s="265"/>
      <c r="C90" s="274" t="str">
        <f>IF(B90&lt;&gt;0,VLOOKUP(B90,Recursos!B:H,2,FALSE),"")</f>
        <v/>
      </c>
      <c r="D90" s="275" t="str">
        <f>IF(B90&lt;&gt;0,VLOOKUP(B90,Recursos!B:H,3,FALSE),"")</f>
        <v/>
      </c>
      <c r="E90" s="276" t="str">
        <f>IF(B90&lt;&gt;0,VLOOKUP(B90,Recursos!B:H,4,FALSE),"")</f>
        <v/>
      </c>
      <c r="F90" s="277">
        <f>+SUMIF(Recursos!$B$1459:$B$1646,Histograma!B90,Recursos!$G$1459:$G$1646)</f>
        <v>0</v>
      </c>
      <c r="G90" s="272"/>
      <c r="H90" s="271" t="str">
        <f t="shared" si="8"/>
        <v/>
      </c>
      <c r="I90" s="272"/>
      <c r="J90" s="288" t="str">
        <f t="shared" si="2"/>
        <v/>
      </c>
      <c r="K90" s="288"/>
    </row>
    <row r="91" spans="2:11" hidden="1" outlineLevel="1">
      <c r="B91" s="265"/>
      <c r="C91" s="274" t="str">
        <f>IF(B91&lt;&gt;0,VLOOKUP(B91,Recursos!B:H,2,FALSE),"")</f>
        <v/>
      </c>
      <c r="D91" s="275" t="str">
        <f>IF(B91&lt;&gt;0,VLOOKUP(B91,Recursos!B:H,3,FALSE),"")</f>
        <v/>
      </c>
      <c r="E91" s="276" t="str">
        <f>IF(B91&lt;&gt;0,VLOOKUP(B91,Recursos!B:H,4,FALSE),"")</f>
        <v/>
      </c>
      <c r="F91" s="277">
        <f>+SUMIF(Recursos!$B$1459:$B$1646,Histograma!B91,Recursos!$G$1459:$G$1646)</f>
        <v>0</v>
      </c>
      <c r="G91" s="272"/>
      <c r="H91" s="271" t="str">
        <f t="shared" si="8"/>
        <v/>
      </c>
      <c r="I91" s="272"/>
      <c r="J91" s="288" t="str">
        <f t="shared" si="2"/>
        <v/>
      </c>
      <c r="K91" s="288"/>
    </row>
    <row r="92" spans="2:11" hidden="1" outlineLevel="1">
      <c r="B92" s="265"/>
      <c r="C92" s="274" t="str">
        <f>IF(B92&lt;&gt;0,VLOOKUP(B92,Recursos!B:H,2,FALSE),"")</f>
        <v/>
      </c>
      <c r="D92" s="275" t="str">
        <f>IF(B92&lt;&gt;0,VLOOKUP(B92,Recursos!B:H,3,FALSE),"")</f>
        <v/>
      </c>
      <c r="E92" s="276" t="str">
        <f>IF(B92&lt;&gt;0,VLOOKUP(B92,Recursos!B:H,4,FALSE),"")</f>
        <v/>
      </c>
      <c r="F92" s="277">
        <f>+SUMIF(Recursos!$B$1459:$B$1646,Histograma!B92,Recursos!$G$1459:$G$1646)</f>
        <v>0</v>
      </c>
      <c r="G92" s="272"/>
      <c r="H92" s="271" t="str">
        <f t="shared" si="8"/>
        <v/>
      </c>
      <c r="I92" s="272"/>
      <c r="J92" s="288" t="str">
        <f t="shared" si="2"/>
        <v/>
      </c>
      <c r="K92" s="288"/>
    </row>
    <row r="93" spans="2:11" hidden="1" outlineLevel="1">
      <c r="B93" s="265"/>
      <c r="C93" s="274" t="str">
        <f>IF(B93&lt;&gt;0,VLOOKUP(B93,Recursos!B:H,2,FALSE),"")</f>
        <v/>
      </c>
      <c r="D93" s="275" t="str">
        <f>IF(B93&lt;&gt;0,VLOOKUP(B93,Recursos!B:H,3,FALSE),"")</f>
        <v/>
      </c>
      <c r="E93" s="276" t="str">
        <f>IF(B93&lt;&gt;0,VLOOKUP(B93,Recursos!B:H,4,FALSE),"")</f>
        <v/>
      </c>
      <c r="F93" s="277">
        <f>+SUMIF(Recursos!$B$1459:$B$1646,Histograma!B93,Recursos!$G$1459:$G$1646)</f>
        <v>0</v>
      </c>
      <c r="G93" s="272"/>
      <c r="H93" s="271" t="str">
        <f t="shared" si="8"/>
        <v/>
      </c>
      <c r="I93" s="272"/>
      <c r="J93" s="288" t="str">
        <f t="shared" si="2"/>
        <v/>
      </c>
      <c r="K93" s="288"/>
    </row>
    <row r="94" spans="2:11" hidden="1" outlineLevel="1">
      <c r="B94" s="265"/>
      <c r="C94" s="274" t="str">
        <f>IF(B94&lt;&gt;0,VLOOKUP(B94,Recursos!B:H,2,FALSE),"")</f>
        <v/>
      </c>
      <c r="D94" s="275" t="str">
        <f>IF(B94&lt;&gt;0,VLOOKUP(B94,Recursos!B:H,3,FALSE),"")</f>
        <v/>
      </c>
      <c r="E94" s="276" t="str">
        <f>IF(B94&lt;&gt;0,VLOOKUP(B94,Recursos!B:H,4,FALSE),"")</f>
        <v/>
      </c>
      <c r="F94" s="277">
        <f>+SUMIF(Recursos!$B$1459:$B$1646,Histograma!B94,Recursos!$G$1459:$G$1646)</f>
        <v>0</v>
      </c>
      <c r="G94" s="272"/>
      <c r="H94" s="271" t="str">
        <f t="shared" si="8"/>
        <v/>
      </c>
      <c r="I94" s="272"/>
      <c r="J94" s="288" t="str">
        <f t="shared" si="2"/>
        <v/>
      </c>
      <c r="K94" s="288"/>
    </row>
    <row r="95" spans="2:11" hidden="1" outlineLevel="1">
      <c r="B95" s="265"/>
      <c r="C95" s="274" t="str">
        <f>IF(B95&lt;&gt;0,VLOOKUP(B95,Recursos!B:H,2,FALSE),"")</f>
        <v/>
      </c>
      <c r="D95" s="275" t="str">
        <f>IF(B95&lt;&gt;0,VLOOKUP(B95,Recursos!B:H,3,FALSE),"")</f>
        <v/>
      </c>
      <c r="E95" s="276" t="str">
        <f>IF(B95&lt;&gt;0,VLOOKUP(B95,Recursos!B:H,4,FALSE),"")</f>
        <v/>
      </c>
      <c r="F95" s="277">
        <f>+SUMIF(Recursos!$B$1459:$B$1646,Histograma!B95,Recursos!$G$1459:$G$1646)</f>
        <v>0</v>
      </c>
      <c r="G95" s="272"/>
      <c r="H95" s="271" t="str">
        <f t="shared" si="8"/>
        <v/>
      </c>
      <c r="I95" s="272"/>
      <c r="J95" s="288" t="str">
        <f t="shared" si="2"/>
        <v/>
      </c>
      <c r="K95" s="288"/>
    </row>
    <row r="96" spans="2:11" hidden="1" outlineLevel="1">
      <c r="B96" s="265"/>
      <c r="C96" s="274" t="str">
        <f>IF(B96&lt;&gt;0,VLOOKUP(B96,Recursos!B:H,2,FALSE),"")</f>
        <v/>
      </c>
      <c r="D96" s="275" t="str">
        <f>IF(B96&lt;&gt;0,VLOOKUP(B96,Recursos!B:H,3,FALSE),"")</f>
        <v/>
      </c>
      <c r="E96" s="276" t="str">
        <f>IF(B96&lt;&gt;0,VLOOKUP(B96,Recursos!B:H,4,FALSE),"")</f>
        <v/>
      </c>
      <c r="F96" s="277">
        <f>+SUMIF(Recursos!$B$1459:$B$1646,Histograma!B96,Recursos!$G$1459:$G$1646)</f>
        <v>0</v>
      </c>
      <c r="G96" s="272"/>
      <c r="H96" s="271" t="str">
        <f t="shared" si="8"/>
        <v/>
      </c>
      <c r="I96" s="272"/>
      <c r="J96" s="288" t="str">
        <f t="shared" si="2"/>
        <v/>
      </c>
      <c r="K96" s="288"/>
    </row>
    <row r="97" spans="2:11" hidden="1" outlineLevel="1">
      <c r="B97" s="265"/>
      <c r="C97" s="274" t="str">
        <f>IF(B97&lt;&gt;0,VLOOKUP(B97,Recursos!B:H,2,FALSE),"")</f>
        <v/>
      </c>
      <c r="D97" s="275" t="str">
        <f>IF(B97&lt;&gt;0,VLOOKUP(B97,Recursos!B:H,3,FALSE),"")</f>
        <v/>
      </c>
      <c r="E97" s="276" t="str">
        <f>IF(B97&lt;&gt;0,VLOOKUP(B97,Recursos!B:H,4,FALSE),"")</f>
        <v/>
      </c>
      <c r="F97" s="277">
        <f>+SUMIF(Recursos!$B$1459:$B$1646,Histograma!B97,Recursos!$G$1459:$G$1646)</f>
        <v>0</v>
      </c>
      <c r="G97" s="272"/>
      <c r="H97" s="271" t="str">
        <f t="shared" si="8"/>
        <v/>
      </c>
      <c r="I97" s="272"/>
      <c r="J97" s="288" t="str">
        <f t="shared" si="2"/>
        <v/>
      </c>
      <c r="K97" s="288"/>
    </row>
    <row r="98" spans="2:11" hidden="1" outlineLevel="1">
      <c r="B98" s="265"/>
      <c r="C98" s="274" t="str">
        <f>IF(B98&lt;&gt;0,VLOOKUP(B98,Recursos!B:H,2,FALSE),"")</f>
        <v/>
      </c>
      <c r="D98" s="275" t="str">
        <f>IF(B98&lt;&gt;0,VLOOKUP(B98,Recursos!B:H,3,FALSE),"")</f>
        <v/>
      </c>
      <c r="E98" s="276" t="str">
        <f>IF(B98&lt;&gt;0,VLOOKUP(B98,Recursos!B:H,4,FALSE),"")</f>
        <v/>
      </c>
      <c r="F98" s="277">
        <f>+SUMIF(Recursos!$B$1459:$B$1646,Histograma!B98,Recursos!$G$1459:$G$1646)</f>
        <v>0</v>
      </c>
      <c r="G98" s="272"/>
      <c r="H98" s="271" t="str">
        <f t="shared" si="8"/>
        <v/>
      </c>
      <c r="I98" s="272"/>
      <c r="J98" s="288" t="str">
        <f t="shared" si="2"/>
        <v/>
      </c>
      <c r="K98" s="288"/>
    </row>
    <row r="99" spans="2:11" hidden="1" outlineLevel="1">
      <c r="B99" s="265"/>
      <c r="C99" s="274" t="str">
        <f>IF(B99&lt;&gt;0,VLOOKUP(B99,Recursos!B:H,2,FALSE),"")</f>
        <v/>
      </c>
      <c r="D99" s="275" t="str">
        <f>IF(B99&lt;&gt;0,VLOOKUP(B99,Recursos!B:H,3,FALSE),"")</f>
        <v/>
      </c>
      <c r="E99" s="276" t="str">
        <f>IF(B99&lt;&gt;0,VLOOKUP(B99,Recursos!B:H,4,FALSE),"")</f>
        <v/>
      </c>
      <c r="F99" s="277">
        <f>+SUMIF(Recursos!$B$1459:$B$1646,Histograma!B99,Recursos!$G$1459:$G$1646)</f>
        <v>0</v>
      </c>
      <c r="G99" s="272"/>
      <c r="H99" s="271" t="str">
        <f t="shared" si="8"/>
        <v/>
      </c>
      <c r="I99" s="272"/>
      <c r="J99" s="288" t="str">
        <f t="shared" si="2"/>
        <v/>
      </c>
      <c r="K99" s="288"/>
    </row>
    <row r="100" spans="2:11" hidden="1" outlineLevel="1">
      <c r="B100" s="265"/>
      <c r="C100" s="274" t="str">
        <f>IF(B100&lt;&gt;0,VLOOKUP(B100,Recursos!B:H,2,FALSE),"")</f>
        <v/>
      </c>
      <c r="D100" s="275" t="str">
        <f>IF(B100&lt;&gt;0,VLOOKUP(B100,Recursos!B:H,3,FALSE),"")</f>
        <v/>
      </c>
      <c r="E100" s="276" t="str">
        <f>IF(B100&lt;&gt;0,VLOOKUP(B100,Recursos!B:H,4,FALSE),"")</f>
        <v/>
      </c>
      <c r="F100" s="277">
        <f>+SUMIF(Recursos!$B$1459:$B$1646,Histograma!B100,Recursos!$G$1459:$G$1646)</f>
        <v>0</v>
      </c>
      <c r="G100" s="272"/>
      <c r="H100" s="271" t="str">
        <f t="shared" si="8"/>
        <v/>
      </c>
      <c r="I100" s="272"/>
      <c r="J100" s="288" t="str">
        <f t="shared" si="2"/>
        <v/>
      </c>
      <c r="K100" s="288"/>
    </row>
    <row r="101" spans="2:11" hidden="1" outlineLevel="1">
      <c r="B101" s="265"/>
      <c r="C101" s="274" t="str">
        <f>IF(B101&lt;&gt;0,VLOOKUP(B101,Recursos!B:H,2,FALSE),"")</f>
        <v/>
      </c>
      <c r="D101" s="275" t="str">
        <f>IF(B101&lt;&gt;0,VLOOKUP(B101,Recursos!B:H,3,FALSE),"")</f>
        <v/>
      </c>
      <c r="E101" s="276" t="str">
        <f>IF(B101&lt;&gt;0,VLOOKUP(B101,Recursos!B:H,4,FALSE),"")</f>
        <v/>
      </c>
      <c r="F101" s="277">
        <f>+SUMIF(Recursos!$B$1459:$B$1646,Histograma!B101,Recursos!$G$1459:$G$1646)</f>
        <v>0</v>
      </c>
      <c r="G101" s="272"/>
      <c r="H101" s="271" t="str">
        <f t="shared" si="8"/>
        <v/>
      </c>
      <c r="I101" s="272"/>
      <c r="J101" s="288" t="str">
        <f t="shared" si="2"/>
        <v/>
      </c>
      <c r="K101" s="288"/>
    </row>
    <row r="102" spans="2:11" hidden="1" outlineLevel="1">
      <c r="B102" s="265"/>
      <c r="C102" s="274" t="str">
        <f>IF(B102&lt;&gt;0,VLOOKUP(B102,Recursos!B:H,2,FALSE),"")</f>
        <v/>
      </c>
      <c r="D102" s="275" t="str">
        <f>IF(B102&lt;&gt;0,VLOOKUP(B102,Recursos!B:H,3,FALSE),"")</f>
        <v/>
      </c>
      <c r="E102" s="276" t="str">
        <f>IF(B102&lt;&gt;0,VLOOKUP(B102,Recursos!B:H,4,FALSE),"")</f>
        <v/>
      </c>
      <c r="F102" s="277">
        <f>+SUMIF(Recursos!$B$1459:$B$1646,Histograma!B102,Recursos!$G$1459:$G$1646)</f>
        <v>0</v>
      </c>
      <c r="G102" s="272"/>
      <c r="H102" s="271" t="str">
        <f t="shared" si="8"/>
        <v/>
      </c>
      <c r="I102" s="272"/>
      <c r="J102" s="288" t="str">
        <f t="shared" si="2"/>
        <v/>
      </c>
      <c r="K102" s="288"/>
    </row>
    <row r="103" spans="2:11" hidden="1" outlineLevel="1">
      <c r="B103" s="265"/>
      <c r="C103" s="274" t="str">
        <f>IF(B103&lt;&gt;0,VLOOKUP(B103,Recursos!B:H,2,FALSE),"")</f>
        <v/>
      </c>
      <c r="D103" s="275" t="str">
        <f>IF(B103&lt;&gt;0,VLOOKUP(B103,Recursos!B:H,3,FALSE),"")</f>
        <v/>
      </c>
      <c r="E103" s="276" t="str">
        <f>IF(B103&lt;&gt;0,VLOOKUP(B103,Recursos!B:H,4,FALSE),"")</f>
        <v/>
      </c>
      <c r="F103" s="277">
        <f>+SUMIF(Recursos!$B$1459:$B$1646,Histograma!B103,Recursos!$G$1459:$G$1646)</f>
        <v>0</v>
      </c>
      <c r="G103" s="272"/>
      <c r="H103" s="271" t="str">
        <f t="shared" si="8"/>
        <v/>
      </c>
      <c r="I103" s="272"/>
      <c r="J103" s="288" t="str">
        <f t="shared" si="2"/>
        <v/>
      </c>
      <c r="K103" s="288"/>
    </row>
    <row r="104" spans="2:11" hidden="1" outlineLevel="1">
      <c r="B104" s="265"/>
      <c r="C104" s="274" t="str">
        <f>IF(B104&lt;&gt;0,VLOOKUP(B104,Recursos!B:H,2,FALSE),"")</f>
        <v/>
      </c>
      <c r="D104" s="275" t="str">
        <f>IF(B104&lt;&gt;0,VLOOKUP(B104,Recursos!B:H,3,FALSE),"")</f>
        <v/>
      </c>
      <c r="E104" s="276" t="str">
        <f>IF(B104&lt;&gt;0,VLOOKUP(B104,Recursos!B:H,4,FALSE),"")</f>
        <v/>
      </c>
      <c r="F104" s="277">
        <f>+SUMIF(Recursos!$B$1459:$B$1646,Histograma!B104,Recursos!$G$1459:$G$1646)</f>
        <v>0</v>
      </c>
      <c r="G104" s="272"/>
      <c r="H104" s="271" t="str">
        <f t="shared" si="8"/>
        <v/>
      </c>
      <c r="I104" s="272"/>
      <c r="J104" s="288" t="str">
        <f t="shared" si="2"/>
        <v/>
      </c>
      <c r="K104" s="288"/>
    </row>
    <row r="105" spans="2:11" hidden="1" outlineLevel="1">
      <c r="B105" s="265"/>
      <c r="C105" s="274" t="str">
        <f>IF(B105&lt;&gt;0,VLOOKUP(B105,Recursos!B:H,2,FALSE),"")</f>
        <v/>
      </c>
      <c r="D105" s="275" t="str">
        <f>IF(B105&lt;&gt;0,VLOOKUP(B105,Recursos!B:H,3,FALSE),"")</f>
        <v/>
      </c>
      <c r="E105" s="276" t="str">
        <f>IF(B105&lt;&gt;0,VLOOKUP(B105,Recursos!B:H,4,FALSE),"")</f>
        <v/>
      </c>
      <c r="F105" s="277">
        <f>+SUMIF(Recursos!$B$1459:$B$1646,Histograma!B105,Recursos!$G$1459:$G$1646)</f>
        <v>0</v>
      </c>
      <c r="G105" s="272"/>
      <c r="H105" s="271" t="str">
        <f t="shared" si="8"/>
        <v/>
      </c>
      <c r="I105" s="272"/>
      <c r="J105" s="288" t="str">
        <f>IF(B105&lt;&gt;0,+H105/I105,"")</f>
        <v/>
      </c>
      <c r="K105" s="288"/>
    </row>
    <row r="106" spans="2:11" hidden="1" outlineLevel="1">
      <c r="B106" s="265"/>
      <c r="C106" s="274" t="str">
        <f>IF(B106&lt;&gt;0,VLOOKUP(B106,Recursos!B:H,2,FALSE),"")</f>
        <v/>
      </c>
      <c r="D106" s="275" t="str">
        <f>IF(B106&lt;&gt;0,VLOOKUP(B106,Recursos!B:H,3,FALSE),"")</f>
        <v/>
      </c>
      <c r="E106" s="276" t="str">
        <f>IF(B106&lt;&gt;0,VLOOKUP(B106,Recursos!B:H,4,FALSE),"")</f>
        <v/>
      </c>
      <c r="F106" s="277">
        <f>+SUMIF(Recursos!$B$1459:$B$1646,Histograma!B106,Recursos!$G$1459:$G$1646)</f>
        <v>0</v>
      </c>
      <c r="G106" s="272"/>
      <c r="H106" s="271" t="str">
        <f t="shared" si="8"/>
        <v/>
      </c>
      <c r="I106" s="272"/>
      <c r="J106" s="288" t="str">
        <f>IF(B106&lt;&gt;0,+H106/I106,"")</f>
        <v/>
      </c>
      <c r="K106" s="288"/>
    </row>
    <row r="107" spans="2:11" ht="12" collapsed="1" thickBot="1">
      <c r="B107" s="265"/>
      <c r="C107" s="280"/>
      <c r="D107" s="281"/>
      <c r="E107" s="282"/>
      <c r="F107" s="283"/>
      <c r="G107" s="272"/>
      <c r="H107" s="284"/>
      <c r="I107" s="285"/>
      <c r="J107" s="289"/>
      <c r="K107" s="289"/>
    </row>
    <row r="108" spans="2:11"/>
    <row r="109" spans="2:11"/>
    <row r="110" spans="2:11"/>
    <row r="111" spans="2:11"/>
    <row r="112" spans="2:11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 ht="15.75" customHeight="1"/>
  </sheetData>
  <mergeCells count="1">
    <mergeCell ref="D3:K3"/>
  </mergeCells>
  <phoneticPr fontId="0" type="noConversion"/>
  <printOptions horizontalCentered="1" verticalCentered="1"/>
  <pageMargins left="0.74803149606299213" right="0.74803149606299213" top="0.55118110236220474" bottom="0.51181102362204722" header="0.31496062992125984" footer="0.27559055118110237"/>
  <pageSetup paperSize="9" scale="73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B1:J93"/>
  <sheetViews>
    <sheetView zoomScale="70" workbookViewId="0">
      <selection activeCell="I23" sqref="I19:I23"/>
    </sheetView>
  </sheetViews>
  <sheetFormatPr baseColWidth="10" defaultColWidth="0" defaultRowHeight="13.8" zeroHeight="1" outlineLevelRow="1"/>
  <cols>
    <col min="1" max="1" width="1.6640625" style="560" customWidth="1"/>
    <col min="2" max="2" width="6.33203125" style="560" customWidth="1"/>
    <col min="3" max="3" width="53.33203125" style="560" customWidth="1"/>
    <col min="4" max="4" width="4.33203125" style="560" bestFit="1" customWidth="1"/>
    <col min="5" max="5" width="17.33203125" style="560" customWidth="1"/>
    <col min="6" max="6" width="15.5546875" style="560" customWidth="1"/>
    <col min="7" max="7" width="18.109375" style="560" customWidth="1"/>
    <col min="8" max="8" width="13.88671875" style="560" customWidth="1"/>
    <col min="9" max="9" width="7.88671875" style="560" customWidth="1"/>
    <col min="10" max="10" width="39.44140625" style="560" customWidth="1"/>
    <col min="11" max="11" width="1.5546875" style="560" customWidth="1"/>
    <col min="12" max="16384" width="0" style="560" hidden="1"/>
  </cols>
  <sheetData>
    <row r="1" spans="2:10" ht="14.4" thickBot="1"/>
    <row r="2" spans="2:10" ht="15.6">
      <c r="B2" s="561" t="str">
        <f>+obra</f>
        <v>CONSTRUCCIÓN DE SANITARIOS</v>
      </c>
      <c r="C2" s="563"/>
      <c r="D2" s="563"/>
      <c r="E2" s="565"/>
      <c r="F2" s="566"/>
      <c r="G2" s="566"/>
      <c r="H2" s="568"/>
      <c r="I2" s="568"/>
      <c r="J2" s="1097"/>
    </row>
    <row r="3" spans="2:10" ht="15.6">
      <c r="B3" s="570" t="str">
        <f>+lugar</f>
        <v>Godoy Cruz, Mendoza</v>
      </c>
      <c r="C3" s="572"/>
      <c r="D3" s="572"/>
      <c r="E3" s="573"/>
      <c r="F3" s="574"/>
      <c r="G3" s="574"/>
      <c r="H3" s="576"/>
      <c r="I3" s="576"/>
      <c r="J3" s="1098"/>
    </row>
    <row r="4" spans="2:10" ht="16.2" thickBot="1">
      <c r="B4" s="578" t="str">
        <f>+comitente</f>
        <v>MUNICIPALIDAD DE GODOY CRUZ</v>
      </c>
      <c r="C4" s="580"/>
      <c r="D4" s="580"/>
      <c r="E4" s="579"/>
      <c r="F4" s="581"/>
      <c r="G4" s="581"/>
      <c r="H4" s="583"/>
      <c r="I4" s="583"/>
      <c r="J4" s="1099"/>
    </row>
    <row r="5" spans="2:10"/>
    <row r="6" spans="2:10" ht="14.4" thickBot="1"/>
    <row r="7" spans="2:10" ht="15.6">
      <c r="B7" s="1100"/>
      <c r="C7" s="1101" t="s">
        <v>194</v>
      </c>
      <c r="D7" s="1102" t="s">
        <v>371</v>
      </c>
      <c r="E7" s="1103" t="s">
        <v>1154</v>
      </c>
      <c r="F7" s="1104" t="s">
        <v>372</v>
      </c>
      <c r="G7" s="1105" t="s">
        <v>325</v>
      </c>
      <c r="H7" s="1106" t="s">
        <v>399</v>
      </c>
      <c r="I7" s="1106"/>
      <c r="J7" s="1107" t="s">
        <v>574</v>
      </c>
    </row>
    <row r="8" spans="2:10" ht="15.6">
      <c r="B8" s="1108"/>
      <c r="C8" s="1109" t="s">
        <v>935</v>
      </c>
      <c r="D8" s="1110"/>
      <c r="E8" s="1111"/>
      <c r="F8" s="1112"/>
      <c r="G8" s="1113">
        <f>+SUBTOTAL(9,G10:G35)</f>
        <v>128631.65142878229</v>
      </c>
      <c r="H8" s="1114"/>
      <c r="I8" s="1114"/>
      <c r="J8" s="1115"/>
    </row>
    <row r="9" spans="2:10" ht="15.6">
      <c r="B9" s="1108"/>
      <c r="C9" s="1109"/>
      <c r="D9" s="1110"/>
      <c r="E9" s="1116"/>
      <c r="F9" s="1112"/>
      <c r="G9" s="1113"/>
      <c r="H9" s="1114"/>
      <c r="I9" s="1114"/>
      <c r="J9" s="1115"/>
    </row>
    <row r="10" spans="2:10" ht="16.5" customHeight="1">
      <c r="B10" s="1108" t="s">
        <v>4696</v>
      </c>
      <c r="C10" s="1117" t="s">
        <v>4698</v>
      </c>
      <c r="D10" s="1110" t="s">
        <v>623</v>
      </c>
      <c r="E10" s="1118">
        <f>+SUMIF(Items!D:D,Resumen!B10,Items!H:H)</f>
        <v>1</v>
      </c>
      <c r="F10" s="1112">
        <f t="shared" ref="F10:F35" si="0">+G10/E10</f>
        <v>1939.9217107866893</v>
      </c>
      <c r="G10" s="1118">
        <f>+SUMIF(Items!D:D,Resumen!B10,Items!J:J)</f>
        <v>1939.9217107866893</v>
      </c>
      <c r="H10" s="1119">
        <f>+G10/$G$47</f>
        <v>5.9793736023569357E-3</v>
      </c>
      <c r="I10" s="1120"/>
      <c r="J10" s="1121"/>
    </row>
    <row r="11" spans="2:10" ht="15.6">
      <c r="B11" s="1108" t="s">
        <v>4697</v>
      </c>
      <c r="C11" s="1117" t="s">
        <v>4699</v>
      </c>
      <c r="D11" s="1110" t="s">
        <v>623</v>
      </c>
      <c r="E11" s="1118">
        <f>+SUMIF(Items!D:D,Resumen!B11,Items!H:H)</f>
        <v>1</v>
      </c>
      <c r="F11" s="1112">
        <f t="shared" si="0"/>
        <v>10111.25082984959</v>
      </c>
      <c r="G11" s="1118">
        <f>+SUMIF(Items!D:D,Resumen!B11,Items!J:J)</f>
        <v>10111.25082984959</v>
      </c>
      <c r="H11" s="1119">
        <f t="shared" ref="H11:H35" si="1">+G11/$G$47</f>
        <v>3.1165663007243011E-2</v>
      </c>
      <c r="I11" s="1120"/>
      <c r="J11" s="1121"/>
    </row>
    <row r="12" spans="2:10" ht="15.6">
      <c r="B12" s="1108" t="s">
        <v>4700</v>
      </c>
      <c r="C12" s="1117" t="s">
        <v>4701</v>
      </c>
      <c r="D12" s="1110" t="s">
        <v>623</v>
      </c>
      <c r="E12" s="1118">
        <f>+SUMIF(Items!D:D,Resumen!B12,Items!H:H)</f>
        <v>1</v>
      </c>
      <c r="F12" s="1112">
        <f t="shared" si="0"/>
        <v>4748.8052663737772</v>
      </c>
      <c r="G12" s="1118">
        <f>+SUMIF(Items!D:D,Resumen!B12,Items!J:J)</f>
        <v>4748.8052663737772</v>
      </c>
      <c r="H12" s="1119">
        <f t="shared" si="1"/>
        <v>1.463712720704285E-2</v>
      </c>
      <c r="I12" s="1120"/>
      <c r="J12" s="1121"/>
    </row>
    <row r="13" spans="2:10" ht="15.6">
      <c r="B13" s="1108" t="s">
        <v>4702</v>
      </c>
      <c r="C13" s="1117" t="s">
        <v>4703</v>
      </c>
      <c r="D13" s="1110" t="s">
        <v>447</v>
      </c>
      <c r="E13" s="1118">
        <f>+SUMIF(Items!D:D,Resumen!B13,Items!H:H)</f>
        <v>3.62</v>
      </c>
      <c r="F13" s="1112">
        <f>+G13/E13</f>
        <v>1042.422835650058</v>
      </c>
      <c r="G13" s="1118">
        <f>+SUMIF(Items!D:D,Resumen!B13,Items!J:J)</f>
        <v>3773.5706650532102</v>
      </c>
      <c r="H13" s="1119">
        <f t="shared" si="1"/>
        <v>1.1631185266800041E-2</v>
      </c>
      <c r="I13" s="1120"/>
      <c r="J13" s="1121"/>
    </row>
    <row r="14" spans="2:10" ht="15.6">
      <c r="B14" s="1108" t="s">
        <v>4704</v>
      </c>
      <c r="C14" s="1117" t="s">
        <v>4706</v>
      </c>
      <c r="D14" s="1110" t="s">
        <v>447</v>
      </c>
      <c r="E14" s="1118">
        <f>+SUMIF(Items!D:D,Resumen!B14,Items!H:H)</f>
        <v>0.24</v>
      </c>
      <c r="F14" s="1112">
        <f t="shared" si="0"/>
        <v>3645.8586237264703</v>
      </c>
      <c r="G14" s="1118">
        <f>+SUMIF(Items!D:D,Resumen!B14,Items!J:J)</f>
        <v>875.00606969435285</v>
      </c>
      <c r="H14" s="1119">
        <f t="shared" si="1"/>
        <v>2.6970099700110049E-3</v>
      </c>
      <c r="I14" s="1120"/>
      <c r="J14" s="1121"/>
    </row>
    <row r="15" spans="2:10" ht="15.6">
      <c r="B15" s="1108" t="s">
        <v>4705</v>
      </c>
      <c r="C15" s="1117" t="s">
        <v>4707</v>
      </c>
      <c r="D15" s="1110" t="s">
        <v>447</v>
      </c>
      <c r="E15" s="1118">
        <f>+SUMIF(Items!D:D,Resumen!B15,Items!H:H)</f>
        <v>7.61</v>
      </c>
      <c r="F15" s="1112">
        <f t="shared" si="0"/>
        <v>14084.506818268681</v>
      </c>
      <c r="G15" s="1118">
        <f>+SUMIF(Items!D:D,Resumen!B15,Items!J:J)</f>
        <v>107183.09688702467</v>
      </c>
      <c r="H15" s="1119">
        <f t="shared" si="1"/>
        <v>0.33036785793033074</v>
      </c>
      <c r="I15" s="1120"/>
      <c r="J15" s="1121"/>
    </row>
    <row r="16" spans="2:10" ht="15.6">
      <c r="B16" s="1108"/>
      <c r="C16" s="1117"/>
      <c r="D16" s="1110"/>
      <c r="E16" s="1118"/>
      <c r="F16" s="1112"/>
      <c r="G16" s="1118"/>
      <c r="H16" s="1119"/>
      <c r="I16" s="1120"/>
      <c r="J16" s="1121"/>
    </row>
    <row r="17" spans="2:10" ht="15.6">
      <c r="B17" s="1108"/>
      <c r="C17" s="1117"/>
      <c r="D17" s="1110"/>
      <c r="E17" s="1118"/>
      <c r="F17" s="1112"/>
      <c r="G17" s="1118"/>
      <c r="H17" s="1119"/>
      <c r="I17" s="1120"/>
      <c r="J17" s="1121"/>
    </row>
    <row r="18" spans="2:10" ht="15.6">
      <c r="B18" s="1108"/>
      <c r="C18" s="1117"/>
      <c r="D18" s="1110"/>
      <c r="E18" s="1118"/>
      <c r="F18" s="1112"/>
      <c r="G18" s="1118"/>
      <c r="H18" s="1119"/>
      <c r="I18" s="1120"/>
      <c r="J18" s="1121"/>
    </row>
    <row r="19" spans="2:10" ht="15.6">
      <c r="B19" s="1108"/>
      <c r="C19" s="1117"/>
      <c r="D19" s="1110"/>
      <c r="E19" s="1118"/>
      <c r="F19" s="1112"/>
      <c r="G19" s="1118"/>
      <c r="H19" s="1119"/>
      <c r="I19" s="1120"/>
      <c r="J19" s="1121"/>
    </row>
    <row r="20" spans="2:10" ht="15.6">
      <c r="B20" s="1108"/>
      <c r="C20" s="1117"/>
      <c r="D20" s="1110"/>
      <c r="E20" s="1118"/>
      <c r="F20" s="1112"/>
      <c r="G20" s="1118"/>
      <c r="H20" s="1119"/>
      <c r="I20" s="1120"/>
      <c r="J20" s="1121"/>
    </row>
    <row r="21" spans="2:10" ht="15.6">
      <c r="B21" s="1108"/>
      <c r="C21" s="1117"/>
      <c r="D21" s="1110"/>
      <c r="E21" s="1118"/>
      <c r="F21" s="1112"/>
      <c r="G21" s="1118"/>
      <c r="H21" s="1119"/>
      <c r="I21" s="1120"/>
      <c r="J21" s="1121"/>
    </row>
    <row r="22" spans="2:10" ht="15.6">
      <c r="B22" s="1108"/>
      <c r="C22" s="1117"/>
      <c r="D22" s="1110"/>
      <c r="E22" s="1118"/>
      <c r="F22" s="1112"/>
      <c r="G22" s="1118"/>
      <c r="H22" s="1119"/>
      <c r="I22" s="1120"/>
      <c r="J22" s="1121"/>
    </row>
    <row r="23" spans="2:10" ht="15.6">
      <c r="B23" s="1108"/>
      <c r="C23" s="1117"/>
      <c r="D23" s="1110"/>
      <c r="E23" s="1118"/>
      <c r="F23" s="1112"/>
      <c r="G23" s="1118"/>
      <c r="H23" s="1119"/>
      <c r="I23" s="1120"/>
      <c r="J23" s="1121"/>
    </row>
    <row r="24" spans="2:10" ht="15.6" hidden="1" outlineLevel="1">
      <c r="B24" s="1108"/>
      <c r="C24" s="1117"/>
      <c r="D24" s="1110"/>
      <c r="E24" s="1118">
        <f>+SUMIF(Items!D:D,Resumen!B24,Items!H:H)</f>
        <v>0</v>
      </c>
      <c r="F24" s="1112" t="e">
        <f t="shared" si="0"/>
        <v>#DIV/0!</v>
      </c>
      <c r="G24" s="1118">
        <f>+SUMIF(Items!D:D,Resumen!B24,Items!J:J)</f>
        <v>0</v>
      </c>
      <c r="H24" s="1119">
        <f t="shared" si="1"/>
        <v>0</v>
      </c>
      <c r="I24" s="1120"/>
      <c r="J24" s="1121"/>
    </row>
    <row r="25" spans="2:10" ht="15.6" hidden="1" outlineLevel="1">
      <c r="B25" s="1108"/>
      <c r="C25" s="1117"/>
      <c r="D25" s="1110"/>
      <c r="E25" s="1118">
        <f>+SUMIF(Items!D:D,Resumen!B25,Items!H:H)</f>
        <v>0</v>
      </c>
      <c r="F25" s="1112" t="e">
        <f t="shared" si="0"/>
        <v>#DIV/0!</v>
      </c>
      <c r="G25" s="1122">
        <f>+SUMIF(Items!D:D,Resumen!B25,Items!J:J)</f>
        <v>0</v>
      </c>
      <c r="H25" s="1119">
        <f t="shared" si="1"/>
        <v>0</v>
      </c>
      <c r="I25" s="1120"/>
      <c r="J25" s="1121"/>
    </row>
    <row r="26" spans="2:10" ht="15.6" hidden="1" outlineLevel="1">
      <c r="B26" s="1108"/>
      <c r="C26" s="1117"/>
      <c r="D26" s="1110"/>
      <c r="E26" s="1118">
        <f>+SUMIF(Items!D:D,Resumen!B26,Items!H:H)</f>
        <v>0</v>
      </c>
      <c r="F26" s="1112" t="e">
        <f t="shared" si="0"/>
        <v>#DIV/0!</v>
      </c>
      <c r="G26" s="1118">
        <f>+SUMIF(Items!D:D,Resumen!B26,Items!J:J)</f>
        <v>0</v>
      </c>
      <c r="H26" s="1119">
        <f t="shared" si="1"/>
        <v>0</v>
      </c>
      <c r="I26" s="1120"/>
      <c r="J26" s="1121"/>
    </row>
    <row r="27" spans="2:10" ht="15.6" hidden="1" outlineLevel="1">
      <c r="B27" s="1108"/>
      <c r="C27" s="1117"/>
      <c r="D27" s="1110"/>
      <c r="E27" s="1118">
        <f>+SUMIF(Items!D:D,Resumen!B27,Items!H:H)</f>
        <v>0</v>
      </c>
      <c r="F27" s="1112" t="e">
        <f t="shared" si="0"/>
        <v>#DIV/0!</v>
      </c>
      <c r="G27" s="1118">
        <f>+SUMIF(Items!D:D,Resumen!B27,Items!J:J)</f>
        <v>0</v>
      </c>
      <c r="H27" s="1119">
        <f t="shared" si="1"/>
        <v>0</v>
      </c>
      <c r="I27" s="1120"/>
      <c r="J27" s="1121"/>
    </row>
    <row r="28" spans="2:10" ht="15.6" hidden="1" outlineLevel="1">
      <c r="B28" s="1125"/>
      <c r="C28" s="1117"/>
      <c r="D28" s="1110"/>
      <c r="E28" s="1118">
        <f>+SUMIF(Items!D:D,Resumen!B28,Items!H:H)</f>
        <v>0</v>
      </c>
      <c r="F28" s="1112" t="e">
        <f t="shared" si="0"/>
        <v>#DIV/0!</v>
      </c>
      <c r="G28" s="1118">
        <f>+SUMIF(Items!D:D,Resumen!B28,Items!J:J)</f>
        <v>0</v>
      </c>
      <c r="H28" s="1119">
        <f t="shared" si="1"/>
        <v>0</v>
      </c>
      <c r="I28" s="1123"/>
      <c r="J28" s="1124"/>
    </row>
    <row r="29" spans="2:10" ht="15.6" hidden="1" outlineLevel="1">
      <c r="B29" s="1125"/>
      <c r="C29" s="1117"/>
      <c r="D29" s="1110"/>
      <c r="E29" s="1118">
        <f>+SUMIF(Items!D:D,Resumen!B29,Items!H:H)</f>
        <v>0</v>
      </c>
      <c r="F29" s="1112" t="e">
        <f t="shared" si="0"/>
        <v>#DIV/0!</v>
      </c>
      <c r="G29" s="1118">
        <f>+SUMIF(Items!D:D,Resumen!B29,Items!J:J)</f>
        <v>0</v>
      </c>
      <c r="H29" s="1119">
        <f t="shared" si="1"/>
        <v>0</v>
      </c>
      <c r="I29" s="1123"/>
      <c r="J29" s="1124"/>
    </row>
    <row r="30" spans="2:10" ht="15.6" hidden="1" outlineLevel="1">
      <c r="B30" s="1125"/>
      <c r="C30" s="1117"/>
      <c r="D30" s="1110"/>
      <c r="E30" s="1118">
        <f>+SUMIF(Items!D:D,Resumen!B30,Items!H:H)</f>
        <v>0</v>
      </c>
      <c r="F30" s="1112" t="e">
        <f t="shared" si="0"/>
        <v>#DIV/0!</v>
      </c>
      <c r="G30" s="1118">
        <f>+SUMIF(Items!D:D,Resumen!B30,Items!J:J)</f>
        <v>0</v>
      </c>
      <c r="H30" s="1119">
        <f t="shared" si="1"/>
        <v>0</v>
      </c>
      <c r="I30" s="1123"/>
      <c r="J30" s="1124"/>
    </row>
    <row r="31" spans="2:10" ht="15.6" hidden="1" outlineLevel="1">
      <c r="B31" s="1125"/>
      <c r="C31" s="1117"/>
      <c r="D31" s="1110"/>
      <c r="E31" s="1118">
        <f>+SUMIF(Items!D:D,Resumen!B31,Items!H:H)</f>
        <v>0</v>
      </c>
      <c r="F31" s="1112" t="e">
        <f t="shared" si="0"/>
        <v>#DIV/0!</v>
      </c>
      <c r="G31" s="1118">
        <f>+SUMIF(Items!D:D,Resumen!B31,Items!J:J)</f>
        <v>0</v>
      </c>
      <c r="H31" s="1119">
        <f t="shared" si="1"/>
        <v>0</v>
      </c>
      <c r="I31" s="1123"/>
      <c r="J31" s="1124"/>
    </row>
    <row r="32" spans="2:10" ht="15.6" hidden="1" outlineLevel="1">
      <c r="B32" s="1125"/>
      <c r="C32" s="1117"/>
      <c r="D32" s="1110"/>
      <c r="E32" s="1118">
        <v>1</v>
      </c>
      <c r="F32" s="1112">
        <f t="shared" si="0"/>
        <v>0</v>
      </c>
      <c r="G32" s="1118">
        <f>+SUMIF(Items!D:D,Resumen!B32,Items!J:J)</f>
        <v>0</v>
      </c>
      <c r="H32" s="1119">
        <f t="shared" si="1"/>
        <v>0</v>
      </c>
      <c r="I32" s="1123"/>
      <c r="J32" s="1124"/>
    </row>
    <row r="33" spans="2:10" ht="15.6" hidden="1" outlineLevel="1">
      <c r="B33" s="1125"/>
      <c r="C33" s="1117"/>
      <c r="D33" s="1110"/>
      <c r="E33" s="1118">
        <v>1</v>
      </c>
      <c r="F33" s="1112">
        <f t="shared" si="0"/>
        <v>0</v>
      </c>
      <c r="G33" s="1118">
        <f>+SUMIF(Items!D:D,Resumen!B33,Items!J:J)</f>
        <v>0</v>
      </c>
      <c r="H33" s="1119">
        <f t="shared" si="1"/>
        <v>0</v>
      </c>
      <c r="I33" s="1123"/>
      <c r="J33" s="1124"/>
    </row>
    <row r="34" spans="2:10" ht="15.6" hidden="1" outlineLevel="1">
      <c r="B34" s="1125"/>
      <c r="C34" s="1117"/>
      <c r="D34" s="1110"/>
      <c r="E34" s="1118">
        <v>1</v>
      </c>
      <c r="F34" s="1112">
        <f t="shared" si="0"/>
        <v>0</v>
      </c>
      <c r="G34" s="1118">
        <f>+SUMIF(Items!D:D,Resumen!B34,Items!J:J)</f>
        <v>0</v>
      </c>
      <c r="H34" s="1119">
        <f t="shared" si="1"/>
        <v>0</v>
      </c>
      <c r="I34" s="1123"/>
      <c r="J34" s="1124"/>
    </row>
    <row r="35" spans="2:10" ht="15.6" hidden="1" outlineLevel="1">
      <c r="B35" s="1125"/>
      <c r="C35" s="1117"/>
      <c r="D35" s="1110"/>
      <c r="E35" s="1118">
        <v>1</v>
      </c>
      <c r="F35" s="1112">
        <f t="shared" si="0"/>
        <v>0</v>
      </c>
      <c r="G35" s="1118">
        <f>+SUMIF(Items!D:D,Resumen!B35,Items!J:J)</f>
        <v>0</v>
      </c>
      <c r="H35" s="1119">
        <f t="shared" si="1"/>
        <v>0</v>
      </c>
      <c r="I35" s="1123"/>
      <c r="J35" s="1124"/>
    </row>
    <row r="36" spans="2:10" ht="15.6" collapsed="1">
      <c r="B36" s="1125"/>
      <c r="C36" s="1117"/>
      <c r="D36" s="1110"/>
      <c r="E36" s="1118"/>
      <c r="F36" s="1112"/>
      <c r="G36" s="1118"/>
      <c r="H36" s="1126"/>
      <c r="I36" s="1123"/>
      <c r="J36" s="1124"/>
    </row>
    <row r="37" spans="2:10" ht="15.6">
      <c r="B37" s="1125"/>
      <c r="C37" s="1109" t="s">
        <v>195</v>
      </c>
      <c r="D37" s="1110"/>
      <c r="E37" s="1118"/>
      <c r="F37" s="1112"/>
      <c r="G37" s="1113">
        <f>+SUBTOTAL(9,G39:G41)</f>
        <v>195803.9566794007</v>
      </c>
      <c r="H37" s="1126"/>
      <c r="I37" s="1123"/>
      <c r="J37" s="1124"/>
    </row>
    <row r="38" spans="2:10" ht="15.6">
      <c r="B38" s="1125"/>
      <c r="C38" s="1109"/>
      <c r="D38" s="1110"/>
      <c r="E38" s="1118"/>
      <c r="F38" s="1112"/>
      <c r="G38" s="1113"/>
      <c r="H38" s="1126"/>
      <c r="I38" s="1123"/>
      <c r="J38" s="1124"/>
    </row>
    <row r="39" spans="2:10" ht="15.6">
      <c r="B39" s="1125" t="s">
        <v>1170</v>
      </c>
      <c r="C39" s="1117" t="s">
        <v>196</v>
      </c>
      <c r="D39" s="1110" t="s">
        <v>1172</v>
      </c>
      <c r="E39" s="1118">
        <v>1</v>
      </c>
      <c r="F39" s="1112">
        <f>+G39/E39</f>
        <v>0</v>
      </c>
      <c r="G39" s="1118">
        <f>+SUMIF(Items!D:D,Resumen!B39,Items!J:J)</f>
        <v>0</v>
      </c>
      <c r="H39" s="1119">
        <f>+G39/$G$47</f>
        <v>0</v>
      </c>
      <c r="I39" s="1123"/>
      <c r="J39" s="1124"/>
    </row>
    <row r="40" spans="2:10" ht="15.6">
      <c r="B40" s="1125" t="s">
        <v>1166</v>
      </c>
      <c r="C40" s="1117" t="s">
        <v>197</v>
      </c>
      <c r="D40" s="1110" t="s">
        <v>1168</v>
      </c>
      <c r="E40" s="1118">
        <f>+plazo</f>
        <v>2</v>
      </c>
      <c r="F40" s="1112">
        <f>+G40/E40</f>
        <v>97901.978339700348</v>
      </c>
      <c r="G40" s="1118">
        <f>+SUMIF(Items!D:D,Resumen!B40,Items!J:J)</f>
        <v>195803.9566794007</v>
      </c>
      <c r="H40" s="1119">
        <f>+G40/$G$47</f>
        <v>0.60352178301621529</v>
      </c>
      <c r="I40" s="1123"/>
      <c r="J40" s="1124"/>
    </row>
    <row r="41" spans="2:10" ht="15.6">
      <c r="B41" s="1125" t="s">
        <v>1178</v>
      </c>
      <c r="C41" s="1117" t="s">
        <v>198</v>
      </c>
      <c r="D41" s="1110" t="s">
        <v>1172</v>
      </c>
      <c r="E41" s="1118">
        <f>+SUMIF(Items!D:D,Resumen!B41,Items!H:H)</f>
        <v>0</v>
      </c>
      <c r="F41" s="1112" t="e">
        <f>+G41/E41</f>
        <v>#DIV/0!</v>
      </c>
      <c r="G41" s="1118">
        <f>+SUMIF(Items!D:D,Resumen!B41,Items!J:J)</f>
        <v>0</v>
      </c>
      <c r="H41" s="1119">
        <f>+G41/$G$47</f>
        <v>0</v>
      </c>
      <c r="I41" s="1123"/>
      <c r="J41" s="1124"/>
    </row>
    <row r="42" spans="2:10" ht="15.6">
      <c r="B42" s="1125"/>
      <c r="C42" s="1117"/>
      <c r="D42" s="1110"/>
      <c r="E42" s="1118"/>
      <c r="F42" s="1112"/>
      <c r="G42" s="1118"/>
      <c r="H42" s="1119"/>
      <c r="I42" s="1123"/>
      <c r="J42" s="1124"/>
    </row>
    <row r="43" spans="2:10" ht="15.6">
      <c r="B43" s="1125"/>
      <c r="C43" s="1109" t="s">
        <v>936</v>
      </c>
      <c r="D43" s="1110"/>
      <c r="E43" s="1118"/>
      <c r="F43" s="1112"/>
      <c r="G43" s="1113">
        <f>+SUBTOTAL(9,G45:G45)</f>
        <v>0</v>
      </c>
      <c r="H43" s="1126"/>
      <c r="I43" s="1123"/>
      <c r="J43" s="1124"/>
    </row>
    <row r="44" spans="2:10" ht="15.6">
      <c r="B44" s="1125" t="s">
        <v>928</v>
      </c>
      <c r="C44" s="1117" t="s">
        <v>934</v>
      </c>
      <c r="D44" s="1110" t="s">
        <v>200</v>
      </c>
      <c r="E44" s="1118"/>
      <c r="F44" s="1112"/>
      <c r="G44" s="1118">
        <f>+SUMIF(Items!D:D,Resumen!B44,Items!J:J)</f>
        <v>0</v>
      </c>
      <c r="H44" s="1119">
        <f>+G44/$G$47</f>
        <v>0</v>
      </c>
      <c r="I44" s="1123"/>
      <c r="J44" s="1124"/>
    </row>
    <row r="45" spans="2:10" ht="15.6">
      <c r="B45" s="1125" t="s">
        <v>1181</v>
      </c>
      <c r="C45" s="1117" t="s">
        <v>199</v>
      </c>
      <c r="D45" s="1110" t="s">
        <v>200</v>
      </c>
      <c r="E45" s="1118"/>
      <c r="F45" s="1112"/>
      <c r="G45" s="1118">
        <f>+SUMIF(Items!D:D,Resumen!B45,Items!J:J)</f>
        <v>0</v>
      </c>
      <c r="H45" s="1119">
        <f>+G45/$G$47</f>
        <v>0</v>
      </c>
      <c r="I45" s="1123"/>
      <c r="J45" s="1124"/>
    </row>
    <row r="46" spans="2:10" ht="15.6">
      <c r="B46" s="1125"/>
      <c r="C46" s="1127"/>
      <c r="D46" s="1128"/>
      <c r="E46" s="1129"/>
      <c r="F46" s="1130"/>
      <c r="G46" s="1129"/>
      <c r="H46" s="1123"/>
      <c r="I46" s="1123"/>
      <c r="J46" s="1124"/>
    </row>
    <row r="47" spans="2:10" ht="15.6">
      <c r="B47" s="1131"/>
      <c r="C47" s="1132" t="s">
        <v>201</v>
      </c>
      <c r="D47" s="1128"/>
      <c r="E47" s="1133"/>
      <c r="F47" s="1130"/>
      <c r="G47" s="1134">
        <f>+SUBTOTAL(9,G8:G45)</f>
        <v>324435.60810818302</v>
      </c>
      <c r="H47" s="1135"/>
      <c r="I47" s="1136"/>
      <c r="J47" s="1124"/>
    </row>
    <row r="48" spans="2:10" ht="16.2" thickBot="1">
      <c r="B48" s="1137"/>
      <c r="C48" s="1138"/>
      <c r="D48" s="1139"/>
      <c r="E48" s="1140"/>
      <c r="F48" s="1141"/>
      <c r="G48" s="1142"/>
      <c r="H48" s="1143"/>
      <c r="I48" s="1143"/>
      <c r="J48" s="1144"/>
    </row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</sheetData>
  <phoneticPr fontId="0" type="noConversion"/>
  <conditionalFormatting sqref="F7:I48 E10:E46">
    <cfRule type="expression" dxfId="19" priority="1" stopIfTrue="1">
      <formula>dólar=1</formula>
    </cfRule>
    <cfRule type="expression" dxfId="18" priority="2" stopIfTrue="1">
      <formula>dólar&lt;&gt;1</formula>
    </cfRule>
  </conditionalFormatting>
  <pageMargins left="0.75" right="0.38" top="0.61" bottom="1" header="0.36" footer="0.5"/>
  <pageSetup paperSize="9" scale="52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M25"/>
  <sheetViews>
    <sheetView workbookViewId="0">
      <selection activeCell="A25" sqref="A25"/>
    </sheetView>
  </sheetViews>
  <sheetFormatPr baseColWidth="10" defaultColWidth="9.109375" defaultRowHeight="13.2"/>
  <cols>
    <col min="12" max="12" width="0.88671875" customWidth="1"/>
  </cols>
  <sheetData>
    <row r="1" spans="1:13">
      <c r="A1" t="s">
        <v>1116</v>
      </c>
      <c r="B1" t="s">
        <v>818</v>
      </c>
      <c r="C1" t="s">
        <v>819</v>
      </c>
      <c r="D1" t="s">
        <v>820</v>
      </c>
      <c r="E1" t="s">
        <v>821</v>
      </c>
      <c r="F1" t="s">
        <v>822</v>
      </c>
      <c r="G1" t="s">
        <v>823</v>
      </c>
      <c r="H1" t="s">
        <v>824</v>
      </c>
      <c r="I1" t="s">
        <v>825</v>
      </c>
      <c r="J1" t="s">
        <v>826</v>
      </c>
      <c r="K1" t="s">
        <v>827</v>
      </c>
      <c r="M1" t="s">
        <v>373</v>
      </c>
    </row>
    <row r="2" spans="1:13">
      <c r="A2" t="s">
        <v>884</v>
      </c>
      <c r="B2">
        <v>1</v>
      </c>
      <c r="C2" t="s">
        <v>837</v>
      </c>
      <c r="D2">
        <v>2000</v>
      </c>
      <c r="E2" t="s">
        <v>885</v>
      </c>
      <c r="F2">
        <v>20</v>
      </c>
      <c r="G2" t="s">
        <v>886</v>
      </c>
      <c r="H2">
        <v>0.5</v>
      </c>
      <c r="I2" t="s">
        <v>887</v>
      </c>
      <c r="M2">
        <f>+COUNTIF(A:A,A2)</f>
        <v>1</v>
      </c>
    </row>
    <row r="3" spans="1:13">
      <c r="A3" t="s">
        <v>796</v>
      </c>
      <c r="B3">
        <v>360</v>
      </c>
      <c r="C3" t="s">
        <v>797</v>
      </c>
      <c r="D3">
        <v>2.25</v>
      </c>
      <c r="E3" t="s">
        <v>798</v>
      </c>
      <c r="F3">
        <v>6</v>
      </c>
      <c r="G3" t="s">
        <v>799</v>
      </c>
      <c r="M3">
        <f t="shared" ref="M3:M14" si="0">+COUNTIF(A:A,A3)</f>
        <v>1</v>
      </c>
    </row>
    <row r="4" spans="1:13">
      <c r="A4" t="s">
        <v>256</v>
      </c>
      <c r="B4">
        <v>25</v>
      </c>
      <c r="C4" t="s">
        <v>259</v>
      </c>
      <c r="D4">
        <v>2</v>
      </c>
      <c r="E4" t="s">
        <v>260</v>
      </c>
      <c r="F4">
        <v>3</v>
      </c>
      <c r="G4" t="s">
        <v>261</v>
      </c>
      <c r="M4">
        <f t="shared" si="0"/>
        <v>3</v>
      </c>
    </row>
    <row r="5" spans="1:13">
      <c r="A5" t="s">
        <v>256</v>
      </c>
      <c r="B5">
        <v>25</v>
      </c>
      <c r="C5" t="s">
        <v>259</v>
      </c>
      <c r="D5">
        <v>2</v>
      </c>
      <c r="E5" t="s">
        <v>260</v>
      </c>
      <c r="F5">
        <v>3</v>
      </c>
      <c r="G5" t="s">
        <v>261</v>
      </c>
      <c r="H5">
        <v>75</v>
      </c>
      <c r="I5" t="s">
        <v>262</v>
      </c>
      <c r="M5">
        <f t="shared" si="0"/>
        <v>3</v>
      </c>
    </row>
    <row r="6" spans="1:13">
      <c r="A6" t="s">
        <v>256</v>
      </c>
      <c r="B6">
        <v>24</v>
      </c>
      <c r="C6" t="s">
        <v>288</v>
      </c>
      <c r="D6">
        <v>75</v>
      </c>
      <c r="E6" t="s">
        <v>287</v>
      </c>
      <c r="M6">
        <f t="shared" si="0"/>
        <v>3</v>
      </c>
    </row>
    <row r="7" spans="1:13">
      <c r="A7" t="s">
        <v>79</v>
      </c>
      <c r="B7">
        <v>1</v>
      </c>
      <c r="C7" t="s">
        <v>837</v>
      </c>
      <c r="D7">
        <v>150</v>
      </c>
      <c r="E7" t="s">
        <v>838</v>
      </c>
      <c r="M7">
        <f t="shared" si="0"/>
        <v>1</v>
      </c>
    </row>
    <row r="8" spans="1:13">
      <c r="A8" t="s">
        <v>80</v>
      </c>
      <c r="B8">
        <v>1</v>
      </c>
      <c r="D8">
        <v>215</v>
      </c>
      <c r="E8" t="s">
        <v>844</v>
      </c>
      <c r="F8">
        <v>1.25</v>
      </c>
      <c r="G8" t="s">
        <v>843</v>
      </c>
      <c r="M8">
        <f t="shared" si="0"/>
        <v>1</v>
      </c>
    </row>
    <row r="9" spans="1:13">
      <c r="A9" t="s">
        <v>81</v>
      </c>
      <c r="B9">
        <v>1</v>
      </c>
      <c r="C9" t="s">
        <v>837</v>
      </c>
      <c r="D9">
        <v>70</v>
      </c>
      <c r="E9" t="s">
        <v>210</v>
      </c>
      <c r="M9">
        <f t="shared" si="0"/>
        <v>1</v>
      </c>
    </row>
    <row r="10" spans="1:13">
      <c r="A10" t="s">
        <v>50</v>
      </c>
      <c r="B10">
        <v>1</v>
      </c>
      <c r="D10">
        <v>20</v>
      </c>
      <c r="E10" t="s">
        <v>828</v>
      </c>
      <c r="F10">
        <v>1.02</v>
      </c>
      <c r="G10" t="s">
        <v>829</v>
      </c>
      <c r="M10">
        <f t="shared" si="0"/>
        <v>1</v>
      </c>
    </row>
    <row r="11" spans="1:13">
      <c r="A11" t="s">
        <v>792</v>
      </c>
      <c r="B11">
        <v>1</v>
      </c>
      <c r="D11">
        <v>120</v>
      </c>
      <c r="E11" t="s">
        <v>793</v>
      </c>
      <c r="M11">
        <f t="shared" si="0"/>
        <v>1</v>
      </c>
    </row>
    <row r="12" spans="1:13">
      <c r="A12" t="s">
        <v>1322</v>
      </c>
      <c r="B12">
        <v>1</v>
      </c>
      <c r="C12" t="s">
        <v>990</v>
      </c>
      <c r="D12">
        <v>150</v>
      </c>
      <c r="E12" t="s">
        <v>991</v>
      </c>
      <c r="M12">
        <f t="shared" si="0"/>
        <v>1</v>
      </c>
    </row>
    <row r="13" spans="1:13">
      <c r="A13" t="s">
        <v>783</v>
      </c>
      <c r="B13">
        <v>1</v>
      </c>
      <c r="C13" t="s">
        <v>839</v>
      </c>
      <c r="D13">
        <v>300</v>
      </c>
      <c r="E13" t="s">
        <v>785</v>
      </c>
      <c r="M13">
        <f t="shared" si="0"/>
        <v>1</v>
      </c>
    </row>
    <row r="14" spans="1:13">
      <c r="A14" t="s">
        <v>212</v>
      </c>
      <c r="B14">
        <v>1</v>
      </c>
      <c r="C14" t="s">
        <v>837</v>
      </c>
      <c r="D14">
        <v>50</v>
      </c>
      <c r="E14" t="s">
        <v>213</v>
      </c>
      <c r="M14">
        <f t="shared" si="0"/>
        <v>1</v>
      </c>
    </row>
    <row r="15" spans="1:13">
      <c r="A15" t="s">
        <v>1344</v>
      </c>
      <c r="B15">
        <v>4</v>
      </c>
      <c r="C15" t="s">
        <v>277</v>
      </c>
      <c r="D15">
        <v>75</v>
      </c>
      <c r="E15" t="s">
        <v>262</v>
      </c>
    </row>
    <row r="16" spans="1:13">
      <c r="A16" t="s">
        <v>1344</v>
      </c>
      <c r="B16">
        <v>2</v>
      </c>
      <c r="C16" t="s">
        <v>278</v>
      </c>
    </row>
    <row r="17" spans="1:11">
      <c r="A17" t="s">
        <v>1344</v>
      </c>
      <c r="B17">
        <v>3</v>
      </c>
      <c r="C17" t="s">
        <v>279</v>
      </c>
      <c r="D17">
        <v>3.14</v>
      </c>
      <c r="E17" t="s">
        <v>280</v>
      </c>
      <c r="F17">
        <v>7</v>
      </c>
      <c r="G17" t="s">
        <v>281</v>
      </c>
      <c r="H17">
        <v>2</v>
      </c>
      <c r="I17" t="s">
        <v>282</v>
      </c>
    </row>
    <row r="18" spans="1:11">
      <c r="A18" t="s">
        <v>1344</v>
      </c>
      <c r="B18">
        <v>8</v>
      </c>
      <c r="C18" t="s">
        <v>283</v>
      </c>
      <c r="D18">
        <v>7</v>
      </c>
      <c r="E18" t="s">
        <v>284</v>
      </c>
      <c r="F18">
        <v>3</v>
      </c>
      <c r="G18" t="s">
        <v>285</v>
      </c>
    </row>
    <row r="19" spans="1:11">
      <c r="A19" t="s">
        <v>1344</v>
      </c>
      <c r="B19">
        <v>2</v>
      </c>
      <c r="C19" t="s">
        <v>286</v>
      </c>
      <c r="D19">
        <v>75</v>
      </c>
      <c r="E19" t="s">
        <v>287</v>
      </c>
    </row>
    <row r="20" spans="1:11">
      <c r="A20" t="s">
        <v>787</v>
      </c>
      <c r="B20">
        <v>1</v>
      </c>
      <c r="D20">
        <v>20</v>
      </c>
      <c r="E20" t="s">
        <v>788</v>
      </c>
    </row>
    <row r="21" spans="1:11">
      <c r="A21" t="s">
        <v>1318</v>
      </c>
      <c r="B21">
        <v>1</v>
      </c>
      <c r="D21">
        <v>96</v>
      </c>
      <c r="E21" t="s">
        <v>258</v>
      </c>
    </row>
    <row r="22" spans="1:11">
      <c r="A22" t="s">
        <v>845</v>
      </c>
      <c r="B22">
        <v>1</v>
      </c>
      <c r="D22">
        <v>100</v>
      </c>
      <c r="E22" t="s">
        <v>846</v>
      </c>
      <c r="F22">
        <v>1.25</v>
      </c>
      <c r="G22" t="s">
        <v>843</v>
      </c>
    </row>
    <row r="23" spans="1:11">
      <c r="A23" t="s">
        <v>215</v>
      </c>
      <c r="B23">
        <v>1</v>
      </c>
      <c r="C23" t="s">
        <v>216</v>
      </c>
      <c r="D23">
        <v>2</v>
      </c>
      <c r="E23" t="s">
        <v>217</v>
      </c>
      <c r="F23">
        <v>30</v>
      </c>
      <c r="G23" t="s">
        <v>218</v>
      </c>
      <c r="H23">
        <v>1</v>
      </c>
      <c r="I23" t="s">
        <v>219</v>
      </c>
      <c r="J23">
        <v>8</v>
      </c>
      <c r="K23" t="s">
        <v>220</v>
      </c>
    </row>
    <row r="24" spans="1:11">
      <c r="A24" t="s">
        <v>215</v>
      </c>
      <c r="B24">
        <v>4</v>
      </c>
      <c r="C24" t="s">
        <v>221</v>
      </c>
      <c r="D24">
        <v>7</v>
      </c>
      <c r="E24" t="s">
        <v>222</v>
      </c>
    </row>
    <row r="25" spans="1:11">
      <c r="A25" t="s">
        <v>840</v>
      </c>
      <c r="B25">
        <v>1</v>
      </c>
      <c r="D25">
        <v>58</v>
      </c>
      <c r="E25" t="s">
        <v>841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19</vt:i4>
      </vt:variant>
      <vt:variant>
        <vt:lpstr>Gráficos</vt:lpstr>
      </vt:variant>
      <vt:variant>
        <vt:i4>1</vt:i4>
      </vt:variant>
      <vt:variant>
        <vt:lpstr>Rangos con nombre</vt:lpstr>
      </vt:variant>
      <vt:variant>
        <vt:i4>240</vt:i4>
      </vt:variant>
    </vt:vector>
  </HeadingPairs>
  <TitlesOfParts>
    <vt:vector size="260" baseType="lpstr">
      <vt:lpstr>Datos</vt:lpstr>
      <vt:lpstr>Items</vt:lpstr>
      <vt:lpstr>AUX-NIV1</vt:lpstr>
      <vt:lpstr>AUX-NIV2</vt:lpstr>
      <vt:lpstr>AUX-NIV3</vt:lpstr>
      <vt:lpstr>Organig</vt:lpstr>
      <vt:lpstr>Histograma</vt:lpstr>
      <vt:lpstr>Resumen</vt:lpstr>
      <vt:lpstr>Constantes</vt:lpstr>
      <vt:lpstr>Aux_Items_1</vt:lpstr>
      <vt:lpstr>Aux_Items_2</vt:lpstr>
      <vt:lpstr>Aux_Items_3</vt:lpstr>
      <vt:lpstr>Crono</vt:lpstr>
      <vt:lpstr>Precio</vt:lpstr>
      <vt:lpstr>Recursos</vt:lpstr>
      <vt:lpstr>MOi_CE</vt:lpstr>
      <vt:lpstr>MOd_CE</vt:lpstr>
      <vt:lpstr>EQ_CE</vt:lpstr>
      <vt:lpstr>CInv</vt:lpstr>
      <vt:lpstr>Gráfico1</vt:lpstr>
      <vt:lpstr>__aux2</vt:lpstr>
      <vt:lpstr>__equ1</vt:lpstr>
      <vt:lpstr>__mat1</vt:lpstr>
      <vt:lpstr>__mat2</vt:lpstr>
      <vt:lpstr>__moi1</vt:lpstr>
      <vt:lpstr>__sub1</vt:lpstr>
      <vt:lpstr>__tra1</vt:lpstr>
      <vt:lpstr>CInv!_aux2</vt:lpstr>
      <vt:lpstr>_aux2</vt:lpstr>
      <vt:lpstr>CInv!_equ1</vt:lpstr>
      <vt:lpstr>_equ1</vt:lpstr>
      <vt:lpstr>CInv!_mat1</vt:lpstr>
      <vt:lpstr>_mat1</vt:lpstr>
      <vt:lpstr>CInv!_mat2</vt:lpstr>
      <vt:lpstr>CInv!_moi1</vt:lpstr>
      <vt:lpstr>_moi1</vt:lpstr>
      <vt:lpstr>CInv!_sub1</vt:lpstr>
      <vt:lpstr>_sub1</vt:lpstr>
      <vt:lpstr>CInv!_tra1</vt:lpstr>
      <vt:lpstr>_tra1</vt:lpstr>
      <vt:lpstr>CInv!accidente</vt:lpstr>
      <vt:lpstr>accidente</vt:lpstr>
      <vt:lpstr>CInv!AL_F</vt:lpstr>
      <vt:lpstr>AL_F</vt:lpstr>
      <vt:lpstr>CInv!AL_P</vt:lpstr>
      <vt:lpstr>AL_P</vt:lpstr>
      <vt:lpstr>CInv!AO_F</vt:lpstr>
      <vt:lpstr>AO_F</vt:lpstr>
      <vt:lpstr>CInv!AO_P</vt:lpstr>
      <vt:lpstr>AO_P</vt:lpstr>
      <vt:lpstr>Crono!Área_de_impresión</vt:lpstr>
      <vt:lpstr>Datos!Área_de_impresión</vt:lpstr>
      <vt:lpstr>Items!Área_de_impresión</vt:lpstr>
      <vt:lpstr>Organig!Área_de_impresión</vt:lpstr>
      <vt:lpstr>Precio!Área_de_impresión</vt:lpstr>
      <vt:lpstr>Recursos!Área_de_impresión</vt:lpstr>
      <vt:lpstr>CInv!aux_item</vt:lpstr>
      <vt:lpstr>aux_item</vt:lpstr>
      <vt:lpstr>CInv!AV_F</vt:lpstr>
      <vt:lpstr>AV_F</vt:lpstr>
      <vt:lpstr>CInv!AV_P</vt:lpstr>
      <vt:lpstr>AV_P</vt:lpstr>
      <vt:lpstr>CInv!Ayu</vt:lpstr>
      <vt:lpstr>Ayu</vt:lpstr>
      <vt:lpstr>CInv!BC_F</vt:lpstr>
      <vt:lpstr>BC_F</vt:lpstr>
      <vt:lpstr>CInv!BC_P</vt:lpstr>
      <vt:lpstr>BC_P</vt:lpstr>
      <vt:lpstr>CInv!ben</vt:lpstr>
      <vt:lpstr>ben</vt:lpstr>
      <vt:lpstr>CInv!BG_F</vt:lpstr>
      <vt:lpstr>BG_F</vt:lpstr>
      <vt:lpstr>CInv!BG_P</vt:lpstr>
      <vt:lpstr>BG_P</vt:lpstr>
      <vt:lpstr>CInv!BM_F</vt:lpstr>
      <vt:lpstr>BM_F</vt:lpstr>
      <vt:lpstr>CInv!BM_P</vt:lpstr>
      <vt:lpstr>BM_P</vt:lpstr>
      <vt:lpstr>CInv!CA_F</vt:lpstr>
      <vt:lpstr>CA_F</vt:lpstr>
      <vt:lpstr>CInv!CA_P</vt:lpstr>
      <vt:lpstr>CA_P</vt:lpstr>
      <vt:lpstr>CInv!CE_F</vt:lpstr>
      <vt:lpstr>CE_F</vt:lpstr>
      <vt:lpstr>CInv!CE_P</vt:lpstr>
      <vt:lpstr>CE_P</vt:lpstr>
      <vt:lpstr>CInv!CM_F</vt:lpstr>
      <vt:lpstr>CM_F</vt:lpstr>
      <vt:lpstr>CInv!CM_P</vt:lpstr>
      <vt:lpstr>CM_P</vt:lpstr>
      <vt:lpstr>CInv!comb</vt:lpstr>
      <vt:lpstr>comb</vt:lpstr>
      <vt:lpstr>CInv!comitente</vt:lpstr>
      <vt:lpstr>comitente</vt:lpstr>
      <vt:lpstr>CInv!CP_F</vt:lpstr>
      <vt:lpstr>CP_F</vt:lpstr>
      <vt:lpstr>CInv!CP_P</vt:lpstr>
      <vt:lpstr>CP_P</vt:lpstr>
      <vt:lpstr>CInv!CS_F</vt:lpstr>
      <vt:lpstr>CS_F</vt:lpstr>
      <vt:lpstr>CInv!CS_P</vt:lpstr>
      <vt:lpstr>CS_P</vt:lpstr>
      <vt:lpstr>CInv!DE_F</vt:lpstr>
      <vt:lpstr>DE_F</vt:lpstr>
      <vt:lpstr>CInv!DE_P</vt:lpstr>
      <vt:lpstr>DE_P</vt:lpstr>
      <vt:lpstr>CInv!dias_año</vt:lpstr>
      <vt:lpstr>dias_año</vt:lpstr>
      <vt:lpstr>CInv!dias_lluvia</vt:lpstr>
      <vt:lpstr>dias_lluvia</vt:lpstr>
      <vt:lpstr>CInv!domingos</vt:lpstr>
      <vt:lpstr>domingos</vt:lpstr>
      <vt:lpstr>CInv!enfermedad</vt:lpstr>
      <vt:lpstr>enfermedad</vt:lpstr>
      <vt:lpstr>CInv!eq_item</vt:lpstr>
      <vt:lpstr>eq_item</vt:lpstr>
      <vt:lpstr>CInv!equ</vt:lpstr>
      <vt:lpstr>equ</vt:lpstr>
      <vt:lpstr>CInv!equ_ag</vt:lpstr>
      <vt:lpstr>equ_ag</vt:lpstr>
      <vt:lpstr>CInv!euro</vt:lpstr>
      <vt:lpstr>euro</vt:lpstr>
      <vt:lpstr>CInv!feriados</vt:lpstr>
      <vt:lpstr>feriados</vt:lpstr>
      <vt:lpstr>CInv!fin</vt:lpstr>
      <vt:lpstr>fin</vt:lpstr>
      <vt:lpstr>CInv!GC_F</vt:lpstr>
      <vt:lpstr>GC_F</vt:lpstr>
      <vt:lpstr>CInv!GC_P</vt:lpstr>
      <vt:lpstr>GC_P</vt:lpstr>
      <vt:lpstr>CInv!GL_F</vt:lpstr>
      <vt:lpstr>GL_F</vt:lpstr>
      <vt:lpstr>CInv!GL_P</vt:lpstr>
      <vt:lpstr>GL_P</vt:lpstr>
      <vt:lpstr>CInv!ind</vt:lpstr>
      <vt:lpstr>ind</vt:lpstr>
      <vt:lpstr>CInv!itera</vt:lpstr>
      <vt:lpstr>itera</vt:lpstr>
      <vt:lpstr>CInv!iva</vt:lpstr>
      <vt:lpstr>iva</vt:lpstr>
      <vt:lpstr>CInv!LD_F</vt:lpstr>
      <vt:lpstr>LD_F</vt:lpstr>
      <vt:lpstr>CInv!LD_P</vt:lpstr>
      <vt:lpstr>LD_P</vt:lpstr>
      <vt:lpstr>CInv!licencia</vt:lpstr>
      <vt:lpstr>licencia</vt:lpstr>
      <vt:lpstr>CInv!licenciaespecial</vt:lpstr>
      <vt:lpstr>licenciaespecial</vt:lpstr>
      <vt:lpstr>CInv!licitacion</vt:lpstr>
      <vt:lpstr>licitacion</vt:lpstr>
      <vt:lpstr>CInv!LO_F</vt:lpstr>
      <vt:lpstr>LO_F</vt:lpstr>
      <vt:lpstr>CInv!LO_P</vt:lpstr>
      <vt:lpstr>LO_P</vt:lpstr>
      <vt:lpstr>CInv!long</vt:lpstr>
      <vt:lpstr>long</vt:lpstr>
      <vt:lpstr>CInv!LS_F</vt:lpstr>
      <vt:lpstr>LS_F</vt:lpstr>
      <vt:lpstr>CInv!LS_P</vt:lpstr>
      <vt:lpstr>LS_P</vt:lpstr>
      <vt:lpstr>CInv!lub</vt:lpstr>
      <vt:lpstr>lub</vt:lpstr>
      <vt:lpstr>CInv!lugar</vt:lpstr>
      <vt:lpstr>lugar</vt:lpstr>
      <vt:lpstr>CInv!mat</vt:lpstr>
      <vt:lpstr>mat</vt:lpstr>
      <vt:lpstr>CInv!mat_item</vt:lpstr>
      <vt:lpstr>mat_item</vt:lpstr>
      <vt:lpstr>CInv!MD_F</vt:lpstr>
      <vt:lpstr>MD_F</vt:lpstr>
      <vt:lpstr>CInv!MD_P</vt:lpstr>
      <vt:lpstr>MD_P</vt:lpstr>
      <vt:lpstr>CInv!mod</vt:lpstr>
      <vt:lpstr>mod</vt:lpstr>
      <vt:lpstr>CInv!mod_item</vt:lpstr>
      <vt:lpstr>mod_item</vt:lpstr>
      <vt:lpstr>CInv!mof</vt:lpstr>
      <vt:lpstr>mof</vt:lpstr>
      <vt:lpstr>CInv!moi</vt:lpstr>
      <vt:lpstr>moi</vt:lpstr>
      <vt:lpstr>CInv!moi_ag</vt:lpstr>
      <vt:lpstr>moi_ag</vt:lpstr>
      <vt:lpstr>CInv!moi_cc</vt:lpstr>
      <vt:lpstr>moi_cc</vt:lpstr>
      <vt:lpstr>CInv!moi_item</vt:lpstr>
      <vt:lpstr>moi_item</vt:lpstr>
      <vt:lpstr>CInv!netas</vt:lpstr>
      <vt:lpstr>netas</vt:lpstr>
      <vt:lpstr>CInv!obra</vt:lpstr>
      <vt:lpstr>obra</vt:lpstr>
      <vt:lpstr>CInv!of</vt:lpstr>
      <vt:lpstr>of</vt:lpstr>
      <vt:lpstr>CInv!ofe</vt:lpstr>
      <vt:lpstr>ofe</vt:lpstr>
      <vt:lpstr>CInv!oferente</vt:lpstr>
      <vt:lpstr>oferente</vt:lpstr>
      <vt:lpstr>CInv!ope</vt:lpstr>
      <vt:lpstr>ope</vt:lpstr>
      <vt:lpstr>CInv!otraslicencias</vt:lpstr>
      <vt:lpstr>otraslicencias</vt:lpstr>
      <vt:lpstr>CInv!PA_F</vt:lpstr>
      <vt:lpstr>PA_F</vt:lpstr>
      <vt:lpstr>CInv!PA_P</vt:lpstr>
      <vt:lpstr>PA_P</vt:lpstr>
      <vt:lpstr>CInv!PE_F</vt:lpstr>
      <vt:lpstr>PE_F</vt:lpstr>
      <vt:lpstr>CInv!PE_P</vt:lpstr>
      <vt:lpstr>PE_P</vt:lpstr>
      <vt:lpstr>CInv!per</vt:lpstr>
      <vt:lpstr>per</vt:lpstr>
      <vt:lpstr>CInv!PI_F</vt:lpstr>
      <vt:lpstr>PI_F</vt:lpstr>
      <vt:lpstr>CInv!PI_P</vt:lpstr>
      <vt:lpstr>PI_P</vt:lpstr>
      <vt:lpstr>CInv!plaef</vt:lpstr>
      <vt:lpstr>plaef</vt:lpstr>
      <vt:lpstr>plazo</vt:lpstr>
      <vt:lpstr>CInv!po</vt:lpstr>
      <vt:lpstr>po</vt:lpstr>
      <vt:lpstr>CInv!presenta</vt:lpstr>
      <vt:lpstr>presenta</vt:lpstr>
      <vt:lpstr>CInv!query_niv1</vt:lpstr>
      <vt:lpstr>query_niv1</vt:lpstr>
      <vt:lpstr>CInv!query_niv2</vt:lpstr>
      <vt:lpstr>query_niv2</vt:lpstr>
      <vt:lpstr>CInv!query_niv3</vt:lpstr>
      <vt:lpstr>query_niv3</vt:lpstr>
      <vt:lpstr>CInv!RS_F</vt:lpstr>
      <vt:lpstr>RS_F</vt:lpstr>
      <vt:lpstr>CInv!RS_P</vt:lpstr>
      <vt:lpstr>RS_P</vt:lpstr>
      <vt:lpstr>CInv!ryr</vt:lpstr>
      <vt:lpstr>ryr</vt:lpstr>
      <vt:lpstr>CInv!sabados</vt:lpstr>
      <vt:lpstr>sabados</vt:lpstr>
      <vt:lpstr>CInv!sub</vt:lpstr>
      <vt:lpstr>sub</vt:lpstr>
      <vt:lpstr>CInv!sub_mo</vt:lpstr>
      <vt:lpstr>Precio!sub_mo</vt:lpstr>
      <vt:lpstr>sub_mo</vt:lpstr>
      <vt:lpstr>CInv!subc_item</vt:lpstr>
      <vt:lpstr>subc_item</vt:lpstr>
      <vt:lpstr>CInv!TA_F</vt:lpstr>
      <vt:lpstr>TA_F</vt:lpstr>
      <vt:lpstr>CInv!TA_P</vt:lpstr>
      <vt:lpstr>TA_P</vt:lpstr>
      <vt:lpstr>Crono!Títulos_a_imprimir</vt:lpstr>
      <vt:lpstr>EQ_CE!Títulos_a_imprimir</vt:lpstr>
      <vt:lpstr>Items!Títulos_a_imprimir</vt:lpstr>
      <vt:lpstr>Precio!Títulos_a_imprimir</vt:lpstr>
      <vt:lpstr>Recursos!Títulos_a_imprimir</vt:lpstr>
      <vt:lpstr>CInv!tra</vt:lpstr>
      <vt:lpstr>tra</vt:lpstr>
      <vt:lpstr>CInv!transp_item</vt:lpstr>
      <vt:lpstr>CInv!usd</vt:lpstr>
      <vt:lpstr>usd</vt:lpstr>
      <vt:lpstr>CInv!v_red</vt:lpstr>
      <vt:lpstr>v_red</vt:lpstr>
      <vt:lpstr>CInv!vres</vt:lpstr>
      <vt:lpstr>vres</vt:lpstr>
    </vt:vector>
  </TitlesOfParts>
  <Company>IMPSA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Base de Datos para Cálculo de Costos</dc:title>
  <dc:subject>Revisión 03 - Junio 2006</dc:subject>
  <dc:creator>Ariel Sánchez</dc:creator>
  <cp:lastModifiedBy>Ariel Sánchez</cp:lastModifiedBy>
  <cp:lastPrinted>2020-10-02T17:05:02Z</cp:lastPrinted>
  <dcterms:created xsi:type="dcterms:W3CDTF">2006-02-06T19:44:46Z</dcterms:created>
  <dcterms:modified xsi:type="dcterms:W3CDTF">2026-02-26T13:40:25Z</dcterms:modified>
</cp:coreProperties>
</file>